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" sheetId="1" r:id="rId5"/>
    <sheet state="visible" name="analysis" sheetId="2" r:id="rId6"/>
    <sheet state="visible" name="dashboard" sheetId="3" r:id="rId7"/>
    <sheet state="visible" name="headers_summary" sheetId="4" r:id="rId8"/>
    <sheet state="hidden" name="expense_history_april_2024" sheetId="5" r:id="rId9"/>
    <sheet state="visible" name="categories_lookup" sheetId="6" r:id="rId10"/>
    <sheet state="visible" name="payment_method_lookup" sheetId="7" r:id="rId11"/>
    <sheet state="visible" name="categories_ipc_mapping" sheetId="8" r:id="rId12"/>
    <sheet state="visible" name="ipc_indec_raw" sheetId="9" r:id="rId13"/>
    <sheet state="visible" name="ipc_gba" sheetId="10" r:id="rId14"/>
    <sheet state="visible" name="expense_history_may_2024" sheetId="11" r:id="rId15"/>
    <sheet state="visible" name="expense_history_june_2024" sheetId="12" r:id="rId16"/>
    <sheet state="visible" name="expense_history_july_2024" sheetId="13" r:id="rId17"/>
    <sheet state="visible" name="expense_history_august_2024" sheetId="14" r:id="rId18"/>
    <sheet state="visible" name="expense_history_september_2024" sheetId="15" r:id="rId19"/>
    <sheet state="visible" name="expense_history_october_2024" sheetId="16" r:id="rId20"/>
    <sheet state="visible" name="expense_history_november_2024" sheetId="17" r:id="rId21"/>
    <sheet state="visible" name="expense_history_december_2024" sheetId="18" r:id="rId22"/>
    <sheet state="visible" name="expense_history_january_2025" sheetId="19" r:id="rId23"/>
    <sheet state="visible" name="expense_history_february_2025" sheetId="20" r:id="rId24"/>
    <sheet state="visible" name="expense_history_march_2025" sheetId="21" r:id="rId25"/>
    <sheet state="visible" name="expense_history_april_2025" sheetId="22" r:id="rId26"/>
    <sheet state="visible" name="expense_history_may_2025" sheetId="23" r:id="rId27"/>
    <sheet state="visible" name="expense_history_june_2025" sheetId="24" r:id="rId28"/>
    <sheet state="visible" name="expense_history_july_2025" sheetId="25" r:id="rId29"/>
    <sheet state="visible" name="expense_history_august_2025" sheetId="26" r:id="rId30"/>
    <sheet state="visible" name="expense_history_september_2025" sheetId="27" r:id="rId31"/>
    <sheet state="visible" name="expense_history_october_2025" sheetId="28" r:id="rId32"/>
    <sheet state="visible" name="expense_history_november_2025" sheetId="29" r:id="rId33"/>
  </sheets>
  <definedNames>
    <definedName hidden="1" localSheetId="8" name="_xlnm._FilterDatabase">ipc_indec_raw!$D$1:$D$13863</definedName>
    <definedName hidden="1" localSheetId="9" name="_xlnm._FilterDatabase">ipc_gba!$B$1:$B$2481</definedName>
    <definedName hidden="1" localSheetId="28" name="_xlnm._FilterDatabase">expense_history_november_2025!$A$1:$E$107</definedName>
  </definedNames>
  <calcPr/>
  <pivotCaches>
    <pivotCache cacheId="0" r:id="rId3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tc={bb7642c3-f6ed-4246-9100-e0032abc9a19}</author>
    <author>tc={c1bf8957-a4b9-4e0c-80e6-091ff71c10c8}</author>
    <author>tc={c7ca3671-e6f1-4063-8a68-946bcba21a32}</author>
  </authors>
  <commentList>
    <comment authorId="0" xr:uid="{bb7642c3-f6ed-4246-9100-e0032abc9a19}" ref="E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(jun_expense / may_expense) * 100
</t>
      </text>
    </comment>
    <comment authorId="1" xr:uid="{c1bf8957-a4b9-4e0c-80e6-091ff71c10c8}" ref="F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Raw values arrive as text with dot decimal separator. SUBSTITUTE + VALUE + ARRAYFORMULA convert them to numeric.
</t>
      </text>
    </comment>
    <comment authorId="2" xr:uid="{c7ca3671-e6f1-4063-8a68-946bcba21a32}" ref="G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Rebase IPC to May 2024 = 100. Formula: (ipc_index_raw_current_month / ipc_index_raw_may_2024) * 100
</t>
      </text>
    </comment>
  </commentList>
</comments>
</file>

<file path=xl/sharedStrings.xml><?xml version="1.0" encoding="utf-8"?>
<sst xmlns="http://schemas.openxmlformats.org/spreadsheetml/2006/main" count="115218" uniqueCount="16608">
  <si>
    <t>date</t>
  </si>
  <si>
    <t>description</t>
  </si>
  <si>
    <t>total</t>
  </si>
  <si>
    <t>category</t>
  </si>
  <si>
    <t>payment_method</t>
  </si>
  <si>
    <t>ipc_category</t>
  </si>
  <si>
    <t>period</t>
  </si>
  <si>
    <t>Food and non-alcoholic beverages</t>
  </si>
  <si>
    <t>Furnishings and household equipment</t>
  </si>
  <si>
    <t>Transport</t>
  </si>
  <si>
    <t>Clothing and footwear</t>
  </si>
  <si>
    <t>Education</t>
  </si>
  <si>
    <t>Recreation and culture</t>
  </si>
  <si>
    <t>Housing, water, electricity, gas and other fuels</t>
  </si>
  <si>
    <t>Restaurants and hotels</t>
  </si>
  <si>
    <t>Health</t>
  </si>
  <si>
    <t>Miscellaneous goods and services</t>
  </si>
  <si>
    <t/>
  </si>
  <si>
    <t>Overall Expenses vs IPC - Monthly Evolution</t>
  </si>
  <si>
    <t>Overall KPIs: Expenses vs CPI</t>
  </si>
  <si>
    <t xml:space="preserve">expenses_monthly_var </t>
  </si>
  <si>
    <t>ipc_monthly_var</t>
  </si>
  <si>
    <t>personal_expenses_index</t>
  </si>
  <si>
    <t>ipc_index_raw</t>
  </si>
  <si>
    <t>official_ipc_index</t>
  </si>
  <si>
    <t>reference_100</t>
  </si>
  <si>
    <t>monthly_period</t>
  </si>
  <si>
    <t>kpi_expenses</t>
  </si>
  <si>
    <t>kpi_ipc</t>
  </si>
  <si>
    <t>difference</t>
  </si>
  <si>
    <t>Jun 2024</t>
  </si>
  <si>
    <t>Jul 2024</t>
  </si>
  <si>
    <t>Aug 2024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</si>
  <si>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</si>
  <si>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</si>
  <si>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</si>
  <si>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</si>
  <si>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</si>
  <si>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</si>
  <si>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</si>
  <si>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</si>
  <si>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</si>
  <si>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</si>
  <si>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</si>
  <si>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</si>
  <si>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</si>
  <si>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</si>
  <si>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</si>
  <si>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Monthly Expenses by IPC Category - Source for Personal Category Index</t>
  </si>
  <si>
    <t>SUM total</t>
  </si>
  <si>
    <t>Suma total</t>
  </si>
  <si>
    <t>202405</t>
  </si>
  <si>
    <t>202406</t>
  </si>
  <si>
    <t>202407</t>
  </si>
  <si>
    <t>202408</t>
  </si>
  <si>
    <t>202409</t>
  </si>
  <si>
    <t>202410</t>
  </si>
  <si>
    <t>202411</t>
  </si>
  <si>
    <t>202412</t>
  </si>
  <si>
    <t>202501</t>
  </si>
  <si>
    <t>202502</t>
  </si>
  <si>
    <t>202503</t>
  </si>
  <si>
    <t>202504</t>
  </si>
  <si>
    <t>202505</t>
  </si>
  <si>
    <t>202506</t>
  </si>
  <si>
    <t>202507</t>
  </si>
  <si>
    <t>202508</t>
  </si>
  <si>
    <t>202509</t>
  </si>
  <si>
    <t>202510</t>
  </si>
  <si>
    <t>202511</t>
  </si>
  <si>
    <t>Personal Category Index</t>
  </si>
  <si>
    <t>IPC Category Index</t>
  </si>
  <si>
    <t>Category Performance Summary: Personal vs IPC (Nov 2025)</t>
  </si>
  <si>
    <t>personal_index_final</t>
  </si>
  <si>
    <t>ipc_index_final</t>
  </si>
  <si>
    <t>categories_above_inflation</t>
  </si>
  <si>
    <t>categories_below_inflation</t>
  </si>
  <si>
    <t>biggest_overspend_category</t>
  </si>
  <si>
    <t>biggest_underspend_category</t>
  </si>
  <si>
    <t xml:space="preserve">  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</si>
  <si>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</si>
  <si>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</si>
  <si>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</si>
  <si>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</si>
  <si>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</si>
  <si>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</si>
  <si>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</si>
  <si>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</si>
  <si>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February</t>
  </si>
  <si>
    <t>March</t>
  </si>
  <si>
    <t>April</t>
  </si>
  <si>
    <t>May 2</t>
  </si>
  <si>
    <t>June 2</t>
  </si>
  <si>
    <t>July 2</t>
  </si>
  <si>
    <t>August 2</t>
  </si>
  <si>
    <t>September 2</t>
  </si>
  <si>
    <t>October 2</t>
  </si>
  <si>
    <t>November 2</t>
  </si>
  <si>
    <t>Name</t>
  </si>
  <si>
    <t>Category</t>
  </si>
  <si>
    <t>Total</t>
  </si>
  <si>
    <t>Created</t>
  </si>
  <si>
    <t>Married Save</t>
  </si>
  <si>
    <t>Saves</t>
  </si>
  <si>
    <t>ARS 150,000.00</t>
  </si>
  <si>
    <t>May 5, 2024 8:29 PM</t>
  </si>
  <si>
    <t>Otros</t>
  </si>
  <si>
    <t>Splitwise otros</t>
  </si>
  <si>
    <t>ARS 46,000.00</t>
  </si>
  <si>
    <t>Food</t>
  </si>
  <si>
    <t>Splitwise food</t>
  </si>
  <si>
    <t>ARS 24,000.00</t>
  </si>
  <si>
    <t>May 5, 2024 8:39 PM</t>
  </si>
  <si>
    <t>Personal Save</t>
  </si>
  <si>
    <t>ARS 100,000.00</t>
  </si>
  <si>
    <t>May 5, 2024 11:10 PM</t>
  </si>
  <si>
    <t>Personal</t>
  </si>
  <si>
    <t>ARS 200,000.00</t>
  </si>
  <si>
    <t>May 5, 2024 11:16 PM</t>
  </si>
  <si>
    <t>Services</t>
  </si>
  <si>
    <t>ARS 21,500.00</t>
  </si>
  <si>
    <t>May 6, 2024 12:47 PM</t>
  </si>
  <si>
    <t>Car</t>
  </si>
  <si>
    <t>ARS 31,000.00</t>
  </si>
  <si>
    <t>May 6, 2024 12:56 PM</t>
  </si>
  <si>
    <t>Mascotas</t>
  </si>
  <si>
    <t>ARS 16,000.00</t>
  </si>
  <si>
    <t>May 6, 2024 1:49 PM</t>
  </si>
  <si>
    <t>Servicio</t>
  </si>
  <si>
    <t>Basic Services</t>
  </si>
  <si>
    <t>Servicio Básico</t>
  </si>
  <si>
    <t>Auto</t>
  </si>
  <si>
    <t>Car Expenses</t>
  </si>
  <si>
    <t>Ropa</t>
  </si>
  <si>
    <t>Clothing</t>
  </si>
  <si>
    <t>Ropa/Accesorios</t>
  </si>
  <si>
    <t>Donación</t>
  </si>
  <si>
    <t>Donation</t>
  </si>
  <si>
    <t>Educación</t>
  </si>
  <si>
    <t>Regalos</t>
  </si>
  <si>
    <t>Gifts</t>
  </si>
  <si>
    <t>Comida</t>
  </si>
  <si>
    <t>Groceries</t>
  </si>
  <si>
    <t>Supermercado</t>
  </si>
  <si>
    <t>Salud</t>
  </si>
  <si>
    <t>Healthcare</t>
  </si>
  <si>
    <t>Home</t>
  </si>
  <si>
    <t>Home Goods &amp; Utilities</t>
  </si>
  <si>
    <t>Libreria</t>
  </si>
  <si>
    <t>Arreglos Casa</t>
  </si>
  <si>
    <t>Deco/Insumos</t>
  </si>
  <si>
    <t>Comida medio dia</t>
  </si>
  <si>
    <t>Lunch Out</t>
  </si>
  <si>
    <t>Comida MD</t>
  </si>
  <si>
    <t>Bienestar</t>
  </si>
  <si>
    <t>Personal Care</t>
  </si>
  <si>
    <t>Bendis</t>
  </si>
  <si>
    <t>Pets</t>
  </si>
  <si>
    <t>Evento</t>
  </si>
  <si>
    <t>Recreation</t>
  </si>
  <si>
    <t>Recreación</t>
  </si>
  <si>
    <t>Alquiler y Expensas</t>
  </si>
  <si>
    <t>Rent &amp; Utilities</t>
  </si>
  <si>
    <t>Restaurante</t>
  </si>
  <si>
    <t>Restaurant / Café</t>
  </si>
  <si>
    <t>Resto/Cafe</t>
  </si>
  <si>
    <t>Deporte</t>
  </si>
  <si>
    <t>Sports</t>
  </si>
  <si>
    <t>Streaming</t>
  </si>
  <si>
    <t>Streaming Services</t>
  </si>
  <si>
    <t>Transporte</t>
  </si>
  <si>
    <t>Transportation</t>
  </si>
  <si>
    <t>Tarjeta crédito</t>
  </si>
  <si>
    <t>Credit Card</t>
  </si>
  <si>
    <t>Tarjeta débito</t>
  </si>
  <si>
    <t>Debit Card</t>
  </si>
  <si>
    <t>Pago compartido</t>
  </si>
  <si>
    <t>Split Payment</t>
  </si>
  <si>
    <t>Billetera virtual</t>
  </si>
  <si>
    <t>Virtual Wallet</t>
  </si>
  <si>
    <t>Billetera digital</t>
  </si>
  <si>
    <t>Digital Wallet</t>
  </si>
  <si>
    <t>Transferencia bancaria</t>
  </si>
  <si>
    <t>Bank Transfer</t>
  </si>
  <si>
    <t>Efectivo</t>
  </si>
  <si>
    <t>Cash</t>
  </si>
  <si>
    <t>Categories</t>
  </si>
  <si>
    <t>IPC Español</t>
  </si>
  <si>
    <t>IPC English</t>
  </si>
  <si>
    <t>Vivienda, agua, electricidad, gas y otros combustibles</t>
  </si>
  <si>
    <t>Prendas de vestir y calzado</t>
  </si>
  <si>
    <t>Alimentos y bebidas no alcohólicas</t>
  </si>
  <si>
    <t>Equipamiento y mantenimiento del hogar</t>
  </si>
  <si>
    <t>Restaurantes y hoteles</t>
  </si>
  <si>
    <t>Bienes y servicios varios</t>
  </si>
  <si>
    <t>Recreación y cultura</t>
  </si>
  <si>
    <t>Codigo</t>
  </si>
  <si>
    <t>Descripcion</t>
  </si>
  <si>
    <t>Clasificador</t>
  </si>
  <si>
    <t>Periodo</t>
  </si>
  <si>
    <t>Indice_IPC</t>
  </si>
  <si>
    <t>v_m_IPC</t>
  </si>
  <si>
    <t>v_i_a_IPC</t>
  </si>
  <si>
    <t>Region</t>
  </si>
  <si>
    <t>0</t>
  </si>
  <si>
    <t>NIVEL GENERAL</t>
  </si>
  <si>
    <t>Nivel general y divisiones COICOP</t>
  </si>
  <si>
    <t>201612</t>
  </si>
  <si>
    <t>100</t>
  </si>
  <si>
    <t>NA</t>
  </si>
  <si>
    <t>GBA</t>
  </si>
  <si>
    <t>Pampeana</t>
  </si>
  <si>
    <t>Noreste</t>
  </si>
  <si>
    <t>Noroeste</t>
  </si>
  <si>
    <t>Cuyo</t>
  </si>
  <si>
    <t>Patagonia</t>
  </si>
  <si>
    <t>Nacional</t>
  </si>
  <si>
    <t>01</t>
  </si>
  <si>
    <t>02</t>
  </si>
  <si>
    <t>Bebidas alcohólicas y tabaco</t>
  </si>
  <si>
    <t>03</t>
  </si>
  <si>
    <t>04</t>
  </si>
  <si>
    <t>05</t>
  </si>
  <si>
    <t>06</t>
  </si>
  <si>
    <t>07</t>
  </si>
  <si>
    <t>08</t>
  </si>
  <si>
    <t>Comunicación</t>
  </si>
  <si>
    <t>09</t>
  </si>
  <si>
    <t>10</t>
  </si>
  <si>
    <t>11</t>
  </si>
  <si>
    <t>12</t>
  </si>
  <si>
    <t>Estacional</t>
  </si>
  <si>
    <t>Categorias</t>
  </si>
  <si>
    <t>Núcleo</t>
  </si>
  <si>
    <t>Regulados</t>
  </si>
  <si>
    <t>B</t>
  </si>
  <si>
    <t>Bienes y servicios</t>
  </si>
  <si>
    <t>S</t>
  </si>
  <si>
    <t>201701</t>
  </si>
  <si>
    <t>101,313</t>
  </si>
  <si>
    <t>1,3</t>
  </si>
  <si>
    <t>101,7874</t>
  </si>
  <si>
    <t>1,8</t>
  </si>
  <si>
    <t>101,6727</t>
  </si>
  <si>
    <t>1,7</t>
  </si>
  <si>
    <t>101,6014</t>
  </si>
  <si>
    <t>1,6</t>
  </si>
  <si>
    <t>101,7074</t>
  </si>
  <si>
    <t>102,5593</t>
  </si>
  <si>
    <t>2,6</t>
  </si>
  <si>
    <t>101,5859</t>
  </si>
  <si>
    <t>101,3069</t>
  </si>
  <si>
    <t>101,3185</t>
  </si>
  <si>
    <t>101,7326</t>
  </si>
  <si>
    <t>101,0322</t>
  </si>
  <si>
    <t>1</t>
  </si>
  <si>
    <t>101,4532</t>
  </si>
  <si>
    <t>1,5</t>
  </si>
  <si>
    <t>100,9464</t>
  </si>
  <si>
    <t>0,9</t>
  </si>
  <si>
    <t>101,3024</t>
  </si>
  <si>
    <t>100,5008</t>
  </si>
  <si>
    <t>0,5</t>
  </si>
  <si>
    <t>101,3123</t>
  </si>
  <si>
    <t>100,7754</t>
  </si>
  <si>
    <t>0,8</t>
  </si>
  <si>
    <t>101,3444</t>
  </si>
  <si>
    <t>101,3446</t>
  </si>
  <si>
    <t>101,1901</t>
  </si>
  <si>
    <t>1,2</t>
  </si>
  <si>
    <t>100,925</t>
  </si>
  <si>
    <t>97,8719</t>
  </si>
  <si>
    <t>-2,1</t>
  </si>
  <si>
    <t>99,6481</t>
  </si>
  <si>
    <t>-0,4</t>
  </si>
  <si>
    <t>100,2847</t>
  </si>
  <si>
    <t>0,3</t>
  </si>
  <si>
    <t>100,483</t>
  </si>
  <si>
    <t>99,8901</t>
  </si>
  <si>
    <t>-0,1</t>
  </si>
  <si>
    <t>100,9137</t>
  </si>
  <si>
    <t>99,0066</t>
  </si>
  <si>
    <t>-1</t>
  </si>
  <si>
    <t>99,9812</t>
  </si>
  <si>
    <t>102,225</t>
  </si>
  <si>
    <t>2,2</t>
  </si>
  <si>
    <t>101,394</t>
  </si>
  <si>
    <t>1,4</t>
  </si>
  <si>
    <t>101,5904</t>
  </si>
  <si>
    <t>102,9333</t>
  </si>
  <si>
    <t>2,9</t>
  </si>
  <si>
    <t>110,3184</t>
  </si>
  <si>
    <t>10,3</t>
  </si>
  <si>
    <t>101,4784</t>
  </si>
  <si>
    <t>100,8651</t>
  </si>
  <si>
    <t>100,8374</t>
  </si>
  <si>
    <t>101,4132</t>
  </si>
  <si>
    <t>100,4121</t>
  </si>
  <si>
    <t>0,4</t>
  </si>
  <si>
    <t>101,2098</t>
  </si>
  <si>
    <t>101,0684</t>
  </si>
  <si>
    <t>1,1</t>
  </si>
  <si>
    <t>100,8773</t>
  </si>
  <si>
    <t>101,3559</t>
  </si>
  <si>
    <t>103,1538</t>
  </si>
  <si>
    <t>3,2</t>
  </si>
  <si>
    <t>102,5966</t>
  </si>
  <si>
    <t>102,7132</t>
  </si>
  <si>
    <t>2,7</t>
  </si>
  <si>
    <t>103,1395</t>
  </si>
  <si>
    <t>3,1</t>
  </si>
  <si>
    <t>104,7253</t>
  </si>
  <si>
    <t>4,7</t>
  </si>
  <si>
    <t>102,3501</t>
  </si>
  <si>
    <t>2,4</t>
  </si>
  <si>
    <t>101,7583</t>
  </si>
  <si>
    <t>102,4339</t>
  </si>
  <si>
    <t>100,3463</t>
  </si>
  <si>
    <t>102,928</t>
  </si>
  <si>
    <t>102,6271</t>
  </si>
  <si>
    <t>102,4768</t>
  </si>
  <si>
    <t>2,5</t>
  </si>
  <si>
    <t>102,0755</t>
  </si>
  <si>
    <t>2,1</t>
  </si>
  <si>
    <t>103,8174</t>
  </si>
  <si>
    <t>3,8</t>
  </si>
  <si>
    <t>102,0782</t>
  </si>
  <si>
    <t>102,7252</t>
  </si>
  <si>
    <t>104,1098</t>
  </si>
  <si>
    <t>4,1</t>
  </si>
  <si>
    <t>102,7973</t>
  </si>
  <si>
    <t>2,8</t>
  </si>
  <si>
    <t>101,6649</t>
  </si>
  <si>
    <t>103,0516</t>
  </si>
  <si>
    <t>103,243</t>
  </si>
  <si>
    <t>103,5814</t>
  </si>
  <si>
    <t>3,6</t>
  </si>
  <si>
    <t>103,633</t>
  </si>
  <si>
    <t>103,4112</t>
  </si>
  <si>
    <t>3,4</t>
  </si>
  <si>
    <t>101,494</t>
  </si>
  <si>
    <t>100,9612</t>
  </si>
  <si>
    <t>103,1906</t>
  </si>
  <si>
    <t>100,4869</t>
  </si>
  <si>
    <t>100,3682</t>
  </si>
  <si>
    <t>101,6601</t>
  </si>
  <si>
    <t>100,5123</t>
  </si>
  <si>
    <t>106,9917</t>
  </si>
  <si>
    <t>7</t>
  </si>
  <si>
    <t>100,7952</t>
  </si>
  <si>
    <t>103,2868</t>
  </si>
  <si>
    <t>3,3</t>
  </si>
  <si>
    <t>103,1259</t>
  </si>
  <si>
    <t>104,2939</t>
  </si>
  <si>
    <t>4,3</t>
  </si>
  <si>
    <t>102,48</t>
  </si>
  <si>
    <t>101,8587</t>
  </si>
  <si>
    <t>1,9</t>
  </si>
  <si>
    <t>102,2654</t>
  </si>
  <si>
    <t>2,3</t>
  </si>
  <si>
    <t>103,1002</t>
  </si>
  <si>
    <t>102,117</t>
  </si>
  <si>
    <t>101,5745</t>
  </si>
  <si>
    <t>102,0562</t>
  </si>
  <si>
    <t>102,0385</t>
  </si>
  <si>
    <t>2</t>
  </si>
  <si>
    <t>102,0274</t>
  </si>
  <si>
    <t>102,4839</t>
  </si>
  <si>
    <t>101,9345</t>
  </si>
  <si>
    <t>101,5562</t>
  </si>
  <si>
    <t>102,0904</t>
  </si>
  <si>
    <t>102,4771</t>
  </si>
  <si>
    <t>101,5611</t>
  </si>
  <si>
    <t>100,6608</t>
  </si>
  <si>
    <t>0,7</t>
  </si>
  <si>
    <t>100,6843</t>
  </si>
  <si>
    <t>101,6969</t>
  </si>
  <si>
    <t>101,3389</t>
  </si>
  <si>
    <t>101,6093</t>
  </si>
  <si>
    <t>101,8639</t>
  </si>
  <si>
    <t>101,4339</t>
  </si>
  <si>
    <t>101,7235</t>
  </si>
  <si>
    <t>101,8374</t>
  </si>
  <si>
    <t>101,5039</t>
  </si>
  <si>
    <t>101,1274</t>
  </si>
  <si>
    <t>102,2331</t>
  </si>
  <si>
    <t>100,3476</t>
  </si>
  <si>
    <t>102,2777</t>
  </si>
  <si>
    <t>102,2456</t>
  </si>
  <si>
    <t>106,1556</t>
  </si>
  <si>
    <t>6,2</t>
  </si>
  <si>
    <t>101,8183</t>
  </si>
  <si>
    <t>101,0205</t>
  </si>
  <si>
    <t>101,3226</t>
  </si>
  <si>
    <t>101,4038</t>
  </si>
  <si>
    <t>101,2813</t>
  </si>
  <si>
    <t>101,3682</t>
  </si>
  <si>
    <t>101,3114</t>
  </si>
  <si>
    <t>101,1903</t>
  </si>
  <si>
    <t>101,7397</t>
  </si>
  <si>
    <t>102,8784</t>
  </si>
  <si>
    <t>102,5939</t>
  </si>
  <si>
    <t>102,5706</t>
  </si>
  <si>
    <t>102,5472</t>
  </si>
  <si>
    <t>105,6557</t>
  </si>
  <si>
    <t>5,7</t>
  </si>
  <si>
    <t>102,4355</t>
  </si>
  <si>
    <t>201702</t>
  </si>
  <si>
    <t>103,8085</t>
  </si>
  <si>
    <t>103,5312</t>
  </si>
  <si>
    <t>103,4617</t>
  </si>
  <si>
    <t>103,7115</t>
  </si>
  <si>
    <t>103,2652</t>
  </si>
  <si>
    <t>104,2827</t>
  </si>
  <si>
    <t>103,6859</t>
  </si>
  <si>
    <t>103,1646</t>
  </si>
  <si>
    <t>103,0905</t>
  </si>
  <si>
    <t>103,3712</t>
  </si>
  <si>
    <t>103,8789</t>
  </si>
  <si>
    <t>103,2726</t>
  </si>
  <si>
    <t>102,2499</t>
  </si>
  <si>
    <t>103,1605</t>
  </si>
  <si>
    <t>105,4806</t>
  </si>
  <si>
    <t>5</t>
  </si>
  <si>
    <t>105,2329</t>
  </si>
  <si>
    <t>3,9</t>
  </si>
  <si>
    <t>104,2784</t>
  </si>
  <si>
    <t>3,5</t>
  </si>
  <si>
    <t>105,4591</t>
  </si>
  <si>
    <t>103,6784</t>
  </si>
  <si>
    <t>105,356</t>
  </si>
  <si>
    <t>105,2395</t>
  </si>
  <si>
    <t>97,4253</t>
  </si>
  <si>
    <t>-0,5</t>
  </si>
  <si>
    <t>99,9319</t>
  </si>
  <si>
    <t>100,4291</t>
  </si>
  <si>
    <t>0,1</t>
  </si>
  <si>
    <t>100,4131</t>
  </si>
  <si>
    <t>97,6569</t>
  </si>
  <si>
    <t>-2,2</t>
  </si>
  <si>
    <t>102,3756</t>
  </si>
  <si>
    <t>98,8523</t>
  </si>
  <si>
    <t>-0,2</t>
  </si>
  <si>
    <t>108,4042</t>
  </si>
  <si>
    <t>8,4</t>
  </si>
  <si>
    <t>104,5783</t>
  </si>
  <si>
    <t>103,9854</t>
  </si>
  <si>
    <t>107,6923</t>
  </si>
  <si>
    <t>6</t>
  </si>
  <si>
    <t>106,7382</t>
  </si>
  <si>
    <t>3,7</t>
  </si>
  <si>
    <t>112,0198</t>
  </si>
  <si>
    <t>107,0014</t>
  </si>
  <si>
    <t>5,4</t>
  </si>
  <si>
    <t>101,2178</t>
  </si>
  <si>
    <t>101,5404</t>
  </si>
  <si>
    <t>101,7747</t>
  </si>
  <si>
    <t>100,6545</t>
  </si>
  <si>
    <t>0,2</t>
  </si>
  <si>
    <t>101,4084</t>
  </si>
  <si>
    <t>101,2819</t>
  </si>
  <si>
    <t>101,3278</t>
  </si>
  <si>
    <t>104,6961</t>
  </si>
  <si>
    <t>105,4773</t>
  </si>
  <si>
    <t>105,2343</t>
  </si>
  <si>
    <t>104,0851</t>
  </si>
  <si>
    <t>105,4921</t>
  </si>
  <si>
    <t>107,0073</t>
  </si>
  <si>
    <t>105,0852</t>
  </si>
  <si>
    <t>103,5441</t>
  </si>
  <si>
    <t>104,4485</t>
  </si>
  <si>
    <t>101,2812</t>
  </si>
  <si>
    <t>105,5673</t>
  </si>
  <si>
    <t>105,0294</t>
  </si>
  <si>
    <t>104,4111</t>
  </si>
  <si>
    <t>103,9957</t>
  </si>
  <si>
    <t>108,0484</t>
  </si>
  <si>
    <t>106,7706</t>
  </si>
  <si>
    <t>4,6</t>
  </si>
  <si>
    <t>107,0976</t>
  </si>
  <si>
    <t>107,0784</t>
  </si>
  <si>
    <t>105,0927</t>
  </si>
  <si>
    <t>105,7368</t>
  </si>
  <si>
    <t>4</t>
  </si>
  <si>
    <t>107,2514</t>
  </si>
  <si>
    <t>103,3096</t>
  </si>
  <si>
    <t>104,5173</t>
  </si>
  <si>
    <t>105,6846</t>
  </si>
  <si>
    <t>103,4842</t>
  </si>
  <si>
    <t>103,0695</t>
  </si>
  <si>
    <t>102,5319</t>
  </si>
  <si>
    <t>103,7961</t>
  </si>
  <si>
    <t>0,6</t>
  </si>
  <si>
    <t>104,936</t>
  </si>
  <si>
    <t>4,4</t>
  </si>
  <si>
    <t>102,0178</t>
  </si>
  <si>
    <t>109,7825</t>
  </si>
  <si>
    <t>8</t>
  </si>
  <si>
    <t>102,8592</t>
  </si>
  <si>
    <t>102,6468</t>
  </si>
  <si>
    <t>106,687</t>
  </si>
  <si>
    <t>-0,3</t>
  </si>
  <si>
    <t>103,9808</t>
  </si>
  <si>
    <t>105,1373</t>
  </si>
  <si>
    <t>104,4851</t>
  </si>
  <si>
    <t>108,3164</t>
  </si>
  <si>
    <t>103,3877</t>
  </si>
  <si>
    <t>103,7947</t>
  </si>
  <si>
    <t>105,6675</t>
  </si>
  <si>
    <t>104,8886</t>
  </si>
  <si>
    <t>104,1416</t>
  </si>
  <si>
    <t>103,518</t>
  </si>
  <si>
    <t>103,2166</t>
  </si>
  <si>
    <t>103,5259</t>
  </si>
  <si>
    <t>103,145</t>
  </si>
  <si>
    <t>104,2815</t>
  </si>
  <si>
    <t>103,7951</t>
  </si>
  <si>
    <t>102,0783</t>
  </si>
  <si>
    <t>102,6254</t>
  </si>
  <si>
    <t>104,0713</t>
  </si>
  <si>
    <t>103,5611</t>
  </si>
  <si>
    <t>100,3694</t>
  </si>
  <si>
    <t>101,174</t>
  </si>
  <si>
    <t>102,3345</t>
  </si>
  <si>
    <t>103,2097</t>
  </si>
  <si>
    <t>103,1957</t>
  </si>
  <si>
    <t>103,4466</t>
  </si>
  <si>
    <t>102,9705</t>
  </si>
  <si>
    <t>103,1488</t>
  </si>
  <si>
    <t>103,524</t>
  </si>
  <si>
    <t>103,2105</t>
  </si>
  <si>
    <t>106,3489</t>
  </si>
  <si>
    <t>5,2</t>
  </si>
  <si>
    <t>105,2868</t>
  </si>
  <si>
    <t>3</t>
  </si>
  <si>
    <t>103,0912</t>
  </si>
  <si>
    <t>106,6823</t>
  </si>
  <si>
    <t>105,2775</t>
  </si>
  <si>
    <t>108,7652</t>
  </si>
  <si>
    <t>105,9316</t>
  </si>
  <si>
    <t>102,4793</t>
  </si>
  <si>
    <t>102,8947</t>
  </si>
  <si>
    <t>102,8653</t>
  </si>
  <si>
    <t>103,1504</t>
  </si>
  <si>
    <t>102,4916</t>
  </si>
  <si>
    <t>102,8027</t>
  </si>
  <si>
    <t>102,7002</t>
  </si>
  <si>
    <t>105,7472</t>
  </si>
  <si>
    <t>105,025</t>
  </si>
  <si>
    <t>105,5049</t>
  </si>
  <si>
    <t>105,4103</t>
  </si>
  <si>
    <t>105,1807</t>
  </si>
  <si>
    <t>107,955</t>
  </si>
  <si>
    <t>105,5426</t>
  </si>
  <si>
    <t>201703</t>
  </si>
  <si>
    <t>106,2627</t>
  </si>
  <si>
    <t>105,8173</t>
  </si>
  <si>
    <t>105,988</t>
  </si>
  <si>
    <t>107,055</t>
  </si>
  <si>
    <t>105,9238</t>
  </si>
  <si>
    <t>106,5167</t>
  </si>
  <si>
    <t>106,1476</t>
  </si>
  <si>
    <t>106,7878</t>
  </si>
  <si>
    <t>105,4796</t>
  </si>
  <si>
    <t>105,0298</t>
  </si>
  <si>
    <t>105,9988</t>
  </si>
  <si>
    <t>105,6107</t>
  </si>
  <si>
    <t>103,9781</t>
  </si>
  <si>
    <t>106,0143</t>
  </si>
  <si>
    <t>107,1121</t>
  </si>
  <si>
    <t>107,7278</t>
  </si>
  <si>
    <t>106,3092</t>
  </si>
  <si>
    <t>107,1161</t>
  </si>
  <si>
    <t>107,6177</t>
  </si>
  <si>
    <t>106,5579</t>
  </si>
  <si>
    <t>107,2901</t>
  </si>
  <si>
    <t>102,0665</t>
  </si>
  <si>
    <t>4,8</t>
  </si>
  <si>
    <t>102,397</t>
  </si>
  <si>
    <t>103,2313</t>
  </si>
  <si>
    <t>102,2209</t>
  </si>
  <si>
    <t>99,9659</t>
  </si>
  <si>
    <t>104,7865</t>
  </si>
  <si>
    <t>102,255</t>
  </si>
  <si>
    <t>110,7756</t>
  </si>
  <si>
    <t>107,7477</t>
  </si>
  <si>
    <t>113,2471</t>
  </si>
  <si>
    <t>8,9</t>
  </si>
  <si>
    <t>121,3727</t>
  </si>
  <si>
    <t>12,7</t>
  </si>
  <si>
    <t>111,8642</t>
  </si>
  <si>
    <t>115,3729</t>
  </si>
  <si>
    <t>110,8463</t>
  </si>
  <si>
    <t>102,1399</t>
  </si>
  <si>
    <t>102,0686</t>
  </si>
  <si>
    <t>103,1742</t>
  </si>
  <si>
    <t>102,0194</t>
  </si>
  <si>
    <t>102,4367</t>
  </si>
  <si>
    <t>102,3074</t>
  </si>
  <si>
    <t>102,1787</t>
  </si>
  <si>
    <t>106,6572</t>
  </si>
  <si>
    <t>107,4786</t>
  </si>
  <si>
    <t>107,6407</t>
  </si>
  <si>
    <t>107,044</t>
  </si>
  <si>
    <t>107,5537</t>
  </si>
  <si>
    <t>108,7254</t>
  </si>
  <si>
    <t>107,1422</t>
  </si>
  <si>
    <t>104,5685</t>
  </si>
  <si>
    <t>105,7104</t>
  </si>
  <si>
    <t>102,3716</t>
  </si>
  <si>
    <t>106,4422</t>
  </si>
  <si>
    <t>107,7578</t>
  </si>
  <si>
    <t>106,3107</t>
  </si>
  <si>
    <t>105,2177</t>
  </si>
  <si>
    <t>110,6652</t>
  </si>
  <si>
    <t>110,9914</t>
  </si>
  <si>
    <t>110,7662</t>
  </si>
  <si>
    <t>113,163</t>
  </si>
  <si>
    <t>108,0971</t>
  </si>
  <si>
    <t>107,843</t>
  </si>
  <si>
    <t>110,6933</t>
  </si>
  <si>
    <t>104,8017</t>
  </si>
  <si>
    <t>106,5045</t>
  </si>
  <si>
    <t>105,7406</t>
  </si>
  <si>
    <t>105,1461</t>
  </si>
  <si>
    <t>105,7508</t>
  </si>
  <si>
    <t>105,026</t>
  </si>
  <si>
    <t>105,5114</t>
  </si>
  <si>
    <t>111,9338</t>
  </si>
  <si>
    <t>6,7</t>
  </si>
  <si>
    <t>114,7719</t>
  </si>
  <si>
    <t>12,5</t>
  </si>
  <si>
    <t>123,958</t>
  </si>
  <si>
    <t>12,9</t>
  </si>
  <si>
    <t>130,753</t>
  </si>
  <si>
    <t>27,1</t>
  </si>
  <si>
    <t>112,7186</t>
  </si>
  <si>
    <t>9,8</t>
  </si>
  <si>
    <t>123,3177</t>
  </si>
  <si>
    <t>15,6</t>
  </si>
  <si>
    <t>115,3409</t>
  </si>
  <si>
    <t>10,9</t>
  </si>
  <si>
    <t>106,1813</t>
  </si>
  <si>
    <t>105,6069</t>
  </si>
  <si>
    <t>110,4746</t>
  </si>
  <si>
    <t>105,0341</t>
  </si>
  <si>
    <t>104,0537</t>
  </si>
  <si>
    <t>105,4631</t>
  </si>
  <si>
    <t>105,9567</t>
  </si>
  <si>
    <t>105,5869</t>
  </si>
  <si>
    <t>105,8309</t>
  </si>
  <si>
    <t>104,5375</t>
  </si>
  <si>
    <t>105,685</t>
  </si>
  <si>
    <t>105,5914</t>
  </si>
  <si>
    <t>106,397</t>
  </si>
  <si>
    <t>105,6633</t>
  </si>
  <si>
    <t>105,879</t>
  </si>
  <si>
    <t>104,1769</t>
  </si>
  <si>
    <t>104,9091</t>
  </si>
  <si>
    <t>104,2786</t>
  </si>
  <si>
    <t>102,0721</t>
  </si>
  <si>
    <t>102,5219</t>
  </si>
  <si>
    <t>104,7868</t>
  </si>
  <si>
    <t>105,0891</t>
  </si>
  <si>
    <t>105,3123</t>
  </si>
  <si>
    <t>105,4076</t>
  </si>
  <si>
    <t>105,264</t>
  </si>
  <si>
    <t>105,2127</t>
  </si>
  <si>
    <t>105,2611</t>
  </si>
  <si>
    <t>105,2057</t>
  </si>
  <si>
    <t>109,8871</t>
  </si>
  <si>
    <t>108,6317</t>
  </si>
  <si>
    <t>109,0469</t>
  </si>
  <si>
    <t>5,8</t>
  </si>
  <si>
    <t>115,9572</t>
  </si>
  <si>
    <t>8,7</t>
  </si>
  <si>
    <t>110,4082</t>
  </si>
  <si>
    <t>4,9</t>
  </si>
  <si>
    <t>113,2246</t>
  </si>
  <si>
    <t>110,0057</t>
  </si>
  <si>
    <t>105,1793</t>
  </si>
  <si>
    <t>104,8798</t>
  </si>
  <si>
    <t>104,7201</t>
  </si>
  <si>
    <t>104,9863</t>
  </si>
  <si>
    <t>104,6885</t>
  </si>
  <si>
    <t>104,3918</t>
  </si>
  <si>
    <t>104,9817</t>
  </si>
  <si>
    <t>107,8429</t>
  </si>
  <si>
    <t>108,0176</t>
  </si>
  <si>
    <t>110,3317</t>
  </si>
  <si>
    <t>113,3175</t>
  </si>
  <si>
    <t>7,5</t>
  </si>
  <si>
    <t>108,9825</t>
  </si>
  <si>
    <t>111,7894</t>
  </si>
  <si>
    <t>108,6229</t>
  </si>
  <si>
    <t>201704</t>
  </si>
  <si>
    <t>109,0613</t>
  </si>
  <si>
    <t>108,6912</t>
  </si>
  <si>
    <t>108,3473</t>
  </si>
  <si>
    <t>109,9626</t>
  </si>
  <si>
    <t>109,4506</t>
  </si>
  <si>
    <t>108,6517</t>
  </si>
  <si>
    <t>108,9667</t>
  </si>
  <si>
    <t>109,2144</t>
  </si>
  <si>
    <t>107,6223</t>
  </si>
  <si>
    <t>107,9352</t>
  </si>
  <si>
    <t>108,3813</t>
  </si>
  <si>
    <t>108,662</t>
  </si>
  <si>
    <t>105,4772</t>
  </si>
  <si>
    <t>108,3515</t>
  </si>
  <si>
    <t>109,5812</t>
  </si>
  <si>
    <t>110,2615</t>
  </si>
  <si>
    <t>109,4168</t>
  </si>
  <si>
    <t>109,2687</t>
  </si>
  <si>
    <t>110,4164</t>
  </si>
  <si>
    <t>109,665</t>
  </si>
  <si>
    <t>109,8338</t>
  </si>
  <si>
    <t>107,2381</t>
  </si>
  <si>
    <t>5,1</t>
  </si>
  <si>
    <t>107,7653</t>
  </si>
  <si>
    <t>103,2573</t>
  </si>
  <si>
    <t>105,8574</t>
  </si>
  <si>
    <t>103,6297</t>
  </si>
  <si>
    <t>105,76</t>
  </si>
  <si>
    <t>106,8806</t>
  </si>
  <si>
    <t>4,5</t>
  </si>
  <si>
    <t>115,889</t>
  </si>
  <si>
    <t>115,7988</t>
  </si>
  <si>
    <t>116,5835</t>
  </si>
  <si>
    <t>131,8395</t>
  </si>
  <si>
    <t>8,6</t>
  </si>
  <si>
    <t>122,532</t>
  </si>
  <si>
    <t>9,5</t>
  </si>
  <si>
    <t>119,3459</t>
  </si>
  <si>
    <t>117,4108</t>
  </si>
  <si>
    <t>5,9</t>
  </si>
  <si>
    <t>103,1802</t>
  </si>
  <si>
    <t>103,234</t>
  </si>
  <si>
    <t>104,9504</t>
  </si>
  <si>
    <t>103,1266</t>
  </si>
  <si>
    <t>103,4704</t>
  </si>
  <si>
    <t>103,6556</t>
  </si>
  <si>
    <t>103,3147</t>
  </si>
  <si>
    <t>108,1913</t>
  </si>
  <si>
    <t>109,6556</t>
  </si>
  <si>
    <t>110,3274</t>
  </si>
  <si>
    <t>109,2143</t>
  </si>
  <si>
    <t>109,9679</t>
  </si>
  <si>
    <t>110,6841</t>
  </si>
  <si>
    <t>109,052</t>
  </si>
  <si>
    <t>105,0876</t>
  </si>
  <si>
    <t>106,4751</t>
  </si>
  <si>
    <t>102,8986</t>
  </si>
  <si>
    <t>106,9891</t>
  </si>
  <si>
    <t>108,5852</t>
  </si>
  <si>
    <t>107,5492</t>
  </si>
  <si>
    <t>105,8674</t>
  </si>
  <si>
    <t>118,2386</t>
  </si>
  <si>
    <t>6,8</t>
  </si>
  <si>
    <t>118,1294</t>
  </si>
  <si>
    <t>6,4</t>
  </si>
  <si>
    <t>120,0581</t>
  </si>
  <si>
    <t>120,6617</t>
  </si>
  <si>
    <t>6,6</t>
  </si>
  <si>
    <t>117,3494</t>
  </si>
  <si>
    <t>115,2587</t>
  </si>
  <si>
    <t>6,9</t>
  </si>
  <si>
    <t>118,2686</t>
  </si>
  <si>
    <t>108,3531</t>
  </si>
  <si>
    <t>108,1603</t>
  </si>
  <si>
    <t>109,1455</t>
  </si>
  <si>
    <t>107,7095</t>
  </si>
  <si>
    <t>108,008</t>
  </si>
  <si>
    <t>108,9559</t>
  </si>
  <si>
    <t>108,2881</t>
  </si>
  <si>
    <t>116,2786</t>
  </si>
  <si>
    <t>116,8585</t>
  </si>
  <si>
    <t>125,2085</t>
  </si>
  <si>
    <t>131,7883</t>
  </si>
  <si>
    <t>123,0399</t>
  </si>
  <si>
    <t>9,2</t>
  </si>
  <si>
    <t>123,6835</t>
  </si>
  <si>
    <t>118,6783</t>
  </si>
  <si>
    <t>108,3494</t>
  </si>
  <si>
    <t>107,5143</t>
  </si>
  <si>
    <t>110,876</t>
  </si>
  <si>
    <t>107,1572</t>
  </si>
  <si>
    <t>106,7437</t>
  </si>
  <si>
    <t>107,6891</t>
  </si>
  <si>
    <t>107,9795</t>
  </si>
  <si>
    <t>107,5817</t>
  </si>
  <si>
    <t>107,5104</t>
  </si>
  <si>
    <t>107,7262</t>
  </si>
  <si>
    <t>106,9473</t>
  </si>
  <si>
    <t>106,9862</t>
  </si>
  <si>
    <t>108,838</t>
  </si>
  <si>
    <t>107,5442</t>
  </si>
  <si>
    <t>108,5334</t>
  </si>
  <si>
    <t>108,5973</t>
  </si>
  <si>
    <t>4,2</t>
  </si>
  <si>
    <t>107,1165</t>
  </si>
  <si>
    <t>107,7699</t>
  </si>
  <si>
    <t>106,6856</t>
  </si>
  <si>
    <t>105,197</t>
  </si>
  <si>
    <t>108,1867</t>
  </si>
  <si>
    <t>107,4973</t>
  </si>
  <si>
    <t>107,3262</t>
  </si>
  <si>
    <t>107,5916</t>
  </si>
  <si>
    <t>107,4536</t>
  </si>
  <si>
    <t>107,6553</t>
  </si>
  <si>
    <t>107,0217</t>
  </si>
  <si>
    <t>107,427</t>
  </si>
  <si>
    <t>113,8991</t>
  </si>
  <si>
    <t>113,6053</t>
  </si>
  <si>
    <t>112,2076</t>
  </si>
  <si>
    <t>121,2229</t>
  </si>
  <si>
    <t>116,8444</t>
  </si>
  <si>
    <t>116,2906</t>
  </si>
  <si>
    <t>114,4649</t>
  </si>
  <si>
    <t>107,7352</t>
  </si>
  <si>
    <t>107,4127</t>
  </si>
  <si>
    <t>107,0962</t>
  </si>
  <si>
    <t>107,5219</t>
  </si>
  <si>
    <t>107,3683</t>
  </si>
  <si>
    <t>106,1844</t>
  </si>
  <si>
    <t>107,4919</t>
  </si>
  <si>
    <t>110,9956</t>
  </si>
  <si>
    <t>111,6916</t>
  </si>
  <si>
    <t>112,6336</t>
  </si>
  <si>
    <t>117,3518</t>
  </si>
  <si>
    <t>114,6064</t>
  </si>
  <si>
    <t>114,7737</t>
  </si>
  <si>
    <t>112,0904</t>
  </si>
  <si>
    <t>201705</t>
  </si>
  <si>
    <t>110,4607</t>
  </si>
  <si>
    <t>110,3005</t>
  </si>
  <si>
    <t>110,4331</t>
  </si>
  <si>
    <t>111,636</t>
  </si>
  <si>
    <t>111,3091</t>
  </si>
  <si>
    <t>110,4897</t>
  </si>
  <si>
    <t>110,5301</t>
  </si>
  <si>
    <t>110,3615</t>
  </si>
  <si>
    <t>109,1784</t>
  </si>
  <si>
    <t>109,8801</t>
  </si>
  <si>
    <t>109,5925</t>
  </si>
  <si>
    <t>110,5564</t>
  </si>
  <si>
    <t>107,5956</t>
  </si>
  <si>
    <t>109,7631</t>
  </si>
  <si>
    <t>111,639</t>
  </si>
  <si>
    <t>111,9322</t>
  </si>
  <si>
    <t>111,5329</t>
  </si>
  <si>
    <t>111,2548</t>
  </si>
  <si>
    <t>111,7646</t>
  </si>
  <si>
    <t>111,7105</t>
  </si>
  <si>
    <t>111,7182</t>
  </si>
  <si>
    <t>107,9072</t>
  </si>
  <si>
    <t>110,8815</t>
  </si>
  <si>
    <t>107,3624</t>
  </si>
  <si>
    <t>107,8263</t>
  </si>
  <si>
    <t>105,7716</t>
  </si>
  <si>
    <t>106,9611</t>
  </si>
  <si>
    <t>108,726</t>
  </si>
  <si>
    <t>118,0458</t>
  </si>
  <si>
    <t>117,1786</t>
  </si>
  <si>
    <t>117,776</t>
  </si>
  <si>
    <t>135,6425</t>
  </si>
  <si>
    <t>126,0123</t>
  </si>
  <si>
    <t>123,2025</t>
  </si>
  <si>
    <t>119,5207</t>
  </si>
  <si>
    <t>106,2886</t>
  </si>
  <si>
    <t>105,9881</t>
  </si>
  <si>
    <t>106,8457</t>
  </si>
  <si>
    <t>106,0504</t>
  </si>
  <si>
    <t>105,9601</t>
  </si>
  <si>
    <t>105,8478</t>
  </si>
  <si>
    <t>106,1577</t>
  </si>
  <si>
    <t>109,7879</t>
  </si>
  <si>
    <t>111,3292</t>
  </si>
  <si>
    <t>112,6649</t>
  </si>
  <si>
    <t>110,9083</t>
  </si>
  <si>
    <t>111,5318</t>
  </si>
  <si>
    <t>112,5553</t>
  </si>
  <si>
    <t>110,7256</t>
  </si>
  <si>
    <t>106,2149</t>
  </si>
  <si>
    <t>107,2349</t>
  </si>
  <si>
    <t>104,8915</t>
  </si>
  <si>
    <t>108,233</t>
  </si>
  <si>
    <t>109,0421</t>
  </si>
  <si>
    <t>108,0742</t>
  </si>
  <si>
    <t>106,8575</t>
  </si>
  <si>
    <t>118,1821</t>
  </si>
  <si>
    <t>119,2354</t>
  </si>
  <si>
    <t>120,4868</t>
  </si>
  <si>
    <t>120,8609</t>
  </si>
  <si>
    <t>117,3533</t>
  </si>
  <si>
    <t>115,391</t>
  </si>
  <si>
    <t>118,6553</t>
  </si>
  <si>
    <t>109,3191</t>
  </si>
  <si>
    <t>107,9732</t>
  </si>
  <si>
    <t>109,7089</t>
  </si>
  <si>
    <t>108,8826</t>
  </si>
  <si>
    <t>110,9068</t>
  </si>
  <si>
    <t>112,5688</t>
  </si>
  <si>
    <t>109,0808</t>
  </si>
  <si>
    <t>118,5362</t>
  </si>
  <si>
    <t>119,0889</t>
  </si>
  <si>
    <t>133,0204</t>
  </si>
  <si>
    <t>125,9261</t>
  </si>
  <si>
    <t>123,8872</t>
  </si>
  <si>
    <t>120,69</t>
  </si>
  <si>
    <t>109,4833</t>
  </si>
  <si>
    <t>109,6488</t>
  </si>
  <si>
    <t>114,1092</t>
  </si>
  <si>
    <t>109,0168</t>
  </si>
  <si>
    <t>107,5511</t>
  </si>
  <si>
    <t>107,9996</t>
  </si>
  <si>
    <t>109,5541</t>
  </si>
  <si>
    <t>110,1254</t>
  </si>
  <si>
    <t>108,1839</t>
  </si>
  <si>
    <t>109,1074</t>
  </si>
  <si>
    <t>109,8555</t>
  </si>
  <si>
    <t>108,9336</t>
  </si>
  <si>
    <t>108,0039</t>
  </si>
  <si>
    <t>110,4495</t>
  </si>
  <si>
    <t>109,2521</t>
  </si>
  <si>
    <t>109,1944</t>
  </si>
  <si>
    <t>109,9381</t>
  </si>
  <si>
    <t>107,3134</t>
  </si>
  <si>
    <t>109,0536</t>
  </si>
  <si>
    <t>109,2199</t>
  </si>
  <si>
    <t>109,0797</t>
  </si>
  <si>
    <t>109,8413</t>
  </si>
  <si>
    <t>109,0912</t>
  </si>
  <si>
    <t>109,5453</t>
  </si>
  <si>
    <t>109,1808</t>
  </si>
  <si>
    <t>109,2069</t>
  </si>
  <si>
    <t>115,2166</t>
  </si>
  <si>
    <t>114,551</t>
  </si>
  <si>
    <t>113,6091</t>
  </si>
  <si>
    <t>123,2123</t>
  </si>
  <si>
    <t>117,8142</t>
  </si>
  <si>
    <t>116,8725</t>
  </si>
  <si>
    <t>115,6559</t>
  </si>
  <si>
    <t>109,0355</t>
  </si>
  <si>
    <t>109,0799</t>
  </si>
  <si>
    <t>109,2778</t>
  </si>
  <si>
    <t>108,9673</t>
  </si>
  <si>
    <t>109,0697</t>
  </si>
  <si>
    <t>107,9532</t>
  </si>
  <si>
    <t>109,0098</t>
  </si>
  <si>
    <t>112,5395</t>
  </si>
  <si>
    <t>113,1651</t>
  </si>
  <si>
    <t>114,3912</t>
  </si>
  <si>
    <t>119,7151</t>
  </si>
  <si>
    <t>116,8542</t>
  </si>
  <si>
    <t>116,7836</t>
  </si>
  <si>
    <t>113,7331</t>
  </si>
  <si>
    <t>201706</t>
  </si>
  <si>
    <t>111,9943</t>
  </si>
  <si>
    <t>111,4058</t>
  </si>
  <si>
    <t>111,9403</t>
  </si>
  <si>
    <t>112,6924</t>
  </si>
  <si>
    <t>112,4298</t>
  </si>
  <si>
    <t>111,7051</t>
  </si>
  <si>
    <t>111,8477</t>
  </si>
  <si>
    <t>111,7923</t>
  </si>
  <si>
    <t>109,7297</t>
  </si>
  <si>
    <t>111,3432</t>
  </si>
  <si>
    <t>110,239</t>
  </si>
  <si>
    <t>111,1791</t>
  </si>
  <si>
    <t>107,9237</t>
  </si>
  <si>
    <t>110,7483</t>
  </si>
  <si>
    <t>112,1628</t>
  </si>
  <si>
    <t>112,7727</t>
  </si>
  <si>
    <t>114,2932</t>
  </si>
  <si>
    <t>111,5999</t>
  </si>
  <si>
    <t>112,0463</t>
  </si>
  <si>
    <t>112,9921</t>
  </si>
  <si>
    <t>112,4572</t>
  </si>
  <si>
    <t>108,5621</t>
  </si>
  <si>
    <t>112,0058</t>
  </si>
  <si>
    <t>107,6865</t>
  </si>
  <si>
    <t>110,9264</t>
  </si>
  <si>
    <t>105,7636</t>
  </si>
  <si>
    <t>108,3356</t>
  </si>
  <si>
    <t>109,6911</t>
  </si>
  <si>
    <t>120,9192</t>
  </si>
  <si>
    <t>118,5639</t>
  </si>
  <si>
    <t>120,8334</t>
  </si>
  <si>
    <t>136,4026</t>
  </si>
  <si>
    <t>127,1536</t>
  </si>
  <si>
    <t>124,7449</t>
  </si>
  <si>
    <t>121,6359</t>
  </si>
  <si>
    <t>107,7485</t>
  </si>
  <si>
    <t>107,3324</t>
  </si>
  <si>
    <t>107,4653</t>
  </si>
  <si>
    <t>106,5386</t>
  </si>
  <si>
    <t>107,3218</t>
  </si>
  <si>
    <t>107,8202</t>
  </si>
  <si>
    <t>107,4904</t>
  </si>
  <si>
    <t>111,1892</t>
  </si>
  <si>
    <t>113,0929</t>
  </si>
  <si>
    <t>114,5041</t>
  </si>
  <si>
    <t>112,6816</t>
  </si>
  <si>
    <t>113,7365</t>
  </si>
  <si>
    <t>114,4315</t>
  </si>
  <si>
    <t>112,3558</t>
  </si>
  <si>
    <t>106,5466</t>
  </si>
  <si>
    <t>108,0181</t>
  </si>
  <si>
    <t>106,5643</t>
  </si>
  <si>
    <t>109,1964</t>
  </si>
  <si>
    <t>111,879</t>
  </si>
  <si>
    <t>108,9388</t>
  </si>
  <si>
    <t>107,5925</t>
  </si>
  <si>
    <t>120,4465</t>
  </si>
  <si>
    <t>120,1817</t>
  </si>
  <si>
    <t>120,8067</t>
  </si>
  <si>
    <t>121,8266</t>
  </si>
  <si>
    <t>117,0591</t>
  </si>
  <si>
    <t>116,2683</t>
  </si>
  <si>
    <t>120,1049</t>
  </si>
  <si>
    <t>112,5701</t>
  </si>
  <si>
    <t>109,8691</t>
  </si>
  <si>
    <t>112,3574</t>
  </si>
  <si>
    <t>110,3471</t>
  </si>
  <si>
    <t>112,7822</t>
  </si>
  <si>
    <t>115,3037</t>
  </si>
  <si>
    <t>111,6195</t>
  </si>
  <si>
    <t>119,4016</t>
  </si>
  <si>
    <t>121,308</t>
  </si>
  <si>
    <t>125,4614</t>
  </si>
  <si>
    <t>133,4391</t>
  </si>
  <si>
    <t>125,956</t>
  </si>
  <si>
    <t>124,1271</t>
  </si>
  <si>
    <t>121,8757</t>
  </si>
  <si>
    <t>111,3293</t>
  </si>
  <si>
    <t>110,8486</t>
  </si>
  <si>
    <t>114,7012</t>
  </si>
  <si>
    <t>109,398</t>
  </si>
  <si>
    <t>108,7289</t>
  </si>
  <si>
    <t>109,1265</t>
  </si>
  <si>
    <t>110,9475</t>
  </si>
  <si>
    <t>110,1832</t>
  </si>
  <si>
    <t>110,4629</t>
  </si>
  <si>
    <t>112,9007</t>
  </si>
  <si>
    <t>108,4948</t>
  </si>
  <si>
    <t>110,2463</t>
  </si>
  <si>
    <t>111,9854</t>
  </si>
  <si>
    <t>110,3729</t>
  </si>
  <si>
    <t>109,5654</t>
  </si>
  <si>
    <t>111,2188</t>
  </si>
  <si>
    <t>108,84</t>
  </si>
  <si>
    <t>110,7449</t>
  </si>
  <si>
    <t>109,3961</t>
  </si>
  <si>
    <t>107,4796</t>
  </si>
  <si>
    <t>110,0769</t>
  </si>
  <si>
    <t>110,8829</t>
  </si>
  <si>
    <t>110,3141</t>
  </si>
  <si>
    <t>111,5443</t>
  </si>
  <si>
    <t>110,1614</t>
  </si>
  <si>
    <t>111,0548</t>
  </si>
  <si>
    <t>110,6001</t>
  </si>
  <si>
    <t>110,6653</t>
  </si>
  <si>
    <t>116,3567</t>
  </si>
  <si>
    <t>115,4054</t>
  </si>
  <si>
    <t>115,6964</t>
  </si>
  <si>
    <t>123,8629</t>
  </si>
  <si>
    <t>118,6098</t>
  </si>
  <si>
    <t>117,9284</t>
  </si>
  <si>
    <t>116,6875</t>
  </si>
  <si>
    <t>110,2676</t>
  </si>
  <si>
    <t>110,0185</t>
  </si>
  <si>
    <t>110,6088</t>
  </si>
  <si>
    <t>110,0899</t>
  </si>
  <si>
    <t>110,1715</t>
  </si>
  <si>
    <t>108,8912</t>
  </si>
  <si>
    <t>110,1215</t>
  </si>
  <si>
    <t>114,5127</t>
  </si>
  <si>
    <t>114,6616</t>
  </si>
  <si>
    <t>116,502</t>
  </si>
  <si>
    <t>120,5714</t>
  </si>
  <si>
    <t>118,0216</t>
  </si>
  <si>
    <t>118,393</t>
  </si>
  <si>
    <t>115,419</t>
  </si>
  <si>
    <t>201707</t>
  </si>
  <si>
    <t>113,9199</t>
  </si>
  <si>
    <t>113,5783</t>
  </si>
  <si>
    <t>113,3741</t>
  </si>
  <si>
    <t>114,2857</t>
  </si>
  <si>
    <t>114,0184</t>
  </si>
  <si>
    <t>113,3785</t>
  </si>
  <si>
    <t>113,7852</t>
  </si>
  <si>
    <t>113,1579</t>
  </si>
  <si>
    <t>111,0117</t>
  </si>
  <si>
    <t>112,1396</t>
  </si>
  <si>
    <t>111,3233</t>
  </si>
  <si>
    <t>112,524</t>
  </si>
  <si>
    <t>108,7052</t>
  </si>
  <si>
    <t>112,0115</t>
  </si>
  <si>
    <t>115,9318</t>
  </si>
  <si>
    <t>115,9517</t>
  </si>
  <si>
    <t>117,5087</t>
  </si>
  <si>
    <t>113,8749</t>
  </si>
  <si>
    <t>114,6441</t>
  </si>
  <si>
    <t>115,8682</t>
  </si>
  <si>
    <t>115,794</t>
  </si>
  <si>
    <t>106,5553</t>
  </si>
  <si>
    <t>-1,8</t>
  </si>
  <si>
    <t>110,8592</t>
  </si>
  <si>
    <t>107,3429</t>
  </si>
  <si>
    <t>110,601</t>
  </si>
  <si>
    <t>105,7652</t>
  </si>
  <si>
    <t>108,0861</t>
  </si>
  <si>
    <t>108,3524</t>
  </si>
  <si>
    <t>-1,2</t>
  </si>
  <si>
    <t>123,9173</t>
  </si>
  <si>
    <t>120,4739</t>
  </si>
  <si>
    <t>122,6814</t>
  </si>
  <si>
    <t>138,6344</t>
  </si>
  <si>
    <t>128,3865</t>
  </si>
  <si>
    <t>127,5967</t>
  </si>
  <si>
    <t>124,0879</t>
  </si>
  <si>
    <t>110,4314</t>
  </si>
  <si>
    <t>110,0163</t>
  </si>
  <si>
    <t>109,8963</t>
  </si>
  <si>
    <t>109,3629</t>
  </si>
  <si>
    <t>109,2936</t>
  </si>
  <si>
    <t>109,7282</t>
  </si>
  <si>
    <t>110,0984</t>
  </si>
  <si>
    <t>114,9895</t>
  </si>
  <si>
    <t>117,2026</t>
  </si>
  <si>
    <t>116,3472</t>
  </si>
  <si>
    <t>116,0536</t>
  </si>
  <si>
    <t>117,285</t>
  </si>
  <si>
    <t>117,2278</t>
  </si>
  <si>
    <t>116,0848</t>
  </si>
  <si>
    <t>108,0683</t>
  </si>
  <si>
    <t>111,0984</t>
  </si>
  <si>
    <t>110,6746</t>
  </si>
  <si>
    <t>112,3778</t>
  </si>
  <si>
    <t>112,9427</t>
  </si>
  <si>
    <t>112,1956</t>
  </si>
  <si>
    <t>109,9058</t>
  </si>
  <si>
    <t>121,0689</t>
  </si>
  <si>
    <t>122,0774</t>
  </si>
  <si>
    <t>121,6829</t>
  </si>
  <si>
    <t>121,6774</t>
  </si>
  <si>
    <t>119,8053</t>
  </si>
  <si>
    <t>117,0195</t>
  </si>
  <si>
    <t>121,2281</t>
  </si>
  <si>
    <t>116,1042</t>
  </si>
  <si>
    <t>115,2982</t>
  </si>
  <si>
    <t>114,8339</t>
  </si>
  <si>
    <t>113,0802</t>
  </si>
  <si>
    <t>115,2405</t>
  </si>
  <si>
    <t>118,2348</t>
  </si>
  <si>
    <t>115,609</t>
  </si>
  <si>
    <t>120,2404</t>
  </si>
  <si>
    <t>122,3166</t>
  </si>
  <si>
    <t>126,8147</t>
  </si>
  <si>
    <t>135,338</t>
  </si>
  <si>
    <t>124,9513</t>
  </si>
  <si>
    <t>122,8868</t>
  </si>
  <si>
    <t>114,0646</t>
  </si>
  <si>
    <t>114,3545</t>
  </si>
  <si>
    <t>114,911</t>
  </si>
  <si>
    <t>111,2471</t>
  </si>
  <si>
    <t>111,3908</t>
  </si>
  <si>
    <t>112,1018</t>
  </si>
  <si>
    <t>113,777</t>
  </si>
  <si>
    <t>111,7819</t>
  </si>
  <si>
    <t>112,0335</t>
  </si>
  <si>
    <t>113,985</t>
  </si>
  <si>
    <t>109,4154</t>
  </si>
  <si>
    <t>111,4859</t>
  </si>
  <si>
    <t>112,7634</t>
  </si>
  <si>
    <t>111,8348</t>
  </si>
  <si>
    <t>110,1248</t>
  </si>
  <si>
    <t>112,3316</t>
  </si>
  <si>
    <t>107,558</t>
  </si>
  <si>
    <t>110,0316</t>
  </si>
  <si>
    <t>-0,6</t>
  </si>
  <si>
    <t>108,8904</t>
  </si>
  <si>
    <t>107,9322</t>
  </si>
  <si>
    <t>110,589</t>
  </si>
  <si>
    <t>112,8387</t>
  </si>
  <si>
    <t>112,4443</t>
  </si>
  <si>
    <t>113,1838</t>
  </si>
  <si>
    <t>111,9143</t>
  </si>
  <si>
    <t>112,7657</t>
  </si>
  <si>
    <t>112,0685</t>
  </si>
  <si>
    <t>112,6183</t>
  </si>
  <si>
    <t>118,809</t>
  </si>
  <si>
    <t>118,3858</t>
  </si>
  <si>
    <t>118,2337</t>
  </si>
  <si>
    <t>126,4854</t>
  </si>
  <si>
    <t>120,983</t>
  </si>
  <si>
    <t>121,167</t>
  </si>
  <si>
    <t>119,3618</t>
  </si>
  <si>
    <t>111,4245</t>
  </si>
  <si>
    <t>111,5141</t>
  </si>
  <si>
    <t>111,8941</t>
  </si>
  <si>
    <t>111,3794</t>
  </si>
  <si>
    <t>111,4051</t>
  </si>
  <si>
    <t>110,2773</t>
  </si>
  <si>
    <t>111,4205</t>
  </si>
  <si>
    <t>117,5597</t>
  </si>
  <si>
    <t>118,4229</t>
  </si>
  <si>
    <t>118,4445</t>
  </si>
  <si>
    <t>123,0843</t>
  </si>
  <si>
    <t>120,4894</t>
  </si>
  <si>
    <t>121,0736</t>
  </si>
  <si>
    <t>118,5735</t>
  </si>
  <si>
    <t>201708</t>
  </si>
  <si>
    <t>115,6031</t>
  </si>
  <si>
    <t>115,0905</t>
  </si>
  <si>
    <t>114,6809</t>
  </si>
  <si>
    <t>115,7385</t>
  </si>
  <si>
    <t>115,5674</t>
  </si>
  <si>
    <t>115,3036</t>
  </si>
  <si>
    <t>115,3819</t>
  </si>
  <si>
    <t>115,6549</t>
  </si>
  <si>
    <t>113,4677</t>
  </si>
  <si>
    <t>113,6752</t>
  </si>
  <si>
    <t>112,7874</t>
  </si>
  <si>
    <t>115,0058</t>
  </si>
  <si>
    <t>110,5112</t>
  </si>
  <si>
    <t>114,3467</t>
  </si>
  <si>
    <t>117,4477</t>
  </si>
  <si>
    <t>117,2003</t>
  </si>
  <si>
    <t>119,621</t>
  </si>
  <si>
    <t>116,0454</t>
  </si>
  <si>
    <t>116,9571</t>
  </si>
  <si>
    <t>117,2341</t>
  </si>
  <si>
    <t>117,3256</t>
  </si>
  <si>
    <t>105,6182</t>
  </si>
  <si>
    <t>-0,9</t>
  </si>
  <si>
    <t>110,16</t>
  </si>
  <si>
    <t>106,0912</t>
  </si>
  <si>
    <t>110,3081</t>
  </si>
  <si>
    <t>105,0935</t>
  </si>
  <si>
    <t>110,2047</t>
  </si>
  <si>
    <t>107,6769</t>
  </si>
  <si>
    <t>127,1644</t>
  </si>
  <si>
    <t>122,5117</t>
  </si>
  <si>
    <t>125,24</t>
  </si>
  <si>
    <t>139,6986</t>
  </si>
  <si>
    <t>131,3004</t>
  </si>
  <si>
    <t>131,1214</t>
  </si>
  <si>
    <t>126,7648</t>
  </si>
  <si>
    <t>111,5098</t>
  </si>
  <si>
    <t>111,202</t>
  </si>
  <si>
    <t>110,2027</t>
  </si>
  <si>
    <t>110,1396</t>
  </si>
  <si>
    <t>110,3561</t>
  </si>
  <si>
    <t>110,7126</t>
  </si>
  <si>
    <t>111,1513</t>
  </si>
  <si>
    <t>118,3191</t>
  </si>
  <si>
    <t>119,859</t>
  </si>
  <si>
    <t>119,303</t>
  </si>
  <si>
    <t>118,4669</t>
  </si>
  <si>
    <t>119,5298</t>
  </si>
  <si>
    <t>119,4044</t>
  </si>
  <si>
    <t>119,0025</t>
  </si>
  <si>
    <t>109,2582</t>
  </si>
  <si>
    <t>112,3391</t>
  </si>
  <si>
    <t>111,5878</t>
  </si>
  <si>
    <t>113,7116</t>
  </si>
  <si>
    <t>113,4674</t>
  </si>
  <si>
    <t>113,9424</t>
  </si>
  <si>
    <t>111,0994</t>
  </si>
  <si>
    <t>123,3833</t>
  </si>
  <si>
    <t>123,1496</t>
  </si>
  <si>
    <t>122,6999</t>
  </si>
  <si>
    <t>124,5091</t>
  </si>
  <si>
    <t>121,3918</t>
  </si>
  <si>
    <t>119,0533</t>
  </si>
  <si>
    <t>123,052</t>
  </si>
  <si>
    <t>116,1082</t>
  </si>
  <si>
    <t>116,041</t>
  </si>
  <si>
    <t>118,114</t>
  </si>
  <si>
    <t>116,6181</t>
  </si>
  <si>
    <t>116,5243</t>
  </si>
  <si>
    <t>119,7007</t>
  </si>
  <si>
    <t>116,3997</t>
  </si>
  <si>
    <t>121,9879</t>
  </si>
  <si>
    <t>126,2009</t>
  </si>
  <si>
    <t>128,4191</t>
  </si>
  <si>
    <t>137,384</t>
  </si>
  <si>
    <t>128,5598</t>
  </si>
  <si>
    <t>126,1421</t>
  </si>
  <si>
    <t>125,3185</t>
  </si>
  <si>
    <t>115,0985</t>
  </si>
  <si>
    <t>114,7535</t>
  </si>
  <si>
    <t>114,8047</t>
  </si>
  <si>
    <t>112,9072</t>
  </si>
  <si>
    <t>112,212</t>
  </si>
  <si>
    <t>113,6027</t>
  </si>
  <si>
    <t>114,5928</t>
  </si>
  <si>
    <t>113,4518</t>
  </si>
  <si>
    <t>113,5919</t>
  </si>
  <si>
    <t>117,2701</t>
  </si>
  <si>
    <t>111,4284</t>
  </si>
  <si>
    <t>113,3637</t>
  </si>
  <si>
    <t>114,9677</t>
  </si>
  <si>
    <t>113,6021</t>
  </si>
  <si>
    <t>111,4882</t>
  </si>
  <si>
    <t>113,3375</t>
  </si>
  <si>
    <t>108,6521</t>
  </si>
  <si>
    <t>111,4599</t>
  </si>
  <si>
    <t>109,8083</t>
  </si>
  <si>
    <t>108,7748</t>
  </si>
  <si>
    <t>111,7749</t>
  </si>
  <si>
    <t>114,5355</t>
  </si>
  <si>
    <t>114,0026</t>
  </si>
  <si>
    <t>114,4192</t>
  </si>
  <si>
    <t>113,3031</t>
  </si>
  <si>
    <t>114,4031</t>
  </si>
  <si>
    <t>113,9473</t>
  </si>
  <si>
    <t>114,231</t>
  </si>
  <si>
    <t>120,5959</t>
  </si>
  <si>
    <t>120,0483</t>
  </si>
  <si>
    <t>119,9735</t>
  </si>
  <si>
    <t>128,2032</t>
  </si>
  <si>
    <t>122,6005</t>
  </si>
  <si>
    <t>123,9168</t>
  </si>
  <si>
    <t>121,1349</t>
  </si>
  <si>
    <t>112,9325</t>
  </si>
  <si>
    <t>112,9102</t>
  </si>
  <si>
    <t>112,8992</t>
  </si>
  <si>
    <t>112,6237</t>
  </si>
  <si>
    <t>112,8955</t>
  </si>
  <si>
    <t>112,0706</t>
  </si>
  <si>
    <t>112,8612</t>
  </si>
  <si>
    <t>119,4983</t>
  </si>
  <si>
    <t>120,2076</t>
  </si>
  <si>
    <t>120,785</t>
  </si>
  <si>
    <t>125,1684</t>
  </si>
  <si>
    <t>122,1831</t>
  </si>
  <si>
    <t>123,3258</t>
  </si>
  <si>
    <t>120,4902</t>
  </si>
  <si>
    <t>201709</t>
  </si>
  <si>
    <t>117,9656</t>
  </si>
  <si>
    <t>117,2947</t>
  </si>
  <si>
    <t>116,1702</t>
  </si>
  <si>
    <t>117,7781</t>
  </si>
  <si>
    <t>117,5777</t>
  </si>
  <si>
    <t>116,7945</t>
  </si>
  <si>
    <t>117,5719</t>
  </si>
  <si>
    <t>117,8695</t>
  </si>
  <si>
    <t>115,1672</t>
  </si>
  <si>
    <t>115,5282</t>
  </si>
  <si>
    <t>115,8514</t>
  </si>
  <si>
    <t>117,1654</t>
  </si>
  <si>
    <t>112,3235</t>
  </si>
  <si>
    <t>116,4048</t>
  </si>
  <si>
    <t>118,2786</t>
  </si>
  <si>
    <t>118,0307</t>
  </si>
  <si>
    <t>120,8207</t>
  </si>
  <si>
    <t>116,804</t>
  </si>
  <si>
    <t>117,5981</t>
  </si>
  <si>
    <t>117,6412</t>
  </si>
  <si>
    <t>118,1383</t>
  </si>
  <si>
    <t>111,8326</t>
  </si>
  <si>
    <t>112,9665</t>
  </si>
  <si>
    <t>108,3729</t>
  </si>
  <si>
    <t>111,707</t>
  </si>
  <si>
    <t>107,9364</t>
  </si>
  <si>
    <t>110,1829</t>
  </si>
  <si>
    <t>111,7682</t>
  </si>
  <si>
    <t>128,2415</t>
  </si>
  <si>
    <t>127,7062</t>
  </si>
  <si>
    <t>126,0757</t>
  </si>
  <si>
    <t>141,2223</t>
  </si>
  <si>
    <t>132,9221</t>
  </si>
  <si>
    <t>133,0531</t>
  </si>
  <si>
    <t>129,2656</t>
  </si>
  <si>
    <t>112,5568</t>
  </si>
  <si>
    <t>112,4815</t>
  </si>
  <si>
    <t>111,002</t>
  </si>
  <si>
    <t>111,3973</t>
  </si>
  <si>
    <t>111,9858</t>
  </si>
  <si>
    <t>111,2591</t>
  </si>
  <si>
    <t>112,2879</t>
  </si>
  <si>
    <t>121,1943</t>
  </si>
  <si>
    <t>122,7381</t>
  </si>
  <si>
    <t>121,3068</t>
  </si>
  <si>
    <t>120,7606</t>
  </si>
  <si>
    <t>123,3663</t>
  </si>
  <si>
    <t>123,4031</t>
  </si>
  <si>
    <t>121,8977</t>
  </si>
  <si>
    <t>110,258</t>
  </si>
  <si>
    <t>112,9931</t>
  </si>
  <si>
    <t>112,4219</t>
  </si>
  <si>
    <t>114,5102</t>
  </si>
  <si>
    <t>114,6184</t>
  </si>
  <si>
    <t>115,474</t>
  </si>
  <si>
    <t>124,5391</t>
  </si>
  <si>
    <t>124,8701</t>
  </si>
  <si>
    <t>123,532</t>
  </si>
  <si>
    <t>125,999</t>
  </si>
  <si>
    <t>121,5069</t>
  </si>
  <si>
    <t>120,0112</t>
  </si>
  <si>
    <t>124,3454</t>
  </si>
  <si>
    <t>120,017</t>
  </si>
  <si>
    <t>118,8879</t>
  </si>
  <si>
    <t>119,7391</t>
  </si>
  <si>
    <t>118,2457</t>
  </si>
  <si>
    <t>119,604</t>
  </si>
  <si>
    <t>121,4033</t>
  </si>
  <si>
    <t>119,536</t>
  </si>
  <si>
    <t>128,2949</t>
  </si>
  <si>
    <t>130,4372</t>
  </si>
  <si>
    <t>130,8278</t>
  </si>
  <si>
    <t>139,22</t>
  </si>
  <si>
    <t>129,2793</t>
  </si>
  <si>
    <t>128,8272</t>
  </si>
  <si>
    <t>129,9791</t>
  </si>
  <si>
    <t>116,4971</t>
  </si>
  <si>
    <t>116,7469</t>
  </si>
  <si>
    <t>115,1332</t>
  </si>
  <si>
    <t>114,7894</t>
  </si>
  <si>
    <t>114,3078</t>
  </si>
  <si>
    <t>114,9091</t>
  </si>
  <si>
    <t>116,2141</t>
  </si>
  <si>
    <t>115,5821</t>
  </si>
  <si>
    <t>115,5247</t>
  </si>
  <si>
    <t>118,3978</t>
  </si>
  <si>
    <t>113,2292</t>
  </si>
  <si>
    <t>113,6678</t>
  </si>
  <si>
    <t>116,989</t>
  </si>
  <si>
    <t>115,4941</t>
  </si>
  <si>
    <t>117,1944</t>
  </si>
  <si>
    <t>116,7187</t>
  </si>
  <si>
    <t>111,5347</t>
  </si>
  <si>
    <t>115,3391</t>
  </si>
  <si>
    <t>115,5044</t>
  </si>
  <si>
    <t>109,915</t>
  </si>
  <si>
    <t>116,214</t>
  </si>
  <si>
    <t>116,5488</t>
  </si>
  <si>
    <t>115,7605</t>
  </si>
  <si>
    <t>115,9294</t>
  </si>
  <si>
    <t>115,2821</t>
  </si>
  <si>
    <t>116,1101</t>
  </si>
  <si>
    <t>115,5547</t>
  </si>
  <si>
    <t>116,0978</t>
  </si>
  <si>
    <t>122,4798</t>
  </si>
  <si>
    <t>123,1099</t>
  </si>
  <si>
    <t>120,3964</t>
  </si>
  <si>
    <t>129,1639</t>
  </si>
  <si>
    <t>123,5164</t>
  </si>
  <si>
    <t>125,2309</t>
  </si>
  <si>
    <t>123,2159</t>
  </si>
  <si>
    <t>115,3613</t>
  </si>
  <si>
    <t>114,8162</t>
  </si>
  <si>
    <t>114,5372</t>
  </si>
  <si>
    <t>114,9021</t>
  </si>
  <si>
    <t>114,9383</t>
  </si>
  <si>
    <t>113,2912</t>
  </si>
  <si>
    <t>114,9903</t>
  </si>
  <si>
    <t>121,7642</t>
  </si>
  <si>
    <t>123,1117</t>
  </si>
  <si>
    <t>121,7649</t>
  </si>
  <si>
    <t>126,4851</t>
  </si>
  <si>
    <t>124,1132</t>
  </si>
  <si>
    <t>125,4875</t>
  </si>
  <si>
    <t>122,8259</t>
  </si>
  <si>
    <t>201710</t>
  </si>
  <si>
    <t>119,4985</t>
  </si>
  <si>
    <t>119,272</t>
  </si>
  <si>
    <t>117,9026</t>
  </si>
  <si>
    <t>119,9939</t>
  </si>
  <si>
    <t>119,5964</t>
  </si>
  <si>
    <t>118,7072</t>
  </si>
  <si>
    <t>119,3528</t>
  </si>
  <si>
    <t>119,695</t>
  </si>
  <si>
    <t>116,7037</t>
  </si>
  <si>
    <t>117,3227</t>
  </si>
  <si>
    <t>118,0512</t>
  </si>
  <si>
    <t>119,1286</t>
  </si>
  <si>
    <t>114,195</t>
  </si>
  <si>
    <t>118,1646</t>
  </si>
  <si>
    <t>122,1014</t>
  </si>
  <si>
    <t>121,4659</t>
  </si>
  <si>
    <t>124,096</t>
  </si>
  <si>
    <t>120,004</t>
  </si>
  <si>
    <t>121,0022</t>
  </si>
  <si>
    <t>120,4857</t>
  </si>
  <si>
    <t>121,695</t>
  </si>
  <si>
    <t>113,6026</t>
  </si>
  <si>
    <t>116,2626</t>
  </si>
  <si>
    <t>109,2453</t>
  </si>
  <si>
    <t>115,1964</t>
  </si>
  <si>
    <t>110,3406</t>
  </si>
  <si>
    <t>111,3727</t>
  </si>
  <si>
    <t>114,138</t>
  </si>
  <si>
    <t>128,9128</t>
  </si>
  <si>
    <t>129,1378</t>
  </si>
  <si>
    <t>127,2673</t>
  </si>
  <si>
    <t>142,4805</t>
  </si>
  <si>
    <t>134,6046</t>
  </si>
  <si>
    <t>136,4261</t>
  </si>
  <si>
    <t>130,4139</t>
  </si>
  <si>
    <t>113,4367</t>
  </si>
  <si>
    <t>113,1813</t>
  </si>
  <si>
    <t>112,0223</t>
  </si>
  <si>
    <t>112,4689</t>
  </si>
  <si>
    <t>112,3966</t>
  </si>
  <si>
    <t>112,0466</t>
  </si>
  <si>
    <t>113,0973</t>
  </si>
  <si>
    <t>122,1487</t>
  </si>
  <si>
    <t>124,2652</t>
  </si>
  <si>
    <t>122,9813</t>
  </si>
  <si>
    <t>122,3932</t>
  </si>
  <si>
    <t>125,8797</t>
  </si>
  <si>
    <t>124,5727</t>
  </si>
  <si>
    <t>123,2121</t>
  </si>
  <si>
    <t>111,165</t>
  </si>
  <si>
    <t>114,894</t>
  </si>
  <si>
    <t>114,7539</t>
  </si>
  <si>
    <t>115,9691</t>
  </si>
  <si>
    <t>116,8203</t>
  </si>
  <si>
    <t>117,1844</t>
  </si>
  <si>
    <t>113,4318</t>
  </si>
  <si>
    <t>130,4597</t>
  </si>
  <si>
    <t>132,3484</t>
  </si>
  <si>
    <t>129,6928</t>
  </si>
  <si>
    <t>132,5952</t>
  </si>
  <si>
    <t>127,7813</t>
  </si>
  <si>
    <t>127,3895</t>
  </si>
  <si>
    <t>6,1</t>
  </si>
  <si>
    <t>130,9342</t>
  </si>
  <si>
    <t>5,3</t>
  </si>
  <si>
    <t>120,605</t>
  </si>
  <si>
    <t>121,2011</t>
  </si>
  <si>
    <t>121,6468</t>
  </si>
  <si>
    <t>120,1608</t>
  </si>
  <si>
    <t>122,6707</t>
  </si>
  <si>
    <t>122,6976</t>
  </si>
  <si>
    <t>121,032</t>
  </si>
  <si>
    <t>129,2551</t>
  </si>
  <si>
    <t>131,5242</t>
  </si>
  <si>
    <t>133,2249</t>
  </si>
  <si>
    <t>139,6695</t>
  </si>
  <si>
    <t>131,1752</t>
  </si>
  <si>
    <t>129,2188</t>
  </si>
  <si>
    <t>131,0253</t>
  </si>
  <si>
    <t>118,1844</t>
  </si>
  <si>
    <t>115,6492</t>
  </si>
  <si>
    <t>117,2603</t>
  </si>
  <si>
    <t>113,5111</t>
  </si>
  <si>
    <t>-0,7</t>
  </si>
  <si>
    <t>117,1003</t>
  </si>
  <si>
    <t>117,834</t>
  </si>
  <si>
    <t>117,3347</t>
  </si>
  <si>
    <t>117,0075</t>
  </si>
  <si>
    <t>119,5804</t>
  </si>
  <si>
    <t>114,7045</t>
  </si>
  <si>
    <t>116,0149</t>
  </si>
  <si>
    <t>117,4246</t>
  </si>
  <si>
    <t>117,0803</t>
  </si>
  <si>
    <t>119,8444</t>
  </si>
  <si>
    <t>119,6573</t>
  </si>
  <si>
    <t>113,6757</t>
  </si>
  <si>
    <t>119,6955</t>
  </si>
  <si>
    <t>117,7796</t>
  </si>
  <si>
    <t>112,2267</t>
  </si>
  <si>
    <t>119,0242</t>
  </si>
  <si>
    <t>117,8751</t>
  </si>
  <si>
    <t>117,4736</t>
  </si>
  <si>
    <t>117,3565</t>
  </si>
  <si>
    <t>117,9829</t>
  </si>
  <si>
    <t>116,9633</t>
  </si>
  <si>
    <t>117,6245</t>
  </si>
  <si>
    <t>124,1174</t>
  </si>
  <si>
    <t>125,4312</t>
  </si>
  <si>
    <t>123,0485</t>
  </si>
  <si>
    <t>131,4656</t>
  </si>
  <si>
    <t>125,8647</t>
  </si>
  <si>
    <t>128,5998</t>
  </si>
  <si>
    <t>125,2808</t>
  </si>
  <si>
    <t>117,0753</t>
  </si>
  <si>
    <t>116,6361</t>
  </si>
  <si>
    <t>116,3357</t>
  </si>
  <si>
    <t>117,2757</t>
  </si>
  <si>
    <t>117,1344</t>
  </si>
  <si>
    <t>114,9407</t>
  </si>
  <si>
    <t>116,8116</t>
  </si>
  <si>
    <t>123,033</t>
  </si>
  <si>
    <t>125,4586</t>
  </si>
  <si>
    <t>123,2709</t>
  </si>
  <si>
    <t>128,223</t>
  </si>
  <si>
    <t>125,6926</t>
  </si>
  <si>
    <t>128,0531</t>
  </si>
  <si>
    <t>124,5736</t>
  </si>
  <si>
    <t>201711</t>
  </si>
  <si>
    <t>120,8941</t>
  </si>
  <si>
    <t>121,2004</t>
  </si>
  <si>
    <t>119,696</t>
  </si>
  <si>
    <t>121,506</t>
  </si>
  <si>
    <t>121,4671</t>
  </si>
  <si>
    <t>120,4376</t>
  </si>
  <si>
    <t>120,994</t>
  </si>
  <si>
    <t>120,909</t>
  </si>
  <si>
    <t>118,319</t>
  </si>
  <si>
    <t>119,117</t>
  </si>
  <si>
    <t>119,1339</t>
  </si>
  <si>
    <t>120,7283</t>
  </si>
  <si>
    <t>115,737</t>
  </si>
  <si>
    <t>119,5688</t>
  </si>
  <si>
    <t>123,4181</t>
  </si>
  <si>
    <t>122,9479</t>
  </si>
  <si>
    <t>125,5617</t>
  </si>
  <si>
    <t>120,8879</t>
  </si>
  <si>
    <t>122,3994</t>
  </si>
  <si>
    <t>121,7447</t>
  </si>
  <si>
    <t>123,0467</t>
  </si>
  <si>
    <t>114,8528</t>
  </si>
  <si>
    <t>118,2047</t>
  </si>
  <si>
    <t>111,6844</t>
  </si>
  <si>
    <t>116,9432</t>
  </si>
  <si>
    <t>110,2628</t>
  </si>
  <si>
    <t>113,1277</t>
  </si>
  <si>
    <t>115,6644</t>
  </si>
  <si>
    <t>130,1608</t>
  </si>
  <si>
    <t>130,8879</t>
  </si>
  <si>
    <t>129,5474</t>
  </si>
  <si>
    <t>144,0943</t>
  </si>
  <si>
    <t>138,7605</t>
  </si>
  <si>
    <t>137,5471</t>
  </si>
  <si>
    <t>132,0294</t>
  </si>
  <si>
    <t>114,2362</t>
  </si>
  <si>
    <t>114,5049</t>
  </si>
  <si>
    <t>112,8144</t>
  </si>
  <si>
    <t>113,6152</t>
  </si>
  <si>
    <t>113,631</t>
  </si>
  <si>
    <t>112,8317</t>
  </si>
  <si>
    <t>114,1215</t>
  </si>
  <si>
    <t>123,5655</t>
  </si>
  <si>
    <t>126,1285</t>
  </si>
  <si>
    <t>124,4777</t>
  </si>
  <si>
    <t>123,9231</t>
  </si>
  <si>
    <t>127,5262</t>
  </si>
  <si>
    <t>126,4441</t>
  </si>
  <si>
    <t>124,8225</t>
  </si>
  <si>
    <t>114,133</t>
  </si>
  <si>
    <t>118,8746</t>
  </si>
  <si>
    <t>118,3001</t>
  </si>
  <si>
    <t>119,1704</t>
  </si>
  <si>
    <t>120,2882</t>
  </si>
  <si>
    <t>121,2482</t>
  </si>
  <si>
    <t>116,8496</t>
  </si>
  <si>
    <t>131,1853</t>
  </si>
  <si>
    <t>133,3326</t>
  </si>
  <si>
    <t>130,2373</t>
  </si>
  <si>
    <t>134,3713</t>
  </si>
  <si>
    <t>129,5342</t>
  </si>
  <si>
    <t>128,5295</t>
  </si>
  <si>
    <t>131,8833</t>
  </si>
  <si>
    <t>120,7139</t>
  </si>
  <si>
    <t>122,7223</t>
  </si>
  <si>
    <t>121,8421</t>
  </si>
  <si>
    <t>123,0569</t>
  </si>
  <si>
    <t>122,97</t>
  </si>
  <si>
    <t>123,7168</t>
  </si>
  <si>
    <t>121,8725</t>
  </si>
  <si>
    <t>129,7823</t>
  </si>
  <si>
    <t>131,9256</t>
  </si>
  <si>
    <t>139,7915</t>
  </si>
  <si>
    <t>132,6018</t>
  </si>
  <si>
    <t>129,28</t>
  </si>
  <si>
    <t>131,4832</t>
  </si>
  <si>
    <t>120,4916</t>
  </si>
  <si>
    <t>120,6172</t>
  </si>
  <si>
    <t>117,6072</t>
  </si>
  <si>
    <t>118,1633</t>
  </si>
  <si>
    <t>117,3295</t>
  </si>
  <si>
    <t>119,9896</t>
  </si>
  <si>
    <t>118,7033</t>
  </si>
  <si>
    <t>118,7008</t>
  </si>
  <si>
    <t>120,5569</t>
  </si>
  <si>
    <t>116,2012</t>
  </si>
  <si>
    <t>116,8118</t>
  </si>
  <si>
    <t>118,7065</t>
  </si>
  <si>
    <t>118,5168</t>
  </si>
  <si>
    <t>121,0014</t>
  </si>
  <si>
    <t>122,8256</t>
  </si>
  <si>
    <t>116,875</t>
  </si>
  <si>
    <t>121,3064</t>
  </si>
  <si>
    <t>119,6113</t>
  </si>
  <si>
    <t>113,9916</t>
  </si>
  <si>
    <t>121,0614</t>
  </si>
  <si>
    <t>119,4138</t>
  </si>
  <si>
    <t>119,0116</t>
  </si>
  <si>
    <t>118,6951</t>
  </si>
  <si>
    <t>118,4813</t>
  </si>
  <si>
    <t>119,4099</t>
  </si>
  <si>
    <t>118,4409</t>
  </si>
  <si>
    <t>119,1358</t>
  </si>
  <si>
    <t>125,1994</t>
  </si>
  <si>
    <t>127,9791</t>
  </si>
  <si>
    <t>125,6488</t>
  </si>
  <si>
    <t>133,3362</t>
  </si>
  <si>
    <t>129,1989</t>
  </si>
  <si>
    <t>131,163</t>
  </si>
  <si>
    <t>127,1472</t>
  </si>
  <si>
    <t>118,7271</t>
  </si>
  <si>
    <t>118,6874</t>
  </si>
  <si>
    <t>118,251</t>
  </si>
  <si>
    <t>118,7041</t>
  </si>
  <si>
    <t>118,6641</t>
  </si>
  <si>
    <t>116,8516</t>
  </si>
  <si>
    <t>118,602</t>
  </si>
  <si>
    <t>124,0548</t>
  </si>
  <si>
    <t>127,0984</t>
  </si>
  <si>
    <t>124,6463</t>
  </si>
  <si>
    <t>129,9884</t>
  </si>
  <si>
    <t>128,4077</t>
  </si>
  <si>
    <t>129,3359</t>
  </si>
  <si>
    <t>125,9672</t>
  </si>
  <si>
    <t>201712</t>
  </si>
  <si>
    <t>125,0392</t>
  </si>
  <si>
    <t>25</t>
  </si>
  <si>
    <t>124,9703</t>
  </si>
  <si>
    <t>122,2757</t>
  </si>
  <si>
    <t>22,3</t>
  </si>
  <si>
    <t>124,313</t>
  </si>
  <si>
    <t>24,3</t>
  </si>
  <si>
    <t>125,5295</t>
  </si>
  <si>
    <t>25,5</t>
  </si>
  <si>
    <t>123,4627</t>
  </si>
  <si>
    <t>23,5</t>
  </si>
  <si>
    <t>124,7956</t>
  </si>
  <si>
    <t>24,8</t>
  </si>
  <si>
    <t>121,5528</t>
  </si>
  <si>
    <t>21,6</t>
  </si>
  <si>
    <t>119,059</t>
  </si>
  <si>
    <t>19,1</t>
  </si>
  <si>
    <t>120,4544</t>
  </si>
  <si>
    <t>20,5</t>
  </si>
  <si>
    <t>120,5958</t>
  </si>
  <si>
    <t>20,6</t>
  </si>
  <si>
    <t>121,4185</t>
  </si>
  <si>
    <t>21,4</t>
  </si>
  <si>
    <t>116,9033</t>
  </si>
  <si>
    <t>16,9</t>
  </si>
  <si>
    <t>120,36</t>
  </si>
  <si>
    <t>20,4</t>
  </si>
  <si>
    <t>124,1072</t>
  </si>
  <si>
    <t>24,1</t>
  </si>
  <si>
    <t>123,6549</t>
  </si>
  <si>
    <t>23,7</t>
  </si>
  <si>
    <t>126,1257</t>
  </si>
  <si>
    <t>26,1</t>
  </si>
  <si>
    <t>121,4554</t>
  </si>
  <si>
    <t>21,5</t>
  </si>
  <si>
    <t>122,8733</t>
  </si>
  <si>
    <t>22,9</t>
  </si>
  <si>
    <t>122,4634</t>
  </si>
  <si>
    <t>22,5</t>
  </si>
  <si>
    <t>123,7178</t>
  </si>
  <si>
    <t>115,6853</t>
  </si>
  <si>
    <t>15,7</t>
  </si>
  <si>
    <t>119,1462</t>
  </si>
  <si>
    <t>113,2348</t>
  </si>
  <si>
    <t>13,2</t>
  </si>
  <si>
    <t>117,8076</t>
  </si>
  <si>
    <t>17,8</t>
  </si>
  <si>
    <t>111,7244</t>
  </si>
  <si>
    <t>11,7</t>
  </si>
  <si>
    <t>114,6141</t>
  </si>
  <si>
    <t>14,6</t>
  </si>
  <si>
    <t>116,6315</t>
  </si>
  <si>
    <t>16,6</t>
  </si>
  <si>
    <t>154,7145</t>
  </si>
  <si>
    <t>18,9</t>
  </si>
  <si>
    <t>54,7</t>
  </si>
  <si>
    <t>156,3938</t>
  </si>
  <si>
    <t>19,5</t>
  </si>
  <si>
    <t>56,4</t>
  </si>
  <si>
    <t>142,9635</t>
  </si>
  <si>
    <t>10,4</t>
  </si>
  <si>
    <t>43</t>
  </si>
  <si>
    <t>163,7299</t>
  </si>
  <si>
    <t>13,6</t>
  </si>
  <si>
    <t>63,7</t>
  </si>
  <si>
    <t>165,1175</t>
  </si>
  <si>
    <t>19</t>
  </si>
  <si>
    <t>65,1</t>
  </si>
  <si>
    <t>148,7892</t>
  </si>
  <si>
    <t>8,2</t>
  </si>
  <si>
    <t>48,8</t>
  </si>
  <si>
    <t>155,5929</t>
  </si>
  <si>
    <t>55,6</t>
  </si>
  <si>
    <t>117,6715</t>
  </si>
  <si>
    <t>17,7</t>
  </si>
  <si>
    <t>117,9903</t>
  </si>
  <si>
    <t>18</t>
  </si>
  <si>
    <t>115,0816</t>
  </si>
  <si>
    <t>15,1</t>
  </si>
  <si>
    <t>116,4857</t>
  </si>
  <si>
    <t>16,5</t>
  </si>
  <si>
    <t>116,5744</t>
  </si>
  <si>
    <t>115,8671</t>
  </si>
  <si>
    <t>15,9</t>
  </si>
  <si>
    <t>117,436</t>
  </si>
  <si>
    <t>17,4</t>
  </si>
  <si>
    <t>127,1571</t>
  </si>
  <si>
    <t>27,2</t>
  </si>
  <si>
    <t>128,9645</t>
  </si>
  <si>
    <t>29</t>
  </si>
  <si>
    <t>125,7386</t>
  </si>
  <si>
    <t>25,7</t>
  </si>
  <si>
    <t>125,5999</t>
  </si>
  <si>
    <t>25,6</t>
  </si>
  <si>
    <t>130,2173</t>
  </si>
  <si>
    <t>30,2</t>
  </si>
  <si>
    <t>128,1483</t>
  </si>
  <si>
    <t>28,1</t>
  </si>
  <si>
    <t>127,7938</t>
  </si>
  <si>
    <t>27,8</t>
  </si>
  <si>
    <t>117,4772</t>
  </si>
  <si>
    <t>17,5</t>
  </si>
  <si>
    <t>122,863</t>
  </si>
  <si>
    <t>121,8522</t>
  </si>
  <si>
    <t>21,9</t>
  </si>
  <si>
    <t>122,9612</t>
  </si>
  <si>
    <t>23</t>
  </si>
  <si>
    <t>125,0211</t>
  </si>
  <si>
    <t>127,0849</t>
  </si>
  <si>
    <t>120,6253</t>
  </si>
  <si>
    <t>134,1889</t>
  </si>
  <si>
    <t>34,2</t>
  </si>
  <si>
    <t>135,3074</t>
  </si>
  <si>
    <t>35,3</t>
  </si>
  <si>
    <t>130,9961</t>
  </si>
  <si>
    <t>31</t>
  </si>
  <si>
    <t>135,2912</t>
  </si>
  <si>
    <t>131,9562</t>
  </si>
  <si>
    <t>32</t>
  </si>
  <si>
    <t>128,7291</t>
  </si>
  <si>
    <t>28,7</t>
  </si>
  <si>
    <t>134,1367</t>
  </si>
  <si>
    <t>34,1</t>
  </si>
  <si>
    <t>121,4988</t>
  </si>
  <si>
    <t>123,5623</t>
  </si>
  <si>
    <t>23,6</t>
  </si>
  <si>
    <t>123,0341</t>
  </si>
  <si>
    <t>124,7331</t>
  </si>
  <si>
    <t>24,7</t>
  </si>
  <si>
    <t>123,6886</t>
  </si>
  <si>
    <t>124,5201</t>
  </si>
  <si>
    <t>24,5</t>
  </si>
  <si>
    <t>122,7547</t>
  </si>
  <si>
    <t>22,8</t>
  </si>
  <si>
    <t>129,748</t>
  </si>
  <si>
    <t>29,7</t>
  </si>
  <si>
    <t>131,9334</t>
  </si>
  <si>
    <t>31,9</t>
  </si>
  <si>
    <t>133,36</t>
  </si>
  <si>
    <t>33,4</t>
  </si>
  <si>
    <t>139,7306</t>
  </si>
  <si>
    <t>39,7</t>
  </si>
  <si>
    <t>132,6405</t>
  </si>
  <si>
    <t>32,6</t>
  </si>
  <si>
    <t>129,2407</t>
  </si>
  <si>
    <t>29,2</t>
  </si>
  <si>
    <t>131,4716</t>
  </si>
  <si>
    <t>31,5</t>
  </si>
  <si>
    <t>122,6855</t>
  </si>
  <si>
    <t>22,7</t>
  </si>
  <si>
    <t>122,8606</t>
  </si>
  <si>
    <t>119,8308</t>
  </si>
  <si>
    <t>19,8</t>
  </si>
  <si>
    <t>118,6132</t>
  </si>
  <si>
    <t>18,6</t>
  </si>
  <si>
    <t>119,8785</t>
  </si>
  <si>
    <t>19,9</t>
  </si>
  <si>
    <t>121,7159</t>
  </si>
  <si>
    <t>21,7</t>
  </si>
  <si>
    <t>122,136</t>
  </si>
  <si>
    <t>22,1</t>
  </si>
  <si>
    <t>119,6537</t>
  </si>
  <si>
    <t>19,7</t>
  </si>
  <si>
    <t>120,2036</t>
  </si>
  <si>
    <t>20,2</t>
  </si>
  <si>
    <t>121,3574</t>
  </si>
  <si>
    <t>117,4346</t>
  </si>
  <si>
    <t>119,5664</t>
  </si>
  <si>
    <t>19,6</t>
  </si>
  <si>
    <t>120,8962</t>
  </si>
  <si>
    <t>20,9</t>
  </si>
  <si>
    <t>119,8176</t>
  </si>
  <si>
    <t>121,1666</t>
  </si>
  <si>
    <t>21,2</t>
  </si>
  <si>
    <t>123,1002</t>
  </si>
  <si>
    <t>23,1</t>
  </si>
  <si>
    <t>117,5272</t>
  </si>
  <si>
    <t>122,2081</t>
  </si>
  <si>
    <t>22,2</t>
  </si>
  <si>
    <t>120,2878</t>
  </si>
  <si>
    <t>20,3</t>
  </si>
  <si>
    <t>116,3013</t>
  </si>
  <si>
    <t>16,3</t>
  </si>
  <si>
    <t>121,4632</t>
  </si>
  <si>
    <t>121,7707</t>
  </si>
  <si>
    <t>21,8</t>
  </si>
  <si>
    <t>120,7731</t>
  </si>
  <si>
    <t>20,8</t>
  </si>
  <si>
    <t>120,4722</t>
  </si>
  <si>
    <t>119,9822</t>
  </si>
  <si>
    <t>20</t>
  </si>
  <si>
    <t>120,963</t>
  </si>
  <si>
    <t>21</t>
  </si>
  <si>
    <t>119,9773</t>
  </si>
  <si>
    <t>121,1263</t>
  </si>
  <si>
    <t>21,1</t>
  </si>
  <si>
    <t>136,3959</t>
  </si>
  <si>
    <t>36,4</t>
  </si>
  <si>
    <t>141,0616</t>
  </si>
  <si>
    <t>10,2</t>
  </si>
  <si>
    <t>41,1</t>
  </si>
  <si>
    <t>132,7665</t>
  </si>
  <si>
    <t>32,8</t>
  </si>
  <si>
    <t>142,55</t>
  </si>
  <si>
    <t>42,5</t>
  </si>
  <si>
    <t>143,3261</t>
  </si>
  <si>
    <t>43,3</t>
  </si>
  <si>
    <t>139,6582</t>
  </si>
  <si>
    <t>6,5</t>
  </si>
  <si>
    <t>138,6978</t>
  </si>
  <si>
    <t>9,1</t>
  </si>
  <si>
    <t>38,7</t>
  </si>
  <si>
    <t>120,0339</t>
  </si>
  <si>
    <t>120,2664</t>
  </si>
  <si>
    <t>120,0991</t>
  </si>
  <si>
    <t>20,1</t>
  </si>
  <si>
    <t>120,3176</t>
  </si>
  <si>
    <t>120,3086</t>
  </si>
  <si>
    <t>118,5793</t>
  </si>
  <si>
    <t>120,0841</t>
  </si>
  <si>
    <t>132,3399</t>
  </si>
  <si>
    <t>32,3</t>
  </si>
  <si>
    <t>136,0102</t>
  </si>
  <si>
    <t>36</t>
  </si>
  <si>
    <t>129,7328</t>
  </si>
  <si>
    <t>136,4087</t>
  </si>
  <si>
    <t>138,457</t>
  </si>
  <si>
    <t>7,8</t>
  </si>
  <si>
    <t>38,5</t>
  </si>
  <si>
    <t>135,5803</t>
  </si>
  <si>
    <t>35,6</t>
  </si>
  <si>
    <t>134,189</t>
  </si>
  <si>
    <t>201801</t>
  </si>
  <si>
    <t>127,0147</t>
  </si>
  <si>
    <t>25,4</t>
  </si>
  <si>
    <t>127,3092</t>
  </si>
  <si>
    <t>25,1</t>
  </si>
  <si>
    <t>124,7172</t>
  </si>
  <si>
    <t>126,6479</t>
  </si>
  <si>
    <t>127,4142</t>
  </si>
  <si>
    <t>25,3</t>
  </si>
  <si>
    <t>126,6303</t>
  </si>
  <si>
    <t>126,9887</t>
  </si>
  <si>
    <t>124,7282</t>
  </si>
  <si>
    <t>121,3325</t>
  </si>
  <si>
    <t>122,2391</t>
  </si>
  <si>
    <t>122,4465</t>
  </si>
  <si>
    <t>122,1729</t>
  </si>
  <si>
    <t>118,4986</t>
  </si>
  <si>
    <t>122,8752</t>
  </si>
  <si>
    <t>21,3</t>
  </si>
  <si>
    <t>126,72</t>
  </si>
  <si>
    <t>126,8616</t>
  </si>
  <si>
    <t>25,2</t>
  </si>
  <si>
    <t>128,6477</t>
  </si>
  <si>
    <t>27,7</t>
  </si>
  <si>
    <t>124,366</t>
  </si>
  <si>
    <t>125,5126</t>
  </si>
  <si>
    <t>23,8</t>
  </si>
  <si>
    <t>125,2117</t>
  </si>
  <si>
    <t>126,558</t>
  </si>
  <si>
    <t>113,6271</t>
  </si>
  <si>
    <t>16,1</t>
  </si>
  <si>
    <t>119,3271</t>
  </si>
  <si>
    <t>114,0396</t>
  </si>
  <si>
    <t>13,7</t>
  </si>
  <si>
    <t>117,4853</t>
  </si>
  <si>
    <t>111,3325</t>
  </si>
  <si>
    <t>11,5</t>
  </si>
  <si>
    <t>114,249</t>
  </si>
  <si>
    <t>115,7454</t>
  </si>
  <si>
    <t>-0,8</t>
  </si>
  <si>
    <t>152,2688</t>
  </si>
  <si>
    <t>-1,6</t>
  </si>
  <si>
    <t>52,3</t>
  </si>
  <si>
    <t>160,0429</t>
  </si>
  <si>
    <t>56,6</t>
  </si>
  <si>
    <t>150,8653</t>
  </si>
  <si>
    <t>5,5</t>
  </si>
  <si>
    <t>170,9317</t>
  </si>
  <si>
    <t>68,3</t>
  </si>
  <si>
    <t>168,0202</t>
  </si>
  <si>
    <t>63,2</t>
  </si>
  <si>
    <t>163,279</t>
  </si>
  <si>
    <t>9,7</t>
  </si>
  <si>
    <t>48</t>
  </si>
  <si>
    <t>157,216</t>
  </si>
  <si>
    <t>54,9</t>
  </si>
  <si>
    <t>119,0239</t>
  </si>
  <si>
    <t>119,0718</t>
  </si>
  <si>
    <t>18,1</t>
  </si>
  <si>
    <t>115,7603</t>
  </si>
  <si>
    <t>14,1</t>
  </si>
  <si>
    <t>118,1949</t>
  </si>
  <si>
    <t>117,1258</t>
  </si>
  <si>
    <t>117,3558</t>
  </si>
  <si>
    <t>118,6538</t>
  </si>
  <si>
    <t>17,6</t>
  </si>
  <si>
    <t>129,5154</t>
  </si>
  <si>
    <t>131,1694</t>
  </si>
  <si>
    <t>127,9916</t>
  </si>
  <si>
    <t>127,5567</t>
  </si>
  <si>
    <t>24,2</t>
  </si>
  <si>
    <t>132,2434</t>
  </si>
  <si>
    <t>28,2</t>
  </si>
  <si>
    <t>130,1754</t>
  </si>
  <si>
    <t>130,037</t>
  </si>
  <si>
    <t>119,9686</t>
  </si>
  <si>
    <t>17,9</t>
  </si>
  <si>
    <t>125,0926</t>
  </si>
  <si>
    <t>125,8222</t>
  </si>
  <si>
    <t>125,4409</t>
  </si>
  <si>
    <t>130,1204</t>
  </si>
  <si>
    <t>26,8</t>
  </si>
  <si>
    <t>129,8992</t>
  </si>
  <si>
    <t>123,2423</t>
  </si>
  <si>
    <t>20,7</t>
  </si>
  <si>
    <t>136,6736</t>
  </si>
  <si>
    <t>31,6</t>
  </si>
  <si>
    <t>137,9953</t>
  </si>
  <si>
    <t>35,2</t>
  </si>
  <si>
    <t>134,3457</t>
  </si>
  <si>
    <t>30,8</t>
  </si>
  <si>
    <t>139,219</t>
  </si>
  <si>
    <t>33,7</t>
  </si>
  <si>
    <t>132,6422</t>
  </si>
  <si>
    <t>129,3685</t>
  </si>
  <si>
    <t>136,6524</t>
  </si>
  <si>
    <t>126,2139</t>
  </si>
  <si>
    <t>127,6349</t>
  </si>
  <si>
    <t>23,2</t>
  </si>
  <si>
    <t>126,1201</t>
  </si>
  <si>
    <t>128,4646</t>
  </si>
  <si>
    <t>126,5053</t>
  </si>
  <si>
    <t>24,6</t>
  </si>
  <si>
    <t>129,179</t>
  </si>
  <si>
    <t>27,9</t>
  </si>
  <si>
    <t>127,0012</t>
  </si>
  <si>
    <t>129,8915</t>
  </si>
  <si>
    <t>29,3</t>
  </si>
  <si>
    <t>133,4515</t>
  </si>
  <si>
    <t>33</t>
  </si>
  <si>
    <t>135,1629</t>
  </si>
  <si>
    <t>140,5603</t>
  </si>
  <si>
    <t>39,8</t>
  </si>
  <si>
    <t>134,8449</t>
  </si>
  <si>
    <t>34,8</t>
  </si>
  <si>
    <t>129,5386</t>
  </si>
  <si>
    <t>132,3079</t>
  </si>
  <si>
    <t>31,3</t>
  </si>
  <si>
    <t>126,6387</t>
  </si>
  <si>
    <t>22,6</t>
  </si>
  <si>
    <t>126,1637</t>
  </si>
  <si>
    <t>121,1752</t>
  </si>
  <si>
    <t>16,2</t>
  </si>
  <si>
    <t>122,2644</t>
  </si>
  <si>
    <t>19,3</t>
  </si>
  <si>
    <t>123,6989</t>
  </si>
  <si>
    <t>125,4157</t>
  </si>
  <si>
    <t>125,7038</t>
  </si>
  <si>
    <t>123,6102</t>
  </si>
  <si>
    <t>122,4357</t>
  </si>
  <si>
    <t>122,9868</t>
  </si>
  <si>
    <t>119,4494</t>
  </si>
  <si>
    <t>17,1</t>
  </si>
  <si>
    <t>120,7685</t>
  </si>
  <si>
    <t>18,4</t>
  </si>
  <si>
    <t>123,1726</t>
  </si>
  <si>
    <t>122,7189</t>
  </si>
  <si>
    <t>125,177</t>
  </si>
  <si>
    <t>23,3</t>
  </si>
  <si>
    <t>126,4568</t>
  </si>
  <si>
    <t>23,9</t>
  </si>
  <si>
    <t>120,0443</t>
  </si>
  <si>
    <t>123,83</t>
  </si>
  <si>
    <t>120,8611</t>
  </si>
  <si>
    <t>117,4065</t>
  </si>
  <si>
    <t>124,7001</t>
  </si>
  <si>
    <t>123,5396</t>
  </si>
  <si>
    <t>122,6614</t>
  </si>
  <si>
    <t>121,9888</t>
  </si>
  <si>
    <t>121,9401</t>
  </si>
  <si>
    <t>122,4315</t>
  </si>
  <si>
    <t>122,1913</t>
  </si>
  <si>
    <t>122,9418</t>
  </si>
  <si>
    <t>138,0631</t>
  </si>
  <si>
    <t>36,5</t>
  </si>
  <si>
    <t>144,3725</t>
  </si>
  <si>
    <t>41,2</t>
  </si>
  <si>
    <t>138,8153</t>
  </si>
  <si>
    <t>38,3</t>
  </si>
  <si>
    <t>146,8508</t>
  </si>
  <si>
    <t>43,6</t>
  </si>
  <si>
    <t>147,3033</t>
  </si>
  <si>
    <t>44,1</t>
  </si>
  <si>
    <t>147,3206</t>
  </si>
  <si>
    <t>38,8</t>
  </si>
  <si>
    <t>141,6541</t>
  </si>
  <si>
    <t>39,1</t>
  </si>
  <si>
    <t>122,2566</t>
  </si>
  <si>
    <t>122,1244</t>
  </si>
  <si>
    <t>122,1103</t>
  </si>
  <si>
    <t>122,0222</t>
  </si>
  <si>
    <t>121,4495</t>
  </si>
  <si>
    <t>120,2758</t>
  </si>
  <si>
    <t>18,7</t>
  </si>
  <si>
    <t>122,0571</t>
  </si>
  <si>
    <t>133,955</t>
  </si>
  <si>
    <t>31,7</t>
  </si>
  <si>
    <t>139,4778</t>
  </si>
  <si>
    <t>133,6484</t>
  </si>
  <si>
    <t>30,3</t>
  </si>
  <si>
    <t>140,6517</t>
  </si>
  <si>
    <t>37,1</t>
  </si>
  <si>
    <t>142,1836</t>
  </si>
  <si>
    <t>142,3982</t>
  </si>
  <si>
    <t>137,0514</t>
  </si>
  <si>
    <t>33,8</t>
  </si>
  <si>
    <t>201802</t>
  </si>
  <si>
    <t>130,2913</t>
  </si>
  <si>
    <t>130,294</t>
  </si>
  <si>
    <t>25,8</t>
  </si>
  <si>
    <t>127,2934</t>
  </si>
  <si>
    <t>129,236</t>
  </si>
  <si>
    <t>130,773</t>
  </si>
  <si>
    <t>26,6</t>
  </si>
  <si>
    <t>129,2057</t>
  </si>
  <si>
    <t>130,0606</t>
  </si>
  <si>
    <t>127,7802</t>
  </si>
  <si>
    <t>123,6952</t>
  </si>
  <si>
    <t>124,745</t>
  </si>
  <si>
    <t>124,6618</t>
  </si>
  <si>
    <t>124,8639</t>
  </si>
  <si>
    <t>120,8223</t>
  </si>
  <si>
    <t>18,2</t>
  </si>
  <si>
    <t>125,5566</t>
  </si>
  <si>
    <t>128,8967</t>
  </si>
  <si>
    <t>128,9811</t>
  </si>
  <si>
    <t>130,937</t>
  </si>
  <si>
    <t>126,9426</t>
  </si>
  <si>
    <t>127,7143</t>
  </si>
  <si>
    <t>127,1764</t>
  </si>
  <si>
    <t>128,7394</t>
  </si>
  <si>
    <t>112,9568</t>
  </si>
  <si>
    <t>118,033</t>
  </si>
  <si>
    <t>-1,1</t>
  </si>
  <si>
    <t>112,5759</t>
  </si>
  <si>
    <t>-1,3</t>
  </si>
  <si>
    <t>12,1</t>
  </si>
  <si>
    <t>116,7573</t>
  </si>
  <si>
    <t>113,2231</t>
  </si>
  <si>
    <t>115,3175</t>
  </si>
  <si>
    <t>12,6</t>
  </si>
  <si>
    <t>115,036</t>
  </si>
  <si>
    <t>16,4</t>
  </si>
  <si>
    <t>159,7757</t>
  </si>
  <si>
    <t>47,4</t>
  </si>
  <si>
    <t>165,2768</t>
  </si>
  <si>
    <t>58</t>
  </si>
  <si>
    <t>156,3803</t>
  </si>
  <si>
    <t>50,4</t>
  </si>
  <si>
    <t>174,9795</t>
  </si>
  <si>
    <t>62,5</t>
  </si>
  <si>
    <t>171,2547</t>
  </si>
  <si>
    <t>60,4</t>
  </si>
  <si>
    <t>164,2805</t>
  </si>
  <si>
    <t>46,7</t>
  </si>
  <si>
    <t>163,1754</t>
  </si>
  <si>
    <t>52,5</t>
  </si>
  <si>
    <t>121,135</t>
  </si>
  <si>
    <t>121,165</t>
  </si>
  <si>
    <t>117,5562</t>
  </si>
  <si>
    <t>15,5</t>
  </si>
  <si>
    <t>120,0469</t>
  </si>
  <si>
    <t>119,4672</t>
  </si>
  <si>
    <t>119,1917</t>
  </si>
  <si>
    <t>120,7253</t>
  </si>
  <si>
    <t>133,0564</t>
  </si>
  <si>
    <t>134,027</t>
  </si>
  <si>
    <t>130,8022</t>
  </si>
  <si>
    <t>129,6688</t>
  </si>
  <si>
    <t>134,2943</t>
  </si>
  <si>
    <t>27,3</t>
  </si>
  <si>
    <t>132,4289</t>
  </si>
  <si>
    <t>133,0853</t>
  </si>
  <si>
    <t>125,3874</t>
  </si>
  <si>
    <t>130,8695</t>
  </si>
  <si>
    <t>129,3279</t>
  </si>
  <si>
    <t>131,4907</t>
  </si>
  <si>
    <t>136,5915</t>
  </si>
  <si>
    <t>30,1</t>
  </si>
  <si>
    <t>134,6826</t>
  </si>
  <si>
    <t>128,7666</t>
  </si>
  <si>
    <t>147,1762</t>
  </si>
  <si>
    <t>7,7</t>
  </si>
  <si>
    <t>36,2</t>
  </si>
  <si>
    <t>152,9115</t>
  </si>
  <si>
    <t>10,8</t>
  </si>
  <si>
    <t>43,2</t>
  </si>
  <si>
    <t>146,6641</t>
  </si>
  <si>
    <t>36,9</t>
  </si>
  <si>
    <t>154,765</t>
  </si>
  <si>
    <t>11,2</t>
  </si>
  <si>
    <t>44,5</t>
  </si>
  <si>
    <t>143,8904</t>
  </si>
  <si>
    <t>8,5</t>
  </si>
  <si>
    <t>139,867</t>
  </si>
  <si>
    <t>8,1</t>
  </si>
  <si>
    <t>149,113</t>
  </si>
  <si>
    <t>39</t>
  </si>
  <si>
    <t>126,5606</t>
  </si>
  <si>
    <t>129,7844</t>
  </si>
  <si>
    <t>127,2774</t>
  </si>
  <si>
    <t>129,8506</t>
  </si>
  <si>
    <t>128,8322</t>
  </si>
  <si>
    <t>131,1237</t>
  </si>
  <si>
    <t>128,2519</t>
  </si>
  <si>
    <t>131,8309</t>
  </si>
  <si>
    <t>137,4766</t>
  </si>
  <si>
    <t>138,1402</t>
  </si>
  <si>
    <t>140,9524</t>
  </si>
  <si>
    <t>37</t>
  </si>
  <si>
    <t>31,4</t>
  </si>
  <si>
    <t>132,6279</t>
  </si>
  <si>
    <t>134,8324</t>
  </si>
  <si>
    <t>128,916</t>
  </si>
  <si>
    <t>128,549</t>
  </si>
  <si>
    <t>124,5937</t>
  </si>
  <si>
    <t>15</t>
  </si>
  <si>
    <t>125,1444</t>
  </si>
  <si>
    <t>129,9498</t>
  </si>
  <si>
    <t>128,1766</t>
  </si>
  <si>
    <t>128,3425</t>
  </si>
  <si>
    <t>22,4</t>
  </si>
  <si>
    <t>125,3827</t>
  </si>
  <si>
    <t>125,1645</t>
  </si>
  <si>
    <t>125,2907</t>
  </si>
  <si>
    <t>121,4153</t>
  </si>
  <si>
    <t>17,3</t>
  </si>
  <si>
    <t>122,478</t>
  </si>
  <si>
    <t>125,3071</t>
  </si>
  <si>
    <t>124,8704</t>
  </si>
  <si>
    <t>124,0173</t>
  </si>
  <si>
    <t>125,3417</t>
  </si>
  <si>
    <t>120,3421</t>
  </si>
  <si>
    <t>123,7252</t>
  </si>
  <si>
    <t>121,2899</t>
  </si>
  <si>
    <t>117,775</t>
  </si>
  <si>
    <t>123,8509</t>
  </si>
  <si>
    <t>126,2302</t>
  </si>
  <si>
    <t>125,1804</t>
  </si>
  <si>
    <t>124,0726</t>
  </si>
  <si>
    <t>124,0185</t>
  </si>
  <si>
    <t>125,6037</t>
  </si>
  <si>
    <t>124,5113</t>
  </si>
  <si>
    <t>125,5123</t>
  </si>
  <si>
    <t>145,0608</t>
  </si>
  <si>
    <t>151,5573</t>
  </si>
  <si>
    <t>43,9</t>
  </si>
  <si>
    <t>144,9493</t>
  </si>
  <si>
    <t>40,6</t>
  </si>
  <si>
    <t>153,3304</t>
  </si>
  <si>
    <t>43,7</t>
  </si>
  <si>
    <t>152,9218</t>
  </si>
  <si>
    <t>45,3</t>
  </si>
  <si>
    <t>152,1214</t>
  </si>
  <si>
    <t>39,9</t>
  </si>
  <si>
    <t>148,4773</t>
  </si>
  <si>
    <t>40,2</t>
  </si>
  <si>
    <t>124,5606</t>
  </si>
  <si>
    <t>124,1288</t>
  </si>
  <si>
    <t>124,0579</t>
  </si>
  <si>
    <t>123,9882</t>
  </si>
  <si>
    <t>124,1338</t>
  </si>
  <si>
    <t>122,5357</t>
  </si>
  <si>
    <t>19,2</t>
  </si>
  <si>
    <t>124,237</t>
  </si>
  <si>
    <t>138,6501</t>
  </si>
  <si>
    <t>31,1</t>
  </si>
  <si>
    <t>144,7636</t>
  </si>
  <si>
    <t>37,8</t>
  </si>
  <si>
    <t>138,378</t>
  </si>
  <si>
    <t>31,2</t>
  </si>
  <si>
    <t>145,1232</t>
  </si>
  <si>
    <t>37,7</t>
  </si>
  <si>
    <t>147,2123</t>
  </si>
  <si>
    <t>40</t>
  </si>
  <si>
    <t>145,7564</t>
  </si>
  <si>
    <t>35</t>
  </si>
  <si>
    <t>141,8872</t>
  </si>
  <si>
    <t>34,4</t>
  </si>
  <si>
    <t>201803</t>
  </si>
  <si>
    <t>133,5028</t>
  </si>
  <si>
    <t>132,8261</t>
  </si>
  <si>
    <t>130,3843</t>
  </si>
  <si>
    <t>133,248</t>
  </si>
  <si>
    <t>133,5455</t>
  </si>
  <si>
    <t>133,2304</t>
  </si>
  <si>
    <t>133,1054</t>
  </si>
  <si>
    <t>130,2899</t>
  </si>
  <si>
    <t>22</t>
  </si>
  <si>
    <t>126,885</t>
  </si>
  <si>
    <t>127,8202</t>
  </si>
  <si>
    <t>128,4881</t>
  </si>
  <si>
    <t>128,3797</t>
  </si>
  <si>
    <t>123,3872</t>
  </si>
  <si>
    <t>128,469</t>
  </si>
  <si>
    <t>129,7445</t>
  </si>
  <si>
    <t>129,9027</t>
  </si>
  <si>
    <t>131,8207</t>
  </si>
  <si>
    <t>24</t>
  </si>
  <si>
    <t>127,5225</t>
  </si>
  <si>
    <t>128,9019</t>
  </si>
  <si>
    <t>128,2198</t>
  </si>
  <si>
    <t>129,6226</t>
  </si>
  <si>
    <t>120,665</t>
  </si>
  <si>
    <t>121,4585</t>
  </si>
  <si>
    <t>113,4136</t>
  </si>
  <si>
    <t>9,9</t>
  </si>
  <si>
    <t>118,1545</t>
  </si>
  <si>
    <t>115,0064</t>
  </si>
  <si>
    <t>119,375</t>
  </si>
  <si>
    <t>13,9</t>
  </si>
  <si>
    <t>120,0687</t>
  </si>
  <si>
    <t>161,3686</t>
  </si>
  <si>
    <t>45,7</t>
  </si>
  <si>
    <t>163,5169</t>
  </si>
  <si>
    <t>51,8</t>
  </si>
  <si>
    <t>158,1823</t>
  </si>
  <si>
    <t>178,9125</t>
  </si>
  <si>
    <t>172,4761</t>
  </si>
  <si>
    <t>54,2</t>
  </si>
  <si>
    <t>172,2264</t>
  </si>
  <si>
    <t>49,3</t>
  </si>
  <si>
    <t>164,1018</t>
  </si>
  <si>
    <t>126,9603</t>
  </si>
  <si>
    <t>126,5696</t>
  </si>
  <si>
    <t>121,6517</t>
  </si>
  <si>
    <t>124,6761</t>
  </si>
  <si>
    <t>124,5471</t>
  </si>
  <si>
    <t>124,5389</t>
  </si>
  <si>
    <t>126,1821</t>
  </si>
  <si>
    <t>134,3951</t>
  </si>
  <si>
    <t>26</t>
  </si>
  <si>
    <t>135,8143</t>
  </si>
  <si>
    <t>26,4</t>
  </si>
  <si>
    <t>133,2952</t>
  </si>
  <si>
    <t>131,9262</t>
  </si>
  <si>
    <t>136,7567</t>
  </si>
  <si>
    <t>135,4428</t>
  </si>
  <si>
    <t>134,821</t>
  </si>
  <si>
    <t>127,0591</t>
  </si>
  <si>
    <t>133,3014</t>
  </si>
  <si>
    <t>134,3939</t>
  </si>
  <si>
    <t>136,6204</t>
  </si>
  <si>
    <t>28,4</t>
  </si>
  <si>
    <t>137,8387</t>
  </si>
  <si>
    <t>136,6484</t>
  </si>
  <si>
    <t>28,5</t>
  </si>
  <si>
    <t>131,0603</t>
  </si>
  <si>
    <t>150,5486</t>
  </si>
  <si>
    <t>157,7418</t>
  </si>
  <si>
    <t>42,1</t>
  </si>
  <si>
    <t>150,5669</t>
  </si>
  <si>
    <t>35,9</t>
  </si>
  <si>
    <t>159,8844</t>
  </si>
  <si>
    <t>41,3</t>
  </si>
  <si>
    <t>148,6409</t>
  </si>
  <si>
    <t>37,5</t>
  </si>
  <si>
    <t>143,5597</t>
  </si>
  <si>
    <t>33,1</t>
  </si>
  <si>
    <t>153,2069</t>
  </si>
  <si>
    <t>38,4</t>
  </si>
  <si>
    <t>128,1069</t>
  </si>
  <si>
    <t>130,4765</t>
  </si>
  <si>
    <t>129,8517</t>
  </si>
  <si>
    <t>135,5034</t>
  </si>
  <si>
    <t>28,9</t>
  </si>
  <si>
    <t>128,7396</t>
  </si>
  <si>
    <t>133,9383</t>
  </si>
  <si>
    <t>27,5</t>
  </si>
  <si>
    <t>129,8108</t>
  </si>
  <si>
    <t>151,1936</t>
  </si>
  <si>
    <t>14,7</t>
  </si>
  <si>
    <t>35,1</t>
  </si>
  <si>
    <t>151,88</t>
  </si>
  <si>
    <t>10,5</t>
  </si>
  <si>
    <t>164,069</t>
  </si>
  <si>
    <t>18,8</t>
  </si>
  <si>
    <t>32,4</t>
  </si>
  <si>
    <t>169,1288</t>
  </si>
  <si>
    <t>148,6082</t>
  </si>
  <si>
    <t>31,8</t>
  </si>
  <si>
    <t>157,6961</t>
  </si>
  <si>
    <t>153,4357</t>
  </si>
  <si>
    <t>13,8</t>
  </si>
  <si>
    <t>130,7344</t>
  </si>
  <si>
    <t>130,4066</t>
  </si>
  <si>
    <t>127,4808</t>
  </si>
  <si>
    <t>15,4</t>
  </si>
  <si>
    <t>128,4243</t>
  </si>
  <si>
    <t>133,8828</t>
  </si>
  <si>
    <t>133,493</t>
  </si>
  <si>
    <t>130,5949</t>
  </si>
  <si>
    <t>128,3929</t>
  </si>
  <si>
    <t>126,9762</t>
  </si>
  <si>
    <t>126,0938</t>
  </si>
  <si>
    <t>123,0472</t>
  </si>
  <si>
    <t>124,5802</t>
  </si>
  <si>
    <t>127,5974</t>
  </si>
  <si>
    <t>127,1891</t>
  </si>
  <si>
    <t>127,2642</t>
  </si>
  <si>
    <t>126,3991</t>
  </si>
  <si>
    <t>120,9623</t>
  </si>
  <si>
    <t>15,3</t>
  </si>
  <si>
    <t>124,5084</t>
  </si>
  <si>
    <t>19,4</t>
  </si>
  <si>
    <t>122,6291</t>
  </si>
  <si>
    <t>119,1625</t>
  </si>
  <si>
    <t>125,8663</t>
  </si>
  <si>
    <t>129,3424</t>
  </si>
  <si>
    <t>128,387</t>
  </si>
  <si>
    <t>127,1854</t>
  </si>
  <si>
    <t>127,8267</t>
  </si>
  <si>
    <t>128,7072</t>
  </si>
  <si>
    <t>128,5519</t>
  </si>
  <si>
    <t>128,746</t>
  </si>
  <si>
    <t>148,5483</t>
  </si>
  <si>
    <t>152,6046</t>
  </si>
  <si>
    <t>40,5</t>
  </si>
  <si>
    <t>149,6976</t>
  </si>
  <si>
    <t>37,3</t>
  </si>
  <si>
    <t>160,4343</t>
  </si>
  <si>
    <t>155,4277</t>
  </si>
  <si>
    <t>40,8</t>
  </si>
  <si>
    <t>157,7208</t>
  </si>
  <si>
    <t>39,3</t>
  </si>
  <si>
    <t>151,4854</t>
  </si>
  <si>
    <t>127,2606</t>
  </si>
  <si>
    <t>126,7467</t>
  </si>
  <si>
    <t>126,7151</t>
  </si>
  <si>
    <t>126,7602</t>
  </si>
  <si>
    <t>126,5849</t>
  </si>
  <si>
    <t>125,4498</t>
  </si>
  <si>
    <t>126,9088</t>
  </si>
  <si>
    <t>142,6077</t>
  </si>
  <si>
    <t>32,2</t>
  </si>
  <si>
    <t>147,0942</t>
  </si>
  <si>
    <t>142,9547</t>
  </si>
  <si>
    <t>29,6</t>
  </si>
  <si>
    <t>152,8888</t>
  </si>
  <si>
    <t>34,9</t>
  </si>
  <si>
    <t>150,7807</t>
  </si>
  <si>
    <t>152,5367</t>
  </si>
  <si>
    <t>145,6943</t>
  </si>
  <si>
    <t>201804</t>
  </si>
  <si>
    <t>136,938</t>
  </si>
  <si>
    <t>136,6295</t>
  </si>
  <si>
    <t>133,8357</t>
  </si>
  <si>
    <t>137,0205</t>
  </si>
  <si>
    <t>138,0246</t>
  </si>
  <si>
    <t>136,8583</t>
  </si>
  <si>
    <t>136,7512</t>
  </si>
  <si>
    <t>131,3352</t>
  </si>
  <si>
    <t>128,5288</t>
  </si>
  <si>
    <t>130,156</t>
  </si>
  <si>
    <t>129,8796</t>
  </si>
  <si>
    <t>130,6871</t>
  </si>
  <si>
    <t>126,3535</t>
  </si>
  <si>
    <t>129,9559</t>
  </si>
  <si>
    <t>131,1986</t>
  </si>
  <si>
    <t>131,7559</t>
  </si>
  <si>
    <t>133,9773</t>
  </si>
  <si>
    <t>129,0775</t>
  </si>
  <si>
    <t>130,5132</t>
  </si>
  <si>
    <t>130,2582</t>
  </si>
  <si>
    <t>131,2858</t>
  </si>
  <si>
    <t>124,603</t>
  </si>
  <si>
    <t>127,8707</t>
  </si>
  <si>
    <t>115,7987</t>
  </si>
  <si>
    <t>123,2706</t>
  </si>
  <si>
    <t>119,4644</t>
  </si>
  <si>
    <t>124,3517</t>
  </si>
  <si>
    <t>124,9254</t>
  </si>
  <si>
    <t>172,2109</t>
  </si>
  <si>
    <t>48,6</t>
  </si>
  <si>
    <t>177,5987</t>
  </si>
  <si>
    <t>53,4</t>
  </si>
  <si>
    <t>174,4149</t>
  </si>
  <si>
    <t>49,6</t>
  </si>
  <si>
    <t>199,3067</t>
  </si>
  <si>
    <t>11,4</t>
  </si>
  <si>
    <t>51,2</t>
  </si>
  <si>
    <t>192,6066</t>
  </si>
  <si>
    <t>57,2</t>
  </si>
  <si>
    <t>181,6787</t>
  </si>
  <si>
    <t>52,2</t>
  </si>
  <si>
    <t>177,2462</t>
  </si>
  <si>
    <t>51</t>
  </si>
  <si>
    <t>128,378</t>
  </si>
  <si>
    <t>24,4</t>
  </si>
  <si>
    <t>128,1799</t>
  </si>
  <si>
    <t>123,2459</t>
  </si>
  <si>
    <t>126,091</t>
  </si>
  <si>
    <t>125,9871</t>
  </si>
  <si>
    <t>127,7007</t>
  </si>
  <si>
    <t>127,7561</t>
  </si>
  <si>
    <t>136,3736</t>
  </si>
  <si>
    <t>138,5342</t>
  </si>
  <si>
    <t>26,3</t>
  </si>
  <si>
    <t>135,8129</t>
  </si>
  <si>
    <t>134,3024</t>
  </si>
  <si>
    <t>140,0968</t>
  </si>
  <si>
    <t>27,4</t>
  </si>
  <si>
    <t>138,6275</t>
  </si>
  <si>
    <t>137,2231</t>
  </si>
  <si>
    <t>133,7633</t>
  </si>
  <si>
    <t>137,4807</t>
  </si>
  <si>
    <t>29,1</t>
  </si>
  <si>
    <t>138,0523</t>
  </si>
  <si>
    <t>140,0829</t>
  </si>
  <si>
    <t>30,9</t>
  </si>
  <si>
    <t>142,3967</t>
  </si>
  <si>
    <t>140,1173</t>
  </si>
  <si>
    <t>136,3269</t>
  </si>
  <si>
    <t>28,8</t>
  </si>
  <si>
    <t>151,5764</t>
  </si>
  <si>
    <t>159,7317</t>
  </si>
  <si>
    <t>154,3117</t>
  </si>
  <si>
    <t>164,0095</t>
  </si>
  <si>
    <t>148,5419</t>
  </si>
  <si>
    <t>143,6053</t>
  </si>
  <si>
    <t>154,7928</t>
  </si>
  <si>
    <t>130,8525</t>
  </si>
  <si>
    <t>131,2139</t>
  </si>
  <si>
    <t>139,4962</t>
  </si>
  <si>
    <t>29,5</t>
  </si>
  <si>
    <t>131,4541</t>
  </si>
  <si>
    <t>135,4028</t>
  </si>
  <si>
    <t>132,3056</t>
  </si>
  <si>
    <t>152,0724</t>
  </si>
  <si>
    <t>152,3955</t>
  </si>
  <si>
    <t>30,4</t>
  </si>
  <si>
    <t>164,9556</t>
  </si>
  <si>
    <t>171,5843</t>
  </si>
  <si>
    <t>157,8711</t>
  </si>
  <si>
    <t>28,3</t>
  </si>
  <si>
    <t>157,5463</t>
  </si>
  <si>
    <t>154,6926</t>
  </si>
  <si>
    <t>133,5964</t>
  </si>
  <si>
    <t>134,0968</t>
  </si>
  <si>
    <t>129,0431</t>
  </si>
  <si>
    <t>130,6261</t>
  </si>
  <si>
    <t>135,7439</t>
  </si>
  <si>
    <t>136,3142</t>
  </si>
  <si>
    <t>133,5827</t>
  </si>
  <si>
    <t>130,1922</t>
  </si>
  <si>
    <t>129,5735</t>
  </si>
  <si>
    <t>128,0969</t>
  </si>
  <si>
    <t>125,4644</t>
  </si>
  <si>
    <t>126,4113</t>
  </si>
  <si>
    <t>129,7781</t>
  </si>
  <si>
    <t>129,3332</t>
  </si>
  <si>
    <t>126,8401</t>
  </si>
  <si>
    <t>129,1695</t>
  </si>
  <si>
    <t>121,6058</t>
  </si>
  <si>
    <t>13,5</t>
  </si>
  <si>
    <t>126,1915</t>
  </si>
  <si>
    <t>123,0916</t>
  </si>
  <si>
    <t>122,707</t>
  </si>
  <si>
    <t>126,9623</t>
  </si>
  <si>
    <t>132,0556</t>
  </si>
  <si>
    <t>131,1335</t>
  </si>
  <si>
    <t>129,7902</t>
  </si>
  <si>
    <t>130,4305</t>
  </si>
  <si>
    <t>131,8378</t>
  </si>
  <si>
    <t>131,4593</t>
  </si>
  <si>
    <t>131,4884</t>
  </si>
  <si>
    <t>155,8449</t>
  </si>
  <si>
    <t>36,8</t>
  </si>
  <si>
    <t>160,8088</t>
  </si>
  <si>
    <t>41,6</t>
  </si>
  <si>
    <t>158,4824</t>
  </si>
  <si>
    <t>170,2145</t>
  </si>
  <si>
    <t>40,4</t>
  </si>
  <si>
    <t>166,5553</t>
  </si>
  <si>
    <t>7,2</t>
  </si>
  <si>
    <t>163,8343</t>
  </si>
  <si>
    <t>40,9</t>
  </si>
  <si>
    <t>159,451</t>
  </si>
  <si>
    <t>129,7698</t>
  </si>
  <si>
    <t>129,7918</t>
  </si>
  <si>
    <t>129,4095</t>
  </si>
  <si>
    <t>129,2881</t>
  </si>
  <si>
    <t>129,8785</t>
  </si>
  <si>
    <t>128,8039</t>
  </si>
  <si>
    <t>129,6896</t>
  </si>
  <si>
    <t>147,3934</t>
  </si>
  <si>
    <t>152,6776</t>
  </si>
  <si>
    <t>36,7</t>
  </si>
  <si>
    <t>148,9995</t>
  </si>
  <si>
    <t>160,4295</t>
  </si>
  <si>
    <t>158,1951</t>
  </si>
  <si>
    <t>38</t>
  </si>
  <si>
    <t>156,8442</t>
  </si>
  <si>
    <t>151,1036</t>
  </si>
  <si>
    <t>201805</t>
  </si>
  <si>
    <t>139,58</t>
  </si>
  <si>
    <t>139,6555</t>
  </si>
  <si>
    <t>137,2536</t>
  </si>
  <si>
    <t>140,178</t>
  </si>
  <si>
    <t>140,5213</t>
  </si>
  <si>
    <t>26,2</t>
  </si>
  <si>
    <t>139,5783</t>
  </si>
  <si>
    <t>139,5893</t>
  </si>
  <si>
    <t>136,169</t>
  </si>
  <si>
    <t>23,4</t>
  </si>
  <si>
    <t>132,2808</t>
  </si>
  <si>
    <t>134,6723</t>
  </si>
  <si>
    <t>133,6202</t>
  </si>
  <si>
    <t>134,4059</t>
  </si>
  <si>
    <t>129,6518</t>
  </si>
  <si>
    <t>134,2019</t>
  </si>
  <si>
    <t>133,0263</t>
  </si>
  <si>
    <t>133,9158</t>
  </si>
  <si>
    <t>137,3547</t>
  </si>
  <si>
    <t>131,3504</t>
  </si>
  <si>
    <t>133,1407</t>
  </si>
  <si>
    <t>132,9564</t>
  </si>
  <si>
    <t>133,4078</t>
  </si>
  <si>
    <t>126,7286</t>
  </si>
  <si>
    <t>130,9079</t>
  </si>
  <si>
    <t>118,8979</t>
  </si>
  <si>
    <t>10,7</t>
  </si>
  <si>
    <t>126,7907</t>
  </si>
  <si>
    <t>119,8026</t>
  </si>
  <si>
    <t>13,3</t>
  </si>
  <si>
    <t>125,4955</t>
  </si>
  <si>
    <t>127,3628</t>
  </si>
  <si>
    <t>170,0052</t>
  </si>
  <si>
    <t>44</t>
  </si>
  <si>
    <t>175,9514</t>
  </si>
  <si>
    <t>50,2</t>
  </si>
  <si>
    <t>176,355</t>
  </si>
  <si>
    <t>49,7</t>
  </si>
  <si>
    <t>202,7461</t>
  </si>
  <si>
    <t>49,5</t>
  </si>
  <si>
    <t>192,1193</t>
  </si>
  <si>
    <t>181,6514</t>
  </si>
  <si>
    <t>175,9498</t>
  </si>
  <si>
    <t>47,2</t>
  </si>
  <si>
    <t>131,3665</t>
  </si>
  <si>
    <t>130,806</t>
  </si>
  <si>
    <t>125,3505</t>
  </si>
  <si>
    <t>128,5875</t>
  </si>
  <si>
    <t>129,6516</t>
  </si>
  <si>
    <t>130,5858</t>
  </si>
  <si>
    <t>130,576</t>
  </si>
  <si>
    <t>139,4698</t>
  </si>
  <si>
    <t>27</t>
  </si>
  <si>
    <t>141,2139</t>
  </si>
  <si>
    <t>139,2183</t>
  </si>
  <si>
    <t>138,2753</t>
  </si>
  <si>
    <t>142,2541</t>
  </si>
  <si>
    <t>142,8435</t>
  </si>
  <si>
    <t>26,9</t>
  </si>
  <si>
    <t>140,2549</t>
  </si>
  <si>
    <t>26,7</t>
  </si>
  <si>
    <t>136,4371</t>
  </si>
  <si>
    <t>139,6625</t>
  </si>
  <si>
    <t>140,3248</t>
  </si>
  <si>
    <t>143,1119</t>
  </si>
  <si>
    <t>145,518</t>
  </si>
  <si>
    <t>33,5</t>
  </si>
  <si>
    <t>144,1365</t>
  </si>
  <si>
    <t>138,9243</t>
  </si>
  <si>
    <t>30</t>
  </si>
  <si>
    <t>157,0028</t>
  </si>
  <si>
    <t>167,5772</t>
  </si>
  <si>
    <t>158,7191</t>
  </si>
  <si>
    <t>169,8319</t>
  </si>
  <si>
    <t>152,3378</t>
  </si>
  <si>
    <t>29,8</t>
  </si>
  <si>
    <t>147,6632</t>
  </si>
  <si>
    <t>28</t>
  </si>
  <si>
    <t>160,8721</t>
  </si>
  <si>
    <t>133,4245</t>
  </si>
  <si>
    <t>137,2793</t>
  </si>
  <si>
    <t>134,9106</t>
  </si>
  <si>
    <t>140,453</t>
  </si>
  <si>
    <t>134,717</t>
  </si>
  <si>
    <t>139,329</t>
  </si>
  <si>
    <t>135,6359</t>
  </si>
  <si>
    <t>152,5495</t>
  </si>
  <si>
    <t>155,4438</t>
  </si>
  <si>
    <t>30,5</t>
  </si>
  <si>
    <t>165,3649</t>
  </si>
  <si>
    <t>32,1</t>
  </si>
  <si>
    <t>172,2076</t>
  </si>
  <si>
    <t>158,4645</t>
  </si>
  <si>
    <t>158,6671</t>
  </si>
  <si>
    <t>156,0746</t>
  </si>
  <si>
    <t>136,359</t>
  </si>
  <si>
    <t>138,4391</t>
  </si>
  <si>
    <t>132,6337</t>
  </si>
  <si>
    <t>132,4006</t>
  </si>
  <si>
    <t>137,7982</t>
  </si>
  <si>
    <t>138,3012</t>
  </si>
  <si>
    <t>136,7886</t>
  </si>
  <si>
    <t>24,9</t>
  </si>
  <si>
    <t>132,2034</t>
  </si>
  <si>
    <t>132,6791</t>
  </si>
  <si>
    <t>130,6259</t>
  </si>
  <si>
    <t>128,1681</t>
  </si>
  <si>
    <t>18,5</t>
  </si>
  <si>
    <t>129,5548</t>
  </si>
  <si>
    <t>132,3564</t>
  </si>
  <si>
    <t>131,8763</t>
  </si>
  <si>
    <t>130,801</t>
  </si>
  <si>
    <t>132,0247</t>
  </si>
  <si>
    <t>124,4665</t>
  </si>
  <si>
    <t>128,913</t>
  </si>
  <si>
    <t>124,4883</t>
  </si>
  <si>
    <t>124,5055</t>
  </si>
  <si>
    <t>16</t>
  </si>
  <si>
    <t>130,1734</t>
  </si>
  <si>
    <t>135,4453</t>
  </si>
  <si>
    <t>134,8718</t>
  </si>
  <si>
    <t>133,7912</t>
  </si>
  <si>
    <t>133,5703</t>
  </si>
  <si>
    <t>134,9233</t>
  </si>
  <si>
    <t>134,5765</t>
  </si>
  <si>
    <t>134,9794</t>
  </si>
  <si>
    <t>155,6943</t>
  </si>
  <si>
    <t>161,4068</t>
  </si>
  <si>
    <t>159,9853</t>
  </si>
  <si>
    <t>173,7513</t>
  </si>
  <si>
    <t>41</t>
  </si>
  <si>
    <t>167,7597</t>
  </si>
  <si>
    <t>42,4</t>
  </si>
  <si>
    <t>165,7817</t>
  </si>
  <si>
    <t>41,8</t>
  </si>
  <si>
    <t>160,024</t>
  </si>
  <si>
    <t>133,5831</t>
  </si>
  <si>
    <t>133,0569</t>
  </si>
  <si>
    <t>133,1758</t>
  </si>
  <si>
    <t>132,7408</t>
  </si>
  <si>
    <t>132,9953</t>
  </si>
  <si>
    <t>131,9304</t>
  </si>
  <si>
    <t>133,2216</t>
  </si>
  <si>
    <t>148,3271</t>
  </si>
  <si>
    <t>155,1424</t>
  </si>
  <si>
    <t>151,2237</t>
  </si>
  <si>
    <t>162,6931</t>
  </si>
  <si>
    <t>159,1565</t>
  </si>
  <si>
    <t>158,5556</t>
  </si>
  <si>
    <t>35,8</t>
  </si>
  <si>
    <t>152,736</t>
  </si>
  <si>
    <t>34,3</t>
  </si>
  <si>
    <t>201806</t>
  </si>
  <si>
    <t>145,0582</t>
  </si>
  <si>
    <t>144,8408</t>
  </si>
  <si>
    <t>141,5055</t>
  </si>
  <si>
    <t>144,9444</t>
  </si>
  <si>
    <t>28,6</t>
  </si>
  <si>
    <t>145,6472</t>
  </si>
  <si>
    <t>144,143</t>
  </si>
  <si>
    <t>144,8053</t>
  </si>
  <si>
    <t>142,6321</t>
  </si>
  <si>
    <t>27,6</t>
  </si>
  <si>
    <t>140,004</t>
  </si>
  <si>
    <t>140,0188</t>
  </si>
  <si>
    <t>140,8608</t>
  </si>
  <si>
    <t>142,5023</t>
  </si>
  <si>
    <t>135,4639</t>
  </si>
  <si>
    <t>141,151</t>
  </si>
  <si>
    <t>134,4741</t>
  </si>
  <si>
    <t>134,8406</t>
  </si>
  <si>
    <t>138,7759</t>
  </si>
  <si>
    <t>132,5093</t>
  </si>
  <si>
    <t>134,3355</t>
  </si>
  <si>
    <t>133,8452</t>
  </si>
  <si>
    <t>134,6168</t>
  </si>
  <si>
    <t>129,4344</t>
  </si>
  <si>
    <t>133,5153</t>
  </si>
  <si>
    <t>120,5296</t>
  </si>
  <si>
    <t>11,9</t>
  </si>
  <si>
    <t>128,8026</t>
  </si>
  <si>
    <t>120,6733</t>
  </si>
  <si>
    <t>127,315</t>
  </si>
  <si>
    <t>129,8016</t>
  </si>
  <si>
    <t>18,3</t>
  </si>
  <si>
    <t>176,5691</t>
  </si>
  <si>
    <t>46</t>
  </si>
  <si>
    <t>178,9518</t>
  </si>
  <si>
    <t>50,9</t>
  </si>
  <si>
    <t>179,7354</t>
  </si>
  <si>
    <t>48,7</t>
  </si>
  <si>
    <t>206,5979</t>
  </si>
  <si>
    <t>51,5</t>
  </si>
  <si>
    <t>195,2993</t>
  </si>
  <si>
    <t>53,6</t>
  </si>
  <si>
    <t>182,4656</t>
  </si>
  <si>
    <t>46,3</t>
  </si>
  <si>
    <t>180,6206</t>
  </si>
  <si>
    <t>48,5</t>
  </si>
  <si>
    <t>136,5173</t>
  </si>
  <si>
    <t>136,3065</t>
  </si>
  <si>
    <t>129,7316</t>
  </si>
  <si>
    <t>132,978</t>
  </si>
  <si>
    <t>135,44</t>
  </si>
  <si>
    <t>136,551</t>
  </si>
  <si>
    <t>135,829</t>
  </si>
  <si>
    <t>146,1936</t>
  </si>
  <si>
    <t>146,6442</t>
  </si>
  <si>
    <t>146,7479</t>
  </si>
  <si>
    <t>142,526</t>
  </si>
  <si>
    <t>26,5</t>
  </si>
  <si>
    <t>147,5675</t>
  </si>
  <si>
    <t>148,4642</t>
  </si>
  <si>
    <t>146,2916</t>
  </si>
  <si>
    <t>145,3092</t>
  </si>
  <si>
    <t>147,8952</t>
  </si>
  <si>
    <t>146,6386</t>
  </si>
  <si>
    <t>37,6</t>
  </si>
  <si>
    <t>149,8176</t>
  </si>
  <si>
    <t>37,2</t>
  </si>
  <si>
    <t>151,9012</t>
  </si>
  <si>
    <t>152,3795</t>
  </si>
  <si>
    <t>147,1719</t>
  </si>
  <si>
    <t>157,3577</t>
  </si>
  <si>
    <t>30,6</t>
  </si>
  <si>
    <t>168,2496</t>
  </si>
  <si>
    <t>159,8092</t>
  </si>
  <si>
    <t>170,7499</t>
  </si>
  <si>
    <t>153,1673</t>
  </si>
  <si>
    <t>149,1522</t>
  </si>
  <si>
    <t>161,4822</t>
  </si>
  <si>
    <t>34,5</t>
  </si>
  <si>
    <t>138,5918</t>
  </si>
  <si>
    <t>141,4559</t>
  </si>
  <si>
    <t>137,1451</t>
  </si>
  <si>
    <t>142,8296</t>
  </si>
  <si>
    <t>29,4</t>
  </si>
  <si>
    <t>139,9474</t>
  </si>
  <si>
    <t>145,4526</t>
  </si>
  <si>
    <t>140,1805</t>
  </si>
  <si>
    <t>154,778</t>
  </si>
  <si>
    <t>157,6552</t>
  </si>
  <si>
    <t>166,1356</t>
  </si>
  <si>
    <t>173,216</t>
  </si>
  <si>
    <t>159,464</t>
  </si>
  <si>
    <t>158,7554</t>
  </si>
  <si>
    <t>157,9789</t>
  </si>
  <si>
    <t>140,6163</t>
  </si>
  <si>
    <t>141,3371</t>
  </si>
  <si>
    <t>136,1575</t>
  </si>
  <si>
    <t>135,7591</t>
  </si>
  <si>
    <t>142,0747</t>
  </si>
  <si>
    <t>30,7</t>
  </si>
  <si>
    <t>141,3167</t>
  </si>
  <si>
    <t>140,423</t>
  </si>
  <si>
    <t>135,9377</t>
  </si>
  <si>
    <t>137,1062</t>
  </si>
  <si>
    <t>135,1353</t>
  </si>
  <si>
    <t>132,4473</t>
  </si>
  <si>
    <t>134,6179</t>
  </si>
  <si>
    <t>137,783</t>
  </si>
  <si>
    <t>136,0669</t>
  </si>
  <si>
    <t>134,963</t>
  </si>
  <si>
    <t>136,8454</t>
  </si>
  <si>
    <t>126,7746</t>
  </si>
  <si>
    <t>133,4534</t>
  </si>
  <si>
    <t>130,0102</t>
  </si>
  <si>
    <t>128,0752</t>
  </si>
  <si>
    <t>134,5438</t>
  </si>
  <si>
    <t>141,1129</t>
  </si>
  <si>
    <t>140,3332</t>
  </si>
  <si>
    <t>138,4881</t>
  </si>
  <si>
    <t>138,6868</t>
  </si>
  <si>
    <t>25,9</t>
  </si>
  <si>
    <t>140,5517</t>
  </si>
  <si>
    <t>139,9304</t>
  </si>
  <si>
    <t>140,4784</t>
  </si>
  <si>
    <t>161,208</t>
  </si>
  <si>
    <t>165,836</t>
  </si>
  <si>
    <t>163,849</t>
  </si>
  <si>
    <t>177,3258</t>
  </si>
  <si>
    <t>171,0292</t>
  </si>
  <si>
    <t>44,2</t>
  </si>
  <si>
    <t>168,2945</t>
  </si>
  <si>
    <t>42,7</t>
  </si>
  <si>
    <t>164,7325</t>
  </si>
  <si>
    <t>139,1698</t>
  </si>
  <si>
    <t>139,2079</t>
  </si>
  <si>
    <t>137,7539</t>
  </si>
  <si>
    <t>138,237</t>
  </si>
  <si>
    <t>139,0123</t>
  </si>
  <si>
    <t>137,5634</t>
  </si>
  <si>
    <t>138,9729</t>
  </si>
  <si>
    <t>153,647</t>
  </si>
  <si>
    <t>158,0611</t>
  </si>
  <si>
    <t>37,9</t>
  </si>
  <si>
    <t>154,3584</t>
  </si>
  <si>
    <t>32,5</t>
  </si>
  <si>
    <t>165,2501</t>
  </si>
  <si>
    <t>162,0757</t>
  </si>
  <si>
    <t>160,469</t>
  </si>
  <si>
    <t>35,5</t>
  </si>
  <si>
    <t>156,6875</t>
  </si>
  <si>
    <t>201807</t>
  </si>
  <si>
    <t>149,1178</t>
  </si>
  <si>
    <t>149,6247</t>
  </si>
  <si>
    <t>146,3416</t>
  </si>
  <si>
    <t>149,9066</t>
  </si>
  <si>
    <t>150,9503</t>
  </si>
  <si>
    <t>148,7858</t>
  </si>
  <si>
    <t>149,2966</t>
  </si>
  <si>
    <t>148,2702</t>
  </si>
  <si>
    <t>145,5552</t>
  </si>
  <si>
    <t>145,3461</t>
  </si>
  <si>
    <t>146,8812</t>
  </si>
  <si>
    <t>148,5976</t>
  </si>
  <si>
    <t>140,8969</t>
  </si>
  <si>
    <t>146,7848</t>
  </si>
  <si>
    <t>138,0029</t>
  </si>
  <si>
    <t>138,134</t>
  </si>
  <si>
    <t>142,7192</t>
  </si>
  <si>
    <t>136,26</t>
  </si>
  <si>
    <t>138,0368</t>
  </si>
  <si>
    <t>137,686</t>
  </si>
  <si>
    <t>138,1218</t>
  </si>
  <si>
    <t>128,5779</t>
  </si>
  <si>
    <t>133,0314</t>
  </si>
  <si>
    <t>122,1503</t>
  </si>
  <si>
    <t>130,7871</t>
  </si>
  <si>
    <t>123,9204</t>
  </si>
  <si>
    <t>17,2</t>
  </si>
  <si>
    <t>126,7048</t>
  </si>
  <si>
    <t>129,6084</t>
  </si>
  <si>
    <t>176,5774</t>
  </si>
  <si>
    <t>182,821</t>
  </si>
  <si>
    <t>182,4848</t>
  </si>
  <si>
    <t>208,6886</t>
  </si>
  <si>
    <t>50,5</t>
  </si>
  <si>
    <t>198,1353</t>
  </si>
  <si>
    <t>54,3</t>
  </si>
  <si>
    <t>185,9403</t>
  </si>
  <si>
    <t>182,4306</t>
  </si>
  <si>
    <t>47</t>
  </si>
  <si>
    <t>142,4208</t>
  </si>
  <si>
    <t>141,9281</t>
  </si>
  <si>
    <t>134,442</t>
  </si>
  <si>
    <t>138,6219</t>
  </si>
  <si>
    <t>140,6677</t>
  </si>
  <si>
    <t>142,7558</t>
  </si>
  <si>
    <t>141,5414</t>
  </si>
  <si>
    <t>149,7694</t>
  </si>
  <si>
    <t>151,367</t>
  </si>
  <si>
    <t>150,924</t>
  </si>
  <si>
    <t>147,5126</t>
  </si>
  <si>
    <t>151,8435</t>
  </si>
  <si>
    <t>151,7314</t>
  </si>
  <si>
    <t>150,399</t>
  </si>
  <si>
    <t>151,5932</t>
  </si>
  <si>
    <t>40,3</t>
  </si>
  <si>
    <t>156,527</t>
  </si>
  <si>
    <t>158,0892</t>
  </si>
  <si>
    <t>42,8</t>
  </si>
  <si>
    <t>157,565</t>
  </si>
  <si>
    <t>160,566</t>
  </si>
  <si>
    <t>42,2</t>
  </si>
  <si>
    <t>161,9744</t>
  </si>
  <si>
    <t>6,3</t>
  </si>
  <si>
    <t>44,4</t>
  </si>
  <si>
    <t>154,8231</t>
  </si>
  <si>
    <t>158,0181</t>
  </si>
  <si>
    <t>169,1785</t>
  </si>
  <si>
    <t>38,6</t>
  </si>
  <si>
    <t>161,5288</t>
  </si>
  <si>
    <t>32,7</t>
  </si>
  <si>
    <t>172,4652</t>
  </si>
  <si>
    <t>41,7</t>
  </si>
  <si>
    <t>155,1623</t>
  </si>
  <si>
    <t>150,4334</t>
  </si>
  <si>
    <t>162,4498</t>
  </si>
  <si>
    <t>34</t>
  </si>
  <si>
    <t>145,2476</t>
  </si>
  <si>
    <t>149,83</t>
  </si>
  <si>
    <t>29,9</t>
  </si>
  <si>
    <t>141,8834</t>
  </si>
  <si>
    <t>148,015</t>
  </si>
  <si>
    <t>147,2062</t>
  </si>
  <si>
    <t>152,5269</t>
  </si>
  <si>
    <t>147,2814</t>
  </si>
  <si>
    <t>158,2487</t>
  </si>
  <si>
    <t>159,9452</t>
  </si>
  <si>
    <t>167,5365</t>
  </si>
  <si>
    <t>176,4408</t>
  </si>
  <si>
    <t>161,1032</t>
  </si>
  <si>
    <t>160,7528</t>
  </si>
  <si>
    <t>160,7826</t>
  </si>
  <si>
    <t>144,8046</t>
  </si>
  <si>
    <t>144,7343</t>
  </si>
  <si>
    <t>139,4626</t>
  </si>
  <si>
    <t>141,6122</t>
  </si>
  <si>
    <t>148,0265</t>
  </si>
  <si>
    <t>32,9</t>
  </si>
  <si>
    <t>143,9418</t>
  </si>
  <si>
    <t>144,436</t>
  </si>
  <si>
    <t>141,7807</t>
  </si>
  <si>
    <t>142,2893</t>
  </si>
  <si>
    <t>140,7472</t>
  </si>
  <si>
    <t>137,3584</t>
  </si>
  <si>
    <t>138,5137</t>
  </si>
  <si>
    <t>141,7763</t>
  </si>
  <si>
    <t>141,4245</t>
  </si>
  <si>
    <t>140,4659</t>
  </si>
  <si>
    <t>141,1157</t>
  </si>
  <si>
    <t>129,7672</t>
  </si>
  <si>
    <t>140,225</t>
  </si>
  <si>
    <t>138,1343</t>
  </si>
  <si>
    <t>131,2143</t>
  </si>
  <si>
    <t>139,6235</t>
  </si>
  <si>
    <t>145,2069</t>
  </si>
  <si>
    <t>145,1108</t>
  </si>
  <si>
    <t>143,184</t>
  </si>
  <si>
    <t>143,4915</t>
  </si>
  <si>
    <t>145,635</t>
  </si>
  <si>
    <t>144,7246</t>
  </si>
  <si>
    <t>144,964</t>
  </si>
  <si>
    <t>164,5163</t>
  </si>
  <si>
    <t>170,9611</t>
  </si>
  <si>
    <t>170,541</t>
  </si>
  <si>
    <t>181,6057</t>
  </si>
  <si>
    <t>175,4546</t>
  </si>
  <si>
    <t>45</t>
  </si>
  <si>
    <t>173,3549</t>
  </si>
  <si>
    <t>43,1</t>
  </si>
  <si>
    <t>168,9885</t>
  </si>
  <si>
    <t>144,3138</t>
  </si>
  <si>
    <t>144,1996</t>
  </si>
  <si>
    <t>143,0003</t>
  </si>
  <si>
    <t>143,7571</t>
  </si>
  <si>
    <t>144,8617</t>
  </si>
  <si>
    <t>143,0273</t>
  </si>
  <si>
    <t>144,1465</t>
  </si>
  <si>
    <t>156,1248</t>
  </si>
  <si>
    <t>162,3575</t>
  </si>
  <si>
    <t>157,7885</t>
  </si>
  <si>
    <t>33,2</t>
  </si>
  <si>
    <t>168,5237</t>
  </si>
  <si>
    <t>166,0262</t>
  </si>
  <si>
    <t>163,0746</t>
  </si>
  <si>
    <t>34,7</t>
  </si>
  <si>
    <t>159,953</t>
  </si>
  <si>
    <t>201808</t>
  </si>
  <si>
    <t>155,1747</t>
  </si>
  <si>
    <t>155,2167</t>
  </si>
  <si>
    <t>152,1739</t>
  </si>
  <si>
    <t>155,8659</t>
  </si>
  <si>
    <t>156,0822</t>
  </si>
  <si>
    <t>154,2103</t>
  </si>
  <si>
    <t>155,1034</t>
  </si>
  <si>
    <t>153,4382</t>
  </si>
  <si>
    <t>151,7748</t>
  </si>
  <si>
    <t>152,0884</t>
  </si>
  <si>
    <t>154,6288</t>
  </si>
  <si>
    <t>154,9999</t>
  </si>
  <si>
    <t>147,1334</t>
  </si>
  <si>
    <t>152,6743</t>
  </si>
  <si>
    <t>139,4902</t>
  </si>
  <si>
    <t>140,4019</t>
  </si>
  <si>
    <t>145,3045</t>
  </si>
  <si>
    <t>138,154</t>
  </si>
  <si>
    <t>139,7275</t>
  </si>
  <si>
    <t>139,7977</t>
  </si>
  <si>
    <t>139,9915</t>
  </si>
  <si>
    <t>129,5497</t>
  </si>
  <si>
    <t>132,7228</t>
  </si>
  <si>
    <t>123,1921</t>
  </si>
  <si>
    <t>130,5862</t>
  </si>
  <si>
    <t>123,3924</t>
  </si>
  <si>
    <t>129,0016</t>
  </si>
  <si>
    <t>130,051</t>
  </si>
  <si>
    <t>191,835</t>
  </si>
  <si>
    <t>188,6791</t>
  </si>
  <si>
    <t>54</t>
  </si>
  <si>
    <t>192,8235</t>
  </si>
  <si>
    <t>221,8472</t>
  </si>
  <si>
    <t>58,8</t>
  </si>
  <si>
    <t>210,2986</t>
  </si>
  <si>
    <t>60,2</t>
  </si>
  <si>
    <t>190,7651</t>
  </si>
  <si>
    <t>45,5</t>
  </si>
  <si>
    <t>193,6678</t>
  </si>
  <si>
    <t>52,8</t>
  </si>
  <si>
    <t>146,89</t>
  </si>
  <si>
    <t>146,0566</t>
  </si>
  <si>
    <t>138,6768</t>
  </si>
  <si>
    <t>143,0701</t>
  </si>
  <si>
    <t>145,0621</t>
  </si>
  <si>
    <t>149,2867</t>
  </si>
  <si>
    <t>145,9741</t>
  </si>
  <si>
    <t>157,345</t>
  </si>
  <si>
    <t>156,5533</t>
  </si>
  <si>
    <t>155,4327</t>
  </si>
  <si>
    <t>151,8923</t>
  </si>
  <si>
    <t>156,379</t>
  </si>
  <si>
    <t>156,336</t>
  </si>
  <si>
    <t>156,5273</t>
  </si>
  <si>
    <t>156,6031</t>
  </si>
  <si>
    <t>163,9694</t>
  </si>
  <si>
    <t>165,6958</t>
  </si>
  <si>
    <t>164,7258</t>
  </si>
  <si>
    <t>44,9</t>
  </si>
  <si>
    <t>166,3646</t>
  </si>
  <si>
    <t>46,6</t>
  </si>
  <si>
    <t>170,3602</t>
  </si>
  <si>
    <t>161,083</t>
  </si>
  <si>
    <t>182,2124</t>
  </si>
  <si>
    <t>47,7</t>
  </si>
  <si>
    <t>187,5521</t>
  </si>
  <si>
    <t>175,6737</t>
  </si>
  <si>
    <t>8,8</t>
  </si>
  <si>
    <t>187,4043</t>
  </si>
  <si>
    <t>169,1194</t>
  </si>
  <si>
    <t>9</t>
  </si>
  <si>
    <t>164,3885</t>
  </si>
  <si>
    <t>9,3</t>
  </si>
  <si>
    <t>38,1</t>
  </si>
  <si>
    <t>182,6004</t>
  </si>
  <si>
    <t>12,4</t>
  </si>
  <si>
    <t>48,4</t>
  </si>
  <si>
    <t>147,2747</t>
  </si>
  <si>
    <t>159,1987</t>
  </si>
  <si>
    <t>144,7698</t>
  </si>
  <si>
    <t>152,724</t>
  </si>
  <si>
    <t>150,852</t>
  </si>
  <si>
    <t>155,0644</t>
  </si>
  <si>
    <t>152,1489</t>
  </si>
  <si>
    <t>161,3912</t>
  </si>
  <si>
    <t>163,4399</t>
  </si>
  <si>
    <t>169,9057</t>
  </si>
  <si>
    <t>179,7461</t>
  </si>
  <si>
    <t>163,1951</t>
  </si>
  <si>
    <t>161,773</t>
  </si>
  <si>
    <t>163,8623</t>
  </si>
  <si>
    <t>148,3622</t>
  </si>
  <si>
    <t>148,162</t>
  </si>
  <si>
    <t>144,8913</t>
  </si>
  <si>
    <t>145,0923</t>
  </si>
  <si>
    <t>149,4386</t>
  </si>
  <si>
    <t>148,0441</t>
  </si>
  <si>
    <t>147,9425</t>
  </si>
  <si>
    <t>149,6257</t>
  </si>
  <si>
    <t>148,8978</t>
  </si>
  <si>
    <t>147,3871</t>
  </si>
  <si>
    <t>141,859</t>
  </si>
  <si>
    <t>143,3848</t>
  </si>
  <si>
    <t>148,3679</t>
  </si>
  <si>
    <t>148,3437</t>
  </si>
  <si>
    <t>142,5765</t>
  </si>
  <si>
    <t>143,4441</t>
  </si>
  <si>
    <t>134,2463</t>
  </si>
  <si>
    <t>147,1876</t>
  </si>
  <si>
    <t>140,4345</t>
  </si>
  <si>
    <t>134,4248</t>
  </si>
  <si>
    <t>142,3224</t>
  </si>
  <si>
    <t>149,8703</t>
  </si>
  <si>
    <t>150,3285</t>
  </si>
  <si>
    <t>148,2908</t>
  </si>
  <si>
    <t>148,0431</t>
  </si>
  <si>
    <t>150,0123</t>
  </si>
  <si>
    <t>149,6046</t>
  </si>
  <si>
    <t>149,8236</t>
  </si>
  <si>
    <t>176,4489</t>
  </si>
  <si>
    <t>7,3</t>
  </si>
  <si>
    <t>179,9089</t>
  </si>
  <si>
    <t>49,9</t>
  </si>
  <si>
    <t>180,2003</t>
  </si>
  <si>
    <t>192,2885</t>
  </si>
  <si>
    <t>50</t>
  </si>
  <si>
    <t>184,6367</t>
  </si>
  <si>
    <t>50,6</t>
  </si>
  <si>
    <t>181,9858</t>
  </si>
  <si>
    <t>46,9</t>
  </si>
  <si>
    <t>179,4614</t>
  </si>
  <si>
    <t>48,2</t>
  </si>
  <si>
    <t>148,4797</t>
  </si>
  <si>
    <t>148,8217</t>
  </si>
  <si>
    <t>148,4374</t>
  </si>
  <si>
    <t>149,3299</t>
  </si>
  <si>
    <t>149,3983</t>
  </si>
  <si>
    <t>148,4257</t>
  </si>
  <si>
    <t>148,6981</t>
  </si>
  <si>
    <t>164,94</t>
  </si>
  <si>
    <t>5,6</t>
  </si>
  <si>
    <t>170,2255</t>
  </si>
  <si>
    <t>164,9751</t>
  </si>
  <si>
    <t>36,6</t>
  </si>
  <si>
    <t>175,6531</t>
  </si>
  <si>
    <t>172,6325</t>
  </si>
  <si>
    <t>168,5637</t>
  </si>
  <si>
    <t>167,999</t>
  </si>
  <si>
    <t>39,4</t>
  </si>
  <si>
    <t>201809</t>
  </si>
  <si>
    <t>165,4903</t>
  </si>
  <si>
    <t>165,0633</t>
  </si>
  <si>
    <t>40,7</t>
  </si>
  <si>
    <t>163,3</t>
  </si>
  <si>
    <t>165,1776</t>
  </si>
  <si>
    <t>166,7562</t>
  </si>
  <si>
    <t>164,3327</t>
  </si>
  <si>
    <t>165,2383</t>
  </si>
  <si>
    <t>164,5645</t>
  </si>
  <si>
    <t>39,6</t>
  </si>
  <si>
    <t>161,948</t>
  </si>
  <si>
    <t>162,909</t>
  </si>
  <si>
    <t>7,1</t>
  </si>
  <si>
    <t>164,2676</t>
  </si>
  <si>
    <t>167,8127</t>
  </si>
  <si>
    <t>8,3</t>
  </si>
  <si>
    <t>157,1099</t>
  </si>
  <si>
    <t>163,3911</t>
  </si>
  <si>
    <t>145,5596</t>
  </si>
  <si>
    <t>146,7117</t>
  </si>
  <si>
    <t>152,2189</t>
  </si>
  <si>
    <t>144,3008</t>
  </si>
  <si>
    <t>145,9448</t>
  </si>
  <si>
    <t>145,6936</t>
  </si>
  <si>
    <t>146,1856</t>
  </si>
  <si>
    <t>146,5657</t>
  </si>
  <si>
    <t>13,1</t>
  </si>
  <si>
    <t>142,2806</t>
  </si>
  <si>
    <t>134,4209</t>
  </si>
  <si>
    <t>138,298</t>
  </si>
  <si>
    <t>133,5995</t>
  </si>
  <si>
    <t>134,8023</t>
  </si>
  <si>
    <t>142,776</t>
  </si>
  <si>
    <t>193,24</t>
  </si>
  <si>
    <t>50,7</t>
  </si>
  <si>
    <t>195,1555</t>
  </si>
  <si>
    <t>204,4885</t>
  </si>
  <si>
    <t>62,2</t>
  </si>
  <si>
    <t>227,8709</t>
  </si>
  <si>
    <t>61,4</t>
  </si>
  <si>
    <t>215,5648</t>
  </si>
  <si>
    <t>202,4343</t>
  </si>
  <si>
    <t>52,1</t>
  </si>
  <si>
    <t>198,1079</t>
  </si>
  <si>
    <t>53,3</t>
  </si>
  <si>
    <t>161,5882</t>
  </si>
  <si>
    <t>160,174</t>
  </si>
  <si>
    <t>151,6346</t>
  </si>
  <si>
    <t>156,7015</t>
  </si>
  <si>
    <t>158,9075</t>
  </si>
  <si>
    <t>41,9</t>
  </si>
  <si>
    <t>161,4542</t>
  </si>
  <si>
    <t>45,1</t>
  </si>
  <si>
    <t>160,1563</t>
  </si>
  <si>
    <t>42,6</t>
  </si>
  <si>
    <t>164,1223</t>
  </si>
  <si>
    <t>35,4</t>
  </si>
  <si>
    <t>163,7395</t>
  </si>
  <si>
    <t>165,3278</t>
  </si>
  <si>
    <t>36,3</t>
  </si>
  <si>
    <t>158,6412</t>
  </si>
  <si>
    <t>163,5893</t>
  </si>
  <si>
    <t>163,4901</t>
  </si>
  <si>
    <t>163,6215</t>
  </si>
  <si>
    <t>173,2611</t>
  </si>
  <si>
    <t>10,6</t>
  </si>
  <si>
    <t>57,1</t>
  </si>
  <si>
    <t>181,3792</t>
  </si>
  <si>
    <t>60,5</t>
  </si>
  <si>
    <t>183,3163</t>
  </si>
  <si>
    <t>63,1</t>
  </si>
  <si>
    <t>177,6333</t>
  </si>
  <si>
    <t>55,1</t>
  </si>
  <si>
    <t>181,2983</t>
  </si>
  <si>
    <t>58,2</t>
  </si>
  <si>
    <t>190,5553</t>
  </si>
  <si>
    <t>65</t>
  </si>
  <si>
    <t>177,8431</t>
  </si>
  <si>
    <t>184,712</t>
  </si>
  <si>
    <t>48,3</t>
  </si>
  <si>
    <t>193,4102</t>
  </si>
  <si>
    <t>179,7385</t>
  </si>
  <si>
    <t>193,1104</t>
  </si>
  <si>
    <t>171,874</t>
  </si>
  <si>
    <t>41,5</t>
  </si>
  <si>
    <t>165,2684</t>
  </si>
  <si>
    <t>186,4637</t>
  </si>
  <si>
    <t>159,1452</t>
  </si>
  <si>
    <t>167,697</t>
  </si>
  <si>
    <t>154,8696</t>
  </si>
  <si>
    <t>163,0662</t>
  </si>
  <si>
    <t>161,8549</t>
  </si>
  <si>
    <t>163,6524</t>
  </si>
  <si>
    <t>162,4851</t>
  </si>
  <si>
    <t>165,0215</t>
  </si>
  <si>
    <t>165,7987</t>
  </si>
  <si>
    <t>170,52</t>
  </si>
  <si>
    <t>181,3743</t>
  </si>
  <si>
    <t>163,5566</t>
  </si>
  <si>
    <t>163,5234</t>
  </si>
  <si>
    <t>166,5346</t>
  </si>
  <si>
    <t>157,6511</t>
  </si>
  <si>
    <t>155,0753</t>
  </si>
  <si>
    <t>154,3553</t>
  </si>
  <si>
    <t>155,5604</t>
  </si>
  <si>
    <t>159,5595</t>
  </si>
  <si>
    <t>154,6773</t>
  </si>
  <si>
    <t>34,6</t>
  </si>
  <si>
    <t>156,4246</t>
  </si>
  <si>
    <t>160,8222</t>
  </si>
  <si>
    <t>161,3901</t>
  </si>
  <si>
    <t>158,2312</t>
  </si>
  <si>
    <t>7,4</t>
  </si>
  <si>
    <t>33,6</t>
  </si>
  <si>
    <t>154,2717</t>
  </si>
  <si>
    <t>156,0776</t>
  </si>
  <si>
    <t>158,9233</t>
  </si>
  <si>
    <t>160,1018</t>
  </si>
  <si>
    <t>7,9</t>
  </si>
  <si>
    <t>150,7758</t>
  </si>
  <si>
    <t>147,1041</t>
  </si>
  <si>
    <t>139,9291</t>
  </si>
  <si>
    <t>147,7903</t>
  </si>
  <si>
    <t>145,4835</t>
  </si>
  <si>
    <t>138,7983</t>
  </si>
  <si>
    <t>147,9747</t>
  </si>
  <si>
    <t>161,5802</t>
  </si>
  <si>
    <t>161,446</t>
  </si>
  <si>
    <t>39,5</t>
  </si>
  <si>
    <t>160,0734</t>
  </si>
  <si>
    <t>159,29</t>
  </si>
  <si>
    <t>7,6</t>
  </si>
  <si>
    <t>38,2</t>
  </si>
  <si>
    <t>162,556</t>
  </si>
  <si>
    <t>159,6675</t>
  </si>
  <si>
    <t>161,272</t>
  </si>
  <si>
    <t>38,9</t>
  </si>
  <si>
    <t>183,6169</t>
  </si>
  <si>
    <t>189,0718</t>
  </si>
  <si>
    <t>192,5714</t>
  </si>
  <si>
    <t>59,9</t>
  </si>
  <si>
    <t>200,3383</t>
  </si>
  <si>
    <t>192,4096</t>
  </si>
  <si>
    <t>55,8</t>
  </si>
  <si>
    <t>195,8596</t>
  </si>
  <si>
    <t>187,9015</t>
  </si>
  <si>
    <t>162,5426</t>
  </si>
  <si>
    <t>160,7726</t>
  </si>
  <si>
    <t>160,5779</t>
  </si>
  <si>
    <t>160,3158</t>
  </si>
  <si>
    <t>162,4149</t>
  </si>
  <si>
    <t>160,1666</t>
  </si>
  <si>
    <t>41,4</t>
  </si>
  <si>
    <t>161,5813</t>
  </si>
  <si>
    <t>169,7897</t>
  </si>
  <si>
    <t>175,1334</t>
  </si>
  <si>
    <t>42,3</t>
  </si>
  <si>
    <t>172,6258</t>
  </si>
  <si>
    <t>179,8962</t>
  </si>
  <si>
    <t>177,5058</t>
  </si>
  <si>
    <t>174,6702</t>
  </si>
  <si>
    <t>39,2</t>
  </si>
  <si>
    <t>173,0112</t>
  </si>
  <si>
    <t>201810</t>
  </si>
  <si>
    <t>173,8549</t>
  </si>
  <si>
    <t>174,6171</t>
  </si>
  <si>
    <t>46,4</t>
  </si>
  <si>
    <t>171,25</t>
  </si>
  <si>
    <t>45,2</t>
  </si>
  <si>
    <t>173,9582</t>
  </si>
  <si>
    <t>176,6713</t>
  </si>
  <si>
    <t>173,8678</t>
  </si>
  <si>
    <t>46,5</t>
  </si>
  <si>
    <t>174,1473</t>
  </si>
  <si>
    <t>45,9</t>
  </si>
  <si>
    <t>174,56</t>
  </si>
  <si>
    <t>45,8</t>
  </si>
  <si>
    <t>171,2505</t>
  </si>
  <si>
    <t>172,2949</t>
  </si>
  <si>
    <t>173,28</t>
  </si>
  <si>
    <t>46,8</t>
  </si>
  <si>
    <t>177,5769</t>
  </si>
  <si>
    <t>49,1</t>
  </si>
  <si>
    <t>166,211</t>
  </si>
  <si>
    <t>45,6</t>
  </si>
  <si>
    <t>173,0007</t>
  </si>
  <si>
    <t>149,2238</t>
  </si>
  <si>
    <t>150,0031</t>
  </si>
  <si>
    <t>155,2388</t>
  </si>
  <si>
    <t>147,8654</t>
  </si>
  <si>
    <t>148,6378</t>
  </si>
  <si>
    <t>148,0798</t>
  </si>
  <si>
    <t>149,5775</t>
  </si>
  <si>
    <t>153,6809</t>
  </si>
  <si>
    <t>149,8879</t>
  </si>
  <si>
    <t>140,3176</t>
  </si>
  <si>
    <t>146,3604</t>
  </si>
  <si>
    <t>140,163</t>
  </si>
  <si>
    <t>140,5762</t>
  </si>
  <si>
    <t>149,9773</t>
  </si>
  <si>
    <t>206,9187</t>
  </si>
  <si>
    <t>218,0387</t>
  </si>
  <si>
    <t>68,8</t>
  </si>
  <si>
    <t>209,1222</t>
  </si>
  <si>
    <t>64,3</t>
  </si>
  <si>
    <t>244,4193</t>
  </si>
  <si>
    <t>71,5</t>
  </si>
  <si>
    <t>242,5578</t>
  </si>
  <si>
    <t>80,2</t>
  </si>
  <si>
    <t>222,3365</t>
  </si>
  <si>
    <t>63</t>
  </si>
  <si>
    <t>215,507</t>
  </si>
  <si>
    <t>65,2</t>
  </si>
  <si>
    <t>167,8866</t>
  </si>
  <si>
    <t>167,0118</t>
  </si>
  <si>
    <t>47,6</t>
  </si>
  <si>
    <t>161,9696</t>
  </si>
  <si>
    <t>44,6</t>
  </si>
  <si>
    <t>164,1919</t>
  </si>
  <si>
    <t>166,6301</t>
  </si>
  <si>
    <t>168,9205</t>
  </si>
  <si>
    <t>50,8</t>
  </si>
  <si>
    <t>167,0385</t>
  </si>
  <si>
    <t>173,6915</t>
  </si>
  <si>
    <t>172,674</t>
  </si>
  <si>
    <t>172,832</t>
  </si>
  <si>
    <t>165,7829</t>
  </si>
  <si>
    <t>172,2539</t>
  </si>
  <si>
    <t>170,8997</t>
  </si>
  <si>
    <t>172,5763</t>
  </si>
  <si>
    <t>40,1</t>
  </si>
  <si>
    <t>185,6149</t>
  </si>
  <si>
    <t>67</t>
  </si>
  <si>
    <t>196,1236</t>
  </si>
  <si>
    <t>70,7</t>
  </si>
  <si>
    <t>196,3142</t>
  </si>
  <si>
    <t>71,1</t>
  </si>
  <si>
    <t>192,0253</t>
  </si>
  <si>
    <t>65,6</t>
  </si>
  <si>
    <t>195,9404</t>
  </si>
  <si>
    <t>67,7</t>
  </si>
  <si>
    <t>205,6491</t>
  </si>
  <si>
    <t>75,5</t>
  </si>
  <si>
    <t>191,3913</t>
  </si>
  <si>
    <t>68,7</t>
  </si>
  <si>
    <t>185,1122</t>
  </si>
  <si>
    <t>195,6938</t>
  </si>
  <si>
    <t>47,9</t>
  </si>
  <si>
    <t>181,4012</t>
  </si>
  <si>
    <t>195,9535</t>
  </si>
  <si>
    <t>47,8</t>
  </si>
  <si>
    <t>172,5153</t>
  </si>
  <si>
    <t>167,362</t>
  </si>
  <si>
    <t>187,8155</t>
  </si>
  <si>
    <t>43,4</t>
  </si>
  <si>
    <t>162,6265</t>
  </si>
  <si>
    <t>172,0563</t>
  </si>
  <si>
    <t>42</t>
  </si>
  <si>
    <t>162,8641</t>
  </si>
  <si>
    <t>33,9</t>
  </si>
  <si>
    <t>170,2379</t>
  </si>
  <si>
    <t>165,6811</t>
  </si>
  <si>
    <t>171,4655</t>
  </si>
  <si>
    <t>166,9487</t>
  </si>
  <si>
    <t>169,7671</t>
  </si>
  <si>
    <t>168,1978</t>
  </si>
  <si>
    <t>170,8742</t>
  </si>
  <si>
    <t>181,6726</t>
  </si>
  <si>
    <t>172,2686</t>
  </si>
  <si>
    <t>164,2507</t>
  </si>
  <si>
    <t>170,0009</t>
  </si>
  <si>
    <t>161,7351</t>
  </si>
  <si>
    <t>161,0543</t>
  </si>
  <si>
    <t>158,1967</t>
  </si>
  <si>
    <t>161,1613</t>
  </si>
  <si>
    <t>37,4</t>
  </si>
  <si>
    <t>162,0631</t>
  </si>
  <si>
    <t>160,5205</t>
  </si>
  <si>
    <t>161,2576</t>
  </si>
  <si>
    <t>170,4386</t>
  </si>
  <si>
    <t>171,9833</t>
  </si>
  <si>
    <t>166,5727</t>
  </si>
  <si>
    <t>163,5088</t>
  </si>
  <si>
    <t>166,0309</t>
  </si>
  <si>
    <t>169,9279</t>
  </si>
  <si>
    <t>44,7</t>
  </si>
  <si>
    <t>170,0438</t>
  </si>
  <si>
    <t>160,1883</t>
  </si>
  <si>
    <t>156,7182</t>
  </si>
  <si>
    <t>147,5889</t>
  </si>
  <si>
    <t>156,9747</t>
  </si>
  <si>
    <t>153,497</t>
  </si>
  <si>
    <t>146,2081</t>
  </si>
  <si>
    <t>157,1936</t>
  </si>
  <si>
    <t>168,4619</t>
  </si>
  <si>
    <t>42,9</t>
  </si>
  <si>
    <t>168,904</t>
  </si>
  <si>
    <t>43,8</t>
  </si>
  <si>
    <t>168,4787</t>
  </si>
  <si>
    <t>167,1825</t>
  </si>
  <si>
    <t>170,4129</t>
  </si>
  <si>
    <t>167,7414</t>
  </si>
  <si>
    <t>168,5933</t>
  </si>
  <si>
    <t>195,871</t>
  </si>
  <si>
    <t>57,8</t>
  </si>
  <si>
    <t>206,0441</t>
  </si>
  <si>
    <t>198,9242</t>
  </si>
  <si>
    <t>61,7</t>
  </si>
  <si>
    <t>212,2624</t>
  </si>
  <si>
    <t>61,5</t>
  </si>
  <si>
    <t>210,0861</t>
  </si>
  <si>
    <t>66,9</t>
  </si>
  <si>
    <t>211,6427</t>
  </si>
  <si>
    <t>64,6</t>
  </si>
  <si>
    <t>201,8885</t>
  </si>
  <si>
    <t>61,1</t>
  </si>
  <si>
    <t>171,8817</t>
  </si>
  <si>
    <t>170,3871</t>
  </si>
  <si>
    <t>46,1</t>
  </si>
  <si>
    <t>169,7425</t>
  </si>
  <si>
    <t>169,6979</t>
  </si>
  <si>
    <t>171,9835</t>
  </si>
  <si>
    <t>169,6154</t>
  </si>
  <si>
    <t>171,0262</t>
  </si>
  <si>
    <t>176,733</t>
  </si>
  <si>
    <t>184,5449</t>
  </si>
  <si>
    <t>47,1</t>
  </si>
  <si>
    <t>176,4147</t>
  </si>
  <si>
    <t>186,8558</t>
  </si>
  <si>
    <t>188,2789</t>
  </si>
  <si>
    <t>49,8</t>
  </si>
  <si>
    <t>184,4195</t>
  </si>
  <si>
    <t>180,9641</t>
  </si>
  <si>
    <t>201811</t>
  </si>
  <si>
    <t>178,877</t>
  </si>
  <si>
    <t>180,3503</t>
  </si>
  <si>
    <t>176,4283</t>
  </si>
  <si>
    <t>179,6479</t>
  </si>
  <si>
    <t>183,1394</t>
  </si>
  <si>
    <t>181,1502</t>
  </si>
  <si>
    <t>179,6388</t>
  </si>
  <si>
    <t>180,0567</t>
  </si>
  <si>
    <t>48,9</t>
  </si>
  <si>
    <t>177,6179</t>
  </si>
  <si>
    <t>50,1</t>
  </si>
  <si>
    <t>177,6708</t>
  </si>
  <si>
    <t>49,2</t>
  </si>
  <si>
    <t>178,2957</t>
  </si>
  <si>
    <t>183,2772</t>
  </si>
  <si>
    <t>174,5048</t>
  </si>
  <si>
    <t>178,8975</t>
  </si>
  <si>
    <t>156,5632</t>
  </si>
  <si>
    <t>156,322</t>
  </si>
  <si>
    <t>161,3845</t>
  </si>
  <si>
    <t>155,4065</t>
  </si>
  <si>
    <t>155,4498</t>
  </si>
  <si>
    <t>155,6366</t>
  </si>
  <si>
    <t>156,5108</t>
  </si>
  <si>
    <t>156,2891</t>
  </si>
  <si>
    <t>36,1</t>
  </si>
  <si>
    <t>153,9065</t>
  </si>
  <si>
    <t>141,9929</t>
  </si>
  <si>
    <t>150,4737</t>
  </si>
  <si>
    <t>145,9065</t>
  </si>
  <si>
    <t>146,6829</t>
  </si>
  <si>
    <t>153,444</t>
  </si>
  <si>
    <t>208,9736</t>
  </si>
  <si>
    <t>60,6</t>
  </si>
  <si>
    <t>224,9244</t>
  </si>
  <si>
    <t>71,8</t>
  </si>
  <si>
    <t>211,4944</t>
  </si>
  <si>
    <t>63,3</t>
  </si>
  <si>
    <t>250,5666</t>
  </si>
  <si>
    <t>73,9</t>
  </si>
  <si>
    <t>250,7215</t>
  </si>
  <si>
    <t>80,7</t>
  </si>
  <si>
    <t>233,0847</t>
  </si>
  <si>
    <t>69,5</t>
  </si>
  <si>
    <t>220,0981</t>
  </si>
  <si>
    <t>66,7</t>
  </si>
  <si>
    <t>173,9992</t>
  </si>
  <si>
    <t>172,4492</t>
  </si>
  <si>
    <t>168,5075</t>
  </si>
  <si>
    <t>49,4</t>
  </si>
  <si>
    <t>169,2621</t>
  </si>
  <si>
    <t>49</t>
  </si>
  <si>
    <t>172,878</t>
  </si>
  <si>
    <t>177,113</t>
  </si>
  <si>
    <t>57</t>
  </si>
  <si>
    <t>172,9721</t>
  </si>
  <si>
    <t>51,6</t>
  </si>
  <si>
    <t>179,6549</t>
  </si>
  <si>
    <t>45,4</t>
  </si>
  <si>
    <t>184,5928</t>
  </si>
  <si>
    <t>186,2175</t>
  </si>
  <si>
    <t>180,5965</t>
  </si>
  <si>
    <t>188,4368</t>
  </si>
  <si>
    <t>9,4</t>
  </si>
  <si>
    <t>184,3437</t>
  </si>
  <si>
    <t>182,333</t>
  </si>
  <si>
    <t>191,1071</t>
  </si>
  <si>
    <t>67,4</t>
  </si>
  <si>
    <t>200,7638</t>
  </si>
  <si>
    <t>68,9</t>
  </si>
  <si>
    <t>201,8416</t>
  </si>
  <si>
    <t>70,6</t>
  </si>
  <si>
    <t>197,2996</t>
  </si>
  <si>
    <t>200,6144</t>
  </si>
  <si>
    <t>66,8</t>
  </si>
  <si>
    <t>210,2431</t>
  </si>
  <si>
    <t>73,4</t>
  </si>
  <si>
    <t>196,5066</t>
  </si>
  <si>
    <t>68,2</t>
  </si>
  <si>
    <t>193,5709</t>
  </si>
  <si>
    <t>198,4437</t>
  </si>
  <si>
    <t>184,9453</t>
  </si>
  <si>
    <t>200,2283</t>
  </si>
  <si>
    <t>178,8212</t>
  </si>
  <si>
    <t>171,2789</t>
  </si>
  <si>
    <t>33,3</t>
  </si>
  <si>
    <t>193,5208</t>
  </si>
  <si>
    <t>169,4774</t>
  </si>
  <si>
    <t>173,7831</t>
  </si>
  <si>
    <t>168,0632</t>
  </si>
  <si>
    <t>174,4732</t>
  </si>
  <si>
    <t>171,4417</t>
  </si>
  <si>
    <t>176,0567</t>
  </si>
  <si>
    <t>171,6321</t>
  </si>
  <si>
    <t>171,616</t>
  </si>
  <si>
    <t>169,9212</t>
  </si>
  <si>
    <t>170,9691</t>
  </si>
  <si>
    <t>187,1826</t>
  </si>
  <si>
    <t>174,7515</t>
  </si>
  <si>
    <t>164,7983</t>
  </si>
  <si>
    <t>171,9664</t>
  </si>
  <si>
    <t>166,2958</t>
  </si>
  <si>
    <t>165,156</t>
  </si>
  <si>
    <t>161,9729</t>
  </si>
  <si>
    <t>165,0404</t>
  </si>
  <si>
    <t>163,5131</t>
  </si>
  <si>
    <t>164,9491</t>
  </si>
  <si>
    <t>165,4071</t>
  </si>
  <si>
    <t>176,4477</t>
  </si>
  <si>
    <t>179,9777</t>
  </si>
  <si>
    <t>176,0116</t>
  </si>
  <si>
    <t>172,3096</t>
  </si>
  <si>
    <t>176,1889</t>
  </si>
  <si>
    <t>180,8183</t>
  </si>
  <si>
    <t>177,5239</t>
  </si>
  <si>
    <t>162,6491</t>
  </si>
  <si>
    <t>164,1653</t>
  </si>
  <si>
    <t>152,0246</t>
  </si>
  <si>
    <t>159,3208</t>
  </si>
  <si>
    <t>160,7874</t>
  </si>
  <si>
    <t>153,9004</t>
  </si>
  <si>
    <t>161,9369</t>
  </si>
  <si>
    <t>173,8085</t>
  </si>
  <si>
    <t>174,34</t>
  </si>
  <si>
    <t>174,045</t>
  </si>
  <si>
    <t>173,413</t>
  </si>
  <si>
    <t>176,669</t>
  </si>
  <si>
    <t>174,5566</t>
  </si>
  <si>
    <t>174,1546</t>
  </si>
  <si>
    <t>46,2</t>
  </si>
  <si>
    <t>201,0923</t>
  </si>
  <si>
    <t>211,7716</t>
  </si>
  <si>
    <t>65,5</t>
  </si>
  <si>
    <t>203,091</t>
  </si>
  <si>
    <t>61,6</t>
  </si>
  <si>
    <t>218,2486</t>
  </si>
  <si>
    <t>216,7789</t>
  </si>
  <si>
    <t>67,8</t>
  </si>
  <si>
    <t>220,2502</t>
  </si>
  <si>
    <t>67,9</t>
  </si>
  <si>
    <t>207,5084</t>
  </si>
  <si>
    <t>177,9269</t>
  </si>
  <si>
    <t>176,9567</t>
  </si>
  <si>
    <t>175,5592</t>
  </si>
  <si>
    <t>175,7891</t>
  </si>
  <si>
    <t>48,1</t>
  </si>
  <si>
    <t>178,9108</t>
  </si>
  <si>
    <t>177,294</t>
  </si>
  <si>
    <t>51,7</t>
  </si>
  <si>
    <t>177,3628</t>
  </si>
  <si>
    <t>180,2629</t>
  </si>
  <si>
    <t>188,3153</t>
  </si>
  <si>
    <t>179,4057</t>
  </si>
  <si>
    <t>191,3299</t>
  </si>
  <si>
    <t>193,61</t>
  </si>
  <si>
    <t>190,719</t>
  </si>
  <si>
    <t>47,5</t>
  </si>
  <si>
    <t>184,8322</t>
  </si>
  <si>
    <t>201812</t>
  </si>
  <si>
    <t>183,9381</t>
  </si>
  <si>
    <t>184,508</t>
  </si>
  <si>
    <t>180,7718</t>
  </si>
  <si>
    <t>183,718</t>
  </si>
  <si>
    <t>187,7085</t>
  </si>
  <si>
    <t>185,9051</t>
  </si>
  <si>
    <t>184,2552</t>
  </si>
  <si>
    <t>182,9765</t>
  </si>
  <si>
    <t>180,6976</t>
  </si>
  <si>
    <t>181,7402</t>
  </si>
  <si>
    <t>181,8631</t>
  </si>
  <si>
    <t>184,8872</t>
  </si>
  <si>
    <t>178,1426</t>
  </si>
  <si>
    <t>52,4</t>
  </si>
  <si>
    <t>181,9359</t>
  </si>
  <si>
    <t>158,6651</t>
  </si>
  <si>
    <t>158,4377</t>
  </si>
  <si>
    <t>163,7105</t>
  </si>
  <si>
    <t>157,4922</t>
  </si>
  <si>
    <t>158,2336</t>
  </si>
  <si>
    <t>157,9512</t>
  </si>
  <si>
    <t>158,6722</t>
  </si>
  <si>
    <t>156,8619</t>
  </si>
  <si>
    <t>156,5489</t>
  </si>
  <si>
    <t>145,4163</t>
  </si>
  <si>
    <t>151,8788</t>
  </si>
  <si>
    <t>149,7356</t>
  </si>
  <si>
    <t>149,5705</t>
  </si>
  <si>
    <t>155,1797</t>
  </si>
  <si>
    <t>218,8376</t>
  </si>
  <si>
    <t>228,7319</t>
  </si>
  <si>
    <t>213,6807</t>
  </si>
  <si>
    <t>253,9186</t>
  </si>
  <si>
    <t>254,8493</t>
  </si>
  <si>
    <t>237,1545</t>
  </si>
  <si>
    <t>59,4</t>
  </si>
  <si>
    <t>226,6993</t>
  </si>
  <si>
    <t>176,638</t>
  </si>
  <si>
    <t>176,2287</t>
  </si>
  <si>
    <t>170,3138</t>
  </si>
  <si>
    <t>172,3881</t>
  </si>
  <si>
    <t>177,6481</t>
  </si>
  <si>
    <t>181,3766</t>
  </si>
  <si>
    <t>56,5</t>
  </si>
  <si>
    <t>176,1826</t>
  </si>
  <si>
    <t>190,5132</t>
  </si>
  <si>
    <t>193,375</t>
  </si>
  <si>
    <t>193,114</t>
  </si>
  <si>
    <t>187,5983</t>
  </si>
  <si>
    <t>196,2615</t>
  </si>
  <si>
    <t>195,4105</t>
  </si>
  <si>
    <t>191,9052</t>
  </si>
  <si>
    <t>197,0384</t>
  </si>
  <si>
    <t>202,7961</t>
  </si>
  <si>
    <t>208,2355</t>
  </si>
  <si>
    <t>70,9</t>
  </si>
  <si>
    <t>203,0743</t>
  </si>
  <si>
    <t>208,5803</t>
  </si>
  <si>
    <t>215,4542</t>
  </si>
  <si>
    <t>201,2271</t>
  </si>
  <si>
    <t>206,5853</t>
  </si>
  <si>
    <t>215,7786</t>
  </si>
  <si>
    <t>59,5</t>
  </si>
  <si>
    <t>198,6506</t>
  </si>
  <si>
    <t>215,1189</t>
  </si>
  <si>
    <t>59</t>
  </si>
  <si>
    <t>194,6626</t>
  </si>
  <si>
    <t>185,0678</t>
  </si>
  <si>
    <t>208,333</t>
  </si>
  <si>
    <t>55,3</t>
  </si>
  <si>
    <t>173,7047</t>
  </si>
  <si>
    <t>178,1554</t>
  </si>
  <si>
    <t>173,689</t>
  </si>
  <si>
    <t>179,6701</t>
  </si>
  <si>
    <t>176,5207</t>
  </si>
  <si>
    <t>180,1208</t>
  </si>
  <si>
    <t>176,0803</t>
  </si>
  <si>
    <t>175,1903</t>
  </si>
  <si>
    <t>169,9419</t>
  </si>
  <si>
    <t>187,5955</t>
  </si>
  <si>
    <t>175,2663</t>
  </si>
  <si>
    <t>173,7237</t>
  </si>
  <si>
    <t>170,1262</t>
  </si>
  <si>
    <t>170,0824</t>
  </si>
  <si>
    <t>164,0146</t>
  </si>
  <si>
    <t>169,4739</t>
  </si>
  <si>
    <t>169,6335</t>
  </si>
  <si>
    <t>170,956</t>
  </si>
  <si>
    <t>169,794</t>
  </si>
  <si>
    <t>182,4813</t>
  </si>
  <si>
    <t>185,6412</t>
  </si>
  <si>
    <t>54,4</t>
  </si>
  <si>
    <t>183,9738</t>
  </si>
  <si>
    <t>177,6564</t>
  </si>
  <si>
    <t>51,3</t>
  </si>
  <si>
    <t>181,5474</t>
  </si>
  <si>
    <t>190,6629</t>
  </si>
  <si>
    <t>57,7</t>
  </si>
  <si>
    <t>183,608</t>
  </si>
  <si>
    <t>53,2</t>
  </si>
  <si>
    <t>165,9782</t>
  </si>
  <si>
    <t>165,3655</t>
  </si>
  <si>
    <t>155,6486</t>
  </si>
  <si>
    <t>162,1683</t>
  </si>
  <si>
    <t>160,7651</t>
  </si>
  <si>
    <t>155,6031</t>
  </si>
  <si>
    <t>164,2686</t>
  </si>
  <si>
    <t>178,9256</t>
  </si>
  <si>
    <t>178,788</t>
  </si>
  <si>
    <t>178,5418</t>
  </si>
  <si>
    <t>177,3631</t>
  </si>
  <si>
    <t>181,6761</t>
  </si>
  <si>
    <t>179,7279</t>
  </si>
  <si>
    <t>178,9326</t>
  </si>
  <si>
    <t>206,7685</t>
  </si>
  <si>
    <t>216,7304</t>
  </si>
  <si>
    <t>207,3358</t>
  </si>
  <si>
    <t>56,2</t>
  </si>
  <si>
    <t>223,6554</t>
  </si>
  <si>
    <t>56,9</t>
  </si>
  <si>
    <t>222,5156</t>
  </si>
  <si>
    <t>225,4832</t>
  </si>
  <si>
    <t>212,85</t>
  </si>
  <si>
    <t>53,5</t>
  </si>
  <si>
    <t>181,2585</t>
  </si>
  <si>
    <t>180,2976</t>
  </si>
  <si>
    <t>179,2744</t>
  </si>
  <si>
    <t>179,0573</t>
  </si>
  <si>
    <t>182,5891</t>
  </si>
  <si>
    <t>181,6076</t>
  </si>
  <si>
    <t>180,7733</t>
  </si>
  <si>
    <t>187,8466</t>
  </si>
  <si>
    <t>194,3897</t>
  </si>
  <si>
    <t>185,9017</t>
  </si>
  <si>
    <t>197,8279</t>
  </si>
  <si>
    <t>200,3849</t>
  </si>
  <si>
    <t>196,5687</t>
  </si>
  <si>
    <t>191,667</t>
  </si>
  <si>
    <t>201901</t>
  </si>
  <si>
    <t>189,1236</t>
  </si>
  <si>
    <t>189,805</t>
  </si>
  <si>
    <t>186,9737</t>
  </si>
  <si>
    <t>189,6231</t>
  </si>
  <si>
    <t>193,2068</t>
  </si>
  <si>
    <t>191,5466</t>
  </si>
  <si>
    <t>189,6101</t>
  </si>
  <si>
    <t>189,9154</t>
  </si>
  <si>
    <t>186,1421</t>
  </si>
  <si>
    <t>187,5026</t>
  </si>
  <si>
    <t>187,7361</t>
  </si>
  <si>
    <t>190,028</t>
  </si>
  <si>
    <t>55,5</t>
  </si>
  <si>
    <t>182,7419</t>
  </si>
  <si>
    <t>188,0357</t>
  </si>
  <si>
    <t>53</t>
  </si>
  <si>
    <t>164,645</t>
  </si>
  <si>
    <t>163,5375</t>
  </si>
  <si>
    <t>167,4859</t>
  </si>
  <si>
    <t>162,9281</t>
  </si>
  <si>
    <t>163,1306</t>
  </si>
  <si>
    <t>163,7076</t>
  </si>
  <si>
    <t>164,1486</t>
  </si>
  <si>
    <t>155,5131</t>
  </si>
  <si>
    <t>154,9885</t>
  </si>
  <si>
    <t>148,2591</t>
  </si>
  <si>
    <t>152,4122</t>
  </si>
  <si>
    <t>149,0438</t>
  </si>
  <si>
    <t>152,4902</t>
  </si>
  <si>
    <t>154,3105</t>
  </si>
  <si>
    <t>221,858</t>
  </si>
  <si>
    <t>238,3402</t>
  </si>
  <si>
    <t>227,9795</t>
  </si>
  <si>
    <t>51,1</t>
  </si>
  <si>
    <t>268,711</t>
  </si>
  <si>
    <t>261,5128</t>
  </si>
  <si>
    <t>249,7567</t>
  </si>
  <si>
    <t>233,7201</t>
  </si>
  <si>
    <t>181,3132</t>
  </si>
  <si>
    <t>180,9627</t>
  </si>
  <si>
    <t>52</t>
  </si>
  <si>
    <t>174,6751</t>
  </si>
  <si>
    <t>177,4474</t>
  </si>
  <si>
    <t>182,2216</t>
  </si>
  <si>
    <t>186,2452</t>
  </si>
  <si>
    <t>58,7</t>
  </si>
  <si>
    <t>180,8936</t>
  </si>
  <si>
    <t>194,6462</t>
  </si>
  <si>
    <t>50,3</t>
  </si>
  <si>
    <t>199,4815</t>
  </si>
  <si>
    <t>201,6024</t>
  </si>
  <si>
    <t>57,5</t>
  </si>
  <si>
    <t>196,0894</t>
  </si>
  <si>
    <t>53,7</t>
  </si>
  <si>
    <t>204,4372</t>
  </si>
  <si>
    <t>54,6</t>
  </si>
  <si>
    <t>201,4854</t>
  </si>
  <si>
    <t>54,8</t>
  </si>
  <si>
    <t>197,4877</t>
  </si>
  <si>
    <t>51,9</t>
  </si>
  <si>
    <t>203,4532</t>
  </si>
  <si>
    <t>69,6</t>
  </si>
  <si>
    <t>207,2756</t>
  </si>
  <si>
    <t>65,7</t>
  </si>
  <si>
    <t>210,2213</t>
  </si>
  <si>
    <t>67,1</t>
  </si>
  <si>
    <t>204,4993</t>
  </si>
  <si>
    <t>213,037</t>
  </si>
  <si>
    <t>217,9837</t>
  </si>
  <si>
    <t>206,205</t>
  </si>
  <si>
    <t>67,3</t>
  </si>
  <si>
    <t>223,5279</t>
  </si>
  <si>
    <t>63,5</t>
  </si>
  <si>
    <t>229,8671</t>
  </si>
  <si>
    <t>66,6</t>
  </si>
  <si>
    <t>215,2833</t>
  </si>
  <si>
    <t>228,6639</t>
  </si>
  <si>
    <t>64,2</t>
  </si>
  <si>
    <t>208,7144</t>
  </si>
  <si>
    <t>57,4</t>
  </si>
  <si>
    <t>197,5211</t>
  </si>
  <si>
    <t>52,7</t>
  </si>
  <si>
    <t>223,7092</t>
  </si>
  <si>
    <t>179,1848</t>
  </si>
  <si>
    <t>184,9407</t>
  </si>
  <si>
    <t>179,9331</t>
  </si>
  <si>
    <t>185,4879</t>
  </si>
  <si>
    <t>183,9478</t>
  </si>
  <si>
    <t>187,4733</t>
  </si>
  <si>
    <t>182,2543</t>
  </si>
  <si>
    <t>43,5</t>
  </si>
  <si>
    <t>175,7777</t>
  </si>
  <si>
    <t>170,1393</t>
  </si>
  <si>
    <t>181,1374</t>
  </si>
  <si>
    <t>176,3857</t>
  </si>
  <si>
    <t>170,1785</t>
  </si>
  <si>
    <t>174,7196</t>
  </si>
  <si>
    <t>175,7302</t>
  </si>
  <si>
    <t>176,2224</t>
  </si>
  <si>
    <t>170,8238</t>
  </si>
  <si>
    <t>177,7211</t>
  </si>
  <si>
    <t>180,8578</t>
  </si>
  <si>
    <t>176,8615</t>
  </si>
  <si>
    <t>176,1325</t>
  </si>
  <si>
    <t>189,548</t>
  </si>
  <si>
    <t>191,3205</t>
  </si>
  <si>
    <t>56,3</t>
  </si>
  <si>
    <t>191,7343</t>
  </si>
  <si>
    <t>55,9</t>
  </si>
  <si>
    <t>185,7186</t>
  </si>
  <si>
    <t>188,9738</t>
  </si>
  <si>
    <t>196,9325</t>
  </si>
  <si>
    <t>190,2864</t>
  </si>
  <si>
    <t>168,3449</t>
  </si>
  <si>
    <t>166,8588</t>
  </si>
  <si>
    <t>158,7497</t>
  </si>
  <si>
    <t>164,6213</t>
  </si>
  <si>
    <t>158,4569</t>
  </si>
  <si>
    <t>-1,4</t>
  </si>
  <si>
    <t>156,6254</t>
  </si>
  <si>
    <t>166,073</t>
  </si>
  <si>
    <t>184,0826</t>
  </si>
  <si>
    <t>184,0687</t>
  </si>
  <si>
    <t>184,4295</t>
  </si>
  <si>
    <t>183,275</t>
  </si>
  <si>
    <t>188,087</t>
  </si>
  <si>
    <t>185,4107</t>
  </si>
  <si>
    <t>184,3056</t>
  </si>
  <si>
    <t>213,3075</t>
  </si>
  <si>
    <t>54,5</t>
  </si>
  <si>
    <t>224,4453</t>
  </si>
  <si>
    <t>216,9706</t>
  </si>
  <si>
    <t>231,9982</t>
  </si>
  <si>
    <t>229,454</t>
  </si>
  <si>
    <t>233,8377</t>
  </si>
  <si>
    <t>220,132</t>
  </si>
  <si>
    <t>55,4</t>
  </si>
  <si>
    <t>186,3028</t>
  </si>
  <si>
    <t>184,6561</t>
  </si>
  <si>
    <t>184,3624</t>
  </si>
  <si>
    <t>184,2386</t>
  </si>
  <si>
    <t>187,0997</t>
  </si>
  <si>
    <t>54,1</t>
  </si>
  <si>
    <t>185,9459</t>
  </si>
  <si>
    <t>185,5353</t>
  </si>
  <si>
    <t>193,2381</t>
  </si>
  <si>
    <t>44,3</t>
  </si>
  <si>
    <t>201,8894</t>
  </si>
  <si>
    <t>195,9199</t>
  </si>
  <si>
    <t>205,9243</t>
  </si>
  <si>
    <t>208,3285</t>
  </si>
  <si>
    <t>205,4438</t>
  </si>
  <si>
    <t>198,4457</t>
  </si>
  <si>
    <t>44,8</t>
  </si>
  <si>
    <t>201902</t>
  </si>
  <si>
    <t>196,3597</t>
  </si>
  <si>
    <t>196,6309</t>
  </si>
  <si>
    <t>195,4282</t>
  </si>
  <si>
    <t>197,617</t>
  </si>
  <si>
    <t>52,9</t>
  </si>
  <si>
    <t>200,5139</t>
  </si>
  <si>
    <t>197,2864</t>
  </si>
  <si>
    <t>196,7501</t>
  </si>
  <si>
    <t>200,3367</t>
  </si>
  <si>
    <t>56,8</t>
  </si>
  <si>
    <t>197,4047</t>
  </si>
  <si>
    <t>59,6</t>
  </si>
  <si>
    <t>197,3512</t>
  </si>
  <si>
    <t>200,6078</t>
  </si>
  <si>
    <t>60,9</t>
  </si>
  <si>
    <t>201,9767</t>
  </si>
  <si>
    <t>61,8</t>
  </si>
  <si>
    <t>189,2477</t>
  </si>
  <si>
    <t>198,7818</t>
  </si>
  <si>
    <t>58,3</t>
  </si>
  <si>
    <t>168,4551</t>
  </si>
  <si>
    <t>167,3245</t>
  </si>
  <si>
    <t>171,9577</t>
  </si>
  <si>
    <t>166,9429</t>
  </si>
  <si>
    <t>167,3738</t>
  </si>
  <si>
    <t>167,5029</t>
  </si>
  <si>
    <t>168,0165</t>
  </si>
  <si>
    <t>157,0732</t>
  </si>
  <si>
    <t>155,9874</t>
  </si>
  <si>
    <t>151,9303</t>
  </si>
  <si>
    <t>154,454</t>
  </si>
  <si>
    <t>150,0854</t>
  </si>
  <si>
    <t>154,3204</t>
  </si>
  <si>
    <t>155,7973</t>
  </si>
  <si>
    <t>237,6627</t>
  </si>
  <si>
    <t>249,88</t>
  </si>
  <si>
    <t>251,0842</t>
  </si>
  <si>
    <t>10,1</t>
  </si>
  <si>
    <t>288,5078</t>
  </si>
  <si>
    <t>64,9</t>
  </si>
  <si>
    <t>277,7451</t>
  </si>
  <si>
    <t>264,3265</t>
  </si>
  <si>
    <t>248,6768</t>
  </si>
  <si>
    <t>185,7125</t>
  </si>
  <si>
    <t>186,4363</t>
  </si>
  <si>
    <t>53,9</t>
  </si>
  <si>
    <t>181,0133</t>
  </si>
  <si>
    <t>182,3949</t>
  </si>
  <si>
    <t>188,1974</t>
  </si>
  <si>
    <t>191,9638</t>
  </si>
  <si>
    <t>185,932</t>
  </si>
  <si>
    <t>201,7245</t>
  </si>
  <si>
    <t>205,4574</t>
  </si>
  <si>
    <t>205,93</t>
  </si>
  <si>
    <t>200,7878</t>
  </si>
  <si>
    <t>210,3003</t>
  </si>
  <si>
    <t>206,4482</t>
  </si>
  <si>
    <t>203,7521</t>
  </si>
  <si>
    <t>53,1</t>
  </si>
  <si>
    <t>208,7417</t>
  </si>
  <si>
    <t>66,5</t>
  </si>
  <si>
    <t>210,7256</t>
  </si>
  <si>
    <t>61</t>
  </si>
  <si>
    <t>218,0122</t>
  </si>
  <si>
    <t>68,6</t>
  </si>
  <si>
    <t>206,5831</t>
  </si>
  <si>
    <t>216,7725</t>
  </si>
  <si>
    <t>223,3591</t>
  </si>
  <si>
    <t>65,8</t>
  </si>
  <si>
    <t>210,7001</t>
  </si>
  <si>
    <t>63,6</t>
  </si>
  <si>
    <t>226,7862</t>
  </si>
  <si>
    <t>231,429</t>
  </si>
  <si>
    <t>218,132</t>
  </si>
  <si>
    <t>230,3913</t>
  </si>
  <si>
    <t>211,1789</t>
  </si>
  <si>
    <t>198,8516</t>
  </si>
  <si>
    <t>226,1415</t>
  </si>
  <si>
    <t>183,6484</t>
  </si>
  <si>
    <t>188,1233</t>
  </si>
  <si>
    <t>184,6412</t>
  </si>
  <si>
    <t>190,3606</t>
  </si>
  <si>
    <t>189,5824</t>
  </si>
  <si>
    <t>189,5296</t>
  </si>
  <si>
    <t>186,2753</t>
  </si>
  <si>
    <t>179,2309</t>
  </si>
  <si>
    <t>173,2993</t>
  </si>
  <si>
    <t>190,8899</t>
  </si>
  <si>
    <t>171,7439</t>
  </si>
  <si>
    <t>177,646</t>
  </si>
  <si>
    <t>182,0486</t>
  </si>
  <si>
    <t>183,1999</t>
  </si>
  <si>
    <t>178,2145</t>
  </si>
  <si>
    <t>182,1958</t>
  </si>
  <si>
    <t>186,6597</t>
  </si>
  <si>
    <t>182,4352</t>
  </si>
  <si>
    <t>182,5376</t>
  </si>
  <si>
    <t>193,9828</t>
  </si>
  <si>
    <t>198,6115</t>
  </si>
  <si>
    <t>200,9251</t>
  </si>
  <si>
    <t>192,5416</t>
  </si>
  <si>
    <t>58,6</t>
  </si>
  <si>
    <t>191,7177</t>
  </si>
  <si>
    <t>205,298</t>
  </si>
  <si>
    <t>63,8</t>
  </si>
  <si>
    <t>196,1795</t>
  </si>
  <si>
    <t>171,1095</t>
  </si>
  <si>
    <t>169,4223</t>
  </si>
  <si>
    <t>163,934</t>
  </si>
  <si>
    <t>172,6677</t>
  </si>
  <si>
    <t>162,4298</t>
  </si>
  <si>
    <t>158,4021</t>
  </si>
  <si>
    <t>169,2729</t>
  </si>
  <si>
    <t>190,9251</t>
  </si>
  <si>
    <t>191,6009</t>
  </si>
  <si>
    <t>192,0054</t>
  </si>
  <si>
    <t>191,0158</t>
  </si>
  <si>
    <t>194,7548</t>
  </si>
  <si>
    <t>190,992</t>
  </si>
  <si>
    <t>191,4115</t>
  </si>
  <si>
    <t>223,7149</t>
  </si>
  <si>
    <t>231,4024</t>
  </si>
  <si>
    <t>231,2111</t>
  </si>
  <si>
    <t>240,9326</t>
  </si>
  <si>
    <t>240,7201</t>
  </si>
  <si>
    <t>242,5608</t>
  </si>
  <si>
    <t>229,4204</t>
  </si>
  <si>
    <t>192,8064</t>
  </si>
  <si>
    <t>191,864</t>
  </si>
  <si>
    <t>191,9933</t>
  </si>
  <si>
    <t>192,4742</t>
  </si>
  <si>
    <t>55,2</t>
  </si>
  <si>
    <t>193,8494</t>
  </si>
  <si>
    <t>190,7254</t>
  </si>
  <si>
    <t>192,3845</t>
  </si>
  <si>
    <t>201,5427</t>
  </si>
  <si>
    <t>207,8188</t>
  </si>
  <si>
    <t>207,1958</t>
  </si>
  <si>
    <t>213,1864</t>
  </si>
  <si>
    <t>217,0158</t>
  </si>
  <si>
    <t>213,5667</t>
  </si>
  <si>
    <t>206,0277</t>
  </si>
  <si>
    <t>201903</t>
  </si>
  <si>
    <t>205,7679</t>
  </si>
  <si>
    <t>205,5131</t>
  </si>
  <si>
    <t>205,486</t>
  </si>
  <si>
    <t>57,6</t>
  </si>
  <si>
    <t>207,2604</t>
  </si>
  <si>
    <t>209,4128</t>
  </si>
  <si>
    <t>205,753</t>
  </si>
  <si>
    <t>205,9571</t>
  </si>
  <si>
    <t>212,0319</t>
  </si>
  <si>
    <t>62,7</t>
  </si>
  <si>
    <t>208,9961</t>
  </si>
  <si>
    <t>64,7</t>
  </si>
  <si>
    <t>209,7241</t>
  </si>
  <si>
    <t>64,1</t>
  </si>
  <si>
    <t>213,0339</t>
  </si>
  <si>
    <t>215,7301</t>
  </si>
  <si>
    <t>68</t>
  </si>
  <si>
    <t>200,9528</t>
  </si>
  <si>
    <t>62,9</t>
  </si>
  <si>
    <t>210,628</t>
  </si>
  <si>
    <t>64</t>
  </si>
  <si>
    <t>175,4443</t>
  </si>
  <si>
    <t>174,0212</t>
  </si>
  <si>
    <t>177,2575</t>
  </si>
  <si>
    <t>173,9572</t>
  </si>
  <si>
    <t>173,8673</t>
  </si>
  <si>
    <t>174,9426</t>
  </si>
  <si>
    <t>174,827</t>
  </si>
  <si>
    <t>170,2354</t>
  </si>
  <si>
    <t>164,9488</t>
  </si>
  <si>
    <t>159,4717</t>
  </si>
  <si>
    <t>159,0908</t>
  </si>
  <si>
    <t>155,2078</t>
  </si>
  <si>
    <t>162,1748</t>
  </si>
  <si>
    <t>166,0308</t>
  </si>
  <si>
    <t>246,3054</t>
  </si>
  <si>
    <t>52,6</t>
  </si>
  <si>
    <t>255,3276</t>
  </si>
  <si>
    <t>56,1</t>
  </si>
  <si>
    <t>263,599</t>
  </si>
  <si>
    <t>295,416</t>
  </si>
  <si>
    <t>277,7588</t>
  </si>
  <si>
    <t>267,694</t>
  </si>
  <si>
    <t>255,6783</t>
  </si>
  <si>
    <t>193,4887</t>
  </si>
  <si>
    <t>193,2714</t>
  </si>
  <si>
    <t>186,5708</t>
  </si>
  <si>
    <t>188,8111</t>
  </si>
  <si>
    <t>51,4</t>
  </si>
  <si>
    <t>194,9874</t>
  </si>
  <si>
    <t>196,6706</t>
  </si>
  <si>
    <t>57,9</t>
  </si>
  <si>
    <t>192,9944</t>
  </si>
  <si>
    <t>207,4407</t>
  </si>
  <si>
    <t>212,0874</t>
  </si>
  <si>
    <t>213,5318</t>
  </si>
  <si>
    <t>211,1458</t>
  </si>
  <si>
    <t>60</t>
  </si>
  <si>
    <t>218,8183</t>
  </si>
  <si>
    <t>213,3061</t>
  </si>
  <si>
    <t>210,369</t>
  </si>
  <si>
    <t>56</t>
  </si>
  <si>
    <t>217,7008</t>
  </si>
  <si>
    <t>71,3</t>
  </si>
  <si>
    <t>219,1139</t>
  </si>
  <si>
    <t>64,4</t>
  </si>
  <si>
    <t>228,1952</t>
  </si>
  <si>
    <t>69,8</t>
  </si>
  <si>
    <t>216,2516</t>
  </si>
  <si>
    <t>224,8528</t>
  </si>
  <si>
    <t>231,4402</t>
  </si>
  <si>
    <t>69,4</t>
  </si>
  <si>
    <t>219,4872</t>
  </si>
  <si>
    <t>67,5</t>
  </si>
  <si>
    <t>236,2025</t>
  </si>
  <si>
    <t>241,8571</t>
  </si>
  <si>
    <t>228,766</t>
  </si>
  <si>
    <t>239,9043</t>
  </si>
  <si>
    <t>221,8008</t>
  </si>
  <si>
    <t>209,1658</t>
  </si>
  <si>
    <t>236,0623</t>
  </si>
  <si>
    <t>185,2328</t>
  </si>
  <si>
    <t>194,7118</t>
  </si>
  <si>
    <t>189,1737</t>
  </si>
  <si>
    <t>193,2556</t>
  </si>
  <si>
    <t>192,4184</t>
  </si>
  <si>
    <t>193,4662</t>
  </si>
  <si>
    <t>189,9687</t>
  </si>
  <si>
    <t>210,87</t>
  </si>
  <si>
    <t>200,8748</t>
  </si>
  <si>
    <t>221,7091</t>
  </si>
  <si>
    <t>239,1842</t>
  </si>
  <si>
    <t>201,5515</t>
  </si>
  <si>
    <t>14,3</t>
  </si>
  <si>
    <t>209,4922</t>
  </si>
  <si>
    <t>209,4616</t>
  </si>
  <si>
    <t>189,6348</t>
  </si>
  <si>
    <t>190,9719</t>
  </si>
  <si>
    <t>187,0104</t>
  </si>
  <si>
    <t>189,4298</t>
  </si>
  <si>
    <t>199,6135</t>
  </si>
  <si>
    <t>188,718</t>
  </si>
  <si>
    <t>190,4396</t>
  </si>
  <si>
    <t>200,4224</t>
  </si>
  <si>
    <t>204,0069</t>
  </si>
  <si>
    <t>60,7</t>
  </si>
  <si>
    <t>207,7378</t>
  </si>
  <si>
    <t>198,8668</t>
  </si>
  <si>
    <t>198,0625</t>
  </si>
  <si>
    <t>210,8663</t>
  </si>
  <si>
    <t>65,3</t>
  </si>
  <si>
    <t>202,2281</t>
  </si>
  <si>
    <t>181,0118</t>
  </si>
  <si>
    <t>176,5273</t>
  </si>
  <si>
    <t>172,0753</t>
  </si>
  <si>
    <t>177,072</t>
  </si>
  <si>
    <t>168,2498</t>
  </si>
  <si>
    <t>164,052</t>
  </si>
  <si>
    <t>177,3407</t>
  </si>
  <si>
    <t>199,1109</t>
  </si>
  <si>
    <t>200,6993</t>
  </si>
  <si>
    <t>201,5779</t>
  </si>
  <si>
    <t>58,5</t>
  </si>
  <si>
    <t>200,6778</t>
  </si>
  <si>
    <t>204,5594</t>
  </si>
  <si>
    <t>58,9</t>
  </si>
  <si>
    <t>199,6427</t>
  </si>
  <si>
    <t>200,1771</t>
  </si>
  <si>
    <t>236,4956</t>
  </si>
  <si>
    <t>59,2</t>
  </si>
  <si>
    <t>240,618</t>
  </si>
  <si>
    <t>244,5429</t>
  </si>
  <si>
    <t>63,4</t>
  </si>
  <si>
    <t>254,2432</t>
  </si>
  <si>
    <t>248,4135</t>
  </si>
  <si>
    <t>59,8</t>
  </si>
  <si>
    <t>252,1449</t>
  </si>
  <si>
    <t>240,6717</t>
  </si>
  <si>
    <t>202,7853</t>
  </si>
  <si>
    <t>59,3</t>
  </si>
  <si>
    <t>201,1595</t>
  </si>
  <si>
    <t>201,7717</t>
  </si>
  <si>
    <t>201,5882</t>
  </si>
  <si>
    <t>203,798</t>
  </si>
  <si>
    <t>199,4496</t>
  </si>
  <si>
    <t>202,0032</t>
  </si>
  <si>
    <t>210,1183</t>
  </si>
  <si>
    <t>47,3</t>
  </si>
  <si>
    <t>215,731</t>
  </si>
  <si>
    <t>218,211</t>
  </si>
  <si>
    <t>224,4322</t>
  </si>
  <si>
    <t>223,3155</t>
  </si>
  <si>
    <t>221,3938</t>
  </si>
  <si>
    <t>214,5221</t>
  </si>
  <si>
    <t>201904</t>
  </si>
  <si>
    <t>212,4469</t>
  </si>
  <si>
    <t>213,0489</t>
  </si>
  <si>
    <t>212,6973</t>
  </si>
  <si>
    <t>214,7732</t>
  </si>
  <si>
    <t>56,7</t>
  </si>
  <si>
    <t>216,4238</t>
  </si>
  <si>
    <t>213,0509</t>
  </si>
  <si>
    <t>55,7</t>
  </si>
  <si>
    <t>213,0517</t>
  </si>
  <si>
    <t>216,2942</t>
  </si>
  <si>
    <t>215,043</t>
  </si>
  <si>
    <t>217,3242</t>
  </si>
  <si>
    <t>218,3462</t>
  </si>
  <si>
    <t>68,1</t>
  </si>
  <si>
    <t>222,2396</t>
  </si>
  <si>
    <t>70,1</t>
  </si>
  <si>
    <t>208,5937</t>
  </si>
  <si>
    <t>215,9985</t>
  </si>
  <si>
    <t>66,2</t>
  </si>
  <si>
    <t>177,3908</t>
  </si>
  <si>
    <t>175,8127</t>
  </si>
  <si>
    <t>178,7798</t>
  </si>
  <si>
    <t>175,0885</t>
  </si>
  <si>
    <t>175,6661</t>
  </si>
  <si>
    <t>176,7706</t>
  </si>
  <si>
    <t>35,7</t>
  </si>
  <si>
    <t>176,6323</t>
  </si>
  <si>
    <t>180,8128</t>
  </si>
  <si>
    <t>176,4177</t>
  </si>
  <si>
    <t>166,1058</t>
  </si>
  <si>
    <t>167,4764</t>
  </si>
  <si>
    <t>163,7047</t>
  </si>
  <si>
    <t>169,7424</t>
  </si>
  <si>
    <t>176,3303</t>
  </si>
  <si>
    <t>254,7437</t>
  </si>
  <si>
    <t>262,9299</t>
  </si>
  <si>
    <t>267,7968</t>
  </si>
  <si>
    <t>304,5467</t>
  </si>
  <si>
    <t>280,8936</t>
  </si>
  <si>
    <t>270,5053</t>
  </si>
  <si>
    <t>263,2012</t>
  </si>
  <si>
    <t>202,1052</t>
  </si>
  <si>
    <t>202,1858</t>
  </si>
  <si>
    <t>196,1482</t>
  </si>
  <si>
    <t>198,6893</t>
  </si>
  <si>
    <t>203,4019</t>
  </si>
  <si>
    <t>205,7215</t>
  </si>
  <si>
    <t>201,8547</t>
  </si>
  <si>
    <t>213,8031</t>
  </si>
  <si>
    <t>220,217</t>
  </si>
  <si>
    <t>222,6283</t>
  </si>
  <si>
    <t>63,9</t>
  </si>
  <si>
    <t>219,6788</t>
  </si>
  <si>
    <t>227,3139</t>
  </si>
  <si>
    <t>62,3</t>
  </si>
  <si>
    <t>220,3908</t>
  </si>
  <si>
    <t>217,7389</t>
  </si>
  <si>
    <t>226,1383</t>
  </si>
  <si>
    <t>69,1</t>
  </si>
  <si>
    <t>230,0953</t>
  </si>
  <si>
    <t>235,3132</t>
  </si>
  <si>
    <t>70,5</t>
  </si>
  <si>
    <t>227,0772</t>
  </si>
  <si>
    <t>62,1</t>
  </si>
  <si>
    <t>235,3221</t>
  </si>
  <si>
    <t>241,7669</t>
  </si>
  <si>
    <t>72,5</t>
  </si>
  <si>
    <t>229,0584</t>
  </si>
  <si>
    <t>243,883</t>
  </si>
  <si>
    <t>249,5756</t>
  </si>
  <si>
    <t>236,423</t>
  </si>
  <si>
    <t>254,6569</t>
  </si>
  <si>
    <t>230,2711</t>
  </si>
  <si>
    <t>55</t>
  </si>
  <si>
    <t>217,3602</t>
  </si>
  <si>
    <t>244,3102</t>
  </si>
  <si>
    <t>191,4187</t>
  </si>
  <si>
    <t>199,3979</t>
  </si>
  <si>
    <t>195,3075</t>
  </si>
  <si>
    <t>202,1036</t>
  </si>
  <si>
    <t>198,5426</t>
  </si>
  <si>
    <t>203,5474</t>
  </si>
  <si>
    <t>195,9999</t>
  </si>
  <si>
    <t>213,02</t>
  </si>
  <si>
    <t>203,6021</t>
  </si>
  <si>
    <t>232,6246</t>
  </si>
  <si>
    <t>242,6714</t>
  </si>
  <si>
    <t>213,7357</t>
  </si>
  <si>
    <t>209,8293</t>
  </si>
  <si>
    <t>212,6984</t>
  </si>
  <si>
    <t>197,2612</t>
  </si>
  <si>
    <t>199,0967</t>
  </si>
  <si>
    <t>198,3279</t>
  </si>
  <si>
    <t>197,8794</t>
  </si>
  <si>
    <t>203,9728</t>
  </si>
  <si>
    <t>194,4282</t>
  </si>
  <si>
    <t>198,2112</t>
  </si>
  <si>
    <t>205,7455</t>
  </si>
  <si>
    <t>210,6962</t>
  </si>
  <si>
    <t>62,6</t>
  </si>
  <si>
    <t>212,1494</t>
  </si>
  <si>
    <t>206,1925</t>
  </si>
  <si>
    <t>204,4122</t>
  </si>
  <si>
    <t>217,6734</t>
  </si>
  <si>
    <t>208,235</t>
  </si>
  <si>
    <t>181,6677</t>
  </si>
  <si>
    <t>181,3588</t>
  </si>
  <si>
    <t>176,272</t>
  </si>
  <si>
    <t>180,4797</t>
  </si>
  <si>
    <t>172,8207</t>
  </si>
  <si>
    <t>169,0454</t>
  </si>
  <si>
    <t>180,1891</t>
  </si>
  <si>
    <t>206,4935</t>
  </si>
  <si>
    <t>208,4341</t>
  </si>
  <si>
    <t>209,4035</t>
  </si>
  <si>
    <t>61,3</t>
  </si>
  <si>
    <t>208,3676</t>
  </si>
  <si>
    <t>211,5599</t>
  </si>
  <si>
    <t>207,394</t>
  </si>
  <si>
    <t>207,7179</t>
  </si>
  <si>
    <t>243,8179</t>
  </si>
  <si>
    <t>249,1233</t>
  </si>
  <si>
    <t>251,4512</t>
  </si>
  <si>
    <t>264,0021</t>
  </si>
  <si>
    <t>256,8358</t>
  </si>
  <si>
    <t>259,3344</t>
  </si>
  <si>
    <t>248,5813</t>
  </si>
  <si>
    <t>210,0294</t>
  </si>
  <si>
    <t>209,232</t>
  </si>
  <si>
    <t>61,2</t>
  </si>
  <si>
    <t>209,2697</t>
  </si>
  <si>
    <t>208,7543</t>
  </si>
  <si>
    <t>211,4989</t>
  </si>
  <si>
    <t>62,8</t>
  </si>
  <si>
    <t>207,7212</t>
  </si>
  <si>
    <t>209,6065</t>
  </si>
  <si>
    <t>215,973</t>
  </si>
  <si>
    <t>222,0071</t>
  </si>
  <si>
    <t>224,44</t>
  </si>
  <si>
    <t>232,9945</t>
  </si>
  <si>
    <t>228,6183</t>
  </si>
  <si>
    <t>226,2759</t>
  </si>
  <si>
    <t>220,6468</t>
  </si>
  <si>
    <t>201905</t>
  </si>
  <si>
    <t>218,8793</t>
  </si>
  <si>
    <t>219,3378</t>
  </si>
  <si>
    <t>218,6002</t>
  </si>
  <si>
    <t>223,0958</t>
  </si>
  <si>
    <t>222,662</t>
  </si>
  <si>
    <t>220,3443</t>
  </si>
  <si>
    <t>219,5691</t>
  </si>
  <si>
    <t>57,3</t>
  </si>
  <si>
    <t>221,9977</t>
  </si>
  <si>
    <t>219,6988</t>
  </si>
  <si>
    <t>66,1</t>
  </si>
  <si>
    <t>222,4479</t>
  </si>
  <si>
    <t>223,1516</t>
  </si>
  <si>
    <t>227,3122</t>
  </si>
  <si>
    <t>215,0661</t>
  </si>
  <si>
    <t>65,9</t>
  </si>
  <si>
    <t>221,2588</t>
  </si>
  <si>
    <t>181,1723</t>
  </si>
  <si>
    <t>179,9139</t>
  </si>
  <si>
    <t>181,0498</t>
  </si>
  <si>
    <t>178,7623</t>
  </si>
  <si>
    <t>179,5108</t>
  </si>
  <si>
    <t>180,6813</t>
  </si>
  <si>
    <t>180,4588</t>
  </si>
  <si>
    <t>185,3862</t>
  </si>
  <si>
    <t>183,9485</t>
  </si>
  <si>
    <t>171,0145</t>
  </si>
  <si>
    <t>174,1356</t>
  </si>
  <si>
    <t>169,7982</t>
  </si>
  <si>
    <t>176,6224</t>
  </si>
  <si>
    <t>182,2453</t>
  </si>
  <si>
    <t>263,5952</t>
  </si>
  <si>
    <t>270,3282</t>
  </si>
  <si>
    <t>280,6154</t>
  </si>
  <si>
    <t>59,1</t>
  </si>
  <si>
    <t>342,548</t>
  </si>
  <si>
    <t>69</t>
  </si>
  <si>
    <t>287,1827</t>
  </si>
  <si>
    <t>282,3963</t>
  </si>
  <si>
    <t>273,6695</t>
  </si>
  <si>
    <t>208,7736</t>
  </si>
  <si>
    <t>208,3617</t>
  </si>
  <si>
    <t>201,6685</t>
  </si>
  <si>
    <t>205,1609</t>
  </si>
  <si>
    <t>209,9064</t>
  </si>
  <si>
    <t>61,9</t>
  </si>
  <si>
    <t>213,7961</t>
  </si>
  <si>
    <t>208,3447</t>
  </si>
  <si>
    <t>225,6527</t>
  </si>
  <si>
    <t>231,0471</t>
  </si>
  <si>
    <t>233,6713</t>
  </si>
  <si>
    <t>227,8591</t>
  </si>
  <si>
    <t>64,8</t>
  </si>
  <si>
    <t>237,5976</t>
  </si>
  <si>
    <t>230,2553</t>
  </si>
  <si>
    <t>228,7921</t>
  </si>
  <si>
    <t>232,7179</t>
  </si>
  <si>
    <t>239,5937</t>
  </si>
  <si>
    <t>71,6</t>
  </si>
  <si>
    <t>242,2933</t>
  </si>
  <si>
    <t>72,7</t>
  </si>
  <si>
    <t>237,6937</t>
  </si>
  <si>
    <t>244,0554</t>
  </si>
  <si>
    <t>249,5187</t>
  </si>
  <si>
    <t>73,1</t>
  </si>
  <si>
    <t>237,057</t>
  </si>
  <si>
    <t>246,7191</t>
  </si>
  <si>
    <t>255,5985</t>
  </si>
  <si>
    <t>243,7357</t>
  </si>
  <si>
    <t>261,8729</t>
  </si>
  <si>
    <t>237,6949</t>
  </si>
  <si>
    <t>223,6792</t>
  </si>
  <si>
    <t>249,1176</t>
  </si>
  <si>
    <t>196,6069</t>
  </si>
  <si>
    <t>203,0656</t>
  </si>
  <si>
    <t>197,8619</t>
  </si>
  <si>
    <t>207,0696</t>
  </si>
  <si>
    <t>205,5218</t>
  </si>
  <si>
    <t>210,3201</t>
  </si>
  <si>
    <t>200,6997</t>
  </si>
  <si>
    <t>224,273</t>
  </si>
  <si>
    <t>208,9931</t>
  </si>
  <si>
    <t>235,3346</t>
  </si>
  <si>
    <t>243,1671</t>
  </si>
  <si>
    <t>213,1073</t>
  </si>
  <si>
    <t>219,6863</t>
  </si>
  <si>
    <t>201,3577</t>
  </si>
  <si>
    <t>203,5625</t>
  </si>
  <si>
    <t>200,7626</t>
  </si>
  <si>
    <t>204,8311</t>
  </si>
  <si>
    <t>207,9022</t>
  </si>
  <si>
    <t>199,7063</t>
  </si>
  <si>
    <t>202,6055</t>
  </si>
  <si>
    <t>210,9243</t>
  </si>
  <si>
    <t>216,7412</t>
  </si>
  <si>
    <t>218,093</t>
  </si>
  <si>
    <t>212,1594</t>
  </si>
  <si>
    <t>211,8199</t>
  </si>
  <si>
    <t>225,6198</t>
  </si>
  <si>
    <t>214,0404</t>
  </si>
  <si>
    <t>182,0922</t>
  </si>
  <si>
    <t>182,2279</t>
  </si>
  <si>
    <t>177,2502</t>
  </si>
  <si>
    <t>184,8278</t>
  </si>
  <si>
    <t>173,8014</t>
  </si>
  <si>
    <t>173,9892</t>
  </si>
  <si>
    <t>181,3032</t>
  </si>
  <si>
    <t>213,2333</t>
  </si>
  <si>
    <t>215,0743</t>
  </si>
  <si>
    <t>215,259</t>
  </si>
  <si>
    <t>214,3198</t>
  </si>
  <si>
    <t>218,2047</t>
  </si>
  <si>
    <t>213,9994</t>
  </si>
  <si>
    <t>214,3182</t>
  </si>
  <si>
    <t>252,0521</t>
  </si>
  <si>
    <t>257,5242</t>
  </si>
  <si>
    <t>261,0191</t>
  </si>
  <si>
    <t>284,3213</t>
  </si>
  <si>
    <t>264,7197</t>
  </si>
  <si>
    <t>270,4028</t>
  </si>
  <si>
    <t>257,831</t>
  </si>
  <si>
    <t>216,4907</t>
  </si>
  <si>
    <t>215,9397</t>
  </si>
  <si>
    <t>214,9697</t>
  </si>
  <si>
    <t>215,004</t>
  </si>
  <si>
    <t>62</t>
  </si>
  <si>
    <t>218,0847</t>
  </si>
  <si>
    <t>215,2851</t>
  </si>
  <si>
    <t>216,1589</t>
  </si>
  <si>
    <t>222,3634</t>
  </si>
  <si>
    <t>227,3132</t>
  </si>
  <si>
    <t>231,0381</t>
  </si>
  <si>
    <t>247,5927</t>
  </si>
  <si>
    <t>233,9959</t>
  </si>
  <si>
    <t>232,8981</t>
  </si>
  <si>
    <t>227,1999</t>
  </si>
  <si>
    <t>201906</t>
  </si>
  <si>
    <t>224,6105</t>
  </si>
  <si>
    <t>225,5013</t>
  </si>
  <si>
    <t>224,9806</t>
  </si>
  <si>
    <t>229,3958</t>
  </si>
  <si>
    <t>228,5075</t>
  </si>
  <si>
    <t>226,4422</t>
  </si>
  <si>
    <t>225,537</t>
  </si>
  <si>
    <t>227,9555</t>
  </si>
  <si>
    <t>225,0407</t>
  </si>
  <si>
    <t>228,0631</t>
  </si>
  <si>
    <t>227,9431</t>
  </si>
  <si>
    <t>232,8461</t>
  </si>
  <si>
    <t>221,3372</t>
  </si>
  <si>
    <t>226,9033</t>
  </si>
  <si>
    <t>60,8</t>
  </si>
  <si>
    <t>186,2069</t>
  </si>
  <si>
    <t>184,6014</t>
  </si>
  <si>
    <t>185,7216</t>
  </si>
  <si>
    <t>183,6813</t>
  </si>
  <si>
    <t>184,7621</t>
  </si>
  <si>
    <t>185,7194</t>
  </si>
  <si>
    <t>185,3625</t>
  </si>
  <si>
    <t>187,7146</t>
  </si>
  <si>
    <t>188,1731</t>
  </si>
  <si>
    <t>175,1748</t>
  </si>
  <si>
    <t>179,7817</t>
  </si>
  <si>
    <t>174,6995</t>
  </si>
  <si>
    <t>179,903</t>
  </si>
  <si>
    <t>185,7061</t>
  </si>
  <si>
    <t>270,5535</t>
  </si>
  <si>
    <t>277,3552</t>
  </si>
  <si>
    <t>291,1847</t>
  </si>
  <si>
    <t>353,2184</t>
  </si>
  <si>
    <t>71</t>
  </si>
  <si>
    <t>293,8968</t>
  </si>
  <si>
    <t>290,1998</t>
  </si>
  <si>
    <t>281,0736</t>
  </si>
  <si>
    <t>215,6745</t>
  </si>
  <si>
    <t>215,9995</t>
  </si>
  <si>
    <t>208,9336</t>
  </si>
  <si>
    <t>212,1571</t>
  </si>
  <si>
    <t>215,358</t>
  </si>
  <si>
    <t>221,6117</t>
  </si>
  <si>
    <t>215,4878</t>
  </si>
  <si>
    <t>231,8228</t>
  </si>
  <si>
    <t>240,043</t>
  </si>
  <si>
    <t>243,7698</t>
  </si>
  <si>
    <t>239,2954</t>
  </si>
  <si>
    <t>249,0156</t>
  </si>
  <si>
    <t>240,9543</t>
  </si>
  <si>
    <t>236,9165</t>
  </si>
  <si>
    <t>237,3329</t>
  </si>
  <si>
    <t>242,6841</t>
  </si>
  <si>
    <t>246,2181</t>
  </si>
  <si>
    <t>238,6925</t>
  </si>
  <si>
    <t>246,8822</t>
  </si>
  <si>
    <t>253,3135</t>
  </si>
  <si>
    <t>240,7657</t>
  </si>
  <si>
    <t>266,2708</t>
  </si>
  <si>
    <t>69,2</t>
  </si>
  <si>
    <t>272,484</t>
  </si>
  <si>
    <t>258,1097</t>
  </si>
  <si>
    <t>277,9078</t>
  </si>
  <si>
    <t>253,4162</t>
  </si>
  <si>
    <t>238,1308</t>
  </si>
  <si>
    <t>59,7</t>
  </si>
  <si>
    <t>266,8665</t>
  </si>
  <si>
    <t>202,8122</t>
  </si>
  <si>
    <t>211,9304</t>
  </si>
  <si>
    <t>206,45</t>
  </si>
  <si>
    <t>216,2327</t>
  </si>
  <si>
    <t>210,8739</t>
  </si>
  <si>
    <t>217,6466</t>
  </si>
  <si>
    <t>208,1341</t>
  </si>
  <si>
    <t>228,9437</t>
  </si>
  <si>
    <t>213,396</t>
  </si>
  <si>
    <t>235,8091</t>
  </si>
  <si>
    <t>244,385</t>
  </si>
  <si>
    <t>216,243</t>
  </si>
  <si>
    <t>209,9311</t>
  </si>
  <si>
    <t>223,5381</t>
  </si>
  <si>
    <t>205,682</t>
  </si>
  <si>
    <t>209,189</t>
  </si>
  <si>
    <t>205,7151</t>
  </si>
  <si>
    <t>213,1929</t>
  </si>
  <si>
    <t>212,676</t>
  </si>
  <si>
    <t>204,432</t>
  </si>
  <si>
    <t>207,737</t>
  </si>
  <si>
    <t>214,0628</t>
  </si>
  <si>
    <t>222,3257</t>
  </si>
  <si>
    <t>224,766</t>
  </si>
  <si>
    <t>66,3</t>
  </si>
  <si>
    <t>216,5683</t>
  </si>
  <si>
    <t>218,6306</t>
  </si>
  <si>
    <t>62,4</t>
  </si>
  <si>
    <t>231,1254</t>
  </si>
  <si>
    <t>218,5697</t>
  </si>
  <si>
    <t>186,9309</t>
  </si>
  <si>
    <t>186,554</t>
  </si>
  <si>
    <t>181,4751</t>
  </si>
  <si>
    <t>188,8215</t>
  </si>
  <si>
    <t>177,4265</t>
  </si>
  <si>
    <t>177,9602</t>
  </si>
  <si>
    <t>185,7752</t>
  </si>
  <si>
    <t>218,7778</t>
  </si>
  <si>
    <t>221,1453</t>
  </si>
  <si>
    <t>221,5656</t>
  </si>
  <si>
    <t>220,7573</t>
  </si>
  <si>
    <t>224,0888</t>
  </si>
  <si>
    <t>219,9208</t>
  </si>
  <si>
    <t>220,1725</t>
  </si>
  <si>
    <t>258,7342</t>
  </si>
  <si>
    <t>265,1563</t>
  </si>
  <si>
    <t>269,2133</t>
  </si>
  <si>
    <t>291,7361</t>
  </si>
  <si>
    <t>64,5</t>
  </si>
  <si>
    <t>271,6931</t>
  </si>
  <si>
    <t>278,4102</t>
  </si>
  <si>
    <t>65,4</t>
  </si>
  <si>
    <t>265,016</t>
  </si>
  <si>
    <t>222,3189</t>
  </si>
  <si>
    <t>221,8774</t>
  </si>
  <si>
    <t>221,0739</t>
  </si>
  <si>
    <t>221,0468</t>
  </si>
  <si>
    <t>223,9457</t>
  </si>
  <si>
    <t>220,9638</t>
  </si>
  <si>
    <t>222,0468</t>
  </si>
  <si>
    <t>227,953</t>
  </si>
  <si>
    <t>234,0065</t>
  </si>
  <si>
    <t>238,3646</t>
  </si>
  <si>
    <t>254,6716</t>
  </si>
  <si>
    <t>239,8032</t>
  </si>
  <si>
    <t>240,0358</t>
  </si>
  <si>
    <t>233,4205</t>
  </si>
  <si>
    <t>201907</t>
  </si>
  <si>
    <t>229,4286</t>
  </si>
  <si>
    <t>230,5038</t>
  </si>
  <si>
    <t>229,1739</t>
  </si>
  <si>
    <t>233,932</t>
  </si>
  <si>
    <t>234,9103</t>
  </si>
  <si>
    <t>232,2018</t>
  </si>
  <si>
    <t>230,494</t>
  </si>
  <si>
    <t>233,6669</t>
  </si>
  <si>
    <t>230,0146</t>
  </si>
  <si>
    <t>232,153</t>
  </si>
  <si>
    <t>231,1993</t>
  </si>
  <si>
    <t>237,2552</t>
  </si>
  <si>
    <t>226,5368</t>
  </si>
  <si>
    <t>232,0295</t>
  </si>
  <si>
    <t>58,1</t>
  </si>
  <si>
    <t>188,3557</t>
  </si>
  <si>
    <t>185,6962</t>
  </si>
  <si>
    <t>188,2138</t>
  </si>
  <si>
    <t>184,158</t>
  </si>
  <si>
    <t>185,7844</t>
  </si>
  <si>
    <t>186,9278</t>
  </si>
  <si>
    <t>186,9476</t>
  </si>
  <si>
    <t>187,6964</t>
  </si>
  <si>
    <t>188,3922</t>
  </si>
  <si>
    <t>177,1789</t>
  </si>
  <si>
    <t>182,0826</t>
  </si>
  <si>
    <t>175,6517</t>
  </si>
  <si>
    <t>185,9299</t>
  </si>
  <si>
    <t>186,345</t>
  </si>
  <si>
    <t>276,9197</t>
  </si>
  <si>
    <t>283,0166</t>
  </si>
  <si>
    <t>294,4477</t>
  </si>
  <si>
    <t>357,4534</t>
  </si>
  <si>
    <t>305,933</t>
  </si>
  <si>
    <t>296,8043</t>
  </si>
  <si>
    <t>287,2242</t>
  </si>
  <si>
    <t>220,6806</t>
  </si>
  <si>
    <t>221,9525</t>
  </si>
  <si>
    <t>214,5294</t>
  </si>
  <si>
    <t>216,4343</t>
  </si>
  <si>
    <t>221,7532</t>
  </si>
  <si>
    <t>227,8503</t>
  </si>
  <si>
    <t>220,9243</t>
  </si>
  <si>
    <t>240,7959</t>
  </si>
  <si>
    <t>251,0776</t>
  </si>
  <si>
    <t>254,2934</t>
  </si>
  <si>
    <t>68,5</t>
  </si>
  <si>
    <t>247,5456</t>
  </si>
  <si>
    <t>258,5861</t>
  </si>
  <si>
    <t>70,3</t>
  </si>
  <si>
    <t>250,2419</t>
  </si>
  <si>
    <t>246,6508</t>
  </si>
  <si>
    <t>237,3299</t>
  </si>
  <si>
    <t>247,1887</t>
  </si>
  <si>
    <t>248,6965</t>
  </si>
  <si>
    <t>245,6305</t>
  </si>
  <si>
    <t>255,5007</t>
  </si>
  <si>
    <t>258,6165</t>
  </si>
  <si>
    <t>243,5064</t>
  </si>
  <si>
    <t>266,7107</t>
  </si>
  <si>
    <t>272,6459</t>
  </si>
  <si>
    <t>259,6914</t>
  </si>
  <si>
    <t>277,9703</t>
  </si>
  <si>
    <t>254,9996</t>
  </si>
  <si>
    <t>241,8102</t>
  </si>
  <si>
    <t>267,4442</t>
  </si>
  <si>
    <t>211,161</t>
  </si>
  <si>
    <t>220,0141</t>
  </si>
  <si>
    <t>211,3623</t>
  </si>
  <si>
    <t>224,0236</t>
  </si>
  <si>
    <t>220,2245</t>
  </si>
  <si>
    <t>224,5908</t>
  </si>
  <si>
    <t>216,1836</t>
  </si>
  <si>
    <t>234,0668</t>
  </si>
  <si>
    <t>217,2125</t>
  </si>
  <si>
    <t>240,4707</t>
  </si>
  <si>
    <t>251,7763</t>
  </si>
  <si>
    <t>218,5696</t>
  </si>
  <si>
    <t>214,8614</t>
  </si>
  <si>
    <t>228,213</t>
  </si>
  <si>
    <t>211,426</t>
  </si>
  <si>
    <t>214,5196</t>
  </si>
  <si>
    <t>211,5652</t>
  </si>
  <si>
    <t>220,9991</t>
  </si>
  <si>
    <t>224,9904</t>
  </si>
  <si>
    <t>211,2251</t>
  </si>
  <si>
    <t>213,878</t>
  </si>
  <si>
    <t>220,5043</t>
  </si>
  <si>
    <t>227,3458</t>
  </si>
  <si>
    <t>231,7055</t>
  </si>
  <si>
    <t>222,5813</t>
  </si>
  <si>
    <t>224,673</t>
  </si>
  <si>
    <t>236,5118</t>
  </si>
  <si>
    <t>224,4509</t>
  </si>
  <si>
    <t>194,6997</t>
  </si>
  <si>
    <t>193,6229</t>
  </si>
  <si>
    <t>185,4938</t>
  </si>
  <si>
    <t>191,0737</t>
  </si>
  <si>
    <t>182,8741</t>
  </si>
  <si>
    <t>183,9675</t>
  </si>
  <si>
    <t>192,5377</t>
  </si>
  <si>
    <t>223,4054</t>
  </si>
  <si>
    <t>225,8078</t>
  </si>
  <si>
    <t>226,0473</t>
  </si>
  <si>
    <t>225,6099</t>
  </si>
  <si>
    <t>229,712</t>
  </si>
  <si>
    <t>225,1869</t>
  </si>
  <si>
    <t>224,9011</t>
  </si>
  <si>
    <t>262,7838</t>
  </si>
  <si>
    <t>270,0869</t>
  </si>
  <si>
    <t>272,3882</t>
  </si>
  <si>
    <t>296,6796</t>
  </si>
  <si>
    <t>281,1683</t>
  </si>
  <si>
    <t>60,3</t>
  </si>
  <si>
    <t>285,684</t>
  </si>
  <si>
    <t>269,7964</t>
  </si>
  <si>
    <t>226,5723</t>
  </si>
  <si>
    <t>226,4858</t>
  </si>
  <si>
    <t>225,4649</t>
  </si>
  <si>
    <t>225,074</t>
  </si>
  <si>
    <t>228,7717</t>
  </si>
  <si>
    <t>226,5831</t>
  </si>
  <si>
    <t>58,4</t>
  </si>
  <si>
    <t>226,5037</t>
  </si>
  <si>
    <t>233,5948</t>
  </si>
  <si>
    <t>239,9341</t>
  </si>
  <si>
    <t>241,8806</t>
  </si>
  <si>
    <t>260,7484</t>
  </si>
  <si>
    <t>250,1103</t>
  </si>
  <si>
    <t>246,1439</t>
  </si>
  <si>
    <t>239,3509</t>
  </si>
  <si>
    <t>201908</t>
  </si>
  <si>
    <t>238,3069</t>
  </si>
  <si>
    <t>239,3972</t>
  </si>
  <si>
    <t>239,3993</t>
  </si>
  <si>
    <t>243,6348</t>
  </si>
  <si>
    <t>245,1846</t>
  </si>
  <si>
    <t>242,0023</t>
  </si>
  <si>
    <t>239,6077</t>
  </si>
  <si>
    <t>243,7857</t>
  </si>
  <si>
    <t>240,1666</t>
  </si>
  <si>
    <t>244,4997</t>
  </si>
  <si>
    <t>243,3975</t>
  </si>
  <si>
    <t>250,1356</t>
  </si>
  <si>
    <t>235,7925</t>
  </si>
  <si>
    <t>242,5051</t>
  </si>
  <si>
    <t>196,6496</t>
  </si>
  <si>
    <t>193,6399</t>
  </si>
  <si>
    <t>196,9928</t>
  </si>
  <si>
    <t>192,5762</t>
  </si>
  <si>
    <t>193,517</t>
  </si>
  <si>
    <t>195,8166</t>
  </si>
  <si>
    <t>195,1481</t>
  </si>
  <si>
    <t>193,4764</t>
  </si>
  <si>
    <t>194,2316</t>
  </si>
  <si>
    <t>184,2537</t>
  </si>
  <si>
    <t>186,81</t>
  </si>
  <si>
    <t>181,2704</t>
  </si>
  <si>
    <t>192,3091</t>
  </si>
  <si>
    <t>192,1506</t>
  </si>
  <si>
    <t>281,3647</t>
  </si>
  <si>
    <t>290,0349</t>
  </si>
  <si>
    <t>299,415</t>
  </si>
  <si>
    <t>365,0794</t>
  </si>
  <si>
    <t>321,2287</t>
  </si>
  <si>
    <t>302,6766</t>
  </si>
  <si>
    <t>293,329</t>
  </si>
  <si>
    <t>234,5388</t>
  </si>
  <si>
    <t>234,4091</t>
  </si>
  <si>
    <t>229,5438</t>
  </si>
  <si>
    <t>231,141</t>
  </si>
  <si>
    <t>232,499</t>
  </si>
  <si>
    <t>243,5081</t>
  </si>
  <si>
    <t>234,3379</t>
  </si>
  <si>
    <t>253,7682</t>
  </si>
  <si>
    <t>263,6428</t>
  </si>
  <si>
    <t>68,4</t>
  </si>
  <si>
    <t>267,0282</t>
  </si>
  <si>
    <t>259,211</t>
  </si>
  <si>
    <t>270,1211</t>
  </si>
  <si>
    <t>266,5123</t>
  </si>
  <si>
    <t>259,4603</t>
  </si>
  <si>
    <t>247,2147</t>
  </si>
  <si>
    <t>256,8896</t>
  </si>
  <si>
    <t>258,4518</t>
  </si>
  <si>
    <t>251,6284</t>
  </si>
  <si>
    <t>262,9795</t>
  </si>
  <si>
    <t>273,0576</t>
  </si>
  <si>
    <t>253,1342</t>
  </si>
  <si>
    <t>270,3128</t>
  </si>
  <si>
    <t>275,0489</t>
  </si>
  <si>
    <t>263,4223</t>
  </si>
  <si>
    <t>281,8112</t>
  </si>
  <si>
    <t>258,3233</t>
  </si>
  <si>
    <t>243,6236</t>
  </si>
  <si>
    <t>270,5675</t>
  </si>
  <si>
    <t>222,3902</t>
  </si>
  <si>
    <t>225,8195</t>
  </si>
  <si>
    <t>220,5766</t>
  </si>
  <si>
    <t>233,2965</t>
  </si>
  <si>
    <t>229,1518</t>
  </si>
  <si>
    <t>235,5254</t>
  </si>
  <si>
    <t>225,1959</t>
  </si>
  <si>
    <t>238,4995</t>
  </si>
  <si>
    <t>223,6489</t>
  </si>
  <si>
    <t>251,5583</t>
  </si>
  <si>
    <t>259,2265</t>
  </si>
  <si>
    <t>222,7794</t>
  </si>
  <si>
    <t>222,3353</t>
  </si>
  <si>
    <t>233,9485</t>
  </si>
  <si>
    <t>218,1493</t>
  </si>
  <si>
    <t>222,8565</t>
  </si>
  <si>
    <t>218,119</t>
  </si>
  <si>
    <t>230,0055</t>
  </si>
  <si>
    <t>235,6485</t>
  </si>
  <si>
    <t>219,1574</t>
  </si>
  <si>
    <t>221,5727</t>
  </si>
  <si>
    <t>229,5674</t>
  </si>
  <si>
    <t>237,5067</t>
  </si>
  <si>
    <t>243,5288</t>
  </si>
  <si>
    <t>235,1025</t>
  </si>
  <si>
    <t>235,6338</t>
  </si>
  <si>
    <t>246,2574</t>
  </si>
  <si>
    <t>66</t>
  </si>
  <si>
    <t>234,3934</t>
  </si>
  <si>
    <t>200,5743</t>
  </si>
  <si>
    <t>200,9031</t>
  </si>
  <si>
    <t>197,056</t>
  </si>
  <si>
    <t>203,5009</t>
  </si>
  <si>
    <t>192,7321</t>
  </si>
  <si>
    <t>192,6445</t>
  </si>
  <si>
    <t>199,9586</t>
  </si>
  <si>
    <t>234,0155</t>
  </si>
  <si>
    <t>235,7591</t>
  </si>
  <si>
    <t>237,6189</t>
  </si>
  <si>
    <t>235,5245</t>
  </si>
  <si>
    <t>240,454</t>
  </si>
  <si>
    <t>236,7053</t>
  </si>
  <si>
    <t>235,3317</t>
  </si>
  <si>
    <t>267,9214</t>
  </si>
  <si>
    <t>276,2172</t>
  </si>
  <si>
    <t>276,3421</t>
  </si>
  <si>
    <t>303,6195</t>
  </si>
  <si>
    <t>290,1577</t>
  </si>
  <si>
    <t>290,3757</t>
  </si>
  <si>
    <t>275,5073</t>
  </si>
  <si>
    <t>238,1722</t>
  </si>
  <si>
    <t>236,9203</t>
  </si>
  <si>
    <t>237,42</t>
  </si>
  <si>
    <t>235,6304</t>
  </si>
  <si>
    <t>239,4897</t>
  </si>
  <si>
    <t>238,2214</t>
  </si>
  <si>
    <t>237,6064</t>
  </si>
  <si>
    <t>238,5033</t>
  </si>
  <si>
    <t>245,2103</t>
  </si>
  <si>
    <t>246,1804</t>
  </si>
  <si>
    <t>267,8672</t>
  </si>
  <si>
    <t>259,286</t>
  </si>
  <si>
    <t>251,384</t>
  </si>
  <si>
    <t>244,7381</t>
  </si>
  <si>
    <t>201909</t>
  </si>
  <si>
    <t>252,1482</t>
  </si>
  <si>
    <t>253,889</t>
  </si>
  <si>
    <t>53,8</t>
  </si>
  <si>
    <t>254,215</t>
  </si>
  <si>
    <t>257,8353</t>
  </si>
  <si>
    <t>259,466</t>
  </si>
  <si>
    <t>254,7349</t>
  </si>
  <si>
    <t>253,7102</t>
  </si>
  <si>
    <t>257,577</t>
  </si>
  <si>
    <t>254,4057</t>
  </si>
  <si>
    <t>258,6332</t>
  </si>
  <si>
    <t>257,1563</t>
  </si>
  <si>
    <t>263,4337</t>
  </si>
  <si>
    <t>248,2396</t>
  </si>
  <si>
    <t>256,3757</t>
  </si>
  <si>
    <t>208,2246</t>
  </si>
  <si>
    <t>204,0461</t>
  </si>
  <si>
    <t>207,188</t>
  </si>
  <si>
    <t>203,7149</t>
  </si>
  <si>
    <t>204,2862</t>
  </si>
  <si>
    <t>208,0305</t>
  </si>
  <si>
    <t>206,218</t>
  </si>
  <si>
    <t>216,0233</t>
  </si>
  <si>
    <t>209,1539</t>
  </si>
  <si>
    <t>200,0604</t>
  </si>
  <si>
    <t>204,1852</t>
  </si>
  <si>
    <t>194,0333</t>
  </si>
  <si>
    <t>205,0109</t>
  </si>
  <si>
    <t>210,4983</t>
  </si>
  <si>
    <t>285,7905</t>
  </si>
  <si>
    <t>296,9638</t>
  </si>
  <si>
    <t>309,6751</t>
  </si>
  <si>
    <t>368,9902</t>
  </si>
  <si>
    <t>331,2451</t>
  </si>
  <si>
    <t>309,5901</t>
  </si>
  <si>
    <t>299,168</t>
  </si>
  <si>
    <t>252,4058</t>
  </si>
  <si>
    <t>251,8846</t>
  </si>
  <si>
    <t>244,6658</t>
  </si>
  <si>
    <t>247,7284</t>
  </si>
  <si>
    <t>250,615</t>
  </si>
  <si>
    <t>257,9072</t>
  </si>
  <si>
    <t>251,7058</t>
  </si>
  <si>
    <t>272,9536</t>
  </si>
  <si>
    <t>287,863</t>
  </si>
  <si>
    <t>75,8</t>
  </si>
  <si>
    <t>289,3247</t>
  </si>
  <si>
    <t>75</t>
  </si>
  <si>
    <t>284,4338</t>
  </si>
  <si>
    <t>79,3</t>
  </si>
  <si>
    <t>293,4359</t>
  </si>
  <si>
    <t>79,4</t>
  </si>
  <si>
    <t>285,5786</t>
  </si>
  <si>
    <t>74,7</t>
  </si>
  <si>
    <t>281,0982</t>
  </si>
  <si>
    <t>258,2652</t>
  </si>
  <si>
    <t>269,5423</t>
  </si>
  <si>
    <t>272,1464</t>
  </si>
  <si>
    <t>263,1232</t>
  </si>
  <si>
    <t>276,0522</t>
  </si>
  <si>
    <t>286,2945</t>
  </si>
  <si>
    <t>265,0598</t>
  </si>
  <si>
    <t>288,495</t>
  </si>
  <si>
    <t>293,6733</t>
  </si>
  <si>
    <t>281,7965</t>
  </si>
  <si>
    <t>302,4057</t>
  </si>
  <si>
    <t>272,7204</t>
  </si>
  <si>
    <t>259,1151</t>
  </si>
  <si>
    <t>288,7594</t>
  </si>
  <si>
    <t>239,5231</t>
  </si>
  <si>
    <t>243,1153</t>
  </si>
  <si>
    <t>238,4335</t>
  </si>
  <si>
    <t>246,5935</t>
  </si>
  <si>
    <t>248,9957</t>
  </si>
  <si>
    <t>251,364</t>
  </si>
  <si>
    <t>242,2378</t>
  </si>
  <si>
    <t>240,667</t>
  </si>
  <si>
    <t>226,3624</t>
  </si>
  <si>
    <t>255,1061</t>
  </si>
  <si>
    <t>260,5112</t>
  </si>
  <si>
    <t>224,417</t>
  </si>
  <si>
    <t>225,5978</t>
  </si>
  <si>
    <t>236,3192</t>
  </si>
  <si>
    <t>229,7003</t>
  </si>
  <si>
    <t>234,221</t>
  </si>
  <si>
    <t>233,8715</t>
  </si>
  <si>
    <t>242,4505</t>
  </si>
  <si>
    <t>247,5575</t>
  </si>
  <si>
    <t>227,7431</t>
  </si>
  <si>
    <t>233,2019</t>
  </si>
  <si>
    <t>248,064</t>
  </si>
  <si>
    <t>256,5909</t>
  </si>
  <si>
    <t>263,4943</t>
  </si>
  <si>
    <t>256,7209</t>
  </si>
  <si>
    <t>66,4</t>
  </si>
  <si>
    <t>257,1361</t>
  </si>
  <si>
    <t>267,7179</t>
  </si>
  <si>
    <t>253,668</t>
  </si>
  <si>
    <t>221,4755</t>
  </si>
  <si>
    <t>214,8382</t>
  </si>
  <si>
    <t>212,4134</t>
  </si>
  <si>
    <t>216,5496</t>
  </si>
  <si>
    <t>208,3814</t>
  </si>
  <si>
    <t>205,7906</t>
  </si>
  <si>
    <t>217,0323</t>
  </si>
  <si>
    <t>248,7065</t>
  </si>
  <si>
    <t>251,4376</t>
  </si>
  <si>
    <t>253,3293</t>
  </si>
  <si>
    <t>251,512</t>
  </si>
  <si>
    <t>255,9156</t>
  </si>
  <si>
    <t>250,2465</t>
  </si>
  <si>
    <t>250,4818</t>
  </si>
  <si>
    <t>276,0843</t>
  </si>
  <si>
    <t>286,8327</t>
  </si>
  <si>
    <t>287,2338</t>
  </si>
  <si>
    <t>311,7371</t>
  </si>
  <si>
    <t>299,8321</t>
  </si>
  <si>
    <t>300,1215</t>
  </si>
  <si>
    <t>284,7479</t>
  </si>
  <si>
    <t>255,9431</t>
  </si>
  <si>
    <t>253,2709</t>
  </si>
  <si>
    <t>253,5749</t>
  </si>
  <si>
    <t>252,1402</t>
  </si>
  <si>
    <t>255,9204</t>
  </si>
  <si>
    <t>253,0761</t>
  </si>
  <si>
    <t>254,5303</t>
  </si>
  <si>
    <t>246,613</t>
  </si>
  <si>
    <t>255,3397</t>
  </si>
  <si>
    <t>256,408</t>
  </si>
  <si>
    <t>275,0767</t>
  </si>
  <si>
    <t>268,2454</t>
  </si>
  <si>
    <t>258,8511</t>
  </si>
  <si>
    <t>253,5732</t>
  </si>
  <si>
    <t>201910</t>
  </si>
  <si>
    <t>260,2101</t>
  </si>
  <si>
    <t>262,6467</t>
  </si>
  <si>
    <t>262,608</t>
  </si>
  <si>
    <t>265,2024</t>
  </si>
  <si>
    <t>269,1257</t>
  </si>
  <si>
    <t>262,9941</t>
  </si>
  <si>
    <t>262,0661</t>
  </si>
  <si>
    <t>263,9796</t>
  </si>
  <si>
    <t>260,9044</t>
  </si>
  <si>
    <t>264,3301</t>
  </si>
  <si>
    <t>261,4557</t>
  </si>
  <si>
    <t>269,1742</t>
  </si>
  <si>
    <t>255,9146</t>
  </si>
  <si>
    <t>262,6603</t>
  </si>
  <si>
    <t>221,6366</t>
  </si>
  <si>
    <t>216,0888</t>
  </si>
  <si>
    <t>217,7666</t>
  </si>
  <si>
    <t>216,5239</t>
  </si>
  <si>
    <t>217,1244</t>
  </si>
  <si>
    <t>221,1988</t>
  </si>
  <si>
    <t>218,9538</t>
  </si>
  <si>
    <t>225,8875</t>
  </si>
  <si>
    <t>218,9974</t>
  </si>
  <si>
    <t>211,4602</t>
  </si>
  <si>
    <t>213,2416</t>
  </si>
  <si>
    <t>207,6402</t>
  </si>
  <si>
    <t>212,5806</t>
  </si>
  <si>
    <t>220,4635</t>
  </si>
  <si>
    <t>291,3924</t>
  </si>
  <si>
    <t>303,5987</t>
  </si>
  <si>
    <t>311,929</t>
  </si>
  <si>
    <t>371,5297</t>
  </si>
  <si>
    <t>339,2326</t>
  </si>
  <si>
    <t>313,4394</t>
  </si>
  <si>
    <t>304,8007</t>
  </si>
  <si>
    <t>274,3482</t>
  </si>
  <si>
    <t>271,4544</t>
  </si>
  <si>
    <t>262,532</t>
  </si>
  <si>
    <t>268,2497</t>
  </si>
  <si>
    <t>270,7723</t>
  </si>
  <si>
    <t>274,1781</t>
  </si>
  <si>
    <t>272,1918</t>
  </si>
  <si>
    <t>285,3789</t>
  </si>
  <si>
    <t>301,8756</t>
  </si>
  <si>
    <t>74,8</t>
  </si>
  <si>
    <t>305,4112</t>
  </si>
  <si>
    <t>76,7</t>
  </si>
  <si>
    <t>297,1895</t>
  </si>
  <si>
    <t>307,2929</t>
  </si>
  <si>
    <t>78,4</t>
  </si>
  <si>
    <t>296,6257</t>
  </si>
  <si>
    <t>73,6</t>
  </si>
  <si>
    <t>294,2595</t>
  </si>
  <si>
    <t>264,6173</t>
  </si>
  <si>
    <t>282,47</t>
  </si>
  <si>
    <t>283,1466</t>
  </si>
  <si>
    <t>270,3085</t>
  </si>
  <si>
    <t>288,3889</t>
  </si>
  <si>
    <t>297,0019</t>
  </si>
  <si>
    <t>274,3506</t>
  </si>
  <si>
    <t>288,7268</t>
  </si>
  <si>
    <t>295,3925</t>
  </si>
  <si>
    <t>285,1106</t>
  </si>
  <si>
    <t>305,3994</t>
  </si>
  <si>
    <t>275,3063</t>
  </si>
  <si>
    <t>262,8585</t>
  </si>
  <si>
    <t>290,1029</t>
  </si>
  <si>
    <t>244,9917</t>
  </si>
  <si>
    <t>245,9003</t>
  </si>
  <si>
    <t>245,8387</t>
  </si>
  <si>
    <t>254,3766</t>
  </si>
  <si>
    <t>255,5258</t>
  </si>
  <si>
    <t>255,9938</t>
  </si>
  <si>
    <t>247,0628</t>
  </si>
  <si>
    <t>243,7719</t>
  </si>
  <si>
    <t>230,7576</t>
  </si>
  <si>
    <t>261,0167</t>
  </si>
  <si>
    <t>263,7081</t>
  </si>
  <si>
    <t>230,8964</t>
  </si>
  <si>
    <t>226,8984</t>
  </si>
  <si>
    <t>240,0651</t>
  </si>
  <si>
    <t>235,7793</t>
  </si>
  <si>
    <t>239,6211</t>
  </si>
  <si>
    <t>238,0267</t>
  </si>
  <si>
    <t>249,1496</t>
  </si>
  <si>
    <t>254,1716</t>
  </si>
  <si>
    <t>236,0028</t>
  </si>
  <si>
    <t>239,127</t>
  </si>
  <si>
    <t>257,2619</t>
  </si>
  <si>
    <t>266,1801</t>
  </si>
  <si>
    <t>274,2045</t>
  </si>
  <si>
    <t>267,5708</t>
  </si>
  <si>
    <t>268,8532</t>
  </si>
  <si>
    <t>279,1543</t>
  </si>
  <si>
    <t>263,4181</t>
  </si>
  <si>
    <t>227,3906</t>
  </si>
  <si>
    <t>220,9549</t>
  </si>
  <si>
    <t>221,4653</t>
  </si>
  <si>
    <t>221,2943</t>
  </si>
  <si>
    <t>216,2448</t>
  </si>
  <si>
    <t>211,7111</t>
  </si>
  <si>
    <t>223,1837</t>
  </si>
  <si>
    <t>258,1791</t>
  </si>
  <si>
    <t>261,1278</t>
  </si>
  <si>
    <t>262,358</t>
  </si>
  <si>
    <t>260,0597</t>
  </si>
  <si>
    <t>266,8011</t>
  </si>
  <si>
    <t>259,593</t>
  </si>
  <si>
    <t>260,0118</t>
  </si>
  <si>
    <t>280,964</t>
  </si>
  <si>
    <t>293,9111</t>
  </si>
  <si>
    <t>292,6459</t>
  </si>
  <si>
    <t>316,4141</t>
  </si>
  <si>
    <t>306,5225</t>
  </si>
  <si>
    <t>306,1522</t>
  </si>
  <si>
    <t>290,513</t>
  </si>
  <si>
    <t>264,5957</t>
  </si>
  <si>
    <t>262,542</t>
  </si>
  <si>
    <t>262,1456</t>
  </si>
  <si>
    <t>259,5075</t>
  </si>
  <si>
    <t>265,8917</t>
  </si>
  <si>
    <t>262,3791</t>
  </si>
  <si>
    <t>263,3998</t>
  </si>
  <si>
    <t>253,8132</t>
  </si>
  <si>
    <t>262,8923</t>
  </si>
  <si>
    <t>264,1922</t>
  </si>
  <si>
    <t>282,4431</t>
  </si>
  <si>
    <t>277,1335</t>
  </si>
  <si>
    <t>264,52</t>
  </si>
  <si>
    <t>260,9456</t>
  </si>
  <si>
    <t>201911</t>
  </si>
  <si>
    <t>270,8019</t>
  </si>
  <si>
    <t>274,4483</t>
  </si>
  <si>
    <t>273,8915</t>
  </si>
  <si>
    <t>275,4348</t>
  </si>
  <si>
    <t>281,2769</t>
  </si>
  <si>
    <t>274,9526</t>
  </si>
  <si>
    <t>273,2158</t>
  </si>
  <si>
    <t>278,9293</t>
  </si>
  <si>
    <t>274,4637</t>
  </si>
  <si>
    <t>276,7443</t>
  </si>
  <si>
    <t>271,6254</t>
  </si>
  <si>
    <t>283,7594</t>
  </si>
  <si>
    <t>270,0412</t>
  </si>
  <si>
    <t>276,6339</t>
  </si>
  <si>
    <t>233,7037</t>
  </si>
  <si>
    <t>228,2502</t>
  </si>
  <si>
    <t>230,1284</t>
  </si>
  <si>
    <t>228,871</t>
  </si>
  <si>
    <t>230,7659</t>
  </si>
  <si>
    <t>233,8741</t>
  </si>
  <si>
    <t>231,1972</t>
  </si>
  <si>
    <t>235,2338</t>
  </si>
  <si>
    <t>229,517</t>
  </si>
  <si>
    <t>220,6308</t>
  </si>
  <si>
    <t>221,7968</t>
  </si>
  <si>
    <t>219,3983</t>
  </si>
  <si>
    <t>221,48</t>
  </si>
  <si>
    <t>230,249</t>
  </si>
  <si>
    <t>296,2231</t>
  </si>
  <si>
    <t>308,0817</t>
  </si>
  <si>
    <t>316,9618</t>
  </si>
  <si>
    <t>373,0862</t>
  </si>
  <si>
    <t>342,564</t>
  </si>
  <si>
    <t>322,9582</t>
  </si>
  <si>
    <t>309,4466</t>
  </si>
  <si>
    <t>274,4191</t>
  </si>
  <si>
    <t>273,745</t>
  </si>
  <si>
    <t>265,1091</t>
  </si>
  <si>
    <t>269,7862</t>
  </si>
  <si>
    <t>273,9913</t>
  </si>
  <si>
    <t>280,7169</t>
  </si>
  <si>
    <t>273,7052</t>
  </si>
  <si>
    <t>302,0045</t>
  </si>
  <si>
    <t>321,8838</t>
  </si>
  <si>
    <t>74,4</t>
  </si>
  <si>
    <t>324,1266</t>
  </si>
  <si>
    <t>74,1</t>
  </si>
  <si>
    <t>319,3469</t>
  </si>
  <si>
    <t>76,8</t>
  </si>
  <si>
    <t>328,3123</t>
  </si>
  <si>
    <t>74,2</t>
  </si>
  <si>
    <t>316,1671</t>
  </si>
  <si>
    <t>312,847</t>
  </si>
  <si>
    <t>274,2968</t>
  </si>
  <si>
    <t>297,7914</t>
  </si>
  <si>
    <t>299,5421</t>
  </si>
  <si>
    <t>286,0205</t>
  </si>
  <si>
    <t>301,5339</t>
  </si>
  <si>
    <t>310,2831</t>
  </si>
  <si>
    <t>286,9334</t>
  </si>
  <si>
    <t>308,4409</t>
  </si>
  <si>
    <t>318,6833</t>
  </si>
  <si>
    <t>305,5822</t>
  </si>
  <si>
    <t>329,1698</t>
  </si>
  <si>
    <t>295,671</t>
  </si>
  <si>
    <t>286,5737</t>
  </si>
  <si>
    <t>311,5568</t>
  </si>
  <si>
    <t>251,8864</t>
  </si>
  <si>
    <t>255,079</t>
  </si>
  <si>
    <t>257,3488</t>
  </si>
  <si>
    <t>261,3164</t>
  </si>
  <si>
    <t>267,7569</t>
  </si>
  <si>
    <t>265,0636</t>
  </si>
  <si>
    <t>255,3408</t>
  </si>
  <si>
    <t>262,1762</t>
  </si>
  <si>
    <t>236,3864</t>
  </si>
  <si>
    <t>261,0281</t>
  </si>
  <si>
    <t>267,2744</t>
  </si>
  <si>
    <t>233,2931</t>
  </si>
  <si>
    <t>227,29</t>
  </si>
  <si>
    <t>250,6401</t>
  </si>
  <si>
    <t>243,0714</t>
  </si>
  <si>
    <t>248,0136</t>
  </si>
  <si>
    <t>245,6175</t>
  </si>
  <si>
    <t>257,9258</t>
  </si>
  <si>
    <t>262,4744</t>
  </si>
  <si>
    <t>244,0091</t>
  </si>
  <si>
    <t>247,0036</t>
  </si>
  <si>
    <t>268,2379</t>
  </si>
  <si>
    <t>279,6233</t>
  </si>
  <si>
    <t>290,6599</t>
  </si>
  <si>
    <t>283,243</t>
  </si>
  <si>
    <t>284,744</t>
  </si>
  <si>
    <t>294,6661</t>
  </si>
  <si>
    <t>276,2862</t>
  </si>
  <si>
    <t>246,5681</t>
  </si>
  <si>
    <t>237,1687</t>
  </si>
  <si>
    <t>229,7536</t>
  </si>
  <si>
    <t>230,8104</t>
  </si>
  <si>
    <t>229,4397</t>
  </si>
  <si>
    <t>224,7336</t>
  </si>
  <si>
    <t>239,5597</t>
  </si>
  <si>
    <t>267,6554</t>
  </si>
  <si>
    <t>272,1145</t>
  </si>
  <si>
    <t>274,1544</t>
  </si>
  <si>
    <t>270,2161</t>
  </si>
  <si>
    <t>279,3989</t>
  </si>
  <si>
    <t>269,9397</t>
  </si>
  <si>
    <t>270,3554</t>
  </si>
  <si>
    <t>290,97</t>
  </si>
  <si>
    <t>305,8749</t>
  </si>
  <si>
    <t>304,0139</t>
  </si>
  <si>
    <t>327,451</t>
  </si>
  <si>
    <t>316,6334</t>
  </si>
  <si>
    <t>322,8979</t>
  </si>
  <si>
    <t>301,6025</t>
  </si>
  <si>
    <t>278,2049</t>
  </si>
  <si>
    <t>276,609</t>
  </si>
  <si>
    <t>275,0001</t>
  </si>
  <si>
    <t>271,1489</t>
  </si>
  <si>
    <t>280,8681</t>
  </si>
  <si>
    <t>275,97</t>
  </si>
  <si>
    <t>277,0656</t>
  </si>
  <si>
    <t>260,004</t>
  </si>
  <si>
    <t>269,3772</t>
  </si>
  <si>
    <t>270,0934</t>
  </si>
  <si>
    <t>288,4099</t>
  </si>
  <si>
    <t>282,289</t>
  </si>
  <si>
    <t>272,4279</t>
  </si>
  <si>
    <t>267,232</t>
  </si>
  <si>
    <t>201912</t>
  </si>
  <si>
    <t>281,1775</t>
  </si>
  <si>
    <t>284,3991</t>
  </si>
  <si>
    <t>284,8112</t>
  </si>
  <si>
    <t>285,5958</t>
  </si>
  <si>
    <t>290,4687</t>
  </si>
  <si>
    <t>286,376</t>
  </si>
  <si>
    <t>283,4442</t>
  </si>
  <si>
    <t>286,7624</t>
  </si>
  <si>
    <t>283,6828</t>
  </si>
  <si>
    <t>287,5356</t>
  </si>
  <si>
    <t>280,7229</t>
  </si>
  <si>
    <t>291,8169</t>
  </si>
  <si>
    <t>280,485</t>
  </si>
  <si>
    <t>285,297</t>
  </si>
  <si>
    <t>240,841</t>
  </si>
  <si>
    <t>235,454</t>
  </si>
  <si>
    <t>237,696</t>
  </si>
  <si>
    <t>235,7834</t>
  </si>
  <si>
    <t>237,8552</t>
  </si>
  <si>
    <t>241,2029</t>
  </si>
  <si>
    <t>238,3667</t>
  </si>
  <si>
    <t>239,8547</t>
  </si>
  <si>
    <t>235,6142</t>
  </si>
  <si>
    <t>228,9624</t>
  </si>
  <si>
    <t>228,3314</t>
  </si>
  <si>
    <t>229,7283</t>
  </si>
  <si>
    <t>235,763</t>
  </si>
  <si>
    <t>304,2973</t>
  </si>
  <si>
    <t>312,9196</t>
  </si>
  <si>
    <t>323,3902</t>
  </si>
  <si>
    <t>381,9476</t>
  </si>
  <si>
    <t>345,2293</t>
  </si>
  <si>
    <t>327,4237</t>
  </si>
  <si>
    <t>316,0254</t>
  </si>
  <si>
    <t>289,603</t>
  </si>
  <si>
    <t>288,2213</t>
  </si>
  <si>
    <t>278,9728</t>
  </si>
  <si>
    <t>284,4985</t>
  </si>
  <si>
    <t>289,2805</t>
  </si>
  <si>
    <t>294,037</t>
  </si>
  <si>
    <t>288,4718</t>
  </si>
  <si>
    <t>321,226</t>
  </si>
  <si>
    <t>338,3466</t>
  </si>
  <si>
    <t>338,1367</t>
  </si>
  <si>
    <t>75,1</t>
  </si>
  <si>
    <t>332,5618</t>
  </si>
  <si>
    <t>77,3</t>
  </si>
  <si>
    <t>345,659</t>
  </si>
  <si>
    <t>76,1</t>
  </si>
  <si>
    <t>333,7231</t>
  </si>
  <si>
    <t>70,8</t>
  </si>
  <si>
    <t>330,324</t>
  </si>
  <si>
    <t>72,1</t>
  </si>
  <si>
    <t>286,4677</t>
  </si>
  <si>
    <t>312,698</t>
  </si>
  <si>
    <t>318,2231</t>
  </si>
  <si>
    <t>301,0185</t>
  </si>
  <si>
    <t>318,6718</t>
  </si>
  <si>
    <t>333,1471</t>
  </si>
  <si>
    <t>301,1997</t>
  </si>
  <si>
    <t>339,7093</t>
  </si>
  <si>
    <t>348,4562</t>
  </si>
  <si>
    <t>328,2708</t>
  </si>
  <si>
    <t>363,3252</t>
  </si>
  <si>
    <t>318,9514</t>
  </si>
  <si>
    <t>310,1801</t>
  </si>
  <si>
    <t>67,6</t>
  </si>
  <si>
    <t>341,3832</t>
  </si>
  <si>
    <t>9,6</t>
  </si>
  <si>
    <t>259,0867</t>
  </si>
  <si>
    <t>258,9534</t>
  </si>
  <si>
    <t>261,1846</t>
  </si>
  <si>
    <t>273,4025</t>
  </si>
  <si>
    <t>273,4237</t>
  </si>
  <si>
    <t>270,9247</t>
  </si>
  <si>
    <t>261,4482</t>
  </si>
  <si>
    <t>271,9906</t>
  </si>
  <si>
    <t>237,3579</t>
  </si>
  <si>
    <t>261,9175</t>
  </si>
  <si>
    <t>267,8939</t>
  </si>
  <si>
    <t>234,8593</t>
  </si>
  <si>
    <t>227,5631</t>
  </si>
  <si>
    <t>255,5638</t>
  </si>
  <si>
    <t>251,95</t>
  </si>
  <si>
    <t>255,8099</t>
  </si>
  <si>
    <t>254,4937</t>
  </si>
  <si>
    <t>263,9668</t>
  </si>
  <si>
    <t>268,1879</t>
  </si>
  <si>
    <t>252,3903</t>
  </si>
  <si>
    <t>255,1194</t>
  </si>
  <si>
    <t>277,808</t>
  </si>
  <si>
    <t>290,3045</t>
  </si>
  <si>
    <t>302,7928</t>
  </si>
  <si>
    <t>291,0169</t>
  </si>
  <si>
    <t>293,8452</t>
  </si>
  <si>
    <t>305,658</t>
  </si>
  <si>
    <t>286,2711</t>
  </si>
  <si>
    <t>242,2959</t>
  </si>
  <si>
    <t>242,3489</t>
  </si>
  <si>
    <t>238,8579</t>
  </si>
  <si>
    <t>234,7372</t>
  </si>
  <si>
    <t>232,5399</t>
  </si>
  <si>
    <t>244,6754</t>
  </si>
  <si>
    <t>278,0997</t>
  </si>
  <si>
    <t>281,6094</t>
  </si>
  <si>
    <t>283,9423</t>
  </si>
  <si>
    <t>279,5757</t>
  </si>
  <si>
    <t>288,4803</t>
  </si>
  <si>
    <t>280,5759</t>
  </si>
  <si>
    <t>280,3107</t>
  </si>
  <si>
    <t>304,2211</t>
  </si>
  <si>
    <t>320,4398</t>
  </si>
  <si>
    <t>318,2301</t>
  </si>
  <si>
    <t>342,2177</t>
  </si>
  <si>
    <t>328,3814</t>
  </si>
  <si>
    <t>339,2138</t>
  </si>
  <si>
    <t>315,4936</t>
  </si>
  <si>
    <t>286,9065</t>
  </si>
  <si>
    <t>286,1353</t>
  </si>
  <si>
    <t>285,5145</t>
  </si>
  <si>
    <t>280,2505</t>
  </si>
  <si>
    <t>290,1079</t>
  </si>
  <si>
    <t>287,4352</t>
  </si>
  <si>
    <t>286,3123</t>
  </si>
  <si>
    <t>272,8213</t>
  </si>
  <si>
    <t>280,3243</t>
  </si>
  <si>
    <t>282,4018</t>
  </si>
  <si>
    <t>301,7781</t>
  </si>
  <si>
    <t>291,3621</t>
  </si>
  <si>
    <t>283,7477</t>
  </si>
  <si>
    <t>279,178</t>
  </si>
  <si>
    <t>202001</t>
  </si>
  <si>
    <t>286,4913</t>
  </si>
  <si>
    <t>291,529</t>
  </si>
  <si>
    <t>293,6216</t>
  </si>
  <si>
    <t>292,5465</t>
  </si>
  <si>
    <t>297,7698</t>
  </si>
  <si>
    <t>293,5954</t>
  </si>
  <si>
    <t>289,8299</t>
  </si>
  <si>
    <t>300,0787</t>
  </si>
  <si>
    <t>297,0599</t>
  </si>
  <si>
    <t>304,7587</t>
  </si>
  <si>
    <t>293,8845</t>
  </si>
  <si>
    <t>304,6729</t>
  </si>
  <si>
    <t>291,0005</t>
  </si>
  <si>
    <t>298,6501</t>
  </si>
  <si>
    <t>251,6766</t>
  </si>
  <si>
    <t>245,4619</t>
  </si>
  <si>
    <t>246,5134</t>
  </si>
  <si>
    <t>245,8343</t>
  </si>
  <si>
    <t>247,6162</t>
  </si>
  <si>
    <t>252,2101</t>
  </si>
  <si>
    <t>248,7265</t>
  </si>
  <si>
    <t>241,2054</t>
  </si>
  <si>
    <t>238,9593</t>
  </si>
  <si>
    <t>231,5792</t>
  </si>
  <si>
    <t>231,5544</t>
  </si>
  <si>
    <t>235,4392</t>
  </si>
  <si>
    <t>238,2562</t>
  </si>
  <si>
    <t>302,4597</t>
  </si>
  <si>
    <t>318,7405</t>
  </si>
  <si>
    <t>327,3323</t>
  </si>
  <si>
    <t>385,622</t>
  </si>
  <si>
    <t>351,4413</t>
  </si>
  <si>
    <t>333,565</t>
  </si>
  <si>
    <t>318,0346</t>
  </si>
  <si>
    <t>284,2234</t>
  </si>
  <si>
    <t>-1,9</t>
  </si>
  <si>
    <t>285,3257</t>
  </si>
  <si>
    <t>277,5606</t>
  </si>
  <si>
    <t>281,6851</t>
  </si>
  <si>
    <t>287,4292</t>
  </si>
  <si>
    <t>294,168</t>
  </si>
  <si>
    <t>284,7446</t>
  </si>
  <si>
    <t>313,7127</t>
  </si>
  <si>
    <t>-2,3</t>
  </si>
  <si>
    <t>332,0201</t>
  </si>
  <si>
    <t>332,3982</t>
  </si>
  <si>
    <t>-1,7</t>
  </si>
  <si>
    <t>329,0386</t>
  </si>
  <si>
    <t>337,474</t>
  </si>
  <si>
    <t>-2,4</t>
  </si>
  <si>
    <t>330,7246</t>
  </si>
  <si>
    <t>323,7294</t>
  </si>
  <si>
    <t>-2</t>
  </si>
  <si>
    <t>288,7529</t>
  </si>
  <si>
    <t>318,674</t>
  </si>
  <si>
    <t>323,2063</t>
  </si>
  <si>
    <t>306,1909</t>
  </si>
  <si>
    <t>328,1408</t>
  </si>
  <si>
    <t>341,1621</t>
  </si>
  <si>
    <t>305,6389</t>
  </si>
  <si>
    <t>340,007</t>
  </si>
  <si>
    <t>348,6692</t>
  </si>
  <si>
    <t>330,498</t>
  </si>
  <si>
    <t>363,6008</t>
  </si>
  <si>
    <t>319,0182</t>
  </si>
  <si>
    <t>313,0559</t>
  </si>
  <si>
    <t>341,8435</t>
  </si>
  <si>
    <t>273,4152</t>
  </si>
  <si>
    <t>273,1099</t>
  </si>
  <si>
    <t>269,7509</t>
  </si>
  <si>
    <t>281,097</t>
  </si>
  <si>
    <t>283,5726</t>
  </si>
  <si>
    <t>279,8105</t>
  </si>
  <si>
    <t>274,5141</t>
  </si>
  <si>
    <t>275,0782</t>
  </si>
  <si>
    <t>237,0973</t>
  </si>
  <si>
    <t>261,0776</t>
  </si>
  <si>
    <t>236,5604</t>
  </si>
  <si>
    <t>256,9216</t>
  </si>
  <si>
    <t>262,5728</t>
  </si>
  <si>
    <t>265,5847</t>
  </si>
  <si>
    <t>270,9855</t>
  </si>
  <si>
    <t>272,5565</t>
  </si>
  <si>
    <t>281,4594</t>
  </si>
  <si>
    <t>264,2112</t>
  </si>
  <si>
    <t>265,7678</t>
  </si>
  <si>
    <t>287,0117</t>
  </si>
  <si>
    <t>298,7451</t>
  </si>
  <si>
    <t>312,3486</t>
  </si>
  <si>
    <t>297,6665</t>
  </si>
  <si>
    <t>303,6217</t>
  </si>
  <si>
    <t>314,6142</t>
  </si>
  <si>
    <t>295,0698</t>
  </si>
  <si>
    <t>258,9888</t>
  </si>
  <si>
    <t>252,1718</t>
  </si>
  <si>
    <t>252,9464</t>
  </si>
  <si>
    <t>248,7146</t>
  </si>
  <si>
    <t>236,7264</t>
  </si>
  <si>
    <t>238,9097</t>
  </si>
  <si>
    <t>253,5739</t>
  </si>
  <si>
    <t>283,8423</t>
  </si>
  <si>
    <t>288,9431</t>
  </si>
  <si>
    <t>293,7896</t>
  </si>
  <si>
    <t>286,7243</t>
  </si>
  <si>
    <t>297,3474</t>
  </si>
  <si>
    <t>288,7985</t>
  </si>
  <si>
    <t>287,1529</t>
  </si>
  <si>
    <t>306,6681</t>
  </si>
  <si>
    <t>325,1413</t>
  </si>
  <si>
    <t>321,6747</t>
  </si>
  <si>
    <t>346,3292</t>
  </si>
  <si>
    <t>333,5919</t>
  </si>
  <si>
    <t>343,5697</t>
  </si>
  <si>
    <t>319,0685</t>
  </si>
  <si>
    <t>293,3383</t>
  </si>
  <si>
    <t>294,0645</t>
  </si>
  <si>
    <t>296,0109</t>
  </si>
  <si>
    <t>288,1329</t>
  </si>
  <si>
    <t>298,3459</t>
  </si>
  <si>
    <t>295,61</t>
  </si>
  <si>
    <t>293,7136</t>
  </si>
  <si>
    <t>276,5043</t>
  </si>
  <si>
    <t>285,5782</t>
  </si>
  <si>
    <t>285,4361</t>
  </si>
  <si>
    <t>305,9084</t>
  </si>
  <si>
    <t>296,3432</t>
  </si>
  <si>
    <t>288,5966</t>
  </si>
  <si>
    <t>283,5081</t>
  </si>
  <si>
    <t>202002</t>
  </si>
  <si>
    <t>291,737</t>
  </si>
  <si>
    <t>298,0896</t>
  </si>
  <si>
    <t>300,1475</t>
  </si>
  <si>
    <t>297,8973</t>
  </si>
  <si>
    <t>304,603</t>
  </si>
  <si>
    <t>298,8202</t>
  </si>
  <si>
    <t>295,666</t>
  </si>
  <si>
    <t>307,382</t>
  </si>
  <si>
    <t>304,8196</t>
  </si>
  <si>
    <t>313,624</t>
  </si>
  <si>
    <t>304,6495</t>
  </si>
  <si>
    <t>315,2852</t>
  </si>
  <si>
    <t>298,9808</t>
  </si>
  <si>
    <t>306,6182</t>
  </si>
  <si>
    <t>254,7114</t>
  </si>
  <si>
    <t>248,6394</t>
  </si>
  <si>
    <t>250,4467</t>
  </si>
  <si>
    <t>249,5886</t>
  </si>
  <si>
    <t>251,2592</t>
  </si>
  <si>
    <t>256,0541</t>
  </si>
  <si>
    <t>251,9682</t>
  </si>
  <si>
    <t>246,8443</t>
  </si>
  <si>
    <t>245,1212</t>
  </si>
  <si>
    <t>236,3789</t>
  </si>
  <si>
    <t>235,0732</t>
  </si>
  <si>
    <t>232,956</t>
  </si>
  <si>
    <t>240,3657</t>
  </si>
  <si>
    <t>243,9437</t>
  </si>
  <si>
    <t>305,987</t>
  </si>
  <si>
    <t>321,4184</t>
  </si>
  <si>
    <t>329,3483</t>
  </si>
  <si>
    <t>371,281</t>
  </si>
  <si>
    <t>-3,7</t>
  </si>
  <si>
    <t>356,7685</t>
  </si>
  <si>
    <t>333,5563</t>
  </si>
  <si>
    <t>319,9809</t>
  </si>
  <si>
    <t>289,6399</t>
  </si>
  <si>
    <t>292,0567</t>
  </si>
  <si>
    <t>285,4677</t>
  </si>
  <si>
    <t>286,793</t>
  </si>
  <si>
    <t>292,6947</t>
  </si>
  <si>
    <t>298,8178</t>
  </si>
  <si>
    <t>290,661</t>
  </si>
  <si>
    <t>314,5439</t>
  </si>
  <si>
    <t>334,134</t>
  </si>
  <si>
    <t>335,1721</t>
  </si>
  <si>
    <t>329,5888</t>
  </si>
  <si>
    <t>339,4238</t>
  </si>
  <si>
    <t>332,6348</t>
  </si>
  <si>
    <t>325,1671</t>
  </si>
  <si>
    <t>292,7309</t>
  </si>
  <si>
    <t>325,6215</t>
  </si>
  <si>
    <t>329,0442</t>
  </si>
  <si>
    <t>309,2736</t>
  </si>
  <si>
    <t>329,8704</t>
  </si>
  <si>
    <t>347,2977</t>
  </si>
  <si>
    <t>310,5997</t>
  </si>
  <si>
    <t>348,3377</t>
  </si>
  <si>
    <t>358,0461</t>
  </si>
  <si>
    <t>338,0639</t>
  </si>
  <si>
    <t>367,7342</t>
  </si>
  <si>
    <t>324,4703</t>
  </si>
  <si>
    <t>315,3032</t>
  </si>
  <si>
    <t>349,775</t>
  </si>
  <si>
    <t>276,1504</t>
  </si>
  <si>
    <t>281,2514</t>
  </si>
  <si>
    <t>281,2486</t>
  </si>
  <si>
    <t>288,3154</t>
  </si>
  <si>
    <t>296,5318</t>
  </si>
  <si>
    <t>287,2039</t>
  </si>
  <si>
    <t>280,5764</t>
  </si>
  <si>
    <t>277,2068</t>
  </si>
  <si>
    <t>240,8005</t>
  </si>
  <si>
    <t>276,2938</t>
  </si>
  <si>
    <t>272,9482</t>
  </si>
  <si>
    <t>239,186</t>
  </si>
  <si>
    <t>234,8994</t>
  </si>
  <si>
    <t>260,6158</t>
  </si>
  <si>
    <t>271,2264</t>
  </si>
  <si>
    <t>276,0581</t>
  </si>
  <si>
    <t>269,6897</t>
  </si>
  <si>
    <t>279,1275</t>
  </si>
  <si>
    <t>286,0479</t>
  </si>
  <si>
    <t>265,9441</t>
  </si>
  <si>
    <t>273,9206</t>
  </si>
  <si>
    <t>294,6889</t>
  </si>
  <si>
    <t>305,493</t>
  </si>
  <si>
    <t>316,4937</t>
  </si>
  <si>
    <t>306,4341</t>
  </si>
  <si>
    <t>312,1816</t>
  </si>
  <si>
    <t>319,7225</t>
  </si>
  <si>
    <t>302,2693</t>
  </si>
  <si>
    <t>265,6065</t>
  </si>
  <si>
    <t>257,8352</t>
  </si>
  <si>
    <t>257,7944</t>
  </si>
  <si>
    <t>256,983</t>
  </si>
  <si>
    <t>245,6653</t>
  </si>
  <si>
    <t>244,053</t>
  </si>
  <si>
    <t>259,9507</t>
  </si>
  <si>
    <t>289,8974</t>
  </si>
  <si>
    <t>296,5216</t>
  </si>
  <si>
    <t>301,2521</t>
  </si>
  <si>
    <t>294,1922</t>
  </si>
  <si>
    <t>305,1391</t>
  </si>
  <si>
    <t>295,1855</t>
  </si>
  <si>
    <t>293,9922</t>
  </si>
  <si>
    <t>308,9154</t>
  </si>
  <si>
    <t>328,6371</t>
  </si>
  <si>
    <t>325,6783</t>
  </si>
  <si>
    <t>341,4169</t>
  </si>
  <si>
    <t>336,1221</t>
  </si>
  <si>
    <t>344,9191</t>
  </si>
  <si>
    <t>321,3104</t>
  </si>
  <si>
    <t>299,3352</t>
  </si>
  <si>
    <t>300,5315</t>
  </si>
  <si>
    <t>302,494</t>
  </si>
  <si>
    <t>295,313</t>
  </si>
  <si>
    <t>305,7698</t>
  </si>
  <si>
    <t>301,6287</t>
  </si>
  <si>
    <t>300,0495</t>
  </si>
  <si>
    <t>280,6542</t>
  </si>
  <si>
    <t>292,3584</t>
  </si>
  <si>
    <t>292,1083</t>
  </si>
  <si>
    <t>305,7209</t>
  </si>
  <si>
    <t>301,7137</t>
  </si>
  <si>
    <t>291,8514</t>
  </si>
  <si>
    <t>288,3802</t>
  </si>
  <si>
    <t>202003</t>
  </si>
  <si>
    <t>302,2274</t>
  </si>
  <si>
    <t>307,1512</t>
  </si>
  <si>
    <t>310,58</t>
  </si>
  <si>
    <t>309,1808</t>
  </si>
  <si>
    <t>314,1219</t>
  </si>
  <si>
    <t>306,5854</t>
  </si>
  <si>
    <t>305,5515</t>
  </si>
  <si>
    <t>319,0265</t>
  </si>
  <si>
    <t>317,5421</t>
  </si>
  <si>
    <t>323,651</t>
  </si>
  <si>
    <t>319,8956</t>
  </si>
  <si>
    <t>326,6204</t>
  </si>
  <si>
    <t>308,2663</t>
  </si>
  <si>
    <t>318,6777</t>
  </si>
  <si>
    <t>262,8594</t>
  </si>
  <si>
    <t>254,7117</t>
  </si>
  <si>
    <t>256,0086</t>
  </si>
  <si>
    <t>256,7873</t>
  </si>
  <si>
    <t>258,8017</t>
  </si>
  <si>
    <t>264,1838</t>
  </si>
  <si>
    <t>259,1936</t>
  </si>
  <si>
    <t>256,9769</t>
  </si>
  <si>
    <t>256,2536</t>
  </si>
  <si>
    <t>246,0669</t>
  </si>
  <si>
    <t>243,7132</t>
  </si>
  <si>
    <t>245,4596</t>
  </si>
  <si>
    <t>244,0032</t>
  </si>
  <si>
    <t>254,1219</t>
  </si>
  <si>
    <t>312,0891</t>
  </si>
  <si>
    <t>324,0046</t>
  </si>
  <si>
    <t>336,295</t>
  </si>
  <si>
    <t>373,5168</t>
  </si>
  <si>
    <t>357,6081</t>
  </si>
  <si>
    <t>337,5978</t>
  </si>
  <si>
    <t>324,3739</t>
  </si>
  <si>
    <t>298,1909</t>
  </si>
  <si>
    <t>300,3593</t>
  </si>
  <si>
    <t>292,9796</t>
  </si>
  <si>
    <t>294,6871</t>
  </si>
  <si>
    <t>298,3886</t>
  </si>
  <si>
    <t>311,5604</t>
  </si>
  <si>
    <t>299,0795</t>
  </si>
  <si>
    <t>322,7929</t>
  </si>
  <si>
    <t>342,9666</t>
  </si>
  <si>
    <t>345,4542</t>
  </si>
  <si>
    <t>338,052</t>
  </si>
  <si>
    <t>60,1</t>
  </si>
  <si>
    <t>349,0392</t>
  </si>
  <si>
    <t>341,5007</t>
  </si>
  <si>
    <t>333,8163</t>
  </si>
  <si>
    <t>299,2677</t>
  </si>
  <si>
    <t>328,6242</t>
  </si>
  <si>
    <t>340,9368</t>
  </si>
  <si>
    <t>310,9536</t>
  </si>
  <si>
    <t>334,5845</t>
  </si>
  <si>
    <t>350,766</t>
  </si>
  <si>
    <t>315,6444</t>
  </si>
  <si>
    <t>377,4036</t>
  </si>
  <si>
    <t>386,0185</t>
  </si>
  <si>
    <t>364,765</t>
  </si>
  <si>
    <t>401,9166</t>
  </si>
  <si>
    <t>354,3947</t>
  </si>
  <si>
    <t>341,9059</t>
  </si>
  <si>
    <t>378,653</t>
  </si>
  <si>
    <t>285,3886</t>
  </si>
  <si>
    <t>284,8814</t>
  </si>
  <si>
    <t>292,0684</t>
  </si>
  <si>
    <t>297,9235</t>
  </si>
  <si>
    <t>302,5803</t>
  </si>
  <si>
    <t>290,9657</t>
  </si>
  <si>
    <t>287,5823</t>
  </si>
  <si>
    <t>332,7222</t>
  </si>
  <si>
    <t>275,2524</t>
  </si>
  <si>
    <t>322,6448</t>
  </si>
  <si>
    <t>16,8</t>
  </si>
  <si>
    <t>319,9231</t>
  </si>
  <si>
    <t>272,6039</t>
  </si>
  <si>
    <t>14</t>
  </si>
  <si>
    <t>273,3299</t>
  </si>
  <si>
    <t>306,0975</t>
  </si>
  <si>
    <t>276,4127</t>
  </si>
  <si>
    <t>281,3389</t>
  </si>
  <si>
    <t>278,5756</t>
  </si>
  <si>
    <t>288,1968</t>
  </si>
  <si>
    <t>296,6292</t>
  </si>
  <si>
    <t>270,2325</t>
  </si>
  <si>
    <t>279,826</t>
  </si>
  <si>
    <t>301,2623</t>
  </si>
  <si>
    <t>310,7838</t>
  </si>
  <si>
    <t>323,6122</t>
  </si>
  <si>
    <t>313,6665</t>
  </si>
  <si>
    <t>319,2234</t>
  </si>
  <si>
    <t>324,8402</t>
  </si>
  <si>
    <t>308,4361</t>
  </si>
  <si>
    <t>277,9951</t>
  </si>
  <si>
    <t>271,3486</t>
  </si>
  <si>
    <t>272,0108</t>
  </si>
  <si>
    <t>273,1113</t>
  </si>
  <si>
    <t>260,6113</t>
  </si>
  <si>
    <t>245,4321</t>
  </si>
  <si>
    <t>272,7059</t>
  </si>
  <si>
    <t>299,3463</t>
  </si>
  <si>
    <t>305,3162</t>
  </si>
  <si>
    <t>309,5922</t>
  </si>
  <si>
    <t>304,6383</t>
  </si>
  <si>
    <t>313,9257</t>
  </si>
  <si>
    <t>303,8528</t>
  </si>
  <si>
    <t>303,1665</t>
  </si>
  <si>
    <t>321,6141</t>
  </si>
  <si>
    <t>335,8874</t>
  </si>
  <si>
    <t>341,7205</t>
  </si>
  <si>
    <t>352,4778</t>
  </si>
  <si>
    <t>344,9578</t>
  </si>
  <si>
    <t>353,5812</t>
  </si>
  <si>
    <t>331,8502</t>
  </si>
  <si>
    <t>309,1161</t>
  </si>
  <si>
    <t>310,2631</t>
  </si>
  <si>
    <t>310,9733</t>
  </si>
  <si>
    <t>306,412</t>
  </si>
  <si>
    <t>315,3705</t>
  </si>
  <si>
    <t>309,2102</t>
  </si>
  <si>
    <t>309,7355</t>
  </si>
  <si>
    <t>292,1795</t>
  </si>
  <si>
    <t>299,8478</t>
  </si>
  <si>
    <t>309,2326</t>
  </si>
  <si>
    <t>317,5629</t>
  </si>
  <si>
    <t>311,0303</t>
  </si>
  <si>
    <t>300,0724</t>
  </si>
  <si>
    <t>298,5626</t>
  </si>
  <si>
    <t>202004</t>
  </si>
  <si>
    <t>306,4483</t>
  </si>
  <si>
    <t>311,6597</t>
  </si>
  <si>
    <t>317,2318</t>
  </si>
  <si>
    <t>317,1934</t>
  </si>
  <si>
    <t>318,1874</t>
  </si>
  <si>
    <t>308,4722</t>
  </si>
  <si>
    <t>310,1243</t>
  </si>
  <si>
    <t>329,2541</t>
  </si>
  <si>
    <t>327,3902</t>
  </si>
  <si>
    <t>335,2059</t>
  </si>
  <si>
    <t>334,7997</t>
  </si>
  <si>
    <t>337,7447</t>
  </si>
  <si>
    <t>309,3919</t>
  </si>
  <si>
    <t>328,7785</t>
  </si>
  <si>
    <t>265,5114</t>
  </si>
  <si>
    <t>259,1647</t>
  </si>
  <si>
    <t>261,6035</t>
  </si>
  <si>
    <t>260,5487</t>
  </si>
  <si>
    <t>262,662</t>
  </si>
  <si>
    <t>268,9391</t>
  </si>
  <si>
    <t>262,827</t>
  </si>
  <si>
    <t>260,5659</t>
  </si>
  <si>
    <t>260,015</t>
  </si>
  <si>
    <t>251,337</t>
  </si>
  <si>
    <t>250,0292</t>
  </si>
  <si>
    <t>248,6365</t>
  </si>
  <si>
    <t>245,5048</t>
  </si>
  <si>
    <t>257,9206</t>
  </si>
  <si>
    <t>312,7519</t>
  </si>
  <si>
    <t>322,9214</t>
  </si>
  <si>
    <t>340,9173</t>
  </si>
  <si>
    <t>374,0929</t>
  </si>
  <si>
    <t>353,3572</t>
  </si>
  <si>
    <t>338,1969</t>
  </si>
  <si>
    <t>324,3903</t>
  </si>
  <si>
    <t>301,065</t>
  </si>
  <si>
    <t>304,9205</t>
  </si>
  <si>
    <t>299,3064</t>
  </si>
  <si>
    <t>299,4366</t>
  </si>
  <si>
    <t>302,244</t>
  </si>
  <si>
    <t>312,1318</t>
  </si>
  <si>
    <t>302,7645</t>
  </si>
  <si>
    <t>325,5447</t>
  </si>
  <si>
    <t>346,3546</t>
  </si>
  <si>
    <t>353,6914</t>
  </si>
  <si>
    <t>345,5821</t>
  </si>
  <si>
    <t>355,6529</t>
  </si>
  <si>
    <t>348,7851</t>
  </si>
  <si>
    <t>337,7523</t>
  </si>
  <si>
    <t>304,8307</t>
  </si>
  <si>
    <t>332,1591</t>
  </si>
  <si>
    <t>342,4771</t>
  </si>
  <si>
    <t>316,511</t>
  </si>
  <si>
    <t>331,5761</t>
  </si>
  <si>
    <t>355,275</t>
  </si>
  <si>
    <t>319,8688</t>
  </si>
  <si>
    <t>366,5663</t>
  </si>
  <si>
    <t>-2,9</t>
  </si>
  <si>
    <t>364,7671</t>
  </si>
  <si>
    <t>-5,5</t>
  </si>
  <si>
    <t>347,6159</t>
  </si>
  <si>
    <t>-4,7</t>
  </si>
  <si>
    <t>384,5792</t>
  </si>
  <si>
    <t>-4,3</t>
  </si>
  <si>
    <t>338,6007</t>
  </si>
  <si>
    <t>-4,5</t>
  </si>
  <si>
    <t>327,3302</t>
  </si>
  <si>
    <t>363,1467</t>
  </si>
  <si>
    <t>-4,1</t>
  </si>
  <si>
    <t>291,2965</t>
  </si>
  <si>
    <t>292,4211</t>
  </si>
  <si>
    <t>298,478</t>
  </si>
  <si>
    <t>305,8159</t>
  </si>
  <si>
    <t>307,2083</t>
  </si>
  <si>
    <t>298,6344</t>
  </si>
  <si>
    <t>294,2192</t>
  </si>
  <si>
    <t>325,4832</t>
  </si>
  <si>
    <t>269,9939</t>
  </si>
  <si>
    <t>320,9844</t>
  </si>
  <si>
    <t>322,1358</t>
  </si>
  <si>
    <t>280,8957</t>
  </si>
  <si>
    <t>301,6002</t>
  </si>
  <si>
    <t>-1,5</t>
  </si>
  <si>
    <t>280,2731</t>
  </si>
  <si>
    <t>285,4685</t>
  </si>
  <si>
    <t>284,542</t>
  </si>
  <si>
    <t>295,6657</t>
  </si>
  <si>
    <t>300,4683</t>
  </si>
  <si>
    <t>271,8956</t>
  </si>
  <si>
    <t>284,0325</t>
  </si>
  <si>
    <t>300,1314</t>
  </si>
  <si>
    <t>313,2099</t>
  </si>
  <si>
    <t>327,2234</t>
  </si>
  <si>
    <t>313,9574</t>
  </si>
  <si>
    <t>320,7307</t>
  </si>
  <si>
    <t>322,9315</t>
  </si>
  <si>
    <t>308,9516</t>
  </si>
  <si>
    <t>291,1675</t>
  </si>
  <si>
    <t>283,7733</t>
  </si>
  <si>
    <t>288,2633</t>
  </si>
  <si>
    <t>291,8222</t>
  </si>
  <si>
    <t>273,1481</t>
  </si>
  <si>
    <t>253,4536</t>
  </si>
  <si>
    <t>285,8904</t>
  </si>
  <si>
    <t>304,233</t>
  </si>
  <si>
    <t>310,6084</t>
  </si>
  <si>
    <t>316,318</t>
  </si>
  <si>
    <t>313,2058</t>
  </si>
  <si>
    <t>318,3031</t>
  </si>
  <si>
    <t>305,7974</t>
  </si>
  <si>
    <t>308,3681</t>
  </si>
  <si>
    <t>319,8458</t>
  </si>
  <si>
    <t>332,6976</t>
  </si>
  <si>
    <t>341,3016</t>
  </si>
  <si>
    <t>350,7107</t>
  </si>
  <si>
    <t>343,2293</t>
  </si>
  <si>
    <t>351,484</t>
  </si>
  <si>
    <t>329,6516</t>
  </si>
  <si>
    <t>316,2603</t>
  </si>
  <si>
    <t>317,2932</t>
  </si>
  <si>
    <t>319,326</t>
  </si>
  <si>
    <t>317,0231</t>
  </si>
  <si>
    <t>321,5343</t>
  </si>
  <si>
    <t>312,3116</t>
  </si>
  <si>
    <t>316,9003</t>
  </si>
  <si>
    <t>292,1368</t>
  </si>
  <si>
    <t>298,438</t>
  </si>
  <si>
    <t>310,0575</t>
  </si>
  <si>
    <t>317,7089</t>
  </si>
  <si>
    <t>309,9003</t>
  </si>
  <si>
    <t>298,9451</t>
  </si>
  <si>
    <t>298,0086</t>
  </si>
  <si>
    <t>202005</t>
  </si>
  <si>
    <t>311,0922</t>
  </si>
  <si>
    <t>316,5258</t>
  </si>
  <si>
    <t>322,4571</t>
  </si>
  <si>
    <t>322,5045</t>
  </si>
  <si>
    <t>322,4709</t>
  </si>
  <si>
    <t>313,3862</t>
  </si>
  <si>
    <t>314,9087</t>
  </si>
  <si>
    <t>330,0889</t>
  </si>
  <si>
    <t>331,2021</t>
  </si>
  <si>
    <t>336,4375</t>
  </si>
  <si>
    <t>336,8901</t>
  </si>
  <si>
    <t>340,5912</t>
  </si>
  <si>
    <t>314,0004</t>
  </si>
  <si>
    <t>331,0146</t>
  </si>
  <si>
    <t>265,3951</t>
  </si>
  <si>
    <t>259,7855</t>
  </si>
  <si>
    <t>259,246</t>
  </si>
  <si>
    <t>261,9539</t>
  </si>
  <si>
    <t>264,0108</t>
  </si>
  <si>
    <t>268,3262</t>
  </si>
  <si>
    <t>263,0259</t>
  </si>
  <si>
    <t>286,9266</t>
  </si>
  <si>
    <t>275,2615</t>
  </si>
  <si>
    <t>264,2053</t>
  </si>
  <si>
    <t>267,0112</t>
  </si>
  <si>
    <t>254,6666</t>
  </si>
  <si>
    <t>253,8511</t>
  </si>
  <si>
    <t>277,3804</t>
  </si>
  <si>
    <t>313,5388</t>
  </si>
  <si>
    <t>322,4284</t>
  </si>
  <si>
    <t>343,3543</t>
  </si>
  <si>
    <t>374,5826</t>
  </si>
  <si>
    <t>353,5329</t>
  </si>
  <si>
    <t>338,0445</t>
  </si>
  <si>
    <t>324,7404</t>
  </si>
  <si>
    <t>309,6676</t>
  </si>
  <si>
    <t>313,6318</t>
  </si>
  <si>
    <t>309,8376</t>
  </si>
  <si>
    <t>307,3284</t>
  </si>
  <si>
    <t>310,8771</t>
  </si>
  <si>
    <t>318,2735</t>
  </si>
  <si>
    <t>311,3316</t>
  </si>
  <si>
    <t>328,2396</t>
  </si>
  <si>
    <t>349,8942</t>
  </si>
  <si>
    <t>362,303</t>
  </si>
  <si>
    <t>350,776</t>
  </si>
  <si>
    <t>358,0598</t>
  </si>
  <si>
    <t>355,7307</t>
  </si>
  <si>
    <t>341,3461</t>
  </si>
  <si>
    <t>305,5751</t>
  </si>
  <si>
    <t>338,6606</t>
  </si>
  <si>
    <t>347,573</t>
  </si>
  <si>
    <t>319,6374</t>
  </si>
  <si>
    <t>338,2501</t>
  </si>
  <si>
    <t>357,2352</t>
  </si>
  <si>
    <t>323,2338</t>
  </si>
  <si>
    <t>368,3501</t>
  </si>
  <si>
    <t>365,3579</t>
  </si>
  <si>
    <t>348,8018</t>
  </si>
  <si>
    <t>386,8805</t>
  </si>
  <si>
    <t>338,0135</t>
  </si>
  <si>
    <t>327,8088</t>
  </si>
  <si>
    <t>364,3572</t>
  </si>
  <si>
    <t>300,6242</t>
  </si>
  <si>
    <t>293,3908</t>
  </si>
  <si>
    <t>314,9829</t>
  </si>
  <si>
    <t>315,3311</t>
  </si>
  <si>
    <t>317,0817</t>
  </si>
  <si>
    <t>315,9188</t>
  </si>
  <si>
    <t>301,4356</t>
  </si>
  <si>
    <t>319,0977</t>
  </si>
  <si>
    <t>274,3558</t>
  </si>
  <si>
    <t>322,113</t>
  </si>
  <si>
    <t>320,8887</t>
  </si>
  <si>
    <t>286,066</t>
  </si>
  <si>
    <t>272,0187</t>
  </si>
  <si>
    <t>300,3424</t>
  </si>
  <si>
    <t>284,5204</t>
  </si>
  <si>
    <t>289,9256</t>
  </si>
  <si>
    <t>289,2288</t>
  </si>
  <si>
    <t>300,6163</t>
  </si>
  <si>
    <t>304,5133</t>
  </si>
  <si>
    <t>276,227</t>
  </si>
  <si>
    <t>288,4158</t>
  </si>
  <si>
    <t>307,3484</t>
  </si>
  <si>
    <t>317,8372</t>
  </si>
  <si>
    <t>330,6093</t>
  </si>
  <si>
    <t>323,8596</t>
  </si>
  <si>
    <t>325,0165</t>
  </si>
  <si>
    <t>324,7451</t>
  </si>
  <si>
    <t>314,8969</t>
  </si>
  <si>
    <t>309,8062</t>
  </si>
  <si>
    <t>293,0881</t>
  </si>
  <si>
    <t>293,7258</t>
  </si>
  <si>
    <t>300,7966</t>
  </si>
  <si>
    <t>284,8485</t>
  </si>
  <si>
    <t>263,573</t>
  </si>
  <si>
    <t>299,283</t>
  </si>
  <si>
    <t>308,4023</t>
  </si>
  <si>
    <t>316,2926</t>
  </si>
  <si>
    <t>322,5141</t>
  </si>
  <si>
    <t>318,9942</t>
  </si>
  <si>
    <t>322,6404</t>
  </si>
  <si>
    <t>311,166</t>
  </si>
  <si>
    <t>313,3195</t>
  </si>
  <si>
    <t>319,5828</t>
  </si>
  <si>
    <t>331,8935</t>
  </si>
  <si>
    <t>342,5166</t>
  </si>
  <si>
    <t>351,5627</t>
  </si>
  <si>
    <t>343,1523</t>
  </si>
  <si>
    <t>351,6481</t>
  </si>
  <si>
    <t>329,372</t>
  </si>
  <si>
    <t>323,2849</t>
  </si>
  <si>
    <t>323,5275</t>
  </si>
  <si>
    <t>324,7036</t>
  </si>
  <si>
    <t>322,7368</t>
  </si>
  <si>
    <t>326,5225</t>
  </si>
  <si>
    <t>317,7776</t>
  </si>
  <si>
    <t>323,3135</t>
  </si>
  <si>
    <t>293,3082</t>
  </si>
  <si>
    <t>300,0928</t>
  </si>
  <si>
    <t>314,7607</t>
  </si>
  <si>
    <t>321,8012</t>
  </si>
  <si>
    <t>312,439</t>
  </si>
  <si>
    <t>302,4897</t>
  </si>
  <si>
    <t>299,877</t>
  </si>
  <si>
    <t>202006</t>
  </si>
  <si>
    <t>317,4661</t>
  </si>
  <si>
    <t>324,5236</t>
  </si>
  <si>
    <t>329,8942</t>
  </si>
  <si>
    <t>329,6326</t>
  </si>
  <si>
    <t>329,9792</t>
  </si>
  <si>
    <t>319,4097</t>
  </si>
  <si>
    <t>321,9738</t>
  </si>
  <si>
    <t>333,9281</t>
  </si>
  <si>
    <t>333,7159</t>
  </si>
  <si>
    <t>341,7851</t>
  </si>
  <si>
    <t>340,6639</t>
  </si>
  <si>
    <t>344,7573</t>
  </si>
  <si>
    <t>317,4475</t>
  </si>
  <si>
    <t>334,4636</t>
  </si>
  <si>
    <t>275,0824</t>
  </si>
  <si>
    <t>269,2848</t>
  </si>
  <si>
    <t>274,4584</t>
  </si>
  <si>
    <t>272,4196</t>
  </si>
  <si>
    <t>274,029</t>
  </si>
  <si>
    <t>278,4546</t>
  </si>
  <si>
    <t>272,9822</t>
  </si>
  <si>
    <t>301,8875</t>
  </si>
  <si>
    <t>298,1304</t>
  </si>
  <si>
    <t>272,0242</t>
  </si>
  <si>
    <t>289,3668</t>
  </si>
  <si>
    <t>280,3205</t>
  </si>
  <si>
    <t>270,2815</t>
  </si>
  <si>
    <t>295,818</t>
  </si>
  <si>
    <t>315,6588</t>
  </si>
  <si>
    <t>16,7</t>
  </si>
  <si>
    <t>326,2482</t>
  </si>
  <si>
    <t>347,0378</t>
  </si>
  <si>
    <t>377,1813</t>
  </si>
  <si>
    <t>356,0926</t>
  </si>
  <si>
    <t>344,6003</t>
  </si>
  <si>
    <t>327,7297</t>
  </si>
  <si>
    <t>323,5848</t>
  </si>
  <si>
    <t>324,8038</t>
  </si>
  <si>
    <t>332,9963</t>
  </si>
  <si>
    <t>319,8763</t>
  </si>
  <si>
    <t>318,0897</t>
  </si>
  <si>
    <t>325,656</t>
  </si>
  <si>
    <t>323,992</t>
  </si>
  <si>
    <t>333,0725</t>
  </si>
  <si>
    <t>360,7843</t>
  </si>
  <si>
    <t>370,9011</t>
  </si>
  <si>
    <t>362,5112</t>
  </si>
  <si>
    <t>363,7999</t>
  </si>
  <si>
    <t>362,0806</t>
  </si>
  <si>
    <t>348,9759</t>
  </si>
  <si>
    <t>311,2991</t>
  </si>
  <si>
    <t>346,1212</t>
  </si>
  <si>
    <t>349,3072</t>
  </si>
  <si>
    <t>320,9605</t>
  </si>
  <si>
    <t>344,0613</t>
  </si>
  <si>
    <t>364,4475</t>
  </si>
  <si>
    <t>329,1348</t>
  </si>
  <si>
    <t>369,712</t>
  </si>
  <si>
    <t>367,5344</t>
  </si>
  <si>
    <t>352,0328</t>
  </si>
  <si>
    <t>384,2913</t>
  </si>
  <si>
    <t>339,9134</t>
  </si>
  <si>
    <t>329,6717</t>
  </si>
  <si>
    <t>365,8524</t>
  </si>
  <si>
    <t>315,8605</t>
  </si>
  <si>
    <t>306,7151</t>
  </si>
  <si>
    <t>326,5725</t>
  </si>
  <si>
    <t>319,7724</t>
  </si>
  <si>
    <t>326,9439</t>
  </si>
  <si>
    <t>313,4671</t>
  </si>
  <si>
    <t>314,005</t>
  </si>
  <si>
    <t>317,4008</t>
  </si>
  <si>
    <t>277,7305</t>
  </si>
  <si>
    <t>322,2967</t>
  </si>
  <si>
    <t>334,2588</t>
  </si>
  <si>
    <t>285,6238</t>
  </si>
  <si>
    <t>268,0094</t>
  </si>
  <si>
    <t>301,4521</t>
  </si>
  <si>
    <t>290,3498</t>
  </si>
  <si>
    <t>297,2513</t>
  </si>
  <si>
    <t>295,8995</t>
  </si>
  <si>
    <t>307,2606</t>
  </si>
  <si>
    <t>311,6034</t>
  </si>
  <si>
    <t>281,5362</t>
  </si>
  <si>
    <t>294,9019</t>
  </si>
  <si>
    <t>305,9117</t>
  </si>
  <si>
    <t>321,5265</t>
  </si>
  <si>
    <t>337,296</t>
  </si>
  <si>
    <t>321,5798</t>
  </si>
  <si>
    <t>326,4502</t>
  </si>
  <si>
    <t>329,0769</t>
  </si>
  <si>
    <t>315,9472</t>
  </si>
  <si>
    <t>320,8225</t>
  </si>
  <si>
    <t>309,6795</t>
  </si>
  <si>
    <t>305,4384</t>
  </si>
  <si>
    <t>318,031</t>
  </si>
  <si>
    <t>308,2981</t>
  </si>
  <si>
    <t>73,8</t>
  </si>
  <si>
    <t>279,8088</t>
  </si>
  <si>
    <t>313,5633</t>
  </si>
  <si>
    <t>315,5625</t>
  </si>
  <si>
    <t>324,2476</t>
  </si>
  <si>
    <t>330,3942</t>
  </si>
  <si>
    <t>325,2027</t>
  </si>
  <si>
    <t>329,0673</t>
  </si>
  <si>
    <t>315,9791</t>
  </si>
  <si>
    <t>320,5733</t>
  </si>
  <si>
    <t>321,5532</t>
  </si>
  <si>
    <t>334,7132</t>
  </si>
  <si>
    <t>345,1816</t>
  </si>
  <si>
    <t>355,0309</t>
  </si>
  <si>
    <t>345,1779</t>
  </si>
  <si>
    <t>355,4534</t>
  </si>
  <si>
    <t>331,8382</t>
  </si>
  <si>
    <t>332,8398</t>
  </si>
  <si>
    <t>333,1756</t>
  </si>
  <si>
    <t>333,5018</t>
  </si>
  <si>
    <t>331,0398</t>
  </si>
  <si>
    <t>336,04</t>
  </si>
  <si>
    <t>325,3623</t>
  </si>
  <si>
    <t>332,6884</t>
  </si>
  <si>
    <t>295,0422</t>
  </si>
  <si>
    <t>304,2176</t>
  </si>
  <si>
    <t>317,5348</t>
  </si>
  <si>
    <t>325,3725</t>
  </si>
  <si>
    <t>314,9721</t>
  </si>
  <si>
    <t>304,6392</t>
  </si>
  <si>
    <t>302,644</t>
  </si>
  <si>
    <t>202007</t>
  </si>
  <si>
    <t>322,6791</t>
  </si>
  <si>
    <t>331,4429</t>
  </si>
  <si>
    <t>337,1583</t>
  </si>
  <si>
    <t>335,8753</t>
  </si>
  <si>
    <t>337,4552</t>
  </si>
  <si>
    <t>328,1311</t>
  </si>
  <si>
    <t>328,2014</t>
  </si>
  <si>
    <t>338,3654</t>
  </si>
  <si>
    <t>337,9739</t>
  </si>
  <si>
    <t>347,3945</t>
  </si>
  <si>
    <t>342,4102</t>
  </si>
  <si>
    <t>348,4305</t>
  </si>
  <si>
    <t>323,9068</t>
  </si>
  <si>
    <t>338,7648</t>
  </si>
  <si>
    <t>279,3943</t>
  </si>
  <si>
    <t>272,4421</t>
  </si>
  <si>
    <t>276,9497</t>
  </si>
  <si>
    <t>275,9758</t>
  </si>
  <si>
    <t>278,1531</t>
  </si>
  <si>
    <t>282,2182</t>
  </si>
  <si>
    <t>276,7322</t>
  </si>
  <si>
    <t>306,0252</t>
  </si>
  <si>
    <t>311,9679</t>
  </si>
  <si>
    <t>288,1086</t>
  </si>
  <si>
    <t>301,5567</t>
  </si>
  <si>
    <t>296,4225</t>
  </si>
  <si>
    <t>286,4786</t>
  </si>
  <si>
    <t>305,5099</t>
  </si>
  <si>
    <t>317,1731</t>
  </si>
  <si>
    <t>14,5</t>
  </si>
  <si>
    <t>331,8049</t>
  </si>
  <si>
    <t>349,8072</t>
  </si>
  <si>
    <t>381,3605</t>
  </si>
  <si>
    <t>361,7409</t>
  </si>
  <si>
    <t>348,4237</t>
  </si>
  <si>
    <t>331,0918</t>
  </si>
  <si>
    <t>337,7372</t>
  </si>
  <si>
    <t>335,0819</t>
  </si>
  <si>
    <t>342,7949</t>
  </si>
  <si>
    <t>331,8033</t>
  </si>
  <si>
    <t>329,9553</t>
  </si>
  <si>
    <t>344,1135</t>
  </si>
  <si>
    <t>336,5455</t>
  </si>
  <si>
    <t>338,6919</t>
  </si>
  <si>
    <t>369,6979</t>
  </si>
  <si>
    <t>380,7171</t>
  </si>
  <si>
    <t>371,6366</t>
  </si>
  <si>
    <t>375,7193</t>
  </si>
  <si>
    <t>369,8257</t>
  </si>
  <si>
    <t>356,5467</t>
  </si>
  <si>
    <t>316,7508</t>
  </si>
  <si>
    <t>352,3623</t>
  </si>
  <si>
    <t>357,8977</t>
  </si>
  <si>
    <t>328,0221</t>
  </si>
  <si>
    <t>351,4398</t>
  </si>
  <si>
    <t>369,5116</t>
  </si>
  <si>
    <t>335,1763</t>
  </si>
  <si>
    <t>376,6322</t>
  </si>
  <si>
    <t>364,8127</t>
  </si>
  <si>
    <t>354,5954</t>
  </si>
  <si>
    <t>383,0078</t>
  </si>
  <si>
    <t>347,7045</t>
  </si>
  <si>
    <t>329,9988</t>
  </si>
  <si>
    <t>368,496</t>
  </si>
  <si>
    <t>322,8434</t>
  </si>
  <si>
    <t>319,9199</t>
  </si>
  <si>
    <t>334,0557</t>
  </si>
  <si>
    <t>336,0721</t>
  </si>
  <si>
    <t>333,5106</t>
  </si>
  <si>
    <t>333,0711</t>
  </si>
  <si>
    <t>324,3321</t>
  </si>
  <si>
    <t>315,7214</t>
  </si>
  <si>
    <t>279,6135</t>
  </si>
  <si>
    <t>322,6604</t>
  </si>
  <si>
    <t>339,4693</t>
  </si>
  <si>
    <t>286,458</t>
  </si>
  <si>
    <t>268,3056</t>
  </si>
  <si>
    <t>301,7724</t>
  </si>
  <si>
    <t>295,1175</t>
  </si>
  <si>
    <t>303,5891</t>
  </si>
  <si>
    <t>302,4151</t>
  </si>
  <si>
    <t>313,0796</t>
  </si>
  <si>
    <t>318,6631</t>
  </si>
  <si>
    <t>289,2235</t>
  </si>
  <si>
    <t>300,6189</t>
  </si>
  <si>
    <t>315,1177</t>
  </si>
  <si>
    <t>326,6678</t>
  </si>
  <si>
    <t>341,2137</t>
  </si>
  <si>
    <t>330,8911</t>
  </si>
  <si>
    <t>334,4386</t>
  </si>
  <si>
    <t>333,996</t>
  </si>
  <si>
    <t>323,2643</t>
  </si>
  <si>
    <t>320,9339</t>
  </si>
  <si>
    <t>313,3093</t>
  </si>
  <si>
    <t>312,2917</t>
  </si>
  <si>
    <t>320,0007</t>
  </si>
  <si>
    <t>319,0552</t>
  </si>
  <si>
    <t>74,5</t>
  </si>
  <si>
    <t>294,2044</t>
  </si>
  <si>
    <t>316,5328</t>
  </si>
  <si>
    <t>322,7566</t>
  </si>
  <si>
    <t>333,214</t>
  </si>
  <si>
    <t>339,2581</t>
  </si>
  <si>
    <t>333,4096</t>
  </si>
  <si>
    <t>337,3673</t>
  </si>
  <si>
    <t>325,8455</t>
  </si>
  <si>
    <t>328,6943</t>
  </si>
  <si>
    <t>323,237</t>
  </si>
  <si>
    <t>336,3906</t>
  </si>
  <si>
    <t>346,4042</t>
  </si>
  <si>
    <t>356,7336</t>
  </si>
  <si>
    <t>348,1246</t>
  </si>
  <si>
    <t>356,8029</t>
  </si>
  <si>
    <t>333,55</t>
  </si>
  <si>
    <t>339,7904</t>
  </si>
  <si>
    <t>341,3451</t>
  </si>
  <si>
    <t>342,3374</t>
  </si>
  <si>
    <t>338,2947</t>
  </si>
  <si>
    <t>344,8174</t>
  </si>
  <si>
    <t>336,2799</t>
  </si>
  <si>
    <t>340,4366</t>
  </si>
  <si>
    <t>297,7206</t>
  </si>
  <si>
    <t>308,2027</t>
  </si>
  <si>
    <t>319,4152</t>
  </si>
  <si>
    <t>328,5507</t>
  </si>
  <si>
    <t>319,2256</t>
  </si>
  <si>
    <t>307,9112</t>
  </si>
  <si>
    <t>305,866</t>
  </si>
  <si>
    <t>202008</t>
  </si>
  <si>
    <t>331,6957</t>
  </si>
  <si>
    <t>340,159</t>
  </si>
  <si>
    <t>345,0561</t>
  </si>
  <si>
    <t>344,455</t>
  </si>
  <si>
    <t>346,538</t>
  </si>
  <si>
    <t>337,675</t>
  </si>
  <si>
    <t>337,0632</t>
  </si>
  <si>
    <t>350,8916</t>
  </si>
  <si>
    <t>349,4856</t>
  </si>
  <si>
    <t>357,6112</t>
  </si>
  <si>
    <t>351,8039</t>
  </si>
  <si>
    <t>359,842</t>
  </si>
  <si>
    <t>335,1676</t>
  </si>
  <si>
    <t>350,5076</t>
  </si>
  <si>
    <t>283,5739</t>
  </si>
  <si>
    <t>275,4803</t>
  </si>
  <si>
    <t>281,7144</t>
  </si>
  <si>
    <t>278,8666</t>
  </si>
  <si>
    <t>281,0094</t>
  </si>
  <si>
    <t>285,2349</t>
  </si>
  <si>
    <t>280,3346</t>
  </si>
  <si>
    <t>313,901</t>
  </si>
  <si>
    <t>317,9052</t>
  </si>
  <si>
    <t>286,666</t>
  </si>
  <si>
    <t>310,4442</t>
  </si>
  <si>
    <t>303,4673</t>
  </si>
  <si>
    <t>293,3026</t>
  </si>
  <si>
    <t>312,2789</t>
  </si>
  <si>
    <t>325,1627</t>
  </si>
  <si>
    <t>338,77</t>
  </si>
  <si>
    <t>354,4555</t>
  </si>
  <si>
    <t>391,8905</t>
  </si>
  <si>
    <t>373,2251</t>
  </si>
  <si>
    <t>353,3063</t>
  </si>
  <si>
    <t>338,8038</t>
  </si>
  <si>
    <t>349,4358</t>
  </si>
  <si>
    <t>346,3082</t>
  </si>
  <si>
    <t>354,2464</t>
  </si>
  <si>
    <t>341,4684</t>
  </si>
  <si>
    <t>343,1694</t>
  </si>
  <si>
    <t>359,5478</t>
  </si>
  <si>
    <t>348,1836</t>
  </si>
  <si>
    <t>346,6054</t>
  </si>
  <si>
    <t>378,238</t>
  </si>
  <si>
    <t>391,6052</t>
  </si>
  <si>
    <t>382,1337</t>
  </si>
  <si>
    <t>386,0878</t>
  </si>
  <si>
    <t>377,8584</t>
  </si>
  <si>
    <t>365,1113</t>
  </si>
  <si>
    <t>325,6423</t>
  </si>
  <si>
    <t>361,8261</t>
  </si>
  <si>
    <t>371,9104</t>
  </si>
  <si>
    <t>336,5056</t>
  </si>
  <si>
    <t>362,131</t>
  </si>
  <si>
    <t>382,3348</t>
  </si>
  <si>
    <t>344,7144</t>
  </si>
  <si>
    <t>377,5922</t>
  </si>
  <si>
    <t>364,7924</t>
  </si>
  <si>
    <t>357,1384</t>
  </si>
  <si>
    <t>391,6291</t>
  </si>
  <si>
    <t>346,7804</t>
  </si>
  <si>
    <t>329,9286</t>
  </si>
  <si>
    <t>369,5853</t>
  </si>
  <si>
    <t>333,5596</t>
  </si>
  <si>
    <t>331,193</t>
  </si>
  <si>
    <t>340,0498</t>
  </si>
  <si>
    <t>343,9922</t>
  </si>
  <si>
    <t>342,611</t>
  </si>
  <si>
    <t>350,6141</t>
  </si>
  <si>
    <t>335,0449</t>
  </si>
  <si>
    <t>319,0605</t>
  </si>
  <si>
    <t>280,9819</t>
  </si>
  <si>
    <t>327,066</t>
  </si>
  <si>
    <t>342,2903</t>
  </si>
  <si>
    <t>285,7398</t>
  </si>
  <si>
    <t>268,2945</t>
  </si>
  <si>
    <t>304,0824</t>
  </si>
  <si>
    <t>299,703</t>
  </si>
  <si>
    <t>310,8161</t>
  </si>
  <si>
    <t>307,1504</t>
  </si>
  <si>
    <t>318,9338</t>
  </si>
  <si>
    <t>323,115</t>
  </si>
  <si>
    <t>294,4131</t>
  </si>
  <si>
    <t>306,2356</t>
  </si>
  <si>
    <t>330,7462</t>
  </si>
  <si>
    <t>333,5342</t>
  </si>
  <si>
    <t>351,9515</t>
  </si>
  <si>
    <t>336,9701</t>
  </si>
  <si>
    <t>338,5091</t>
  </si>
  <si>
    <t>341,3126</t>
  </si>
  <si>
    <t>334,0208</t>
  </si>
  <si>
    <t>335,6514</t>
  </si>
  <si>
    <t>324,6667</t>
  </si>
  <si>
    <t>320,5728</t>
  </si>
  <si>
    <t>331,3265</t>
  </si>
  <si>
    <t>329,7071</t>
  </si>
  <si>
    <t>303,9121</t>
  </si>
  <si>
    <t>329,1168</t>
  </si>
  <si>
    <t>342,9248</t>
  </si>
  <si>
    <t>347,9901</t>
  </si>
  <si>
    <t>342,0561</t>
  </si>
  <si>
    <t>347,6958</t>
  </si>
  <si>
    <t>337,2021</t>
  </si>
  <si>
    <t>338,6645</t>
  </si>
  <si>
    <t>325,869</t>
  </si>
  <si>
    <t>339,9298</t>
  </si>
  <si>
    <t>350,7297</t>
  </si>
  <si>
    <t>363,0954</t>
  </si>
  <si>
    <t>352,2742</t>
  </si>
  <si>
    <t>360,123</t>
  </si>
  <si>
    <t>336,9087</t>
  </si>
  <si>
    <t>351,9757</t>
  </si>
  <si>
    <t>351,704</t>
  </si>
  <si>
    <t>351,5843</t>
  </si>
  <si>
    <t>347,5782</t>
  </si>
  <si>
    <t>355,6063</t>
  </si>
  <si>
    <t>348,3668</t>
  </si>
  <si>
    <t>351,5877</t>
  </si>
  <si>
    <t>302,1154</t>
  </si>
  <si>
    <t>313,0633</t>
  </si>
  <si>
    <t>322,6912</t>
  </si>
  <si>
    <t>335</t>
  </si>
  <si>
    <t>324,084</t>
  </si>
  <si>
    <t>311,1451</t>
  </si>
  <si>
    <t>310,4773</t>
  </si>
  <si>
    <t>202009</t>
  </si>
  <si>
    <t>340,902</t>
  </si>
  <si>
    <t>350,037</t>
  </si>
  <si>
    <t>356,7869</t>
  </si>
  <si>
    <t>352,4418</t>
  </si>
  <si>
    <t>358,8958</t>
  </si>
  <si>
    <t>345,3481</t>
  </si>
  <si>
    <t>346,6207</t>
  </si>
  <si>
    <t>360,8055</t>
  </si>
  <si>
    <t>360,0591</t>
  </si>
  <si>
    <t>370,5896</t>
  </si>
  <si>
    <t>362,6661</t>
  </si>
  <si>
    <t>371,126</t>
  </si>
  <si>
    <t>343,9195</t>
  </si>
  <si>
    <t>360,8692</t>
  </si>
  <si>
    <t>296,1978</t>
  </si>
  <si>
    <t>286,7544</t>
  </si>
  <si>
    <t>292,9888</t>
  </si>
  <si>
    <t>290,46</t>
  </si>
  <si>
    <t>293,2142</t>
  </si>
  <si>
    <t>297,0005</t>
  </si>
  <si>
    <t>292,3052</t>
  </si>
  <si>
    <t>337,4421</t>
  </si>
  <si>
    <t>330,9736</t>
  </si>
  <si>
    <t>302,7982</t>
  </si>
  <si>
    <t>319,2304</t>
  </si>
  <si>
    <t>331,8143</t>
  </si>
  <si>
    <t>302,044</t>
  </si>
  <si>
    <t>330,5055</t>
  </si>
  <si>
    <t>328,7368</t>
  </si>
  <si>
    <t>345,7148</t>
  </si>
  <si>
    <t>358,6674</t>
  </si>
  <si>
    <t>15,8</t>
  </si>
  <si>
    <t>394,8902</t>
  </si>
  <si>
    <t>385,5045</t>
  </si>
  <si>
    <t>358,5338</t>
  </si>
  <si>
    <t>343,9618</t>
  </si>
  <si>
    <t>359,6755</t>
  </si>
  <si>
    <t>354,239</t>
  </si>
  <si>
    <t>368,4586</t>
  </si>
  <si>
    <t>346,9931</t>
  </si>
  <si>
    <t>350,8298</t>
  </si>
  <si>
    <t>366,1054</t>
  </si>
  <si>
    <t>357,1864</t>
  </si>
  <si>
    <t>356,5201</t>
  </si>
  <si>
    <t>393,2183</t>
  </si>
  <si>
    <t>409,6477</t>
  </si>
  <si>
    <t>396,3677</t>
  </si>
  <si>
    <t>400,1388</t>
  </si>
  <si>
    <t>393,2721</t>
  </si>
  <si>
    <t>377,8509</t>
  </si>
  <si>
    <t>336,7613</t>
  </si>
  <si>
    <t>376,4649</t>
  </si>
  <si>
    <t>381,4486</t>
  </si>
  <si>
    <t>344,5205</t>
  </si>
  <si>
    <t>378,4364</t>
  </si>
  <si>
    <t>396,4558</t>
  </si>
  <si>
    <t>357,1236</t>
  </si>
  <si>
    <t>374,475</t>
  </si>
  <si>
    <t>370,1953</t>
  </si>
  <si>
    <t>362,0185</t>
  </si>
  <si>
    <t>387,6289</t>
  </si>
  <si>
    <t>348,7032</t>
  </si>
  <si>
    <t>331,2242</t>
  </si>
  <si>
    <t>370,0946</t>
  </si>
  <si>
    <t>341,8011</t>
  </si>
  <si>
    <t>334,2974</t>
  </si>
  <si>
    <t>352,7017</t>
  </si>
  <si>
    <t>353,1496</t>
  </si>
  <si>
    <t>349,27</t>
  </si>
  <si>
    <t>349,936</t>
  </si>
  <si>
    <t>341,3154</t>
  </si>
  <si>
    <t>319,8581</t>
  </si>
  <si>
    <t>282,1714</t>
  </si>
  <si>
    <t>343,2758</t>
  </si>
  <si>
    <t>288,8698</t>
  </si>
  <si>
    <t>266,4406</t>
  </si>
  <si>
    <t>304,9813</t>
  </si>
  <si>
    <t>303,5529</t>
  </si>
  <si>
    <t>319,0285</t>
  </si>
  <si>
    <t>316,9198</t>
  </si>
  <si>
    <t>319,4196</t>
  </si>
  <si>
    <t>327,7968</t>
  </si>
  <si>
    <t>295,937</t>
  </si>
  <si>
    <t>311,5692</t>
  </si>
  <si>
    <t>339,9264</t>
  </si>
  <si>
    <t>337,3861</t>
  </si>
  <si>
    <t>356,2155</t>
  </si>
  <si>
    <t>341,3462</t>
  </si>
  <si>
    <t>338,9699</t>
  </si>
  <si>
    <t>344,4454</t>
  </si>
  <si>
    <t>340,0843</t>
  </si>
  <si>
    <t>366,825</t>
  </si>
  <si>
    <t>345,8734</t>
  </si>
  <si>
    <t>343,7656</t>
  </si>
  <si>
    <t>355,0608</t>
  </si>
  <si>
    <t>358,8785</t>
  </si>
  <si>
    <t>72,2</t>
  </si>
  <si>
    <t>316,6755</t>
  </si>
  <si>
    <t>355,0322</t>
  </si>
  <si>
    <t>340,3537</t>
  </si>
  <si>
    <t>351,2354</t>
  </si>
  <si>
    <t>359,1323</t>
  </si>
  <si>
    <t>348,1996</t>
  </si>
  <si>
    <t>357,8564</t>
  </si>
  <si>
    <t>343,7517</t>
  </si>
  <si>
    <t>346,511</t>
  </si>
  <si>
    <t>330,8397</t>
  </si>
  <si>
    <t>348,3563</t>
  </si>
  <si>
    <t>356,6976</t>
  </si>
  <si>
    <t>366,9648</t>
  </si>
  <si>
    <t>362,2831</t>
  </si>
  <si>
    <t>368,4472</t>
  </si>
  <si>
    <t>343,4046</t>
  </si>
  <si>
    <t>365,7001</t>
  </si>
  <si>
    <t>363,8228</t>
  </si>
  <si>
    <t>365,2345</t>
  </si>
  <si>
    <t>357,4138</t>
  </si>
  <si>
    <t>370,8987</t>
  </si>
  <si>
    <t>357,8509</t>
  </si>
  <si>
    <t>364,3829</t>
  </si>
  <si>
    <t>304,7317</t>
  </si>
  <si>
    <t>317,682</t>
  </si>
  <si>
    <t>327,8462</t>
  </si>
  <si>
    <t>337,3896</t>
  </si>
  <si>
    <t>329,1753</t>
  </si>
  <si>
    <t>314,3242</t>
  </si>
  <si>
    <t>314,0154</t>
  </si>
  <si>
    <t>202010</t>
  </si>
  <si>
    <t>353,0444</t>
  </si>
  <si>
    <t>364,09</t>
  </si>
  <si>
    <t>370,1522</t>
  </si>
  <si>
    <t>366,7812</t>
  </si>
  <si>
    <t>372,0342</t>
  </si>
  <si>
    <t>357,3048</t>
  </si>
  <si>
    <t>359,657</t>
  </si>
  <si>
    <t>378,0836</t>
  </si>
  <si>
    <t>376,877</t>
  </si>
  <si>
    <t>387,1912</t>
  </si>
  <si>
    <t>382,6901</t>
  </si>
  <si>
    <t>388,2221</t>
  </si>
  <si>
    <t>360,1813</t>
  </si>
  <si>
    <t>378,0896</t>
  </si>
  <si>
    <t>302,2957</t>
  </si>
  <si>
    <t>292,6825</t>
  </si>
  <si>
    <t>297,0951</t>
  </si>
  <si>
    <t>295,0194</t>
  </si>
  <si>
    <t>297,599</t>
  </si>
  <si>
    <t>298,7982</t>
  </si>
  <si>
    <t>297,8662</t>
  </si>
  <si>
    <t>358,4122</t>
  </si>
  <si>
    <t>354,7742</t>
  </si>
  <si>
    <t>318,5101</t>
  </si>
  <si>
    <t>340,0189</t>
  </si>
  <si>
    <t>339,7554</t>
  </si>
  <si>
    <t>315,5039</t>
  </si>
  <si>
    <t>351,1551</t>
  </si>
  <si>
    <t>335,9612</t>
  </si>
  <si>
    <t>354,5622</t>
  </si>
  <si>
    <t>368,4243</t>
  </si>
  <si>
    <t>400,3876</t>
  </si>
  <si>
    <t>395,9748</t>
  </si>
  <si>
    <t>367,9452</t>
  </si>
  <si>
    <t>351,9646</t>
  </si>
  <si>
    <t>376,6123</t>
  </si>
  <si>
    <t>369,4718</t>
  </si>
  <si>
    <t>386,8226</t>
  </si>
  <si>
    <t>363,0212</t>
  </si>
  <si>
    <t>363,583</t>
  </si>
  <si>
    <t>380,7133</t>
  </si>
  <si>
    <t>373,2176</t>
  </si>
  <si>
    <t>365,4615</t>
  </si>
  <si>
    <t>406,9482</t>
  </si>
  <si>
    <t>421,6949</t>
  </si>
  <si>
    <t>410,6151</t>
  </si>
  <si>
    <t>416,6332</t>
  </si>
  <si>
    <t>407,2255</t>
  </si>
  <si>
    <t>389,5109</t>
  </si>
  <si>
    <t>350,6817</t>
  </si>
  <si>
    <t>392,8405</t>
  </si>
  <si>
    <t>396,3428</t>
  </si>
  <si>
    <t>357,3076</t>
  </si>
  <si>
    <t>396,2482</t>
  </si>
  <si>
    <t>409,5179</t>
  </si>
  <si>
    <t>371,9913</t>
  </si>
  <si>
    <t>372,4854</t>
  </si>
  <si>
    <t>371,883</t>
  </si>
  <si>
    <t>362,2766</t>
  </si>
  <si>
    <t>382,9387</t>
  </si>
  <si>
    <t>350,7787</t>
  </si>
  <si>
    <t>332,2654</t>
  </si>
  <si>
    <t>369,6031</t>
  </si>
  <si>
    <t>350,2174</t>
  </si>
  <si>
    <t>344,2541</t>
  </si>
  <si>
    <t>362,9391</t>
  </si>
  <si>
    <t>354,8039</t>
  </si>
  <si>
    <t>360,2428</t>
  </si>
  <si>
    <t>360,5184</t>
  </si>
  <si>
    <t>350,1056</t>
  </si>
  <si>
    <t>319,9665</t>
  </si>
  <si>
    <t>282,8527</t>
  </si>
  <si>
    <t>327,7792</t>
  </si>
  <si>
    <t>343,8786</t>
  </si>
  <si>
    <t>290,1694</t>
  </si>
  <si>
    <t>266,2087</t>
  </si>
  <si>
    <t>305,3871</t>
  </si>
  <si>
    <t>313,6212</t>
  </si>
  <si>
    <t>330,4257</t>
  </si>
  <si>
    <t>322,2622</t>
  </si>
  <si>
    <t>332,9111</t>
  </si>
  <si>
    <t>340,8066</t>
  </si>
  <si>
    <t>302,2583</t>
  </si>
  <si>
    <t>322,1058</t>
  </si>
  <si>
    <t>346,3864</t>
  </si>
  <si>
    <t>344,4139</t>
  </si>
  <si>
    <t>366,0135</t>
  </si>
  <si>
    <t>349,3735</t>
  </si>
  <si>
    <t>350,0503</t>
  </si>
  <si>
    <t>350,4516</t>
  </si>
  <si>
    <t>347,2283</t>
  </si>
  <si>
    <t>400,0067</t>
  </si>
  <si>
    <t>75,9</t>
  </si>
  <si>
    <t>381,0398</t>
  </si>
  <si>
    <t>375,9758</t>
  </si>
  <si>
    <t>399,8738</t>
  </si>
  <si>
    <t>387,7129</t>
  </si>
  <si>
    <t>339,8171</t>
  </si>
  <si>
    <t>388,9845</t>
  </si>
  <si>
    <t>74,3</t>
  </si>
  <si>
    <t>352,0682</t>
  </si>
  <si>
    <t>363,7468</t>
  </si>
  <si>
    <t>371,2308</t>
  </si>
  <si>
    <t>359,7202</t>
  </si>
  <si>
    <t>370,1168</t>
  </si>
  <si>
    <t>354,8049</t>
  </si>
  <si>
    <t>358,4989</t>
  </si>
  <si>
    <t>334,7653</t>
  </si>
  <si>
    <t>354,7972</t>
  </si>
  <si>
    <t>361,7716</t>
  </si>
  <si>
    <t>370,4461</t>
  </si>
  <si>
    <t>369,4161</t>
  </si>
  <si>
    <t>376,5484</t>
  </si>
  <si>
    <t>348,5355</t>
  </si>
  <si>
    <t>382,5081</t>
  </si>
  <si>
    <t>380,9874</t>
  </si>
  <si>
    <t>381,3512</t>
  </si>
  <si>
    <t>374,7126</t>
  </si>
  <si>
    <t>386,3004</t>
  </si>
  <si>
    <t>372,2018</t>
  </si>
  <si>
    <t>381,1304</t>
  </si>
  <si>
    <t>310,069</t>
  </si>
  <si>
    <t>324,4321</t>
  </si>
  <si>
    <t>331,7855</t>
  </si>
  <si>
    <t>342,77</t>
  </si>
  <si>
    <t>336,7095</t>
  </si>
  <si>
    <t>320,3402</t>
  </si>
  <si>
    <t>319,9093</t>
  </si>
  <si>
    <t>202011</t>
  </si>
  <si>
    <t>363,5381</t>
  </si>
  <si>
    <t>376,3817</t>
  </si>
  <si>
    <t>383,7668</t>
  </si>
  <si>
    <t>378,17</t>
  </si>
  <si>
    <t>383,7513</t>
  </si>
  <si>
    <t>367,7392</t>
  </si>
  <si>
    <t>371,0211</t>
  </si>
  <si>
    <t>386,1547</t>
  </si>
  <si>
    <t>389,9047</t>
  </si>
  <si>
    <t>400,6413</t>
  </si>
  <si>
    <t>390,7196</t>
  </si>
  <si>
    <t>399,1108</t>
  </si>
  <si>
    <t>371,2628</t>
  </si>
  <si>
    <t>388,3864</t>
  </si>
  <si>
    <t>309,5605</t>
  </si>
  <si>
    <t>302,7303</t>
  </si>
  <si>
    <t>305,9135</t>
  </si>
  <si>
    <t>306,8517</t>
  </si>
  <si>
    <t>306,7879</t>
  </si>
  <si>
    <t>309,9157</t>
  </si>
  <si>
    <t>306,7433</t>
  </si>
  <si>
    <t>369,1583</t>
  </si>
  <si>
    <t>368,3907</t>
  </si>
  <si>
    <t>334,1207</t>
  </si>
  <si>
    <t>358,8571</t>
  </si>
  <si>
    <t>354,9369</t>
  </si>
  <si>
    <t>330,7152</t>
  </si>
  <si>
    <t>364,0892</t>
  </si>
  <si>
    <t>344,243</t>
  </si>
  <si>
    <t>365,1937</t>
  </si>
  <si>
    <t>378,8166</t>
  </si>
  <si>
    <t>403,4443</t>
  </si>
  <si>
    <t>405,4405</t>
  </si>
  <si>
    <t>376,7227</t>
  </si>
  <si>
    <t>360,8388</t>
  </si>
  <si>
    <t>391,3552</t>
  </si>
  <si>
    <t>383,1248</t>
  </si>
  <si>
    <t>403,6101</t>
  </si>
  <si>
    <t>382,2796</t>
  </si>
  <si>
    <t>376,8479</t>
  </si>
  <si>
    <t>395,8409</t>
  </si>
  <si>
    <t>387,9375</t>
  </si>
  <si>
    <t>378,0142</t>
  </si>
  <si>
    <t>422,0734</t>
  </si>
  <si>
    <t>439,5132</t>
  </si>
  <si>
    <t>429,6741</t>
  </si>
  <si>
    <t>433,8416</t>
  </si>
  <si>
    <t>418,775</t>
  </si>
  <si>
    <t>403,8029</t>
  </si>
  <si>
    <t>365,0886</t>
  </si>
  <si>
    <t>404,9158</t>
  </si>
  <si>
    <t>412,0487</t>
  </si>
  <si>
    <t>370,3972</t>
  </si>
  <si>
    <t>409,1959</t>
  </si>
  <si>
    <t>422,303</t>
  </si>
  <si>
    <t>385,4469</t>
  </si>
  <si>
    <t>365,8217</t>
  </si>
  <si>
    <t>372,6465</t>
  </si>
  <si>
    <t>362,1572</t>
  </si>
  <si>
    <t>390,5695</t>
  </si>
  <si>
    <t>353,2344</t>
  </si>
  <si>
    <t>331,7363</t>
  </si>
  <si>
    <t>367,4745</t>
  </si>
  <si>
    <t>369,5455</t>
  </si>
  <si>
    <t>362,4915</t>
  </si>
  <si>
    <t>384,9754</t>
  </si>
  <si>
    <t>367,3511</t>
  </si>
  <si>
    <t>377,2302</t>
  </si>
  <si>
    <t>365,1697</t>
  </si>
  <si>
    <t>367,9236</t>
  </si>
  <si>
    <t>321,4936</t>
  </si>
  <si>
    <t>283,8029</t>
  </si>
  <si>
    <t>328,7553</t>
  </si>
  <si>
    <t>343,9654</t>
  </si>
  <si>
    <t>295,4738</t>
  </si>
  <si>
    <t>266,8138</t>
  </si>
  <si>
    <t>306,746</t>
  </si>
  <si>
    <t>324,4805</t>
  </si>
  <si>
    <t>340,5653</t>
  </si>
  <si>
    <t>333,3281</t>
  </si>
  <si>
    <t>344,7358</t>
  </si>
  <si>
    <t>349,0667</t>
  </si>
  <si>
    <t>309,0001</t>
  </si>
  <si>
    <t>332,4733</t>
  </si>
  <si>
    <t>357,917</t>
  </si>
  <si>
    <t>352,0259</t>
  </si>
  <si>
    <t>372,1491</t>
  </si>
  <si>
    <t>358,6177</t>
  </si>
  <si>
    <t>354,579</t>
  </si>
  <si>
    <t>356,625</t>
  </si>
  <si>
    <t>356,3987</t>
  </si>
  <si>
    <t>402,7498</t>
  </si>
  <si>
    <t>394,4866</t>
  </si>
  <si>
    <t>389,5248</t>
  </si>
  <si>
    <t>403,6033</t>
  </si>
  <si>
    <t>74,9</t>
  </si>
  <si>
    <t>396,7047</t>
  </si>
  <si>
    <t>72,9</t>
  </si>
  <si>
    <t>355,9335</t>
  </si>
  <si>
    <t>396,9082</t>
  </si>
  <si>
    <t>366,4805</t>
  </si>
  <si>
    <t>377,8696</t>
  </si>
  <si>
    <t>386,3111</t>
  </si>
  <si>
    <t>374,1052</t>
  </si>
  <si>
    <t>383,8403</t>
  </si>
  <si>
    <t>365,0158</t>
  </si>
  <si>
    <t>372,6154</t>
  </si>
  <si>
    <t>337,2247</t>
  </si>
  <si>
    <t>359,8583</t>
  </si>
  <si>
    <t>369,631</t>
  </si>
  <si>
    <t>375,7238</t>
  </si>
  <si>
    <t>376,1518</t>
  </si>
  <si>
    <t>384,2286</t>
  </si>
  <si>
    <t>352,7236</t>
  </si>
  <si>
    <t>394,0756</t>
  </si>
  <si>
    <t>395,2058</t>
  </si>
  <si>
    <t>396,422</t>
  </si>
  <si>
    <t>387,4969</t>
  </si>
  <si>
    <t>399,2325</t>
  </si>
  <si>
    <t>385,0234</t>
  </si>
  <si>
    <t>393,9743</t>
  </si>
  <si>
    <t>318,9963</t>
  </si>
  <si>
    <t>332,2019</t>
  </si>
  <si>
    <t>340,411</t>
  </si>
  <si>
    <t>349,9339</t>
  </si>
  <si>
    <t>345,4182</t>
  </si>
  <si>
    <t>324,851</t>
  </si>
  <si>
    <t>328,1032</t>
  </si>
  <si>
    <t>202012</t>
  </si>
  <si>
    <t>377,0507</t>
  </si>
  <si>
    <t>392,1591</t>
  </si>
  <si>
    <t>405,0619</t>
  </si>
  <si>
    <t>394,4702</t>
  </si>
  <si>
    <t>400,1693</t>
  </si>
  <si>
    <t>378,8585</t>
  </si>
  <si>
    <t>385,8826</t>
  </si>
  <si>
    <t>396,893</t>
  </si>
  <si>
    <t>410,4009</t>
  </si>
  <si>
    <t>437,0123</t>
  </si>
  <si>
    <t>415,6978</t>
  </si>
  <si>
    <t>422,5693</t>
  </si>
  <si>
    <t>382,4027</t>
  </si>
  <si>
    <t>405,2871</t>
  </si>
  <si>
    <t>318,3355</t>
  </si>
  <si>
    <t>313,5887</t>
  </si>
  <si>
    <t>323,3626</t>
  </si>
  <si>
    <t>318,3507</t>
  </si>
  <si>
    <t>318,8702</t>
  </si>
  <si>
    <t>322,5887</t>
  </si>
  <si>
    <t>317,1521</t>
  </si>
  <si>
    <t>383,9238</t>
  </si>
  <si>
    <t>379,6781</t>
  </si>
  <si>
    <t>354,5455</t>
  </si>
  <si>
    <t>372,1796</t>
  </si>
  <si>
    <t>365,4739</t>
  </si>
  <si>
    <t>337,1497</t>
  </si>
  <si>
    <t>377,2469</t>
  </si>
  <si>
    <t>358,4496</t>
  </si>
  <si>
    <t>373,2277</t>
  </si>
  <si>
    <t>385,2664</t>
  </si>
  <si>
    <t>409,2499</t>
  </si>
  <si>
    <t>412,0906</t>
  </si>
  <si>
    <t>384,8952</t>
  </si>
  <si>
    <t>371,5185</t>
  </si>
  <si>
    <t>398,9083</t>
  </si>
  <si>
    <t>394,0748</t>
  </si>
  <si>
    <t>411,6971</t>
  </si>
  <si>
    <t>389,9559</t>
  </si>
  <si>
    <t>388,454</t>
  </si>
  <si>
    <t>410,4037</t>
  </si>
  <si>
    <t>397,2227</t>
  </si>
  <si>
    <t>399,8237</t>
  </si>
  <si>
    <t>443,7132</t>
  </si>
  <si>
    <t>459,7286</t>
  </si>
  <si>
    <t>448,2768</t>
  </si>
  <si>
    <t>456,4847</t>
  </si>
  <si>
    <t>432,9217</t>
  </si>
  <si>
    <t>424,9668</t>
  </si>
  <si>
    <t>383,3669</t>
  </si>
  <si>
    <t>424,4015</t>
  </si>
  <si>
    <t>426,7893</t>
  </si>
  <si>
    <t>387,4985</t>
  </si>
  <si>
    <t>431,6571</t>
  </si>
  <si>
    <t>445,3357</t>
  </si>
  <si>
    <t>404,314</t>
  </si>
  <si>
    <t>365,6122</t>
  </si>
  <si>
    <t>372,3729</t>
  </si>
  <si>
    <t>364,9281</t>
  </si>
  <si>
    <t>389,4201</t>
  </si>
  <si>
    <t>352,4229</t>
  </si>
  <si>
    <t>333,4793</t>
  </si>
  <si>
    <t>367,3696</t>
  </si>
  <si>
    <t>387,546</t>
  </si>
  <si>
    <t>388,0503</t>
  </si>
  <si>
    <t>393,4691</t>
  </si>
  <si>
    <t>383,3744</t>
  </si>
  <si>
    <t>388,6505</t>
  </si>
  <si>
    <t>372,2316</t>
  </si>
  <si>
    <t>387,0686</t>
  </si>
  <si>
    <t>321,4474</t>
  </si>
  <si>
    <t>284,1361</t>
  </si>
  <si>
    <t>345,0549</t>
  </si>
  <si>
    <t>296,0217</t>
  </si>
  <si>
    <t>265,8918</t>
  </si>
  <si>
    <t>306,8977</t>
  </si>
  <si>
    <t>342,5174</t>
  </si>
  <si>
    <t>352,8094</t>
  </si>
  <si>
    <t>353,9476</t>
  </si>
  <si>
    <t>356,6325</t>
  </si>
  <si>
    <t>367,3801</t>
  </si>
  <si>
    <t>316,7766</t>
  </si>
  <si>
    <t>347,7424</t>
  </si>
  <si>
    <t>362,6176</t>
  </si>
  <si>
    <t>359,0625</t>
  </si>
  <si>
    <t>377,7692</t>
  </si>
  <si>
    <t>365,8327</t>
  </si>
  <si>
    <t>365,4114</t>
  </si>
  <si>
    <t>364,4949</t>
  </si>
  <si>
    <t>362,5783</t>
  </si>
  <si>
    <t>409,3459</t>
  </si>
  <si>
    <t>397,6129</t>
  </si>
  <si>
    <t>405,4208</t>
  </si>
  <si>
    <t>411,5219</t>
  </si>
  <si>
    <t>72,3</t>
  </si>
  <si>
    <t>395,1846</t>
  </si>
  <si>
    <t>357,847</t>
  </si>
  <si>
    <t>402,2137</t>
  </si>
  <si>
    <t>382,7926</t>
  </si>
  <si>
    <t>397,2216</t>
  </si>
  <si>
    <t>411,7841</t>
  </si>
  <si>
    <t>394,111</t>
  </si>
  <si>
    <t>405,392</t>
  </si>
  <si>
    <t>378,249</t>
  </si>
  <si>
    <t>390,7655</t>
  </si>
  <si>
    <t>345,6189</t>
  </si>
  <si>
    <t>370,7665</t>
  </si>
  <si>
    <t>378,2026</t>
  </si>
  <si>
    <t>383,6877</t>
  </si>
  <si>
    <t>386,0116</t>
  </si>
  <si>
    <t>393,8932</t>
  </si>
  <si>
    <t>362,0665</t>
  </si>
  <si>
    <t>14,8</t>
  </si>
  <si>
    <t>406,5761</t>
  </si>
  <si>
    <t>412,3187</t>
  </si>
  <si>
    <t>420,965</t>
  </si>
  <si>
    <t>405,972</t>
  </si>
  <si>
    <t>417,1454</t>
  </si>
  <si>
    <t>397,6775</t>
  </si>
  <si>
    <t>409,2986</t>
  </si>
  <si>
    <t>333,9852</t>
  </si>
  <si>
    <t>344,8449</t>
  </si>
  <si>
    <t>350,5791</t>
  </si>
  <si>
    <t>359,6501</t>
  </si>
  <si>
    <t>358,1345</t>
  </si>
  <si>
    <t>332,1622</t>
  </si>
  <si>
    <t>341,2656</t>
  </si>
  <si>
    <t>202101</t>
  </si>
  <si>
    <t>389,4454</t>
  </si>
  <si>
    <t>410,2886</t>
  </si>
  <si>
    <t>422,54</t>
  </si>
  <si>
    <t>416,2149</t>
  </si>
  <si>
    <t>418,0148</t>
  </si>
  <si>
    <t>394,4385</t>
  </si>
  <si>
    <t>401,5071</t>
  </si>
  <si>
    <t>412,7351</t>
  </si>
  <si>
    <t>434,1033</t>
  </si>
  <si>
    <t>461,1208</t>
  </si>
  <si>
    <t>438,2746</t>
  </si>
  <si>
    <t>443,9524</t>
  </si>
  <si>
    <t>395,9537</t>
  </si>
  <si>
    <t>424,8374</t>
  </si>
  <si>
    <t>331,3735</t>
  </si>
  <si>
    <t>329,2646</t>
  </si>
  <si>
    <t>337,917</t>
  </si>
  <si>
    <t>334,0066</t>
  </si>
  <si>
    <t>332,8249</t>
  </si>
  <si>
    <t>336,4545</t>
  </si>
  <si>
    <t>331,4265</t>
  </si>
  <si>
    <t>384,2546</t>
  </si>
  <si>
    <t>388,2065</t>
  </si>
  <si>
    <t>357,5874</t>
  </si>
  <si>
    <t>386,6005</t>
  </si>
  <si>
    <t>380,1202</t>
  </si>
  <si>
    <t>342,6392</t>
  </si>
  <si>
    <t>382,4282</t>
  </si>
  <si>
    <t>355,0014</t>
  </si>
  <si>
    <t>382,8587</t>
  </si>
  <si>
    <t>388,8264</t>
  </si>
  <si>
    <t>437,8597</t>
  </si>
  <si>
    <t>421,6108</t>
  </si>
  <si>
    <t>390,2555</t>
  </si>
  <si>
    <t>17</t>
  </si>
  <si>
    <t>375,7501</t>
  </si>
  <si>
    <t>409,698</t>
  </si>
  <si>
    <t>405,6861</t>
  </si>
  <si>
    <t>423,2817</t>
  </si>
  <si>
    <t>401,7972</t>
  </si>
  <si>
    <t>405,906</t>
  </si>
  <si>
    <t>426,5893</t>
  </si>
  <si>
    <t>409,0026</t>
  </si>
  <si>
    <t>412,6576</t>
  </si>
  <si>
    <t>458,1655</t>
  </si>
  <si>
    <t>477,0172</t>
  </si>
  <si>
    <t>471,4465</t>
  </si>
  <si>
    <t>470,9392</t>
  </si>
  <si>
    <t>446,761</t>
  </si>
  <si>
    <t>439,3776</t>
  </si>
  <si>
    <t>394,4234</t>
  </si>
  <si>
    <t>448,091</t>
  </si>
  <si>
    <t>453,6804</t>
  </si>
  <si>
    <t>414,8095</t>
  </si>
  <si>
    <t>454,4119</t>
  </si>
  <si>
    <t>478,7663</t>
  </si>
  <si>
    <t>422,9057</t>
  </si>
  <si>
    <t>426,7295</t>
  </si>
  <si>
    <t>421,9765</t>
  </si>
  <si>
    <t>412,5874</t>
  </si>
  <si>
    <t>450,6759</t>
  </si>
  <si>
    <t>399,8284</t>
  </si>
  <si>
    <t>386,5869</t>
  </si>
  <si>
    <t>422,9513</t>
  </si>
  <si>
    <t>404,775</t>
  </si>
  <si>
    <t>410,1127</t>
  </si>
  <si>
    <t>409,4258</t>
  </si>
  <si>
    <t>403,1162</t>
  </si>
  <si>
    <t>399,2593</t>
  </si>
  <si>
    <t>389,5475</t>
  </si>
  <si>
    <t>405,7084</t>
  </si>
  <si>
    <t>323,7569</t>
  </si>
  <si>
    <t>328,9943</t>
  </si>
  <si>
    <t>352,6972</t>
  </si>
  <si>
    <t>269,4804</t>
  </si>
  <si>
    <t>308,6755</t>
  </si>
  <si>
    <t>362,4122</t>
  </si>
  <si>
    <t>368,9803</t>
  </si>
  <si>
    <t>370,2358</t>
  </si>
  <si>
    <t>381,3667</t>
  </si>
  <si>
    <t>392,7364</t>
  </si>
  <si>
    <t>329,1856</t>
  </si>
  <si>
    <t>366,4717</t>
  </si>
  <si>
    <t>370,1955</t>
  </si>
  <si>
    <t>366,8238</t>
  </si>
  <si>
    <t>385,2291</t>
  </si>
  <si>
    <t>373,4591</t>
  </si>
  <si>
    <t>370,6396</t>
  </si>
  <si>
    <t>369,536</t>
  </si>
  <si>
    <t>369,9824</t>
  </si>
  <si>
    <t>417,5823</t>
  </si>
  <si>
    <t>412,406</t>
  </si>
  <si>
    <t>417,3667</t>
  </si>
  <si>
    <t>431,3526</t>
  </si>
  <si>
    <t>412,5541</t>
  </si>
  <si>
    <t>370,0196</t>
  </si>
  <si>
    <t>414,3419</t>
  </si>
  <si>
    <t>394,9362</t>
  </si>
  <si>
    <t>415,3082</t>
  </si>
  <si>
    <t>429,8106</t>
  </si>
  <si>
    <t>413,9797</t>
  </si>
  <si>
    <t>421,925</t>
  </si>
  <si>
    <t>392,8476</t>
  </si>
  <si>
    <t>406,0674</t>
  </si>
  <si>
    <t>360,6249</t>
  </si>
  <si>
    <t>391,1181</t>
  </si>
  <si>
    <t>397,4161</t>
  </si>
  <si>
    <t>414,0478</t>
  </si>
  <si>
    <t>408,3908</t>
  </si>
  <si>
    <t>414,8919</t>
  </si>
  <si>
    <t>380,6817</t>
  </si>
  <si>
    <t>421,2386</t>
  </si>
  <si>
    <t>431,7181</t>
  </si>
  <si>
    <t>439,8542</t>
  </si>
  <si>
    <t>426,5036</t>
  </si>
  <si>
    <t>435,7602</t>
  </si>
  <si>
    <t>413,8491</t>
  </si>
  <si>
    <t>426,448</t>
  </si>
  <si>
    <t>343,0722</t>
  </si>
  <si>
    <t>359,9941</t>
  </si>
  <si>
    <t>363,2231</t>
  </si>
  <si>
    <t>385,0674</t>
  </si>
  <si>
    <t>374,0754</t>
  </si>
  <si>
    <t>346,274</t>
  </si>
  <si>
    <t>354,2333</t>
  </si>
  <si>
    <t>202102</t>
  </si>
  <si>
    <t>403,4854</t>
  </si>
  <si>
    <t>424,4373</t>
  </si>
  <si>
    <t>438,5825</t>
  </si>
  <si>
    <t>429,9182</t>
  </si>
  <si>
    <t>435,0785</t>
  </si>
  <si>
    <t>409,6462</t>
  </si>
  <si>
    <t>415,8595</t>
  </si>
  <si>
    <t>429,2024</t>
  </si>
  <si>
    <t>449,5755</t>
  </si>
  <si>
    <t>478,1992</t>
  </si>
  <si>
    <t>455,4186</t>
  </si>
  <si>
    <t>459,9176</t>
  </si>
  <si>
    <t>413,7004</t>
  </si>
  <si>
    <t>441,0722</t>
  </si>
  <si>
    <t>343,4201</t>
  </si>
  <si>
    <t>340,5143</t>
  </si>
  <si>
    <t>348,2078</t>
  </si>
  <si>
    <t>347,5251</t>
  </si>
  <si>
    <t>345,6579</t>
  </si>
  <si>
    <t>349,5791</t>
  </si>
  <si>
    <t>343,3155</t>
  </si>
  <si>
    <t>393,1268</t>
  </si>
  <si>
    <t>400,1579</t>
  </si>
  <si>
    <t>370,7064</t>
  </si>
  <si>
    <t>395,8991</t>
  </si>
  <si>
    <t>398,4482</t>
  </si>
  <si>
    <t>354,4762</t>
  </si>
  <si>
    <t>393,1944</t>
  </si>
  <si>
    <t>362,9717</t>
  </si>
  <si>
    <t>388,9795</t>
  </si>
  <si>
    <t>394,0683</t>
  </si>
  <si>
    <t>441,4928</t>
  </si>
  <si>
    <t>445,9511</t>
  </si>
  <si>
    <t>396,2591</t>
  </si>
  <si>
    <t>383,4268</t>
  </si>
  <si>
    <t>430,1651</t>
  </si>
  <si>
    <t>422,1181</t>
  </si>
  <si>
    <t>441,1219</t>
  </si>
  <si>
    <t>421,5107</t>
  </si>
  <si>
    <t>423,567</t>
  </si>
  <si>
    <t>444,1874</t>
  </si>
  <si>
    <t>427,6367</t>
  </si>
  <si>
    <t>424,7791</t>
  </si>
  <si>
    <t>474,8498</t>
  </si>
  <si>
    <t>507,1152</t>
  </si>
  <si>
    <t>486,3755</t>
  </si>
  <si>
    <t>488,7899</t>
  </si>
  <si>
    <t>467,6517</t>
  </si>
  <si>
    <t>454,7265</t>
  </si>
  <si>
    <t>413,5101</t>
  </si>
  <si>
    <t>469,8778</t>
  </si>
  <si>
    <t>475,6109</t>
  </si>
  <si>
    <t>431,9724</t>
  </si>
  <si>
    <t>480,2908</t>
  </si>
  <si>
    <t>499,5242</t>
  </si>
  <si>
    <t>443,3079</t>
  </si>
  <si>
    <t>430,8196</t>
  </si>
  <si>
    <t>434,0161</t>
  </si>
  <si>
    <t>426,3605</t>
  </si>
  <si>
    <t>457,6558</t>
  </si>
  <si>
    <t>404,4377</t>
  </si>
  <si>
    <t>397,425</t>
  </si>
  <si>
    <t>430,6911</t>
  </si>
  <si>
    <t>415,6103</t>
  </si>
  <si>
    <t>416,85</t>
  </si>
  <si>
    <t>420,9735</t>
  </si>
  <si>
    <t>413,7617</t>
  </si>
  <si>
    <t>402,9254</t>
  </si>
  <si>
    <t>405,7329</t>
  </si>
  <si>
    <t>415,0224</t>
  </si>
  <si>
    <t>284,3727</t>
  </si>
  <si>
    <t>334,6893</t>
  </si>
  <si>
    <t>352,9527</t>
  </si>
  <si>
    <t>309,01</t>
  </si>
  <si>
    <t>383,4441</t>
  </si>
  <si>
    <t>388,2627</t>
  </si>
  <si>
    <t>391,6444</t>
  </si>
  <si>
    <t>396,3368</t>
  </si>
  <si>
    <t>412,6131</t>
  </si>
  <si>
    <t>346,4601</t>
  </si>
  <si>
    <t>386,2568</t>
  </si>
  <si>
    <t>382,4193</t>
  </si>
  <si>
    <t>378,8966</t>
  </si>
  <si>
    <t>396,1516</t>
  </si>
  <si>
    <t>382,925</t>
  </si>
  <si>
    <t>385,3446</t>
  </si>
  <si>
    <t>379,258</t>
  </si>
  <si>
    <t>381,9169</t>
  </si>
  <si>
    <t>432,2007</t>
  </si>
  <si>
    <t>423,2596</t>
  </si>
  <si>
    <t>430,6502</t>
  </si>
  <si>
    <t>438,4773</t>
  </si>
  <si>
    <t>425,7287</t>
  </si>
  <si>
    <t>73,3</t>
  </si>
  <si>
    <t>390,6331</t>
  </si>
  <si>
    <t>427,2775</t>
  </si>
  <si>
    <t>411,7749</t>
  </si>
  <si>
    <t>431,288</t>
  </si>
  <si>
    <t>447,5312</t>
  </si>
  <si>
    <t>430,3968</t>
  </si>
  <si>
    <t>438,9922</t>
  </si>
  <si>
    <t>408,7115</t>
  </si>
  <si>
    <t>422,5932</t>
  </si>
  <si>
    <t>366,1731</t>
  </si>
  <si>
    <t>400,7965</t>
  </si>
  <si>
    <t>408,7649</t>
  </si>
  <si>
    <t>421,96</t>
  </si>
  <si>
    <t>427,6377</t>
  </si>
  <si>
    <t>424,545</t>
  </si>
  <si>
    <t>388,8788</t>
  </si>
  <si>
    <t>438,4934</t>
  </si>
  <si>
    <t>448,4898</t>
  </si>
  <si>
    <t>457,0666</t>
  </si>
  <si>
    <t>442,6791</t>
  </si>
  <si>
    <t>454,0763</t>
  </si>
  <si>
    <t>431,5778</t>
  </si>
  <si>
    <t>443,5383</t>
  </si>
  <si>
    <t>352,423</t>
  </si>
  <si>
    <t>367,9865</t>
  </si>
  <si>
    <t>375,2578</t>
  </si>
  <si>
    <t>391,2863</t>
  </si>
  <si>
    <t>388,0378</t>
  </si>
  <si>
    <t>355,2262</t>
  </si>
  <si>
    <t>363,2531</t>
  </si>
  <si>
    <t>202103</t>
  </si>
  <si>
    <t>424,4539</t>
  </si>
  <si>
    <t>444,913</t>
  </si>
  <si>
    <t>453,1765</t>
  </si>
  <si>
    <t>447,9105</t>
  </si>
  <si>
    <t>453,9557</t>
  </si>
  <si>
    <t>426,2375</t>
  </si>
  <si>
    <t>435,8657</t>
  </si>
  <si>
    <t>450,199</t>
  </si>
  <si>
    <t>470,9722</t>
  </si>
  <si>
    <t>493,3112</t>
  </si>
  <si>
    <t>471,394</t>
  </si>
  <si>
    <t>479,5129</t>
  </si>
  <si>
    <t>430,4749</t>
  </si>
  <si>
    <t>461,3238</t>
  </si>
  <si>
    <t>364,9237</t>
  </si>
  <si>
    <t>363,6578</t>
  </si>
  <si>
    <t>367,7006</t>
  </si>
  <si>
    <t>369,9409</t>
  </si>
  <si>
    <t>367,9352</t>
  </si>
  <si>
    <t>370,6956</t>
  </si>
  <si>
    <t>365,3793</t>
  </si>
  <si>
    <t>456,928</t>
  </si>
  <si>
    <t>77,8</t>
  </si>
  <si>
    <t>428,6025</t>
  </si>
  <si>
    <t>383,3997</t>
  </si>
  <si>
    <t>419,5783</t>
  </si>
  <si>
    <t>417,7376</t>
  </si>
  <si>
    <t>70,2</t>
  </si>
  <si>
    <t>376,4573</t>
  </si>
  <si>
    <t>435,7025</t>
  </si>
  <si>
    <t>366,4275</t>
  </si>
  <si>
    <t>394,3926</t>
  </si>
  <si>
    <t>402,1659</t>
  </si>
  <si>
    <t>448,196</t>
  </si>
  <si>
    <t>456,9785</t>
  </si>
  <si>
    <t>403,7293</t>
  </si>
  <si>
    <t>388,4775</t>
  </si>
  <si>
    <t>443,5191</t>
  </si>
  <si>
    <t>436,4926</t>
  </si>
  <si>
    <t>453,8373</t>
  </si>
  <si>
    <t>434,3367</t>
  </si>
  <si>
    <t>438,8695</t>
  </si>
  <si>
    <t>453,2493</t>
  </si>
  <si>
    <t>441,1744</t>
  </si>
  <si>
    <t>441,8719</t>
  </si>
  <si>
    <t>495,1857</t>
  </si>
  <si>
    <t>521,6201</t>
  </si>
  <si>
    <t>503,953</t>
  </si>
  <si>
    <t>506,5566</t>
  </si>
  <si>
    <t>484,6087</t>
  </si>
  <si>
    <t>472,856</t>
  </si>
  <si>
    <t>428,9895</t>
  </si>
  <si>
    <t>490,9267</t>
  </si>
  <si>
    <t>495,1735</t>
  </si>
  <si>
    <t>456,1015</t>
  </si>
  <si>
    <t>502,1337</t>
  </si>
  <si>
    <t>518,5941</t>
  </si>
  <si>
    <t>461,8773</t>
  </si>
  <si>
    <t>431,2261</t>
  </si>
  <si>
    <t>431,7056</t>
  </si>
  <si>
    <t>11,8</t>
  </si>
  <si>
    <t>433,2802</t>
  </si>
  <si>
    <t>460,4092</t>
  </si>
  <si>
    <t>409,6266</t>
  </si>
  <si>
    <t>400,1504</t>
  </si>
  <si>
    <t>430,982</t>
  </si>
  <si>
    <t>430,1147</t>
  </si>
  <si>
    <t>453,5778</t>
  </si>
  <si>
    <t>428,2826</t>
  </si>
  <si>
    <t>424,9727</t>
  </si>
  <si>
    <t>429,2583</t>
  </si>
  <si>
    <t>420,5266</t>
  </si>
  <si>
    <t>437,1879</t>
  </si>
  <si>
    <t>421,306</t>
  </si>
  <si>
    <t>368,8738</t>
  </si>
  <si>
    <t>412,9017</t>
  </si>
  <si>
    <t>447,7301</t>
  </si>
  <si>
    <t>344,7319</t>
  </si>
  <si>
    <t>334,752</t>
  </si>
  <si>
    <t>397,0482</t>
  </si>
  <si>
    <t>393,6314</t>
  </si>
  <si>
    <t>400,2079</t>
  </si>
  <si>
    <t>406,9945</t>
  </si>
  <si>
    <t>413,468</t>
  </si>
  <si>
    <t>429,196</t>
  </si>
  <si>
    <t>363,1988</t>
  </si>
  <si>
    <t>398,4108</t>
  </si>
  <si>
    <t>390,6556</t>
  </si>
  <si>
    <t>386,9944</t>
  </si>
  <si>
    <t>405,5625</t>
  </si>
  <si>
    <t>394,3018</t>
  </si>
  <si>
    <t>393,4173</t>
  </si>
  <si>
    <t>386,8553</t>
  </si>
  <si>
    <t>390,3459</t>
  </si>
  <si>
    <t>478,4265</t>
  </si>
  <si>
    <t>446,9268</t>
  </si>
  <si>
    <t>441,113</t>
  </si>
  <si>
    <t>449,9965</t>
  </si>
  <si>
    <t>429,1249</t>
  </si>
  <si>
    <t>403,2036</t>
  </si>
  <si>
    <t>457,8837</t>
  </si>
  <si>
    <t>429,6765</t>
  </si>
  <si>
    <t>452,6353</t>
  </si>
  <si>
    <t>462,3955</t>
  </si>
  <si>
    <t>448,5406</t>
  </si>
  <si>
    <t>460,7033</t>
  </si>
  <si>
    <t>426,167</t>
  </si>
  <si>
    <t>441,72</t>
  </si>
  <si>
    <t>384,7868</t>
  </si>
  <si>
    <t>416,1918</t>
  </si>
  <si>
    <t>425,2058</t>
  </si>
  <si>
    <t>443,987</t>
  </si>
  <si>
    <t>446,0432</t>
  </si>
  <si>
    <t>440,7006</t>
  </si>
  <si>
    <t>406,4306</t>
  </si>
  <si>
    <t>464,1213</t>
  </si>
  <si>
    <t>469,6922</t>
  </si>
  <si>
    <t>472,8852</t>
  </si>
  <si>
    <t>460,9992</t>
  </si>
  <si>
    <t>474,1072</t>
  </si>
  <si>
    <t>450,1315</t>
  </si>
  <si>
    <t>466,0937</t>
  </si>
  <si>
    <t>366,5955</t>
  </si>
  <si>
    <t>386,7568</t>
  </si>
  <si>
    <t>385,6564</t>
  </si>
  <si>
    <t>408,2862</t>
  </si>
  <si>
    <t>404,0584</t>
  </si>
  <si>
    <t>366,9484</t>
  </si>
  <si>
    <t>378,9729</t>
  </si>
  <si>
    <t>202104</t>
  </si>
  <si>
    <t>441,8955</t>
  </si>
  <si>
    <t>462,5053</t>
  </si>
  <si>
    <t>471,9102</t>
  </si>
  <si>
    <t>465,799</t>
  </si>
  <si>
    <t>472,8822</t>
  </si>
  <si>
    <t>446,4921</t>
  </si>
  <si>
    <t>453,6503</t>
  </si>
  <si>
    <t>471,3873</t>
  </si>
  <si>
    <t>489,7594</t>
  </si>
  <si>
    <t>510,5907</t>
  </si>
  <si>
    <t>489,8741</t>
  </si>
  <si>
    <t>501,5699</t>
  </si>
  <si>
    <t>448,9001</t>
  </si>
  <si>
    <t>481,2407</t>
  </si>
  <si>
    <t>378,9455</t>
  </si>
  <si>
    <t>375,6388</t>
  </si>
  <si>
    <t>383,697</t>
  </si>
  <si>
    <t>381,7518</t>
  </si>
  <si>
    <t>380,8018</t>
  </si>
  <si>
    <t>382,3607</t>
  </si>
  <si>
    <t>378,4685</t>
  </si>
  <si>
    <t>479,455</t>
  </si>
  <si>
    <t>84</t>
  </si>
  <si>
    <t>459,54</t>
  </si>
  <si>
    <t>406,8473</t>
  </si>
  <si>
    <t>444,7091</t>
  </si>
  <si>
    <t>77,9</t>
  </si>
  <si>
    <t>442,2944</t>
  </si>
  <si>
    <t>410,871</t>
  </si>
  <si>
    <t>461,9321</t>
  </si>
  <si>
    <t>79,1</t>
  </si>
  <si>
    <t>381,5934</t>
  </si>
  <si>
    <t>403,1928</t>
  </si>
  <si>
    <t>422,6056</t>
  </si>
  <si>
    <t>467,1902</t>
  </si>
  <si>
    <t>464,6043</t>
  </si>
  <si>
    <t>424,6849</t>
  </si>
  <si>
    <t>401,9368</t>
  </si>
  <si>
    <t>464,2104</t>
  </si>
  <si>
    <t>454,9925</t>
  </si>
  <si>
    <t>473,095</t>
  </si>
  <si>
    <t>447,1516</t>
  </si>
  <si>
    <t>451,2445</t>
  </si>
  <si>
    <t>474,8457</t>
  </si>
  <si>
    <t>460,1121</t>
  </si>
  <si>
    <t>458,5319</t>
  </si>
  <si>
    <t>513,667</t>
  </si>
  <si>
    <t>537,5613</t>
  </si>
  <si>
    <t>521,3658</t>
  </si>
  <si>
    <t>525,1803</t>
  </si>
  <si>
    <t>506,5657</t>
  </si>
  <si>
    <t>490,482</t>
  </si>
  <si>
    <t>450,674</t>
  </si>
  <si>
    <t>521,9013</t>
  </si>
  <si>
    <t>525,0889</t>
  </si>
  <si>
    <t>480,6597</t>
  </si>
  <si>
    <t>534,6485</t>
  </si>
  <si>
    <t>545,4495</t>
  </si>
  <si>
    <t>487,9806</t>
  </si>
  <si>
    <t>433,3354</t>
  </si>
  <si>
    <t>434,0744</t>
  </si>
  <si>
    <t>437,1961</t>
  </si>
  <si>
    <t>462,5078</t>
  </si>
  <si>
    <t>414,9889</t>
  </si>
  <si>
    <t>398,9672</t>
  </si>
  <si>
    <t>433,2713</t>
  </si>
  <si>
    <t>441,9046</t>
  </si>
  <si>
    <t>450,4288</t>
  </si>
  <si>
    <t>440,2572</t>
  </si>
  <si>
    <t>437,5743</t>
  </si>
  <si>
    <t>434,2929</t>
  </si>
  <si>
    <t>434,2966</t>
  </si>
  <si>
    <t>443,676</t>
  </si>
  <si>
    <t>434,3193</t>
  </si>
  <si>
    <t>375,7776</t>
  </si>
  <si>
    <t>438,1246</t>
  </si>
  <si>
    <t>454,9986</t>
  </si>
  <si>
    <t>346,3381</t>
  </si>
  <si>
    <t>334,9045</t>
  </si>
  <si>
    <t>406,8828</t>
  </si>
  <si>
    <t>406,2058</t>
  </si>
  <si>
    <t>418,2112</t>
  </si>
  <si>
    <t>420,1841</t>
  </si>
  <si>
    <t>430,4353</t>
  </si>
  <si>
    <t>453,0228</t>
  </si>
  <si>
    <t>377,1517</t>
  </si>
  <si>
    <t>413,8512</t>
  </si>
  <si>
    <t>406,0666</t>
  </si>
  <si>
    <t>399,7368</t>
  </si>
  <si>
    <t>423,8007</t>
  </si>
  <si>
    <t>406,4877</t>
  </si>
  <si>
    <t>407,03</t>
  </si>
  <si>
    <t>400,2802</t>
  </si>
  <si>
    <t>404,5705</t>
  </si>
  <si>
    <t>483,9521</t>
  </si>
  <si>
    <t>461,5873</t>
  </si>
  <si>
    <t>446,6235</t>
  </si>
  <si>
    <t>460,5868</t>
  </si>
  <si>
    <t>442,3729</t>
  </si>
  <si>
    <t>418,9992</t>
  </si>
  <si>
    <t>467,7635</t>
  </si>
  <si>
    <t>450,3191</t>
  </si>
  <si>
    <t>471,6003</t>
  </si>
  <si>
    <t>483,4302</t>
  </si>
  <si>
    <t>468,3324</t>
  </si>
  <si>
    <t>482,2917</t>
  </si>
  <si>
    <t>448,066</t>
  </si>
  <si>
    <t>461,8578</t>
  </si>
  <si>
    <t>398,1806</t>
  </si>
  <si>
    <t>430,7196</t>
  </si>
  <si>
    <t>444,1686</t>
  </si>
  <si>
    <t>459,7298</t>
  </si>
  <si>
    <t>459,5251</t>
  </si>
  <si>
    <t>458,1541</t>
  </si>
  <si>
    <t>420,7778</t>
  </si>
  <si>
    <t>485,556</t>
  </si>
  <si>
    <t>491,9815</t>
  </si>
  <si>
    <t>493,5236</t>
  </si>
  <si>
    <t>481,9766</t>
  </si>
  <si>
    <t>497,9204</t>
  </si>
  <si>
    <t>473,9471</t>
  </si>
  <si>
    <t>487,9835</t>
  </si>
  <si>
    <t>378,2127</t>
  </si>
  <si>
    <t>393,3253</t>
  </si>
  <si>
    <t>397,8646</t>
  </si>
  <si>
    <t>416,8232</t>
  </si>
  <si>
    <t>410,8849</t>
  </si>
  <si>
    <t>378,3667</t>
  </si>
  <si>
    <t>388,4611</t>
  </si>
  <si>
    <t>202105</t>
  </si>
  <si>
    <t>456,7856</t>
  </si>
  <si>
    <t>477,4449</t>
  </si>
  <si>
    <t>486,7551</t>
  </si>
  <si>
    <t>480,9157</t>
  </si>
  <si>
    <t>490,0755</t>
  </si>
  <si>
    <t>462,1838</t>
  </si>
  <si>
    <t>468,725</t>
  </si>
  <si>
    <t>485,7727</t>
  </si>
  <si>
    <t>505,1827</t>
  </si>
  <si>
    <t>524,5447</t>
  </si>
  <si>
    <t>505,7951</t>
  </si>
  <si>
    <t>518,5694</t>
  </si>
  <si>
    <t>462,8545</t>
  </si>
  <si>
    <t>496,1796</t>
  </si>
  <si>
    <t>383,2759</t>
  </si>
  <si>
    <t>383,6215</t>
  </si>
  <si>
    <t>388,3327</t>
  </si>
  <si>
    <t>389,3638</t>
  </si>
  <si>
    <t>388,7192</t>
  </si>
  <si>
    <t>388,643</t>
  </si>
  <si>
    <t>384,5689</t>
  </si>
  <si>
    <t>480,4131</t>
  </si>
  <si>
    <t>475,6288</t>
  </si>
  <si>
    <t>72,8</t>
  </si>
  <si>
    <t>432,5869</t>
  </si>
  <si>
    <t>459,1933</t>
  </si>
  <si>
    <t>72</t>
  </si>
  <si>
    <t>453,7757</t>
  </si>
  <si>
    <t>78,2</t>
  </si>
  <si>
    <t>434,0809</t>
  </si>
  <si>
    <t>471,6343</t>
  </si>
  <si>
    <t>70</t>
  </si>
  <si>
    <t>391,89</t>
  </si>
  <si>
    <t>409,6214</t>
  </si>
  <si>
    <t>434,4398</t>
  </si>
  <si>
    <t>474,8725</t>
  </si>
  <si>
    <t>462,6201</t>
  </si>
  <si>
    <t>431,1912</t>
  </si>
  <si>
    <t>410,1034</t>
  </si>
  <si>
    <t>474,3771</t>
  </si>
  <si>
    <t>467,0118</t>
  </si>
  <si>
    <t>478,5807</t>
  </si>
  <si>
    <t>458,4332</t>
  </si>
  <si>
    <t>465,3421</t>
  </si>
  <si>
    <t>485,3348</t>
  </si>
  <si>
    <t>470,991</t>
  </si>
  <si>
    <t>482,7101</t>
  </si>
  <si>
    <t>535,7516</t>
  </si>
  <si>
    <t>558,3386</t>
  </si>
  <si>
    <t>546,2119</t>
  </si>
  <si>
    <t>550,8925</t>
  </si>
  <si>
    <t>527,8337</t>
  </si>
  <si>
    <t>513,7918</t>
  </si>
  <si>
    <t>479,0633</t>
  </si>
  <si>
    <t>551,2548</t>
  </si>
  <si>
    <t>548,7879</t>
  </si>
  <si>
    <t>505,6883</t>
  </si>
  <si>
    <t>575,5995</t>
  </si>
  <si>
    <t>576,9523</t>
  </si>
  <si>
    <t>517,0463</t>
  </si>
  <si>
    <t>440,3408</t>
  </si>
  <si>
    <t>435,0878</t>
  </si>
  <si>
    <t>443,7219</t>
  </si>
  <si>
    <t>464,6966</t>
  </si>
  <si>
    <t>415,9042</t>
  </si>
  <si>
    <t>405,237</t>
  </si>
  <si>
    <t>437,5563</t>
  </si>
  <si>
    <t>458,7188</t>
  </si>
  <si>
    <t>461,1845</t>
  </si>
  <si>
    <t>455,1007</t>
  </si>
  <si>
    <t>447,8953</t>
  </si>
  <si>
    <t>449,6451</t>
  </si>
  <si>
    <t>443,6422</t>
  </si>
  <si>
    <t>457,4624</t>
  </si>
  <si>
    <t>445,9948</t>
  </si>
  <si>
    <t>383,0926</t>
  </si>
  <si>
    <t>456,4464</t>
  </si>
  <si>
    <t>366,7477</t>
  </si>
  <si>
    <t>342,9204</t>
  </si>
  <si>
    <t>416,1535</t>
  </si>
  <si>
    <t>424,6215</t>
  </si>
  <si>
    <t>429,336</t>
  </si>
  <si>
    <t>430,1969</t>
  </si>
  <si>
    <t>449,4229</t>
  </si>
  <si>
    <t>473,367</t>
  </si>
  <si>
    <t>391,092</t>
  </si>
  <si>
    <t>429,2946</t>
  </si>
  <si>
    <t>416,2814</t>
  </si>
  <si>
    <t>414,2621</t>
  </si>
  <si>
    <t>435,7917</t>
  </si>
  <si>
    <t>419,5747</t>
  </si>
  <si>
    <t>415,3056</t>
  </si>
  <si>
    <t>408,0421</t>
  </si>
  <si>
    <t>416,3379</t>
  </si>
  <si>
    <t>484,2464</t>
  </si>
  <si>
    <t>472,6091</t>
  </si>
  <si>
    <t>463,8512</t>
  </si>
  <si>
    <t>472,1703</t>
  </si>
  <si>
    <t>452,0714</t>
  </si>
  <si>
    <t>439,2918</t>
  </si>
  <si>
    <t>474,7275</t>
  </si>
  <si>
    <t>466,3456</t>
  </si>
  <si>
    <t>487,6104</t>
  </si>
  <si>
    <t>498,1459</t>
  </si>
  <si>
    <t>484,7928</t>
  </si>
  <si>
    <t>501,1235</t>
  </si>
  <si>
    <t>462,6808</t>
  </si>
  <si>
    <t>477,9293</t>
  </si>
  <si>
    <t>416,3019</t>
  </si>
  <si>
    <t>444,2808</t>
  </si>
  <si>
    <t>457,8421</t>
  </si>
  <si>
    <t>472,1763</t>
  </si>
  <si>
    <t>475,6233</t>
  </si>
  <si>
    <t>474,6423</t>
  </si>
  <si>
    <t>436,6403</t>
  </si>
  <si>
    <t>501,9753</t>
  </si>
  <si>
    <t>509,7</t>
  </si>
  <si>
    <t>509,4355</t>
  </si>
  <si>
    <t>499,0767</t>
  </si>
  <si>
    <t>517,8989</t>
  </si>
  <si>
    <t>492,1251</t>
  </si>
  <si>
    <t>505,134</t>
  </si>
  <si>
    <t>390,8722</t>
  </si>
  <si>
    <t>401,7426</t>
  </si>
  <si>
    <t>409,054</t>
  </si>
  <si>
    <t>425,9355</t>
  </si>
  <si>
    <t>421,1816</t>
  </si>
  <si>
    <t>387,8893</t>
  </si>
  <si>
    <t>399,1277</t>
  </si>
  <si>
    <t>202106</t>
  </si>
  <si>
    <t>470,784</t>
  </si>
  <si>
    <t>492,929</t>
  </si>
  <si>
    <t>500,6446</t>
  </si>
  <si>
    <t>496,7202</t>
  </si>
  <si>
    <t>507,4581</t>
  </si>
  <si>
    <t>478,1109</t>
  </si>
  <si>
    <t>483,6049</t>
  </si>
  <si>
    <t>502,4521</t>
  </si>
  <si>
    <t>520,1609</t>
  </si>
  <si>
    <t>538,0776</t>
  </si>
  <si>
    <t>522,8622</t>
  </si>
  <si>
    <t>538,9294</t>
  </si>
  <si>
    <t>477,6794</t>
  </si>
  <si>
    <t>512,2593</t>
  </si>
  <si>
    <t>405,2644</t>
  </si>
  <si>
    <t>402,9758</t>
  </si>
  <si>
    <t>416,2269</t>
  </si>
  <si>
    <t>409,6547</t>
  </si>
  <si>
    <t>410,9198</t>
  </si>
  <si>
    <t>408,0309</t>
  </si>
  <si>
    <t>405,6917</t>
  </si>
  <si>
    <t>499,33</t>
  </si>
  <si>
    <t>490,7892</t>
  </si>
  <si>
    <t>439,5882</t>
  </si>
  <si>
    <t>470,2778</t>
  </si>
  <si>
    <t>472,4521</t>
  </si>
  <si>
    <t>448,2561</t>
  </si>
  <si>
    <t>487,9626</t>
  </si>
  <si>
    <t>400,3266</t>
  </si>
  <si>
    <t>420,2523</t>
  </si>
  <si>
    <t>443,1655</t>
  </si>
  <si>
    <t>496,3282</t>
  </si>
  <si>
    <t>477,1546</t>
  </si>
  <si>
    <t>436,7072</t>
  </si>
  <si>
    <t>420,2876</t>
  </si>
  <si>
    <t>489,811</t>
  </si>
  <si>
    <t>481,5706</t>
  </si>
  <si>
    <t>494,7746</t>
  </si>
  <si>
    <t>473,3749</t>
  </si>
  <si>
    <t>481,5851</t>
  </si>
  <si>
    <t>501,8961</t>
  </si>
  <si>
    <t>486,2222</t>
  </si>
  <si>
    <t>493,1037</t>
  </si>
  <si>
    <t>556,9774</t>
  </si>
  <si>
    <t>583,2893</t>
  </si>
  <si>
    <t>571,2673</t>
  </si>
  <si>
    <t>573,2985</t>
  </si>
  <si>
    <t>542,144</t>
  </si>
  <si>
    <t>530,2766</t>
  </si>
  <si>
    <t>494,8991</t>
  </si>
  <si>
    <t>569,0351</t>
  </si>
  <si>
    <t>563,8334</t>
  </si>
  <si>
    <t>522,2847</t>
  </si>
  <si>
    <t>587,3537</t>
  </si>
  <si>
    <t>605,5423</t>
  </si>
  <si>
    <t>533,8777</t>
  </si>
  <si>
    <t>471,0799</t>
  </si>
  <si>
    <t>465,9338</t>
  </si>
  <si>
    <t>470,6889</t>
  </si>
  <si>
    <t>495,8996</t>
  </si>
  <si>
    <t>445,5793</t>
  </si>
  <si>
    <t>440,8912</t>
  </si>
  <si>
    <t>468,3691</t>
  </si>
  <si>
    <t>467,0966</t>
  </si>
  <si>
    <t>473,1483</t>
  </si>
  <si>
    <t>469,4647</t>
  </si>
  <si>
    <t>455,395</t>
  </si>
  <si>
    <t>462,5729</t>
  </si>
  <si>
    <t>456,1597</t>
  </si>
  <si>
    <t>467,7135</t>
  </si>
  <si>
    <t>450,4861</t>
  </si>
  <si>
    <t>389,0534</t>
  </si>
  <si>
    <t>441,8844</t>
  </si>
  <si>
    <t>458,1922</t>
  </si>
  <si>
    <t>373,738</t>
  </si>
  <si>
    <t>345,2369</t>
  </si>
  <si>
    <t>420,9305</t>
  </si>
  <si>
    <t>436,5722</t>
  </si>
  <si>
    <t>444,555</t>
  </si>
  <si>
    <t>439,8637</t>
  </si>
  <si>
    <t>462,5243</t>
  </si>
  <si>
    <t>491,4731</t>
  </si>
  <si>
    <t>403,5578</t>
  </si>
  <si>
    <t>442,6958</t>
  </si>
  <si>
    <t>423,1317</t>
  </si>
  <si>
    <t>424,1241</t>
  </si>
  <si>
    <t>446,9509</t>
  </si>
  <si>
    <t>423,8888</t>
  </si>
  <si>
    <t>422,7502</t>
  </si>
  <si>
    <t>420,385</t>
  </si>
  <si>
    <t>424,5201</t>
  </si>
  <si>
    <t>487,8827</t>
  </si>
  <si>
    <t>472,6956</t>
  </si>
  <si>
    <t>462,2524</t>
  </si>
  <si>
    <t>472,3301</t>
  </si>
  <si>
    <t>461,5092</t>
  </si>
  <si>
    <t>447,149</t>
  </si>
  <si>
    <t>477,1486</t>
  </si>
  <si>
    <t>482,7204</t>
  </si>
  <si>
    <t>505,7067</t>
  </si>
  <si>
    <t>515,1731</t>
  </si>
  <si>
    <t>502,9096</t>
  </si>
  <si>
    <t>520,1469</t>
  </si>
  <si>
    <t>479,1736</t>
  </si>
  <si>
    <t>495,1809</t>
  </si>
  <si>
    <t>427,9781</t>
  </si>
  <si>
    <t>460,023</t>
  </si>
  <si>
    <t>470,2483</t>
  </si>
  <si>
    <t>490,2122</t>
  </si>
  <si>
    <t>492,1579</t>
  </si>
  <si>
    <t>493,6422</t>
  </si>
  <si>
    <t>450,6922</t>
  </si>
  <si>
    <t>519,333</t>
  </si>
  <si>
    <t>526,5466</t>
  </si>
  <si>
    <t>523,8511</t>
  </si>
  <si>
    <t>515,3503</t>
  </si>
  <si>
    <t>536,9777</t>
  </si>
  <si>
    <t>510,2305</t>
  </si>
  <si>
    <t>522,2312</t>
  </si>
  <si>
    <t>399,9708</t>
  </si>
  <si>
    <t>414,0289</t>
  </si>
  <si>
    <t>421,141</t>
  </si>
  <si>
    <t>440,32</t>
  </si>
  <si>
    <t>434,3644</t>
  </si>
  <si>
    <t>398,4111</t>
  </si>
  <si>
    <t>410,0618</t>
  </si>
  <si>
    <t>202107</t>
  </si>
  <si>
    <t>485,3036</t>
  </si>
  <si>
    <t>507,0547</t>
  </si>
  <si>
    <t>515,5473</t>
  </si>
  <si>
    <t>510,3946</t>
  </si>
  <si>
    <t>523,5377</t>
  </si>
  <si>
    <t>494,1249</t>
  </si>
  <si>
    <t>498,0987</t>
  </si>
  <si>
    <t>520,3921</t>
  </si>
  <si>
    <t>537,3565</t>
  </si>
  <si>
    <t>554,4261</t>
  </si>
  <si>
    <t>537,4301</t>
  </si>
  <si>
    <t>556,7018</t>
  </si>
  <si>
    <t>497,2645</t>
  </si>
  <si>
    <t>529,7087</t>
  </si>
  <si>
    <t>419,5961</t>
  </si>
  <si>
    <t>414,4586</t>
  </si>
  <si>
    <t>424,9319</t>
  </si>
  <si>
    <t>423,3545</t>
  </si>
  <si>
    <t>419,5867</t>
  </si>
  <si>
    <t>418,8005</t>
  </si>
  <si>
    <t>418,2942</t>
  </si>
  <si>
    <t>502,5215</t>
  </si>
  <si>
    <t>496,3266</t>
  </si>
  <si>
    <t>453,6421</t>
  </si>
  <si>
    <t>478,3125</t>
  </si>
  <si>
    <t>487,9941</t>
  </si>
  <si>
    <t>464,6457</t>
  </si>
  <si>
    <t>494,0248</t>
  </si>
  <si>
    <t>414,8198</t>
  </si>
  <si>
    <t>430,6721</t>
  </si>
  <si>
    <t>450,9805</t>
  </si>
  <si>
    <t>502,3988</t>
  </si>
  <si>
    <t>488,7224</t>
  </si>
  <si>
    <t>449,6352</t>
  </si>
  <si>
    <t>432,405</t>
  </si>
  <si>
    <t>502,9341</t>
  </si>
  <si>
    <t>494,7861</t>
  </si>
  <si>
    <t>509,346</t>
  </si>
  <si>
    <t>484,2205</t>
  </si>
  <si>
    <t>497,0836</t>
  </si>
  <si>
    <t>516,7084</t>
  </si>
  <si>
    <t>499,4892</t>
  </si>
  <si>
    <t>507,3922</t>
  </si>
  <si>
    <t>582,3544</t>
  </si>
  <si>
    <t>609,2325</t>
  </si>
  <si>
    <t>595,4577</t>
  </si>
  <si>
    <t>602,336</t>
  </si>
  <si>
    <t>563,1049</t>
  </si>
  <si>
    <t>550,5464</t>
  </si>
  <si>
    <t>502,5147</t>
  </si>
  <si>
    <t>585,8075</t>
  </si>
  <si>
    <t>580,1812</t>
  </si>
  <si>
    <t>536,6061</t>
  </si>
  <si>
    <t>603,5191</t>
  </si>
  <si>
    <t>71,7</t>
  </si>
  <si>
    <t>620,3484</t>
  </si>
  <si>
    <t>546,1141</t>
  </si>
  <si>
    <t>471,7787</t>
  </si>
  <si>
    <t>467,4379</t>
  </si>
  <si>
    <t>476,7504</t>
  </si>
  <si>
    <t>506,1041</t>
  </si>
  <si>
    <t>443,4521</t>
  </si>
  <si>
    <t>441,5872</t>
  </si>
  <si>
    <t>470,0952</t>
  </si>
  <si>
    <t>485,3674</t>
  </si>
  <si>
    <t>481,9022</t>
  </si>
  <si>
    <t>484,0361</t>
  </si>
  <si>
    <t>471,9962</t>
  </si>
  <si>
    <t>477,4649</t>
  </si>
  <si>
    <t>472,5689</t>
  </si>
  <si>
    <t>482,1844</t>
  </si>
  <si>
    <t>468,179</t>
  </si>
  <si>
    <t>394,0675</t>
  </si>
  <si>
    <t>442,5789</t>
  </si>
  <si>
    <t>462,514</t>
  </si>
  <si>
    <t>378,7866</t>
  </si>
  <si>
    <t>353,9542</t>
  </si>
  <si>
    <t>431,6135</t>
  </si>
  <si>
    <t>460,7445</t>
  </si>
  <si>
    <t>461,9311</t>
  </si>
  <si>
    <t>459,7998</t>
  </si>
  <si>
    <t>483,5022</t>
  </si>
  <si>
    <t>513,2083</t>
  </si>
  <si>
    <t>423,5161</t>
  </si>
  <si>
    <t>463,7774</t>
  </si>
  <si>
    <t>438,8603</t>
  </si>
  <si>
    <t>436,657</t>
  </si>
  <si>
    <t>459,0456</t>
  </si>
  <si>
    <t>434,5191</t>
  </si>
  <si>
    <t>430,9006</t>
  </si>
  <si>
    <t>432,3306</t>
  </si>
  <si>
    <t>438,0619</t>
  </si>
  <si>
    <t>510,9114</t>
  </si>
  <si>
    <t>497,6492</t>
  </si>
  <si>
    <t>482,3121</t>
  </si>
  <si>
    <t>490,6243</t>
  </si>
  <si>
    <t>487,6677</t>
  </si>
  <si>
    <t>468,0208</t>
  </si>
  <si>
    <t>500,4272</t>
  </si>
  <si>
    <t>499,0713</t>
  </si>
  <si>
    <t>519,599</t>
  </si>
  <si>
    <t>531,2675</t>
  </si>
  <si>
    <t>517,2444</t>
  </si>
  <si>
    <t>537,9899</t>
  </si>
  <si>
    <t>497,1632</t>
  </si>
  <si>
    <t>510,6974</t>
  </si>
  <si>
    <t>433,2793</t>
  </si>
  <si>
    <t>468,2627</t>
  </si>
  <si>
    <t>476,7934</t>
  </si>
  <si>
    <t>498,0368</t>
  </si>
  <si>
    <t>496,8195</t>
  </si>
  <si>
    <t>499,9833</t>
  </si>
  <si>
    <t>457,2079</t>
  </si>
  <si>
    <t>533,8429</t>
  </si>
  <si>
    <t>541,9135</t>
  </si>
  <si>
    <t>540,6186</t>
  </si>
  <si>
    <t>529,9624</t>
  </si>
  <si>
    <t>555,663</t>
  </si>
  <si>
    <t>527,44</t>
  </si>
  <si>
    <t>537,4829</t>
  </si>
  <si>
    <t>414,5046</t>
  </si>
  <si>
    <t>425,2419</t>
  </si>
  <si>
    <t>429,6551</t>
  </si>
  <si>
    <t>451,1552</t>
  </si>
  <si>
    <t>443,9919</t>
  </si>
  <si>
    <t>411,4587</t>
  </si>
  <si>
    <t>422,6424</t>
  </si>
  <si>
    <t>202108</t>
  </si>
  <si>
    <t>497,9371</t>
  </si>
  <si>
    <t>518,532</t>
  </si>
  <si>
    <t>529,6604</t>
  </si>
  <si>
    <t>522,5566</t>
  </si>
  <si>
    <t>532,8443</t>
  </si>
  <si>
    <t>510,9537</t>
  </si>
  <si>
    <t>510,3942</t>
  </si>
  <si>
    <t>527,856</t>
  </si>
  <si>
    <t>544,382</t>
  </si>
  <si>
    <t>565,2834</t>
  </si>
  <si>
    <t>545,2554</t>
  </si>
  <si>
    <t>563,0753</t>
  </si>
  <si>
    <t>514,163</t>
  </si>
  <si>
    <t>537,5867</t>
  </si>
  <si>
    <t>427,2299</t>
  </si>
  <si>
    <t>423,3213</t>
  </si>
  <si>
    <t>442,0286</t>
  </si>
  <si>
    <t>432,1851</t>
  </si>
  <si>
    <t>425,9041</t>
  </si>
  <si>
    <t>425,6996</t>
  </si>
  <si>
    <t>426,7422</t>
  </si>
  <si>
    <t>522,0937</t>
  </si>
  <si>
    <t>510,3589</t>
  </si>
  <si>
    <t>476,1927</t>
  </si>
  <si>
    <t>495,1485</t>
  </si>
  <si>
    <t>497,57</t>
  </si>
  <si>
    <t>478,5125</t>
  </si>
  <si>
    <t>510,8956</t>
  </si>
  <si>
    <t>426,6639</t>
  </si>
  <si>
    <t>426,0321</t>
  </si>
  <si>
    <t>462,9891</t>
  </si>
  <si>
    <t>505,8299</t>
  </si>
  <si>
    <t>475,9714</t>
  </si>
  <si>
    <t>-2,6</t>
  </si>
  <si>
    <t>466,7074</t>
  </si>
  <si>
    <t>437,3723</t>
  </si>
  <si>
    <t>518,0532</t>
  </si>
  <si>
    <t>511,8576</t>
  </si>
  <si>
    <t>528,0691</t>
  </si>
  <si>
    <t>500,2862</t>
  </si>
  <si>
    <t>515,5036</t>
  </si>
  <si>
    <t>535,6009</t>
  </si>
  <si>
    <t>515,857</t>
  </si>
  <si>
    <t>531,3048</t>
  </si>
  <si>
    <t>605,2375</t>
  </si>
  <si>
    <t>630,1919</t>
  </si>
  <si>
    <t>615,2222</t>
  </si>
  <si>
    <t>626,7525</t>
  </si>
  <si>
    <t>585,4299</t>
  </si>
  <si>
    <t>573,6501</t>
  </si>
  <si>
    <t>514,2602</t>
  </si>
  <si>
    <t>599,5178</t>
  </si>
  <si>
    <t>597,7881</t>
  </si>
  <si>
    <t>546,8015</t>
  </si>
  <si>
    <t>619,7151</t>
  </si>
  <si>
    <t>645,6069</t>
  </si>
  <si>
    <t>559,4713</t>
  </si>
  <si>
    <t>465,939</t>
  </si>
  <si>
    <t>466,0048</t>
  </si>
  <si>
    <t>472,3195</t>
  </si>
  <si>
    <t>508,4444</t>
  </si>
  <si>
    <t>449,7956</t>
  </si>
  <si>
    <t>442,5804</t>
  </si>
  <si>
    <t>467,3059</t>
  </si>
  <si>
    <t>503,5727</t>
  </si>
  <si>
    <t>499,7967</t>
  </si>
  <si>
    <t>498,3629</t>
  </si>
  <si>
    <t>494,5034</t>
  </si>
  <si>
    <t>490,2418</t>
  </si>
  <si>
    <t>488,7301</t>
  </si>
  <si>
    <t>500,0179</t>
  </si>
  <si>
    <t>488,7261</t>
  </si>
  <si>
    <t>412,016</t>
  </si>
  <si>
    <t>448,0532</t>
  </si>
  <si>
    <t>492,6841</t>
  </si>
  <si>
    <t>385,3474</t>
  </si>
  <si>
    <t>359,8401</t>
  </si>
  <si>
    <t>449,9</t>
  </si>
  <si>
    <t>470,135</t>
  </si>
  <si>
    <t>481,1851</t>
  </si>
  <si>
    <t>468,962</t>
  </si>
  <si>
    <t>499,7627</t>
  </si>
  <si>
    <t>524,3915</t>
  </si>
  <si>
    <t>439,4146</t>
  </si>
  <si>
    <t>477,4438</t>
  </si>
  <si>
    <t>452,6267</t>
  </si>
  <si>
    <t>452,2558</t>
  </si>
  <si>
    <t>474,6504</t>
  </si>
  <si>
    <t>447,587</t>
  </si>
  <si>
    <t>443,5021</t>
  </si>
  <si>
    <t>448,4538</t>
  </si>
  <si>
    <t>452,5377</t>
  </si>
  <si>
    <t>515,5531</t>
  </si>
  <si>
    <t>496,9175</t>
  </si>
  <si>
    <t>494,416</t>
  </si>
  <si>
    <t>495,9116</t>
  </si>
  <si>
    <t>481,5898</t>
  </si>
  <si>
    <t>479,2609</t>
  </si>
  <si>
    <t>503,3702</t>
  </si>
  <si>
    <t>514,3968</t>
  </si>
  <si>
    <t>536,2512</t>
  </si>
  <si>
    <t>547,2745</t>
  </si>
  <si>
    <t>531,9696</t>
  </si>
  <si>
    <t>554,0558</t>
  </si>
  <si>
    <t>516,7028</t>
  </si>
  <si>
    <t>526,6934</t>
  </si>
  <si>
    <t>441,595</t>
  </si>
  <si>
    <t>468,9036</t>
  </si>
  <si>
    <t>484,8292</t>
  </si>
  <si>
    <t>505,2017</t>
  </si>
  <si>
    <t>492,8449</t>
  </si>
  <si>
    <t>511,1068</t>
  </si>
  <si>
    <t>462,3809</t>
  </si>
  <si>
    <t>547,4431</t>
  </si>
  <si>
    <t>554,8232</t>
  </si>
  <si>
    <t>555,3106</t>
  </si>
  <si>
    <t>542,8652</t>
  </si>
  <si>
    <t>567,9096</t>
  </si>
  <si>
    <t>545,0879</t>
  </si>
  <si>
    <t>550,9627</t>
  </si>
  <si>
    <t>425,7281</t>
  </si>
  <si>
    <t>433,3572</t>
  </si>
  <si>
    <t>441,7851</t>
  </si>
  <si>
    <t>461,0749</t>
  </si>
  <si>
    <t>446,0189</t>
  </si>
  <si>
    <t>426,255</t>
  </si>
  <si>
    <t>432,4694</t>
  </si>
  <si>
    <t>202109</t>
  </si>
  <si>
    <t>517,0425</t>
  </si>
  <si>
    <t>536,214</t>
  </si>
  <si>
    <t>544,6525</t>
  </si>
  <si>
    <t>539,5962</t>
  </si>
  <si>
    <t>548,1352</t>
  </si>
  <si>
    <t>530,0859</t>
  </si>
  <si>
    <t>528,4968</t>
  </si>
  <si>
    <t>545,0917</t>
  </si>
  <si>
    <t>559,1646</t>
  </si>
  <si>
    <t>578,8844</t>
  </si>
  <si>
    <t>559,6997</t>
  </si>
  <si>
    <t>576,7106</t>
  </si>
  <si>
    <t>531,3215</t>
  </si>
  <si>
    <t>553,4373</t>
  </si>
  <si>
    <t>453,6391</t>
  </si>
  <si>
    <t>447,1905</t>
  </si>
  <si>
    <t>464,8236</t>
  </si>
  <si>
    <t>456,9606</t>
  </si>
  <si>
    <t>449,7654</t>
  </si>
  <si>
    <t>450,3691</t>
  </si>
  <si>
    <t>451,7961</t>
  </si>
  <si>
    <t>557,3109</t>
  </si>
  <si>
    <t>538,2268</t>
  </si>
  <si>
    <t>495,2323</t>
  </si>
  <si>
    <t>524,9846</t>
  </si>
  <si>
    <t>526,9041</t>
  </si>
  <si>
    <t>502,8378</t>
  </si>
  <si>
    <t>541,712</t>
  </si>
  <si>
    <t>432,5079</t>
  </si>
  <si>
    <t>436,2809</t>
  </si>
  <si>
    <t>475,2252</t>
  </si>
  <si>
    <t>514,9454</t>
  </si>
  <si>
    <t>486,9389</t>
  </si>
  <si>
    <t>481,1277</t>
  </si>
  <si>
    <t>445,7672</t>
  </si>
  <si>
    <t>538,1518</t>
  </si>
  <si>
    <t>528,2209</t>
  </si>
  <si>
    <t>539,1285</t>
  </si>
  <si>
    <t>519,5099</t>
  </si>
  <si>
    <t>530,4224</t>
  </si>
  <si>
    <t>553,3079</t>
  </si>
  <si>
    <t>533,8161</t>
  </si>
  <si>
    <t>556,5408</t>
  </si>
  <si>
    <t>630,8865</t>
  </si>
  <si>
    <t>651,9276</t>
  </si>
  <si>
    <t>637,1643</t>
  </si>
  <si>
    <t>650,375</t>
  </si>
  <si>
    <t>606,0281</t>
  </si>
  <si>
    <t>598,3555</t>
  </si>
  <si>
    <t>533,3557</t>
  </si>
  <si>
    <t>615,9715</t>
  </si>
  <si>
    <t>611,0326</t>
  </si>
  <si>
    <t>558,9006</t>
  </si>
  <si>
    <t>630,0281</t>
  </si>
  <si>
    <t>664,2194</t>
  </si>
  <si>
    <t>576,4905</t>
  </si>
  <si>
    <t>483,9435</t>
  </si>
  <si>
    <t>473,7768</t>
  </si>
  <si>
    <t>487,1432</t>
  </si>
  <si>
    <t>513,5934</t>
  </si>
  <si>
    <t>458,4683</t>
  </si>
  <si>
    <t>458,7509</t>
  </si>
  <si>
    <t>480,2655</t>
  </si>
  <si>
    <t>520,4777</t>
  </si>
  <si>
    <t>521,6877</t>
  </si>
  <si>
    <t>514,3744</t>
  </si>
  <si>
    <t>512,5989</t>
  </si>
  <si>
    <t>501,5198</t>
  </si>
  <si>
    <t>516,4493</t>
  </si>
  <si>
    <t>518,8505</t>
  </si>
  <si>
    <t>506,6458</t>
  </si>
  <si>
    <t>423,8425</t>
  </si>
  <si>
    <t>457,6055</t>
  </si>
  <si>
    <t>504,2567</t>
  </si>
  <si>
    <t>395,5928</t>
  </si>
  <si>
    <t>364,6539</t>
  </si>
  <si>
    <t>463,9288</t>
  </si>
  <si>
    <t>491,3744</t>
  </si>
  <si>
    <t>500,1882</t>
  </si>
  <si>
    <t>485,3504</t>
  </si>
  <si>
    <t>517,7003</t>
  </si>
  <si>
    <t>535,6698</t>
  </si>
  <si>
    <t>459,6378</t>
  </si>
  <si>
    <t>496,8871</t>
  </si>
  <si>
    <t>460,9736</t>
  </si>
  <si>
    <t>461,5052</t>
  </si>
  <si>
    <t>490,4378</t>
  </si>
  <si>
    <t>461,2903</t>
  </si>
  <si>
    <t>452,8286</t>
  </si>
  <si>
    <t>464,9422</t>
  </si>
  <si>
    <t>462,336</t>
  </si>
  <si>
    <t>554,499</t>
  </si>
  <si>
    <t>524,064</t>
  </si>
  <si>
    <t>508,3546</t>
  </si>
  <si>
    <t>523,2338</t>
  </si>
  <si>
    <t>515,2674</t>
  </si>
  <si>
    <t>504,6371</t>
  </si>
  <si>
    <t>535,3815</t>
  </si>
  <si>
    <t>531,6515</t>
  </si>
  <si>
    <t>553,5759</t>
  </si>
  <si>
    <t>563,8203</t>
  </si>
  <si>
    <t>548,8654</t>
  </si>
  <si>
    <t>567,9014</t>
  </si>
  <si>
    <t>536,96</t>
  </si>
  <si>
    <t>543,8748</t>
  </si>
  <si>
    <t>457,2078</t>
  </si>
  <si>
    <t>481,9861</t>
  </si>
  <si>
    <t>494,4159</t>
  </si>
  <si>
    <t>515,4574</t>
  </si>
  <si>
    <t>502,4554</t>
  </si>
  <si>
    <t>522,5829</t>
  </si>
  <si>
    <t>476,0569</t>
  </si>
  <si>
    <t>567,8049</t>
  </si>
  <si>
    <t>573,1616</t>
  </si>
  <si>
    <t>570,2743</t>
  </si>
  <si>
    <t>560,9133</t>
  </si>
  <si>
    <t>585,1511</t>
  </si>
  <si>
    <t>565,6896</t>
  </si>
  <si>
    <t>570,0767</t>
  </si>
  <si>
    <t>443,001</t>
  </si>
  <si>
    <t>449,4986</t>
  </si>
  <si>
    <t>456,8746</t>
  </si>
  <si>
    <t>475,0612</t>
  </si>
  <si>
    <t>456,4796</t>
  </si>
  <si>
    <t>441,7407</t>
  </si>
  <si>
    <t>448,6131</t>
  </si>
  <si>
    <t>202110</t>
  </si>
  <si>
    <t>536,5423</t>
  </si>
  <si>
    <t>554,4476</t>
  </si>
  <si>
    <t>563,832</t>
  </si>
  <si>
    <t>556,8596</t>
  </si>
  <si>
    <t>565,1606</t>
  </si>
  <si>
    <t>545,2786</t>
  </si>
  <si>
    <t>547,0802</t>
  </si>
  <si>
    <t>564,4767</t>
  </si>
  <si>
    <t>578,3754</t>
  </si>
  <si>
    <t>597,2263</t>
  </si>
  <si>
    <t>579,6307</t>
  </si>
  <si>
    <t>591,2756</t>
  </si>
  <si>
    <t>546,9031</t>
  </si>
  <si>
    <t>572,3293</t>
  </si>
  <si>
    <t>460,1521</t>
  </si>
  <si>
    <t>460,3051</t>
  </si>
  <si>
    <t>478,4913</t>
  </si>
  <si>
    <t>469,2724</t>
  </si>
  <si>
    <t>462,2359</t>
  </si>
  <si>
    <t>459,678</t>
  </si>
  <si>
    <t>461,7273</t>
  </si>
  <si>
    <t>589,8082</t>
  </si>
  <si>
    <t>563,1593</t>
  </si>
  <si>
    <t>529,6128</t>
  </si>
  <si>
    <t>546,4992</t>
  </si>
  <si>
    <t>541,2378</t>
  </si>
  <si>
    <t>522,5806</t>
  </si>
  <si>
    <t>569,4577</t>
  </si>
  <si>
    <t>445,2315</t>
  </si>
  <si>
    <t>444,8753</t>
  </si>
  <si>
    <t>483,6138</t>
  </si>
  <si>
    <t>522,09</t>
  </si>
  <si>
    <t>510,5533</t>
  </si>
  <si>
    <t>490,5472</t>
  </si>
  <si>
    <t>456,979</t>
  </si>
  <si>
    <t>553,1724</t>
  </si>
  <si>
    <t>542,296</t>
  </si>
  <si>
    <t>552,7889</t>
  </si>
  <si>
    <t>533,4513</t>
  </si>
  <si>
    <t>544,4923</t>
  </si>
  <si>
    <t>572,4729</t>
  </si>
  <si>
    <t>548,5192</t>
  </si>
  <si>
    <t>588,5367</t>
  </si>
  <si>
    <t>657,7871</t>
  </si>
  <si>
    <t>674,999</t>
  </si>
  <si>
    <t>657,3747</t>
  </si>
  <si>
    <t>675,259</t>
  </si>
  <si>
    <t>629,158</t>
  </si>
  <si>
    <t>626,6749</t>
  </si>
  <si>
    <t>550,2513</t>
  </si>
  <si>
    <t>634,1371</t>
  </si>
  <si>
    <t>635,2802</t>
  </si>
  <si>
    <t>572,6187</t>
  </si>
  <si>
    <t>651,3316</t>
  </si>
  <si>
    <t>684,6932</t>
  </si>
  <si>
    <t>67,2</t>
  </si>
  <si>
    <t>594,2962</t>
  </si>
  <si>
    <t>488,7798</t>
  </si>
  <si>
    <t>480,7987</t>
  </si>
  <si>
    <t>492,877</t>
  </si>
  <si>
    <t>518,369</t>
  </si>
  <si>
    <t>464,2007</t>
  </si>
  <si>
    <t>459,4613</t>
  </si>
  <si>
    <t>485,73</t>
  </si>
  <si>
    <t>545,2419</t>
  </si>
  <si>
    <t>538,5068</t>
  </si>
  <si>
    <t>533,8951</t>
  </si>
  <si>
    <t>537,2376</t>
  </si>
  <si>
    <t>520,0075</t>
  </si>
  <si>
    <t>524,8739</t>
  </si>
  <si>
    <t>539,5742</t>
  </si>
  <si>
    <t>511,521</t>
  </si>
  <si>
    <t>432,3711</t>
  </si>
  <si>
    <t>458,4143</t>
  </si>
  <si>
    <t>509,0213</t>
  </si>
  <si>
    <t>411,6703</t>
  </si>
  <si>
    <t>368,6794</t>
  </si>
  <si>
    <t>470,3893</t>
  </si>
  <si>
    <t>511,343</t>
  </si>
  <si>
    <t>523,0063</t>
  </si>
  <si>
    <t>508,8949</t>
  </si>
  <si>
    <t>534,297</t>
  </si>
  <si>
    <t>552,694</t>
  </si>
  <si>
    <t>474,9564</t>
  </si>
  <si>
    <t>517,4057</t>
  </si>
  <si>
    <t>479,0735</t>
  </si>
  <si>
    <t>474,8469</t>
  </si>
  <si>
    <t>501,6129</t>
  </si>
  <si>
    <t>476,237</t>
  </si>
  <si>
    <t>466,4869</t>
  </si>
  <si>
    <t>478,5081</t>
  </si>
  <si>
    <t>477,8239</t>
  </si>
  <si>
    <t>608,3157</t>
  </si>
  <si>
    <t>562,7938</t>
  </si>
  <si>
    <t>542,809</t>
  </si>
  <si>
    <t>558,346</t>
  </si>
  <si>
    <t>540,5777</t>
  </si>
  <si>
    <t>527,9466</t>
  </si>
  <si>
    <t>578,9276</t>
  </si>
  <si>
    <t>549,3325</t>
  </si>
  <si>
    <t>570,7873</t>
  </si>
  <si>
    <t>582,9082</t>
  </si>
  <si>
    <t>565,8348</t>
  </si>
  <si>
    <t>583,8995</t>
  </si>
  <si>
    <t>553,7438</t>
  </si>
  <si>
    <t>561,2843</t>
  </si>
  <si>
    <t>466,6016</t>
  </si>
  <si>
    <t>491,1424</t>
  </si>
  <si>
    <t>503,1727</t>
  </si>
  <si>
    <t>521,1177</t>
  </si>
  <si>
    <t>518,1432</t>
  </si>
  <si>
    <t>527,3889</t>
  </si>
  <si>
    <t>485,2106</t>
  </si>
  <si>
    <t>589,1523</t>
  </si>
  <si>
    <t>593,6061</t>
  </si>
  <si>
    <t>591,3313</t>
  </si>
  <si>
    <t>580,2822</t>
  </si>
  <si>
    <t>601,8186</t>
  </si>
  <si>
    <t>582,8173</t>
  </si>
  <si>
    <t>590,5328</t>
  </si>
  <si>
    <t>459,8059</t>
  </si>
  <si>
    <t>462,5433</t>
  </si>
  <si>
    <t>469,6214</t>
  </si>
  <si>
    <t>485,9505</t>
  </si>
  <si>
    <t>474,3913</t>
  </si>
  <si>
    <t>452,1323</t>
  </si>
  <si>
    <t>463,3373</t>
  </si>
  <si>
    <t>202111</t>
  </si>
  <si>
    <t>548,7073</t>
  </si>
  <si>
    <t>570,0207</t>
  </si>
  <si>
    <t>580,5865</t>
  </si>
  <si>
    <t>571,6452</t>
  </si>
  <si>
    <t>580,1379</t>
  </si>
  <si>
    <t>557,2236</t>
  </si>
  <si>
    <t>560,9184</t>
  </si>
  <si>
    <t>574,6592</t>
  </si>
  <si>
    <t>591,908</t>
  </si>
  <si>
    <t>613,4345</t>
  </si>
  <si>
    <t>593,6645</t>
  </si>
  <si>
    <t>607,3227</t>
  </si>
  <si>
    <t>556,508</t>
  </si>
  <si>
    <t>584,4717</t>
  </si>
  <si>
    <t>464,4118</t>
  </si>
  <si>
    <t>465,1798</t>
  </si>
  <si>
    <t>492,1285</t>
  </si>
  <si>
    <t>476,2784</t>
  </si>
  <si>
    <t>467,2246</t>
  </si>
  <si>
    <t>463,5096</t>
  </si>
  <si>
    <t>466,8177</t>
  </si>
  <si>
    <t>609,3601</t>
  </si>
  <si>
    <t>595,136</t>
  </si>
  <si>
    <t>547,7558</t>
  </si>
  <si>
    <t>569,3378</t>
  </si>
  <si>
    <t>554,2844</t>
  </si>
  <si>
    <t>537,7626</t>
  </si>
  <si>
    <t>592,8289</t>
  </si>
  <si>
    <t>453,1519</t>
  </si>
  <si>
    <t>456,8656</t>
  </si>
  <si>
    <t>498,1025</t>
  </si>
  <si>
    <t>535,857</t>
  </si>
  <si>
    <t>518,981</t>
  </si>
  <si>
    <t>499,4052</t>
  </si>
  <si>
    <t>466,9551</t>
  </si>
  <si>
    <t>568,4489</t>
  </si>
  <si>
    <t>556,5524</t>
  </si>
  <si>
    <t>567,4732</t>
  </si>
  <si>
    <t>546,891</t>
  </si>
  <si>
    <t>558,4798</t>
  </si>
  <si>
    <t>590,2702</t>
  </si>
  <si>
    <t>563,3426</t>
  </si>
  <si>
    <t>600,7632</t>
  </si>
  <si>
    <t>674,0487</t>
  </si>
  <si>
    <t>697,6908</t>
  </si>
  <si>
    <t>675,8038</t>
  </si>
  <si>
    <t>695,1112</t>
  </si>
  <si>
    <t>650,2498</t>
  </si>
  <si>
    <t>641,9374</t>
  </si>
  <si>
    <t>559,356</t>
  </si>
  <si>
    <t>648,858</t>
  </si>
  <si>
    <t>659,135</t>
  </si>
  <si>
    <t>586,2348</t>
  </si>
  <si>
    <t>672,4252</t>
  </si>
  <si>
    <t>705,9488</t>
  </si>
  <si>
    <t>607,3504</t>
  </si>
  <si>
    <t>488,2506</t>
  </si>
  <si>
    <t>490,8675</t>
  </si>
  <si>
    <t>494,8439</t>
  </si>
  <si>
    <t>527,3223</t>
  </si>
  <si>
    <t>466,1801</t>
  </si>
  <si>
    <t>460,4184</t>
  </si>
  <si>
    <t>489,7423</t>
  </si>
  <si>
    <t>550,1614</t>
  </si>
  <si>
    <t>548,9392</t>
  </si>
  <si>
    <t>545,5868</t>
  </si>
  <si>
    <t>546,6622</t>
  </si>
  <si>
    <t>533,2415</t>
  </si>
  <si>
    <t>530,3905</t>
  </si>
  <si>
    <t>547,4789</t>
  </si>
  <si>
    <t>513,5276</t>
  </si>
  <si>
    <t>439,5251</t>
  </si>
  <si>
    <t>458,4926</t>
  </si>
  <si>
    <t>512,027</t>
  </si>
  <si>
    <t>418,9341</t>
  </si>
  <si>
    <t>370,3765</t>
  </si>
  <si>
    <t>474,3662</t>
  </si>
  <si>
    <t>541,9437</t>
  </si>
  <si>
    <t>546,1543</t>
  </si>
  <si>
    <t>538,4972</t>
  </si>
  <si>
    <t>552,5696</t>
  </si>
  <si>
    <t>575,5834</t>
  </si>
  <si>
    <t>484,7825</t>
  </si>
  <si>
    <t>543,1712</t>
  </si>
  <si>
    <t>488,4307</t>
  </si>
  <si>
    <t>483,8945</t>
  </si>
  <si>
    <t>512,8019</t>
  </si>
  <si>
    <t>489,8833</t>
  </si>
  <si>
    <t>478,4907</t>
  </si>
  <si>
    <t>487,4847</t>
  </si>
  <si>
    <t>487,5849</t>
  </si>
  <si>
    <t>598,9655</t>
  </si>
  <si>
    <t>575,9227</t>
  </si>
  <si>
    <t>554,1045</t>
  </si>
  <si>
    <t>571,8814</t>
  </si>
  <si>
    <t>548,1173</t>
  </si>
  <si>
    <t>543,8181</t>
  </si>
  <si>
    <t>581,892</t>
  </si>
  <si>
    <t>567,7171</t>
  </si>
  <si>
    <t>589,4946</t>
  </si>
  <si>
    <t>603,0809</t>
  </si>
  <si>
    <t>582,5551</t>
  </si>
  <si>
    <t>602,6605</t>
  </si>
  <si>
    <t>567,1807</t>
  </si>
  <si>
    <t>579,5414</t>
  </si>
  <si>
    <t>470,1643</t>
  </si>
  <si>
    <t>497,0816</t>
  </si>
  <si>
    <t>510,2527</t>
  </si>
  <si>
    <t>529,3194</t>
  </si>
  <si>
    <t>525,0234</t>
  </si>
  <si>
    <t>531,8697</t>
  </si>
  <si>
    <t>490,2282</t>
  </si>
  <si>
    <t>602,1666</t>
  </si>
  <si>
    <t>610,6688</t>
  </si>
  <si>
    <t>609,123</t>
  </si>
  <si>
    <t>596,2835</t>
  </si>
  <si>
    <t>618,1636</t>
  </si>
  <si>
    <t>596,2812</t>
  </si>
  <si>
    <t>605,5459</t>
  </si>
  <si>
    <t>470,7321</t>
  </si>
  <si>
    <t>474,6204</t>
  </si>
  <si>
    <t>482,8227</t>
  </si>
  <si>
    <t>497,0557</t>
  </si>
  <si>
    <t>485,9821</t>
  </si>
  <si>
    <t>460,308</t>
  </si>
  <si>
    <t>474,6729</t>
  </si>
  <si>
    <t>202112</t>
  </si>
  <si>
    <t>570,9981</t>
  </si>
  <si>
    <t>590,0958</t>
  </si>
  <si>
    <t>606,2078</t>
  </si>
  <si>
    <t>594,7475</t>
  </si>
  <si>
    <t>602,829</t>
  </si>
  <si>
    <t>574,4506</t>
  </si>
  <si>
    <t>582,4575</t>
  </si>
  <si>
    <t>596,9322</t>
  </si>
  <si>
    <t>618,9266</t>
  </si>
  <si>
    <t>649,2519</t>
  </si>
  <si>
    <t>621,3492</t>
  </si>
  <si>
    <t>634,2376</t>
  </si>
  <si>
    <t>572,9915</t>
  </si>
  <si>
    <t>609,3311</t>
  </si>
  <si>
    <t>488,4483</t>
  </si>
  <si>
    <t>491,4747</t>
  </si>
  <si>
    <t>522,3454</t>
  </si>
  <si>
    <t>501,3694</t>
  </si>
  <si>
    <t>491,4649</t>
  </si>
  <si>
    <t>485,9358</t>
  </si>
  <si>
    <t>491,9092</t>
  </si>
  <si>
    <t>642,0981</t>
  </si>
  <si>
    <t>617,2162</t>
  </si>
  <si>
    <t>576,8095</t>
  </si>
  <si>
    <t>597,0226</t>
  </si>
  <si>
    <t>589,8435</t>
  </si>
  <si>
    <t>559,3276</t>
  </si>
  <si>
    <t>621,094</t>
  </si>
  <si>
    <t>464,4451</t>
  </si>
  <si>
    <t>465,594</t>
  </si>
  <si>
    <t>506,5422</t>
  </si>
  <si>
    <t>544,3789</t>
  </si>
  <si>
    <t>525,6726</t>
  </si>
  <si>
    <t>508,8212</t>
  </si>
  <si>
    <t>476,8025</t>
  </si>
  <si>
    <t>588,3098</t>
  </si>
  <si>
    <t>575,2217</t>
  </si>
  <si>
    <t>583,7987</t>
  </si>
  <si>
    <t>562,3634</t>
  </si>
  <si>
    <t>578,282</t>
  </si>
  <si>
    <t>610,421</t>
  </si>
  <si>
    <t>582,338</t>
  </si>
  <si>
    <t>603,1502</t>
  </si>
  <si>
    <t>676,9793</t>
  </si>
  <si>
    <t>703,9309</t>
  </si>
  <si>
    <t>681,7927</t>
  </si>
  <si>
    <t>701,0687</t>
  </si>
  <si>
    <t>653,4482</t>
  </si>
  <si>
    <t>645,1434</t>
  </si>
  <si>
    <t>597,0836</t>
  </si>
  <si>
    <t>672,1835</t>
  </si>
  <si>
    <t>680,117</t>
  </si>
  <si>
    <t>607,1622</t>
  </si>
  <si>
    <t>697,5245</t>
  </si>
  <si>
    <t>732,656</t>
  </si>
  <si>
    <t>637,3158</t>
  </si>
  <si>
    <t>495,7511</t>
  </si>
  <si>
    <t>500,9088</t>
  </si>
  <si>
    <t>504,9998</t>
  </si>
  <si>
    <t>538,9656</t>
  </si>
  <si>
    <t>477,3203</t>
  </si>
  <si>
    <t>470,3278</t>
  </si>
  <si>
    <t>498,8013</t>
  </si>
  <si>
    <t>575,0976</t>
  </si>
  <si>
    <t>568,3825</t>
  </si>
  <si>
    <t>559,7483</t>
  </si>
  <si>
    <t>566,2902</t>
  </si>
  <si>
    <t>554,582</t>
  </si>
  <si>
    <t>547,4848</t>
  </si>
  <si>
    <t>569,1202</t>
  </si>
  <si>
    <t>521,8127</t>
  </si>
  <si>
    <t>441,5079</t>
  </si>
  <si>
    <t>461,763</t>
  </si>
  <si>
    <t>512,0955</t>
  </si>
  <si>
    <t>423,0259</t>
  </si>
  <si>
    <t>479,1164</t>
  </si>
  <si>
    <t>575,9063</t>
  </si>
  <si>
    <t>571,515</t>
  </si>
  <si>
    <t>588,6231</t>
  </si>
  <si>
    <t>596,8212</t>
  </si>
  <si>
    <t>609,5021</t>
  </si>
  <si>
    <t>507,5991</t>
  </si>
  <si>
    <t>575,1289</t>
  </si>
  <si>
    <t>502,3516</t>
  </si>
  <si>
    <t>501,0846</t>
  </si>
  <si>
    <t>528,0944</t>
  </si>
  <si>
    <t>507,6875</t>
  </si>
  <si>
    <t>497,3125</t>
  </si>
  <si>
    <t>498,3815</t>
  </si>
  <si>
    <t>503,0842</t>
  </si>
  <si>
    <t>629,1429</t>
  </si>
  <si>
    <t>590,7325</t>
  </si>
  <si>
    <t>575,5765</t>
  </si>
  <si>
    <t>586,44</t>
  </si>
  <si>
    <t>559,6926</t>
  </si>
  <si>
    <t>558,6194</t>
  </si>
  <si>
    <t>603,6269</t>
  </si>
  <si>
    <t>593,9007</t>
  </si>
  <si>
    <t>613,414</t>
  </si>
  <si>
    <t>634,0698</t>
  </si>
  <si>
    <t>610,4119</t>
  </si>
  <si>
    <t>632,0264</t>
  </si>
  <si>
    <t>587,2114</t>
  </si>
  <si>
    <t>605,1759</t>
  </si>
  <si>
    <t>477,4545</t>
  </si>
  <si>
    <t>506,7465</t>
  </si>
  <si>
    <t>517,559</t>
  </si>
  <si>
    <t>540,1475</t>
  </si>
  <si>
    <t>532,2984</t>
  </si>
  <si>
    <t>541,1245</t>
  </si>
  <si>
    <t>498,6315</t>
  </si>
  <si>
    <t>625,804</t>
  </si>
  <si>
    <t>632,8328</t>
  </si>
  <si>
    <t>638,2137</t>
  </si>
  <si>
    <t>621,304</t>
  </si>
  <si>
    <t>643,8415</t>
  </si>
  <si>
    <t>615,6196</t>
  </si>
  <si>
    <t>628,9364</t>
  </si>
  <si>
    <t>491,0588</t>
  </si>
  <si>
    <t>489,7927</t>
  </si>
  <si>
    <t>496,5583</t>
  </si>
  <si>
    <t>514,3508</t>
  </si>
  <si>
    <t>501,2775</t>
  </si>
  <si>
    <t>472,2962</t>
  </si>
  <si>
    <t>492,1334</t>
  </si>
  <si>
    <t>202201</t>
  </si>
  <si>
    <t>593,4219</t>
  </si>
  <si>
    <t>612,8039</t>
  </si>
  <si>
    <t>626,964</t>
  </si>
  <si>
    <t>618,7562</t>
  </si>
  <si>
    <t>627,2454</t>
  </si>
  <si>
    <t>595,088</t>
  </si>
  <si>
    <t>605,0317</t>
  </si>
  <si>
    <t>627,7655</t>
  </si>
  <si>
    <t>650,1235</t>
  </si>
  <si>
    <t>674,0474</t>
  </si>
  <si>
    <t>652,6955</t>
  </si>
  <si>
    <t>661,1272</t>
  </si>
  <si>
    <t>594,3726</t>
  </si>
  <si>
    <t>639,405</t>
  </si>
  <si>
    <t>496,2309</t>
  </si>
  <si>
    <t>501,8449</t>
  </si>
  <si>
    <t>532,7393</t>
  </si>
  <si>
    <t>509,5106</t>
  </si>
  <si>
    <t>499,5304</t>
  </si>
  <si>
    <t>494,2947</t>
  </si>
  <si>
    <t>500,7578</t>
  </si>
  <si>
    <t>654,9264</t>
  </si>
  <si>
    <t>70,4</t>
  </si>
  <si>
    <t>633,2557</t>
  </si>
  <si>
    <t>590,6718</t>
  </si>
  <si>
    <t>616,96</t>
  </si>
  <si>
    <t>606,5101</t>
  </si>
  <si>
    <t>577,6344</t>
  </si>
  <si>
    <t>635,994</t>
  </si>
  <si>
    <t>469,0176</t>
  </si>
  <si>
    <t>475,309</t>
  </si>
  <si>
    <t>519,3987</t>
  </si>
  <si>
    <t>555,8413</t>
  </si>
  <si>
    <t>541,3698</t>
  </si>
  <si>
    <t>531,3974</t>
  </si>
  <si>
    <t>485,193</t>
  </si>
  <si>
    <t>609,4198</t>
  </si>
  <si>
    <t>592,6635</t>
  </si>
  <si>
    <t>601,7708</t>
  </si>
  <si>
    <t>583,4295</t>
  </si>
  <si>
    <t>597,4841</t>
  </si>
  <si>
    <t>625,5239</t>
  </si>
  <si>
    <t>601,6662</t>
  </si>
  <si>
    <t>632,4334</t>
  </si>
  <si>
    <t>701,8927</t>
  </si>
  <si>
    <t>728,1871</t>
  </si>
  <si>
    <t>702,8572</t>
  </si>
  <si>
    <t>726,7274</t>
  </si>
  <si>
    <t>675,7371</t>
  </si>
  <si>
    <t>671,6729</t>
  </si>
  <si>
    <t>608,8994</t>
  </si>
  <si>
    <t>695,7262</t>
  </si>
  <si>
    <t>700,9185</t>
  </si>
  <si>
    <t>623,3426</t>
  </si>
  <si>
    <t>720,2962</t>
  </si>
  <si>
    <t>758,3678</t>
  </si>
  <si>
    <t>654,8718</t>
  </si>
  <si>
    <t>539,1585</t>
  </si>
  <si>
    <t>532,0055</t>
  </si>
  <si>
    <t>542,0942</t>
  </si>
  <si>
    <t>574,3108</t>
  </si>
  <si>
    <t>511,9873</t>
  </si>
  <si>
    <t>499,7398</t>
  </si>
  <si>
    <t>536,1267</t>
  </si>
  <si>
    <t>604,4783</t>
  </si>
  <si>
    <t>586,9918</t>
  </si>
  <si>
    <t>577,1529</t>
  </si>
  <si>
    <t>585,7392</t>
  </si>
  <si>
    <t>585,5443</t>
  </si>
  <si>
    <t>563,9063</t>
  </si>
  <si>
    <t>593,0751</t>
  </si>
  <si>
    <t>525,6626</t>
  </si>
  <si>
    <t>444,7139</t>
  </si>
  <si>
    <t>464,2632</t>
  </si>
  <si>
    <t>518,885</t>
  </si>
  <si>
    <t>426,9505</t>
  </si>
  <si>
    <t>371,4297</t>
  </si>
  <si>
    <t>482,7713</t>
  </si>
  <si>
    <t>610,0734</t>
  </si>
  <si>
    <t>599,4918</t>
  </si>
  <si>
    <t>621,0082</t>
  </si>
  <si>
    <t>629,0815</t>
  </si>
  <si>
    <t>662,6353</t>
  </si>
  <si>
    <t>538,7371</t>
  </si>
  <si>
    <t>607,7867</t>
  </si>
  <si>
    <t>526,8939</t>
  </si>
  <si>
    <t>520,3305</t>
  </si>
  <si>
    <t>543,986</t>
  </si>
  <si>
    <t>532,5289</t>
  </si>
  <si>
    <t>515,2673</t>
  </si>
  <si>
    <t>514,3429</t>
  </si>
  <si>
    <t>524,7001</t>
  </si>
  <si>
    <t>686,9871</t>
  </si>
  <si>
    <t>648,2796</t>
  </si>
  <si>
    <t>613,1984</t>
  </si>
  <si>
    <t>643,366</t>
  </si>
  <si>
    <t>608,3992</t>
  </si>
  <si>
    <t>580,884</t>
  </si>
  <si>
    <t>658,2543</t>
  </si>
  <si>
    <t>613,693</t>
  </si>
  <si>
    <t>632,7061</t>
  </si>
  <si>
    <t>652,9949</t>
  </si>
  <si>
    <t>631,7563</t>
  </si>
  <si>
    <t>655,3385</t>
  </si>
  <si>
    <t>609,4888</t>
  </si>
  <si>
    <t>625,1594</t>
  </si>
  <si>
    <t>491,6655</t>
  </si>
  <si>
    <t>519,9968</t>
  </si>
  <si>
    <t>533,6551</t>
  </si>
  <si>
    <t>550,957</t>
  </si>
  <si>
    <t>546,5953</t>
  </si>
  <si>
    <t>555,2174</t>
  </si>
  <si>
    <t>512,3766</t>
  </si>
  <si>
    <t>650,5218</t>
  </si>
  <si>
    <t>656,7617</t>
  </si>
  <si>
    <t>659,3892</t>
  </si>
  <si>
    <t>646,7598</t>
  </si>
  <si>
    <t>666,8606</t>
  </si>
  <si>
    <t>636,9132</t>
  </si>
  <si>
    <t>653,0302</t>
  </si>
  <si>
    <t>510,1366</t>
  </si>
  <si>
    <t>509,6358</t>
  </si>
  <si>
    <t>515,8782</t>
  </si>
  <si>
    <t>533,9785</t>
  </si>
  <si>
    <t>529,1537</t>
  </si>
  <si>
    <t>491,3051</t>
  </si>
  <si>
    <t>511,9611</t>
  </si>
  <si>
    <t>202202</t>
  </si>
  <si>
    <t>620,5007</t>
  </si>
  <si>
    <t>641,3956</t>
  </si>
  <si>
    <t>658,0826</t>
  </si>
  <si>
    <t>648,7805</t>
  </si>
  <si>
    <t>661,1462</t>
  </si>
  <si>
    <t>623,903</t>
  </si>
  <si>
    <t>633,4341</t>
  </si>
  <si>
    <t>681,4654</t>
  </si>
  <si>
    <t>693,6278</t>
  </si>
  <si>
    <t>716,4709</t>
  </si>
  <si>
    <t>693,5612</t>
  </si>
  <si>
    <t>710,6436</t>
  </si>
  <si>
    <t>630,033</t>
  </si>
  <si>
    <t>687,1658</t>
  </si>
  <si>
    <t>509,6969</t>
  </si>
  <si>
    <t>513,7363</t>
  </si>
  <si>
    <t>554,0292</t>
  </si>
  <si>
    <t>523,9095</t>
  </si>
  <si>
    <t>513,7729</t>
  </si>
  <si>
    <t>506,4848</t>
  </si>
  <si>
    <t>514,0762</t>
  </si>
  <si>
    <t>673,7573</t>
  </si>
  <si>
    <t>71,4</t>
  </si>
  <si>
    <t>657,8142</t>
  </si>
  <si>
    <t>608,9254</t>
  </si>
  <si>
    <t>637,5937</t>
  </si>
  <si>
    <t>629,0696</t>
  </si>
  <si>
    <t>608,1343</t>
  </si>
  <si>
    <t>657,5762</t>
  </si>
  <si>
    <t>480,7991</t>
  </si>
  <si>
    <t>493,0212</t>
  </si>
  <si>
    <t>532,3501</t>
  </si>
  <si>
    <t>557,9594</t>
  </si>
  <si>
    <t>562,7882</t>
  </si>
  <si>
    <t>546,7146</t>
  </si>
  <si>
    <t>498,9476</t>
  </si>
  <si>
    <t>635,6042</t>
  </si>
  <si>
    <t>620,6398</t>
  </si>
  <si>
    <t>630,6056</t>
  </si>
  <si>
    <t>608,1331</t>
  </si>
  <si>
    <t>623,3603</t>
  </si>
  <si>
    <t>648,6312</t>
  </si>
  <si>
    <t>628,3237</t>
  </si>
  <si>
    <t>652,1907</t>
  </si>
  <si>
    <t>728,4243</t>
  </si>
  <si>
    <t>762,85</t>
  </si>
  <si>
    <t>733,0798</t>
  </si>
  <si>
    <t>757,962</t>
  </si>
  <si>
    <t>705,267</t>
  </si>
  <si>
    <t>696,1161</t>
  </si>
  <si>
    <t>633,8206</t>
  </si>
  <si>
    <t>733,7331</t>
  </si>
  <si>
    <t>741,5623</t>
  </si>
  <si>
    <t>659,1657</t>
  </si>
  <si>
    <t>763,9151</t>
  </si>
  <si>
    <t>798,9526</t>
  </si>
  <si>
    <t>687,1919</t>
  </si>
  <si>
    <t>547,9454</t>
  </si>
  <si>
    <t>537,811</t>
  </si>
  <si>
    <t>551,0261</t>
  </si>
  <si>
    <t>525,7136</t>
  </si>
  <si>
    <t>502,5943</t>
  </si>
  <si>
    <t>544,0338</t>
  </si>
  <si>
    <t>612,9475</t>
  </si>
  <si>
    <t>601,3228</t>
  </si>
  <si>
    <t>600,5405</t>
  </si>
  <si>
    <t>610,4035</t>
  </si>
  <si>
    <t>606,1146</t>
  </si>
  <si>
    <t>586,6758</t>
  </si>
  <si>
    <t>606,6697</t>
  </si>
  <si>
    <t>536,265</t>
  </si>
  <si>
    <t>456,7887</t>
  </si>
  <si>
    <t>497,3592</t>
  </si>
  <si>
    <t>541,8336</t>
  </si>
  <si>
    <t>436,8733</t>
  </si>
  <si>
    <t>380,042</t>
  </si>
  <si>
    <t>495,5553</t>
  </si>
  <si>
    <t>637,1043</t>
  </si>
  <si>
    <t>617,7078</t>
  </si>
  <si>
    <t>647,8593</t>
  </si>
  <si>
    <t>669,8602</t>
  </si>
  <si>
    <t>702,949</t>
  </si>
  <si>
    <t>579,0863</t>
  </si>
  <si>
    <t>634,0233</t>
  </si>
  <si>
    <t>550,0639</t>
  </si>
  <si>
    <t>542,3978</t>
  </si>
  <si>
    <t>566,0174</t>
  </si>
  <si>
    <t>555,8753</t>
  </si>
  <si>
    <t>540,6685</t>
  </si>
  <si>
    <t>534,8272</t>
  </si>
  <si>
    <t>547,448</t>
  </si>
  <si>
    <t>744,0911</t>
  </si>
  <si>
    <t>704,8465</t>
  </si>
  <si>
    <t>664,7526</t>
  </si>
  <si>
    <t>697,5879</t>
  </si>
  <si>
    <t>660,122</t>
  </si>
  <si>
    <t>621,9957</t>
  </si>
  <si>
    <t>713,7013</t>
  </si>
  <si>
    <t>641,3434</t>
  </si>
  <si>
    <t>659,1139</t>
  </si>
  <si>
    <t>683,8584</t>
  </si>
  <si>
    <t>661,0739</t>
  </si>
  <si>
    <t>689,2897</t>
  </si>
  <si>
    <t>637,3396</t>
  </si>
  <si>
    <t>652,9838</t>
  </si>
  <si>
    <t>503,5405</t>
  </si>
  <si>
    <t>539,0047</t>
  </si>
  <si>
    <t>551,355</t>
  </si>
  <si>
    <t>566,4413</t>
  </si>
  <si>
    <t>570,2742</t>
  </si>
  <si>
    <t>579,6957</t>
  </si>
  <si>
    <t>528,2683</t>
  </si>
  <si>
    <t>688,1137</t>
  </si>
  <si>
    <t>690,9282</t>
  </si>
  <si>
    <t>694,875</t>
  </si>
  <si>
    <t>681,8787</t>
  </si>
  <si>
    <t>705,5505</t>
  </si>
  <si>
    <t>668,6395</t>
  </si>
  <si>
    <t>688,9779</t>
  </si>
  <si>
    <t>521,8808</t>
  </si>
  <si>
    <t>525,1435</t>
  </si>
  <si>
    <t>532,0349</t>
  </si>
  <si>
    <t>548,5797</t>
  </si>
  <si>
    <t>551,1962</t>
  </si>
  <si>
    <t>512,8963</t>
  </si>
  <si>
    <t>526,332</t>
  </si>
  <si>
    <t>202203</t>
  </si>
  <si>
    <t>661,8688</t>
  </si>
  <si>
    <t>683,9059</t>
  </si>
  <si>
    <t>705,7838</t>
  </si>
  <si>
    <t>692,6827</t>
  </si>
  <si>
    <t>706,0617</t>
  </si>
  <si>
    <t>670,3019</t>
  </si>
  <si>
    <t>676,0566</t>
  </si>
  <si>
    <t>722,8456</t>
  </si>
  <si>
    <t>748,2639</t>
  </si>
  <si>
    <t>771,919</t>
  </si>
  <si>
    <t>753,5568</t>
  </si>
  <si>
    <t>774,9899</t>
  </si>
  <si>
    <t>687,9749</t>
  </si>
  <si>
    <t>736,9451</t>
  </si>
  <si>
    <t>540,3935</t>
  </si>
  <si>
    <t>542,4403</t>
  </si>
  <si>
    <t>575,0959</t>
  </si>
  <si>
    <t>551,3098</t>
  </si>
  <si>
    <t>544,9294</t>
  </si>
  <si>
    <t>540,8387</t>
  </si>
  <si>
    <t>543,6306</t>
  </si>
  <si>
    <t>765,5852</t>
  </si>
  <si>
    <t>717,7743</t>
  </si>
  <si>
    <t>654,5276</t>
  </si>
  <si>
    <t>678,6208</t>
  </si>
  <si>
    <t>676,6914</t>
  </si>
  <si>
    <t>661,8833</t>
  </si>
  <si>
    <t>728,959</t>
  </si>
  <si>
    <t>521,0635</t>
  </si>
  <si>
    <t>522,8195</t>
  </si>
  <si>
    <t>614,455</t>
  </si>
  <si>
    <t>589,3957</t>
  </si>
  <si>
    <t>597,9837</t>
  </si>
  <si>
    <t>595,8181</t>
  </si>
  <si>
    <t>537,1626</t>
  </si>
  <si>
    <t>662,7936</t>
  </si>
  <si>
    <t>648,9746</t>
  </si>
  <si>
    <t>654,1684</t>
  </si>
  <si>
    <t>634,8449</t>
  </si>
  <si>
    <t>655,7286</t>
  </si>
  <si>
    <t>673,9692</t>
  </si>
  <si>
    <t>655,8863</t>
  </si>
  <si>
    <t>688,1142</t>
  </si>
  <si>
    <t>760,4544</t>
  </si>
  <si>
    <t>797,4739</t>
  </si>
  <si>
    <t>771,4596</t>
  </si>
  <si>
    <t>790,304</t>
  </si>
  <si>
    <t>739,8042</t>
  </si>
  <si>
    <t>730,5922</t>
  </si>
  <si>
    <t>665,7419</t>
  </si>
  <si>
    <t>773,8048</t>
  </si>
  <si>
    <t>801,0692</t>
  </si>
  <si>
    <t>699,3634</t>
  </si>
  <si>
    <t>814,2345</t>
  </si>
  <si>
    <t>838,3398</t>
  </si>
  <si>
    <t>724,8465</t>
  </si>
  <si>
    <t>558,4333</t>
  </si>
  <si>
    <t>567,6306</t>
  </si>
  <si>
    <t>576,136</t>
  </si>
  <si>
    <t>608,723</t>
  </si>
  <si>
    <t>536,842</t>
  </si>
  <si>
    <t>515,8329</t>
  </si>
  <si>
    <t>562,7616</t>
  </si>
  <si>
    <t>627,6276</t>
  </si>
  <si>
    <t>628,4168</t>
  </si>
  <si>
    <t>618,538</t>
  </si>
  <si>
    <t>630,6953</t>
  </si>
  <si>
    <t>625,9671</t>
  </si>
  <si>
    <t>611,6488</t>
  </si>
  <si>
    <t>626,8734</t>
  </si>
  <si>
    <t>655,0371</t>
  </si>
  <si>
    <t>574,516</t>
  </si>
  <si>
    <t>624,712</t>
  </si>
  <si>
    <t>644,5871</t>
  </si>
  <si>
    <t>503,7127</t>
  </si>
  <si>
    <t>543,234</t>
  </si>
  <si>
    <t>612,6821</t>
  </si>
  <si>
    <t>673,7515</t>
  </si>
  <si>
    <t>71,2</t>
  </si>
  <si>
    <t>649,9686</t>
  </si>
  <si>
    <t>677,594</t>
  </si>
  <si>
    <t>703,7338</t>
  </si>
  <si>
    <t>735,8994</t>
  </si>
  <si>
    <t>616,1143</t>
  </si>
  <si>
    <t>668,4613</t>
  </si>
  <si>
    <t>582,4197</t>
  </si>
  <si>
    <t>569,8645</t>
  </si>
  <si>
    <t>596,0683</t>
  </si>
  <si>
    <t>582,4351</t>
  </si>
  <si>
    <t>570,5933</t>
  </si>
  <si>
    <t>571,9158</t>
  </si>
  <si>
    <t>577,6959</t>
  </si>
  <si>
    <t>789,1614</t>
  </si>
  <si>
    <t>750,1679</t>
  </si>
  <si>
    <t>710,9491</t>
  </si>
  <si>
    <t>729,19</t>
  </si>
  <si>
    <t>698,9811</t>
  </si>
  <si>
    <t>672,7009</t>
  </si>
  <si>
    <t>757,8963</t>
  </si>
  <si>
    <t>680,7038</t>
  </si>
  <si>
    <t>701,947</t>
  </si>
  <si>
    <t>725,3636</t>
  </si>
  <si>
    <t>707,8603</t>
  </si>
  <si>
    <t>735,5166</t>
  </si>
  <si>
    <t>682,5249</t>
  </si>
  <si>
    <t>694,7515</t>
  </si>
  <si>
    <t>549,1464</t>
  </si>
  <si>
    <t>578,6231</t>
  </si>
  <si>
    <t>624,6417</t>
  </si>
  <si>
    <t>607,9774</t>
  </si>
  <si>
    <t>614,3463</t>
  </si>
  <si>
    <t>627,5343</t>
  </si>
  <si>
    <t>572,7992</t>
  </si>
  <si>
    <t>732,8464</t>
  </si>
  <si>
    <t>738,7513</t>
  </si>
  <si>
    <t>740,5232</t>
  </si>
  <si>
    <t>728,0099</t>
  </si>
  <si>
    <t>755,6888</t>
  </si>
  <si>
    <t>717,8418</t>
  </si>
  <si>
    <t>735,3863</t>
  </si>
  <si>
    <t>558,3415</t>
  </si>
  <si>
    <t>555,1847</t>
  </si>
  <si>
    <t>586,7693</t>
  </si>
  <si>
    <t>585,7336</t>
  </si>
  <si>
    <t>583,1794</t>
  </si>
  <si>
    <t>552,3391</t>
  </si>
  <si>
    <t>561,416</t>
  </si>
  <si>
    <t>202204</t>
  </si>
  <si>
    <t>702,829</t>
  </si>
  <si>
    <t>723,9509</t>
  </si>
  <si>
    <t>748,3056</t>
  </si>
  <si>
    <t>736,7727</t>
  </si>
  <si>
    <t>747,3483</t>
  </si>
  <si>
    <t>709,7623</t>
  </si>
  <si>
    <t>716,9399</t>
  </si>
  <si>
    <t>765,7118</t>
  </si>
  <si>
    <t>789,6908</t>
  </si>
  <si>
    <t>821,4676</t>
  </si>
  <si>
    <t>801,1389</t>
  </si>
  <si>
    <t>818,5181</t>
  </si>
  <si>
    <t>734,3518</t>
  </si>
  <si>
    <t>780,1457</t>
  </si>
  <si>
    <t>558,9217</t>
  </si>
  <si>
    <t>561,2437</t>
  </si>
  <si>
    <t>593,6999</t>
  </si>
  <si>
    <t>568,812</t>
  </si>
  <si>
    <t>561,8491</t>
  </si>
  <si>
    <t>553,0194</t>
  </si>
  <si>
    <t>561,8137</t>
  </si>
  <si>
    <t>847,1713</t>
  </si>
  <si>
    <t>781,6751</t>
  </si>
  <si>
    <t>712,3714</t>
  </si>
  <si>
    <t>752,291</t>
  </si>
  <si>
    <t>740,8228</t>
  </si>
  <si>
    <t>722,6282</t>
  </si>
  <si>
    <t>801,0762</t>
  </si>
  <si>
    <t>546,0704</t>
  </si>
  <si>
    <t>543,8171</t>
  </si>
  <si>
    <t>649,8864</t>
  </si>
  <si>
    <t>617,8651</t>
  </si>
  <si>
    <t>620,5285</t>
  </si>
  <si>
    <t>628,2892</t>
  </si>
  <si>
    <t>561,7478</t>
  </si>
  <si>
    <t>699,3546</t>
  </si>
  <si>
    <t>684,9308</t>
  </si>
  <si>
    <t>690,2601</t>
  </si>
  <si>
    <t>670,8917</t>
  </si>
  <si>
    <t>695,3912</t>
  </si>
  <si>
    <t>702,2096</t>
  </si>
  <si>
    <t>691,9571</t>
  </si>
  <si>
    <t>731,0263</t>
  </si>
  <si>
    <t>812,1676</t>
  </si>
  <si>
    <t>847,6625</t>
  </si>
  <si>
    <t>813,1644</t>
  </si>
  <si>
    <t>845,4147</t>
  </si>
  <si>
    <t>781,8797</t>
  </si>
  <si>
    <t>777,2991</t>
  </si>
  <si>
    <t>705,5607</t>
  </si>
  <si>
    <t>811,4391</t>
  </si>
  <si>
    <t>834,0788</t>
  </si>
  <si>
    <t>734,714</t>
  </si>
  <si>
    <t>858,0554</t>
  </si>
  <si>
    <t>877,0958</t>
  </si>
  <si>
    <t>763,5071</t>
  </si>
  <si>
    <t>583,0194</t>
  </si>
  <si>
    <t>583,8151</t>
  </si>
  <si>
    <t>595,9704</t>
  </si>
  <si>
    <t>628,0023</t>
  </si>
  <si>
    <t>555,2092</t>
  </si>
  <si>
    <t>534,5029</t>
  </si>
  <si>
    <t>583,3455</t>
  </si>
  <si>
    <t>664,3089</t>
  </si>
  <si>
    <t>658,5599</t>
  </si>
  <si>
    <t>646,0259</t>
  </si>
  <si>
    <t>668,9202</t>
  </si>
  <si>
    <t>647,8326</t>
  </si>
  <si>
    <t>635,9462</t>
  </si>
  <si>
    <t>659,6448</t>
  </si>
  <si>
    <t>677,9087</t>
  </si>
  <si>
    <t>597,8817</t>
  </si>
  <si>
    <t>642,8947</t>
  </si>
  <si>
    <t>672,4394</t>
  </si>
  <si>
    <t>531,8872</t>
  </si>
  <si>
    <t>552,8523</t>
  </si>
  <si>
    <t>635,5003</t>
  </si>
  <si>
    <t>719,4846</t>
  </si>
  <si>
    <t>77,1</t>
  </si>
  <si>
    <t>703,8303</t>
  </si>
  <si>
    <t>728,4937</t>
  </si>
  <si>
    <t>748,577</t>
  </si>
  <si>
    <t>786,6069</t>
  </si>
  <si>
    <t>664,6177</t>
  </si>
  <si>
    <t>76,2</t>
  </si>
  <si>
    <t>717,5668</t>
  </si>
  <si>
    <t>610,8024</t>
  </si>
  <si>
    <t>601,4204</t>
  </si>
  <si>
    <t>629,2606</t>
  </si>
  <si>
    <t>617,617</t>
  </si>
  <si>
    <t>600,9343</t>
  </si>
  <si>
    <t>602,9938</t>
  </si>
  <si>
    <t>608,0932</t>
  </si>
  <si>
    <t>835,3813</t>
  </si>
  <si>
    <t>72,6</t>
  </si>
  <si>
    <t>781,2787</t>
  </si>
  <si>
    <t>69,3</t>
  </si>
  <si>
    <t>752,3564</t>
  </si>
  <si>
    <t>785,1545</t>
  </si>
  <si>
    <t>736,5182</t>
  </si>
  <si>
    <t>720,7347</t>
  </si>
  <si>
    <t>799,0308</t>
  </si>
  <si>
    <t>728,6254</t>
  </si>
  <si>
    <t>747,6498</t>
  </si>
  <si>
    <t>772,21</t>
  </si>
  <si>
    <t>754,1905</t>
  </si>
  <si>
    <t>781,418</t>
  </si>
  <si>
    <t>723,9699</t>
  </si>
  <si>
    <t>741,3622</t>
  </si>
  <si>
    <t>567,2638</t>
  </si>
  <si>
    <t>604,0824</t>
  </si>
  <si>
    <t>650,8338</t>
  </si>
  <si>
    <t>634,9357</t>
  </si>
  <si>
    <t>642,7538</t>
  </si>
  <si>
    <t>654,9963</t>
  </si>
  <si>
    <t>595,2223</t>
  </si>
  <si>
    <t>781,945</t>
  </si>
  <si>
    <t>783,4881</t>
  </si>
  <si>
    <t>787,0301</t>
  </si>
  <si>
    <t>778,2665</t>
  </si>
  <si>
    <t>802,6928</t>
  </si>
  <si>
    <t>763,2884</t>
  </si>
  <si>
    <t>782,6829</t>
  </si>
  <si>
    <t>587,4311</t>
  </si>
  <si>
    <t>584,2183</t>
  </si>
  <si>
    <t>615,6386</t>
  </si>
  <si>
    <t>611,155</t>
  </si>
  <si>
    <t>610,3091</t>
  </si>
  <si>
    <t>576,9453</t>
  </si>
  <si>
    <t>589,924</t>
  </si>
  <si>
    <t>202205</t>
  </si>
  <si>
    <t>736,3637</t>
  </si>
  <si>
    <t>762,1563</t>
  </si>
  <si>
    <t>787,698</t>
  </si>
  <si>
    <t>777,6674</t>
  </si>
  <si>
    <t>786,3491</t>
  </si>
  <si>
    <t>744,3162</t>
  </si>
  <si>
    <t>753,147</t>
  </si>
  <si>
    <t>799,1293</t>
  </si>
  <si>
    <t>824,1338</t>
  </si>
  <si>
    <t>863,0607</t>
  </si>
  <si>
    <t>838,6447</t>
  </si>
  <si>
    <t>851,4447</t>
  </si>
  <si>
    <t>768,2814</t>
  </si>
  <si>
    <t>814,5693</t>
  </si>
  <si>
    <t>589,5841</t>
  </si>
  <si>
    <t>591,071</t>
  </si>
  <si>
    <t>640,1983</t>
  </si>
  <si>
    <t>605,9453</t>
  </si>
  <si>
    <t>598,4101</t>
  </si>
  <si>
    <t>582,4252</t>
  </si>
  <si>
    <t>593,5899</t>
  </si>
  <si>
    <t>889,32</t>
  </si>
  <si>
    <t>85,1</t>
  </si>
  <si>
    <t>833,6854</t>
  </si>
  <si>
    <t>75,3</t>
  </si>
  <si>
    <t>745,9551</t>
  </si>
  <si>
    <t>72,4</t>
  </si>
  <si>
    <t>790,7967</t>
  </si>
  <si>
    <t>803,7087</t>
  </si>
  <si>
    <t>768,4314</t>
  </si>
  <si>
    <t>77</t>
  </si>
  <si>
    <t>847,1542</t>
  </si>
  <si>
    <t>79,6</t>
  </si>
  <si>
    <t>561,5937</t>
  </si>
  <si>
    <t>561,7817</t>
  </si>
  <si>
    <t>683,8213</t>
  </si>
  <si>
    <t>679,6345</t>
  </si>
  <si>
    <t>633,0312</t>
  </si>
  <si>
    <t>643,1846</t>
  </si>
  <si>
    <t>581,7106</t>
  </si>
  <si>
    <t>736,6078</t>
  </si>
  <si>
    <t>723,0158</t>
  </si>
  <si>
    <t>724,9441</t>
  </si>
  <si>
    <t>709,1608</t>
  </si>
  <si>
    <t>727,4135</t>
  </si>
  <si>
    <t>735,6715</t>
  </si>
  <si>
    <t>728,9951</t>
  </si>
  <si>
    <t>775,6469</t>
  </si>
  <si>
    <t>863,5903</t>
  </si>
  <si>
    <t>898,9999</t>
  </si>
  <si>
    <t>861,2244</t>
  </si>
  <si>
    <t>901,7533</t>
  </si>
  <si>
    <t>831,712</t>
  </si>
  <si>
    <t>825,5739</t>
  </si>
  <si>
    <t>743,726</t>
  </si>
  <si>
    <t>869,2756</t>
  </si>
  <si>
    <t>881,5351</t>
  </si>
  <si>
    <t>778,5451</t>
  </si>
  <si>
    <t>910,7684</t>
  </si>
  <si>
    <t>926,39</t>
  </si>
  <si>
    <t>810,22</t>
  </si>
  <si>
    <t>600,96</t>
  </si>
  <si>
    <t>599,9536</t>
  </si>
  <si>
    <t>611,9677</t>
  </si>
  <si>
    <t>652,179</t>
  </si>
  <si>
    <t>574,4157</t>
  </si>
  <si>
    <t>555,7929</t>
  </si>
  <si>
    <t>601,2442</t>
  </si>
  <si>
    <t>698,7449</t>
  </si>
  <si>
    <t>690,6262</t>
  </si>
  <si>
    <t>678,7351</t>
  </si>
  <si>
    <t>720,1144</t>
  </si>
  <si>
    <t>675,1777</t>
  </si>
  <si>
    <t>668,9721</t>
  </si>
  <si>
    <t>693,9163</t>
  </si>
  <si>
    <t>700,9896</t>
  </si>
  <si>
    <t>620,3204</t>
  </si>
  <si>
    <t>665,6087</t>
  </si>
  <si>
    <t>674,8131</t>
  </si>
  <si>
    <t>553,4472</t>
  </si>
  <si>
    <t>562,9717</t>
  </si>
  <si>
    <t>656,1411</t>
  </si>
  <si>
    <t>757,1785</t>
  </si>
  <si>
    <t>78,3</t>
  </si>
  <si>
    <t>746,2508</t>
  </si>
  <si>
    <t>779,6266</t>
  </si>
  <si>
    <t>81,2</t>
  </si>
  <si>
    <t>796,2689</t>
  </si>
  <si>
    <t>77,2</t>
  </si>
  <si>
    <t>838,7656</t>
  </si>
  <si>
    <t>688,4089</t>
  </si>
  <si>
    <t>76</t>
  </si>
  <si>
    <t>758,3527</t>
  </si>
  <si>
    <t>637,7158</t>
  </si>
  <si>
    <t>628,2846</t>
  </si>
  <si>
    <t>661,4903</t>
  </si>
  <si>
    <t>648,2704</t>
  </si>
  <si>
    <t>632,1405</t>
  </si>
  <si>
    <t>631,8533</t>
  </si>
  <si>
    <t>635,8157</t>
  </si>
  <si>
    <t>859,3585</t>
  </si>
  <si>
    <t>77,5</t>
  </si>
  <si>
    <t>811,1317</t>
  </si>
  <si>
    <t>777,3393</t>
  </si>
  <si>
    <t>807,3449</t>
  </si>
  <si>
    <t>762,6265</t>
  </si>
  <si>
    <t>761,3018</t>
  </si>
  <si>
    <t>825,8088</t>
  </si>
  <si>
    <t>74</t>
  </si>
  <si>
    <t>764,7389</t>
  </si>
  <si>
    <t>787,7226</t>
  </si>
  <si>
    <t>814,2265</t>
  </si>
  <si>
    <t>797,0871</t>
  </si>
  <si>
    <t>825,7781</t>
  </si>
  <si>
    <t>758,8248</t>
  </si>
  <si>
    <t>779,9267</t>
  </si>
  <si>
    <t>597,5182</t>
  </si>
  <si>
    <t>640,8255</t>
  </si>
  <si>
    <t>690,0138</t>
  </si>
  <si>
    <t>681,4449</t>
  </si>
  <si>
    <t>671,6159</t>
  </si>
  <si>
    <t>684,8202</t>
  </si>
  <si>
    <t>629,0029</t>
  </si>
  <si>
    <t>822,0689</t>
  </si>
  <si>
    <t>827,2416</t>
  </si>
  <si>
    <t>829,9875</t>
  </si>
  <si>
    <t>819,1741</t>
  </si>
  <si>
    <t>848,1722</t>
  </si>
  <si>
    <t>804,086</t>
  </si>
  <si>
    <t>824,5376</t>
  </si>
  <si>
    <t>611,3547</t>
  </si>
  <si>
    <t>609,4023</t>
  </si>
  <si>
    <t>642,8175</t>
  </si>
  <si>
    <t>652,011</t>
  </si>
  <si>
    <t>633,2683</t>
  </si>
  <si>
    <t>596,0065</t>
  </si>
  <si>
    <t>615,2979</t>
  </si>
  <si>
    <t>202206</t>
  </si>
  <si>
    <t>776,6701</t>
  </si>
  <si>
    <t>801,4471</t>
  </si>
  <si>
    <t>826,4822</t>
  </si>
  <si>
    <t>818,411</t>
  </si>
  <si>
    <t>827,9972</t>
  </si>
  <si>
    <t>782,142</t>
  </si>
  <si>
    <t>793,0278</t>
  </si>
  <si>
    <t>838,7821</t>
  </si>
  <si>
    <t>859,5961</t>
  </si>
  <si>
    <t>900,1344</t>
  </si>
  <si>
    <t>874,8581</t>
  </si>
  <si>
    <t>890,2349</t>
  </si>
  <si>
    <t>803,4338</t>
  </si>
  <si>
    <t>852,1804</t>
  </si>
  <si>
    <t>630,69</t>
  </si>
  <si>
    <t>631,579</t>
  </si>
  <si>
    <t>678,7415</t>
  </si>
  <si>
    <t>639,8715</t>
  </si>
  <si>
    <t>633,0738</t>
  </si>
  <si>
    <t>622,6486</t>
  </si>
  <si>
    <t>633,4988</t>
  </si>
  <si>
    <t>938,5587</t>
  </si>
  <si>
    <t>88</t>
  </si>
  <si>
    <t>884,4418</t>
  </si>
  <si>
    <t>790,3918</t>
  </si>
  <si>
    <t>79,8</t>
  </si>
  <si>
    <t>834,877</t>
  </si>
  <si>
    <t>840,6312</t>
  </si>
  <si>
    <t>822,0042</t>
  </si>
  <si>
    <t>83,4</t>
  </si>
  <si>
    <t>895,8753</t>
  </si>
  <si>
    <t>83,6</t>
  </si>
  <si>
    <t>603,7395</t>
  </si>
  <si>
    <t>595,5444</t>
  </si>
  <si>
    <t>711,6069</t>
  </si>
  <si>
    <t>741,1466</t>
  </si>
  <si>
    <t>674,8472</t>
  </si>
  <si>
    <t>675,4616</t>
  </si>
  <si>
    <t>621,3286</t>
  </si>
  <si>
    <t>782,7068</t>
  </si>
  <si>
    <t>765,2133</t>
  </si>
  <si>
    <t>764,2628</t>
  </si>
  <si>
    <t>749,9388</t>
  </si>
  <si>
    <t>773,6659</t>
  </si>
  <si>
    <t>772,2594</t>
  </si>
  <si>
    <t>772,6412</t>
  </si>
  <si>
    <t>836,8349</t>
  </si>
  <si>
    <t>69,7</t>
  </si>
  <si>
    <t>924,4932</t>
  </si>
  <si>
    <t>959,8022</t>
  </si>
  <si>
    <t>926,9351</t>
  </si>
  <si>
    <t>966,4358</t>
  </si>
  <si>
    <t>885,404</t>
  </si>
  <si>
    <t>886,798</t>
  </si>
  <si>
    <t>769,2959</t>
  </si>
  <si>
    <t>919,697</t>
  </si>
  <si>
    <t>940,2797</t>
  </si>
  <si>
    <t>817,9074</t>
  </si>
  <si>
    <t>964,3987</t>
  </si>
  <si>
    <t>969,992</t>
  </si>
  <si>
    <t>848,636</t>
  </si>
  <si>
    <t>602,453</t>
  </si>
  <si>
    <t>601,2802</t>
  </si>
  <si>
    <t>623,6095</t>
  </si>
  <si>
    <t>657,9636</t>
  </si>
  <si>
    <t>577,0746</t>
  </si>
  <si>
    <t>558,6684</t>
  </si>
  <si>
    <t>603,5522</t>
  </si>
  <si>
    <t>735,303</t>
  </si>
  <si>
    <t>715,9241</t>
  </si>
  <si>
    <t>704,3015</t>
  </si>
  <si>
    <t>737,4775</t>
  </si>
  <si>
    <t>705,7028</t>
  </si>
  <si>
    <t>695,5721</t>
  </si>
  <si>
    <t>724,0064</t>
  </si>
  <si>
    <t>716,1197</t>
  </si>
  <si>
    <t>633,0298</t>
  </si>
  <si>
    <t>669,238</t>
  </si>
  <si>
    <t>683,1727</t>
  </si>
  <si>
    <t>576,9998</t>
  </si>
  <si>
    <t>568,2106</t>
  </si>
  <si>
    <t>669,445</t>
  </si>
  <si>
    <t>807,1303</t>
  </si>
  <si>
    <t>84,9</t>
  </si>
  <si>
    <t>787,2974</t>
  </si>
  <si>
    <t>816,6938</t>
  </si>
  <si>
    <t>85,7</t>
  </si>
  <si>
    <t>857,5241</t>
  </si>
  <si>
    <t>85,4</t>
  </si>
  <si>
    <t>890,911</t>
  </si>
  <si>
    <t>81,3</t>
  </si>
  <si>
    <t>736,5286</t>
  </si>
  <si>
    <t>82,5</t>
  </si>
  <si>
    <t>805,4594</t>
  </si>
  <si>
    <t>81,9</t>
  </si>
  <si>
    <t>671,4791</t>
  </si>
  <si>
    <t>657,3309</t>
  </si>
  <si>
    <t>696,5957</t>
  </si>
  <si>
    <t>682,2886</t>
  </si>
  <si>
    <t>661,6526</t>
  </si>
  <si>
    <t>664,9833</t>
  </si>
  <si>
    <t>667,7975</t>
  </si>
  <si>
    <t>920,5119</t>
  </si>
  <si>
    <t>88,7</t>
  </si>
  <si>
    <t>862,4395</t>
  </si>
  <si>
    <t>817,5517</t>
  </si>
  <si>
    <t>76,9</t>
  </si>
  <si>
    <t>851,3474</t>
  </si>
  <si>
    <t>816,7855</t>
  </si>
  <si>
    <t>806,8766</t>
  </si>
  <si>
    <t>80,4</t>
  </si>
  <si>
    <t>880,3186</t>
  </si>
  <si>
    <t>84,5</t>
  </si>
  <si>
    <t>805,1675</t>
  </si>
  <si>
    <t>826,3858</t>
  </si>
  <si>
    <t>854,6996</t>
  </si>
  <si>
    <t>836,8548</t>
  </si>
  <si>
    <t>865,4509</t>
  </si>
  <si>
    <t>797,063</t>
  </si>
  <si>
    <t>819,5734</t>
  </si>
  <si>
    <t>628,0769</t>
  </si>
  <si>
    <t>674,8945</t>
  </si>
  <si>
    <t>721,1053</t>
  </si>
  <si>
    <t>723,6337</t>
  </si>
  <si>
    <t>712,6223</t>
  </si>
  <si>
    <t>716,4678</t>
  </si>
  <si>
    <t>662,0938</t>
  </si>
  <si>
    <t>864,0663</t>
  </si>
  <si>
    <t>870,2748</t>
  </si>
  <si>
    <t>872,8404</t>
  </si>
  <si>
    <t>861,0796</t>
  </si>
  <si>
    <t>893,1471</t>
  </si>
  <si>
    <t>845,8551</t>
  </si>
  <si>
    <t>867,0654</t>
  </si>
  <si>
    <t>649,1949</t>
  </si>
  <si>
    <t>639,9096</t>
  </si>
  <si>
    <t>667,6628</t>
  </si>
  <si>
    <t>689,2372</t>
  </si>
  <si>
    <t>666,6789</t>
  </si>
  <si>
    <t>624,0479</t>
  </si>
  <si>
    <t>649,3822</t>
  </si>
  <si>
    <t>202207</t>
  </si>
  <si>
    <t>833,8894</t>
  </si>
  <si>
    <t>861,702</t>
  </si>
  <si>
    <t>69,9</t>
  </si>
  <si>
    <t>887,9574</t>
  </si>
  <si>
    <t>873,5624</t>
  </si>
  <si>
    <t>888,7017</t>
  </si>
  <si>
    <t>845,0397</t>
  </si>
  <si>
    <t>851,761</t>
  </si>
  <si>
    <t>888,2122</t>
  </si>
  <si>
    <t>911,6162</t>
  </si>
  <si>
    <t>959,1709</t>
  </si>
  <si>
    <t>73</t>
  </si>
  <si>
    <t>922,745</t>
  </si>
  <si>
    <t>943,4856</t>
  </si>
  <si>
    <t>862,1406</t>
  </si>
  <si>
    <t>903,4609</t>
  </si>
  <si>
    <t>671,5976</t>
  </si>
  <si>
    <t>674,1781</t>
  </si>
  <si>
    <t>721,1425</t>
  </si>
  <si>
    <t>678,6424</t>
  </si>
  <si>
    <t>670,1352</t>
  </si>
  <si>
    <t>655,7404</t>
  </si>
  <si>
    <t>674,3455</t>
  </si>
  <si>
    <t>1007,6592</t>
  </si>
  <si>
    <t>100,5</t>
  </si>
  <si>
    <t>964,7139</t>
  </si>
  <si>
    <t>94,4</t>
  </si>
  <si>
    <t>867,8324</t>
  </si>
  <si>
    <t>91,3</t>
  </si>
  <si>
    <t>919,2578</t>
  </si>
  <si>
    <t>92,2</t>
  </si>
  <si>
    <t>916,4142</t>
  </si>
  <si>
    <t>87,8</t>
  </si>
  <si>
    <t>918,1547</t>
  </si>
  <si>
    <t>97,6</t>
  </si>
  <si>
    <t>971,758</t>
  </si>
  <si>
    <t>96,7</t>
  </si>
  <si>
    <t>632,2228</t>
  </si>
  <si>
    <t>619,2385</t>
  </si>
  <si>
    <t>750,7772</t>
  </si>
  <si>
    <t>775,4762</t>
  </si>
  <si>
    <t>707,5693</t>
  </si>
  <si>
    <t>712,7584</t>
  </si>
  <si>
    <t>649,6896</t>
  </si>
  <si>
    <t>864,6076</t>
  </si>
  <si>
    <t>71,9</t>
  </si>
  <si>
    <t>843,2412</t>
  </si>
  <si>
    <t>850,1493</t>
  </si>
  <si>
    <t>824,7389</t>
  </si>
  <si>
    <t>841,7258</t>
  </si>
  <si>
    <t>859,0467</t>
  </si>
  <si>
    <t>852,4176</t>
  </si>
  <si>
    <t>895,2133</t>
  </si>
  <si>
    <t>76,4</t>
  </si>
  <si>
    <t>989,2239</t>
  </si>
  <si>
    <t>1023,7507</t>
  </si>
  <si>
    <t>983,2876</t>
  </si>
  <si>
    <t>1032,1162</t>
  </si>
  <si>
    <t>936,7884</t>
  </si>
  <si>
    <t>947,493</t>
  </si>
  <si>
    <t>799,7386</t>
  </si>
  <si>
    <t>982,8096</t>
  </si>
  <si>
    <t>988,6105</t>
  </si>
  <si>
    <t>863,1723</t>
  </si>
  <si>
    <t>1033,6685</t>
  </si>
  <si>
    <t>1037,7187</t>
  </si>
  <si>
    <t>895,3078</t>
  </si>
  <si>
    <t>630,5231</t>
  </si>
  <si>
    <t>637,8447</t>
  </si>
  <si>
    <t>665,1519</t>
  </si>
  <si>
    <t>697,6831</t>
  </si>
  <si>
    <t>619,1985</t>
  </si>
  <si>
    <t>591,5428</t>
  </si>
  <si>
    <t>636,8292</t>
  </si>
  <si>
    <t>833,6439</t>
  </si>
  <si>
    <t>13,4</t>
  </si>
  <si>
    <t>818,3301</t>
  </si>
  <si>
    <t>784,6476</t>
  </si>
  <si>
    <t>813,555</t>
  </si>
  <si>
    <t>795,907</t>
  </si>
  <si>
    <t>12,8</t>
  </si>
  <si>
    <t>762,9884</t>
  </si>
  <si>
    <t>819,4993</t>
  </si>
  <si>
    <t>772,9907</t>
  </si>
  <si>
    <t>657,2769</t>
  </si>
  <si>
    <t>693,5551</t>
  </si>
  <si>
    <t>713,2773</t>
  </si>
  <si>
    <t>626,7451</t>
  </si>
  <si>
    <t>595,2195</t>
  </si>
  <si>
    <t>710,2816</t>
  </si>
  <si>
    <t>898,0347</t>
  </si>
  <si>
    <t>11,3</t>
  </si>
  <si>
    <t>94,9</t>
  </si>
  <si>
    <t>856,3994</t>
  </si>
  <si>
    <t>887,1362</t>
  </si>
  <si>
    <t>92,9</t>
  </si>
  <si>
    <t>915,545</t>
  </si>
  <si>
    <t>89,4</t>
  </si>
  <si>
    <t>966,3488</t>
  </si>
  <si>
    <t>88,3</t>
  </si>
  <si>
    <t>812,549</t>
  </si>
  <si>
    <t>91,9</t>
  </si>
  <si>
    <t>884,0683</t>
  </si>
  <si>
    <t>90,6</t>
  </si>
  <si>
    <t>726,5191</t>
  </si>
  <si>
    <t>710,5321</t>
  </si>
  <si>
    <t>763,888</t>
  </si>
  <si>
    <t>733,4025</t>
  </si>
  <si>
    <t>711,0776</t>
  </si>
  <si>
    <t>713,5734</t>
  </si>
  <si>
    <t>721,9398</t>
  </si>
  <si>
    <t>1021,8762</t>
  </si>
  <si>
    <t>966,417</t>
  </si>
  <si>
    <t>94,2</t>
  </si>
  <si>
    <t>895,2785</t>
  </si>
  <si>
    <t>85,6</t>
  </si>
  <si>
    <t>938,3244</t>
  </si>
  <si>
    <t>915,6372</t>
  </si>
  <si>
    <t>896,7955</t>
  </si>
  <si>
    <t>11,1</t>
  </si>
  <si>
    <t>91,6</t>
  </si>
  <si>
    <t>979,7957</t>
  </si>
  <si>
    <t>95,8</t>
  </si>
  <si>
    <t>865,104</t>
  </si>
  <si>
    <t>886,5012</t>
  </si>
  <si>
    <t>919,896</t>
  </si>
  <si>
    <t>73,2</t>
  </si>
  <si>
    <t>892,375</t>
  </si>
  <si>
    <t>925,1291</t>
  </si>
  <si>
    <t>860,1417</t>
  </si>
  <si>
    <t>879,6383</t>
  </si>
  <si>
    <t>657,4233</t>
  </si>
  <si>
    <t>708,5254</t>
  </si>
  <si>
    <t>756,3783</t>
  </si>
  <si>
    <t>754,6446</t>
  </si>
  <si>
    <t>755,1332</t>
  </si>
  <si>
    <t>762,0666</t>
  </si>
  <si>
    <t>694,6115</t>
  </si>
  <si>
    <t>924,9143</t>
  </si>
  <si>
    <t>936,1474</t>
  </si>
  <si>
    <t>939,725</t>
  </si>
  <si>
    <t>920,7336</t>
  </si>
  <si>
    <t>73,7</t>
  </si>
  <si>
    <t>957,7696</t>
  </si>
  <si>
    <t>916,6287</t>
  </si>
  <si>
    <t>930,4681</t>
  </si>
  <si>
    <t>701,1212</t>
  </si>
  <si>
    <t>686,9801</t>
  </si>
  <si>
    <t>710,606</t>
  </si>
  <si>
    <t>730,7573</t>
  </si>
  <si>
    <t>717,682</t>
  </si>
  <si>
    <t>667,4026</t>
  </si>
  <si>
    <t>698,1322</t>
  </si>
  <si>
    <t>202208</t>
  </si>
  <si>
    <t>891,851</t>
  </si>
  <si>
    <t>921,3802</t>
  </si>
  <si>
    <t>77,7</t>
  </si>
  <si>
    <t>955,6421</t>
  </si>
  <si>
    <t>940,0434</t>
  </si>
  <si>
    <t>79,9</t>
  </si>
  <si>
    <t>946,058</t>
  </si>
  <si>
    <t>899,4604</t>
  </si>
  <si>
    <t>911,1316</t>
  </si>
  <si>
    <t>78,5</t>
  </si>
  <si>
    <t>949,1534</t>
  </si>
  <si>
    <t>978,4495</t>
  </si>
  <si>
    <t>79,7</t>
  </si>
  <si>
    <t>1031,0056</t>
  </si>
  <si>
    <t>82,4</t>
  </si>
  <si>
    <t>988,4213</t>
  </si>
  <si>
    <t>1013,1572</t>
  </si>
  <si>
    <t>920,7258</t>
  </si>
  <si>
    <t>967,5805</t>
  </si>
  <si>
    <t>80</t>
  </si>
  <si>
    <t>720,776</t>
  </si>
  <si>
    <t>720,1681</t>
  </si>
  <si>
    <t>768,2644</t>
  </si>
  <si>
    <t>725,2922</t>
  </si>
  <si>
    <t>714,3279</t>
  </si>
  <si>
    <t>700,2123</t>
  </si>
  <si>
    <t>721,689</t>
  </si>
  <si>
    <t>1105,1037</t>
  </si>
  <si>
    <t>111,7</t>
  </si>
  <si>
    <t>1062,1811</t>
  </si>
  <si>
    <t>108,1</t>
  </si>
  <si>
    <t>959,7847</t>
  </si>
  <si>
    <t>101,6</t>
  </si>
  <si>
    <t>1026,5281</t>
  </si>
  <si>
    <t>107,3</t>
  </si>
  <si>
    <t>996,8983</t>
  </si>
  <si>
    <t>100,4</t>
  </si>
  <si>
    <t>988,3812</t>
  </si>
  <si>
    <t>106,6</t>
  </si>
  <si>
    <t>1067,5251</t>
  </si>
  <si>
    <t>109</t>
  </si>
  <si>
    <t>666,6488</t>
  </si>
  <si>
    <t>649,7846</t>
  </si>
  <si>
    <t>809,7423</t>
  </si>
  <si>
    <t>841,676</t>
  </si>
  <si>
    <t>746,9598</t>
  </si>
  <si>
    <t>735,239</t>
  </si>
  <si>
    <t>685,6993</t>
  </si>
  <si>
    <t>938,9133</t>
  </si>
  <si>
    <t>914,0506</t>
  </si>
  <si>
    <t>78,6</t>
  </si>
  <si>
    <t>922,9098</t>
  </si>
  <si>
    <t>895,0113</t>
  </si>
  <si>
    <t>78,9</t>
  </si>
  <si>
    <t>908,8059</t>
  </si>
  <si>
    <t>76,3</t>
  </si>
  <si>
    <t>921,1282</t>
  </si>
  <si>
    <t>924,2301</t>
  </si>
  <si>
    <t>79,2</t>
  </si>
  <si>
    <t>951,6338</t>
  </si>
  <si>
    <t>1042,108</t>
  </si>
  <si>
    <t>1077,5753</t>
  </si>
  <si>
    <t>1033,6037</t>
  </si>
  <si>
    <t>1078,0811</t>
  </si>
  <si>
    <t>994,9025</t>
  </si>
  <si>
    <t>1001,738</t>
  </si>
  <si>
    <t>74,6</t>
  </si>
  <si>
    <t>865,9841</t>
  </si>
  <si>
    <t>1040,6888</t>
  </si>
  <si>
    <t>1066,0541</t>
  </si>
  <si>
    <t>915,9192</t>
  </si>
  <si>
    <t>1069,3372</t>
  </si>
  <si>
    <t>1097,0372</t>
  </si>
  <si>
    <t>956,4746</t>
  </si>
  <si>
    <t>655,8881</t>
  </si>
  <si>
    <t>662,3649</t>
  </si>
  <si>
    <t>688,1739</t>
  </si>
  <si>
    <t>728,6123</t>
  </si>
  <si>
    <t>646,7086</t>
  </si>
  <si>
    <t>624,4615</t>
  </si>
  <si>
    <t>662,6492</t>
  </si>
  <si>
    <t>875,9283</t>
  </si>
  <si>
    <t>851,0147</t>
  </si>
  <si>
    <t>827,1721</t>
  </si>
  <si>
    <t>875,4758</t>
  </si>
  <si>
    <t>841,6211</t>
  </si>
  <si>
    <t>819,2832</t>
  </si>
  <si>
    <t>860,7132</t>
  </si>
  <si>
    <t>802,6439</t>
  </si>
  <si>
    <t>700,0279</t>
  </si>
  <si>
    <t>724,2679</t>
  </si>
  <si>
    <t>748,4931</t>
  </si>
  <si>
    <t>675,3696</t>
  </si>
  <si>
    <t>624,5188</t>
  </si>
  <si>
    <t>745,7268</t>
  </si>
  <si>
    <t>953,6599</t>
  </si>
  <si>
    <t>102,8</t>
  </si>
  <si>
    <t>917,2334</t>
  </si>
  <si>
    <t>949,7249</t>
  </si>
  <si>
    <t>102,5</t>
  </si>
  <si>
    <t>981,0104</t>
  </si>
  <si>
    <t>96,3</t>
  </si>
  <si>
    <t>1031,7159</t>
  </si>
  <si>
    <t>865,6561</t>
  </si>
  <si>
    <t>97</t>
  </si>
  <si>
    <t>942,9087</t>
  </si>
  <si>
    <t>97,5</t>
  </si>
  <si>
    <t>785,7644</t>
  </si>
  <si>
    <t>777,8293</t>
  </si>
  <si>
    <t>836,1936</t>
  </si>
  <si>
    <t>791,9584</t>
  </si>
  <si>
    <t>767,743</t>
  </si>
  <si>
    <t>773,74</t>
  </si>
  <si>
    <t>784,4224</t>
  </si>
  <si>
    <t>1097,1543</t>
  </si>
  <si>
    <t>112,8</t>
  </si>
  <si>
    <t>1056,1436</t>
  </si>
  <si>
    <t>112,5</t>
  </si>
  <si>
    <t>999,5159</t>
  </si>
  <si>
    <t>11,6</t>
  </si>
  <si>
    <t>102,2</t>
  </si>
  <si>
    <t>1048,0606</t>
  </si>
  <si>
    <t>111,3</t>
  </si>
  <si>
    <t>1010,209</t>
  </si>
  <si>
    <t>109,8</t>
  </si>
  <si>
    <t>970,0844</t>
  </si>
  <si>
    <t>102,4</t>
  </si>
  <si>
    <t>1064,731</t>
  </si>
  <si>
    <t>111,5</t>
  </si>
  <si>
    <t>924,8975</t>
  </si>
  <si>
    <t>945,8472</t>
  </si>
  <si>
    <t>983,7304</t>
  </si>
  <si>
    <t>955,843</t>
  </si>
  <si>
    <t>982,4718</t>
  </si>
  <si>
    <t>917,229</t>
  </si>
  <si>
    <t>939,4677</t>
  </si>
  <si>
    <t>702,1983</t>
  </si>
  <si>
    <t>750,7463</t>
  </si>
  <si>
    <t>813,4947</t>
  </si>
  <si>
    <t>801,895</t>
  </si>
  <si>
    <t>791,5312</t>
  </si>
  <si>
    <t>795,8283</t>
  </si>
  <si>
    <t>738,3105</t>
  </si>
  <si>
    <t>994,2863</t>
  </si>
  <si>
    <t>81,6</t>
  </si>
  <si>
    <t>1005,3481</t>
  </si>
  <si>
    <t>1013,8797</t>
  </si>
  <si>
    <t>82,6</t>
  </si>
  <si>
    <t>993,0219</t>
  </si>
  <si>
    <t>82,9</t>
  </si>
  <si>
    <t>1021,8287</t>
  </si>
  <si>
    <t>980,0616</t>
  </si>
  <si>
    <t>999,6564</t>
  </si>
  <si>
    <t>81,4</t>
  </si>
  <si>
    <t>742,4397</t>
  </si>
  <si>
    <t>724,3091</t>
  </si>
  <si>
    <t>756,1249</t>
  </si>
  <si>
    <t>779,6575</t>
  </si>
  <si>
    <t>758,4414</t>
  </si>
  <si>
    <t>699,4611</t>
  </si>
  <si>
    <t>738,3679</t>
  </si>
  <si>
    <t>202209</t>
  </si>
  <si>
    <t>945,6836</t>
  </si>
  <si>
    <t>979,0952</t>
  </si>
  <si>
    <t>1021,0723</t>
  </si>
  <si>
    <t>87,5</t>
  </si>
  <si>
    <t>997,7785</t>
  </si>
  <si>
    <t>1003,4171</t>
  </si>
  <si>
    <t>83,1</t>
  </si>
  <si>
    <t>954,6011</t>
  </si>
  <si>
    <t>80,1</t>
  </si>
  <si>
    <t>967,3076</t>
  </si>
  <si>
    <t>83</t>
  </si>
  <si>
    <t>1016,1594</t>
  </si>
  <si>
    <t>86,4</t>
  </si>
  <si>
    <t>1043,7363</t>
  </si>
  <si>
    <t>86,7</t>
  </si>
  <si>
    <t>1101,2801</t>
  </si>
  <si>
    <t>90,2</t>
  </si>
  <si>
    <t>1041,0437</t>
  </si>
  <si>
    <t>86</t>
  </si>
  <si>
    <t>1078,2487</t>
  </si>
  <si>
    <t>87</t>
  </si>
  <si>
    <t>982,087</t>
  </si>
  <si>
    <t>84,8</t>
  </si>
  <si>
    <t>1032,8063</t>
  </si>
  <si>
    <t>86,6</t>
  </si>
  <si>
    <t>792,0976</t>
  </si>
  <si>
    <t>782,6906</t>
  </si>
  <si>
    <t>850,0661</t>
  </si>
  <si>
    <t>794,3172</t>
  </si>
  <si>
    <t>780,9433</t>
  </si>
  <si>
    <t>763,8523</t>
  </si>
  <si>
    <t>789,7014</t>
  </si>
  <si>
    <t>1228,9766</t>
  </si>
  <si>
    <t>120,5</t>
  </si>
  <si>
    <t>1168,8358</t>
  </si>
  <si>
    <t>117,2</t>
  </si>
  <si>
    <t>1060,2226</t>
  </si>
  <si>
    <t>114,1</t>
  </si>
  <si>
    <t>1140,7017</t>
  </si>
  <si>
    <t>117,3</t>
  </si>
  <si>
    <t>1104,3895</t>
  </si>
  <si>
    <t>109,6</t>
  </si>
  <si>
    <t>1067,3245</t>
  </si>
  <si>
    <t>112,3</t>
  </si>
  <si>
    <t>1180,9506</t>
  </si>
  <si>
    <t>118</t>
  </si>
  <si>
    <t>682,2554</t>
  </si>
  <si>
    <t>671,2012</t>
  </si>
  <si>
    <t>893,9536</t>
  </si>
  <si>
    <t>88,1</t>
  </si>
  <si>
    <t>860,5578</t>
  </si>
  <si>
    <t>771,7696</t>
  </si>
  <si>
    <t>754,9993</t>
  </si>
  <si>
    <t>706,9826</t>
  </si>
  <si>
    <t>995,7438</t>
  </si>
  <si>
    <t>85</t>
  </si>
  <si>
    <t>969,2023</t>
  </si>
  <si>
    <t>83,5</t>
  </si>
  <si>
    <t>973,0769</t>
  </si>
  <si>
    <t>80,5</t>
  </si>
  <si>
    <t>945,1894</t>
  </si>
  <si>
    <t>971,8371</t>
  </si>
  <si>
    <t>83,2</t>
  </si>
  <si>
    <t>979,6917</t>
  </si>
  <si>
    <t>980,1201</t>
  </si>
  <si>
    <t>988,6047</t>
  </si>
  <si>
    <t>77,6</t>
  </si>
  <si>
    <t>1086,393</t>
  </si>
  <si>
    <t>1134,345</t>
  </si>
  <si>
    <t>1092,7001</t>
  </si>
  <si>
    <t>1135,2945</t>
  </si>
  <si>
    <t>1042,7151</t>
  </si>
  <si>
    <t>1045,0789</t>
  </si>
  <si>
    <t>922,6734</t>
  </si>
  <si>
    <t>1096,4184</t>
  </si>
  <si>
    <t>78</t>
  </si>
  <si>
    <t>1118,115</t>
  </si>
  <si>
    <t>977,0687</t>
  </si>
  <si>
    <t>1106,6679</t>
  </si>
  <si>
    <t>75,7</t>
  </si>
  <si>
    <t>1156,7571</t>
  </si>
  <si>
    <t>1012,0676</t>
  </si>
  <si>
    <t>75,6</t>
  </si>
  <si>
    <t>670,1796</t>
  </si>
  <si>
    <t>678,2712</t>
  </si>
  <si>
    <t>705,6025</t>
  </si>
  <si>
    <t>750,9946</t>
  </si>
  <si>
    <t>670,391</t>
  </si>
  <si>
    <t>645,622</t>
  </si>
  <si>
    <t>678,9797</t>
  </si>
  <si>
    <t>918,5569</t>
  </si>
  <si>
    <t>76,5</t>
  </si>
  <si>
    <t>900,5616</t>
  </si>
  <si>
    <t>862,4453</t>
  </si>
  <si>
    <t>913,0629</t>
  </si>
  <si>
    <t>78,1</t>
  </si>
  <si>
    <t>890,3281</t>
  </si>
  <si>
    <t>872,3573</t>
  </si>
  <si>
    <t>905,8061</t>
  </si>
  <si>
    <t>829,866</t>
  </si>
  <si>
    <t>730,7558</t>
  </si>
  <si>
    <t>737,7157</t>
  </si>
  <si>
    <t>778,2235</t>
  </si>
  <si>
    <t>701,4317</t>
  </si>
  <si>
    <t>638,2452</t>
  </si>
  <si>
    <t>772,9974</t>
  </si>
  <si>
    <t>989,7111</t>
  </si>
  <si>
    <t>101,4</t>
  </si>
  <si>
    <t>970,0002</t>
  </si>
  <si>
    <t>93,9</t>
  </si>
  <si>
    <t>997,4533</t>
  </si>
  <si>
    <t>105,5</t>
  </si>
  <si>
    <t>1040,6318</t>
  </si>
  <si>
    <t>101</t>
  </si>
  <si>
    <t>1076,2622</t>
  </si>
  <si>
    <t>100,9</t>
  </si>
  <si>
    <t>929,1266</t>
  </si>
  <si>
    <t>102,1</t>
  </si>
  <si>
    <t>988,6307</t>
  </si>
  <si>
    <t>99</t>
  </si>
  <si>
    <t>840,6757</t>
  </si>
  <si>
    <t>829,7801</t>
  </si>
  <si>
    <t>897,3017</t>
  </si>
  <si>
    <t>843,3279</t>
  </si>
  <si>
    <t>82,8</t>
  </si>
  <si>
    <t>818,0974</t>
  </si>
  <si>
    <t>819,7012</t>
  </si>
  <si>
    <t>837,7345</t>
  </si>
  <si>
    <t>1224,724</t>
  </si>
  <si>
    <t>120,9</t>
  </si>
  <si>
    <t>1180,1108</t>
  </si>
  <si>
    <t>125,2</t>
  </si>
  <si>
    <t>1125,6894</t>
  </si>
  <si>
    <t>121,4</t>
  </si>
  <si>
    <t>1175,4958</t>
  </si>
  <si>
    <t>12,2</t>
  </si>
  <si>
    <t>124,7</t>
  </si>
  <si>
    <t>1137,8911</t>
  </si>
  <si>
    <t>120,8</t>
  </si>
  <si>
    <t>1068,3169</t>
  </si>
  <si>
    <t>1189,6609</t>
  </si>
  <si>
    <t>122,2</t>
  </si>
  <si>
    <t>975,7034</t>
  </si>
  <si>
    <t>998,5507</t>
  </si>
  <si>
    <t>1039,133</t>
  </si>
  <si>
    <t>84,3</t>
  </si>
  <si>
    <t>1006,2869</t>
  </si>
  <si>
    <t>83,3</t>
  </si>
  <si>
    <t>1035,6318</t>
  </si>
  <si>
    <t>968,7437</t>
  </si>
  <si>
    <t>991,2585</t>
  </si>
  <si>
    <t>82,3</t>
  </si>
  <si>
    <t>731,7239</t>
  </si>
  <si>
    <t>785,194</t>
  </si>
  <si>
    <t>875,7264</t>
  </si>
  <si>
    <t>838,0553</t>
  </si>
  <si>
    <t>822,8487</t>
  </si>
  <si>
    <t>836,6054</t>
  </si>
  <si>
    <t>771,8891</t>
  </si>
  <si>
    <t>1066,4384</t>
  </si>
  <si>
    <t>1073,6007</t>
  </si>
  <si>
    <t>87,3</t>
  </si>
  <si>
    <t>1083,0153</t>
  </si>
  <si>
    <t>89,9</t>
  </si>
  <si>
    <t>1059,5244</t>
  </si>
  <si>
    <t>88,9</t>
  </si>
  <si>
    <t>1090,7465</t>
  </si>
  <si>
    <t>1044,0595</t>
  </si>
  <si>
    <t>84,6</t>
  </si>
  <si>
    <t>1069,4142</t>
  </si>
  <si>
    <t>87,6</t>
  </si>
  <si>
    <t>769,5515</t>
  </si>
  <si>
    <t>757,2926</t>
  </si>
  <si>
    <t>808,861</t>
  </si>
  <si>
    <t>810,85</t>
  </si>
  <si>
    <t>787,1801</t>
  </si>
  <si>
    <t>732,6241</t>
  </si>
  <si>
    <t>769,2362</t>
  </si>
  <si>
    <t>202210</t>
  </si>
  <si>
    <t>1007,6275</t>
  </si>
  <si>
    <t>1039,2079</t>
  </si>
  <si>
    <t>87,4</t>
  </si>
  <si>
    <t>1084,624</t>
  </si>
  <si>
    <t>92,4</t>
  </si>
  <si>
    <t>1060,4604</t>
  </si>
  <si>
    <t>90,4</t>
  </si>
  <si>
    <t>1063,4948</t>
  </si>
  <si>
    <t>88,2</t>
  </si>
  <si>
    <t>1017,5863</t>
  </si>
  <si>
    <t>1028,706</t>
  </si>
  <si>
    <t>1084,2719</t>
  </si>
  <si>
    <t>92,1</t>
  </si>
  <si>
    <t>1101,8147</t>
  </si>
  <si>
    <t>90,5</t>
  </si>
  <si>
    <t>1165,5308</t>
  </si>
  <si>
    <t>95,2</t>
  </si>
  <si>
    <t>1098,8796</t>
  </si>
  <si>
    <t>89,6</t>
  </si>
  <si>
    <t>1141,8173</t>
  </si>
  <si>
    <t>93,1</t>
  </si>
  <si>
    <t>1053,1016</t>
  </si>
  <si>
    <t>92,6</t>
  </si>
  <si>
    <t>1096,5069</t>
  </si>
  <si>
    <t>834,2555</t>
  </si>
  <si>
    <t>828,4635</t>
  </si>
  <si>
    <t>896,9728</t>
  </si>
  <si>
    <t>835,677</t>
  </si>
  <si>
    <t>816,249</t>
  </si>
  <si>
    <t>76,6</t>
  </si>
  <si>
    <t>802,5047</t>
  </si>
  <si>
    <t>832,7248</t>
  </si>
  <si>
    <t>80,3</t>
  </si>
  <si>
    <t>1311,454</t>
  </si>
  <si>
    <t>122,4</t>
  </si>
  <si>
    <t>1249,3424</t>
  </si>
  <si>
    <t>121,8</t>
  </si>
  <si>
    <t>1145,8844</t>
  </si>
  <si>
    <t>116,4</t>
  </si>
  <si>
    <t>1223,7727</t>
  </si>
  <si>
    <t>123,9</t>
  </si>
  <si>
    <t>1177,8085</t>
  </si>
  <si>
    <t>117,6</t>
  </si>
  <si>
    <t>1130,2578</t>
  </si>
  <si>
    <t>116,3</t>
  </si>
  <si>
    <t>1261,5985</t>
  </si>
  <si>
    <t>121,5</t>
  </si>
  <si>
    <t>737,5066</t>
  </si>
  <si>
    <t>716,257</t>
  </si>
  <si>
    <t>960,5929</t>
  </si>
  <si>
    <t>98,6</t>
  </si>
  <si>
    <t>929,0427</t>
  </si>
  <si>
    <t>819,7921</t>
  </si>
  <si>
    <t>806,9316</t>
  </si>
  <si>
    <t>759,7711</t>
  </si>
  <si>
    <t>1037,6003</t>
  </si>
  <si>
    <t>1022,4126</t>
  </si>
  <si>
    <t>88,5</t>
  </si>
  <si>
    <t>1019,3931</t>
  </si>
  <si>
    <t>84,4</t>
  </si>
  <si>
    <t>997,1052</t>
  </si>
  <si>
    <t>86,9</t>
  </si>
  <si>
    <t>1027,5945</t>
  </si>
  <si>
    <t>1041,4405</t>
  </si>
  <si>
    <t>1028,4132</t>
  </si>
  <si>
    <t>1061,7218</t>
  </si>
  <si>
    <t>1165,6207</t>
  </si>
  <si>
    <t>1198,4779</t>
  </si>
  <si>
    <t>1157,9343</t>
  </si>
  <si>
    <t>1215,0548</t>
  </si>
  <si>
    <t>1111,3047</t>
  </si>
  <si>
    <t>1119,4447</t>
  </si>
  <si>
    <t>954,7172</t>
  </si>
  <si>
    <t>73,5</t>
  </si>
  <si>
    <t>1149,3269</t>
  </si>
  <si>
    <t>1188,1101</t>
  </si>
  <si>
    <t>1031,6123</t>
  </si>
  <si>
    <t>1177,3574</t>
  </si>
  <si>
    <t>80,8</t>
  </si>
  <si>
    <t>1215,2162</t>
  </si>
  <si>
    <t>1057,3307</t>
  </si>
  <si>
    <t>761,098</t>
  </si>
  <si>
    <t>752,5915</t>
  </si>
  <si>
    <t>786,614</t>
  </si>
  <si>
    <t>834,2753</t>
  </si>
  <si>
    <t>742,1208</t>
  </si>
  <si>
    <t>713,4248</t>
  </si>
  <si>
    <t>761,29</t>
  </si>
  <si>
    <t>966,868</t>
  </si>
  <si>
    <t>954,4848</t>
  </si>
  <si>
    <t>900,8505</t>
  </si>
  <si>
    <t>978,8845</t>
  </si>
  <si>
    <t>82,2</t>
  </si>
  <si>
    <t>930,0968</t>
  </si>
  <si>
    <t>931,6448</t>
  </si>
  <si>
    <t>956,8276</t>
  </si>
  <si>
    <t>912,4533</t>
  </si>
  <si>
    <t>771,0735</t>
  </si>
  <si>
    <t>742,8393</t>
  </si>
  <si>
    <t>806,4209</t>
  </si>
  <si>
    <t>717,69</t>
  </si>
  <si>
    <t>661,0015</t>
  </si>
  <si>
    <t>827,9004</t>
  </si>
  <si>
    <t>1068,9781</t>
  </si>
  <si>
    <t>109,1</t>
  </si>
  <si>
    <t>1039,689</t>
  </si>
  <si>
    <t>98,8</t>
  </si>
  <si>
    <t>1068,5793</t>
  </si>
  <si>
    <t>110</t>
  </si>
  <si>
    <t>1113,0381</t>
  </si>
  <si>
    <t>108,3</t>
  </si>
  <si>
    <t>1128,1159</t>
  </si>
  <si>
    <t>104,1</t>
  </si>
  <si>
    <t>1000,7229</t>
  </si>
  <si>
    <t>110,7</t>
  </si>
  <si>
    <t>1061,9488</t>
  </si>
  <si>
    <t>105,2</t>
  </si>
  <si>
    <t>891,3846</t>
  </si>
  <si>
    <t>86,1</t>
  </si>
  <si>
    <t>876,6805</t>
  </si>
  <si>
    <t>952,5839</t>
  </si>
  <si>
    <t>900,3304</t>
  </si>
  <si>
    <t>89,1</t>
  </si>
  <si>
    <t>866,8121</t>
  </si>
  <si>
    <t>85,8</t>
  </si>
  <si>
    <t>905,4486</t>
  </si>
  <si>
    <t>89,2</t>
  </si>
  <si>
    <t>889,2464</t>
  </si>
  <si>
    <t>1331,2452</t>
  </si>
  <si>
    <t>118,8</t>
  </si>
  <si>
    <t>1283,4398</t>
  </si>
  <si>
    <t>128</t>
  </si>
  <si>
    <t>1250,956</t>
  </si>
  <si>
    <t>130,5</t>
  </si>
  <si>
    <t>1301,3792</t>
  </si>
  <si>
    <t>133,1</t>
  </si>
  <si>
    <t>1267,8603</t>
  </si>
  <si>
    <t>134,5</t>
  </si>
  <si>
    <t>1147,0208</t>
  </si>
  <si>
    <t>1297,2889</t>
  </si>
  <si>
    <t>124,1</t>
  </si>
  <si>
    <t>1032,2633</t>
  </si>
  <si>
    <t>87,9</t>
  </si>
  <si>
    <t>1052,7185</t>
  </si>
  <si>
    <t>1090,1865</t>
  </si>
  <si>
    <t>1057,4526</t>
  </si>
  <si>
    <t>1084,4602</t>
  </si>
  <si>
    <t>1031,5166</t>
  </si>
  <si>
    <t>86,3</t>
  </si>
  <si>
    <t>1046,265</t>
  </si>
  <si>
    <t>789,4266</t>
  </si>
  <si>
    <t>839,649</t>
  </si>
  <si>
    <t>945,172</t>
  </si>
  <si>
    <t>900,1277</t>
  </si>
  <si>
    <t>880,0367</t>
  </si>
  <si>
    <t>890,6001</t>
  </si>
  <si>
    <t>829,1011</t>
  </si>
  <si>
    <t>1128,8218</t>
  </si>
  <si>
    <t>1137,0369</t>
  </si>
  <si>
    <t>91,5</t>
  </si>
  <si>
    <t>1149,0646</t>
  </si>
  <si>
    <t>94,3</t>
  </si>
  <si>
    <t>1121,1035</t>
  </si>
  <si>
    <t>93,2</t>
  </si>
  <si>
    <t>1155,2638</t>
  </si>
  <si>
    <t>92</t>
  </si>
  <si>
    <t>1112,2516</t>
  </si>
  <si>
    <t>90,8</t>
  </si>
  <si>
    <t>1132,6433</t>
  </si>
  <si>
    <t>91,8</t>
  </si>
  <si>
    <t>830,8546</t>
  </si>
  <si>
    <t>809,6051</t>
  </si>
  <si>
    <t>863,8558</t>
  </si>
  <si>
    <t>83,9</t>
  </si>
  <si>
    <t>876,8708</t>
  </si>
  <si>
    <t>836,2647</t>
  </si>
  <si>
    <t>782,6888</t>
  </si>
  <si>
    <t>826,4284</t>
  </si>
  <si>
    <t>202211</t>
  </si>
  <si>
    <t>1058,0026</t>
  </si>
  <si>
    <t>92,8</t>
  </si>
  <si>
    <t>1090,4933</t>
  </si>
  <si>
    <t>1133,7592</t>
  </si>
  <si>
    <t>95,3</t>
  </si>
  <si>
    <t>1108,8388</t>
  </si>
  <si>
    <t>94</t>
  </si>
  <si>
    <t>1115,8732</t>
  </si>
  <si>
    <t>92,3</t>
  </si>
  <si>
    <t>1067,4854</t>
  </si>
  <si>
    <t>1079,2787</t>
  </si>
  <si>
    <t>1117,6376</t>
  </si>
  <si>
    <t>94,5</t>
  </si>
  <si>
    <t>1144,706</t>
  </si>
  <si>
    <t>93,4</t>
  </si>
  <si>
    <t>1207,7786</t>
  </si>
  <si>
    <t>96,9</t>
  </si>
  <si>
    <t>1142,1966</t>
  </si>
  <si>
    <t>1183,0934</t>
  </si>
  <si>
    <t>94,8</t>
  </si>
  <si>
    <t>1094,5282</t>
  </si>
  <si>
    <t>1135,001</t>
  </si>
  <si>
    <t>881,8916</t>
  </si>
  <si>
    <t>887,2009</t>
  </si>
  <si>
    <t>90,7</t>
  </si>
  <si>
    <t>956,3019</t>
  </si>
  <si>
    <t>887,0773</t>
  </si>
  <si>
    <t>871,2069</t>
  </si>
  <si>
    <t>86,5</t>
  </si>
  <si>
    <t>854,9105</t>
  </si>
  <si>
    <t>885,54</t>
  </si>
  <si>
    <t>89,7</t>
  </si>
  <si>
    <t>1365,8337</t>
  </si>
  <si>
    <t>1310,793</t>
  </si>
  <si>
    <t>120,3</t>
  </si>
  <si>
    <t>1189,8229</t>
  </si>
  <si>
    <t>1281,8229</t>
  </si>
  <si>
    <t>125,1</t>
  </si>
  <si>
    <t>1230,5595</t>
  </si>
  <si>
    <t>122</t>
  </si>
  <si>
    <t>1189,3209</t>
  </si>
  <si>
    <t>121,2</t>
  </si>
  <si>
    <t>1318,2609</t>
  </si>
  <si>
    <t>816,5347</t>
  </si>
  <si>
    <t>771,2541</t>
  </si>
  <si>
    <t>1028,0217</t>
  </si>
  <si>
    <t>106,4</t>
  </si>
  <si>
    <t>983,6995</t>
  </si>
  <si>
    <t>856,2316</t>
  </si>
  <si>
    <t>856,5633</t>
  </si>
  <si>
    <t>825,5091</t>
  </si>
  <si>
    <t>1095,64</t>
  </si>
  <si>
    <t>92,7</t>
  </si>
  <si>
    <t>1078,1928</t>
  </si>
  <si>
    <t>93,7</t>
  </si>
  <si>
    <t>1069,764</t>
  </si>
  <si>
    <t>1042,9713</t>
  </si>
  <si>
    <t>1080,8734</t>
  </si>
  <si>
    <t>93,5</t>
  </si>
  <si>
    <t>1098,0135</t>
  </si>
  <si>
    <t>1084,1626</t>
  </si>
  <si>
    <t>92,5</t>
  </si>
  <si>
    <t>1095,4888</t>
  </si>
  <si>
    <t>1218,6491</t>
  </si>
  <si>
    <t>1259,8726</t>
  </si>
  <si>
    <t>80,6</t>
  </si>
  <si>
    <t>1223,8496</t>
  </si>
  <si>
    <t>81,1</t>
  </si>
  <si>
    <t>1278,7392</t>
  </si>
  <si>
    <t>1158,946</t>
  </si>
  <si>
    <t>1165,2705</t>
  </si>
  <si>
    <t>81,5</t>
  </si>
  <si>
    <t>1023,5071</t>
  </si>
  <si>
    <t>1209,5364</t>
  </si>
  <si>
    <t>1242,965</t>
  </si>
  <si>
    <t>88,6</t>
  </si>
  <si>
    <t>1084,4384</t>
  </si>
  <si>
    <t>1247,3034</t>
  </si>
  <si>
    <t>85,5</t>
  </si>
  <si>
    <t>1285,7505</t>
  </si>
  <si>
    <t>82,1</t>
  </si>
  <si>
    <t>1121,731</t>
  </si>
  <si>
    <t>84,7</t>
  </si>
  <si>
    <t>804,6584</t>
  </si>
  <si>
    <t>809,8325</t>
  </si>
  <si>
    <t>829,9814</t>
  </si>
  <si>
    <t>870,7574</t>
  </si>
  <si>
    <t>797,7148</t>
  </si>
  <si>
    <t>759,2666</t>
  </si>
  <si>
    <t>809,6802</t>
  </si>
  <si>
    <t>1008,0804</t>
  </si>
  <si>
    <t>987,2752</t>
  </si>
  <si>
    <t>958,4443</t>
  </si>
  <si>
    <t>1013,6889</t>
  </si>
  <si>
    <t>1000,6717</t>
  </si>
  <si>
    <t>87,7</t>
  </si>
  <si>
    <t>965,3216</t>
  </si>
  <si>
    <t>82</t>
  </si>
  <si>
    <t>996,7277</t>
  </si>
  <si>
    <t>945,0341</t>
  </si>
  <si>
    <t>809,2716</t>
  </si>
  <si>
    <t>84,1</t>
  </si>
  <si>
    <t>748,0401</t>
  </si>
  <si>
    <t>818,5415</t>
  </si>
  <si>
    <t>763,5461</t>
  </si>
  <si>
    <t>665,6706</t>
  </si>
  <si>
    <t>859,0553</t>
  </si>
  <si>
    <t>1127,9206</t>
  </si>
  <si>
    <t>1101,3733</t>
  </si>
  <si>
    <t>101,7</t>
  </si>
  <si>
    <t>1122,7119</t>
  </si>
  <si>
    <t>108,5</t>
  </si>
  <si>
    <t>1164,4648</t>
  </si>
  <si>
    <t>1177,0918</t>
  </si>
  <si>
    <t>104,5</t>
  </si>
  <si>
    <t>1059,6457</t>
  </si>
  <si>
    <t>118,6</t>
  </si>
  <si>
    <t>1120,5659</t>
  </si>
  <si>
    <t>106,3</t>
  </si>
  <si>
    <t>943,7564</t>
  </si>
  <si>
    <t>926,54</t>
  </si>
  <si>
    <t>997,8151</t>
  </si>
  <si>
    <t>94,6</t>
  </si>
  <si>
    <t>957,7293</t>
  </si>
  <si>
    <t>95,5</t>
  </si>
  <si>
    <t>932,7619</t>
  </si>
  <si>
    <t>951,1564</t>
  </si>
  <si>
    <t>95,1</t>
  </si>
  <si>
    <t>941,1822</t>
  </si>
  <si>
    <t>93</t>
  </si>
  <si>
    <t>1380,2361</t>
  </si>
  <si>
    <t>130,4</t>
  </si>
  <si>
    <t>1342,2271</t>
  </si>
  <si>
    <t>1301,7642</t>
  </si>
  <si>
    <t>134,9</t>
  </si>
  <si>
    <t>1355,7615</t>
  </si>
  <si>
    <t>137,1</t>
  </si>
  <si>
    <t>1312,6735</t>
  </si>
  <si>
    <t>139,5</t>
  </si>
  <si>
    <t>1209,8876</t>
  </si>
  <si>
    <t>122,5</t>
  </si>
  <si>
    <t>1350,5167</t>
  </si>
  <si>
    <t>132,1</t>
  </si>
  <si>
    <t>1082,5534</t>
  </si>
  <si>
    <t>1102,6577</t>
  </si>
  <si>
    <t>87,1</t>
  </si>
  <si>
    <t>1137,1147</t>
  </si>
  <si>
    <t>1104,9181</t>
  </si>
  <si>
    <t>1137,4858</t>
  </si>
  <si>
    <t>1077,2851</t>
  </si>
  <si>
    <t>1096,024</t>
  </si>
  <si>
    <t>840,6752</t>
  </si>
  <si>
    <t>78,8</t>
  </si>
  <si>
    <t>891,0705</t>
  </si>
  <si>
    <t>1001,8613</t>
  </si>
  <si>
    <t>947,7484</t>
  </si>
  <si>
    <t>934,5815</t>
  </si>
  <si>
    <t>946,443</t>
  </si>
  <si>
    <t>880,7676</t>
  </si>
  <si>
    <t>1177,6926</t>
  </si>
  <si>
    <t>95,6</t>
  </si>
  <si>
    <t>1191,292</t>
  </si>
  <si>
    <t>1198,4972</t>
  </si>
  <si>
    <t>96,8</t>
  </si>
  <si>
    <t>1171,6514</t>
  </si>
  <si>
    <t>96,5</t>
  </si>
  <si>
    <t>1208,2085</t>
  </si>
  <si>
    <t>1165,655</t>
  </si>
  <si>
    <t>1183,9094</t>
  </si>
  <si>
    <t>883,4239</t>
  </si>
  <si>
    <t>853,9208</t>
  </si>
  <si>
    <t>911,9723</t>
  </si>
  <si>
    <t>918,6812</t>
  </si>
  <si>
    <t>887,2408</t>
  </si>
  <si>
    <t>823,8925</t>
  </si>
  <si>
    <t>79</t>
  </si>
  <si>
    <t>874,7005</t>
  </si>
  <si>
    <t>202212</t>
  </si>
  <si>
    <t>1114,5359</t>
  </si>
  <si>
    <t>1145,8755</t>
  </si>
  <si>
    <t>1188,0619</t>
  </si>
  <si>
    <t>96</t>
  </si>
  <si>
    <t>1160,5028</t>
  </si>
  <si>
    <t>1171,7081</t>
  </si>
  <si>
    <t>1115,8852</t>
  </si>
  <si>
    <t>1134,5875</t>
  </si>
  <si>
    <t>1178,7917</t>
  </si>
  <si>
    <t>1196,5014</t>
  </si>
  <si>
    <t>93,3</t>
  </si>
  <si>
    <t>1250,7603</t>
  </si>
  <si>
    <t>1179,9823</t>
  </si>
  <si>
    <t>1215,5483</t>
  </si>
  <si>
    <t>91,7</t>
  </si>
  <si>
    <t>1131,399</t>
  </si>
  <si>
    <t>1187,9252</t>
  </si>
  <si>
    <t>95</t>
  </si>
  <si>
    <t>941,1378</t>
  </si>
  <si>
    <t>953,6827</t>
  </si>
  <si>
    <t>1022,9953</t>
  </si>
  <si>
    <t>952,8437</t>
  </si>
  <si>
    <t>90</t>
  </si>
  <si>
    <t>942,9883</t>
  </si>
  <si>
    <t>915,2866</t>
  </si>
  <si>
    <t>88,4</t>
  </si>
  <si>
    <t>948,7615</t>
  </si>
  <si>
    <t>1421,1654</t>
  </si>
  <si>
    <t>121,3</t>
  </si>
  <si>
    <t>1360,9687</t>
  </si>
  <si>
    <t>1242,8506</t>
  </si>
  <si>
    <t>115,5</t>
  </si>
  <si>
    <t>1336,1892</t>
  </si>
  <si>
    <t>123,8</t>
  </si>
  <si>
    <t>1283,7475</t>
  </si>
  <si>
    <t>1239,5463</t>
  </si>
  <si>
    <t>121,6</t>
  </si>
  <si>
    <t>1371,3368</t>
  </si>
  <si>
    <t>850,8246</t>
  </si>
  <si>
    <t>805,4116</t>
  </si>
  <si>
    <t>1072,7994</t>
  </si>
  <si>
    <t>111,8</t>
  </si>
  <si>
    <t>1017,7917</t>
  </si>
  <si>
    <t>886,8328</t>
  </si>
  <si>
    <t>893,034</t>
  </si>
  <si>
    <t>860,1091</t>
  </si>
  <si>
    <t>1164,6745</t>
  </si>
  <si>
    <t>98</t>
  </si>
  <si>
    <t>1137,8427</t>
  </si>
  <si>
    <t>97,8</t>
  </si>
  <si>
    <t>1140,1874</t>
  </si>
  <si>
    <t>1110,226</t>
  </si>
  <si>
    <t>97,4</t>
  </si>
  <si>
    <t>1145,2426</t>
  </si>
  <si>
    <t>1142,2256</t>
  </si>
  <si>
    <t>1148,5321</t>
  </si>
  <si>
    <t>97,2</t>
  </si>
  <si>
    <t>1156,2369</t>
  </si>
  <si>
    <t>1291,353</t>
  </si>
  <si>
    <t>1324,9135</t>
  </si>
  <si>
    <t>1291,0668</t>
  </si>
  <si>
    <t>1350,4129</t>
  </si>
  <si>
    <t>1224,8641</t>
  </si>
  <si>
    <t>1231,4648</t>
  </si>
  <si>
    <t>90,9</t>
  </si>
  <si>
    <t>1076,0345</t>
  </si>
  <si>
    <t>1283,7352</t>
  </si>
  <si>
    <t>91</t>
  </si>
  <si>
    <t>1320,8494</t>
  </si>
  <si>
    <t>1151,4947</t>
  </si>
  <si>
    <t>1348,6304</t>
  </si>
  <si>
    <t>1351,4602</t>
  </si>
  <si>
    <t>1186,6265</t>
  </si>
  <si>
    <t>86,2</t>
  </si>
  <si>
    <t>825,689</t>
  </si>
  <si>
    <t>838,1782</t>
  </si>
  <si>
    <t>860,4524</t>
  </si>
  <si>
    <t>918,5633</t>
  </si>
  <si>
    <t>847,291</t>
  </si>
  <si>
    <t>786,6743</t>
  </si>
  <si>
    <t>837,1999</t>
  </si>
  <si>
    <t>1047,7141</t>
  </si>
  <si>
    <t>1033,3183</t>
  </si>
  <si>
    <t>81,8</t>
  </si>
  <si>
    <t>1021,1976</t>
  </si>
  <si>
    <t>1078,2792</t>
  </si>
  <si>
    <t>1049,5695</t>
  </si>
  <si>
    <t>89,3</t>
  </si>
  <si>
    <t>1023,2112</t>
  </si>
  <si>
    <t>1042,694</t>
  </si>
  <si>
    <t>997,1029</t>
  </si>
  <si>
    <t>91,1</t>
  </si>
  <si>
    <t>832,9286</t>
  </si>
  <si>
    <t>756,3065</t>
  </si>
  <si>
    <t>824,9368</t>
  </si>
  <si>
    <t>779,606</t>
  </si>
  <si>
    <t>676,9259</t>
  </si>
  <si>
    <t>892,6222</t>
  </si>
  <si>
    <t>1211,6701</t>
  </si>
  <si>
    <t>110,4</t>
  </si>
  <si>
    <t>1175,0927</t>
  </si>
  <si>
    <t>105,6</t>
  </si>
  <si>
    <t>1206,3206</t>
  </si>
  <si>
    <t>104,9</t>
  </si>
  <si>
    <t>1239,7318</t>
  </si>
  <si>
    <t>107,7</t>
  </si>
  <si>
    <t>1276,864</t>
  </si>
  <si>
    <t>109,5</t>
  </si>
  <si>
    <t>1137,6668</t>
  </si>
  <si>
    <t>1200,8127</t>
  </si>
  <si>
    <t>108,8</t>
  </si>
  <si>
    <t>1000,5614</t>
  </si>
  <si>
    <t>99,2</t>
  </si>
  <si>
    <t>977,2936</t>
  </si>
  <si>
    <t>1042,8313</t>
  </si>
  <si>
    <t>1021,2511</t>
  </si>
  <si>
    <t>101,2</t>
  </si>
  <si>
    <t>986,1168</t>
  </si>
  <si>
    <t>98,3</t>
  </si>
  <si>
    <t>999,4087</t>
  </si>
  <si>
    <t>995,2681</t>
  </si>
  <si>
    <t>1458,6084</t>
  </si>
  <si>
    <t>131,8</t>
  </si>
  <si>
    <t>1395,6314</t>
  </si>
  <si>
    <t>136,3</t>
  </si>
  <si>
    <t>1354,264</t>
  </si>
  <si>
    <t>135,3</t>
  </si>
  <si>
    <t>1407,5344</t>
  </si>
  <si>
    <t>140</t>
  </si>
  <si>
    <t>1342,0507</t>
  </si>
  <si>
    <t>139,8</t>
  </si>
  <si>
    <t>1255,5574</t>
  </si>
  <si>
    <t>124,8</t>
  </si>
  <si>
    <t>1413,2059</t>
  </si>
  <si>
    <t>134,1</t>
  </si>
  <si>
    <t>1143,2887</t>
  </si>
  <si>
    <t>1159,0399</t>
  </si>
  <si>
    <t>1191,5863</t>
  </si>
  <si>
    <t>1157,9243</t>
  </si>
  <si>
    <t>1193,6664</t>
  </si>
  <si>
    <t>1123,6997</t>
  </si>
  <si>
    <t>91,4</t>
  </si>
  <si>
    <t>1153,5771</t>
  </si>
  <si>
    <t>875,0145</t>
  </si>
  <si>
    <t>944,122</t>
  </si>
  <si>
    <t>1056,7683</t>
  </si>
  <si>
    <t>104,2</t>
  </si>
  <si>
    <t>994,1478</t>
  </si>
  <si>
    <t>1004,2244</t>
  </si>
  <si>
    <t>1003,2345</t>
  </si>
  <si>
    <t>925,7853</t>
  </si>
  <si>
    <t>1241,6205</t>
  </si>
  <si>
    <t>98,4</t>
  </si>
  <si>
    <t>1251,5728</t>
  </si>
  <si>
    <t>1255,4238</t>
  </si>
  <si>
    <t>1227,6632</t>
  </si>
  <si>
    <t>1265,2651</t>
  </si>
  <si>
    <t>1217,592</t>
  </si>
  <si>
    <t>1244,8284</t>
  </si>
  <si>
    <t>97,9</t>
  </si>
  <si>
    <t>929,1712</t>
  </si>
  <si>
    <t>897,8061</t>
  </si>
  <si>
    <t>957,2857</t>
  </si>
  <si>
    <t>957,1828</t>
  </si>
  <si>
    <t>940,0507</t>
  </si>
  <si>
    <t>863,5155</t>
  </si>
  <si>
    <t>919,3928</t>
  </si>
  <si>
    <t>86,8</t>
  </si>
  <si>
    <t>202301</t>
  </si>
  <si>
    <t>1180,967</t>
  </si>
  <si>
    <t>1215,4751</t>
  </si>
  <si>
    <t>1255,1401</t>
  </si>
  <si>
    <t>100,2</t>
  </si>
  <si>
    <t>1233,9904</t>
  </si>
  <si>
    <t>99,4</t>
  </si>
  <si>
    <t>1246,1488</t>
  </si>
  <si>
    <t>98,7</t>
  </si>
  <si>
    <t>1181,5995</t>
  </si>
  <si>
    <t>1202,979</t>
  </si>
  <si>
    <t>1257,1455</t>
  </si>
  <si>
    <t>100,3</t>
  </si>
  <si>
    <t>1278,5706</t>
  </si>
  <si>
    <t>1333,8569</t>
  </si>
  <si>
    <t>1272,7179</t>
  </si>
  <si>
    <t>1300,9128</t>
  </si>
  <si>
    <t>1193,1721</t>
  </si>
  <si>
    <t>100,7</t>
  </si>
  <si>
    <t>1268,3385</t>
  </si>
  <si>
    <t>1012,1954</t>
  </si>
  <si>
    <t>104</t>
  </si>
  <si>
    <t>1020,4934</t>
  </si>
  <si>
    <t>103,3</t>
  </si>
  <si>
    <t>1094,2368</t>
  </si>
  <si>
    <t>105,4</t>
  </si>
  <si>
    <t>1022,842</t>
  </si>
  <si>
    <t>1005,4141</t>
  </si>
  <si>
    <t>101,3</t>
  </si>
  <si>
    <t>987,2297</t>
  </si>
  <si>
    <t>99,7</t>
  </si>
  <si>
    <t>1017,8777</t>
  </si>
  <si>
    <t>1441,6597</t>
  </si>
  <si>
    <t>120,1</t>
  </si>
  <si>
    <t>1402,0838</t>
  </si>
  <si>
    <t>1285,1651</t>
  </si>
  <si>
    <t>1369,849</t>
  </si>
  <si>
    <t>1320,8486</t>
  </si>
  <si>
    <t>117,8</t>
  </si>
  <si>
    <t>1288,0851</t>
  </si>
  <si>
    <t>123</t>
  </si>
  <si>
    <t>1402,845</t>
  </si>
  <si>
    <t>120,6</t>
  </si>
  <si>
    <t>917,578</t>
  </si>
  <si>
    <t>875,8068</t>
  </si>
  <si>
    <t>1106,8608</t>
  </si>
  <si>
    <t>113,1</t>
  </si>
  <si>
    <t>1091,6903</t>
  </si>
  <si>
    <t>96,4</t>
  </si>
  <si>
    <t>990,2342</t>
  </si>
  <si>
    <t>965,731</t>
  </si>
  <si>
    <t>81,7</t>
  </si>
  <si>
    <t>929,1621</t>
  </si>
  <si>
    <t>1222,408</t>
  </si>
  <si>
    <t>100,6</t>
  </si>
  <si>
    <t>1201,931</t>
  </si>
  <si>
    <t>1214,0664</t>
  </si>
  <si>
    <t>1173,2439</t>
  </si>
  <si>
    <t>101,1</t>
  </si>
  <si>
    <t>1212,7706</t>
  </si>
  <si>
    <t>103</t>
  </si>
  <si>
    <t>1213,3925</t>
  </si>
  <si>
    <t>1210,6926</t>
  </si>
  <si>
    <t>1219,4517</t>
  </si>
  <si>
    <t>1350,9194</t>
  </si>
  <si>
    <t>1380,1413</t>
  </si>
  <si>
    <t>89,5</t>
  </si>
  <si>
    <t>1346,3378</t>
  </si>
  <si>
    <t>1404,8319</t>
  </si>
  <si>
    <t>1280,2104</t>
  </si>
  <si>
    <t>1291,7546</t>
  </si>
  <si>
    <t>1143,5941</t>
  </si>
  <si>
    <t>1358,983</t>
  </si>
  <si>
    <t>1390,3132</t>
  </si>
  <si>
    <t>1207,701</t>
  </si>
  <si>
    <t>1427,2735</t>
  </si>
  <si>
    <t>98,2</t>
  </si>
  <si>
    <t>1430,1204</t>
  </si>
  <si>
    <t>1257,1122</t>
  </si>
  <si>
    <t>892,9649</t>
  </si>
  <si>
    <t>899,9788</t>
  </si>
  <si>
    <t>920,856</t>
  </si>
  <si>
    <t>1004,3818</t>
  </si>
  <si>
    <t>914,9451</t>
  </si>
  <si>
    <t>78,7</t>
  </si>
  <si>
    <t>859,7524</t>
  </si>
  <si>
    <t>903,9001</t>
  </si>
  <si>
    <t>1157,8351</t>
  </si>
  <si>
    <t>1114,8545</t>
  </si>
  <si>
    <t>1098,7966</t>
  </si>
  <si>
    <t>1156,7892</t>
  </si>
  <si>
    <t>1131,4416</t>
  </si>
  <si>
    <t>1095,5979</t>
  </si>
  <si>
    <t>1136,1135</t>
  </si>
  <si>
    <t>1004,4879</t>
  </si>
  <si>
    <t>849,319</t>
  </si>
  <si>
    <t>757,1551</t>
  </si>
  <si>
    <t>789,2842</t>
  </si>
  <si>
    <t>678,9721</t>
  </si>
  <si>
    <t>902,0686</t>
  </si>
  <si>
    <t>1277,9054</t>
  </si>
  <si>
    <t>1249,6818</t>
  </si>
  <si>
    <t>1264,9845</t>
  </si>
  <si>
    <t>103,7</t>
  </si>
  <si>
    <t>1350,1978</t>
  </si>
  <si>
    <t>114,6</t>
  </si>
  <si>
    <t>1374,6351</t>
  </si>
  <si>
    <t>107,4</t>
  </si>
  <si>
    <t>1231,5519</t>
  </si>
  <si>
    <t>128,6</t>
  </si>
  <si>
    <t>1275,6081</t>
  </si>
  <si>
    <t>109,9</t>
  </si>
  <si>
    <t>1070,7782</t>
  </si>
  <si>
    <t>103,2</t>
  </si>
  <si>
    <t>1041,5759</t>
  </si>
  <si>
    <t>1123,7778</t>
  </si>
  <si>
    <t>1080,2559</t>
  </si>
  <si>
    <t>102,9</t>
  </si>
  <si>
    <t>1058,6919</t>
  </si>
  <si>
    <t>1062,8131</t>
  </si>
  <si>
    <t>1062,9991</t>
  </si>
  <si>
    <t>102,6</t>
  </si>
  <si>
    <t>1548,1443</t>
  </si>
  <si>
    <t>125,4</t>
  </si>
  <si>
    <t>1526,9209</t>
  </si>
  <si>
    <t>135,5</t>
  </si>
  <si>
    <t>1499,017</t>
  </si>
  <si>
    <t>144,5</t>
  </si>
  <si>
    <t>1566,211</t>
  </si>
  <si>
    <t>143,4</t>
  </si>
  <si>
    <t>1454,9387</t>
  </si>
  <si>
    <t>139,1</t>
  </si>
  <si>
    <t>1331,1515</t>
  </si>
  <si>
    <t>129,2</t>
  </si>
  <si>
    <t>1525,1043</t>
  </si>
  <si>
    <t>131,7</t>
  </si>
  <si>
    <t>1206,5221</t>
  </si>
  <si>
    <t>96,6</t>
  </si>
  <si>
    <t>1218,4205</t>
  </si>
  <si>
    <t>1249,9364</t>
  </si>
  <si>
    <t>1220,6357</t>
  </si>
  <si>
    <t>1259,7424</t>
  </si>
  <si>
    <t>1185,3976</t>
  </si>
  <si>
    <t>1215,3182</t>
  </si>
  <si>
    <t>940,4446</t>
  </si>
  <si>
    <t>1011,8095</t>
  </si>
  <si>
    <t>1103,5505</t>
  </si>
  <si>
    <t>106,8</t>
  </si>
  <si>
    <t>1048,4727</t>
  </si>
  <si>
    <t>90,3</t>
  </si>
  <si>
    <t>1084,1481</t>
  </si>
  <si>
    <t>1076,4134</t>
  </si>
  <si>
    <t>991,5192</t>
  </si>
  <si>
    <t>1305,0811</t>
  </si>
  <si>
    <t>1320,192</t>
  </si>
  <si>
    <t>1329,0697</t>
  </si>
  <si>
    <t>1302,7884</t>
  </si>
  <si>
    <t>1335,4292</t>
  </si>
  <si>
    <t>1282,829</t>
  </si>
  <si>
    <t>1311,7457</t>
  </si>
  <si>
    <t>999,9352</t>
  </si>
  <si>
    <t>969,7064</t>
  </si>
  <si>
    <t>1001,8636</t>
  </si>
  <si>
    <t>1025,7127</t>
  </si>
  <si>
    <t>1025,0808</t>
  </si>
  <si>
    <t>930,4139</t>
  </si>
  <si>
    <t>989,7596</t>
  </si>
  <si>
    <t>202302</t>
  </si>
  <si>
    <t>1259,9952</t>
  </si>
  <si>
    <t>103,1</t>
  </si>
  <si>
    <t>1292,6662</t>
  </si>
  <si>
    <t>101,5</t>
  </si>
  <si>
    <t>1352,5571</t>
  </si>
  <si>
    <t>1323,9654</t>
  </si>
  <si>
    <t>1329,9144</t>
  </si>
  <si>
    <t>1249,6345</t>
  </si>
  <si>
    <t>1282,7091</t>
  </si>
  <si>
    <t>1385,6735</t>
  </si>
  <si>
    <t>1395,4491</t>
  </si>
  <si>
    <t>1464,6519</t>
  </si>
  <si>
    <t>104,4</t>
  </si>
  <si>
    <t>1407,5311</t>
  </si>
  <si>
    <t>1438,1712</t>
  </si>
  <si>
    <t>1290,3629</t>
  </si>
  <si>
    <t>104,8</t>
  </si>
  <si>
    <t>1392,3999</t>
  </si>
  <si>
    <t>1066,1418</t>
  </si>
  <si>
    <t>109,2</t>
  </si>
  <si>
    <t>1072,2821</t>
  </si>
  <si>
    <t>108,7</t>
  </si>
  <si>
    <t>1164,3137</t>
  </si>
  <si>
    <t>110,2</t>
  </si>
  <si>
    <t>1072,6902</t>
  </si>
  <si>
    <t>104,7</t>
  </si>
  <si>
    <t>1058,0681</t>
  </si>
  <si>
    <t>105,9</t>
  </si>
  <si>
    <t>1033,8074</t>
  </si>
  <si>
    <t>1071,1087</t>
  </si>
  <si>
    <t>108,4</t>
  </si>
  <si>
    <t>1507,7109</t>
  </si>
  <si>
    <t>1444,544</t>
  </si>
  <si>
    <t>119,6</t>
  </si>
  <si>
    <t>1343,7586</t>
  </si>
  <si>
    <t>120,7</t>
  </si>
  <si>
    <t>1419,1828</t>
  </si>
  <si>
    <t>122,6</t>
  </si>
  <si>
    <t>1355,9557</t>
  </si>
  <si>
    <t>1353,1774</t>
  </si>
  <si>
    <t>1457,7661</t>
  </si>
  <si>
    <t>121,7</t>
  </si>
  <si>
    <t>960,1565</t>
  </si>
  <si>
    <t>925,2783</t>
  </si>
  <si>
    <t>1162,9031</t>
  </si>
  <si>
    <t>118,4</t>
  </si>
  <si>
    <t>1123,4573</t>
  </si>
  <si>
    <t>1036,7179</t>
  </si>
  <si>
    <t>84,2</t>
  </si>
  <si>
    <t>1002,5857</t>
  </si>
  <si>
    <t>973,7901</t>
  </si>
  <si>
    <t>1284,3587</t>
  </si>
  <si>
    <t>1257,4591</t>
  </si>
  <si>
    <t>1304,688</t>
  </si>
  <si>
    <t>106,9</t>
  </si>
  <si>
    <t>1236,7801</t>
  </si>
  <si>
    <t>103,4</t>
  </si>
  <si>
    <t>1275,7697</t>
  </si>
  <si>
    <t>1274,1909</t>
  </si>
  <si>
    <t>1271,8967</t>
  </si>
  <si>
    <t>1285,6181</t>
  </si>
  <si>
    <t>97,1</t>
  </si>
  <si>
    <t>1423,6166</t>
  </si>
  <si>
    <t>95,4</t>
  </si>
  <si>
    <t>1443,2473</t>
  </si>
  <si>
    <t>1415,28</t>
  </si>
  <si>
    <t>1478,2953</t>
  </si>
  <si>
    <t>1345,5096</t>
  </si>
  <si>
    <t>1360,5006</t>
  </si>
  <si>
    <t>1195,5036</t>
  </si>
  <si>
    <t>1424,3795</t>
  </si>
  <si>
    <t>94,1</t>
  </si>
  <si>
    <t>1489,381</t>
  </si>
  <si>
    <t>100,8</t>
  </si>
  <si>
    <t>1273,1359</t>
  </si>
  <si>
    <t>1497,9201</t>
  </si>
  <si>
    <t>96,1</t>
  </si>
  <si>
    <t>1499,6627</t>
  </si>
  <si>
    <t>1318,1813</t>
  </si>
  <si>
    <t>962,197</t>
  </si>
  <si>
    <t>981,3107</t>
  </si>
  <si>
    <t>1003,6746</t>
  </si>
  <si>
    <t>1066,8408</t>
  </si>
  <si>
    <t>965,4772</t>
  </si>
  <si>
    <t>83,7</t>
  </si>
  <si>
    <t>894,3166</t>
  </si>
  <si>
    <t>974,8005</t>
  </si>
  <si>
    <t>1220,6317</t>
  </si>
  <si>
    <t>99,1</t>
  </si>
  <si>
    <t>1185,2597</t>
  </si>
  <si>
    <t>1177,7957</t>
  </si>
  <si>
    <t>1282,6683</t>
  </si>
  <si>
    <t>110,1</t>
  </si>
  <si>
    <t>1191,2499</t>
  </si>
  <si>
    <t>1145,9105</t>
  </si>
  <si>
    <t>1205,9377</t>
  </si>
  <si>
    <t>1046,7559</t>
  </si>
  <si>
    <t>856,2501</t>
  </si>
  <si>
    <t>870,1635</t>
  </si>
  <si>
    <t>14,9</t>
  </si>
  <si>
    <t>842,0456</t>
  </si>
  <si>
    <t>793,1296</t>
  </si>
  <si>
    <t>697,5476</t>
  </si>
  <si>
    <t>930,4868</t>
  </si>
  <si>
    <t>1377,2121</t>
  </si>
  <si>
    <t>116,2</t>
  </si>
  <si>
    <t>1333,5694</t>
  </si>
  <si>
    <t>115,9</t>
  </si>
  <si>
    <t>1389,5865</t>
  </si>
  <si>
    <t>114,5</t>
  </si>
  <si>
    <t>1451,4363</t>
  </si>
  <si>
    <t>116,7</t>
  </si>
  <si>
    <t>1508,1878</t>
  </si>
  <si>
    <t>1313,9135</t>
  </si>
  <si>
    <t>126,9</t>
  </si>
  <si>
    <t>1371,9038</t>
  </si>
  <si>
    <t>1146,2513</t>
  </si>
  <si>
    <t>1106,5046</t>
  </si>
  <si>
    <t>1198,4831</t>
  </si>
  <si>
    <t>1140,5523</t>
  </si>
  <si>
    <t>1121,5095</t>
  </si>
  <si>
    <t>1112,5174</t>
  </si>
  <si>
    <t>108</t>
  </si>
  <si>
    <t>1131,9624</t>
  </si>
  <si>
    <t>1614,4139</t>
  </si>
  <si>
    <t>117</t>
  </si>
  <si>
    <t>1563,7812</t>
  </si>
  <si>
    <t>121,9</t>
  </si>
  <si>
    <t>1550,7363</t>
  </si>
  <si>
    <t>133,3</t>
  </si>
  <si>
    <t>1601,3803</t>
  </si>
  <si>
    <t>129,6</t>
  </si>
  <si>
    <t>1482,4021</t>
  </si>
  <si>
    <t>124,6</t>
  </si>
  <si>
    <t>1387,6967</t>
  </si>
  <si>
    <t>123,1</t>
  </si>
  <si>
    <t>1575,9625</t>
  </si>
  <si>
    <t>1297,0224</t>
  </si>
  <si>
    <t>1309,9952</t>
  </si>
  <si>
    <t>1361,1439</t>
  </si>
  <si>
    <t>1332,5231</t>
  </si>
  <si>
    <t>1363,928</t>
  </si>
  <si>
    <t>1264,2391</t>
  </si>
  <si>
    <t>1308,7788</t>
  </si>
  <si>
    <t>991,4786</t>
  </si>
  <si>
    <t>1062,848</t>
  </si>
  <si>
    <t>1178,6501</t>
  </si>
  <si>
    <t>113,8</t>
  </si>
  <si>
    <t>1092,8926</t>
  </si>
  <si>
    <t>1133,3342</t>
  </si>
  <si>
    <t>1115,0427</t>
  </si>
  <si>
    <t>1042,4951</t>
  </si>
  <si>
    <t>97,3</t>
  </si>
  <si>
    <t>1399,94</t>
  </si>
  <si>
    <t>1406,8368</t>
  </si>
  <si>
    <t>103,6</t>
  </si>
  <si>
    <t>1434,4179</t>
  </si>
  <si>
    <t>1403,519</t>
  </si>
  <si>
    <t>105,8</t>
  </si>
  <si>
    <t>1427,985</t>
  </si>
  <si>
    <t>1360,4273</t>
  </si>
  <si>
    <t>103,5</t>
  </si>
  <si>
    <t>1403,7836</t>
  </si>
  <si>
    <t>1055,8728</t>
  </si>
  <si>
    <t>102,3</t>
  </si>
  <si>
    <t>1024,7098</t>
  </si>
  <si>
    <t>1072,1089</t>
  </si>
  <si>
    <t>1083,1264</t>
  </si>
  <si>
    <t>1087,0807</t>
  </si>
  <si>
    <t>974,7191</t>
  </si>
  <si>
    <t>1045,908</t>
  </si>
  <si>
    <t>202303</t>
  </si>
  <si>
    <t>1358,4995</t>
  </si>
  <si>
    <t>105,3</t>
  </si>
  <si>
    <t>1393,7727</t>
  </si>
  <si>
    <t>103,8</t>
  </si>
  <si>
    <t>1437,0683</t>
  </si>
  <si>
    <t>1421,13</t>
  </si>
  <si>
    <t>1434,4221</t>
  </si>
  <si>
    <t>1336,6514</t>
  </si>
  <si>
    <t>1381,1601</t>
  </si>
  <si>
    <t>104,3</t>
  </si>
  <si>
    <t>1519,6853</t>
  </si>
  <si>
    <t>1529,3406</t>
  </si>
  <si>
    <t>1565,5212</t>
  </si>
  <si>
    <t>1524,295</t>
  </si>
  <si>
    <t>1573,8833</t>
  </si>
  <si>
    <t>1398,1933</t>
  </si>
  <si>
    <t>1522,5337</t>
  </si>
  <si>
    <t>1153,9079</t>
  </si>
  <si>
    <t>113,5</t>
  </si>
  <si>
    <t>1159,1044</t>
  </si>
  <si>
    <t>113,7</t>
  </si>
  <si>
    <t>1260,5052</t>
  </si>
  <si>
    <t>119,2</t>
  </si>
  <si>
    <t>1166,7916</t>
  </si>
  <si>
    <t>111,6</t>
  </si>
  <si>
    <t>1150,6091</t>
  </si>
  <si>
    <t>111,1</t>
  </si>
  <si>
    <t>1126,8811</t>
  </si>
  <si>
    <t>1159,8526</t>
  </si>
  <si>
    <t>113,4</t>
  </si>
  <si>
    <t>1669,1856</t>
  </si>
  <si>
    <t>1578,2151</t>
  </si>
  <si>
    <t>119,9</t>
  </si>
  <si>
    <t>1419,2902</t>
  </si>
  <si>
    <t>116,8</t>
  </si>
  <si>
    <t>1500,2306</t>
  </si>
  <si>
    <t>121,1</t>
  </si>
  <si>
    <t>1465,8574</t>
  </si>
  <si>
    <t>116,6</t>
  </si>
  <si>
    <t>1458,7229</t>
  </si>
  <si>
    <t>120,4</t>
  </si>
  <si>
    <t>1595,0861</t>
  </si>
  <si>
    <t>1020,4746</t>
  </si>
  <si>
    <t>995,5436</t>
  </si>
  <si>
    <t>1225,9077</t>
  </si>
  <si>
    <t>99,5</t>
  </si>
  <si>
    <t>1182,343</t>
  </si>
  <si>
    <t>1109,9484</t>
  </si>
  <si>
    <t>1045,6743</t>
  </si>
  <si>
    <t>1037,2344</t>
  </si>
  <si>
    <t>1360,2311</t>
  </si>
  <si>
    <t>1329,936</t>
  </si>
  <si>
    <t>1377,8498</t>
  </si>
  <si>
    <t>110,6</t>
  </si>
  <si>
    <t>1316,3036</t>
  </si>
  <si>
    <t>1351,5902</t>
  </si>
  <si>
    <t>106,1</t>
  </si>
  <si>
    <t>1329,0102</t>
  </si>
  <si>
    <t>1345,7519</t>
  </si>
  <si>
    <t>1357,3401</t>
  </si>
  <si>
    <t>1507,2679</t>
  </si>
  <si>
    <t>1525,1347</t>
  </si>
  <si>
    <t>91,2</t>
  </si>
  <si>
    <t>1494,3576</t>
  </si>
  <si>
    <t>1561,9746</t>
  </si>
  <si>
    <t>1428,6304</t>
  </si>
  <si>
    <t>1438,3163</t>
  </si>
  <si>
    <t>1264,6741</t>
  </si>
  <si>
    <t>1495,6575</t>
  </si>
  <si>
    <t>1565,343</t>
  </si>
  <si>
    <t>1341,2973</t>
  </si>
  <si>
    <t>1564,5801</t>
  </si>
  <si>
    <t>1569,2301</t>
  </si>
  <si>
    <t>87,2</t>
  </si>
  <si>
    <t>1388,1661</t>
  </si>
  <si>
    <t>978,5935</t>
  </si>
  <si>
    <t>75,2</t>
  </si>
  <si>
    <t>1000,5747</t>
  </si>
  <si>
    <t>1018,6818</t>
  </si>
  <si>
    <t>1097,9242</t>
  </si>
  <si>
    <t>988,4516</t>
  </si>
  <si>
    <t>910,6624</t>
  </si>
  <si>
    <t>993,4553</t>
  </si>
  <si>
    <t>1263,1586</t>
  </si>
  <si>
    <t>1238,7965</t>
  </si>
  <si>
    <t>1240,1518</t>
  </si>
  <si>
    <t>1339,7923</t>
  </si>
  <si>
    <t>112,4</t>
  </si>
  <si>
    <t>1289,1421</t>
  </si>
  <si>
    <t>1224,3327</t>
  </si>
  <si>
    <t>1258,7738</t>
  </si>
  <si>
    <t>1304,6417</t>
  </si>
  <si>
    <t>1127,0903</t>
  </si>
  <si>
    <t>96,2</t>
  </si>
  <si>
    <t>1068,5111</t>
  </si>
  <si>
    <t>1227,1312</t>
  </si>
  <si>
    <t>1018,633</t>
  </si>
  <si>
    <t>1024,9633</t>
  </si>
  <si>
    <t>1201,1258</t>
  </si>
  <si>
    <t>1480,5161</t>
  </si>
  <si>
    <t>119,7</t>
  </si>
  <si>
    <t>1444,6695</t>
  </si>
  <si>
    <t>122,3</t>
  </si>
  <si>
    <t>1491,4927</t>
  </si>
  <si>
    <t>1570,3315</t>
  </si>
  <si>
    <t>1655,7039</t>
  </si>
  <si>
    <t>125</t>
  </si>
  <si>
    <t>1388,6095</t>
  </si>
  <si>
    <t>1479,9582</t>
  </si>
  <si>
    <t>1216,9855</t>
  </si>
  <si>
    <t>1182,0061</t>
  </si>
  <si>
    <t>1263,7901</t>
  </si>
  <si>
    <t>112</t>
  </si>
  <si>
    <t>1211,8616</t>
  </si>
  <si>
    <t>1184,7678</t>
  </si>
  <si>
    <t>107,6</t>
  </si>
  <si>
    <t>1176,9605</t>
  </si>
  <si>
    <t>1203,4429</t>
  </si>
  <si>
    <t>1796,6041</t>
  </si>
  <si>
    <t>127,7</t>
  </si>
  <si>
    <t>1707,0622</t>
  </si>
  <si>
    <t>127,6</t>
  </si>
  <si>
    <t>1621,5037</t>
  </si>
  <si>
    <t>128,1</t>
  </si>
  <si>
    <t>1657,2928</t>
  </si>
  <si>
    <t>127,3</t>
  </si>
  <si>
    <t>1578,0293</t>
  </si>
  <si>
    <t>125,8</t>
  </si>
  <si>
    <t>1499,6039</t>
  </si>
  <si>
    <t>122,9</t>
  </si>
  <si>
    <t>1722,9662</t>
  </si>
  <si>
    <t>1385,6929</t>
  </si>
  <si>
    <t>1408,7382</t>
  </si>
  <si>
    <t>1451,7759</t>
  </si>
  <si>
    <t>100,1</t>
  </si>
  <si>
    <t>1438,1088</t>
  </si>
  <si>
    <t>1476,7792</t>
  </si>
  <si>
    <t>1347,8468</t>
  </si>
  <si>
    <t>1403,1434</t>
  </si>
  <si>
    <t>102</t>
  </si>
  <si>
    <t>1081,2155</t>
  </si>
  <si>
    <t>1146,2019</t>
  </si>
  <si>
    <t>98,1</t>
  </si>
  <si>
    <t>1248,6395</t>
  </si>
  <si>
    <t>99,9</t>
  </si>
  <si>
    <t>1186,961</t>
  </si>
  <si>
    <t>1215,7424</t>
  </si>
  <si>
    <t>1198,2039</t>
  </si>
  <si>
    <t>1128,8908</t>
  </si>
  <si>
    <t>1510,689</t>
  </si>
  <si>
    <t>1518,6119</t>
  </si>
  <si>
    <t>1526,7989</t>
  </si>
  <si>
    <t>106,2</t>
  </si>
  <si>
    <t>1504,023</t>
  </si>
  <si>
    <t>1541,3821</t>
  </si>
  <si>
    <t>1456,4406</t>
  </si>
  <si>
    <t>1512,8076</t>
  </si>
  <si>
    <t>105,7</t>
  </si>
  <si>
    <t>1136,5172</t>
  </si>
  <si>
    <t>1100,7772</t>
  </si>
  <si>
    <t>1129,6587</t>
  </si>
  <si>
    <t>1170,1815</t>
  </si>
  <si>
    <t>99,8</t>
  </si>
  <si>
    <t>1169,5776</t>
  </si>
  <si>
    <t>1039,4131</t>
  </si>
  <si>
    <t>1123,7847</t>
  </si>
  <si>
    <t>202304</t>
  </si>
  <si>
    <t>1475,1378</t>
  </si>
  <si>
    <t>1512,803</t>
  </si>
  <si>
    <t>1556,9071</t>
  </si>
  <si>
    <t>1530,4512</t>
  </si>
  <si>
    <t>1538,063</t>
  </si>
  <si>
    <t>1445,0457</t>
  </si>
  <si>
    <t>1497,2147</t>
  </si>
  <si>
    <t>1673,9214</t>
  </si>
  <si>
    <t>1694,7151</t>
  </si>
  <si>
    <t>1718,9867</t>
  </si>
  <si>
    <t>109,3</t>
  </si>
  <si>
    <t>1652,9989</t>
  </si>
  <si>
    <t>1708,6807</t>
  </si>
  <si>
    <t>1535,8898</t>
  </si>
  <si>
    <t>1677,0441</t>
  </si>
  <si>
    <t>115</t>
  </si>
  <si>
    <t>1194,8185</t>
  </si>
  <si>
    <t>1206,3109</t>
  </si>
  <si>
    <t>114,9</t>
  </si>
  <si>
    <t>1328,5187</t>
  </si>
  <si>
    <t>1216,539</t>
  </si>
  <si>
    <t>113,9</t>
  </si>
  <si>
    <t>1182,9208</t>
  </si>
  <si>
    <t>110,5</t>
  </si>
  <si>
    <t>1157,4867</t>
  </si>
  <si>
    <t>1203,7907</t>
  </si>
  <si>
    <t>114,3</t>
  </si>
  <si>
    <t>1873,6613</t>
  </si>
  <si>
    <t>12,3</t>
  </si>
  <si>
    <t>1728,85</t>
  </si>
  <si>
    <t>1552,6465</t>
  </si>
  <si>
    <t>1658,0142</t>
  </si>
  <si>
    <t>1594,9242</t>
  </si>
  <si>
    <t>115,3</t>
  </si>
  <si>
    <t>1600,6309</t>
  </si>
  <si>
    <t>1768,0967</t>
  </si>
  <si>
    <t>1093,6606</t>
  </si>
  <si>
    <t>1035,4758</t>
  </si>
  <si>
    <t>1282,1463</t>
  </si>
  <si>
    <t>1230,9615</t>
  </si>
  <si>
    <t>1149,7869</t>
  </si>
  <si>
    <t>85,3</t>
  </si>
  <si>
    <t>1116,133</t>
  </si>
  <si>
    <t>1095,5146</t>
  </si>
  <si>
    <t>1480,2566</t>
  </si>
  <si>
    <t>1442,9646</t>
  </si>
  <si>
    <t>1492,1755</t>
  </si>
  <si>
    <t>1429,7199</t>
  </si>
  <si>
    <t>1463,146</t>
  </si>
  <si>
    <t>1445,2934</t>
  </si>
  <si>
    <t>1462,0471</t>
  </si>
  <si>
    <t>1449,7507</t>
  </si>
  <si>
    <t>1605,6421</t>
  </si>
  <si>
    <t>97,7</t>
  </si>
  <si>
    <t>1631,2057</t>
  </si>
  <si>
    <t>1586,6638</t>
  </si>
  <si>
    <t>1659,1733</t>
  </si>
  <si>
    <t>1506,9556</t>
  </si>
  <si>
    <t>1532,9719</t>
  </si>
  <si>
    <t>1357,2903</t>
  </si>
  <si>
    <t>1582,2276</t>
  </si>
  <si>
    <t>1648,7021</t>
  </si>
  <si>
    <t>1414,3274</t>
  </si>
  <si>
    <t>1652,6885</t>
  </si>
  <si>
    <t>1682,5153</t>
  </si>
  <si>
    <t>1477,7098</t>
  </si>
  <si>
    <t>1044,5793</t>
  </si>
  <si>
    <t>1058,3236</t>
  </si>
  <si>
    <t>1078,6663</t>
  </si>
  <si>
    <t>81</t>
  </si>
  <si>
    <t>1168,8492</t>
  </si>
  <si>
    <t>1050,7343</t>
  </si>
  <si>
    <t>958,5272</t>
  </si>
  <si>
    <t>1055,7168</t>
  </si>
  <si>
    <t>1354,774</t>
  </si>
  <si>
    <t>103,9</t>
  </si>
  <si>
    <t>1350,9799</t>
  </si>
  <si>
    <t>105,1</t>
  </si>
  <si>
    <t>1322,0314</t>
  </si>
  <si>
    <t>104,6</t>
  </si>
  <si>
    <t>1397,3359</t>
  </si>
  <si>
    <t>108,9</t>
  </si>
  <si>
    <t>1368,7505</t>
  </si>
  <si>
    <t>1311,8409</t>
  </si>
  <si>
    <t>1353,7339</t>
  </si>
  <si>
    <t>1376,2207</t>
  </si>
  <si>
    <t>1192,5356</t>
  </si>
  <si>
    <t>1105,8432</t>
  </si>
  <si>
    <t>1256,7741</t>
  </si>
  <si>
    <t>1043,4453</t>
  </si>
  <si>
    <t>1051,1584</t>
  </si>
  <si>
    <t>90,1</t>
  </si>
  <si>
    <t>1261,5273</t>
  </si>
  <si>
    <t>98,5</t>
  </si>
  <si>
    <t>1608,822</t>
  </si>
  <si>
    <t>123,6</t>
  </si>
  <si>
    <t>1601,1621</t>
  </si>
  <si>
    <t>127,5</t>
  </si>
  <si>
    <t>1704,9675</t>
  </si>
  <si>
    <t>134</t>
  </si>
  <si>
    <t>1738,5677</t>
  </si>
  <si>
    <t>132,2</t>
  </si>
  <si>
    <t>1816,8417</t>
  </si>
  <si>
    <t>131</t>
  </si>
  <si>
    <t>1512,6841</t>
  </si>
  <si>
    <t>1626,3026</t>
  </si>
  <si>
    <t>126,6</t>
  </si>
  <si>
    <t>1301,2085</t>
  </si>
  <si>
    <t>113</t>
  </si>
  <si>
    <t>1260,3993</t>
  </si>
  <si>
    <t>1347,4224</t>
  </si>
  <si>
    <t>1270,3368</t>
  </si>
  <si>
    <t>1255,706</t>
  </si>
  <si>
    <t>1253,3177</t>
  </si>
  <si>
    <t>107,8</t>
  </si>
  <si>
    <t>1282,7938</t>
  </si>
  <si>
    <t>111</t>
  </si>
  <si>
    <t>2037,5064</t>
  </si>
  <si>
    <t>143,9</t>
  </si>
  <si>
    <t>1932,0678</t>
  </si>
  <si>
    <t>147,3</t>
  </si>
  <si>
    <t>1767,5972</t>
  </si>
  <si>
    <t>1822,5518</t>
  </si>
  <si>
    <t>1735,6074</t>
  </si>
  <si>
    <t>135,7</t>
  </si>
  <si>
    <t>1666,5003</t>
  </si>
  <si>
    <t>131,2</t>
  </si>
  <si>
    <t>1940,9169</t>
  </si>
  <si>
    <t>142,9</t>
  </si>
  <si>
    <t>1502,3119</t>
  </si>
  <si>
    <t>1528,8989</t>
  </si>
  <si>
    <t>1581,9496</t>
  </si>
  <si>
    <t>1553,9725</t>
  </si>
  <si>
    <t>106</t>
  </si>
  <si>
    <t>1587,1067</t>
  </si>
  <si>
    <t>1460,1669</t>
  </si>
  <si>
    <t>1521,0163</t>
  </si>
  <si>
    <t>1141,9467</t>
  </si>
  <si>
    <t>1195,4755</t>
  </si>
  <si>
    <t>1309,0373</t>
  </si>
  <si>
    <t>1231,0758</t>
  </si>
  <si>
    <t>1267,2166</t>
  </si>
  <si>
    <t>1257,2091</t>
  </si>
  <si>
    <t>1184,1465</t>
  </si>
  <si>
    <t>98,9</t>
  </si>
  <si>
    <t>1652,9454</t>
  </si>
  <si>
    <t>111,4</t>
  </si>
  <si>
    <t>1656,1275</t>
  </si>
  <si>
    <t>1661,6966</t>
  </si>
  <si>
    <t>1632,5924</t>
  </si>
  <si>
    <t>1663,785</t>
  </si>
  <si>
    <t>1584,2445</t>
  </si>
  <si>
    <t>1650,4841</t>
  </si>
  <si>
    <t>110,9</t>
  </si>
  <si>
    <t>1215,7891</t>
  </si>
  <si>
    <t>107</t>
  </si>
  <si>
    <t>1176,4232</t>
  </si>
  <si>
    <t>1197,9072</t>
  </si>
  <si>
    <t>1221,2312</t>
  </si>
  <si>
    <t>1226,7616</t>
  </si>
  <si>
    <t>1099,6452</t>
  </si>
  <si>
    <t>1197,436</t>
  </si>
  <si>
    <t>202305</t>
  </si>
  <si>
    <t>1592,4496</t>
  </si>
  <si>
    <t>1628,9716</t>
  </si>
  <si>
    <t>1670,3598</t>
  </si>
  <si>
    <t>112,1</t>
  </si>
  <si>
    <t>1652,2346</t>
  </si>
  <si>
    <t>1652,9055</t>
  </si>
  <si>
    <t>1550,099</t>
  </si>
  <si>
    <t>1613,5895</t>
  </si>
  <si>
    <t>114,2</t>
  </si>
  <si>
    <t>1769,0366</t>
  </si>
  <si>
    <t>1784,4199</t>
  </si>
  <si>
    <t>116,5</t>
  </si>
  <si>
    <t>1818,8898</t>
  </si>
  <si>
    <t>1783,5959</t>
  </si>
  <si>
    <t>112,7</t>
  </si>
  <si>
    <t>1824,7819</t>
  </si>
  <si>
    <t>1639,4203</t>
  </si>
  <si>
    <t>1774,4119</t>
  </si>
  <si>
    <t>1290,3738</t>
  </si>
  <si>
    <t>118,9</t>
  </si>
  <si>
    <t>1313,4963</t>
  </si>
  <si>
    <t>1445,5185</t>
  </si>
  <si>
    <t>1320,4932</t>
  </si>
  <si>
    <t>117,9</t>
  </si>
  <si>
    <t>1286,8222</t>
  </si>
  <si>
    <t>1254,889</t>
  </si>
  <si>
    <t>1305,3763</t>
  </si>
  <si>
    <t>2020,3142</t>
  </si>
  <si>
    <t>127,2</t>
  </si>
  <si>
    <t>1862,1864</t>
  </si>
  <si>
    <t>123,4</t>
  </si>
  <si>
    <t>1681,927</t>
  </si>
  <si>
    <t>125,5</t>
  </si>
  <si>
    <t>1781,3772</t>
  </si>
  <si>
    <t>125,3</t>
  </si>
  <si>
    <t>1690,1716</t>
  </si>
  <si>
    <t>110,3</t>
  </si>
  <si>
    <t>1703,802</t>
  </si>
  <si>
    <t>1903,1899</t>
  </si>
  <si>
    <t>1223,1349</t>
  </si>
  <si>
    <t>1163,72</t>
  </si>
  <si>
    <t>107,1</t>
  </si>
  <si>
    <t>1442,5259</t>
  </si>
  <si>
    <t>1350,9876</t>
  </si>
  <si>
    <t>1322,0041</t>
  </si>
  <si>
    <t>1200,2554</t>
  </si>
  <si>
    <t>1225,368</t>
  </si>
  <si>
    <t>1606,675</t>
  </si>
  <si>
    <t>118,1</t>
  </si>
  <si>
    <t>1572,6389</t>
  </si>
  <si>
    <t>117,5</t>
  </si>
  <si>
    <t>1619,2837</t>
  </si>
  <si>
    <t>1566,0825</t>
  </si>
  <si>
    <t>1587,5484</t>
  </si>
  <si>
    <t>118,2</t>
  </si>
  <si>
    <t>1569,7258</t>
  </si>
  <si>
    <t>1590,1014</t>
  </si>
  <si>
    <t>1567,7876</t>
  </si>
  <si>
    <t>1753,6673</t>
  </si>
  <si>
    <t>1810,9197</t>
  </si>
  <si>
    <t>1751,2184</t>
  </si>
  <si>
    <t>1834,6177</t>
  </si>
  <si>
    <t>1662,8431</t>
  </si>
  <si>
    <t>1671,6594</t>
  </si>
  <si>
    <t>1479,709</t>
  </si>
  <si>
    <t>1717,8073</t>
  </si>
  <si>
    <t>1742,9239</t>
  </si>
  <si>
    <t>1504,3752</t>
  </si>
  <si>
    <t>1730,9377</t>
  </si>
  <si>
    <t>1784,1682</t>
  </si>
  <si>
    <t>1597,93</t>
  </si>
  <si>
    <t>1111,5159</t>
  </si>
  <si>
    <t>1135,0014</t>
  </si>
  <si>
    <t>1156,2232</t>
  </si>
  <si>
    <t>1238,7999</t>
  </si>
  <si>
    <t>1112,9271</t>
  </si>
  <si>
    <t>1033,6514</t>
  </si>
  <si>
    <t>1126,7574</t>
  </si>
  <si>
    <t>1490,062</t>
  </si>
  <si>
    <t>113,2</t>
  </si>
  <si>
    <t>1448,3376</t>
  </si>
  <si>
    <t>109,7</t>
  </si>
  <si>
    <t>1409,7677</t>
  </si>
  <si>
    <t>1473,3356</t>
  </si>
  <si>
    <t>1454,982</t>
  </si>
  <si>
    <t>1443,8895</t>
  </si>
  <si>
    <t>115,8</t>
  </si>
  <si>
    <t>1466,9417</t>
  </si>
  <si>
    <t>1444,3366</t>
  </si>
  <si>
    <t>1253,2796</t>
  </si>
  <si>
    <t>1141,8189</t>
  </si>
  <si>
    <t>1298,0071</t>
  </si>
  <si>
    <t>1129,1871</t>
  </si>
  <si>
    <t>1092,6399</t>
  </si>
  <si>
    <t>1323,5067</t>
  </si>
  <si>
    <t>1757,1009</t>
  </si>
  <si>
    <t>1768,1878</t>
  </si>
  <si>
    <t>136,9</t>
  </si>
  <si>
    <t>1819,5398</t>
  </si>
  <si>
    <t>133,4</t>
  </si>
  <si>
    <t>1895,9688</t>
  </si>
  <si>
    <t>138,1</t>
  </si>
  <si>
    <t>1947,8699</t>
  </si>
  <si>
    <t>1635,3118</t>
  </si>
  <si>
    <t>137,5</t>
  </si>
  <si>
    <t>1778,1049</t>
  </si>
  <si>
    <t>1394,021</t>
  </si>
  <si>
    <t>1345,8189</t>
  </si>
  <si>
    <t>1458,5242</t>
  </si>
  <si>
    <t>1373,4546</t>
  </si>
  <si>
    <t>111,9</t>
  </si>
  <si>
    <t>1351,3959</t>
  </si>
  <si>
    <t>1326,4111</t>
  </si>
  <si>
    <t>1373,9512</t>
  </si>
  <si>
    <t>116,1</t>
  </si>
  <si>
    <t>2160,8528</t>
  </si>
  <si>
    <t>151,4</t>
  </si>
  <si>
    <t>2028,4989</t>
  </si>
  <si>
    <t>150,1</t>
  </si>
  <si>
    <t>1884,9423</t>
  </si>
  <si>
    <t>142,5</t>
  </si>
  <si>
    <t>1979,3557</t>
  </si>
  <si>
    <t>145,2</t>
  </si>
  <si>
    <t>1857,0338</t>
  </si>
  <si>
    <t>143,5</t>
  </si>
  <si>
    <t>1786,5306</t>
  </si>
  <si>
    <t>134,7</t>
  </si>
  <si>
    <t>2056,8651</t>
  </si>
  <si>
    <t>149,1</t>
  </si>
  <si>
    <t>1621,017</t>
  </si>
  <si>
    <t>1651,7257</t>
  </si>
  <si>
    <t>1696,9755</t>
  </si>
  <si>
    <t>1675,7876</t>
  </si>
  <si>
    <t>1700,15</t>
  </si>
  <si>
    <t>1566,0125</t>
  </si>
  <si>
    <t>1640,2912</t>
  </si>
  <si>
    <t>1252,443</t>
  </si>
  <si>
    <t>1300,2004</t>
  </si>
  <si>
    <t>1413,5148</t>
  </si>
  <si>
    <t>1327,7408</t>
  </si>
  <si>
    <t>1384,1898</t>
  </si>
  <si>
    <t>1350,3371</t>
  </si>
  <si>
    <t>1291,1045</t>
  </si>
  <si>
    <t>1775,5557</t>
  </si>
  <si>
    <t>116</t>
  </si>
  <si>
    <t>1778,8235</t>
  </si>
  <si>
    <t>1780,2009</t>
  </si>
  <si>
    <t>1763,893</t>
  </si>
  <si>
    <t>1783,1166</t>
  </si>
  <si>
    <t>1697,7387</t>
  </si>
  <si>
    <t>1772,9497</t>
  </si>
  <si>
    <t>1325,3726</t>
  </si>
  <si>
    <t>1277,2718</t>
  </si>
  <si>
    <t>1294,0534</t>
  </si>
  <si>
    <t>1314,2023</t>
  </si>
  <si>
    <t>1330,4887</t>
  </si>
  <si>
    <t>1183,7537</t>
  </si>
  <si>
    <t>1300,9009</t>
  </si>
  <si>
    <t>202306</t>
  </si>
  <si>
    <t>1685,1612</t>
  </si>
  <si>
    <t>1724,8611</t>
  </si>
  <si>
    <t>115,2</t>
  </si>
  <si>
    <t>1780,7632</t>
  </si>
  <si>
    <t>1761,6308</t>
  </si>
  <si>
    <t>1740,5995</t>
  </si>
  <si>
    <t>1655,1801</t>
  </si>
  <si>
    <t>1709,6115</t>
  </si>
  <si>
    <t>115,6</t>
  </si>
  <si>
    <t>1832,4661</t>
  </si>
  <si>
    <t>118,5</t>
  </si>
  <si>
    <t>1859,8761</t>
  </si>
  <si>
    <t>1927,3097</t>
  </si>
  <si>
    <t>1875,15</t>
  </si>
  <si>
    <t>1902,0314</t>
  </si>
  <si>
    <t>1732,4087</t>
  </si>
  <si>
    <t>1848,0332</t>
  </si>
  <si>
    <t>116,9</t>
  </si>
  <si>
    <t>1348,6302</t>
  </si>
  <si>
    <t>1371,8692</t>
  </si>
  <si>
    <t>1519,1687</t>
  </si>
  <si>
    <t>1387,0483</t>
  </si>
  <si>
    <t>1337,5168</t>
  </si>
  <si>
    <t>1306,1564</t>
  </si>
  <si>
    <t>1364,1997</t>
  </si>
  <si>
    <t>2092,3394</t>
  </si>
  <si>
    <t>1951,2894</t>
  </si>
  <si>
    <t>1742,2814</t>
  </si>
  <si>
    <t>1881,006</t>
  </si>
  <si>
    <t>1761,5045</t>
  </si>
  <si>
    <t>1799,9769</t>
  </si>
  <si>
    <t>119</t>
  </si>
  <si>
    <t>1983,4012</t>
  </si>
  <si>
    <t>1312,2864</t>
  </si>
  <si>
    <t>117,4</t>
  </si>
  <si>
    <t>1227,7258</t>
  </si>
  <si>
    <t>1659,4426</t>
  </si>
  <si>
    <t>133,2</t>
  </si>
  <si>
    <t>1616,9427</t>
  </si>
  <si>
    <t>1366,4972</t>
  </si>
  <si>
    <t>1364,8734</t>
  </si>
  <si>
    <t>1324,556</t>
  </si>
  <si>
    <t>1742,6688</t>
  </si>
  <si>
    <t>1694,084</t>
  </si>
  <si>
    <t>1742,0851</t>
  </si>
  <si>
    <t>127,9</t>
  </si>
  <si>
    <t>1687,2463</t>
  </si>
  <si>
    <t>1699,832</t>
  </si>
  <si>
    <t>1683,7421</t>
  </si>
  <si>
    <t>1717,2201</t>
  </si>
  <si>
    <t>1701,0304</t>
  </si>
  <si>
    <t>1902,4856</t>
  </si>
  <si>
    <t>1965,5635</t>
  </si>
  <si>
    <t>1915,6464</t>
  </si>
  <si>
    <t>106,7</t>
  </si>
  <si>
    <t>2008,9713</t>
  </si>
  <si>
    <t>107,9</t>
  </si>
  <si>
    <t>1799,0871</t>
  </si>
  <si>
    <t>1815,4471</t>
  </si>
  <si>
    <t>1575,9159</t>
  </si>
  <si>
    <t>1835,3534</t>
  </si>
  <si>
    <t>99,6</t>
  </si>
  <si>
    <t>1842,2573</t>
  </si>
  <si>
    <t>95,9</t>
  </si>
  <si>
    <t>1592,9016</t>
  </si>
  <si>
    <t>1834,6311</t>
  </si>
  <si>
    <t>1892,5838</t>
  </si>
  <si>
    <t>1701,7574</t>
  </si>
  <si>
    <t>1234,0205</t>
  </si>
  <si>
    <t>1259,8487</t>
  </si>
  <si>
    <t>1255,6029</t>
  </si>
  <si>
    <t>1371,8606</t>
  </si>
  <si>
    <t>1190,6011</t>
  </si>
  <si>
    <t>1097,7895</t>
  </si>
  <si>
    <t>1244,8</t>
  </si>
  <si>
    <t>1580,3923</t>
  </si>
  <si>
    <t>1546,3219</t>
  </si>
  <si>
    <t>1503,82</t>
  </si>
  <si>
    <t>1560,7822</t>
  </si>
  <si>
    <t>1562,8951</t>
  </si>
  <si>
    <t>1554,9894</t>
  </si>
  <si>
    <t>1561,7425</t>
  </si>
  <si>
    <t>115,7</t>
  </si>
  <si>
    <t>1542,7581</t>
  </si>
  <si>
    <t>115,4</t>
  </si>
  <si>
    <t>1328,5258</t>
  </si>
  <si>
    <t>1287,5186</t>
  </si>
  <si>
    <t>1372,1087</t>
  </si>
  <si>
    <t>1218,0232</t>
  </si>
  <si>
    <t>1121,9922</t>
  </si>
  <si>
    <t>1410,4778</t>
  </si>
  <si>
    <t>1874,8076</t>
  </si>
  <si>
    <t>132,3</t>
  </si>
  <si>
    <t>1891,1037</t>
  </si>
  <si>
    <t>140,2</t>
  </si>
  <si>
    <t>1884,9913</t>
  </si>
  <si>
    <t>130,8</t>
  </si>
  <si>
    <t>1969,3008</t>
  </si>
  <si>
    <t>2025,1833</t>
  </si>
  <si>
    <t>1754,7671</t>
  </si>
  <si>
    <t>138,2</t>
  </si>
  <si>
    <t>1890,0322</t>
  </si>
  <si>
    <t>1483,6935</t>
  </si>
  <si>
    <t>121</t>
  </si>
  <si>
    <t>1433,71</t>
  </si>
  <si>
    <t>1570,5906</t>
  </si>
  <si>
    <t>1471,6691</t>
  </si>
  <si>
    <t>1430,1411</t>
  </si>
  <si>
    <t>1414,663</t>
  </si>
  <si>
    <t>1464,0524</t>
  </si>
  <si>
    <t>2170,5831</t>
  </si>
  <si>
    <t>135,8</t>
  </si>
  <si>
    <t>2076,2759</t>
  </si>
  <si>
    <t>140,7</t>
  </si>
  <si>
    <t>1954,3027</t>
  </si>
  <si>
    <t>139</t>
  </si>
  <si>
    <t>2070,9981</t>
  </si>
  <si>
    <t>143,3</t>
  </si>
  <si>
    <t>1911,7411</t>
  </si>
  <si>
    <t>1887,5841</t>
  </si>
  <si>
    <t>133,9</t>
  </si>
  <si>
    <t>2094,7124</t>
  </si>
  <si>
    <t>137,9</t>
  </si>
  <si>
    <t>1726,7702</t>
  </si>
  <si>
    <t>1760,7204</t>
  </si>
  <si>
    <t>1808,068</t>
  </si>
  <si>
    <t>1779,3163</t>
  </si>
  <si>
    <t>112,6</t>
  </si>
  <si>
    <t>1800,5197</t>
  </si>
  <si>
    <t>1667,8399</t>
  </si>
  <si>
    <t>1746,7824</t>
  </si>
  <si>
    <t>1344,1707</t>
  </si>
  <si>
    <t>114</t>
  </si>
  <si>
    <t>1379,3122</t>
  </si>
  <si>
    <t>1550,1685</t>
  </si>
  <si>
    <t>1472,4815</t>
  </si>
  <si>
    <t>1449,3111</t>
  </si>
  <si>
    <t>1468,896</t>
  </si>
  <si>
    <t>105</t>
  </si>
  <si>
    <t>1383,8634</t>
  </si>
  <si>
    <t>1868,674</t>
  </si>
  <si>
    <t>1878,612</t>
  </si>
  <si>
    <t>1885,8095</t>
  </si>
  <si>
    <t>1865,4395</t>
  </si>
  <si>
    <t>1876,6054</t>
  </si>
  <si>
    <t>1802,9794</t>
  </si>
  <si>
    <t>1870,0638</t>
  </si>
  <si>
    <t>1417,491</t>
  </si>
  <si>
    <t>118,3</t>
  </si>
  <si>
    <t>1364,0106</t>
  </si>
  <si>
    <t>1420,8833</t>
  </si>
  <si>
    <t>1447,3627</t>
  </si>
  <si>
    <t>1403,8341</t>
  </si>
  <si>
    <t>1288,4388</t>
  </si>
  <si>
    <t>106,5</t>
  </si>
  <si>
    <t>1395,1812</t>
  </si>
  <si>
    <t>114,8</t>
  </si>
  <si>
    <t>202307</t>
  </si>
  <si>
    <t>1789,4275</t>
  </si>
  <si>
    <t>1835,8968</t>
  </si>
  <si>
    <t>1892,223</t>
  </si>
  <si>
    <t>1868,6534</t>
  </si>
  <si>
    <t>1850,3918</t>
  </si>
  <si>
    <t>108,2</t>
  </si>
  <si>
    <t>1784,2535</t>
  </si>
  <si>
    <t>1818,0838</t>
  </si>
  <si>
    <t>1941,6682</t>
  </si>
  <si>
    <t>1962,4652</t>
  </si>
  <si>
    <t>2028,6119</t>
  </si>
  <si>
    <t>1973,5213</t>
  </si>
  <si>
    <t>2011,9631</t>
  </si>
  <si>
    <t>1854,6382</t>
  </si>
  <si>
    <t>115,1</t>
  </si>
  <si>
    <t>1954,5101</t>
  </si>
  <si>
    <t>1465,7752</t>
  </si>
  <si>
    <t>1501,4989</t>
  </si>
  <si>
    <t>122,7</t>
  </si>
  <si>
    <t>1654,1399</t>
  </si>
  <si>
    <t>129,4</t>
  </si>
  <si>
    <t>1507,7398</t>
  </si>
  <si>
    <t>1455,6482</t>
  </si>
  <si>
    <t>1441,6839</t>
  </si>
  <si>
    <t>1487,5243</t>
  </si>
  <si>
    <t>2146,4783</t>
  </si>
  <si>
    <t>2011,0222</t>
  </si>
  <si>
    <t>1813,3807</t>
  </si>
  <si>
    <t>1946,0836</t>
  </si>
  <si>
    <t>1824,2079</t>
  </si>
  <si>
    <t>1905,5471</t>
  </si>
  <si>
    <t>107,5</t>
  </si>
  <si>
    <t>2043,7327</t>
  </si>
  <si>
    <t>1359,47</t>
  </si>
  <si>
    <t>1273,0572</t>
  </si>
  <si>
    <t>1765,9551</t>
  </si>
  <si>
    <t>135,2</t>
  </si>
  <si>
    <t>1680,0205</t>
  </si>
  <si>
    <t>1437,7792</t>
  </si>
  <si>
    <t>1444,6584</t>
  </si>
  <si>
    <t>102,7</t>
  </si>
  <si>
    <t>1377,3341</t>
  </si>
  <si>
    <t>1845,9603</t>
  </si>
  <si>
    <t>1794,6132</t>
  </si>
  <si>
    <t>1865,9938</t>
  </si>
  <si>
    <t>119,5</t>
  </si>
  <si>
    <t>1791,3086</t>
  </si>
  <si>
    <t>1799,5464</t>
  </si>
  <si>
    <t>1841,4126</t>
  </si>
  <si>
    <t>114,4</t>
  </si>
  <si>
    <t>1822,9318</t>
  </si>
  <si>
    <t>1841,4954</t>
  </si>
  <si>
    <t>2083,3742</t>
  </si>
  <si>
    <t>2153,4906</t>
  </si>
  <si>
    <t>2107,1865</t>
  </si>
  <si>
    <t>2204,7714</t>
  </si>
  <si>
    <t>113,6</t>
  </si>
  <si>
    <t>1972,1996</t>
  </si>
  <si>
    <t>1979,4087</t>
  </si>
  <si>
    <t>1636,9606</t>
  </si>
  <si>
    <t>1944,6304</t>
  </si>
  <si>
    <t>1947,9602</t>
  </si>
  <si>
    <t>1703,1215</t>
  </si>
  <si>
    <t>1945,3996</t>
  </si>
  <si>
    <t>2073,4833</t>
  </si>
  <si>
    <t>1791,7559</t>
  </si>
  <si>
    <t>1389,7398</t>
  </si>
  <si>
    <t>1412,8756</t>
  </si>
  <si>
    <t>1392,5418</t>
  </si>
  <si>
    <t>109,4</t>
  </si>
  <si>
    <t>1523,5114</t>
  </si>
  <si>
    <t>1320,9705</t>
  </si>
  <si>
    <t>113,3</t>
  </si>
  <si>
    <t>1232,9683</t>
  </si>
  <si>
    <t>1396,2642</t>
  </si>
  <si>
    <t>119,3</t>
  </si>
  <si>
    <t>1774,182</t>
  </si>
  <si>
    <t>1715,2483</t>
  </si>
  <si>
    <t>1654,9488</t>
  </si>
  <si>
    <t>1706,0368</t>
  </si>
  <si>
    <t>1707,4437</t>
  </si>
  <si>
    <t>1693,4572</t>
  </si>
  <si>
    <t>1736,5158</t>
  </si>
  <si>
    <t>1653,5364</t>
  </si>
  <si>
    <t>1391,1409</t>
  </si>
  <si>
    <t>1370,6412</t>
  </si>
  <si>
    <t>1467,3546</t>
  </si>
  <si>
    <t>1281,1653</t>
  </si>
  <si>
    <t>1163,2724</t>
  </si>
  <si>
    <t>1496,9625</t>
  </si>
  <si>
    <t>110,8</t>
  </si>
  <si>
    <t>2002,0742</t>
  </si>
  <si>
    <t>2052,8605</t>
  </si>
  <si>
    <t>139,7</t>
  </si>
  <si>
    <t>2019,5811</t>
  </si>
  <si>
    <t>2113,0704</t>
  </si>
  <si>
    <t>2157,8241</t>
  </si>
  <si>
    <t>123,3</t>
  </si>
  <si>
    <t>1878,5619</t>
  </si>
  <si>
    <t>2030,866</t>
  </si>
  <si>
    <t>129,7</t>
  </si>
  <si>
    <t>1579,8799</t>
  </si>
  <si>
    <t>1519,3797</t>
  </si>
  <si>
    <t>1664,4858</t>
  </si>
  <si>
    <t>1557,4841</t>
  </si>
  <si>
    <t>1518,2758</t>
  </si>
  <si>
    <t>1537,0217</t>
  </si>
  <si>
    <t>1556,5397</t>
  </si>
  <si>
    <t>2269,824</t>
  </si>
  <si>
    <t>122,1</t>
  </si>
  <si>
    <t>2189,0602</t>
  </si>
  <si>
    <t>126,5</t>
  </si>
  <si>
    <t>2049,4204</t>
  </si>
  <si>
    <t>128,9</t>
  </si>
  <si>
    <t>2176,1361</t>
  </si>
  <si>
    <t>131,9</t>
  </si>
  <si>
    <t>2037,6546</t>
  </si>
  <si>
    <t>2017,2971</t>
  </si>
  <si>
    <t>124,9</t>
  </si>
  <si>
    <t>2201,586</t>
  </si>
  <si>
    <t>1837,2743</t>
  </si>
  <si>
    <t>1876,0793</t>
  </si>
  <si>
    <t>1922,4459</t>
  </si>
  <si>
    <t>1890,681</t>
  </si>
  <si>
    <t>1915,128</t>
  </si>
  <si>
    <t>1798,0599</t>
  </si>
  <si>
    <t>1860,2801</t>
  </si>
  <si>
    <t>1432,3543</t>
  </si>
  <si>
    <t>1473,8833</t>
  </si>
  <si>
    <t>1661,6167</t>
  </si>
  <si>
    <t>1564,0706</t>
  </si>
  <si>
    <t>1534,3566</t>
  </si>
  <si>
    <t>1593,7013</t>
  </si>
  <si>
    <t>1476,8552</t>
  </si>
  <si>
    <t>1979,303</t>
  </si>
  <si>
    <t>1991,0691</t>
  </si>
  <si>
    <t>2001,3407</t>
  </si>
  <si>
    <t>1975,9862</t>
  </si>
  <si>
    <t>1993,3286</t>
  </si>
  <si>
    <t>1941,6892</t>
  </si>
  <si>
    <t>1983,1238</t>
  </si>
  <si>
    <t>1512,4767</t>
  </si>
  <si>
    <t>1471,7101</t>
  </si>
  <si>
    <t>1518,3952</t>
  </si>
  <si>
    <t>1543,7163</t>
  </si>
  <si>
    <t>111,2</t>
  </si>
  <si>
    <t>1496,4647</t>
  </si>
  <si>
    <t>1393,6012</t>
  </si>
  <si>
    <t>1494,9796</t>
  </si>
  <si>
    <t>202308</t>
  </si>
  <si>
    <t>2008,8079</t>
  </si>
  <si>
    <t>2060,6329</t>
  </si>
  <si>
    <t>2160,5496</t>
  </si>
  <si>
    <t>14,2</t>
  </si>
  <si>
    <t>126,1</t>
  </si>
  <si>
    <t>2124,297</t>
  </si>
  <si>
    <t>126</t>
  </si>
  <si>
    <t>2078,4831</t>
  </si>
  <si>
    <t>2000,9692</t>
  </si>
  <si>
    <t>2044,2832</t>
  </si>
  <si>
    <t>124,4</t>
  </si>
  <si>
    <t>2236,1003</t>
  </si>
  <si>
    <t>15,2</t>
  </si>
  <si>
    <t>135,6</t>
  </si>
  <si>
    <t>2268,5309</t>
  </si>
  <si>
    <t>2385,2926</t>
  </si>
  <si>
    <t>131,4</t>
  </si>
  <si>
    <t>2326,1869</t>
  </si>
  <si>
    <t>2331,5672</t>
  </si>
  <si>
    <t>130,1</t>
  </si>
  <si>
    <t>2109,8713</t>
  </si>
  <si>
    <t>2259,2334</t>
  </si>
  <si>
    <t>133,5</t>
  </si>
  <si>
    <t>1574,3594</t>
  </si>
  <si>
    <t>1637,173</t>
  </si>
  <si>
    <t>1848,9467</t>
  </si>
  <si>
    <t>1662,7599</t>
  </si>
  <si>
    <t>129,3</t>
  </si>
  <si>
    <t>1582,5716</t>
  </si>
  <si>
    <t>1557,8143</t>
  </si>
  <si>
    <t>1613,6846</t>
  </si>
  <si>
    <t>2324,1482</t>
  </si>
  <si>
    <t>2210,3041</t>
  </si>
  <si>
    <t>2025,0259</t>
  </si>
  <si>
    <t>2139,2421</t>
  </si>
  <si>
    <t>1980,5758</t>
  </si>
  <si>
    <t>2090,9509</t>
  </si>
  <si>
    <t>2230,5776</t>
  </si>
  <si>
    <t>1520,058</t>
  </si>
  <si>
    <t>1363,0549</t>
  </si>
  <si>
    <t>1890,7175</t>
  </si>
  <si>
    <t>1764,8856</t>
  </si>
  <si>
    <t>1538,0207</t>
  </si>
  <si>
    <t>1552,4839</t>
  </si>
  <si>
    <t>1503,1732</t>
  </si>
  <si>
    <t>2111,101</t>
  </si>
  <si>
    <t>14,4</t>
  </si>
  <si>
    <t>2035,8292</t>
  </si>
  <si>
    <t>2168,1809</t>
  </si>
  <si>
    <t>2070,4814</t>
  </si>
  <si>
    <t>131,3</t>
  </si>
  <si>
    <t>1998,9441</t>
  </si>
  <si>
    <t>120</t>
  </si>
  <si>
    <t>2108,7658</t>
  </si>
  <si>
    <t>2079,2711</t>
  </si>
  <si>
    <t>2137,6411</t>
  </si>
  <si>
    <t>2386,104</t>
  </si>
  <si>
    <t>129</t>
  </si>
  <si>
    <t>2537,9853</t>
  </si>
  <si>
    <t>2408,4444</t>
  </si>
  <si>
    <t>133</t>
  </si>
  <si>
    <t>2496,8252</t>
  </si>
  <si>
    <t>131,6</t>
  </si>
  <si>
    <t>2259,3291</t>
  </si>
  <si>
    <t>127,1</t>
  </si>
  <si>
    <t>2281,5545</t>
  </si>
  <si>
    <t>127,8</t>
  </si>
  <si>
    <t>1788,5897</t>
  </si>
  <si>
    <t>2163,1233</t>
  </si>
  <si>
    <t>2163,0362</t>
  </si>
  <si>
    <t>1895,7266</t>
  </si>
  <si>
    <t>2163,8379</t>
  </si>
  <si>
    <t>2331,1099</t>
  </si>
  <si>
    <t>1979,0901</t>
  </si>
  <si>
    <t>1459,8776</t>
  </si>
  <si>
    <t>1464,4824</t>
  </si>
  <si>
    <t>1480,7353</t>
  </si>
  <si>
    <t>1590,48</t>
  </si>
  <si>
    <t>1368,093</t>
  </si>
  <si>
    <t>1290,028</t>
  </si>
  <si>
    <t>1458,9608</t>
  </si>
  <si>
    <t>120,2</t>
  </si>
  <si>
    <t>1978,2929</t>
  </si>
  <si>
    <t>125,9</t>
  </si>
  <si>
    <t>1899,9518</t>
  </si>
  <si>
    <t>1868,9125</t>
  </si>
  <si>
    <t>1890,5587</t>
  </si>
  <si>
    <t>1928,5594</t>
  </si>
  <si>
    <t>13</t>
  </si>
  <si>
    <t>129,1</t>
  </si>
  <si>
    <t>1979,1375</t>
  </si>
  <si>
    <t>141,6</t>
  </si>
  <si>
    <t>1937,7153</t>
  </si>
  <si>
    <t>1810,2864</t>
  </si>
  <si>
    <t>1489,0287</t>
  </si>
  <si>
    <t>1444,0437</t>
  </si>
  <si>
    <t>1625,3846</t>
  </si>
  <si>
    <t>1391,9384</t>
  </si>
  <si>
    <t>1290,1353</t>
  </si>
  <si>
    <t>1626,7843</t>
  </si>
  <si>
    <t>2256,3582</t>
  </si>
  <si>
    <t>136,6</t>
  </si>
  <si>
    <t>2286,5587</t>
  </si>
  <si>
    <t>149,3</t>
  </si>
  <si>
    <t>2269,1274</t>
  </si>
  <si>
    <t>138,9</t>
  </si>
  <si>
    <t>2431,8489</t>
  </si>
  <si>
    <t>147,9</t>
  </si>
  <si>
    <t>2475,4803</t>
  </si>
  <si>
    <t>139,9</t>
  </si>
  <si>
    <t>2087,1859</t>
  </si>
  <si>
    <t>141,1</t>
  </si>
  <si>
    <t>2283,6173</t>
  </si>
  <si>
    <t>142,2</t>
  </si>
  <si>
    <t>1725,8297</t>
  </si>
  <si>
    <t>1657,0518</t>
  </si>
  <si>
    <t>1876,1071</t>
  </si>
  <si>
    <t>1702,6509</t>
  </si>
  <si>
    <t>1660,8388</t>
  </si>
  <si>
    <t>1679,0355</t>
  </si>
  <si>
    <t>1702,3856</t>
  </si>
  <si>
    <t>2503,4051</t>
  </si>
  <si>
    <t>128,2</t>
  </si>
  <si>
    <t>2420,2182</t>
  </si>
  <si>
    <t>2321,0266</t>
  </si>
  <si>
    <t>2444,2715</t>
  </si>
  <si>
    <t>2246,4987</t>
  </si>
  <si>
    <t>2224,7391</t>
  </si>
  <si>
    <t>2436,0941</t>
  </si>
  <si>
    <t>128,8</t>
  </si>
  <si>
    <t>2085,5392</t>
  </si>
  <si>
    <t>2131,2298</t>
  </si>
  <si>
    <t>2225,2349</t>
  </si>
  <si>
    <t>126,2</t>
  </si>
  <si>
    <t>2179,6167</t>
  </si>
  <si>
    <t>2177,4203</t>
  </si>
  <si>
    <t>2043,0087</t>
  </si>
  <si>
    <t>2116,751</t>
  </si>
  <si>
    <t>1560,3887</t>
  </si>
  <si>
    <t>1586,4371</t>
  </si>
  <si>
    <t>1791,2288</t>
  </si>
  <si>
    <t>1682,1537</t>
  </si>
  <si>
    <t>1662,1765</t>
  </si>
  <si>
    <t>1720,7796</t>
  </si>
  <si>
    <t>1599,0767</t>
  </si>
  <si>
    <t>2243,5089</t>
  </si>
  <si>
    <t>125,6</t>
  </si>
  <si>
    <t>2263,0944</t>
  </si>
  <si>
    <t>2313,6385</t>
  </si>
  <si>
    <t>2272,3201</t>
  </si>
  <si>
    <t>2252,6106</t>
  </si>
  <si>
    <t>2200,6459</t>
  </si>
  <si>
    <t>124,5</t>
  </si>
  <si>
    <t>2253,9149</t>
  </si>
  <si>
    <t>1666,4749</t>
  </si>
  <si>
    <t>1585,4595</t>
  </si>
  <si>
    <t>1636,0801</t>
  </si>
  <si>
    <t>1676,1751</t>
  </si>
  <si>
    <t>1647,3244</t>
  </si>
  <si>
    <t>1505,5021</t>
  </si>
  <si>
    <t>1630,3102</t>
  </si>
  <si>
    <t>202309</t>
  </si>
  <si>
    <t>2253,4785</t>
  </si>
  <si>
    <t>138,3</t>
  </si>
  <si>
    <t>2330,0573</t>
  </si>
  <si>
    <t>138</t>
  </si>
  <si>
    <t>2440,4173</t>
  </si>
  <si>
    <t>2404,2327</t>
  </si>
  <si>
    <t>141</t>
  </si>
  <si>
    <t>2362,3625</t>
  </si>
  <si>
    <t>135,4</t>
  </si>
  <si>
    <t>2280,9069</t>
  </si>
  <si>
    <t>2304,9242</t>
  </si>
  <si>
    <t>2530,5562</t>
  </si>
  <si>
    <t>149</t>
  </si>
  <si>
    <t>2613,5811</t>
  </si>
  <si>
    <t>150,4</t>
  </si>
  <si>
    <t>2744,8274</t>
  </si>
  <si>
    <t>149,2</t>
  </si>
  <si>
    <t>2651,1748</t>
  </si>
  <si>
    <t>154,7</t>
  </si>
  <si>
    <t>2700,8154</t>
  </si>
  <si>
    <t>150,5</t>
  </si>
  <si>
    <t>2479,0285</t>
  </si>
  <si>
    <t>152,4</t>
  </si>
  <si>
    <t>2583,3826</t>
  </si>
  <si>
    <t>1752,8624</t>
  </si>
  <si>
    <t>1825,2112</t>
  </si>
  <si>
    <t>2053,245</t>
  </si>
  <si>
    <t>141,5</t>
  </si>
  <si>
    <t>1866,1147</t>
  </si>
  <si>
    <t>1785,7403</t>
  </si>
  <si>
    <t>128,7</t>
  </si>
  <si>
    <t>1744,7102</t>
  </si>
  <si>
    <t>128,4</t>
  </si>
  <si>
    <t>1799,9953</t>
  </si>
  <si>
    <t>2732,4365</t>
  </si>
  <si>
    <t>2514,7961</t>
  </si>
  <si>
    <t>2275,2229</t>
  </si>
  <si>
    <t>2459,4641</t>
  </si>
  <si>
    <t>2305,6345</t>
  </si>
  <si>
    <t>2388,4429</t>
  </si>
  <si>
    <t>2581,0642</t>
  </si>
  <si>
    <t>1626,3733</t>
  </si>
  <si>
    <t>138,4</t>
  </si>
  <si>
    <t>1485,8992</t>
  </si>
  <si>
    <t>2057,3391</t>
  </si>
  <si>
    <t>1981,2706</t>
  </si>
  <si>
    <t>130,2</t>
  </si>
  <si>
    <t>1677,2333</t>
  </si>
  <si>
    <t>1749,9444</t>
  </si>
  <si>
    <t>1630,2974</t>
  </si>
  <si>
    <t>130,6</t>
  </si>
  <si>
    <t>2361,4147</t>
  </si>
  <si>
    <t>137,2</t>
  </si>
  <si>
    <t>2303,127</t>
  </si>
  <si>
    <t>137,6</t>
  </si>
  <si>
    <t>2471,809</t>
  </si>
  <si>
    <t>154</t>
  </si>
  <si>
    <t>2318,0663</t>
  </si>
  <si>
    <t>2289,3539</t>
  </si>
  <si>
    <t>2415,264</t>
  </si>
  <si>
    <t>146,5</t>
  </si>
  <si>
    <t>2342,3942</t>
  </si>
  <si>
    <t>2308,6914</t>
  </si>
  <si>
    <t>2632,2472</t>
  </si>
  <si>
    <t>142,3</t>
  </si>
  <si>
    <t>2751,5808</t>
  </si>
  <si>
    <t>142,6</t>
  </si>
  <si>
    <t>2692,115</t>
  </si>
  <si>
    <t>146,4</t>
  </si>
  <si>
    <t>2832,9215</t>
  </si>
  <si>
    <t>149,5</t>
  </si>
  <si>
    <t>2508,3249</t>
  </si>
  <si>
    <t>140,6</t>
  </si>
  <si>
    <t>2499,2627</t>
  </si>
  <si>
    <t>1969,5311</t>
  </si>
  <si>
    <t>2406,9739</t>
  </si>
  <si>
    <t>2429,2095</t>
  </si>
  <si>
    <t>2129,0276</t>
  </si>
  <si>
    <t>2418,922</t>
  </si>
  <si>
    <t>2553,081</t>
  </si>
  <si>
    <t>2193,7362</t>
  </si>
  <si>
    <t>1588,0854</t>
  </si>
  <si>
    <t>137</t>
  </si>
  <si>
    <t>1619,0212</t>
  </si>
  <si>
    <t>138,7</t>
  </si>
  <si>
    <t>1613,788</t>
  </si>
  <si>
    <t>1758,7004</t>
  </si>
  <si>
    <t>134,2</t>
  </si>
  <si>
    <t>1500,2395</t>
  </si>
  <si>
    <t>1407,0523</t>
  </si>
  <si>
    <t>1598,7345</t>
  </si>
  <si>
    <t>2270,7096</t>
  </si>
  <si>
    <t>147,2</t>
  </si>
  <si>
    <t>2199,5888</t>
  </si>
  <si>
    <t>144,2</t>
  </si>
  <si>
    <t>2122,0697</t>
  </si>
  <si>
    <t>146,1</t>
  </si>
  <si>
    <t>2187,3365</t>
  </si>
  <si>
    <t>139,6</t>
  </si>
  <si>
    <t>2201,768</t>
  </si>
  <si>
    <t>2291,4976</t>
  </si>
  <si>
    <t>162,7</t>
  </si>
  <si>
    <t>2230,9342</t>
  </si>
  <si>
    <t>146,3</t>
  </si>
  <si>
    <t>1994,2591</t>
  </si>
  <si>
    <t>140,3</t>
  </si>
  <si>
    <t>1583,8839</t>
  </si>
  <si>
    <t>1531,084</t>
  </si>
  <si>
    <t>1728,2739</t>
  </si>
  <si>
    <t>1475,8328</t>
  </si>
  <si>
    <t>1339,8635</t>
  </si>
  <si>
    <t>1759,2371</t>
  </si>
  <si>
    <t>2566,4687</t>
  </si>
  <si>
    <t>159,3</t>
  </si>
  <si>
    <t>2585,6391</t>
  </si>
  <si>
    <t>166,6</t>
  </si>
  <si>
    <t>2560,9306</t>
  </si>
  <si>
    <t>156,7</t>
  </si>
  <si>
    <t>2711,853</t>
  </si>
  <si>
    <t>160,6</t>
  </si>
  <si>
    <t>2739,5081</t>
  </si>
  <si>
    <t>154,5</t>
  </si>
  <si>
    <t>2430,2713</t>
  </si>
  <si>
    <t>161,6</t>
  </si>
  <si>
    <t>2586,0182</t>
  </si>
  <si>
    <t>1943,7141</t>
  </si>
  <si>
    <t>1832,499</t>
  </si>
  <si>
    <t>2096,7641</t>
  </si>
  <si>
    <t>133,7</t>
  </si>
  <si>
    <t>1906,4669</t>
  </si>
  <si>
    <t>1844,9184</t>
  </si>
  <si>
    <t>1853,3906</t>
  </si>
  <si>
    <t>1901,2072</t>
  </si>
  <si>
    <t>2902,3424</t>
  </si>
  <si>
    <t>2762,9894</t>
  </si>
  <si>
    <t>2590,6541</t>
  </si>
  <si>
    <t>2719,2799</t>
  </si>
  <si>
    <t>2555,1593</t>
  </si>
  <si>
    <t>2574,5651</t>
  </si>
  <si>
    <t>2794,0242</t>
  </si>
  <si>
    <t>2350,3791</t>
  </si>
  <si>
    <t>140,9</t>
  </si>
  <si>
    <t>2424,6669</t>
  </si>
  <si>
    <t>142,8</t>
  </si>
  <si>
    <t>2535,2315</t>
  </si>
  <si>
    <t>144</t>
  </si>
  <si>
    <t>2489,2443</t>
  </si>
  <si>
    <t>147,4</t>
  </si>
  <si>
    <t>2497,0818</t>
  </si>
  <si>
    <t>2345,4194</t>
  </si>
  <si>
    <t>142,1</t>
  </si>
  <si>
    <t>2400,9928</t>
  </si>
  <si>
    <t>1676,2644</t>
  </si>
  <si>
    <t>1724,9405</t>
  </si>
  <si>
    <t>1959,0789</t>
  </si>
  <si>
    <t>123,7</t>
  </si>
  <si>
    <t>1850,8729</t>
  </si>
  <si>
    <t>1815,8003</t>
  </si>
  <si>
    <t>1881,6493</t>
  </si>
  <si>
    <t>1732,073</t>
  </si>
  <si>
    <t>2536,8554</t>
  </si>
  <si>
    <t>2574,2641</t>
  </si>
  <si>
    <t>2628,9988</t>
  </si>
  <si>
    <t>142,7</t>
  </si>
  <si>
    <t>2582,9954</t>
  </si>
  <si>
    <t>143,8</t>
  </si>
  <si>
    <t>2589,563</t>
  </si>
  <si>
    <t>137,4</t>
  </si>
  <si>
    <t>2524,5083</t>
  </si>
  <si>
    <t>141,8</t>
  </si>
  <si>
    <t>2559,1874</t>
  </si>
  <si>
    <t>139,3</t>
  </si>
  <si>
    <t>1840,1474</t>
  </si>
  <si>
    <t>1756,9085</t>
  </si>
  <si>
    <t>132</t>
  </si>
  <si>
    <t>1794,3531</t>
  </si>
  <si>
    <t>1863,0503</t>
  </si>
  <si>
    <t>129,8</t>
  </si>
  <si>
    <t>1799,7892</t>
  </si>
  <si>
    <t>1676,4475</t>
  </si>
  <si>
    <t>1802,2382</t>
  </si>
  <si>
    <t>134,3</t>
  </si>
  <si>
    <t>202310</t>
  </si>
  <si>
    <t>2447,565</t>
  </si>
  <si>
    <t>2523,5826</t>
  </si>
  <si>
    <t>2620,9032</t>
  </si>
  <si>
    <t>2589,8147</t>
  </si>
  <si>
    <t>2536,7667</t>
  </si>
  <si>
    <t>138,5</t>
  </si>
  <si>
    <t>2467,3877</t>
  </si>
  <si>
    <t>2496,273</t>
  </si>
  <si>
    <t>2750,7102</t>
  </si>
  <si>
    <t>153,7</t>
  </si>
  <si>
    <t>2797,7784</t>
  </si>
  <si>
    <t>153,9</t>
  </si>
  <si>
    <t>2902,8527</t>
  </si>
  <si>
    <t>2834,4788</t>
  </si>
  <si>
    <t>157,9</t>
  </si>
  <si>
    <t>2887,9868</t>
  </si>
  <si>
    <t>152,9</t>
  </si>
  <si>
    <t>2662,2293</t>
  </si>
  <si>
    <t>152,8</t>
  </si>
  <si>
    <t>2782,4454</t>
  </si>
  <si>
    <t>153,8</t>
  </si>
  <si>
    <t>1932,4716</t>
  </si>
  <si>
    <t>2003,5676</t>
  </si>
  <si>
    <t>2237,4292</t>
  </si>
  <si>
    <t>149,4</t>
  </si>
  <si>
    <t>2031,3694</t>
  </si>
  <si>
    <t>143,1</t>
  </si>
  <si>
    <t>1957,2545</t>
  </si>
  <si>
    <t>1906,5514</t>
  </si>
  <si>
    <t>1977,1526</t>
  </si>
  <si>
    <t>3025,3689</t>
  </si>
  <si>
    <t>130,7</t>
  </si>
  <si>
    <t>2816,4027</t>
  </si>
  <si>
    <t>2507,845</t>
  </si>
  <si>
    <t>2702,426</t>
  </si>
  <si>
    <t>2523,8494</t>
  </si>
  <si>
    <t>2633,5434</t>
  </si>
  <si>
    <t>2864,6053</t>
  </si>
  <si>
    <t>1771,8731</t>
  </si>
  <si>
    <t>1600,4758</t>
  </si>
  <si>
    <t>2185,8832</t>
  </si>
  <si>
    <t>2057,0899</t>
  </si>
  <si>
    <t>1793,4717</t>
  </si>
  <si>
    <t>1863,3305</t>
  </si>
  <si>
    <t>130,9</t>
  </si>
  <si>
    <t>1757,5929</t>
  </si>
  <si>
    <t>2630,6121</t>
  </si>
  <si>
    <t>153,5</t>
  </si>
  <si>
    <t>2535,0739</t>
  </si>
  <si>
    <t>148</t>
  </si>
  <si>
    <t>2711,0719</t>
  </si>
  <si>
    <t>165,9</t>
  </si>
  <si>
    <t>2559,3399</t>
  </si>
  <si>
    <t>2533,4007</t>
  </si>
  <si>
    <t>2655,8839</t>
  </si>
  <si>
    <t>155</t>
  </si>
  <si>
    <t>2592,8927</t>
  </si>
  <si>
    <t>152,1</t>
  </si>
  <si>
    <t>2430,3649</t>
  </si>
  <si>
    <t>2774,4634</t>
  </si>
  <si>
    <t>2858,1722</t>
  </si>
  <si>
    <t>2801,0569</t>
  </si>
  <si>
    <t>141,9</t>
  </si>
  <si>
    <t>2951,3134</t>
  </si>
  <si>
    <t>2647,1628</t>
  </si>
  <si>
    <t>2626,9102</t>
  </si>
  <si>
    <t>2086,3758</t>
  </si>
  <si>
    <t>2612,259</t>
  </si>
  <si>
    <t>2603,7545</t>
  </si>
  <si>
    <t>2277,0307</t>
  </si>
  <si>
    <t>2539,8929</t>
  </si>
  <si>
    <t>2771,9958</t>
  </si>
  <si>
    <t>2349,1266</t>
  </si>
  <si>
    <t>1798,6922</t>
  </si>
  <si>
    <t>1820,6019</t>
  </si>
  <si>
    <t>1812,0535</t>
  </si>
  <si>
    <t>1963,8301</t>
  </si>
  <si>
    <t>1671,166</t>
  </si>
  <si>
    <t>1563,6849</t>
  </si>
  <si>
    <t>1800,8697</t>
  </si>
  <si>
    <t>2494,3485</t>
  </si>
  <si>
    <t>158</t>
  </si>
  <si>
    <t>2374,1024</t>
  </si>
  <si>
    <t>148,7</t>
  </si>
  <si>
    <t>2384,4771</t>
  </si>
  <si>
    <t>164,7</t>
  </si>
  <si>
    <t>2421,0311</t>
  </si>
  <si>
    <t>2422,4855</t>
  </si>
  <si>
    <t>160,5</t>
  </si>
  <si>
    <t>2476,6162</t>
  </si>
  <si>
    <t>165,8</t>
  </si>
  <si>
    <t>2438,4348</t>
  </si>
  <si>
    <t>154,8</t>
  </si>
  <si>
    <t>2125,6537</t>
  </si>
  <si>
    <t>1709,631</t>
  </si>
  <si>
    <t>1573,8791</t>
  </si>
  <si>
    <t>1832,4507</t>
  </si>
  <si>
    <t>1532,7288</t>
  </si>
  <si>
    <t>1392,5693</t>
  </si>
  <si>
    <t>1875,3143</t>
  </si>
  <si>
    <t>2792,1903</t>
  </si>
  <si>
    <t>161,2</t>
  </si>
  <si>
    <t>2810,9917</t>
  </si>
  <si>
    <t>170,4</t>
  </si>
  <si>
    <t>2808,2503</t>
  </si>
  <si>
    <t>162,8</t>
  </si>
  <si>
    <t>2959,7176</t>
  </si>
  <si>
    <t>2965,4477</t>
  </si>
  <si>
    <t>162,9</t>
  </si>
  <si>
    <t>2634,1757</t>
  </si>
  <si>
    <t>163,2</t>
  </si>
  <si>
    <t>2813,2083</t>
  </si>
  <si>
    <t>164,9</t>
  </si>
  <si>
    <t>2066,5706</t>
  </si>
  <si>
    <t>1999,2001</t>
  </si>
  <si>
    <t>2240,7129</t>
  </si>
  <si>
    <t>2089,8875</t>
  </si>
  <si>
    <t>1990,9733</t>
  </si>
  <si>
    <t>2008,7445</t>
  </si>
  <si>
    <t>2046,9768</t>
  </si>
  <si>
    <t>3136,14</t>
  </si>
  <si>
    <t>2967,027</t>
  </si>
  <si>
    <t>2752,4673</t>
  </si>
  <si>
    <t>2918,2777</t>
  </si>
  <si>
    <t>124,2</t>
  </si>
  <si>
    <t>2711,6241</t>
  </si>
  <si>
    <t>2789,5392</t>
  </si>
  <si>
    <t>143,2</t>
  </si>
  <si>
    <t>3006,9009</t>
  </si>
  <si>
    <t>2566,2803</t>
  </si>
  <si>
    <t>148,6</t>
  </si>
  <si>
    <t>2635,5921</t>
  </si>
  <si>
    <t>2733,5141</t>
  </si>
  <si>
    <t>150,7</t>
  </si>
  <si>
    <t>2694,1102</t>
  </si>
  <si>
    <t>2700,3278</t>
  </si>
  <si>
    <t>2551,658</t>
  </si>
  <si>
    <t>2612,5451</t>
  </si>
  <si>
    <t>149,7</t>
  </si>
  <si>
    <t>1788,3084</t>
  </si>
  <si>
    <t>1850,0448</t>
  </si>
  <si>
    <t>2082,3103</t>
  </si>
  <si>
    <t>1952,3639</t>
  </si>
  <si>
    <t>1906,6092</t>
  </si>
  <si>
    <t>1983,7968</t>
  </si>
  <si>
    <t>1846,7566</t>
  </si>
  <si>
    <t>2767,3838</t>
  </si>
  <si>
    <t>2788,8782</t>
  </si>
  <si>
    <t>145,3</t>
  </si>
  <si>
    <t>2818,6391</t>
  </si>
  <si>
    <t>2785,5087</t>
  </si>
  <si>
    <t>148,5</t>
  </si>
  <si>
    <t>2782,7485</t>
  </si>
  <si>
    <t>2739,8566</t>
  </si>
  <si>
    <t>2777,8623</t>
  </si>
  <si>
    <t>1981,08</t>
  </si>
  <si>
    <t>1900,9387</t>
  </si>
  <si>
    <t>134,8</t>
  </si>
  <si>
    <t>1943,4768</t>
  </si>
  <si>
    <t>1997,3747</t>
  </si>
  <si>
    <t>1927,6888</t>
  </si>
  <si>
    <t>1791,298</t>
  </si>
  <si>
    <t>1942,28</t>
  </si>
  <si>
    <t>135</t>
  </si>
  <si>
    <t>202311</t>
  </si>
  <si>
    <t>2763,435</t>
  </si>
  <si>
    <t>2851,9487</t>
  </si>
  <si>
    <t>161,5</t>
  </si>
  <si>
    <t>2957,0559</t>
  </si>
  <si>
    <t>160,8</t>
  </si>
  <si>
    <t>2895,7169</t>
  </si>
  <si>
    <t>161,1</t>
  </si>
  <si>
    <t>2860,4043</t>
  </si>
  <si>
    <t>156,3</t>
  </si>
  <si>
    <t>2762,3076</t>
  </si>
  <si>
    <t>158,8</t>
  </si>
  <si>
    <t>2816,0628</t>
  </si>
  <si>
    <t>160,9</t>
  </si>
  <si>
    <t>3211,5926</t>
  </si>
  <si>
    <t>187,4</t>
  </si>
  <si>
    <t>3226,0955</t>
  </si>
  <si>
    <t>181,8</t>
  </si>
  <si>
    <t>3326,7536</t>
  </si>
  <si>
    <t>175,4</t>
  </si>
  <si>
    <t>3208,6768</t>
  </si>
  <si>
    <t>180,9</t>
  </si>
  <si>
    <t>3317,9246</t>
  </si>
  <si>
    <t>180,4</t>
  </si>
  <si>
    <t>3024,0505</t>
  </si>
  <si>
    <t>176,3</t>
  </si>
  <si>
    <t>3218,3702</t>
  </si>
  <si>
    <t>183,6</t>
  </si>
  <si>
    <t>2157,0974</t>
  </si>
  <si>
    <t>144,6</t>
  </si>
  <si>
    <t>2246,6133</t>
  </si>
  <si>
    <t>153,2</t>
  </si>
  <si>
    <t>2498,964</t>
  </si>
  <si>
    <t>161,3</t>
  </si>
  <si>
    <t>2262,2024</t>
  </si>
  <si>
    <t>2188,6751</t>
  </si>
  <si>
    <t>151,2</t>
  </si>
  <si>
    <t>2112,2533</t>
  </si>
  <si>
    <t>147,1</t>
  </si>
  <si>
    <t>2209,6412</t>
  </si>
  <si>
    <t>3293,4887</t>
  </si>
  <si>
    <t>3134,2351</t>
  </si>
  <si>
    <t>2816,7897</t>
  </si>
  <si>
    <t>136,7</t>
  </si>
  <si>
    <t>2974,3584</t>
  </si>
  <si>
    <t>2785,3083</t>
  </si>
  <si>
    <t>126,3</t>
  </si>
  <si>
    <t>2905,2837</t>
  </si>
  <si>
    <t>144,3</t>
  </si>
  <si>
    <t>3151,4751</t>
  </si>
  <si>
    <t>1872,1498</t>
  </si>
  <si>
    <t>1726,1294</t>
  </si>
  <si>
    <t>2332,7474</t>
  </si>
  <si>
    <t>2208,5462</t>
  </si>
  <si>
    <t>2062,0321</t>
  </si>
  <si>
    <t>140,8</t>
  </si>
  <si>
    <t>2012,1735</t>
  </si>
  <si>
    <t>1881,818</t>
  </si>
  <si>
    <t>2951,177</t>
  </si>
  <si>
    <t>169,4</t>
  </si>
  <si>
    <t>2848,2746</t>
  </si>
  <si>
    <t>164,2</t>
  </si>
  <si>
    <t>3041,0985</t>
  </si>
  <si>
    <t>184,3</t>
  </si>
  <si>
    <t>2902,6958</t>
  </si>
  <si>
    <t>178,3</t>
  </si>
  <si>
    <t>2851,6215</t>
  </si>
  <si>
    <t>163,8</t>
  </si>
  <si>
    <t>3035,4184</t>
  </si>
  <si>
    <t>176,4</t>
  </si>
  <si>
    <t>2915,5922</t>
  </si>
  <si>
    <t>168,9</t>
  </si>
  <si>
    <t>2858,4289</t>
  </si>
  <si>
    <t>3169,1974</t>
  </si>
  <si>
    <t>160,1</t>
  </si>
  <si>
    <t>3342,6672</t>
  </si>
  <si>
    <t>165,3</t>
  </si>
  <si>
    <t>3218,4154</t>
  </si>
  <si>
    <t>163</t>
  </si>
  <si>
    <t>3398,1713</t>
  </si>
  <si>
    <t>165,7</t>
  </si>
  <si>
    <t>3015,0379</t>
  </si>
  <si>
    <t>160,2</t>
  </si>
  <si>
    <t>3043,8555</t>
  </si>
  <si>
    <t>2289,8688</t>
  </si>
  <si>
    <t>2901,6306</t>
  </si>
  <si>
    <t>2875,0639</t>
  </si>
  <si>
    <t>2525,6146</t>
  </si>
  <si>
    <t>132,9</t>
  </si>
  <si>
    <t>2770,4893</t>
  </si>
  <si>
    <t>3084,5048</t>
  </si>
  <si>
    <t>2593,1752</t>
  </si>
  <si>
    <t>2076,7951</t>
  </si>
  <si>
    <t>158,1</t>
  </si>
  <si>
    <t>2101,7948</t>
  </si>
  <si>
    <t>159,5</t>
  </si>
  <si>
    <t>2102,7417</t>
  </si>
  <si>
    <t>153,3</t>
  </si>
  <si>
    <t>2243,794</t>
  </si>
  <si>
    <t>157,7</t>
  </si>
  <si>
    <t>1894,9725</t>
  </si>
  <si>
    <t>1772,0033</t>
  </si>
  <si>
    <t>2074,7351</t>
  </si>
  <si>
    <t>156,2</t>
  </si>
  <si>
    <t>2827,4039</t>
  </si>
  <si>
    <t>180,5</t>
  </si>
  <si>
    <t>2707,0311</t>
  </si>
  <si>
    <t>174,2</t>
  </si>
  <si>
    <t>2685,9619</t>
  </si>
  <si>
    <t>180,2</t>
  </si>
  <si>
    <t>2671,6445</t>
  </si>
  <si>
    <t>163,6</t>
  </si>
  <si>
    <t>2708,5031</t>
  </si>
  <si>
    <t>170,7</t>
  </si>
  <si>
    <t>2773,7403</t>
  </si>
  <si>
    <t>187,3</t>
  </si>
  <si>
    <t>2760,0532</t>
  </si>
  <si>
    <t>176,9</t>
  </si>
  <si>
    <t>2342,4504</t>
  </si>
  <si>
    <t>1820,9296</t>
  </si>
  <si>
    <t>1597,5636</t>
  </si>
  <si>
    <t>1918,4468</t>
  </si>
  <si>
    <t>134,4</t>
  </si>
  <si>
    <t>1768,5661</t>
  </si>
  <si>
    <t>1422,8489</t>
  </si>
  <si>
    <t>2031,1533</t>
  </si>
  <si>
    <t>136,4</t>
  </si>
  <si>
    <t>3144,9902</t>
  </si>
  <si>
    <t>178,8</t>
  </si>
  <si>
    <t>3152,5038</t>
  </si>
  <si>
    <t>186,2</t>
  </si>
  <si>
    <t>3130,6144</t>
  </si>
  <si>
    <t>3258,8042</t>
  </si>
  <si>
    <t>179,9</t>
  </si>
  <si>
    <t>3258,5664</t>
  </si>
  <si>
    <t>176,8</t>
  </si>
  <si>
    <t>2938,9673</t>
  </si>
  <si>
    <t>177,4</t>
  </si>
  <si>
    <t>3151,623</t>
  </si>
  <si>
    <t>181,3</t>
  </si>
  <si>
    <t>2304,0307</t>
  </si>
  <si>
    <t>144,1</t>
  </si>
  <si>
    <t>2224,8517</t>
  </si>
  <si>
    <t>140,1</t>
  </si>
  <si>
    <t>2502,0055</t>
  </si>
  <si>
    <t>2341,5407</t>
  </si>
  <si>
    <t>2221,8579</t>
  </si>
  <si>
    <t>2257,173</t>
  </si>
  <si>
    <t>137,3</t>
  </si>
  <si>
    <t>2282,6739</t>
  </si>
  <si>
    <t>3517,4298</t>
  </si>
  <si>
    <t>3380,7633</t>
  </si>
  <si>
    <t>151,9</t>
  </si>
  <si>
    <t>3112,5865</t>
  </si>
  <si>
    <t>3251,4876</t>
  </si>
  <si>
    <t>3085,0367</t>
  </si>
  <si>
    <t>3116,4099</t>
  </si>
  <si>
    <t>157,6</t>
  </si>
  <si>
    <t>3392,0317</t>
  </si>
  <si>
    <t>2921,1627</t>
  </si>
  <si>
    <t>169,8</t>
  </si>
  <si>
    <t>2988,1599</t>
  </si>
  <si>
    <t>171</t>
  </si>
  <si>
    <t>3099,69</t>
  </si>
  <si>
    <t>172,6</t>
  </si>
  <si>
    <t>3027,3269</t>
  </si>
  <si>
    <t>174</t>
  </si>
  <si>
    <t>3036,6395</t>
  </si>
  <si>
    <t>167</t>
  </si>
  <si>
    <t>2862,6158</t>
  </si>
  <si>
    <t>2962,7206</t>
  </si>
  <si>
    <t>170,3</t>
  </si>
  <si>
    <t>1959,9785</t>
  </si>
  <si>
    <t>2039,359</t>
  </si>
  <si>
    <t>2282,7128</t>
  </si>
  <si>
    <t>2133,2288</t>
  </si>
  <si>
    <t>2160,9735</t>
  </si>
  <si>
    <t>2204,8137</t>
  </si>
  <si>
    <t>2032,4708</t>
  </si>
  <si>
    <t>3161,0783</t>
  </si>
  <si>
    <t>168,4</t>
  </si>
  <si>
    <t>3172,6569</t>
  </si>
  <si>
    <t>166,3</t>
  </si>
  <si>
    <t>3201,3557</t>
  </si>
  <si>
    <t>167,1</t>
  </si>
  <si>
    <t>3131,3047</t>
  </si>
  <si>
    <t>167,3</t>
  </si>
  <si>
    <t>3149,1942</t>
  </si>
  <si>
    <t>3085,8571</t>
  </si>
  <si>
    <t>3160,805</t>
  </si>
  <si>
    <t>2183,4358</t>
  </si>
  <si>
    <t>2099,2523</t>
  </si>
  <si>
    <t>145,8</t>
  </si>
  <si>
    <t>2120,1058</t>
  </si>
  <si>
    <t>132,5</t>
  </si>
  <si>
    <t>2182,5033</t>
  </si>
  <si>
    <t>2145,3291</t>
  </si>
  <si>
    <t>1959,4695</t>
  </si>
  <si>
    <t>137,8</t>
  </si>
  <si>
    <t>2140,1777</t>
  </si>
  <si>
    <t>144,7</t>
  </si>
  <si>
    <t>202312</t>
  </si>
  <si>
    <t>3456,6426</t>
  </si>
  <si>
    <t>210,1</t>
  </si>
  <si>
    <t>3584,8439</t>
  </si>
  <si>
    <t>212,8</t>
  </si>
  <si>
    <t>3795,525</t>
  </si>
  <si>
    <t>219,5</t>
  </si>
  <si>
    <t>3626,27</t>
  </si>
  <si>
    <t>212,5</t>
  </si>
  <si>
    <t>3599,7071</t>
  </si>
  <si>
    <t>207,2</t>
  </si>
  <si>
    <t>3433,7881</t>
  </si>
  <si>
    <t>207,7</t>
  </si>
  <si>
    <t>3533,1922</t>
  </si>
  <si>
    <t>211,4</t>
  </si>
  <si>
    <t>4160,2902</t>
  </si>
  <si>
    <t>252,9</t>
  </si>
  <si>
    <t>4192,8015</t>
  </si>
  <si>
    <t>250,4</t>
  </si>
  <si>
    <t>4361,8209</t>
  </si>
  <si>
    <t>248,7</t>
  </si>
  <si>
    <t>4149,6255</t>
  </si>
  <si>
    <t>251,7</t>
  </si>
  <si>
    <t>4299,2147</t>
  </si>
  <si>
    <t>253,7</t>
  </si>
  <si>
    <t>3872,2502</t>
  </si>
  <si>
    <t>242,3</t>
  </si>
  <si>
    <t>4173,6759</t>
  </si>
  <si>
    <t>251,3</t>
  </si>
  <si>
    <t>2599,1672</t>
  </si>
  <si>
    <t>176,2</t>
  </si>
  <si>
    <t>2700,7406</t>
  </si>
  <si>
    <t>183,2</t>
  </si>
  <si>
    <t>2995,9296</t>
  </si>
  <si>
    <t>192,9</t>
  </si>
  <si>
    <t>2723,7812</t>
  </si>
  <si>
    <t>185,9</t>
  </si>
  <si>
    <t>2594,1073</t>
  </si>
  <si>
    <t>175,1</t>
  </si>
  <si>
    <t>2533,2525</t>
  </si>
  <si>
    <t>2656,6774</t>
  </si>
  <si>
    <t>180</t>
  </si>
  <si>
    <t>3903,2478</t>
  </si>
  <si>
    <t>174,7</t>
  </si>
  <si>
    <t>3635,7266</t>
  </si>
  <si>
    <t>3351,52</t>
  </si>
  <si>
    <t>169,7</t>
  </si>
  <si>
    <t>3442,7901</t>
  </si>
  <si>
    <t>3186,7492</t>
  </si>
  <si>
    <t>148,2</t>
  </si>
  <si>
    <t>3390,8295</t>
  </si>
  <si>
    <t>173,6</t>
  </si>
  <si>
    <t>3694,929</t>
  </si>
  <si>
    <t>2144,0192</t>
  </si>
  <si>
    <t>152</t>
  </si>
  <si>
    <t>1962,5994</t>
  </si>
  <si>
    <t>143,7</t>
  </si>
  <si>
    <t>2784,2036</t>
  </si>
  <si>
    <t>2427,8501</t>
  </si>
  <si>
    <t>2278,8044</t>
  </si>
  <si>
    <t>157</t>
  </si>
  <si>
    <t>2240,8564</t>
  </si>
  <si>
    <t>150,9</t>
  </si>
  <si>
    <t>2141,8205</t>
  </si>
  <si>
    <t>3861,1661</t>
  </si>
  <si>
    <t>231,5</t>
  </si>
  <si>
    <t>3746,6994</t>
  </si>
  <si>
    <t>229,3</t>
  </si>
  <si>
    <t>4024,0063</t>
  </si>
  <si>
    <t>3728,2974</t>
  </si>
  <si>
    <t>235,8</t>
  </si>
  <si>
    <t>3629,9429</t>
  </si>
  <si>
    <t>217</t>
  </si>
  <si>
    <t>3897,4008</t>
  </si>
  <si>
    <t>241,2</t>
  </si>
  <si>
    <t>3810,0606</t>
  </si>
  <si>
    <t>231,7</t>
  </si>
  <si>
    <t>3734,1484</t>
  </si>
  <si>
    <t>223</t>
  </si>
  <si>
    <t>4246,2747</t>
  </si>
  <si>
    <t>228,8</t>
  </si>
  <si>
    <t>4404,9067</t>
  </si>
  <si>
    <t>232,5</t>
  </si>
  <si>
    <t>4336,5449</t>
  </si>
  <si>
    <t>235,9</t>
  </si>
  <si>
    <t>4662,1765</t>
  </si>
  <si>
    <t>245,2</t>
  </si>
  <si>
    <t>3981,1094</t>
  </si>
  <si>
    <t>225</t>
  </si>
  <si>
    <t>4035,9697</t>
  </si>
  <si>
    <t>227,7</t>
  </si>
  <si>
    <t>2992,9426</t>
  </si>
  <si>
    <t>178,1</t>
  </si>
  <si>
    <t>3815,7957</t>
  </si>
  <si>
    <t>197,2</t>
  </si>
  <si>
    <t>3939,5903</t>
  </si>
  <si>
    <t>198,3</t>
  </si>
  <si>
    <t>3378,2355</t>
  </si>
  <si>
    <t>193,4</t>
  </si>
  <si>
    <t>3704,4141</t>
  </si>
  <si>
    <t>4021,9324</t>
  </si>
  <si>
    <t>197,6</t>
  </si>
  <si>
    <t>3414,0727</t>
  </si>
  <si>
    <t>187,7</t>
  </si>
  <si>
    <t>2407,9195</t>
  </si>
  <si>
    <t>191,6</t>
  </si>
  <si>
    <t>2412,3399</t>
  </si>
  <si>
    <t>187,8</t>
  </si>
  <si>
    <t>2491,6978</t>
  </si>
  <si>
    <t>189,6</t>
  </si>
  <si>
    <t>2609,498</t>
  </si>
  <si>
    <t>184,1</t>
  </si>
  <si>
    <t>2178,4813</t>
  </si>
  <si>
    <t>157,1</t>
  </si>
  <si>
    <t>2030,8497</t>
  </si>
  <si>
    <t>158,2</t>
  </si>
  <si>
    <t>2398,1411</t>
  </si>
  <si>
    <t>186,4</t>
  </si>
  <si>
    <t>3420,4327</t>
  </si>
  <si>
    <t>226,5</t>
  </si>
  <si>
    <t>3200,7963</t>
  </si>
  <si>
    <t>209,8</t>
  </si>
  <si>
    <t>3300,32</t>
  </si>
  <si>
    <t>223,2</t>
  </si>
  <si>
    <t>3215,6727</t>
  </si>
  <si>
    <t>198,2</t>
  </si>
  <si>
    <t>3278,91</t>
  </si>
  <si>
    <t>212,4</t>
  </si>
  <si>
    <t>3405,2461</t>
  </si>
  <si>
    <t>232,8</t>
  </si>
  <si>
    <t>3317,3409</t>
  </si>
  <si>
    <t>218,2</t>
  </si>
  <si>
    <t>2505,3619</t>
  </si>
  <si>
    <t>151,3</t>
  </si>
  <si>
    <t>1916,9936</t>
  </si>
  <si>
    <t>1666,3031</t>
  </si>
  <si>
    <t>2062,0196</t>
  </si>
  <si>
    <t>150</t>
  </si>
  <si>
    <t>1864,5541</t>
  </si>
  <si>
    <t>139,2</t>
  </si>
  <si>
    <t>1475,1991</t>
  </si>
  <si>
    <t>2157,4419</t>
  </si>
  <si>
    <t>141,7</t>
  </si>
  <si>
    <t>3851,6554</t>
  </si>
  <si>
    <t>217,9</t>
  </si>
  <si>
    <t>3787,8711</t>
  </si>
  <si>
    <t>222,3</t>
  </si>
  <si>
    <t>3912,1541</t>
  </si>
  <si>
    <t>224,3</t>
  </si>
  <si>
    <t>3917,946</t>
  </si>
  <si>
    <t>216</t>
  </si>
  <si>
    <t>4026,4618</t>
  </si>
  <si>
    <t>215,3</t>
  </si>
  <si>
    <t>3535,37</t>
  </si>
  <si>
    <t>210,8</t>
  </si>
  <si>
    <t>3831,9303</t>
  </si>
  <si>
    <t>219,1</t>
  </si>
  <si>
    <t>3022,1365</t>
  </si>
  <si>
    <t>202</t>
  </si>
  <si>
    <t>2992,4624</t>
  </si>
  <si>
    <t>206,2</t>
  </si>
  <si>
    <t>3485,3936</t>
  </si>
  <si>
    <t>234,2</t>
  </si>
  <si>
    <t>3111,0625</t>
  </si>
  <si>
    <t>204,6</t>
  </si>
  <si>
    <t>2919,1738</t>
  </si>
  <si>
    <t>196</t>
  </si>
  <si>
    <t>2894,2743</t>
  </si>
  <si>
    <t>3029,3357</t>
  </si>
  <si>
    <t>204,4</t>
  </si>
  <si>
    <t>4083,1796</t>
  </si>
  <si>
    <t>3917,6709</t>
  </si>
  <si>
    <t>180,7</t>
  </si>
  <si>
    <t>3801,4861</t>
  </si>
  <si>
    <t>3772,5146</t>
  </si>
  <si>
    <t>168</t>
  </si>
  <si>
    <t>3559,2068</t>
  </si>
  <si>
    <t>165,2</t>
  </si>
  <si>
    <t>3610,0865</t>
  </si>
  <si>
    <t>187,5</t>
  </si>
  <si>
    <t>3942,5343</t>
  </si>
  <si>
    <t>179</t>
  </si>
  <si>
    <t>3753,6557</t>
  </si>
  <si>
    <t>228,3</t>
  </si>
  <si>
    <t>3826,0671</t>
  </si>
  <si>
    <t>230,1</t>
  </si>
  <si>
    <t>4016,599</t>
  </si>
  <si>
    <t>237,1</t>
  </si>
  <si>
    <t>3875,9579</t>
  </si>
  <si>
    <t>234,7</t>
  </si>
  <si>
    <t>3894,9068</t>
  </si>
  <si>
    <t>226,3</t>
  </si>
  <si>
    <t>3619,7905</t>
  </si>
  <si>
    <t>222,1</t>
  </si>
  <si>
    <t>3799,9487</t>
  </si>
  <si>
    <t>229,4</t>
  </si>
  <si>
    <t>2300,9443</t>
  </si>
  <si>
    <t>2520,2449</t>
  </si>
  <si>
    <t>166,9</t>
  </si>
  <si>
    <t>2916,3249</t>
  </si>
  <si>
    <t>176</t>
  </si>
  <si>
    <t>2557,063</t>
  </si>
  <si>
    <t>157,2</t>
  </si>
  <si>
    <t>2663,3381</t>
  </si>
  <si>
    <t>2696,6446</t>
  </si>
  <si>
    <t>168,8</t>
  </si>
  <si>
    <t>2452,7844</t>
  </si>
  <si>
    <t>4108,2388</t>
  </si>
  <si>
    <t>230,9</t>
  </si>
  <si>
    <t>4099,8523</t>
  </si>
  <si>
    <t>227,6</t>
  </si>
  <si>
    <t>4184,2747</t>
  </si>
  <si>
    <t>233,3</t>
  </si>
  <si>
    <t>4005,8199</t>
  </si>
  <si>
    <t>4069,2124</t>
  </si>
  <si>
    <t>221,6</t>
  </si>
  <si>
    <t>3934,4972</t>
  </si>
  <si>
    <t>223,1</t>
  </si>
  <si>
    <t>4091,9271</t>
  </si>
  <si>
    <t>228,7</t>
  </si>
  <si>
    <t>2506,2298</t>
  </si>
  <si>
    <t>2376,1288</t>
  </si>
  <si>
    <t>2463,7019</t>
  </si>
  <si>
    <t>157,4</t>
  </si>
  <si>
    <t>2477,2285</t>
  </si>
  <si>
    <t>2437,1604</t>
  </si>
  <si>
    <t>2191,3558</t>
  </si>
  <si>
    <t>2440,8926</t>
  </si>
  <si>
    <t>165,5</t>
  </si>
  <si>
    <t>202401</t>
  </si>
  <si>
    <t>4132,479</t>
  </si>
  <si>
    <t>249,9</t>
  </si>
  <si>
    <t>4344,9628</t>
  </si>
  <si>
    <t>257,5</t>
  </si>
  <si>
    <t>4535,8005</t>
  </si>
  <si>
    <t>261,4</t>
  </si>
  <si>
    <t>4413,6008</t>
  </si>
  <si>
    <t>257,7</t>
  </si>
  <si>
    <t>4402,1802</t>
  </si>
  <si>
    <t>253,3</t>
  </si>
  <si>
    <t>4264,4518</t>
  </si>
  <si>
    <t>260,9</t>
  </si>
  <si>
    <t>4261,5324</t>
  </si>
  <si>
    <t>254,2</t>
  </si>
  <si>
    <t>4976,384</t>
  </si>
  <si>
    <t>295,8</t>
  </si>
  <si>
    <t>5060,9239</t>
  </si>
  <si>
    <t>5164,8729</t>
  </si>
  <si>
    <t>287,2</t>
  </si>
  <si>
    <t>5053,2181</t>
  </si>
  <si>
    <t>297</t>
  </si>
  <si>
    <t>5122,6656</t>
  </si>
  <si>
    <t>293,8</t>
  </si>
  <si>
    <t>4938,5763</t>
  </si>
  <si>
    <t>313,9</t>
  </si>
  <si>
    <t>5024,9656</t>
  </si>
  <si>
    <t>296,2</t>
  </si>
  <si>
    <t>3133,3525</t>
  </si>
  <si>
    <t>209,6</t>
  </si>
  <si>
    <t>3291,1789</t>
  </si>
  <si>
    <t>222,5</t>
  </si>
  <si>
    <t>3588,8772</t>
  </si>
  <si>
    <t>228</t>
  </si>
  <si>
    <t>3247,6499</t>
  </si>
  <si>
    <t>217,5</t>
  </si>
  <si>
    <t>3142,5355</t>
  </si>
  <si>
    <t>212,6</t>
  </si>
  <si>
    <t>3119,4353</t>
  </si>
  <si>
    <t>3215,0859</t>
  </si>
  <si>
    <t>215,9</t>
  </si>
  <si>
    <t>4336,4072</t>
  </si>
  <si>
    <t>200,8</t>
  </si>
  <si>
    <t>4091,5613</t>
  </si>
  <si>
    <t>191,8</t>
  </si>
  <si>
    <t>3713,7529</t>
  </si>
  <si>
    <t>189</t>
  </si>
  <si>
    <t>3842,4027</t>
  </si>
  <si>
    <t>3747,5929</t>
  </si>
  <si>
    <t>183,7</t>
  </si>
  <si>
    <t>3801,2675</t>
  </si>
  <si>
    <t>195,1</t>
  </si>
  <si>
    <t>4135,7944</t>
  </si>
  <si>
    <t>194,8</t>
  </si>
  <si>
    <t>2343,5658</t>
  </si>
  <si>
    <t>155,4</t>
  </si>
  <si>
    <t>2300,2745</t>
  </si>
  <si>
    <t>162,6</t>
  </si>
  <si>
    <t>3320,417</t>
  </si>
  <si>
    <t>200</t>
  </si>
  <si>
    <t>2954,9949</t>
  </si>
  <si>
    <t>2691,802</t>
  </si>
  <si>
    <t>171,8</t>
  </si>
  <si>
    <t>2649,2001</t>
  </si>
  <si>
    <t>174,3</t>
  </si>
  <si>
    <t>2441,8481</t>
  </si>
  <si>
    <t>4665,1943</t>
  </si>
  <si>
    <t>281,6</t>
  </si>
  <si>
    <t>4601,1212</t>
  </si>
  <si>
    <t>282,8</t>
  </si>
  <si>
    <t>4808,9091</t>
  </si>
  <si>
    <t>296,1</t>
  </si>
  <si>
    <t>4643,4915</t>
  </si>
  <si>
    <t>4680,3828</t>
  </si>
  <si>
    <t>285,9</t>
  </si>
  <si>
    <t>4911,4304</t>
  </si>
  <si>
    <t>304,8</t>
  </si>
  <si>
    <t>4660,7816</t>
  </si>
  <si>
    <t>285</t>
  </si>
  <si>
    <t>4501,8784</t>
  </si>
  <si>
    <t>269,2</t>
  </si>
  <si>
    <t>5111,0886</t>
  </si>
  <si>
    <t>278,3</t>
  </si>
  <si>
    <t>5347,2014</t>
  </si>
  <si>
    <t>287,4</t>
  </si>
  <si>
    <t>5211,3848</t>
  </si>
  <si>
    <t>287,1</t>
  </si>
  <si>
    <t>5527,716</t>
  </si>
  <si>
    <t>293,5</t>
  </si>
  <si>
    <t>4859,0482</t>
  </si>
  <si>
    <t>279,6</t>
  </si>
  <si>
    <t>4861,4923</t>
  </si>
  <si>
    <t>276,3</t>
  </si>
  <si>
    <t>3744,2226</t>
  </si>
  <si>
    <t>227,4</t>
  </si>
  <si>
    <t>4803,8797</t>
  </si>
  <si>
    <t>253,5</t>
  </si>
  <si>
    <t>4862,2214</t>
  </si>
  <si>
    <t>249,7</t>
  </si>
  <si>
    <t>4376,8349</t>
  </si>
  <si>
    <t>262,4</t>
  </si>
  <si>
    <t>4917,7418</t>
  </si>
  <si>
    <t>244,6</t>
  </si>
  <si>
    <t>5232,0688</t>
  </si>
  <si>
    <t>265,8</t>
  </si>
  <si>
    <t>4311,5901</t>
  </si>
  <si>
    <t>243</t>
  </si>
  <si>
    <t>3008,3053</t>
  </si>
  <si>
    <t>236,9</t>
  </si>
  <si>
    <t>3010,3074</t>
  </si>
  <si>
    <t>234,5</t>
  </si>
  <si>
    <t>3144,8398</t>
  </si>
  <si>
    <t>241,5</t>
  </si>
  <si>
    <t>3285,6161</t>
  </si>
  <si>
    <t>227,1</t>
  </si>
  <si>
    <t>2786,7268</t>
  </si>
  <si>
    <t>2509,2247</t>
  </si>
  <si>
    <t>191,9</t>
  </si>
  <si>
    <t>3000,0919</t>
  </si>
  <si>
    <t>231,9</t>
  </si>
  <si>
    <t>4241,7009</t>
  </si>
  <si>
    <t>266,3</t>
  </si>
  <si>
    <t>4021,0016</t>
  </si>
  <si>
    <t>260,7</t>
  </si>
  <si>
    <t>4020,2417</t>
  </si>
  <si>
    <t>265,9</t>
  </si>
  <si>
    <t>3924,3407</t>
  </si>
  <si>
    <t>239,2</t>
  </si>
  <si>
    <t>4035,5027</t>
  </si>
  <si>
    <t>256,7</t>
  </si>
  <si>
    <t>4042,8895</t>
  </si>
  <si>
    <t>269</t>
  </si>
  <si>
    <t>4113,85</t>
  </si>
  <si>
    <t>262,1</t>
  </si>
  <si>
    <t>2526,5471</t>
  </si>
  <si>
    <t>151,5</t>
  </si>
  <si>
    <t>1927,6886</t>
  </si>
  <si>
    <t>127</t>
  </si>
  <si>
    <t>1731,924</t>
  </si>
  <si>
    <t>2094,4014</t>
  </si>
  <si>
    <t>1865,1538</t>
  </si>
  <si>
    <t>1482,3133</t>
  </si>
  <si>
    <t>2176,0052</t>
  </si>
  <si>
    <t>141,2</t>
  </si>
  <si>
    <t>4576,0836</t>
  </si>
  <si>
    <t>258,1</t>
  </si>
  <si>
    <t>4541,1568</t>
  </si>
  <si>
    <t>263,4</t>
  </si>
  <si>
    <t>4702,9302</t>
  </si>
  <si>
    <t>271,8</t>
  </si>
  <si>
    <t>4703,97</t>
  </si>
  <si>
    <t>248,4</t>
  </si>
  <si>
    <t>4848,8501</t>
  </si>
  <si>
    <t>252,7</t>
  </si>
  <si>
    <t>4222,4031</t>
  </si>
  <si>
    <t>242,9</t>
  </si>
  <si>
    <t>4577,1896</t>
  </si>
  <si>
    <t>258,8</t>
  </si>
  <si>
    <t>4346,9142</t>
  </si>
  <si>
    <t>306</t>
  </si>
  <si>
    <t>4268,2353</t>
  </si>
  <si>
    <t>309,8</t>
  </si>
  <si>
    <t>4901,3259</t>
  </si>
  <si>
    <t>336,1</t>
  </si>
  <si>
    <t>4663,804</t>
  </si>
  <si>
    <t>331,7</t>
  </si>
  <si>
    <t>4267,7063</t>
  </si>
  <si>
    <t>303,1</t>
  </si>
  <si>
    <t>4542,7561</t>
  </si>
  <si>
    <t>327,4</t>
  </si>
  <si>
    <t>4373,2672</t>
  </si>
  <si>
    <t>311,4</t>
  </si>
  <si>
    <t>4758,7129</t>
  </si>
  <si>
    <t>207,4</t>
  </si>
  <si>
    <t>4576,9582</t>
  </si>
  <si>
    <t>199,8</t>
  </si>
  <si>
    <t>4270,962</t>
  </si>
  <si>
    <t>184,9</t>
  </si>
  <si>
    <t>4305,0277</t>
  </si>
  <si>
    <t>174,9</t>
  </si>
  <si>
    <t>4108,0041</t>
  </si>
  <si>
    <t>182,3</t>
  </si>
  <si>
    <t>4185,103</t>
  </si>
  <si>
    <t>214,4</t>
  </si>
  <si>
    <t>4581,5309</t>
  </si>
  <si>
    <t>200,4</t>
  </si>
  <si>
    <t>4466,8319</t>
  </si>
  <si>
    <t>270,2</t>
  </si>
  <si>
    <t>4618,6466</t>
  </si>
  <si>
    <t>279,1</t>
  </si>
  <si>
    <t>4809,8047</t>
  </si>
  <si>
    <t>284,8</t>
  </si>
  <si>
    <t>4729,8357</t>
  </si>
  <si>
    <t>287,5</t>
  </si>
  <si>
    <t>4741,3152</t>
  </si>
  <si>
    <t>276,4</t>
  </si>
  <si>
    <t>4505,8181</t>
  </si>
  <si>
    <t>280,1</t>
  </si>
  <si>
    <t>4568,1649</t>
  </si>
  <si>
    <t>275,9</t>
  </si>
  <si>
    <t>2867,0995</t>
  </si>
  <si>
    <t>204,9</t>
  </si>
  <si>
    <t>3227,4303</t>
  </si>
  <si>
    <t>219</t>
  </si>
  <si>
    <t>3638,3002</t>
  </si>
  <si>
    <t>229,7</t>
  </si>
  <si>
    <t>3269,1237</t>
  </si>
  <si>
    <t>211,8</t>
  </si>
  <si>
    <t>3466,2082</t>
  </si>
  <si>
    <t>219,7</t>
  </si>
  <si>
    <t>3498,1794</t>
  </si>
  <si>
    <t>3104,5367</t>
  </si>
  <si>
    <t>213,1</t>
  </si>
  <si>
    <t>4939,177</t>
  </si>
  <si>
    <t>278,5</t>
  </si>
  <si>
    <t>4977,0601</t>
  </si>
  <si>
    <t>277</t>
  </si>
  <si>
    <t>5007,6952</t>
  </si>
  <si>
    <t>276,8</t>
  </si>
  <si>
    <t>4908,5415</t>
  </si>
  <si>
    <t>5020,9998</t>
  </si>
  <si>
    <t>276</t>
  </si>
  <si>
    <t>4929,659</t>
  </si>
  <si>
    <t>284,3</t>
  </si>
  <si>
    <t>4956,9526</t>
  </si>
  <si>
    <t>277,9</t>
  </si>
  <si>
    <t>2955,8361</t>
  </si>
  <si>
    <t>195,6</t>
  </si>
  <si>
    <t>2861,442</t>
  </si>
  <si>
    <t>2919,1294</t>
  </si>
  <si>
    <t>191,4</t>
  </si>
  <si>
    <t>2915,2275</t>
  </si>
  <si>
    <t>184,2</t>
  </si>
  <si>
    <t>2869,9151</t>
  </si>
  <si>
    <t>2613,8428</t>
  </si>
  <si>
    <t>2899,856</t>
  </si>
  <si>
    <t>193</t>
  </si>
  <si>
    <t>202402</t>
  </si>
  <si>
    <t>4751,2725</t>
  </si>
  <si>
    <t>277,1</t>
  </si>
  <si>
    <t>4861,5493</t>
  </si>
  <si>
    <t>276,1</t>
  </si>
  <si>
    <t>5030,0152</t>
  </si>
  <si>
    <t>271,9</t>
  </si>
  <si>
    <t>4929,6047</t>
  </si>
  <si>
    <t>272,3</t>
  </si>
  <si>
    <t>4998,0445</t>
  </si>
  <si>
    <t>275,8</t>
  </si>
  <si>
    <t>4746,7686</t>
  </si>
  <si>
    <t>279,9</t>
  </si>
  <si>
    <t>4825,7881</t>
  </si>
  <si>
    <t>276,2</t>
  </si>
  <si>
    <t>5642,3451</t>
  </si>
  <si>
    <t>307,2</t>
  </si>
  <si>
    <t>5628,0233</t>
  </si>
  <si>
    <t>303,3</t>
  </si>
  <si>
    <t>5614,4766</t>
  </si>
  <si>
    <t>283,3</t>
  </si>
  <si>
    <t>5528,6818</t>
  </si>
  <si>
    <t>292,8</t>
  </si>
  <si>
    <t>5739,7532</t>
  </si>
  <si>
    <t>299,1</t>
  </si>
  <si>
    <t>5416,0291</t>
  </si>
  <si>
    <t>319,7</t>
  </si>
  <si>
    <t>5622,8372</t>
  </si>
  <si>
    <t>303,8</t>
  </si>
  <si>
    <t>3715,4594</t>
  </si>
  <si>
    <t>248,5</t>
  </si>
  <si>
    <t>3858,7296</t>
  </si>
  <si>
    <t>259,9</t>
  </si>
  <si>
    <t>4172,4667</t>
  </si>
  <si>
    <t>258,4</t>
  </si>
  <si>
    <t>3745,1495</t>
  </si>
  <si>
    <t>249,1</t>
  </si>
  <si>
    <t>3636,5319</t>
  </si>
  <si>
    <t>243,7</t>
  </si>
  <si>
    <t>3736,1409</t>
  </si>
  <si>
    <t>3783,276</t>
  </si>
  <si>
    <t>253,2</t>
  </si>
  <si>
    <t>4626,5889</t>
  </si>
  <si>
    <t>206,9</t>
  </si>
  <si>
    <t>4388,3534</t>
  </si>
  <si>
    <t>203,8</t>
  </si>
  <si>
    <t>4113,3241</t>
  </si>
  <si>
    <t>206,1</t>
  </si>
  <si>
    <t>4096,4127</t>
  </si>
  <si>
    <t>188,6</t>
  </si>
  <si>
    <t>4059,9044</t>
  </si>
  <si>
    <t>199,4</t>
  </si>
  <si>
    <t>4152,5831</t>
  </si>
  <si>
    <t>4434,676</t>
  </si>
  <si>
    <t>204,2</t>
  </si>
  <si>
    <t>2881,4008</t>
  </si>
  <si>
    <t>200,1</t>
  </si>
  <si>
    <t>2645,587</t>
  </si>
  <si>
    <t>3757,9068</t>
  </si>
  <si>
    <t>3765,407</t>
  </si>
  <si>
    <t>235,2</t>
  </si>
  <si>
    <t>3466,778</t>
  </si>
  <si>
    <t>234,4</t>
  </si>
  <si>
    <t>3039,5913</t>
  </si>
  <si>
    <t>203,2</t>
  </si>
  <si>
    <t>2935,5879</t>
  </si>
  <si>
    <t>201,5</t>
  </si>
  <si>
    <t>5130,0468</t>
  </si>
  <si>
    <t>299,4</t>
  </si>
  <si>
    <t>5103,1849</t>
  </si>
  <si>
    <t>305,8</t>
  </si>
  <si>
    <t>5240,9095</t>
  </si>
  <si>
    <t>301,7</t>
  </si>
  <si>
    <t>5136,4609</t>
  </si>
  <si>
    <t>315,3</t>
  </si>
  <si>
    <t>5159,8569</t>
  </si>
  <si>
    <t>304,5</t>
  </si>
  <si>
    <t>5432,2134</t>
  </si>
  <si>
    <t>326,3</t>
  </si>
  <si>
    <t>5142,1336</t>
  </si>
  <si>
    <t>304,3</t>
  </si>
  <si>
    <t>5174,9527</t>
  </si>
  <si>
    <t>302,5</t>
  </si>
  <si>
    <t>5767,9195</t>
  </si>
  <si>
    <t>305,2</t>
  </si>
  <si>
    <t>6043,2229</t>
  </si>
  <si>
    <t>318,7</t>
  </si>
  <si>
    <t>5813,6213</t>
  </si>
  <si>
    <t>310,8</t>
  </si>
  <si>
    <t>6187,0275</t>
  </si>
  <si>
    <t>318,5</t>
  </si>
  <si>
    <t>5459,6742</t>
  </si>
  <si>
    <t>5521,4252</t>
  </si>
  <si>
    <t>4971,5341</t>
  </si>
  <si>
    <t>315,9</t>
  </si>
  <si>
    <t>5469,5218</t>
  </si>
  <si>
    <t>284</t>
  </si>
  <si>
    <t>5506,0509</t>
  </si>
  <si>
    <t>269,7</t>
  </si>
  <si>
    <t>5133,2819</t>
  </si>
  <si>
    <t>303,2</t>
  </si>
  <si>
    <t>5669,1284</t>
  </si>
  <si>
    <t>5819,4043</t>
  </si>
  <si>
    <t>288</t>
  </si>
  <si>
    <t>5243,4233</t>
  </si>
  <si>
    <t>297,8</t>
  </si>
  <si>
    <t>3761,743</t>
  </si>
  <si>
    <t>291</t>
  </si>
  <si>
    <t>3784,0306</t>
  </si>
  <si>
    <t>285,6</t>
  </si>
  <si>
    <t>3874,7808</t>
  </si>
  <si>
    <t>286,1</t>
  </si>
  <si>
    <t>3965,8234</t>
  </si>
  <si>
    <t>271,7</t>
  </si>
  <si>
    <t>3421,986</t>
  </si>
  <si>
    <t>254,4</t>
  </si>
  <si>
    <t>3116,0615</t>
  </si>
  <si>
    <t>3741,4942</t>
  </si>
  <si>
    <t>283,8</t>
  </si>
  <si>
    <t>4611,1339</t>
  </si>
  <si>
    <t>277,8</t>
  </si>
  <si>
    <t>4344,3017</t>
  </si>
  <si>
    <t>266,5</t>
  </si>
  <si>
    <t>4439,0955</t>
  </si>
  <si>
    <t>276,9</t>
  </si>
  <si>
    <t>4252,9299</t>
  </si>
  <si>
    <t>231,6</t>
  </si>
  <si>
    <t>4429,826</t>
  </si>
  <si>
    <t>4376,9662</t>
  </si>
  <si>
    <t>282</t>
  </si>
  <si>
    <t>4466,7506</t>
  </si>
  <si>
    <t>270,4</t>
  </si>
  <si>
    <t>2903,5476</t>
  </si>
  <si>
    <t>1971,9055</t>
  </si>
  <si>
    <t>130,3</t>
  </si>
  <si>
    <t>2153,348</t>
  </si>
  <si>
    <t>147,5</t>
  </si>
  <si>
    <t>2138,8359</t>
  </si>
  <si>
    <t>1955,6414</t>
  </si>
  <si>
    <t>146,6</t>
  </si>
  <si>
    <t>1603,7894</t>
  </si>
  <si>
    <t>129,9</t>
  </si>
  <si>
    <t>2392,1354</t>
  </si>
  <si>
    <t>5029,3191</t>
  </si>
  <si>
    <t>265,2</t>
  </si>
  <si>
    <t>5081,1623</t>
  </si>
  <si>
    <t>281</t>
  </si>
  <si>
    <t>5198,5935</t>
  </si>
  <si>
    <t>274,1</t>
  </si>
  <si>
    <t>5310,2717</t>
  </si>
  <si>
    <t>5578,7989</t>
  </si>
  <si>
    <t>269,9</t>
  </si>
  <si>
    <t>4684,2453</t>
  </si>
  <si>
    <t>256,5</t>
  </si>
  <si>
    <t>5088,0444</t>
  </si>
  <si>
    <t>270,9</t>
  </si>
  <si>
    <t>4991,3922</t>
  </si>
  <si>
    <t>335,5</t>
  </si>
  <si>
    <t>5007,6291</t>
  </si>
  <si>
    <t>352,6</t>
  </si>
  <si>
    <t>5603,1544</t>
  </si>
  <si>
    <t>367,5</t>
  </si>
  <si>
    <t>5516,8093</t>
  </si>
  <si>
    <t>383,7</t>
  </si>
  <si>
    <t>5205,8998</t>
  </si>
  <si>
    <t>364,2</t>
  </si>
  <si>
    <t>5544,0391</t>
  </si>
  <si>
    <t>398,3</t>
  </si>
  <si>
    <t>5098,6735</t>
  </si>
  <si>
    <t>350,4</t>
  </si>
  <si>
    <t>5204,0041</t>
  </si>
  <si>
    <t>4926,3977</t>
  </si>
  <si>
    <t>215</t>
  </si>
  <si>
    <t>4762,3964</t>
  </si>
  <si>
    <t>207,1</t>
  </si>
  <si>
    <t>4673,7413</t>
  </si>
  <si>
    <t>4433,8196</t>
  </si>
  <si>
    <t>199,1</t>
  </si>
  <si>
    <t>4526,2765</t>
  </si>
  <si>
    <t>226,2</t>
  </si>
  <si>
    <t>4979,8267</t>
  </si>
  <si>
    <t>5042,3312</t>
  </si>
  <si>
    <t>288,8</t>
  </si>
  <si>
    <t>5179,1719</t>
  </si>
  <si>
    <t>295,4</t>
  </si>
  <si>
    <t>5303,1268</t>
  </si>
  <si>
    <t>289,6</t>
  </si>
  <si>
    <t>5239,4149</t>
  </si>
  <si>
    <t>293,2</t>
  </si>
  <si>
    <t>5354,9974</t>
  </si>
  <si>
    <t>292,6</t>
  </si>
  <si>
    <t>5022,7576</t>
  </si>
  <si>
    <t>297,3</t>
  </si>
  <si>
    <t>5129,5988</t>
  </si>
  <si>
    <t>291,9</t>
  </si>
  <si>
    <t>3691,3624</t>
  </si>
  <si>
    <t>3691,3848</t>
  </si>
  <si>
    <t>247,3</t>
  </si>
  <si>
    <t>4138,0108</t>
  </si>
  <si>
    <t>251,1</t>
  </si>
  <si>
    <t>3915,0819</t>
  </si>
  <si>
    <t>258,2</t>
  </si>
  <si>
    <t>4156,576</t>
  </si>
  <si>
    <t>266,8</t>
  </si>
  <si>
    <t>3950,7131</t>
  </si>
  <si>
    <t>254,3</t>
  </si>
  <si>
    <t>3759,784</t>
  </si>
  <si>
    <t>5571,5329</t>
  </si>
  <si>
    <t>298</t>
  </si>
  <si>
    <t>5540,3946</t>
  </si>
  <si>
    <t>5522,2164</t>
  </si>
  <si>
    <t>5421,8456</t>
  </si>
  <si>
    <t>286,3</t>
  </si>
  <si>
    <t>5613,3312</t>
  </si>
  <si>
    <t>293,1</t>
  </si>
  <si>
    <t>5467,6859</t>
  </si>
  <si>
    <t>301,9</t>
  </si>
  <si>
    <t>5545,827</t>
  </si>
  <si>
    <t>295,1</t>
  </si>
  <si>
    <t>3554,8476</t>
  </si>
  <si>
    <t>236,7</t>
  </si>
  <si>
    <t>3268,3117</t>
  </si>
  <si>
    <t>218,9</t>
  </si>
  <si>
    <t>3343,7756</t>
  </si>
  <si>
    <t>211,9</t>
  </si>
  <si>
    <t>3439,4049</t>
  </si>
  <si>
    <t>3474,5272</t>
  </si>
  <si>
    <t>219,6</t>
  </si>
  <si>
    <t>2957,9235</t>
  </si>
  <si>
    <t>203,5</t>
  </si>
  <si>
    <t>3410,2062</t>
  </si>
  <si>
    <t>226,1</t>
  </si>
  <si>
    <t>202403</t>
  </si>
  <si>
    <t>5296,8225</t>
  </si>
  <si>
    <t>289,9</t>
  </si>
  <si>
    <t>5409,8995</t>
  </si>
  <si>
    <t>288,1</t>
  </si>
  <si>
    <t>5550,383</t>
  </si>
  <si>
    <t>286,2</t>
  </si>
  <si>
    <t>5361,7677</t>
  </si>
  <si>
    <t>277,3</t>
  </si>
  <si>
    <t>5463,2378</t>
  </si>
  <si>
    <t>280,9</t>
  </si>
  <si>
    <t>5243,3122</t>
  </si>
  <si>
    <t>292,3</t>
  </si>
  <si>
    <t>5357,0929</t>
  </si>
  <si>
    <t>287,9</t>
  </si>
  <si>
    <t>6293,3226</t>
  </si>
  <si>
    <t>314,1</t>
  </si>
  <si>
    <t>6197,6368</t>
  </si>
  <si>
    <t>6073,9264</t>
  </si>
  <si>
    <t>5980,7634</t>
  </si>
  <si>
    <t>292,4</t>
  </si>
  <si>
    <t>6330,5511</t>
  </si>
  <si>
    <t>302,2</t>
  </si>
  <si>
    <t>5971,7215</t>
  </si>
  <si>
    <t>327,1</t>
  </si>
  <si>
    <t>6216,0451</t>
  </si>
  <si>
    <t>308,3</t>
  </si>
  <si>
    <t>4178,8129</t>
  </si>
  <si>
    <t>4328,2022</t>
  </si>
  <si>
    <t>273,4</t>
  </si>
  <si>
    <t>4577,976</t>
  </si>
  <si>
    <t>263,2</t>
  </si>
  <si>
    <t>4216,8223</t>
  </si>
  <si>
    <t>4166,5348</t>
  </si>
  <si>
    <t>4166,5163</t>
  </si>
  <si>
    <t>4248,8502</t>
  </si>
  <si>
    <t>5192,7168</t>
  </si>
  <si>
    <t>211,1</t>
  </si>
  <si>
    <t>4872,102</t>
  </si>
  <si>
    <t>208,7</t>
  </si>
  <si>
    <t>4350,3893</t>
  </si>
  <si>
    <t>206,5</t>
  </si>
  <si>
    <t>4372,1612</t>
  </si>
  <si>
    <t>4294,262</t>
  </si>
  <si>
    <t>4694,1616</t>
  </si>
  <si>
    <t>221,8</t>
  </si>
  <si>
    <t>4919,1559</t>
  </si>
  <si>
    <t>208,4</t>
  </si>
  <si>
    <t>3281,3524</t>
  </si>
  <si>
    <t>3067,2616</t>
  </si>
  <si>
    <t>208,1</t>
  </si>
  <si>
    <t>4303,8472</t>
  </si>
  <si>
    <t>3989,2275</t>
  </si>
  <si>
    <t>237,4</t>
  </si>
  <si>
    <t>3683,6228</t>
  </si>
  <si>
    <t>3354,7653</t>
  </si>
  <si>
    <t>220,8</t>
  </si>
  <si>
    <t>3324,6647</t>
  </si>
  <si>
    <t>220,5</t>
  </si>
  <si>
    <t>5378,6424</t>
  </si>
  <si>
    <t>5398,2626</t>
  </si>
  <si>
    <t>305,9</t>
  </si>
  <si>
    <t>5492,512</t>
  </si>
  <si>
    <t>298,6</t>
  </si>
  <si>
    <t>5332,588</t>
  </si>
  <si>
    <t>305,1</t>
  </si>
  <si>
    <t>5430,081</t>
  </si>
  <si>
    <t>301,8</t>
  </si>
  <si>
    <t>5606,152</t>
  </si>
  <si>
    <t>321,8</t>
  </si>
  <si>
    <t>5400,751</t>
  </si>
  <si>
    <t>301,3</t>
  </si>
  <si>
    <t>5826,758</t>
  </si>
  <si>
    <t>329,3</t>
  </si>
  <si>
    <t>6490,387</t>
  </si>
  <si>
    <t>330,6</t>
  </si>
  <si>
    <t>6682,513</t>
  </si>
  <si>
    <t>338,2</t>
  </si>
  <si>
    <t>6446,348</t>
  </si>
  <si>
    <t>331,4</t>
  </si>
  <si>
    <t>6903,132</t>
  </si>
  <si>
    <t>341,9</t>
  </si>
  <si>
    <t>6048,628</t>
  </si>
  <si>
    <t>323,4</t>
  </si>
  <si>
    <t>6195,645</t>
  </si>
  <si>
    <t>330,8</t>
  </si>
  <si>
    <t>5575,717</t>
  </si>
  <si>
    <t>340,9</t>
  </si>
  <si>
    <t>6209,185</t>
  </si>
  <si>
    <t>315,1</t>
  </si>
  <si>
    <t>6878,184</t>
  </si>
  <si>
    <t>339,4</t>
  </si>
  <si>
    <t>5720,426</t>
  </si>
  <si>
    <t>326,5</t>
  </si>
  <si>
    <t>6191,195</t>
  </si>
  <si>
    <t>295,7</t>
  </si>
  <si>
    <t>6487,779</t>
  </si>
  <si>
    <t>313,4</t>
  </si>
  <si>
    <t>5923,314</t>
  </si>
  <si>
    <t>326,7</t>
  </si>
  <si>
    <t>4353,027</t>
  </si>
  <si>
    <t>344,8</t>
  </si>
  <si>
    <t>4440,914</t>
  </si>
  <si>
    <t>343,8</t>
  </si>
  <si>
    <t>4433,59</t>
  </si>
  <si>
    <t>335,2</t>
  </si>
  <si>
    <t>4506,797</t>
  </si>
  <si>
    <t>310,5</t>
  </si>
  <si>
    <t>3947,396</t>
  </si>
  <si>
    <t>3521,313</t>
  </si>
  <si>
    <t>286,7</t>
  </si>
  <si>
    <t>4338,061</t>
  </si>
  <si>
    <t>336,7</t>
  </si>
  <si>
    <t>5006,365</t>
  </si>
  <si>
    <t>296,3</t>
  </si>
  <si>
    <t>4754,066</t>
  </si>
  <si>
    <t>4811,209</t>
  </si>
  <si>
    <t>4511,175</t>
  </si>
  <si>
    <t>4751,614</t>
  </si>
  <si>
    <t>268,6</t>
  </si>
  <si>
    <t>4648,886</t>
  </si>
  <si>
    <t>279,7</t>
  </si>
  <si>
    <t>4846,745</t>
  </si>
  <si>
    <t>4267,34</t>
  </si>
  <si>
    <t>3195,629</t>
  </si>
  <si>
    <t>183,5</t>
  </si>
  <si>
    <t>2812,849</t>
  </si>
  <si>
    <t>3754,216</t>
  </si>
  <si>
    <t>205,9</t>
  </si>
  <si>
    <t>2780,521</t>
  </si>
  <si>
    <t>173</t>
  </si>
  <si>
    <t>2629,79</t>
  </si>
  <si>
    <t>156,6</t>
  </si>
  <si>
    <t>3653,036</t>
  </si>
  <si>
    <t>204,1</t>
  </si>
  <si>
    <t>5412,406</t>
  </si>
  <si>
    <t>265,6</t>
  </si>
  <si>
    <t>5543,647</t>
  </si>
  <si>
    <t>283,7</t>
  </si>
  <si>
    <t>5637,219</t>
  </si>
  <si>
    <t>278</t>
  </si>
  <si>
    <t>5727,839</t>
  </si>
  <si>
    <t>264,8</t>
  </si>
  <si>
    <t>5991,337</t>
  </si>
  <si>
    <t>261,9</t>
  </si>
  <si>
    <t>5197,545</t>
  </si>
  <si>
    <t>274,3</t>
  </si>
  <si>
    <t>5511,014</t>
  </si>
  <si>
    <t>272,4</t>
  </si>
  <si>
    <t>5446,557</t>
  </si>
  <si>
    <t>347,5</t>
  </si>
  <si>
    <t>5549,339</t>
  </si>
  <si>
    <t>369,5</t>
  </si>
  <si>
    <t>6107,399</t>
  </si>
  <si>
    <t>383,3</t>
  </si>
  <si>
    <t>5921,805</t>
  </si>
  <si>
    <t>388,7</t>
  </si>
  <si>
    <t>5692,481</t>
  </si>
  <si>
    <t>380,5</t>
  </si>
  <si>
    <t>6056,375</t>
  </si>
  <si>
    <t>414,6</t>
  </si>
  <si>
    <t>5586,435</t>
  </si>
  <si>
    <t>5842,357</t>
  </si>
  <si>
    <t>225,2</t>
  </si>
  <si>
    <t>5483,463</t>
  </si>
  <si>
    <t>221,2</t>
  </si>
  <si>
    <t>5084,396</t>
  </si>
  <si>
    <t>213,6</t>
  </si>
  <si>
    <t>4968,986</t>
  </si>
  <si>
    <t>4858,625</t>
  </si>
  <si>
    <t>207,9</t>
  </si>
  <si>
    <t>5045,795</t>
  </si>
  <si>
    <t>236,5</t>
  </si>
  <si>
    <t>5534,71</t>
  </si>
  <si>
    <t>5530,635</t>
  </si>
  <si>
    <t>5679,69</t>
  </si>
  <si>
    <t>5737,442</t>
  </si>
  <si>
    <t>295,2</t>
  </si>
  <si>
    <t>5653,953</t>
  </si>
  <si>
    <t>5823,941</t>
  </si>
  <si>
    <t>294,4</t>
  </si>
  <si>
    <t>5486,394</t>
  </si>
  <si>
    <t>307</t>
  </si>
  <si>
    <t>5612,399</t>
  </si>
  <si>
    <t>300</t>
  </si>
  <si>
    <t>4363,48</t>
  </si>
  <si>
    <t>303,6</t>
  </si>
  <si>
    <t>4404,493</t>
  </si>
  <si>
    <t>5139,022</t>
  </si>
  <si>
    <t>311,6</t>
  </si>
  <si>
    <t>4513,073</t>
  </si>
  <si>
    <t>280,2</t>
  </si>
  <si>
    <t>4632,376</t>
  </si>
  <si>
    <t>4544,22</t>
  </si>
  <si>
    <t>279,3</t>
  </si>
  <si>
    <t>4441,313</t>
  </si>
  <si>
    <t>293,4</t>
  </si>
  <si>
    <t>6155,115</t>
  </si>
  <si>
    <t>307,4</t>
  </si>
  <si>
    <t>6077,166</t>
  </si>
  <si>
    <t>300,2</t>
  </si>
  <si>
    <t>5942,939</t>
  </si>
  <si>
    <t>289,2</t>
  </si>
  <si>
    <t>5839,518</t>
  </si>
  <si>
    <t>288,3</t>
  </si>
  <si>
    <t>6110,88</t>
  </si>
  <si>
    <t>296,5</t>
  </si>
  <si>
    <t>5979,062</t>
  </si>
  <si>
    <t>6086,842</t>
  </si>
  <si>
    <t>302,4</t>
  </si>
  <si>
    <t>4044,924</t>
  </si>
  <si>
    <t>255,9</t>
  </si>
  <si>
    <t>3843,838</t>
  </si>
  <si>
    <t>249,2</t>
  </si>
  <si>
    <t>4205,519</t>
  </si>
  <si>
    <t>3915,436</t>
  </si>
  <si>
    <t>234,6</t>
  </si>
  <si>
    <t>3859,606</t>
  </si>
  <si>
    <t>230</t>
  </si>
  <si>
    <t>3417,662</t>
  </si>
  <si>
    <t>3937,969</t>
  </si>
  <si>
    <t>202404</t>
  </si>
  <si>
    <t>5785,57</t>
  </si>
  <si>
    <t>292,2</t>
  </si>
  <si>
    <t>5884,001</t>
  </si>
  <si>
    <t>288,9</t>
  </si>
  <si>
    <t>5899,333</t>
  </si>
  <si>
    <t>278,9</t>
  </si>
  <si>
    <t>5849,8</t>
  </si>
  <si>
    <t>282,2</t>
  </si>
  <si>
    <t>5908,465</t>
  </si>
  <si>
    <t>284,1</t>
  </si>
  <si>
    <t>5686,543</t>
  </si>
  <si>
    <t>5830,227</t>
  </si>
  <si>
    <t>289,4</t>
  </si>
  <si>
    <t>6653,798</t>
  </si>
  <si>
    <t>297,5</t>
  </si>
  <si>
    <t>6592,898</t>
  </si>
  <si>
    <t>289</t>
  </si>
  <si>
    <t>6372,585</t>
  </si>
  <si>
    <t>270,7</t>
  </si>
  <si>
    <t>6439,76</t>
  </si>
  <si>
    <t>6675,054</t>
  </si>
  <si>
    <t>290,7</t>
  </si>
  <si>
    <t>6301,954</t>
  </si>
  <si>
    <t>310,3</t>
  </si>
  <si>
    <t>6590,088</t>
  </si>
  <si>
    <t>293</t>
  </si>
  <si>
    <t>4406,216</t>
  </si>
  <si>
    <t>268,8</t>
  </si>
  <si>
    <t>4559,271</t>
  </si>
  <si>
    <t>4834,12</t>
  </si>
  <si>
    <t>263,9</t>
  </si>
  <si>
    <t>4442,289</t>
  </si>
  <si>
    <t>4424,596</t>
  </si>
  <si>
    <t>274</t>
  </si>
  <si>
    <t>4431,932</t>
  </si>
  <si>
    <t>282,9</t>
  </si>
  <si>
    <t>4481,988</t>
  </si>
  <si>
    <t>5722,293</t>
  </si>
  <si>
    <t>205,4</t>
  </si>
  <si>
    <t>5320,536</t>
  </si>
  <si>
    <t>207,8</t>
  </si>
  <si>
    <t>4698,667</t>
  </si>
  <si>
    <t>202,6</t>
  </si>
  <si>
    <t>4813,335</t>
  </si>
  <si>
    <t>190,3</t>
  </si>
  <si>
    <t>4740,404</t>
  </si>
  <si>
    <t>5009,876</t>
  </si>
  <si>
    <t>213</t>
  </si>
  <si>
    <t>5392,834</t>
  </si>
  <si>
    <t>205</t>
  </si>
  <si>
    <t>4607,882</t>
  </si>
  <si>
    <t>321,3</t>
  </si>
  <si>
    <t>4107,403</t>
  </si>
  <si>
    <t>296,7</t>
  </si>
  <si>
    <t>4858,999</t>
  </si>
  <si>
    <t>279</t>
  </si>
  <si>
    <t>5243,639</t>
  </si>
  <si>
    <t>326</t>
  </si>
  <si>
    <t>4796,102</t>
  </si>
  <si>
    <t>317,1</t>
  </si>
  <si>
    <t>4672,217</t>
  </si>
  <si>
    <t>318,6</t>
  </si>
  <si>
    <t>4509,365</t>
  </si>
  <si>
    <t>5721,905</t>
  </si>
  <si>
    <t>286,5</t>
  </si>
  <si>
    <t>5758,373</t>
  </si>
  <si>
    <t>5800,531</t>
  </si>
  <si>
    <t>288,7</t>
  </si>
  <si>
    <t>5665,522</t>
  </si>
  <si>
    <t>5760,241</t>
  </si>
  <si>
    <t>293,7</t>
  </si>
  <si>
    <t>6058,018</t>
  </si>
  <si>
    <t>319,2</t>
  </si>
  <si>
    <t>5751,79</t>
  </si>
  <si>
    <t>6382,855</t>
  </si>
  <si>
    <t>340,3</t>
  </si>
  <si>
    <t>7077,595</t>
  </si>
  <si>
    <t>340,8</t>
  </si>
  <si>
    <t>7208,42</t>
  </si>
  <si>
    <t>6982,403</t>
  </si>
  <si>
    <t>340,1</t>
  </si>
  <si>
    <t>7532,63</t>
  </si>
  <si>
    <t>354</t>
  </si>
  <si>
    <t>6566,4</t>
  </si>
  <si>
    <t>335,7</t>
  </si>
  <si>
    <t>6761,482</t>
  </si>
  <si>
    <t>341,1</t>
  </si>
  <si>
    <t>5852,593</t>
  </si>
  <si>
    <t>331,2</t>
  </si>
  <si>
    <t>6750,396</t>
  </si>
  <si>
    <t>326,6</t>
  </si>
  <si>
    <t>7140,072</t>
  </si>
  <si>
    <t>333,1</t>
  </si>
  <si>
    <t>6119,617</t>
  </si>
  <si>
    <t>332,7</t>
  </si>
  <si>
    <t>6471,802</t>
  </si>
  <si>
    <t>291,6</t>
  </si>
  <si>
    <t>6721,91</t>
  </si>
  <si>
    <t>299,5</t>
  </si>
  <si>
    <t>6293,903</t>
  </si>
  <si>
    <t>325,9</t>
  </si>
  <si>
    <t>4983,887</t>
  </si>
  <si>
    <t>377,1</t>
  </si>
  <si>
    <t>5046,523</t>
  </si>
  <si>
    <t>376,8</t>
  </si>
  <si>
    <t>5147,974</t>
  </si>
  <si>
    <t>377,3</t>
  </si>
  <si>
    <t>5157,51</t>
  </si>
  <si>
    <t>341,2</t>
  </si>
  <si>
    <t>4457,624</t>
  </si>
  <si>
    <t>324,2</t>
  </si>
  <si>
    <t>4007,204</t>
  </si>
  <si>
    <t>318,1</t>
  </si>
  <si>
    <t>4952,69</t>
  </si>
  <si>
    <t>369,1</t>
  </si>
  <si>
    <t>5353,774</t>
  </si>
  <si>
    <t>5050,968</t>
  </si>
  <si>
    <t>273,9</t>
  </si>
  <si>
    <t>5139,081</t>
  </si>
  <si>
    <t>5049,241</t>
  </si>
  <si>
    <t>261,3</t>
  </si>
  <si>
    <t>5146,057</t>
  </si>
  <si>
    <t>5018,916</t>
  </si>
  <si>
    <t>282,6</t>
  </si>
  <si>
    <t>5192,9</t>
  </si>
  <si>
    <t>283,6</t>
  </si>
  <si>
    <t>4626,5</t>
  </si>
  <si>
    <t>236,2</t>
  </si>
  <si>
    <t>3462,003</t>
  </si>
  <si>
    <t>3204,035</t>
  </si>
  <si>
    <t>189,7</t>
  </si>
  <si>
    <t>4002,543</t>
  </si>
  <si>
    <t>218,5</t>
  </si>
  <si>
    <t>3026,5</t>
  </si>
  <si>
    <t>190</t>
  </si>
  <si>
    <t>2953,153</t>
  </si>
  <si>
    <t>3966,882</t>
  </si>
  <si>
    <t>214,5</t>
  </si>
  <si>
    <t>5836,324</t>
  </si>
  <si>
    <t>262,8</t>
  </si>
  <si>
    <t>5943,991</t>
  </si>
  <si>
    <t>271,2</t>
  </si>
  <si>
    <t>5939,09</t>
  </si>
  <si>
    <t>248,3</t>
  </si>
  <si>
    <t>6089,871</t>
  </si>
  <si>
    <t>250,3</t>
  </si>
  <si>
    <t>6381,781</t>
  </si>
  <si>
    <t>5568,427</t>
  </si>
  <si>
    <t>268,1</t>
  </si>
  <si>
    <t>5912,618</t>
  </si>
  <si>
    <t>263,6</t>
  </si>
  <si>
    <t>5731,084</t>
  </si>
  <si>
    <t>340,4</t>
  </si>
  <si>
    <t>5886,503</t>
  </si>
  <si>
    <t>367</t>
  </si>
  <si>
    <t>6441,262</t>
  </si>
  <si>
    <t>378</t>
  </si>
  <si>
    <t>6178,134</t>
  </si>
  <si>
    <t>386,3</t>
  </si>
  <si>
    <t>6121,661</t>
  </si>
  <si>
    <t>387,5</t>
  </si>
  <si>
    <t>6498,892</t>
  </si>
  <si>
    <t>418,5</t>
  </si>
  <si>
    <t>5903,854</t>
  </si>
  <si>
    <t>360,2</t>
  </si>
  <si>
    <t>6360,862</t>
  </si>
  <si>
    <t>212,2</t>
  </si>
  <si>
    <t>6073,03</t>
  </si>
  <si>
    <t>214,3</t>
  </si>
  <si>
    <t>5606,653</t>
  </si>
  <si>
    <t>217,2</t>
  </si>
  <si>
    <t>5626,3</t>
  </si>
  <si>
    <t>5394,02</t>
  </si>
  <si>
    <t>5495,125</t>
  </si>
  <si>
    <t>6085,244</t>
  </si>
  <si>
    <t>213,5</t>
  </si>
  <si>
    <t>5884,348</t>
  </si>
  <si>
    <t>291,7</t>
  </si>
  <si>
    <t>6044,583</t>
  </si>
  <si>
    <t>6015,164</t>
  </si>
  <si>
    <t>6030,93</t>
  </si>
  <si>
    <t>6165,478</t>
  </si>
  <si>
    <t>288,5</t>
  </si>
  <si>
    <t>5807,034</t>
  </si>
  <si>
    <t>297,7</t>
  </si>
  <si>
    <t>5965,893</t>
  </si>
  <si>
    <t>5235,968</t>
  </si>
  <si>
    <t>358,5</t>
  </si>
  <si>
    <t>5195,479</t>
  </si>
  <si>
    <t>334,6</t>
  </si>
  <si>
    <t>5647,529</t>
  </si>
  <si>
    <t>5309,417</t>
  </si>
  <si>
    <t>331,3</t>
  </si>
  <si>
    <t>5363,647</t>
  </si>
  <si>
    <t>323,3</t>
  </si>
  <si>
    <t>5397,763</t>
  </si>
  <si>
    <t>5258,252</t>
  </si>
  <si>
    <t>344,1</t>
  </si>
  <si>
    <t>6533,237</t>
  </si>
  <si>
    <t>6481,887</t>
  </si>
  <si>
    <t>291,4</t>
  </si>
  <si>
    <t>6245,457</t>
  </si>
  <si>
    <t>6237,766</t>
  </si>
  <si>
    <t>282,1</t>
  </si>
  <si>
    <t>6455,094</t>
  </si>
  <si>
    <t>6316,833</t>
  </si>
  <si>
    <t>298,7</t>
  </si>
  <si>
    <t>6468,376</t>
  </si>
  <si>
    <t>4695,029</t>
  </si>
  <si>
    <t>4480,772</t>
  </si>
  <si>
    <t>4713,546</t>
  </si>
  <si>
    <t>4675,28</t>
  </si>
  <si>
    <t>4554,95</t>
  </si>
  <si>
    <t>271,3</t>
  </si>
  <si>
    <t>4122,575</t>
  </si>
  <si>
    <t>274,9</t>
  </si>
  <si>
    <t>4589,525</t>
  </si>
  <si>
    <t>6034,383</t>
  </si>
  <si>
    <t>6120,295</t>
  </si>
  <si>
    <t>275,7</t>
  </si>
  <si>
    <t>6119,423</t>
  </si>
  <si>
    <t>266,4</t>
  </si>
  <si>
    <t>6093,742</t>
  </si>
  <si>
    <t>6160,577</t>
  </si>
  <si>
    <t>272,7</t>
  </si>
  <si>
    <t>5943,593</t>
  </si>
  <si>
    <t>283,4</t>
  </si>
  <si>
    <t>ipc_indec_raw</t>
  </si>
  <si>
    <t>6073,717</t>
  </si>
  <si>
    <t>7015,674</t>
  </si>
  <si>
    <t>296,6</t>
  </si>
  <si>
    <t>6892,884</t>
  </si>
  <si>
    <t>6588,501</t>
  </si>
  <si>
    <t>262,2</t>
  </si>
  <si>
    <t>6739,407</t>
  </si>
  <si>
    <t>6932,441</t>
  </si>
  <si>
    <t>6558,132</t>
  </si>
  <si>
    <t>6909,553</t>
  </si>
  <si>
    <t>4725,028</t>
  </si>
  <si>
    <t>266,2</t>
  </si>
  <si>
    <t>4853,811</t>
  </si>
  <si>
    <t>269,5</t>
  </si>
  <si>
    <t>5088,238</t>
  </si>
  <si>
    <t>252</t>
  </si>
  <si>
    <t>4716,463</t>
  </si>
  <si>
    <t>257,2</t>
  </si>
  <si>
    <t>4659,1</t>
  </si>
  <si>
    <t>4738,125</t>
  </si>
  <si>
    <t>277,6</t>
  </si>
  <si>
    <t>4781,493</t>
  </si>
  <si>
    <t>5861,215</t>
  </si>
  <si>
    <t>190,1</t>
  </si>
  <si>
    <t>5574,667</t>
  </si>
  <si>
    <t>4839,992</t>
  </si>
  <si>
    <t>5010,283</t>
  </si>
  <si>
    <t>4959,8</t>
  </si>
  <si>
    <t>5263,228</t>
  </si>
  <si>
    <t>208,9</t>
  </si>
  <si>
    <t>5584,134</t>
  </si>
  <si>
    <t>4703,333</t>
  </si>
  <si>
    <t>284,5</t>
  </si>
  <si>
    <t>4247,35</t>
  </si>
  <si>
    <t>265</t>
  </si>
  <si>
    <t>5125,565</t>
  </si>
  <si>
    <t>255,3</t>
  </si>
  <si>
    <t>5277,738</t>
  </si>
  <si>
    <t>4902,771</t>
  </si>
  <si>
    <t>4772,118</t>
  </si>
  <si>
    <t>297,6</t>
  </si>
  <si>
    <t>4623,355</t>
  </si>
  <si>
    <t>5899,493</t>
  </si>
  <si>
    <t>267,2</t>
  </si>
  <si>
    <t>5955,554</t>
  </si>
  <si>
    <t>278,7</t>
  </si>
  <si>
    <t>6010,562</t>
  </si>
  <si>
    <t>5840,091</t>
  </si>
  <si>
    <t>272,9</t>
  </si>
  <si>
    <t>5957,855</t>
  </si>
  <si>
    <t>275,3</t>
  </si>
  <si>
    <t>6215,426</t>
  </si>
  <si>
    <t>296</t>
  </si>
  <si>
    <t>5937,476</t>
  </si>
  <si>
    <t>6389,106</t>
  </si>
  <si>
    <t>307,5</t>
  </si>
  <si>
    <t>7135,119</t>
  </si>
  <si>
    <t>306,9</t>
  </si>
  <si>
    <t>7286,415</t>
  </si>
  <si>
    <t>7115,854</t>
  </si>
  <si>
    <t>306,3</t>
  </si>
  <si>
    <t>7615,556</t>
  </si>
  <si>
    <t>6732,51</t>
  </si>
  <si>
    <t>304,9</t>
  </si>
  <si>
    <t>6807,876</t>
  </si>
  <si>
    <t>307,3</t>
  </si>
  <si>
    <t>6087,569</t>
  </si>
  <si>
    <t>6938,786</t>
  </si>
  <si>
    <t>303,9</t>
  </si>
  <si>
    <t>7495,873</t>
  </si>
  <si>
    <t>330,1</t>
  </si>
  <si>
    <t>6457,876</t>
  </si>
  <si>
    <t>6991,047</t>
  </si>
  <si>
    <t>7050,461</t>
  </si>
  <si>
    <t>6544,312</t>
  </si>
  <si>
    <t>309,5</t>
  </si>
  <si>
    <t>5421,622</t>
  </si>
  <si>
    <t>387,8</t>
  </si>
  <si>
    <t>5425,845</t>
  </si>
  <si>
    <t>5547,067</t>
  </si>
  <si>
    <t>379,8</t>
  </si>
  <si>
    <t>5551,858</t>
  </si>
  <si>
    <t>348,2</t>
  </si>
  <si>
    <t>4787,175</t>
  </si>
  <si>
    <t>4422,231</t>
  </si>
  <si>
    <t>327,8</t>
  </si>
  <si>
    <t>5359,459</t>
  </si>
  <si>
    <t>375,7</t>
  </si>
  <si>
    <t>5649,464</t>
  </si>
  <si>
    <t>5230,099</t>
  </si>
  <si>
    <t>261,1</t>
  </si>
  <si>
    <t>5331,023</t>
  </si>
  <si>
    <t>278,1</t>
  </si>
  <si>
    <t>5209,597</t>
  </si>
  <si>
    <t>253,6</t>
  </si>
  <si>
    <t>5316,374</t>
  </si>
  <si>
    <t>265,4</t>
  </si>
  <si>
    <t>5351,342</t>
  </si>
  <si>
    <t>270,6</t>
  </si>
  <si>
    <t>5429,47</t>
  </si>
  <si>
    <t>270,1</t>
  </si>
  <si>
    <t>5036,763</t>
  </si>
  <si>
    <t>3657,762</t>
  </si>
  <si>
    <t>3520,833</t>
  </si>
  <si>
    <t>4116,06</t>
  </si>
  <si>
    <t>217,1</t>
  </si>
  <si>
    <t>3374,184</t>
  </si>
  <si>
    <t>198,8</t>
  </si>
  <si>
    <t>3221,419</t>
  </si>
  <si>
    <t>4269,937</t>
  </si>
  <si>
    <t>222,6</t>
  </si>
  <si>
    <t>6173,167</t>
  </si>
  <si>
    <t>6283,574</t>
  </si>
  <si>
    <t>255,4</t>
  </si>
  <si>
    <t>6095,945</t>
  </si>
  <si>
    <t>235</t>
  </si>
  <si>
    <t>6442,54</t>
  </si>
  <si>
    <t>239,8</t>
  </si>
  <si>
    <t>6628,286</t>
  </si>
  <si>
    <t>240,3</t>
  </si>
  <si>
    <t>5952,306</t>
  </si>
  <si>
    <t>264</t>
  </si>
  <si>
    <t>6240,627</t>
  </si>
  <si>
    <t>251</t>
  </si>
  <si>
    <t>6001,667</t>
  </si>
  <si>
    <t>330,5</t>
  </si>
  <si>
    <t>6137,122</t>
  </si>
  <si>
    <t>356</t>
  </si>
  <si>
    <t>6641,174</t>
  </si>
  <si>
    <t>355,3</t>
  </si>
  <si>
    <t>6380,988</t>
  </si>
  <si>
    <t>364,6</t>
  </si>
  <si>
    <t>6406,107</t>
  </si>
  <si>
    <t>374</t>
  </si>
  <si>
    <t>6713,279</t>
  </si>
  <si>
    <t>406,1</t>
  </si>
  <si>
    <t>6157,706</t>
  </si>
  <si>
    <t>6894,783</t>
  </si>
  <si>
    <t>6425,662</t>
  </si>
  <si>
    <t>216,8</t>
  </si>
  <si>
    <t>5864,154</t>
  </si>
  <si>
    <t>6085,101</t>
  </si>
  <si>
    <t>5788,818</t>
  </si>
  <si>
    <t>211,7</t>
  </si>
  <si>
    <t>5802,831</t>
  </si>
  <si>
    <t>224,8</t>
  </si>
  <si>
    <t>6521,176</t>
  </si>
  <si>
    <t>6114,377</t>
  </si>
  <si>
    <t>277,2</t>
  </si>
  <si>
    <t>6271,743</t>
  </si>
  <si>
    <t>6188,546</t>
  </si>
  <si>
    <t>264,7</t>
  </si>
  <si>
    <t>6238,841</t>
  </si>
  <si>
    <t>6357,856</t>
  </si>
  <si>
    <t>6032,367</t>
  </si>
  <si>
    <t>285,2</t>
  </si>
  <si>
    <t>6188,673</t>
  </si>
  <si>
    <t>5411,623</t>
  </si>
  <si>
    <t>332,1</t>
  </si>
  <si>
    <t>5392,102</t>
  </si>
  <si>
    <t>314,7</t>
  </si>
  <si>
    <t>6026,071</t>
  </si>
  <si>
    <t>5539,233</t>
  </si>
  <si>
    <t>317,2</t>
  </si>
  <si>
    <t>5729,333</t>
  </si>
  <si>
    <t>5730,665</t>
  </si>
  <si>
    <t>324,4</t>
  </si>
  <si>
    <t>5469,547</t>
  </si>
  <si>
    <t>323,6</t>
  </si>
  <si>
    <t>6791,751</t>
  </si>
  <si>
    <t>282,5</t>
  </si>
  <si>
    <t>6741,569</t>
  </si>
  <si>
    <t>6434,728</t>
  </si>
  <si>
    <t>261,5</t>
  </si>
  <si>
    <t>6486,549</t>
  </si>
  <si>
    <t>267,7</t>
  </si>
  <si>
    <t>6672,309</t>
  </si>
  <si>
    <t>274,2</t>
  </si>
  <si>
    <t>6568,108</t>
  </si>
  <si>
    <t>286,9</t>
  </si>
  <si>
    <t>6720,978</t>
  </si>
  <si>
    <t>4929,693</t>
  </si>
  <si>
    <t>4662,177</t>
  </si>
  <si>
    <t>5039,216</t>
  </si>
  <si>
    <t>4904,566</t>
  </si>
  <si>
    <t>273,2</t>
  </si>
  <si>
    <t>4893,471</t>
  </si>
  <si>
    <t>267,8</t>
  </si>
  <si>
    <t>4393,956</t>
  </si>
  <si>
    <t>4817,011</t>
  </si>
  <si>
    <t>270,3</t>
  </si>
  <si>
    <t>6297,096</t>
  </si>
  <si>
    <t>273,7</t>
  </si>
  <si>
    <t>6410,256</t>
  </si>
  <si>
    <t>271,6</t>
  </si>
  <si>
    <t>6387,565</t>
  </si>
  <si>
    <t>258,7</t>
  </si>
  <si>
    <t>6383,768</t>
  </si>
  <si>
    <t>6472,596</t>
  </si>
  <si>
    <t>6238,003</t>
  </si>
  <si>
    <t>6351,715</t>
  </si>
  <si>
    <t>271,5</t>
  </si>
  <si>
    <t>7168,265</t>
  </si>
  <si>
    <t>291,2</t>
  </si>
  <si>
    <t>7146,549</t>
  </si>
  <si>
    <t>284,2</t>
  </si>
  <si>
    <t>6804,016</t>
  </si>
  <si>
    <t>253</t>
  </si>
  <si>
    <t>6951,791</t>
  </si>
  <si>
    <t>7221,05</t>
  </si>
  <si>
    <t>6851,738</t>
  </si>
  <si>
    <t>295,5</t>
  </si>
  <si>
    <t>7117,223</t>
  </si>
  <si>
    <t>285,1</t>
  </si>
  <si>
    <t>4828,802</t>
  </si>
  <si>
    <t>4949,075</t>
  </si>
  <si>
    <t>260,8</t>
  </si>
  <si>
    <t>5181,605</t>
  </si>
  <si>
    <t>241,1</t>
  </si>
  <si>
    <t>4789,309</t>
  </si>
  <si>
    <t>245,3</t>
  </si>
  <si>
    <t>4754,878</t>
  </si>
  <si>
    <t>255,5</t>
  </si>
  <si>
    <t>4861,659</t>
  </si>
  <si>
    <t>272,2</t>
  </si>
  <si>
    <t>4880,226</t>
  </si>
  <si>
    <t>5966,096</t>
  </si>
  <si>
    <t>185,1</t>
  </si>
  <si>
    <t>5774,128</t>
  </si>
  <si>
    <t>195,9</t>
  </si>
  <si>
    <t>5038,944</t>
  </si>
  <si>
    <t>189,2</t>
  </si>
  <si>
    <t>5160,776</t>
  </si>
  <si>
    <t>174,4</t>
  </si>
  <si>
    <t>5161,335</t>
  </si>
  <si>
    <t>5425,57</t>
  </si>
  <si>
    <t>201,4</t>
  </si>
  <si>
    <t>5736,102</t>
  </si>
  <si>
    <t>5254,869</t>
  </si>
  <si>
    <t>300,4</t>
  </si>
  <si>
    <t>4872,236</t>
  </si>
  <si>
    <t>296,9</t>
  </si>
  <si>
    <t>6119,376</t>
  </si>
  <si>
    <t>6345,938</t>
  </si>
  <si>
    <t>292,5</t>
  </si>
  <si>
    <t>5956,167</t>
  </si>
  <si>
    <t>335,9</t>
  </si>
  <si>
    <t>5486,855</t>
  </si>
  <si>
    <t>302</t>
  </si>
  <si>
    <t>5283,216</t>
  </si>
  <si>
    <t>298,9</t>
  </si>
  <si>
    <t>6030,626</t>
  </si>
  <si>
    <t>246,1</t>
  </si>
  <si>
    <t>6092,549</t>
  </si>
  <si>
    <t>259,6</t>
  </si>
  <si>
    <t>6196,515</t>
  </si>
  <si>
    <t>255,7</t>
  </si>
  <si>
    <t>5980,541</t>
  </si>
  <si>
    <t>254,5</t>
  </si>
  <si>
    <t>6064,864</t>
  </si>
  <si>
    <t>256,8</t>
  </si>
  <si>
    <t>6360,65</t>
  </si>
  <si>
    <t>6073,208</t>
  </si>
  <si>
    <t>6702,253</t>
  </si>
  <si>
    <t>294</t>
  </si>
  <si>
    <t>7449,846</t>
  </si>
  <si>
    <t>7608,787</t>
  </si>
  <si>
    <t>7496,816</t>
  </si>
  <si>
    <t>291,3</t>
  </si>
  <si>
    <t>7973,512</t>
  </si>
  <si>
    <t>7093,019</t>
  </si>
  <si>
    <t>294,3</t>
  </si>
  <si>
    <t>7130,927</t>
  </si>
  <si>
    <t>6316,21</t>
  </si>
  <si>
    <t>300,8</t>
  </si>
  <si>
    <t>7239,119</t>
  </si>
  <si>
    <t>7611,084</t>
  </si>
  <si>
    <t>313,1</t>
  </si>
  <si>
    <t>6761,223</t>
  </si>
  <si>
    <t>324,5</t>
  </si>
  <si>
    <t>7260,572</t>
  </si>
  <si>
    <t>7338,239</t>
  </si>
  <si>
    <t>287,7</t>
  </si>
  <si>
    <t>6801,489</t>
  </si>
  <si>
    <t>299,7</t>
  </si>
  <si>
    <t>5712,731</t>
  </si>
  <si>
    <t>362,9</t>
  </si>
  <si>
    <t>5704,038</t>
  </si>
  <si>
    <t>352,8</t>
  </si>
  <si>
    <t>5825,263</t>
  </si>
  <si>
    <t>363,9</t>
  </si>
  <si>
    <t>5854,882</t>
  </si>
  <si>
    <t>326,8</t>
  </si>
  <si>
    <t>5122,423</t>
  </si>
  <si>
    <t>330,2</t>
  </si>
  <si>
    <t>4615,289</t>
  </si>
  <si>
    <t>320,4</t>
  </si>
  <si>
    <t>5644,184</t>
  </si>
  <si>
    <t>353,4</t>
  </si>
  <si>
    <t>5978,632</t>
  </si>
  <si>
    <t>5563,71</t>
  </si>
  <si>
    <t>259,8</t>
  </si>
  <si>
    <t>5579,763</t>
  </si>
  <si>
    <t>271</t>
  </si>
  <si>
    <t>5435,191</t>
  </si>
  <si>
    <t>248,2</t>
  </si>
  <si>
    <t>5552,31</t>
  </si>
  <si>
    <t>5464,642</t>
  </si>
  <si>
    <t>251,4</t>
  </si>
  <si>
    <t>5734,361</t>
  </si>
  <si>
    <t>5290,203</t>
  </si>
  <si>
    <t>3871,075</t>
  </si>
  <si>
    <t>3727,644</t>
  </si>
  <si>
    <t>189,5</t>
  </si>
  <si>
    <t>4510,998</t>
  </si>
  <si>
    <t>3573,843</t>
  </si>
  <si>
    <t>3464,109</t>
  </si>
  <si>
    <t>4514,858</t>
  </si>
  <si>
    <t>220,1</t>
  </si>
  <si>
    <t>6622,283</t>
  </si>
  <si>
    <t>6645,818</t>
  </si>
  <si>
    <t>6355,97</t>
  </si>
  <si>
    <t>237,2</t>
  </si>
  <si>
    <t>6808,972</t>
  </si>
  <si>
    <t>245,8</t>
  </si>
  <si>
    <t>6826,602</t>
  </si>
  <si>
    <t>6407,683</t>
  </si>
  <si>
    <t>6632,312</t>
  </si>
  <si>
    <t>250,9</t>
  </si>
  <si>
    <t>6159,334</t>
  </si>
  <si>
    <t>6351,163</t>
  </si>
  <si>
    <t>343</t>
  </si>
  <si>
    <t>6743,586</t>
  </si>
  <si>
    <t>329,4</t>
  </si>
  <si>
    <t>6495,59</t>
  </si>
  <si>
    <t>341,4</t>
  </si>
  <si>
    <t>6457,162</t>
  </si>
  <si>
    <t>351,5</t>
  </si>
  <si>
    <t>6958,924</t>
  </si>
  <si>
    <t>391,9</t>
  </si>
  <si>
    <t>6327,35</t>
  </si>
  <si>
    <t>332,2</t>
  </si>
  <si>
    <t>7053,858</t>
  </si>
  <si>
    <t>6826,715</t>
  </si>
  <si>
    <t>6164,139</t>
  </si>
  <si>
    <t>215,4</t>
  </si>
  <si>
    <t>6436,522</t>
  </si>
  <si>
    <t>6275,568</t>
  </si>
  <si>
    <t>6198,019</t>
  </si>
  <si>
    <t>228,4</t>
  </si>
  <si>
    <t>6811,124</t>
  </si>
  <si>
    <t>6350,244</t>
  </si>
  <si>
    <t>6503,483</t>
  </si>
  <si>
    <t>269,4</t>
  </si>
  <si>
    <t>6380,12</t>
  </si>
  <si>
    <t>6428,707</t>
  </si>
  <si>
    <t>6557,571</t>
  </si>
  <si>
    <t>264,2</t>
  </si>
  <si>
    <t>6236,855</t>
  </si>
  <si>
    <t>6414,658</t>
  </si>
  <si>
    <t>5799,968</t>
  </si>
  <si>
    <t>331,5</t>
  </si>
  <si>
    <t>5820,276</t>
  </si>
  <si>
    <t>322</t>
  </si>
  <si>
    <t>6574,776</t>
  </si>
  <si>
    <t>324,1</t>
  </si>
  <si>
    <t>6172,467</t>
  </si>
  <si>
    <t>6307,669</t>
  </si>
  <si>
    <t>6266,574</t>
  </si>
  <si>
    <t>5910,154</t>
  </si>
  <si>
    <t>6970,681</t>
  </si>
  <si>
    <t>273</t>
  </si>
  <si>
    <t>6979,32</t>
  </si>
  <si>
    <t>6638,29</t>
  </si>
  <si>
    <t>6693,898</t>
  </si>
  <si>
    <t>6902,046</t>
  </si>
  <si>
    <t>6805,161</t>
  </si>
  <si>
    <t>277,4</t>
  </si>
  <si>
    <t>6928,333</t>
  </si>
  <si>
    <t>270,5</t>
  </si>
  <si>
    <t>5314,611</t>
  </si>
  <si>
    <t>5074,672</t>
  </si>
  <si>
    <t>272</t>
  </si>
  <si>
    <t>5528,601</t>
  </si>
  <si>
    <t>289,1</t>
  </si>
  <si>
    <t>5444,888</t>
  </si>
  <si>
    <t>5409,232</t>
  </si>
  <si>
    <t>285,3</t>
  </si>
  <si>
    <t>4830,689</t>
  </si>
  <si>
    <t>5235,459</t>
  </si>
  <si>
    <t>6551,322</t>
  </si>
  <si>
    <t>266,1</t>
  </si>
  <si>
    <t>6662,327</t>
  </si>
  <si>
    <t>262,9</t>
  </si>
  <si>
    <t>6681,825</t>
  </si>
  <si>
    <t>253,1</t>
  </si>
  <si>
    <t>6612,687</t>
  </si>
  <si>
    <t>253,9</t>
  </si>
  <si>
    <t>6769,785</t>
  </si>
  <si>
    <t>6497,565</t>
  </si>
  <si>
    <t>6607,748</t>
  </si>
  <si>
    <t>7429,541</t>
  </si>
  <si>
    <t>7362,129</t>
  </si>
  <si>
    <t>275,1</t>
  </si>
  <si>
    <t>6966,606</t>
  </si>
  <si>
    <t>243,4</t>
  </si>
  <si>
    <t>7071,045</t>
  </si>
  <si>
    <t>258,3</t>
  </si>
  <si>
    <t>7428,917</t>
  </si>
  <si>
    <t>7102,805</t>
  </si>
  <si>
    <t>283</t>
  </si>
  <si>
    <t>7345,407</t>
  </si>
  <si>
    <t>5137,998</t>
  </si>
  <si>
    <t>250,5</t>
  </si>
  <si>
    <t>5243,079</t>
  </si>
  <si>
    <t>5463,423</t>
  </si>
  <si>
    <t>230,3</t>
  </si>
  <si>
    <t>5081,985</t>
  </si>
  <si>
    <t>5038,996</t>
  </si>
  <si>
    <t>246,2</t>
  </si>
  <si>
    <t>5131,143</t>
  </si>
  <si>
    <t>5178,75</t>
  </si>
  <si>
    <t>248,1</t>
  </si>
  <si>
    <t>6014,399</t>
  </si>
  <si>
    <t>5885,565</t>
  </si>
  <si>
    <t>192,7</t>
  </si>
  <si>
    <t>5239,614</t>
  </si>
  <si>
    <t>188,9</t>
  </si>
  <si>
    <t>5301,839</t>
  </si>
  <si>
    <t>172,4</t>
  </si>
  <si>
    <t>5301,341</t>
  </si>
  <si>
    <t>190,6</t>
  </si>
  <si>
    <t>5600,413</t>
  </si>
  <si>
    <t>193,9</t>
  </si>
  <si>
    <t>5829,694</t>
  </si>
  <si>
    <t>185,2</t>
  </si>
  <si>
    <t>5514,995</t>
  </si>
  <si>
    <t>305,7</t>
  </si>
  <si>
    <t>5109,807</t>
  </si>
  <si>
    <t>301,4</t>
  </si>
  <si>
    <t>7318,877</t>
  </si>
  <si>
    <t>314,4</t>
  </si>
  <si>
    <t>6789,423</t>
  </si>
  <si>
    <t>304,1</t>
  </si>
  <si>
    <t>6350,172</t>
  </si>
  <si>
    <t>341,7</t>
  </si>
  <si>
    <t>5876,509</t>
  </si>
  <si>
    <t>306,8</t>
  </si>
  <si>
    <t>5600,499</t>
  </si>
  <si>
    <t>306,6</t>
  </si>
  <si>
    <t>6222,256</t>
  </si>
  <si>
    <t>6320,799</t>
  </si>
  <si>
    <t>252,2</t>
  </si>
  <si>
    <t>6372,896</t>
  </si>
  <si>
    <t>6220,931</t>
  </si>
  <si>
    <t>6281,507</t>
  </si>
  <si>
    <t>6587,104</t>
  </si>
  <si>
    <t>6282,946</t>
  </si>
  <si>
    <t>244,7</t>
  </si>
  <si>
    <t>7093,666</t>
  </si>
  <si>
    <t>7922,242</t>
  </si>
  <si>
    <t>280,3</t>
  </si>
  <si>
    <t>8052,478</t>
  </si>
  <si>
    <t>7847,487</t>
  </si>
  <si>
    <t>8350,982</t>
  </si>
  <si>
    <t>278,8</t>
  </si>
  <si>
    <t>7472,563</t>
  </si>
  <si>
    <t>7548,061</t>
  </si>
  <si>
    <t>281,3</t>
  </si>
  <si>
    <t>6423,725</t>
  </si>
  <si>
    <t>7480,999</t>
  </si>
  <si>
    <t>284,7</t>
  </si>
  <si>
    <t>7803,448</t>
  </si>
  <si>
    <t>300,6</t>
  </si>
  <si>
    <t>6947,182</t>
  </si>
  <si>
    <t>307,9</t>
  </si>
  <si>
    <t>7640,543</t>
  </si>
  <si>
    <t>292,7</t>
  </si>
  <si>
    <t>7499,072</t>
  </si>
  <si>
    <t>261,7</t>
  </si>
  <si>
    <t>6978,989</t>
  </si>
  <si>
    <t>289,5</t>
  </si>
  <si>
    <t>5930,298</t>
  </si>
  <si>
    <t>5848,966</t>
  </si>
  <si>
    <t>314</t>
  </si>
  <si>
    <t>6065,08</t>
  </si>
  <si>
    <t>6062,452</t>
  </si>
  <si>
    <t>297,9</t>
  </si>
  <si>
    <t>5410,886</t>
  </si>
  <si>
    <t>309,6</t>
  </si>
  <si>
    <t>4895,26</t>
  </si>
  <si>
    <t>5844,002</t>
  </si>
  <si>
    <t>6302,185</t>
  </si>
  <si>
    <t>255,2</t>
  </si>
  <si>
    <t>5895,049</t>
  </si>
  <si>
    <t>5816,2</t>
  </si>
  <si>
    <t>5843,196</t>
  </si>
  <si>
    <t>242,5</t>
  </si>
  <si>
    <t>5833,846</t>
  </si>
  <si>
    <t>241,7</t>
  </si>
  <si>
    <t>5769,873</t>
  </si>
  <si>
    <t>240,7</t>
  </si>
  <si>
    <t>6059,306</t>
  </si>
  <si>
    <t>248,9</t>
  </si>
  <si>
    <t>5450,238</t>
  </si>
  <si>
    <t>229,6</t>
  </si>
  <si>
    <t>4043,626</t>
  </si>
  <si>
    <t>190,7</t>
  </si>
  <si>
    <t>4242,669</t>
  </si>
  <si>
    <t>209,5</t>
  </si>
  <si>
    <t>4791,82</t>
  </si>
  <si>
    <t>226,6</t>
  </si>
  <si>
    <t>3773,415</t>
  </si>
  <si>
    <t>194,5</t>
  </si>
  <si>
    <t>3615,822</t>
  </si>
  <si>
    <t>4704,182</t>
  </si>
  <si>
    <t>214,2</t>
  </si>
  <si>
    <t>7082,78</t>
  </si>
  <si>
    <t>253,8</t>
  </si>
  <si>
    <t>7018,647</t>
  </si>
  <si>
    <t>241,9</t>
  </si>
  <si>
    <t>6611,574</t>
  </si>
  <si>
    <t>7230,205</t>
  </si>
  <si>
    <t>242,2</t>
  </si>
  <si>
    <t>7541,454</t>
  </si>
  <si>
    <t>249,5</t>
  </si>
  <si>
    <t>6818,3</t>
  </si>
  <si>
    <t>263</t>
  </si>
  <si>
    <t>7061,205</t>
  </si>
  <si>
    <t>247,7</t>
  </si>
  <si>
    <t>6373,73</t>
  </si>
  <si>
    <t>303,4</t>
  </si>
  <si>
    <t>6549,083</t>
  </si>
  <si>
    <t>331</t>
  </si>
  <si>
    <t>7023,849</t>
  </si>
  <si>
    <t>6740,981</t>
  </si>
  <si>
    <t>332,8</t>
  </si>
  <si>
    <t>6729,564</t>
  </si>
  <si>
    <t>343,2</t>
  </si>
  <si>
    <t>7206,677</t>
  </si>
  <si>
    <t>368,9</t>
  </si>
  <si>
    <t>6545,92</t>
  </si>
  <si>
    <t>320,5</t>
  </si>
  <si>
    <t>7463,086</t>
  </si>
  <si>
    <t>7165,519</t>
  </si>
  <si>
    <t>227,3</t>
  </si>
  <si>
    <t>6417,963</t>
  </si>
  <si>
    <t>213,2</t>
  </si>
  <si>
    <t>6578,043</t>
  </si>
  <si>
    <t>202,3</t>
  </si>
  <si>
    <t>6537,159</t>
  </si>
  <si>
    <t>6485,176</t>
  </si>
  <si>
    <t>221,5</t>
  </si>
  <si>
    <t>7156,798</t>
  </si>
  <si>
    <t>225,1</t>
  </si>
  <si>
    <t>6597,552</t>
  </si>
  <si>
    <t>259,1</t>
  </si>
  <si>
    <t>6744,545</t>
  </si>
  <si>
    <t>259,5</t>
  </si>
  <si>
    <t>6589,383</t>
  </si>
  <si>
    <t>242,8</t>
  </si>
  <si>
    <t>6654,223</t>
  </si>
  <si>
    <t>251,9</t>
  </si>
  <si>
    <t>6836,721</t>
  </si>
  <si>
    <t>257</t>
  </si>
  <si>
    <t>6467,462</t>
  </si>
  <si>
    <t>259,7</t>
  </si>
  <si>
    <t>6657,49</t>
  </si>
  <si>
    <t>257,9</t>
  </si>
  <si>
    <t>6004,731</t>
  </si>
  <si>
    <t>6057,714</t>
  </si>
  <si>
    <t>311</t>
  </si>
  <si>
    <t>7233,996</t>
  </si>
  <si>
    <t>335,4</t>
  </si>
  <si>
    <t>6476,912</t>
  </si>
  <si>
    <t>6683,564</t>
  </si>
  <si>
    <t>335,6</t>
  </si>
  <si>
    <t>6606,895</t>
  </si>
  <si>
    <t>314,6</t>
  </si>
  <si>
    <t>6166,198</t>
  </si>
  <si>
    <t>317,5</t>
  </si>
  <si>
    <t>7196,161</t>
  </si>
  <si>
    <t>7204,091</t>
  </si>
  <si>
    <t>261,8</t>
  </si>
  <si>
    <t>6834,198</t>
  </si>
  <si>
    <t>6873,6</t>
  </si>
  <si>
    <t>247,9</t>
  </si>
  <si>
    <t>7122,006</t>
  </si>
  <si>
    <t>257,3</t>
  </si>
  <si>
    <t>7034,25</t>
  </si>
  <si>
    <t>262,3</t>
  </si>
  <si>
    <t>7148,949</t>
  </si>
  <si>
    <t>260,5</t>
  </si>
  <si>
    <t>5610,765</t>
  </si>
  <si>
    <t>5390,818</t>
  </si>
  <si>
    <t>6159,806</t>
  </si>
  <si>
    <t>5822,804</t>
  </si>
  <si>
    <t>5897,648</t>
  </si>
  <si>
    <t>294,1</t>
  </si>
  <si>
    <t>5165,863</t>
  </si>
  <si>
    <t>5570,508</t>
  </si>
  <si>
    <t>272,6</t>
  </si>
  <si>
    <t>6822,401</t>
  </si>
  <si>
    <t>239,6</t>
  </si>
  <si>
    <t>6922,62</t>
  </si>
  <si>
    <t>6973,536</t>
  </si>
  <si>
    <t>222,8</t>
  </si>
  <si>
    <t>6946,327</t>
  </si>
  <si>
    <t>227</t>
  </si>
  <si>
    <t>7075,603</t>
  </si>
  <si>
    <t>240,4</t>
  </si>
  <si>
    <t>6797,216</t>
  </si>
  <si>
    <t>239,7</t>
  </si>
  <si>
    <t>6883,441</t>
  </si>
  <si>
    <t>7642,373</t>
  </si>
  <si>
    <t>241,8</t>
  </si>
  <si>
    <t>7642,391</t>
  </si>
  <si>
    <t>7330,305</t>
  </si>
  <si>
    <t>207,3</t>
  </si>
  <si>
    <t>7390,593</t>
  </si>
  <si>
    <t>217,7</t>
  </si>
  <si>
    <t>7840,305</t>
  </si>
  <si>
    <t>236,3</t>
  </si>
  <si>
    <t>7446,634</t>
  </si>
  <si>
    <t>7611,781</t>
  </si>
  <si>
    <t>5298,91</t>
  </si>
  <si>
    <t>236,6</t>
  </si>
  <si>
    <t>5400,797</t>
  </si>
  <si>
    <t>229,9</t>
  </si>
  <si>
    <t>5657,944</t>
  </si>
  <si>
    <t>206</t>
  </si>
  <si>
    <t>5240,788</t>
  </si>
  <si>
    <t>215,2</t>
  </si>
  <si>
    <t>5133,792</t>
  </si>
  <si>
    <t>224,4</t>
  </si>
  <si>
    <t>5289,997</t>
  </si>
  <si>
    <t>5336,261</t>
  </si>
  <si>
    <t>230,7</t>
  </si>
  <si>
    <t>6139,89</t>
  </si>
  <si>
    <t>5975,56</t>
  </si>
  <si>
    <t>5350,757</t>
  </si>
  <si>
    <t>5501,319</t>
  </si>
  <si>
    <t>5423,99</t>
  </si>
  <si>
    <t>173,9</t>
  </si>
  <si>
    <t>5771,213</t>
  </si>
  <si>
    <t>5949,554</t>
  </si>
  <si>
    <t>166,7</t>
  </si>
  <si>
    <t>5852,207</t>
  </si>
  <si>
    <t>5428,185</t>
  </si>
  <si>
    <t>298,2</t>
  </si>
  <si>
    <t>7660,604</t>
  </si>
  <si>
    <t>7941,646</t>
  </si>
  <si>
    <t>350</t>
  </si>
  <si>
    <t>6766,969</t>
  </si>
  <si>
    <t>340</t>
  </si>
  <si>
    <t>6354,632</t>
  </si>
  <si>
    <t>309,3</t>
  </si>
  <si>
    <t>5995,285</t>
  </si>
  <si>
    <t>298,8</t>
  </si>
  <si>
    <t>6485,467</t>
  </si>
  <si>
    <t>6594,652</t>
  </si>
  <si>
    <t>223,9</t>
  </si>
  <si>
    <t>6625,207</t>
  </si>
  <si>
    <t>205,6</t>
  </si>
  <si>
    <t>6479,486</t>
  </si>
  <si>
    <t>212,9</t>
  </si>
  <si>
    <t>6552,416</t>
  </si>
  <si>
    <t>227,8</t>
  </si>
  <si>
    <t>6880,806</t>
  </si>
  <si>
    <t>6550,784</t>
  </si>
  <si>
    <t>215,1</t>
  </si>
  <si>
    <t>7408,462</t>
  </si>
  <si>
    <t>246,6</t>
  </si>
  <si>
    <t>8239,23</t>
  </si>
  <si>
    <t>8358,102</t>
  </si>
  <si>
    <t>8177,582</t>
  </si>
  <si>
    <t>239,5</t>
  </si>
  <si>
    <t>8658,513</t>
  </si>
  <si>
    <t>246,8</t>
  </si>
  <si>
    <t>7711,511</t>
  </si>
  <si>
    <t>241,3</t>
  </si>
  <si>
    <t>7860,49</t>
  </si>
  <si>
    <t>244,5</t>
  </si>
  <si>
    <t>6867,037</t>
  </si>
  <si>
    <t>283,9</t>
  </si>
  <si>
    <t>7773,13</t>
  </si>
  <si>
    <t>259,3</t>
  </si>
  <si>
    <t>8078,988</t>
  </si>
  <si>
    <t>273,5</t>
  </si>
  <si>
    <t>7151,035</t>
  </si>
  <si>
    <t>7957,968</t>
  </si>
  <si>
    <t>7772,889</t>
  </si>
  <si>
    <t>233,4</t>
  </si>
  <si>
    <t>7334,992</t>
  </si>
  <si>
    <t>6202,599</t>
  </si>
  <si>
    <t>324,9</t>
  </si>
  <si>
    <t>6145,259</t>
  </si>
  <si>
    <t>319,6</t>
  </si>
  <si>
    <t>6350,488</t>
  </si>
  <si>
    <t>328,9</t>
  </si>
  <si>
    <t>6370,543</t>
  </si>
  <si>
    <t>300,5</t>
  </si>
  <si>
    <t>5697,169</t>
  </si>
  <si>
    <t>316,4</t>
  </si>
  <si>
    <t>5154,98</t>
  </si>
  <si>
    <t>299,6</t>
  </si>
  <si>
    <t>6127,597</t>
  </si>
  <si>
    <t>320</t>
  </si>
  <si>
    <t>6500,21</t>
  </si>
  <si>
    <t>228,6</t>
  </si>
  <si>
    <t>6165,424</t>
  </si>
  <si>
    <t>224,5</t>
  </si>
  <si>
    <t>6093,704</t>
  </si>
  <si>
    <t>6022,523</t>
  </si>
  <si>
    <t>218,6</t>
  </si>
  <si>
    <t>5986,578</t>
  </si>
  <si>
    <t>210,4</t>
  </si>
  <si>
    <t>5974,184</t>
  </si>
  <si>
    <t>201,9</t>
  </si>
  <si>
    <t>6282,238</t>
  </si>
  <si>
    <t>224,2</t>
  </si>
  <si>
    <t>5813,661</t>
  </si>
  <si>
    <t>221,1</t>
  </si>
  <si>
    <t>4266,492</t>
  </si>
  <si>
    <t>186,5</t>
  </si>
  <si>
    <t>4429,407</t>
  </si>
  <si>
    <t>206,7</t>
  </si>
  <si>
    <t>5168,365</t>
  </si>
  <si>
    <t>218</t>
  </si>
  <si>
    <t>4056,592</t>
  </si>
  <si>
    <t>4042,364</t>
  </si>
  <si>
    <t>213,3</t>
  </si>
  <si>
    <t>5013,168</t>
  </si>
  <si>
    <t>208,2</t>
  </si>
  <si>
    <t>7408,764</t>
  </si>
  <si>
    <t>7336,741</t>
  </si>
  <si>
    <t>220,9</t>
  </si>
  <si>
    <t>7024,06</t>
  </si>
  <si>
    <t>7609,591</t>
  </si>
  <si>
    <t>7966,085</t>
  </si>
  <si>
    <t>7272,895</t>
  </si>
  <si>
    <t>7403,163</t>
  </si>
  <si>
    <t>6534,029</t>
  </si>
  <si>
    <t>278,6</t>
  </si>
  <si>
    <t>6704,191</t>
  </si>
  <si>
    <t>304,6</t>
  </si>
  <si>
    <t>7176,576</t>
  </si>
  <si>
    <t>6800,894</t>
  </si>
  <si>
    <t>6824,062</t>
  </si>
  <si>
    <t>310,9</t>
  </si>
  <si>
    <t>7392,204</t>
  </si>
  <si>
    <t>6694,719</t>
  </si>
  <si>
    <t>293,3</t>
  </si>
  <si>
    <t>7376,782</t>
  </si>
  <si>
    <t>194,7</t>
  </si>
  <si>
    <t>7322,775</t>
  </si>
  <si>
    <t>6863,376</t>
  </si>
  <si>
    <t>195,7</t>
  </si>
  <si>
    <t>7051,467</t>
  </si>
  <si>
    <t>188,5</t>
  </si>
  <si>
    <t>7024,64</t>
  </si>
  <si>
    <t>212,7</t>
  </si>
  <si>
    <t>6790,521</t>
  </si>
  <si>
    <t>205,2</t>
  </si>
  <si>
    <t>7266,119</t>
  </si>
  <si>
    <t>6880,783</t>
  </si>
  <si>
    <t>7016,472</t>
  </si>
  <si>
    <t>229,2</t>
  </si>
  <si>
    <t>6850,547</t>
  </si>
  <si>
    <t>6893,555</t>
  </si>
  <si>
    <t>216,3</t>
  </si>
  <si>
    <t>7104,081</t>
  </si>
  <si>
    <t>6745,468</t>
  </si>
  <si>
    <t>230,2</t>
  </si>
  <si>
    <t>6931,798</t>
  </si>
  <si>
    <t>227,5</t>
  </si>
  <si>
    <t>6401,025</t>
  </si>
  <si>
    <t>310,2</t>
  </si>
  <si>
    <t>6340,532</t>
  </si>
  <si>
    <t>7538,093</t>
  </si>
  <si>
    <t>320,8</t>
  </si>
  <si>
    <t>7075,203</t>
  </si>
  <si>
    <t>320,6</t>
  </si>
  <si>
    <t>7011,826</t>
  </si>
  <si>
    <t>6976,142</t>
  </si>
  <si>
    <t>305,4</t>
  </si>
  <si>
    <t>6529,37</t>
  </si>
  <si>
    <t>7390,444</t>
  </si>
  <si>
    <t>7446,267</t>
  </si>
  <si>
    <t>229</t>
  </si>
  <si>
    <t>7114,776</t>
  </si>
  <si>
    <t>207,5</t>
  </si>
  <si>
    <t>7145,1</t>
  </si>
  <si>
    <t>7400,734</t>
  </si>
  <si>
    <t>228,5</t>
  </si>
  <si>
    <t>7298,468</t>
  </si>
  <si>
    <t>7376,383</t>
  </si>
  <si>
    <t>5993,858</t>
  </si>
  <si>
    <t>5693,632</t>
  </si>
  <si>
    <t>6489,657</t>
  </si>
  <si>
    <t>6344,566</t>
  </si>
  <si>
    <t>6270,542</t>
  </si>
  <si>
    <t>280,7</t>
  </si>
  <si>
    <t>5553,437</t>
  </si>
  <si>
    <t>268,9</t>
  </si>
  <si>
    <t>5933,396</t>
  </si>
  <si>
    <t>7076,041</t>
  </si>
  <si>
    <t>214</t>
  </si>
  <si>
    <t>7145,08</t>
  </si>
  <si>
    <t>206,6</t>
  </si>
  <si>
    <t>7201,27</t>
  </si>
  <si>
    <t>7183,891</t>
  </si>
  <si>
    <t>7290,122</t>
  </si>
  <si>
    <t>208,6</t>
  </si>
  <si>
    <t>7050,506</t>
  </si>
  <si>
    <t>209,1</t>
  </si>
  <si>
    <t>7122,242</t>
  </si>
  <si>
    <t>209</t>
  </si>
  <si>
    <t>7810,711</t>
  </si>
  <si>
    <t>7829,247</t>
  </si>
  <si>
    <t>199,6</t>
  </si>
  <si>
    <t>7505,126</t>
  </si>
  <si>
    <t>173,4</t>
  </si>
  <si>
    <t>7545,451</t>
  </si>
  <si>
    <t>184,6</t>
  </si>
  <si>
    <t>7978,34</t>
  </si>
  <si>
    <t>195,4</t>
  </si>
  <si>
    <t>7676,259</t>
  </si>
  <si>
    <t>7787,142</t>
  </si>
  <si>
    <t>5438,733</t>
  </si>
  <si>
    <t>210,3</t>
  </si>
  <si>
    <t>5508,704</t>
  </si>
  <si>
    <t>201,8</t>
  </si>
  <si>
    <t>5751,771</t>
  </si>
  <si>
    <t>180,1</t>
  </si>
  <si>
    <t>5317,878</t>
  </si>
  <si>
    <t>185</t>
  </si>
  <si>
    <t>5209,641</t>
  </si>
  <si>
    <t>191,7</t>
  </si>
  <si>
    <t>5389,855</t>
  </si>
  <si>
    <t>5453,59</t>
  </si>
  <si>
    <t>203</t>
  </si>
  <si>
    <t>6590,55</t>
  </si>
  <si>
    <t>6269,533</t>
  </si>
  <si>
    <t>5596,436</t>
  </si>
  <si>
    <t>146</t>
  </si>
  <si>
    <t>5783,391</t>
  </si>
  <si>
    <t>135,1</t>
  </si>
  <si>
    <t>5736,078</t>
  </si>
  <si>
    <t>148,8</t>
  </si>
  <si>
    <t>6001,813</t>
  </si>
  <si>
    <t>6308,997</t>
  </si>
  <si>
    <t>144,4</t>
  </si>
  <si>
    <t>6254,078</t>
  </si>
  <si>
    <t>5819,94</t>
  </si>
  <si>
    <t>8257,924</t>
  </si>
  <si>
    <t>8717,175</t>
  </si>
  <si>
    <t>7300,831</t>
  </si>
  <si>
    <t>335,3</t>
  </si>
  <si>
    <t>6761,399</t>
  </si>
  <si>
    <t>286,4</t>
  </si>
  <si>
    <t>6433,362</t>
  </si>
  <si>
    <t>294,6</t>
  </si>
  <si>
    <t>6666,315</t>
  </si>
  <si>
    <t>6762,099</t>
  </si>
  <si>
    <t>193,6</t>
  </si>
  <si>
    <t>6766,785</t>
  </si>
  <si>
    <t>173,8</t>
  </si>
  <si>
    <t>6638,539</t>
  </si>
  <si>
    <t>6779,169</t>
  </si>
  <si>
    <t>196,1</t>
  </si>
  <si>
    <t>7085,719</t>
  </si>
  <si>
    <t>6727,235</t>
  </si>
  <si>
    <t>187,2</t>
  </si>
  <si>
    <t>7651,017</t>
  </si>
  <si>
    <t>231,4</t>
  </si>
  <si>
    <t>8503,791</t>
  </si>
  <si>
    <t>8688,462</t>
  </si>
  <si>
    <t>215,8</t>
  </si>
  <si>
    <t>8439,231</t>
  </si>
  <si>
    <t>8954,072</t>
  </si>
  <si>
    <t>216,1</t>
  </si>
  <si>
    <t>8048,392</t>
  </si>
  <si>
    <t>8122,617</t>
  </si>
  <si>
    <t>7171,504</t>
  </si>
  <si>
    <t>264,1</t>
  </si>
  <si>
    <t>7972,137</t>
  </si>
  <si>
    <t>231,2</t>
  </si>
  <si>
    <t>8264,283</t>
  </si>
  <si>
    <t>240,2</t>
  </si>
  <si>
    <t>7390,383</t>
  </si>
  <si>
    <t>247,1</t>
  </si>
  <si>
    <t>8067,896</t>
  </si>
  <si>
    <t>233,5</t>
  </si>
  <si>
    <t>8091,732</t>
  </si>
  <si>
    <t>216,9</t>
  </si>
  <si>
    <t>7585,411</t>
  </si>
  <si>
    <t>6392,993</t>
  </si>
  <si>
    <t>302,6</t>
  </si>
  <si>
    <t>6328,45</t>
  </si>
  <si>
    <t>290,9</t>
  </si>
  <si>
    <t>6462,148</t>
  </si>
  <si>
    <t>6504,045</t>
  </si>
  <si>
    <t>269,8</t>
  </si>
  <si>
    <t>5876,825</t>
  </si>
  <si>
    <t>5401,927</t>
  </si>
  <si>
    <t>6310,176</t>
  </si>
  <si>
    <t>294,7</t>
  </si>
  <si>
    <t>6617,346</t>
  </si>
  <si>
    <t>6287,213</t>
  </si>
  <si>
    <t>185,8</t>
  </si>
  <si>
    <t>6393,723</t>
  </si>
  <si>
    <t>201,3</t>
  </si>
  <si>
    <t>6175,851</t>
  </si>
  <si>
    <t>6126,228</t>
  </si>
  <si>
    <t>178,2</t>
  </si>
  <si>
    <t>6156,485</t>
  </si>
  <si>
    <t>168,7</t>
  </si>
  <si>
    <t>6416,185</t>
  </si>
  <si>
    <t>187,6</t>
  </si>
  <si>
    <t>6031,759</t>
  </si>
  <si>
    <t>202,5</t>
  </si>
  <si>
    <t>4493,638</t>
  </si>
  <si>
    <t>4561,482</t>
  </si>
  <si>
    <t>197,9</t>
  </si>
  <si>
    <t>5360,543</t>
  </si>
  <si>
    <t>210,2</t>
  </si>
  <si>
    <t>4276,367</t>
  </si>
  <si>
    <t>189,8</t>
  </si>
  <si>
    <t>4267,238</t>
  </si>
  <si>
    <t>5229,269</t>
  </si>
  <si>
    <t>7709,654</t>
  </si>
  <si>
    <t>7607,329</t>
  </si>
  <si>
    <t>194,2</t>
  </si>
  <si>
    <t>7226,107</t>
  </si>
  <si>
    <t>182,2</t>
  </si>
  <si>
    <t>7849,493</t>
  </si>
  <si>
    <t>8137,398</t>
  </si>
  <si>
    <t>197</t>
  </si>
  <si>
    <t>7482,934</t>
  </si>
  <si>
    <t>7673,844</t>
  </si>
  <si>
    <t>196,7</t>
  </si>
  <si>
    <t>6761,137</t>
  </si>
  <si>
    <t>247,8</t>
  </si>
  <si>
    <t>6912,728</t>
  </si>
  <si>
    <t>7350,298</t>
  </si>
  <si>
    <t>250,6</t>
  </si>
  <si>
    <t>7100,28</t>
  </si>
  <si>
    <t>7089,917</t>
  </si>
  <si>
    <t>7584,374</t>
  </si>
  <si>
    <t>309,2</t>
  </si>
  <si>
    <t>6918,474</t>
  </si>
  <si>
    <t>7648,832</t>
  </si>
  <si>
    <t>163,5</t>
  </si>
  <si>
    <t>7489,835</t>
  </si>
  <si>
    <t>171,1</t>
  </si>
  <si>
    <t>7048,409</t>
  </si>
  <si>
    <t>172,1</t>
  </si>
  <si>
    <t>7211,747</t>
  </si>
  <si>
    <t>7136,85</t>
  </si>
  <si>
    <t>179,3</t>
  </si>
  <si>
    <t>7013,525</t>
  </si>
  <si>
    <t>7479,682</t>
  </si>
  <si>
    <t>167,7</t>
  </si>
  <si>
    <t>7117,183</t>
  </si>
  <si>
    <t>202,8</t>
  </si>
  <si>
    <t>7238,578</t>
  </si>
  <si>
    <t>198,5</t>
  </si>
  <si>
    <t>7062,591</t>
  </si>
  <si>
    <t>178,6</t>
  </si>
  <si>
    <t>7102,416</t>
  </si>
  <si>
    <t>185,3</t>
  </si>
  <si>
    <t>7312,511</t>
  </si>
  <si>
    <t>192,8</t>
  </si>
  <si>
    <t>6960,709</t>
  </si>
  <si>
    <t>196,8</t>
  </si>
  <si>
    <t>7157,927</t>
  </si>
  <si>
    <t>198,1</t>
  </si>
  <si>
    <t>6697,077</t>
  </si>
  <si>
    <t>6598,613</t>
  </si>
  <si>
    <t>7858,073</t>
  </si>
  <si>
    <t>301,1</t>
  </si>
  <si>
    <t>7478,835</t>
  </si>
  <si>
    <t>7303,867</t>
  </si>
  <si>
    <t>7376,654</t>
  </si>
  <si>
    <t>292</t>
  </si>
  <si>
    <t>6825,258</t>
  </si>
  <si>
    <t>7630,217</t>
  </si>
  <si>
    <t>7660,058</t>
  </si>
  <si>
    <t>7329,935</t>
  </si>
  <si>
    <t>7341,948</t>
  </si>
  <si>
    <t>7596,279</t>
  </si>
  <si>
    <t>193,3</t>
  </si>
  <si>
    <t>7519,316</t>
  </si>
  <si>
    <t>7600,06</t>
  </si>
  <si>
    <t>6267,725</t>
  </si>
  <si>
    <t>240,6</t>
  </si>
  <si>
    <t>5936,434</t>
  </si>
  <si>
    <t>237,9</t>
  </si>
  <si>
    <t>6760,473</t>
  </si>
  <si>
    <t>6705,392</t>
  </si>
  <si>
    <t>6532,042</t>
  </si>
  <si>
    <t>5887,226</t>
  </si>
  <si>
    <t>251,2</t>
  </si>
  <si>
    <t>6204,713</t>
  </si>
  <si>
    <t>244,3</t>
  </si>
  <si>
    <t>7275,604</t>
  </si>
  <si>
    <t>197,3</t>
  </si>
  <si>
    <t>7328,383</t>
  </si>
  <si>
    <t>190,4</t>
  </si>
  <si>
    <t>7385,795</t>
  </si>
  <si>
    <t>7367,18</t>
  </si>
  <si>
    <t>184,5</t>
  </si>
  <si>
    <t>7453,744</t>
  </si>
  <si>
    <t>193,8</t>
  </si>
  <si>
    <t>7278,506</t>
  </si>
  <si>
    <t>195</t>
  </si>
  <si>
    <t>7313,954</t>
  </si>
  <si>
    <t>7904,044</t>
  </si>
  <si>
    <t>7944,028</t>
  </si>
  <si>
    <t>183,9</t>
  </si>
  <si>
    <t>7589,906</t>
  </si>
  <si>
    <t>7605,808</t>
  </si>
  <si>
    <t>168,3</t>
  </si>
  <si>
    <t>7950,176</t>
  </si>
  <si>
    <t>175,3</t>
  </si>
  <si>
    <t>7804,145</t>
  </si>
  <si>
    <t>193,1</t>
  </si>
  <si>
    <t>7880,586</t>
  </si>
  <si>
    <t>5634,062</t>
  </si>
  <si>
    <t>191,5</t>
  </si>
  <si>
    <t>5653,756</t>
  </si>
  <si>
    <t>5869,72</t>
  </si>
  <si>
    <t>162,3</t>
  </si>
  <si>
    <t>5448,55</t>
  </si>
  <si>
    <t>168,2</t>
  </si>
  <si>
    <t>5334,194</t>
  </si>
  <si>
    <t>172,5</t>
  </si>
  <si>
    <t>5517,747</t>
  </si>
  <si>
    <t>189,4</t>
  </si>
  <si>
    <t>5617,03</t>
  </si>
  <si>
    <t>6884,669</t>
  </si>
  <si>
    <t>6539,5</t>
  </si>
  <si>
    <t>5873,856</t>
  </si>
  <si>
    <t>6012,011</t>
  </si>
  <si>
    <t>5986,669</t>
  </si>
  <si>
    <t>6314,105</t>
  </si>
  <si>
    <t>6588,189</t>
  </si>
  <si>
    <t>130</t>
  </si>
  <si>
    <t>6546,299</t>
  </si>
  <si>
    <t>6154,449</t>
  </si>
  <si>
    <t>8851,091</t>
  </si>
  <si>
    <t>9150,111</t>
  </si>
  <si>
    <t>7787,615</t>
  </si>
  <si>
    <t>334,2</t>
  </si>
  <si>
    <t>7267,962</t>
  </si>
  <si>
    <t>290,1</t>
  </si>
  <si>
    <t>6780,41</t>
  </si>
  <si>
    <t>285,8</t>
  </si>
  <si>
    <t>6840,264</t>
  </si>
  <si>
    <t>160</t>
  </si>
  <si>
    <t>6946,805</t>
  </si>
  <si>
    <t>6924,13</t>
  </si>
  <si>
    <t>6813,868</t>
  </si>
  <si>
    <t>166,2</t>
  </si>
  <si>
    <t>6926,016</t>
  </si>
  <si>
    <t>7265,486</t>
  </si>
  <si>
    <t>6903,035</t>
  </si>
  <si>
    <t>7946,715</t>
  </si>
  <si>
    <t>8776,335</t>
  </si>
  <si>
    <t>8953,872</t>
  </si>
  <si>
    <t>8692,806</t>
  </si>
  <si>
    <t>9219,437</t>
  </si>
  <si>
    <t>8508,812</t>
  </si>
  <si>
    <t>221,4</t>
  </si>
  <si>
    <t>8412,039</t>
  </si>
  <si>
    <t>220,2</t>
  </si>
  <si>
    <t>7275,506</t>
  </si>
  <si>
    <t>8039,489</t>
  </si>
  <si>
    <t>8315,111</t>
  </si>
  <si>
    <t>219,4</t>
  </si>
  <si>
    <t>7529,754</t>
  </si>
  <si>
    <t>8208,561</t>
  </si>
  <si>
    <t>8161,46</t>
  </si>
  <si>
    <t>194,4</t>
  </si>
  <si>
    <t>7677,733</t>
  </si>
  <si>
    <t>226,8</t>
  </si>
  <si>
    <t>6532,747</t>
  </si>
  <si>
    <t>6459,447</t>
  </si>
  <si>
    <t>254,8</t>
  </si>
  <si>
    <t>6562,027</t>
  </si>
  <si>
    <t>6586,026</t>
  </si>
  <si>
    <t>235,4</t>
  </si>
  <si>
    <t>5996,222</t>
  </si>
  <si>
    <t>5541,734</t>
  </si>
  <si>
    <t>6440,16</t>
  </si>
  <si>
    <t>257,6</t>
  </si>
  <si>
    <t>6840,316</t>
  </si>
  <si>
    <t>6415,689</t>
  </si>
  <si>
    <t>170,2</t>
  </si>
  <si>
    <t>6559,948</t>
  </si>
  <si>
    <t>6363,337</t>
  </si>
  <si>
    <t>6345,998</t>
  </si>
  <si>
    <t>162</t>
  </si>
  <si>
    <t>6341,904</t>
  </si>
  <si>
    <t>156,1</t>
  </si>
  <si>
    <t>6599,944</t>
  </si>
  <si>
    <t>6195,564</t>
  </si>
  <si>
    <t>4667,372</t>
  </si>
  <si>
    <t>4625,324</t>
  </si>
  <si>
    <t>5757,442</t>
  </si>
  <si>
    <t>4450,103</t>
  </si>
  <si>
    <t>4436,773</t>
  </si>
  <si>
    <t>5409,782</t>
  </si>
  <si>
    <t>8017,98</t>
  </si>
  <si>
    <t>7910,533</t>
  </si>
  <si>
    <t>181,4</t>
  </si>
  <si>
    <t>7592,351</t>
  </si>
  <si>
    <t>8285,283</t>
  </si>
  <si>
    <t>8475,585</t>
  </si>
  <si>
    <t>7949,866</t>
  </si>
  <si>
    <t>8000,798</t>
  </si>
  <si>
    <t>184,4</t>
  </si>
  <si>
    <t>6982,09</t>
  </si>
  <si>
    <t>7085,397</t>
  </si>
  <si>
    <t>7552,727</t>
  </si>
  <si>
    <t>7247,192</t>
  </si>
  <si>
    <t>7219,641</t>
  </si>
  <si>
    <t>262,6</t>
  </si>
  <si>
    <t>7820,279</t>
  </si>
  <si>
    <t>289,3</t>
  </si>
  <si>
    <t>7112,73</t>
  </si>
  <si>
    <t>247,5</t>
  </si>
  <si>
    <t>7740,47</t>
  </si>
  <si>
    <t>146,8</t>
  </si>
  <si>
    <t>7636,666</t>
  </si>
  <si>
    <t>7161,759</t>
  </si>
  <si>
    <t>7296,628</t>
  </si>
  <si>
    <t>6985,937</t>
  </si>
  <si>
    <t>7179,88</t>
  </si>
  <si>
    <t>7581,591</t>
  </si>
  <si>
    <t>7336,503</t>
  </si>
  <si>
    <t>7440,464</t>
  </si>
  <si>
    <t>7240,335</t>
  </si>
  <si>
    <t>7285,501</t>
  </si>
  <si>
    <t>7511,18</t>
  </si>
  <si>
    <t>7200,335</t>
  </si>
  <si>
    <t>7366,782</t>
  </si>
  <si>
    <t>182</t>
  </si>
  <si>
    <t>6887,139</t>
  </si>
  <si>
    <t>6738,431</t>
  </si>
  <si>
    <t>8119,69</t>
  </si>
  <si>
    <t>7733,154</t>
  </si>
  <si>
    <t>7531,115</t>
  </si>
  <si>
    <t>295</t>
  </si>
  <si>
    <t>7603,454</t>
  </si>
  <si>
    <t>7009,281</t>
  </si>
  <si>
    <t>279,5</t>
  </si>
  <si>
    <t>7794,721</t>
  </si>
  <si>
    <t>181,7</t>
  </si>
  <si>
    <t>7816,319</t>
  </si>
  <si>
    <t>180,3</t>
  </si>
  <si>
    <t>7464,826</t>
  </si>
  <si>
    <t>164,8</t>
  </si>
  <si>
    <t>7486,548</t>
  </si>
  <si>
    <t>7706,544</t>
  </si>
  <si>
    <t>7697,162</t>
  </si>
  <si>
    <t>7756,818</t>
  </si>
  <si>
    <t>179,2</t>
  </si>
  <si>
    <t>6518,424</t>
  </si>
  <si>
    <t>6183,206</t>
  </si>
  <si>
    <t>225,3</t>
  </si>
  <si>
    <t>7115,04</t>
  </si>
  <si>
    <t>7005,809</t>
  </si>
  <si>
    <t>250,8</t>
  </si>
  <si>
    <t>6827,783</t>
  </si>
  <si>
    <t>6239,674</t>
  </si>
  <si>
    <t>6469,062</t>
  </si>
  <si>
    <t>233,1</t>
  </si>
  <si>
    <t>7464,867</t>
  </si>
  <si>
    <t>170,1</t>
  </si>
  <si>
    <t>7497,941</t>
  </si>
  <si>
    <t>7516,995</t>
  </si>
  <si>
    <t>154,2</t>
  </si>
  <si>
    <t>7509,119</t>
  </si>
  <si>
    <t>7613,094</t>
  </si>
  <si>
    <t>7517,895</t>
  </si>
  <si>
    <t>172,2</t>
  </si>
  <si>
    <t>7491,431</t>
  </si>
  <si>
    <t>166</t>
  </si>
  <si>
    <t>7979,619</t>
  </si>
  <si>
    <t>8016,855</t>
  </si>
  <si>
    <t>7602,305</t>
  </si>
  <si>
    <t>128,5</t>
  </si>
  <si>
    <t>7612,23</t>
  </si>
  <si>
    <t>7989,85</t>
  </si>
  <si>
    <t>8014,997</t>
  </si>
  <si>
    <t>165</t>
  </si>
  <si>
    <t>7952,043</t>
  </si>
  <si>
    <t>5858,243</t>
  </si>
  <si>
    <t>171,6</t>
  </si>
  <si>
    <t>5869,187</t>
  </si>
  <si>
    <t>6104,77</t>
  </si>
  <si>
    <t>5677,73</t>
  </si>
  <si>
    <t>151</t>
  </si>
  <si>
    <t>5583,297</t>
  </si>
  <si>
    <t>155,1</t>
  </si>
  <si>
    <t>5766,906</t>
  </si>
  <si>
    <t>5841,497</t>
  </si>
  <si>
    <t>164,4</t>
  </si>
  <si>
    <t>7011,967</t>
  </si>
  <si>
    <t>112,9</t>
  </si>
  <si>
    <t>6666,266</t>
  </si>
  <si>
    <t>6080,241</t>
  </si>
  <si>
    <t>6114,671</t>
  </si>
  <si>
    <t>6022,815</t>
  </si>
  <si>
    <t>6453,318</t>
  </si>
  <si>
    <t>6713,028</t>
  </si>
  <si>
    <t>6841,413</t>
  </si>
  <si>
    <t>6447,508</t>
  </si>
  <si>
    <t>9043,354</t>
  </si>
  <si>
    <t>9365,489</t>
  </si>
  <si>
    <t>8183,03</t>
  </si>
  <si>
    <t>296,8</t>
  </si>
  <si>
    <t>7855,419</t>
  </si>
  <si>
    <t>290,4</t>
  </si>
  <si>
    <t>7083,03</t>
  </si>
  <si>
    <t>6926,558</t>
  </si>
  <si>
    <t>7080,235</t>
  </si>
  <si>
    <t>7068,267</t>
  </si>
  <si>
    <t>132,4</t>
  </si>
  <si>
    <t>6899,538</t>
  </si>
  <si>
    <t>137,7</t>
  </si>
  <si>
    <t>7003,726</t>
  </si>
  <si>
    <t>145,6</t>
  </si>
  <si>
    <t>7341,634</t>
  </si>
  <si>
    <t>7007,157</t>
  </si>
  <si>
    <t>8198,778</t>
  </si>
  <si>
    <t>186,8</t>
  </si>
  <si>
    <t>9026,802</t>
  </si>
  <si>
    <t>184,8</t>
  </si>
  <si>
    <t>9199,816</t>
  </si>
  <si>
    <t>175,2</t>
  </si>
  <si>
    <t>8899,147</t>
  </si>
  <si>
    <t>176,5</t>
  </si>
  <si>
    <t>9437,199</t>
  </si>
  <si>
    <t>177,7</t>
  </si>
  <si>
    <t>8749,045</t>
  </si>
  <si>
    <t>190,2</t>
  </si>
  <si>
    <t>8657,936</t>
  </si>
  <si>
    <t>7599,339</t>
  </si>
  <si>
    <t>8242,214</t>
  </si>
  <si>
    <t>8511,497</t>
  </si>
  <si>
    <t>7732,976</t>
  </si>
  <si>
    <t>8434,526</t>
  </si>
  <si>
    <t>8421,994</t>
  </si>
  <si>
    <t>7939,944</t>
  </si>
  <si>
    <t>6624,503</t>
  </si>
  <si>
    <t>6550,363</t>
  </si>
  <si>
    <t>6674,317</t>
  </si>
  <si>
    <t>217,4</t>
  </si>
  <si>
    <t>6747,912</t>
  </si>
  <si>
    <t>200,7</t>
  </si>
  <si>
    <t>6087,764</t>
  </si>
  <si>
    <t>221,3</t>
  </si>
  <si>
    <t>5673,158</t>
  </si>
  <si>
    <t>6539,238</t>
  </si>
  <si>
    <t>7008,675</t>
  </si>
  <si>
    <t>6612,436</t>
  </si>
  <si>
    <t>6735,159</t>
  </si>
  <si>
    <t>150,8</t>
  </si>
  <si>
    <t>6729,995</t>
  </si>
  <si>
    <t>6612,061</t>
  </si>
  <si>
    <t>6539,317</t>
  </si>
  <si>
    <t>6798,731</t>
  </si>
  <si>
    <t>6456,349</t>
  </si>
  <si>
    <t>175,6</t>
  </si>
  <si>
    <t>4998,866</t>
  </si>
  <si>
    <t>174,5</t>
  </si>
  <si>
    <t>4676,716</t>
  </si>
  <si>
    <t>6051,661</t>
  </si>
  <si>
    <t>4730,58</t>
  </si>
  <si>
    <t>167,5</t>
  </si>
  <si>
    <t>4644,878</t>
  </si>
  <si>
    <t>226,4</t>
  </si>
  <si>
    <t>5686,295</t>
  </si>
  <si>
    <t>8276,542</t>
  </si>
  <si>
    <t>8205,688</t>
  </si>
  <si>
    <t>160,3</t>
  </si>
  <si>
    <t>7933,293</t>
  </si>
  <si>
    <t>153,4</t>
  </si>
  <si>
    <t>8684,502</t>
  </si>
  <si>
    <t>166,5</t>
  </si>
  <si>
    <t>8755,66</t>
  </si>
  <si>
    <t>8279,212</t>
  </si>
  <si>
    <t>8290,103</t>
  </si>
  <si>
    <t>7161,6</t>
  </si>
  <si>
    <t>7238,352</t>
  </si>
  <si>
    <t>7672,869</t>
  </si>
  <si>
    <t>7408,27</t>
  </si>
  <si>
    <t>216,4</t>
  </si>
  <si>
    <t>7383,79</t>
  </si>
  <si>
    <t>232,3</t>
  </si>
  <si>
    <t>7930,186</t>
  </si>
  <si>
    <t>7275,147</t>
  </si>
  <si>
    <t>218,7</t>
  </si>
  <si>
    <t>7646,238</t>
  </si>
  <si>
    <t>7557,055</t>
  </si>
  <si>
    <t>123,5</t>
  </si>
  <si>
    <t>7052,652</t>
  </si>
  <si>
    <t>7013,746</t>
  </si>
  <si>
    <t>-3,9</t>
  </si>
  <si>
    <t>6882,189</t>
  </si>
  <si>
    <t>7361,883</t>
  </si>
  <si>
    <t>136,2</t>
  </si>
  <si>
    <t>7490,461</t>
  </si>
  <si>
    <t>7543,859</t>
  </si>
  <si>
    <t>7635,622</t>
  </si>
  <si>
    <t>155,5</t>
  </si>
  <si>
    <t>7407,257</t>
  </si>
  <si>
    <t>7488,397</t>
  </si>
  <si>
    <t>7682,854</t>
  </si>
  <si>
    <t>153</t>
  </si>
  <si>
    <t>7425,137</t>
  </si>
  <si>
    <t>159,4</t>
  </si>
  <si>
    <t>7566,778</t>
  </si>
  <si>
    <t>7150,865</t>
  </si>
  <si>
    <t>6971,475</t>
  </si>
  <si>
    <t>8279,169</t>
  </si>
  <si>
    <t>262,7</t>
  </si>
  <si>
    <t>7942,767</t>
  </si>
  <si>
    <t>7798,901</t>
  </si>
  <si>
    <t>7927,556</t>
  </si>
  <si>
    <t>7257,665</t>
  </si>
  <si>
    <t>257,1</t>
  </si>
  <si>
    <t>7923,681</t>
  </si>
  <si>
    <t>7939,801</t>
  </si>
  <si>
    <t>150,3</t>
  </si>
  <si>
    <t>7571,014</t>
  </si>
  <si>
    <t>136,5</t>
  </si>
  <si>
    <t>7575,658</t>
  </si>
  <si>
    <t>7795,858</t>
  </si>
  <si>
    <t>147,6</t>
  </si>
  <si>
    <t>7879,296</t>
  </si>
  <si>
    <t>155,3</t>
  </si>
  <si>
    <t>7880,48</t>
  </si>
  <si>
    <t>6795,644</t>
  </si>
  <si>
    <t>211,2</t>
  </si>
  <si>
    <t>6460,904</t>
  </si>
  <si>
    <t>7331,929</t>
  </si>
  <si>
    <t>7307,681</t>
  </si>
  <si>
    <t>234,8</t>
  </si>
  <si>
    <t>7160,552</t>
  </si>
  <si>
    <t>233,8</t>
  </si>
  <si>
    <t>6621,136</t>
  </si>
  <si>
    <t>6752,971</t>
  </si>
  <si>
    <t>215,5</t>
  </si>
  <si>
    <t>7678,7745</t>
  </si>
  <si>
    <t>7687,276</t>
  </si>
  <si>
    <t>7737,2547</t>
  </si>
  <si>
    <t>7713,1412</t>
  </si>
  <si>
    <t>7788,672</t>
  </si>
  <si>
    <t>7717,0881</t>
  </si>
  <si>
    <t>7694,0075</t>
  </si>
  <si>
    <t>8155,8025</t>
  </si>
  <si>
    <t>8191,2125</t>
  </si>
  <si>
    <t>7793,4165</t>
  </si>
  <si>
    <t>7797,5669</t>
  </si>
  <si>
    <t>8163,1385</t>
  </si>
  <si>
    <t>8169,6235</t>
  </si>
  <si>
    <t>8127,7647</t>
  </si>
  <si>
    <t>94,7</t>
  </si>
  <si>
    <t>6021,789</t>
  </si>
  <si>
    <t>6005,2424</t>
  </si>
  <si>
    <t>6271,1021</t>
  </si>
  <si>
    <t>5770,3107</t>
  </si>
  <si>
    <t>5710,2157</t>
  </si>
  <si>
    <t>5901,7991</t>
  </si>
  <si>
    <t>5987,6081</t>
  </si>
  <si>
    <t>7109,0513</t>
  </si>
  <si>
    <t>6759,2601</t>
  </si>
  <si>
    <t>85,9</t>
  </si>
  <si>
    <t>6186,0363</t>
  </si>
  <si>
    <t>6268,3189</t>
  </si>
  <si>
    <t>6132,5996</t>
  </si>
  <si>
    <t>6626,4893</t>
  </si>
  <si>
    <t>6817,1412</t>
  </si>
  <si>
    <t>7218,6886</t>
  </si>
  <si>
    <t>6832,4048</t>
  </si>
  <si>
    <t>9274,413</t>
  </si>
  <si>
    <t>9845,9635</t>
  </si>
  <si>
    <t>305,5</t>
  </si>
  <si>
    <t>8422,3071</t>
  </si>
  <si>
    <t>269,6</t>
  </si>
  <si>
    <t>8247,512</t>
  </si>
  <si>
    <t>7457,2259</t>
  </si>
  <si>
    <t>6960,5953</t>
  </si>
  <si>
    <t>7175,2317</t>
  </si>
  <si>
    <t>7159,424</t>
  </si>
  <si>
    <t>6962,7347</t>
  </si>
  <si>
    <t>7073,659</t>
  </si>
  <si>
    <t>7481,5726</t>
  </si>
  <si>
    <t>7073,5091</t>
  </si>
  <si>
    <t>8401,7447</t>
  </si>
  <si>
    <t>9205,763</t>
  </si>
  <si>
    <t>9348,7551</t>
  </si>
  <si>
    <t>112,2</t>
  </si>
  <si>
    <t>9053,0332</t>
  </si>
  <si>
    <t>9576,0316</t>
  </si>
  <si>
    <t>8870,8421</t>
  </si>
  <si>
    <t>122,8</t>
  </si>
  <si>
    <t>8840,1889</t>
  </si>
  <si>
    <t>7731,2981</t>
  </si>
  <si>
    <t>158,3</t>
  </si>
  <si>
    <t>8428,0935</t>
  </si>
  <si>
    <t>9129,2301</t>
  </si>
  <si>
    <t>7914,3028</t>
  </si>
  <si>
    <t>8608,9143</t>
  </si>
  <si>
    <t>8593,328</t>
  </si>
  <si>
    <t>8118,1059</t>
  </si>
  <si>
    <t>6957,1093</t>
  </si>
  <si>
    <t>6879,274</t>
  </si>
  <si>
    <t>7019,925</t>
  </si>
  <si>
    <t>7139,4844</t>
  </si>
  <si>
    <t>6342,6788</t>
  </si>
  <si>
    <t>191,2</t>
  </si>
  <si>
    <t>5958,1181</t>
  </si>
  <si>
    <t>6869,1427</t>
  </si>
  <si>
    <t>7314,9805</t>
  </si>
  <si>
    <t>6670,6466</t>
  </si>
  <si>
    <t>6935,8843</t>
  </si>
  <si>
    <t>6903,7032</t>
  </si>
  <si>
    <t>114,7</t>
  </si>
  <si>
    <t>6719,5371</t>
  </si>
  <si>
    <t>6689,8178</t>
  </si>
  <si>
    <t>6988,4998</t>
  </si>
  <si>
    <t>6602,9556</t>
  </si>
  <si>
    <t>5117,236</t>
  </si>
  <si>
    <t>4724,8948</t>
  </si>
  <si>
    <t>6238,1699</t>
  </si>
  <si>
    <t>4767,2714</t>
  </si>
  <si>
    <t>155,7</t>
  </si>
  <si>
    <t>4711,081</t>
  </si>
  <si>
    <t>5812,5191</t>
  </si>
  <si>
    <t>8668,9585</t>
  </si>
  <si>
    <t>8568,0465</t>
  </si>
  <si>
    <t>8205,4949</t>
  </si>
  <si>
    <t>9008,2551</t>
  </si>
  <si>
    <t>9251,4745</t>
  </si>
  <si>
    <t>8737,564</t>
  </si>
  <si>
    <t>8670,0443</t>
  </si>
  <si>
    <t>7304,9328</t>
  </si>
  <si>
    <t>7411,4483</t>
  </si>
  <si>
    <t>147,7</t>
  </si>
  <si>
    <t>7821,7669</t>
  </si>
  <si>
    <t>7561,6021</t>
  </si>
  <si>
    <t>7489,515</t>
  </si>
  <si>
    <t>8146,228</t>
  </si>
  <si>
    <t>181,5</t>
  </si>
  <si>
    <t>7430,8945</t>
  </si>
  <si>
    <t>7560,2289</t>
  </si>
  <si>
    <t>85,2</t>
  </si>
  <si>
    <t>7447,2066</t>
  </si>
  <si>
    <t>6999,0701</t>
  </si>
  <si>
    <t>6912,3349</t>
  </si>
  <si>
    <t>6613,2726</t>
  </si>
  <si>
    <t>7231,6258</t>
  </si>
  <si>
    <t>7385,2224</t>
  </si>
  <si>
    <t>7806,1018</t>
  </si>
  <si>
    <t>7860,3392</t>
  </si>
  <si>
    <t>7608,2974</t>
  </si>
  <si>
    <t>7718,4291</t>
  </si>
  <si>
    <t>7934,7347</t>
  </si>
  <si>
    <t>7643,2277</t>
  </si>
  <si>
    <t>7808,7094</t>
  </si>
  <si>
    <t>7357,6883</t>
  </si>
  <si>
    <t>219,8</t>
  </si>
  <si>
    <t>7220,5186</t>
  </si>
  <si>
    <t>8768,8395</t>
  </si>
  <si>
    <t>8264,2822</t>
  </si>
  <si>
    <t>7977,3857</t>
  </si>
  <si>
    <t>199,5</t>
  </si>
  <si>
    <t>8266,37</t>
  </si>
  <si>
    <t>7502,5373</t>
  </si>
  <si>
    <t>8070,0069</t>
  </si>
  <si>
    <t>8093,2609</t>
  </si>
  <si>
    <t>7745,9512</t>
  </si>
  <si>
    <t>7743,7132</t>
  </si>
  <si>
    <t>7935,3158</t>
  </si>
  <si>
    <t>8030,0583</t>
  </si>
  <si>
    <t>8031,8883</t>
  </si>
  <si>
    <t>7108,1262</t>
  </si>
  <si>
    <t>6734,437</t>
  </si>
  <si>
    <t>183,4</t>
  </si>
  <si>
    <t>7707,4614</t>
  </si>
  <si>
    <t>7620,588</t>
  </si>
  <si>
    <t>207,6</t>
  </si>
  <si>
    <t>7425,5657</t>
  </si>
  <si>
    <t>204,7</t>
  </si>
  <si>
    <t>6940,5008</t>
  </si>
  <si>
    <t>216,7</t>
  </si>
  <si>
    <t>7053,1491</t>
  </si>
  <si>
    <t>7834,1477</t>
  </si>
  <si>
    <t>7867,7709</t>
  </si>
  <si>
    <t>7929,1117</t>
  </si>
  <si>
    <t>7912,5281</t>
  </si>
  <si>
    <t>7941,8472</t>
  </si>
  <si>
    <t>7910,4797</t>
  </si>
  <si>
    <t>7864,1257</t>
  </si>
  <si>
    <t>8310,2299</t>
  </si>
  <si>
    <t>8340,1716</t>
  </si>
  <si>
    <t>7936,7151</t>
  </si>
  <si>
    <t>7956,7415</t>
  </si>
  <si>
    <t>8252,889</t>
  </si>
  <si>
    <t>8351,5912</t>
  </si>
  <si>
    <t>8278,1147</t>
  </si>
  <si>
    <t>6175,0017</t>
  </si>
  <si>
    <t>6147,0526</t>
  </si>
  <si>
    <t>6437,9833</t>
  </si>
  <si>
    <t>5884,6813</t>
  </si>
  <si>
    <t>5832,627</t>
  </si>
  <si>
    <t>6044,3777</t>
  </si>
  <si>
    <t>93,8</t>
  </si>
  <si>
    <t>6132,7085</t>
  </si>
  <si>
    <t>6942,0426</t>
  </si>
  <si>
    <t>6812,53</t>
  </si>
  <si>
    <t>6251,6767</t>
  </si>
  <si>
    <t>6303,4461</t>
  </si>
  <si>
    <t>6191,5681</t>
  </si>
  <si>
    <t>6705,7106</t>
  </si>
  <si>
    <t>6772,1731</t>
  </si>
  <si>
    <t>7377,9452</t>
  </si>
  <si>
    <t>214,8</t>
  </si>
  <si>
    <t>7269,1577</t>
  </si>
  <si>
    <t>9747,8108</t>
  </si>
  <si>
    <t>10391,1447</t>
  </si>
  <si>
    <t>251,6</t>
  </si>
  <si>
    <t>8680,1099</t>
  </si>
  <si>
    <t>8575,1405</t>
  </si>
  <si>
    <t>223,7</t>
  </si>
  <si>
    <t>7757,8158</t>
  </si>
  <si>
    <t>7070,7555</t>
  </si>
  <si>
    <t>7283,3157</t>
  </si>
  <si>
    <t>7263,1431</t>
  </si>
  <si>
    <t>7088,7055</t>
  </si>
  <si>
    <t>7246,2294</t>
  </si>
  <si>
    <t>7609,6897</t>
  </si>
  <si>
    <t>7187,8539</t>
  </si>
  <si>
    <t>8617,1058</t>
  </si>
  <si>
    <t>9399,42</t>
  </si>
  <si>
    <t>9523,0729</t>
  </si>
  <si>
    <t>9316,7665</t>
  </si>
  <si>
    <t>9750,4374</t>
  </si>
  <si>
    <t>9149,1621</t>
  </si>
  <si>
    <t>9050,371</t>
  </si>
  <si>
    <t>7794,959</t>
  </si>
  <si>
    <t>8528,2455</t>
  </si>
  <si>
    <t>9470,4325</t>
  </si>
  <si>
    <t>8083,1173</t>
  </si>
  <si>
    <t>8679,5044</t>
  </si>
  <si>
    <t>8762,2877</t>
  </si>
  <si>
    <t>8217,8419</t>
  </si>
  <si>
    <t>7139,335</t>
  </si>
  <si>
    <t>7022,0704</t>
  </si>
  <si>
    <t>7143,6069</t>
  </si>
  <si>
    <t>7305,4585</t>
  </si>
  <si>
    <t>6503,5531</t>
  </si>
  <si>
    <t>6077,9402</t>
  </si>
  <si>
    <t>7030,3817</t>
  </si>
  <si>
    <t>7515,8357</t>
  </si>
  <si>
    <t>6803,4807</t>
  </si>
  <si>
    <t>7059,4594</t>
  </si>
  <si>
    <t>7050,2712</t>
  </si>
  <si>
    <t>6974,4682</t>
  </si>
  <si>
    <t>6866,8623</t>
  </si>
  <si>
    <t>7160,6092</t>
  </si>
  <si>
    <t>6626,9195</t>
  </si>
  <si>
    <t>5138,4841</t>
  </si>
  <si>
    <t>4920,4267</t>
  </si>
  <si>
    <t>6294,4453</t>
  </si>
  <si>
    <t>200,5</t>
  </si>
  <si>
    <t>4781,6229</t>
  </si>
  <si>
    <t>156,4</t>
  </si>
  <si>
    <t>4728,4796</t>
  </si>
  <si>
    <t>5844,2136</t>
  </si>
  <si>
    <t>168,6</t>
  </si>
  <si>
    <t>9121,8225</t>
  </si>
  <si>
    <t>99,3</t>
  </si>
  <si>
    <t>9022,2063</t>
  </si>
  <si>
    <t>8645,5727</t>
  </si>
  <si>
    <t>83,8</t>
  </si>
  <si>
    <t>9513,8892</t>
  </si>
  <si>
    <t>9746,8873</t>
  </si>
  <si>
    <t>9282,5538</t>
  </si>
  <si>
    <t>119,8</t>
  </si>
  <si>
    <t>9132,8654</t>
  </si>
  <si>
    <t>7544,2859</t>
  </si>
  <si>
    <t>7547,9176</t>
  </si>
  <si>
    <t>7925,4838</t>
  </si>
  <si>
    <t>7707,2013</t>
  </si>
  <si>
    <t>7653,7757</t>
  </si>
  <si>
    <t>8302,7172</t>
  </si>
  <si>
    <t>7614,4036</t>
  </si>
  <si>
    <t>7594,8511</t>
  </si>
  <si>
    <t>7503,9557</t>
  </si>
  <si>
    <t>6884,7796</t>
  </si>
  <si>
    <t>6892,5915</t>
  </si>
  <si>
    <t>6618,7557</t>
  </si>
  <si>
    <t>7188,6453</t>
  </si>
  <si>
    <t>7411,5104</t>
  </si>
  <si>
    <t>7982,0485</t>
  </si>
  <si>
    <t>8047,6306</t>
  </si>
  <si>
    <t>7815,1526</t>
  </si>
  <si>
    <t>7934,716</t>
  </si>
  <si>
    <t>8120,7181</t>
  </si>
  <si>
    <t>7879,1753</t>
  </si>
  <si>
    <t>7995,938</t>
  </si>
  <si>
    <t>7506,9362</t>
  </si>
  <si>
    <t>161,8</t>
  </si>
  <si>
    <t>7453,5936</t>
  </si>
  <si>
    <t>9117,4846</t>
  </si>
  <si>
    <t>150,6</t>
  </si>
  <si>
    <t>8554,7696</t>
  </si>
  <si>
    <t>161,7</t>
  </si>
  <si>
    <t>8107,3033</t>
  </si>
  <si>
    <t>8461,9914</t>
  </si>
  <si>
    <t>7698,607</t>
  </si>
  <si>
    <t>8178,6798</t>
  </si>
  <si>
    <t>8224,1898</t>
  </si>
  <si>
    <t>7888,0152</t>
  </si>
  <si>
    <t>7905,8506</t>
  </si>
  <si>
    <t>8049,3607</t>
  </si>
  <si>
    <t>8163,3432</t>
  </si>
  <si>
    <t>8154,7531</t>
  </si>
  <si>
    <t>7331,6161</t>
  </si>
  <si>
    <t>7031,2623</t>
  </si>
  <si>
    <t>145,7</t>
  </si>
  <si>
    <t>8069,9046</t>
  </si>
  <si>
    <t>7932,7435</t>
  </si>
  <si>
    <t>7675,6322</t>
  </si>
  <si>
    <t>7283,0378</t>
  </si>
  <si>
    <t>7320,2711</t>
  </si>
  <si>
    <t>8009,2272</t>
  </si>
  <si>
    <t>8064,853</t>
  </si>
  <si>
    <t>8080,656</t>
  </si>
  <si>
    <t>8116,2881</t>
  </si>
  <si>
    <t>8154,0078</t>
  </si>
  <si>
    <t>8164,2681</t>
  </si>
  <si>
    <t>8052,9927</t>
  </si>
  <si>
    <t>8572,467</t>
  </si>
  <si>
    <t>8598,0811</t>
  </si>
  <si>
    <t>8150,2254</t>
  </si>
  <si>
    <t>8243,3025</t>
  </si>
  <si>
    <t>8583,953</t>
  </si>
  <si>
    <t>8718,4104</t>
  </si>
  <si>
    <t>8546,6547</t>
  </si>
  <si>
    <t>6229,3108</t>
  </si>
  <si>
    <t>6257,0897</t>
  </si>
  <si>
    <t>6479,119</t>
  </si>
  <si>
    <t>5980,5523</t>
  </si>
  <si>
    <t>5915,628</t>
  </si>
  <si>
    <t>6165,9158</t>
  </si>
  <si>
    <t>6212,9468</t>
  </si>
  <si>
    <t>6979,683</t>
  </si>
  <si>
    <t>6845,6789</t>
  </si>
  <si>
    <t>6237,2078</t>
  </si>
  <si>
    <t>6345,9669</t>
  </si>
  <si>
    <t>6141,6461</t>
  </si>
  <si>
    <t>6720,2746</t>
  </si>
  <si>
    <t>6800,5997</t>
  </si>
  <si>
    <t>7610,2254</t>
  </si>
  <si>
    <t>164,1</t>
  </si>
  <si>
    <t>7573,7844</t>
  </si>
  <si>
    <t>186,3</t>
  </si>
  <si>
    <t>10009,8376</t>
  </si>
  <si>
    <t>166,4</t>
  </si>
  <si>
    <t>10671,8094</t>
  </si>
  <si>
    <t>9187,3829</t>
  </si>
  <si>
    <t>9196,1057</t>
  </si>
  <si>
    <t>8048,663</t>
  </si>
  <si>
    <t>7158,8752</t>
  </si>
  <si>
    <t>7326,7267</t>
  </si>
  <si>
    <t>7340,6479</t>
  </si>
  <si>
    <t>7162,3867</t>
  </si>
  <si>
    <t>7329,6723</t>
  </si>
  <si>
    <t>7733,8061</t>
  </si>
  <si>
    <t>7260,6442</t>
  </si>
  <si>
    <t>8781,557</t>
  </si>
  <si>
    <t>9611,2821</t>
  </si>
  <si>
    <t>9720,6983</t>
  </si>
  <si>
    <t>9487,4086</t>
  </si>
  <si>
    <t>9956,2668</t>
  </si>
  <si>
    <t>9346,426</t>
  </si>
  <si>
    <t>9236,2844</t>
  </si>
  <si>
    <t>7917,3984</t>
  </si>
  <si>
    <t>8691,8949</t>
  </si>
  <si>
    <t>9630,6205</t>
  </si>
  <si>
    <t>8284,8901</t>
  </si>
  <si>
    <t>8798,1956</t>
  </si>
  <si>
    <t>8864,6392</t>
  </si>
  <si>
    <t>8359,8681</t>
  </si>
  <si>
    <t>7316,7367</t>
  </si>
  <si>
    <t>7156,4114</t>
  </si>
  <si>
    <t>7304,4102</t>
  </si>
  <si>
    <t>7478,5532</t>
  </si>
  <si>
    <t>6656,1056</t>
  </si>
  <si>
    <t>6256,837</t>
  </si>
  <si>
    <t>7191,0294</t>
  </si>
  <si>
    <t>7717,3701</t>
  </si>
  <si>
    <t>7093,415</t>
  </si>
  <si>
    <t>7176,9593</t>
  </si>
  <si>
    <t>7137,0022</t>
  </si>
  <si>
    <t>7068,3821</t>
  </si>
  <si>
    <t>6976,0315</t>
  </si>
  <si>
    <t>7370,3538</t>
  </si>
  <si>
    <t>6733,194</t>
  </si>
  <si>
    <t>5231,2137</t>
  </si>
  <si>
    <t>5475,2246</t>
  </si>
  <si>
    <t>154,3</t>
  </si>
  <si>
    <t>6443,7442</t>
  </si>
  <si>
    <t>4832,4704</t>
  </si>
  <si>
    <t>5157,8097</t>
  </si>
  <si>
    <t>5980,8655</t>
  </si>
  <si>
    <t>9292,2507</t>
  </si>
  <si>
    <t>9244,3853</t>
  </si>
  <si>
    <t>8591,6648</t>
  </si>
  <si>
    <t>9823,1358</t>
  </si>
  <si>
    <t>10056,8385</t>
  </si>
  <si>
    <t>9702,8838</t>
  </si>
  <si>
    <t>9339,177</t>
  </si>
  <si>
    <t>7782,0959</t>
  </si>
  <si>
    <t>7751,9741</t>
  </si>
  <si>
    <t>8123,0214</t>
  </si>
  <si>
    <t>7907,8624</t>
  </si>
  <si>
    <t>7884,063</t>
  </si>
  <si>
    <t>8572,3672</t>
  </si>
  <si>
    <t>7837,1446</t>
  </si>
  <si>
    <t>7516,7019</t>
  </si>
  <si>
    <t>7464,522</t>
  </si>
  <si>
    <t>6819,9367</t>
  </si>
  <si>
    <t>6900,9466</t>
  </si>
  <si>
    <t>6456,2127</t>
  </si>
  <si>
    <t>-2,5</t>
  </si>
  <si>
    <t>7151,4571</t>
  </si>
  <si>
    <t>7350,8325</t>
  </si>
  <si>
    <t>8201,6452</t>
  </si>
  <si>
    <t>8295,8935</t>
  </si>
  <si>
    <t>7988,4577</t>
  </si>
  <si>
    <t>8168,484</t>
  </si>
  <si>
    <t>8391,5004</t>
  </si>
  <si>
    <t>8157,7368</t>
  </si>
  <si>
    <t>8229,4476</t>
  </si>
  <si>
    <t>7665,1338</t>
  </si>
  <si>
    <t>7615,3092</t>
  </si>
  <si>
    <t>9335,6779</t>
  </si>
  <si>
    <t>8782,045</t>
  </si>
  <si>
    <t>124,3</t>
  </si>
  <si>
    <t>8340,44</t>
  </si>
  <si>
    <t>8811,7972</t>
  </si>
  <si>
    <t>7877,3099</t>
  </si>
  <si>
    <t>8347,6102</t>
  </si>
  <si>
    <t>8391,8338</t>
  </si>
  <si>
    <t>8045,4933</t>
  </si>
  <si>
    <t>8106,2073</t>
  </si>
  <si>
    <t>8233,4056</t>
  </si>
  <si>
    <t>8366,3532</t>
  </si>
  <si>
    <t>8327,207</t>
  </si>
  <si>
    <t>7515,6646</t>
  </si>
  <si>
    <t>7297,4351</t>
  </si>
  <si>
    <t>8201,1204</t>
  </si>
  <si>
    <t>8146,8067</t>
  </si>
  <si>
    <t>7957,4101</t>
  </si>
  <si>
    <t>7662,8253</t>
  </si>
  <si>
    <t>159,1</t>
  </si>
  <si>
    <t>7545,3964</t>
  </si>
  <si>
    <t>8317,925</t>
  </si>
  <si>
    <t>8356,1088</t>
  </si>
  <si>
    <t>8333,4503</t>
  </si>
  <si>
    <t>8467,6619</t>
  </si>
  <si>
    <t>8441,2462</t>
  </si>
  <si>
    <t>8434,2328</t>
  </si>
  <si>
    <t>8353,3158</t>
  </si>
  <si>
    <t>9112,2795</t>
  </si>
  <si>
    <t>9097,3725</t>
  </si>
  <si>
    <t>8613,1001</t>
  </si>
  <si>
    <t>8745,6667</t>
  </si>
  <si>
    <t>9079,203</t>
  </si>
  <si>
    <t>8980,0007</t>
  </si>
  <si>
    <t>9051,2822</t>
  </si>
  <si>
    <t>6292,5738</t>
  </si>
  <si>
    <t>6300,4062</t>
  </si>
  <si>
    <t>6462,5579</t>
  </si>
  <si>
    <t>6007,7509</t>
  </si>
  <si>
    <t>5959,114</t>
  </si>
  <si>
    <t>6224,6005</t>
  </si>
  <si>
    <t>6262,1312</t>
  </si>
  <si>
    <t>7368,1022</t>
  </si>
  <si>
    <t>7123,6942</t>
  </si>
  <si>
    <t>6296,2115</t>
  </si>
  <si>
    <t>6535,833</t>
  </si>
  <si>
    <t>6442,2937</t>
  </si>
  <si>
    <t>6985,3907</t>
  </si>
  <si>
    <t>7112,5925</t>
  </si>
  <si>
    <t>7841,6485</t>
  </si>
  <si>
    <t>7768,9607</t>
  </si>
  <si>
    <t>10195,8821</t>
  </si>
  <si>
    <t>10929,7828</t>
  </si>
  <si>
    <t>9472,1584</t>
  </si>
  <si>
    <t>9627,7031</t>
  </si>
  <si>
    <t>187</t>
  </si>
  <si>
    <t>8279,5282</t>
  </si>
  <si>
    <t>7255,9002</t>
  </si>
  <si>
    <t>7452,8348</t>
  </si>
  <si>
    <t>7379,5921</t>
  </si>
  <si>
    <t>7280,7485</t>
  </si>
  <si>
    <t>7419,7737</t>
  </si>
  <si>
    <t>7878,1655</t>
  </si>
  <si>
    <t>7368,221</t>
  </si>
  <si>
    <t>8949,6747</t>
  </si>
  <si>
    <t>9759,2964</t>
  </si>
  <si>
    <t>9927,2012</t>
  </si>
  <si>
    <t>9715,6166</t>
  </si>
  <si>
    <t>10108,9713</t>
  </si>
  <si>
    <t>9600,1657</t>
  </si>
  <si>
    <t>9406,4734</t>
  </si>
  <si>
    <t>8049,5986</t>
  </si>
  <si>
    <t>8868,0191</t>
  </si>
  <si>
    <t>9681,8138</t>
  </si>
  <si>
    <t>8444,4815</t>
  </si>
  <si>
    <t>8889,3395</t>
  </si>
  <si>
    <t>8989,7335</t>
  </si>
  <si>
    <t>8502,5399</t>
  </si>
  <si>
    <t>7540,6162</t>
  </si>
  <si>
    <t>7307,2822</t>
  </si>
  <si>
    <t>7441,317</t>
  </si>
  <si>
    <t>7588,3224</t>
  </si>
  <si>
    <t>6770,8255</t>
  </si>
  <si>
    <t>6440,3945</t>
  </si>
  <si>
    <t>7371,0947</t>
  </si>
  <si>
    <t>7695,7515</t>
  </si>
  <si>
    <t>7104,5997</t>
  </si>
  <si>
    <t>7252,4481</t>
  </si>
  <si>
    <t>7198,2692</t>
  </si>
  <si>
    <t>7142,4222</t>
  </si>
  <si>
    <t>7104,7089</t>
  </si>
  <si>
    <t>7382,2025</t>
  </si>
  <si>
    <t>7808,1908</t>
  </si>
  <si>
    <t>6622,3192</t>
  </si>
  <si>
    <t>107,2</t>
  </si>
  <si>
    <t>6816,0996</t>
  </si>
  <si>
    <t>8495,5202</t>
  </si>
  <si>
    <t>6051,3336</t>
  </si>
  <si>
    <t>6738,4243</t>
  </si>
  <si>
    <t>7275,3457</t>
  </si>
  <si>
    <t>9641,3091</t>
  </si>
  <si>
    <t>9596,1911</t>
  </si>
  <si>
    <t>8886,7099</t>
  </si>
  <si>
    <t>10397,4303</t>
  </si>
  <si>
    <t>10276,7501</t>
  </si>
  <si>
    <t>10199,7997</t>
  </si>
  <si>
    <t>9702,5819</t>
  </si>
  <si>
    <t>8113,781</t>
  </si>
  <si>
    <t>7924,6193</t>
  </si>
  <si>
    <t>8360,3066</t>
  </si>
  <si>
    <t>8068,2616</t>
  </si>
  <si>
    <t>8083,4568</t>
  </si>
  <si>
    <t>8758,7323</t>
  </si>
  <si>
    <t>8084,5484</t>
  </si>
  <si>
    <t>8249,0773</t>
  </si>
  <si>
    <t>8016,7166</t>
  </si>
  <si>
    <t>7228,5174</t>
  </si>
  <si>
    <t>7466,8754</t>
  </si>
  <si>
    <t>7172,3461</t>
  </si>
  <si>
    <t>7393,4544</t>
  </si>
  <si>
    <t>7971,2748</t>
  </si>
  <si>
    <t>8462,357</t>
  </si>
  <si>
    <t>8559,9624</t>
  </si>
  <si>
    <t>8231,1487</t>
  </si>
  <si>
    <t>8484,7245</t>
  </si>
  <si>
    <t>8629,1769</t>
  </si>
  <si>
    <t>8398,7002</t>
  </si>
  <si>
    <t>8492,1966</t>
  </si>
  <si>
    <t>7924,1512</t>
  </si>
  <si>
    <t>7841,4239</t>
  </si>
  <si>
    <t>9518,4699</t>
  </si>
  <si>
    <t>9116,0396</t>
  </si>
  <si>
    <t>8546,6806</t>
  </si>
  <si>
    <t>9196,9925</t>
  </si>
  <si>
    <t>8129,994</t>
  </si>
  <si>
    <t>8662,2074</t>
  </si>
  <si>
    <t>8692,366</t>
  </si>
  <si>
    <t>8303,9723</t>
  </si>
  <si>
    <t>8436,337</t>
  </si>
  <si>
    <t>8516,4037</t>
  </si>
  <si>
    <t>8583,0177</t>
  </si>
  <si>
    <t>8629,4258</t>
  </si>
  <si>
    <t>7815,7577</t>
  </si>
  <si>
    <t>7566,9193</t>
  </si>
  <si>
    <t>8434,4394</t>
  </si>
  <si>
    <t>8562,494</t>
  </si>
  <si>
    <t>118,7</t>
  </si>
  <si>
    <t>8255,1481</t>
  </si>
  <si>
    <t>8065,0462</t>
  </si>
  <si>
    <t>136</t>
  </si>
  <si>
    <t>7844,6013</t>
  </si>
  <si>
    <t>8547,3129</t>
  </si>
  <si>
    <t>8591,2047</t>
  </si>
  <si>
    <t>8555,3175</t>
  </si>
  <si>
    <t>8710,4114</t>
  </si>
  <si>
    <t>8682,2113</t>
  </si>
  <si>
    <t>8659,3943</t>
  </si>
  <si>
    <t>8585,6078</t>
  </si>
  <si>
    <t>9367,4844</t>
  </si>
  <si>
    <t>9365,1085</t>
  </si>
  <si>
    <t>8885,559</t>
  </si>
  <si>
    <t>9036,3153</t>
  </si>
  <si>
    <t>9396,0584</t>
  </si>
  <si>
    <t>9258,2887</t>
  </si>
  <si>
    <t>9318,2093</t>
  </si>
  <si>
    <t>6489,2193</t>
  </si>
  <si>
    <t>6465,7728</t>
  </si>
  <si>
    <t>6621,1853</t>
  </si>
  <si>
    <t>6148,6075</t>
  </si>
  <si>
    <t>6117,4077</t>
  </si>
  <si>
    <t>6415,7481</t>
  </si>
  <si>
    <t>6440,2537</t>
  </si>
  <si>
    <t>7716,8271</t>
  </si>
  <si>
    <t>7324,2443</t>
  </si>
  <si>
    <t>6485,2208</t>
  </si>
  <si>
    <t>6792,623</t>
  </si>
  <si>
    <t>6675,2861</t>
  </si>
  <si>
    <t>7199,1884</t>
  </si>
  <si>
    <t>7385,4063</t>
  </si>
  <si>
    <t>7977,6053</t>
  </si>
  <si>
    <t>7934,6976</t>
  </si>
  <si>
    <t>10376,4688</t>
  </si>
  <si>
    <t>11089,5242</t>
  </si>
  <si>
    <t>9613,1629</t>
  </si>
  <si>
    <t>9904,0305</t>
  </si>
  <si>
    <t>8435,1033</t>
  </si>
  <si>
    <t>7340,1743</t>
  </si>
  <si>
    <t>7507,7361</t>
  </si>
  <si>
    <t>7421,3841</t>
  </si>
  <si>
    <t>7327,879</t>
  </si>
  <si>
    <t>7471,9623</t>
  </si>
  <si>
    <t>7980,9813</t>
  </si>
  <si>
    <t>7437,0978</t>
  </si>
  <si>
    <t>9211,0811</t>
  </si>
  <si>
    <t>9968,3449</t>
  </si>
  <si>
    <t>10137,0912</t>
  </si>
  <si>
    <t>9935,6289</t>
  </si>
  <si>
    <t>10321,2272</t>
  </si>
  <si>
    <t>9839,4718</t>
  </si>
  <si>
    <t>9641,606</t>
  </si>
  <si>
    <t>8185,7785</t>
  </si>
  <si>
    <t>9012,3105</t>
  </si>
  <si>
    <t>9823,6983</t>
  </si>
  <si>
    <t>8552,1743</t>
  </si>
  <si>
    <t>9109,5011</t>
  </si>
  <si>
    <t>9136,3456</t>
  </si>
  <si>
    <t>8644,5585</t>
  </si>
  <si>
    <t>7709,5628</t>
  </si>
  <si>
    <t>7532,3126</t>
  </si>
  <si>
    <t>7669,4456</t>
  </si>
  <si>
    <t>7933,3501</t>
  </si>
  <si>
    <t>6968,8092</t>
  </si>
  <si>
    <t>6647,6872</t>
  </si>
  <si>
    <t>7577,0727</t>
  </si>
  <si>
    <t>7900,3182</t>
  </si>
  <si>
    <t>7566,9998</t>
  </si>
  <si>
    <t>7481,0088</t>
  </si>
  <si>
    <t>7517,9168</t>
  </si>
  <si>
    <t>7293,5192</t>
  </si>
  <si>
    <t>7204,905</t>
  </si>
  <si>
    <t>7676,2045</t>
  </si>
  <si>
    <t>7943,8635</t>
  </si>
  <si>
    <t>6842,1964</t>
  </si>
  <si>
    <t>7100,4336</t>
  </si>
  <si>
    <t>8638,3203</t>
  </si>
  <si>
    <t>6327,5841</t>
  </si>
  <si>
    <t>6927,5938</t>
  </si>
  <si>
    <t>134,6</t>
  </si>
  <si>
    <t>7455,8399</t>
  </si>
  <si>
    <t>10044,8128</t>
  </si>
  <si>
    <t>9971,7782</t>
  </si>
  <si>
    <t>9366,3392</t>
  </si>
  <si>
    <t>10786,8194</t>
  </si>
  <si>
    <t>10675,713</t>
  </si>
  <si>
    <t>10681,385</t>
  </si>
  <si>
    <t>10102,2226</t>
  </si>
  <si>
    <t>8321,8701</t>
  </si>
  <si>
    <t>8111,0929</t>
  </si>
  <si>
    <t>8573,951</t>
  </si>
  <si>
    <t>8267,6763</t>
  </si>
  <si>
    <t>8412,2133</t>
  </si>
  <si>
    <t>8945,5115</t>
  </si>
  <si>
    <t>8290,2259</t>
  </si>
  <si>
    <t>8388,3908</t>
  </si>
  <si>
    <t>8158,6628</t>
  </si>
  <si>
    <t>7361,4138</t>
  </si>
  <si>
    <t>7610,108</t>
  </si>
  <si>
    <t>7308,547</t>
  </si>
  <si>
    <t>7752,5062</t>
  </si>
  <si>
    <t>8121,3082</t>
  </si>
  <si>
    <t>8736,6696</t>
  </si>
  <si>
    <t>8838,521</t>
  </si>
  <si>
    <t>8477,8383</t>
  </si>
  <si>
    <t>8764,9608</t>
  </si>
  <si>
    <t>8907,06</t>
  </si>
  <si>
    <t>8627,168</t>
  </si>
  <si>
    <t>8765,1966</t>
  </si>
  <si>
    <t>8061,9801</t>
  </si>
  <si>
    <t>7979,6815</t>
  </si>
  <si>
    <t>9704,9088</t>
  </si>
  <si>
    <t>9284,9656</t>
  </si>
  <si>
    <t>8726,807</t>
  </si>
  <si>
    <t>9328,301</t>
  </si>
  <si>
    <t>8273,8986</t>
  </si>
  <si>
    <t>8905,0865</t>
  </si>
  <si>
    <t>8913,4043</t>
  </si>
  <si>
    <t>8518,7053</t>
  </si>
  <si>
    <t>8676,9008</t>
  </si>
  <si>
    <t>8752,4979</t>
  </si>
  <si>
    <t>8808,7873</t>
  </si>
  <si>
    <t>8862,2757</t>
  </si>
  <si>
    <t>8025,4674</t>
  </si>
  <si>
    <t>7835,008</t>
  </si>
  <si>
    <t>8680,7476</t>
  </si>
  <si>
    <t>8811,8608</t>
  </si>
  <si>
    <t>8508,1737</t>
  </si>
  <si>
    <t>8288,6985</t>
  </si>
  <si>
    <t>8081,0711</t>
  </si>
  <si>
    <t>8675,5948</t>
  </si>
  <si>
    <t>8725,94</t>
  </si>
  <si>
    <t>8664,0131</t>
  </si>
  <si>
    <t>8816,9664</t>
  </si>
  <si>
    <t>8823,8855</t>
  </si>
  <si>
    <t>8789,6656</t>
  </si>
  <si>
    <t>8714,4871</t>
  </si>
  <si>
    <t>9405,6624</t>
  </si>
  <si>
    <t>9412,2633</t>
  </si>
  <si>
    <t>8946,9347</t>
  </si>
  <si>
    <t>9101,6252</t>
  </si>
  <si>
    <t>9458,5451</t>
  </si>
  <si>
    <t>9332,811</t>
  </si>
  <si>
    <t>9365,3121</t>
  </si>
  <si>
    <t>6521,0607</t>
  </si>
  <si>
    <t>6506,5391</t>
  </si>
  <si>
    <t>6686,0147</t>
  </si>
  <si>
    <t>6179,3513</t>
  </si>
  <si>
    <t>6151,7422</t>
  </si>
  <si>
    <t>6473,8706</t>
  </si>
  <si>
    <t>6477,8365</t>
  </si>
  <si>
    <t>7730,1206</t>
  </si>
  <si>
    <t>7435,9112</t>
  </si>
  <si>
    <t>6641,6802</t>
  </si>
  <si>
    <t>6863,1188</t>
  </si>
  <si>
    <t>6803,2771</t>
  </si>
  <si>
    <t>7329,2342</t>
  </si>
  <si>
    <t>7453,7558</t>
  </si>
  <si>
    <t>8208,9236</t>
  </si>
  <si>
    <t>8097,1598</t>
  </si>
  <si>
    <t>10508,3588</t>
  </si>
  <si>
    <t>11374,7563</t>
  </si>
  <si>
    <t>9700,2534</t>
  </si>
  <si>
    <t>10255,0515</t>
  </si>
  <si>
    <t>8641,5515</t>
  </si>
  <si>
    <t>7444,9951</t>
  </si>
  <si>
    <t>7622,8662</t>
  </si>
  <si>
    <t>7512,3917</t>
  </si>
  <si>
    <t>7414,7594</t>
  </si>
  <si>
    <t>7598,5848</t>
  </si>
  <si>
    <t>7995,9505</t>
  </si>
  <si>
    <t>7540,4993</t>
  </si>
  <si>
    <t>9435,464</t>
  </si>
  <si>
    <t>10271,4428</t>
  </si>
  <si>
    <t>10389,2369</t>
  </si>
  <si>
    <t>10284,9104</t>
  </si>
  <si>
    <t>10599,327</t>
  </si>
  <si>
    <t>10082,7793</t>
  </si>
  <si>
    <t>9905,8259</t>
  </si>
  <si>
    <t>8229,3297</t>
  </si>
  <si>
    <t>9037,234</t>
  </si>
  <si>
    <t>9790,0298</t>
  </si>
  <si>
    <t>8527,4573</t>
  </si>
  <si>
    <t>9216,6326</t>
  </si>
  <si>
    <t>9149,5744</t>
  </si>
  <si>
    <t>8676,0013</t>
  </si>
  <si>
    <t>8052,2581</t>
  </si>
  <si>
    <t>7827,637</t>
  </si>
  <si>
    <t>7966,8208</t>
  </si>
  <si>
    <t>8285,9846</t>
  </si>
  <si>
    <t>7198,5566</t>
  </si>
  <si>
    <t>6838,2523</t>
  </si>
  <si>
    <t>7889,7331</t>
  </si>
  <si>
    <t>7981,1535</t>
  </si>
  <si>
    <t>7763,6677</t>
  </si>
  <si>
    <t>7617,9605</t>
  </si>
  <si>
    <t>7635,5094</t>
  </si>
  <si>
    <t>7440,2518</t>
  </si>
  <si>
    <t>7332,1726</t>
  </si>
  <si>
    <t>7807,3673</t>
  </si>
  <si>
    <t>8077,8854</t>
  </si>
  <si>
    <t>6936,1002</t>
  </si>
  <si>
    <t>7191,2976</t>
  </si>
  <si>
    <t>8871,9175</t>
  </si>
  <si>
    <t>6539,801</t>
  </si>
  <si>
    <t>7251,7417</t>
  </si>
  <si>
    <t>7595,3193</t>
  </si>
  <si>
    <t>10350,0796</t>
  </si>
  <si>
    <t>10324,9771</t>
  </si>
  <si>
    <t>9679,5271</t>
  </si>
  <si>
    <t>10785,5025</t>
  </si>
  <si>
    <t>11129,3484</t>
  </si>
  <si>
    <t>10898,3951</t>
  </si>
  <si>
    <t>10406,4718</t>
  </si>
  <si>
    <t>8569,2984</t>
  </si>
  <si>
    <t>8284,1244</t>
  </si>
  <si>
    <t>8725,8453</t>
  </si>
  <si>
    <t>8506,358</t>
  </si>
  <si>
    <t>8616,5277</t>
  </si>
  <si>
    <t>9176,6883</t>
  </si>
  <si>
    <t>8504,0579</t>
  </si>
  <si>
    <t>8142,7355</t>
  </si>
  <si>
    <t>7911,5735</t>
  </si>
  <si>
    <t>-3</t>
  </si>
  <si>
    <t>7156,4774</t>
  </si>
  <si>
    <t>-2,8</t>
  </si>
  <si>
    <t>7400,6997</t>
  </si>
  <si>
    <t>7136,2227</t>
  </si>
  <si>
    <t>7858,8563</t>
  </si>
  <si>
    <t>7899,4762</t>
  </si>
  <si>
    <t>-2,7</t>
  </si>
  <si>
    <t>8922,0337</t>
  </si>
  <si>
    <t>9054,6662</t>
  </si>
  <si>
    <t>8661,4962</t>
  </si>
  <si>
    <t>8924,269</t>
  </si>
  <si>
    <t>9107,343</t>
  </si>
  <si>
    <t>8765,3855</t>
  </si>
  <si>
    <t>8957,7912</t>
  </si>
  <si>
    <t>8190,7889</t>
  </si>
  <si>
    <t>8061,6444</t>
  </si>
  <si>
    <t>9738,3445</t>
  </si>
  <si>
    <t>9413,1935</t>
  </si>
  <si>
    <t>8855,2409</t>
  </si>
  <si>
    <t>9446,5048</t>
  </si>
  <si>
    <t>8382,4957</t>
  </si>
  <si>
    <t>8970,8423</t>
  </si>
  <si>
    <t>9011,9013</t>
  </si>
  <si>
    <t>8608,8522</t>
  </si>
  <si>
    <t>8743,479</t>
  </si>
  <si>
    <t>8843,4506</t>
  </si>
  <si>
    <t>8890,8825</t>
  </si>
  <si>
    <t>8942,4266</t>
  </si>
  <si>
    <t>8244,9493</t>
  </si>
  <si>
    <t>8054,794</t>
  </si>
  <si>
    <t>8852,9897</t>
  </si>
  <si>
    <t>9039,4403</t>
  </si>
  <si>
    <t>8775,4403</t>
  </si>
  <si>
    <t>8538,5115</t>
  </si>
  <si>
    <t>8302,8934</t>
  </si>
  <si>
    <t>8851,2214</t>
  </si>
  <si>
    <t>8840,1405</t>
  </si>
  <si>
    <t>8755,8305</t>
  </si>
  <si>
    <t>8924,3327</t>
  </si>
  <si>
    <t>8909,2196</t>
  </si>
  <si>
    <t>8949,9232</t>
  </si>
  <si>
    <t>8855,5681</t>
  </si>
  <si>
    <t>9489,1665</t>
  </si>
  <si>
    <t>9442,57</t>
  </si>
  <si>
    <t>8951,1179</t>
  </si>
  <si>
    <t>9118,4548</t>
  </si>
  <si>
    <t>9456,5907</t>
  </si>
  <si>
    <t>9417,3201</t>
  </si>
  <si>
    <t>9418,0826</t>
  </si>
  <si>
    <t>6719,8251</t>
  </si>
  <si>
    <t>6675,8054</t>
  </si>
  <si>
    <t>6816,4717</t>
  </si>
  <si>
    <t>6342,7083</t>
  </si>
  <si>
    <t>6323,0179</t>
  </si>
  <si>
    <t>6655,7035</t>
  </si>
  <si>
    <t>6658,8334</t>
  </si>
  <si>
    <t>7721,6469</t>
  </si>
  <si>
    <t>7509,2643</t>
  </si>
  <si>
    <t>6703,5045</t>
  </si>
  <si>
    <t>6992,1386</t>
  </si>
  <si>
    <t>6775,1547</t>
  </si>
  <si>
    <t>7440,0028</t>
  </si>
  <si>
    <t>7490,0195</t>
  </si>
  <si>
    <t>8559,0479</t>
  </si>
  <si>
    <t>8360,0269</t>
  </si>
  <si>
    <t>10827,4135</t>
  </si>
  <si>
    <t>11582,002</t>
  </si>
  <si>
    <t>9726,5169</t>
  </si>
  <si>
    <t>10654,732</t>
  </si>
  <si>
    <t>8939,0041</t>
  </si>
  <si>
    <t>7600,2288</t>
  </si>
  <si>
    <t>7743,9324</t>
  </si>
  <si>
    <t>7579,1543</t>
  </si>
  <si>
    <t>7567,0155</t>
  </si>
  <si>
    <t>7747,3247</t>
  </si>
  <si>
    <t>8240,9159</t>
  </si>
  <si>
    <t>7683,5823</t>
  </si>
  <si>
    <t>9643,9151</t>
  </si>
  <si>
    <t>10491,2019</t>
  </si>
  <si>
    <t>10643,947</t>
  </si>
  <si>
    <t>10482,7929</t>
  </si>
  <si>
    <t>10828,6049</t>
  </si>
  <si>
    <t>10263,5364</t>
  </si>
  <si>
    <t>10119,3057</t>
  </si>
  <si>
    <t>8407,8439</t>
  </si>
  <si>
    <t>9147,8922</t>
  </si>
  <si>
    <t>9847,2537</t>
  </si>
  <si>
    <t>8645,4916</t>
  </si>
  <si>
    <t>9297,1119</t>
  </si>
  <si>
    <t>9299,1004</t>
  </si>
  <si>
    <t>8816,3323</t>
  </si>
  <si>
    <t>8212,565</t>
  </si>
  <si>
    <t>7976,945</t>
  </si>
  <si>
    <t>8043,7291</t>
  </si>
  <si>
    <t>8331,0527</t>
  </si>
  <si>
    <t>7301,0717</t>
  </si>
  <si>
    <t>6982,6195</t>
  </si>
  <si>
    <t>8030,954</t>
  </si>
  <si>
    <t>8305,4709</t>
  </si>
  <si>
    <t>7805,163</t>
  </si>
  <si>
    <t>7707,2625</t>
  </si>
  <si>
    <t>7783,7568</t>
  </si>
  <si>
    <t>7724,1312</t>
  </si>
  <si>
    <t>7442,5281</t>
  </si>
  <si>
    <t>8000,1427</t>
  </si>
  <si>
    <t>8379,9439</t>
  </si>
  <si>
    <t>7227,915</t>
  </si>
  <si>
    <t>7313,965</t>
  </si>
  <si>
    <t>9308,6939</t>
  </si>
  <si>
    <t>6640,9906</t>
  </si>
  <si>
    <t>7355,9599</t>
  </si>
  <si>
    <t>7875,8853</t>
  </si>
  <si>
    <t>10577,4487</t>
  </si>
  <si>
    <t>10508,2467</t>
  </si>
  <si>
    <t>9975,1534</t>
  </si>
  <si>
    <t>10963,3725</t>
  </si>
  <si>
    <t>11411,8395</t>
  </si>
  <si>
    <t>11210,2418</t>
  </si>
  <si>
    <t>10624,8993</t>
  </si>
  <si>
    <t>8637,2837</t>
  </si>
  <si>
    <t>8413,312</t>
  </si>
  <si>
    <t>8858,0738</t>
  </si>
  <si>
    <t>8538,1096</t>
  </si>
  <si>
    <t>8652,9499</t>
  </si>
  <si>
    <t>9178,6163</t>
  </si>
  <si>
    <t>8588,9464</t>
  </si>
  <si>
    <t>8156,9864</t>
  </si>
  <si>
    <t>7904,2893</t>
  </si>
  <si>
    <t>6992,0434</t>
  </si>
  <si>
    <t>7316,7643</t>
  </si>
  <si>
    <t>7040,5215</t>
  </si>
  <si>
    <t>7813,4077</t>
  </si>
  <si>
    <t>7882,5607</t>
  </si>
  <si>
    <t>9107,9966</t>
  </si>
  <si>
    <t>9176,0723</t>
  </si>
  <si>
    <t>8779,7885</t>
  </si>
  <si>
    <t>9047,7939</t>
  </si>
  <si>
    <t>9241,1005</t>
  </si>
  <si>
    <t>8942,0932</t>
  </si>
  <si>
    <t>9111,304</t>
  </si>
  <si>
    <t>8408,6939</t>
  </si>
  <si>
    <t>8225,5673</t>
  </si>
  <si>
    <t>9906,2986</t>
  </si>
  <si>
    <t>9594,6628</t>
  </si>
  <si>
    <t>8885,394</t>
  </si>
  <si>
    <t>9678,2332</t>
  </si>
  <si>
    <t>8569,0645</t>
  </si>
  <si>
    <t>9051,3039</t>
  </si>
  <si>
    <t>9080,5463</t>
  </si>
  <si>
    <t>8652,4075</t>
  </si>
  <si>
    <t>8815,9576</t>
  </si>
  <si>
    <t>8899,2772</t>
  </si>
  <si>
    <t>9010,6694</t>
  </si>
  <si>
    <t>9017,1201</t>
  </si>
  <si>
    <t>8559,3826</t>
  </si>
  <si>
    <t>8275,9125</t>
  </si>
  <si>
    <t>9110,1488</t>
  </si>
  <si>
    <t>9252,4252</t>
  </si>
  <si>
    <t>8933,838</t>
  </si>
  <si>
    <t>8799,191</t>
  </si>
  <si>
    <t>8566,1693</t>
  </si>
  <si>
    <t>9016,5562</t>
  </si>
  <si>
    <t>9016,3238</t>
  </si>
  <si>
    <t>8905,132</t>
  </si>
  <si>
    <t>9073,9428</t>
  </si>
  <si>
    <t>9074,6511</t>
  </si>
  <si>
    <t>9141,623</t>
  </si>
  <si>
    <t>9023,973</t>
  </si>
  <si>
    <t>9682,9722</t>
  </si>
  <si>
    <t>9621,9117</t>
  </si>
  <si>
    <t>9057,6349</t>
  </si>
  <si>
    <t>9261,411</t>
  </si>
  <si>
    <t>9660,9412</t>
  </si>
  <si>
    <t>9541,5437</t>
  </si>
  <si>
    <t>9596,7407</t>
  </si>
  <si>
    <t>6742,1473</t>
  </si>
  <si>
    <t>6744,763</t>
  </si>
  <si>
    <t>6867,5212</t>
  </si>
  <si>
    <t>6393,1004</t>
  </si>
  <si>
    <t>6359,663</t>
  </si>
  <si>
    <t>6679,8807</t>
  </si>
  <si>
    <t>6701,1649</t>
  </si>
  <si>
    <t>7597,0148</t>
  </si>
  <si>
    <t>7464,5289</t>
  </si>
  <si>
    <t>6743,5257</t>
  </si>
  <si>
    <t>6971,9454</t>
  </si>
  <si>
    <t>6733,4413</t>
  </si>
  <si>
    <t>7523,9031</t>
  </si>
  <si>
    <t>7420,9382</t>
  </si>
  <si>
    <t>8591,0827</t>
  </si>
  <si>
    <t>8560,0439</t>
  </si>
  <si>
    <t>11110,0077</t>
  </si>
  <si>
    <t>11851,1758</t>
  </si>
  <si>
    <t>9967,3511</t>
  </si>
  <si>
    <t>10904,6281</t>
  </si>
  <si>
    <t>9071,797</t>
  </si>
  <si>
    <t>7721,9853</t>
  </si>
  <si>
    <t>7869,2579</t>
  </si>
  <si>
    <t>7678,9839</t>
  </si>
  <si>
    <t>7662,0902</t>
  </si>
  <si>
    <t>7851,9801</t>
  </si>
  <si>
    <t>8341,9782</t>
  </si>
  <si>
    <t>7801,8271</t>
  </si>
  <si>
    <t>9764,0952</t>
  </si>
  <si>
    <t>10608,1674</t>
  </si>
  <si>
    <t>10700,1253</t>
  </si>
  <si>
    <t>10547,0009</t>
  </si>
  <si>
    <t>10930,8343</t>
  </si>
  <si>
    <t>10469,8739</t>
  </si>
  <si>
    <t>10234,5966</t>
  </si>
  <si>
    <t>8669,3982</t>
  </si>
  <si>
    <t>9349,6464</t>
  </si>
  <si>
    <t>10078,8266</t>
  </si>
  <si>
    <t>8902,3675</t>
  </si>
  <si>
    <t>9509,7935</t>
  </si>
  <si>
    <t>9730,5308</t>
  </si>
  <si>
    <t>9061,1273</t>
  </si>
  <si>
    <t>8416,6377</t>
  </si>
  <si>
    <t>8141,3278</t>
  </si>
  <si>
    <t>8217,8891</t>
  </si>
  <si>
    <t>8501,5186</t>
  </si>
  <si>
    <t>7479,461</t>
  </si>
  <si>
    <t>7142,1084</t>
  </si>
  <si>
    <t>8214,616</t>
  </si>
  <si>
    <t>8673,012</t>
  </si>
  <si>
    <t>8301,647</t>
  </si>
  <si>
    <t>7936,7762</t>
  </si>
  <si>
    <t>7995,2071</t>
  </si>
  <si>
    <t>8045,1587</t>
  </si>
  <si>
    <t>7656,82</t>
  </si>
  <si>
    <t>8384,8501</t>
  </si>
  <si>
    <t>8517,6311</t>
  </si>
  <si>
    <t>7381,3818</t>
  </si>
  <si>
    <t>7671,4599</t>
  </si>
  <si>
    <t>9457,1163</t>
  </si>
  <si>
    <t>6729,6273</t>
  </si>
  <si>
    <t>7510,7335</t>
  </si>
  <si>
    <t>8027,0607</t>
  </si>
  <si>
    <t>10876,967</t>
  </si>
  <si>
    <t>10772,7491</t>
  </si>
  <si>
    <t>10378,2281</t>
  </si>
  <si>
    <t>11318,6165</t>
  </si>
  <si>
    <t>11653,4355</t>
  </si>
  <si>
    <t>11500,8533</t>
  </si>
  <si>
    <t>10917,6195</t>
  </si>
  <si>
    <t>8865,3992</t>
  </si>
  <si>
    <t>8572,8369</t>
  </si>
  <si>
    <t>9015,5433</t>
  </si>
  <si>
    <t>8603,9074</t>
  </si>
  <si>
    <t>8788,506</t>
  </si>
  <si>
    <t>9383,0164</t>
  </si>
  <si>
    <t>8772,9432</t>
  </si>
  <si>
    <t>8480,6034</t>
  </si>
  <si>
    <t>8291,1362</t>
  </si>
  <si>
    <t>7135,5785</t>
  </si>
  <si>
    <t>7476,2527</t>
  </si>
  <si>
    <t>7407,609</t>
  </si>
  <si>
    <t>7959,1296</t>
  </si>
  <si>
    <t>8201,9212</t>
  </si>
  <si>
    <t>9240,3481</t>
  </si>
  <si>
    <t>9309,9392</t>
  </si>
  <si>
    <t>8912,6927</t>
  </si>
  <si>
    <t>9174,1102</t>
  </si>
  <si>
    <t>9366,6805</t>
  </si>
  <si>
    <t>9132,6761</t>
  </si>
  <si>
    <t>9246,0737</t>
  </si>
  <si>
    <t>8599,7496</t>
  </si>
  <si>
    <t>8421,6182</t>
  </si>
  <si>
    <t>10124,5706</t>
  </si>
  <si>
    <t>9827,2323</t>
  </si>
  <si>
    <t>9066,5158</t>
  </si>
  <si>
    <t>9902,0997</t>
  </si>
  <si>
    <t>8766,629</t>
  </si>
  <si>
    <t>9170,4641</t>
  </si>
  <si>
    <t>9203,5793</t>
  </si>
  <si>
    <t>8770,6245</t>
  </si>
  <si>
    <t>8932,2017</t>
  </si>
  <si>
    <t>9022,1104</t>
  </si>
  <si>
    <t>9169,9702</t>
  </si>
  <si>
    <t>9139,3674</t>
  </si>
  <si>
    <t>8792,0674</t>
  </si>
  <si>
    <t>8576,8386</t>
  </si>
  <si>
    <t>9365,9431</t>
  </si>
  <si>
    <t>9503,0467</t>
  </si>
  <si>
    <t>9204,7477</t>
  </si>
  <si>
    <t>9071,2836</t>
  </si>
  <si>
    <t>8827,7358</t>
  </si>
  <si>
    <t>9185,3068</t>
  </si>
  <si>
    <t>9182,3487</t>
  </si>
  <si>
    <t>9055,1527</t>
  </si>
  <si>
    <t>9252,4989</t>
  </si>
  <si>
    <t>9266,2277</t>
  </si>
  <si>
    <t>9320,3353</t>
  </si>
  <si>
    <t>9193,2441</t>
  </si>
  <si>
    <t>9828,0344</t>
  </si>
  <si>
    <t>9749,4799</t>
  </si>
  <si>
    <t>9184,9274</t>
  </si>
  <si>
    <t>9343,0282</t>
  </si>
  <si>
    <t>9804,6709</t>
  </si>
  <si>
    <t>9652,7919</t>
  </si>
  <si>
    <t>9729,0211</t>
  </si>
  <si>
    <t>6976,3822</t>
  </si>
  <si>
    <t>6980,0945</t>
  </si>
  <si>
    <t>7008,408</t>
  </si>
  <si>
    <t>6606,5518</t>
  </si>
  <si>
    <t>6595,158</t>
  </si>
  <si>
    <t>6963,0078</t>
  </si>
  <si>
    <t>6932,52</t>
  </si>
  <si>
    <t>7607,3735</t>
  </si>
  <si>
    <t>7405,7813</t>
  </si>
  <si>
    <t>6709,7413</t>
  </si>
  <si>
    <t>6951,3997</t>
  </si>
  <si>
    <t>6696,5826</t>
  </si>
  <si>
    <t>7545,5203</t>
  </si>
  <si>
    <t>7401,8179</t>
  </si>
  <si>
    <t>8784,9537</t>
  </si>
  <si>
    <t>8814,3415</t>
  </si>
  <si>
    <t>11437,7023</t>
  </si>
  <si>
    <t>12243,1327</t>
  </si>
  <si>
    <t>10266,8611</t>
  </si>
  <si>
    <t>11213,5416</t>
  </si>
  <si>
    <t>9314,2826</t>
  </si>
  <si>
    <t>7786,5255</t>
  </si>
  <si>
    <t>7956,6035</t>
  </si>
  <si>
    <t>7721,7077</t>
  </si>
  <si>
    <t>7704,0944</t>
  </si>
  <si>
    <t>7992,2098</t>
  </si>
  <si>
    <t>8389,79</t>
  </si>
  <si>
    <t>7874,7486</t>
  </si>
  <si>
    <t>9927,9376</t>
  </si>
  <si>
    <t>10788,4165</t>
  </si>
  <si>
    <t>10951,804</t>
  </si>
  <si>
    <t>10703,2798</t>
  </si>
  <si>
    <t>11091,6002</t>
  </si>
  <si>
    <t>10709,8299</t>
  </si>
  <si>
    <t>10410,6938</t>
  </si>
  <si>
    <t>9016,2096</t>
  </si>
  <si>
    <t>9648,6234</t>
  </si>
  <si>
    <t>10340,9536</t>
  </si>
  <si>
    <t>9214,3701</t>
  </si>
  <si>
    <t>9806,1758</t>
  </si>
  <si>
    <t>10104,0212</t>
  </si>
  <si>
    <t>9384,5631</t>
  </si>
  <si>
    <t>8584,0406</t>
  </si>
  <si>
    <t>8296,4532</t>
  </si>
  <si>
    <t>8352,4137</t>
  </si>
  <si>
    <t>8579,5027</t>
  </si>
  <si>
    <t>7637,765</t>
  </si>
  <si>
    <t>7299,432</t>
  </si>
  <si>
    <t>8369,2742</t>
  </si>
  <si>
    <t>8656,559</t>
  </si>
  <si>
    <t>8388,2588</t>
  </si>
  <si>
    <t>7997,5687</t>
  </si>
  <si>
    <t>8177,1702</t>
  </si>
  <si>
    <t>8102,1045</t>
  </si>
  <si>
    <t>7745,4115</t>
  </si>
  <si>
    <t>8429,7057</t>
  </si>
  <si>
    <t>8633,8383</t>
  </si>
  <si>
    <t>7522,7291</t>
  </si>
  <si>
    <t>7867,8443</t>
  </si>
  <si>
    <t>10120,2339</t>
  </si>
  <si>
    <t>7113,3531</t>
  </si>
  <si>
    <t>75,4</t>
  </si>
  <si>
    <t>8082,2038</t>
  </si>
  <si>
    <t>8230,8327</t>
  </si>
  <si>
    <t>11185,9165</t>
  </si>
  <si>
    <t>11174,3892</t>
  </si>
  <si>
    <t>10774,0475</t>
  </si>
  <si>
    <t>11914,3253</t>
  </si>
  <si>
    <t>12212,2491</t>
  </si>
  <si>
    <t>11705,953</t>
  </si>
  <si>
    <t>11291,3028</t>
  </si>
  <si>
    <t>9056,3956</t>
  </si>
  <si>
    <t>8784,8158</t>
  </si>
  <si>
    <t>9185,564</t>
  </si>
  <si>
    <t>8781,0043</t>
  </si>
  <si>
    <t>9027,192</t>
  </si>
  <si>
    <t>9543,716</t>
  </si>
  <si>
    <t>8970,2821</t>
  </si>
  <si>
    <t>8439,1301</t>
  </si>
  <si>
    <t>8149,3939</t>
  </si>
  <si>
    <t>7169,2324</t>
  </si>
  <si>
    <t>7429,4903</t>
  </si>
  <si>
    <t>7421,9079</t>
  </si>
  <si>
    <t>8024,0178</t>
  </si>
  <si>
    <t>8137,0132</t>
  </si>
  <si>
    <t>9428,4121</t>
  </si>
  <si>
    <t>9508,4922</t>
  </si>
  <si>
    <t>9048,9734</t>
  </si>
  <si>
    <t>9362,113</t>
  </si>
  <si>
    <t>9573,8153</t>
  </si>
  <si>
    <t>9295,1181</t>
  </si>
  <si>
    <t>9435,1467</t>
  </si>
  <si>
    <t>8806,3759</t>
  </si>
  <si>
    <t>8662,8297</t>
  </si>
  <si>
    <t>10411,1318</t>
  </si>
  <si>
    <t>10130,1063</t>
  </si>
  <si>
    <t>9307,5836</t>
  </si>
  <si>
    <t>10206,0615</t>
  </si>
  <si>
    <t>9000,5641</t>
  </si>
  <si>
    <t>9330,8687</t>
  </si>
  <si>
    <t>9343,0537</t>
  </si>
  <si>
    <t>8886,5225</t>
  </si>
  <si>
    <t>9060,4412</t>
  </si>
  <si>
    <t>9191,6411</t>
  </si>
  <si>
    <t>9321,8708</t>
  </si>
  <si>
    <t>9288,4688</t>
  </si>
  <si>
    <t>8972,9914</t>
  </si>
  <si>
    <t>8805,177</t>
  </si>
  <si>
    <t>9632,8654</t>
  </si>
  <si>
    <t>9833,9305</t>
  </si>
  <si>
    <t>9450,9125</t>
  </si>
  <si>
    <t>9316,5251</t>
  </si>
  <si>
    <t>9044,8689</t>
  </si>
  <si>
    <t>9377,7681</t>
  </si>
  <si>
    <t>9366,761</t>
  </si>
  <si>
    <t>9217,6682</t>
  </si>
  <si>
    <t>9455,5666</t>
  </si>
  <si>
    <t>9465,5075</t>
  </si>
  <si>
    <t>9543,6369</t>
  </si>
  <si>
    <t>9384,0922</t>
  </si>
  <si>
    <t>10022,1907</t>
  </si>
  <si>
    <t>9918,3048</t>
  </si>
  <si>
    <t>9358,7022</t>
  </si>
  <si>
    <t>9506,1282</t>
  </si>
  <si>
    <t>9986,7158</t>
  </si>
  <si>
    <t>9831,9869</t>
  </si>
  <si>
    <t>9910,131</t>
  </si>
  <si>
    <t>7105,7319</t>
  </si>
  <si>
    <t>7073,7187</t>
  </si>
  <si>
    <t>7095,9379</t>
  </si>
  <si>
    <t>6697,8624</t>
  </si>
  <si>
    <t>6671,7862</t>
  </si>
  <si>
    <t>7085,7779</t>
  </si>
  <si>
    <t>7042,0634</t>
  </si>
  <si>
    <t>7801,9502</t>
  </si>
  <si>
    <t>7508,4177</t>
  </si>
  <si>
    <t>6875,5296</t>
  </si>
  <si>
    <t>7102,3474</t>
  </si>
  <si>
    <t>6858,1401</t>
  </si>
  <si>
    <t>7617,1784</t>
  </si>
  <si>
    <t>7553,7487</t>
  </si>
  <si>
    <t>9033,504</t>
  </si>
  <si>
    <t>9143,7143</t>
  </si>
  <si>
    <t>11745,5798</t>
  </si>
  <si>
    <t>12489,0557</t>
  </si>
  <si>
    <t>10656,5233</t>
  </si>
  <si>
    <t>11626,6</t>
  </si>
  <si>
    <t>9605,6566</t>
  </si>
  <si>
    <t>7987,2451</t>
  </si>
  <si>
    <t>8116,5079</t>
  </si>
  <si>
    <t>7774,5381</t>
  </si>
  <si>
    <t>7881,838</t>
  </si>
  <si>
    <t>8152,1842</t>
  </si>
  <si>
    <t>8542,7344</t>
  </si>
  <si>
    <t>8048,6896</t>
  </si>
  <si>
    <t>10125,9997</t>
  </si>
  <si>
    <t>11065,0533</t>
  </si>
  <si>
    <t>11138,4083</t>
  </si>
  <si>
    <t>11022,9049</t>
  </si>
  <si>
    <t>11324,4114</t>
  </si>
  <si>
    <t>10985,7915</t>
  </si>
  <si>
    <t>10648,1896</t>
  </si>
  <si>
    <t>9276,6359</t>
  </si>
  <si>
    <t>9920,2881</t>
  </si>
  <si>
    <t>10614,9465</t>
  </si>
  <si>
    <t>9542,6607</t>
  </si>
  <si>
    <t>10078,0803</t>
  </si>
  <si>
    <t>10566,1698</t>
  </si>
  <si>
    <t>9663,0675</t>
  </si>
  <si>
    <t>8763,1823</t>
  </si>
  <si>
    <t>8476,1088</t>
  </si>
  <si>
    <t>8500,6163</t>
  </si>
  <si>
    <t>8809,9234</t>
  </si>
  <si>
    <t>7818,558</t>
  </si>
  <si>
    <t>7466,136</t>
  </si>
  <si>
    <t>8550,2948</t>
  </si>
  <si>
    <t>8834,8546</t>
  </si>
  <si>
    <t>8408,7468</t>
  </si>
  <si>
    <t>8048,2424</t>
  </si>
  <si>
    <t>8382,408</t>
  </si>
  <si>
    <t>8213,0373</t>
  </si>
  <si>
    <t>7832,6527</t>
  </si>
  <si>
    <t>8542,3767</t>
  </si>
  <si>
    <t>8923,9746</t>
  </si>
  <si>
    <t>7732,8254</t>
  </si>
  <si>
    <t>7982,2185</t>
  </si>
  <si>
    <t>10582,9523</t>
  </si>
  <si>
    <t>7242,614</t>
  </si>
  <si>
    <t>8215,7791</t>
  </si>
  <si>
    <t>8483,1542</t>
  </si>
  <si>
    <t>11238,5637</t>
  </si>
  <si>
    <t>11365,9708</t>
  </si>
  <si>
    <t>10792,5721</t>
  </si>
  <si>
    <t>12117,0509</t>
  </si>
  <si>
    <t>12330,5079</t>
  </si>
  <si>
    <t>11934,9974</t>
  </si>
  <si>
    <t>11412,4415</t>
  </si>
  <si>
    <t>9259,5673</t>
  </si>
  <si>
    <t>8971,4095</t>
  </si>
  <si>
    <t>9296,3033</t>
  </si>
  <si>
    <t>8935,3649</t>
  </si>
  <si>
    <t>9264,3243</t>
  </si>
  <si>
    <t>9763,1401</t>
  </si>
  <si>
    <t>9162,4211</t>
  </si>
  <si>
    <t>8637,923</t>
  </si>
  <si>
    <t>8264,9813</t>
  </si>
  <si>
    <t>7458,8014</t>
  </si>
  <si>
    <t>7733,7359</t>
  </si>
  <si>
    <t>7593,1675</t>
  </si>
  <si>
    <t>8193,5493</t>
  </si>
  <si>
    <t>8316,258</t>
  </si>
  <si>
    <t>9608,791</t>
  </si>
  <si>
    <t>9689,4722</t>
  </si>
  <si>
    <t>9186,1981</t>
  </si>
  <si>
    <t>9529,2733</t>
  </si>
  <si>
    <t>9757,32</t>
  </si>
  <si>
    <t>9497,9901</t>
  </si>
  <si>
    <t>9614,0254</t>
  </si>
  <si>
    <t>9031,5204</t>
  </si>
  <si>
    <t>8902,1444</t>
  </si>
  <si>
    <t>10584,042</t>
  </si>
  <si>
    <t>10399,7088</t>
  </si>
  <si>
    <t>9573,936</t>
  </si>
  <si>
    <t>10531,5755</t>
  </si>
  <si>
    <t>9237,6711</t>
  </si>
  <si>
    <t>9528,5541</t>
  </si>
  <si>
    <t>9514,0787</t>
  </si>
  <si>
    <t>9037,9762</t>
  </si>
  <si>
    <t>9230,383</t>
  </si>
  <si>
    <t>9370,9595</t>
  </si>
  <si>
    <t>9521,392</t>
  </si>
  <si>
    <t>9472,1622</t>
  </si>
  <si>
    <t>9157,8329</t>
  </si>
  <si>
    <t>9021,0092</t>
  </si>
  <si>
    <t>9833,2776</t>
  </si>
  <si>
    <t>10137,2831</t>
  </si>
  <si>
    <t>9699,6185</t>
  </si>
  <si>
    <t>9598,834</t>
  </si>
  <si>
    <t>9256,5425</t>
  </si>
  <si>
    <t>9602,5137</t>
  </si>
  <si>
    <t>9584,145</t>
  </si>
  <si>
    <t>9419,0224</t>
  </si>
  <si>
    <t>9657,7445</t>
  </si>
  <si>
    <t>9687,3328</t>
  </si>
  <si>
    <t>9774,0954</t>
  </si>
  <si>
    <t>9603,8623</t>
  </si>
  <si>
    <t>10266,4083</t>
  </si>
  <si>
    <t>10132,2569</t>
  </si>
  <si>
    <t>9563,1121</t>
  </si>
  <si>
    <t>9719,8249</t>
  </si>
  <si>
    <t>10249,2753</t>
  </si>
  <si>
    <t>9982,8336</t>
  </si>
  <si>
    <t>10136,6605</t>
  </si>
  <si>
    <t>7264,321</t>
  </si>
  <si>
    <t>7241,1962</t>
  </si>
  <si>
    <t>7285,3433</t>
  </si>
  <si>
    <t>6904,1035</t>
  </si>
  <si>
    <t>6835,2096</t>
  </si>
  <si>
    <t>7268,6649</t>
  </si>
  <si>
    <t>7209,6846</t>
  </si>
  <si>
    <t>8053,0169</t>
  </si>
  <si>
    <t>7617,2626</t>
  </si>
  <si>
    <t>6992,7319</t>
  </si>
  <si>
    <t>7263,1204</t>
  </si>
  <si>
    <t>7031,7671</t>
  </si>
  <si>
    <t>7778,4176</t>
  </si>
  <si>
    <t>7736,2575</t>
  </si>
  <si>
    <t>9238,2438</t>
  </si>
  <si>
    <t>9439,7255</t>
  </si>
  <si>
    <t>11980,7072</t>
  </si>
  <si>
    <t>12776,9169</t>
  </si>
  <si>
    <t>11138,5067</t>
  </si>
  <si>
    <t>12160,5661</t>
  </si>
  <si>
    <t>9874,9092</t>
  </si>
  <si>
    <t>8147,5824</t>
  </si>
  <si>
    <t>8228,1319</t>
  </si>
  <si>
    <t>7824,495</t>
  </si>
  <si>
    <t>7997,9402</t>
  </si>
  <si>
    <t>8238,0036</t>
  </si>
  <si>
    <t>8696,7971</t>
  </si>
  <si>
    <t>8179,996</t>
  </si>
  <si>
    <t>10275,5213</t>
  </si>
  <si>
    <t>11317,6435</t>
  </si>
  <si>
    <t>11379,4463</t>
  </si>
  <si>
    <t>11183,4333</t>
  </si>
  <si>
    <t>11563,3665</t>
  </si>
  <si>
    <t>11152,7333</t>
  </si>
  <si>
    <t>10842,673</t>
  </si>
  <si>
    <t>9591,3012</t>
  </si>
  <si>
    <t>10298,7295</t>
  </si>
  <si>
    <t>10966,1702</t>
  </si>
  <si>
    <t>9770,03</t>
  </si>
  <si>
    <t>10369,0028</t>
  </si>
  <si>
    <t>10965,0468</t>
  </si>
  <si>
    <t>9997,0294</t>
  </si>
  <si>
    <t>8966,7851</t>
  </si>
  <si>
    <t>8642,9079</t>
  </si>
  <si>
    <t>8682,7205</t>
  </si>
  <si>
    <t>9019,0011</t>
  </si>
  <si>
    <t>8045,4429</t>
  </si>
  <si>
    <t>7618,6045</t>
  </si>
  <si>
    <t>8739,731</t>
  </si>
  <si>
    <t>8965,7522</t>
  </si>
  <si>
    <t>8558,717</t>
  </si>
  <si>
    <t>8240,8643</t>
  </si>
  <si>
    <t>8531,8401</t>
  </si>
  <si>
    <t>8302,7295</t>
  </si>
  <si>
    <t>7926,1145</t>
  </si>
  <si>
    <t>8680,0313</t>
  </si>
  <si>
    <t>9063,6685</t>
  </si>
  <si>
    <t>7886,6605</t>
  </si>
  <si>
    <t>8017,1428</t>
  </si>
  <si>
    <t>10751,6478</t>
  </si>
  <si>
    <t>7384,1698</t>
  </si>
  <si>
    <t>8384,6395</t>
  </si>
  <si>
    <t>89</t>
  </si>
  <si>
    <t>8626,8402</t>
  </si>
  <si>
    <t>11538,4844</t>
  </si>
  <si>
    <t>11600,613</t>
  </si>
  <si>
    <t>11072,0505</t>
  </si>
  <si>
    <t>12372,2614</t>
  </si>
  <si>
    <t>12309,5953</t>
  </si>
  <si>
    <t>12166,4506</t>
  </si>
  <si>
    <t>11665,8824</t>
  </si>
  <si>
    <t>9476,215</t>
  </si>
  <si>
    <t>9202,9795</t>
  </si>
  <si>
    <t>9531,5793</t>
  </si>
  <si>
    <t>9143,2411</t>
  </si>
  <si>
    <t>9457,3463</t>
  </si>
  <si>
    <t>10049,6425</t>
  </si>
  <si>
    <t>9386,3089</t>
  </si>
  <si>
    <t>8894,8979</t>
  </si>
  <si>
    <t>8458,8881</t>
  </si>
  <si>
    <t>7624,7311</t>
  </si>
  <si>
    <t>8044,17</t>
  </si>
  <si>
    <t>7886,6133</t>
  </si>
  <si>
    <t>8353,8316</t>
  </si>
  <si>
    <t>8548,5791</t>
  </si>
  <si>
    <t>9836,1396</t>
  </si>
  <si>
    <t>9898,7807</t>
  </si>
  <si>
    <t>9389,3599</t>
  </si>
  <si>
    <t>9706,2981</t>
  </si>
  <si>
    <t>9936,3348</t>
  </si>
  <si>
    <t>9702,38</t>
  </si>
  <si>
    <t>9827,1413</t>
  </si>
  <si>
    <t>9234,0957</t>
  </si>
  <si>
    <t>9162,8193</t>
  </si>
  <si>
    <t>10803,2528</t>
  </si>
  <si>
    <t>10621,8136</t>
  </si>
  <si>
    <t>9894,4514</t>
  </si>
  <si>
    <t>10893,4252</t>
  </si>
  <si>
    <t>9474,6115</t>
  </si>
  <si>
    <t>9762,7663</t>
  </si>
  <si>
    <t>9712,1992</t>
  </si>
  <si>
    <t>9230,9799</t>
  </si>
  <si>
    <t>9428,2602</t>
  </si>
  <si>
    <t>9582,7822</t>
  </si>
  <si>
    <t>9735,0403</t>
  </si>
  <si>
    <t>9687,5801</t>
  </si>
  <si>
    <t>9368,7706</t>
  </si>
  <si>
    <t>9283,6042</t>
  </si>
  <si>
    <t>10063,2401</t>
  </si>
  <si>
    <t>10352,4807</t>
  </si>
  <si>
    <t>9946,2115</t>
  </si>
  <si>
    <t>9871,0049</t>
  </si>
  <si>
    <t>9490,5471</t>
  </si>
  <si>
    <t>9840,8457</t>
  </si>
  <si>
    <t>9821,3638</t>
  </si>
  <si>
    <t>9642,9016</t>
  </si>
  <si>
    <t>9879,6088</t>
  </si>
  <si>
    <t>9960,8437</t>
  </si>
  <si>
    <t>10001,4949</t>
  </si>
  <si>
    <t>9841,3581</t>
  </si>
  <si>
    <t>10553,5882</t>
  </si>
  <si>
    <t>10406,9262</t>
  </si>
  <si>
    <t>9864,3728</t>
  </si>
  <si>
    <t>10041,6304</t>
  </si>
  <si>
    <t>10593,2921</t>
  </si>
  <si>
    <t>10193,5346</t>
  </si>
  <si>
    <t>10421,9128</t>
  </si>
  <si>
    <t>7351,7746</t>
  </si>
  <si>
    <t>7320,4231</t>
  </si>
  <si>
    <t>7347,7916</t>
  </si>
  <si>
    <t>6982,2529</t>
  </si>
  <si>
    <t>6931,6074</t>
  </si>
  <si>
    <t>7369,3942</t>
  </si>
  <si>
    <t>7293,6616</t>
  </si>
  <si>
    <t>8073,6627</t>
  </si>
  <si>
    <t>7688,4669</t>
  </si>
  <si>
    <t>7017,8002</t>
  </si>
  <si>
    <t>7342,8658</t>
  </si>
  <si>
    <t>7068,5292</t>
  </si>
  <si>
    <t>7741,0102</t>
  </si>
  <si>
    <t>7776,5032</t>
  </si>
  <si>
    <t>9540,9531</t>
  </si>
  <si>
    <t>9769,8965</t>
  </si>
  <si>
    <t>12202,0059</t>
  </si>
  <si>
    <t>13202,1436</t>
  </si>
  <si>
    <t>11660,065</t>
  </si>
  <si>
    <t>12734,3322</t>
  </si>
  <si>
    <t>10213,7353</t>
  </si>
  <si>
    <t>8236,2857</t>
  </si>
  <si>
    <t>8310,7487</t>
  </si>
  <si>
    <t>7933,3471</t>
  </si>
  <si>
    <t>8087,2268</t>
  </si>
  <si>
    <t>8328,5811</t>
  </si>
  <si>
    <t>8870,1388</t>
  </si>
  <si>
    <t>8271,6454</t>
  </si>
  <si>
    <t>10531,0319</t>
  </si>
  <si>
    <t>11578,5911</t>
  </si>
  <si>
    <t>11620,6704</t>
  </si>
  <si>
    <t>11468,216</t>
  </si>
  <si>
    <t>11816,3893</t>
  </si>
  <si>
    <t>11439,4817</t>
  </si>
  <si>
    <t>11102,6118</t>
  </si>
  <si>
    <t>9864,6215</t>
  </si>
  <si>
    <t>10616,9913</t>
  </si>
  <si>
    <t>11315,5995</t>
  </si>
  <si>
    <t>10014,6799</t>
  </si>
  <si>
    <t>10843,2451</t>
  </si>
  <si>
    <t>11299,7836</t>
  </si>
  <si>
    <t>10299,7148</t>
  </si>
  <si>
    <t>9216,2118</t>
  </si>
  <si>
    <t>8866,2776</t>
  </si>
  <si>
    <t>8924,4983</t>
  </si>
  <si>
    <t>9242,3335</t>
  </si>
  <si>
    <t>8233,4767</t>
  </si>
  <si>
    <t>7848,1164</t>
  </si>
  <si>
    <t>8974,1837</t>
  </si>
  <si>
    <t>9206,624</t>
  </si>
  <si>
    <t>8791,6637</t>
  </si>
  <si>
    <t>8388,8495</t>
  </si>
  <si>
    <t>8603,3503</t>
  </si>
  <si>
    <t>8446,3745</t>
  </si>
  <si>
    <t>8064,0712</t>
  </si>
  <si>
    <t>8892,1372</t>
  </si>
  <si>
    <t>9343,8347</t>
  </si>
  <si>
    <t>7999,1789</t>
  </si>
  <si>
    <t>8092,1918</t>
  </si>
  <si>
    <t>10897,8181</t>
  </si>
  <si>
    <t>7508,9641</t>
  </si>
  <si>
    <t>8553,2672</t>
  </si>
  <si>
    <t>8819,1806</t>
  </si>
  <si>
    <t>11843,5418</t>
  </si>
  <si>
    <t>11920,8827</t>
  </si>
  <si>
    <t>11433,916</t>
  </si>
  <si>
    <t>12403,6217</t>
  </si>
  <si>
    <t>12514,4753</t>
  </si>
  <si>
    <t>12426,7877</t>
  </si>
  <si>
    <t>11952,2159</t>
  </si>
  <si>
    <t>9715,7343</t>
  </si>
  <si>
    <t>9438,8273</t>
  </si>
  <si>
    <t>9670,49</t>
  </si>
  <si>
    <t>9396,7507</t>
  </si>
  <si>
    <t>9698,2958</t>
  </si>
  <si>
    <t>10301,6157</t>
  </si>
  <si>
    <t>9621,3785</t>
  </si>
  <si>
    <t>8875,6495</t>
  </si>
  <si>
    <t>8543,4315</t>
  </si>
  <si>
    <t>7804,5637</t>
  </si>
  <si>
    <t>8128,2741</t>
  </si>
  <si>
    <t>7848,546</t>
  </si>
  <si>
    <t>8429,7808</t>
  </si>
  <si>
    <t>8584,9379</t>
  </si>
  <si>
    <t>10107,6944</t>
  </si>
  <si>
    <t>10158,5138</t>
  </si>
  <si>
    <t>9618,7963</t>
  </si>
  <si>
    <t>9936,4168</t>
  </si>
  <si>
    <t>10218,1866</t>
  </si>
  <si>
    <t>9886,7334</t>
  </si>
  <si>
    <t>10086,4793</t>
  </si>
  <si>
    <t>9490,7233</t>
  </si>
  <si>
    <t>9414,6473</t>
  </si>
  <si>
    <t>11036,2353</t>
  </si>
  <si>
    <t>10910,1079</t>
  </si>
  <si>
    <t>10316,6973</t>
  </si>
  <si>
    <t>11359,7523</t>
  </si>
  <si>
    <t>9748,309</t>
  </si>
  <si>
    <t>9987,8095</t>
  </si>
  <si>
    <t>9932,063</t>
  </si>
  <si>
    <t>9462,814</t>
  </si>
  <si>
    <t>9642,1073</t>
  </si>
  <si>
    <t>9817,4281</t>
  </si>
  <si>
    <t>9900,9747</t>
  </si>
  <si>
    <t>9908,218</t>
  </si>
  <si>
    <t>9626,4856</t>
  </si>
  <si>
    <t>9561,5546</t>
  </si>
  <si>
    <t>10259,8662</t>
  </si>
  <si>
    <t>10598,6158</t>
  </si>
  <si>
    <t>10315,9566</t>
  </si>
  <si>
    <t>10250,9204</t>
  </si>
  <si>
    <t>9762,7718</t>
  </si>
  <si>
    <t>202512</t>
  </si>
  <si>
    <t>10115,6707</t>
  </si>
  <si>
    <t>10107,6074</t>
  </si>
  <si>
    <t>9968,3824</t>
  </si>
  <si>
    <t>10137,067</t>
  </si>
  <si>
    <t>10255,4297</t>
  </si>
  <si>
    <t>10258,6285</t>
  </si>
  <si>
    <t>10121,3715</t>
  </si>
  <si>
    <t>10831,7216</t>
  </si>
  <si>
    <t>10770,1668</t>
  </si>
  <si>
    <t>10337,6826</t>
  </si>
  <si>
    <t>10396,0211</t>
  </si>
  <si>
    <t>10943,8035</t>
  </si>
  <si>
    <t>10500,1758</t>
  </si>
  <si>
    <t>10748,4071</t>
  </si>
  <si>
    <t>7576,6269</t>
  </si>
  <si>
    <t>7518,2133</t>
  </si>
  <si>
    <t>7516,5436</t>
  </si>
  <si>
    <t>7157,5532</t>
  </si>
  <si>
    <t>7123,9874</t>
  </si>
  <si>
    <t>7543,5842</t>
  </si>
  <si>
    <t>7499,3541</t>
  </si>
  <si>
    <t>8178,1261</t>
  </si>
  <si>
    <t>7756,0617</t>
  </si>
  <si>
    <t>7070,125</t>
  </si>
  <si>
    <t>7402,1169</t>
  </si>
  <si>
    <t>7171,4375</t>
  </si>
  <si>
    <t>7810,6175</t>
  </si>
  <si>
    <t>7861,3245</t>
  </si>
  <si>
    <t>9902,1871</t>
  </si>
  <si>
    <t>10096,164</t>
  </si>
  <si>
    <t>12656,7465</t>
  </si>
  <si>
    <t>13524,9842</t>
  </si>
  <si>
    <t>11952,6922</t>
  </si>
  <si>
    <t>13096,1766</t>
  </si>
  <si>
    <t>10561,7634</t>
  </si>
  <si>
    <t>8427,1983</t>
  </si>
  <si>
    <t>8458,4673</t>
  </si>
  <si>
    <t>8067,6749</t>
  </si>
  <si>
    <t>8222,6132</t>
  </si>
  <si>
    <t>8528,1778</t>
  </si>
  <si>
    <t>8956,4794</t>
  </si>
  <si>
    <t>8436,8959</t>
  </si>
  <si>
    <t>10784,5491</t>
  </si>
  <si>
    <t>11799,1155</t>
  </si>
  <si>
    <t>11811,077</t>
  </si>
  <si>
    <t>11688,2773</t>
  </si>
  <si>
    <t>12026,5347</t>
  </si>
  <si>
    <t>11636,5027</t>
  </si>
  <si>
    <t>11335,1633</t>
  </si>
  <si>
    <t>10280,643</t>
  </si>
  <si>
    <t>11002,1714</t>
  </si>
  <si>
    <t>11727,5876</t>
  </si>
  <si>
    <t>10475,8587</t>
  </si>
  <si>
    <t>11269,5674</t>
  </si>
  <si>
    <t>11790,9282</t>
  </si>
  <si>
    <t>10712,0821</t>
  </si>
  <si>
    <t>9552,419</t>
  </si>
  <si>
    <t>9141,1429</t>
  </si>
  <si>
    <t>9171,0257</t>
  </si>
  <si>
    <t>9500,821</t>
  </si>
  <si>
    <t>8479,5308</t>
  </si>
  <si>
    <t>8082,7422</t>
  </si>
  <si>
    <t>9271,0637</t>
  </si>
  <si>
    <t>9457,6598</t>
  </si>
  <si>
    <t>9019,7418</t>
  </si>
  <si>
    <t>8637,8517</t>
  </si>
  <si>
    <t>8692,417</t>
  </si>
  <si>
    <t>8667,588</t>
  </si>
  <si>
    <t>8220,429</t>
  </si>
  <si>
    <t>9118,0448</t>
  </si>
  <si>
    <t>9307,1766</t>
  </si>
  <si>
    <t>8109,6171</t>
  </si>
  <si>
    <t>7923,8269</t>
  </si>
  <si>
    <t>11010,2467</t>
  </si>
  <si>
    <t>7629,6965</t>
  </si>
  <si>
    <t>8641,4408</t>
  </si>
  <si>
    <t>8851,3058</t>
  </si>
  <si>
    <t>12160,9447</t>
  </si>
  <si>
    <t>12399,0533</t>
  </si>
  <si>
    <t>11870,5722</t>
  </si>
  <si>
    <t>12619,7848</t>
  </si>
  <si>
    <t>13083,173</t>
  </si>
  <si>
    <t>12663,1097</t>
  </si>
  <si>
    <t>12333,0229</t>
  </si>
  <si>
    <t>10043,411</t>
  </si>
  <si>
    <t>9624,1111</t>
  </si>
  <si>
    <t>9892,2079</t>
  </si>
  <si>
    <t>9591,4839</t>
  </si>
  <si>
    <t>9918,33</t>
  </si>
  <si>
    <t>10518,1956</t>
  </si>
  <si>
    <t>9875,41</t>
  </si>
  <si>
    <t>8947,0847</t>
  </si>
  <si>
    <t>8600,176</t>
  </si>
  <si>
    <t>7793,61</t>
  </si>
  <si>
    <t>8190,278</t>
  </si>
  <si>
    <t>7797,7046</t>
  </si>
  <si>
    <t>8428,1142</t>
  </si>
  <si>
    <t>8637,1055</t>
  </si>
  <si>
    <t>10407,4143</t>
  </si>
  <si>
    <t>10470,6116</t>
  </si>
  <si>
    <t>9987,7566</t>
  </si>
  <si>
    <t>10208,427</t>
  </si>
  <si>
    <t>10566,9801</t>
  </si>
  <si>
    <t>10148,4029</t>
  </si>
  <si>
    <t>10392,4922</t>
  </si>
  <si>
    <t>9783,931</t>
  </si>
  <si>
    <t>9751,2709</t>
  </si>
  <si>
    <t>11427,162</t>
  </si>
  <si>
    <t>11250,8406</t>
  </si>
  <si>
    <t>10630,0809</t>
  </si>
  <si>
    <t>11761,3886</t>
  </si>
  <si>
    <t>10069,0986</t>
  </si>
  <si>
    <t>10227,1668</t>
  </si>
  <si>
    <t>10196,6562</t>
  </si>
  <si>
    <t>9773,6638</t>
  </si>
  <si>
    <t>9879,1068</t>
  </si>
  <si>
    <t>10102,9439</t>
  </si>
  <si>
    <t>10161,2679</t>
  </si>
  <si>
    <t>10162,6429</t>
  </si>
  <si>
    <t>9953,0436</t>
  </si>
  <si>
    <t>9898,6113</t>
  </si>
  <si>
    <t>10635,4718</t>
  </si>
  <si>
    <t>10918,0103</t>
  </si>
  <si>
    <t>10633,001</t>
  </si>
  <si>
    <t>10500,2139</t>
  </si>
  <si>
    <t>10090,5744</t>
  </si>
  <si>
    <t>202601</t>
  </si>
  <si>
    <t>10395,7458</t>
  </si>
  <si>
    <t>10400,4968</t>
  </si>
  <si>
    <t>10350,7115</t>
  </si>
  <si>
    <t>10425,8507</t>
  </si>
  <si>
    <t>10561,6315</t>
  </si>
  <si>
    <t>10554,0348</t>
  </si>
  <si>
    <t>10413,0309</t>
  </si>
  <si>
    <t>11382,0015</t>
  </si>
  <si>
    <t>11257,2532</t>
  </si>
  <si>
    <t>10833,3964</t>
  </si>
  <si>
    <t>10823,6545</t>
  </si>
  <si>
    <t>11378,8779</t>
  </si>
  <si>
    <t>10853,2056</t>
  </si>
  <si>
    <t>11251,1166</t>
  </si>
  <si>
    <t>7675,7163</t>
  </si>
  <si>
    <t>7640,9299</t>
  </si>
  <si>
    <t>7645,4722</t>
  </si>
  <si>
    <t>7274,6871</t>
  </si>
  <si>
    <t>7230,463</t>
  </si>
  <si>
    <t>7710,4912</t>
  </si>
  <si>
    <t>7612,5319</t>
  </si>
  <si>
    <t>8055,9667</t>
  </si>
  <si>
    <t>7787,7281</t>
  </si>
  <si>
    <t>7155,1636</t>
  </si>
  <si>
    <t>7404,2941</t>
  </si>
  <si>
    <t>7162,3375</t>
  </si>
  <si>
    <t>7911,8052</t>
  </si>
  <si>
    <t>7825,2642</t>
  </si>
  <si>
    <t>10108,1109</t>
  </si>
  <si>
    <t>10430,2765</t>
  </si>
  <si>
    <t>13851,3152</t>
  </si>
  <si>
    <t>13892,5255</t>
  </si>
  <si>
    <t>12176,709</t>
  </si>
  <si>
    <t>13674,7411</t>
  </si>
  <si>
    <t>10879,7233</t>
  </si>
  <si>
    <t>8554,6652</t>
  </si>
  <si>
    <t>8641,1274</t>
  </si>
  <si>
    <t>8186,8282</t>
  </si>
  <si>
    <t>8392,4497</t>
  </si>
  <si>
    <t>8714,4706</t>
  </si>
  <si>
    <t>9138,3899</t>
  </si>
  <si>
    <t>8591,3743</t>
  </si>
  <si>
    <t>11019,3228</t>
  </si>
  <si>
    <t>12091,5919</t>
  </si>
  <si>
    <t>12069,2806</t>
  </si>
  <si>
    <t>11991,6553</t>
  </si>
  <si>
    <t>12299,4271</t>
  </si>
  <si>
    <t>11945,3178</t>
  </si>
  <si>
    <t>11600,3264</t>
  </si>
  <si>
    <t>10407,6095</t>
  </si>
  <si>
    <t>11217,7007</t>
  </si>
  <si>
    <t>11936,2457</t>
  </si>
  <si>
    <t>10741,69</t>
  </si>
  <si>
    <t>11773,7019</t>
  </si>
  <si>
    <t>12113,3842</t>
  </si>
  <si>
    <t>10909,2325</t>
  </si>
  <si>
    <t>9922,1658</t>
  </si>
  <si>
    <t>9452,1209</t>
  </si>
  <si>
    <t>9479,9736</t>
  </si>
  <si>
    <t>9811,6986</t>
  </si>
  <si>
    <t>8777,9273</t>
  </si>
  <si>
    <t>8385,1977</t>
  </si>
  <si>
    <t>9607,476</t>
  </si>
  <si>
    <t>9554,5894</t>
  </si>
  <si>
    <t>9041,9583</t>
  </si>
  <si>
    <t>8788,1509</t>
  </si>
  <si>
    <t>8913,7957</t>
  </si>
  <si>
    <t>8888,7292</t>
  </si>
  <si>
    <t>8419,0716</t>
  </si>
  <si>
    <t>9211,9913</t>
  </si>
  <si>
    <t>9370,5914</t>
  </si>
  <si>
    <t>8158,8504</t>
  </si>
  <si>
    <t>7974,665</t>
  </si>
  <si>
    <t>11082,995</t>
  </si>
  <si>
    <t>7697,4675</t>
  </si>
  <si>
    <t>8629,5392</t>
  </si>
  <si>
    <t>8906,6187</t>
  </si>
  <si>
    <t>12745,8836</t>
  </si>
  <si>
    <t>12870,3043</t>
  </si>
  <si>
    <t>12387,4421</t>
  </si>
  <si>
    <t>13002,6597</t>
  </si>
  <si>
    <t>13521,2697</t>
  </si>
  <si>
    <t>13020,486</t>
  </si>
  <si>
    <t>12843,2705</t>
  </si>
  <si>
    <t>10334,5796</t>
  </si>
  <si>
    <t>9876,1089</t>
  </si>
  <si>
    <t>10150,4567</t>
  </si>
  <si>
    <t>9756,5008</t>
  </si>
  <si>
    <t>10278,1807</t>
  </si>
  <si>
    <t>10776,3182</t>
  </si>
  <si>
    <t>10144,8418</t>
  </si>
  <si>
    <t>9433,312</t>
  </si>
  <si>
    <t>9145,1547</t>
  </si>
  <si>
    <t>8307,2978</t>
  </si>
  <si>
    <t>8683,8962</t>
  </si>
  <si>
    <t>8203,2325</t>
  </si>
  <si>
    <t>8671,9133</t>
  </si>
  <si>
    <t>9130,0503</t>
  </si>
  <si>
    <t>10683,2854</t>
  </si>
  <si>
    <t>10738,6474</t>
  </si>
  <si>
    <t>10288,0689</t>
  </si>
  <si>
    <t>10469,8051</t>
  </si>
  <si>
    <t>10832,4432</t>
  </si>
  <si>
    <t>10436,7053</t>
  </si>
  <si>
    <t>10665,8531</t>
  </si>
  <si>
    <t>9983,5265</t>
  </si>
  <si>
    <t>9976,208</t>
  </si>
  <si>
    <t>12041,3632</t>
  </si>
  <si>
    <t>11499,3229</t>
  </si>
  <si>
    <t>11012,6054</t>
  </si>
  <si>
    <t>12112,6604</t>
  </si>
  <si>
    <t>10313,8016</t>
  </si>
  <si>
    <t>10505,7435</t>
  </si>
  <si>
    <t>10499,5388</t>
  </si>
  <si>
    <t>10093,6502</t>
  </si>
  <si>
    <t>10150,36</t>
  </si>
  <si>
    <t>10352,7344</t>
  </si>
  <si>
    <t>10401,3441</t>
  </si>
  <si>
    <t>10447,6709</t>
  </si>
  <si>
    <t>10235,3043</t>
  </si>
  <si>
    <t>10168,0471</t>
  </si>
  <si>
    <t>11231,3817</t>
  </si>
  <si>
    <t>11259,8658</t>
  </si>
  <si>
    <t>11078,8834</t>
  </si>
  <si>
    <t>10932,9131</t>
  </si>
  <si>
    <t>10401,8561</t>
  </si>
  <si>
    <t>lookup_key</t>
  </si>
  <si>
    <t>Appliances</t>
  </si>
  <si>
    <t>Gift</t>
  </si>
  <si>
    <t>Home Goods</t>
  </si>
  <si>
    <t>Internet Services</t>
  </si>
  <si>
    <t>Gas Bill (Metrogas)</t>
  </si>
  <si>
    <t>Municipal Tax (ABL)</t>
  </si>
  <si>
    <t>Meals</t>
  </si>
  <si>
    <t>Restaurant</t>
  </si>
  <si>
    <t>Cab/Uber</t>
  </si>
  <si>
    <t>Delivery</t>
  </si>
  <si>
    <t>Stationery / Books</t>
  </si>
  <si>
    <t>Doctor Visit</t>
  </si>
  <si>
    <t>Pharmacy</t>
  </si>
  <si>
    <t>Home Maintenance</t>
  </si>
  <si>
    <t>Mobile Plan</t>
  </si>
  <si>
    <t>Electricity Bill (Edesur)</t>
  </si>
  <si>
    <t>Water Bill (AySA)</t>
  </si>
  <si>
    <t>Building Expenses</t>
  </si>
  <si>
    <t>Rent</t>
  </si>
  <si>
    <t>Greengrocer</t>
  </si>
  <si>
    <t>Gasoline</t>
  </si>
  <si>
    <t>Rent &amp; Building Expenses</t>
  </si>
  <si>
    <t>Event</t>
  </si>
  <si>
    <t>Car Insurance</t>
  </si>
  <si>
    <t>Municipal Tax (Agip)</t>
  </si>
  <si>
    <t>Health Insurance</t>
  </si>
  <si>
    <t>Car Maintenance</t>
  </si>
  <si>
    <t>Medical Tests</t>
  </si>
  <si>
    <t>Toll</t>
  </si>
  <si>
    <t>Vehicle Technical Inspection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</si>
</sst>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/MM/yyyy"/>
    <numFmt numFmtId="166" formatCode="d/m/yyyy"/>
    <numFmt numFmtId="167" formatCode="#,##0.0"/>
  </numFmts>
  <fonts count="16">
    <font>
      <sz val="10.0"/>
      <color rgb="FF000000"/>
      <name val="Arial"/>
      <scheme val="minor"/>
    </font>
    <font>
      <b/>
      <sz val="10.0"/>
      <color rgb="FFFFFFFF"/>
      <name val="Roboto"/>
    </font>
    <font>
      <color rgb="FF434343"/>
      <name val="Roboto"/>
    </font>
    <font>
      <b/>
      <color rgb="FFFFFFFF"/>
      <name val="Roboto"/>
    </font>
    <font>
      <b/>
      <sz val="12.0"/>
      <color rgb="FFFFFFFF"/>
      <name val="Roboto"/>
    </font>
    <font>
      <b/>
      <color rgb="FF434343"/>
      <name val="Roboto"/>
    </font>
    <font>
      <color theme="1"/>
      <name val="Arial"/>
      <scheme val="minor"/>
    </font>
    <font>
      <b/>
      <color theme="1"/>
      <name val="Roboto"/>
    </font>
    <font>
      <color theme="1"/>
      <name val="Roboto"/>
    </font>
    <font>
      <b/>
      <color rgb="FFFFFFFF"/>
      <name val="Arial"/>
      <scheme val="minor"/>
    </font>
    <font>
      <b/>
      <color theme="1"/>
      <name val="Arial"/>
      <scheme val="minor"/>
    </font>
    <font/>
    <font>
      <color rgb="FF666666"/>
      <name val="Arial"/>
      <scheme val="minor"/>
    </font>
    <font>
      <color theme="1"/>
      <name val="Arial"/>
    </font>
    <font>
      <color rgb="FF434343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FFFFF"/>
        <bgColor rgb="FFFFFFFF"/>
      </patternFill>
    </fill>
    <fill>
      <patternFill patternType="solid">
        <fgColor rgb="FF9FC5E8"/>
        <bgColor rgb="FF9FC5E8"/>
      </patternFill>
    </fill>
    <fill>
      <patternFill patternType="solid">
        <fgColor rgb="FFDCE6F1"/>
        <bgColor rgb="FFDCE6F1"/>
      </patternFill>
    </fill>
  </fills>
  <borders count="24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CCCCCC"/>
      </left>
      <top style="thin">
        <color rgb="FFCCCCCC"/>
      </top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left style="thin">
        <color rgb="FF999999"/>
      </left>
      <right style="thin">
        <color rgb="FFCCCCCC"/>
      </right>
      <top style="thin">
        <color rgb="FF999999"/>
      </top>
      <bottom style="thin">
        <color rgb="FF999999"/>
      </bottom>
    </border>
    <border>
      <left style="thin">
        <color rgb="FFCCCCCC"/>
      </left>
      <right style="thin">
        <color rgb="FFCCCCCC"/>
      </right>
      <top style="thin">
        <color rgb="FF999999"/>
      </top>
      <bottom style="thin">
        <color rgb="FF999999"/>
      </bottom>
    </border>
    <border>
      <left style="thin">
        <color rgb="FFCCCCCC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top style="thin">
        <color rgb="FF999999"/>
      </top>
    </border>
    <border>
      <top style="thin">
        <color rgb="FF999999"/>
      </top>
    </border>
    <border>
      <right style="thin">
        <color rgb="FF999999"/>
      </right>
      <top style="thin">
        <color rgb="FF999999"/>
      </top>
    </border>
    <border>
      <left style="thin">
        <color rgb="FF999999"/>
      </left>
    </border>
    <border>
      <right style="thin">
        <color rgb="FF999999"/>
      </right>
    </border>
    <border>
      <left style="thin">
        <color rgb="FF999999"/>
      </left>
      <bottom style="thin">
        <color rgb="FF999999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999999"/>
      </bottom>
    </border>
    <border>
      <bottom style="thin">
        <color rgb="FF999999"/>
      </bottom>
    </border>
    <border>
      <right style="thin">
        <color rgb="FF999999"/>
      </right>
      <bottom style="thin">
        <color rgb="FF999999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2" fontId="1" numFmtId="0" xfId="0" applyAlignment="1" applyBorder="1" applyFont="1">
      <alignment horizontal="center" readingOrder="0"/>
    </xf>
    <xf borderId="3" fillId="2" fontId="1" numFmtId="0" xfId="0" applyAlignment="1" applyBorder="1" applyFont="1">
      <alignment horizontal="center" readingOrder="0"/>
    </xf>
    <xf borderId="0" fillId="0" fontId="2" numFmtId="0" xfId="0" applyFont="1"/>
    <xf borderId="4" fillId="0" fontId="2" numFmtId="164" xfId="0" applyBorder="1" applyFont="1" applyNumberFormat="1"/>
    <xf borderId="0" fillId="0" fontId="2" numFmtId="0" xfId="0" applyFont="1"/>
    <xf borderId="0" fillId="0" fontId="2" numFmtId="2" xfId="0" applyFont="1" applyNumberFormat="1"/>
    <xf borderId="5" fillId="0" fontId="2" numFmtId="0" xfId="0" applyAlignment="1" applyBorder="1" applyFont="1">
      <alignment horizontal="right"/>
    </xf>
    <xf borderId="4" fillId="0" fontId="2" numFmtId="165" xfId="0" applyBorder="1" applyFont="1" applyNumberFormat="1"/>
    <xf borderId="4" fillId="0" fontId="2" numFmtId="166" xfId="0" applyBorder="1" applyFont="1" applyNumberFormat="1"/>
    <xf borderId="6" fillId="0" fontId="2" numFmtId="165" xfId="0" applyBorder="1" applyFont="1" applyNumberFormat="1"/>
    <xf borderId="7" fillId="0" fontId="2" numFmtId="0" xfId="0" applyBorder="1" applyFont="1"/>
    <xf borderId="7" fillId="0" fontId="2" numFmtId="2" xfId="0" applyBorder="1" applyFont="1" applyNumberFormat="1"/>
    <xf borderId="8" fillId="0" fontId="2" numFmtId="0" xfId="0" applyAlignment="1" applyBorder="1" applyFont="1">
      <alignment horizontal="right"/>
    </xf>
    <xf borderId="0" fillId="0" fontId="2" numFmtId="0" xfId="0" applyAlignment="1" applyFont="1">
      <alignment horizontal="right"/>
    </xf>
    <xf borderId="0" fillId="0" fontId="1" numFmtId="0" xfId="0" applyAlignment="1" applyFont="1">
      <alignment horizontal="center"/>
    </xf>
    <xf borderId="0" fillId="0" fontId="1" numFmtId="4" xfId="0" applyAlignment="1" applyFont="1" applyNumberFormat="1">
      <alignment horizontal="center"/>
    </xf>
    <xf borderId="0" fillId="0" fontId="1" numFmtId="4" xfId="0" applyAlignment="1" applyFont="1" applyNumberFormat="1">
      <alignment horizontal="center" readingOrder="0"/>
    </xf>
    <xf borderId="0" fillId="3" fontId="1" numFmtId="4" xfId="0" applyAlignment="1" applyFill="1" applyFont="1" applyNumberFormat="1">
      <alignment horizontal="center" readingOrder="0"/>
    </xf>
    <xf borderId="0" fillId="0" fontId="1" numFmtId="2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3" fontId="3" numFmtId="2" xfId="0" applyAlignment="1" applyFont="1" applyNumberFormat="1">
      <alignment horizontal="center" readingOrder="0"/>
    </xf>
    <xf borderId="0" fillId="3" fontId="3" numFmtId="0" xfId="0" applyAlignment="1" applyFont="1">
      <alignment horizontal="center" readingOrder="0"/>
    </xf>
    <xf borderId="0" fillId="3" fontId="3" numFmtId="4" xfId="0" applyAlignment="1" applyFont="1" applyNumberFormat="1">
      <alignment horizontal="center" readingOrder="0"/>
    </xf>
    <xf borderId="0" fillId="2" fontId="4" numFmtId="0" xfId="0" applyAlignment="1" applyFont="1">
      <alignment horizontal="center" readingOrder="0"/>
    </xf>
    <xf borderId="0" fillId="2" fontId="4" numFmtId="2" xfId="0" applyAlignment="1" applyFont="1" applyNumberFormat="1">
      <alignment horizontal="center" readingOrder="0"/>
    </xf>
    <xf borderId="1" fillId="2" fontId="1" numFmtId="0" xfId="0" applyAlignment="1" applyBorder="1" applyFont="1">
      <alignment horizontal="center"/>
    </xf>
    <xf borderId="2" fillId="2" fontId="1" numFmtId="4" xfId="0" applyAlignment="1" applyBorder="1" applyFont="1" applyNumberFormat="1">
      <alignment horizontal="center"/>
    </xf>
    <xf borderId="2" fillId="2" fontId="1" numFmtId="4" xfId="0" applyAlignment="1" applyBorder="1" applyFont="1" applyNumberFormat="1">
      <alignment horizontal="center" readingOrder="0"/>
    </xf>
    <xf borderId="2" fillId="2" fontId="1" numFmtId="2" xfId="0" applyAlignment="1" applyBorder="1" applyFont="1" applyNumberFormat="1">
      <alignment horizontal="center" readingOrder="0"/>
    </xf>
    <xf borderId="2" fillId="2" fontId="1" numFmtId="0" xfId="0" applyAlignment="1" applyBorder="1" applyFont="1">
      <alignment horizontal="center" readingOrder="0"/>
    </xf>
    <xf borderId="3" fillId="2" fontId="1" numFmtId="0" xfId="0" applyAlignment="1" applyBorder="1" applyFont="1">
      <alignment readingOrder="0"/>
    </xf>
    <xf borderId="9" fillId="2" fontId="3" numFmtId="2" xfId="0" applyAlignment="1" applyBorder="1" applyFont="1" applyNumberFormat="1">
      <alignment horizontal="center" readingOrder="0"/>
    </xf>
    <xf borderId="10" fillId="2" fontId="3" numFmtId="0" xfId="0" applyAlignment="1" applyBorder="1" applyFont="1">
      <alignment horizontal="center" readingOrder="0"/>
    </xf>
    <xf borderId="11" fillId="2" fontId="3" numFmtId="4" xfId="0" applyAlignment="1" applyBorder="1" applyFont="1" applyNumberFormat="1">
      <alignment horizontal="center" readingOrder="0"/>
    </xf>
    <xf borderId="4" fillId="0" fontId="5" numFmtId="0" xfId="0" applyAlignment="1" applyBorder="1" applyFont="1">
      <alignment horizontal="right"/>
    </xf>
    <xf borderId="0" fillId="0" fontId="2" numFmtId="4" xfId="0" applyFont="1" applyNumberFormat="1"/>
    <xf borderId="0" fillId="0" fontId="2" numFmtId="4" xfId="0" applyAlignment="1" applyFont="1" applyNumberFormat="1">
      <alignment readingOrder="0"/>
    </xf>
    <xf borderId="0" fillId="0" fontId="2" numFmtId="3" xfId="0" applyFont="1" applyNumberFormat="1"/>
    <xf borderId="5" fillId="0" fontId="2" numFmtId="0" xfId="0" applyBorder="1" applyFont="1"/>
    <xf borderId="12" fillId="0" fontId="2" numFmtId="167" xfId="0" applyBorder="1" applyFont="1" applyNumberFormat="1"/>
    <xf borderId="13" fillId="0" fontId="2" numFmtId="167" xfId="0" applyBorder="1" applyFont="1" applyNumberFormat="1"/>
    <xf borderId="14" fillId="0" fontId="2" numFmtId="167" xfId="0" applyBorder="1" applyFont="1" applyNumberFormat="1"/>
    <xf borderId="6" fillId="0" fontId="5" numFmtId="0" xfId="0" applyAlignment="1" applyBorder="1" applyFont="1">
      <alignment horizontal="right"/>
    </xf>
    <xf borderId="7" fillId="0" fontId="2" numFmtId="4" xfId="0" applyBorder="1" applyFont="1" applyNumberFormat="1"/>
    <xf borderId="7" fillId="0" fontId="2" numFmtId="3" xfId="0" applyBorder="1" applyFont="1" applyNumberFormat="1"/>
    <xf borderId="8" fillId="0" fontId="2" numFmtId="0" xfId="0" applyBorder="1" applyFont="1"/>
    <xf borderId="0" fillId="0" fontId="6" numFmtId="4" xfId="0" applyFont="1" applyNumberFormat="1"/>
    <xf borderId="0" fillId="0" fontId="6" numFmtId="2" xfId="0" applyFont="1" applyNumberFormat="1"/>
    <xf borderId="0" fillId="0" fontId="6" numFmtId="0" xfId="0" applyFont="1"/>
    <xf borderId="0" fillId="0" fontId="6" numFmtId="2" xfId="0" applyAlignment="1" applyFont="1" applyNumberFormat="1">
      <alignment readingOrder="0"/>
    </xf>
    <xf borderId="0" fillId="0" fontId="6" numFmtId="0" xfId="0" applyAlignment="1" applyFont="1">
      <alignment horizontal="right"/>
    </xf>
    <xf borderId="0" fillId="0" fontId="2" numFmtId="0" xfId="0" applyAlignment="1" applyFont="1">
      <alignment horizontal="center"/>
    </xf>
    <xf borderId="0" fillId="0" fontId="2" numFmtId="4" xfId="0" applyAlignment="1" applyFont="1" applyNumberFormat="1">
      <alignment horizontal="center"/>
    </xf>
    <xf borderId="0" fillId="0" fontId="2" numFmtId="4" xfId="0" applyFont="1" applyNumberFormat="1"/>
    <xf borderId="0" fillId="0" fontId="2" numFmtId="2" xfId="0" applyFont="1" applyNumberFormat="1"/>
    <xf borderId="0" fillId="0" fontId="2" numFmtId="0" xfId="0" applyAlignment="1" applyFont="1">
      <alignment horizontal="center" vertical="center"/>
    </xf>
    <xf borderId="0" fillId="2" fontId="3" numFmtId="4" xfId="0" applyAlignment="1" applyFont="1" applyNumberFormat="1">
      <alignment horizontal="center" shrinkToFit="0" vertical="center" wrapText="1"/>
    </xf>
    <xf borderId="0" fillId="2" fontId="3" numFmtId="0" xfId="0" applyAlignment="1" applyFont="1">
      <alignment horizontal="center" shrinkToFit="0" vertical="center" wrapText="1"/>
    </xf>
    <xf borderId="0" fillId="2" fontId="3" numFmtId="2" xfId="0" applyAlignment="1" applyFont="1" applyNumberFormat="1">
      <alignment horizontal="center" shrinkToFit="0" vertical="center" wrapText="1"/>
    </xf>
    <xf borderId="0" fillId="3" fontId="3" numFmtId="0" xfId="0" applyAlignment="1" applyFont="1">
      <alignment horizontal="center" shrinkToFit="0" wrapText="1"/>
    </xf>
    <xf borderId="0" fillId="3" fontId="3" numFmtId="0" xfId="0" applyAlignment="1" applyFont="1">
      <alignment horizontal="center"/>
    </xf>
    <xf borderId="0" fillId="0" fontId="5" numFmtId="0" xfId="0" applyAlignment="1" applyFont="1">
      <alignment horizontal="right"/>
    </xf>
    <xf borderId="0" fillId="3" fontId="2" numFmtId="0" xfId="0" applyFont="1"/>
    <xf borderId="0" fillId="0" fontId="5" numFmtId="0" xfId="0" applyAlignment="1" applyFont="1">
      <alignment horizontal="right" shrinkToFit="0" wrapText="1"/>
    </xf>
    <xf borderId="0" fillId="3" fontId="2" numFmtId="0" xfId="0" applyFont="1"/>
    <xf borderId="0" fillId="3" fontId="5" numFmtId="0" xfId="0" applyAlignment="1" applyFont="1">
      <alignment horizontal="right" shrinkToFit="0" wrapText="1"/>
    </xf>
    <xf borderId="0" fillId="3" fontId="2" numFmtId="4" xfId="0" applyFont="1" applyNumberFormat="1"/>
    <xf borderId="0" fillId="0" fontId="7" numFmtId="0" xfId="0" applyAlignment="1" applyFont="1">
      <alignment horizontal="right"/>
    </xf>
    <xf borderId="0" fillId="0" fontId="8" numFmtId="4" xfId="0" applyFont="1" applyNumberFormat="1"/>
    <xf borderId="0" fillId="3" fontId="6" numFmtId="0" xfId="0" applyFont="1"/>
    <xf borderId="0" fillId="0" fontId="8" numFmtId="0" xfId="0" applyFont="1"/>
    <xf borderId="0" fillId="3" fontId="9" numFmtId="0" xfId="0" applyAlignment="1" applyFont="1">
      <alignment horizontal="center" readingOrder="0"/>
    </xf>
    <xf borderId="15" fillId="2" fontId="9" numFmtId="0" xfId="0" applyAlignment="1" applyBorder="1" applyFont="1">
      <alignment horizontal="center" readingOrder="0" shrinkToFit="0" vertical="center" wrapText="1"/>
    </xf>
    <xf borderId="16" fillId="2" fontId="9" numFmtId="4" xfId="0" applyAlignment="1" applyBorder="1" applyFont="1" applyNumberFormat="1">
      <alignment horizontal="center" readingOrder="0" shrinkToFit="0" wrapText="1"/>
    </xf>
    <xf borderId="16" fillId="2" fontId="9" numFmtId="0" xfId="0" applyAlignment="1" applyBorder="1" applyFont="1">
      <alignment horizontal="center" shrinkToFit="0" vertical="center" wrapText="1"/>
    </xf>
    <xf borderId="16" fillId="2" fontId="9" numFmtId="4" xfId="0" applyAlignment="1" applyBorder="1" applyFont="1" applyNumberFormat="1">
      <alignment horizontal="center" readingOrder="0" shrinkToFit="0" vertical="center" wrapText="1"/>
    </xf>
    <xf borderId="17" fillId="2" fontId="9" numFmtId="4" xfId="0" applyAlignment="1" applyBorder="1" applyFont="1" applyNumberFormat="1">
      <alignment horizontal="center" readingOrder="0" shrinkToFit="0" vertical="center" wrapText="1"/>
    </xf>
    <xf borderId="18" fillId="0" fontId="10" numFmtId="4" xfId="0" applyAlignment="1" applyBorder="1" applyFont="1" applyNumberFormat="1">
      <alignment horizontal="right"/>
    </xf>
    <xf borderId="0" fillId="0" fontId="6" numFmtId="167" xfId="0" applyAlignment="1" applyFont="1" applyNumberFormat="1">
      <alignment readingOrder="0"/>
    </xf>
    <xf borderId="19" fillId="0" fontId="6" numFmtId="167" xfId="0" applyAlignment="1" applyBorder="1" applyFont="1" applyNumberFormat="1">
      <alignment readingOrder="0"/>
    </xf>
    <xf borderId="18" fillId="0" fontId="10" numFmtId="0" xfId="0" applyAlignment="1" applyBorder="1" applyFont="1">
      <alignment horizontal="right"/>
    </xf>
    <xf borderId="0" fillId="0" fontId="6" numFmtId="4" xfId="0" applyFont="1" applyNumberFormat="1"/>
    <xf borderId="20" fillId="0" fontId="10" numFmtId="0" xfId="0" applyAlignment="1" applyBorder="1" applyFont="1">
      <alignment horizontal="right"/>
    </xf>
    <xf borderId="21" fillId="0" fontId="6" numFmtId="4" xfId="0" applyBorder="1" applyFont="1" applyNumberFormat="1"/>
    <xf borderId="22" fillId="0" fontId="6" numFmtId="4" xfId="0" applyBorder="1" applyFont="1" applyNumberFormat="1"/>
    <xf borderId="15" fillId="2" fontId="4" numFmtId="0" xfId="0" applyAlignment="1" applyBorder="1" applyFont="1">
      <alignment horizontal="center" readingOrder="0"/>
    </xf>
    <xf borderId="16" fillId="0" fontId="11" numFmtId="0" xfId="0" applyBorder="1" applyFont="1"/>
    <xf borderId="17" fillId="0" fontId="11" numFmtId="0" xfId="0" applyBorder="1" applyFont="1"/>
    <xf borderId="18" fillId="3" fontId="9" numFmtId="0" xfId="0" applyAlignment="1" applyBorder="1" applyFont="1">
      <alignment horizontal="center" readingOrder="0"/>
    </xf>
    <xf borderId="19" fillId="3" fontId="9" numFmtId="0" xfId="0" applyAlignment="1" applyBorder="1" applyFont="1">
      <alignment horizontal="center" readingOrder="0"/>
    </xf>
    <xf borderId="18" fillId="2" fontId="3" numFmtId="0" xfId="0" applyAlignment="1" applyBorder="1" applyFont="1">
      <alignment horizontal="center" readingOrder="0" shrinkToFit="0" vertical="center" wrapText="1"/>
    </xf>
    <xf borderId="19" fillId="2" fontId="3" numFmtId="4" xfId="0" applyAlignment="1" applyBorder="1" applyFont="1" applyNumberFormat="1">
      <alignment horizontal="center" shrinkToFit="0" vertical="center" wrapText="1"/>
    </xf>
    <xf borderId="0" fillId="0" fontId="6" numFmtId="4" xfId="0" applyAlignment="1" applyFont="1" applyNumberFormat="1">
      <alignment horizontal="right" readingOrder="0"/>
    </xf>
    <xf borderId="19" fillId="0" fontId="6" numFmtId="4" xfId="0" applyAlignment="1" applyBorder="1" applyFont="1" applyNumberFormat="1">
      <alignment horizontal="right" readingOrder="0"/>
    </xf>
    <xf borderId="0" fillId="0" fontId="6" numFmtId="4" xfId="0" applyAlignment="1" applyFont="1" applyNumberFormat="1">
      <alignment horizontal="right"/>
    </xf>
    <xf borderId="19" fillId="0" fontId="6" numFmtId="4" xfId="0" applyAlignment="1" applyBorder="1" applyFont="1" applyNumberFormat="1">
      <alignment horizontal="right"/>
    </xf>
    <xf borderId="20" fillId="0" fontId="10" numFmtId="4" xfId="0" applyAlignment="1" applyBorder="1" applyFont="1" applyNumberFormat="1">
      <alignment horizontal="right"/>
    </xf>
    <xf borderId="22" fillId="0" fontId="6" numFmtId="4" xfId="0" applyAlignment="1" applyBorder="1" applyFont="1" applyNumberFormat="1">
      <alignment horizontal="right"/>
    </xf>
    <xf borderId="23" fillId="0" fontId="6" numFmtId="4" xfId="0" applyAlignment="1" applyBorder="1" applyFont="1" applyNumberFormat="1">
      <alignment horizontal="right"/>
    </xf>
    <xf borderId="0" fillId="0" fontId="9" numFmtId="0" xfId="0" applyAlignment="1" applyFont="1">
      <alignment horizontal="center" readingOrder="0"/>
    </xf>
    <xf borderId="0" fillId="0" fontId="9" numFmtId="4" xfId="0" applyAlignment="1" applyFont="1" applyNumberFormat="1">
      <alignment horizontal="center" readingOrder="0"/>
    </xf>
    <xf borderId="15" fillId="0" fontId="9" numFmtId="2" xfId="0" applyAlignment="1" applyBorder="1" applyFont="1" applyNumberFormat="1">
      <alignment horizontal="center" readingOrder="0" shrinkToFit="0" vertical="center" wrapText="1"/>
    </xf>
    <xf borderId="16" fillId="0" fontId="9" numFmtId="2" xfId="0" applyAlignment="1" applyBorder="1" applyFont="1" applyNumberFormat="1">
      <alignment readingOrder="0" shrinkToFit="0" vertical="center" wrapText="1"/>
    </xf>
    <xf borderId="16" fillId="0" fontId="9" numFmtId="2" xfId="0" applyAlignment="1" applyBorder="1" applyFont="1" applyNumberFormat="1">
      <alignment horizontal="center" readingOrder="0" shrinkToFit="0" vertical="center" wrapText="1"/>
    </xf>
    <xf borderId="17" fillId="0" fontId="9" numFmtId="0" xfId="0" applyAlignment="1" applyBorder="1" applyFont="1">
      <alignment horizontal="center" readingOrder="0" shrinkToFit="0" vertical="center" wrapText="1"/>
    </xf>
    <xf borderId="0" fillId="0" fontId="6" numFmtId="4" xfId="0" applyAlignment="1" applyFont="1" applyNumberFormat="1">
      <alignment horizontal="center" shrinkToFit="0" wrapText="1"/>
    </xf>
    <xf borderId="20" fillId="0" fontId="6" numFmtId="1" xfId="0" applyBorder="1" applyFont="1" applyNumberFormat="1"/>
    <xf borderId="22" fillId="0" fontId="6" numFmtId="1" xfId="0" applyBorder="1" applyFont="1" applyNumberFormat="1"/>
    <xf borderId="22" fillId="0" fontId="6" numFmtId="2" xfId="0" applyAlignment="1" applyBorder="1" applyFont="1" applyNumberFormat="1">
      <alignment shrinkToFit="0" wrapText="1"/>
    </xf>
    <xf borderId="23" fillId="0" fontId="6" numFmtId="4" xfId="0" applyAlignment="1" applyBorder="1" applyFont="1" applyNumberFormat="1">
      <alignment shrinkToFit="0" wrapText="1"/>
    </xf>
    <xf borderId="0" fillId="0" fontId="6" numFmtId="4" xfId="0" applyAlignment="1" applyFont="1" applyNumberFormat="1">
      <alignment readingOrder="0"/>
    </xf>
    <xf borderId="0" fillId="0" fontId="6" numFmtId="0" xfId="0" applyAlignment="1" applyFont="1">
      <alignment shrinkToFit="0" wrapText="1"/>
    </xf>
    <xf borderId="0" fillId="0" fontId="3" numFmtId="0" xfId="0" applyAlignment="1" applyFont="1">
      <alignment horizontal="center" readingOrder="0"/>
    </xf>
    <xf borderId="0" fillId="0" fontId="3" numFmtId="4" xfId="0" applyAlignment="1" applyFont="1" applyNumberFormat="1">
      <alignment horizontal="center" readingOrder="0"/>
    </xf>
    <xf borderId="0" fillId="0" fontId="6" numFmtId="4" xfId="0" applyAlignment="1" applyFont="1" applyNumberFormat="1">
      <alignment shrinkToFit="0" wrapText="1"/>
    </xf>
    <xf borderId="0" fillId="3" fontId="6" numFmtId="0" xfId="0" applyAlignment="1" applyFont="1">
      <alignment readingOrder="0"/>
    </xf>
    <xf borderId="0" fillId="3" fontId="12" numFmtId="0" xfId="0" applyFont="1"/>
    <xf borderId="1" fillId="4" fontId="3" numFmtId="0" xfId="0" applyAlignment="1" applyBorder="1" applyFill="1" applyFont="1">
      <alignment horizontal="center" readingOrder="0"/>
    </xf>
    <xf borderId="2" fillId="4" fontId="3" numFmtId="0" xfId="0" applyAlignment="1" applyBorder="1" applyFont="1">
      <alignment horizontal="center" readingOrder="0"/>
    </xf>
    <xf borderId="2" fillId="4" fontId="3" numFmtId="0" xfId="0" applyAlignment="1" applyBorder="1" applyFont="1">
      <alignment horizontal="center"/>
    </xf>
    <xf borderId="3" fillId="4" fontId="3" numFmtId="0" xfId="0" applyAlignment="1" applyBorder="1" applyFont="1">
      <alignment horizontal="center"/>
    </xf>
    <xf borderId="4" fillId="0" fontId="2" numFmtId="0" xfId="0" applyBorder="1" applyFont="1"/>
    <xf borderId="6" fillId="0" fontId="2" numFmtId="0" xfId="0" applyBorder="1" applyFont="1"/>
    <xf borderId="0" fillId="0" fontId="6" numFmtId="49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49" xfId="0" applyFont="1" applyNumberFormat="1"/>
    <xf borderId="1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0" fontId="2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4" fillId="0" fontId="2" numFmtId="0" xfId="0" applyAlignment="1" applyBorder="1" applyFont="1">
      <alignment vertical="bottom"/>
    </xf>
    <xf borderId="6" fillId="0" fontId="2" numFmtId="0" xfId="0" applyAlignment="1" applyBorder="1" applyFont="1">
      <alignment readingOrder="0"/>
    </xf>
    <xf borderId="8" fillId="0" fontId="2" numFmtId="0" xfId="0" applyAlignment="1" applyBorder="1" applyFont="1">
      <alignment readingOrder="0"/>
    </xf>
    <xf borderId="0" fillId="0" fontId="13" numFmtId="0" xfId="0" applyAlignment="1" applyFont="1">
      <alignment vertical="bottom"/>
    </xf>
    <xf borderId="1" fillId="0" fontId="3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14" numFmtId="0" xfId="0" applyBorder="1" applyFont="1"/>
    <xf borderId="3" fillId="0" fontId="14" numFmtId="0" xfId="0" applyBorder="1" applyFont="1"/>
    <xf borderId="0" fillId="0" fontId="2" numFmtId="0" xfId="0" applyAlignment="1" applyFont="1">
      <alignment readingOrder="0"/>
    </xf>
    <xf borderId="0" fillId="0" fontId="14" numFmtId="0" xfId="0" applyFont="1"/>
    <xf borderId="5" fillId="0" fontId="14" numFmtId="0" xfId="0" applyBorder="1" applyFont="1"/>
    <xf borderId="4" fillId="0" fontId="14" numFmtId="0" xfId="0" applyBorder="1" applyFont="1"/>
    <xf borderId="6" fillId="0" fontId="14" numFmtId="0" xfId="0" applyBorder="1" applyFont="1"/>
    <xf borderId="7" fillId="0" fontId="14" numFmtId="0" xfId="0" applyBorder="1" applyFont="1"/>
    <xf borderId="8" fillId="0" fontId="14" numFmtId="0" xfId="0" applyBorder="1" applyFont="1"/>
    <xf borderId="1" fillId="2" fontId="3" numFmtId="0" xfId="0" applyAlignment="1" applyBorder="1" applyFont="1">
      <alignment horizontal="center" readingOrder="0"/>
    </xf>
    <xf borderId="2" fillId="2" fontId="3" numFmtId="0" xfId="0" applyAlignment="1" applyBorder="1" applyFont="1">
      <alignment horizontal="center" readingOrder="0"/>
    </xf>
    <xf borderId="3" fillId="2" fontId="3" numFmtId="0" xfId="0" applyAlignment="1" applyBorder="1" applyFont="1">
      <alignment horizontal="center" readingOrder="0"/>
    </xf>
    <xf quotePrefix="1" borderId="4" fillId="3" fontId="6" numFmtId="0" xfId="0" applyAlignment="1" applyBorder="1" applyFont="1">
      <alignment readingOrder="0"/>
    </xf>
    <xf quotePrefix="1" borderId="0" fillId="3" fontId="6" numFmtId="0" xfId="0" applyAlignment="1" applyFont="1">
      <alignment readingOrder="0"/>
    </xf>
    <xf borderId="5" fillId="3" fontId="6" numFmtId="0" xfId="0" applyAlignment="1" applyBorder="1" applyFont="1">
      <alignment readingOrder="0"/>
    </xf>
    <xf quotePrefix="1" borderId="4" fillId="5" fontId="6" numFmtId="0" xfId="0" applyAlignment="1" applyBorder="1" applyFill="1" applyFont="1">
      <alignment readingOrder="0"/>
    </xf>
    <xf borderId="0" fillId="5" fontId="6" numFmtId="0" xfId="0" applyAlignment="1" applyFont="1">
      <alignment readingOrder="0"/>
    </xf>
    <xf quotePrefix="1" borderId="0" fillId="5" fontId="6" numFmtId="0" xfId="0" applyAlignment="1" applyFont="1">
      <alignment readingOrder="0"/>
    </xf>
    <xf borderId="5" fillId="5" fontId="6" numFmtId="0" xfId="0" applyAlignment="1" applyBorder="1" applyFont="1">
      <alignment readingOrder="0"/>
    </xf>
    <xf borderId="4" fillId="5" fontId="6" numFmtId="0" xfId="0" applyAlignment="1" applyBorder="1" applyFont="1">
      <alignment readingOrder="0"/>
    </xf>
    <xf borderId="0" fillId="5" fontId="6" numFmtId="0" xfId="0" applyFont="1"/>
    <xf borderId="4" fillId="3" fontId="6" numFmtId="0" xfId="0" applyAlignment="1" applyBorder="1" applyFont="1">
      <alignment readingOrder="0"/>
    </xf>
    <xf quotePrefix="1" borderId="4" fillId="3" fontId="2" numFmtId="0" xfId="0" applyAlignment="1" applyBorder="1" applyFont="1">
      <alignment readingOrder="0"/>
    </xf>
    <xf borderId="0" fillId="3" fontId="2" numFmtId="0" xfId="0" applyAlignment="1" applyFont="1">
      <alignment readingOrder="0"/>
    </xf>
    <xf quotePrefix="1" borderId="0" fillId="3" fontId="2" numFmtId="0" xfId="0" applyAlignment="1" applyFont="1">
      <alignment readingOrder="0"/>
    </xf>
    <xf borderId="5" fillId="3" fontId="2" numFmtId="0" xfId="0" applyAlignment="1" applyBorder="1" applyFont="1">
      <alignment readingOrder="0"/>
    </xf>
    <xf quotePrefix="1" borderId="4" fillId="5" fontId="2" numFmtId="0" xfId="0" applyAlignment="1" applyBorder="1" applyFont="1">
      <alignment readingOrder="0"/>
    </xf>
    <xf borderId="0" fillId="5" fontId="2" numFmtId="0" xfId="0" applyAlignment="1" applyFont="1">
      <alignment readingOrder="0"/>
    </xf>
    <xf quotePrefix="1" borderId="0" fillId="5" fontId="2" numFmtId="0" xfId="0" applyAlignment="1" applyFont="1">
      <alignment readingOrder="0"/>
    </xf>
    <xf borderId="5" fillId="5" fontId="2" numFmtId="0" xfId="0" applyAlignment="1" applyBorder="1" applyFont="1">
      <alignment readingOrder="0"/>
    </xf>
    <xf borderId="4" fillId="5" fontId="2" numFmtId="0" xfId="0" applyAlignment="1" applyBorder="1" applyFont="1">
      <alignment readingOrder="0"/>
    </xf>
    <xf borderId="0" fillId="5" fontId="2" numFmtId="0" xfId="0" applyFont="1"/>
    <xf borderId="4" fillId="3" fontId="2" numFmtId="0" xfId="0" applyAlignment="1" applyBorder="1" applyFont="1">
      <alignment readingOrder="0"/>
    </xf>
    <xf borderId="6" fillId="5" fontId="2" numFmtId="0" xfId="0" applyAlignment="1" applyBorder="1" applyFont="1">
      <alignment readingOrder="0"/>
    </xf>
    <xf borderId="7" fillId="5" fontId="2" numFmtId="0" xfId="0" applyBorder="1" applyFont="1"/>
    <xf borderId="7" fillId="5" fontId="2" numFmtId="0" xfId="0" applyAlignment="1" applyBorder="1" applyFont="1">
      <alignment readingOrder="0"/>
    </xf>
    <xf quotePrefix="1" borderId="7" fillId="5" fontId="2" numFmtId="0" xfId="0" applyAlignment="1" applyBorder="1" applyFont="1">
      <alignment readingOrder="0"/>
    </xf>
    <xf borderId="8" fillId="5" fontId="2" numFmtId="0" xfId="0" applyAlignment="1" applyBorder="1" applyFont="1">
      <alignment readingOrder="0"/>
    </xf>
    <xf quotePrefix="1" borderId="0" fillId="0" fontId="6" numFmtId="0" xfId="0" applyAlignment="1" applyFont="1">
      <alignment readingOrder="0"/>
    </xf>
    <xf borderId="1" fillId="2" fontId="3" numFmtId="0" xfId="0" applyAlignment="1" applyBorder="1" applyFont="1">
      <alignment horizontal="center"/>
    </xf>
    <xf borderId="2" fillId="2" fontId="3" numFmtId="0" xfId="0" applyAlignment="1" applyBorder="1" applyFont="1">
      <alignment horizontal="center"/>
    </xf>
    <xf borderId="3" fillId="2" fontId="3" numFmtId="0" xfId="0" applyAlignment="1" applyBorder="1" applyFont="1">
      <alignment horizontal="center"/>
    </xf>
    <xf borderId="0" fillId="0" fontId="8" numFmtId="0" xfId="0" applyFont="1"/>
    <xf borderId="4" fillId="3" fontId="2" numFmtId="0" xfId="0" applyAlignment="1" applyBorder="1" applyFont="1">
      <alignment horizontal="right"/>
    </xf>
    <xf borderId="0" fillId="3" fontId="2" numFmtId="0" xfId="0" applyAlignment="1" applyFont="1">
      <alignment horizontal="left"/>
    </xf>
    <xf borderId="0" fillId="3" fontId="2" numFmtId="0" xfId="0" applyAlignment="1" applyFont="1">
      <alignment horizontal="right"/>
    </xf>
    <xf borderId="5" fillId="3" fontId="2" numFmtId="0" xfId="0" applyAlignment="1" applyBorder="1" applyFont="1">
      <alignment horizontal="right"/>
    </xf>
    <xf borderId="4" fillId="5" fontId="2" numFmtId="0" xfId="0" applyAlignment="1" applyBorder="1" applyFont="1">
      <alignment horizontal="right"/>
    </xf>
    <xf borderId="0" fillId="5" fontId="2" numFmtId="0" xfId="0" applyAlignment="1" applyFont="1">
      <alignment horizontal="left"/>
    </xf>
    <xf borderId="0" fillId="5" fontId="2" numFmtId="0" xfId="0" applyAlignment="1" applyFont="1">
      <alignment horizontal="right"/>
    </xf>
    <xf borderId="5" fillId="5" fontId="2" numFmtId="0" xfId="0" applyAlignment="1" applyBorder="1" applyFont="1">
      <alignment horizontal="right"/>
    </xf>
    <xf borderId="6" fillId="5" fontId="2" numFmtId="0" xfId="0" applyAlignment="1" applyBorder="1" applyFont="1">
      <alignment horizontal="right"/>
    </xf>
    <xf borderId="7" fillId="5" fontId="2" numFmtId="0" xfId="0" applyAlignment="1" applyBorder="1" applyFont="1">
      <alignment horizontal="left"/>
    </xf>
    <xf borderId="7" fillId="5" fontId="2" numFmtId="0" xfId="0" applyAlignment="1" applyBorder="1" applyFont="1">
      <alignment horizontal="right"/>
    </xf>
    <xf borderId="8" fillId="5" fontId="2" numFmtId="0" xfId="0" applyAlignment="1" applyBorder="1" applyFont="1">
      <alignment horizontal="right"/>
    </xf>
    <xf borderId="0" fillId="0" fontId="8" numFmtId="0" xfId="0" applyAlignment="1" applyFont="1">
      <alignment horizontal="right"/>
    </xf>
    <xf borderId="0" fillId="0" fontId="8" numFmtId="0" xfId="0" applyAlignment="1" applyFont="1">
      <alignment horizontal="left"/>
    </xf>
    <xf borderId="0" fillId="0" fontId="10" numFmtId="0" xfId="0" applyAlignment="1" applyFont="1">
      <alignment horizontal="center"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2" xfId="0" applyAlignment="1" applyFont="1" applyNumberFormat="1">
      <alignment readingOrder="0"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49" xfId="0" applyAlignment="1" applyFont="1" applyNumberFormat="1">
      <alignment shrinkToFit="0" vertical="center" wrapText="0"/>
    </xf>
    <xf borderId="0" fillId="0" fontId="6" numFmtId="165" xfId="0" applyAlignment="1" applyFont="1" applyNumberFormat="1">
      <alignment readingOrder="0" shrinkToFit="0" vertical="center" wrapText="0"/>
    </xf>
    <xf borderId="0" fillId="0" fontId="6" numFmtId="2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0" fontId="6" numFmtId="166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1F3864"/>
          <bgColor rgb="FF1F386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CE6F1"/>
          <bgColor rgb="FFDCE6F1"/>
        </patternFill>
      </fill>
      <border/>
    </dxf>
    <dxf>
      <border>
        <left style="thin">
          <color rgb="FF1F3864"/>
        </left>
        <right style="thin">
          <color rgb="FF1F3864"/>
        </right>
        <top style="thin">
          <color rgb="FF1F3864"/>
        </top>
        <bottom style="thin">
          <color rgb="FF1F3864"/>
        </bottom>
      </border>
    </dxf>
  </dxfs>
  <tableStyles count="31">
    <tableStyle count="3" pivot="0" name="master-style">
      <tableStyleElement dxfId="1" type="headerRow"/>
      <tableStyleElement dxfId="2" type="firstRowStripe"/>
      <tableStyleElement dxfId="3" type="secondRowStripe"/>
    </tableStyle>
    <tableStyle count="3" pivot="0" name="analysis-style">
      <tableStyleElement dxfId="1" type="headerRow"/>
      <tableStyleElement dxfId="2" type="firstRowStripe"/>
      <tableStyleElement dxfId="3" type="secondRowStripe"/>
    </tableStyle>
    <tableStyle count="2" pivot="0" name="analysis-style 2">
      <tableStyleElement dxfId="2" type="firstRowStripe"/>
      <tableStyleElement dxfId="3" type="secondRowStripe"/>
    </tableStyle>
    <tableStyle count="3" pivot="0" name="analysis-style 3">
      <tableStyleElement dxfId="1" type="headerRow"/>
      <tableStyleElement dxfId="2" type="firstRowStripe"/>
      <tableStyleElement dxfId="3" type="secondRowStripe"/>
    </tableStyle>
    <tableStyle count="3" pivot="0" name="analysis-style 4">
      <tableStyleElement dxfId="1" type="headerRow"/>
      <tableStyleElement dxfId="2" type="firstRowStripe"/>
      <tableStyleElement dxfId="3" type="secondRowStripe"/>
    </tableStyle>
    <tableStyle count="3" pivot="0" name="analysis-style 5">
      <tableStyleElement dxfId="1" type="headerRow"/>
      <tableStyleElement dxfId="2" type="firstRowStripe"/>
      <tableStyleElement dxfId="3" type="secondRowStripe"/>
    </tableStyle>
    <tableStyle count="3" pivot="0" name="analysis-style 6">
      <tableStyleElement dxfId="1" type="headerRow"/>
      <tableStyleElement dxfId="2" type="firstRowStripe"/>
      <tableStyleElement dxfId="3" type="secondRowStripe"/>
    </tableStyle>
    <tableStyle count="3" pivot="0" name="analysis-style 7">
      <tableStyleElement dxfId="1" type="headerRow"/>
      <tableStyleElement dxfId="2" type="firstRowStripe"/>
      <tableStyleElement dxfId="3" type="secondRowStripe"/>
    </tableStyle>
    <tableStyle count="3" pivot="0" name="headers_summary-style">
      <tableStyleElement dxfId="1" type="headerRow"/>
      <tableStyleElement dxfId="2" type="firstRowStripe"/>
      <tableStyleElement dxfId="3" type="secondRowStripe"/>
    </tableStyle>
    <tableStyle count="2" pivot="0" name="categories_lookup-style">
      <tableStyleElement dxfId="2" type="firstRowStripe"/>
      <tableStyleElement dxfId="3" type="secondRowStripe"/>
    </tableStyle>
    <tableStyle count="2" pivot="0" name="payment_method_lookup-style">
      <tableStyleElement dxfId="2" type="firstRowStripe"/>
      <tableStyleElement dxfId="3" type="secondRowStripe"/>
    </tableStyle>
    <tableStyle count="3" pivot="0" name="categories_ipc_mapping-style">
      <tableStyleElement dxfId="1" type="headerRow"/>
      <tableStyleElement dxfId="2" type="firstRowStripe"/>
      <tableStyleElement dxfId="3" type="secondRowStripe"/>
    </tableStyle>
    <tableStyle count="4" pivot="0" name="expense_history_may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june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july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august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september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october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november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december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january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february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march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april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may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june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july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august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september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october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november_2025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1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800">
                <a:solidFill>
                  <a:srgbClr val="1F3864"/>
                </a:solidFill>
                <a:latin typeface="Roboto"/>
              </a:defRPr>
            </a:pPr>
            <a:r>
              <a:rPr b="1" sz="1800">
                <a:solidFill>
                  <a:srgbClr val="1F3864"/>
                </a:solidFill>
                <a:latin typeface="Roboto"/>
              </a:rPr>
              <a:t>Personal vs IPC Index by Category (May 2024 - Nov 2025)</a:t>
            </a:r>
          </a:p>
        </c:rich>
      </c:tx>
      <c:layout>
        <c:manualLayout>
          <c:xMode val="edge"/>
          <c:yMode val="edge"/>
          <c:x val="0.011984925031854146"/>
          <c:y val="0.04999999999999998"/>
        </c:manualLayout>
      </c:layout>
      <c:overlay val="0"/>
    </c:title>
    <c:plotArea>
      <c:layout>
        <c:manualLayout>
          <c:xMode val="edge"/>
          <c:yMode val="edge"/>
          <c:x val="0.35944444444444446"/>
          <c:y val="0.22739331026528248"/>
          <c:w val="0.6163810272536688"/>
          <c:h val="0.6603229527104961"/>
        </c:manualLayout>
      </c:layout>
      <c:barChart>
        <c:barDir val="bar"/>
        <c:ser>
          <c:idx val="0"/>
          <c:order val="0"/>
          <c:tx>
            <c:v>Personal Index</c:v>
          </c:tx>
          <c:spPr>
            <a:solidFill>
              <a:srgbClr val="274E13"/>
            </a:solidFill>
            <a:ln cmpd="sng">
              <a:solidFill>
                <a:srgbClr val="274E13">
                  <a:alpha val="100000"/>
                </a:srgbClr>
              </a:solidFill>
            </a:ln>
          </c:spPr>
          <c:cat>
            <c:strRef>
              <c:f>analysis!$A$104:$A$113</c:f>
            </c:strRef>
          </c:cat>
          <c:val>
            <c:numRef>
              <c:f>analysis!$B$104:$B$113</c:f>
              <c:numCache/>
            </c:numRef>
          </c:val>
        </c:ser>
        <c:ser>
          <c:idx val="1"/>
          <c:order val="1"/>
          <c:tx>
            <c:v>IPC Index</c:v>
          </c:tx>
          <c:spPr>
            <a:solidFill>
              <a:schemeClr val="accent3"/>
            </a:solidFill>
            <a:ln cmpd="sng">
              <a:solidFill>
                <a:schemeClr val="accent3"/>
              </a:solidFill>
            </a:ln>
          </c:spPr>
          <c:cat>
            <c:strRef>
              <c:f>analysis!$A$104:$A$113</c:f>
            </c:strRef>
          </c:cat>
          <c:val>
            <c:numRef>
              <c:f>analysis!$C$104:$C$113</c:f>
              <c:numCache/>
            </c:numRef>
          </c:val>
        </c:ser>
        <c:axId val="588960067"/>
        <c:axId val="1263007026"/>
      </c:barChart>
      <c:catAx>
        <c:axId val="588960067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sz="1400">
                <a:solidFill>
                  <a:srgbClr val="1F3864"/>
                </a:solidFill>
                <a:latin typeface="Roboto"/>
              </a:defRPr>
            </a:pPr>
          </a:p>
        </c:txPr>
        <c:crossAx val="1263007026"/>
      </c:catAx>
      <c:valAx>
        <c:axId val="126300702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1F3864"/>
                </a:solidFill>
                <a:latin typeface="Roboto"/>
              </a:defRPr>
            </a:pPr>
          </a:p>
        </c:txPr>
        <c:crossAx val="588960067"/>
        <c:crosses val="max"/>
      </c:valAx>
    </c:plotArea>
    <c:legend>
      <c:legendPos val="r"/>
      <c:legendEntry>
        <c:idx val="0"/>
        <c:txPr>
          <a:bodyPr/>
          <a:lstStyle/>
          <a:p>
            <a:pPr lvl="0">
              <a:defRPr b="1" sz="1600">
                <a:solidFill>
                  <a:srgbClr val="FFFFFF"/>
                </a:solidFill>
                <a:latin typeface="Roboto"/>
              </a:defRPr>
            </a:pPr>
          </a:p>
        </c:txPr>
      </c:legendEntry>
      <c:legendEntry>
        <c:idx val="1"/>
        <c:txPr>
          <a:bodyPr/>
          <a:lstStyle/>
          <a:p>
            <a:pPr lvl="0">
              <a:defRPr b="1" sz="1600">
                <a:solidFill>
                  <a:srgbClr val="FFFFFF"/>
                </a:solidFill>
              </a:defRPr>
            </a:pPr>
          </a:p>
        </c:txPr>
      </c:legendEntry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800">
                <a:solidFill>
                  <a:srgbClr val="1F3864"/>
                </a:solidFill>
                <a:latin typeface="Roboto"/>
              </a:defRPr>
            </a:pPr>
            <a:r>
              <a:rPr b="1" sz="1800">
                <a:solidFill>
                  <a:srgbClr val="1F3864"/>
                </a:solidFill>
                <a:latin typeface="Roboto"/>
              </a:rPr>
              <a:t>Personal Expenses vs IPC Inflation Index (Base 100 = May 2024)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analysis!$E$4</c:f>
            </c:strRef>
          </c:tx>
          <c:spPr>
            <a:solidFill>
              <a:srgbClr val="0D174D"/>
            </a:solidFill>
            <a:ln cmpd="sng">
              <a:solidFill>
                <a:srgbClr val="0D174D">
                  <a:alpha val="100000"/>
                </a:srgbClr>
              </a:solidFill>
            </a:ln>
          </c:spPr>
          <c:cat>
            <c:strRef>
              <c:f>analysis!$I$5:$I$23</c:f>
            </c:strRef>
          </c:cat>
          <c:val>
            <c:numRef>
              <c:f>analysis!$E$5:$E$23</c:f>
              <c:numCache/>
            </c:numRef>
          </c:val>
        </c:ser>
        <c:ser>
          <c:idx val="1"/>
          <c:order val="1"/>
          <c:tx>
            <c:strRef>
              <c:f>analysis!$G$4</c:f>
            </c:strRef>
          </c:tx>
          <c:spPr>
            <a:solidFill>
              <a:srgbClr val="B45F06"/>
            </a:solidFill>
            <a:ln cmpd="sng">
              <a:solidFill>
                <a:srgbClr val="B45F06">
                  <a:alpha val="100000"/>
                </a:srgbClr>
              </a:solidFill>
            </a:ln>
          </c:spPr>
          <c:cat>
            <c:strRef>
              <c:f>analysis!$I$5:$I$23</c:f>
            </c:strRef>
          </c:cat>
          <c:val>
            <c:numRef>
              <c:f>analysis!$G$5:$G$23</c:f>
              <c:numCache/>
            </c:numRef>
          </c:val>
        </c:ser>
        <c:axId val="171641755"/>
        <c:axId val="1384576350"/>
      </c:barChart>
      <c:lineChart>
        <c:varyColors val="0"/>
        <c:ser>
          <c:idx val="2"/>
          <c:order val="2"/>
          <c:tx>
            <c:strRef>
              <c:f>analysis!$H$4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analysis!$I$5:$I$23</c:f>
            </c:strRef>
          </c:cat>
          <c:val>
            <c:numRef>
              <c:f>analysis!$H$5:$H$23</c:f>
              <c:numCache/>
            </c:numRef>
          </c:val>
          <c:smooth val="0"/>
        </c:ser>
        <c:axId val="171641755"/>
        <c:axId val="1384576350"/>
      </c:lineChart>
      <c:catAx>
        <c:axId val="1716417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1F3864"/>
                </a:solidFill>
                <a:latin typeface="+mn-lt"/>
              </a:defRPr>
            </a:pPr>
          </a:p>
        </c:txPr>
        <c:crossAx val="1384576350"/>
      </c:catAx>
      <c:valAx>
        <c:axId val="1384576350"/>
        <c:scaling>
          <c:orientation val="minMax"/>
        </c:scaling>
        <c:delete val="0"/>
        <c:axPos val="l"/>
        <c:minorGridlines>
          <c:spPr>
            <a:ln>
              <a:solidFill>
                <a:srgbClr val="FFFFFF"/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1F3864"/>
                </a:solidFill>
                <a:latin typeface="+mn-lt"/>
              </a:defRPr>
            </a:pPr>
          </a:p>
        </c:txPr>
        <c:crossAx val="171641755"/>
      </c:valAx>
    </c:plotArea>
    <c:legend>
      <c:legendPos val="r"/>
      <c:layout>
        <c:manualLayout>
          <c:xMode val="edge"/>
          <c:yMode val="edge"/>
          <c:x val="0.19777929687499995"/>
          <c:y val="0.14293598233995586"/>
        </c:manualLayout>
      </c:layout>
      <c:overlay val="0"/>
      <c:txPr>
        <a:bodyPr/>
        <a:lstStyle/>
        <a:p>
          <a:pPr lvl="0">
            <a:defRPr b="0" sz="1400">
              <a:solidFill>
                <a:srgbClr val="1F3864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1F3864"/>
                </a:solidFill>
                <a:latin typeface="Roboto"/>
              </a:defRPr>
            </a:pPr>
            <a:r>
              <a:rPr b="1">
                <a:solidFill>
                  <a:srgbClr val="1F3864"/>
                </a:solidFill>
                <a:latin typeface="Roboto"/>
              </a:rPr>
              <a:t>Spending vs Inflation Gap by Category (May 2024 - Nov 2025)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analysis!$B$116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4C956C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rgbClr val="4C956C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7"/>
            <c:spPr>
              <a:solidFill>
                <a:schemeClr val="accent5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rgbClr val="4C956C"/>
              </a:solidFill>
              <a:ln cmpd="sng">
                <a:solidFill>
                  <a:srgbClr val="000000"/>
                </a:solidFill>
              </a:ln>
            </c:spPr>
          </c:dPt>
          <c:dPt>
            <c:idx val="9"/>
          </c:dPt>
          <c:cat>
            <c:strRef>
              <c:f>analysis!$A$117:$A$126</c:f>
            </c:strRef>
          </c:cat>
          <c:val>
            <c:numRef>
              <c:f>analysis!$B$117:$B$126</c:f>
              <c:numCache/>
            </c:numRef>
          </c:val>
        </c:ser>
        <c:axId val="2070544176"/>
        <c:axId val="1027168097"/>
      </c:barChart>
      <c:catAx>
        <c:axId val="2070544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ipc_category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sz="1400">
                <a:solidFill>
                  <a:srgbClr val="1F3864"/>
                </a:solidFill>
                <a:latin typeface="Roboto"/>
              </a:defRPr>
            </a:pPr>
          </a:p>
        </c:txPr>
        <c:crossAx val="1027168097"/>
      </c:catAx>
      <c:valAx>
        <c:axId val="10271680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F3864"/>
                    </a:solidFill>
                    <a:latin typeface="+mn-lt"/>
                  </a:defRPr>
                </a:pPr>
                <a:r>
                  <a:rPr b="0">
                    <a:solidFill>
                      <a:srgbClr val="1F3864"/>
                    </a:solidFill>
                    <a:latin typeface="+mn-lt"/>
                  </a:rPr>
                  <a:t>difference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1F3864"/>
                </a:solidFill>
                <a:latin typeface="Roboto"/>
              </a:defRPr>
            </a:pPr>
          </a:p>
        </c:txPr>
        <c:crossAx val="20705441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image" Target="../media/image4.png"/><Relationship Id="rId5" Type="http://schemas.openxmlformats.org/officeDocument/2006/relationships/image" Target="../media/image1.png"/><Relationship Id="rId6" Type="http://schemas.openxmlformats.org/officeDocument/2006/relationships/image" Target="../media/image3.png"/><Relationship Id="rId7" Type="http://schemas.openxmlformats.org/officeDocument/2006/relationships/image" Target="../media/image5.png"/><Relationship Id="rId8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390525</xdr:colOff>
      <xdr:row>5</xdr:row>
      <xdr:rowOff>38100</xdr:rowOff>
    </xdr:from>
    <xdr:ext cx="8629650" cy="24288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3</xdr:row>
      <xdr:rowOff>76200</xdr:rowOff>
    </xdr:from>
    <xdr:ext cx="7143750" cy="2876550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152400</xdr:colOff>
      <xdr:row>17</xdr:row>
      <xdr:rowOff>123825</xdr:rowOff>
    </xdr:from>
    <xdr:ext cx="15621000" cy="2981325"/>
    <xdr:graphicFrame>
      <xdr:nvGraphicFramePr>
        <xdr:cNvPr id="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</xdr:col>
      <xdr:colOff>142875</xdr:colOff>
      <xdr:row>0</xdr:row>
      <xdr:rowOff>0</xdr:rowOff>
    </xdr:from>
    <xdr:ext cx="1428750" cy="685800"/>
    <xdr:grpSp>
      <xdr:nvGrpSpPr>
        <xdr:cNvPr id="2" name="Shape 2" title="Dibujo"/>
        <xdr:cNvGrpSpPr/>
      </xdr:nvGrpSpPr>
      <xdr:grpSpPr>
        <a:xfrm>
          <a:off x="2445125" y="1368050"/>
          <a:ext cx="4102800" cy="2121600"/>
          <a:chOff x="2445125" y="1368050"/>
          <a:chExt cx="4102800" cy="2121600"/>
        </a:xfrm>
      </xdr:grpSpPr>
      <xdr:sp>
        <xdr:nvSpPr>
          <xdr:cNvPr id="3" name="Shape 3"/>
          <xdr:cNvSpPr/>
        </xdr:nvSpPr>
        <xdr:spPr>
          <a:xfrm>
            <a:off x="2445125" y="1368050"/>
            <a:ext cx="4102800" cy="2121600"/>
          </a:xfrm>
          <a:prstGeom prst="roundRect">
            <a:avLst>
              <a:gd fmla="val 16667" name="adj"/>
            </a:avLst>
          </a:prstGeom>
          <a:solidFill>
            <a:srgbClr val="0D174D"/>
          </a:solidFill>
          <a:ln cap="flat" cmpd="sng" w="9525">
            <a:solidFill>
              <a:srgbClr val="B7B7B7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pic>
        <xdr:nvPicPr>
          <xdr:cNvPr id="4" name="Shape 4" title="Gráfico"/>
          <xdr:cNvPicPr preferRelativeResize="0"/>
        </xdr:nvPicPr>
        <xdr:blipFill>
          <a:blip r:embed="rId4">
            <a:alphaModFix/>
          </a:blip>
          <a:stretch>
            <a:fillRect/>
          </a:stretch>
        </xdr:blipFill>
        <xdr:spPr>
          <a:xfrm>
            <a:off x="2953475" y="1746575"/>
            <a:ext cx="3086100" cy="1743075"/>
          </a:xfrm>
          <a:prstGeom prst="rect">
            <a:avLst/>
          </a:prstGeom>
          <a:solidFill>
            <a:srgbClr val="0D174D"/>
          </a:solidFill>
          <a:ln>
            <a:noFill/>
          </a:ln>
        </xdr:spPr>
      </xdr:pic>
    </xdr:grpSp>
    <xdr:clientData fLocksWithSheet="0"/>
  </xdr:oneCellAnchor>
  <xdr:oneCellAnchor>
    <xdr:from>
      <xdr:col>2</xdr:col>
      <xdr:colOff>800100</xdr:colOff>
      <xdr:row>0</xdr:row>
      <xdr:rowOff>0</xdr:rowOff>
    </xdr:from>
    <xdr:ext cx="1371600" cy="685800"/>
    <xdr:grpSp>
      <xdr:nvGrpSpPr>
        <xdr:cNvPr id="2" name="Shape 2" title="Dibujo"/>
        <xdr:cNvGrpSpPr/>
      </xdr:nvGrpSpPr>
      <xdr:grpSpPr>
        <a:xfrm>
          <a:off x="3109750" y="1634100"/>
          <a:ext cx="3982800" cy="2101500"/>
          <a:chOff x="3109750" y="1634100"/>
          <a:chExt cx="3982800" cy="2101500"/>
        </a:xfrm>
      </xdr:grpSpPr>
      <xdr:sp>
        <xdr:nvSpPr>
          <xdr:cNvPr id="5" name="Shape 5"/>
          <xdr:cNvSpPr/>
        </xdr:nvSpPr>
        <xdr:spPr>
          <a:xfrm>
            <a:off x="3109750" y="1634100"/>
            <a:ext cx="3982800" cy="2101500"/>
          </a:xfrm>
          <a:prstGeom prst="roundRect">
            <a:avLst>
              <a:gd fmla="val 16667" name="adj"/>
            </a:avLst>
          </a:prstGeom>
          <a:solidFill>
            <a:srgbClr val="E67E22"/>
          </a:solidFill>
          <a:ln cap="flat" cmpd="sng" w="9525">
            <a:solidFill>
              <a:srgbClr val="B7B7B7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pic>
        <xdr:nvPicPr>
          <xdr:cNvPr id="6" name="Shape 6" title="Gráfico"/>
          <xdr:cNvPicPr preferRelativeResize="0"/>
        </xdr:nvPicPr>
        <xdr:blipFill>
          <a:blip r:embed="rId5">
            <a:alphaModFix/>
          </a:blip>
          <a:stretch>
            <a:fillRect/>
          </a:stretch>
        </xdr:blipFill>
        <xdr:spPr>
          <a:xfrm>
            <a:off x="3518050" y="1914513"/>
            <a:ext cx="3086100" cy="1743075"/>
          </a:xfrm>
          <a:prstGeom prst="rect">
            <a:avLst/>
          </a:prstGeom>
          <a:solidFill>
            <a:srgbClr val="E67E22"/>
          </a:solidFill>
          <a:ln>
            <a:noFill/>
          </a:ln>
        </xdr:spPr>
      </xdr:pic>
    </xdr:grpSp>
    <xdr:clientData fLocksWithSheet="0"/>
  </xdr:oneCellAnchor>
  <xdr:oneCellAnchor>
    <xdr:from>
      <xdr:col>4</xdr:col>
      <xdr:colOff>542925</xdr:colOff>
      <xdr:row>0</xdr:row>
      <xdr:rowOff>0</xdr:rowOff>
    </xdr:from>
    <xdr:ext cx="1371600" cy="685800"/>
    <xdr:grpSp>
      <xdr:nvGrpSpPr>
        <xdr:cNvPr id="2" name="Shape 2" title="Dibujo"/>
        <xdr:cNvGrpSpPr/>
      </xdr:nvGrpSpPr>
      <xdr:grpSpPr>
        <a:xfrm>
          <a:off x="3560075" y="1494000"/>
          <a:ext cx="3422400" cy="2031300"/>
          <a:chOff x="3560075" y="1494000"/>
          <a:chExt cx="3422400" cy="2031300"/>
        </a:xfrm>
      </xdr:grpSpPr>
      <xdr:sp>
        <xdr:nvSpPr>
          <xdr:cNvPr id="7" name="Shape 7"/>
          <xdr:cNvSpPr/>
        </xdr:nvSpPr>
        <xdr:spPr>
          <a:xfrm>
            <a:off x="3560075" y="1494000"/>
            <a:ext cx="3422400" cy="2031300"/>
          </a:xfrm>
          <a:prstGeom prst="roundRect">
            <a:avLst>
              <a:gd fmla="val 16667" name="adj"/>
            </a:avLst>
          </a:prstGeom>
          <a:solidFill>
            <a:srgbClr val="4C956C"/>
          </a:solidFill>
          <a:ln cap="flat" cmpd="sng" w="9525">
            <a:solidFill>
              <a:srgbClr val="B7B7B7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pic>
        <xdr:nvPicPr>
          <xdr:cNvPr id="8" name="Shape 8" title="Gráfico"/>
          <xdr:cNvPicPr preferRelativeResize="0"/>
        </xdr:nvPicPr>
        <xdr:blipFill>
          <a:blip r:embed="rId6">
            <a:alphaModFix/>
          </a:blip>
          <a:stretch>
            <a:fillRect/>
          </a:stretch>
        </xdr:blipFill>
        <xdr:spPr>
          <a:xfrm>
            <a:off x="3718175" y="1784425"/>
            <a:ext cx="3086100" cy="1690950"/>
          </a:xfrm>
          <a:prstGeom prst="rect">
            <a:avLst/>
          </a:prstGeom>
          <a:noFill/>
          <a:ln>
            <a:noFill/>
          </a:ln>
        </xdr:spPr>
      </xdr:pic>
    </xdr:grpSp>
    <xdr:clientData fLocksWithSheet="0"/>
  </xdr:oneCellAnchor>
  <xdr:oneCellAnchor>
    <xdr:from>
      <xdr:col>8</xdr:col>
      <xdr:colOff>685800</xdr:colOff>
      <xdr:row>0</xdr:row>
      <xdr:rowOff>0</xdr:rowOff>
    </xdr:from>
    <xdr:ext cx="3448050" cy="923925"/>
    <xdr:grpSp>
      <xdr:nvGrpSpPr>
        <xdr:cNvPr id="2" name="Shape 2" title="Dibujo"/>
        <xdr:cNvGrpSpPr/>
      </xdr:nvGrpSpPr>
      <xdr:grpSpPr>
        <a:xfrm>
          <a:off x="2147250" y="1774213"/>
          <a:ext cx="5459100" cy="1693800"/>
          <a:chOff x="2147250" y="1774213"/>
          <a:chExt cx="5459100" cy="1693800"/>
        </a:xfrm>
      </xdr:grpSpPr>
      <xdr:sp>
        <xdr:nvSpPr>
          <xdr:cNvPr id="9" name="Shape 9"/>
          <xdr:cNvSpPr/>
        </xdr:nvSpPr>
        <xdr:spPr>
          <a:xfrm>
            <a:off x="2147250" y="1774213"/>
            <a:ext cx="5459100" cy="1693800"/>
          </a:xfrm>
          <a:prstGeom prst="roundRect">
            <a:avLst>
              <a:gd fmla="val 16667" name="adj"/>
            </a:avLst>
          </a:prstGeom>
          <a:solidFill>
            <a:srgbClr val="274E1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pic>
        <xdr:nvPicPr>
          <xdr:cNvPr id="10" name="Shape 10" title="Gráfico"/>
          <xdr:cNvPicPr preferRelativeResize="0"/>
        </xdr:nvPicPr>
        <xdr:blipFill>
          <a:blip r:embed="rId7">
            <a:alphaModFix/>
          </a:blip>
          <a:stretch>
            <a:fillRect/>
          </a:stretch>
        </xdr:blipFill>
        <xdr:spPr>
          <a:xfrm>
            <a:off x="2230038" y="2099488"/>
            <a:ext cx="5293524" cy="1303425"/>
          </a:xfrm>
          <a:prstGeom prst="rect">
            <a:avLst/>
          </a:prstGeom>
          <a:solidFill>
            <a:srgbClr val="274E13"/>
          </a:solidFill>
          <a:ln>
            <a:noFill/>
          </a:ln>
        </xdr:spPr>
      </xdr:pic>
    </xdr:grpSp>
    <xdr:clientData fLocksWithSheet="0"/>
  </xdr:oneCellAnchor>
  <xdr:oneCellAnchor>
    <xdr:from>
      <xdr:col>12</xdr:col>
      <xdr:colOff>438150</xdr:colOff>
      <xdr:row>0</xdr:row>
      <xdr:rowOff>0</xdr:rowOff>
    </xdr:from>
    <xdr:ext cx="3448050" cy="923925"/>
    <xdr:grpSp>
      <xdr:nvGrpSpPr>
        <xdr:cNvPr id="2" name="Shape 2" title="Dibujo"/>
        <xdr:cNvGrpSpPr/>
      </xdr:nvGrpSpPr>
      <xdr:grpSpPr>
        <a:xfrm>
          <a:off x="2879575" y="1423950"/>
          <a:ext cx="5023800" cy="1911300"/>
          <a:chOff x="2879575" y="1423950"/>
          <a:chExt cx="5023800" cy="1911300"/>
        </a:xfrm>
      </xdr:grpSpPr>
      <xdr:sp>
        <xdr:nvSpPr>
          <xdr:cNvPr id="11" name="Shape 11"/>
          <xdr:cNvSpPr/>
        </xdr:nvSpPr>
        <xdr:spPr>
          <a:xfrm>
            <a:off x="2879575" y="1423950"/>
            <a:ext cx="5023800" cy="1911300"/>
          </a:xfrm>
          <a:prstGeom prst="roundRect">
            <a:avLst>
              <a:gd fmla="val 16667" name="adj"/>
            </a:avLst>
          </a:prstGeom>
          <a:solidFill>
            <a:srgbClr val="FBBC04"/>
          </a:solidFill>
          <a:ln cap="flat" cmpd="sng" w="9525">
            <a:solidFill>
              <a:srgbClr val="B7B7B7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pic>
        <xdr:nvPicPr>
          <xdr:cNvPr id="12" name="Shape 12" title="Gráfico"/>
          <xdr:cNvPicPr preferRelativeResize="0"/>
        </xdr:nvPicPr>
        <xdr:blipFill>
          <a:blip r:embed="rId8">
            <a:alphaModFix/>
          </a:blip>
          <a:stretch>
            <a:fillRect/>
          </a:stretch>
        </xdr:blipFill>
        <xdr:spPr>
          <a:xfrm>
            <a:off x="2959025" y="1861738"/>
            <a:ext cx="4864894" cy="1235869"/>
          </a:xfrm>
          <a:prstGeom prst="rect">
            <a:avLst/>
          </a:prstGeom>
          <a:noFill/>
          <a:ln>
            <a:noFill/>
          </a:ln>
        </xdr:spPr>
      </xdr:pic>
    </xdr:grp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omina cuadra" id="{ae7a6815-df7e-4a60-ada2-22ae0d54ef2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G1710" sheet="master"/>
  </cacheSource>
  <cacheFields>
    <cacheField name="date" numFmtId="164">
      <sharedItems containsSemiMixedTypes="0" containsDate="1" containsString="0">
        <d v="2024-05-01T00:00:00Z"/>
        <d v="2024-05-02T00:00:00Z"/>
        <d v="2024-05-03T00:00:00Z"/>
        <d v="2024-05-04T00:00:00Z"/>
        <d v="2024-05-05T00:00:00Z"/>
        <d v="2024-05-06T00:00:00Z"/>
        <d v="2024-05-07T00:00:00Z"/>
        <d v="2024-05-08T00:00:00Z"/>
        <d v="2024-05-09T00:00:00Z"/>
        <d v="2024-05-10T00:00:00Z"/>
        <d v="2024-05-11T00:00:00Z"/>
        <d v="2024-05-12T00:00:00Z"/>
        <d v="2024-05-13T00:00:00Z"/>
        <d v="2024-05-14T00:00:00Z"/>
        <d v="2024-05-15T00:00:00Z"/>
        <d v="2024-05-16T00:00:00Z"/>
        <d v="2024-05-17T00:00:00Z"/>
        <d v="2024-05-18T00:00:00Z"/>
        <d v="2024-05-19T00:00:00Z"/>
        <d v="2024-05-20T00:00:00Z"/>
        <d v="2024-05-22T00:00:00Z"/>
        <d v="2024-05-24T00:00:00Z"/>
        <d v="2024-05-25T00:00:00Z"/>
        <d v="2024-05-26T00:00:00Z"/>
        <d v="2024-05-27T00:00:00Z"/>
        <d v="2024-05-28T00:00:00Z"/>
        <d v="2024-05-29T00:00:00Z"/>
        <d v="2024-06-01T00:00:00Z"/>
        <d v="2024-06-02T00:00:00Z"/>
        <d v="2024-06-03T00:00:00Z"/>
        <d v="2024-06-04T00:00:00Z"/>
        <d v="2024-06-05T00:00:00Z"/>
        <d v="2024-06-06T00:00:00Z"/>
        <d v="2024-06-07T00:00:00Z"/>
        <d v="2024-06-08T00:00:00Z"/>
        <d v="2024-06-09T00:00:00Z"/>
        <d v="2024-06-10T00:00:00Z"/>
        <d v="2024-06-11T00:00:00Z"/>
        <d v="2024-06-12T00:00:00Z"/>
        <d v="2024-06-13T00:00:00Z"/>
        <d v="2024-06-14T00:00:00Z"/>
        <d v="2024-06-16T00:00:00Z"/>
        <d v="2024-06-17T00:00:00Z"/>
        <d v="2024-06-18T00:00:00Z"/>
        <d v="2024-06-19T00:00:00Z"/>
        <d v="2024-06-20T00:00:00Z"/>
        <d v="2024-06-21T00:00:00Z"/>
        <d v="2024-06-22T00:00:00Z"/>
        <d v="2024-06-23T00:00:00Z"/>
        <d v="2024-06-24T00:00:00Z"/>
        <d v="2024-07-01T00:00:00Z"/>
        <d v="2024-07-02T00:00:00Z"/>
        <d v="2024-07-03T00:00:00Z"/>
        <d v="2024-07-04T00:00:00Z"/>
        <d v="2024-07-05T00:00:00Z"/>
        <d v="2024-07-06T00:00:00Z"/>
        <d v="2024-07-07T00:00:00Z"/>
        <d v="2024-07-08T00:00:00Z"/>
        <d v="2024-07-09T00:00:00Z"/>
        <d v="2024-07-10T00:00:00Z"/>
        <d v="2024-07-11T00:00:00Z"/>
        <d v="2024-07-12T00:00:00Z"/>
        <d v="2024-07-13T00:00:00Z"/>
        <d v="2024-07-14T00:00:00Z"/>
        <d v="2024-07-15T00:00:00Z"/>
        <d v="2024-07-16T00:00:00Z"/>
        <d v="2024-07-17T00:00:00Z"/>
        <d v="2024-07-18T00:00:00Z"/>
        <d v="2024-07-19T00:00:00Z"/>
        <d v="2024-07-20T00:00:00Z"/>
        <d v="2024-07-21T00:00:00Z"/>
        <d v="2024-07-22T00:00:00Z"/>
        <d v="2024-07-23T00:00:00Z"/>
        <d v="2024-07-24T00:00:00Z"/>
        <d v="2024-07-25T00:00:00Z"/>
        <d v="2024-07-26T00:00:00Z"/>
        <d v="2024-07-27T00:00:00Z"/>
        <d v="2024-07-28T00:00:00Z"/>
        <d v="2024-07-29T00:00:00Z"/>
        <d v="2024-07-30T00:00:00Z"/>
        <d v="2024-07-31T00:00:00Z"/>
        <d v="2024-08-01T00:00:00Z"/>
        <d v="2024-08-02T00:00:00Z"/>
        <d v="2024-08-03T00:00:00Z"/>
        <d v="2024-08-04T00:00:00Z"/>
        <d v="2024-08-05T00:00:00Z"/>
        <d v="2024-08-06T00:00:00Z"/>
        <d v="2024-08-07T00:00:00Z"/>
        <d v="2024-08-08T00:00:00Z"/>
        <d v="2024-08-09T00:00:00Z"/>
        <d v="2024-08-10T00:00:00Z"/>
        <d v="2024-08-11T00:00:00Z"/>
        <d v="2024-08-12T00:00:00Z"/>
        <d v="2024-08-13T00:00:00Z"/>
        <d v="2024-08-14T00:00:00Z"/>
        <d v="2024-08-15T00:00:00Z"/>
        <d v="2024-08-16T00:00:00Z"/>
        <d v="2024-08-17T00:00:00Z"/>
        <d v="2024-08-19T00:00:00Z"/>
        <d v="2024-08-20T00:00:00Z"/>
        <d v="2024-08-21T00:00:00Z"/>
        <d v="2024-08-22T00:00:00Z"/>
        <d v="2024-08-25T00:00:00Z"/>
        <d v="2024-08-26T00:00:00Z"/>
        <d v="2024-08-28T00:00:00Z"/>
        <d v="2024-08-30T00:00:00Z"/>
        <d v="2024-08-31T00:00:00Z"/>
        <d v="2024-09-01T00:00:00Z"/>
        <d v="2024-09-02T00:00:00Z"/>
        <d v="2024-09-03T00:00:00Z"/>
        <d v="2024-09-04T00:00:00Z"/>
        <d v="2024-09-05T00:00:00Z"/>
        <d v="2024-09-06T00:00:00Z"/>
        <d v="2024-09-07T00:00:00Z"/>
        <d v="2024-09-08T00:00:00Z"/>
        <d v="2024-09-09T00:00:00Z"/>
        <d v="2024-09-10T00:00:00Z"/>
        <d v="2024-09-11T00:00:00Z"/>
        <d v="2024-09-12T00:00:00Z"/>
        <d v="2024-09-13T00:00:00Z"/>
        <d v="2024-09-14T00:00:00Z"/>
        <d v="2024-09-15T00:00:00Z"/>
        <d v="2024-09-16T00:00:00Z"/>
        <d v="2024-09-17T00:00:00Z"/>
        <d v="2024-09-18T00:00:00Z"/>
        <d v="2024-09-19T00:00:00Z"/>
        <d v="2024-09-20T00:00:00Z"/>
        <d v="2024-09-21T00:00:00Z"/>
        <d v="2024-09-22T00:00:00Z"/>
        <d v="2024-09-23T00:00:00Z"/>
        <d v="2024-09-24T00:00:00Z"/>
        <d v="2024-09-26T00:00:00Z"/>
        <d v="2024-09-27T00:00:00Z"/>
        <d v="2024-09-28T00:00:00Z"/>
        <d v="2024-09-29T00:00:00Z"/>
        <d v="2024-10-01T00:00:00Z"/>
        <d v="2024-10-02T00:00:00Z"/>
        <d v="2024-10-03T00:00:00Z"/>
        <d v="2024-10-04T00:00:00Z"/>
        <d v="2024-10-05T00:00:00Z"/>
        <d v="2024-10-06T00:00:00Z"/>
        <d v="2024-10-07T00:00:00Z"/>
        <d v="2024-10-08T00:00:00Z"/>
        <d v="2024-10-09T00:00:00Z"/>
        <d v="2024-10-10T00:00:00Z"/>
        <d v="2024-10-11T00:00:00Z"/>
        <d v="2024-10-12T00:00:00Z"/>
        <d v="2024-10-13T00:00:00Z"/>
        <d v="2024-10-14T00:00:00Z"/>
        <d v="2024-10-15T00:00:00Z"/>
        <d v="2024-10-17T00:00:00Z"/>
        <d v="2024-10-18T00:00:00Z"/>
        <d v="2024-10-19T00:00:00Z"/>
        <d v="2024-10-20T00:00:00Z"/>
        <d v="2024-10-21T00:00:00Z"/>
        <d v="2024-10-22T00:00:00Z"/>
        <d v="2024-10-23T00:00:00Z"/>
        <d v="2024-10-24T00:00:00Z"/>
        <d v="2024-10-25T00:00:00Z"/>
        <d v="2024-10-26T00:00:00Z"/>
        <d v="2024-10-27T00:00:00Z"/>
        <d v="2024-10-28T00:00:00Z"/>
        <d v="2024-10-29T00:00:00Z"/>
        <d v="2024-10-30T00:00:00Z"/>
        <d v="2024-10-31T00:00:00Z"/>
        <d v="2024-11-01T00:00:00Z"/>
        <d v="2024-11-02T00:00:00Z"/>
        <d v="2024-11-03T00:00:00Z"/>
        <d v="2024-11-04T00:00:00Z"/>
        <d v="2024-11-05T00:00:00Z"/>
        <d v="2024-11-06T00:00:00Z"/>
        <d v="2024-11-07T00:00:00Z"/>
        <d v="2024-11-08T00:00:00Z"/>
        <d v="2024-11-09T00:00:00Z"/>
        <d v="2024-11-10T00:00:00Z"/>
        <d v="2024-11-11T00:00:00Z"/>
        <d v="2024-11-12T00:00:00Z"/>
        <d v="2024-11-13T00:00:00Z"/>
        <d v="2024-11-14T00:00:00Z"/>
        <d v="2024-11-15T00:00:00Z"/>
        <d v="2024-11-16T00:00:00Z"/>
        <d v="2024-11-17T00:00:00Z"/>
        <d v="2024-11-18T00:00:00Z"/>
        <d v="2024-11-20T00:00:00Z"/>
        <d v="2024-11-21T00:00:00Z"/>
        <d v="2024-11-22T00:00:00Z"/>
        <d v="2024-11-23T00:00:00Z"/>
        <d v="2024-11-24T00:00:00Z"/>
        <d v="2024-11-25T00:00:00Z"/>
        <d v="2024-11-26T00:00:00Z"/>
        <d v="2024-11-27T00:00:00Z"/>
        <d v="2024-11-28T00:00:00Z"/>
        <d v="2024-11-29T00:00:00Z"/>
        <d v="2024-11-30T00:00:00Z"/>
        <d v="2024-12-01T00:00:00Z"/>
        <d v="2024-12-02T00:00:00Z"/>
        <d v="2024-12-03T00:00:00Z"/>
        <d v="2024-12-04T00:00:00Z"/>
        <d v="2024-12-05T00:00:00Z"/>
        <d v="2024-12-06T00:00:00Z"/>
        <d v="2024-12-08T00:00:00Z"/>
        <d v="2024-12-09T00:00:00Z"/>
        <d v="2024-12-10T00:00:00Z"/>
        <d v="2024-12-11T00:00:00Z"/>
        <d v="2024-12-12T00:00:00Z"/>
        <d v="2024-12-13T00:00:00Z"/>
        <d v="2024-12-14T00:00:00Z"/>
        <d v="2024-12-15T00:00:00Z"/>
        <d v="2024-12-16T00:00:00Z"/>
        <d v="2024-12-17T00:00:00Z"/>
        <d v="2024-12-18T00:00:00Z"/>
        <d v="2024-12-19T00:00:00Z"/>
        <d v="2024-12-20T00:00:00Z"/>
        <d v="2024-12-21T00:00:00Z"/>
        <d v="2024-12-22T00:00:00Z"/>
        <d v="2024-12-23T00:00:00Z"/>
        <d v="2024-12-24T00:00:00Z"/>
        <d v="2024-12-27T00:00:00Z"/>
        <d v="2024-12-28T00:00:00Z"/>
        <d v="2024-12-29T00:00:00Z"/>
        <d v="2024-12-30T00:00:00Z"/>
        <d v="2025-01-01T00:00:00Z"/>
        <d v="2025-01-02T00:00:00Z"/>
        <d v="2025-01-03T00:00:00Z"/>
        <d v="2025-01-04T00:00:00Z"/>
        <d v="2025-01-05T00:00:00Z"/>
        <d v="2025-01-06T00:00:00Z"/>
        <d v="2025-01-07T00:00:00Z"/>
        <d v="2025-01-08T00:00:00Z"/>
        <d v="2025-01-09T00:00:00Z"/>
        <d v="2025-01-10T00:00:00Z"/>
        <d v="2025-01-11T00:00:00Z"/>
        <d v="2025-01-12T00:00:00Z"/>
        <d v="2025-01-13T00:00:00Z"/>
        <d v="2025-01-14T00:00:00Z"/>
        <d v="2025-01-15T00:00:00Z"/>
        <d v="2025-01-16T00:00:00Z"/>
        <d v="2025-01-17T00:00:00Z"/>
        <d v="2025-01-18T00:00:00Z"/>
        <d v="2025-01-19T00:00:00Z"/>
        <d v="2025-01-20T00:00:00Z"/>
        <d v="2025-01-21T00:00:00Z"/>
        <d v="2025-01-22T00:00:00Z"/>
        <d v="2025-01-23T00:00:00Z"/>
        <d v="2025-01-24T00:00:00Z"/>
        <d v="2025-01-25T00:00:00Z"/>
        <d v="2025-01-26T00:00:00Z"/>
        <d v="2025-01-27T00:00:00Z"/>
        <d v="2025-01-28T00:00:00Z"/>
        <d v="2025-01-29T00:00:00Z"/>
        <d v="2025-01-30T00:00:00Z"/>
        <d v="2025-02-01T00:00:00Z"/>
        <d v="2025-02-02T00:00:00Z"/>
        <d v="2025-02-03T00:00:00Z"/>
        <d v="2025-02-04T00:00:00Z"/>
        <d v="2025-02-05T00:00:00Z"/>
        <d v="2025-02-06T00:00:00Z"/>
        <d v="2025-02-07T00:00:00Z"/>
        <d v="2025-02-08T00:00:00Z"/>
        <d v="2025-02-09T00:00:00Z"/>
        <d v="2025-02-10T00:00:00Z"/>
        <d v="2025-02-11T00:00:00Z"/>
        <d v="2025-02-12T00:00:00Z"/>
        <d v="2025-02-13T00:00:00Z"/>
        <d v="2025-02-14T00:00:00Z"/>
        <d v="2025-02-15T00:00:00Z"/>
        <d v="2025-02-16T00:00:00Z"/>
        <d v="2025-02-17T00:00:00Z"/>
        <d v="2025-02-18T00:00:00Z"/>
        <d v="2025-02-19T00:00:00Z"/>
        <d v="2025-02-20T00:00:00Z"/>
        <d v="2025-02-21T00:00:00Z"/>
        <d v="2025-02-22T00:00:00Z"/>
        <d v="2025-02-23T00:00:00Z"/>
        <d v="2025-02-24T00:00:00Z"/>
        <d v="2025-02-25T00:00:00Z"/>
        <d v="2025-02-26T00:00:00Z"/>
        <d v="2025-02-28T00:00:00Z"/>
        <d v="2025-03-28T00:00:00Z"/>
        <d v="2025-03-01T00:00:00Z"/>
        <d v="2025-03-02T00:00:00Z"/>
        <d v="2025-03-03T00:00:00Z"/>
        <d v="2025-03-04T00:00:00Z"/>
        <d v="2025-03-05T00:00:00Z"/>
        <d v="2025-03-06T00:00:00Z"/>
        <d v="2025-03-07T00:00:00Z"/>
        <d v="2025-03-08T00:00:00Z"/>
        <d v="2025-03-09T00:00:00Z"/>
        <d v="2025-03-10T00:00:00Z"/>
        <d v="2025-03-11T00:00:00Z"/>
        <d v="2025-03-12T00:00:00Z"/>
        <d v="2025-03-13T00:00:00Z"/>
        <d v="2025-03-14T00:00:00Z"/>
        <d v="2025-03-15T00:00:00Z"/>
        <d v="2025-03-16T00:00:00Z"/>
        <d v="2025-03-17T00:00:00Z"/>
        <d v="2025-03-18T00:00:00Z"/>
        <d v="2025-03-19T00:00:00Z"/>
        <d v="2025-03-20T00:00:00Z"/>
        <d v="2025-03-21T00:00:00Z"/>
        <d v="2025-03-22T00:00:00Z"/>
        <d v="2025-03-23T00:00:00Z"/>
        <d v="2025-03-24T00:00:00Z"/>
        <d v="2025-03-25T00:00:00Z"/>
        <d v="2025-03-26T00:00:00Z"/>
        <d v="2025-03-27T00:00:00Z"/>
        <d v="2025-03-29T00:00:00Z"/>
        <d v="2025-03-30T00:00:00Z"/>
        <d v="2025-04-01T00:00:00Z"/>
        <d v="2025-04-02T00:00:00Z"/>
        <d v="2025-04-03T00:00:00Z"/>
        <d v="2025-04-04T00:00:00Z"/>
        <d v="2025-04-05T00:00:00Z"/>
        <d v="2025-04-06T00:00:00Z"/>
        <d v="2025-04-07T00:00:00Z"/>
        <d v="2025-04-08T00:00:00Z"/>
        <d v="2025-04-09T00:00:00Z"/>
        <d v="2025-04-10T00:00:00Z"/>
        <d v="2025-04-11T00:00:00Z"/>
        <d v="2025-04-12T00:00:00Z"/>
        <d v="2025-04-13T00:00:00Z"/>
        <d v="2025-04-14T00:00:00Z"/>
        <d v="2025-04-15T00:00:00Z"/>
        <d v="2025-04-16T00:00:00Z"/>
        <d v="2025-04-17T00:00:00Z"/>
        <d v="2025-04-18T00:00:00Z"/>
        <d v="2025-04-19T00:00:00Z"/>
        <d v="2025-04-20T00:00:00Z"/>
        <d v="2025-04-21T00:00:00Z"/>
        <d v="2025-04-22T00:00:00Z"/>
        <d v="2025-04-23T00:00:00Z"/>
        <d v="2025-04-24T00:00:00Z"/>
        <d v="2025-04-25T00:00:00Z"/>
        <d v="2025-04-26T00:00:00Z"/>
        <d v="2025-04-28T00:00:00Z"/>
        <d v="2025-04-29T00:00:00Z"/>
        <d v="2025-04-30T00:00:00Z"/>
        <d v="2025-05-01T00:00:00Z"/>
        <d v="2025-05-02T00:00:00Z"/>
        <d v="2025-05-03T00:00:00Z"/>
        <d v="2025-05-04T00:00:00Z"/>
        <d v="2025-05-05T00:00:00Z"/>
        <d v="2025-05-06T00:00:00Z"/>
        <d v="2025-05-07T00:00:00Z"/>
        <d v="2025-05-08T00:00:00Z"/>
        <d v="2025-05-09T00:00:00Z"/>
        <d v="2025-05-10T00:00:00Z"/>
        <d v="2025-05-11T00:00:00Z"/>
        <d v="2025-05-12T00:00:00Z"/>
        <d v="2025-05-13T00:00:00Z"/>
        <d v="2025-05-14T00:00:00Z"/>
        <d v="2025-05-15T00:00:00Z"/>
        <d v="2025-05-16T00:00:00Z"/>
        <d v="2025-05-17T00:00:00Z"/>
        <d v="2025-05-18T00:00:00Z"/>
        <d v="2025-05-19T00:00:00Z"/>
        <d v="2025-05-20T00:00:00Z"/>
        <d v="2025-05-21T00:00:00Z"/>
        <d v="2025-05-22T00:00:00Z"/>
        <d v="2025-05-23T00:00:00Z"/>
        <d v="2025-05-24T00:00:00Z"/>
        <d v="2025-05-25T00:00:00Z"/>
        <d v="2025-05-26T00:00:00Z"/>
        <d v="2025-05-27T00:00:00Z"/>
        <d v="2025-05-28T00:00:00Z"/>
        <d v="2025-05-30T00:00:00Z"/>
        <d v="2025-05-31T00:00:00Z"/>
        <d v="2025-06-01T00:00:00Z"/>
        <d v="2025-06-02T00:00:00Z"/>
        <d v="2025-06-03T00:00:00Z"/>
        <d v="2025-06-04T00:00:00Z"/>
        <d v="2025-06-05T00:00:00Z"/>
        <d v="2025-06-06T00:00:00Z"/>
        <d v="2025-06-07T00:00:00Z"/>
        <d v="2025-06-09T00:00:00Z"/>
        <d v="2025-06-10T00:00:00Z"/>
        <d v="2025-06-12T00:00:00Z"/>
        <d v="2025-06-13T00:00:00Z"/>
        <d v="2025-06-14T00:00:00Z"/>
        <d v="2025-06-15T00:00:00Z"/>
        <d v="2025-06-16T00:00:00Z"/>
        <d v="2025-06-17T00:00:00Z"/>
        <d v="2025-06-18T00:00:00Z"/>
        <d v="2025-06-19T00:00:00Z"/>
        <d v="2025-06-20T00:00:00Z"/>
        <d v="2025-06-21T00:00:00Z"/>
        <d v="2025-06-22T00:00:00Z"/>
        <d v="2025-06-23T00:00:00Z"/>
        <d v="2025-06-24T00:00:00Z"/>
        <d v="2025-06-25T00:00:00Z"/>
        <d v="2025-06-27T00:00:00Z"/>
        <d v="2025-06-28T00:00:00Z"/>
        <d v="2025-06-29T00:00:00Z"/>
        <d v="2025-06-30T00:00:00Z"/>
        <d v="2025-07-01T00:00:00Z"/>
        <d v="2025-07-02T00:00:00Z"/>
        <d v="2025-07-03T00:00:00Z"/>
        <d v="2025-07-04T00:00:00Z"/>
        <d v="2025-07-05T00:00:00Z"/>
        <d v="2025-07-06T00:00:00Z"/>
        <d v="2025-07-07T00:00:00Z"/>
        <d v="2025-07-08T00:00:00Z"/>
        <d v="2025-07-09T00:00:00Z"/>
        <d v="2025-07-10T00:00:00Z"/>
        <d v="2025-07-11T00:00:00Z"/>
        <d v="2025-07-12T00:00:00Z"/>
        <d v="2025-07-13T00:00:00Z"/>
        <d v="2025-07-14T00:00:00Z"/>
        <d v="2025-07-15T00:00:00Z"/>
        <d v="2025-07-16T00:00:00Z"/>
        <d v="2025-07-17T00:00:00Z"/>
        <d v="2025-07-18T00:00:00Z"/>
        <d v="2025-07-19T00:00:00Z"/>
        <d v="2025-07-21T00:00:00Z"/>
        <d v="2025-07-22T00:00:00Z"/>
        <d v="2025-07-23T00:00:00Z"/>
        <d v="2025-07-24T00:00:00Z"/>
        <d v="2025-07-27T00:00:00Z"/>
        <d v="2025-07-30T00:00:00Z"/>
        <d v="2025-08-01T00:00:00Z"/>
        <d v="2025-08-02T00:00:00Z"/>
        <d v="2025-08-03T00:00:00Z"/>
        <d v="2025-08-04T00:00:00Z"/>
        <d v="2025-08-05T00:00:00Z"/>
        <d v="2025-08-06T00:00:00Z"/>
        <d v="2025-08-07T00:00:00Z"/>
        <d v="2025-08-08T00:00:00Z"/>
        <d v="2025-08-09T00:00:00Z"/>
        <d v="2025-08-10T00:00:00Z"/>
        <d v="2025-08-11T00:00:00Z"/>
        <d v="2025-08-12T00:00:00Z"/>
        <d v="2025-08-13T00:00:00Z"/>
        <d v="2025-08-14T00:00:00Z"/>
        <d v="2025-08-15T00:00:00Z"/>
        <d v="2025-08-16T00:00:00Z"/>
        <d v="2025-08-17T00:00:00Z"/>
        <d v="2025-08-18T00:00:00Z"/>
        <d v="2025-08-19T00:00:00Z"/>
        <d v="2025-08-20T00:00:00Z"/>
        <d v="2025-08-21T00:00:00Z"/>
        <d v="2025-08-22T00:00:00Z"/>
        <d v="2025-08-23T00:00:00Z"/>
        <d v="2025-08-24T00:00:00Z"/>
        <d v="2025-08-25T00:00:00Z"/>
        <d v="2025-08-26T00:00:00Z"/>
        <d v="2025-08-27T00:00:00Z"/>
        <d v="2025-08-28T00:00:00Z"/>
        <d v="2025-08-29T00:00:00Z"/>
        <d v="2025-08-30T00:00:00Z"/>
        <d v="2025-08-31T00:00:00Z"/>
        <d v="2025-09-01T00:00:00Z"/>
        <d v="2025-09-02T00:00:00Z"/>
        <d v="2025-09-03T00:00:00Z"/>
        <d v="2025-09-04T00:00:00Z"/>
        <d v="2025-09-05T00:00:00Z"/>
        <d v="2025-09-06T00:00:00Z"/>
        <d v="2025-09-07T00:00:00Z"/>
        <d v="2025-09-09T00:00:00Z"/>
        <d v="2025-09-10T00:00:00Z"/>
        <d v="2025-09-11T00:00:00Z"/>
        <d v="2025-09-12T00:00:00Z"/>
        <d v="2025-09-13T00:00:00Z"/>
        <d v="2025-09-14T00:00:00Z"/>
        <d v="2025-09-15T00:00:00Z"/>
        <d v="2025-09-17T00:00:00Z"/>
        <d v="2025-09-18T00:00:00Z"/>
        <d v="2025-09-19T00:00:00Z"/>
        <d v="2025-09-20T00:00:00Z"/>
        <d v="2025-09-23T00:00:00Z"/>
        <d v="2025-09-24T00:00:00Z"/>
        <d v="2025-09-25T00:00:00Z"/>
        <d v="2025-09-26T00:00:00Z"/>
        <d v="2025-09-27T00:00:00Z"/>
        <d v="2025-09-28T00:00:00Z"/>
        <d v="2025-09-29T00:00:00Z"/>
        <d v="2025-09-30T00:00:00Z"/>
        <d v="2025-10-01T00:00:00Z"/>
        <d v="2025-10-02T00:00:00Z"/>
        <d v="2025-10-03T00:00:00Z"/>
        <d v="2025-10-04T00:00:00Z"/>
        <d v="2025-10-05T00:00:00Z"/>
        <d v="2025-10-10T00:00:00Z"/>
        <d v="2025-10-15T00:00:00Z"/>
        <d v="2025-10-16T00:00:00Z"/>
        <d v="2025-10-17T00:00:00Z"/>
        <d v="2025-10-18T00:00:00Z"/>
        <d v="2025-10-20T00:00:00Z"/>
        <d v="2025-10-21T00:00:00Z"/>
        <d v="2025-10-22T00:00:00Z"/>
        <d v="2025-10-23T00:00:00Z"/>
        <d v="2025-10-24T00:00:00Z"/>
        <d v="2025-10-25T00:00:00Z"/>
        <d v="2025-10-26T00:00:00Z"/>
        <d v="2025-10-28T00:00:00Z"/>
        <d v="2025-10-29T00:00:00Z"/>
        <d v="2025-10-30T00:00:00Z"/>
        <d v="2025-11-30T00:00:00Z"/>
        <d v="2025-11-01T00:00:00Z"/>
        <d v="2025-11-02T00:00:00Z"/>
        <d v="2025-11-03T00:00:00Z"/>
        <d v="2025-11-04T00:00:00Z"/>
        <d v="2025-11-05T00:00:00Z"/>
        <d v="2025-11-06T00:00:00Z"/>
        <d v="2025-11-07T00:00:00Z"/>
        <d v="2025-11-08T00:00:00Z"/>
        <d v="2025-11-09T00:00:00Z"/>
        <d v="2025-11-10T00:00:00Z"/>
        <d v="2025-11-11T00:00:00Z"/>
        <d v="2025-11-12T00:00:00Z"/>
        <d v="2025-11-13T00:00:00Z"/>
        <d v="2025-11-14T00:00:00Z"/>
        <d v="2025-11-15T00:00:00Z"/>
        <d v="2025-11-16T00:00:00Z"/>
        <d v="2025-11-17T00:00:00Z"/>
        <d v="2025-11-18T00:00:00Z"/>
        <d v="2025-11-19T00:00:00Z"/>
        <d v="2025-11-20T00:00:00Z"/>
        <d v="2025-11-21T00:00:00Z"/>
        <d v="2025-11-23T00:00:00Z"/>
        <d v="2025-11-24T00:00:00Z"/>
        <d v="2025-11-25T00:00:00Z"/>
        <d v="2025-11-27T00:00:00Z"/>
        <d v="2025-11-28T00:00:00Z"/>
        <d v="2025-11-29T00:00:00Z"/>
      </sharedItems>
    </cacheField>
    <cacheField name="description" numFmtId="0">
      <sharedItems>
        <s v="Clothing"/>
        <s v="Pets"/>
        <s v="Appliances"/>
        <s v="Car Expenses"/>
        <s v="Education"/>
        <s v="Gift"/>
        <s v="Home Goods"/>
        <s v="Recreation"/>
        <s v="Streaming Services"/>
        <s v="Internet Services"/>
        <s v="Sports"/>
        <s v="Groceries"/>
        <s v="Gas Bill (Metrogas)"/>
        <s v="Municipal Tax (ABL)"/>
        <s v="Meals"/>
        <s v="Restaurant"/>
        <s v="Cab/Uber"/>
        <s v="Delivery"/>
        <s v="Stationery / Books"/>
        <s v="Lunch Out"/>
        <s v="Doctor Visit"/>
        <s v="Pharmacy"/>
        <s v="Personal Care"/>
        <s v="Home Maintenance"/>
        <s v="Donation"/>
        <s v="Mobile Plan"/>
        <s v="Electricity Bill (Edesur)"/>
        <s v="Water Bill (AySA)"/>
        <s v="Building Expenses"/>
        <s v="Rent"/>
        <s v="Greengrocer"/>
        <s v="Gasoline"/>
        <s v="Rent &amp; Building Expenses"/>
        <s v="Event"/>
        <s v="Car Insurance"/>
        <s v="Municipal Tax (Agip)"/>
        <s v="Health Insurance"/>
        <s v="Healthcare"/>
        <s v="Car Maintenance"/>
        <s v="Medical Tests"/>
        <s v="Toll"/>
        <s v="Vehicle Technical Inspection"/>
      </sharedItems>
    </cacheField>
    <cacheField name="total" numFmtId="2">
      <sharedItems containsSemiMixedTypes="0" containsString="0" containsNumber="1">
        <n v="3792.0"/>
        <n v="5354.0"/>
        <n v="2361.0"/>
        <n v="8115.0"/>
        <n v="17570.0"/>
        <n v="15619.0"/>
        <n v="7700.0"/>
        <n v="44007.0"/>
        <n v="4816.0"/>
        <n v="9879.0"/>
        <n v="17500.0"/>
        <n v="7500.0"/>
        <n v="673.0"/>
        <n v="2539.0"/>
        <n v="58666.0"/>
        <n v="17192.0"/>
        <n v="35796.0"/>
        <n v="27500.0"/>
        <n v="47316.0"/>
        <n v="1650.0"/>
        <n v="9500.0"/>
        <n v="35000.0"/>
        <n v="18833.0"/>
        <n v="1602.0"/>
        <n v="4000.0"/>
        <n v="1316.0"/>
        <n v="2744.5"/>
        <n v="3860.0"/>
        <n v="1010.0"/>
        <n v="3500.0"/>
        <n v="14900.0"/>
        <n v="42500.0"/>
        <n v="5723.0"/>
        <n v="1000.0"/>
        <n v="6535.0"/>
        <n v="13500.0"/>
        <n v="11800.0"/>
        <n v="1600.0"/>
        <n v="5500.0"/>
        <n v="3700.0"/>
        <n v="2100.0"/>
        <n v="750.0"/>
        <n v="3225.0"/>
        <n v="2000.0"/>
        <n v="7490.0"/>
        <n v="7000.0"/>
        <n v="15100.0"/>
        <n v="1350.0"/>
        <n v="1451.0"/>
        <n v="3373.0"/>
        <n v="4060.0"/>
        <n v="12000.0"/>
        <n v="12851.0"/>
        <n v="18175.0"/>
        <n v="2040.0"/>
        <n v="3314.0"/>
        <n v="1470.0"/>
        <n v="6750.0"/>
        <n v="18783.0"/>
        <n v="1100.0"/>
        <n v="4800.0"/>
        <n v="21990.0"/>
        <n v="10545.0"/>
        <n v="60000.0"/>
        <n v="5519.0"/>
        <n v="21593.0"/>
        <n v="3465.0"/>
        <n v="9350.0"/>
        <n v="12981.0"/>
        <n v="6000.0"/>
        <n v="6800.0"/>
        <n v="2633.0"/>
        <n v="4400.0"/>
        <n v="10000.0"/>
        <n v="25000.0"/>
        <n v="6490.0"/>
        <n v="5000.0"/>
        <n v="2700.0"/>
        <n v="9800.0"/>
        <n v="3070.0"/>
        <n v="4200.0"/>
        <n v="9243.0"/>
        <n v="2750.0"/>
        <n v="3895.0"/>
        <n v="8338.0"/>
        <n v="2150.0"/>
        <n v="2600.0"/>
        <n v="8647.0"/>
        <n v="1453.0"/>
        <n v="5781.0"/>
        <n v="0.0"/>
        <n v="1865.0"/>
        <n v="2250.0"/>
        <n v="12738.0"/>
        <n v="17000.0"/>
        <n v="3721.0"/>
        <n v="43308.0"/>
        <n v="173132.0"/>
        <n v="9900.0"/>
        <n v="40000.0"/>
        <n v="208.0"/>
        <n v="6674.5"/>
        <n v="42.0"/>
        <n v="5400.0"/>
        <n v="22607.0"/>
        <n v="9530.5"/>
        <n v="18.0"/>
        <n v="9000.0"/>
        <n v="1500.0"/>
        <n v="500.0"/>
        <n v="34.25"/>
        <n v="5450.0"/>
        <n v="600.0"/>
        <n v="27.75"/>
        <n v="112000.0"/>
        <n v="18000.0"/>
        <n v="15000.0"/>
        <n v="8996.0"/>
        <n v="5219.0"/>
        <n v="26.0"/>
        <n v="3668.0"/>
        <n v="7077.0"/>
        <n v="3065.0"/>
        <n v="3635.0"/>
        <n v="4500.0"/>
        <n v="4900.0"/>
        <n v="31.0"/>
        <n v="9400.0"/>
        <n v="26000.0"/>
        <n v="8600.0"/>
        <n v="4300.0"/>
        <n v="11001.0"/>
        <n v="2964.0"/>
        <n v="16000.0"/>
        <n v="41624.0"/>
        <n v="5700.0"/>
        <n v="12526.0"/>
        <n v="817.5"/>
        <n v="4233.0"/>
        <n v="177.75"/>
        <n v="22250.0"/>
        <n v="4110.0"/>
        <n v="39.0"/>
        <n v="23370.0"/>
        <n v="25600.0"/>
        <n v="278.0"/>
        <n v="3000.0"/>
        <n v="9600.0"/>
        <n v="18781.0"/>
        <n v="4700.0"/>
        <n v="125341.0"/>
        <n v="282000.0"/>
        <n v="5100.0"/>
        <n v="13556.0"/>
        <n v="22000.0"/>
        <n v="6500.0"/>
        <n v="10400.0"/>
        <n v="10960.0"/>
        <n v="11405.0"/>
        <n v="50600.0"/>
        <n v="26.5"/>
        <n v="3800.0"/>
        <n v="1300.0"/>
        <n v="4461.0"/>
        <n v="3.0"/>
        <n v="1601.0"/>
        <n v="13556.66"/>
        <n v="12600.0"/>
        <n v="14533.0"/>
        <n v="20000.0"/>
        <n v="2754.5"/>
        <n v="28831.0"/>
        <n v="14437.0"/>
        <n v="23000.0"/>
        <n v="3878.0"/>
        <n v="2566.0"/>
        <n v="547.5"/>
        <n v="7041.0"/>
        <n v="2900.0"/>
        <n v="112.0"/>
        <n v="11968.0"/>
        <n v="700.0"/>
        <n v="2110.0"/>
        <n v="7670.0"/>
        <n v="6100.0"/>
        <n v="35.0"/>
        <n v="2500.0"/>
        <n v="4931.5"/>
        <n v="6662.5"/>
        <n v="232000.0"/>
        <n v="30.0"/>
        <n v="6850.0"/>
        <n v="38.0"/>
        <n v="21.0"/>
        <n v="2140.0"/>
        <n v="8500.0"/>
        <n v="2622.5"/>
        <n v="43.0"/>
        <n v="193.5"/>
        <n v="100000.0"/>
        <n v="14950.0"/>
        <n v="4385.0"/>
        <n v="1550.0"/>
        <n v="10200.0"/>
        <n v="1050.0"/>
        <n v="25.0"/>
        <n v="50.0"/>
        <n v="8950.0"/>
        <n v="1750.0"/>
        <n v="7350.0"/>
        <n v="61600.0"/>
        <n v="1802.0"/>
        <n v="2160.0"/>
        <n v="900.0"/>
        <n v="8200.0"/>
        <n v="2400.0"/>
        <n v="13029.0"/>
        <n v="3242.0"/>
        <n v="12038.0"/>
        <n v="2096.0"/>
        <n v="1900.0"/>
        <n v="2075.0"/>
        <n v="1400.0"/>
        <n v="550.0"/>
        <n v="35750.5"/>
        <n v="3097.0"/>
        <n v="62.0"/>
        <n v="5197.0"/>
        <n v="12500.0"/>
        <n v="332.0"/>
        <n v="74.0"/>
        <n v="19500.0"/>
        <n v="12447.0"/>
        <n v="110000.0"/>
        <n v="235000.0"/>
        <n v="10066.0"/>
        <n v="8750.0"/>
        <n v="1822.5"/>
        <n v="6956.0"/>
        <n v="239.0"/>
        <n v="11550.0"/>
        <n v="3234.0"/>
        <n v="13384.0"/>
        <n v="1450.0"/>
        <n v="32.0"/>
        <n v="2125.0"/>
        <n v="1325.0"/>
        <n v="15.16"/>
        <n v="75.0"/>
        <n v="3816.5"/>
        <n v="5900.0"/>
        <n v="1905.0"/>
        <n v="2525.0"/>
        <n v="2850.0"/>
        <n v="10403.0"/>
        <n v="10812.5"/>
        <n v="1808.0"/>
        <n v="4750.0"/>
        <n v="1200.0"/>
        <n v="19.5"/>
        <n v="875.0"/>
        <n v="4350.0"/>
        <n v="10840.5"/>
        <n v="1270.0"/>
        <n v="4560.0"/>
        <n v="2340.0"/>
        <n v="11700.0"/>
        <n v="3565.0"/>
        <n v="3100.0"/>
        <n v="10700.0"/>
        <n v="41140.0"/>
        <n v="3200.0"/>
        <n v="8700.0"/>
        <n v="5981.84"/>
        <n v="17218.0"/>
        <n v="1800.0"/>
        <n v="3780.0"/>
        <n v="2858.0"/>
        <n v="7400.0"/>
        <n v="4150.0"/>
        <n v="4542.5"/>
        <n v="41.51"/>
        <n v="240500.0"/>
        <n v="7025.0"/>
        <n v="292.0"/>
        <n v="222.0"/>
        <n v="2300.0"/>
        <n v="1742.0"/>
        <n v="33993.0"/>
        <n v="2622.0"/>
        <n v="10859.0"/>
        <n v="3840.0"/>
        <n v="19400.0"/>
        <n v="7290.0"/>
        <n v="7050.0"/>
        <n v="19326.0"/>
        <n v="8489.0"/>
        <n v="19900.0"/>
        <n v="5125.0"/>
        <n v="13330.0"/>
        <n v="3585.0"/>
        <n v="41.0"/>
        <n v="2101.0"/>
        <n v="9750.0"/>
        <n v="5798.0"/>
        <n v="2800.0"/>
        <n v="4838.0"/>
        <n v="2200.0"/>
        <n v="9666.0"/>
        <n v="14850.0"/>
        <n v="14705.0"/>
        <n v="8400.0"/>
        <n v="13350.0"/>
        <n v="4268.0"/>
        <n v="30000.0"/>
        <n v="5600.0"/>
        <n v="5132.0"/>
        <n v="10101.0"/>
        <n v="10481.0"/>
        <n v="8899.0"/>
        <n v="6150.0"/>
        <n v="650.0"/>
        <n v="7250.0"/>
        <n v="4100.0"/>
        <n v="21000.0"/>
        <n v="26620.0"/>
        <n v="12797.0"/>
        <n v="12944.0"/>
        <n v="5975.0"/>
        <n v="14200.0"/>
        <n v="14000.0"/>
        <n v="15015.0"/>
        <n v="1547.0"/>
        <n v="8371.0"/>
        <n v="381.0"/>
        <n v="300000.0"/>
        <n v="6300.0"/>
        <n v="67760.0"/>
        <n v="7661.0"/>
        <n v="24704.0"/>
        <n v="6033.0"/>
        <n v="11200.0"/>
        <n v="27.0"/>
        <n v="34447.0"/>
        <n v="35.5"/>
        <n v="2124.0"/>
        <n v="5156.0"/>
        <n v="7750.0"/>
        <n v="8000.0"/>
        <n v="2884.0"/>
        <n v="2869.0"/>
        <n v="4600.0"/>
        <n v="999.0"/>
        <n v="10392.0"/>
        <n v="6600.0"/>
        <n v="6115.0"/>
        <n v="5054.0"/>
        <n v="21500.0"/>
        <n v="13101.0"/>
        <n v="13889.0"/>
        <n v="3273.0"/>
        <n v="58040.0"/>
        <n v="4650.0"/>
        <n v="9025.0"/>
        <n v="17780.0"/>
        <n v="16208.33"/>
        <n v="31519.0"/>
        <n v="8375.0"/>
        <n v="118.0"/>
        <n v="19100.0"/>
        <n v="8266.0"/>
        <n v="49.0"/>
        <n v="5435.0"/>
        <n v="10500.0"/>
        <n v="55.0"/>
        <n v="5200.0"/>
        <n v="3950.0"/>
        <n v="2325.0"/>
        <n v="69.0"/>
        <n v="9189.0"/>
        <n v="2491.0"/>
        <n v="19651.0"/>
        <n v="40.0"/>
        <n v="26559.0"/>
        <n v="69000.0"/>
        <n v="4024.0"/>
        <n v="7403.0"/>
        <n v="353000.0"/>
        <n v="21625.0"/>
        <n v="3050.0"/>
        <n v="25500.0"/>
        <n v="23283.0"/>
        <n v="47000.0"/>
        <n v="3320.0"/>
        <n v="7100.0"/>
        <n v="3750.0"/>
        <n v="9991.0"/>
        <n v="3613.0"/>
        <n v="11070.0"/>
        <n v="5242.0"/>
        <n v="13018.0"/>
        <n v="15665.34"/>
        <n v="11330.0"/>
        <n v="11666.7"/>
        <n v="8166.68"/>
        <n v="15206.0"/>
        <n v="5299.0"/>
        <n v="4050.0"/>
        <n v="4850.0"/>
        <n v="4289.0"/>
        <n v="7037.0"/>
        <n v="51590.0"/>
        <n v="10650.0"/>
        <n v="10600.0"/>
        <n v="5274.0"/>
        <n v="662.0"/>
        <n v="8666.0"/>
        <n v="1700.0"/>
        <n v="5300.0"/>
        <n v="370000.0"/>
        <n v="46.0"/>
        <n v="53.0"/>
        <n v="11879.0"/>
        <n v="5880.0"/>
        <n v="6900.0"/>
        <n v="6335.0"/>
        <n v="126.0"/>
        <n v="23500.0"/>
        <n v="44610.0"/>
        <n v="20930.0"/>
        <n v="8330.0"/>
        <n v="7247.0"/>
        <n v="18155.0"/>
        <n v="5850.0"/>
        <n v="2385.0"/>
        <n v="13300.0"/>
        <n v="5596.0"/>
        <n v="2375.0"/>
        <n v="13223.0"/>
        <n v="34400.0"/>
        <n v="8300.0"/>
        <n v="6777.0"/>
        <n v="9298.0"/>
        <n v="6050.0"/>
        <n v="10378.0"/>
        <n v="11979.0"/>
        <n v="6277.0"/>
        <n v="9250.0"/>
        <n v="19300.0"/>
        <n v="13423.0"/>
        <n v="9915.0"/>
        <n v="82.0"/>
        <n v="48.0"/>
        <n v="11900.0"/>
        <n v="7549.0"/>
        <n v="11650.0"/>
        <n v="13333.0"/>
        <n v="5750.0"/>
        <n v="45.0"/>
        <n v="12941.0"/>
        <n v="6200.0"/>
        <n v="10300.0"/>
        <n v="5158.0"/>
        <n v="1250.0"/>
        <n v="167.0"/>
        <n v="8618.0"/>
        <n v="27700.0"/>
        <n v="5965.0"/>
        <n v="78.0"/>
        <n v="16.0"/>
        <n v="6291.0"/>
        <n v="60.0"/>
        <n v="28000.0"/>
        <n v="9495.0"/>
        <n v="6700.0"/>
        <n v="7800.0"/>
        <n v="2405.0"/>
        <n v="4490.0"/>
        <n v="13284.0"/>
        <n v="31200.0"/>
        <n v="19000.0"/>
        <n v="6997.0"/>
        <n v="6440.0"/>
        <n v="11600.0"/>
        <n v="213.0"/>
        <n v="3603.0"/>
        <n v="9650.0"/>
        <n v="33375.0"/>
        <n v="24000.0"/>
        <n v="7406.0"/>
        <n v="1320.0"/>
        <n v="800.0"/>
        <n v="3151.0"/>
        <n v="10351.0"/>
        <n v="5222.0"/>
        <n v="5134.0"/>
        <n v="73831.0"/>
        <n v="9194.0"/>
        <n v="37350.0"/>
        <n v="1218.0"/>
        <n v="4498.0"/>
        <n v="61000.0"/>
        <n v="354000.0"/>
        <n v="28.0"/>
        <n v="34.0"/>
        <n v="4830.0"/>
        <n v="12589.0"/>
        <n v="2710.0"/>
        <n v="7540.0"/>
        <n v="150000.0"/>
        <n v="899.0"/>
        <n v="60492.0"/>
        <n v="3833.0"/>
        <n v="40950.0"/>
        <n v="38037.0"/>
        <n v="11370.0"/>
        <n v="16250.0"/>
        <n v="38366.0"/>
        <n v="4250.0"/>
        <n v="15800.0"/>
        <n v="14450.0"/>
        <n v="203000.0"/>
        <n v="9474.0"/>
        <n v="12400.0"/>
        <n v="10699.0"/>
        <n v="16247.0"/>
        <n v="15535.0"/>
        <n v="6949.0"/>
        <n v="2350.0"/>
        <n v="13536.0"/>
        <n v="26150.0"/>
        <n v="10450.0"/>
        <n v="1998.0"/>
        <n v="10689.0"/>
        <n v="11000.0"/>
        <n v="36946.0"/>
        <n v="19950.0"/>
        <n v="5193.0"/>
        <n v="46125.0"/>
        <n v="13050.0"/>
        <n v="845.0"/>
        <n v="77869.0"/>
        <n v="641991.0"/>
        <n v="13442.0"/>
        <n v="3195.0"/>
        <n v="17343.0"/>
        <n v="8926.0"/>
        <n v="890.0"/>
        <n v="6080.0"/>
        <n v="3485.0"/>
        <n v="7895.0"/>
        <n v="26550.0"/>
        <n v="1961.0"/>
        <n v="7497.0"/>
        <n v="59750.0"/>
        <n v="8900.0"/>
        <n v="28900.0"/>
        <n v="5085.0"/>
        <n v="3600.0"/>
        <n v="450.0"/>
        <n v="10759.0"/>
        <n v="11667.0"/>
        <n v="13239.0"/>
        <n v="43446.0"/>
        <n v="517638.0"/>
        <n v="1950.0"/>
        <n v="76000.0"/>
        <n v="6016.0"/>
        <n v="40663.0"/>
        <n v="9517.0"/>
        <n v="73746.0"/>
        <n v="22640.0"/>
        <n v="14500.0"/>
        <n v="51800.0"/>
        <n v="3716.0"/>
        <n v="9100.0"/>
        <n v="42375.0"/>
        <n v="3525.0"/>
        <n v="14600.0"/>
        <n v="23635.0"/>
        <n v="3082.0"/>
        <n v="7424.0"/>
        <n v="13577.0"/>
        <n v="20363.0"/>
        <n v="98323.0"/>
        <n v="19365.0"/>
        <n v="5149.0"/>
        <n v="18700.0"/>
        <n v="12079.0"/>
        <n v="35510.0"/>
        <n v="24500.0"/>
        <n v="4570.0"/>
        <n v="5985.0"/>
        <n v="517689.0"/>
        <n v="43787.0"/>
        <n v="6588.0"/>
        <n v="67885.0"/>
        <n v="3450.0"/>
        <n v="31731.0"/>
        <n v="1881.0"/>
        <n v="2717.0"/>
        <n v="2249.0"/>
        <n v="18589.0"/>
        <n v="11400.0"/>
        <n v="3291.0"/>
        <n v="330000.0"/>
        <n v="60347.0"/>
        <n v="24900.0"/>
        <n v="13000.0"/>
        <n v="10159.0"/>
        <n v="18912.0"/>
        <n v="5250.0"/>
        <n v="7055.0"/>
        <n v="10800.0"/>
        <n v="13708.0"/>
        <n v="1424.0"/>
        <n v="16500.0"/>
        <n v="3550.0"/>
        <n v="4365.0"/>
        <n v="30501.0"/>
        <n v="7253.0"/>
        <n v="48389.0"/>
        <n v="42103.0"/>
        <n v="10104.0"/>
        <n v="14350.0"/>
        <n v="31000.0"/>
        <n v="9960.0"/>
        <n v="485000.0"/>
        <n v="9059.0"/>
        <n v="3321.0"/>
        <n v="8220.0"/>
        <n v="47237.0"/>
        <n v="6847.0"/>
        <n v="4550.0"/>
        <n v="15650.0"/>
        <n v="15600.0"/>
        <n v="12750.0"/>
        <n v="9870.0"/>
        <n v="4935.0"/>
        <n v="5817.0"/>
        <n v="82000.0"/>
        <n v="4775.0"/>
        <n v="13448.0"/>
        <n v="28867.0"/>
        <n v="9020.0"/>
        <n v="38000.0"/>
        <n v="17200.0"/>
        <n v="4462.0"/>
        <n v="7150.0"/>
        <n v="17336.0"/>
        <n v="29944.0"/>
        <n v="9620.0"/>
        <n v="13979.0"/>
        <n v="42900.0"/>
        <n v="16300.0"/>
        <n v="10848.0"/>
        <n v="8605.0"/>
        <n v="33208.0"/>
        <n v="18480.0"/>
        <n v="11210.0"/>
        <n v="79998.0"/>
        <n v="28750.0"/>
        <n v="26123.0"/>
        <n v="25289.99"/>
        <n v="8902.0"/>
        <n v="73532.0"/>
        <n v="19050.0"/>
        <n v="10369.0"/>
        <n v="13601.0"/>
        <n v="28995.0"/>
        <n v="186054.0"/>
        <n v="5650.0"/>
        <n v="10370.0"/>
        <n v="502.0"/>
        <n v="4450.0"/>
        <n v="25750.0"/>
        <n v="18680.0"/>
        <n v="90000.0"/>
        <n v="17400.0"/>
        <n v="8827.0"/>
        <n v="15500.0"/>
        <n v="9553.0"/>
        <n v="11196.0"/>
        <n v="28700.0"/>
        <n v="7042.0"/>
        <n v="16359.0"/>
        <n v="13226.0"/>
        <n v="470000.0"/>
        <n v="3400.0"/>
        <n v="10040.0"/>
        <n v="18380.0"/>
        <n v="2050.0"/>
        <n v="3250.0"/>
        <n v="32840.0"/>
        <n v="27300.0"/>
        <n v="451.0"/>
        <n v="4630.0"/>
        <n v="8232.0"/>
        <n v="2009.0"/>
        <n v="10815.0"/>
        <n v="49500.0"/>
        <n v="13737.0"/>
        <n v="11500.0"/>
        <n v="4530.0"/>
        <n v="25850.0"/>
        <n v="769.0"/>
        <n v="14249.0"/>
        <n v="18750.0"/>
        <n v="8258.0"/>
        <n v="7245.0"/>
        <n v="14537.0"/>
        <n v="494.0"/>
        <n v="3900.0"/>
        <n v="7366.0"/>
        <n v="20330.0"/>
        <n v="7863.0"/>
        <n v="838.0"/>
        <n v="4899.0"/>
        <n v="62500.0"/>
        <n v="45000.0"/>
        <n v="3615.0"/>
        <n v="26725.0"/>
      </sharedItems>
    </cacheField>
    <cacheField name="category" numFmtId="0">
      <sharedItems>
        <s v="Clothing"/>
        <s v="Pets"/>
        <s v="Home Goods &amp; Utilities"/>
        <s v="Car Expenses"/>
        <s v="Education"/>
        <s v="Gifts"/>
        <s v="Recreation"/>
        <s v="Streaming Services"/>
        <s v="Basic Services"/>
        <s v="Sports"/>
        <s v="Groceries"/>
        <s v="Restaurant / Café"/>
        <s v="Transportation"/>
        <s v="Lunch Out"/>
        <s v="Healthcare"/>
        <s v="Personal Care"/>
        <s v="Donation"/>
        <s v="Rent &amp; Utilities"/>
      </sharedItems>
    </cacheField>
    <cacheField name="payment_method" numFmtId="0">
      <sharedItems>
        <s v="Credit Card"/>
        <s v="Split Payment"/>
        <s v="Virtual Wallet"/>
        <s v="Digital Wallet"/>
        <s v="Debit Card"/>
        <s v="Bank Transfer"/>
        <s v="Cash"/>
      </sharedItems>
    </cacheField>
    <cacheField name="ipc_category" numFmtId="0">
      <sharedItems containsBlank="1">
        <s v="Clothing and footwear"/>
        <s v="Food and non-alcoholic beverages"/>
        <s v="Furnishings and household equipment"/>
        <s v="Transport"/>
        <s v="Education"/>
        <m/>
        <s v="Recreation and culture"/>
        <s v="Housing, water, electricity, gas and other fuels"/>
        <s v="Restaurants and hotels"/>
        <s v="Health"/>
        <s v="Miscellaneous goods and services"/>
      </sharedItems>
    </cacheField>
    <cacheField name="period" numFmtId="0">
      <sharedItems>
        <s v="202405"/>
        <s v="202406"/>
        <s v="202407"/>
        <s v="202408"/>
        <s v="202409"/>
        <s v="202410"/>
        <s v="202411"/>
        <s v="202412"/>
        <s v="202501"/>
        <s v="202502"/>
        <s v="202503"/>
        <s v="202504"/>
        <s v="202505"/>
        <s v="202506"/>
        <s v="202507"/>
        <s v="202508"/>
        <s v="202509"/>
        <s v="202510"/>
        <s v="202511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analysis" cacheId="0" dataCaption="" compact="0" compactData="0">
  <location ref="A28:L49" firstHeaderRow="0" firstDataRow="1" firstDataCol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t="default"/>
      </items>
    </pivotField>
    <pivotField name="descrip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total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t="default"/>
      </items>
    </pivotField>
    <pivotField name="catego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payment_method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pc_category" axis="axisCol" compact="0" outline="0" multipleItemSelectionAllowed="1" showAll="0" sortType="ascending">
      <items>
        <item h="1" x="5"/>
        <item x="0"/>
        <item x="4"/>
        <item x="1"/>
        <item x="2"/>
        <item x="9"/>
        <item x="7"/>
        <item x="10"/>
        <item x="6"/>
        <item x="8"/>
        <item x="3"/>
        <item t="default"/>
      </items>
    </pivotField>
    <pivotField name="period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>
    <field x="6"/>
  </rowFields>
  <colFields>
    <field x="5"/>
  </colFields>
  <dataFields>
    <dataField name="SUM total" fld="2" baseField="0"/>
  </dataFields>
</pivotTableDefinition>
</file>

<file path=xl/tables/table1.xml><?xml version="1.0" encoding="utf-8"?>
<table xmlns="http://schemas.openxmlformats.org/spreadsheetml/2006/main" ref="A1:G1710" displayName="Table_1" name="Table_1" id="1">
  <tableColumns count="7">
    <tableColumn name="date" id="1"/>
    <tableColumn name="description" id="2"/>
    <tableColumn name="total" id="3"/>
    <tableColumn name="category" id="4"/>
    <tableColumn name="payment_method" id="5"/>
    <tableColumn name="ipc_category" id="6"/>
    <tableColumn name="period" id="7"/>
  </tableColumns>
  <tableStyleInfo name="master-style" showColumnStripes="0" showFirstColumn="1" showLastColumn="1" showRowStripes="1"/>
</table>
</file>

<file path=xl/tables/table2.xml><?xml version="1.0" encoding="utf-8"?>
<table xmlns="http://schemas.openxmlformats.org/spreadsheetml/2006/main" ref="A4:I23" displayName="Table_2" name="Table_2" id="2">
  <tableColumns count="9">
    <tableColumn name="period" id="1"/>
    <tableColumn name="total_expenses" id="2"/>
    <tableColumn name="expenses_monthly_var " id="3"/>
    <tableColumn name="ipc_monthly_var" id="4"/>
    <tableColumn name="personal_expenses_index" id="5"/>
    <tableColumn name="ipc_index_raw" id="6"/>
    <tableColumn name="official_ipc_index" id="7"/>
    <tableColumn name="reference_100" id="8"/>
    <tableColumn name="monthly_period" id="9"/>
  </tableColumns>
  <tableStyleInfo name="analysis-style" showColumnStripes="0" showFirstColumn="1" showLastColumn="1" showRowStripes="1"/>
</table>
</file>

<file path=xl/tables/table3.xml><?xml version="1.0" encoding="utf-8"?>
<table xmlns="http://schemas.openxmlformats.org/spreadsheetml/2006/main" headerRowCount="0" ref="A30:U49" displayName="Table_3" name="Table_3" id="3">
  <tableColumns count="2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</tableColumns>
  <tableStyleInfo name="analysis-style 2" showColumnStripes="0" showFirstColumn="1" showLastColumn="1" showRowStripes="1"/>
</table>
</file>

<file path=xl/tables/table4.xml><?xml version="1.0" encoding="utf-8"?>
<table xmlns="http://schemas.openxmlformats.org/spreadsheetml/2006/main" ref="A54:K73" displayName="Table_4" name="Table_4" id="4">
  <tableColumns count="11">
    <tableColumn name="period" id="1"/>
    <tableColumn name="Clothing and footwear" id="2"/>
    <tableColumn name="Education" id="3"/>
    <tableColumn name="Food and non-alcoholic beverages" id="4"/>
    <tableColumn name="Furnishings and household equipment" id="5"/>
    <tableColumn name="Health" id="6"/>
    <tableColumn name="Housing, water, electricity, gas and other fuels" id="7"/>
    <tableColumn name="Miscellaneous goods and services" id="8"/>
    <tableColumn name="Recreation and culture" id="9"/>
    <tableColumn name="Restaurants and hotels" id="10"/>
    <tableColumn name="Transport" id="11"/>
  </tableColumns>
  <tableStyleInfo name="analysis-style 3" showColumnStripes="0" showFirstColumn="1" showLastColumn="1" showRowStripes="1"/>
</table>
</file>

<file path=xl/tables/table5.xml><?xml version="1.0" encoding="utf-8"?>
<table xmlns="http://schemas.openxmlformats.org/spreadsheetml/2006/main" ref="A79:K98" displayName="Table_5" name="Table_5" id="5">
  <tableColumns count="11">
    <tableColumn name="period" id="1"/>
    <tableColumn name="Clothing and footwear" id="2"/>
    <tableColumn name="Education" id="3"/>
    <tableColumn name="Food and non-alcoholic beverages" id="4"/>
    <tableColumn name="Furnishings and household equipment" id="5"/>
    <tableColumn name="Health" id="6"/>
    <tableColumn name="Housing, water, electricity, gas and other fuels" id="7"/>
    <tableColumn name="Miscellaneous goods and services" id="8"/>
    <tableColumn name="Recreation and culture" id="9"/>
    <tableColumn name="Restaurants and hotels" id="10"/>
    <tableColumn name="Transport" id="11"/>
  </tableColumns>
  <tableStyleInfo name="analysis-style 4" showColumnStripes="0" showFirstColumn="1" showLastColumn="1" showRowStripes="1"/>
</table>
</file>

<file path=xl/tables/table6.xml><?xml version="1.0" encoding="utf-8"?>
<table xmlns="http://schemas.openxmlformats.org/spreadsheetml/2006/main" ref="A103:C113" displayName="Table_6" name="Table_6" id="6">
  <tableColumns count="3">
    <tableColumn name="ipc_category" id="1"/>
    <tableColumn name="personal_index_final" id="2"/>
    <tableColumn name="ipc_index_final" id="3"/>
  </tableColumns>
  <tableStyleInfo name="analysis-style 5" showColumnStripes="0" showFirstColumn="1" showLastColumn="1" showRowStripes="1"/>
</table>
</file>

<file path=xl/tables/table7.xml><?xml version="1.0" encoding="utf-8"?>
<table xmlns="http://schemas.openxmlformats.org/spreadsheetml/2006/main" ref="E103:H104" displayName="Table_7" name="Table_7" id="7">
  <tableColumns count="4">
    <tableColumn name="categories_above_inflation" id="1"/>
    <tableColumn name="categories_below_inflation" id="2"/>
    <tableColumn name="biggest_overspend_category" id="3"/>
    <tableColumn name="biggest_underspend_category" id="4"/>
  </tableColumns>
  <tableStyleInfo name="analysis-style 6" showColumnStripes="0" showFirstColumn="1" showLastColumn="1" showRowStripes="1"/>
</table>
</file>

<file path=xl/tables/table8.xml><?xml version="1.0" encoding="utf-8"?>
<table xmlns="http://schemas.openxmlformats.org/spreadsheetml/2006/main" ref="A116:B126" displayName="Table_8" name="Table_8" id="8">
  <tableColumns count="2">
    <tableColumn name="ipc_category" id="1"/>
    <tableColumn name="difference" id="2"/>
  </tableColumns>
  <tableStyleInfo name="analysis-style 7" showColumnStripes="0" showFirstColumn="1" showLastColumn="1" showRowStripes="1"/>
</table>
</file>

<file path=xl/tables/table9.xml><?xml version="1.0" encoding="utf-8"?>
<table xmlns="http://schemas.openxmlformats.org/spreadsheetml/2006/main" ref="A1:S6" displayName="Table_9" name="Table_9" id="9">
  <tableColumns count="19">
    <tableColumn name="May" id="1"/>
    <tableColumn name="June" id="2"/>
    <tableColumn name="July" id="3"/>
    <tableColumn name="August" id="4"/>
    <tableColumn name="September" id="5"/>
    <tableColumn name="October" id="6"/>
    <tableColumn name="November" id="7"/>
    <tableColumn name="December" id="8"/>
    <tableColumn name="January" id="9"/>
    <tableColumn name="February" id="10"/>
    <tableColumn name="March" id="11"/>
    <tableColumn name="April" id="12"/>
    <tableColumn name="May 2" id="13"/>
    <tableColumn name="June 2" id="14"/>
    <tableColumn name="July 2" id="15"/>
    <tableColumn name="August 2" id="16"/>
    <tableColumn name="September 2" id="17"/>
    <tableColumn name="October 2" id="18"/>
    <tableColumn name="November 2" id="19"/>
  </tableColumns>
  <tableStyleInfo name="headers_summary-style" showColumnStripes="0" showFirstColumn="1" showLastColumn="1" showRowStripes="1"/>
</table>
</file>

<file path=xl/tables/table10.xml><?xml version="1.0" encoding="utf-8"?>
<table xmlns="http://schemas.openxmlformats.org/spreadsheetml/2006/main" headerRowCount="0" ref="A1:B28" displayName="Table_10" name="Table_10" id="10">
  <tableColumns count="2">
    <tableColumn name="Column1" id="1"/>
    <tableColumn name="Column2" id="2"/>
  </tableColumns>
  <tableStyleInfo name="categories_lookup-style" showColumnStripes="0" showFirstColumn="1" showLastColumn="1" showRowStripes="1"/>
</table>
</file>

<file path=xl/tables/table11.xml><?xml version="1.0" encoding="utf-8"?>
<table xmlns="http://schemas.openxmlformats.org/spreadsheetml/2006/main" headerRowCount="0" ref="A1:B7" displayName="Table_11" name="Table_11" id="11">
  <tableColumns count="2">
    <tableColumn name="Column1" id="1"/>
    <tableColumn name="Column2" id="2"/>
  </tableColumns>
  <tableStyleInfo name="payment_method_lookup-style" showColumnStripes="0" showFirstColumn="1" showLastColumn="1" showRowStripes="1"/>
</table>
</file>

<file path=xl/tables/table12.xml><?xml version="1.0" encoding="utf-8"?>
<table xmlns="http://schemas.openxmlformats.org/spreadsheetml/2006/main" ref="A1:C19" displayName="Table_12" name="Table_12" id="12">
  <tableColumns count="3">
    <tableColumn name="Categories" id="1"/>
    <tableColumn name="IPC Español" id="2"/>
    <tableColumn name="IPC English" id="3"/>
  </tableColumns>
  <tableStyleInfo name="categories_ipc_mapping-style" showColumnStripes="0" showFirstColumn="1" showLastColumn="1" showRowStripes="1"/>
</table>
</file>

<file path=xl/tables/table13.xml><?xml version="1.0" encoding="utf-8"?>
<table xmlns="http://schemas.openxmlformats.org/spreadsheetml/2006/main" ref="A1:E114" displayName="may_2024" name="may_2024" id="13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may_2024-style" showColumnStripes="0" showFirstColumn="1" showLastColumn="1" showRowStripes="1"/>
</table>
</file>

<file path=xl/tables/table14.xml><?xml version="1.0" encoding="utf-8"?>
<table xmlns="http://schemas.openxmlformats.org/spreadsheetml/2006/main" ref="A1:E87" displayName="june_2024" name="june_2024" id="14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june_2024-style" showColumnStripes="0" showFirstColumn="1" showLastColumn="1" showRowStripes="1"/>
</table>
</file>

<file path=xl/tables/table15.xml><?xml version="1.0" encoding="utf-8"?>
<table xmlns="http://schemas.openxmlformats.org/spreadsheetml/2006/main" ref="A1:E58" displayName="july_2024" name="july_2024" id="15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july_2024-style" showColumnStripes="0" showFirstColumn="1" showLastColumn="1" showRowStripes="1"/>
</table>
</file>

<file path=xl/tables/table16.xml><?xml version="1.0" encoding="utf-8"?>
<table xmlns="http://schemas.openxmlformats.org/spreadsheetml/2006/main" ref="A1:E58" displayName="august_2024" name="august_2024" id="16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august_2024-style" showColumnStripes="0" showFirstColumn="1" showLastColumn="1" showRowStripes="1"/>
</table>
</file>

<file path=xl/tables/table17.xml><?xml version="1.0" encoding="utf-8"?>
<table xmlns="http://schemas.openxmlformats.org/spreadsheetml/2006/main" ref="A1:E104" displayName="september_2024" name="september_2024" id="17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september_2024-style" showColumnStripes="0" showFirstColumn="1" showLastColumn="1" showRowStripes="1"/>
</table>
</file>

<file path=xl/tables/table18.xml><?xml version="1.0" encoding="utf-8"?>
<table xmlns="http://schemas.openxmlformats.org/spreadsheetml/2006/main" ref="A1:E114" displayName="october_2024" name="october_2024" id="18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october_2024-style" showColumnStripes="0" showFirstColumn="1" showLastColumn="1" showRowStripes="1"/>
</table>
</file>

<file path=xl/tables/table19.xml><?xml version="1.0" encoding="utf-8"?>
<table xmlns="http://schemas.openxmlformats.org/spreadsheetml/2006/main" ref="A1:E103" displayName="november_2024" name="november_2024" id="19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november_2024-style" showColumnStripes="0" showFirstColumn="1" showLastColumn="1" showRowStripes="1"/>
</table>
</file>

<file path=xl/tables/table20.xml><?xml version="1.0" encoding="utf-8"?>
<table xmlns="http://schemas.openxmlformats.org/spreadsheetml/2006/main" ref="A1:E89" displayName="december_2024" name="december_2024" id="20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december_2024-style" showColumnStripes="0" showFirstColumn="1" showLastColumn="1" showRowStripes="1"/>
</table>
</file>

<file path=xl/tables/table21.xml><?xml version="1.0" encoding="utf-8"?>
<table xmlns="http://schemas.openxmlformats.org/spreadsheetml/2006/main" ref="A1:E105" displayName="january_2025" name="january_2025" id="21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january_2025-style" showColumnStripes="0" showFirstColumn="1" showLastColumn="1" showRowStripes="1"/>
</table>
</file>

<file path=xl/tables/table22.xml><?xml version="1.0" encoding="utf-8"?>
<table xmlns="http://schemas.openxmlformats.org/spreadsheetml/2006/main" ref="A1:E95" displayName="february_2025" name="february_2025" id="22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february_2025-style" showColumnStripes="0" showFirstColumn="1" showLastColumn="1" showRowStripes="1"/>
</table>
</file>

<file path=xl/tables/table23.xml><?xml version="1.0" encoding="utf-8"?>
<table xmlns="http://schemas.openxmlformats.org/spreadsheetml/2006/main" ref="A1:E118" displayName="march_2025" name="march_2025" id="23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march_2025-style" showColumnStripes="0" showFirstColumn="1" showLastColumn="1" showRowStripes="1"/>
</table>
</file>

<file path=xl/tables/table24.xml><?xml version="1.0" encoding="utf-8"?>
<table xmlns="http://schemas.openxmlformats.org/spreadsheetml/2006/main" ref="A1:E106" displayName="april_2025" name="april_2025" id="24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april_2025-style" showColumnStripes="0" showFirstColumn="1" showLastColumn="1" showRowStripes="1"/>
</table>
</file>

<file path=xl/tables/table25.xml><?xml version="1.0" encoding="utf-8"?>
<table xmlns="http://schemas.openxmlformats.org/spreadsheetml/2006/main" ref="A1:E96" displayName="may_2025" name="may_2025" id="25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may_2025-style" showColumnStripes="0" showFirstColumn="1" showLastColumn="1" showRowStripes="1"/>
</table>
</file>

<file path=xl/tables/table26.xml><?xml version="1.0" encoding="utf-8"?>
<table xmlns="http://schemas.openxmlformats.org/spreadsheetml/2006/main" ref="A1:E97" displayName="june_2025" name="june_2025" id="26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june_2025-style" showColumnStripes="0" showFirstColumn="1" showLastColumn="1" showRowStripes="1"/>
</table>
</file>

<file path=xl/tables/table27.xml><?xml version="1.0" encoding="utf-8"?>
<table xmlns="http://schemas.openxmlformats.org/spreadsheetml/2006/main" ref="A1:E78" displayName="july_2025" name="july_2025" id="27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july_2025-style" showColumnStripes="0" showFirstColumn="1" showLastColumn="1" showRowStripes="1"/>
</table>
</file>

<file path=xl/tables/table28.xml><?xml version="1.0" encoding="utf-8"?>
<table xmlns="http://schemas.openxmlformats.org/spreadsheetml/2006/main" ref="A1:E78" displayName="august_2025" name="august_2025" id="28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august_2025-style" showColumnStripes="0" showFirstColumn="1" showLastColumn="1" showRowStripes="1"/>
</table>
</file>

<file path=xl/tables/table29.xml><?xml version="1.0" encoding="utf-8"?>
<table xmlns="http://schemas.openxmlformats.org/spreadsheetml/2006/main" ref="A1:E70" displayName="september_2025" name="september_2025" id="29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september_2025-style" showColumnStripes="0" showFirstColumn="1" showLastColumn="1" showRowStripes="1"/>
</table>
</file>

<file path=xl/tables/table30.xml><?xml version="1.0" encoding="utf-8"?>
<table xmlns="http://schemas.openxmlformats.org/spreadsheetml/2006/main" ref="A1:E51" displayName="october_2025" name="october_2025" id="30"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october_2025-style" showColumnStripes="0" showFirstColumn="1" showLastColumn="1" showRowStripes="1"/>
</table>
</file>

<file path=xl/tables/table31.xml><?xml version="1.0" encoding="utf-8"?>
<table xmlns="http://schemas.openxmlformats.org/spreadsheetml/2006/main" ref="A1:E107" displayName="november_2025" name="november_2025" id="31">
  <autoFilter ref="$A$1:$E$107"/>
  <tableColumns count="5">
    <tableColumn name="date" id="1"/>
    <tableColumn name="description" id="2"/>
    <tableColumn name="total" id="3"/>
    <tableColumn name="category" id="4"/>
    <tableColumn name="payment_method" id="5"/>
  </tableColumns>
  <tableStyleInfo name="expense_history_november_2025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6" dT="2026-03-12T18:43:58.00" personId="{ae7a6815-df7e-4a60-ada2-22ae0d54ef2f}" id="{c7ca3671-e6f1-4063-8a68-946bcba21a32}" done="0">
    <x18tc:text xml:space="preserve">Rebase IPC to May 2024 = 100. Formula: (ipc_index_raw_current_month / ipc_index_raw_may_2024) * 100</x18tc:text>
  </x18tc:threadedComment>
  <x18tc:threadedComment ref="E6" dT="2026-03-11T20:35:31.00" personId="{ae7a6815-df7e-4a60-ada2-22ae0d54ef2f}" id="{bb7642c3-f6ed-4246-9100-e0032abc9a19}" done="0">
    <x18tc:text xml:space="preserve">(jun_expense / may_expense) * 100</x18tc:text>
  </x18tc:threadedComment>
  <x18tc:threadedComment ref="F5" dT="2026-03-12T15:22:44.00" personId="{ae7a6815-df7e-4a60-ada2-22ae0d54ef2f}" id="{c1bf8957-a4b9-4e0c-80e6-091ff71c10c8}" done="0">
    <x18tc:text xml:space="preserve">Raw values arrive as text with dot decimal separator. SUBSTITUTE + VALUE + ARRAYFORMULA convert them to numeric.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table" Target="../tables/table8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pivotTable" Target="../pivotTables/pivotTable1.xml"/><Relationship Id="rId15" Type="http://schemas.openxmlformats.org/officeDocument/2006/relationships/table" Target="../tables/table3.xml"/><Relationship Id="rId14" Type="http://schemas.openxmlformats.org/officeDocument/2006/relationships/table" Target="../tables/table2.xml"/><Relationship Id="rId17" Type="http://schemas.openxmlformats.org/officeDocument/2006/relationships/table" Target="../tables/table5.xml"/><Relationship Id="rId16" Type="http://schemas.openxmlformats.org/officeDocument/2006/relationships/table" Target="../tables/table4.xml"/><Relationship Id="rId5" Type="http://schemas.openxmlformats.org/officeDocument/2006/relationships/drawing" Target="../drawings/drawing2.xml"/><Relationship Id="rId19" Type="http://schemas.openxmlformats.org/officeDocument/2006/relationships/table" Target="../tables/table7.xml"/><Relationship Id="rId6" Type="http://schemas.openxmlformats.org/officeDocument/2006/relationships/vmlDrawing" Target="../drawings/vmlDrawing1.vml"/><Relationship Id="rId18" Type="http://schemas.openxmlformats.org/officeDocument/2006/relationships/table" Target="../tables/table6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9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1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3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7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18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19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Relationship Id="rId3" Type="http://schemas.openxmlformats.org/officeDocument/2006/relationships/table" Target="../tables/table20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Relationship Id="rId3" Type="http://schemas.openxmlformats.org/officeDocument/2006/relationships/table" Target="../tables/table21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Relationship Id="rId3" Type="http://schemas.openxmlformats.org/officeDocument/2006/relationships/table" Target="../tables/table22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Relationship Id="rId3" Type="http://schemas.openxmlformats.org/officeDocument/2006/relationships/table" Target="../tables/table23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4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Relationship Id="rId3" Type="http://schemas.openxmlformats.org/officeDocument/2006/relationships/table" Target="../tables/table25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Relationship Id="rId3" Type="http://schemas.openxmlformats.org/officeDocument/2006/relationships/table" Target="../tables/table26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Relationship Id="rId3" Type="http://schemas.openxmlformats.org/officeDocument/2006/relationships/table" Target="../tables/table27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28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Relationship Id="rId3" Type="http://schemas.openxmlformats.org/officeDocument/2006/relationships/table" Target="../tables/table29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Relationship Id="rId3" Type="http://schemas.openxmlformats.org/officeDocument/2006/relationships/table" Target="../tables/table30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Relationship Id="rId3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38"/>
    <col customWidth="1" min="2" max="3" width="17.38"/>
    <col customWidth="1" min="4" max="4" width="18.25"/>
    <col customWidth="1" min="5" max="5" width="17.38"/>
    <col customWidth="1" min="6" max="6" width="34.88"/>
    <col customWidth="1" min="7" max="7" width="6.75"/>
    <col customWidth="1" min="8" max="123" width="17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</row>
    <row r="2">
      <c r="A2" s="5">
        <f>IFERROR(__xludf.DUMMYFUNCTION("{FILTER(expense_history_may_2024!A2:E2834,LEN(expense_history_may_2024!A2:A2834)&gt;0);FILTER(expense_history_june_2024!A2:E2834,LEN(expense_history_june_2024!A2:A2834)&gt;0);FILTER(expense_history_july_2024!A2:E2834,LEN(expense_history_july_2024!A2:A2834)&gt;0);F"&amp;"ILTER(expense_history_august_2024!A2:E2834,LEN(expense_history_august_2024!A2:A2834)&gt;0);FILTER(expense_history_september_2024!A2:E2834,LEN(expense_history_september_2024!A2:A2834)&gt;0);FILTER(expense_history_october_2024!A2:E2834,LEN(expense_history_october"&amp;"_2024!A2:A2834)&gt;0);FILTER(expense_history_november_2024!A2:E2834,LEN(expense_history_november_2024!A2:A2834)&gt;0);FILTER(expense_history_december_2024!A2:E2834,LEN(expense_history_december_2024!A2:A2834)&gt;0);FILTER(expense_history_january_2025!A2:E2834,LEN(e"&amp;"xpense_history_january_2025!A2:A2834)&gt;0);FILTER(expense_history_february_2025!A2:E2834,LEN(expense_history_february_2025!A2:A2834)&gt;0);FILTER(expense_history_march_2025!A2:E2834,LEN(expense_history_march_2025!A2:A2834)&gt;0);FILTER(expense_history_april_2025!"&amp;"A2:E2834,LEN(expense_history_april_2025!A2:A2834)&gt;0);FILTER(expense_history_may_2025!A2:E2834,LEN(expense_history_may_2025!A2:A2834)&gt;0);FILTER(expense_history_june_2025!A2:E2834,LEN(expense_history_june_2025!A2:A2834)&gt;0);FILTER(expense_history_july_2025!A"&amp;"2:E2834,LEN(expense_history_july_2025!A2:A2834)&gt;0);FILTER(expense_history_august_2025!A2:E2834,LEN(expense_history_august_2025!A2:A2834)&gt;0);FILTER(expense_history_september_2025!A2:E2834,LEN(expense_history_september_2025!A2:A2834)&gt;0);FILTER(expense_histo"&amp;"ry_october_2025!A2:E2834,LEN(expense_history_october_2025!A2:A2834)&gt;0);FILTER(expense_history_november_2025!A2:E2834,LEN(expense_history_november_2025!A2:A2834)&gt;0)}"),45413.0)</f>
        <v>45413</v>
      </c>
      <c r="B2" s="6" t="str">
        <f>IFERROR(__xludf.DUMMYFUNCTION("""COMPUTED_VALUE"""),"Clothing")</f>
        <v>Clothing</v>
      </c>
      <c r="C2" s="7">
        <f>IFERROR(__xludf.DUMMYFUNCTION("""COMPUTED_VALUE"""),3792.0)</f>
        <v>3792</v>
      </c>
      <c r="D2" s="6" t="str">
        <f>IFERROR(__xludf.DUMMYFUNCTION("""COMPUTED_VALUE"""),"Clothing")</f>
        <v>Clothing</v>
      </c>
      <c r="E2" s="6" t="str">
        <f>IFERROR(__xludf.DUMMYFUNCTION("""COMPUTED_VALUE"""),"Credit Card")</f>
        <v>Credit Card</v>
      </c>
      <c r="F2" s="6" t="str">
        <f t="array" ref="F2:F2834">IF(D2:D2834="", "", VLOOKUP(D2:D2834, categories_ipc_mapping!A:C, 3, FALSE))</f>
        <v>Clothing and footwear</v>
      </c>
      <c r="G2" s="8" t="str">
        <f t="shared" ref="G2:G1710" si="1">TEXT(A2, "YYYYMM")</f>
        <v>202405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</row>
    <row r="3">
      <c r="A3" s="5">
        <f>IFERROR(__xludf.DUMMYFUNCTION("""COMPUTED_VALUE"""),45413.0)</f>
        <v>45413</v>
      </c>
      <c r="B3" s="6" t="str">
        <f>IFERROR(__xludf.DUMMYFUNCTION("""COMPUTED_VALUE"""),"Pets")</f>
        <v>Pets</v>
      </c>
      <c r="C3" s="7">
        <f>IFERROR(__xludf.DUMMYFUNCTION("""COMPUTED_VALUE"""),5354.0)</f>
        <v>5354</v>
      </c>
      <c r="D3" s="6" t="str">
        <f>IFERROR(__xludf.DUMMYFUNCTION("""COMPUTED_VALUE"""),"Pets")</f>
        <v>Pets</v>
      </c>
      <c r="E3" s="6" t="str">
        <f>IFERROR(__xludf.DUMMYFUNCTION("""COMPUTED_VALUE"""),"Credit Card")</f>
        <v>Credit Card</v>
      </c>
      <c r="F3" s="6" t="s">
        <v>7</v>
      </c>
      <c r="G3" s="8" t="str">
        <f t="shared" si="1"/>
        <v>202405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>
      <c r="A4" s="5">
        <f>IFERROR(__xludf.DUMMYFUNCTION("""COMPUTED_VALUE"""),45413.0)</f>
        <v>45413</v>
      </c>
      <c r="B4" s="6" t="str">
        <f>IFERROR(__xludf.DUMMYFUNCTION("""COMPUTED_VALUE"""),"Appliances")</f>
        <v>Appliances</v>
      </c>
      <c r="C4" s="7">
        <f>IFERROR(__xludf.DUMMYFUNCTION("""COMPUTED_VALUE"""),2361.0)</f>
        <v>2361</v>
      </c>
      <c r="D4" s="6" t="str">
        <f>IFERROR(__xludf.DUMMYFUNCTION("""COMPUTED_VALUE"""),"Home Goods &amp; Utilities")</f>
        <v>Home Goods &amp; Utilities</v>
      </c>
      <c r="E4" s="6" t="str">
        <f>IFERROR(__xludf.DUMMYFUNCTION("""COMPUTED_VALUE"""),"Credit Card")</f>
        <v>Credit Card</v>
      </c>
      <c r="F4" s="6" t="s">
        <v>8</v>
      </c>
      <c r="G4" s="8" t="str">
        <f t="shared" si="1"/>
        <v>202405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>
      <c r="A5" s="5">
        <f>IFERROR(__xludf.DUMMYFUNCTION("""COMPUTED_VALUE"""),45413.0)</f>
        <v>45413</v>
      </c>
      <c r="B5" s="6" t="str">
        <f>IFERROR(__xludf.DUMMYFUNCTION("""COMPUTED_VALUE"""),"Appliances")</f>
        <v>Appliances</v>
      </c>
      <c r="C5" s="7">
        <f>IFERROR(__xludf.DUMMYFUNCTION("""COMPUTED_VALUE"""),8115.0)</f>
        <v>8115</v>
      </c>
      <c r="D5" s="6" t="str">
        <f>IFERROR(__xludf.DUMMYFUNCTION("""COMPUTED_VALUE"""),"Home Goods &amp; Utilities")</f>
        <v>Home Goods &amp; Utilities</v>
      </c>
      <c r="E5" s="6" t="str">
        <f>IFERROR(__xludf.DUMMYFUNCTION("""COMPUTED_VALUE"""),"Credit Card")</f>
        <v>Credit Card</v>
      </c>
      <c r="F5" s="6" t="s">
        <v>8</v>
      </c>
      <c r="G5" s="8" t="str">
        <f t="shared" si="1"/>
        <v>202405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>
      <c r="A6" s="5">
        <f>IFERROR(__xludf.DUMMYFUNCTION("""COMPUTED_VALUE"""),45413.0)</f>
        <v>45413</v>
      </c>
      <c r="B6" s="6" t="str">
        <f>IFERROR(__xludf.DUMMYFUNCTION("""COMPUTED_VALUE"""),"Car Expenses")</f>
        <v>Car Expenses</v>
      </c>
      <c r="C6" s="7">
        <f>IFERROR(__xludf.DUMMYFUNCTION("""COMPUTED_VALUE"""),17570.0)</f>
        <v>17570</v>
      </c>
      <c r="D6" s="6" t="str">
        <f>IFERROR(__xludf.DUMMYFUNCTION("""COMPUTED_VALUE"""),"Car Expenses")</f>
        <v>Car Expenses</v>
      </c>
      <c r="E6" s="6" t="str">
        <f>IFERROR(__xludf.DUMMYFUNCTION("""COMPUTED_VALUE"""),"Split Payment")</f>
        <v>Split Payment</v>
      </c>
      <c r="F6" s="6" t="s">
        <v>9</v>
      </c>
      <c r="G6" s="8" t="str">
        <f t="shared" si="1"/>
        <v>202405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>
      <c r="A7" s="5">
        <f>IFERROR(__xludf.DUMMYFUNCTION("""COMPUTED_VALUE"""),45413.0)</f>
        <v>45413</v>
      </c>
      <c r="B7" s="6" t="str">
        <f>IFERROR(__xludf.DUMMYFUNCTION("""COMPUTED_VALUE"""),"Clothing")</f>
        <v>Clothing</v>
      </c>
      <c r="C7" s="7">
        <f>IFERROR(__xludf.DUMMYFUNCTION("""COMPUTED_VALUE"""),15619.0)</f>
        <v>15619</v>
      </c>
      <c r="D7" s="6" t="str">
        <f>IFERROR(__xludf.DUMMYFUNCTION("""COMPUTED_VALUE"""),"Clothing")</f>
        <v>Clothing</v>
      </c>
      <c r="E7" s="6" t="str">
        <f>IFERROR(__xludf.DUMMYFUNCTION("""COMPUTED_VALUE"""),"Credit Card")</f>
        <v>Credit Card</v>
      </c>
      <c r="F7" s="6" t="s">
        <v>10</v>
      </c>
      <c r="G7" s="8" t="str">
        <f t="shared" si="1"/>
        <v>202405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>
      <c r="A8" s="5">
        <f>IFERROR(__xludf.DUMMYFUNCTION("""COMPUTED_VALUE"""),45413.0)</f>
        <v>45413</v>
      </c>
      <c r="B8" s="6" t="str">
        <f>IFERROR(__xludf.DUMMYFUNCTION("""COMPUTED_VALUE"""),"Education")</f>
        <v>Education</v>
      </c>
      <c r="C8" s="7">
        <f>IFERROR(__xludf.DUMMYFUNCTION("""COMPUTED_VALUE"""),7700.0)</f>
        <v>7700</v>
      </c>
      <c r="D8" s="6" t="str">
        <f>IFERROR(__xludf.DUMMYFUNCTION("""COMPUTED_VALUE"""),"Education")</f>
        <v>Education</v>
      </c>
      <c r="E8" s="6" t="str">
        <f>IFERROR(__xludf.DUMMYFUNCTION("""COMPUTED_VALUE"""),"Credit Card")</f>
        <v>Credit Card</v>
      </c>
      <c r="F8" s="6" t="s">
        <v>11</v>
      </c>
      <c r="G8" s="8" t="str">
        <f t="shared" si="1"/>
        <v>202405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>
      <c r="A9" s="5">
        <f>IFERROR(__xludf.DUMMYFUNCTION("""COMPUTED_VALUE"""),45413.0)</f>
        <v>45413</v>
      </c>
      <c r="B9" s="6" t="str">
        <f>IFERROR(__xludf.DUMMYFUNCTION("""COMPUTED_VALUE"""),"Education")</f>
        <v>Education</v>
      </c>
      <c r="C9" s="7">
        <f>IFERROR(__xludf.DUMMYFUNCTION("""COMPUTED_VALUE"""),44007.0)</f>
        <v>44007</v>
      </c>
      <c r="D9" s="6" t="str">
        <f>IFERROR(__xludf.DUMMYFUNCTION("""COMPUTED_VALUE"""),"Education")</f>
        <v>Education</v>
      </c>
      <c r="E9" s="6" t="str">
        <f>IFERROR(__xludf.DUMMYFUNCTION("""COMPUTED_VALUE"""),"Credit Card")</f>
        <v>Credit Card</v>
      </c>
      <c r="F9" s="6" t="s">
        <v>11</v>
      </c>
      <c r="G9" s="8" t="str">
        <f t="shared" si="1"/>
        <v>202405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>
      <c r="A10" s="5">
        <f>IFERROR(__xludf.DUMMYFUNCTION("""COMPUTED_VALUE"""),45413.0)</f>
        <v>45413</v>
      </c>
      <c r="B10" s="6" t="str">
        <f>IFERROR(__xludf.DUMMYFUNCTION("""COMPUTED_VALUE"""),"Gift")</f>
        <v>Gift</v>
      </c>
      <c r="C10" s="7">
        <f>IFERROR(__xludf.DUMMYFUNCTION("""COMPUTED_VALUE"""),4816.0)</f>
        <v>4816</v>
      </c>
      <c r="D10" s="6" t="str">
        <f>IFERROR(__xludf.DUMMYFUNCTION("""COMPUTED_VALUE"""),"Gifts")</f>
        <v>Gifts</v>
      </c>
      <c r="E10" s="6" t="str">
        <f>IFERROR(__xludf.DUMMYFUNCTION("""COMPUTED_VALUE"""),"Split Payment")</f>
        <v>Split Payment</v>
      </c>
      <c r="F10" s="6"/>
      <c r="G10" s="8" t="str">
        <f t="shared" si="1"/>
        <v>202405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>
      <c r="A11" s="5">
        <f>IFERROR(__xludf.DUMMYFUNCTION("""COMPUTED_VALUE"""),45413.0)</f>
        <v>45413</v>
      </c>
      <c r="B11" s="6" t="str">
        <f>IFERROR(__xludf.DUMMYFUNCTION("""COMPUTED_VALUE"""),"Home Goods")</f>
        <v>Home Goods</v>
      </c>
      <c r="C11" s="7">
        <f>IFERROR(__xludf.DUMMYFUNCTION("""COMPUTED_VALUE"""),9879.0)</f>
        <v>9879</v>
      </c>
      <c r="D11" s="6" t="str">
        <f>IFERROR(__xludf.DUMMYFUNCTION("""COMPUTED_VALUE"""),"Home Goods &amp; Utilities")</f>
        <v>Home Goods &amp; Utilities</v>
      </c>
      <c r="E11" s="6" t="str">
        <f>IFERROR(__xludf.DUMMYFUNCTION("""COMPUTED_VALUE"""),"Credit Card")</f>
        <v>Credit Card</v>
      </c>
      <c r="F11" s="6" t="s">
        <v>8</v>
      </c>
      <c r="G11" s="8" t="str">
        <f t="shared" si="1"/>
        <v>202405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>
      <c r="A12" s="5">
        <f>IFERROR(__xludf.DUMMYFUNCTION("""COMPUTED_VALUE"""),45413.0)</f>
        <v>45413</v>
      </c>
      <c r="B12" s="6" t="str">
        <f>IFERROR(__xludf.DUMMYFUNCTION("""COMPUTED_VALUE"""),"Home Goods")</f>
        <v>Home Goods</v>
      </c>
      <c r="C12" s="7">
        <f>IFERROR(__xludf.DUMMYFUNCTION("""COMPUTED_VALUE"""),17500.0)</f>
        <v>17500</v>
      </c>
      <c r="D12" s="6" t="str">
        <f>IFERROR(__xludf.DUMMYFUNCTION("""COMPUTED_VALUE"""),"Home Goods &amp; Utilities")</f>
        <v>Home Goods &amp; Utilities</v>
      </c>
      <c r="E12" s="6" t="str">
        <f>IFERROR(__xludf.DUMMYFUNCTION("""COMPUTED_VALUE"""),"Credit Card")</f>
        <v>Credit Card</v>
      </c>
      <c r="F12" s="6" t="s">
        <v>8</v>
      </c>
      <c r="G12" s="8" t="str">
        <f t="shared" si="1"/>
        <v>202405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>
      <c r="A13" s="5">
        <f>IFERROR(__xludf.DUMMYFUNCTION("""COMPUTED_VALUE"""),45413.0)</f>
        <v>45413</v>
      </c>
      <c r="B13" s="6" t="str">
        <f>IFERROR(__xludf.DUMMYFUNCTION("""COMPUTED_VALUE"""),"Recreation")</f>
        <v>Recreation</v>
      </c>
      <c r="C13" s="7">
        <f>IFERROR(__xludf.DUMMYFUNCTION("""COMPUTED_VALUE"""),7500.0)</f>
        <v>7500</v>
      </c>
      <c r="D13" s="6" t="str">
        <f>IFERROR(__xludf.DUMMYFUNCTION("""COMPUTED_VALUE"""),"Recreation")</f>
        <v>Recreation</v>
      </c>
      <c r="E13" s="6" t="str">
        <f>IFERROR(__xludf.DUMMYFUNCTION("""COMPUTED_VALUE"""),"Credit Card")</f>
        <v>Credit Card</v>
      </c>
      <c r="F13" s="6" t="s">
        <v>12</v>
      </c>
      <c r="G13" s="8" t="str">
        <f t="shared" si="1"/>
        <v>202405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>
      <c r="A14" s="5">
        <f>IFERROR(__xludf.DUMMYFUNCTION("""COMPUTED_VALUE"""),45413.0)</f>
        <v>45413</v>
      </c>
      <c r="B14" s="6" t="str">
        <f>IFERROR(__xludf.DUMMYFUNCTION("""COMPUTED_VALUE"""),"Streaming Services")</f>
        <v>Streaming Services</v>
      </c>
      <c r="C14" s="7">
        <f>IFERROR(__xludf.DUMMYFUNCTION("""COMPUTED_VALUE"""),673.0)</f>
        <v>673</v>
      </c>
      <c r="D14" s="6" t="str">
        <f>IFERROR(__xludf.DUMMYFUNCTION("""COMPUTED_VALUE"""),"Streaming Services")</f>
        <v>Streaming Services</v>
      </c>
      <c r="E14" s="6" t="str">
        <f>IFERROR(__xludf.DUMMYFUNCTION("""COMPUTED_VALUE"""),"Credit Card")</f>
        <v>Credit Card</v>
      </c>
      <c r="F14" s="6" t="s">
        <v>12</v>
      </c>
      <c r="G14" s="8" t="str">
        <f t="shared" si="1"/>
        <v>202405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>
      <c r="A15" s="5">
        <f>IFERROR(__xludf.DUMMYFUNCTION("""COMPUTED_VALUE"""),45413.0)</f>
        <v>45413</v>
      </c>
      <c r="B15" s="6" t="str">
        <f>IFERROR(__xludf.DUMMYFUNCTION("""COMPUTED_VALUE"""),"Streaming Services")</f>
        <v>Streaming Services</v>
      </c>
      <c r="C15" s="7">
        <f>IFERROR(__xludf.DUMMYFUNCTION("""COMPUTED_VALUE"""),2539.0)</f>
        <v>2539</v>
      </c>
      <c r="D15" s="6" t="str">
        <f>IFERROR(__xludf.DUMMYFUNCTION("""COMPUTED_VALUE"""),"Streaming Services")</f>
        <v>Streaming Services</v>
      </c>
      <c r="E15" s="6" t="str">
        <f>IFERROR(__xludf.DUMMYFUNCTION("""COMPUTED_VALUE"""),"Credit Card")</f>
        <v>Credit Card</v>
      </c>
      <c r="F15" s="6" t="s">
        <v>12</v>
      </c>
      <c r="G15" s="8" t="str">
        <f t="shared" si="1"/>
        <v>202405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>
      <c r="A16" s="5">
        <f>IFERROR(__xludf.DUMMYFUNCTION("""COMPUTED_VALUE"""),45414.0)</f>
        <v>45414</v>
      </c>
      <c r="B16" s="6" t="str">
        <f>IFERROR(__xludf.DUMMYFUNCTION("""COMPUTED_VALUE"""),"Clothing")</f>
        <v>Clothing</v>
      </c>
      <c r="C16" s="7">
        <f>IFERROR(__xludf.DUMMYFUNCTION("""COMPUTED_VALUE"""),58666.0)</f>
        <v>58666</v>
      </c>
      <c r="D16" s="6" t="str">
        <f>IFERROR(__xludf.DUMMYFUNCTION("""COMPUTED_VALUE"""),"Clothing")</f>
        <v>Clothing</v>
      </c>
      <c r="E16" s="6" t="str">
        <f>IFERROR(__xludf.DUMMYFUNCTION("""COMPUTED_VALUE"""),"Credit Card")</f>
        <v>Credit Card</v>
      </c>
      <c r="F16" s="6" t="s">
        <v>10</v>
      </c>
      <c r="G16" s="8" t="str">
        <f t="shared" si="1"/>
        <v>202405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>
      <c r="A17" s="5">
        <f>IFERROR(__xludf.DUMMYFUNCTION("""COMPUTED_VALUE"""),45414.0)</f>
        <v>45414</v>
      </c>
      <c r="B17" s="6" t="str">
        <f>IFERROR(__xludf.DUMMYFUNCTION("""COMPUTED_VALUE"""),"Car Expenses")</f>
        <v>Car Expenses</v>
      </c>
      <c r="C17" s="7">
        <f>IFERROR(__xludf.DUMMYFUNCTION("""COMPUTED_VALUE"""),17192.0)</f>
        <v>17192</v>
      </c>
      <c r="D17" s="6" t="str">
        <f>IFERROR(__xludf.DUMMYFUNCTION("""COMPUTED_VALUE"""),"Car Expenses")</f>
        <v>Car Expenses</v>
      </c>
      <c r="E17" s="6" t="str">
        <f>IFERROR(__xludf.DUMMYFUNCTION("""COMPUTED_VALUE"""),"Credit Card")</f>
        <v>Credit Card</v>
      </c>
      <c r="F17" s="6" t="s">
        <v>9</v>
      </c>
      <c r="G17" s="8" t="str">
        <f t="shared" si="1"/>
        <v>202405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>
      <c r="A18" s="5">
        <f>IFERROR(__xludf.DUMMYFUNCTION("""COMPUTED_VALUE"""),45414.0)</f>
        <v>45414</v>
      </c>
      <c r="B18" s="6" t="str">
        <f>IFERROR(__xludf.DUMMYFUNCTION("""COMPUTED_VALUE"""),"Internet Services")</f>
        <v>Internet Services</v>
      </c>
      <c r="C18" s="7">
        <f>IFERROR(__xludf.DUMMYFUNCTION("""COMPUTED_VALUE"""),35796.0)</f>
        <v>35796</v>
      </c>
      <c r="D18" s="6" t="str">
        <f>IFERROR(__xludf.DUMMYFUNCTION("""COMPUTED_VALUE"""),"Basic Services")</f>
        <v>Basic Services</v>
      </c>
      <c r="E18" s="6" t="str">
        <f>IFERROR(__xludf.DUMMYFUNCTION("""COMPUTED_VALUE"""),"Credit Card")</f>
        <v>Credit Card</v>
      </c>
      <c r="F18" s="6" t="s">
        <v>13</v>
      </c>
      <c r="G18" s="8" t="str">
        <f t="shared" si="1"/>
        <v>202405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>
      <c r="A19" s="5">
        <f>IFERROR(__xludf.DUMMYFUNCTION("""COMPUTED_VALUE"""),45415.0)</f>
        <v>45415</v>
      </c>
      <c r="B19" s="6" t="str">
        <f>IFERROR(__xludf.DUMMYFUNCTION("""COMPUTED_VALUE"""),"Car Expenses")</f>
        <v>Car Expenses</v>
      </c>
      <c r="C19" s="7">
        <f>IFERROR(__xludf.DUMMYFUNCTION("""COMPUTED_VALUE"""),27500.0)</f>
        <v>27500</v>
      </c>
      <c r="D19" s="6" t="str">
        <f>IFERROR(__xludf.DUMMYFUNCTION("""COMPUTED_VALUE"""),"Car Expenses")</f>
        <v>Car Expenses</v>
      </c>
      <c r="E19" s="6" t="str">
        <f>IFERROR(__xludf.DUMMYFUNCTION("""COMPUTED_VALUE"""),"Credit Card")</f>
        <v>Credit Card</v>
      </c>
      <c r="F19" s="6" t="s">
        <v>9</v>
      </c>
      <c r="G19" s="8" t="str">
        <f t="shared" si="1"/>
        <v>202405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>
      <c r="A20" s="5">
        <f>IFERROR(__xludf.DUMMYFUNCTION("""COMPUTED_VALUE"""),45415.0)</f>
        <v>45415</v>
      </c>
      <c r="B20" s="6" t="str">
        <f>IFERROR(__xludf.DUMMYFUNCTION("""COMPUTED_VALUE"""),"Sports")</f>
        <v>Sports</v>
      </c>
      <c r="C20" s="7">
        <f>IFERROR(__xludf.DUMMYFUNCTION("""COMPUTED_VALUE"""),47316.0)</f>
        <v>47316</v>
      </c>
      <c r="D20" s="6" t="str">
        <f>IFERROR(__xludf.DUMMYFUNCTION("""COMPUTED_VALUE"""),"Sports")</f>
        <v>Sports</v>
      </c>
      <c r="E20" s="6" t="str">
        <f>IFERROR(__xludf.DUMMYFUNCTION("""COMPUTED_VALUE"""),"Credit Card")</f>
        <v>Credit Card</v>
      </c>
      <c r="F20" s="6" t="s">
        <v>12</v>
      </c>
      <c r="G20" s="8" t="str">
        <f t="shared" si="1"/>
        <v>202405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>
      <c r="A21" s="5">
        <f>IFERROR(__xludf.DUMMYFUNCTION("""COMPUTED_VALUE"""),45415.0)</f>
        <v>45415</v>
      </c>
      <c r="B21" s="6" t="str">
        <f>IFERROR(__xludf.DUMMYFUNCTION("""COMPUTED_VALUE"""),"Groceries")</f>
        <v>Groceries</v>
      </c>
      <c r="C21" s="7">
        <f>IFERROR(__xludf.DUMMYFUNCTION("""COMPUTED_VALUE"""),1650.0)</f>
        <v>1650</v>
      </c>
      <c r="D21" s="6" t="str">
        <f>IFERROR(__xludf.DUMMYFUNCTION("""COMPUTED_VALUE"""),"Groceries")</f>
        <v>Groceries</v>
      </c>
      <c r="E21" s="6" t="str">
        <f>IFERROR(__xludf.DUMMYFUNCTION("""COMPUTED_VALUE"""),"Split Payment")</f>
        <v>Split Payment</v>
      </c>
      <c r="F21" s="6" t="s">
        <v>7</v>
      </c>
      <c r="G21" s="8" t="str">
        <f t="shared" si="1"/>
        <v>202405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>
      <c r="A22" s="5">
        <f>IFERROR(__xludf.DUMMYFUNCTION("""COMPUTED_VALUE"""),45415.0)</f>
        <v>45415</v>
      </c>
      <c r="B22" s="6" t="str">
        <f>IFERROR(__xludf.DUMMYFUNCTION("""COMPUTED_VALUE"""),"Groceries")</f>
        <v>Groceries</v>
      </c>
      <c r="C22" s="7">
        <f>IFERROR(__xludf.DUMMYFUNCTION("""COMPUTED_VALUE"""),9500.0)</f>
        <v>9500</v>
      </c>
      <c r="D22" s="6" t="str">
        <f>IFERROR(__xludf.DUMMYFUNCTION("""COMPUTED_VALUE"""),"Groceries")</f>
        <v>Groceries</v>
      </c>
      <c r="E22" s="6" t="str">
        <f>IFERROR(__xludf.DUMMYFUNCTION("""COMPUTED_VALUE"""),"Split Payment")</f>
        <v>Split Payment</v>
      </c>
      <c r="F22" s="6" t="s">
        <v>7</v>
      </c>
      <c r="G22" s="8" t="str">
        <f t="shared" si="1"/>
        <v>202405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>
      <c r="A23" s="5">
        <f>IFERROR(__xludf.DUMMYFUNCTION("""COMPUTED_VALUE"""),45415.0)</f>
        <v>45415</v>
      </c>
      <c r="B23" s="6" t="str">
        <f>IFERROR(__xludf.DUMMYFUNCTION("""COMPUTED_VALUE"""),"Pets")</f>
        <v>Pets</v>
      </c>
      <c r="C23" s="7">
        <f>IFERROR(__xludf.DUMMYFUNCTION("""COMPUTED_VALUE"""),35000.0)</f>
        <v>35000</v>
      </c>
      <c r="D23" s="6" t="str">
        <f>IFERROR(__xludf.DUMMYFUNCTION("""COMPUTED_VALUE"""),"Pets")</f>
        <v>Pets</v>
      </c>
      <c r="E23" s="6" t="str">
        <f>IFERROR(__xludf.DUMMYFUNCTION("""COMPUTED_VALUE"""),"Credit Card")</f>
        <v>Credit Card</v>
      </c>
      <c r="F23" s="6" t="s">
        <v>7</v>
      </c>
      <c r="G23" s="8" t="str">
        <f t="shared" si="1"/>
        <v>202405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>
      <c r="A24" s="5">
        <f>IFERROR(__xludf.DUMMYFUNCTION("""COMPUTED_VALUE"""),45416.0)</f>
        <v>45416</v>
      </c>
      <c r="B24" s="6" t="str">
        <f>IFERROR(__xludf.DUMMYFUNCTION("""COMPUTED_VALUE"""),"Clothing")</f>
        <v>Clothing</v>
      </c>
      <c r="C24" s="7">
        <f>IFERROR(__xludf.DUMMYFUNCTION("""COMPUTED_VALUE"""),18833.0)</f>
        <v>18833</v>
      </c>
      <c r="D24" s="6" t="str">
        <f>IFERROR(__xludf.DUMMYFUNCTION("""COMPUTED_VALUE"""),"Clothing")</f>
        <v>Clothing</v>
      </c>
      <c r="E24" s="6" t="str">
        <f>IFERROR(__xludf.DUMMYFUNCTION("""COMPUTED_VALUE"""),"Credit Card")</f>
        <v>Credit Card</v>
      </c>
      <c r="F24" s="6" t="s">
        <v>10</v>
      </c>
      <c r="G24" s="8" t="str">
        <f t="shared" si="1"/>
        <v>202405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>
      <c r="A25" s="5">
        <f>IFERROR(__xludf.DUMMYFUNCTION("""COMPUTED_VALUE"""),45416.0)</f>
        <v>45416</v>
      </c>
      <c r="B25" s="6" t="str">
        <f>IFERROR(__xludf.DUMMYFUNCTION("""COMPUTED_VALUE"""),"Groceries")</f>
        <v>Groceries</v>
      </c>
      <c r="C25" s="7">
        <f>IFERROR(__xludf.DUMMYFUNCTION("""COMPUTED_VALUE"""),1602.0)</f>
        <v>1602</v>
      </c>
      <c r="D25" s="6" t="str">
        <f>IFERROR(__xludf.DUMMYFUNCTION("""COMPUTED_VALUE"""),"Home Goods &amp; Utilities")</f>
        <v>Home Goods &amp; Utilities</v>
      </c>
      <c r="E25" s="6" t="str">
        <f>IFERROR(__xludf.DUMMYFUNCTION("""COMPUTED_VALUE"""),"Credit Card")</f>
        <v>Credit Card</v>
      </c>
      <c r="F25" s="6" t="s">
        <v>8</v>
      </c>
      <c r="G25" s="8" t="str">
        <f t="shared" si="1"/>
        <v>202405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>
      <c r="A26" s="5">
        <f>IFERROR(__xludf.DUMMYFUNCTION("""COMPUTED_VALUE"""),45416.0)</f>
        <v>45416</v>
      </c>
      <c r="B26" s="6" t="str">
        <f>IFERROR(__xludf.DUMMYFUNCTION("""COMPUTED_VALUE"""),"Pets")</f>
        <v>Pets</v>
      </c>
      <c r="C26" s="7">
        <f>IFERROR(__xludf.DUMMYFUNCTION("""COMPUTED_VALUE"""),4000.0)</f>
        <v>4000</v>
      </c>
      <c r="D26" s="6" t="str">
        <f>IFERROR(__xludf.DUMMYFUNCTION("""COMPUTED_VALUE"""),"Pets")</f>
        <v>Pets</v>
      </c>
      <c r="E26" s="6" t="str">
        <f>IFERROR(__xludf.DUMMYFUNCTION("""COMPUTED_VALUE"""),"Virtual Wallet")</f>
        <v>Virtual Wallet</v>
      </c>
      <c r="F26" s="6" t="s">
        <v>7</v>
      </c>
      <c r="G26" s="8" t="str">
        <f t="shared" si="1"/>
        <v>202405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>
      <c r="A27" s="5">
        <f>IFERROR(__xludf.DUMMYFUNCTION("""COMPUTED_VALUE"""),45417.0)</f>
        <v>45417</v>
      </c>
      <c r="B27" s="6" t="str">
        <f>IFERROR(__xludf.DUMMYFUNCTION("""COMPUTED_VALUE"""),"Gas Bill (Metrogas)")</f>
        <v>Gas Bill (Metrogas)</v>
      </c>
      <c r="C27" s="7">
        <f>IFERROR(__xludf.DUMMYFUNCTION("""COMPUTED_VALUE"""),1316.0)</f>
        <v>1316</v>
      </c>
      <c r="D27" s="6" t="str">
        <f>IFERROR(__xludf.DUMMYFUNCTION("""COMPUTED_VALUE"""),"Basic Services")</f>
        <v>Basic Services</v>
      </c>
      <c r="E27" s="6" t="str">
        <f>IFERROR(__xludf.DUMMYFUNCTION("""COMPUTED_VALUE"""),"Split Payment")</f>
        <v>Split Payment</v>
      </c>
      <c r="F27" s="6" t="s">
        <v>13</v>
      </c>
      <c r="G27" s="8" t="str">
        <f t="shared" si="1"/>
        <v>202405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>
      <c r="A28" s="5">
        <f>IFERROR(__xludf.DUMMYFUNCTION("""COMPUTED_VALUE"""),45417.0)</f>
        <v>45417</v>
      </c>
      <c r="B28" s="6" t="str">
        <f>IFERROR(__xludf.DUMMYFUNCTION("""COMPUTED_VALUE"""),"Home Goods")</f>
        <v>Home Goods</v>
      </c>
      <c r="C28" s="7">
        <f>IFERROR(__xludf.DUMMYFUNCTION("""COMPUTED_VALUE"""),2744.5)</f>
        <v>2744.5</v>
      </c>
      <c r="D28" s="6" t="str">
        <f>IFERROR(__xludf.DUMMYFUNCTION("""COMPUTED_VALUE"""),"Home Goods &amp; Utilities")</f>
        <v>Home Goods &amp; Utilities</v>
      </c>
      <c r="E28" s="6" t="str">
        <f>IFERROR(__xludf.DUMMYFUNCTION("""COMPUTED_VALUE"""),"Split Payment")</f>
        <v>Split Payment</v>
      </c>
      <c r="F28" s="6" t="s">
        <v>8</v>
      </c>
      <c r="G28" s="8" t="str">
        <f t="shared" si="1"/>
        <v>202405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>
      <c r="A29" s="5">
        <f>IFERROR(__xludf.DUMMYFUNCTION("""COMPUTED_VALUE"""),45417.0)</f>
        <v>45417</v>
      </c>
      <c r="B29" s="6" t="str">
        <f>IFERROR(__xludf.DUMMYFUNCTION("""COMPUTED_VALUE"""),"Municipal Tax (ABL)")</f>
        <v>Municipal Tax (ABL)</v>
      </c>
      <c r="C29" s="7">
        <f>IFERROR(__xludf.DUMMYFUNCTION("""COMPUTED_VALUE"""),3860.0)</f>
        <v>3860</v>
      </c>
      <c r="D29" s="6" t="str">
        <f>IFERROR(__xludf.DUMMYFUNCTION("""COMPUTED_VALUE"""),"Basic Services")</f>
        <v>Basic Services</v>
      </c>
      <c r="E29" s="6" t="str">
        <f>IFERROR(__xludf.DUMMYFUNCTION("""COMPUTED_VALUE"""),"Split Payment")</f>
        <v>Split Payment</v>
      </c>
      <c r="F29" s="6" t="s">
        <v>13</v>
      </c>
      <c r="G29" s="8" t="str">
        <f t="shared" si="1"/>
        <v>202405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>
      <c r="A30" s="5">
        <f>IFERROR(__xludf.DUMMYFUNCTION("""COMPUTED_VALUE"""),45418.0)</f>
        <v>45418</v>
      </c>
      <c r="B30" s="6" t="str">
        <f>IFERROR(__xludf.DUMMYFUNCTION("""COMPUTED_VALUE"""),"Groceries")</f>
        <v>Groceries</v>
      </c>
      <c r="C30" s="7">
        <f>IFERROR(__xludf.DUMMYFUNCTION("""COMPUTED_VALUE"""),1010.0)</f>
        <v>1010</v>
      </c>
      <c r="D30" s="6" t="str">
        <f>IFERROR(__xludf.DUMMYFUNCTION("""COMPUTED_VALUE"""),"Groceries")</f>
        <v>Groceries</v>
      </c>
      <c r="E30" s="6" t="str">
        <f>IFERROR(__xludf.DUMMYFUNCTION("""COMPUTED_VALUE"""),"Split Payment")</f>
        <v>Split Payment</v>
      </c>
      <c r="F30" s="6" t="s">
        <v>7</v>
      </c>
      <c r="G30" s="8" t="str">
        <f t="shared" si="1"/>
        <v>202405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>
      <c r="A31" s="5">
        <f>IFERROR(__xludf.DUMMYFUNCTION("""COMPUTED_VALUE"""),45418.0)</f>
        <v>45418</v>
      </c>
      <c r="B31" s="6" t="str">
        <f>IFERROR(__xludf.DUMMYFUNCTION("""COMPUTED_VALUE"""),"Meals")</f>
        <v>Meals</v>
      </c>
      <c r="C31" s="7">
        <f>IFERROR(__xludf.DUMMYFUNCTION("""COMPUTED_VALUE"""),1010.0)</f>
        <v>1010</v>
      </c>
      <c r="D31" s="6" t="str">
        <f>IFERROR(__xludf.DUMMYFUNCTION("""COMPUTED_VALUE"""),"Groceries")</f>
        <v>Groceries</v>
      </c>
      <c r="E31" s="6" t="str">
        <f>IFERROR(__xludf.DUMMYFUNCTION("""COMPUTED_VALUE"""),"Digital Wallet")</f>
        <v>Digital Wallet</v>
      </c>
      <c r="F31" s="6" t="s">
        <v>7</v>
      </c>
      <c r="G31" s="8" t="str">
        <f t="shared" si="1"/>
        <v>202405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>
      <c r="A32" s="5">
        <f>IFERROR(__xludf.DUMMYFUNCTION("""COMPUTED_VALUE"""),45418.0)</f>
        <v>45418</v>
      </c>
      <c r="B32" s="6" t="str">
        <f>IFERROR(__xludf.DUMMYFUNCTION("""COMPUTED_VALUE"""),"Recreation")</f>
        <v>Recreation</v>
      </c>
      <c r="C32" s="7">
        <f>IFERROR(__xludf.DUMMYFUNCTION("""COMPUTED_VALUE"""),3500.0)</f>
        <v>3500</v>
      </c>
      <c r="D32" s="6" t="str">
        <f>IFERROR(__xludf.DUMMYFUNCTION("""COMPUTED_VALUE"""),"Recreation")</f>
        <v>Recreation</v>
      </c>
      <c r="E32" s="6" t="str">
        <f>IFERROR(__xludf.DUMMYFUNCTION("""COMPUTED_VALUE"""),"Debit Card")</f>
        <v>Debit Card</v>
      </c>
      <c r="F32" s="6" t="s">
        <v>12</v>
      </c>
      <c r="G32" s="8" t="str">
        <f t="shared" si="1"/>
        <v>202405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</row>
    <row r="33">
      <c r="A33" s="5">
        <f>IFERROR(__xludf.DUMMYFUNCTION("""COMPUTED_VALUE"""),45418.0)</f>
        <v>45418</v>
      </c>
      <c r="B33" s="6" t="str">
        <f>IFERROR(__xludf.DUMMYFUNCTION("""COMPUTED_VALUE"""),"Recreation")</f>
        <v>Recreation</v>
      </c>
      <c r="C33" s="7">
        <f>IFERROR(__xludf.DUMMYFUNCTION("""COMPUTED_VALUE"""),14900.0)</f>
        <v>14900</v>
      </c>
      <c r="D33" s="6" t="str">
        <f>IFERROR(__xludf.DUMMYFUNCTION("""COMPUTED_VALUE"""),"Recreation")</f>
        <v>Recreation</v>
      </c>
      <c r="E33" s="6" t="str">
        <f>IFERROR(__xludf.DUMMYFUNCTION("""COMPUTED_VALUE"""),"Digital Wallet")</f>
        <v>Digital Wallet</v>
      </c>
      <c r="F33" s="6" t="s">
        <v>12</v>
      </c>
      <c r="G33" s="8" t="str">
        <f t="shared" si="1"/>
        <v>202405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</row>
    <row r="34">
      <c r="A34" s="5">
        <f>IFERROR(__xludf.DUMMYFUNCTION("""COMPUTED_VALUE"""),45418.0)</f>
        <v>45418</v>
      </c>
      <c r="B34" s="6" t="str">
        <f>IFERROR(__xludf.DUMMYFUNCTION("""COMPUTED_VALUE"""),"Restaurant")</f>
        <v>Restaurant</v>
      </c>
      <c r="C34" s="7">
        <f>IFERROR(__xludf.DUMMYFUNCTION("""COMPUTED_VALUE"""),9500.0)</f>
        <v>9500</v>
      </c>
      <c r="D34" s="6" t="str">
        <f>IFERROR(__xludf.DUMMYFUNCTION("""COMPUTED_VALUE"""),"Restaurant / Café")</f>
        <v>Restaurant / Café</v>
      </c>
      <c r="E34" s="6" t="str">
        <f>IFERROR(__xludf.DUMMYFUNCTION("""COMPUTED_VALUE"""),"Digital Wallet")</f>
        <v>Digital Wallet</v>
      </c>
      <c r="F34" s="6" t="s">
        <v>14</v>
      </c>
      <c r="G34" s="8" t="str">
        <f t="shared" si="1"/>
        <v>202405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</row>
    <row r="35">
      <c r="A35" s="5">
        <f>IFERROR(__xludf.DUMMYFUNCTION("""COMPUTED_VALUE"""),45418.0)</f>
        <v>45418</v>
      </c>
      <c r="B35" s="6" t="str">
        <f>IFERROR(__xludf.DUMMYFUNCTION("""COMPUTED_VALUE"""),"Sports")</f>
        <v>Sports</v>
      </c>
      <c r="C35" s="7">
        <f>IFERROR(__xludf.DUMMYFUNCTION("""COMPUTED_VALUE"""),42500.0)</f>
        <v>42500</v>
      </c>
      <c r="D35" s="6" t="str">
        <f>IFERROR(__xludf.DUMMYFUNCTION("""COMPUTED_VALUE"""),"Sports")</f>
        <v>Sports</v>
      </c>
      <c r="E35" s="6" t="str">
        <f>IFERROR(__xludf.DUMMYFUNCTION("""COMPUTED_VALUE"""),"Bank Transfer")</f>
        <v>Bank Transfer</v>
      </c>
      <c r="F35" s="6" t="s">
        <v>12</v>
      </c>
      <c r="G35" s="8" t="str">
        <f t="shared" si="1"/>
        <v>202405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</row>
    <row r="36">
      <c r="A36" s="5">
        <f>IFERROR(__xludf.DUMMYFUNCTION("""COMPUTED_VALUE"""),45418.0)</f>
        <v>45418</v>
      </c>
      <c r="B36" s="6" t="str">
        <f>IFERROR(__xludf.DUMMYFUNCTION("""COMPUTED_VALUE"""),"Streaming Services")</f>
        <v>Streaming Services</v>
      </c>
      <c r="C36" s="7">
        <f>IFERROR(__xludf.DUMMYFUNCTION("""COMPUTED_VALUE"""),5723.0)</f>
        <v>5723</v>
      </c>
      <c r="D36" s="6" t="str">
        <f>IFERROR(__xludf.DUMMYFUNCTION("""COMPUTED_VALUE"""),"Streaming Services")</f>
        <v>Streaming Services</v>
      </c>
      <c r="E36" s="6" t="str">
        <f>IFERROR(__xludf.DUMMYFUNCTION("""COMPUTED_VALUE"""),"Credit Card")</f>
        <v>Credit Card</v>
      </c>
      <c r="F36" s="6" t="s">
        <v>12</v>
      </c>
      <c r="G36" s="8" t="str">
        <f t="shared" si="1"/>
        <v>202405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</row>
    <row r="37">
      <c r="A37" s="5">
        <f>IFERROR(__xludf.DUMMYFUNCTION("""COMPUTED_VALUE"""),45418.0)</f>
        <v>45418</v>
      </c>
      <c r="B37" s="6" t="str">
        <f>IFERROR(__xludf.DUMMYFUNCTION("""COMPUTED_VALUE"""),"Cab/Uber")</f>
        <v>Cab/Uber</v>
      </c>
      <c r="C37" s="7">
        <f>IFERROR(__xludf.DUMMYFUNCTION("""COMPUTED_VALUE"""),1000.0)</f>
        <v>1000</v>
      </c>
      <c r="D37" s="6" t="str">
        <f>IFERROR(__xludf.DUMMYFUNCTION("""COMPUTED_VALUE"""),"Transportation")</f>
        <v>Transportation</v>
      </c>
      <c r="E37" s="6" t="str">
        <f>IFERROR(__xludf.DUMMYFUNCTION("""COMPUTED_VALUE"""),"Digital Wallet")</f>
        <v>Digital Wallet</v>
      </c>
      <c r="F37" s="6" t="s">
        <v>9</v>
      </c>
      <c r="G37" s="8" t="str">
        <f t="shared" si="1"/>
        <v>202405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</row>
    <row r="38">
      <c r="A38" s="5">
        <f>IFERROR(__xludf.DUMMYFUNCTION("""COMPUTED_VALUE"""),45419.0)</f>
        <v>45419</v>
      </c>
      <c r="B38" s="6" t="str">
        <f>IFERROR(__xludf.DUMMYFUNCTION("""COMPUTED_VALUE"""),"Delivery")</f>
        <v>Delivery</v>
      </c>
      <c r="C38" s="7">
        <f>IFERROR(__xludf.DUMMYFUNCTION("""COMPUTED_VALUE"""),6535.0)</f>
        <v>6535</v>
      </c>
      <c r="D38" s="6" t="str">
        <f>IFERROR(__xludf.DUMMYFUNCTION("""COMPUTED_VALUE"""),"Restaurant / Café")</f>
        <v>Restaurant / Café</v>
      </c>
      <c r="E38" s="6" t="str">
        <f>IFERROR(__xludf.DUMMYFUNCTION("""COMPUTED_VALUE"""),"Credit Card")</f>
        <v>Credit Card</v>
      </c>
      <c r="F38" s="6" t="s">
        <v>14</v>
      </c>
      <c r="G38" s="8" t="str">
        <f t="shared" si="1"/>
        <v>202405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</row>
    <row r="39">
      <c r="A39" s="5">
        <f>IFERROR(__xludf.DUMMYFUNCTION("""COMPUTED_VALUE"""),45419.0)</f>
        <v>45419</v>
      </c>
      <c r="B39" s="6" t="str">
        <f>IFERROR(__xludf.DUMMYFUNCTION("""COMPUTED_VALUE"""),"Gift")</f>
        <v>Gift</v>
      </c>
      <c r="C39" s="7">
        <f>IFERROR(__xludf.DUMMYFUNCTION("""COMPUTED_VALUE"""),13500.0)</f>
        <v>13500</v>
      </c>
      <c r="D39" s="6" t="str">
        <f>IFERROR(__xludf.DUMMYFUNCTION("""COMPUTED_VALUE"""),"Gifts")</f>
        <v>Gifts</v>
      </c>
      <c r="E39" s="6" t="str">
        <f>IFERROR(__xludf.DUMMYFUNCTION("""COMPUTED_VALUE"""),"Bank Transfer")</f>
        <v>Bank Transfer</v>
      </c>
      <c r="F39" s="6"/>
      <c r="G39" s="8" t="str">
        <f t="shared" si="1"/>
        <v>202405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</row>
    <row r="40">
      <c r="A40" s="5">
        <f>IFERROR(__xludf.DUMMYFUNCTION("""COMPUTED_VALUE"""),45419.0)</f>
        <v>45419</v>
      </c>
      <c r="B40" s="6" t="str">
        <f>IFERROR(__xludf.DUMMYFUNCTION("""COMPUTED_VALUE"""),"Gift")</f>
        <v>Gift</v>
      </c>
      <c r="C40" s="7">
        <f>IFERROR(__xludf.DUMMYFUNCTION("""COMPUTED_VALUE"""),11800.0)</f>
        <v>11800</v>
      </c>
      <c r="D40" s="6" t="str">
        <f>IFERROR(__xludf.DUMMYFUNCTION("""COMPUTED_VALUE"""),"Gifts")</f>
        <v>Gifts</v>
      </c>
      <c r="E40" s="6" t="str">
        <f>IFERROR(__xludf.DUMMYFUNCTION("""COMPUTED_VALUE"""),"Debit Card")</f>
        <v>Debit Card</v>
      </c>
      <c r="F40" s="6"/>
      <c r="G40" s="8" t="str">
        <f t="shared" si="1"/>
        <v>202405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4"/>
      <c r="DR40" s="4"/>
      <c r="DS40" s="4"/>
    </row>
    <row r="41">
      <c r="A41" s="5">
        <f>IFERROR(__xludf.DUMMYFUNCTION("""COMPUTED_VALUE"""),45419.0)</f>
        <v>45419</v>
      </c>
      <c r="B41" s="6" t="str">
        <f>IFERROR(__xludf.DUMMYFUNCTION("""COMPUTED_VALUE"""),"Home Goods")</f>
        <v>Home Goods</v>
      </c>
      <c r="C41" s="7">
        <f>IFERROR(__xludf.DUMMYFUNCTION("""COMPUTED_VALUE"""),1600.0)</f>
        <v>1600</v>
      </c>
      <c r="D41" s="6" t="str">
        <f>IFERROR(__xludf.DUMMYFUNCTION("""COMPUTED_VALUE"""),"Home Goods &amp; Utilities")</f>
        <v>Home Goods &amp; Utilities</v>
      </c>
      <c r="E41" s="6" t="str">
        <f>IFERROR(__xludf.DUMMYFUNCTION("""COMPUTED_VALUE"""),"Digital Wallet")</f>
        <v>Digital Wallet</v>
      </c>
      <c r="F41" s="6" t="s">
        <v>8</v>
      </c>
      <c r="G41" s="8" t="str">
        <f t="shared" si="1"/>
        <v>202405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</row>
    <row r="42">
      <c r="A42" s="5">
        <f>IFERROR(__xludf.DUMMYFUNCTION("""COMPUTED_VALUE"""),45419.0)</f>
        <v>45419</v>
      </c>
      <c r="B42" s="6" t="str">
        <f>IFERROR(__xludf.DUMMYFUNCTION("""COMPUTED_VALUE"""),"Home Goods")</f>
        <v>Home Goods</v>
      </c>
      <c r="C42" s="7">
        <f>IFERROR(__xludf.DUMMYFUNCTION("""COMPUTED_VALUE"""),5500.0)</f>
        <v>5500</v>
      </c>
      <c r="D42" s="6" t="str">
        <f>IFERROR(__xludf.DUMMYFUNCTION("""COMPUTED_VALUE"""),"Home Goods &amp; Utilities")</f>
        <v>Home Goods &amp; Utilities</v>
      </c>
      <c r="E42" s="6" t="str">
        <f>IFERROR(__xludf.DUMMYFUNCTION("""COMPUTED_VALUE"""),"Debit Card")</f>
        <v>Debit Card</v>
      </c>
      <c r="F42" s="6" t="s">
        <v>8</v>
      </c>
      <c r="G42" s="8" t="str">
        <f t="shared" si="1"/>
        <v>202405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</row>
    <row r="43">
      <c r="A43" s="5">
        <f>IFERROR(__xludf.DUMMYFUNCTION("""COMPUTED_VALUE"""),45419.0)</f>
        <v>45419</v>
      </c>
      <c r="B43" s="6" t="str">
        <f>IFERROR(__xludf.DUMMYFUNCTION("""COMPUTED_VALUE"""),"Stationery / Books")</f>
        <v>Stationery / Books</v>
      </c>
      <c r="C43" s="7">
        <f>IFERROR(__xludf.DUMMYFUNCTION("""COMPUTED_VALUE"""),3700.0)</f>
        <v>3700</v>
      </c>
      <c r="D43" s="6" t="str">
        <f>IFERROR(__xludf.DUMMYFUNCTION("""COMPUTED_VALUE"""),"Home Goods &amp; Utilities")</f>
        <v>Home Goods &amp; Utilities</v>
      </c>
      <c r="E43" s="6" t="str">
        <f>IFERROR(__xludf.DUMMYFUNCTION("""COMPUTED_VALUE"""),"Bank Transfer")</f>
        <v>Bank Transfer</v>
      </c>
      <c r="F43" s="6" t="s">
        <v>8</v>
      </c>
      <c r="G43" s="8" t="str">
        <f t="shared" si="1"/>
        <v>202405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</row>
    <row r="44">
      <c r="A44" s="5">
        <f>IFERROR(__xludf.DUMMYFUNCTION("""COMPUTED_VALUE"""),45419.0)</f>
        <v>45419</v>
      </c>
      <c r="B44" s="6" t="str">
        <f>IFERROR(__xludf.DUMMYFUNCTION("""COMPUTED_VALUE"""),"Stationery / Books")</f>
        <v>Stationery / Books</v>
      </c>
      <c r="C44" s="7">
        <f>IFERROR(__xludf.DUMMYFUNCTION("""COMPUTED_VALUE"""),2100.0)</f>
        <v>2100</v>
      </c>
      <c r="D44" s="6" t="str">
        <f>IFERROR(__xludf.DUMMYFUNCTION("""COMPUTED_VALUE"""),"Home Goods &amp; Utilities")</f>
        <v>Home Goods &amp; Utilities</v>
      </c>
      <c r="E44" s="6" t="str">
        <f>IFERROR(__xludf.DUMMYFUNCTION("""COMPUTED_VALUE"""),"Split Payment")</f>
        <v>Split Payment</v>
      </c>
      <c r="F44" s="6" t="s">
        <v>8</v>
      </c>
      <c r="G44" s="8" t="str">
        <f t="shared" si="1"/>
        <v>202405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</row>
    <row r="45">
      <c r="A45" s="5">
        <f>IFERROR(__xludf.DUMMYFUNCTION("""COMPUTED_VALUE"""),45420.0)</f>
        <v>45420</v>
      </c>
      <c r="B45" s="6" t="str">
        <f>IFERROR(__xludf.DUMMYFUNCTION("""COMPUTED_VALUE"""),"Groceries")</f>
        <v>Groceries</v>
      </c>
      <c r="C45" s="7">
        <f>IFERROR(__xludf.DUMMYFUNCTION("""COMPUTED_VALUE"""),750.0)</f>
        <v>750</v>
      </c>
      <c r="D45" s="6" t="str">
        <f>IFERROR(__xludf.DUMMYFUNCTION("""COMPUTED_VALUE"""),"Groceries")</f>
        <v>Groceries</v>
      </c>
      <c r="E45" s="6" t="str">
        <f>IFERROR(__xludf.DUMMYFUNCTION("""COMPUTED_VALUE"""),"Split Payment")</f>
        <v>Split Payment</v>
      </c>
      <c r="F45" s="6" t="s">
        <v>7</v>
      </c>
      <c r="G45" s="8" t="str">
        <f t="shared" si="1"/>
        <v>202405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</row>
    <row r="46">
      <c r="A46" s="5">
        <f>IFERROR(__xludf.DUMMYFUNCTION("""COMPUTED_VALUE"""),45420.0)</f>
        <v>45420</v>
      </c>
      <c r="B46" s="6" t="str">
        <f>IFERROR(__xludf.DUMMYFUNCTION("""COMPUTED_VALUE"""),"Lunch Out")</f>
        <v>Lunch Out</v>
      </c>
      <c r="C46" s="7">
        <f>IFERROR(__xludf.DUMMYFUNCTION("""COMPUTED_VALUE"""),4000.0)</f>
        <v>4000</v>
      </c>
      <c r="D46" s="6" t="str">
        <f>IFERROR(__xludf.DUMMYFUNCTION("""COMPUTED_VALUE"""),"Lunch Out")</f>
        <v>Lunch Out</v>
      </c>
      <c r="E46" s="6" t="str">
        <f>IFERROR(__xludf.DUMMYFUNCTION("""COMPUTED_VALUE"""),"Digital Wallet")</f>
        <v>Digital Wallet</v>
      </c>
      <c r="F46" s="6" t="s">
        <v>14</v>
      </c>
      <c r="G46" s="8" t="str">
        <f t="shared" si="1"/>
        <v>202405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</row>
    <row r="47">
      <c r="A47" s="5">
        <f>IFERROR(__xludf.DUMMYFUNCTION("""COMPUTED_VALUE"""),45421.0)</f>
        <v>45421</v>
      </c>
      <c r="B47" s="6" t="str">
        <f>IFERROR(__xludf.DUMMYFUNCTION("""COMPUTED_VALUE"""),"Doctor Visit")</f>
        <v>Doctor Visit</v>
      </c>
      <c r="C47" s="7">
        <f>IFERROR(__xludf.DUMMYFUNCTION("""COMPUTED_VALUE"""),3500.0)</f>
        <v>3500</v>
      </c>
      <c r="D47" s="6" t="str">
        <f>IFERROR(__xludf.DUMMYFUNCTION("""COMPUTED_VALUE"""),"Healthcare")</f>
        <v>Healthcare</v>
      </c>
      <c r="E47" s="6" t="str">
        <f>IFERROR(__xludf.DUMMYFUNCTION("""COMPUTED_VALUE"""),"Digital Wallet")</f>
        <v>Digital Wallet</v>
      </c>
      <c r="F47" s="6" t="s">
        <v>15</v>
      </c>
      <c r="G47" s="8" t="str">
        <f t="shared" si="1"/>
        <v>202405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</row>
    <row r="48">
      <c r="A48" s="5">
        <f>IFERROR(__xludf.DUMMYFUNCTION("""COMPUTED_VALUE"""),45421.0)</f>
        <v>45421</v>
      </c>
      <c r="B48" s="6" t="str">
        <f>IFERROR(__xludf.DUMMYFUNCTION("""COMPUTED_VALUE"""),"Pets")</f>
        <v>Pets</v>
      </c>
      <c r="C48" s="7">
        <f>IFERROR(__xludf.DUMMYFUNCTION("""COMPUTED_VALUE"""),3225.0)</f>
        <v>3225</v>
      </c>
      <c r="D48" s="6" t="str">
        <f>IFERROR(__xludf.DUMMYFUNCTION("""COMPUTED_VALUE"""),"Pets")</f>
        <v>Pets</v>
      </c>
      <c r="E48" s="6" t="str">
        <f>IFERROR(__xludf.DUMMYFUNCTION("""COMPUTED_VALUE"""),"Virtual Wallet")</f>
        <v>Virtual Wallet</v>
      </c>
      <c r="F48" s="6" t="s">
        <v>7</v>
      </c>
      <c r="G48" s="8" t="str">
        <f t="shared" si="1"/>
        <v>202405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</row>
    <row r="49">
      <c r="A49" s="5">
        <f>IFERROR(__xludf.DUMMYFUNCTION("""COMPUTED_VALUE"""),45421.0)</f>
        <v>45421</v>
      </c>
      <c r="B49" s="6" t="str">
        <f>IFERROR(__xludf.DUMMYFUNCTION("""COMPUTED_VALUE"""),"Pharmacy")</f>
        <v>Pharmacy</v>
      </c>
      <c r="C49" s="7">
        <f>IFERROR(__xludf.DUMMYFUNCTION("""COMPUTED_VALUE"""),2000.0)</f>
        <v>2000</v>
      </c>
      <c r="D49" s="6" t="str">
        <f>IFERROR(__xludf.DUMMYFUNCTION("""COMPUTED_VALUE"""),"Healthcare")</f>
        <v>Healthcare</v>
      </c>
      <c r="E49" s="6" t="str">
        <f>IFERROR(__xludf.DUMMYFUNCTION("""COMPUTED_VALUE"""),"Debit Card")</f>
        <v>Debit Card</v>
      </c>
      <c r="F49" s="6" t="s">
        <v>15</v>
      </c>
      <c r="G49" s="8" t="str">
        <f t="shared" si="1"/>
        <v>202405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4"/>
      <c r="DR49" s="4"/>
      <c r="DS49" s="4"/>
    </row>
    <row r="50">
      <c r="A50" s="5">
        <f>IFERROR(__xludf.DUMMYFUNCTION("""COMPUTED_VALUE"""),45421.0)</f>
        <v>45421</v>
      </c>
      <c r="B50" s="6" t="str">
        <f>IFERROR(__xludf.DUMMYFUNCTION("""COMPUTED_VALUE"""),"Pharmacy")</f>
        <v>Pharmacy</v>
      </c>
      <c r="C50" s="7">
        <f>IFERROR(__xludf.DUMMYFUNCTION("""COMPUTED_VALUE"""),7490.0)</f>
        <v>7490</v>
      </c>
      <c r="D50" s="6" t="str">
        <f>IFERROR(__xludf.DUMMYFUNCTION("""COMPUTED_VALUE"""),"Healthcare")</f>
        <v>Healthcare</v>
      </c>
      <c r="E50" s="6" t="str">
        <f>IFERROR(__xludf.DUMMYFUNCTION("""COMPUTED_VALUE"""),"Debit Card")</f>
        <v>Debit Card</v>
      </c>
      <c r="F50" s="6" t="s">
        <v>15</v>
      </c>
      <c r="G50" s="8" t="str">
        <f t="shared" si="1"/>
        <v>202405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4"/>
      <c r="DN50" s="4"/>
      <c r="DO50" s="4"/>
      <c r="DP50" s="4"/>
      <c r="DQ50" s="4"/>
      <c r="DR50" s="4"/>
      <c r="DS50" s="4"/>
    </row>
    <row r="51">
      <c r="A51" s="5">
        <f>IFERROR(__xludf.DUMMYFUNCTION("""COMPUTED_VALUE"""),45421.0)</f>
        <v>45421</v>
      </c>
      <c r="B51" s="6" t="str">
        <f>IFERROR(__xludf.DUMMYFUNCTION("""COMPUTED_VALUE"""),"Pharmacy")</f>
        <v>Pharmacy</v>
      </c>
      <c r="C51" s="7">
        <f>IFERROR(__xludf.DUMMYFUNCTION("""COMPUTED_VALUE"""),7000.0)</f>
        <v>7000</v>
      </c>
      <c r="D51" s="6" t="str">
        <f>IFERROR(__xludf.DUMMYFUNCTION("""COMPUTED_VALUE"""),"Healthcare")</f>
        <v>Healthcare</v>
      </c>
      <c r="E51" s="6" t="str">
        <f>IFERROR(__xludf.DUMMYFUNCTION("""COMPUTED_VALUE"""),"Debit Card")</f>
        <v>Debit Card</v>
      </c>
      <c r="F51" s="6" t="s">
        <v>15</v>
      </c>
      <c r="G51" s="8" t="str">
        <f t="shared" si="1"/>
        <v>202405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  <c r="DM51" s="4"/>
      <c r="DN51" s="4"/>
      <c r="DO51" s="4"/>
      <c r="DP51" s="4"/>
      <c r="DQ51" s="4"/>
      <c r="DR51" s="4"/>
      <c r="DS51" s="4"/>
    </row>
    <row r="52">
      <c r="A52" s="5">
        <f>IFERROR(__xludf.DUMMYFUNCTION("""COMPUTED_VALUE"""),45421.0)</f>
        <v>45421</v>
      </c>
      <c r="B52" s="6" t="str">
        <f>IFERROR(__xludf.DUMMYFUNCTION("""COMPUTED_VALUE"""),"Restaurant")</f>
        <v>Restaurant</v>
      </c>
      <c r="C52" s="7">
        <f>IFERROR(__xludf.DUMMYFUNCTION("""COMPUTED_VALUE"""),15100.0)</f>
        <v>15100</v>
      </c>
      <c r="D52" s="6" t="str">
        <f>IFERROR(__xludf.DUMMYFUNCTION("""COMPUTED_VALUE"""),"Restaurant / Café")</f>
        <v>Restaurant / Café</v>
      </c>
      <c r="E52" s="6" t="str">
        <f>IFERROR(__xludf.DUMMYFUNCTION("""COMPUTED_VALUE"""),"Virtual Wallet")</f>
        <v>Virtual Wallet</v>
      </c>
      <c r="F52" s="6" t="s">
        <v>14</v>
      </c>
      <c r="G52" s="8" t="str">
        <f t="shared" si="1"/>
        <v>202405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4"/>
    </row>
    <row r="53">
      <c r="A53" s="5">
        <f>IFERROR(__xludf.DUMMYFUNCTION("""COMPUTED_VALUE"""),45421.0)</f>
        <v>45421</v>
      </c>
      <c r="B53" s="6" t="str">
        <f>IFERROR(__xludf.DUMMYFUNCTION("""COMPUTED_VALUE"""),"Streaming Services")</f>
        <v>Streaming Services</v>
      </c>
      <c r="C53" s="7">
        <f>IFERROR(__xludf.DUMMYFUNCTION("""COMPUTED_VALUE"""),1350.0)</f>
        <v>1350</v>
      </c>
      <c r="D53" s="6" t="str">
        <f>IFERROR(__xludf.DUMMYFUNCTION("""COMPUTED_VALUE"""),"Streaming Services")</f>
        <v>Streaming Services</v>
      </c>
      <c r="E53" s="6" t="str">
        <f>IFERROR(__xludf.DUMMYFUNCTION("""COMPUTED_VALUE"""),"Credit Card")</f>
        <v>Credit Card</v>
      </c>
      <c r="F53" s="6" t="s">
        <v>12</v>
      </c>
      <c r="G53" s="8" t="str">
        <f t="shared" si="1"/>
        <v>202405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4"/>
    </row>
    <row r="54">
      <c r="A54" s="5">
        <f>IFERROR(__xludf.DUMMYFUNCTION("""COMPUTED_VALUE"""),45421.0)</f>
        <v>45421</v>
      </c>
      <c r="B54" s="6" t="str">
        <f>IFERROR(__xludf.DUMMYFUNCTION("""COMPUTED_VALUE"""),"Cab/Uber")</f>
        <v>Cab/Uber</v>
      </c>
      <c r="C54" s="7">
        <f>IFERROR(__xludf.DUMMYFUNCTION("""COMPUTED_VALUE"""),1451.0)</f>
        <v>1451</v>
      </c>
      <c r="D54" s="6" t="str">
        <f>IFERROR(__xludf.DUMMYFUNCTION("""COMPUTED_VALUE"""),"Transportation")</f>
        <v>Transportation</v>
      </c>
      <c r="E54" s="6" t="str">
        <f>IFERROR(__xludf.DUMMYFUNCTION("""COMPUTED_VALUE"""),"Virtual Wallet")</f>
        <v>Virtual Wallet</v>
      </c>
      <c r="F54" s="6" t="s">
        <v>9</v>
      </c>
      <c r="G54" s="8" t="str">
        <f t="shared" si="1"/>
        <v>202405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  <c r="DR54" s="4"/>
      <c r="DS54" s="4"/>
    </row>
    <row r="55">
      <c r="A55" s="5">
        <f>IFERROR(__xludf.DUMMYFUNCTION("""COMPUTED_VALUE"""),45422.0)</f>
        <v>45422</v>
      </c>
      <c r="B55" s="6" t="str">
        <f>IFERROR(__xludf.DUMMYFUNCTION("""COMPUTED_VALUE"""),"Cab/Uber")</f>
        <v>Cab/Uber</v>
      </c>
      <c r="C55" s="7">
        <f>IFERROR(__xludf.DUMMYFUNCTION("""COMPUTED_VALUE"""),2000.0)</f>
        <v>2000</v>
      </c>
      <c r="D55" s="6" t="str">
        <f>IFERROR(__xludf.DUMMYFUNCTION("""COMPUTED_VALUE"""),"Transportation")</f>
        <v>Transportation</v>
      </c>
      <c r="E55" s="6" t="str">
        <f>IFERROR(__xludf.DUMMYFUNCTION("""COMPUTED_VALUE"""),"Virtual Wallet")</f>
        <v>Virtual Wallet</v>
      </c>
      <c r="F55" s="6" t="s">
        <v>9</v>
      </c>
      <c r="G55" s="8" t="str">
        <f t="shared" si="1"/>
        <v>202405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</row>
    <row r="56">
      <c r="A56" s="5">
        <f>IFERROR(__xludf.DUMMYFUNCTION("""COMPUTED_VALUE"""),45422.0)</f>
        <v>45422</v>
      </c>
      <c r="B56" s="6" t="str">
        <f>IFERROR(__xludf.DUMMYFUNCTION("""COMPUTED_VALUE"""),"Cab/Uber")</f>
        <v>Cab/Uber</v>
      </c>
      <c r="C56" s="7">
        <f>IFERROR(__xludf.DUMMYFUNCTION("""COMPUTED_VALUE"""),3373.0)</f>
        <v>3373</v>
      </c>
      <c r="D56" s="6" t="str">
        <f>IFERROR(__xludf.DUMMYFUNCTION("""COMPUTED_VALUE"""),"Transportation")</f>
        <v>Transportation</v>
      </c>
      <c r="E56" s="6" t="str">
        <f>IFERROR(__xludf.DUMMYFUNCTION("""COMPUTED_VALUE"""),"Bank Transfer")</f>
        <v>Bank Transfer</v>
      </c>
      <c r="F56" s="6" t="s">
        <v>9</v>
      </c>
      <c r="G56" s="8" t="str">
        <f t="shared" si="1"/>
        <v>202405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/>
      <c r="DN56" s="4"/>
      <c r="DO56" s="4"/>
      <c r="DP56" s="4"/>
      <c r="DQ56" s="4"/>
      <c r="DR56" s="4"/>
      <c r="DS56" s="4"/>
    </row>
    <row r="57">
      <c r="A57" s="5">
        <f>IFERROR(__xludf.DUMMYFUNCTION("""COMPUTED_VALUE"""),45422.0)</f>
        <v>45422</v>
      </c>
      <c r="B57" s="6" t="str">
        <f>IFERROR(__xludf.DUMMYFUNCTION("""COMPUTED_VALUE"""),"Cab/Uber")</f>
        <v>Cab/Uber</v>
      </c>
      <c r="C57" s="7">
        <f>IFERROR(__xludf.DUMMYFUNCTION("""COMPUTED_VALUE"""),4060.0)</f>
        <v>4060</v>
      </c>
      <c r="D57" s="6" t="str">
        <f>IFERROR(__xludf.DUMMYFUNCTION("""COMPUTED_VALUE"""),"Transportation")</f>
        <v>Transportation</v>
      </c>
      <c r="E57" s="6" t="str">
        <f>IFERROR(__xludf.DUMMYFUNCTION("""COMPUTED_VALUE"""),"Bank Transfer")</f>
        <v>Bank Transfer</v>
      </c>
      <c r="F57" s="6" t="s">
        <v>9</v>
      </c>
      <c r="G57" s="8" t="str">
        <f t="shared" si="1"/>
        <v>202405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  <c r="DM57" s="4"/>
      <c r="DN57" s="4"/>
      <c r="DO57" s="4"/>
      <c r="DP57" s="4"/>
      <c r="DQ57" s="4"/>
      <c r="DR57" s="4"/>
      <c r="DS57" s="4"/>
    </row>
    <row r="58">
      <c r="A58" s="5">
        <f>IFERROR(__xludf.DUMMYFUNCTION("""COMPUTED_VALUE"""),45423.0)</f>
        <v>45423</v>
      </c>
      <c r="B58" s="6" t="str">
        <f>IFERROR(__xludf.DUMMYFUNCTION("""COMPUTED_VALUE"""),"Gift")</f>
        <v>Gift</v>
      </c>
      <c r="C58" s="7">
        <f>IFERROR(__xludf.DUMMYFUNCTION("""COMPUTED_VALUE"""),12000.0)</f>
        <v>12000</v>
      </c>
      <c r="D58" s="6" t="str">
        <f>IFERROR(__xludf.DUMMYFUNCTION("""COMPUTED_VALUE"""),"Restaurant / Café")</f>
        <v>Restaurant / Café</v>
      </c>
      <c r="E58" s="6" t="str">
        <f>IFERROR(__xludf.DUMMYFUNCTION("""COMPUTED_VALUE"""),"Bank Transfer")</f>
        <v>Bank Transfer</v>
      </c>
      <c r="F58" s="6" t="s">
        <v>14</v>
      </c>
      <c r="G58" s="8" t="str">
        <f t="shared" si="1"/>
        <v>202405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  <c r="DM58" s="4"/>
      <c r="DN58" s="4"/>
      <c r="DO58" s="4"/>
      <c r="DP58" s="4"/>
      <c r="DQ58" s="4"/>
      <c r="DR58" s="4"/>
      <c r="DS58" s="4"/>
    </row>
    <row r="59">
      <c r="A59" s="5">
        <f>IFERROR(__xludf.DUMMYFUNCTION("""COMPUTED_VALUE"""),45423.0)</f>
        <v>45423</v>
      </c>
      <c r="B59" s="6" t="str">
        <f>IFERROR(__xludf.DUMMYFUNCTION("""COMPUTED_VALUE"""),"Groceries")</f>
        <v>Groceries</v>
      </c>
      <c r="C59" s="7">
        <f>IFERROR(__xludf.DUMMYFUNCTION("""COMPUTED_VALUE"""),12851.0)</f>
        <v>12851</v>
      </c>
      <c r="D59" s="6" t="str">
        <f>IFERROR(__xludf.DUMMYFUNCTION("""COMPUTED_VALUE"""),"Groceries")</f>
        <v>Groceries</v>
      </c>
      <c r="E59" s="6" t="str">
        <f>IFERROR(__xludf.DUMMYFUNCTION("""COMPUTED_VALUE"""),"Debit Card")</f>
        <v>Debit Card</v>
      </c>
      <c r="F59" s="6" t="s">
        <v>7</v>
      </c>
      <c r="G59" s="8" t="str">
        <f t="shared" si="1"/>
        <v>202405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4"/>
      <c r="DR59" s="4"/>
      <c r="DS59" s="4"/>
    </row>
    <row r="60">
      <c r="A60" s="5">
        <f>IFERROR(__xludf.DUMMYFUNCTION("""COMPUTED_VALUE"""),45424.0)</f>
        <v>45424</v>
      </c>
      <c r="B60" s="6" t="str">
        <f>IFERROR(__xludf.DUMMYFUNCTION("""COMPUTED_VALUE"""),"Cab/Uber")</f>
        <v>Cab/Uber</v>
      </c>
      <c r="C60" s="7">
        <f>IFERROR(__xludf.DUMMYFUNCTION("""COMPUTED_VALUE"""),4000.0)</f>
        <v>4000</v>
      </c>
      <c r="D60" s="6" t="str">
        <f>IFERROR(__xludf.DUMMYFUNCTION("""COMPUTED_VALUE"""),"Transportation")</f>
        <v>Transportation</v>
      </c>
      <c r="E60" s="6" t="str">
        <f>IFERROR(__xludf.DUMMYFUNCTION("""COMPUTED_VALUE"""),"Virtual Wallet")</f>
        <v>Virtual Wallet</v>
      </c>
      <c r="F60" s="6" t="s">
        <v>9</v>
      </c>
      <c r="G60" s="8" t="str">
        <f t="shared" si="1"/>
        <v>202405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4"/>
      <c r="DN60" s="4"/>
      <c r="DO60" s="4"/>
      <c r="DP60" s="4"/>
      <c r="DQ60" s="4"/>
      <c r="DR60" s="4"/>
      <c r="DS60" s="4"/>
    </row>
    <row r="61">
      <c r="A61" s="5">
        <f>IFERROR(__xludf.DUMMYFUNCTION("""COMPUTED_VALUE"""),45425.0)</f>
        <v>45425</v>
      </c>
      <c r="B61" s="6" t="str">
        <f>IFERROR(__xludf.DUMMYFUNCTION("""COMPUTED_VALUE"""),"Home Goods")</f>
        <v>Home Goods</v>
      </c>
      <c r="C61" s="7">
        <f>IFERROR(__xludf.DUMMYFUNCTION("""COMPUTED_VALUE"""),5500.0)</f>
        <v>5500</v>
      </c>
      <c r="D61" s="6" t="str">
        <f>IFERROR(__xludf.DUMMYFUNCTION("""COMPUTED_VALUE"""),"Home Goods &amp; Utilities")</f>
        <v>Home Goods &amp; Utilities</v>
      </c>
      <c r="E61" s="6" t="str">
        <f>IFERROR(__xludf.DUMMYFUNCTION("""COMPUTED_VALUE"""),"Virtual Wallet")</f>
        <v>Virtual Wallet</v>
      </c>
      <c r="F61" s="6" t="s">
        <v>8</v>
      </c>
      <c r="G61" s="8" t="str">
        <f t="shared" si="1"/>
        <v>202405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4"/>
      <c r="DN61" s="4"/>
      <c r="DO61" s="4"/>
      <c r="DP61" s="4"/>
      <c r="DQ61" s="4"/>
      <c r="DR61" s="4"/>
      <c r="DS61" s="4"/>
    </row>
    <row r="62">
      <c r="A62" s="5">
        <f>IFERROR(__xludf.DUMMYFUNCTION("""COMPUTED_VALUE"""),45425.0)</f>
        <v>45425</v>
      </c>
      <c r="B62" s="6" t="str">
        <f>IFERROR(__xludf.DUMMYFUNCTION("""COMPUTED_VALUE"""),"Personal Care")</f>
        <v>Personal Care</v>
      </c>
      <c r="C62" s="7">
        <f>IFERROR(__xludf.DUMMYFUNCTION("""COMPUTED_VALUE"""),18175.0)</f>
        <v>18175</v>
      </c>
      <c r="D62" s="6" t="str">
        <f>IFERROR(__xludf.DUMMYFUNCTION("""COMPUTED_VALUE"""),"Personal Care")</f>
        <v>Personal Care</v>
      </c>
      <c r="E62" s="6" t="str">
        <f>IFERROR(__xludf.DUMMYFUNCTION("""COMPUTED_VALUE"""),"Split Payment")</f>
        <v>Split Payment</v>
      </c>
      <c r="F62" s="6" t="s">
        <v>16</v>
      </c>
      <c r="G62" s="8" t="str">
        <f t="shared" si="1"/>
        <v>202405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</row>
    <row r="63">
      <c r="A63" s="5">
        <f>IFERROR(__xludf.DUMMYFUNCTION("""COMPUTED_VALUE"""),45426.0)</f>
        <v>45426</v>
      </c>
      <c r="B63" s="6" t="str">
        <f>IFERROR(__xludf.DUMMYFUNCTION("""COMPUTED_VALUE"""),"Groceries")</f>
        <v>Groceries</v>
      </c>
      <c r="C63" s="7">
        <f>IFERROR(__xludf.DUMMYFUNCTION("""COMPUTED_VALUE"""),2040.0)</f>
        <v>2040</v>
      </c>
      <c r="D63" s="6" t="str">
        <f>IFERROR(__xludf.DUMMYFUNCTION("""COMPUTED_VALUE"""),"Groceries")</f>
        <v>Groceries</v>
      </c>
      <c r="E63" s="6" t="str">
        <f>IFERROR(__xludf.DUMMYFUNCTION("""COMPUTED_VALUE"""),"Split Payment")</f>
        <v>Split Payment</v>
      </c>
      <c r="F63" s="6" t="s">
        <v>7</v>
      </c>
      <c r="G63" s="8" t="str">
        <f t="shared" si="1"/>
        <v>202405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4"/>
      <c r="DR63" s="4"/>
      <c r="DS63" s="4"/>
    </row>
    <row r="64">
      <c r="A64" s="5">
        <f>IFERROR(__xludf.DUMMYFUNCTION("""COMPUTED_VALUE"""),45426.0)</f>
        <v>45426</v>
      </c>
      <c r="B64" s="6" t="str">
        <f>IFERROR(__xludf.DUMMYFUNCTION("""COMPUTED_VALUE"""),"Groceries")</f>
        <v>Groceries</v>
      </c>
      <c r="C64" s="7">
        <f>IFERROR(__xludf.DUMMYFUNCTION("""COMPUTED_VALUE"""),1600.0)</f>
        <v>1600</v>
      </c>
      <c r="D64" s="6" t="str">
        <f>IFERROR(__xludf.DUMMYFUNCTION("""COMPUTED_VALUE"""),"Groceries")</f>
        <v>Groceries</v>
      </c>
      <c r="E64" s="6" t="str">
        <f>IFERROR(__xludf.DUMMYFUNCTION("""COMPUTED_VALUE"""),"Split Payment")</f>
        <v>Split Payment</v>
      </c>
      <c r="F64" s="6" t="s">
        <v>7</v>
      </c>
      <c r="G64" s="8" t="str">
        <f t="shared" si="1"/>
        <v>202405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</row>
    <row r="65">
      <c r="A65" s="5">
        <f>IFERROR(__xludf.DUMMYFUNCTION("""COMPUTED_VALUE"""),45427.0)</f>
        <v>45427</v>
      </c>
      <c r="B65" s="6" t="str">
        <f>IFERROR(__xludf.DUMMYFUNCTION("""COMPUTED_VALUE"""),"Groceries")</f>
        <v>Groceries</v>
      </c>
      <c r="C65" s="7">
        <f>IFERROR(__xludf.DUMMYFUNCTION("""COMPUTED_VALUE"""),3314.0)</f>
        <v>3314</v>
      </c>
      <c r="D65" s="6" t="str">
        <f>IFERROR(__xludf.DUMMYFUNCTION("""COMPUTED_VALUE"""),"Personal Care")</f>
        <v>Personal Care</v>
      </c>
      <c r="E65" s="6" t="str">
        <f>IFERROR(__xludf.DUMMYFUNCTION("""COMPUTED_VALUE"""),"Debit Card")</f>
        <v>Debit Card</v>
      </c>
      <c r="F65" s="6" t="s">
        <v>16</v>
      </c>
      <c r="G65" s="8" t="str">
        <f t="shared" si="1"/>
        <v>202405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</row>
    <row r="66">
      <c r="A66" s="5">
        <f>IFERROR(__xludf.DUMMYFUNCTION("""COMPUTED_VALUE"""),45427.0)</f>
        <v>45427</v>
      </c>
      <c r="B66" s="6" t="str">
        <f>IFERROR(__xludf.DUMMYFUNCTION("""COMPUTED_VALUE"""),"Home Goods")</f>
        <v>Home Goods</v>
      </c>
      <c r="C66" s="7">
        <f>IFERROR(__xludf.DUMMYFUNCTION("""COMPUTED_VALUE"""),1470.0)</f>
        <v>1470</v>
      </c>
      <c r="D66" s="6" t="str">
        <f>IFERROR(__xludf.DUMMYFUNCTION("""COMPUTED_VALUE"""),"Home Goods &amp; Utilities")</f>
        <v>Home Goods &amp; Utilities</v>
      </c>
      <c r="E66" s="6" t="str">
        <f>IFERROR(__xludf.DUMMYFUNCTION("""COMPUTED_VALUE"""),"Debit Card")</f>
        <v>Debit Card</v>
      </c>
      <c r="F66" s="6" t="s">
        <v>8</v>
      </c>
      <c r="G66" s="8" t="str">
        <f t="shared" si="1"/>
        <v>202405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</row>
    <row r="67">
      <c r="A67" s="5">
        <f>IFERROR(__xludf.DUMMYFUNCTION("""COMPUTED_VALUE"""),45427.0)</f>
        <v>45427</v>
      </c>
      <c r="B67" s="6" t="str">
        <f>IFERROR(__xludf.DUMMYFUNCTION("""COMPUTED_VALUE"""),"Personal Care")</f>
        <v>Personal Care</v>
      </c>
      <c r="C67" s="7">
        <f>IFERROR(__xludf.DUMMYFUNCTION("""COMPUTED_VALUE"""),3500.0)</f>
        <v>3500</v>
      </c>
      <c r="D67" s="6" t="str">
        <f>IFERROR(__xludf.DUMMYFUNCTION("""COMPUTED_VALUE"""),"Personal Care")</f>
        <v>Personal Care</v>
      </c>
      <c r="E67" s="6" t="str">
        <f>IFERROR(__xludf.DUMMYFUNCTION("""COMPUTED_VALUE"""),"Credit Card")</f>
        <v>Credit Card</v>
      </c>
      <c r="F67" s="6" t="s">
        <v>16</v>
      </c>
      <c r="G67" s="8" t="str">
        <f t="shared" si="1"/>
        <v>202405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</row>
    <row r="68">
      <c r="A68" s="5">
        <f>IFERROR(__xludf.DUMMYFUNCTION("""COMPUTED_VALUE"""),45427.0)</f>
        <v>45427</v>
      </c>
      <c r="B68" s="6" t="str">
        <f>IFERROR(__xludf.DUMMYFUNCTION("""COMPUTED_VALUE"""),"Pets")</f>
        <v>Pets</v>
      </c>
      <c r="C68" s="7">
        <f>IFERROR(__xludf.DUMMYFUNCTION("""COMPUTED_VALUE"""),6750.0)</f>
        <v>6750</v>
      </c>
      <c r="D68" s="6" t="str">
        <f>IFERROR(__xludf.DUMMYFUNCTION("""COMPUTED_VALUE"""),"Pets")</f>
        <v>Pets</v>
      </c>
      <c r="E68" s="6" t="str">
        <f>IFERROR(__xludf.DUMMYFUNCTION("""COMPUTED_VALUE"""),"Debit Card")</f>
        <v>Debit Card</v>
      </c>
      <c r="F68" s="6" t="s">
        <v>7</v>
      </c>
      <c r="G68" s="8" t="str">
        <f t="shared" si="1"/>
        <v>202405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</row>
    <row r="69">
      <c r="A69" s="5">
        <f>IFERROR(__xludf.DUMMYFUNCTION("""COMPUTED_VALUE"""),45427.0)</f>
        <v>45427</v>
      </c>
      <c r="B69" s="6" t="str">
        <f>IFERROR(__xludf.DUMMYFUNCTION("""COMPUTED_VALUE"""),"Pharmacy")</f>
        <v>Pharmacy</v>
      </c>
      <c r="C69" s="7">
        <f>IFERROR(__xludf.DUMMYFUNCTION("""COMPUTED_VALUE"""),18783.0)</f>
        <v>18783</v>
      </c>
      <c r="D69" s="6" t="str">
        <f>IFERROR(__xludf.DUMMYFUNCTION("""COMPUTED_VALUE"""),"Personal Care")</f>
        <v>Personal Care</v>
      </c>
      <c r="E69" s="6" t="str">
        <f>IFERROR(__xludf.DUMMYFUNCTION("""COMPUTED_VALUE"""),"Credit Card")</f>
        <v>Credit Card</v>
      </c>
      <c r="F69" s="6" t="s">
        <v>16</v>
      </c>
      <c r="G69" s="8" t="str">
        <f t="shared" si="1"/>
        <v>202405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</row>
    <row r="70">
      <c r="A70" s="5">
        <f>IFERROR(__xludf.DUMMYFUNCTION("""COMPUTED_VALUE"""),45428.0)</f>
        <v>45428</v>
      </c>
      <c r="B70" s="6" t="str">
        <f>IFERROR(__xludf.DUMMYFUNCTION("""COMPUTED_VALUE"""),"Groceries")</f>
        <v>Groceries</v>
      </c>
      <c r="C70" s="7">
        <f>IFERROR(__xludf.DUMMYFUNCTION("""COMPUTED_VALUE"""),5500.0)</f>
        <v>5500</v>
      </c>
      <c r="D70" s="6" t="str">
        <f>IFERROR(__xludf.DUMMYFUNCTION("""COMPUTED_VALUE"""),"Pets")</f>
        <v>Pets</v>
      </c>
      <c r="E70" s="6" t="str">
        <f>IFERROR(__xludf.DUMMYFUNCTION("""COMPUTED_VALUE"""),"Virtual Wallet")</f>
        <v>Virtual Wallet</v>
      </c>
      <c r="F70" s="6" t="s">
        <v>7</v>
      </c>
      <c r="G70" s="8" t="str">
        <f t="shared" si="1"/>
        <v>202405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</row>
    <row r="71">
      <c r="A71" s="5">
        <f>IFERROR(__xludf.DUMMYFUNCTION("""COMPUTED_VALUE"""),45429.0)</f>
        <v>45429</v>
      </c>
      <c r="B71" s="6" t="str">
        <f>IFERROR(__xludf.DUMMYFUNCTION("""COMPUTED_VALUE"""),"Home Goods")</f>
        <v>Home Goods</v>
      </c>
      <c r="C71" s="7">
        <f>IFERROR(__xludf.DUMMYFUNCTION("""COMPUTED_VALUE"""),1100.0)</f>
        <v>1100</v>
      </c>
      <c r="D71" s="6" t="str">
        <f>IFERROR(__xludf.DUMMYFUNCTION("""COMPUTED_VALUE"""),"Home Goods &amp; Utilities")</f>
        <v>Home Goods &amp; Utilities</v>
      </c>
      <c r="E71" s="6" t="str">
        <f>IFERROR(__xludf.DUMMYFUNCTION("""COMPUTED_VALUE"""),"Virtual Wallet")</f>
        <v>Virtual Wallet</v>
      </c>
      <c r="F71" s="6" t="s">
        <v>8</v>
      </c>
      <c r="G71" s="8" t="str">
        <f t="shared" si="1"/>
        <v>202405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</row>
    <row r="72">
      <c r="A72" s="5">
        <f>IFERROR(__xludf.DUMMYFUNCTION("""COMPUTED_VALUE"""),45429.0)</f>
        <v>45429</v>
      </c>
      <c r="B72" s="6" t="str">
        <f>IFERROR(__xludf.DUMMYFUNCTION("""COMPUTED_VALUE"""),"Home Goods")</f>
        <v>Home Goods</v>
      </c>
      <c r="C72" s="7">
        <f>IFERROR(__xludf.DUMMYFUNCTION("""COMPUTED_VALUE"""),4800.0)</f>
        <v>4800</v>
      </c>
      <c r="D72" s="6" t="str">
        <f>IFERROR(__xludf.DUMMYFUNCTION("""COMPUTED_VALUE"""),"Home Goods &amp; Utilities")</f>
        <v>Home Goods &amp; Utilities</v>
      </c>
      <c r="E72" s="6" t="str">
        <f>IFERROR(__xludf.DUMMYFUNCTION("""COMPUTED_VALUE"""),"Virtual Wallet")</f>
        <v>Virtual Wallet</v>
      </c>
      <c r="F72" s="6" t="s">
        <v>8</v>
      </c>
      <c r="G72" s="8" t="str">
        <f t="shared" si="1"/>
        <v>202405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</row>
    <row r="73">
      <c r="A73" s="5">
        <f>IFERROR(__xludf.DUMMYFUNCTION("""COMPUTED_VALUE"""),45429.0)</f>
        <v>45429</v>
      </c>
      <c r="B73" s="6" t="str">
        <f>IFERROR(__xludf.DUMMYFUNCTION("""COMPUTED_VALUE"""),"Restaurant")</f>
        <v>Restaurant</v>
      </c>
      <c r="C73" s="7">
        <f>IFERROR(__xludf.DUMMYFUNCTION("""COMPUTED_VALUE"""),7500.0)</f>
        <v>7500</v>
      </c>
      <c r="D73" s="6" t="str">
        <f>IFERROR(__xludf.DUMMYFUNCTION("""COMPUTED_VALUE"""),"Restaurant / Café")</f>
        <v>Restaurant / Café</v>
      </c>
      <c r="E73" s="6" t="str">
        <f>IFERROR(__xludf.DUMMYFUNCTION("""COMPUTED_VALUE"""),"Virtual Wallet")</f>
        <v>Virtual Wallet</v>
      </c>
      <c r="F73" s="6" t="s">
        <v>14</v>
      </c>
      <c r="G73" s="8" t="str">
        <f t="shared" si="1"/>
        <v>202405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</row>
    <row r="74">
      <c r="A74" s="5">
        <f>IFERROR(__xludf.DUMMYFUNCTION("""COMPUTED_VALUE"""),45429.0)</f>
        <v>45429</v>
      </c>
      <c r="B74" s="6" t="str">
        <f>IFERROR(__xludf.DUMMYFUNCTION("""COMPUTED_VALUE"""),"Restaurant")</f>
        <v>Restaurant</v>
      </c>
      <c r="C74" s="7">
        <f>IFERROR(__xludf.DUMMYFUNCTION("""COMPUTED_VALUE"""),7500.0)</f>
        <v>7500</v>
      </c>
      <c r="D74" s="6" t="str">
        <f>IFERROR(__xludf.DUMMYFUNCTION("""COMPUTED_VALUE"""),"Restaurant / Café")</f>
        <v>Restaurant / Café</v>
      </c>
      <c r="E74" s="6" t="str">
        <f>IFERROR(__xludf.DUMMYFUNCTION("""COMPUTED_VALUE"""),"Virtual Wallet")</f>
        <v>Virtual Wallet</v>
      </c>
      <c r="F74" s="6" t="s">
        <v>14</v>
      </c>
      <c r="G74" s="8" t="str">
        <f t="shared" si="1"/>
        <v>202405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  <c r="DL74" s="4"/>
      <c r="DM74" s="4"/>
      <c r="DN74" s="4"/>
      <c r="DO74" s="4"/>
      <c r="DP74" s="4"/>
      <c r="DQ74" s="4"/>
      <c r="DR74" s="4"/>
      <c r="DS74" s="4"/>
    </row>
    <row r="75">
      <c r="A75" s="5">
        <f>IFERROR(__xludf.DUMMYFUNCTION("""COMPUTED_VALUE"""),45429.0)</f>
        <v>45429</v>
      </c>
      <c r="B75" s="6" t="str">
        <f>IFERROR(__xludf.DUMMYFUNCTION("""COMPUTED_VALUE"""),"Sports")</f>
        <v>Sports</v>
      </c>
      <c r="C75" s="7">
        <f>IFERROR(__xludf.DUMMYFUNCTION("""COMPUTED_VALUE"""),21990.0)</f>
        <v>21990</v>
      </c>
      <c r="D75" s="6" t="str">
        <f>IFERROR(__xludf.DUMMYFUNCTION("""COMPUTED_VALUE"""),"Sports")</f>
        <v>Sports</v>
      </c>
      <c r="E75" s="6" t="str">
        <f>IFERROR(__xludf.DUMMYFUNCTION("""COMPUTED_VALUE"""),"Credit Card")</f>
        <v>Credit Card</v>
      </c>
      <c r="F75" s="6" t="s">
        <v>12</v>
      </c>
      <c r="G75" s="8" t="str">
        <f t="shared" si="1"/>
        <v>202405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  <c r="DL75" s="4"/>
      <c r="DM75" s="4"/>
      <c r="DN75" s="4"/>
      <c r="DO75" s="4"/>
      <c r="DP75" s="4"/>
      <c r="DQ75" s="4"/>
      <c r="DR75" s="4"/>
      <c r="DS75" s="4"/>
    </row>
    <row r="76">
      <c r="A76" s="5">
        <f>IFERROR(__xludf.DUMMYFUNCTION("""COMPUTED_VALUE"""),45430.0)</f>
        <v>45430</v>
      </c>
      <c r="B76" s="6" t="str">
        <f>IFERROR(__xludf.DUMMYFUNCTION("""COMPUTED_VALUE"""),"Groceries")</f>
        <v>Groceries</v>
      </c>
      <c r="C76" s="7">
        <f>IFERROR(__xludf.DUMMYFUNCTION("""COMPUTED_VALUE"""),10545.0)</f>
        <v>10545</v>
      </c>
      <c r="D76" s="6" t="str">
        <f>IFERROR(__xludf.DUMMYFUNCTION("""COMPUTED_VALUE"""),"Groceries")</f>
        <v>Groceries</v>
      </c>
      <c r="E76" s="6" t="str">
        <f>IFERROR(__xludf.DUMMYFUNCTION("""COMPUTED_VALUE"""),"Split Payment")</f>
        <v>Split Payment</v>
      </c>
      <c r="F76" s="6" t="s">
        <v>7</v>
      </c>
      <c r="G76" s="8" t="str">
        <f t="shared" si="1"/>
        <v>202405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4"/>
    </row>
    <row r="77">
      <c r="A77" s="5">
        <f>IFERROR(__xludf.DUMMYFUNCTION("""COMPUTED_VALUE"""),45430.0)</f>
        <v>45430</v>
      </c>
      <c r="B77" s="6" t="str">
        <f>IFERROR(__xludf.DUMMYFUNCTION("""COMPUTED_VALUE"""),"Home Maintenance")</f>
        <v>Home Maintenance</v>
      </c>
      <c r="C77" s="7">
        <f>IFERROR(__xludf.DUMMYFUNCTION("""COMPUTED_VALUE"""),60000.0)</f>
        <v>60000</v>
      </c>
      <c r="D77" s="6" t="str">
        <f>IFERROR(__xludf.DUMMYFUNCTION("""COMPUTED_VALUE"""),"Home Goods &amp; Utilities")</f>
        <v>Home Goods &amp; Utilities</v>
      </c>
      <c r="E77" s="6" t="str">
        <f>IFERROR(__xludf.DUMMYFUNCTION("""COMPUTED_VALUE"""),"Bank Transfer")</f>
        <v>Bank Transfer</v>
      </c>
      <c r="F77" s="6" t="s">
        <v>8</v>
      </c>
      <c r="G77" s="8" t="str">
        <f t="shared" si="1"/>
        <v>202405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  <c r="DL77" s="4"/>
      <c r="DM77" s="4"/>
      <c r="DN77" s="4"/>
      <c r="DO77" s="4"/>
      <c r="DP77" s="4"/>
      <c r="DQ77" s="4"/>
      <c r="DR77" s="4"/>
      <c r="DS77" s="4"/>
    </row>
    <row r="78">
      <c r="A78" s="5">
        <f>IFERROR(__xludf.DUMMYFUNCTION("""COMPUTED_VALUE"""),45430.0)</f>
        <v>45430</v>
      </c>
      <c r="B78" s="6" t="str">
        <f>IFERROR(__xludf.DUMMYFUNCTION("""COMPUTED_VALUE"""),"Restaurant")</f>
        <v>Restaurant</v>
      </c>
      <c r="C78" s="7">
        <f>IFERROR(__xludf.DUMMYFUNCTION("""COMPUTED_VALUE"""),5519.0)</f>
        <v>5519</v>
      </c>
      <c r="D78" s="6" t="str">
        <f>IFERROR(__xludf.DUMMYFUNCTION("""COMPUTED_VALUE"""),"Restaurant / Café")</f>
        <v>Restaurant / Café</v>
      </c>
      <c r="E78" s="6" t="str">
        <f>IFERROR(__xludf.DUMMYFUNCTION("""COMPUTED_VALUE"""),"Virtual Wallet")</f>
        <v>Virtual Wallet</v>
      </c>
      <c r="F78" s="6" t="s">
        <v>14</v>
      </c>
      <c r="G78" s="8" t="str">
        <f t="shared" si="1"/>
        <v>202405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  <c r="DE78" s="4"/>
      <c r="DF78" s="4"/>
      <c r="DG78" s="4"/>
      <c r="DH78" s="4"/>
      <c r="DI78" s="4"/>
      <c r="DJ78" s="4"/>
      <c r="DK78" s="4"/>
      <c r="DL78" s="4"/>
      <c r="DM78" s="4"/>
      <c r="DN78" s="4"/>
      <c r="DO78" s="4"/>
      <c r="DP78" s="4"/>
      <c r="DQ78" s="4"/>
      <c r="DR78" s="4"/>
      <c r="DS78" s="4"/>
    </row>
    <row r="79">
      <c r="A79" s="5">
        <f>IFERROR(__xludf.DUMMYFUNCTION("""COMPUTED_VALUE"""),45431.0)</f>
        <v>45431</v>
      </c>
      <c r="B79" s="6" t="str">
        <f>IFERROR(__xludf.DUMMYFUNCTION("""COMPUTED_VALUE"""),"Groceries")</f>
        <v>Groceries</v>
      </c>
      <c r="C79" s="7">
        <f>IFERROR(__xludf.DUMMYFUNCTION("""COMPUTED_VALUE"""),21593.0)</f>
        <v>21593</v>
      </c>
      <c r="D79" s="6" t="str">
        <f>IFERROR(__xludf.DUMMYFUNCTION("""COMPUTED_VALUE"""),"Groceries")</f>
        <v>Groceries</v>
      </c>
      <c r="E79" s="6" t="str">
        <f>IFERROR(__xludf.DUMMYFUNCTION("""COMPUTED_VALUE"""),"Virtual Wallet")</f>
        <v>Virtual Wallet</v>
      </c>
      <c r="F79" s="6" t="s">
        <v>7</v>
      </c>
      <c r="G79" s="8" t="str">
        <f t="shared" si="1"/>
        <v>202405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/>
      <c r="DK79" s="4"/>
      <c r="DL79" s="4"/>
      <c r="DM79" s="4"/>
      <c r="DN79" s="4"/>
      <c r="DO79" s="4"/>
      <c r="DP79" s="4"/>
      <c r="DQ79" s="4"/>
      <c r="DR79" s="4"/>
      <c r="DS79" s="4"/>
    </row>
    <row r="80">
      <c r="A80" s="5">
        <f>IFERROR(__xludf.DUMMYFUNCTION("""COMPUTED_VALUE"""),45431.0)</f>
        <v>45431</v>
      </c>
      <c r="B80" s="6" t="str">
        <f>IFERROR(__xludf.DUMMYFUNCTION("""COMPUTED_VALUE"""),"Groceries")</f>
        <v>Groceries</v>
      </c>
      <c r="C80" s="7">
        <f>IFERROR(__xludf.DUMMYFUNCTION("""COMPUTED_VALUE"""),3465.0)</f>
        <v>3465</v>
      </c>
      <c r="D80" s="6" t="str">
        <f>IFERROR(__xludf.DUMMYFUNCTION("""COMPUTED_VALUE"""),"Groceries")</f>
        <v>Groceries</v>
      </c>
      <c r="E80" s="6" t="str">
        <f>IFERROR(__xludf.DUMMYFUNCTION("""COMPUTED_VALUE"""),"Split Payment")</f>
        <v>Split Payment</v>
      </c>
      <c r="F80" s="6" t="s">
        <v>7</v>
      </c>
      <c r="G80" s="8" t="str">
        <f t="shared" si="1"/>
        <v>202405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  <c r="DE80" s="4"/>
      <c r="DF80" s="4"/>
      <c r="DG80" s="4"/>
      <c r="DH80" s="4"/>
      <c r="DI80" s="4"/>
      <c r="DJ80" s="4"/>
      <c r="DK80" s="4"/>
      <c r="DL80" s="4"/>
      <c r="DM80" s="4"/>
      <c r="DN80" s="4"/>
      <c r="DO80" s="4"/>
      <c r="DP80" s="4"/>
      <c r="DQ80" s="4"/>
      <c r="DR80" s="4"/>
      <c r="DS80" s="4"/>
    </row>
    <row r="81">
      <c r="A81" s="5">
        <f>IFERROR(__xludf.DUMMYFUNCTION("""COMPUTED_VALUE"""),45431.0)</f>
        <v>45431</v>
      </c>
      <c r="B81" s="6" t="str">
        <f>IFERROR(__xludf.DUMMYFUNCTION("""COMPUTED_VALUE"""),"Streaming Services")</f>
        <v>Streaming Services</v>
      </c>
      <c r="C81" s="7">
        <f>IFERROR(__xludf.DUMMYFUNCTION("""COMPUTED_VALUE"""),4000.0)</f>
        <v>4000</v>
      </c>
      <c r="D81" s="6" t="str">
        <f>IFERROR(__xludf.DUMMYFUNCTION("""COMPUTED_VALUE"""),"Basic Services")</f>
        <v>Basic Services</v>
      </c>
      <c r="E81" s="6" t="str">
        <f>IFERROR(__xludf.DUMMYFUNCTION("""COMPUTED_VALUE"""),"Credit Card")</f>
        <v>Credit Card</v>
      </c>
      <c r="F81" s="6" t="s">
        <v>13</v>
      </c>
      <c r="G81" s="8" t="str">
        <f t="shared" si="1"/>
        <v>202405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  <c r="DM81" s="4"/>
      <c r="DN81" s="4"/>
      <c r="DO81" s="4"/>
      <c r="DP81" s="4"/>
      <c r="DQ81" s="4"/>
      <c r="DR81" s="4"/>
      <c r="DS81" s="4"/>
    </row>
    <row r="82">
      <c r="A82" s="5">
        <f>IFERROR(__xludf.DUMMYFUNCTION("""COMPUTED_VALUE"""),45432.0)</f>
        <v>45432</v>
      </c>
      <c r="B82" s="6" t="str">
        <f>IFERROR(__xludf.DUMMYFUNCTION("""COMPUTED_VALUE"""),"Donation")</f>
        <v>Donation</v>
      </c>
      <c r="C82" s="7">
        <f>IFERROR(__xludf.DUMMYFUNCTION("""COMPUTED_VALUE"""),2000.0)</f>
        <v>2000</v>
      </c>
      <c r="D82" s="6" t="str">
        <f>IFERROR(__xludf.DUMMYFUNCTION("""COMPUTED_VALUE"""),"Donation")</f>
        <v>Donation</v>
      </c>
      <c r="E82" s="6" t="str">
        <f>IFERROR(__xludf.DUMMYFUNCTION("""COMPUTED_VALUE"""),"Virtual Wallet")</f>
        <v>Virtual Wallet</v>
      </c>
      <c r="F82" s="6"/>
      <c r="G82" s="8" t="str">
        <f t="shared" si="1"/>
        <v>202405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  <c r="DL82" s="4"/>
      <c r="DM82" s="4"/>
      <c r="DN82" s="4"/>
      <c r="DO82" s="4"/>
      <c r="DP82" s="4"/>
      <c r="DQ82" s="4"/>
      <c r="DR82" s="4"/>
      <c r="DS82" s="4"/>
    </row>
    <row r="83">
      <c r="A83" s="5">
        <f>IFERROR(__xludf.DUMMYFUNCTION("""COMPUTED_VALUE"""),45432.0)</f>
        <v>45432</v>
      </c>
      <c r="B83" s="6" t="str">
        <f>IFERROR(__xludf.DUMMYFUNCTION("""COMPUTED_VALUE"""),"Home Goods")</f>
        <v>Home Goods</v>
      </c>
      <c r="C83" s="7">
        <f>IFERROR(__xludf.DUMMYFUNCTION("""COMPUTED_VALUE"""),2100.0)</f>
        <v>2100</v>
      </c>
      <c r="D83" s="6" t="str">
        <f>IFERROR(__xludf.DUMMYFUNCTION("""COMPUTED_VALUE"""),"Home Goods &amp; Utilities")</f>
        <v>Home Goods &amp; Utilities</v>
      </c>
      <c r="E83" s="6" t="str">
        <f>IFERROR(__xludf.DUMMYFUNCTION("""COMPUTED_VALUE"""),"Virtual Wallet")</f>
        <v>Virtual Wallet</v>
      </c>
      <c r="F83" s="6" t="s">
        <v>8</v>
      </c>
      <c r="G83" s="8" t="str">
        <f t="shared" si="1"/>
        <v>202405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  <c r="DL83" s="4"/>
      <c r="DM83" s="4"/>
      <c r="DN83" s="4"/>
      <c r="DO83" s="4"/>
      <c r="DP83" s="4"/>
      <c r="DQ83" s="4"/>
      <c r="DR83" s="4"/>
      <c r="DS83" s="4"/>
    </row>
    <row r="84">
      <c r="A84" s="5">
        <f>IFERROR(__xludf.DUMMYFUNCTION("""COMPUTED_VALUE"""),45432.0)</f>
        <v>45432</v>
      </c>
      <c r="B84" s="6" t="str">
        <f>IFERROR(__xludf.DUMMYFUNCTION("""COMPUTED_VALUE"""),"Recreation")</f>
        <v>Recreation</v>
      </c>
      <c r="C84" s="7">
        <f>IFERROR(__xludf.DUMMYFUNCTION("""COMPUTED_VALUE"""),9350.0)</f>
        <v>9350</v>
      </c>
      <c r="D84" s="6" t="str">
        <f>IFERROR(__xludf.DUMMYFUNCTION("""COMPUTED_VALUE"""),"Recreation")</f>
        <v>Recreation</v>
      </c>
      <c r="E84" s="6" t="str">
        <f>IFERROR(__xludf.DUMMYFUNCTION("""COMPUTED_VALUE"""),"Virtual Wallet")</f>
        <v>Virtual Wallet</v>
      </c>
      <c r="F84" s="6" t="s">
        <v>12</v>
      </c>
      <c r="G84" s="8" t="str">
        <f t="shared" si="1"/>
        <v>202405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4"/>
    </row>
    <row r="85">
      <c r="A85" s="5">
        <f>IFERROR(__xludf.DUMMYFUNCTION("""COMPUTED_VALUE"""),45434.0)</f>
        <v>45434</v>
      </c>
      <c r="B85" s="6" t="str">
        <f>IFERROR(__xludf.DUMMYFUNCTION("""COMPUTED_VALUE"""),"Groceries")</f>
        <v>Groceries</v>
      </c>
      <c r="C85" s="7">
        <f>IFERROR(__xludf.DUMMYFUNCTION("""COMPUTED_VALUE"""),12981.0)</f>
        <v>12981</v>
      </c>
      <c r="D85" s="6" t="str">
        <f>IFERROR(__xludf.DUMMYFUNCTION("""COMPUTED_VALUE"""),"Groceries")</f>
        <v>Groceries</v>
      </c>
      <c r="E85" s="6" t="str">
        <f>IFERROR(__xludf.DUMMYFUNCTION("""COMPUTED_VALUE"""),"Virtual Wallet")</f>
        <v>Virtual Wallet</v>
      </c>
      <c r="F85" s="6" t="s">
        <v>7</v>
      </c>
      <c r="G85" s="8" t="str">
        <f t="shared" si="1"/>
        <v>202405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4"/>
    </row>
    <row r="86">
      <c r="A86" s="5">
        <f>IFERROR(__xludf.DUMMYFUNCTION("""COMPUTED_VALUE"""),45434.0)</f>
        <v>45434</v>
      </c>
      <c r="B86" s="6" t="str">
        <f>IFERROR(__xludf.DUMMYFUNCTION("""COMPUTED_VALUE"""),"Mobile Plan")</f>
        <v>Mobile Plan</v>
      </c>
      <c r="C86" s="7">
        <f>IFERROR(__xludf.DUMMYFUNCTION("""COMPUTED_VALUE"""),6000.0)</f>
        <v>6000</v>
      </c>
      <c r="D86" s="6" t="str">
        <f>IFERROR(__xludf.DUMMYFUNCTION("""COMPUTED_VALUE"""),"Basic Services")</f>
        <v>Basic Services</v>
      </c>
      <c r="E86" s="6" t="str">
        <f>IFERROR(__xludf.DUMMYFUNCTION("""COMPUTED_VALUE"""),"Debit Card")</f>
        <v>Debit Card</v>
      </c>
      <c r="F86" s="6" t="s">
        <v>13</v>
      </c>
      <c r="G86" s="8" t="str">
        <f t="shared" si="1"/>
        <v>202405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  <c r="DL86" s="4"/>
      <c r="DM86" s="4"/>
      <c r="DN86" s="4"/>
      <c r="DO86" s="4"/>
      <c r="DP86" s="4"/>
      <c r="DQ86" s="4"/>
      <c r="DR86" s="4"/>
      <c r="DS86" s="4"/>
    </row>
    <row r="87">
      <c r="A87" s="5">
        <f>IFERROR(__xludf.DUMMYFUNCTION("""COMPUTED_VALUE"""),45436.0)</f>
        <v>45436</v>
      </c>
      <c r="B87" s="6" t="str">
        <f>IFERROR(__xludf.DUMMYFUNCTION("""COMPUTED_VALUE"""),"Gift")</f>
        <v>Gift</v>
      </c>
      <c r="C87" s="7">
        <f>IFERROR(__xludf.DUMMYFUNCTION("""COMPUTED_VALUE"""),6800.0)</f>
        <v>6800</v>
      </c>
      <c r="D87" s="6" t="str">
        <f>IFERROR(__xludf.DUMMYFUNCTION("""COMPUTED_VALUE"""),"Gifts")</f>
        <v>Gifts</v>
      </c>
      <c r="E87" s="6" t="str">
        <f>IFERROR(__xludf.DUMMYFUNCTION("""COMPUTED_VALUE"""),"Debit Card")</f>
        <v>Debit Card</v>
      </c>
      <c r="F87" s="6"/>
      <c r="G87" s="8" t="str">
        <f t="shared" si="1"/>
        <v>202405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  <c r="DL87" s="4"/>
      <c r="DM87" s="4"/>
      <c r="DN87" s="4"/>
      <c r="DO87" s="4"/>
      <c r="DP87" s="4"/>
      <c r="DQ87" s="4"/>
      <c r="DR87" s="4"/>
      <c r="DS87" s="4"/>
    </row>
    <row r="88">
      <c r="A88" s="5">
        <f>IFERROR(__xludf.DUMMYFUNCTION("""COMPUTED_VALUE"""),45436.0)</f>
        <v>45436</v>
      </c>
      <c r="B88" s="6" t="str">
        <f>IFERROR(__xludf.DUMMYFUNCTION("""COMPUTED_VALUE"""),"Pharmacy")</f>
        <v>Pharmacy</v>
      </c>
      <c r="C88" s="7">
        <f>IFERROR(__xludf.DUMMYFUNCTION("""COMPUTED_VALUE"""),2633.0)</f>
        <v>2633</v>
      </c>
      <c r="D88" s="6" t="str">
        <f>IFERROR(__xludf.DUMMYFUNCTION("""COMPUTED_VALUE"""),"Healthcare")</f>
        <v>Healthcare</v>
      </c>
      <c r="E88" s="6" t="str">
        <f>IFERROR(__xludf.DUMMYFUNCTION("""COMPUTED_VALUE"""),"Bank Transfer")</f>
        <v>Bank Transfer</v>
      </c>
      <c r="F88" s="6" t="s">
        <v>15</v>
      </c>
      <c r="G88" s="8" t="str">
        <f t="shared" si="1"/>
        <v>202405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  <c r="DL88" s="4"/>
      <c r="DM88" s="4"/>
      <c r="DN88" s="4"/>
      <c r="DO88" s="4"/>
      <c r="DP88" s="4"/>
      <c r="DQ88" s="4"/>
      <c r="DR88" s="4"/>
      <c r="DS88" s="4"/>
    </row>
    <row r="89">
      <c r="A89" s="5">
        <f>IFERROR(__xludf.DUMMYFUNCTION("""COMPUTED_VALUE"""),45436.0)</f>
        <v>45436</v>
      </c>
      <c r="B89" s="6" t="str">
        <f>IFERROR(__xludf.DUMMYFUNCTION("""COMPUTED_VALUE"""),"Pharmacy")</f>
        <v>Pharmacy</v>
      </c>
      <c r="C89" s="7">
        <f>IFERROR(__xludf.DUMMYFUNCTION("""COMPUTED_VALUE"""),4400.0)</f>
        <v>4400</v>
      </c>
      <c r="D89" s="6" t="str">
        <f>IFERROR(__xludf.DUMMYFUNCTION("""COMPUTED_VALUE"""),"Healthcare")</f>
        <v>Healthcare</v>
      </c>
      <c r="E89" s="6" t="str">
        <f>IFERROR(__xludf.DUMMYFUNCTION("""COMPUTED_VALUE"""),"Bank Transfer")</f>
        <v>Bank Transfer</v>
      </c>
      <c r="F89" s="6" t="s">
        <v>15</v>
      </c>
      <c r="G89" s="8" t="str">
        <f t="shared" si="1"/>
        <v>202405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  <c r="DL89" s="4"/>
      <c r="DM89" s="4"/>
      <c r="DN89" s="4"/>
      <c r="DO89" s="4"/>
      <c r="DP89" s="4"/>
      <c r="DQ89" s="4"/>
      <c r="DR89" s="4"/>
      <c r="DS89" s="4"/>
    </row>
    <row r="90">
      <c r="A90" s="5">
        <f>IFERROR(__xludf.DUMMYFUNCTION("""COMPUTED_VALUE"""),45436.0)</f>
        <v>45436</v>
      </c>
      <c r="B90" s="6" t="str">
        <f>IFERROR(__xludf.DUMMYFUNCTION("""COMPUTED_VALUE"""),"Restaurant")</f>
        <v>Restaurant</v>
      </c>
      <c r="C90" s="7">
        <f>IFERROR(__xludf.DUMMYFUNCTION("""COMPUTED_VALUE"""),10000.0)</f>
        <v>10000</v>
      </c>
      <c r="D90" s="6" t="str">
        <f>IFERROR(__xludf.DUMMYFUNCTION("""COMPUTED_VALUE"""),"Restaurant / Café")</f>
        <v>Restaurant / Café</v>
      </c>
      <c r="E90" s="6" t="str">
        <f>IFERROR(__xludf.DUMMYFUNCTION("""COMPUTED_VALUE"""),"Bank Transfer")</f>
        <v>Bank Transfer</v>
      </c>
      <c r="F90" s="6" t="s">
        <v>14</v>
      </c>
      <c r="G90" s="8" t="str">
        <f t="shared" si="1"/>
        <v>202405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4"/>
      <c r="DR90" s="4"/>
      <c r="DS90" s="4"/>
    </row>
    <row r="91">
      <c r="A91" s="5">
        <f>IFERROR(__xludf.DUMMYFUNCTION("""COMPUTED_VALUE"""),45437.0)</f>
        <v>45437</v>
      </c>
      <c r="B91" s="6" t="str">
        <f>IFERROR(__xludf.DUMMYFUNCTION("""COMPUTED_VALUE"""),"Clothing")</f>
        <v>Clothing</v>
      </c>
      <c r="C91" s="7">
        <f>IFERROR(__xludf.DUMMYFUNCTION("""COMPUTED_VALUE"""),7500.0)</f>
        <v>7500</v>
      </c>
      <c r="D91" s="6" t="str">
        <f>IFERROR(__xludf.DUMMYFUNCTION("""COMPUTED_VALUE"""),"Clothing")</f>
        <v>Clothing</v>
      </c>
      <c r="E91" s="6" t="str">
        <f>IFERROR(__xludf.DUMMYFUNCTION("""COMPUTED_VALUE"""),"Virtual Wallet")</f>
        <v>Virtual Wallet</v>
      </c>
      <c r="F91" s="6" t="s">
        <v>10</v>
      </c>
      <c r="G91" s="8" t="str">
        <f t="shared" si="1"/>
        <v>202405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4"/>
      <c r="DP91" s="4"/>
      <c r="DQ91" s="4"/>
      <c r="DR91" s="4"/>
      <c r="DS91" s="4"/>
    </row>
    <row r="92">
      <c r="A92" s="5">
        <f>IFERROR(__xludf.DUMMYFUNCTION("""COMPUTED_VALUE"""),45437.0)</f>
        <v>45437</v>
      </c>
      <c r="B92" s="6" t="str">
        <f>IFERROR(__xludf.DUMMYFUNCTION("""COMPUTED_VALUE"""),"Clothing")</f>
        <v>Clothing</v>
      </c>
      <c r="C92" s="7">
        <f>IFERROR(__xludf.DUMMYFUNCTION("""COMPUTED_VALUE"""),25000.0)</f>
        <v>25000</v>
      </c>
      <c r="D92" s="6" t="str">
        <f>IFERROR(__xludf.DUMMYFUNCTION("""COMPUTED_VALUE"""),"Clothing")</f>
        <v>Clothing</v>
      </c>
      <c r="E92" s="6" t="str">
        <f>IFERROR(__xludf.DUMMYFUNCTION("""COMPUTED_VALUE"""),"Bank Transfer")</f>
        <v>Bank Transfer</v>
      </c>
      <c r="F92" s="6" t="s">
        <v>10</v>
      </c>
      <c r="G92" s="8" t="str">
        <f t="shared" si="1"/>
        <v>202405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  <c r="DG92" s="4"/>
      <c r="DH92" s="4"/>
      <c r="DI92" s="4"/>
      <c r="DJ92" s="4"/>
      <c r="DK92" s="4"/>
      <c r="DL92" s="4"/>
      <c r="DM92" s="4"/>
      <c r="DN92" s="4"/>
      <c r="DO92" s="4"/>
      <c r="DP92" s="4"/>
      <c r="DQ92" s="4"/>
      <c r="DR92" s="4"/>
      <c r="DS92" s="4"/>
    </row>
    <row r="93">
      <c r="A93" s="5">
        <f>IFERROR(__xludf.DUMMYFUNCTION("""COMPUTED_VALUE"""),45437.0)</f>
        <v>45437</v>
      </c>
      <c r="B93" s="6" t="str">
        <f>IFERROR(__xludf.DUMMYFUNCTION("""COMPUTED_VALUE"""),"Clothing")</f>
        <v>Clothing</v>
      </c>
      <c r="C93" s="7">
        <f>IFERROR(__xludf.DUMMYFUNCTION("""COMPUTED_VALUE"""),12000.0)</f>
        <v>12000</v>
      </c>
      <c r="D93" s="6" t="str">
        <f>IFERROR(__xludf.DUMMYFUNCTION("""COMPUTED_VALUE"""),"Clothing")</f>
        <v>Clothing</v>
      </c>
      <c r="E93" s="6" t="str">
        <f>IFERROR(__xludf.DUMMYFUNCTION("""COMPUTED_VALUE"""),"Bank Transfer")</f>
        <v>Bank Transfer</v>
      </c>
      <c r="F93" s="6" t="s">
        <v>10</v>
      </c>
      <c r="G93" s="8" t="str">
        <f t="shared" si="1"/>
        <v>202405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4"/>
      <c r="DP93" s="4"/>
      <c r="DQ93" s="4"/>
      <c r="DR93" s="4"/>
      <c r="DS93" s="4"/>
    </row>
    <row r="94">
      <c r="A94" s="5">
        <f>IFERROR(__xludf.DUMMYFUNCTION("""COMPUTED_VALUE"""),45437.0)</f>
        <v>45437</v>
      </c>
      <c r="B94" s="6" t="str">
        <f>IFERROR(__xludf.DUMMYFUNCTION("""COMPUTED_VALUE"""),"Clothing")</f>
        <v>Clothing</v>
      </c>
      <c r="C94" s="7">
        <f>IFERROR(__xludf.DUMMYFUNCTION("""COMPUTED_VALUE"""),10000.0)</f>
        <v>10000</v>
      </c>
      <c r="D94" s="6" t="str">
        <f>IFERROR(__xludf.DUMMYFUNCTION("""COMPUTED_VALUE"""),"Clothing")</f>
        <v>Clothing</v>
      </c>
      <c r="E94" s="6" t="str">
        <f>IFERROR(__xludf.DUMMYFUNCTION("""COMPUTED_VALUE"""),"Bank Transfer")</f>
        <v>Bank Transfer</v>
      </c>
      <c r="F94" s="6" t="s">
        <v>10</v>
      </c>
      <c r="G94" s="8" t="str">
        <f t="shared" si="1"/>
        <v>202405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  <c r="DG94" s="4"/>
      <c r="DH94" s="4"/>
      <c r="DI94" s="4"/>
      <c r="DJ94" s="4"/>
      <c r="DK94" s="4"/>
      <c r="DL94" s="4"/>
      <c r="DM94" s="4"/>
      <c r="DN94" s="4"/>
      <c r="DO94" s="4"/>
      <c r="DP94" s="4"/>
      <c r="DQ94" s="4"/>
      <c r="DR94" s="4"/>
      <c r="DS94" s="4"/>
    </row>
    <row r="95">
      <c r="A95" s="5">
        <f>IFERROR(__xludf.DUMMYFUNCTION("""COMPUTED_VALUE"""),45437.0)</f>
        <v>45437</v>
      </c>
      <c r="B95" s="6" t="str">
        <f>IFERROR(__xludf.DUMMYFUNCTION("""COMPUTED_VALUE"""),"Groceries")</f>
        <v>Groceries</v>
      </c>
      <c r="C95" s="7">
        <f>IFERROR(__xludf.DUMMYFUNCTION("""COMPUTED_VALUE"""),6490.0)</f>
        <v>6490</v>
      </c>
      <c r="D95" s="6" t="str">
        <f>IFERROR(__xludf.DUMMYFUNCTION("""COMPUTED_VALUE"""),"Groceries")</f>
        <v>Groceries</v>
      </c>
      <c r="E95" s="6" t="str">
        <f>IFERROR(__xludf.DUMMYFUNCTION("""COMPUTED_VALUE"""),"Split Payment")</f>
        <v>Split Payment</v>
      </c>
      <c r="F95" s="6" t="s">
        <v>7</v>
      </c>
      <c r="G95" s="8" t="str">
        <f t="shared" si="1"/>
        <v>202405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  <c r="DG95" s="4"/>
      <c r="DH95" s="4"/>
      <c r="DI95" s="4"/>
      <c r="DJ95" s="4"/>
      <c r="DK95" s="4"/>
      <c r="DL95" s="4"/>
      <c r="DM95" s="4"/>
      <c r="DN95" s="4"/>
      <c r="DO95" s="4"/>
      <c r="DP95" s="4"/>
      <c r="DQ95" s="4"/>
      <c r="DR95" s="4"/>
      <c r="DS95" s="4"/>
    </row>
    <row r="96">
      <c r="A96" s="5">
        <f>IFERROR(__xludf.DUMMYFUNCTION("""COMPUTED_VALUE"""),45437.0)</f>
        <v>45437</v>
      </c>
      <c r="B96" s="6" t="str">
        <f>IFERROR(__xludf.DUMMYFUNCTION("""COMPUTED_VALUE"""),"Home Goods")</f>
        <v>Home Goods</v>
      </c>
      <c r="C96" s="7">
        <f>IFERROR(__xludf.DUMMYFUNCTION("""COMPUTED_VALUE"""),5000.0)</f>
        <v>5000</v>
      </c>
      <c r="D96" s="6" t="str">
        <f>IFERROR(__xludf.DUMMYFUNCTION("""COMPUTED_VALUE"""),"Home Goods &amp; Utilities")</f>
        <v>Home Goods &amp; Utilities</v>
      </c>
      <c r="E96" s="6" t="str">
        <f>IFERROR(__xludf.DUMMYFUNCTION("""COMPUTED_VALUE"""),"Bank Transfer")</f>
        <v>Bank Transfer</v>
      </c>
      <c r="F96" s="6" t="s">
        <v>8</v>
      </c>
      <c r="G96" s="8" t="str">
        <f t="shared" si="1"/>
        <v>202405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  <c r="DG96" s="4"/>
      <c r="DH96" s="4"/>
      <c r="DI96" s="4"/>
      <c r="DJ96" s="4"/>
      <c r="DK96" s="4"/>
      <c r="DL96" s="4"/>
      <c r="DM96" s="4"/>
      <c r="DN96" s="4"/>
      <c r="DO96" s="4"/>
      <c r="DP96" s="4"/>
      <c r="DQ96" s="4"/>
      <c r="DR96" s="4"/>
      <c r="DS96" s="4"/>
    </row>
    <row r="97">
      <c r="A97" s="5">
        <f>IFERROR(__xludf.DUMMYFUNCTION("""COMPUTED_VALUE"""),45437.0)</f>
        <v>45437</v>
      </c>
      <c r="B97" s="6" t="str">
        <f>IFERROR(__xludf.DUMMYFUNCTION("""COMPUTED_VALUE"""),"Home Goods")</f>
        <v>Home Goods</v>
      </c>
      <c r="C97" s="7">
        <f>IFERROR(__xludf.DUMMYFUNCTION("""COMPUTED_VALUE"""),1600.0)</f>
        <v>1600</v>
      </c>
      <c r="D97" s="6" t="str">
        <f>IFERROR(__xludf.DUMMYFUNCTION("""COMPUTED_VALUE"""),"Home Goods &amp; Utilities")</f>
        <v>Home Goods &amp; Utilities</v>
      </c>
      <c r="E97" s="6" t="str">
        <f>IFERROR(__xludf.DUMMYFUNCTION("""COMPUTED_VALUE"""),"Virtual Wallet")</f>
        <v>Virtual Wallet</v>
      </c>
      <c r="F97" s="6" t="s">
        <v>8</v>
      </c>
      <c r="G97" s="8" t="str">
        <f t="shared" si="1"/>
        <v>202405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4"/>
      <c r="DN97" s="4"/>
      <c r="DO97" s="4"/>
      <c r="DP97" s="4"/>
      <c r="DQ97" s="4"/>
      <c r="DR97" s="4"/>
      <c r="DS97" s="4"/>
    </row>
    <row r="98">
      <c r="A98" s="5">
        <f>IFERROR(__xludf.DUMMYFUNCTION("""COMPUTED_VALUE"""),45437.0)</f>
        <v>45437</v>
      </c>
      <c r="B98" s="6" t="str">
        <f>IFERROR(__xludf.DUMMYFUNCTION("""COMPUTED_VALUE"""),"Lunch Out")</f>
        <v>Lunch Out</v>
      </c>
      <c r="C98" s="7">
        <f>IFERROR(__xludf.DUMMYFUNCTION("""COMPUTED_VALUE"""),2700.0)</f>
        <v>2700</v>
      </c>
      <c r="D98" s="6" t="str">
        <f>IFERROR(__xludf.DUMMYFUNCTION("""COMPUTED_VALUE"""),"Lunch Out")</f>
        <v>Lunch Out</v>
      </c>
      <c r="E98" s="6" t="str">
        <f>IFERROR(__xludf.DUMMYFUNCTION("""COMPUTED_VALUE"""),"Virtual Wallet")</f>
        <v>Virtual Wallet</v>
      </c>
      <c r="F98" s="6" t="s">
        <v>14</v>
      </c>
      <c r="G98" s="8" t="str">
        <f t="shared" si="1"/>
        <v>202405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  <c r="DE98" s="4"/>
      <c r="DF98" s="4"/>
      <c r="DG98" s="4"/>
      <c r="DH98" s="4"/>
      <c r="DI98" s="4"/>
      <c r="DJ98" s="4"/>
      <c r="DK98" s="4"/>
      <c r="DL98" s="4"/>
      <c r="DM98" s="4"/>
      <c r="DN98" s="4"/>
      <c r="DO98" s="4"/>
      <c r="DP98" s="4"/>
      <c r="DQ98" s="4"/>
      <c r="DR98" s="4"/>
      <c r="DS98" s="4"/>
    </row>
    <row r="99">
      <c r="A99" s="5">
        <f>IFERROR(__xludf.DUMMYFUNCTION("""COMPUTED_VALUE"""),45437.0)</f>
        <v>45437</v>
      </c>
      <c r="B99" s="6" t="str">
        <f>IFERROR(__xludf.DUMMYFUNCTION("""COMPUTED_VALUE"""),"Restaurant")</f>
        <v>Restaurant</v>
      </c>
      <c r="C99" s="7">
        <f>IFERROR(__xludf.DUMMYFUNCTION("""COMPUTED_VALUE"""),9800.0)</f>
        <v>9800</v>
      </c>
      <c r="D99" s="6" t="str">
        <f>IFERROR(__xludf.DUMMYFUNCTION("""COMPUTED_VALUE"""),"Restaurant / Café")</f>
        <v>Restaurant / Café</v>
      </c>
      <c r="E99" s="6" t="str">
        <f>IFERROR(__xludf.DUMMYFUNCTION("""COMPUTED_VALUE"""),"Virtual Wallet")</f>
        <v>Virtual Wallet</v>
      </c>
      <c r="F99" s="6" t="s">
        <v>14</v>
      </c>
      <c r="G99" s="8" t="str">
        <f t="shared" si="1"/>
        <v>202405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  <c r="DE99" s="4"/>
      <c r="DF99" s="4"/>
      <c r="DG99" s="4"/>
      <c r="DH99" s="4"/>
      <c r="DI99" s="4"/>
      <c r="DJ99" s="4"/>
      <c r="DK99" s="4"/>
      <c r="DL99" s="4"/>
      <c r="DM99" s="4"/>
      <c r="DN99" s="4"/>
      <c r="DO99" s="4"/>
      <c r="DP99" s="4"/>
      <c r="DQ99" s="4"/>
      <c r="DR99" s="4"/>
      <c r="DS99" s="4"/>
    </row>
    <row r="100">
      <c r="A100" s="5">
        <f>IFERROR(__xludf.DUMMYFUNCTION("""COMPUTED_VALUE"""),45437.0)</f>
        <v>45437</v>
      </c>
      <c r="B100" s="6" t="str">
        <f>IFERROR(__xludf.DUMMYFUNCTION("""COMPUTED_VALUE"""),"Cab/Uber")</f>
        <v>Cab/Uber</v>
      </c>
      <c r="C100" s="7">
        <f>IFERROR(__xludf.DUMMYFUNCTION("""COMPUTED_VALUE"""),3070.0)</f>
        <v>3070</v>
      </c>
      <c r="D100" s="6" t="str">
        <f>IFERROR(__xludf.DUMMYFUNCTION("""COMPUTED_VALUE"""),"Transportation")</f>
        <v>Transportation</v>
      </c>
      <c r="E100" s="6" t="str">
        <f>IFERROR(__xludf.DUMMYFUNCTION("""COMPUTED_VALUE"""),"Virtual Wallet")</f>
        <v>Virtual Wallet</v>
      </c>
      <c r="F100" s="6" t="s">
        <v>9</v>
      </c>
      <c r="G100" s="8" t="str">
        <f t="shared" si="1"/>
        <v>202405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  <c r="DE100" s="4"/>
      <c r="DF100" s="4"/>
      <c r="DG100" s="4"/>
      <c r="DH100" s="4"/>
      <c r="DI100" s="4"/>
      <c r="DJ100" s="4"/>
      <c r="DK100" s="4"/>
      <c r="DL100" s="4"/>
      <c r="DM100" s="4"/>
      <c r="DN100" s="4"/>
      <c r="DO100" s="4"/>
      <c r="DP100" s="4"/>
      <c r="DQ100" s="4"/>
      <c r="DR100" s="4"/>
      <c r="DS100" s="4"/>
    </row>
    <row r="101">
      <c r="A101" s="5">
        <f>IFERROR(__xludf.DUMMYFUNCTION("""COMPUTED_VALUE"""),45437.0)</f>
        <v>45437</v>
      </c>
      <c r="B101" s="6" t="str">
        <f>IFERROR(__xludf.DUMMYFUNCTION("""COMPUTED_VALUE"""),"Cab/Uber")</f>
        <v>Cab/Uber</v>
      </c>
      <c r="C101" s="7">
        <f>IFERROR(__xludf.DUMMYFUNCTION("""COMPUTED_VALUE"""),4200.0)</f>
        <v>4200</v>
      </c>
      <c r="D101" s="6" t="str">
        <f>IFERROR(__xludf.DUMMYFUNCTION("""COMPUTED_VALUE"""),"Transportation")</f>
        <v>Transportation</v>
      </c>
      <c r="E101" s="6" t="str">
        <f>IFERROR(__xludf.DUMMYFUNCTION("""COMPUTED_VALUE"""),"Virtual Wallet")</f>
        <v>Virtual Wallet</v>
      </c>
      <c r="F101" s="6" t="s">
        <v>9</v>
      </c>
      <c r="G101" s="8" t="str">
        <f t="shared" si="1"/>
        <v>202405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  <c r="DE101" s="4"/>
      <c r="DF101" s="4"/>
      <c r="DG101" s="4"/>
      <c r="DH101" s="4"/>
      <c r="DI101" s="4"/>
      <c r="DJ101" s="4"/>
      <c r="DK101" s="4"/>
      <c r="DL101" s="4"/>
      <c r="DM101" s="4"/>
      <c r="DN101" s="4"/>
      <c r="DO101" s="4"/>
      <c r="DP101" s="4"/>
      <c r="DQ101" s="4"/>
      <c r="DR101" s="4"/>
      <c r="DS101" s="4"/>
    </row>
    <row r="102">
      <c r="A102" s="5">
        <f>IFERROR(__xludf.DUMMYFUNCTION("""COMPUTED_VALUE"""),45438.0)</f>
        <v>45438</v>
      </c>
      <c r="B102" s="6" t="str">
        <f>IFERROR(__xludf.DUMMYFUNCTION("""COMPUTED_VALUE"""),"Electricity Bill (Edesur)")</f>
        <v>Electricity Bill (Edesur)</v>
      </c>
      <c r="C102" s="7">
        <f>IFERROR(__xludf.DUMMYFUNCTION("""COMPUTED_VALUE"""),9243.0)</f>
        <v>9243</v>
      </c>
      <c r="D102" s="6" t="str">
        <f>IFERROR(__xludf.DUMMYFUNCTION("""COMPUTED_VALUE"""),"Basic Services")</f>
        <v>Basic Services</v>
      </c>
      <c r="E102" s="6" t="str">
        <f>IFERROR(__xludf.DUMMYFUNCTION("""COMPUTED_VALUE"""),"Split Payment")</f>
        <v>Split Payment</v>
      </c>
      <c r="F102" s="6" t="s">
        <v>13</v>
      </c>
      <c r="G102" s="8" t="str">
        <f t="shared" si="1"/>
        <v>202405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  <c r="DE102" s="4"/>
      <c r="DF102" s="4"/>
      <c r="DG102" s="4"/>
      <c r="DH102" s="4"/>
      <c r="DI102" s="4"/>
      <c r="DJ102" s="4"/>
      <c r="DK102" s="4"/>
      <c r="DL102" s="4"/>
      <c r="DM102" s="4"/>
      <c r="DN102" s="4"/>
      <c r="DO102" s="4"/>
      <c r="DP102" s="4"/>
      <c r="DQ102" s="4"/>
      <c r="DR102" s="4"/>
      <c r="DS102" s="4"/>
    </row>
    <row r="103">
      <c r="A103" s="5">
        <f>IFERROR(__xludf.DUMMYFUNCTION("""COMPUTED_VALUE"""),45438.0)</f>
        <v>45438</v>
      </c>
      <c r="B103" s="6" t="str">
        <f>IFERROR(__xludf.DUMMYFUNCTION("""COMPUTED_VALUE"""),"Personal Care")</f>
        <v>Personal Care</v>
      </c>
      <c r="C103" s="7">
        <f>IFERROR(__xludf.DUMMYFUNCTION("""COMPUTED_VALUE"""),2000.0)</f>
        <v>2000</v>
      </c>
      <c r="D103" s="6" t="str">
        <f>IFERROR(__xludf.DUMMYFUNCTION("""COMPUTED_VALUE"""),"Personal Care")</f>
        <v>Personal Care</v>
      </c>
      <c r="E103" s="6" t="str">
        <f>IFERROR(__xludf.DUMMYFUNCTION("""COMPUTED_VALUE"""),"Virtual Wallet")</f>
        <v>Virtual Wallet</v>
      </c>
      <c r="F103" s="6" t="s">
        <v>16</v>
      </c>
      <c r="G103" s="8" t="str">
        <f t="shared" si="1"/>
        <v>202405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  <c r="DE103" s="4"/>
      <c r="DF103" s="4"/>
      <c r="DG103" s="4"/>
      <c r="DH103" s="4"/>
      <c r="DI103" s="4"/>
      <c r="DJ103" s="4"/>
      <c r="DK103" s="4"/>
      <c r="DL103" s="4"/>
      <c r="DM103" s="4"/>
      <c r="DN103" s="4"/>
      <c r="DO103" s="4"/>
      <c r="DP103" s="4"/>
      <c r="DQ103" s="4"/>
      <c r="DR103" s="4"/>
      <c r="DS103" s="4"/>
    </row>
    <row r="104">
      <c r="A104" s="5">
        <f>IFERROR(__xludf.DUMMYFUNCTION("""COMPUTED_VALUE"""),45438.0)</f>
        <v>45438</v>
      </c>
      <c r="B104" s="6" t="str">
        <f>IFERROR(__xludf.DUMMYFUNCTION("""COMPUTED_VALUE"""),"Personal Care")</f>
        <v>Personal Care</v>
      </c>
      <c r="C104" s="7">
        <f>IFERROR(__xludf.DUMMYFUNCTION("""COMPUTED_VALUE"""),2750.0)</f>
        <v>2750</v>
      </c>
      <c r="D104" s="6" t="str">
        <f>IFERROR(__xludf.DUMMYFUNCTION("""COMPUTED_VALUE"""),"Personal Care")</f>
        <v>Personal Care</v>
      </c>
      <c r="E104" s="6" t="str">
        <f>IFERROR(__xludf.DUMMYFUNCTION("""COMPUTED_VALUE"""),"Virtual Wallet")</f>
        <v>Virtual Wallet</v>
      </c>
      <c r="F104" s="6" t="s">
        <v>16</v>
      </c>
      <c r="G104" s="8" t="str">
        <f t="shared" si="1"/>
        <v>202405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  <c r="DE104" s="4"/>
      <c r="DF104" s="4"/>
      <c r="DG104" s="4"/>
      <c r="DH104" s="4"/>
      <c r="DI104" s="4"/>
      <c r="DJ104" s="4"/>
      <c r="DK104" s="4"/>
      <c r="DL104" s="4"/>
      <c r="DM104" s="4"/>
      <c r="DN104" s="4"/>
      <c r="DO104" s="4"/>
      <c r="DP104" s="4"/>
      <c r="DQ104" s="4"/>
      <c r="DR104" s="4"/>
      <c r="DS104" s="4"/>
    </row>
    <row r="105">
      <c r="A105" s="5">
        <f>IFERROR(__xludf.DUMMYFUNCTION("""COMPUTED_VALUE"""),45439.0)</f>
        <v>45439</v>
      </c>
      <c r="B105" s="6" t="str">
        <f>IFERROR(__xludf.DUMMYFUNCTION("""COMPUTED_VALUE"""),"Groceries")</f>
        <v>Groceries</v>
      </c>
      <c r="C105" s="7">
        <f>IFERROR(__xludf.DUMMYFUNCTION("""COMPUTED_VALUE"""),3895.0)</f>
        <v>3895</v>
      </c>
      <c r="D105" s="6" t="str">
        <f>IFERROR(__xludf.DUMMYFUNCTION("""COMPUTED_VALUE"""),"Groceries")</f>
        <v>Groceries</v>
      </c>
      <c r="E105" s="6" t="str">
        <f>IFERROR(__xludf.DUMMYFUNCTION("""COMPUTED_VALUE"""),"Virtual Wallet")</f>
        <v>Virtual Wallet</v>
      </c>
      <c r="F105" s="6" t="s">
        <v>7</v>
      </c>
      <c r="G105" s="8" t="str">
        <f t="shared" si="1"/>
        <v>202405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  <c r="DE105" s="4"/>
      <c r="DF105" s="4"/>
      <c r="DG105" s="4"/>
      <c r="DH105" s="4"/>
      <c r="DI105" s="4"/>
      <c r="DJ105" s="4"/>
      <c r="DK105" s="4"/>
      <c r="DL105" s="4"/>
      <c r="DM105" s="4"/>
      <c r="DN105" s="4"/>
      <c r="DO105" s="4"/>
      <c r="DP105" s="4"/>
      <c r="DQ105" s="4"/>
      <c r="DR105" s="4"/>
      <c r="DS105" s="4"/>
    </row>
    <row r="106">
      <c r="A106" s="5">
        <f>IFERROR(__xludf.DUMMYFUNCTION("""COMPUTED_VALUE"""),45439.0)</f>
        <v>45439</v>
      </c>
      <c r="B106" s="6" t="str">
        <f>IFERROR(__xludf.DUMMYFUNCTION("""COMPUTED_VALUE"""),"Home Goods")</f>
        <v>Home Goods</v>
      </c>
      <c r="C106" s="7">
        <f>IFERROR(__xludf.DUMMYFUNCTION("""COMPUTED_VALUE"""),7000.0)</f>
        <v>7000</v>
      </c>
      <c r="D106" s="6" t="str">
        <f>IFERROR(__xludf.DUMMYFUNCTION("""COMPUTED_VALUE"""),"Home Goods &amp; Utilities")</f>
        <v>Home Goods &amp; Utilities</v>
      </c>
      <c r="E106" s="6" t="str">
        <f>IFERROR(__xludf.DUMMYFUNCTION("""COMPUTED_VALUE"""),"Bank Transfer")</f>
        <v>Bank Transfer</v>
      </c>
      <c r="F106" s="6" t="s">
        <v>8</v>
      </c>
      <c r="G106" s="8" t="str">
        <f t="shared" si="1"/>
        <v>202405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  <c r="DE106" s="4"/>
      <c r="DF106" s="4"/>
      <c r="DG106" s="4"/>
      <c r="DH106" s="4"/>
      <c r="DI106" s="4"/>
      <c r="DJ106" s="4"/>
      <c r="DK106" s="4"/>
      <c r="DL106" s="4"/>
      <c r="DM106" s="4"/>
      <c r="DN106" s="4"/>
      <c r="DO106" s="4"/>
      <c r="DP106" s="4"/>
      <c r="DQ106" s="4"/>
      <c r="DR106" s="4"/>
      <c r="DS106" s="4"/>
    </row>
    <row r="107">
      <c r="A107" s="5">
        <f>IFERROR(__xludf.DUMMYFUNCTION("""COMPUTED_VALUE"""),45439.0)</f>
        <v>45439</v>
      </c>
      <c r="B107" s="6" t="str">
        <f>IFERROR(__xludf.DUMMYFUNCTION("""COMPUTED_VALUE"""),"Water Bill (AySA)")</f>
        <v>Water Bill (AySA)</v>
      </c>
      <c r="C107" s="7">
        <f>IFERROR(__xludf.DUMMYFUNCTION("""COMPUTED_VALUE"""),8338.0)</f>
        <v>8338</v>
      </c>
      <c r="D107" s="6" t="str">
        <f>IFERROR(__xludf.DUMMYFUNCTION("""COMPUTED_VALUE"""),"Basic Services")</f>
        <v>Basic Services</v>
      </c>
      <c r="E107" s="6" t="str">
        <f>IFERROR(__xludf.DUMMYFUNCTION("""COMPUTED_VALUE"""),"Split Payment")</f>
        <v>Split Payment</v>
      </c>
      <c r="F107" s="6" t="s">
        <v>13</v>
      </c>
      <c r="G107" s="8" t="str">
        <f t="shared" si="1"/>
        <v>202405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  <c r="DE107" s="4"/>
      <c r="DF107" s="4"/>
      <c r="DG107" s="4"/>
      <c r="DH107" s="4"/>
      <c r="DI107" s="4"/>
      <c r="DJ107" s="4"/>
      <c r="DK107" s="4"/>
      <c r="DL107" s="4"/>
      <c r="DM107" s="4"/>
      <c r="DN107" s="4"/>
      <c r="DO107" s="4"/>
      <c r="DP107" s="4"/>
      <c r="DQ107" s="4"/>
      <c r="DR107" s="4"/>
      <c r="DS107" s="4"/>
    </row>
    <row r="108">
      <c r="A108" s="5">
        <f>IFERROR(__xludf.DUMMYFUNCTION("""COMPUTED_VALUE"""),45440.0)</f>
        <v>45440</v>
      </c>
      <c r="B108" s="6" t="str">
        <f>IFERROR(__xludf.DUMMYFUNCTION("""COMPUTED_VALUE"""),"Groceries")</f>
        <v>Groceries</v>
      </c>
      <c r="C108" s="7">
        <f>IFERROR(__xludf.DUMMYFUNCTION("""COMPUTED_VALUE"""),4200.0)</f>
        <v>4200</v>
      </c>
      <c r="D108" s="6" t="str">
        <f>IFERROR(__xludf.DUMMYFUNCTION("""COMPUTED_VALUE"""),"Pets")</f>
        <v>Pets</v>
      </c>
      <c r="E108" s="6" t="str">
        <f>IFERROR(__xludf.DUMMYFUNCTION("""COMPUTED_VALUE"""),"Virtual Wallet")</f>
        <v>Virtual Wallet</v>
      </c>
      <c r="F108" s="6" t="s">
        <v>7</v>
      </c>
      <c r="G108" s="8" t="str">
        <f t="shared" si="1"/>
        <v>202405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  <c r="DE108" s="4"/>
      <c r="DF108" s="4"/>
      <c r="DG108" s="4"/>
      <c r="DH108" s="4"/>
      <c r="DI108" s="4"/>
      <c r="DJ108" s="4"/>
      <c r="DK108" s="4"/>
      <c r="DL108" s="4"/>
      <c r="DM108" s="4"/>
      <c r="DN108" s="4"/>
      <c r="DO108" s="4"/>
      <c r="DP108" s="4"/>
      <c r="DQ108" s="4"/>
      <c r="DR108" s="4"/>
      <c r="DS108" s="4"/>
    </row>
    <row r="109">
      <c r="A109" s="5">
        <f>IFERROR(__xludf.DUMMYFUNCTION("""COMPUTED_VALUE"""),45440.0)</f>
        <v>45440</v>
      </c>
      <c r="B109" s="6" t="str">
        <f>IFERROR(__xludf.DUMMYFUNCTION("""COMPUTED_VALUE"""),"Groceries")</f>
        <v>Groceries</v>
      </c>
      <c r="C109" s="7">
        <f>IFERROR(__xludf.DUMMYFUNCTION("""COMPUTED_VALUE"""),2150.0)</f>
        <v>2150</v>
      </c>
      <c r="D109" s="6" t="str">
        <f>IFERROR(__xludf.DUMMYFUNCTION("""COMPUTED_VALUE"""),"Groceries")</f>
        <v>Groceries</v>
      </c>
      <c r="E109" s="6" t="str">
        <f>IFERROR(__xludf.DUMMYFUNCTION("""COMPUTED_VALUE"""),"Virtual Wallet")</f>
        <v>Virtual Wallet</v>
      </c>
      <c r="F109" s="6" t="s">
        <v>7</v>
      </c>
      <c r="G109" s="8" t="str">
        <f t="shared" si="1"/>
        <v>202405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  <c r="DE109" s="4"/>
      <c r="DF109" s="4"/>
      <c r="DG109" s="4"/>
      <c r="DH109" s="4"/>
      <c r="DI109" s="4"/>
      <c r="DJ109" s="4"/>
      <c r="DK109" s="4"/>
      <c r="DL109" s="4"/>
      <c r="DM109" s="4"/>
      <c r="DN109" s="4"/>
      <c r="DO109" s="4"/>
      <c r="DP109" s="4"/>
      <c r="DQ109" s="4"/>
      <c r="DR109" s="4"/>
      <c r="DS109" s="4"/>
    </row>
    <row r="110">
      <c r="A110" s="5">
        <f>IFERROR(__xludf.DUMMYFUNCTION("""COMPUTED_VALUE"""),45440.0)</f>
        <v>45440</v>
      </c>
      <c r="B110" s="6" t="str">
        <f>IFERROR(__xludf.DUMMYFUNCTION("""COMPUTED_VALUE"""),"Groceries")</f>
        <v>Groceries</v>
      </c>
      <c r="C110" s="7">
        <f>IFERROR(__xludf.DUMMYFUNCTION("""COMPUTED_VALUE"""),2600.0)</f>
        <v>2600</v>
      </c>
      <c r="D110" s="6" t="str">
        <f>IFERROR(__xludf.DUMMYFUNCTION("""COMPUTED_VALUE"""),"Lunch Out")</f>
        <v>Lunch Out</v>
      </c>
      <c r="E110" s="6" t="str">
        <f>IFERROR(__xludf.DUMMYFUNCTION("""COMPUTED_VALUE"""),"Virtual Wallet")</f>
        <v>Virtual Wallet</v>
      </c>
      <c r="F110" s="6" t="s">
        <v>14</v>
      </c>
      <c r="G110" s="8" t="str">
        <f t="shared" si="1"/>
        <v>202405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  <c r="DE110" s="4"/>
      <c r="DF110" s="4"/>
      <c r="DG110" s="4"/>
      <c r="DH110" s="4"/>
      <c r="DI110" s="4"/>
      <c r="DJ110" s="4"/>
      <c r="DK110" s="4"/>
      <c r="DL110" s="4"/>
      <c r="DM110" s="4"/>
      <c r="DN110" s="4"/>
      <c r="DO110" s="4"/>
      <c r="DP110" s="4"/>
      <c r="DQ110" s="4"/>
      <c r="DR110" s="4"/>
      <c r="DS110" s="4"/>
    </row>
    <row r="111">
      <c r="A111" s="5">
        <f>IFERROR(__xludf.DUMMYFUNCTION("""COMPUTED_VALUE"""),45440.0)</f>
        <v>45440</v>
      </c>
      <c r="B111" s="6" t="str">
        <f>IFERROR(__xludf.DUMMYFUNCTION("""COMPUTED_VALUE"""),"Home Goods")</f>
        <v>Home Goods</v>
      </c>
      <c r="C111" s="7">
        <f>IFERROR(__xludf.DUMMYFUNCTION("""COMPUTED_VALUE"""),7000.0)</f>
        <v>7000</v>
      </c>
      <c r="D111" s="6" t="str">
        <f>IFERROR(__xludf.DUMMYFUNCTION("""COMPUTED_VALUE"""),"Home Goods &amp; Utilities")</f>
        <v>Home Goods &amp; Utilities</v>
      </c>
      <c r="E111" s="6" t="str">
        <f>IFERROR(__xludf.DUMMYFUNCTION("""COMPUTED_VALUE"""),"Bank Transfer")</f>
        <v>Bank Transfer</v>
      </c>
      <c r="F111" s="6" t="s">
        <v>8</v>
      </c>
      <c r="G111" s="8" t="str">
        <f t="shared" si="1"/>
        <v>202405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4"/>
      <c r="DP111" s="4"/>
      <c r="DQ111" s="4"/>
      <c r="DR111" s="4"/>
      <c r="DS111" s="4"/>
    </row>
    <row r="112">
      <c r="A112" s="5">
        <f>IFERROR(__xludf.DUMMYFUNCTION("""COMPUTED_VALUE"""),45440.0)</f>
        <v>45440</v>
      </c>
      <c r="B112" s="6" t="str">
        <f>IFERROR(__xludf.DUMMYFUNCTION("""COMPUTED_VALUE"""),"Home Maintenance")</f>
        <v>Home Maintenance</v>
      </c>
      <c r="C112" s="7">
        <f>IFERROR(__xludf.DUMMYFUNCTION("""COMPUTED_VALUE"""),8647.0)</f>
        <v>8647</v>
      </c>
      <c r="D112" s="6" t="str">
        <f>IFERROR(__xludf.DUMMYFUNCTION("""COMPUTED_VALUE"""),"Car Expenses")</f>
        <v>Car Expenses</v>
      </c>
      <c r="E112" s="6" t="str">
        <f>IFERROR(__xludf.DUMMYFUNCTION("""COMPUTED_VALUE"""),"Split Payment")</f>
        <v>Split Payment</v>
      </c>
      <c r="F112" s="6" t="s">
        <v>9</v>
      </c>
      <c r="G112" s="8" t="str">
        <f t="shared" si="1"/>
        <v>202405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4"/>
      <c r="DP112" s="4"/>
      <c r="DQ112" s="4"/>
      <c r="DR112" s="4"/>
      <c r="DS112" s="4"/>
    </row>
    <row r="113">
      <c r="A113" s="5">
        <f>IFERROR(__xludf.DUMMYFUNCTION("""COMPUTED_VALUE"""),45440.0)</f>
        <v>45440</v>
      </c>
      <c r="B113" s="6" t="str">
        <f>IFERROR(__xludf.DUMMYFUNCTION("""COMPUTED_VALUE"""),"Personal Care")</f>
        <v>Personal Care</v>
      </c>
      <c r="C113" s="7">
        <f>IFERROR(__xludf.DUMMYFUNCTION("""COMPUTED_VALUE"""),1453.0)</f>
        <v>1453</v>
      </c>
      <c r="D113" s="6" t="str">
        <f>IFERROR(__xludf.DUMMYFUNCTION("""COMPUTED_VALUE"""),"Personal Care")</f>
        <v>Personal Care</v>
      </c>
      <c r="E113" s="6" t="str">
        <f>IFERROR(__xludf.DUMMYFUNCTION("""COMPUTED_VALUE"""),"Credit Card")</f>
        <v>Credit Card</v>
      </c>
      <c r="F113" s="6" t="s">
        <v>16</v>
      </c>
      <c r="G113" s="8" t="str">
        <f t="shared" si="1"/>
        <v>202405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4"/>
      <c r="DP113" s="4"/>
      <c r="DQ113" s="4"/>
      <c r="DR113" s="4"/>
      <c r="DS113" s="4"/>
    </row>
    <row r="114">
      <c r="A114" s="5">
        <f>IFERROR(__xludf.DUMMYFUNCTION("""COMPUTED_VALUE"""),45441.0)</f>
        <v>45441</v>
      </c>
      <c r="B114" s="6" t="str">
        <f>IFERROR(__xludf.DUMMYFUNCTION("""COMPUTED_VALUE"""),"Groceries")</f>
        <v>Groceries</v>
      </c>
      <c r="C114" s="7">
        <f>IFERROR(__xludf.DUMMYFUNCTION("""COMPUTED_VALUE"""),5781.0)</f>
        <v>5781</v>
      </c>
      <c r="D114" s="6" t="str">
        <f>IFERROR(__xludf.DUMMYFUNCTION("""COMPUTED_VALUE"""),"Groceries")</f>
        <v>Groceries</v>
      </c>
      <c r="E114" s="6" t="str">
        <f>IFERROR(__xludf.DUMMYFUNCTION("""COMPUTED_VALUE"""),"Split Payment")</f>
        <v>Split Payment</v>
      </c>
      <c r="F114" s="6" t="s">
        <v>7</v>
      </c>
      <c r="G114" s="8" t="str">
        <f t="shared" si="1"/>
        <v>202405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4"/>
      <c r="DP114" s="4"/>
      <c r="DQ114" s="4"/>
      <c r="DR114" s="4"/>
      <c r="DS114" s="4"/>
    </row>
    <row r="115">
      <c r="A115" s="5">
        <f>IFERROR(__xludf.DUMMYFUNCTION("""COMPUTED_VALUE"""),45444.0)</f>
        <v>45444</v>
      </c>
      <c r="B115" s="6" t="str">
        <f>IFERROR(__xludf.DUMMYFUNCTION("""COMPUTED_VALUE"""),"Pets")</f>
        <v>Pets</v>
      </c>
      <c r="C115" s="7">
        <f>IFERROR(__xludf.DUMMYFUNCTION("""COMPUTED_VALUE"""),5354.0)</f>
        <v>5354</v>
      </c>
      <c r="D115" s="6" t="str">
        <f>IFERROR(__xludf.DUMMYFUNCTION("""COMPUTED_VALUE"""),"Pets")</f>
        <v>Pets</v>
      </c>
      <c r="E115" s="6" t="str">
        <f>IFERROR(__xludf.DUMMYFUNCTION("""COMPUTED_VALUE"""),"Credit Card")</f>
        <v>Credit Card</v>
      </c>
      <c r="F115" s="6" t="s">
        <v>7</v>
      </c>
      <c r="G115" s="8" t="str">
        <f t="shared" si="1"/>
        <v>202406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4"/>
      <c r="DP115" s="4"/>
      <c r="DQ115" s="4"/>
      <c r="DR115" s="4"/>
      <c r="DS115" s="4"/>
    </row>
    <row r="116">
      <c r="A116" s="5">
        <f>IFERROR(__xludf.DUMMYFUNCTION("""COMPUTED_VALUE"""),45444.0)</f>
        <v>45444</v>
      </c>
      <c r="B116" s="6" t="str">
        <f>IFERROR(__xludf.DUMMYFUNCTION("""COMPUTED_VALUE"""),"Clothing")</f>
        <v>Clothing</v>
      </c>
      <c r="C116" s="7">
        <f>IFERROR(__xludf.DUMMYFUNCTION("""COMPUTED_VALUE"""),15619.0)</f>
        <v>15619</v>
      </c>
      <c r="D116" s="6" t="str">
        <f>IFERROR(__xludf.DUMMYFUNCTION("""COMPUTED_VALUE"""),"Clothing")</f>
        <v>Clothing</v>
      </c>
      <c r="E116" s="6" t="str">
        <f>IFERROR(__xludf.DUMMYFUNCTION("""COMPUTED_VALUE"""),"Credit Card")</f>
        <v>Credit Card</v>
      </c>
      <c r="F116" s="6" t="s">
        <v>10</v>
      </c>
      <c r="G116" s="8" t="str">
        <f t="shared" si="1"/>
        <v>202406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4"/>
      <c r="DP116" s="4"/>
      <c r="DQ116" s="4"/>
      <c r="DR116" s="4"/>
      <c r="DS116" s="4"/>
    </row>
    <row r="117">
      <c r="A117" s="5">
        <f>IFERROR(__xludf.DUMMYFUNCTION("""COMPUTED_VALUE"""),45444.0)</f>
        <v>45444</v>
      </c>
      <c r="B117" s="6" t="str">
        <f>IFERROR(__xludf.DUMMYFUNCTION("""COMPUTED_VALUE"""),"Appliances")</f>
        <v>Appliances</v>
      </c>
      <c r="C117" s="7">
        <f>IFERROR(__xludf.DUMMYFUNCTION("""COMPUTED_VALUE"""),8115.0)</f>
        <v>8115</v>
      </c>
      <c r="D117" s="6" t="str">
        <f>IFERROR(__xludf.DUMMYFUNCTION("""COMPUTED_VALUE"""),"Home Goods &amp; Utilities")</f>
        <v>Home Goods &amp; Utilities</v>
      </c>
      <c r="E117" s="6" t="str">
        <f>IFERROR(__xludf.DUMMYFUNCTION("""COMPUTED_VALUE"""),"Credit Card")</f>
        <v>Credit Card</v>
      </c>
      <c r="F117" s="6" t="s">
        <v>8</v>
      </c>
      <c r="G117" s="8" t="str">
        <f t="shared" si="1"/>
        <v>202406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4"/>
      <c r="DP117" s="4"/>
      <c r="DQ117" s="4"/>
      <c r="DR117" s="4"/>
      <c r="DS117" s="4"/>
    </row>
    <row r="118">
      <c r="A118" s="5">
        <f>IFERROR(__xludf.DUMMYFUNCTION("""COMPUTED_VALUE"""),45444.0)</f>
        <v>45444</v>
      </c>
      <c r="B118" s="6" t="str">
        <f>IFERROR(__xludf.DUMMYFUNCTION("""COMPUTED_VALUE"""),"Appliances")</f>
        <v>Appliances</v>
      </c>
      <c r="C118" s="7">
        <f>IFERROR(__xludf.DUMMYFUNCTION("""COMPUTED_VALUE"""),2361.0)</f>
        <v>2361</v>
      </c>
      <c r="D118" s="6" t="str">
        <f>IFERROR(__xludf.DUMMYFUNCTION("""COMPUTED_VALUE"""),"Home Goods &amp; Utilities")</f>
        <v>Home Goods &amp; Utilities</v>
      </c>
      <c r="E118" s="6" t="str">
        <f>IFERROR(__xludf.DUMMYFUNCTION("""COMPUTED_VALUE"""),"Credit Card")</f>
        <v>Credit Card</v>
      </c>
      <c r="F118" s="6" t="s">
        <v>8</v>
      </c>
      <c r="G118" s="8" t="str">
        <f t="shared" si="1"/>
        <v>202406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4"/>
      <c r="DP118" s="4"/>
      <c r="DQ118" s="4"/>
      <c r="DR118" s="4"/>
      <c r="DS118" s="4"/>
    </row>
    <row r="119">
      <c r="A119" s="5">
        <f>IFERROR(__xludf.DUMMYFUNCTION("""COMPUTED_VALUE"""),45444.0)</f>
        <v>45444</v>
      </c>
      <c r="B119" s="6" t="str">
        <f>IFERROR(__xludf.DUMMYFUNCTION("""COMPUTED_VALUE"""),"Car Expenses")</f>
        <v>Car Expenses</v>
      </c>
      <c r="C119" s="7">
        <f>IFERROR(__xludf.DUMMYFUNCTION("""COMPUTED_VALUE"""),13500.0)</f>
        <v>13500</v>
      </c>
      <c r="D119" s="6" t="str">
        <f>IFERROR(__xludf.DUMMYFUNCTION("""COMPUTED_VALUE"""),"Car Expenses")</f>
        <v>Car Expenses</v>
      </c>
      <c r="E119" s="6" t="str">
        <f>IFERROR(__xludf.DUMMYFUNCTION("""COMPUTED_VALUE"""),"Split Payment")</f>
        <v>Split Payment</v>
      </c>
      <c r="F119" s="6" t="s">
        <v>9</v>
      </c>
      <c r="G119" s="8" t="str">
        <f t="shared" si="1"/>
        <v>202406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4"/>
      <c r="DP119" s="4"/>
      <c r="DQ119" s="4"/>
      <c r="DR119" s="4"/>
      <c r="DS119" s="4"/>
    </row>
    <row r="120">
      <c r="A120" s="5">
        <f>IFERROR(__xludf.DUMMYFUNCTION("""COMPUTED_VALUE"""),45444.0)</f>
        <v>45444</v>
      </c>
      <c r="B120" s="6" t="str">
        <f>IFERROR(__xludf.DUMMYFUNCTION("""COMPUTED_VALUE"""),"Car Expenses")</f>
        <v>Car Expenses</v>
      </c>
      <c r="C120" s="7">
        <f>IFERROR(__xludf.DUMMYFUNCTION("""COMPUTED_VALUE"""),0.0)</f>
        <v>0</v>
      </c>
      <c r="D120" s="6" t="str">
        <f>IFERROR(__xludf.DUMMYFUNCTION("""COMPUTED_VALUE"""),"Car Expenses")</f>
        <v>Car Expenses</v>
      </c>
      <c r="E120" s="6" t="str">
        <f>IFERROR(__xludf.DUMMYFUNCTION("""COMPUTED_VALUE"""),"Split Payment")</f>
        <v>Split Payment</v>
      </c>
      <c r="F120" s="6" t="s">
        <v>9</v>
      </c>
      <c r="G120" s="8" t="str">
        <f t="shared" si="1"/>
        <v>202406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4"/>
      <c r="DP120" s="4"/>
      <c r="DQ120" s="4"/>
      <c r="DR120" s="4"/>
      <c r="DS120" s="4"/>
    </row>
    <row r="121">
      <c r="A121" s="5">
        <f>IFERROR(__xludf.DUMMYFUNCTION("""COMPUTED_VALUE"""),45444.0)</f>
        <v>45444</v>
      </c>
      <c r="B121" s="6" t="str">
        <f>IFERROR(__xludf.DUMMYFUNCTION("""COMPUTED_VALUE"""),"Education")</f>
        <v>Education</v>
      </c>
      <c r="C121" s="7">
        <f>IFERROR(__xludf.DUMMYFUNCTION("""COMPUTED_VALUE"""),0.0)</f>
        <v>0</v>
      </c>
      <c r="D121" s="6" t="str">
        <f>IFERROR(__xludf.DUMMYFUNCTION("""COMPUTED_VALUE"""),"Education")</f>
        <v>Education</v>
      </c>
      <c r="E121" s="6" t="str">
        <f>IFERROR(__xludf.DUMMYFUNCTION("""COMPUTED_VALUE"""),"Credit Card")</f>
        <v>Credit Card</v>
      </c>
      <c r="F121" s="6" t="s">
        <v>11</v>
      </c>
      <c r="G121" s="8" t="str">
        <f t="shared" si="1"/>
        <v>202406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4"/>
      <c r="DP121" s="4"/>
      <c r="DQ121" s="4"/>
      <c r="DR121" s="4"/>
      <c r="DS121" s="4"/>
    </row>
    <row r="122">
      <c r="A122" s="5">
        <f>IFERROR(__xludf.DUMMYFUNCTION("""COMPUTED_VALUE"""),45444.0)</f>
        <v>45444</v>
      </c>
      <c r="B122" s="6" t="str">
        <f>IFERROR(__xludf.DUMMYFUNCTION("""COMPUTED_VALUE"""),"Groceries")</f>
        <v>Groceries</v>
      </c>
      <c r="C122" s="7">
        <f>IFERROR(__xludf.DUMMYFUNCTION("""COMPUTED_VALUE"""),1865.0)</f>
        <v>1865</v>
      </c>
      <c r="D122" s="6" t="str">
        <f>IFERROR(__xludf.DUMMYFUNCTION("""COMPUTED_VALUE"""),"Groceries")</f>
        <v>Groceries</v>
      </c>
      <c r="E122" s="6" t="str">
        <f>IFERROR(__xludf.DUMMYFUNCTION("""COMPUTED_VALUE"""),"Virtual Wallet")</f>
        <v>Virtual Wallet</v>
      </c>
      <c r="F122" s="6" t="s">
        <v>7</v>
      </c>
      <c r="G122" s="8" t="str">
        <f t="shared" si="1"/>
        <v>202406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4"/>
      <c r="DP122" s="4"/>
      <c r="DQ122" s="4"/>
      <c r="DR122" s="4"/>
      <c r="DS122" s="4"/>
    </row>
    <row r="123">
      <c r="A123" s="5">
        <f>IFERROR(__xludf.DUMMYFUNCTION("""COMPUTED_VALUE"""),45444.0)</f>
        <v>45444</v>
      </c>
      <c r="B123" s="6" t="str">
        <f>IFERROR(__xludf.DUMMYFUNCTION("""COMPUTED_VALUE"""),"Home Goods")</f>
        <v>Home Goods</v>
      </c>
      <c r="C123" s="7">
        <f>IFERROR(__xludf.DUMMYFUNCTION("""COMPUTED_VALUE"""),2744.5)</f>
        <v>2744.5</v>
      </c>
      <c r="D123" s="6" t="str">
        <f>IFERROR(__xludf.DUMMYFUNCTION("""COMPUTED_VALUE"""),"Home Goods &amp; Utilities")</f>
        <v>Home Goods &amp; Utilities</v>
      </c>
      <c r="E123" s="6" t="str">
        <f>IFERROR(__xludf.DUMMYFUNCTION("""COMPUTED_VALUE"""),"Split Payment")</f>
        <v>Split Payment</v>
      </c>
      <c r="F123" s="6" t="s">
        <v>8</v>
      </c>
      <c r="G123" s="8" t="str">
        <f t="shared" si="1"/>
        <v>202406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4"/>
      <c r="DP123" s="4"/>
      <c r="DQ123" s="4"/>
      <c r="DR123" s="4"/>
      <c r="DS123" s="4"/>
    </row>
    <row r="124">
      <c r="A124" s="5">
        <f>IFERROR(__xludf.DUMMYFUNCTION("""COMPUTED_VALUE"""),45444.0)</f>
        <v>45444</v>
      </c>
      <c r="B124" s="6" t="str">
        <f>IFERROR(__xludf.DUMMYFUNCTION("""COMPUTED_VALUE"""),"Home Maintenance")</f>
        <v>Home Maintenance</v>
      </c>
      <c r="C124" s="7">
        <f>IFERROR(__xludf.DUMMYFUNCTION("""COMPUTED_VALUE"""),2250.0)</f>
        <v>2250</v>
      </c>
      <c r="D124" s="6" t="str">
        <f>IFERROR(__xludf.DUMMYFUNCTION("""COMPUTED_VALUE"""),"Home Goods &amp; Utilities")</f>
        <v>Home Goods &amp; Utilities</v>
      </c>
      <c r="E124" s="6" t="str">
        <f>IFERROR(__xludf.DUMMYFUNCTION("""COMPUTED_VALUE"""),"Split Payment")</f>
        <v>Split Payment</v>
      </c>
      <c r="F124" s="6" t="s">
        <v>8</v>
      </c>
      <c r="G124" s="8" t="str">
        <f t="shared" si="1"/>
        <v>202406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4"/>
      <c r="DP124" s="4"/>
      <c r="DQ124" s="4"/>
      <c r="DR124" s="4"/>
      <c r="DS124" s="4"/>
    </row>
    <row r="125">
      <c r="A125" s="5">
        <f>IFERROR(__xludf.DUMMYFUNCTION("""COMPUTED_VALUE"""),45444.0)</f>
        <v>45444</v>
      </c>
      <c r="B125" s="6" t="str">
        <f>IFERROR(__xludf.DUMMYFUNCTION("""COMPUTED_VALUE"""),"Personal Care")</f>
        <v>Personal Care</v>
      </c>
      <c r="C125" s="7">
        <f>IFERROR(__xludf.DUMMYFUNCTION("""COMPUTED_VALUE"""),18175.0)</f>
        <v>18175</v>
      </c>
      <c r="D125" s="6" t="str">
        <f>IFERROR(__xludf.DUMMYFUNCTION("""COMPUTED_VALUE"""),"Personal Care")</f>
        <v>Personal Care</v>
      </c>
      <c r="E125" s="6" t="str">
        <f>IFERROR(__xludf.DUMMYFUNCTION("""COMPUTED_VALUE"""),"Split Payment")</f>
        <v>Split Payment</v>
      </c>
      <c r="F125" s="6" t="s">
        <v>16</v>
      </c>
      <c r="G125" s="8" t="str">
        <f t="shared" si="1"/>
        <v>202406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4"/>
      <c r="DP125" s="4"/>
      <c r="DQ125" s="4"/>
      <c r="DR125" s="4"/>
      <c r="DS125" s="4"/>
    </row>
    <row r="126">
      <c r="A126" s="5">
        <f>IFERROR(__xludf.DUMMYFUNCTION("""COMPUTED_VALUE"""),45444.0)</f>
        <v>45444</v>
      </c>
      <c r="B126" s="6" t="str">
        <f>IFERROR(__xludf.DUMMYFUNCTION("""COMPUTED_VALUE"""),"Pets")</f>
        <v>Pets</v>
      </c>
      <c r="C126" s="7">
        <f>IFERROR(__xludf.DUMMYFUNCTION("""COMPUTED_VALUE"""),12738.0)</f>
        <v>12738</v>
      </c>
      <c r="D126" s="6" t="str">
        <f>IFERROR(__xludf.DUMMYFUNCTION("""COMPUTED_VALUE"""),"Pets")</f>
        <v>Pets</v>
      </c>
      <c r="E126" s="6" t="str">
        <f>IFERROR(__xludf.DUMMYFUNCTION("""COMPUTED_VALUE"""),"Credit Card")</f>
        <v>Credit Card</v>
      </c>
      <c r="F126" s="6" t="s">
        <v>7</v>
      </c>
      <c r="G126" s="8" t="str">
        <f t="shared" si="1"/>
        <v>202406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4"/>
      <c r="DP126" s="4"/>
      <c r="DQ126" s="4"/>
      <c r="DR126" s="4"/>
      <c r="DS126" s="4"/>
    </row>
    <row r="127">
      <c r="A127" s="5">
        <f>IFERROR(__xludf.DUMMYFUNCTION("""COMPUTED_VALUE"""),45444.0)</f>
        <v>45444</v>
      </c>
      <c r="B127" s="6" t="str">
        <f>IFERROR(__xludf.DUMMYFUNCTION("""COMPUTED_VALUE"""),"Sports")</f>
        <v>Sports</v>
      </c>
      <c r="C127" s="7">
        <f>IFERROR(__xludf.DUMMYFUNCTION("""COMPUTED_VALUE"""),42500.0)</f>
        <v>42500</v>
      </c>
      <c r="D127" s="6" t="str">
        <f>IFERROR(__xludf.DUMMYFUNCTION("""COMPUTED_VALUE"""),"Sports")</f>
        <v>Sports</v>
      </c>
      <c r="E127" s="6" t="str">
        <f>IFERROR(__xludf.DUMMYFUNCTION("""COMPUTED_VALUE"""),"Bank Transfer")</f>
        <v>Bank Transfer</v>
      </c>
      <c r="F127" s="6" t="s">
        <v>12</v>
      </c>
      <c r="G127" s="8" t="str">
        <f t="shared" si="1"/>
        <v>202406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4"/>
      <c r="DP127" s="4"/>
      <c r="DQ127" s="4"/>
      <c r="DR127" s="4"/>
      <c r="DS127" s="4"/>
    </row>
    <row r="128">
      <c r="A128" s="5">
        <f>IFERROR(__xludf.DUMMYFUNCTION("""COMPUTED_VALUE"""),45444.0)</f>
        <v>45444</v>
      </c>
      <c r="B128" s="6" t="str">
        <f>IFERROR(__xludf.DUMMYFUNCTION("""COMPUTED_VALUE"""),"Sports")</f>
        <v>Sports</v>
      </c>
      <c r="C128" s="7">
        <f>IFERROR(__xludf.DUMMYFUNCTION("""COMPUTED_VALUE"""),21990.0)</f>
        <v>21990</v>
      </c>
      <c r="D128" s="6" t="str">
        <f>IFERROR(__xludf.DUMMYFUNCTION("""COMPUTED_VALUE"""),"Sports")</f>
        <v>Sports</v>
      </c>
      <c r="E128" s="6" t="str">
        <f>IFERROR(__xludf.DUMMYFUNCTION("""COMPUTED_VALUE"""),"Credit Card")</f>
        <v>Credit Card</v>
      </c>
      <c r="F128" s="6" t="s">
        <v>12</v>
      </c>
      <c r="G128" s="8" t="str">
        <f t="shared" si="1"/>
        <v>202406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4"/>
      <c r="DP128" s="4"/>
      <c r="DQ128" s="4"/>
      <c r="DR128" s="4"/>
      <c r="DS128" s="4"/>
    </row>
    <row r="129">
      <c r="A129" s="5">
        <f>IFERROR(__xludf.DUMMYFUNCTION("""COMPUTED_VALUE"""),45444.0)</f>
        <v>45444</v>
      </c>
      <c r="B129" s="6" t="str">
        <f>IFERROR(__xludf.DUMMYFUNCTION("""COMPUTED_VALUE"""),"Streaming Services")</f>
        <v>Streaming Services</v>
      </c>
      <c r="C129" s="7">
        <f>IFERROR(__xludf.DUMMYFUNCTION("""COMPUTED_VALUE"""),5723.0)</f>
        <v>5723</v>
      </c>
      <c r="D129" s="6" t="str">
        <f>IFERROR(__xludf.DUMMYFUNCTION("""COMPUTED_VALUE"""),"Streaming Services")</f>
        <v>Streaming Services</v>
      </c>
      <c r="E129" s="6" t="str">
        <f>IFERROR(__xludf.DUMMYFUNCTION("""COMPUTED_VALUE"""),"Credit Card")</f>
        <v>Credit Card</v>
      </c>
      <c r="F129" s="6" t="s">
        <v>12</v>
      </c>
      <c r="G129" s="8" t="str">
        <f t="shared" si="1"/>
        <v>202406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4"/>
      <c r="DP129" s="4"/>
      <c r="DQ129" s="4"/>
      <c r="DR129" s="4"/>
      <c r="DS129" s="4"/>
    </row>
    <row r="130">
      <c r="A130" s="5">
        <f>IFERROR(__xludf.DUMMYFUNCTION("""COMPUTED_VALUE"""),45444.0)</f>
        <v>45444</v>
      </c>
      <c r="B130" s="6" t="str">
        <f>IFERROR(__xludf.DUMMYFUNCTION("""COMPUTED_VALUE"""),"Streaming Services")</f>
        <v>Streaming Services</v>
      </c>
      <c r="C130" s="7">
        <f>IFERROR(__xludf.DUMMYFUNCTION("""COMPUTED_VALUE"""),1350.0)</f>
        <v>1350</v>
      </c>
      <c r="D130" s="6" t="str">
        <f>IFERROR(__xludf.DUMMYFUNCTION("""COMPUTED_VALUE"""),"Streaming Services")</f>
        <v>Streaming Services</v>
      </c>
      <c r="E130" s="6" t="str">
        <f>IFERROR(__xludf.DUMMYFUNCTION("""COMPUTED_VALUE"""),"Credit Card")</f>
        <v>Credit Card</v>
      </c>
      <c r="F130" s="6" t="s">
        <v>12</v>
      </c>
      <c r="G130" s="8" t="str">
        <f t="shared" si="1"/>
        <v>202406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4"/>
      <c r="DP130" s="4"/>
      <c r="DQ130" s="4"/>
      <c r="DR130" s="4"/>
      <c r="DS130" s="4"/>
    </row>
    <row r="131">
      <c r="A131" s="5">
        <f>IFERROR(__xludf.DUMMYFUNCTION("""COMPUTED_VALUE"""),45445.0)</f>
        <v>45445</v>
      </c>
      <c r="B131" s="6" t="str">
        <f>IFERROR(__xludf.DUMMYFUNCTION("""COMPUTED_VALUE"""),"Home Maintenance")</f>
        <v>Home Maintenance</v>
      </c>
      <c r="C131" s="7">
        <f>IFERROR(__xludf.DUMMYFUNCTION("""COMPUTED_VALUE"""),17192.0)</f>
        <v>17192</v>
      </c>
      <c r="D131" s="6" t="str">
        <f>IFERROR(__xludf.DUMMYFUNCTION("""COMPUTED_VALUE"""),"Car Expenses")</f>
        <v>Car Expenses</v>
      </c>
      <c r="E131" s="6" t="str">
        <f>IFERROR(__xludf.DUMMYFUNCTION("""COMPUTED_VALUE"""),"Credit Card")</f>
        <v>Credit Card</v>
      </c>
      <c r="F131" s="6" t="s">
        <v>9</v>
      </c>
      <c r="G131" s="8" t="str">
        <f t="shared" si="1"/>
        <v>202406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4"/>
      <c r="DP131" s="4"/>
      <c r="DQ131" s="4"/>
      <c r="DR131" s="4"/>
      <c r="DS131" s="4"/>
    </row>
    <row r="132">
      <c r="A132" s="5">
        <f>IFERROR(__xludf.DUMMYFUNCTION("""COMPUTED_VALUE"""),45445.0)</f>
        <v>45445</v>
      </c>
      <c r="B132" s="6" t="str">
        <f>IFERROR(__xludf.DUMMYFUNCTION("""COMPUTED_VALUE"""),"Sports")</f>
        <v>Sports</v>
      </c>
      <c r="C132" s="7">
        <f>IFERROR(__xludf.DUMMYFUNCTION("""COMPUTED_VALUE"""),47316.0)</f>
        <v>47316</v>
      </c>
      <c r="D132" s="6" t="str">
        <f>IFERROR(__xludf.DUMMYFUNCTION("""COMPUTED_VALUE"""),"Sports")</f>
        <v>Sports</v>
      </c>
      <c r="E132" s="6" t="str">
        <f>IFERROR(__xludf.DUMMYFUNCTION("""COMPUTED_VALUE"""),"Credit Card")</f>
        <v>Credit Card</v>
      </c>
      <c r="F132" s="6" t="s">
        <v>12</v>
      </c>
      <c r="G132" s="8" t="str">
        <f t="shared" si="1"/>
        <v>202406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4"/>
      <c r="DP132" s="4"/>
      <c r="DQ132" s="4"/>
      <c r="DR132" s="4"/>
      <c r="DS132" s="4"/>
    </row>
    <row r="133">
      <c r="A133" s="5">
        <f>IFERROR(__xludf.DUMMYFUNCTION("""COMPUTED_VALUE"""),45445.0)</f>
        <v>45445</v>
      </c>
      <c r="B133" s="6" t="str">
        <f>IFERROR(__xludf.DUMMYFUNCTION("""COMPUTED_VALUE"""),"Clothing")</f>
        <v>Clothing</v>
      </c>
      <c r="C133" s="7">
        <f>IFERROR(__xludf.DUMMYFUNCTION("""COMPUTED_VALUE"""),18833.0)</f>
        <v>18833</v>
      </c>
      <c r="D133" s="6" t="str">
        <f>IFERROR(__xludf.DUMMYFUNCTION("""COMPUTED_VALUE"""),"Clothing")</f>
        <v>Clothing</v>
      </c>
      <c r="E133" s="6" t="str">
        <f>IFERROR(__xludf.DUMMYFUNCTION("""COMPUTED_VALUE"""),"Credit Card")</f>
        <v>Credit Card</v>
      </c>
      <c r="F133" s="6" t="s">
        <v>10</v>
      </c>
      <c r="G133" s="8" t="str">
        <f t="shared" si="1"/>
        <v>202406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4"/>
      <c r="DP133" s="4"/>
      <c r="DQ133" s="4"/>
      <c r="DR133" s="4"/>
      <c r="DS133" s="4"/>
    </row>
    <row r="134">
      <c r="A134" s="5">
        <f>IFERROR(__xludf.DUMMYFUNCTION("""COMPUTED_VALUE"""),45445.0)</f>
        <v>45445</v>
      </c>
      <c r="B134" s="6" t="str">
        <f>IFERROR(__xludf.DUMMYFUNCTION("""COMPUTED_VALUE"""),"Gift")</f>
        <v>Gift</v>
      </c>
      <c r="C134" s="7">
        <f>IFERROR(__xludf.DUMMYFUNCTION("""COMPUTED_VALUE"""),5000.0)</f>
        <v>5000</v>
      </c>
      <c r="D134" s="6" t="str">
        <f>IFERROR(__xludf.DUMMYFUNCTION("""COMPUTED_VALUE"""),"Gifts")</f>
        <v>Gifts</v>
      </c>
      <c r="E134" s="6" t="str">
        <f>IFERROR(__xludf.DUMMYFUNCTION("""COMPUTED_VALUE"""),"Debit Card")</f>
        <v>Debit Card</v>
      </c>
      <c r="F134" s="6"/>
      <c r="G134" s="8" t="str">
        <f t="shared" si="1"/>
        <v>202406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4"/>
      <c r="DP134" s="4"/>
      <c r="DQ134" s="4"/>
      <c r="DR134" s="4"/>
      <c r="DS134" s="4"/>
    </row>
    <row r="135">
      <c r="A135" s="5">
        <f>IFERROR(__xludf.DUMMYFUNCTION("""COMPUTED_VALUE"""),45445.0)</f>
        <v>45445</v>
      </c>
      <c r="B135" s="6" t="str">
        <f>IFERROR(__xludf.DUMMYFUNCTION("""COMPUTED_VALUE"""),"Groceries")</f>
        <v>Groceries</v>
      </c>
      <c r="C135" s="7">
        <f>IFERROR(__xludf.DUMMYFUNCTION("""COMPUTED_VALUE"""),17000.0)</f>
        <v>17000</v>
      </c>
      <c r="D135" s="6" t="str">
        <f>IFERROR(__xludf.DUMMYFUNCTION("""COMPUTED_VALUE"""),"Groceries")</f>
        <v>Groceries</v>
      </c>
      <c r="E135" s="6" t="str">
        <f>IFERROR(__xludf.DUMMYFUNCTION("""COMPUTED_VALUE"""),"Split Payment")</f>
        <v>Split Payment</v>
      </c>
      <c r="F135" s="6" t="s">
        <v>7</v>
      </c>
      <c r="G135" s="8" t="str">
        <f t="shared" si="1"/>
        <v>202406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4"/>
      <c r="DP135" s="4"/>
      <c r="DQ135" s="4"/>
      <c r="DR135" s="4"/>
      <c r="DS135" s="4"/>
    </row>
    <row r="136">
      <c r="A136" s="5">
        <f>IFERROR(__xludf.DUMMYFUNCTION("""COMPUTED_VALUE"""),45445.0)</f>
        <v>45445</v>
      </c>
      <c r="B136" s="6" t="str">
        <f>IFERROR(__xludf.DUMMYFUNCTION("""COMPUTED_VALUE"""),"Home Maintenance")</f>
        <v>Home Maintenance</v>
      </c>
      <c r="C136" s="7">
        <f>IFERROR(__xludf.DUMMYFUNCTION("""COMPUTED_VALUE"""),10000.0)</f>
        <v>10000</v>
      </c>
      <c r="D136" s="6" t="str">
        <f>IFERROR(__xludf.DUMMYFUNCTION("""COMPUTED_VALUE"""),"Car Expenses")</f>
        <v>Car Expenses</v>
      </c>
      <c r="E136" s="6" t="str">
        <f>IFERROR(__xludf.DUMMYFUNCTION("""COMPUTED_VALUE"""),"Debit Card")</f>
        <v>Debit Card</v>
      </c>
      <c r="F136" s="6" t="s">
        <v>9</v>
      </c>
      <c r="G136" s="8" t="str">
        <f t="shared" si="1"/>
        <v>202406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4"/>
      <c r="DP136" s="4"/>
      <c r="DQ136" s="4"/>
      <c r="DR136" s="4"/>
      <c r="DS136" s="4"/>
    </row>
    <row r="137">
      <c r="A137" s="5">
        <f>IFERROR(__xludf.DUMMYFUNCTION("""COMPUTED_VALUE"""),45446.0)</f>
        <v>45446</v>
      </c>
      <c r="B137" s="6" t="str">
        <f>IFERROR(__xludf.DUMMYFUNCTION("""COMPUTED_VALUE"""),"Home Goods")</f>
        <v>Home Goods</v>
      </c>
      <c r="C137" s="7">
        <f>IFERROR(__xludf.DUMMYFUNCTION("""COMPUTED_VALUE"""),1602.0)</f>
        <v>1602</v>
      </c>
      <c r="D137" s="6" t="str">
        <f>IFERROR(__xludf.DUMMYFUNCTION("""COMPUTED_VALUE"""),"Home Goods &amp; Utilities")</f>
        <v>Home Goods &amp; Utilities</v>
      </c>
      <c r="E137" s="6" t="str">
        <f>IFERROR(__xludf.DUMMYFUNCTION("""COMPUTED_VALUE"""),"Credit Card")</f>
        <v>Credit Card</v>
      </c>
      <c r="F137" s="6" t="s">
        <v>8</v>
      </c>
      <c r="G137" s="8" t="str">
        <f t="shared" si="1"/>
        <v>202406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4"/>
      <c r="DP137" s="4"/>
      <c r="DQ137" s="4"/>
      <c r="DR137" s="4"/>
      <c r="DS137" s="4"/>
    </row>
    <row r="138">
      <c r="A138" s="5">
        <f>IFERROR(__xludf.DUMMYFUNCTION("""COMPUTED_VALUE"""),45446.0)</f>
        <v>45446</v>
      </c>
      <c r="B138" s="6" t="str">
        <f>IFERROR(__xludf.DUMMYFUNCTION("""COMPUTED_VALUE"""),"Gas Bill (Metrogas)")</f>
        <v>Gas Bill (Metrogas)</v>
      </c>
      <c r="C138" s="7">
        <f>IFERROR(__xludf.DUMMYFUNCTION("""COMPUTED_VALUE"""),3721.0)</f>
        <v>3721</v>
      </c>
      <c r="D138" s="6" t="str">
        <f>IFERROR(__xludf.DUMMYFUNCTION("""COMPUTED_VALUE"""),"Basic Services")</f>
        <v>Basic Services</v>
      </c>
      <c r="E138" s="6" t="str">
        <f>IFERROR(__xludf.DUMMYFUNCTION("""COMPUTED_VALUE"""),"Split Payment")</f>
        <v>Split Payment</v>
      </c>
      <c r="F138" s="6" t="s">
        <v>13</v>
      </c>
      <c r="G138" s="8" t="str">
        <f t="shared" si="1"/>
        <v>202406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4"/>
      <c r="DP138" s="4"/>
      <c r="DQ138" s="4"/>
      <c r="DR138" s="4"/>
      <c r="DS138" s="4"/>
    </row>
    <row r="139">
      <c r="A139" s="5">
        <f>IFERROR(__xludf.DUMMYFUNCTION("""COMPUTED_VALUE"""),45446.0)</f>
        <v>45446</v>
      </c>
      <c r="B139" s="6" t="str">
        <f>IFERROR(__xludf.DUMMYFUNCTION("""COMPUTED_VALUE"""),"Building Expenses")</f>
        <v>Building Expenses</v>
      </c>
      <c r="C139" s="7">
        <f>IFERROR(__xludf.DUMMYFUNCTION("""COMPUTED_VALUE"""),43308.0)</f>
        <v>43308</v>
      </c>
      <c r="D139" s="6" t="str">
        <f>IFERROR(__xludf.DUMMYFUNCTION("""COMPUTED_VALUE"""),"Rent &amp; Utilities")</f>
        <v>Rent &amp; Utilities</v>
      </c>
      <c r="E139" s="6" t="str">
        <f>IFERROR(__xludf.DUMMYFUNCTION("""COMPUTED_VALUE"""),"Bank Transfer")</f>
        <v>Bank Transfer</v>
      </c>
      <c r="F139" s="6" t="s">
        <v>13</v>
      </c>
      <c r="G139" s="8" t="str">
        <f t="shared" si="1"/>
        <v>202406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4"/>
      <c r="DP139" s="4"/>
      <c r="DQ139" s="4"/>
      <c r="DR139" s="4"/>
      <c r="DS139" s="4"/>
    </row>
    <row r="140">
      <c r="A140" s="5">
        <f>IFERROR(__xludf.DUMMYFUNCTION("""COMPUTED_VALUE"""),45446.0)</f>
        <v>45446</v>
      </c>
      <c r="B140" s="6" t="str">
        <f>IFERROR(__xludf.DUMMYFUNCTION("""COMPUTED_VALUE"""),"Pets")</f>
        <v>Pets</v>
      </c>
      <c r="C140" s="7">
        <f>IFERROR(__xludf.DUMMYFUNCTION("""COMPUTED_VALUE"""),1000.0)</f>
        <v>1000</v>
      </c>
      <c r="D140" s="6" t="str">
        <f>IFERROR(__xludf.DUMMYFUNCTION("""COMPUTED_VALUE"""),"Pets")</f>
        <v>Pets</v>
      </c>
      <c r="E140" s="6" t="str">
        <f>IFERROR(__xludf.DUMMYFUNCTION("""COMPUTED_VALUE"""),"Virtual Wallet")</f>
        <v>Virtual Wallet</v>
      </c>
      <c r="F140" s="6" t="s">
        <v>7</v>
      </c>
      <c r="G140" s="8" t="str">
        <f t="shared" si="1"/>
        <v>202406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4"/>
      <c r="DP140" s="4"/>
      <c r="DQ140" s="4"/>
      <c r="DR140" s="4"/>
      <c r="DS140" s="4"/>
    </row>
    <row r="141">
      <c r="A141" s="5">
        <f>IFERROR(__xludf.DUMMYFUNCTION("""COMPUTED_VALUE"""),45446.0)</f>
        <v>45446</v>
      </c>
      <c r="B141" s="6" t="str">
        <f>IFERROR(__xludf.DUMMYFUNCTION("""COMPUTED_VALUE"""),"Rent")</f>
        <v>Rent</v>
      </c>
      <c r="C141" s="7">
        <f>IFERROR(__xludf.DUMMYFUNCTION("""COMPUTED_VALUE"""),173132.0)</f>
        <v>173132</v>
      </c>
      <c r="D141" s="6" t="str">
        <f>IFERROR(__xludf.DUMMYFUNCTION("""COMPUTED_VALUE"""),"Rent &amp; Utilities")</f>
        <v>Rent &amp; Utilities</v>
      </c>
      <c r="E141" s="6" t="str">
        <f>IFERROR(__xludf.DUMMYFUNCTION("""COMPUTED_VALUE"""),"Bank Transfer")</f>
        <v>Bank Transfer</v>
      </c>
      <c r="F141" s="6" t="s">
        <v>13</v>
      </c>
      <c r="G141" s="8" t="str">
        <f t="shared" si="1"/>
        <v>202406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4"/>
      <c r="DP141" s="4"/>
      <c r="DQ141" s="4"/>
      <c r="DR141" s="4"/>
      <c r="DS141" s="4"/>
    </row>
    <row r="142">
      <c r="A142" s="5">
        <f>IFERROR(__xludf.DUMMYFUNCTION("""COMPUTED_VALUE"""),45447.0)</f>
        <v>45447</v>
      </c>
      <c r="B142" s="6" t="str">
        <f>IFERROR(__xludf.DUMMYFUNCTION("""COMPUTED_VALUE"""),"Education")</f>
        <v>Education</v>
      </c>
      <c r="C142" s="7">
        <f>IFERROR(__xludf.DUMMYFUNCTION("""COMPUTED_VALUE"""),9900.0)</f>
        <v>9900</v>
      </c>
      <c r="D142" s="6" t="str">
        <f>IFERROR(__xludf.DUMMYFUNCTION("""COMPUTED_VALUE"""),"Education")</f>
        <v>Education</v>
      </c>
      <c r="E142" s="6" t="str">
        <f>IFERROR(__xludf.DUMMYFUNCTION("""COMPUTED_VALUE"""),"Credit Card")</f>
        <v>Credit Card</v>
      </c>
      <c r="F142" s="6" t="s">
        <v>11</v>
      </c>
      <c r="G142" s="8" t="str">
        <f t="shared" si="1"/>
        <v>202406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4"/>
      <c r="DP142" s="4"/>
      <c r="DQ142" s="4"/>
      <c r="DR142" s="4"/>
      <c r="DS142" s="4"/>
    </row>
    <row r="143">
      <c r="A143" s="5">
        <f>IFERROR(__xludf.DUMMYFUNCTION("""COMPUTED_VALUE"""),45447.0)</f>
        <v>45447</v>
      </c>
      <c r="B143" s="6" t="str">
        <f>IFERROR(__xludf.DUMMYFUNCTION("""COMPUTED_VALUE"""),"Streaming Services")</f>
        <v>Streaming Services</v>
      </c>
      <c r="C143" s="7">
        <f>IFERROR(__xludf.DUMMYFUNCTION("""COMPUTED_VALUE"""),673.0)</f>
        <v>673</v>
      </c>
      <c r="D143" s="6" t="str">
        <f>IFERROR(__xludf.DUMMYFUNCTION("""COMPUTED_VALUE"""),"Streaming Services")</f>
        <v>Streaming Services</v>
      </c>
      <c r="E143" s="6" t="str">
        <f>IFERROR(__xludf.DUMMYFUNCTION("""COMPUTED_VALUE"""),"Credit Card")</f>
        <v>Credit Card</v>
      </c>
      <c r="F143" s="6" t="s">
        <v>12</v>
      </c>
      <c r="G143" s="8" t="str">
        <f t="shared" si="1"/>
        <v>202406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4"/>
      <c r="DP143" s="4"/>
      <c r="DQ143" s="4"/>
      <c r="DR143" s="4"/>
      <c r="DS143" s="4"/>
    </row>
    <row r="144">
      <c r="A144" s="5">
        <f>IFERROR(__xludf.DUMMYFUNCTION("""COMPUTED_VALUE"""),45447.0)</f>
        <v>45447</v>
      </c>
      <c r="B144" s="6" t="str">
        <f>IFERROR(__xludf.DUMMYFUNCTION("""COMPUTED_VALUE"""),"Doctor Visit")</f>
        <v>Doctor Visit</v>
      </c>
      <c r="C144" s="7">
        <f>IFERROR(__xludf.DUMMYFUNCTION("""COMPUTED_VALUE"""),40000.0)</f>
        <v>40000</v>
      </c>
      <c r="D144" s="6" t="str">
        <f>IFERROR(__xludf.DUMMYFUNCTION("""COMPUTED_VALUE"""),"Healthcare")</f>
        <v>Healthcare</v>
      </c>
      <c r="E144" s="6" t="str">
        <f>IFERROR(__xludf.DUMMYFUNCTION("""COMPUTED_VALUE"""),"Bank Transfer")</f>
        <v>Bank Transfer</v>
      </c>
      <c r="F144" s="6" t="s">
        <v>15</v>
      </c>
      <c r="G144" s="8" t="str">
        <f t="shared" si="1"/>
        <v>202406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4"/>
      <c r="DP144" s="4"/>
      <c r="DQ144" s="4"/>
      <c r="DR144" s="4"/>
      <c r="DS144" s="4"/>
    </row>
    <row r="145">
      <c r="A145" s="5">
        <f>IFERROR(__xludf.DUMMYFUNCTION("""COMPUTED_VALUE"""),45447.0)</f>
        <v>45447</v>
      </c>
      <c r="B145" s="6" t="str">
        <f>IFERROR(__xludf.DUMMYFUNCTION("""COMPUTED_VALUE"""),"Greengrocer")</f>
        <v>Greengrocer</v>
      </c>
      <c r="C145" s="7">
        <f>IFERROR(__xludf.DUMMYFUNCTION("""COMPUTED_VALUE"""),208.0)</f>
        <v>208</v>
      </c>
      <c r="D145" s="6" t="str">
        <f>IFERROR(__xludf.DUMMYFUNCTION("""COMPUTED_VALUE"""),"Groceries")</f>
        <v>Groceries</v>
      </c>
      <c r="E145" s="6" t="str">
        <f>IFERROR(__xludf.DUMMYFUNCTION("""COMPUTED_VALUE"""),"Virtual Wallet")</f>
        <v>Virtual Wallet</v>
      </c>
      <c r="F145" s="6" t="s">
        <v>7</v>
      </c>
      <c r="G145" s="8" t="str">
        <f t="shared" si="1"/>
        <v>202406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4"/>
      <c r="DP145" s="4"/>
      <c r="DQ145" s="4"/>
      <c r="DR145" s="4"/>
      <c r="DS145" s="4"/>
    </row>
    <row r="146">
      <c r="A146" s="5">
        <f>IFERROR(__xludf.DUMMYFUNCTION("""COMPUTED_VALUE"""),45447.0)</f>
        <v>45447</v>
      </c>
      <c r="B146" s="6" t="str">
        <f>IFERROR(__xludf.DUMMYFUNCTION("""COMPUTED_VALUE"""),"Groceries")</f>
        <v>Groceries</v>
      </c>
      <c r="C146" s="7">
        <f>IFERROR(__xludf.DUMMYFUNCTION("""COMPUTED_VALUE"""),6674.5)</f>
        <v>6674.5</v>
      </c>
      <c r="D146" s="6" t="str">
        <f>IFERROR(__xludf.DUMMYFUNCTION("""COMPUTED_VALUE"""),"Groceries")</f>
        <v>Groceries</v>
      </c>
      <c r="E146" s="6" t="str">
        <f>IFERROR(__xludf.DUMMYFUNCTION("""COMPUTED_VALUE"""),"Split Payment")</f>
        <v>Split Payment</v>
      </c>
      <c r="F146" s="6" t="s">
        <v>7</v>
      </c>
      <c r="G146" s="8" t="str">
        <f t="shared" si="1"/>
        <v>202406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4"/>
      <c r="DP146" s="4"/>
      <c r="DQ146" s="4"/>
      <c r="DR146" s="4"/>
      <c r="DS146" s="4"/>
    </row>
    <row r="147">
      <c r="A147" s="5">
        <f>IFERROR(__xludf.DUMMYFUNCTION("""COMPUTED_VALUE"""),45447.0)</f>
        <v>45447</v>
      </c>
      <c r="B147" s="6" t="str">
        <f>IFERROR(__xludf.DUMMYFUNCTION("""COMPUTED_VALUE"""),"Lunch Out")</f>
        <v>Lunch Out</v>
      </c>
      <c r="C147" s="7">
        <f>IFERROR(__xludf.DUMMYFUNCTION("""COMPUTED_VALUE"""),42.0)</f>
        <v>42</v>
      </c>
      <c r="D147" s="6" t="str">
        <f>IFERROR(__xludf.DUMMYFUNCTION("""COMPUTED_VALUE"""),"Lunch Out")</f>
        <v>Lunch Out</v>
      </c>
      <c r="E147" s="6" t="str">
        <f>IFERROR(__xludf.DUMMYFUNCTION("""COMPUTED_VALUE"""),"Virtual Wallet")</f>
        <v>Virtual Wallet</v>
      </c>
      <c r="F147" s="6" t="s">
        <v>14</v>
      </c>
      <c r="G147" s="8" t="str">
        <f t="shared" si="1"/>
        <v>202406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4"/>
      <c r="DP147" s="4"/>
      <c r="DQ147" s="4"/>
      <c r="DR147" s="4"/>
      <c r="DS147" s="4"/>
    </row>
    <row r="148">
      <c r="A148" s="5">
        <f>IFERROR(__xludf.DUMMYFUNCTION("""COMPUTED_VALUE"""),45448.0)</f>
        <v>45448</v>
      </c>
      <c r="B148" s="6" t="str">
        <f>IFERROR(__xludf.DUMMYFUNCTION("""COMPUTED_VALUE"""),"Municipal Tax (ABL)")</f>
        <v>Municipal Tax (ABL)</v>
      </c>
      <c r="C148" s="7">
        <f>IFERROR(__xludf.DUMMYFUNCTION("""COMPUTED_VALUE"""),0.0)</f>
        <v>0</v>
      </c>
      <c r="D148" s="6" t="str">
        <f>IFERROR(__xludf.DUMMYFUNCTION("""COMPUTED_VALUE"""),"Basic Services")</f>
        <v>Basic Services</v>
      </c>
      <c r="E148" s="6" t="str">
        <f>IFERROR(__xludf.DUMMYFUNCTION("""COMPUTED_VALUE"""),"Split Payment")</f>
        <v>Split Payment</v>
      </c>
      <c r="F148" s="6" t="s">
        <v>13</v>
      </c>
      <c r="G148" s="8" t="str">
        <f t="shared" si="1"/>
        <v>202406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4"/>
      <c r="DP148" s="4"/>
      <c r="DQ148" s="4"/>
      <c r="DR148" s="4"/>
      <c r="DS148" s="4"/>
    </row>
    <row r="149">
      <c r="A149" s="5">
        <f>IFERROR(__xludf.DUMMYFUNCTION("""COMPUTED_VALUE"""),45448.0)</f>
        <v>45448</v>
      </c>
      <c r="B149" s="6" t="str">
        <f>IFERROR(__xludf.DUMMYFUNCTION("""COMPUTED_VALUE"""),"Electricity Bill (Edesur)")</f>
        <v>Electricity Bill (Edesur)</v>
      </c>
      <c r="C149" s="7">
        <f>IFERROR(__xludf.DUMMYFUNCTION("""COMPUTED_VALUE"""),0.0)</f>
        <v>0</v>
      </c>
      <c r="D149" s="6" t="str">
        <f>IFERROR(__xludf.DUMMYFUNCTION("""COMPUTED_VALUE"""),"Basic Services")</f>
        <v>Basic Services</v>
      </c>
      <c r="E149" s="6" t="str">
        <f>IFERROR(__xludf.DUMMYFUNCTION("""COMPUTED_VALUE"""),"Split Payment")</f>
        <v>Split Payment</v>
      </c>
      <c r="F149" s="6" t="s">
        <v>13</v>
      </c>
      <c r="G149" s="8" t="str">
        <f t="shared" si="1"/>
        <v>202406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4"/>
      <c r="DP149" s="4"/>
      <c r="DQ149" s="4"/>
      <c r="DR149" s="4"/>
      <c r="DS149" s="4"/>
    </row>
    <row r="150">
      <c r="A150" s="5">
        <f>IFERROR(__xludf.DUMMYFUNCTION("""COMPUTED_VALUE"""),45449.0)</f>
        <v>45449</v>
      </c>
      <c r="B150" s="6" t="str">
        <f>IFERROR(__xludf.DUMMYFUNCTION("""COMPUTED_VALUE"""),"Streaming Services")</f>
        <v>Streaming Services</v>
      </c>
      <c r="C150" s="7">
        <f>IFERROR(__xludf.DUMMYFUNCTION("""COMPUTED_VALUE"""),2539.0)</f>
        <v>2539</v>
      </c>
      <c r="D150" s="6" t="str">
        <f>IFERROR(__xludf.DUMMYFUNCTION("""COMPUTED_VALUE"""),"Streaming Services")</f>
        <v>Streaming Services</v>
      </c>
      <c r="E150" s="6" t="str">
        <f>IFERROR(__xludf.DUMMYFUNCTION("""COMPUTED_VALUE"""),"Credit Card")</f>
        <v>Credit Card</v>
      </c>
      <c r="F150" s="6" t="s">
        <v>12</v>
      </c>
      <c r="G150" s="8" t="str">
        <f t="shared" si="1"/>
        <v>202406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4"/>
      <c r="DP150" s="4"/>
      <c r="DQ150" s="4"/>
      <c r="DR150" s="4"/>
      <c r="DS150" s="4"/>
    </row>
    <row r="151">
      <c r="A151" s="5">
        <f>IFERROR(__xludf.DUMMYFUNCTION("""COMPUTED_VALUE"""),45449.0)</f>
        <v>45449</v>
      </c>
      <c r="B151" s="6" t="str">
        <f>IFERROR(__xludf.DUMMYFUNCTION("""COMPUTED_VALUE"""),"Water Bill (AySA)")</f>
        <v>Water Bill (AySA)</v>
      </c>
      <c r="C151" s="7">
        <f>IFERROR(__xludf.DUMMYFUNCTION("""COMPUTED_VALUE"""),0.0)</f>
        <v>0</v>
      </c>
      <c r="D151" s="6" t="str">
        <f>IFERROR(__xludf.DUMMYFUNCTION("""COMPUTED_VALUE"""),"Basic Services")</f>
        <v>Basic Services</v>
      </c>
      <c r="E151" s="6" t="str">
        <f>IFERROR(__xludf.DUMMYFUNCTION("""COMPUTED_VALUE"""),"Split Payment")</f>
        <v>Split Payment</v>
      </c>
      <c r="F151" s="6" t="s">
        <v>13</v>
      </c>
      <c r="G151" s="8" t="str">
        <f t="shared" si="1"/>
        <v>202406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4"/>
      <c r="DP151" s="4"/>
      <c r="DQ151" s="4"/>
      <c r="DR151" s="4"/>
      <c r="DS151" s="4"/>
    </row>
    <row r="152">
      <c r="A152" s="5">
        <f>IFERROR(__xludf.DUMMYFUNCTION("""COMPUTED_VALUE"""),45449.0)</f>
        <v>45449</v>
      </c>
      <c r="B152" s="6" t="str">
        <f>IFERROR(__xludf.DUMMYFUNCTION("""COMPUTED_VALUE"""),"Doctor Visit")</f>
        <v>Doctor Visit</v>
      </c>
      <c r="C152" s="7">
        <f>IFERROR(__xludf.DUMMYFUNCTION("""COMPUTED_VALUE"""),7000.0)</f>
        <v>7000</v>
      </c>
      <c r="D152" s="6" t="str">
        <f>IFERROR(__xludf.DUMMYFUNCTION("""COMPUTED_VALUE"""),"Healthcare")</f>
        <v>Healthcare</v>
      </c>
      <c r="E152" s="6" t="str">
        <f>IFERROR(__xludf.DUMMYFUNCTION("""COMPUTED_VALUE"""),"Virtual Wallet")</f>
        <v>Virtual Wallet</v>
      </c>
      <c r="F152" s="6" t="s">
        <v>15</v>
      </c>
      <c r="G152" s="8" t="str">
        <f t="shared" si="1"/>
        <v>202406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4"/>
      <c r="DP152" s="4"/>
      <c r="DQ152" s="4"/>
      <c r="DR152" s="4"/>
      <c r="DS152" s="4"/>
    </row>
    <row r="153">
      <c r="A153" s="5">
        <f>IFERROR(__xludf.DUMMYFUNCTION("""COMPUTED_VALUE"""),45449.0)</f>
        <v>45449</v>
      </c>
      <c r="B153" s="6" t="str">
        <f>IFERROR(__xludf.DUMMYFUNCTION("""COMPUTED_VALUE"""),"Restaurant")</f>
        <v>Restaurant</v>
      </c>
      <c r="C153" s="7">
        <f>IFERROR(__xludf.DUMMYFUNCTION("""COMPUTED_VALUE"""),5400.0)</f>
        <v>5400</v>
      </c>
      <c r="D153" s="6" t="str">
        <f>IFERROR(__xludf.DUMMYFUNCTION("""COMPUTED_VALUE"""),"Restaurant / Café")</f>
        <v>Restaurant / Café</v>
      </c>
      <c r="E153" s="6" t="str">
        <f>IFERROR(__xludf.DUMMYFUNCTION("""COMPUTED_VALUE"""),"Virtual Wallet")</f>
        <v>Virtual Wallet</v>
      </c>
      <c r="F153" s="6" t="s">
        <v>14</v>
      </c>
      <c r="G153" s="8" t="str">
        <f t="shared" si="1"/>
        <v>202406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4"/>
      <c r="DP153" s="4"/>
      <c r="DQ153" s="4"/>
      <c r="DR153" s="4"/>
      <c r="DS153" s="4"/>
    </row>
    <row r="154">
      <c r="A154" s="5">
        <f>IFERROR(__xludf.DUMMYFUNCTION("""COMPUTED_VALUE"""),45450.0)</f>
        <v>45450</v>
      </c>
      <c r="B154" s="6" t="str">
        <f>IFERROR(__xludf.DUMMYFUNCTION("""COMPUTED_VALUE"""),"Internet Services")</f>
        <v>Internet Services</v>
      </c>
      <c r="C154" s="7">
        <f>IFERROR(__xludf.DUMMYFUNCTION("""COMPUTED_VALUE"""),22607.0)</f>
        <v>22607</v>
      </c>
      <c r="D154" s="6" t="str">
        <f>IFERROR(__xludf.DUMMYFUNCTION("""COMPUTED_VALUE"""),"Basic Services")</f>
        <v>Basic Services</v>
      </c>
      <c r="E154" s="6" t="str">
        <f>IFERROR(__xludf.DUMMYFUNCTION("""COMPUTED_VALUE"""),"Credit Card")</f>
        <v>Credit Card</v>
      </c>
      <c r="F154" s="6" t="s">
        <v>13</v>
      </c>
      <c r="G154" s="8" t="str">
        <f t="shared" si="1"/>
        <v>202406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4"/>
      <c r="DP154" s="4"/>
      <c r="DQ154" s="4"/>
      <c r="DR154" s="4"/>
      <c r="DS154" s="4"/>
    </row>
    <row r="155">
      <c r="A155" s="5">
        <f>IFERROR(__xludf.DUMMYFUNCTION("""COMPUTED_VALUE"""),45450.0)</f>
        <v>45450</v>
      </c>
      <c r="B155" s="6" t="str">
        <f>IFERROR(__xludf.DUMMYFUNCTION("""COMPUTED_VALUE"""),"Pharmacy")</f>
        <v>Pharmacy</v>
      </c>
      <c r="C155" s="7">
        <f>IFERROR(__xludf.DUMMYFUNCTION("""COMPUTED_VALUE"""),9530.5)</f>
        <v>9530.5</v>
      </c>
      <c r="D155" s="6" t="str">
        <f>IFERROR(__xludf.DUMMYFUNCTION("""COMPUTED_VALUE"""),"Personal Care")</f>
        <v>Personal Care</v>
      </c>
      <c r="E155" s="6" t="str">
        <f>IFERROR(__xludf.DUMMYFUNCTION("""COMPUTED_VALUE"""),"Credit Card")</f>
        <v>Credit Card</v>
      </c>
      <c r="F155" s="6" t="s">
        <v>16</v>
      </c>
      <c r="G155" s="8" t="str">
        <f t="shared" si="1"/>
        <v>202406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4"/>
      <c r="DP155" s="4"/>
      <c r="DQ155" s="4"/>
      <c r="DR155" s="4"/>
      <c r="DS155" s="4"/>
    </row>
    <row r="156">
      <c r="A156" s="5">
        <f>IFERROR(__xludf.DUMMYFUNCTION("""COMPUTED_VALUE"""),45450.0)</f>
        <v>45450</v>
      </c>
      <c r="B156" s="6" t="str">
        <f>IFERROR(__xludf.DUMMYFUNCTION("""COMPUTED_VALUE"""),"Groceries")</f>
        <v>Groceries</v>
      </c>
      <c r="C156" s="7">
        <f>IFERROR(__xludf.DUMMYFUNCTION("""COMPUTED_VALUE"""),1000.0)</f>
        <v>1000</v>
      </c>
      <c r="D156" s="6" t="str">
        <f>IFERROR(__xludf.DUMMYFUNCTION("""COMPUTED_VALUE"""),"Groceries")</f>
        <v>Groceries</v>
      </c>
      <c r="E156" s="6" t="str">
        <f>IFERROR(__xludf.DUMMYFUNCTION("""COMPUTED_VALUE"""),"Virtual Wallet")</f>
        <v>Virtual Wallet</v>
      </c>
      <c r="F156" s="6" t="s">
        <v>7</v>
      </c>
      <c r="G156" s="8" t="str">
        <f t="shared" si="1"/>
        <v>202406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4"/>
      <c r="DP156" s="4"/>
      <c r="DQ156" s="4"/>
      <c r="DR156" s="4"/>
      <c r="DS156" s="4"/>
    </row>
    <row r="157">
      <c r="A157" s="5">
        <f>IFERROR(__xludf.DUMMYFUNCTION("""COMPUTED_VALUE"""),45450.0)</f>
        <v>45450</v>
      </c>
      <c r="B157" s="6" t="str">
        <f>IFERROR(__xludf.DUMMYFUNCTION("""COMPUTED_VALUE"""),"Restaurant")</f>
        <v>Restaurant</v>
      </c>
      <c r="C157" s="7">
        <f>IFERROR(__xludf.DUMMYFUNCTION("""COMPUTED_VALUE"""),18.0)</f>
        <v>18</v>
      </c>
      <c r="D157" s="6" t="str">
        <f>IFERROR(__xludf.DUMMYFUNCTION("""COMPUTED_VALUE"""),"Restaurant / Café")</f>
        <v>Restaurant / Café</v>
      </c>
      <c r="E157" s="6" t="str">
        <f>IFERROR(__xludf.DUMMYFUNCTION("""COMPUTED_VALUE"""),"Virtual Wallet")</f>
        <v>Virtual Wallet</v>
      </c>
      <c r="F157" s="6" t="s">
        <v>14</v>
      </c>
      <c r="G157" s="8" t="str">
        <f t="shared" si="1"/>
        <v>202406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4"/>
      <c r="DP157" s="4"/>
      <c r="DQ157" s="4"/>
      <c r="DR157" s="4"/>
      <c r="DS157" s="4"/>
    </row>
    <row r="158">
      <c r="A158" s="5">
        <f>IFERROR(__xludf.DUMMYFUNCTION("""COMPUTED_VALUE"""),45450.0)</f>
        <v>45450</v>
      </c>
      <c r="B158" s="6" t="str">
        <f>IFERROR(__xludf.DUMMYFUNCTION("""COMPUTED_VALUE"""),"Restaurant")</f>
        <v>Restaurant</v>
      </c>
      <c r="C158" s="7">
        <f>IFERROR(__xludf.DUMMYFUNCTION("""COMPUTED_VALUE"""),9000.0)</f>
        <v>9000</v>
      </c>
      <c r="D158" s="6" t="str">
        <f>IFERROR(__xludf.DUMMYFUNCTION("""COMPUTED_VALUE"""),"Restaurant / Café")</f>
        <v>Restaurant / Café</v>
      </c>
      <c r="E158" s="6" t="str">
        <f>IFERROR(__xludf.DUMMYFUNCTION("""COMPUTED_VALUE"""),"Virtual Wallet")</f>
        <v>Virtual Wallet</v>
      </c>
      <c r="F158" s="6" t="s">
        <v>14</v>
      </c>
      <c r="G158" s="8" t="str">
        <f t="shared" si="1"/>
        <v>202406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4"/>
      <c r="DP158" s="4"/>
      <c r="DQ158" s="4"/>
      <c r="DR158" s="4"/>
      <c r="DS158" s="4"/>
    </row>
    <row r="159">
      <c r="A159" s="5">
        <f>IFERROR(__xludf.DUMMYFUNCTION("""COMPUTED_VALUE"""),45451.0)</f>
        <v>45451</v>
      </c>
      <c r="B159" s="6" t="str">
        <f>IFERROR(__xludf.DUMMYFUNCTION("""COMPUTED_VALUE"""),"Donation")</f>
        <v>Donation</v>
      </c>
      <c r="C159" s="7">
        <f>IFERROR(__xludf.DUMMYFUNCTION("""COMPUTED_VALUE"""),4000.0)</f>
        <v>4000</v>
      </c>
      <c r="D159" s="6" t="str">
        <f>IFERROR(__xludf.DUMMYFUNCTION("""COMPUTED_VALUE"""),"Donation")</f>
        <v>Donation</v>
      </c>
      <c r="E159" s="6" t="str">
        <f>IFERROR(__xludf.DUMMYFUNCTION("""COMPUTED_VALUE"""),"Virtual Wallet")</f>
        <v>Virtual Wallet</v>
      </c>
      <c r="F159" s="6"/>
      <c r="G159" s="8" t="str">
        <f t="shared" si="1"/>
        <v>202406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4"/>
      <c r="DP159" s="4"/>
      <c r="DQ159" s="4"/>
      <c r="DR159" s="4"/>
      <c r="DS159" s="4"/>
    </row>
    <row r="160">
      <c r="A160" s="5">
        <f>IFERROR(__xludf.DUMMYFUNCTION("""COMPUTED_VALUE"""),45451.0)</f>
        <v>45451</v>
      </c>
      <c r="B160" s="6" t="str">
        <f>IFERROR(__xludf.DUMMYFUNCTION("""COMPUTED_VALUE"""),"Groceries")</f>
        <v>Groceries</v>
      </c>
      <c r="C160" s="7">
        <f>IFERROR(__xludf.DUMMYFUNCTION("""COMPUTED_VALUE"""),1500.0)</f>
        <v>1500</v>
      </c>
      <c r="D160" s="6" t="str">
        <f>IFERROR(__xludf.DUMMYFUNCTION("""COMPUTED_VALUE"""),"Groceries")</f>
        <v>Groceries</v>
      </c>
      <c r="E160" s="6" t="str">
        <f>IFERROR(__xludf.DUMMYFUNCTION("""COMPUTED_VALUE"""),"Cash")</f>
        <v>Cash</v>
      </c>
      <c r="F160" s="6" t="s">
        <v>7</v>
      </c>
      <c r="G160" s="8" t="str">
        <f t="shared" si="1"/>
        <v>202406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4"/>
      <c r="DP160" s="4"/>
      <c r="DQ160" s="4"/>
      <c r="DR160" s="4"/>
      <c r="DS160" s="4"/>
    </row>
    <row r="161">
      <c r="A161" s="5">
        <f>IFERROR(__xludf.DUMMYFUNCTION("""COMPUTED_VALUE"""),45451.0)</f>
        <v>45451</v>
      </c>
      <c r="B161" s="6" t="str">
        <f>IFERROR(__xludf.DUMMYFUNCTION("""COMPUTED_VALUE"""),"Groceries")</f>
        <v>Groceries</v>
      </c>
      <c r="C161" s="7">
        <f>IFERROR(__xludf.DUMMYFUNCTION("""COMPUTED_VALUE"""),500.0)</f>
        <v>500</v>
      </c>
      <c r="D161" s="6" t="str">
        <f>IFERROR(__xludf.DUMMYFUNCTION("""COMPUTED_VALUE"""),"Groceries")</f>
        <v>Groceries</v>
      </c>
      <c r="E161" s="6" t="str">
        <f>IFERROR(__xludf.DUMMYFUNCTION("""COMPUTED_VALUE"""),"Cash")</f>
        <v>Cash</v>
      </c>
      <c r="F161" s="6" t="s">
        <v>7</v>
      </c>
      <c r="G161" s="8" t="str">
        <f t="shared" si="1"/>
        <v>202406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4"/>
      <c r="DP161" s="4"/>
      <c r="DQ161" s="4"/>
      <c r="DR161" s="4"/>
      <c r="DS161" s="4"/>
    </row>
    <row r="162">
      <c r="A162" s="5">
        <f>IFERROR(__xludf.DUMMYFUNCTION("""COMPUTED_VALUE"""),45451.0)</f>
        <v>45451</v>
      </c>
      <c r="B162" s="6" t="str">
        <f>IFERROR(__xludf.DUMMYFUNCTION("""COMPUTED_VALUE"""),"Groceries")</f>
        <v>Groceries</v>
      </c>
      <c r="C162" s="7">
        <f>IFERROR(__xludf.DUMMYFUNCTION("""COMPUTED_VALUE"""),34.25)</f>
        <v>34.25</v>
      </c>
      <c r="D162" s="6" t="str">
        <f>IFERROR(__xludf.DUMMYFUNCTION("""COMPUTED_VALUE"""),"Groceries")</f>
        <v>Groceries</v>
      </c>
      <c r="E162" s="6" t="str">
        <f>IFERROR(__xludf.DUMMYFUNCTION("""COMPUTED_VALUE"""),"Virtual Wallet")</f>
        <v>Virtual Wallet</v>
      </c>
      <c r="F162" s="6" t="s">
        <v>7</v>
      </c>
      <c r="G162" s="8" t="str">
        <f t="shared" si="1"/>
        <v>202406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4"/>
      <c r="DP162" s="4"/>
      <c r="DQ162" s="4"/>
      <c r="DR162" s="4"/>
      <c r="DS162" s="4"/>
    </row>
    <row r="163">
      <c r="A163" s="5">
        <f>IFERROR(__xludf.DUMMYFUNCTION("""COMPUTED_VALUE"""),45451.0)</f>
        <v>45451</v>
      </c>
      <c r="B163" s="6" t="str">
        <f>IFERROR(__xludf.DUMMYFUNCTION("""COMPUTED_VALUE"""),"Home Goods")</f>
        <v>Home Goods</v>
      </c>
      <c r="C163" s="7">
        <f>IFERROR(__xludf.DUMMYFUNCTION("""COMPUTED_VALUE"""),5450.0)</f>
        <v>5450</v>
      </c>
      <c r="D163" s="6" t="str">
        <f>IFERROR(__xludf.DUMMYFUNCTION("""COMPUTED_VALUE"""),"Home Goods &amp; Utilities")</f>
        <v>Home Goods &amp; Utilities</v>
      </c>
      <c r="E163" s="6" t="str">
        <f>IFERROR(__xludf.DUMMYFUNCTION("""COMPUTED_VALUE"""),"Debit Card")</f>
        <v>Debit Card</v>
      </c>
      <c r="F163" s="6" t="s">
        <v>8</v>
      </c>
      <c r="G163" s="8" t="str">
        <f t="shared" si="1"/>
        <v>202406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4"/>
      <c r="DP163" s="4"/>
      <c r="DQ163" s="4"/>
      <c r="DR163" s="4"/>
      <c r="DS163" s="4"/>
    </row>
    <row r="164">
      <c r="A164" s="5">
        <f>IFERROR(__xludf.DUMMYFUNCTION("""COMPUTED_VALUE"""),45452.0)</f>
        <v>45452</v>
      </c>
      <c r="B164" s="6" t="str">
        <f>IFERROR(__xludf.DUMMYFUNCTION("""COMPUTED_VALUE"""),"Car Expenses")</f>
        <v>Car Expenses</v>
      </c>
      <c r="C164" s="7">
        <f>IFERROR(__xludf.DUMMYFUNCTION("""COMPUTED_VALUE"""),600.0)</f>
        <v>600</v>
      </c>
      <c r="D164" s="6" t="str">
        <f>IFERROR(__xludf.DUMMYFUNCTION("""COMPUTED_VALUE"""),"Car Expenses")</f>
        <v>Car Expenses</v>
      </c>
      <c r="E164" s="6" t="str">
        <f>IFERROR(__xludf.DUMMYFUNCTION("""COMPUTED_VALUE"""),"Virtual Wallet")</f>
        <v>Virtual Wallet</v>
      </c>
      <c r="F164" s="6" t="s">
        <v>9</v>
      </c>
      <c r="G164" s="8" t="str">
        <f t="shared" si="1"/>
        <v>202406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4"/>
      <c r="DP164" s="4"/>
      <c r="DQ164" s="4"/>
      <c r="DR164" s="4"/>
      <c r="DS164" s="4"/>
    </row>
    <row r="165">
      <c r="A165" s="5">
        <f>IFERROR(__xludf.DUMMYFUNCTION("""COMPUTED_VALUE"""),45453.0)</f>
        <v>45453</v>
      </c>
      <c r="B165" s="6" t="str">
        <f>IFERROR(__xludf.DUMMYFUNCTION("""COMPUTED_VALUE"""),"Groceries")</f>
        <v>Groceries</v>
      </c>
      <c r="C165" s="7">
        <f>IFERROR(__xludf.DUMMYFUNCTION("""COMPUTED_VALUE"""),27.75)</f>
        <v>27.75</v>
      </c>
      <c r="D165" s="6" t="str">
        <f>IFERROR(__xludf.DUMMYFUNCTION("""COMPUTED_VALUE"""),"Groceries")</f>
        <v>Groceries</v>
      </c>
      <c r="E165" s="6" t="str">
        <f>IFERROR(__xludf.DUMMYFUNCTION("""COMPUTED_VALUE"""),"Virtual Wallet")</f>
        <v>Virtual Wallet</v>
      </c>
      <c r="F165" s="6" t="s">
        <v>7</v>
      </c>
      <c r="G165" s="8" t="str">
        <f t="shared" si="1"/>
        <v>202406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4"/>
      <c r="DP165" s="4"/>
      <c r="DQ165" s="4"/>
      <c r="DR165" s="4"/>
      <c r="DS165" s="4"/>
    </row>
    <row r="166">
      <c r="A166" s="5">
        <f>IFERROR(__xludf.DUMMYFUNCTION("""COMPUTED_VALUE"""),45454.0)</f>
        <v>45454</v>
      </c>
      <c r="B166" s="6" t="str">
        <f>IFERROR(__xludf.DUMMYFUNCTION("""COMPUTED_VALUE"""),"Restaurant")</f>
        <v>Restaurant</v>
      </c>
      <c r="C166" s="7">
        <f>IFERROR(__xludf.DUMMYFUNCTION("""COMPUTED_VALUE"""),1500.0)</f>
        <v>1500</v>
      </c>
      <c r="D166" s="6" t="str">
        <f>IFERROR(__xludf.DUMMYFUNCTION("""COMPUTED_VALUE"""),"Restaurant / Café")</f>
        <v>Restaurant / Café</v>
      </c>
      <c r="E166" s="6" t="str">
        <f>IFERROR(__xludf.DUMMYFUNCTION("""COMPUTED_VALUE"""),"Virtual Wallet")</f>
        <v>Virtual Wallet</v>
      </c>
      <c r="F166" s="6" t="s">
        <v>14</v>
      </c>
      <c r="G166" s="8" t="str">
        <f t="shared" si="1"/>
        <v>202406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4"/>
      <c r="DP166" s="4"/>
      <c r="DQ166" s="4"/>
      <c r="DR166" s="4"/>
      <c r="DS166" s="4"/>
    </row>
    <row r="167">
      <c r="A167" s="5">
        <f>IFERROR(__xludf.DUMMYFUNCTION("""COMPUTED_VALUE"""),45455.0)</f>
        <v>45455</v>
      </c>
      <c r="B167" s="6" t="str">
        <f>IFERROR(__xludf.DUMMYFUNCTION("""COMPUTED_VALUE"""),"Doctor Visit")</f>
        <v>Doctor Visit</v>
      </c>
      <c r="C167" s="7">
        <f>IFERROR(__xludf.DUMMYFUNCTION("""COMPUTED_VALUE"""),112000.0)</f>
        <v>112000</v>
      </c>
      <c r="D167" s="6" t="str">
        <f>IFERROR(__xludf.DUMMYFUNCTION("""COMPUTED_VALUE"""),"Healthcare")</f>
        <v>Healthcare</v>
      </c>
      <c r="E167" s="6" t="str">
        <f>IFERROR(__xludf.DUMMYFUNCTION("""COMPUTED_VALUE"""),"Bank Transfer")</f>
        <v>Bank Transfer</v>
      </c>
      <c r="F167" s="6" t="s">
        <v>15</v>
      </c>
      <c r="G167" s="8" t="str">
        <f t="shared" si="1"/>
        <v>202406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4"/>
      <c r="DP167" s="4"/>
      <c r="DQ167" s="4"/>
      <c r="DR167" s="4"/>
      <c r="DS167" s="4"/>
    </row>
    <row r="168">
      <c r="A168" s="5">
        <f>IFERROR(__xludf.DUMMYFUNCTION("""COMPUTED_VALUE"""),45455.0)</f>
        <v>45455</v>
      </c>
      <c r="B168" s="6" t="str">
        <f>IFERROR(__xludf.DUMMYFUNCTION("""COMPUTED_VALUE"""),"Restaurant")</f>
        <v>Restaurant</v>
      </c>
      <c r="C168" s="7">
        <f>IFERROR(__xludf.DUMMYFUNCTION("""COMPUTED_VALUE"""),18000.0)</f>
        <v>18000</v>
      </c>
      <c r="D168" s="6" t="str">
        <f>IFERROR(__xludf.DUMMYFUNCTION("""COMPUTED_VALUE"""),"Restaurant / Café")</f>
        <v>Restaurant / Café</v>
      </c>
      <c r="E168" s="6" t="str">
        <f>IFERROR(__xludf.DUMMYFUNCTION("""COMPUTED_VALUE"""),"Virtual Wallet")</f>
        <v>Virtual Wallet</v>
      </c>
      <c r="F168" s="6" t="s">
        <v>14</v>
      </c>
      <c r="G168" s="8" t="str">
        <f t="shared" si="1"/>
        <v>202406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4"/>
      <c r="DP168" s="4"/>
      <c r="DQ168" s="4"/>
      <c r="DR168" s="4"/>
      <c r="DS168" s="4"/>
    </row>
    <row r="169">
      <c r="A169" s="5">
        <f>IFERROR(__xludf.DUMMYFUNCTION("""COMPUTED_VALUE"""),45456.0)</f>
        <v>45456</v>
      </c>
      <c r="B169" s="6" t="str">
        <f>IFERROR(__xludf.DUMMYFUNCTION("""COMPUTED_VALUE"""),"Gasoline")</f>
        <v>Gasoline</v>
      </c>
      <c r="C169" s="7">
        <f>IFERROR(__xludf.DUMMYFUNCTION("""COMPUTED_VALUE"""),15000.0)</f>
        <v>15000</v>
      </c>
      <c r="D169" s="6" t="str">
        <f>IFERROR(__xludf.DUMMYFUNCTION("""COMPUTED_VALUE"""),"Car Expenses")</f>
        <v>Car Expenses</v>
      </c>
      <c r="E169" s="6" t="str">
        <f>IFERROR(__xludf.DUMMYFUNCTION("""COMPUTED_VALUE"""),"Debit Card")</f>
        <v>Debit Card</v>
      </c>
      <c r="F169" s="6" t="s">
        <v>9</v>
      </c>
      <c r="G169" s="8" t="str">
        <f t="shared" si="1"/>
        <v>202406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4"/>
      <c r="DP169" s="4"/>
      <c r="DQ169" s="4"/>
      <c r="DR169" s="4"/>
      <c r="DS169" s="4"/>
    </row>
    <row r="170">
      <c r="A170" s="5">
        <f>IFERROR(__xludf.DUMMYFUNCTION("""COMPUTED_VALUE"""),45456.0)</f>
        <v>45456</v>
      </c>
      <c r="B170" s="6" t="str">
        <f>IFERROR(__xludf.DUMMYFUNCTION("""COMPUTED_VALUE"""),"Gift")</f>
        <v>Gift</v>
      </c>
      <c r="C170" s="7">
        <f>IFERROR(__xludf.DUMMYFUNCTION("""COMPUTED_VALUE"""),8996.0)</f>
        <v>8996</v>
      </c>
      <c r="D170" s="6" t="str">
        <f>IFERROR(__xludf.DUMMYFUNCTION("""COMPUTED_VALUE"""),"Gifts")</f>
        <v>Gifts</v>
      </c>
      <c r="E170" s="6" t="str">
        <f>IFERROR(__xludf.DUMMYFUNCTION("""COMPUTED_VALUE"""),"Credit Card")</f>
        <v>Credit Card</v>
      </c>
      <c r="F170" s="6"/>
      <c r="G170" s="8" t="str">
        <f t="shared" si="1"/>
        <v>202406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4"/>
      <c r="DP170" s="4"/>
      <c r="DQ170" s="4"/>
      <c r="DR170" s="4"/>
      <c r="DS170" s="4"/>
    </row>
    <row r="171">
      <c r="A171" s="5">
        <f>IFERROR(__xludf.DUMMYFUNCTION("""COMPUTED_VALUE"""),45456.0)</f>
        <v>45456</v>
      </c>
      <c r="B171" s="6" t="str">
        <f>IFERROR(__xludf.DUMMYFUNCTION("""COMPUTED_VALUE"""),"Groceries")</f>
        <v>Groceries</v>
      </c>
      <c r="C171" s="7">
        <f>IFERROR(__xludf.DUMMYFUNCTION("""COMPUTED_VALUE"""),5219.0)</f>
        <v>5219</v>
      </c>
      <c r="D171" s="6" t="str">
        <f>IFERROR(__xludf.DUMMYFUNCTION("""COMPUTED_VALUE"""),"Groceries")</f>
        <v>Groceries</v>
      </c>
      <c r="E171" s="6" t="str">
        <f>IFERROR(__xludf.DUMMYFUNCTION("""COMPUTED_VALUE"""),"Debit Card")</f>
        <v>Debit Card</v>
      </c>
      <c r="F171" s="6" t="s">
        <v>7</v>
      </c>
      <c r="G171" s="8" t="str">
        <f t="shared" si="1"/>
        <v>202406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4"/>
      <c r="DP171" s="4"/>
      <c r="DQ171" s="4"/>
      <c r="DR171" s="4"/>
      <c r="DS171" s="4"/>
    </row>
    <row r="172">
      <c r="A172" s="5">
        <f>IFERROR(__xludf.DUMMYFUNCTION("""COMPUTED_VALUE"""),45456.0)</f>
        <v>45456</v>
      </c>
      <c r="B172" s="6" t="str">
        <f>IFERROR(__xludf.DUMMYFUNCTION("""COMPUTED_VALUE"""),"Lunch Out")</f>
        <v>Lunch Out</v>
      </c>
      <c r="C172" s="7">
        <f>IFERROR(__xludf.DUMMYFUNCTION("""COMPUTED_VALUE"""),26.0)</f>
        <v>26</v>
      </c>
      <c r="D172" s="6" t="str">
        <f>IFERROR(__xludf.DUMMYFUNCTION("""COMPUTED_VALUE"""),"Lunch Out")</f>
        <v>Lunch Out</v>
      </c>
      <c r="E172" s="6" t="str">
        <f>IFERROR(__xludf.DUMMYFUNCTION("""COMPUTED_VALUE"""),"Virtual Wallet")</f>
        <v>Virtual Wallet</v>
      </c>
      <c r="F172" s="6" t="s">
        <v>14</v>
      </c>
      <c r="G172" s="8" t="str">
        <f t="shared" si="1"/>
        <v>202406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4"/>
      <c r="DP172" s="4"/>
      <c r="DQ172" s="4"/>
      <c r="DR172" s="4"/>
      <c r="DS172" s="4"/>
    </row>
    <row r="173">
      <c r="A173" s="5">
        <f>IFERROR(__xludf.DUMMYFUNCTION("""COMPUTED_VALUE"""),45457.0)</f>
        <v>45457</v>
      </c>
      <c r="B173" s="6" t="str">
        <f>IFERROR(__xludf.DUMMYFUNCTION("""COMPUTED_VALUE"""),"Car Expenses")</f>
        <v>Car Expenses</v>
      </c>
      <c r="C173" s="7">
        <f>IFERROR(__xludf.DUMMYFUNCTION("""COMPUTED_VALUE"""),3668.0)</f>
        <v>3668</v>
      </c>
      <c r="D173" s="6" t="str">
        <f>IFERROR(__xludf.DUMMYFUNCTION("""COMPUTED_VALUE"""),"Transportation")</f>
        <v>Transportation</v>
      </c>
      <c r="E173" s="6" t="str">
        <f>IFERROR(__xludf.DUMMYFUNCTION("""COMPUTED_VALUE"""),"Virtual Wallet")</f>
        <v>Virtual Wallet</v>
      </c>
      <c r="F173" s="6" t="s">
        <v>9</v>
      </c>
      <c r="G173" s="8" t="str">
        <f t="shared" si="1"/>
        <v>202406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4"/>
      <c r="DP173" s="4"/>
      <c r="DQ173" s="4"/>
      <c r="DR173" s="4"/>
      <c r="DS173" s="4"/>
    </row>
    <row r="174">
      <c r="A174" s="5">
        <f>IFERROR(__xludf.DUMMYFUNCTION("""COMPUTED_VALUE"""),45457.0)</f>
        <v>45457</v>
      </c>
      <c r="B174" s="6" t="str">
        <f>IFERROR(__xludf.DUMMYFUNCTION("""COMPUTED_VALUE"""),"Restaurant")</f>
        <v>Restaurant</v>
      </c>
      <c r="C174" s="7">
        <f>IFERROR(__xludf.DUMMYFUNCTION("""COMPUTED_VALUE"""),5000.0)</f>
        <v>5000</v>
      </c>
      <c r="D174" s="6" t="str">
        <f>IFERROR(__xludf.DUMMYFUNCTION("""COMPUTED_VALUE"""),"Restaurant / Café")</f>
        <v>Restaurant / Café</v>
      </c>
      <c r="E174" s="6" t="str">
        <f>IFERROR(__xludf.DUMMYFUNCTION("""COMPUTED_VALUE"""),"Cash")</f>
        <v>Cash</v>
      </c>
      <c r="F174" s="6" t="s">
        <v>14</v>
      </c>
      <c r="G174" s="8" t="str">
        <f t="shared" si="1"/>
        <v>202406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4"/>
      <c r="DP174" s="4"/>
      <c r="DQ174" s="4"/>
      <c r="DR174" s="4"/>
      <c r="DS174" s="4"/>
    </row>
    <row r="175">
      <c r="A175" s="5">
        <f>IFERROR(__xludf.DUMMYFUNCTION("""COMPUTED_VALUE"""),45457.0)</f>
        <v>45457</v>
      </c>
      <c r="B175" s="6" t="str">
        <f>IFERROR(__xludf.DUMMYFUNCTION("""COMPUTED_VALUE"""),"Restaurant")</f>
        <v>Restaurant</v>
      </c>
      <c r="C175" s="7">
        <f>IFERROR(__xludf.DUMMYFUNCTION("""COMPUTED_VALUE"""),7077.0)</f>
        <v>7077</v>
      </c>
      <c r="D175" s="6" t="str">
        <f>IFERROR(__xludf.DUMMYFUNCTION("""COMPUTED_VALUE"""),"Restaurant / Café")</f>
        <v>Restaurant / Café</v>
      </c>
      <c r="E175" s="6" t="str">
        <f>IFERROR(__xludf.DUMMYFUNCTION("""COMPUTED_VALUE"""),"Virtual Wallet")</f>
        <v>Virtual Wallet</v>
      </c>
      <c r="F175" s="6" t="s">
        <v>14</v>
      </c>
      <c r="G175" s="8" t="str">
        <f t="shared" si="1"/>
        <v>202406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4"/>
      <c r="DP175" s="4"/>
      <c r="DQ175" s="4"/>
      <c r="DR175" s="4"/>
      <c r="DS175" s="4"/>
    </row>
    <row r="176">
      <c r="A176" s="5">
        <f>IFERROR(__xludf.DUMMYFUNCTION("""COMPUTED_VALUE"""),45459.0)</f>
        <v>45459</v>
      </c>
      <c r="B176" s="6" t="str">
        <f>IFERROR(__xludf.DUMMYFUNCTION("""COMPUTED_VALUE"""),"Groceries")</f>
        <v>Groceries</v>
      </c>
      <c r="C176" s="7">
        <f>IFERROR(__xludf.DUMMYFUNCTION("""COMPUTED_VALUE"""),1500.0)</f>
        <v>1500</v>
      </c>
      <c r="D176" s="6" t="str">
        <f>IFERROR(__xludf.DUMMYFUNCTION("""COMPUTED_VALUE"""),"Groceries")</f>
        <v>Groceries</v>
      </c>
      <c r="E176" s="6" t="str">
        <f>IFERROR(__xludf.DUMMYFUNCTION("""COMPUTED_VALUE"""),"Debit Card")</f>
        <v>Debit Card</v>
      </c>
      <c r="F176" s="6" t="s">
        <v>7</v>
      </c>
      <c r="G176" s="8" t="str">
        <f t="shared" si="1"/>
        <v>202406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4"/>
      <c r="DP176" s="4"/>
      <c r="DQ176" s="4"/>
      <c r="DR176" s="4"/>
      <c r="DS176" s="4"/>
    </row>
    <row r="177">
      <c r="A177" s="5">
        <f>IFERROR(__xludf.DUMMYFUNCTION("""COMPUTED_VALUE"""),45459.0)</f>
        <v>45459</v>
      </c>
      <c r="B177" s="6" t="str">
        <f>IFERROR(__xludf.DUMMYFUNCTION("""COMPUTED_VALUE"""),"Groceries")</f>
        <v>Groceries</v>
      </c>
      <c r="C177" s="7">
        <f>IFERROR(__xludf.DUMMYFUNCTION("""COMPUTED_VALUE"""),3065.0)</f>
        <v>3065</v>
      </c>
      <c r="D177" s="6" t="str">
        <f>IFERROR(__xludf.DUMMYFUNCTION("""COMPUTED_VALUE"""),"Groceries")</f>
        <v>Groceries</v>
      </c>
      <c r="E177" s="6" t="str">
        <f>IFERROR(__xludf.DUMMYFUNCTION("""COMPUTED_VALUE"""),"Virtual Wallet")</f>
        <v>Virtual Wallet</v>
      </c>
      <c r="F177" s="6" t="s">
        <v>7</v>
      </c>
      <c r="G177" s="8" t="str">
        <f t="shared" si="1"/>
        <v>202406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4"/>
      <c r="DP177" s="4"/>
      <c r="DQ177" s="4"/>
      <c r="DR177" s="4"/>
      <c r="DS177" s="4"/>
    </row>
    <row r="178">
      <c r="A178" s="5">
        <f>IFERROR(__xludf.DUMMYFUNCTION("""COMPUTED_VALUE"""),45459.0)</f>
        <v>45459</v>
      </c>
      <c r="B178" s="6" t="str">
        <f>IFERROR(__xludf.DUMMYFUNCTION("""COMPUTED_VALUE"""),"Groceries")</f>
        <v>Groceries</v>
      </c>
      <c r="C178" s="7">
        <f>IFERROR(__xludf.DUMMYFUNCTION("""COMPUTED_VALUE"""),3635.0)</f>
        <v>3635</v>
      </c>
      <c r="D178" s="6" t="str">
        <f>IFERROR(__xludf.DUMMYFUNCTION("""COMPUTED_VALUE"""),"Groceries")</f>
        <v>Groceries</v>
      </c>
      <c r="E178" s="6" t="str">
        <f>IFERROR(__xludf.DUMMYFUNCTION("""COMPUTED_VALUE"""),"Debit Card")</f>
        <v>Debit Card</v>
      </c>
      <c r="F178" s="6" t="s">
        <v>7</v>
      </c>
      <c r="G178" s="8" t="str">
        <f t="shared" si="1"/>
        <v>202406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4"/>
      <c r="DP178" s="4"/>
      <c r="DQ178" s="4"/>
      <c r="DR178" s="4"/>
      <c r="DS178" s="4"/>
    </row>
    <row r="179">
      <c r="A179" s="5">
        <f>IFERROR(__xludf.DUMMYFUNCTION("""COMPUTED_VALUE"""),45459.0)</f>
        <v>45459</v>
      </c>
      <c r="B179" s="6" t="str">
        <f>IFERROR(__xludf.DUMMYFUNCTION("""COMPUTED_VALUE"""),"Home Goods")</f>
        <v>Home Goods</v>
      </c>
      <c r="C179" s="7">
        <f>IFERROR(__xludf.DUMMYFUNCTION("""COMPUTED_VALUE"""),1500.0)</f>
        <v>1500</v>
      </c>
      <c r="D179" s="6" t="str">
        <f>IFERROR(__xludf.DUMMYFUNCTION("""COMPUTED_VALUE"""),"Home Goods &amp; Utilities")</f>
        <v>Home Goods &amp; Utilities</v>
      </c>
      <c r="E179" s="6" t="str">
        <f>IFERROR(__xludf.DUMMYFUNCTION("""COMPUTED_VALUE"""),"Virtual Wallet")</f>
        <v>Virtual Wallet</v>
      </c>
      <c r="F179" s="6" t="s">
        <v>8</v>
      </c>
      <c r="G179" s="8" t="str">
        <f t="shared" si="1"/>
        <v>202406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4"/>
      <c r="DP179" s="4"/>
      <c r="DQ179" s="4"/>
      <c r="DR179" s="4"/>
      <c r="DS179" s="4"/>
    </row>
    <row r="180">
      <c r="A180" s="5">
        <f>IFERROR(__xludf.DUMMYFUNCTION("""COMPUTED_VALUE"""),45459.0)</f>
        <v>45459</v>
      </c>
      <c r="B180" s="6" t="str">
        <f>IFERROR(__xludf.DUMMYFUNCTION("""COMPUTED_VALUE"""),"Home Goods")</f>
        <v>Home Goods</v>
      </c>
      <c r="C180" s="7">
        <f>IFERROR(__xludf.DUMMYFUNCTION("""COMPUTED_VALUE"""),4500.0)</f>
        <v>4500</v>
      </c>
      <c r="D180" s="6" t="str">
        <f>IFERROR(__xludf.DUMMYFUNCTION("""COMPUTED_VALUE"""),"Home Goods &amp; Utilities")</f>
        <v>Home Goods &amp; Utilities</v>
      </c>
      <c r="E180" s="6" t="str">
        <f>IFERROR(__xludf.DUMMYFUNCTION("""COMPUTED_VALUE"""),"Debit Card")</f>
        <v>Debit Card</v>
      </c>
      <c r="F180" s="6" t="s">
        <v>8</v>
      </c>
      <c r="G180" s="8" t="str">
        <f t="shared" si="1"/>
        <v>202406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4"/>
      <c r="DP180" s="4"/>
      <c r="DQ180" s="4"/>
      <c r="DR180" s="4"/>
      <c r="DS180" s="4"/>
    </row>
    <row r="181">
      <c r="A181" s="5">
        <f>IFERROR(__xludf.DUMMYFUNCTION("""COMPUTED_VALUE"""),45459.0)</f>
        <v>45459</v>
      </c>
      <c r="B181" s="6" t="str">
        <f>IFERROR(__xludf.DUMMYFUNCTION("""COMPUTED_VALUE"""),"Home Goods")</f>
        <v>Home Goods</v>
      </c>
      <c r="C181" s="7">
        <f>IFERROR(__xludf.DUMMYFUNCTION("""COMPUTED_VALUE"""),4900.0)</f>
        <v>4900</v>
      </c>
      <c r="D181" s="6" t="str">
        <f>IFERROR(__xludf.DUMMYFUNCTION("""COMPUTED_VALUE"""),"Home Goods &amp; Utilities")</f>
        <v>Home Goods &amp; Utilities</v>
      </c>
      <c r="E181" s="6" t="str">
        <f>IFERROR(__xludf.DUMMYFUNCTION("""COMPUTED_VALUE"""),"Virtual Wallet")</f>
        <v>Virtual Wallet</v>
      </c>
      <c r="F181" s="6" t="s">
        <v>8</v>
      </c>
      <c r="G181" s="8" t="str">
        <f t="shared" si="1"/>
        <v>202406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4"/>
      <c r="DP181" s="4"/>
      <c r="DQ181" s="4"/>
      <c r="DR181" s="4"/>
      <c r="DS181" s="4"/>
    </row>
    <row r="182">
      <c r="A182" s="5">
        <f>IFERROR(__xludf.DUMMYFUNCTION("""COMPUTED_VALUE"""),45459.0)</f>
        <v>45459</v>
      </c>
      <c r="B182" s="6" t="str">
        <f>IFERROR(__xludf.DUMMYFUNCTION("""COMPUTED_VALUE"""),"Restaurant")</f>
        <v>Restaurant</v>
      </c>
      <c r="C182" s="7">
        <f>IFERROR(__xludf.DUMMYFUNCTION("""COMPUTED_VALUE"""),1000.0)</f>
        <v>1000</v>
      </c>
      <c r="D182" s="6" t="str">
        <f>IFERROR(__xludf.DUMMYFUNCTION("""COMPUTED_VALUE"""),"Restaurant / Café")</f>
        <v>Restaurant / Café</v>
      </c>
      <c r="E182" s="6" t="str">
        <f>IFERROR(__xludf.DUMMYFUNCTION("""COMPUTED_VALUE"""),"Debit Card")</f>
        <v>Debit Card</v>
      </c>
      <c r="F182" s="6" t="s">
        <v>14</v>
      </c>
      <c r="G182" s="8" t="str">
        <f t="shared" si="1"/>
        <v>202406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4"/>
      <c r="DP182" s="4"/>
      <c r="DQ182" s="4"/>
      <c r="DR182" s="4"/>
      <c r="DS182" s="4"/>
    </row>
    <row r="183">
      <c r="A183" s="5">
        <f>IFERROR(__xludf.DUMMYFUNCTION("""COMPUTED_VALUE"""),45459.0)</f>
        <v>45459</v>
      </c>
      <c r="B183" s="6" t="str">
        <f>IFERROR(__xludf.DUMMYFUNCTION("""COMPUTED_VALUE"""),"Restaurant")</f>
        <v>Restaurant</v>
      </c>
      <c r="C183" s="7">
        <f>IFERROR(__xludf.DUMMYFUNCTION("""COMPUTED_VALUE"""),31.0)</f>
        <v>31</v>
      </c>
      <c r="D183" s="6" t="str">
        <f>IFERROR(__xludf.DUMMYFUNCTION("""COMPUTED_VALUE"""),"Restaurant / Café")</f>
        <v>Restaurant / Café</v>
      </c>
      <c r="E183" s="6" t="str">
        <f>IFERROR(__xludf.DUMMYFUNCTION("""COMPUTED_VALUE"""),"Virtual Wallet")</f>
        <v>Virtual Wallet</v>
      </c>
      <c r="F183" s="6" t="s">
        <v>14</v>
      </c>
      <c r="G183" s="8" t="str">
        <f t="shared" si="1"/>
        <v>202406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4"/>
      <c r="DP183" s="4"/>
      <c r="DQ183" s="4"/>
      <c r="DR183" s="4"/>
      <c r="DS183" s="4"/>
    </row>
    <row r="184">
      <c r="A184" s="5">
        <f>IFERROR(__xludf.DUMMYFUNCTION("""COMPUTED_VALUE"""),45459.0)</f>
        <v>45459</v>
      </c>
      <c r="B184" s="6" t="str">
        <f>IFERROR(__xludf.DUMMYFUNCTION("""COMPUTED_VALUE"""),"Restaurant")</f>
        <v>Restaurant</v>
      </c>
      <c r="C184" s="7">
        <f>IFERROR(__xludf.DUMMYFUNCTION("""COMPUTED_VALUE"""),10000.0)</f>
        <v>10000</v>
      </c>
      <c r="D184" s="6" t="str">
        <f>IFERROR(__xludf.DUMMYFUNCTION("""COMPUTED_VALUE"""),"Restaurant / Café")</f>
        <v>Restaurant / Café</v>
      </c>
      <c r="E184" s="6" t="str">
        <f>IFERROR(__xludf.DUMMYFUNCTION("""COMPUTED_VALUE"""),"Virtual Wallet")</f>
        <v>Virtual Wallet</v>
      </c>
      <c r="F184" s="6" t="s">
        <v>14</v>
      </c>
      <c r="G184" s="8" t="str">
        <f t="shared" si="1"/>
        <v>202406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4"/>
      <c r="DP184" s="4"/>
      <c r="DQ184" s="4"/>
      <c r="DR184" s="4"/>
      <c r="DS184" s="4"/>
    </row>
    <row r="185">
      <c r="A185" s="5">
        <f>IFERROR(__xludf.DUMMYFUNCTION("""COMPUTED_VALUE"""),45460.0)</f>
        <v>45460</v>
      </c>
      <c r="B185" s="6" t="str">
        <f>IFERROR(__xludf.DUMMYFUNCTION("""COMPUTED_VALUE"""),"Restaurant")</f>
        <v>Restaurant</v>
      </c>
      <c r="C185" s="7">
        <f>IFERROR(__xludf.DUMMYFUNCTION("""COMPUTED_VALUE"""),4500.0)</f>
        <v>4500</v>
      </c>
      <c r="D185" s="6" t="str">
        <f>IFERROR(__xludf.DUMMYFUNCTION("""COMPUTED_VALUE"""),"Restaurant / Café")</f>
        <v>Restaurant / Café</v>
      </c>
      <c r="E185" s="6" t="str">
        <f>IFERROR(__xludf.DUMMYFUNCTION("""COMPUTED_VALUE"""),"Virtual Wallet")</f>
        <v>Virtual Wallet</v>
      </c>
      <c r="F185" s="6" t="s">
        <v>14</v>
      </c>
      <c r="G185" s="8" t="str">
        <f t="shared" si="1"/>
        <v>202406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4"/>
      <c r="DP185" s="4"/>
      <c r="DQ185" s="4"/>
      <c r="DR185" s="4"/>
      <c r="DS185" s="4"/>
    </row>
    <row r="186">
      <c r="A186" s="5">
        <f>IFERROR(__xludf.DUMMYFUNCTION("""COMPUTED_VALUE"""),45460.0)</f>
        <v>45460</v>
      </c>
      <c r="B186" s="6" t="str">
        <f>IFERROR(__xludf.DUMMYFUNCTION("""COMPUTED_VALUE"""),"Cab/Uber")</f>
        <v>Cab/Uber</v>
      </c>
      <c r="C186" s="7">
        <f>IFERROR(__xludf.DUMMYFUNCTION("""COMPUTED_VALUE"""),2000.0)</f>
        <v>2000</v>
      </c>
      <c r="D186" s="6" t="str">
        <f>IFERROR(__xludf.DUMMYFUNCTION("""COMPUTED_VALUE"""),"Transportation")</f>
        <v>Transportation</v>
      </c>
      <c r="E186" s="6" t="str">
        <f>IFERROR(__xludf.DUMMYFUNCTION("""COMPUTED_VALUE"""),"Virtual Wallet")</f>
        <v>Virtual Wallet</v>
      </c>
      <c r="F186" s="6" t="s">
        <v>9</v>
      </c>
      <c r="G186" s="8" t="str">
        <f t="shared" si="1"/>
        <v>202406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4"/>
      <c r="DP186" s="4"/>
      <c r="DQ186" s="4"/>
      <c r="DR186" s="4"/>
      <c r="DS186" s="4"/>
    </row>
    <row r="187">
      <c r="A187" s="5">
        <f>IFERROR(__xludf.DUMMYFUNCTION("""COMPUTED_VALUE"""),45461.0)</f>
        <v>45461</v>
      </c>
      <c r="B187" s="6" t="str">
        <f>IFERROR(__xludf.DUMMYFUNCTION("""COMPUTED_VALUE"""),"Pets")</f>
        <v>Pets</v>
      </c>
      <c r="C187" s="7">
        <f>IFERROR(__xludf.DUMMYFUNCTION("""COMPUTED_VALUE"""),9400.0)</f>
        <v>9400</v>
      </c>
      <c r="D187" s="6" t="str">
        <f>IFERROR(__xludf.DUMMYFUNCTION("""COMPUTED_VALUE"""),"Pets")</f>
        <v>Pets</v>
      </c>
      <c r="E187" s="6" t="str">
        <f>IFERROR(__xludf.DUMMYFUNCTION("""COMPUTED_VALUE"""),"Debit Card")</f>
        <v>Debit Card</v>
      </c>
      <c r="F187" s="6" t="s">
        <v>7</v>
      </c>
      <c r="G187" s="8" t="str">
        <f t="shared" si="1"/>
        <v>202406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4"/>
      <c r="DP187" s="4"/>
      <c r="DQ187" s="4"/>
      <c r="DR187" s="4"/>
      <c r="DS187" s="4"/>
    </row>
    <row r="188">
      <c r="A188" s="5">
        <f>IFERROR(__xludf.DUMMYFUNCTION("""COMPUTED_VALUE"""),45461.0)</f>
        <v>45461</v>
      </c>
      <c r="B188" s="6" t="str">
        <f>IFERROR(__xludf.DUMMYFUNCTION("""COMPUTED_VALUE"""),"Restaurant")</f>
        <v>Restaurant</v>
      </c>
      <c r="C188" s="7">
        <f>IFERROR(__xludf.DUMMYFUNCTION("""COMPUTED_VALUE"""),7077.0)</f>
        <v>7077</v>
      </c>
      <c r="D188" s="6" t="str">
        <f>IFERROR(__xludf.DUMMYFUNCTION("""COMPUTED_VALUE"""),"Restaurant / Café")</f>
        <v>Restaurant / Café</v>
      </c>
      <c r="E188" s="6" t="str">
        <f>IFERROR(__xludf.DUMMYFUNCTION("""COMPUTED_VALUE"""),"Debit Card")</f>
        <v>Debit Card</v>
      </c>
      <c r="F188" s="6" t="s">
        <v>14</v>
      </c>
      <c r="G188" s="8" t="str">
        <f t="shared" si="1"/>
        <v>202406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4"/>
      <c r="DP188" s="4"/>
      <c r="DQ188" s="4"/>
      <c r="DR188" s="4"/>
      <c r="DS188" s="4"/>
    </row>
    <row r="189">
      <c r="A189" s="5">
        <f>IFERROR(__xludf.DUMMYFUNCTION("""COMPUTED_VALUE"""),45462.0)</f>
        <v>45462</v>
      </c>
      <c r="B189" s="6" t="str">
        <f>IFERROR(__xludf.DUMMYFUNCTION("""COMPUTED_VALUE"""),"Home Maintenance")</f>
        <v>Home Maintenance</v>
      </c>
      <c r="C189" s="7">
        <f>IFERROR(__xludf.DUMMYFUNCTION("""COMPUTED_VALUE"""),26000.0)</f>
        <v>26000</v>
      </c>
      <c r="D189" s="6" t="str">
        <f>IFERROR(__xludf.DUMMYFUNCTION("""COMPUTED_VALUE"""),"Home Goods &amp; Utilities")</f>
        <v>Home Goods &amp; Utilities</v>
      </c>
      <c r="E189" s="6" t="str">
        <f>IFERROR(__xludf.DUMMYFUNCTION("""COMPUTED_VALUE"""),"Bank Transfer")</f>
        <v>Bank Transfer</v>
      </c>
      <c r="F189" s="6" t="s">
        <v>8</v>
      </c>
      <c r="G189" s="8" t="str">
        <f t="shared" si="1"/>
        <v>202406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4"/>
      <c r="DP189" s="4"/>
      <c r="DQ189" s="4"/>
      <c r="DR189" s="4"/>
      <c r="DS189" s="4"/>
    </row>
    <row r="190">
      <c r="A190" s="5">
        <f>IFERROR(__xludf.DUMMYFUNCTION("""COMPUTED_VALUE"""),45462.0)</f>
        <v>45462</v>
      </c>
      <c r="B190" s="6" t="str">
        <f>IFERROR(__xludf.DUMMYFUNCTION("""COMPUTED_VALUE"""),"Lunch Out")</f>
        <v>Lunch Out</v>
      </c>
      <c r="C190" s="7">
        <f>IFERROR(__xludf.DUMMYFUNCTION("""COMPUTED_VALUE"""),26.0)</f>
        <v>26</v>
      </c>
      <c r="D190" s="6" t="str">
        <f>IFERROR(__xludf.DUMMYFUNCTION("""COMPUTED_VALUE"""),"Lunch Out")</f>
        <v>Lunch Out</v>
      </c>
      <c r="E190" s="6" t="str">
        <f>IFERROR(__xludf.DUMMYFUNCTION("""COMPUTED_VALUE"""),"Virtual Wallet")</f>
        <v>Virtual Wallet</v>
      </c>
      <c r="F190" s="6" t="s">
        <v>14</v>
      </c>
      <c r="G190" s="8" t="str">
        <f t="shared" si="1"/>
        <v>202406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4"/>
      <c r="DP190" s="4"/>
      <c r="DQ190" s="4"/>
      <c r="DR190" s="4"/>
      <c r="DS190" s="4"/>
    </row>
    <row r="191">
      <c r="A191" s="5">
        <f>IFERROR(__xludf.DUMMYFUNCTION("""COMPUTED_VALUE"""),45462.0)</f>
        <v>45462</v>
      </c>
      <c r="B191" s="6" t="str">
        <f>IFERROR(__xludf.DUMMYFUNCTION("""COMPUTED_VALUE"""),"Restaurant")</f>
        <v>Restaurant</v>
      </c>
      <c r="C191" s="7">
        <f>IFERROR(__xludf.DUMMYFUNCTION("""COMPUTED_VALUE"""),8600.0)</f>
        <v>8600</v>
      </c>
      <c r="D191" s="6" t="str">
        <f>IFERROR(__xludf.DUMMYFUNCTION("""COMPUTED_VALUE"""),"Restaurant / Café")</f>
        <v>Restaurant / Café</v>
      </c>
      <c r="E191" s="6" t="str">
        <f>IFERROR(__xludf.DUMMYFUNCTION("""COMPUTED_VALUE"""),"Debit Card")</f>
        <v>Debit Card</v>
      </c>
      <c r="F191" s="6" t="s">
        <v>14</v>
      </c>
      <c r="G191" s="8" t="str">
        <f t="shared" si="1"/>
        <v>202406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4"/>
      <c r="DP191" s="4"/>
      <c r="DQ191" s="4"/>
      <c r="DR191" s="4"/>
      <c r="DS191" s="4"/>
    </row>
    <row r="192">
      <c r="A192" s="5">
        <f>IFERROR(__xludf.DUMMYFUNCTION("""COMPUTED_VALUE"""),45462.0)</f>
        <v>45462</v>
      </c>
      <c r="B192" s="6" t="str">
        <f>IFERROR(__xludf.DUMMYFUNCTION("""COMPUTED_VALUE"""),"Restaurant")</f>
        <v>Restaurant</v>
      </c>
      <c r="C192" s="7">
        <f>IFERROR(__xludf.DUMMYFUNCTION("""COMPUTED_VALUE"""),4300.0)</f>
        <v>4300</v>
      </c>
      <c r="D192" s="6" t="str">
        <f>IFERROR(__xludf.DUMMYFUNCTION("""COMPUTED_VALUE"""),"Restaurant / Café")</f>
        <v>Restaurant / Café</v>
      </c>
      <c r="E192" s="6" t="str">
        <f>IFERROR(__xludf.DUMMYFUNCTION("""COMPUTED_VALUE"""),"Debit Card")</f>
        <v>Debit Card</v>
      </c>
      <c r="F192" s="6" t="s">
        <v>14</v>
      </c>
      <c r="G192" s="8" t="str">
        <f t="shared" si="1"/>
        <v>202406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4"/>
      <c r="DP192" s="4"/>
      <c r="DQ192" s="4"/>
      <c r="DR192" s="4"/>
      <c r="DS192" s="4"/>
    </row>
    <row r="193">
      <c r="A193" s="5">
        <f>IFERROR(__xludf.DUMMYFUNCTION("""COMPUTED_VALUE"""),45463.0)</f>
        <v>45463</v>
      </c>
      <c r="B193" s="6" t="str">
        <f>IFERROR(__xludf.DUMMYFUNCTION("""COMPUTED_VALUE"""),"Groceries")</f>
        <v>Groceries</v>
      </c>
      <c r="C193" s="7">
        <f>IFERROR(__xludf.DUMMYFUNCTION("""COMPUTED_VALUE"""),11001.0)</f>
        <v>11001</v>
      </c>
      <c r="D193" s="6" t="str">
        <f>IFERROR(__xludf.DUMMYFUNCTION("""COMPUTED_VALUE"""),"Restaurant / Café")</f>
        <v>Restaurant / Café</v>
      </c>
      <c r="E193" s="6" t="str">
        <f>IFERROR(__xludf.DUMMYFUNCTION("""COMPUTED_VALUE"""),"Virtual Wallet")</f>
        <v>Virtual Wallet</v>
      </c>
      <c r="F193" s="6" t="s">
        <v>14</v>
      </c>
      <c r="G193" s="8" t="str">
        <f t="shared" si="1"/>
        <v>202406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4"/>
      <c r="DP193" s="4"/>
      <c r="DQ193" s="4"/>
      <c r="DR193" s="4"/>
      <c r="DS193" s="4"/>
    </row>
    <row r="194">
      <c r="A194" s="5">
        <f>IFERROR(__xludf.DUMMYFUNCTION("""COMPUTED_VALUE"""),45463.0)</f>
        <v>45463</v>
      </c>
      <c r="B194" s="6" t="str">
        <f>IFERROR(__xludf.DUMMYFUNCTION("""COMPUTED_VALUE"""),"Pets")</f>
        <v>Pets</v>
      </c>
      <c r="C194" s="7">
        <f>IFERROR(__xludf.DUMMYFUNCTION("""COMPUTED_VALUE"""),500.0)</f>
        <v>500</v>
      </c>
      <c r="D194" s="6" t="str">
        <f>IFERROR(__xludf.DUMMYFUNCTION("""COMPUTED_VALUE"""),"Pets")</f>
        <v>Pets</v>
      </c>
      <c r="E194" s="6" t="str">
        <f>IFERROR(__xludf.DUMMYFUNCTION("""COMPUTED_VALUE"""),"Virtual Wallet")</f>
        <v>Virtual Wallet</v>
      </c>
      <c r="F194" s="6" t="s">
        <v>7</v>
      </c>
      <c r="G194" s="8" t="str">
        <f t="shared" si="1"/>
        <v>202406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4"/>
      <c r="DP194" s="4"/>
      <c r="DQ194" s="4"/>
      <c r="DR194" s="4"/>
      <c r="DS194" s="4"/>
    </row>
    <row r="195">
      <c r="A195" s="5">
        <f>IFERROR(__xludf.DUMMYFUNCTION("""COMPUTED_VALUE"""),45464.0)</f>
        <v>45464</v>
      </c>
      <c r="B195" s="6" t="str">
        <f>IFERROR(__xludf.DUMMYFUNCTION("""COMPUTED_VALUE"""),"Groceries")</f>
        <v>Groceries</v>
      </c>
      <c r="C195" s="7">
        <f>IFERROR(__xludf.DUMMYFUNCTION("""COMPUTED_VALUE"""),2964.0)</f>
        <v>2964</v>
      </c>
      <c r="D195" s="6" t="str">
        <f>IFERROR(__xludf.DUMMYFUNCTION("""COMPUTED_VALUE"""),"Groceries")</f>
        <v>Groceries</v>
      </c>
      <c r="E195" s="6" t="str">
        <f>IFERROR(__xludf.DUMMYFUNCTION("""COMPUTED_VALUE"""),"Debit Card")</f>
        <v>Debit Card</v>
      </c>
      <c r="F195" s="6" t="s">
        <v>7</v>
      </c>
      <c r="G195" s="8" t="str">
        <f t="shared" si="1"/>
        <v>202406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4"/>
      <c r="DP195" s="4"/>
      <c r="DQ195" s="4"/>
      <c r="DR195" s="4"/>
      <c r="DS195" s="4"/>
    </row>
    <row r="196">
      <c r="A196" s="5">
        <f>IFERROR(__xludf.DUMMYFUNCTION("""COMPUTED_VALUE"""),45464.0)</f>
        <v>45464</v>
      </c>
      <c r="B196" s="6" t="str">
        <f>IFERROR(__xludf.DUMMYFUNCTION("""COMPUTED_VALUE"""),"Restaurant")</f>
        <v>Restaurant</v>
      </c>
      <c r="C196" s="7">
        <f>IFERROR(__xludf.DUMMYFUNCTION("""COMPUTED_VALUE"""),2700.0)</f>
        <v>2700</v>
      </c>
      <c r="D196" s="6" t="str">
        <f>IFERROR(__xludf.DUMMYFUNCTION("""COMPUTED_VALUE"""),"Restaurant / Café")</f>
        <v>Restaurant / Café</v>
      </c>
      <c r="E196" s="6" t="str">
        <f>IFERROR(__xludf.DUMMYFUNCTION("""COMPUTED_VALUE"""),"Virtual Wallet")</f>
        <v>Virtual Wallet</v>
      </c>
      <c r="F196" s="6" t="s">
        <v>14</v>
      </c>
      <c r="G196" s="8" t="str">
        <f t="shared" si="1"/>
        <v>202406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4"/>
      <c r="DP196" s="4"/>
      <c r="DQ196" s="4"/>
      <c r="DR196" s="4"/>
      <c r="DS196" s="4"/>
    </row>
    <row r="197">
      <c r="A197" s="5">
        <f>IFERROR(__xludf.DUMMYFUNCTION("""COMPUTED_VALUE"""),45465.0)</f>
        <v>45465</v>
      </c>
      <c r="B197" s="6" t="str">
        <f>IFERROR(__xludf.DUMMYFUNCTION("""COMPUTED_VALUE"""),"Clothing")</f>
        <v>Clothing</v>
      </c>
      <c r="C197" s="7">
        <f>IFERROR(__xludf.DUMMYFUNCTION("""COMPUTED_VALUE"""),16000.0)</f>
        <v>16000</v>
      </c>
      <c r="D197" s="6" t="str">
        <f>IFERROR(__xludf.DUMMYFUNCTION("""COMPUTED_VALUE"""),"Clothing")</f>
        <v>Clothing</v>
      </c>
      <c r="E197" s="6" t="str">
        <f>IFERROR(__xludf.DUMMYFUNCTION("""COMPUTED_VALUE"""),"Bank Transfer")</f>
        <v>Bank Transfer</v>
      </c>
      <c r="F197" s="6" t="s">
        <v>10</v>
      </c>
      <c r="G197" s="8" t="str">
        <f t="shared" si="1"/>
        <v>202406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4"/>
      <c r="DP197" s="4"/>
      <c r="DQ197" s="4"/>
      <c r="DR197" s="4"/>
      <c r="DS197" s="4"/>
    </row>
    <row r="198">
      <c r="A198" s="5">
        <f>IFERROR(__xludf.DUMMYFUNCTION("""COMPUTED_VALUE"""),45465.0)</f>
        <v>45465</v>
      </c>
      <c r="B198" s="6" t="str">
        <f>IFERROR(__xludf.DUMMYFUNCTION("""COMPUTED_VALUE"""),"Clothing")</f>
        <v>Clothing</v>
      </c>
      <c r="C198" s="7">
        <f>IFERROR(__xludf.DUMMYFUNCTION("""COMPUTED_VALUE"""),41624.0)</f>
        <v>41624</v>
      </c>
      <c r="D198" s="6" t="str">
        <f>IFERROR(__xludf.DUMMYFUNCTION("""COMPUTED_VALUE"""),"Clothing")</f>
        <v>Clothing</v>
      </c>
      <c r="E198" s="6" t="str">
        <f>IFERROR(__xludf.DUMMYFUNCTION("""COMPUTED_VALUE"""),"Bank Transfer")</f>
        <v>Bank Transfer</v>
      </c>
      <c r="F198" s="6" t="s">
        <v>10</v>
      </c>
      <c r="G198" s="8" t="str">
        <f t="shared" si="1"/>
        <v>202406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4"/>
      <c r="DP198" s="4"/>
      <c r="DQ198" s="4"/>
      <c r="DR198" s="4"/>
      <c r="DS198" s="4"/>
    </row>
    <row r="199">
      <c r="A199" s="5">
        <f>IFERROR(__xludf.DUMMYFUNCTION("""COMPUTED_VALUE"""),45466.0)</f>
        <v>45466</v>
      </c>
      <c r="B199" s="6" t="str">
        <f>IFERROR(__xludf.DUMMYFUNCTION("""COMPUTED_VALUE"""),"Restaurant")</f>
        <v>Restaurant</v>
      </c>
      <c r="C199" s="7">
        <f>IFERROR(__xludf.DUMMYFUNCTION("""COMPUTED_VALUE"""),5700.0)</f>
        <v>5700</v>
      </c>
      <c r="D199" s="6" t="str">
        <f>IFERROR(__xludf.DUMMYFUNCTION("""COMPUTED_VALUE"""),"Restaurant / Café")</f>
        <v>Restaurant / Café</v>
      </c>
      <c r="E199" s="6" t="str">
        <f>IFERROR(__xludf.DUMMYFUNCTION("""COMPUTED_VALUE"""),"Virtual Wallet")</f>
        <v>Virtual Wallet</v>
      </c>
      <c r="F199" s="6" t="s">
        <v>14</v>
      </c>
      <c r="G199" s="8" t="str">
        <f t="shared" si="1"/>
        <v>202406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4"/>
      <c r="DP199" s="4"/>
      <c r="DQ199" s="4"/>
      <c r="DR199" s="4"/>
      <c r="DS199" s="4"/>
    </row>
    <row r="200">
      <c r="A200" s="5">
        <f>IFERROR(__xludf.DUMMYFUNCTION("""COMPUTED_VALUE"""),45467.0)</f>
        <v>45467</v>
      </c>
      <c r="B200" s="6" t="str">
        <f>IFERROR(__xludf.DUMMYFUNCTION("""COMPUTED_VALUE"""),"Mobile Plan")</f>
        <v>Mobile Plan</v>
      </c>
      <c r="C200" s="7">
        <f>IFERROR(__xludf.DUMMYFUNCTION("""COMPUTED_VALUE"""),7000.0)</f>
        <v>7000</v>
      </c>
      <c r="D200" s="6" t="str">
        <f>IFERROR(__xludf.DUMMYFUNCTION("""COMPUTED_VALUE"""),"Basic Services")</f>
        <v>Basic Services</v>
      </c>
      <c r="E200" s="6" t="str">
        <f>IFERROR(__xludf.DUMMYFUNCTION("""COMPUTED_VALUE"""),"Virtual Wallet")</f>
        <v>Virtual Wallet</v>
      </c>
      <c r="F200" s="6" t="s">
        <v>13</v>
      </c>
      <c r="G200" s="8" t="str">
        <f t="shared" si="1"/>
        <v>202406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4"/>
      <c r="DP200" s="4"/>
      <c r="DQ200" s="4"/>
      <c r="DR200" s="4"/>
      <c r="DS200" s="4"/>
    </row>
    <row r="201">
      <c r="A201" s="5">
        <f>IFERROR(__xludf.DUMMYFUNCTION("""COMPUTED_VALUE"""),45474.0)</f>
        <v>45474</v>
      </c>
      <c r="B201" s="6" t="str">
        <f>IFERROR(__xludf.DUMMYFUNCTION("""COMPUTED_VALUE"""),"Home Goods")</f>
        <v>Home Goods</v>
      </c>
      <c r="C201" s="7">
        <f>IFERROR(__xludf.DUMMYFUNCTION("""COMPUTED_VALUE"""),1602.0)</f>
        <v>1602</v>
      </c>
      <c r="D201" s="6" t="str">
        <f>IFERROR(__xludf.DUMMYFUNCTION("""COMPUTED_VALUE"""),"Home Goods &amp; Utilities")</f>
        <v>Home Goods &amp; Utilities</v>
      </c>
      <c r="E201" s="6" t="str">
        <f>IFERROR(__xludf.DUMMYFUNCTION("""COMPUTED_VALUE"""),"Credit Card")</f>
        <v>Credit Card</v>
      </c>
      <c r="F201" s="6" t="s">
        <v>8</v>
      </c>
      <c r="G201" s="8" t="str">
        <f t="shared" si="1"/>
        <v>202407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4"/>
      <c r="DP201" s="4"/>
      <c r="DQ201" s="4"/>
      <c r="DR201" s="4"/>
      <c r="DS201" s="4"/>
    </row>
    <row r="202">
      <c r="A202" s="5">
        <f>IFERROR(__xludf.DUMMYFUNCTION("""COMPUTED_VALUE"""),45474.0)</f>
        <v>45474</v>
      </c>
      <c r="B202" s="6" t="str">
        <f>IFERROR(__xludf.DUMMYFUNCTION("""COMPUTED_VALUE"""),"Home Goods")</f>
        <v>Home Goods</v>
      </c>
      <c r="C202" s="7">
        <f>IFERROR(__xludf.DUMMYFUNCTION("""COMPUTED_VALUE"""),12526.0)</f>
        <v>12526</v>
      </c>
      <c r="D202" s="6" t="str">
        <f>IFERROR(__xludf.DUMMYFUNCTION("""COMPUTED_VALUE"""),"Home Goods &amp; Utilities")</f>
        <v>Home Goods &amp; Utilities</v>
      </c>
      <c r="E202" s="6" t="str">
        <f>IFERROR(__xludf.DUMMYFUNCTION("""COMPUTED_VALUE"""),"Credit Card")</f>
        <v>Credit Card</v>
      </c>
      <c r="F202" s="6" t="s">
        <v>8</v>
      </c>
      <c r="G202" s="8" t="str">
        <f t="shared" si="1"/>
        <v>202407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4"/>
      <c r="DP202" s="4"/>
      <c r="DQ202" s="4"/>
      <c r="DR202" s="4"/>
      <c r="DS202" s="4"/>
    </row>
    <row r="203">
      <c r="A203" s="5">
        <f>IFERROR(__xludf.DUMMYFUNCTION("""COMPUTED_VALUE"""),45475.0)</f>
        <v>45475</v>
      </c>
      <c r="B203" s="6" t="str">
        <f>IFERROR(__xludf.DUMMYFUNCTION("""COMPUTED_VALUE"""),"Restaurant")</f>
        <v>Restaurant</v>
      </c>
      <c r="C203" s="7">
        <f>IFERROR(__xludf.DUMMYFUNCTION("""COMPUTED_VALUE"""),1500.0)</f>
        <v>1500</v>
      </c>
      <c r="D203" s="6" t="str">
        <f>IFERROR(__xludf.DUMMYFUNCTION("""COMPUTED_VALUE"""),"Restaurant / Café")</f>
        <v>Restaurant / Café</v>
      </c>
      <c r="E203" s="6" t="str">
        <f>IFERROR(__xludf.DUMMYFUNCTION("""COMPUTED_VALUE"""),"Virtual Wallet")</f>
        <v>Virtual Wallet</v>
      </c>
      <c r="F203" s="6" t="s">
        <v>14</v>
      </c>
      <c r="G203" s="8" t="str">
        <f t="shared" si="1"/>
        <v>202407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4"/>
      <c r="DP203" s="4"/>
      <c r="DQ203" s="4"/>
      <c r="DR203" s="4"/>
      <c r="DS203" s="4"/>
    </row>
    <row r="204">
      <c r="A204" s="5">
        <f>IFERROR(__xludf.DUMMYFUNCTION("""COMPUTED_VALUE"""),45476.0)</f>
        <v>45476</v>
      </c>
      <c r="B204" s="6" t="str">
        <f>IFERROR(__xludf.DUMMYFUNCTION("""COMPUTED_VALUE"""),"Streaming Services")</f>
        <v>Streaming Services</v>
      </c>
      <c r="C204" s="7">
        <f>IFERROR(__xludf.DUMMYFUNCTION("""COMPUTED_VALUE"""),817.5)</f>
        <v>817.5</v>
      </c>
      <c r="D204" s="6" t="str">
        <f>IFERROR(__xludf.DUMMYFUNCTION("""COMPUTED_VALUE"""),"Streaming Services")</f>
        <v>Streaming Services</v>
      </c>
      <c r="E204" s="6" t="str">
        <f>IFERROR(__xludf.DUMMYFUNCTION("""COMPUTED_VALUE"""),"Credit Card")</f>
        <v>Credit Card</v>
      </c>
      <c r="F204" s="6" t="s">
        <v>12</v>
      </c>
      <c r="G204" s="8" t="str">
        <f t="shared" si="1"/>
        <v>202407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4"/>
      <c r="DP204" s="4"/>
      <c r="DQ204" s="4"/>
      <c r="DR204" s="4"/>
      <c r="DS204" s="4"/>
    </row>
    <row r="205">
      <c r="A205" s="5">
        <f>IFERROR(__xludf.DUMMYFUNCTION("""COMPUTED_VALUE"""),45476.0)</f>
        <v>45476</v>
      </c>
      <c r="B205" s="6" t="str">
        <f>IFERROR(__xludf.DUMMYFUNCTION("""COMPUTED_VALUE"""),"Streaming Services")</f>
        <v>Streaming Services</v>
      </c>
      <c r="C205" s="7">
        <f>IFERROR(__xludf.DUMMYFUNCTION("""COMPUTED_VALUE"""),4233.0)</f>
        <v>4233</v>
      </c>
      <c r="D205" s="6" t="str">
        <f>IFERROR(__xludf.DUMMYFUNCTION("""COMPUTED_VALUE"""),"Streaming Services")</f>
        <v>Streaming Services</v>
      </c>
      <c r="E205" s="6" t="str">
        <f>IFERROR(__xludf.DUMMYFUNCTION("""COMPUTED_VALUE"""),"Credit Card")</f>
        <v>Credit Card</v>
      </c>
      <c r="F205" s="6" t="s">
        <v>12</v>
      </c>
      <c r="G205" s="8" t="str">
        <f t="shared" si="1"/>
        <v>202407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4"/>
      <c r="DP205" s="4"/>
      <c r="DQ205" s="4"/>
      <c r="DR205" s="4"/>
      <c r="DS205" s="4"/>
    </row>
    <row r="206">
      <c r="A206" s="5">
        <f>IFERROR(__xludf.DUMMYFUNCTION("""COMPUTED_VALUE"""),45477.0)</f>
        <v>45477</v>
      </c>
      <c r="B206" s="6" t="str">
        <f>IFERROR(__xludf.DUMMYFUNCTION("""COMPUTED_VALUE"""),"Electricity Bill (Edesur)")</f>
        <v>Electricity Bill (Edesur)</v>
      </c>
      <c r="C206" s="7">
        <f>IFERROR(__xludf.DUMMYFUNCTION("""COMPUTED_VALUE"""),0.0)</f>
        <v>0</v>
      </c>
      <c r="D206" s="6" t="str">
        <f>IFERROR(__xludf.DUMMYFUNCTION("""COMPUTED_VALUE"""),"Basic Services")</f>
        <v>Basic Services</v>
      </c>
      <c r="E206" s="6" t="str">
        <f>IFERROR(__xludf.DUMMYFUNCTION("""COMPUTED_VALUE"""),"Split Payment")</f>
        <v>Split Payment</v>
      </c>
      <c r="F206" s="6" t="s">
        <v>13</v>
      </c>
      <c r="G206" s="8" t="str">
        <f t="shared" si="1"/>
        <v>202407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4"/>
      <c r="DP206" s="4"/>
      <c r="DQ206" s="4"/>
      <c r="DR206" s="4"/>
      <c r="DS206" s="4"/>
    </row>
    <row r="207">
      <c r="A207" s="5">
        <f>IFERROR(__xludf.DUMMYFUNCTION("""COMPUTED_VALUE"""),45477.0)</f>
        <v>45477</v>
      </c>
      <c r="B207" s="6" t="str">
        <f>IFERROR(__xludf.DUMMYFUNCTION("""COMPUTED_VALUE"""),"Restaurant")</f>
        <v>Restaurant</v>
      </c>
      <c r="C207" s="7">
        <f>IFERROR(__xludf.DUMMYFUNCTION("""COMPUTED_VALUE"""),177.75)</f>
        <v>177.75</v>
      </c>
      <c r="D207" s="6" t="str">
        <f>IFERROR(__xludf.DUMMYFUNCTION("""COMPUTED_VALUE"""),"Groceries")</f>
        <v>Groceries</v>
      </c>
      <c r="E207" s="6" t="str">
        <f>IFERROR(__xludf.DUMMYFUNCTION("""COMPUTED_VALUE"""),"Virtual Wallet")</f>
        <v>Virtual Wallet</v>
      </c>
      <c r="F207" s="6" t="s">
        <v>7</v>
      </c>
      <c r="G207" s="8" t="str">
        <f t="shared" si="1"/>
        <v>202407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4"/>
      <c r="DP207" s="4"/>
      <c r="DQ207" s="4"/>
      <c r="DR207" s="4"/>
      <c r="DS207" s="4"/>
    </row>
    <row r="208">
      <c r="A208" s="5">
        <f>IFERROR(__xludf.DUMMYFUNCTION("""COMPUTED_VALUE"""),45478.0)</f>
        <v>45478</v>
      </c>
      <c r="B208" s="6" t="str">
        <f>IFERROR(__xludf.DUMMYFUNCTION("""COMPUTED_VALUE"""),"Appliances")</f>
        <v>Appliances</v>
      </c>
      <c r="C208" s="7">
        <f>IFERROR(__xludf.DUMMYFUNCTION("""COMPUTED_VALUE"""),2361.0)</f>
        <v>2361</v>
      </c>
      <c r="D208" s="6" t="str">
        <f>IFERROR(__xludf.DUMMYFUNCTION("""COMPUTED_VALUE"""),"Home Goods &amp; Utilities")</f>
        <v>Home Goods &amp; Utilities</v>
      </c>
      <c r="E208" s="6" t="str">
        <f>IFERROR(__xludf.DUMMYFUNCTION("""COMPUTED_VALUE"""),"Credit Card")</f>
        <v>Credit Card</v>
      </c>
      <c r="F208" s="6" t="s">
        <v>8</v>
      </c>
      <c r="G208" s="8" t="str">
        <f t="shared" si="1"/>
        <v>202407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4"/>
      <c r="DP208" s="4"/>
      <c r="DQ208" s="4"/>
      <c r="DR208" s="4"/>
      <c r="DS208" s="4"/>
    </row>
    <row r="209">
      <c r="A209" s="5">
        <f>IFERROR(__xludf.DUMMYFUNCTION("""COMPUTED_VALUE"""),45479.0)</f>
        <v>45479</v>
      </c>
      <c r="B209" s="6" t="str">
        <f>IFERROR(__xludf.DUMMYFUNCTION("""COMPUTED_VALUE"""),"Appliances")</f>
        <v>Appliances</v>
      </c>
      <c r="C209" s="7">
        <f>IFERROR(__xludf.DUMMYFUNCTION("""COMPUTED_VALUE"""),8115.0)</f>
        <v>8115</v>
      </c>
      <c r="D209" s="6" t="str">
        <f>IFERROR(__xludf.DUMMYFUNCTION("""COMPUTED_VALUE"""),"Home Goods &amp; Utilities")</f>
        <v>Home Goods &amp; Utilities</v>
      </c>
      <c r="E209" s="6" t="str">
        <f>IFERROR(__xludf.DUMMYFUNCTION("""COMPUTED_VALUE"""),"Credit Card")</f>
        <v>Credit Card</v>
      </c>
      <c r="F209" s="6" t="s">
        <v>8</v>
      </c>
      <c r="G209" s="8" t="str">
        <f t="shared" si="1"/>
        <v>202407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4"/>
      <c r="DP209" s="4"/>
      <c r="DQ209" s="4"/>
      <c r="DR209" s="4"/>
      <c r="DS209" s="4"/>
    </row>
    <row r="210">
      <c r="A210" s="5">
        <f>IFERROR(__xludf.DUMMYFUNCTION("""COMPUTED_VALUE"""),45479.0)</f>
        <v>45479</v>
      </c>
      <c r="B210" s="6" t="str">
        <f>IFERROR(__xludf.DUMMYFUNCTION("""COMPUTED_VALUE"""),"Gasoline")</f>
        <v>Gasoline</v>
      </c>
      <c r="C210" s="7">
        <f>IFERROR(__xludf.DUMMYFUNCTION("""COMPUTED_VALUE"""),10000.0)</f>
        <v>10000</v>
      </c>
      <c r="D210" s="6" t="str">
        <f>IFERROR(__xludf.DUMMYFUNCTION("""COMPUTED_VALUE"""),"Car Expenses")</f>
        <v>Car Expenses</v>
      </c>
      <c r="E210" s="6" t="str">
        <f>IFERROR(__xludf.DUMMYFUNCTION("""COMPUTED_VALUE"""),"Debit Card")</f>
        <v>Debit Card</v>
      </c>
      <c r="F210" s="6" t="s">
        <v>9</v>
      </c>
      <c r="G210" s="8" t="str">
        <f t="shared" si="1"/>
        <v>202407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4"/>
      <c r="DP210" s="4"/>
      <c r="DQ210" s="4"/>
      <c r="DR210" s="4"/>
      <c r="DS210" s="4"/>
    </row>
    <row r="211">
      <c r="A211" s="5">
        <f>IFERROR(__xludf.DUMMYFUNCTION("""COMPUTED_VALUE"""),45479.0)</f>
        <v>45479</v>
      </c>
      <c r="B211" s="6" t="str">
        <f>IFERROR(__xludf.DUMMYFUNCTION("""COMPUTED_VALUE"""),"Gift")</f>
        <v>Gift</v>
      </c>
      <c r="C211" s="7">
        <f>IFERROR(__xludf.DUMMYFUNCTION("""COMPUTED_VALUE"""),22250.0)</f>
        <v>22250</v>
      </c>
      <c r="D211" s="6" t="str">
        <f>IFERROR(__xludf.DUMMYFUNCTION("""COMPUTED_VALUE"""),"Gifts")</f>
        <v>Gifts</v>
      </c>
      <c r="E211" s="6" t="str">
        <f>IFERROR(__xludf.DUMMYFUNCTION("""COMPUTED_VALUE"""),"Debit Card")</f>
        <v>Debit Card</v>
      </c>
      <c r="F211" s="6"/>
      <c r="G211" s="8" t="str">
        <f t="shared" si="1"/>
        <v>202407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4"/>
      <c r="DP211" s="4"/>
      <c r="DQ211" s="4"/>
      <c r="DR211" s="4"/>
      <c r="DS211" s="4"/>
    </row>
    <row r="212">
      <c r="A212" s="5">
        <f>IFERROR(__xludf.DUMMYFUNCTION("""COMPUTED_VALUE"""),45479.0)</f>
        <v>45479</v>
      </c>
      <c r="B212" s="6" t="str">
        <f>IFERROR(__xludf.DUMMYFUNCTION("""COMPUTED_VALUE"""),"Groceries")</f>
        <v>Groceries</v>
      </c>
      <c r="C212" s="7">
        <f>IFERROR(__xludf.DUMMYFUNCTION("""COMPUTED_VALUE"""),4110.0)</f>
        <v>4110</v>
      </c>
      <c r="D212" s="6" t="str">
        <f>IFERROR(__xludf.DUMMYFUNCTION("""COMPUTED_VALUE"""),"Groceries")</f>
        <v>Groceries</v>
      </c>
      <c r="E212" s="6" t="str">
        <f>IFERROR(__xludf.DUMMYFUNCTION("""COMPUTED_VALUE"""),"Debit Card")</f>
        <v>Debit Card</v>
      </c>
      <c r="F212" s="6" t="s">
        <v>7</v>
      </c>
      <c r="G212" s="8" t="str">
        <f t="shared" si="1"/>
        <v>202407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4"/>
      <c r="DP212" s="4"/>
      <c r="DQ212" s="4"/>
      <c r="DR212" s="4"/>
      <c r="DS212" s="4"/>
    </row>
    <row r="213">
      <c r="A213" s="5">
        <f>IFERROR(__xludf.DUMMYFUNCTION("""COMPUTED_VALUE"""),45479.0)</f>
        <v>45479</v>
      </c>
      <c r="B213" s="6" t="str">
        <f>IFERROR(__xludf.DUMMYFUNCTION("""COMPUTED_VALUE"""),"Restaurant")</f>
        <v>Restaurant</v>
      </c>
      <c r="C213" s="7">
        <f>IFERROR(__xludf.DUMMYFUNCTION("""COMPUTED_VALUE"""),39.0)</f>
        <v>39</v>
      </c>
      <c r="D213" s="6" t="str">
        <f>IFERROR(__xludf.DUMMYFUNCTION("""COMPUTED_VALUE"""),"Restaurant / Café")</f>
        <v>Restaurant / Café</v>
      </c>
      <c r="E213" s="6" t="str">
        <f>IFERROR(__xludf.DUMMYFUNCTION("""COMPUTED_VALUE"""),"Virtual Wallet")</f>
        <v>Virtual Wallet</v>
      </c>
      <c r="F213" s="6" t="s">
        <v>14</v>
      </c>
      <c r="G213" s="8" t="str">
        <f t="shared" si="1"/>
        <v>202407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4"/>
      <c r="DP213" s="4"/>
      <c r="DQ213" s="4"/>
      <c r="DR213" s="4"/>
      <c r="DS213" s="4"/>
    </row>
    <row r="214">
      <c r="A214" s="5">
        <f>IFERROR(__xludf.DUMMYFUNCTION("""COMPUTED_VALUE"""),45480.0)</f>
        <v>45480</v>
      </c>
      <c r="B214" s="6" t="str">
        <f>IFERROR(__xludf.DUMMYFUNCTION("""COMPUTED_VALUE"""),"Home Goods")</f>
        <v>Home Goods</v>
      </c>
      <c r="C214" s="7">
        <f>IFERROR(__xludf.DUMMYFUNCTION("""COMPUTED_VALUE"""),2744.5)</f>
        <v>2744.5</v>
      </c>
      <c r="D214" s="6" t="str">
        <f>IFERROR(__xludf.DUMMYFUNCTION("""COMPUTED_VALUE"""),"Home Goods &amp; Utilities")</f>
        <v>Home Goods &amp; Utilities</v>
      </c>
      <c r="E214" s="6" t="str">
        <f>IFERROR(__xludf.DUMMYFUNCTION("""COMPUTED_VALUE"""),"Split Payment")</f>
        <v>Split Payment</v>
      </c>
      <c r="F214" s="6" t="s">
        <v>8</v>
      </c>
      <c r="G214" s="8" t="str">
        <f t="shared" si="1"/>
        <v>202407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4"/>
      <c r="DP214" s="4"/>
      <c r="DQ214" s="4"/>
      <c r="DR214" s="4"/>
      <c r="DS214" s="4"/>
    </row>
    <row r="215">
      <c r="A215" s="5">
        <f>IFERROR(__xludf.DUMMYFUNCTION("""COMPUTED_VALUE"""),45480.0)</f>
        <v>45480</v>
      </c>
      <c r="B215" s="6" t="str">
        <f>IFERROR(__xludf.DUMMYFUNCTION("""COMPUTED_VALUE"""),"Car Expenses")</f>
        <v>Car Expenses</v>
      </c>
      <c r="C215" s="7">
        <f>IFERROR(__xludf.DUMMYFUNCTION("""COMPUTED_VALUE"""),23370.0)</f>
        <v>23370</v>
      </c>
      <c r="D215" s="6" t="str">
        <f>IFERROR(__xludf.DUMMYFUNCTION("""COMPUTED_VALUE"""),"Car Expenses")</f>
        <v>Car Expenses</v>
      </c>
      <c r="E215" s="6" t="str">
        <f>IFERROR(__xludf.DUMMYFUNCTION("""COMPUTED_VALUE"""),"Split Payment")</f>
        <v>Split Payment</v>
      </c>
      <c r="F215" s="6" t="s">
        <v>9</v>
      </c>
      <c r="G215" s="8" t="str">
        <f t="shared" si="1"/>
        <v>202407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4"/>
      <c r="DP215" s="4"/>
      <c r="DQ215" s="4"/>
      <c r="DR215" s="4"/>
      <c r="DS215" s="4"/>
    </row>
    <row r="216">
      <c r="A216" s="5">
        <f>IFERROR(__xludf.DUMMYFUNCTION("""COMPUTED_VALUE"""),45480.0)</f>
        <v>45480</v>
      </c>
      <c r="B216" s="6" t="str">
        <f>IFERROR(__xludf.DUMMYFUNCTION("""COMPUTED_VALUE"""),"Gift")</f>
        <v>Gift</v>
      </c>
      <c r="C216" s="7">
        <f>IFERROR(__xludf.DUMMYFUNCTION("""COMPUTED_VALUE"""),9500.0)</f>
        <v>9500</v>
      </c>
      <c r="D216" s="6" t="str">
        <f>IFERROR(__xludf.DUMMYFUNCTION("""COMPUTED_VALUE"""),"Gifts")</f>
        <v>Gifts</v>
      </c>
      <c r="E216" s="6" t="str">
        <f>IFERROR(__xludf.DUMMYFUNCTION("""COMPUTED_VALUE"""),"Virtual Wallet")</f>
        <v>Virtual Wallet</v>
      </c>
      <c r="F216" s="6"/>
      <c r="G216" s="8" t="str">
        <f t="shared" si="1"/>
        <v>202407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4"/>
      <c r="DP216" s="4"/>
      <c r="DQ216" s="4"/>
      <c r="DR216" s="4"/>
      <c r="DS216" s="4"/>
    </row>
    <row r="217">
      <c r="A217" s="5">
        <f>IFERROR(__xludf.DUMMYFUNCTION("""COMPUTED_VALUE"""),45480.0)</f>
        <v>45480</v>
      </c>
      <c r="B217" s="6" t="str">
        <f>IFERROR(__xludf.DUMMYFUNCTION("""COMPUTED_VALUE"""),"Recreation")</f>
        <v>Recreation</v>
      </c>
      <c r="C217" s="7">
        <f>IFERROR(__xludf.DUMMYFUNCTION("""COMPUTED_VALUE"""),25600.0)</f>
        <v>25600</v>
      </c>
      <c r="D217" s="6" t="str">
        <f>IFERROR(__xludf.DUMMYFUNCTION("""COMPUTED_VALUE"""),"Recreation")</f>
        <v>Recreation</v>
      </c>
      <c r="E217" s="6" t="str">
        <f>IFERROR(__xludf.DUMMYFUNCTION("""COMPUTED_VALUE"""),"Credit Card")</f>
        <v>Credit Card</v>
      </c>
      <c r="F217" s="6" t="s">
        <v>12</v>
      </c>
      <c r="G217" s="8" t="str">
        <f t="shared" si="1"/>
        <v>202407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4"/>
      <c r="DP217" s="4"/>
      <c r="DQ217" s="4"/>
      <c r="DR217" s="4"/>
      <c r="DS217" s="4"/>
    </row>
    <row r="218">
      <c r="A218" s="5">
        <f>IFERROR(__xludf.DUMMYFUNCTION("""COMPUTED_VALUE"""),45480.0)</f>
        <v>45480</v>
      </c>
      <c r="B218" s="6" t="str">
        <f>IFERROR(__xludf.DUMMYFUNCTION("""COMPUTED_VALUE"""),"Restaurant")</f>
        <v>Restaurant</v>
      </c>
      <c r="C218" s="7">
        <f>IFERROR(__xludf.DUMMYFUNCTION("""COMPUTED_VALUE"""),278.0)</f>
        <v>278</v>
      </c>
      <c r="D218" s="6" t="str">
        <f>IFERROR(__xludf.DUMMYFUNCTION("""COMPUTED_VALUE"""),"Restaurant / Café")</f>
        <v>Restaurant / Café</v>
      </c>
      <c r="E218" s="6" t="str">
        <f>IFERROR(__xludf.DUMMYFUNCTION("""COMPUTED_VALUE"""),"Virtual Wallet")</f>
        <v>Virtual Wallet</v>
      </c>
      <c r="F218" s="6" t="s">
        <v>14</v>
      </c>
      <c r="G218" s="8" t="str">
        <f t="shared" si="1"/>
        <v>202407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4"/>
      <c r="DP218" s="4"/>
      <c r="DQ218" s="4"/>
      <c r="DR218" s="4"/>
      <c r="DS218" s="4"/>
    </row>
    <row r="219">
      <c r="A219" s="5">
        <f>IFERROR(__xludf.DUMMYFUNCTION("""COMPUTED_VALUE"""),45480.0)</f>
        <v>45480</v>
      </c>
      <c r="B219" s="6" t="str">
        <f>IFERROR(__xludf.DUMMYFUNCTION("""COMPUTED_VALUE"""),"Cab/Uber")</f>
        <v>Cab/Uber</v>
      </c>
      <c r="C219" s="7">
        <f>IFERROR(__xludf.DUMMYFUNCTION("""COMPUTED_VALUE"""),3000.0)</f>
        <v>3000</v>
      </c>
      <c r="D219" s="6" t="str">
        <f>IFERROR(__xludf.DUMMYFUNCTION("""COMPUTED_VALUE"""),"Transportation")</f>
        <v>Transportation</v>
      </c>
      <c r="E219" s="6" t="str">
        <f>IFERROR(__xludf.DUMMYFUNCTION("""COMPUTED_VALUE"""),"Virtual Wallet")</f>
        <v>Virtual Wallet</v>
      </c>
      <c r="F219" s="6" t="s">
        <v>9</v>
      </c>
      <c r="G219" s="8" t="str">
        <f t="shared" si="1"/>
        <v>202407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4"/>
      <c r="DP219" s="4"/>
      <c r="DQ219" s="4"/>
      <c r="DR219" s="4"/>
      <c r="DS219" s="4"/>
    </row>
    <row r="220">
      <c r="A220" s="5">
        <f>IFERROR(__xludf.DUMMYFUNCTION("""COMPUTED_VALUE"""),45481.0)</f>
        <v>45481</v>
      </c>
      <c r="B220" s="6" t="str">
        <f>IFERROR(__xludf.DUMMYFUNCTION("""COMPUTED_VALUE"""),"Personal Care")</f>
        <v>Personal Care</v>
      </c>
      <c r="C220" s="7">
        <f>IFERROR(__xludf.DUMMYFUNCTION("""COMPUTED_VALUE"""),18175.0)</f>
        <v>18175</v>
      </c>
      <c r="D220" s="6" t="str">
        <f>IFERROR(__xludf.DUMMYFUNCTION("""COMPUTED_VALUE"""),"Personal Care")</f>
        <v>Personal Care</v>
      </c>
      <c r="E220" s="6" t="str">
        <f>IFERROR(__xludf.DUMMYFUNCTION("""COMPUTED_VALUE"""),"Split Payment")</f>
        <v>Split Payment</v>
      </c>
      <c r="F220" s="6" t="s">
        <v>16</v>
      </c>
      <c r="G220" s="8" t="str">
        <f t="shared" si="1"/>
        <v>202407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4"/>
      <c r="DP220" s="4"/>
      <c r="DQ220" s="4"/>
      <c r="DR220" s="4"/>
      <c r="DS220" s="4"/>
    </row>
    <row r="221">
      <c r="A221" s="5">
        <f>IFERROR(__xludf.DUMMYFUNCTION("""COMPUTED_VALUE"""),45481.0)</f>
        <v>45481</v>
      </c>
      <c r="B221" s="6" t="str">
        <f>IFERROR(__xludf.DUMMYFUNCTION("""COMPUTED_VALUE"""),"Pets")</f>
        <v>Pets</v>
      </c>
      <c r="C221" s="7">
        <f>IFERROR(__xludf.DUMMYFUNCTION("""COMPUTED_VALUE"""),12738.0)</f>
        <v>12738</v>
      </c>
      <c r="D221" s="6" t="str">
        <f>IFERROR(__xludf.DUMMYFUNCTION("""COMPUTED_VALUE"""),"Pets")</f>
        <v>Pets</v>
      </c>
      <c r="E221" s="6" t="str">
        <f>IFERROR(__xludf.DUMMYFUNCTION("""COMPUTED_VALUE"""),"Credit Card")</f>
        <v>Credit Card</v>
      </c>
      <c r="F221" s="6" t="s">
        <v>7</v>
      </c>
      <c r="G221" s="8" t="str">
        <f t="shared" si="1"/>
        <v>202407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4"/>
      <c r="DP221" s="4"/>
      <c r="DQ221" s="4"/>
      <c r="DR221" s="4"/>
      <c r="DS221" s="4"/>
    </row>
    <row r="222">
      <c r="A222" s="5">
        <f>IFERROR(__xludf.DUMMYFUNCTION("""COMPUTED_VALUE"""),45481.0)</f>
        <v>45481</v>
      </c>
      <c r="B222" s="6" t="str">
        <f>IFERROR(__xludf.DUMMYFUNCTION("""COMPUTED_VALUE"""),"Home Goods")</f>
        <v>Home Goods</v>
      </c>
      <c r="C222" s="7">
        <f>IFERROR(__xludf.DUMMYFUNCTION("""COMPUTED_VALUE"""),9600.0)</f>
        <v>9600</v>
      </c>
      <c r="D222" s="6" t="str">
        <f>IFERROR(__xludf.DUMMYFUNCTION("""COMPUTED_VALUE"""),"Home Goods &amp; Utilities")</f>
        <v>Home Goods &amp; Utilities</v>
      </c>
      <c r="E222" s="6" t="str">
        <f>IFERROR(__xludf.DUMMYFUNCTION("""COMPUTED_VALUE"""),"Virtual Wallet")</f>
        <v>Virtual Wallet</v>
      </c>
      <c r="F222" s="6" t="s">
        <v>8</v>
      </c>
      <c r="G222" s="8" t="str">
        <f t="shared" si="1"/>
        <v>202407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4"/>
      <c r="DP222" s="4"/>
      <c r="DQ222" s="4"/>
      <c r="DR222" s="4"/>
      <c r="DS222" s="4"/>
    </row>
    <row r="223">
      <c r="A223" s="5">
        <f>IFERROR(__xludf.DUMMYFUNCTION("""COMPUTED_VALUE"""),45481.0)</f>
        <v>45481</v>
      </c>
      <c r="B223" s="6" t="str">
        <f>IFERROR(__xludf.DUMMYFUNCTION("""COMPUTED_VALUE"""),"Pharmacy")</f>
        <v>Pharmacy</v>
      </c>
      <c r="C223" s="7">
        <f>IFERROR(__xludf.DUMMYFUNCTION("""COMPUTED_VALUE"""),18781.0)</f>
        <v>18781</v>
      </c>
      <c r="D223" s="6" t="str">
        <f>IFERROR(__xludf.DUMMYFUNCTION("""COMPUTED_VALUE"""),"Personal Care")</f>
        <v>Personal Care</v>
      </c>
      <c r="E223" s="6" t="str">
        <f>IFERROR(__xludf.DUMMYFUNCTION("""COMPUTED_VALUE"""),"Credit Card")</f>
        <v>Credit Card</v>
      </c>
      <c r="F223" s="6" t="s">
        <v>16</v>
      </c>
      <c r="G223" s="8" t="str">
        <f t="shared" si="1"/>
        <v>202407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4"/>
      <c r="DP223" s="4"/>
      <c r="DQ223" s="4"/>
      <c r="DR223" s="4"/>
      <c r="DS223" s="4"/>
    </row>
    <row r="224">
      <c r="A224" s="5">
        <f>IFERROR(__xludf.DUMMYFUNCTION("""COMPUTED_VALUE"""),45482.0)</f>
        <v>45482</v>
      </c>
      <c r="B224" s="6" t="str">
        <f>IFERROR(__xludf.DUMMYFUNCTION("""COMPUTED_VALUE"""),"Sports")</f>
        <v>Sports</v>
      </c>
      <c r="C224" s="7">
        <f>IFERROR(__xludf.DUMMYFUNCTION("""COMPUTED_VALUE"""),42500.0)</f>
        <v>42500</v>
      </c>
      <c r="D224" s="6" t="str">
        <f>IFERROR(__xludf.DUMMYFUNCTION("""COMPUTED_VALUE"""),"Sports")</f>
        <v>Sports</v>
      </c>
      <c r="E224" s="6" t="str">
        <f>IFERROR(__xludf.DUMMYFUNCTION("""COMPUTED_VALUE"""),"Bank Transfer")</f>
        <v>Bank Transfer</v>
      </c>
      <c r="F224" s="6" t="s">
        <v>12</v>
      </c>
      <c r="G224" s="8" t="str">
        <f t="shared" si="1"/>
        <v>202407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4"/>
      <c r="DP224" s="4"/>
      <c r="DQ224" s="4"/>
      <c r="DR224" s="4"/>
      <c r="DS224" s="4"/>
    </row>
    <row r="225">
      <c r="A225" s="5">
        <f>IFERROR(__xludf.DUMMYFUNCTION("""COMPUTED_VALUE"""),45482.0)</f>
        <v>45482</v>
      </c>
      <c r="B225" s="6" t="str">
        <f>IFERROR(__xludf.DUMMYFUNCTION("""COMPUTED_VALUE"""),"Sports")</f>
        <v>Sports</v>
      </c>
      <c r="C225" s="7">
        <f>IFERROR(__xludf.DUMMYFUNCTION("""COMPUTED_VALUE"""),21990.0)</f>
        <v>21990</v>
      </c>
      <c r="D225" s="6" t="str">
        <f>IFERROR(__xludf.DUMMYFUNCTION("""COMPUTED_VALUE"""),"Sports")</f>
        <v>Sports</v>
      </c>
      <c r="E225" s="6" t="str">
        <f>IFERROR(__xludf.DUMMYFUNCTION("""COMPUTED_VALUE"""),"Credit Card")</f>
        <v>Credit Card</v>
      </c>
      <c r="F225" s="6" t="s">
        <v>12</v>
      </c>
      <c r="G225" s="8" t="str">
        <f t="shared" si="1"/>
        <v>202407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4"/>
      <c r="DP225" s="4"/>
      <c r="DQ225" s="4"/>
      <c r="DR225" s="4"/>
      <c r="DS225" s="4"/>
    </row>
    <row r="226">
      <c r="A226" s="5">
        <f>IFERROR(__xludf.DUMMYFUNCTION("""COMPUTED_VALUE"""),45482.0)</f>
        <v>45482</v>
      </c>
      <c r="B226" s="6" t="str">
        <f>IFERROR(__xludf.DUMMYFUNCTION("""COMPUTED_VALUE"""),"Groceries")</f>
        <v>Groceries</v>
      </c>
      <c r="C226" s="7">
        <f>IFERROR(__xludf.DUMMYFUNCTION("""COMPUTED_VALUE"""),4200.0)</f>
        <v>4200</v>
      </c>
      <c r="D226" s="6" t="str">
        <f>IFERROR(__xludf.DUMMYFUNCTION("""COMPUTED_VALUE"""),"Groceries")</f>
        <v>Groceries</v>
      </c>
      <c r="E226" s="6" t="str">
        <f>IFERROR(__xludf.DUMMYFUNCTION("""COMPUTED_VALUE"""),"Cash")</f>
        <v>Cash</v>
      </c>
      <c r="F226" s="6" t="s">
        <v>7</v>
      </c>
      <c r="G226" s="8" t="str">
        <f t="shared" si="1"/>
        <v>202407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4"/>
      <c r="DP226" s="4"/>
      <c r="DQ226" s="4"/>
      <c r="DR226" s="4"/>
      <c r="DS226" s="4"/>
    </row>
    <row r="227">
      <c r="A227" s="5">
        <f>IFERROR(__xludf.DUMMYFUNCTION("""COMPUTED_VALUE"""),45482.0)</f>
        <v>45482</v>
      </c>
      <c r="B227" s="6" t="str">
        <f>IFERROR(__xludf.DUMMYFUNCTION("""COMPUTED_VALUE"""),"Groceries")</f>
        <v>Groceries</v>
      </c>
      <c r="C227" s="7">
        <f>IFERROR(__xludf.DUMMYFUNCTION("""COMPUTED_VALUE"""),4700.0)</f>
        <v>4700</v>
      </c>
      <c r="D227" s="6" t="str">
        <f>IFERROR(__xludf.DUMMYFUNCTION("""COMPUTED_VALUE"""),"Groceries")</f>
        <v>Groceries</v>
      </c>
      <c r="E227" s="6" t="str">
        <f>IFERROR(__xludf.DUMMYFUNCTION("""COMPUTED_VALUE"""),"Debit Card")</f>
        <v>Debit Card</v>
      </c>
      <c r="F227" s="6" t="s">
        <v>7</v>
      </c>
      <c r="G227" s="8" t="str">
        <f t="shared" si="1"/>
        <v>202407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4"/>
      <c r="DP227" s="4"/>
      <c r="DQ227" s="4"/>
      <c r="DR227" s="4"/>
      <c r="DS227" s="4"/>
    </row>
    <row r="228">
      <c r="A228" s="5">
        <f>IFERROR(__xludf.DUMMYFUNCTION("""COMPUTED_VALUE"""),45483.0)</f>
        <v>45483</v>
      </c>
      <c r="B228" s="6" t="str">
        <f>IFERROR(__xludf.DUMMYFUNCTION("""COMPUTED_VALUE"""),"Streaming Services")</f>
        <v>Streaming Services</v>
      </c>
      <c r="C228" s="7">
        <f>IFERROR(__xludf.DUMMYFUNCTION("""COMPUTED_VALUE"""),1350.0)</f>
        <v>1350</v>
      </c>
      <c r="D228" s="6" t="str">
        <f>IFERROR(__xludf.DUMMYFUNCTION("""COMPUTED_VALUE"""),"Streaming Services")</f>
        <v>Streaming Services</v>
      </c>
      <c r="E228" s="6" t="str">
        <f>IFERROR(__xludf.DUMMYFUNCTION("""COMPUTED_VALUE"""),"Credit Card")</f>
        <v>Credit Card</v>
      </c>
      <c r="F228" s="6" t="s">
        <v>12</v>
      </c>
      <c r="G228" s="8" t="str">
        <f t="shared" si="1"/>
        <v>202407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4"/>
      <c r="DP228" s="4"/>
      <c r="DQ228" s="4"/>
      <c r="DR228" s="4"/>
      <c r="DS228" s="4"/>
    </row>
    <row r="229">
      <c r="A229" s="5">
        <f>IFERROR(__xludf.DUMMYFUNCTION("""COMPUTED_VALUE"""),45483.0)</f>
        <v>45483</v>
      </c>
      <c r="B229" s="6" t="str">
        <f>IFERROR(__xludf.DUMMYFUNCTION("""COMPUTED_VALUE"""),"Streaming Services")</f>
        <v>Streaming Services</v>
      </c>
      <c r="C229" s="7">
        <f>IFERROR(__xludf.DUMMYFUNCTION("""COMPUTED_VALUE"""),5723.0)</f>
        <v>5723</v>
      </c>
      <c r="D229" s="6" t="str">
        <f>IFERROR(__xludf.DUMMYFUNCTION("""COMPUTED_VALUE"""),"Streaming Services")</f>
        <v>Streaming Services</v>
      </c>
      <c r="E229" s="6" t="str">
        <f>IFERROR(__xludf.DUMMYFUNCTION("""COMPUTED_VALUE"""),"Credit Card")</f>
        <v>Credit Card</v>
      </c>
      <c r="F229" s="6" t="s">
        <v>12</v>
      </c>
      <c r="G229" s="8" t="str">
        <f t="shared" si="1"/>
        <v>202407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4"/>
      <c r="DP229" s="4"/>
      <c r="DQ229" s="4"/>
      <c r="DR229" s="4"/>
      <c r="DS229" s="4"/>
    </row>
    <row r="230">
      <c r="A230" s="5">
        <f>IFERROR(__xludf.DUMMYFUNCTION("""COMPUTED_VALUE"""),45483.0)</f>
        <v>45483</v>
      </c>
      <c r="B230" s="6" t="str">
        <f>IFERROR(__xludf.DUMMYFUNCTION("""COMPUTED_VALUE"""),"Home Maintenance")</f>
        <v>Home Maintenance</v>
      </c>
      <c r="C230" s="7">
        <f>IFERROR(__xludf.DUMMYFUNCTION("""COMPUTED_VALUE"""),3000.0)</f>
        <v>3000</v>
      </c>
      <c r="D230" s="6" t="str">
        <f>IFERROR(__xludf.DUMMYFUNCTION("""COMPUTED_VALUE"""),"Car Expenses")</f>
        <v>Car Expenses</v>
      </c>
      <c r="E230" s="6" t="str">
        <f>IFERROR(__xludf.DUMMYFUNCTION("""COMPUTED_VALUE"""),"Cash")</f>
        <v>Cash</v>
      </c>
      <c r="F230" s="6" t="s">
        <v>9</v>
      </c>
      <c r="G230" s="8" t="str">
        <f t="shared" si="1"/>
        <v>202407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4"/>
      <c r="DP230" s="4"/>
      <c r="DQ230" s="4"/>
      <c r="DR230" s="4"/>
      <c r="DS230" s="4"/>
    </row>
    <row r="231">
      <c r="A231" s="5">
        <f>IFERROR(__xludf.DUMMYFUNCTION("""COMPUTED_VALUE"""),45483.0)</f>
        <v>45483</v>
      </c>
      <c r="B231" s="6" t="str">
        <f>IFERROR(__xludf.DUMMYFUNCTION("""COMPUTED_VALUE"""),"Restaurant")</f>
        <v>Restaurant</v>
      </c>
      <c r="C231" s="7">
        <f>IFERROR(__xludf.DUMMYFUNCTION("""COMPUTED_VALUE"""),26.0)</f>
        <v>26</v>
      </c>
      <c r="D231" s="6" t="str">
        <f>IFERROR(__xludf.DUMMYFUNCTION("""COMPUTED_VALUE"""),"Lunch Out")</f>
        <v>Lunch Out</v>
      </c>
      <c r="E231" s="6" t="str">
        <f>IFERROR(__xludf.DUMMYFUNCTION("""COMPUTED_VALUE"""),"Virtual Wallet")</f>
        <v>Virtual Wallet</v>
      </c>
      <c r="F231" s="6" t="s">
        <v>14</v>
      </c>
      <c r="G231" s="8" t="str">
        <f t="shared" si="1"/>
        <v>202407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4"/>
      <c r="DP231" s="4"/>
      <c r="DQ231" s="4"/>
      <c r="DR231" s="4"/>
      <c r="DS231" s="4"/>
    </row>
    <row r="232">
      <c r="A232" s="5">
        <f>IFERROR(__xludf.DUMMYFUNCTION("""COMPUTED_VALUE"""),45484.0)</f>
        <v>45484</v>
      </c>
      <c r="B232" s="6" t="str">
        <f>IFERROR(__xludf.DUMMYFUNCTION("""COMPUTED_VALUE"""),"Doctor Visit")</f>
        <v>Doctor Visit</v>
      </c>
      <c r="C232" s="7">
        <f>IFERROR(__xludf.DUMMYFUNCTION("""COMPUTED_VALUE"""),7000.0)</f>
        <v>7000</v>
      </c>
      <c r="D232" s="6" t="str">
        <f>IFERROR(__xludf.DUMMYFUNCTION("""COMPUTED_VALUE"""),"Healthcare")</f>
        <v>Healthcare</v>
      </c>
      <c r="E232" s="6" t="str">
        <f>IFERROR(__xludf.DUMMYFUNCTION("""COMPUTED_VALUE"""),"Virtual Wallet")</f>
        <v>Virtual Wallet</v>
      </c>
      <c r="F232" s="6" t="s">
        <v>15</v>
      </c>
      <c r="G232" s="8" t="str">
        <f t="shared" si="1"/>
        <v>202407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4"/>
      <c r="DP232" s="4"/>
      <c r="DQ232" s="4"/>
      <c r="DR232" s="4"/>
      <c r="DS232" s="4"/>
    </row>
    <row r="233">
      <c r="A233" s="5">
        <f>IFERROR(__xludf.DUMMYFUNCTION("""COMPUTED_VALUE"""),45484.0)</f>
        <v>45484</v>
      </c>
      <c r="B233" s="6" t="str">
        <f>IFERROR(__xludf.DUMMYFUNCTION("""COMPUTED_VALUE"""),"Doctor Visit")</f>
        <v>Doctor Visit</v>
      </c>
      <c r="C233" s="7">
        <f>IFERROR(__xludf.DUMMYFUNCTION("""COMPUTED_VALUE"""),125341.0)</f>
        <v>125341</v>
      </c>
      <c r="D233" s="6" t="str">
        <f>IFERROR(__xludf.DUMMYFUNCTION("""COMPUTED_VALUE"""),"Healthcare")</f>
        <v>Healthcare</v>
      </c>
      <c r="E233" s="6" t="str">
        <f>IFERROR(__xludf.DUMMYFUNCTION("""COMPUTED_VALUE"""),"Bank Transfer")</f>
        <v>Bank Transfer</v>
      </c>
      <c r="F233" s="6" t="s">
        <v>15</v>
      </c>
      <c r="G233" s="8" t="str">
        <f t="shared" si="1"/>
        <v>202407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4"/>
      <c r="DP233" s="4"/>
      <c r="DQ233" s="4"/>
      <c r="DR233" s="4"/>
      <c r="DS233" s="4"/>
    </row>
    <row r="234">
      <c r="A234" s="5">
        <f>IFERROR(__xludf.DUMMYFUNCTION("""COMPUTED_VALUE"""),45484.0)</f>
        <v>45484</v>
      </c>
      <c r="B234" s="6" t="str">
        <f>IFERROR(__xludf.DUMMYFUNCTION("""COMPUTED_VALUE"""),"Rent &amp; Building Expenses")</f>
        <v>Rent &amp; Building Expenses</v>
      </c>
      <c r="C234" s="7">
        <f>IFERROR(__xludf.DUMMYFUNCTION("""COMPUTED_VALUE"""),282000.0)</f>
        <v>282000</v>
      </c>
      <c r="D234" s="6" t="str">
        <f>IFERROR(__xludf.DUMMYFUNCTION("""COMPUTED_VALUE"""),"Rent &amp; Utilities")</f>
        <v>Rent &amp; Utilities</v>
      </c>
      <c r="E234" s="6" t="str">
        <f>IFERROR(__xludf.DUMMYFUNCTION("""COMPUTED_VALUE"""),"Bank Transfer")</f>
        <v>Bank Transfer</v>
      </c>
      <c r="F234" s="6" t="s">
        <v>13</v>
      </c>
      <c r="G234" s="8" t="str">
        <f t="shared" si="1"/>
        <v>202407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4"/>
      <c r="DP234" s="4"/>
      <c r="DQ234" s="4"/>
      <c r="DR234" s="4"/>
      <c r="DS234" s="4"/>
    </row>
    <row r="235">
      <c r="A235" s="5">
        <f>IFERROR(__xludf.DUMMYFUNCTION("""COMPUTED_VALUE"""),45485.0)</f>
        <v>45485</v>
      </c>
      <c r="B235" s="6" t="str">
        <f>IFERROR(__xludf.DUMMYFUNCTION("""COMPUTED_VALUE"""),"Gift")</f>
        <v>Gift</v>
      </c>
      <c r="C235" s="7">
        <f>IFERROR(__xludf.DUMMYFUNCTION("""COMPUTED_VALUE"""),8996.0)</f>
        <v>8996</v>
      </c>
      <c r="D235" s="6" t="str">
        <f>IFERROR(__xludf.DUMMYFUNCTION("""COMPUTED_VALUE"""),"Gifts")</f>
        <v>Gifts</v>
      </c>
      <c r="E235" s="6" t="str">
        <f>IFERROR(__xludf.DUMMYFUNCTION("""COMPUTED_VALUE"""),"Credit Card")</f>
        <v>Credit Card</v>
      </c>
      <c r="F235" s="6"/>
      <c r="G235" s="8" t="str">
        <f t="shared" si="1"/>
        <v>202407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4"/>
      <c r="DP235" s="4"/>
      <c r="DQ235" s="4"/>
      <c r="DR235" s="4"/>
      <c r="DS235" s="4"/>
    </row>
    <row r="236">
      <c r="A236" s="5">
        <f>IFERROR(__xludf.DUMMYFUNCTION("""COMPUTED_VALUE"""),45485.0)</f>
        <v>45485</v>
      </c>
      <c r="B236" s="6" t="str">
        <f>IFERROR(__xludf.DUMMYFUNCTION("""COMPUTED_VALUE"""),"Mobile Plan")</f>
        <v>Mobile Plan</v>
      </c>
      <c r="C236" s="7">
        <f>IFERROR(__xludf.DUMMYFUNCTION("""COMPUTED_VALUE"""),0.0)</f>
        <v>0</v>
      </c>
      <c r="D236" s="6" t="str">
        <f>IFERROR(__xludf.DUMMYFUNCTION("""COMPUTED_VALUE"""),"Basic Services")</f>
        <v>Basic Services</v>
      </c>
      <c r="E236" s="6" t="str">
        <f>IFERROR(__xludf.DUMMYFUNCTION("""COMPUTED_VALUE"""),"Virtual Wallet")</f>
        <v>Virtual Wallet</v>
      </c>
      <c r="F236" s="6" t="s">
        <v>13</v>
      </c>
      <c r="G236" s="8" t="str">
        <f t="shared" si="1"/>
        <v>202407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4"/>
      <c r="DP236" s="4"/>
      <c r="DQ236" s="4"/>
      <c r="DR236" s="4"/>
      <c r="DS236" s="4"/>
    </row>
    <row r="237">
      <c r="A237" s="5">
        <f>IFERROR(__xludf.DUMMYFUNCTION("""COMPUTED_VALUE"""),45485.0)</f>
        <v>45485</v>
      </c>
      <c r="B237" s="6" t="str">
        <f>IFERROR(__xludf.DUMMYFUNCTION("""COMPUTED_VALUE"""),"Groceries")</f>
        <v>Groceries</v>
      </c>
      <c r="C237" s="7">
        <f>IFERROR(__xludf.DUMMYFUNCTION("""COMPUTED_VALUE"""),2000.0)</f>
        <v>2000</v>
      </c>
      <c r="D237" s="6" t="str">
        <f>IFERROR(__xludf.DUMMYFUNCTION("""COMPUTED_VALUE"""),"Groceries")</f>
        <v>Groceries</v>
      </c>
      <c r="E237" s="6" t="str">
        <f>IFERROR(__xludf.DUMMYFUNCTION("""COMPUTED_VALUE"""),"Debit Card")</f>
        <v>Debit Card</v>
      </c>
      <c r="F237" s="6" t="s">
        <v>7</v>
      </c>
      <c r="G237" s="8" t="str">
        <f t="shared" si="1"/>
        <v>202407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4"/>
      <c r="DP237" s="4"/>
      <c r="DQ237" s="4"/>
      <c r="DR237" s="4"/>
      <c r="DS237" s="4"/>
    </row>
    <row r="238">
      <c r="A238" s="5">
        <f>IFERROR(__xludf.DUMMYFUNCTION("""COMPUTED_VALUE"""),45485.0)</f>
        <v>45485</v>
      </c>
      <c r="B238" s="6" t="str">
        <f>IFERROR(__xludf.DUMMYFUNCTION("""COMPUTED_VALUE"""),"Groceries")</f>
        <v>Groceries</v>
      </c>
      <c r="C238" s="7">
        <f>IFERROR(__xludf.DUMMYFUNCTION("""COMPUTED_VALUE"""),5100.0)</f>
        <v>5100</v>
      </c>
      <c r="D238" s="6" t="str">
        <f>IFERROR(__xludf.DUMMYFUNCTION("""COMPUTED_VALUE"""),"Groceries")</f>
        <v>Groceries</v>
      </c>
      <c r="E238" s="6" t="str">
        <f>IFERROR(__xludf.DUMMYFUNCTION("""COMPUTED_VALUE"""),"Debit Card")</f>
        <v>Debit Card</v>
      </c>
      <c r="F238" s="6" t="s">
        <v>7</v>
      </c>
      <c r="G238" s="8" t="str">
        <f t="shared" si="1"/>
        <v>202407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4"/>
      <c r="DP238" s="4"/>
      <c r="DQ238" s="4"/>
      <c r="DR238" s="4"/>
      <c r="DS238" s="4"/>
    </row>
    <row r="239">
      <c r="A239" s="5">
        <f>IFERROR(__xludf.DUMMYFUNCTION("""COMPUTED_VALUE"""),45486.0)</f>
        <v>45486</v>
      </c>
      <c r="B239" s="6" t="str">
        <f>IFERROR(__xludf.DUMMYFUNCTION("""COMPUTED_VALUE"""),"Gas Bill (Metrogas)")</f>
        <v>Gas Bill (Metrogas)</v>
      </c>
      <c r="C239" s="7">
        <f>IFERROR(__xludf.DUMMYFUNCTION("""COMPUTED_VALUE"""),0.0)</f>
        <v>0</v>
      </c>
      <c r="D239" s="6" t="str">
        <f>IFERROR(__xludf.DUMMYFUNCTION("""COMPUTED_VALUE"""),"Basic Services")</f>
        <v>Basic Services</v>
      </c>
      <c r="E239" s="6" t="str">
        <f>IFERROR(__xludf.DUMMYFUNCTION("""COMPUTED_VALUE"""),"Split Payment")</f>
        <v>Split Payment</v>
      </c>
      <c r="F239" s="6" t="s">
        <v>13</v>
      </c>
      <c r="G239" s="8" t="str">
        <f t="shared" si="1"/>
        <v>202407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4"/>
      <c r="DP239" s="4"/>
      <c r="DQ239" s="4"/>
      <c r="DR239" s="4"/>
      <c r="DS239" s="4"/>
    </row>
    <row r="240">
      <c r="A240" s="5">
        <f>IFERROR(__xludf.DUMMYFUNCTION("""COMPUTED_VALUE"""),45487.0)</f>
        <v>45487</v>
      </c>
      <c r="B240" s="6" t="str">
        <f>IFERROR(__xludf.DUMMYFUNCTION("""COMPUTED_VALUE"""),"Clothing")</f>
        <v>Clothing</v>
      </c>
      <c r="C240" s="7">
        <f>IFERROR(__xludf.DUMMYFUNCTION("""COMPUTED_VALUE"""),13556.0)</f>
        <v>13556</v>
      </c>
      <c r="D240" s="6" t="str">
        <f>IFERROR(__xludf.DUMMYFUNCTION("""COMPUTED_VALUE"""),"Clothing")</f>
        <v>Clothing</v>
      </c>
      <c r="E240" s="6" t="str">
        <f>IFERROR(__xludf.DUMMYFUNCTION("""COMPUTED_VALUE"""),"Credit Card")</f>
        <v>Credit Card</v>
      </c>
      <c r="F240" s="6" t="s">
        <v>10</v>
      </c>
      <c r="G240" s="8" t="str">
        <f t="shared" si="1"/>
        <v>202407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4"/>
      <c r="DP240" s="4"/>
      <c r="DQ240" s="4"/>
      <c r="DR240" s="4"/>
      <c r="DS240" s="4"/>
    </row>
    <row r="241">
      <c r="A241" s="5">
        <f>IFERROR(__xludf.DUMMYFUNCTION("""COMPUTED_VALUE"""),45488.0)</f>
        <v>45488</v>
      </c>
      <c r="B241" s="6" t="str">
        <f>IFERROR(__xludf.DUMMYFUNCTION("""COMPUTED_VALUE"""),"Education")</f>
        <v>Education</v>
      </c>
      <c r="C241" s="7">
        <f>IFERROR(__xludf.DUMMYFUNCTION("""COMPUTED_VALUE"""),22000.0)</f>
        <v>22000</v>
      </c>
      <c r="D241" s="6" t="str">
        <f>IFERROR(__xludf.DUMMYFUNCTION("""COMPUTED_VALUE"""),"Education")</f>
        <v>Education</v>
      </c>
      <c r="E241" s="6" t="str">
        <f>IFERROR(__xludf.DUMMYFUNCTION("""COMPUTED_VALUE"""),"Credit Card")</f>
        <v>Credit Card</v>
      </c>
      <c r="F241" s="6" t="s">
        <v>11</v>
      </c>
      <c r="G241" s="8" t="str">
        <f t="shared" si="1"/>
        <v>202407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4"/>
      <c r="DP241" s="4"/>
      <c r="DQ241" s="4"/>
      <c r="DR241" s="4"/>
      <c r="DS241" s="4"/>
    </row>
    <row r="242">
      <c r="A242" s="5">
        <f>IFERROR(__xludf.DUMMYFUNCTION("""COMPUTED_VALUE"""),45489.0)</f>
        <v>45489</v>
      </c>
      <c r="B242" s="6" t="str">
        <f>IFERROR(__xludf.DUMMYFUNCTION("""COMPUTED_VALUE"""),"Home Maintenance")</f>
        <v>Home Maintenance</v>
      </c>
      <c r="C242" s="7">
        <f>IFERROR(__xludf.DUMMYFUNCTION("""COMPUTED_VALUE"""),6500.0)</f>
        <v>6500</v>
      </c>
      <c r="D242" s="6" t="str">
        <f>IFERROR(__xludf.DUMMYFUNCTION("""COMPUTED_VALUE"""),"Car Expenses")</f>
        <v>Car Expenses</v>
      </c>
      <c r="E242" s="6" t="str">
        <f>IFERROR(__xludf.DUMMYFUNCTION("""COMPUTED_VALUE"""),"Debit Card")</f>
        <v>Debit Card</v>
      </c>
      <c r="F242" s="6" t="s">
        <v>9</v>
      </c>
      <c r="G242" s="8" t="str">
        <f t="shared" si="1"/>
        <v>202407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4"/>
      <c r="DP242" s="4"/>
      <c r="DQ242" s="4"/>
      <c r="DR242" s="4"/>
      <c r="DS242" s="4"/>
    </row>
    <row r="243">
      <c r="A243" s="5">
        <f>IFERROR(__xludf.DUMMYFUNCTION("""COMPUTED_VALUE"""),45490.0)</f>
        <v>45490</v>
      </c>
      <c r="B243" s="6" t="str">
        <f>IFERROR(__xludf.DUMMYFUNCTION("""COMPUTED_VALUE"""),"Stationery / Books")</f>
        <v>Stationery / Books</v>
      </c>
      <c r="C243" s="7">
        <f>IFERROR(__xludf.DUMMYFUNCTION("""COMPUTED_VALUE"""),10400.0)</f>
        <v>10400</v>
      </c>
      <c r="D243" s="6" t="str">
        <f>IFERROR(__xludf.DUMMYFUNCTION("""COMPUTED_VALUE"""),"Education")</f>
        <v>Education</v>
      </c>
      <c r="E243" s="6" t="str">
        <f>IFERROR(__xludf.DUMMYFUNCTION("""COMPUTED_VALUE"""),"Credit Card")</f>
        <v>Credit Card</v>
      </c>
      <c r="F243" s="6" t="s">
        <v>11</v>
      </c>
      <c r="G243" s="8" t="str">
        <f t="shared" si="1"/>
        <v>202407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4"/>
      <c r="DP243" s="4"/>
      <c r="DQ243" s="4"/>
      <c r="DR243" s="4"/>
      <c r="DS243" s="4"/>
    </row>
    <row r="244">
      <c r="A244" s="5">
        <f>IFERROR(__xludf.DUMMYFUNCTION("""COMPUTED_VALUE"""),45491.0)</f>
        <v>45491</v>
      </c>
      <c r="B244" s="6" t="str">
        <f>IFERROR(__xludf.DUMMYFUNCTION("""COMPUTED_VALUE"""),"Municipal Tax (ABL)")</f>
        <v>Municipal Tax (ABL)</v>
      </c>
      <c r="C244" s="7">
        <f>IFERROR(__xludf.DUMMYFUNCTION("""COMPUTED_VALUE"""),0.0)</f>
        <v>0</v>
      </c>
      <c r="D244" s="6" t="str">
        <f>IFERROR(__xludf.DUMMYFUNCTION("""COMPUTED_VALUE"""),"Basic Services")</f>
        <v>Basic Services</v>
      </c>
      <c r="E244" s="6" t="str">
        <f>IFERROR(__xludf.DUMMYFUNCTION("""COMPUTED_VALUE"""),"Split Payment")</f>
        <v>Split Payment</v>
      </c>
      <c r="F244" s="6" t="s">
        <v>13</v>
      </c>
      <c r="G244" s="8" t="str">
        <f t="shared" si="1"/>
        <v>202407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4"/>
      <c r="DP244" s="4"/>
      <c r="DQ244" s="4"/>
      <c r="DR244" s="4"/>
      <c r="DS244" s="4"/>
    </row>
    <row r="245">
      <c r="A245" s="5">
        <f>IFERROR(__xludf.DUMMYFUNCTION("""COMPUTED_VALUE"""),45492.0)</f>
        <v>45492</v>
      </c>
      <c r="B245" s="6" t="str">
        <f>IFERROR(__xludf.DUMMYFUNCTION("""COMPUTED_VALUE"""),"Education")</f>
        <v>Education</v>
      </c>
      <c r="C245" s="7">
        <f>IFERROR(__xludf.DUMMYFUNCTION("""COMPUTED_VALUE"""),9900.0)</f>
        <v>9900</v>
      </c>
      <c r="D245" s="6" t="str">
        <f>IFERROR(__xludf.DUMMYFUNCTION("""COMPUTED_VALUE"""),"Education")</f>
        <v>Education</v>
      </c>
      <c r="E245" s="6" t="str">
        <f>IFERROR(__xludf.DUMMYFUNCTION("""COMPUTED_VALUE"""),"Credit Card")</f>
        <v>Credit Card</v>
      </c>
      <c r="F245" s="6" t="s">
        <v>11</v>
      </c>
      <c r="G245" s="8" t="str">
        <f t="shared" si="1"/>
        <v>202407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4"/>
      <c r="DP245" s="4"/>
      <c r="DQ245" s="4"/>
      <c r="DR245" s="4"/>
      <c r="DS245" s="4"/>
    </row>
    <row r="246">
      <c r="A246" s="5">
        <f>IFERROR(__xludf.DUMMYFUNCTION("""COMPUTED_VALUE"""),45493.0)</f>
        <v>45493</v>
      </c>
      <c r="B246" s="6" t="str">
        <f>IFERROR(__xludf.DUMMYFUNCTION("""COMPUTED_VALUE"""),"Donation")</f>
        <v>Donation</v>
      </c>
      <c r="C246" s="7">
        <f>IFERROR(__xludf.DUMMYFUNCTION("""COMPUTED_VALUE"""),2000.0)</f>
        <v>2000</v>
      </c>
      <c r="D246" s="6" t="str">
        <f>IFERROR(__xludf.DUMMYFUNCTION("""COMPUTED_VALUE"""),"Donation")</f>
        <v>Donation</v>
      </c>
      <c r="E246" s="6" t="str">
        <f>IFERROR(__xludf.DUMMYFUNCTION("""COMPUTED_VALUE"""),"Virtual Wallet")</f>
        <v>Virtual Wallet</v>
      </c>
      <c r="F246" s="6"/>
      <c r="G246" s="8" t="str">
        <f t="shared" si="1"/>
        <v>202407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4"/>
      <c r="DP246" s="4"/>
      <c r="DQ246" s="4"/>
      <c r="DR246" s="4"/>
      <c r="DS246" s="4"/>
    </row>
    <row r="247">
      <c r="A247" s="5">
        <f>IFERROR(__xludf.DUMMYFUNCTION("""COMPUTED_VALUE"""),45494.0)</f>
        <v>45494</v>
      </c>
      <c r="B247" s="6" t="str">
        <f>IFERROR(__xludf.DUMMYFUNCTION("""COMPUTED_VALUE"""),"Groceries")</f>
        <v>Groceries</v>
      </c>
      <c r="C247" s="7">
        <f>IFERROR(__xludf.DUMMYFUNCTION("""COMPUTED_VALUE"""),10960.0)</f>
        <v>10960</v>
      </c>
      <c r="D247" s="6" t="str">
        <f>IFERROR(__xludf.DUMMYFUNCTION("""COMPUTED_VALUE"""),"Groceries")</f>
        <v>Groceries</v>
      </c>
      <c r="E247" s="6" t="str">
        <f>IFERROR(__xludf.DUMMYFUNCTION("""COMPUTED_VALUE"""),"Bank Transfer")</f>
        <v>Bank Transfer</v>
      </c>
      <c r="F247" s="6" t="s">
        <v>7</v>
      </c>
      <c r="G247" s="8" t="str">
        <f t="shared" si="1"/>
        <v>202407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4"/>
      <c r="DP247" s="4"/>
      <c r="DQ247" s="4"/>
      <c r="DR247" s="4"/>
      <c r="DS247" s="4"/>
    </row>
    <row r="248">
      <c r="A248" s="5">
        <f>IFERROR(__xludf.DUMMYFUNCTION("""COMPUTED_VALUE"""),45495.0)</f>
        <v>45495</v>
      </c>
      <c r="B248" s="6" t="str">
        <f>IFERROR(__xludf.DUMMYFUNCTION("""COMPUTED_VALUE"""),"Personal Care")</f>
        <v>Personal Care</v>
      </c>
      <c r="C248" s="7">
        <f>IFERROR(__xludf.DUMMYFUNCTION("""COMPUTED_VALUE"""),11405.0)</f>
        <v>11405</v>
      </c>
      <c r="D248" s="6" t="str">
        <f>IFERROR(__xludf.DUMMYFUNCTION("""COMPUTED_VALUE"""),"Personal Care")</f>
        <v>Personal Care</v>
      </c>
      <c r="E248" s="6" t="str">
        <f>IFERROR(__xludf.DUMMYFUNCTION("""COMPUTED_VALUE"""),"Credit Card")</f>
        <v>Credit Card</v>
      </c>
      <c r="F248" s="6" t="s">
        <v>16</v>
      </c>
      <c r="G248" s="8" t="str">
        <f t="shared" si="1"/>
        <v>202407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4"/>
      <c r="DP248" s="4"/>
      <c r="DQ248" s="4"/>
      <c r="DR248" s="4"/>
      <c r="DS248" s="4"/>
    </row>
    <row r="249">
      <c r="A249" s="5">
        <f>IFERROR(__xludf.DUMMYFUNCTION("""COMPUTED_VALUE"""),45496.0)</f>
        <v>45496</v>
      </c>
      <c r="B249" s="6" t="str">
        <f>IFERROR(__xludf.DUMMYFUNCTION("""COMPUTED_VALUE"""),"Event")</f>
        <v>Event</v>
      </c>
      <c r="C249" s="7">
        <f>IFERROR(__xludf.DUMMYFUNCTION("""COMPUTED_VALUE"""),50600.0)</f>
        <v>50600</v>
      </c>
      <c r="D249" s="6" t="str">
        <f>IFERROR(__xludf.DUMMYFUNCTION("""COMPUTED_VALUE"""),"Recreation")</f>
        <v>Recreation</v>
      </c>
      <c r="E249" s="6" t="str">
        <f>IFERROR(__xludf.DUMMYFUNCTION("""COMPUTED_VALUE"""),"Credit Card")</f>
        <v>Credit Card</v>
      </c>
      <c r="F249" s="6" t="s">
        <v>12</v>
      </c>
      <c r="G249" s="8" t="str">
        <f t="shared" si="1"/>
        <v>202407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4"/>
      <c r="DP249" s="4"/>
      <c r="DQ249" s="4"/>
      <c r="DR249" s="4"/>
      <c r="DS249" s="4"/>
    </row>
    <row r="250">
      <c r="A250" s="5">
        <f>IFERROR(__xludf.DUMMYFUNCTION("""COMPUTED_VALUE"""),45497.0)</f>
        <v>45497</v>
      </c>
      <c r="B250" s="6" t="str">
        <f>IFERROR(__xludf.DUMMYFUNCTION("""COMPUTED_VALUE"""),"Restaurant")</f>
        <v>Restaurant</v>
      </c>
      <c r="C250" s="7">
        <f>IFERROR(__xludf.DUMMYFUNCTION("""COMPUTED_VALUE"""),26.5)</f>
        <v>26.5</v>
      </c>
      <c r="D250" s="6" t="str">
        <f>IFERROR(__xludf.DUMMYFUNCTION("""COMPUTED_VALUE"""),"Groceries")</f>
        <v>Groceries</v>
      </c>
      <c r="E250" s="6" t="str">
        <f>IFERROR(__xludf.DUMMYFUNCTION("""COMPUTED_VALUE"""),"Virtual Wallet")</f>
        <v>Virtual Wallet</v>
      </c>
      <c r="F250" s="6" t="s">
        <v>7</v>
      </c>
      <c r="G250" s="8" t="str">
        <f t="shared" si="1"/>
        <v>202407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4"/>
      <c r="DP250" s="4"/>
      <c r="DQ250" s="4"/>
      <c r="DR250" s="4"/>
      <c r="DS250" s="4"/>
    </row>
    <row r="251">
      <c r="A251" s="5">
        <f>IFERROR(__xludf.DUMMYFUNCTION("""COMPUTED_VALUE"""),45498.0)</f>
        <v>45498</v>
      </c>
      <c r="B251" s="6" t="str">
        <f>IFERROR(__xludf.DUMMYFUNCTION("""COMPUTED_VALUE"""),"Restaurant")</f>
        <v>Restaurant</v>
      </c>
      <c r="C251" s="7">
        <f>IFERROR(__xludf.DUMMYFUNCTION("""COMPUTED_VALUE"""),1500.0)</f>
        <v>1500</v>
      </c>
      <c r="D251" s="6" t="str">
        <f>IFERROR(__xludf.DUMMYFUNCTION("""COMPUTED_VALUE"""),"Restaurant / Café")</f>
        <v>Restaurant / Café</v>
      </c>
      <c r="E251" s="6" t="str">
        <f>IFERROR(__xludf.DUMMYFUNCTION("""COMPUTED_VALUE"""),"Virtual Wallet")</f>
        <v>Virtual Wallet</v>
      </c>
      <c r="F251" s="6" t="s">
        <v>14</v>
      </c>
      <c r="G251" s="8" t="str">
        <f t="shared" si="1"/>
        <v>202407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4"/>
      <c r="DP251" s="4"/>
      <c r="DQ251" s="4"/>
      <c r="DR251" s="4"/>
      <c r="DS251" s="4"/>
    </row>
    <row r="252">
      <c r="A252" s="5">
        <f>IFERROR(__xludf.DUMMYFUNCTION("""COMPUTED_VALUE"""),45499.0)</f>
        <v>45499</v>
      </c>
      <c r="B252" s="6" t="str">
        <f>IFERROR(__xludf.DUMMYFUNCTION("""COMPUTED_VALUE"""),"Water Bill (AySA)")</f>
        <v>Water Bill (AySA)</v>
      </c>
      <c r="C252" s="7">
        <f>IFERROR(__xludf.DUMMYFUNCTION("""COMPUTED_VALUE"""),0.0)</f>
        <v>0</v>
      </c>
      <c r="D252" s="6" t="str">
        <f>IFERROR(__xludf.DUMMYFUNCTION("""COMPUTED_VALUE"""),"Basic Services")</f>
        <v>Basic Services</v>
      </c>
      <c r="E252" s="6" t="str">
        <f>IFERROR(__xludf.DUMMYFUNCTION("""COMPUTED_VALUE"""),"Split Payment")</f>
        <v>Split Payment</v>
      </c>
      <c r="F252" s="6" t="s">
        <v>13</v>
      </c>
      <c r="G252" s="8" t="str">
        <f t="shared" si="1"/>
        <v>202407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4"/>
      <c r="DP252" s="4"/>
      <c r="DQ252" s="4"/>
      <c r="DR252" s="4"/>
      <c r="DS252" s="4"/>
    </row>
    <row r="253">
      <c r="A253" s="5">
        <f>IFERROR(__xludf.DUMMYFUNCTION("""COMPUTED_VALUE"""),45500.0)</f>
        <v>45500</v>
      </c>
      <c r="B253" s="6" t="str">
        <f>IFERROR(__xludf.DUMMYFUNCTION("""COMPUTED_VALUE"""),"Doctor Visit")</f>
        <v>Doctor Visit</v>
      </c>
      <c r="C253" s="7">
        <f>IFERROR(__xludf.DUMMYFUNCTION("""COMPUTED_VALUE"""),3800.0)</f>
        <v>3800</v>
      </c>
      <c r="D253" s="6" t="str">
        <f>IFERROR(__xludf.DUMMYFUNCTION("""COMPUTED_VALUE"""),"Healthcare")</f>
        <v>Healthcare</v>
      </c>
      <c r="E253" s="6" t="str">
        <f>IFERROR(__xludf.DUMMYFUNCTION("""COMPUTED_VALUE"""),"Virtual Wallet")</f>
        <v>Virtual Wallet</v>
      </c>
      <c r="F253" s="6" t="s">
        <v>15</v>
      </c>
      <c r="G253" s="8" t="str">
        <f t="shared" si="1"/>
        <v>202407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4"/>
      <c r="DP253" s="4"/>
      <c r="DQ253" s="4"/>
      <c r="DR253" s="4"/>
      <c r="DS253" s="4"/>
    </row>
    <row r="254">
      <c r="A254" s="5">
        <f>IFERROR(__xludf.DUMMYFUNCTION("""COMPUTED_VALUE"""),45501.0)</f>
        <v>45501</v>
      </c>
      <c r="B254" s="6" t="str">
        <f>IFERROR(__xludf.DUMMYFUNCTION("""COMPUTED_VALUE"""),"Pets")</f>
        <v>Pets</v>
      </c>
      <c r="C254" s="7">
        <f>IFERROR(__xludf.DUMMYFUNCTION("""COMPUTED_VALUE"""),1300.0)</f>
        <v>1300</v>
      </c>
      <c r="D254" s="6" t="str">
        <f>IFERROR(__xludf.DUMMYFUNCTION("""COMPUTED_VALUE"""),"Pets")</f>
        <v>Pets</v>
      </c>
      <c r="E254" s="6" t="str">
        <f>IFERROR(__xludf.DUMMYFUNCTION("""COMPUTED_VALUE"""),"Virtual Wallet")</f>
        <v>Virtual Wallet</v>
      </c>
      <c r="F254" s="6" t="s">
        <v>7</v>
      </c>
      <c r="G254" s="8" t="str">
        <f t="shared" si="1"/>
        <v>202407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4"/>
      <c r="DP254" s="4"/>
      <c r="DQ254" s="4"/>
      <c r="DR254" s="4"/>
      <c r="DS254" s="4"/>
    </row>
    <row r="255">
      <c r="A255" s="5">
        <f>IFERROR(__xludf.DUMMYFUNCTION("""COMPUTED_VALUE"""),45502.0)</f>
        <v>45502</v>
      </c>
      <c r="B255" s="6" t="str">
        <f>IFERROR(__xludf.DUMMYFUNCTION("""COMPUTED_VALUE"""),"Internet Services")</f>
        <v>Internet Services</v>
      </c>
      <c r="C255" s="7">
        <f>IFERROR(__xludf.DUMMYFUNCTION("""COMPUTED_VALUE"""),4461.0)</f>
        <v>4461</v>
      </c>
      <c r="D255" s="6" t="str">
        <f>IFERROR(__xludf.DUMMYFUNCTION("""COMPUTED_VALUE"""),"Basic Services")</f>
        <v>Basic Services</v>
      </c>
      <c r="E255" s="6" t="str">
        <f>IFERROR(__xludf.DUMMYFUNCTION("""COMPUTED_VALUE"""),"Credit Card")</f>
        <v>Credit Card</v>
      </c>
      <c r="F255" s="6" t="s">
        <v>13</v>
      </c>
      <c r="G255" s="8" t="str">
        <f t="shared" si="1"/>
        <v>202407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4"/>
      <c r="DP255" s="4"/>
      <c r="DQ255" s="4"/>
      <c r="DR255" s="4"/>
      <c r="DS255" s="4"/>
    </row>
    <row r="256">
      <c r="A256" s="5">
        <f>IFERROR(__xludf.DUMMYFUNCTION("""COMPUTED_VALUE"""),45503.0)</f>
        <v>45503</v>
      </c>
      <c r="B256" s="6" t="str">
        <f>IFERROR(__xludf.DUMMYFUNCTION("""COMPUTED_VALUE"""),"Restaurant")</f>
        <v>Restaurant</v>
      </c>
      <c r="C256" s="7">
        <f>IFERROR(__xludf.DUMMYFUNCTION("""COMPUTED_VALUE"""),26.0)</f>
        <v>26</v>
      </c>
      <c r="D256" s="6" t="str">
        <f>IFERROR(__xludf.DUMMYFUNCTION("""COMPUTED_VALUE"""),"Lunch Out")</f>
        <v>Lunch Out</v>
      </c>
      <c r="E256" s="6" t="str">
        <f>IFERROR(__xludf.DUMMYFUNCTION("""COMPUTED_VALUE"""),"Virtual Wallet")</f>
        <v>Virtual Wallet</v>
      </c>
      <c r="F256" s="6" t="s">
        <v>14</v>
      </c>
      <c r="G256" s="8" t="str">
        <f t="shared" si="1"/>
        <v>202407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4"/>
      <c r="DP256" s="4"/>
      <c r="DQ256" s="4"/>
      <c r="DR256" s="4"/>
      <c r="DS256" s="4"/>
    </row>
    <row r="257">
      <c r="A257" s="5">
        <f>IFERROR(__xludf.DUMMYFUNCTION("""COMPUTED_VALUE"""),45504.0)</f>
        <v>45504</v>
      </c>
      <c r="B257" s="6" t="str">
        <f>IFERROR(__xludf.DUMMYFUNCTION("""COMPUTED_VALUE"""),"Education")</f>
        <v>Education</v>
      </c>
      <c r="C257" s="7">
        <f>IFERROR(__xludf.DUMMYFUNCTION("""COMPUTED_VALUE"""),3.0)</f>
        <v>3</v>
      </c>
      <c r="D257" s="6" t="str">
        <f>IFERROR(__xludf.DUMMYFUNCTION("""COMPUTED_VALUE"""),"Education")</f>
        <v>Education</v>
      </c>
      <c r="E257" s="6" t="str">
        <f>IFERROR(__xludf.DUMMYFUNCTION("""COMPUTED_VALUE"""),"Credit Card")</f>
        <v>Credit Card</v>
      </c>
      <c r="F257" s="6" t="s">
        <v>11</v>
      </c>
      <c r="G257" s="8" t="str">
        <f t="shared" si="1"/>
        <v>202407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4"/>
      <c r="DP257" s="4"/>
      <c r="DQ257" s="4"/>
      <c r="DR257" s="4"/>
      <c r="DS257" s="4"/>
    </row>
    <row r="258">
      <c r="A258" s="5">
        <f>IFERROR(__xludf.DUMMYFUNCTION("""COMPUTED_VALUE"""),45505.0)</f>
        <v>45505</v>
      </c>
      <c r="B258" s="6" t="str">
        <f>IFERROR(__xludf.DUMMYFUNCTION("""COMPUTED_VALUE"""),"Home Goods")</f>
        <v>Home Goods</v>
      </c>
      <c r="C258" s="7">
        <f>IFERROR(__xludf.DUMMYFUNCTION("""COMPUTED_VALUE"""),1602.0)</f>
        <v>1602</v>
      </c>
      <c r="D258" s="6" t="str">
        <f>IFERROR(__xludf.DUMMYFUNCTION("""COMPUTED_VALUE"""),"Home Goods &amp; Utilities")</f>
        <v>Home Goods &amp; Utilities</v>
      </c>
      <c r="E258" s="6" t="str">
        <f>IFERROR(__xludf.DUMMYFUNCTION("""COMPUTED_VALUE"""),"Credit Card")</f>
        <v>Credit Card</v>
      </c>
      <c r="F258" s="6" t="s">
        <v>8</v>
      </c>
      <c r="G258" s="8" t="str">
        <f t="shared" si="1"/>
        <v>202408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4"/>
      <c r="DP258" s="4"/>
      <c r="DQ258" s="4"/>
      <c r="DR258" s="4"/>
      <c r="DS258" s="4"/>
    </row>
    <row r="259">
      <c r="A259" s="5">
        <f>IFERROR(__xludf.DUMMYFUNCTION("""COMPUTED_VALUE"""),45505.0)</f>
        <v>45505</v>
      </c>
      <c r="B259" s="6" t="str">
        <f>IFERROR(__xludf.DUMMYFUNCTION("""COMPUTED_VALUE"""),"Education")</f>
        <v>Education</v>
      </c>
      <c r="C259" s="7">
        <f>IFERROR(__xludf.DUMMYFUNCTION("""COMPUTED_VALUE"""),22000.0)</f>
        <v>22000</v>
      </c>
      <c r="D259" s="6" t="str">
        <f>IFERROR(__xludf.DUMMYFUNCTION("""COMPUTED_VALUE"""),"Education")</f>
        <v>Education</v>
      </c>
      <c r="E259" s="6" t="str">
        <f>IFERROR(__xludf.DUMMYFUNCTION("""COMPUTED_VALUE"""),"Credit Card")</f>
        <v>Credit Card</v>
      </c>
      <c r="F259" s="6" t="s">
        <v>11</v>
      </c>
      <c r="G259" s="8" t="str">
        <f t="shared" si="1"/>
        <v>202408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4"/>
      <c r="DP259" s="4"/>
      <c r="DQ259" s="4"/>
      <c r="DR259" s="4"/>
      <c r="DS259" s="4"/>
    </row>
    <row r="260">
      <c r="A260" s="5">
        <f>IFERROR(__xludf.DUMMYFUNCTION("""COMPUTED_VALUE"""),45506.0)</f>
        <v>45506</v>
      </c>
      <c r="B260" s="6" t="str">
        <f>IFERROR(__xludf.DUMMYFUNCTION("""COMPUTED_VALUE"""),"Municipal Tax (ABL)")</f>
        <v>Municipal Tax (ABL)</v>
      </c>
      <c r="C260" s="7">
        <f>IFERROR(__xludf.DUMMYFUNCTION("""COMPUTED_VALUE"""),0.0)</f>
        <v>0</v>
      </c>
      <c r="D260" s="6" t="str">
        <f>IFERROR(__xludf.DUMMYFUNCTION("""COMPUTED_VALUE"""),"Basic Services")</f>
        <v>Basic Services</v>
      </c>
      <c r="E260" s="6" t="str">
        <f>IFERROR(__xludf.DUMMYFUNCTION("""COMPUTED_VALUE"""),"Split Payment")</f>
        <v>Split Payment</v>
      </c>
      <c r="F260" s="6" t="s">
        <v>13</v>
      </c>
      <c r="G260" s="8" t="str">
        <f t="shared" si="1"/>
        <v>202408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4"/>
      <c r="DP260" s="4"/>
      <c r="DQ260" s="4"/>
      <c r="DR260" s="4"/>
      <c r="DS260" s="4"/>
    </row>
    <row r="261">
      <c r="A261" s="5">
        <f>IFERROR(__xludf.DUMMYFUNCTION("""COMPUTED_VALUE"""),45506.0)</f>
        <v>45506</v>
      </c>
      <c r="B261" s="6" t="str">
        <f>IFERROR(__xludf.DUMMYFUNCTION("""COMPUTED_VALUE"""),"Education")</f>
        <v>Education</v>
      </c>
      <c r="C261" s="7">
        <f>IFERROR(__xludf.DUMMYFUNCTION("""COMPUTED_VALUE"""),9900.0)</f>
        <v>9900</v>
      </c>
      <c r="D261" s="6" t="str">
        <f>IFERROR(__xludf.DUMMYFUNCTION("""COMPUTED_VALUE"""),"Education")</f>
        <v>Education</v>
      </c>
      <c r="E261" s="6" t="str">
        <f>IFERROR(__xludf.DUMMYFUNCTION("""COMPUTED_VALUE"""),"Credit Card")</f>
        <v>Credit Card</v>
      </c>
      <c r="F261" s="6" t="s">
        <v>11</v>
      </c>
      <c r="G261" s="8" t="str">
        <f t="shared" si="1"/>
        <v>202408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4"/>
      <c r="DP261" s="4"/>
      <c r="DQ261" s="4"/>
      <c r="DR261" s="4"/>
      <c r="DS261" s="4"/>
    </row>
    <row r="262">
      <c r="A262" s="5">
        <f>IFERROR(__xludf.DUMMYFUNCTION("""COMPUTED_VALUE"""),45506.0)</f>
        <v>45506</v>
      </c>
      <c r="B262" s="6" t="str">
        <f>IFERROR(__xludf.DUMMYFUNCTION("""COMPUTED_VALUE"""),"Donation")</f>
        <v>Donation</v>
      </c>
      <c r="C262" s="7">
        <f>IFERROR(__xludf.DUMMYFUNCTION("""COMPUTED_VALUE"""),2000.0)</f>
        <v>2000</v>
      </c>
      <c r="D262" s="6" t="str">
        <f>IFERROR(__xludf.DUMMYFUNCTION("""COMPUTED_VALUE"""),"Donation")</f>
        <v>Donation</v>
      </c>
      <c r="E262" s="6" t="str">
        <f>IFERROR(__xludf.DUMMYFUNCTION("""COMPUTED_VALUE"""),"Virtual Wallet")</f>
        <v>Virtual Wallet</v>
      </c>
      <c r="F262" s="6"/>
      <c r="G262" s="8" t="str">
        <f t="shared" si="1"/>
        <v>202408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4"/>
      <c r="DP262" s="4"/>
      <c r="DQ262" s="4"/>
      <c r="DR262" s="4"/>
      <c r="DS262" s="4"/>
    </row>
    <row r="263">
      <c r="A263" s="5">
        <f>IFERROR(__xludf.DUMMYFUNCTION("""COMPUTED_VALUE"""),45506.0)</f>
        <v>45506</v>
      </c>
      <c r="B263" s="6" t="str">
        <f>IFERROR(__xludf.DUMMYFUNCTION("""COMPUTED_VALUE"""),"Personal Care")</f>
        <v>Personal Care</v>
      </c>
      <c r="C263" s="7">
        <f>IFERROR(__xludf.DUMMYFUNCTION("""COMPUTED_VALUE"""),11405.0)</f>
        <v>11405</v>
      </c>
      <c r="D263" s="6" t="str">
        <f>IFERROR(__xludf.DUMMYFUNCTION("""COMPUTED_VALUE"""),"Personal Care")</f>
        <v>Personal Care</v>
      </c>
      <c r="E263" s="6" t="str">
        <f>IFERROR(__xludf.DUMMYFUNCTION("""COMPUTED_VALUE"""),"Credit Card")</f>
        <v>Credit Card</v>
      </c>
      <c r="F263" s="6" t="s">
        <v>16</v>
      </c>
      <c r="G263" s="8" t="str">
        <f t="shared" si="1"/>
        <v>202408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4"/>
      <c r="DP263" s="4"/>
      <c r="DQ263" s="4"/>
      <c r="DR263" s="4"/>
      <c r="DS263" s="4"/>
    </row>
    <row r="264">
      <c r="A264" s="5">
        <f>IFERROR(__xludf.DUMMYFUNCTION("""COMPUTED_VALUE"""),45507.0)</f>
        <v>45507</v>
      </c>
      <c r="B264" s="6" t="str">
        <f>IFERROR(__xludf.DUMMYFUNCTION("""COMPUTED_VALUE"""),"Water Bill (AySA)")</f>
        <v>Water Bill (AySA)</v>
      </c>
      <c r="C264" s="7">
        <f>IFERROR(__xludf.DUMMYFUNCTION("""COMPUTED_VALUE"""),0.0)</f>
        <v>0</v>
      </c>
      <c r="D264" s="6" t="str">
        <f>IFERROR(__xludf.DUMMYFUNCTION("""COMPUTED_VALUE"""),"Basic Services")</f>
        <v>Basic Services</v>
      </c>
      <c r="E264" s="6" t="str">
        <f>IFERROR(__xludf.DUMMYFUNCTION("""COMPUTED_VALUE"""),"Split Payment")</f>
        <v>Split Payment</v>
      </c>
      <c r="F264" s="6" t="s">
        <v>13</v>
      </c>
      <c r="G264" s="8" t="str">
        <f t="shared" si="1"/>
        <v>202408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4"/>
      <c r="DP264" s="4"/>
      <c r="DQ264" s="4"/>
      <c r="DR264" s="4"/>
      <c r="DS264" s="4"/>
    </row>
    <row r="265">
      <c r="A265" s="5">
        <f>IFERROR(__xludf.DUMMYFUNCTION("""COMPUTED_VALUE"""),45507.0)</f>
        <v>45507</v>
      </c>
      <c r="B265" s="6" t="str">
        <f>IFERROR(__xludf.DUMMYFUNCTION("""COMPUTED_VALUE"""),"Internet Services")</f>
        <v>Internet Services</v>
      </c>
      <c r="C265" s="7">
        <f>IFERROR(__xludf.DUMMYFUNCTION("""COMPUTED_VALUE"""),4461.0)</f>
        <v>4461</v>
      </c>
      <c r="D265" s="6" t="str">
        <f>IFERROR(__xludf.DUMMYFUNCTION("""COMPUTED_VALUE"""),"Basic Services")</f>
        <v>Basic Services</v>
      </c>
      <c r="E265" s="6" t="str">
        <f>IFERROR(__xludf.DUMMYFUNCTION("""COMPUTED_VALUE"""),"Credit Card")</f>
        <v>Credit Card</v>
      </c>
      <c r="F265" s="6" t="s">
        <v>13</v>
      </c>
      <c r="G265" s="8" t="str">
        <f t="shared" si="1"/>
        <v>202408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4"/>
      <c r="DP265" s="4"/>
      <c r="DQ265" s="4"/>
      <c r="DR265" s="4"/>
      <c r="DS265" s="4"/>
    </row>
    <row r="266">
      <c r="A266" s="5">
        <f>IFERROR(__xludf.DUMMYFUNCTION("""COMPUTED_VALUE"""),45507.0)</f>
        <v>45507</v>
      </c>
      <c r="B266" s="6" t="str">
        <f>IFERROR(__xludf.DUMMYFUNCTION("""COMPUTED_VALUE"""),"Event")</f>
        <v>Event</v>
      </c>
      <c r="C266" s="7">
        <f>IFERROR(__xludf.DUMMYFUNCTION("""COMPUTED_VALUE"""),50600.0)</f>
        <v>50600</v>
      </c>
      <c r="D266" s="6" t="str">
        <f>IFERROR(__xludf.DUMMYFUNCTION("""COMPUTED_VALUE"""),"Recreation")</f>
        <v>Recreation</v>
      </c>
      <c r="E266" s="6" t="str">
        <f>IFERROR(__xludf.DUMMYFUNCTION("""COMPUTED_VALUE"""),"Credit Card")</f>
        <v>Credit Card</v>
      </c>
      <c r="F266" s="6" t="s">
        <v>12</v>
      </c>
      <c r="G266" s="8" t="str">
        <f t="shared" si="1"/>
        <v>202408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4"/>
      <c r="DP266" s="4"/>
      <c r="DQ266" s="4"/>
      <c r="DR266" s="4"/>
      <c r="DS266" s="4"/>
    </row>
    <row r="267">
      <c r="A267" s="5">
        <f>IFERROR(__xludf.DUMMYFUNCTION("""COMPUTED_VALUE"""),45507.0)</f>
        <v>45507</v>
      </c>
      <c r="B267" s="6" t="str">
        <f>IFERROR(__xludf.DUMMYFUNCTION("""COMPUTED_VALUE"""),"Restaurant")</f>
        <v>Restaurant</v>
      </c>
      <c r="C267" s="7">
        <f>IFERROR(__xludf.DUMMYFUNCTION("""COMPUTED_VALUE"""),1500.0)</f>
        <v>1500</v>
      </c>
      <c r="D267" s="6" t="str">
        <f>IFERROR(__xludf.DUMMYFUNCTION("""COMPUTED_VALUE"""),"Restaurant / Café")</f>
        <v>Restaurant / Café</v>
      </c>
      <c r="E267" s="6" t="str">
        <f>IFERROR(__xludf.DUMMYFUNCTION("""COMPUTED_VALUE"""),"Virtual Wallet")</f>
        <v>Virtual Wallet</v>
      </c>
      <c r="F267" s="6" t="s">
        <v>14</v>
      </c>
      <c r="G267" s="8" t="str">
        <f t="shared" si="1"/>
        <v>202408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4"/>
      <c r="DP267" s="4"/>
      <c r="DQ267" s="4"/>
      <c r="DR267" s="4"/>
      <c r="DS267" s="4"/>
    </row>
    <row r="268">
      <c r="A268" s="5">
        <f>IFERROR(__xludf.DUMMYFUNCTION("""COMPUTED_VALUE"""),45508.0)</f>
        <v>45508</v>
      </c>
      <c r="B268" s="6" t="str">
        <f>IFERROR(__xludf.DUMMYFUNCTION("""COMPUTED_VALUE"""),"Appliances")</f>
        <v>Appliances</v>
      </c>
      <c r="C268" s="7">
        <f>IFERROR(__xludf.DUMMYFUNCTION("""COMPUTED_VALUE"""),2361.0)</f>
        <v>2361</v>
      </c>
      <c r="D268" s="6" t="str">
        <f>IFERROR(__xludf.DUMMYFUNCTION("""COMPUTED_VALUE"""),"Home Goods &amp; Utilities")</f>
        <v>Home Goods &amp; Utilities</v>
      </c>
      <c r="E268" s="6" t="str">
        <f>IFERROR(__xludf.DUMMYFUNCTION("""COMPUTED_VALUE"""),"Credit Card")</f>
        <v>Credit Card</v>
      </c>
      <c r="F268" s="6" t="s">
        <v>8</v>
      </c>
      <c r="G268" s="8" t="str">
        <f t="shared" si="1"/>
        <v>202408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4"/>
      <c r="DP268" s="4"/>
      <c r="DQ268" s="4"/>
      <c r="DR268" s="4"/>
      <c r="DS268" s="4"/>
    </row>
    <row r="269">
      <c r="A269" s="5">
        <f>IFERROR(__xludf.DUMMYFUNCTION("""COMPUTED_VALUE"""),45508.0)</f>
        <v>45508</v>
      </c>
      <c r="B269" s="6" t="str">
        <f>IFERROR(__xludf.DUMMYFUNCTION("""COMPUTED_VALUE"""),"Pets")</f>
        <v>Pets</v>
      </c>
      <c r="C269" s="7">
        <f>IFERROR(__xludf.DUMMYFUNCTION("""COMPUTED_VALUE"""),1300.0)</f>
        <v>1300</v>
      </c>
      <c r="D269" s="6" t="str">
        <f>IFERROR(__xludf.DUMMYFUNCTION("""COMPUTED_VALUE"""),"Pets")</f>
        <v>Pets</v>
      </c>
      <c r="E269" s="6" t="str">
        <f>IFERROR(__xludf.DUMMYFUNCTION("""COMPUTED_VALUE"""),"Virtual Wallet")</f>
        <v>Virtual Wallet</v>
      </c>
      <c r="F269" s="6" t="s">
        <v>7</v>
      </c>
      <c r="G269" s="8" t="str">
        <f t="shared" si="1"/>
        <v>202408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4"/>
      <c r="DP269" s="4"/>
      <c r="DQ269" s="4"/>
      <c r="DR269" s="4"/>
      <c r="DS269" s="4"/>
    </row>
    <row r="270">
      <c r="A270" s="5">
        <f>IFERROR(__xludf.DUMMYFUNCTION("""COMPUTED_VALUE"""),45509.0)</f>
        <v>45509</v>
      </c>
      <c r="B270" s="6" t="str">
        <f>IFERROR(__xludf.DUMMYFUNCTION("""COMPUTED_VALUE"""),"Appliances")</f>
        <v>Appliances</v>
      </c>
      <c r="C270" s="7">
        <f>IFERROR(__xludf.DUMMYFUNCTION("""COMPUTED_VALUE"""),8115.0)</f>
        <v>8115</v>
      </c>
      <c r="D270" s="6" t="str">
        <f>IFERROR(__xludf.DUMMYFUNCTION("""COMPUTED_VALUE"""),"Home Goods &amp; Utilities")</f>
        <v>Home Goods &amp; Utilities</v>
      </c>
      <c r="E270" s="6" t="str">
        <f>IFERROR(__xludf.DUMMYFUNCTION("""COMPUTED_VALUE"""),"Credit Card")</f>
        <v>Credit Card</v>
      </c>
      <c r="F270" s="6" t="s">
        <v>8</v>
      </c>
      <c r="G270" s="8" t="str">
        <f t="shared" si="1"/>
        <v>202408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4"/>
      <c r="DP270" s="4"/>
      <c r="DQ270" s="4"/>
      <c r="DR270" s="4"/>
      <c r="DS270" s="4"/>
    </row>
    <row r="271">
      <c r="A271" s="5">
        <f>IFERROR(__xludf.DUMMYFUNCTION("""COMPUTED_VALUE"""),45509.0)</f>
        <v>45509</v>
      </c>
      <c r="B271" s="6" t="str">
        <f>IFERROR(__xludf.DUMMYFUNCTION("""COMPUTED_VALUE"""),"Education")</f>
        <v>Education</v>
      </c>
      <c r="C271" s="7">
        <f>IFERROR(__xludf.DUMMYFUNCTION("""COMPUTED_VALUE"""),3.0)</f>
        <v>3</v>
      </c>
      <c r="D271" s="6" t="str">
        <f>IFERROR(__xludf.DUMMYFUNCTION("""COMPUTED_VALUE"""),"Education")</f>
        <v>Education</v>
      </c>
      <c r="E271" s="6" t="str">
        <f>IFERROR(__xludf.DUMMYFUNCTION("""COMPUTED_VALUE"""),"Credit Card")</f>
        <v>Credit Card</v>
      </c>
      <c r="F271" s="6" t="s">
        <v>11</v>
      </c>
      <c r="G271" s="8" t="str">
        <f t="shared" si="1"/>
        <v>202408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4"/>
      <c r="DP271" s="4"/>
      <c r="DQ271" s="4"/>
      <c r="DR271" s="4"/>
      <c r="DS271" s="4"/>
    </row>
    <row r="272">
      <c r="A272" s="5">
        <f>IFERROR(__xludf.DUMMYFUNCTION("""COMPUTED_VALUE"""),45509.0)</f>
        <v>45509</v>
      </c>
      <c r="B272" s="6" t="str">
        <f>IFERROR(__xludf.DUMMYFUNCTION("""COMPUTED_VALUE"""),"Home Goods")</f>
        <v>Home Goods</v>
      </c>
      <c r="C272" s="7">
        <f>IFERROR(__xludf.DUMMYFUNCTION("""COMPUTED_VALUE"""),2744.5)</f>
        <v>2744.5</v>
      </c>
      <c r="D272" s="6" t="str">
        <f>IFERROR(__xludf.DUMMYFUNCTION("""COMPUTED_VALUE"""),"Home Goods &amp; Utilities")</f>
        <v>Home Goods &amp; Utilities</v>
      </c>
      <c r="E272" s="6" t="str">
        <f>IFERROR(__xludf.DUMMYFUNCTION("""COMPUTED_VALUE"""),"Split Payment")</f>
        <v>Split Payment</v>
      </c>
      <c r="F272" s="6" t="s">
        <v>8</v>
      </c>
      <c r="G272" s="8" t="str">
        <f t="shared" si="1"/>
        <v>202408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4"/>
      <c r="DP272" s="4"/>
      <c r="DQ272" s="4"/>
      <c r="DR272" s="4"/>
      <c r="DS272" s="4"/>
    </row>
    <row r="273">
      <c r="A273" s="5">
        <f>IFERROR(__xludf.DUMMYFUNCTION("""COMPUTED_VALUE"""),45509.0)</f>
        <v>45509</v>
      </c>
      <c r="B273" s="6" t="str">
        <f>IFERROR(__xludf.DUMMYFUNCTION("""COMPUTED_VALUE"""),"Car Insurance")</f>
        <v>Car Insurance</v>
      </c>
      <c r="C273" s="7">
        <f>IFERROR(__xludf.DUMMYFUNCTION("""COMPUTED_VALUE"""),23370.0)</f>
        <v>23370</v>
      </c>
      <c r="D273" s="6" t="str">
        <f>IFERROR(__xludf.DUMMYFUNCTION("""COMPUTED_VALUE"""),"Car Expenses")</f>
        <v>Car Expenses</v>
      </c>
      <c r="E273" s="6" t="str">
        <f>IFERROR(__xludf.DUMMYFUNCTION("""COMPUTED_VALUE"""),"Split Payment")</f>
        <v>Split Payment</v>
      </c>
      <c r="F273" s="6" t="s">
        <v>9</v>
      </c>
      <c r="G273" s="8" t="str">
        <f t="shared" si="1"/>
        <v>202408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4"/>
      <c r="DP273" s="4"/>
      <c r="DQ273" s="4"/>
      <c r="DR273" s="4"/>
      <c r="DS273" s="4"/>
    </row>
    <row r="274">
      <c r="A274" s="5">
        <f>IFERROR(__xludf.DUMMYFUNCTION("""COMPUTED_VALUE"""),45509.0)</f>
        <v>45509</v>
      </c>
      <c r="B274" s="6" t="str">
        <f>IFERROR(__xludf.DUMMYFUNCTION("""COMPUTED_VALUE"""),"Personal Care")</f>
        <v>Personal Care</v>
      </c>
      <c r="C274" s="7">
        <f>IFERROR(__xludf.DUMMYFUNCTION("""COMPUTED_VALUE"""),18175.0)</f>
        <v>18175</v>
      </c>
      <c r="D274" s="6" t="str">
        <f>IFERROR(__xludf.DUMMYFUNCTION("""COMPUTED_VALUE"""),"Personal Care")</f>
        <v>Personal Care</v>
      </c>
      <c r="E274" s="6" t="str">
        <f>IFERROR(__xludf.DUMMYFUNCTION("""COMPUTED_VALUE"""),"Split Payment")</f>
        <v>Split Payment</v>
      </c>
      <c r="F274" s="6" t="s">
        <v>16</v>
      </c>
      <c r="G274" s="8" t="str">
        <f t="shared" si="1"/>
        <v>202408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4"/>
      <c r="DP274" s="4"/>
      <c r="DQ274" s="4"/>
      <c r="DR274" s="4"/>
      <c r="DS274" s="4"/>
    </row>
    <row r="275">
      <c r="A275" s="5">
        <f>IFERROR(__xludf.DUMMYFUNCTION("""COMPUTED_VALUE"""),45509.0)</f>
        <v>45509</v>
      </c>
      <c r="B275" s="6" t="str">
        <f>IFERROR(__xludf.DUMMYFUNCTION("""COMPUTED_VALUE"""),"Restaurant")</f>
        <v>Restaurant</v>
      </c>
      <c r="C275" s="7">
        <f>IFERROR(__xludf.DUMMYFUNCTION("""COMPUTED_VALUE"""),26.0)</f>
        <v>26</v>
      </c>
      <c r="D275" s="6" t="str">
        <f>IFERROR(__xludf.DUMMYFUNCTION("""COMPUTED_VALUE"""),"Lunch Out")</f>
        <v>Lunch Out</v>
      </c>
      <c r="E275" s="6" t="str">
        <f>IFERROR(__xludf.DUMMYFUNCTION("""COMPUTED_VALUE"""),"Virtual Wallet")</f>
        <v>Virtual Wallet</v>
      </c>
      <c r="F275" s="6" t="s">
        <v>14</v>
      </c>
      <c r="G275" s="8" t="str">
        <f t="shared" si="1"/>
        <v>202408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4"/>
      <c r="DP275" s="4"/>
      <c r="DQ275" s="4"/>
      <c r="DR275" s="4"/>
      <c r="DS275" s="4"/>
    </row>
    <row r="276">
      <c r="A276" s="5">
        <f>IFERROR(__xludf.DUMMYFUNCTION("""COMPUTED_VALUE"""),45510.0)</f>
        <v>45510</v>
      </c>
      <c r="B276" s="6" t="str">
        <f>IFERROR(__xludf.DUMMYFUNCTION("""COMPUTED_VALUE"""),"Pets")</f>
        <v>Pets</v>
      </c>
      <c r="C276" s="7">
        <f>IFERROR(__xludf.DUMMYFUNCTION("""COMPUTED_VALUE"""),12738.0)</f>
        <v>12738</v>
      </c>
      <c r="D276" s="6" t="str">
        <f>IFERROR(__xludf.DUMMYFUNCTION("""COMPUTED_VALUE"""),"Pets")</f>
        <v>Pets</v>
      </c>
      <c r="E276" s="6" t="str">
        <f>IFERROR(__xludf.DUMMYFUNCTION("""COMPUTED_VALUE"""),"Credit Card")</f>
        <v>Credit Card</v>
      </c>
      <c r="F276" s="6" t="s">
        <v>7</v>
      </c>
      <c r="G276" s="8" t="str">
        <f t="shared" si="1"/>
        <v>202408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4"/>
      <c r="DP276" s="4"/>
      <c r="DQ276" s="4"/>
      <c r="DR276" s="4"/>
      <c r="DS276" s="4"/>
    </row>
    <row r="277">
      <c r="A277" s="5">
        <f>IFERROR(__xludf.DUMMYFUNCTION("""COMPUTED_VALUE"""),45510.0)</f>
        <v>45510</v>
      </c>
      <c r="B277" s="6" t="str">
        <f>IFERROR(__xludf.DUMMYFUNCTION("""COMPUTED_VALUE"""),"Sports")</f>
        <v>Sports</v>
      </c>
      <c r="C277" s="7">
        <f>IFERROR(__xludf.DUMMYFUNCTION("""COMPUTED_VALUE"""),42500.0)</f>
        <v>42500</v>
      </c>
      <c r="D277" s="6" t="str">
        <f>IFERROR(__xludf.DUMMYFUNCTION("""COMPUTED_VALUE"""),"Sports")</f>
        <v>Sports</v>
      </c>
      <c r="E277" s="6" t="str">
        <f>IFERROR(__xludf.DUMMYFUNCTION("""COMPUTED_VALUE"""),"Bank Transfer")</f>
        <v>Bank Transfer</v>
      </c>
      <c r="F277" s="6" t="s">
        <v>12</v>
      </c>
      <c r="G277" s="8" t="str">
        <f t="shared" si="1"/>
        <v>202408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4"/>
      <c r="DP277" s="4"/>
      <c r="DQ277" s="4"/>
      <c r="DR277" s="4"/>
      <c r="DS277" s="4"/>
    </row>
    <row r="278">
      <c r="A278" s="5">
        <f>IFERROR(__xludf.DUMMYFUNCTION("""COMPUTED_VALUE"""),45510.0)</f>
        <v>45510</v>
      </c>
      <c r="B278" s="6" t="str">
        <f>IFERROR(__xludf.DUMMYFUNCTION("""COMPUTED_VALUE"""),"Gift")</f>
        <v>Gift</v>
      </c>
      <c r="C278" s="7">
        <f>IFERROR(__xludf.DUMMYFUNCTION("""COMPUTED_VALUE"""),22250.0)</f>
        <v>22250</v>
      </c>
      <c r="D278" s="6" t="str">
        <f>IFERROR(__xludf.DUMMYFUNCTION("""COMPUTED_VALUE"""),"Gifts")</f>
        <v>Gifts</v>
      </c>
      <c r="E278" s="6" t="str">
        <f>IFERROR(__xludf.DUMMYFUNCTION("""COMPUTED_VALUE"""),"Debit Card")</f>
        <v>Debit Card</v>
      </c>
      <c r="F278" s="6"/>
      <c r="G278" s="8" t="str">
        <f t="shared" si="1"/>
        <v>202408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4"/>
      <c r="DP278" s="4"/>
      <c r="DQ278" s="4"/>
      <c r="DR278" s="4"/>
      <c r="DS278" s="4"/>
    </row>
    <row r="279">
      <c r="A279" s="5">
        <f>IFERROR(__xludf.DUMMYFUNCTION("""COMPUTED_VALUE"""),45510.0)</f>
        <v>45510</v>
      </c>
      <c r="B279" s="6" t="str">
        <f>IFERROR(__xludf.DUMMYFUNCTION("""COMPUTED_VALUE"""),"Restaurant")</f>
        <v>Restaurant</v>
      </c>
      <c r="C279" s="7">
        <f>IFERROR(__xludf.DUMMYFUNCTION("""COMPUTED_VALUE"""),39.0)</f>
        <v>39</v>
      </c>
      <c r="D279" s="6" t="str">
        <f>IFERROR(__xludf.DUMMYFUNCTION("""COMPUTED_VALUE"""),"Restaurant / Café")</f>
        <v>Restaurant / Café</v>
      </c>
      <c r="E279" s="6" t="str">
        <f>IFERROR(__xludf.DUMMYFUNCTION("""COMPUTED_VALUE"""),"Virtual Wallet")</f>
        <v>Virtual Wallet</v>
      </c>
      <c r="F279" s="6" t="s">
        <v>14</v>
      </c>
      <c r="G279" s="8" t="str">
        <f t="shared" si="1"/>
        <v>202408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4"/>
      <c r="DP279" s="4"/>
      <c r="DQ279" s="4"/>
      <c r="DR279" s="4"/>
      <c r="DS279" s="4"/>
    </row>
    <row r="280">
      <c r="A280" s="5">
        <f>IFERROR(__xludf.DUMMYFUNCTION("""COMPUTED_VALUE"""),45511.0)</f>
        <v>45511</v>
      </c>
      <c r="B280" s="6" t="str">
        <f>IFERROR(__xludf.DUMMYFUNCTION("""COMPUTED_VALUE"""),"Sports")</f>
        <v>Sports</v>
      </c>
      <c r="C280" s="7">
        <f>IFERROR(__xludf.DUMMYFUNCTION("""COMPUTED_VALUE"""),21990.0)</f>
        <v>21990</v>
      </c>
      <c r="D280" s="6" t="str">
        <f>IFERROR(__xludf.DUMMYFUNCTION("""COMPUTED_VALUE"""),"Sports")</f>
        <v>Sports</v>
      </c>
      <c r="E280" s="6" t="str">
        <f>IFERROR(__xludf.DUMMYFUNCTION("""COMPUTED_VALUE"""),"Credit Card")</f>
        <v>Credit Card</v>
      </c>
      <c r="F280" s="6" t="s">
        <v>12</v>
      </c>
      <c r="G280" s="8" t="str">
        <f t="shared" si="1"/>
        <v>202408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4"/>
      <c r="DP280" s="4"/>
      <c r="DQ280" s="4"/>
      <c r="DR280" s="4"/>
      <c r="DS280" s="4"/>
    </row>
    <row r="281">
      <c r="A281" s="5">
        <f>IFERROR(__xludf.DUMMYFUNCTION("""COMPUTED_VALUE"""),45511.0)</f>
        <v>45511</v>
      </c>
      <c r="B281" s="6" t="str">
        <f>IFERROR(__xludf.DUMMYFUNCTION("""COMPUTED_VALUE"""),"Streaming Services")</f>
        <v>Streaming Services</v>
      </c>
      <c r="C281" s="7">
        <f>IFERROR(__xludf.DUMMYFUNCTION("""COMPUTED_VALUE"""),1350.0)</f>
        <v>1350</v>
      </c>
      <c r="D281" s="6" t="str">
        <f>IFERROR(__xludf.DUMMYFUNCTION("""COMPUTED_VALUE"""),"Streaming Services")</f>
        <v>Streaming Services</v>
      </c>
      <c r="E281" s="6" t="str">
        <f>IFERROR(__xludf.DUMMYFUNCTION("""COMPUTED_VALUE"""),"Credit Card")</f>
        <v>Credit Card</v>
      </c>
      <c r="F281" s="6" t="s">
        <v>12</v>
      </c>
      <c r="G281" s="8" t="str">
        <f t="shared" si="1"/>
        <v>202408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4"/>
      <c r="DP281" s="4"/>
      <c r="DQ281" s="4"/>
      <c r="DR281" s="4"/>
      <c r="DS281" s="4"/>
    </row>
    <row r="282">
      <c r="A282" s="5">
        <f>IFERROR(__xludf.DUMMYFUNCTION("""COMPUTED_VALUE"""),45511.0)</f>
        <v>45511</v>
      </c>
      <c r="B282" s="6" t="str">
        <f>IFERROR(__xludf.DUMMYFUNCTION("""COMPUTED_VALUE"""),"Streaming Services")</f>
        <v>Streaming Services</v>
      </c>
      <c r="C282" s="7">
        <f>IFERROR(__xludf.DUMMYFUNCTION("""COMPUTED_VALUE"""),5723.0)</f>
        <v>5723</v>
      </c>
      <c r="D282" s="6" t="str">
        <f>IFERROR(__xludf.DUMMYFUNCTION("""COMPUTED_VALUE"""),"Streaming Services")</f>
        <v>Streaming Services</v>
      </c>
      <c r="E282" s="6" t="str">
        <f>IFERROR(__xludf.DUMMYFUNCTION("""COMPUTED_VALUE"""),"Credit Card")</f>
        <v>Credit Card</v>
      </c>
      <c r="F282" s="6" t="s">
        <v>12</v>
      </c>
      <c r="G282" s="8" t="str">
        <f t="shared" si="1"/>
        <v>202408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4"/>
      <c r="DP282" s="4"/>
      <c r="DQ282" s="4"/>
      <c r="DR282" s="4"/>
      <c r="DS282" s="4"/>
    </row>
    <row r="283">
      <c r="A283" s="5">
        <f>IFERROR(__xludf.DUMMYFUNCTION("""COMPUTED_VALUE"""),45511.0)</f>
        <v>45511</v>
      </c>
      <c r="B283" s="6" t="str">
        <f>IFERROR(__xludf.DUMMYFUNCTION("""COMPUTED_VALUE"""),"Doctor Visit")</f>
        <v>Doctor Visit</v>
      </c>
      <c r="C283" s="7">
        <f>IFERROR(__xludf.DUMMYFUNCTION("""COMPUTED_VALUE"""),7000.0)</f>
        <v>7000</v>
      </c>
      <c r="D283" s="6" t="str">
        <f>IFERROR(__xludf.DUMMYFUNCTION("""COMPUTED_VALUE"""),"Healthcare")</f>
        <v>Healthcare</v>
      </c>
      <c r="E283" s="6" t="str">
        <f>IFERROR(__xludf.DUMMYFUNCTION("""COMPUTED_VALUE"""),"Virtual Wallet")</f>
        <v>Virtual Wallet</v>
      </c>
      <c r="F283" s="6" t="s">
        <v>15</v>
      </c>
      <c r="G283" s="8" t="str">
        <f t="shared" si="1"/>
        <v>202408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4"/>
      <c r="DP283" s="4"/>
      <c r="DQ283" s="4"/>
      <c r="DR283" s="4"/>
      <c r="DS283" s="4"/>
    </row>
    <row r="284">
      <c r="A284" s="5">
        <f>IFERROR(__xludf.DUMMYFUNCTION("""COMPUTED_VALUE"""),45511.0)</f>
        <v>45511</v>
      </c>
      <c r="B284" s="6" t="str">
        <f>IFERROR(__xludf.DUMMYFUNCTION("""COMPUTED_VALUE"""),"Doctor Visit")</f>
        <v>Doctor Visit</v>
      </c>
      <c r="C284" s="7">
        <f>IFERROR(__xludf.DUMMYFUNCTION("""COMPUTED_VALUE"""),125341.0)</f>
        <v>125341</v>
      </c>
      <c r="D284" s="6" t="str">
        <f>IFERROR(__xludf.DUMMYFUNCTION("""COMPUTED_VALUE"""),"Healthcare")</f>
        <v>Healthcare</v>
      </c>
      <c r="E284" s="6" t="str">
        <f>IFERROR(__xludf.DUMMYFUNCTION("""COMPUTED_VALUE"""),"Bank Transfer")</f>
        <v>Bank Transfer</v>
      </c>
      <c r="F284" s="6" t="s">
        <v>15</v>
      </c>
      <c r="G284" s="8" t="str">
        <f t="shared" si="1"/>
        <v>202408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4"/>
      <c r="DP284" s="4"/>
      <c r="DQ284" s="4"/>
      <c r="DR284" s="4"/>
      <c r="DS284" s="4"/>
    </row>
    <row r="285">
      <c r="A285" s="5">
        <f>IFERROR(__xludf.DUMMYFUNCTION("""COMPUTED_VALUE"""),45511.0)</f>
        <v>45511</v>
      </c>
      <c r="B285" s="6" t="str">
        <f>IFERROR(__xludf.DUMMYFUNCTION("""COMPUTED_VALUE"""),"Recreation")</f>
        <v>Recreation</v>
      </c>
      <c r="C285" s="7">
        <f>IFERROR(__xludf.DUMMYFUNCTION("""COMPUTED_VALUE"""),25600.0)</f>
        <v>25600</v>
      </c>
      <c r="D285" s="6" t="str">
        <f>IFERROR(__xludf.DUMMYFUNCTION("""COMPUTED_VALUE"""),"Recreation")</f>
        <v>Recreation</v>
      </c>
      <c r="E285" s="6" t="str">
        <f>IFERROR(__xludf.DUMMYFUNCTION("""COMPUTED_VALUE"""),"Credit Card")</f>
        <v>Credit Card</v>
      </c>
      <c r="F285" s="6" t="s">
        <v>12</v>
      </c>
      <c r="G285" s="8" t="str">
        <f t="shared" si="1"/>
        <v>202408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4"/>
      <c r="DP285" s="4"/>
      <c r="DQ285" s="4"/>
      <c r="DR285" s="4"/>
      <c r="DS285" s="4"/>
    </row>
    <row r="286">
      <c r="A286" s="5">
        <f>IFERROR(__xludf.DUMMYFUNCTION("""COMPUTED_VALUE"""),45512.0)</f>
        <v>45512</v>
      </c>
      <c r="B286" s="6" t="str">
        <f>IFERROR(__xludf.DUMMYFUNCTION("""COMPUTED_VALUE"""),"Gift")</f>
        <v>Gift</v>
      </c>
      <c r="C286" s="7">
        <f>IFERROR(__xludf.DUMMYFUNCTION("""COMPUTED_VALUE"""),8996.0)</f>
        <v>8996</v>
      </c>
      <c r="D286" s="6" t="str">
        <f>IFERROR(__xludf.DUMMYFUNCTION("""COMPUTED_VALUE"""),"Gifts")</f>
        <v>Gifts</v>
      </c>
      <c r="E286" s="6" t="str">
        <f>IFERROR(__xludf.DUMMYFUNCTION("""COMPUTED_VALUE"""),"Credit Card")</f>
        <v>Credit Card</v>
      </c>
      <c r="F286" s="6"/>
      <c r="G286" s="8" t="str">
        <f t="shared" si="1"/>
        <v>202408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4"/>
      <c r="DP286" s="4"/>
      <c r="DQ286" s="4"/>
      <c r="DR286" s="4"/>
      <c r="DS286" s="4"/>
    </row>
    <row r="287">
      <c r="A287" s="5">
        <f>IFERROR(__xludf.DUMMYFUNCTION("""COMPUTED_VALUE"""),45512.0)</f>
        <v>45512</v>
      </c>
      <c r="B287" s="6" t="str">
        <f>IFERROR(__xludf.DUMMYFUNCTION("""COMPUTED_VALUE"""),"Mobile Plan")</f>
        <v>Mobile Plan</v>
      </c>
      <c r="C287" s="7">
        <f>IFERROR(__xludf.DUMMYFUNCTION("""COMPUTED_VALUE"""),0.0)</f>
        <v>0</v>
      </c>
      <c r="D287" s="6" t="str">
        <f>IFERROR(__xludf.DUMMYFUNCTION("""COMPUTED_VALUE"""),"Basic Services")</f>
        <v>Basic Services</v>
      </c>
      <c r="E287" s="6" t="str">
        <f>IFERROR(__xludf.DUMMYFUNCTION("""COMPUTED_VALUE"""),"Virtual Wallet")</f>
        <v>Virtual Wallet</v>
      </c>
      <c r="F287" s="6" t="s">
        <v>13</v>
      </c>
      <c r="G287" s="8" t="str">
        <f t="shared" si="1"/>
        <v>202408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4"/>
      <c r="DP287" s="4"/>
      <c r="DQ287" s="4"/>
      <c r="DR287" s="4"/>
      <c r="DS287" s="4"/>
    </row>
    <row r="288">
      <c r="A288" s="5">
        <f>IFERROR(__xludf.DUMMYFUNCTION("""COMPUTED_VALUE"""),45512.0)</f>
        <v>45512</v>
      </c>
      <c r="B288" s="6" t="str">
        <f>IFERROR(__xludf.DUMMYFUNCTION("""COMPUTED_VALUE"""),"Clothing")</f>
        <v>Clothing</v>
      </c>
      <c r="C288" s="7">
        <f>IFERROR(__xludf.DUMMYFUNCTION("""COMPUTED_VALUE"""),13556.0)</f>
        <v>13556</v>
      </c>
      <c r="D288" s="6" t="str">
        <f>IFERROR(__xludf.DUMMYFUNCTION("""COMPUTED_VALUE"""),"Clothing")</f>
        <v>Clothing</v>
      </c>
      <c r="E288" s="6" t="str">
        <f>IFERROR(__xludf.DUMMYFUNCTION("""COMPUTED_VALUE"""),"Credit Card")</f>
        <v>Credit Card</v>
      </c>
      <c r="F288" s="6" t="s">
        <v>10</v>
      </c>
      <c r="G288" s="8" t="str">
        <f t="shared" si="1"/>
        <v>202408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4"/>
      <c r="DP288" s="4"/>
      <c r="DQ288" s="4"/>
      <c r="DR288" s="4"/>
      <c r="DS288" s="4"/>
    </row>
    <row r="289">
      <c r="A289" s="5">
        <f>IFERROR(__xludf.DUMMYFUNCTION("""COMPUTED_VALUE"""),45512.0)</f>
        <v>45512</v>
      </c>
      <c r="B289" s="6" t="str">
        <f>IFERROR(__xludf.DUMMYFUNCTION("""COMPUTED_VALUE"""),"Home Goods")</f>
        <v>Home Goods</v>
      </c>
      <c r="C289" s="7">
        <f>IFERROR(__xludf.DUMMYFUNCTION("""COMPUTED_VALUE"""),9600.0)</f>
        <v>9600</v>
      </c>
      <c r="D289" s="6" t="str">
        <f>IFERROR(__xludf.DUMMYFUNCTION("""COMPUTED_VALUE"""),"Home Goods &amp; Utilities")</f>
        <v>Home Goods &amp; Utilities</v>
      </c>
      <c r="E289" s="6" t="str">
        <f>IFERROR(__xludf.DUMMYFUNCTION("""COMPUTED_VALUE"""),"Virtual Wallet")</f>
        <v>Virtual Wallet</v>
      </c>
      <c r="F289" s="6" t="s">
        <v>8</v>
      </c>
      <c r="G289" s="8" t="str">
        <f t="shared" si="1"/>
        <v>202408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4"/>
      <c r="DP289" s="4"/>
      <c r="DQ289" s="4"/>
      <c r="DR289" s="4"/>
      <c r="DS289" s="4"/>
    </row>
    <row r="290">
      <c r="A290" s="5">
        <f>IFERROR(__xludf.DUMMYFUNCTION("""COMPUTED_VALUE"""),45512.0)</f>
        <v>45512</v>
      </c>
      <c r="B290" s="6" t="str">
        <f>IFERROR(__xludf.DUMMYFUNCTION("""COMPUTED_VALUE"""),"Pharmacy")</f>
        <v>Pharmacy</v>
      </c>
      <c r="C290" s="7">
        <f>IFERROR(__xludf.DUMMYFUNCTION("""COMPUTED_VALUE"""),18781.0)</f>
        <v>18781</v>
      </c>
      <c r="D290" s="6" t="str">
        <f>IFERROR(__xludf.DUMMYFUNCTION("""COMPUTED_VALUE"""),"Personal Care")</f>
        <v>Personal Care</v>
      </c>
      <c r="E290" s="6" t="str">
        <f>IFERROR(__xludf.DUMMYFUNCTION("""COMPUTED_VALUE"""),"Credit Card")</f>
        <v>Credit Card</v>
      </c>
      <c r="F290" s="6" t="s">
        <v>16</v>
      </c>
      <c r="G290" s="8" t="str">
        <f t="shared" si="1"/>
        <v>202408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4"/>
      <c r="DP290" s="4"/>
      <c r="DQ290" s="4"/>
      <c r="DR290" s="4"/>
      <c r="DS290" s="4"/>
    </row>
    <row r="291">
      <c r="A291" s="5">
        <f>IFERROR(__xludf.DUMMYFUNCTION("""COMPUTED_VALUE"""),45513.0)</f>
        <v>45513</v>
      </c>
      <c r="B291" s="6" t="str">
        <f>IFERROR(__xludf.DUMMYFUNCTION("""COMPUTED_VALUE"""),"Home Maintenance")</f>
        <v>Home Maintenance</v>
      </c>
      <c r="C291" s="7">
        <f>IFERROR(__xludf.DUMMYFUNCTION("""COMPUTED_VALUE"""),6500.0)</f>
        <v>6500</v>
      </c>
      <c r="D291" s="6" t="str">
        <f>IFERROR(__xludf.DUMMYFUNCTION("""COMPUTED_VALUE"""),"Car Expenses")</f>
        <v>Car Expenses</v>
      </c>
      <c r="E291" s="6" t="str">
        <f>IFERROR(__xludf.DUMMYFUNCTION("""COMPUTED_VALUE"""),"Debit Card")</f>
        <v>Debit Card</v>
      </c>
      <c r="F291" s="6" t="s">
        <v>9</v>
      </c>
      <c r="G291" s="8" t="str">
        <f t="shared" si="1"/>
        <v>202408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4"/>
      <c r="DP291" s="4"/>
      <c r="DQ291" s="4"/>
      <c r="DR291" s="4"/>
      <c r="DS291" s="4"/>
    </row>
    <row r="292">
      <c r="A292" s="5">
        <f>IFERROR(__xludf.DUMMYFUNCTION("""COMPUTED_VALUE"""),45513.0)</f>
        <v>45513</v>
      </c>
      <c r="B292" s="6" t="str">
        <f>IFERROR(__xludf.DUMMYFUNCTION("""COMPUTED_VALUE"""),"Stationery / Books")</f>
        <v>Stationery / Books</v>
      </c>
      <c r="C292" s="7">
        <f>IFERROR(__xludf.DUMMYFUNCTION("""COMPUTED_VALUE"""),10400.0)</f>
        <v>10400</v>
      </c>
      <c r="D292" s="6" t="str">
        <f>IFERROR(__xludf.DUMMYFUNCTION("""COMPUTED_VALUE"""),"Education")</f>
        <v>Education</v>
      </c>
      <c r="E292" s="6" t="str">
        <f>IFERROR(__xludf.DUMMYFUNCTION("""COMPUTED_VALUE"""),"Credit Card")</f>
        <v>Credit Card</v>
      </c>
      <c r="F292" s="6" t="s">
        <v>11</v>
      </c>
      <c r="G292" s="8" t="str">
        <f t="shared" si="1"/>
        <v>202408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4"/>
      <c r="DP292" s="4"/>
      <c r="DQ292" s="4"/>
      <c r="DR292" s="4"/>
      <c r="DS292" s="4"/>
    </row>
    <row r="293">
      <c r="A293" s="5">
        <f>IFERROR(__xludf.DUMMYFUNCTION("""COMPUTED_VALUE"""),45514.0)</f>
        <v>45514</v>
      </c>
      <c r="B293" s="6" t="str">
        <f>IFERROR(__xludf.DUMMYFUNCTION("""COMPUTED_VALUE"""),"Groceries")</f>
        <v>Groceries</v>
      </c>
      <c r="C293" s="7">
        <f>IFERROR(__xludf.DUMMYFUNCTION("""COMPUTED_VALUE"""),10960.0)</f>
        <v>10960</v>
      </c>
      <c r="D293" s="6" t="str">
        <f>IFERROR(__xludf.DUMMYFUNCTION("""COMPUTED_VALUE"""),"Groceries")</f>
        <v>Groceries</v>
      </c>
      <c r="E293" s="6" t="str">
        <f>IFERROR(__xludf.DUMMYFUNCTION("""COMPUTED_VALUE"""),"Bank Transfer")</f>
        <v>Bank Transfer</v>
      </c>
      <c r="F293" s="6" t="s">
        <v>7</v>
      </c>
      <c r="G293" s="8" t="str">
        <f t="shared" si="1"/>
        <v>202408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4"/>
      <c r="DP293" s="4"/>
      <c r="DQ293" s="4"/>
      <c r="DR293" s="4"/>
      <c r="DS293" s="4"/>
    </row>
    <row r="294">
      <c r="A294" s="5">
        <f>IFERROR(__xludf.DUMMYFUNCTION("""COMPUTED_VALUE"""),45515.0)</f>
        <v>45515</v>
      </c>
      <c r="B294" s="6" t="str">
        <f>IFERROR(__xludf.DUMMYFUNCTION("""COMPUTED_VALUE"""),"Restaurant")</f>
        <v>Restaurant</v>
      </c>
      <c r="C294" s="7">
        <f>IFERROR(__xludf.DUMMYFUNCTION("""COMPUTED_VALUE"""),1500.0)</f>
        <v>1500</v>
      </c>
      <c r="D294" s="6" t="str">
        <f>IFERROR(__xludf.DUMMYFUNCTION("""COMPUTED_VALUE"""),"Restaurant / Café")</f>
        <v>Restaurant / Café</v>
      </c>
      <c r="E294" s="6" t="str">
        <f>IFERROR(__xludf.DUMMYFUNCTION("""COMPUTED_VALUE"""),"Virtual Wallet")</f>
        <v>Virtual Wallet</v>
      </c>
      <c r="F294" s="6" t="s">
        <v>14</v>
      </c>
      <c r="G294" s="8" t="str">
        <f t="shared" si="1"/>
        <v>202408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4"/>
      <c r="DP294" s="4"/>
      <c r="DQ294" s="4"/>
      <c r="DR294" s="4"/>
      <c r="DS294" s="4"/>
    </row>
    <row r="295">
      <c r="A295" s="5">
        <f>IFERROR(__xludf.DUMMYFUNCTION("""COMPUTED_VALUE"""),45515.0)</f>
        <v>45515</v>
      </c>
      <c r="B295" s="6" t="str">
        <f>IFERROR(__xludf.DUMMYFUNCTION("""COMPUTED_VALUE"""),"Restaurant")</f>
        <v>Restaurant</v>
      </c>
      <c r="C295" s="7">
        <f>IFERROR(__xludf.DUMMYFUNCTION("""COMPUTED_VALUE"""),26.5)</f>
        <v>26.5</v>
      </c>
      <c r="D295" s="6" t="str">
        <f>IFERROR(__xludf.DUMMYFUNCTION("""COMPUTED_VALUE"""),"Groceries")</f>
        <v>Groceries</v>
      </c>
      <c r="E295" s="6" t="str">
        <f>IFERROR(__xludf.DUMMYFUNCTION("""COMPUTED_VALUE"""),"Virtual Wallet")</f>
        <v>Virtual Wallet</v>
      </c>
      <c r="F295" s="6" t="s">
        <v>7</v>
      </c>
      <c r="G295" s="8" t="str">
        <f t="shared" si="1"/>
        <v>202408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4"/>
      <c r="DP295" s="4"/>
      <c r="DQ295" s="4"/>
      <c r="DR295" s="4"/>
      <c r="DS295" s="4"/>
    </row>
    <row r="296">
      <c r="A296" s="5">
        <f>IFERROR(__xludf.DUMMYFUNCTION("""COMPUTED_VALUE"""),45516.0)</f>
        <v>45516</v>
      </c>
      <c r="B296" s="6" t="str">
        <f>IFERROR(__xludf.DUMMYFUNCTION("""COMPUTED_VALUE"""),"Doctor Visit")</f>
        <v>Doctor Visit</v>
      </c>
      <c r="C296" s="7">
        <f>IFERROR(__xludf.DUMMYFUNCTION("""COMPUTED_VALUE"""),3800.0)</f>
        <v>3800</v>
      </c>
      <c r="D296" s="6" t="str">
        <f>IFERROR(__xludf.DUMMYFUNCTION("""COMPUTED_VALUE"""),"Healthcare")</f>
        <v>Healthcare</v>
      </c>
      <c r="E296" s="6" t="str">
        <f>IFERROR(__xludf.DUMMYFUNCTION("""COMPUTED_VALUE"""),"Virtual Wallet")</f>
        <v>Virtual Wallet</v>
      </c>
      <c r="F296" s="6" t="s">
        <v>15</v>
      </c>
      <c r="G296" s="8" t="str">
        <f t="shared" si="1"/>
        <v>202408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4"/>
      <c r="DP296" s="4"/>
      <c r="DQ296" s="4"/>
      <c r="DR296" s="4"/>
      <c r="DS296" s="4"/>
    </row>
    <row r="297">
      <c r="A297" s="5">
        <f>IFERROR(__xludf.DUMMYFUNCTION("""COMPUTED_VALUE"""),45516.0)</f>
        <v>45516</v>
      </c>
      <c r="B297" s="6" t="str">
        <f>IFERROR(__xludf.DUMMYFUNCTION("""COMPUTED_VALUE"""),"Restaurant")</f>
        <v>Restaurant</v>
      </c>
      <c r="C297" s="7">
        <f>IFERROR(__xludf.DUMMYFUNCTION("""COMPUTED_VALUE"""),177.75)</f>
        <v>177.75</v>
      </c>
      <c r="D297" s="6" t="str">
        <f>IFERROR(__xludf.DUMMYFUNCTION("""COMPUTED_VALUE"""),"Groceries")</f>
        <v>Groceries</v>
      </c>
      <c r="E297" s="6" t="str">
        <f>IFERROR(__xludf.DUMMYFUNCTION("""COMPUTED_VALUE"""),"Virtual Wallet")</f>
        <v>Virtual Wallet</v>
      </c>
      <c r="F297" s="6" t="s">
        <v>7</v>
      </c>
      <c r="G297" s="8" t="str">
        <f t="shared" si="1"/>
        <v>202408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4"/>
      <c r="DP297" s="4"/>
      <c r="DQ297" s="4"/>
      <c r="DR297" s="4"/>
      <c r="DS297" s="4"/>
    </row>
    <row r="298">
      <c r="A298" s="5">
        <f>IFERROR(__xludf.DUMMYFUNCTION("""COMPUTED_VALUE"""),45517.0)</f>
        <v>45517</v>
      </c>
      <c r="B298" s="6" t="str">
        <f>IFERROR(__xludf.DUMMYFUNCTION("""COMPUTED_VALUE"""),"Gasoline")</f>
        <v>Gasoline</v>
      </c>
      <c r="C298" s="7">
        <f>IFERROR(__xludf.DUMMYFUNCTION("""COMPUTED_VALUE"""),10000.0)</f>
        <v>10000</v>
      </c>
      <c r="D298" s="6" t="str">
        <f>IFERROR(__xludf.DUMMYFUNCTION("""COMPUTED_VALUE"""),"Car Expenses")</f>
        <v>Car Expenses</v>
      </c>
      <c r="E298" s="6" t="str">
        <f>IFERROR(__xludf.DUMMYFUNCTION("""COMPUTED_VALUE"""),"Debit Card")</f>
        <v>Debit Card</v>
      </c>
      <c r="F298" s="6" t="s">
        <v>9</v>
      </c>
      <c r="G298" s="8" t="str">
        <f t="shared" si="1"/>
        <v>202408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4"/>
      <c r="DP298" s="4"/>
      <c r="DQ298" s="4"/>
      <c r="DR298" s="4"/>
      <c r="DS298" s="4"/>
    </row>
    <row r="299">
      <c r="A299" s="5">
        <f>IFERROR(__xludf.DUMMYFUNCTION("""COMPUTED_VALUE"""),45517.0)</f>
        <v>45517</v>
      </c>
      <c r="B299" s="6" t="str">
        <f>IFERROR(__xludf.DUMMYFUNCTION("""COMPUTED_VALUE"""),"Groceries")</f>
        <v>Groceries</v>
      </c>
      <c r="C299" s="7">
        <f>IFERROR(__xludf.DUMMYFUNCTION("""COMPUTED_VALUE"""),4110.0)</f>
        <v>4110</v>
      </c>
      <c r="D299" s="6" t="str">
        <f>IFERROR(__xludf.DUMMYFUNCTION("""COMPUTED_VALUE"""),"Groceries")</f>
        <v>Groceries</v>
      </c>
      <c r="E299" s="6" t="str">
        <f>IFERROR(__xludf.DUMMYFUNCTION("""COMPUTED_VALUE"""),"Debit Card")</f>
        <v>Debit Card</v>
      </c>
      <c r="F299" s="6" t="s">
        <v>7</v>
      </c>
      <c r="G299" s="8" t="str">
        <f t="shared" si="1"/>
        <v>202408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4"/>
      <c r="DP299" s="4"/>
      <c r="DQ299" s="4"/>
      <c r="DR299" s="4"/>
      <c r="DS299" s="4"/>
    </row>
    <row r="300">
      <c r="A300" s="5">
        <f>IFERROR(__xludf.DUMMYFUNCTION("""COMPUTED_VALUE"""),45518.0)</f>
        <v>45518</v>
      </c>
      <c r="B300" s="6" t="str">
        <f>IFERROR(__xludf.DUMMYFUNCTION("""COMPUTED_VALUE"""),"Gift")</f>
        <v>Gift</v>
      </c>
      <c r="C300" s="7">
        <f>IFERROR(__xludf.DUMMYFUNCTION("""COMPUTED_VALUE"""),9500.0)</f>
        <v>9500</v>
      </c>
      <c r="D300" s="6" t="str">
        <f>IFERROR(__xludf.DUMMYFUNCTION("""COMPUTED_VALUE"""),"Gifts")</f>
        <v>Gifts</v>
      </c>
      <c r="E300" s="6" t="str">
        <f>IFERROR(__xludf.DUMMYFUNCTION("""COMPUTED_VALUE"""),"Virtual Wallet")</f>
        <v>Virtual Wallet</v>
      </c>
      <c r="F300" s="6"/>
      <c r="G300" s="8" t="str">
        <f t="shared" si="1"/>
        <v>202408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4"/>
      <c r="DP300" s="4"/>
      <c r="DQ300" s="4"/>
      <c r="DR300" s="4"/>
      <c r="DS300" s="4"/>
    </row>
    <row r="301">
      <c r="A301" s="5">
        <f>IFERROR(__xludf.DUMMYFUNCTION("""COMPUTED_VALUE"""),45518.0)</f>
        <v>45518</v>
      </c>
      <c r="B301" s="6" t="str">
        <f>IFERROR(__xludf.DUMMYFUNCTION("""COMPUTED_VALUE"""),"Restaurant")</f>
        <v>Restaurant</v>
      </c>
      <c r="C301" s="7">
        <f>IFERROR(__xludf.DUMMYFUNCTION("""COMPUTED_VALUE"""),278.0)</f>
        <v>278</v>
      </c>
      <c r="D301" s="6" t="str">
        <f>IFERROR(__xludf.DUMMYFUNCTION("""COMPUTED_VALUE"""),"Restaurant / Café")</f>
        <v>Restaurant / Café</v>
      </c>
      <c r="E301" s="6" t="str">
        <f>IFERROR(__xludf.DUMMYFUNCTION("""COMPUTED_VALUE"""),"Virtual Wallet")</f>
        <v>Virtual Wallet</v>
      </c>
      <c r="F301" s="6" t="s">
        <v>14</v>
      </c>
      <c r="G301" s="8" t="str">
        <f t="shared" si="1"/>
        <v>202408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4"/>
      <c r="DP301" s="4"/>
      <c r="DQ301" s="4"/>
      <c r="DR301" s="4"/>
      <c r="DS301" s="4"/>
    </row>
    <row r="302">
      <c r="A302" s="5">
        <f>IFERROR(__xludf.DUMMYFUNCTION("""COMPUTED_VALUE"""),45519.0)</f>
        <v>45519</v>
      </c>
      <c r="B302" s="6" t="str">
        <f>IFERROR(__xludf.DUMMYFUNCTION("""COMPUTED_VALUE"""),"Cab/Uber")</f>
        <v>Cab/Uber</v>
      </c>
      <c r="C302" s="7">
        <f>IFERROR(__xludf.DUMMYFUNCTION("""COMPUTED_VALUE"""),3000.0)</f>
        <v>3000</v>
      </c>
      <c r="D302" s="6" t="str">
        <f>IFERROR(__xludf.DUMMYFUNCTION("""COMPUTED_VALUE"""),"Transportation")</f>
        <v>Transportation</v>
      </c>
      <c r="E302" s="6" t="str">
        <f>IFERROR(__xludf.DUMMYFUNCTION("""COMPUTED_VALUE"""),"Virtual Wallet")</f>
        <v>Virtual Wallet</v>
      </c>
      <c r="F302" s="6" t="s">
        <v>9</v>
      </c>
      <c r="G302" s="8" t="str">
        <f t="shared" si="1"/>
        <v>202408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4"/>
      <c r="DP302" s="4"/>
      <c r="DQ302" s="4"/>
      <c r="DR302" s="4"/>
      <c r="DS302" s="4"/>
    </row>
    <row r="303">
      <c r="A303" s="5">
        <f>IFERROR(__xludf.DUMMYFUNCTION("""COMPUTED_VALUE"""),45519.0)</f>
        <v>45519</v>
      </c>
      <c r="B303" s="6" t="str">
        <f>IFERROR(__xludf.DUMMYFUNCTION("""COMPUTED_VALUE"""),"Groceries")</f>
        <v>Groceries</v>
      </c>
      <c r="C303" s="7">
        <f>IFERROR(__xludf.DUMMYFUNCTION("""COMPUTED_VALUE"""),4200.0)</f>
        <v>4200</v>
      </c>
      <c r="D303" s="6" t="str">
        <f>IFERROR(__xludf.DUMMYFUNCTION("""COMPUTED_VALUE"""),"Groceries")</f>
        <v>Groceries</v>
      </c>
      <c r="E303" s="6" t="str">
        <f>IFERROR(__xludf.DUMMYFUNCTION("""COMPUTED_VALUE"""),"Cash")</f>
        <v>Cash</v>
      </c>
      <c r="F303" s="6" t="s">
        <v>7</v>
      </c>
      <c r="G303" s="8" t="str">
        <f t="shared" si="1"/>
        <v>202408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4"/>
      <c r="DP303" s="4"/>
      <c r="DQ303" s="4"/>
      <c r="DR303" s="4"/>
      <c r="DS303" s="4"/>
    </row>
    <row r="304">
      <c r="A304" s="5">
        <f>IFERROR(__xludf.DUMMYFUNCTION("""COMPUTED_VALUE"""),45520.0)</f>
        <v>45520</v>
      </c>
      <c r="B304" s="6" t="str">
        <f>IFERROR(__xludf.DUMMYFUNCTION("""COMPUTED_VALUE"""),"Gas Bill (Metrogas)")</f>
        <v>Gas Bill (Metrogas)</v>
      </c>
      <c r="C304" s="7">
        <f>IFERROR(__xludf.DUMMYFUNCTION("""COMPUTED_VALUE"""),0.0)</f>
        <v>0</v>
      </c>
      <c r="D304" s="6" t="str">
        <f>IFERROR(__xludf.DUMMYFUNCTION("""COMPUTED_VALUE"""),"Basic Services")</f>
        <v>Basic Services</v>
      </c>
      <c r="E304" s="6" t="str">
        <f>IFERROR(__xludf.DUMMYFUNCTION("""COMPUTED_VALUE"""),"Split Payment")</f>
        <v>Split Payment</v>
      </c>
      <c r="F304" s="6" t="s">
        <v>13</v>
      </c>
      <c r="G304" s="8" t="str">
        <f t="shared" si="1"/>
        <v>202408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4"/>
      <c r="DP304" s="4"/>
      <c r="DQ304" s="4"/>
      <c r="DR304" s="4"/>
      <c r="DS304" s="4"/>
    </row>
    <row r="305">
      <c r="A305" s="5">
        <f>IFERROR(__xludf.DUMMYFUNCTION("""COMPUTED_VALUE"""),45521.0)</f>
        <v>45521</v>
      </c>
      <c r="B305" s="6" t="str">
        <f>IFERROR(__xludf.DUMMYFUNCTION("""COMPUTED_VALUE"""),"Home Goods")</f>
        <v>Home Goods</v>
      </c>
      <c r="C305" s="7">
        <f>IFERROR(__xludf.DUMMYFUNCTION("""COMPUTED_VALUE"""),12526.0)</f>
        <v>12526</v>
      </c>
      <c r="D305" s="6" t="str">
        <f>IFERROR(__xludf.DUMMYFUNCTION("""COMPUTED_VALUE"""),"Home Goods &amp; Utilities")</f>
        <v>Home Goods &amp; Utilities</v>
      </c>
      <c r="E305" s="6" t="str">
        <f>IFERROR(__xludf.DUMMYFUNCTION("""COMPUTED_VALUE"""),"Credit Card")</f>
        <v>Credit Card</v>
      </c>
      <c r="F305" s="6" t="s">
        <v>8</v>
      </c>
      <c r="G305" s="8" t="str">
        <f t="shared" si="1"/>
        <v>202408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4"/>
      <c r="DP305" s="4"/>
      <c r="DQ305" s="4"/>
      <c r="DR305" s="4"/>
      <c r="DS305" s="4"/>
    </row>
    <row r="306">
      <c r="A306" s="5">
        <f>IFERROR(__xludf.DUMMYFUNCTION("""COMPUTED_VALUE"""),45523.0)</f>
        <v>45523</v>
      </c>
      <c r="B306" s="6" t="str">
        <f>IFERROR(__xludf.DUMMYFUNCTION("""COMPUTED_VALUE"""),"Home Maintenance")</f>
        <v>Home Maintenance</v>
      </c>
      <c r="C306" s="7">
        <f>IFERROR(__xludf.DUMMYFUNCTION("""COMPUTED_VALUE"""),3000.0)</f>
        <v>3000</v>
      </c>
      <c r="D306" s="6" t="str">
        <f>IFERROR(__xludf.DUMMYFUNCTION("""COMPUTED_VALUE"""),"Car Expenses")</f>
        <v>Car Expenses</v>
      </c>
      <c r="E306" s="6" t="str">
        <f>IFERROR(__xludf.DUMMYFUNCTION("""COMPUTED_VALUE"""),"Cash")</f>
        <v>Cash</v>
      </c>
      <c r="F306" s="6" t="s">
        <v>9</v>
      </c>
      <c r="G306" s="8" t="str">
        <f t="shared" si="1"/>
        <v>202408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4"/>
      <c r="DP306" s="4"/>
      <c r="DQ306" s="4"/>
      <c r="DR306" s="4"/>
      <c r="DS306" s="4"/>
    </row>
    <row r="307">
      <c r="A307" s="5">
        <f>IFERROR(__xludf.DUMMYFUNCTION("""COMPUTED_VALUE"""),45524.0)</f>
        <v>45524</v>
      </c>
      <c r="B307" s="6" t="str">
        <f>IFERROR(__xludf.DUMMYFUNCTION("""COMPUTED_VALUE"""),"Streaming Services")</f>
        <v>Streaming Services</v>
      </c>
      <c r="C307" s="7">
        <f>IFERROR(__xludf.DUMMYFUNCTION("""COMPUTED_VALUE"""),817.5)</f>
        <v>817.5</v>
      </c>
      <c r="D307" s="6" t="str">
        <f>IFERROR(__xludf.DUMMYFUNCTION("""COMPUTED_VALUE"""),"Streaming Services")</f>
        <v>Streaming Services</v>
      </c>
      <c r="E307" s="6" t="str">
        <f>IFERROR(__xludf.DUMMYFUNCTION("""COMPUTED_VALUE"""),"Credit Card")</f>
        <v>Credit Card</v>
      </c>
      <c r="F307" s="6" t="s">
        <v>12</v>
      </c>
      <c r="G307" s="8" t="str">
        <f t="shared" si="1"/>
        <v>202408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4"/>
      <c r="DP307" s="4"/>
      <c r="DQ307" s="4"/>
      <c r="DR307" s="4"/>
      <c r="DS307" s="4"/>
    </row>
    <row r="308">
      <c r="A308" s="5">
        <f>IFERROR(__xludf.DUMMYFUNCTION("""COMPUTED_VALUE"""),45525.0)</f>
        <v>45525</v>
      </c>
      <c r="B308" s="6" t="str">
        <f>IFERROR(__xludf.DUMMYFUNCTION("""COMPUTED_VALUE"""),"Electricity Bill (Edesur)")</f>
        <v>Electricity Bill (Edesur)</v>
      </c>
      <c r="C308" s="7">
        <f>IFERROR(__xludf.DUMMYFUNCTION("""COMPUTED_VALUE"""),0.0)</f>
        <v>0</v>
      </c>
      <c r="D308" s="6" t="str">
        <f>IFERROR(__xludf.DUMMYFUNCTION("""COMPUTED_VALUE"""),"Basic Services")</f>
        <v>Basic Services</v>
      </c>
      <c r="E308" s="6" t="str">
        <f>IFERROR(__xludf.DUMMYFUNCTION("""COMPUTED_VALUE"""),"Split Payment")</f>
        <v>Split Payment</v>
      </c>
      <c r="F308" s="6" t="s">
        <v>13</v>
      </c>
      <c r="G308" s="8" t="str">
        <f t="shared" si="1"/>
        <v>202408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4"/>
      <c r="DP308" s="4"/>
      <c r="DQ308" s="4"/>
      <c r="DR308" s="4"/>
      <c r="DS308" s="4"/>
    </row>
    <row r="309">
      <c r="A309" s="5">
        <f>IFERROR(__xludf.DUMMYFUNCTION("""COMPUTED_VALUE"""),45526.0)</f>
        <v>45526</v>
      </c>
      <c r="B309" s="6" t="str">
        <f>IFERROR(__xludf.DUMMYFUNCTION("""COMPUTED_VALUE"""),"Streaming Services")</f>
        <v>Streaming Services</v>
      </c>
      <c r="C309" s="7">
        <f>IFERROR(__xludf.DUMMYFUNCTION("""COMPUTED_VALUE"""),4233.0)</f>
        <v>4233</v>
      </c>
      <c r="D309" s="6" t="str">
        <f>IFERROR(__xludf.DUMMYFUNCTION("""COMPUTED_VALUE"""),"Streaming Services")</f>
        <v>Streaming Services</v>
      </c>
      <c r="E309" s="6" t="str">
        <f>IFERROR(__xludf.DUMMYFUNCTION("""COMPUTED_VALUE"""),"Credit Card")</f>
        <v>Credit Card</v>
      </c>
      <c r="F309" s="6" t="s">
        <v>12</v>
      </c>
      <c r="G309" s="8" t="str">
        <f t="shared" si="1"/>
        <v>202408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4"/>
      <c r="DP309" s="4"/>
      <c r="DQ309" s="4"/>
      <c r="DR309" s="4"/>
      <c r="DS309" s="4"/>
    </row>
    <row r="310">
      <c r="A310" s="5">
        <f>IFERROR(__xludf.DUMMYFUNCTION("""COMPUTED_VALUE"""),45529.0)</f>
        <v>45529</v>
      </c>
      <c r="B310" s="6" t="str">
        <f>IFERROR(__xludf.DUMMYFUNCTION("""COMPUTED_VALUE"""),"Groceries")</f>
        <v>Groceries</v>
      </c>
      <c r="C310" s="7">
        <f>IFERROR(__xludf.DUMMYFUNCTION("""COMPUTED_VALUE"""),2000.0)</f>
        <v>2000</v>
      </c>
      <c r="D310" s="6" t="str">
        <f>IFERROR(__xludf.DUMMYFUNCTION("""COMPUTED_VALUE"""),"Groceries")</f>
        <v>Groceries</v>
      </c>
      <c r="E310" s="6" t="str">
        <f>IFERROR(__xludf.DUMMYFUNCTION("""COMPUTED_VALUE"""),"Debit Card")</f>
        <v>Debit Card</v>
      </c>
      <c r="F310" s="6" t="s">
        <v>7</v>
      </c>
      <c r="G310" s="8" t="str">
        <f t="shared" si="1"/>
        <v>202408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4"/>
      <c r="DP310" s="4"/>
      <c r="DQ310" s="4"/>
      <c r="DR310" s="4"/>
      <c r="DS310" s="4"/>
    </row>
    <row r="311">
      <c r="A311" s="5">
        <f>IFERROR(__xludf.DUMMYFUNCTION("""COMPUTED_VALUE"""),45530.0)</f>
        <v>45530</v>
      </c>
      <c r="B311" s="6" t="str">
        <f>IFERROR(__xludf.DUMMYFUNCTION("""COMPUTED_VALUE"""),"Restaurant")</f>
        <v>Restaurant</v>
      </c>
      <c r="C311" s="7">
        <f>IFERROR(__xludf.DUMMYFUNCTION("""COMPUTED_VALUE"""),26.0)</f>
        <v>26</v>
      </c>
      <c r="D311" s="6" t="str">
        <f>IFERROR(__xludf.DUMMYFUNCTION("""COMPUTED_VALUE"""),"Lunch Out")</f>
        <v>Lunch Out</v>
      </c>
      <c r="E311" s="6" t="str">
        <f>IFERROR(__xludf.DUMMYFUNCTION("""COMPUTED_VALUE"""),"Virtual Wallet")</f>
        <v>Virtual Wallet</v>
      </c>
      <c r="F311" s="6" t="s">
        <v>14</v>
      </c>
      <c r="G311" s="8" t="str">
        <f t="shared" si="1"/>
        <v>202408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4"/>
      <c r="DP311" s="4"/>
      <c r="DQ311" s="4"/>
      <c r="DR311" s="4"/>
      <c r="DS311" s="4"/>
    </row>
    <row r="312">
      <c r="A312" s="5">
        <f>IFERROR(__xludf.DUMMYFUNCTION("""COMPUTED_VALUE"""),45532.0)</f>
        <v>45532</v>
      </c>
      <c r="B312" s="6" t="str">
        <f>IFERROR(__xludf.DUMMYFUNCTION("""COMPUTED_VALUE"""),"Groceries")</f>
        <v>Groceries</v>
      </c>
      <c r="C312" s="7">
        <f>IFERROR(__xludf.DUMMYFUNCTION("""COMPUTED_VALUE"""),4700.0)</f>
        <v>4700</v>
      </c>
      <c r="D312" s="6" t="str">
        <f>IFERROR(__xludf.DUMMYFUNCTION("""COMPUTED_VALUE"""),"Groceries")</f>
        <v>Groceries</v>
      </c>
      <c r="E312" s="6" t="str">
        <f>IFERROR(__xludf.DUMMYFUNCTION("""COMPUTED_VALUE"""),"Debit Card")</f>
        <v>Debit Card</v>
      </c>
      <c r="F312" s="6" t="s">
        <v>7</v>
      </c>
      <c r="G312" s="8" t="str">
        <f t="shared" si="1"/>
        <v>202408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4"/>
      <c r="DP312" s="4"/>
      <c r="DQ312" s="4"/>
      <c r="DR312" s="4"/>
      <c r="DS312" s="4"/>
    </row>
    <row r="313">
      <c r="A313" s="5">
        <f>IFERROR(__xludf.DUMMYFUNCTION("""COMPUTED_VALUE"""),45534.0)</f>
        <v>45534</v>
      </c>
      <c r="B313" s="6" t="str">
        <f>IFERROR(__xludf.DUMMYFUNCTION("""COMPUTED_VALUE"""),"Groceries")</f>
        <v>Groceries</v>
      </c>
      <c r="C313" s="7">
        <f>IFERROR(__xludf.DUMMYFUNCTION("""COMPUTED_VALUE"""),5100.0)</f>
        <v>5100</v>
      </c>
      <c r="D313" s="6" t="str">
        <f>IFERROR(__xludf.DUMMYFUNCTION("""COMPUTED_VALUE"""),"Groceries")</f>
        <v>Groceries</v>
      </c>
      <c r="E313" s="6" t="str">
        <f>IFERROR(__xludf.DUMMYFUNCTION("""COMPUTED_VALUE"""),"Debit Card")</f>
        <v>Debit Card</v>
      </c>
      <c r="F313" s="6" t="s">
        <v>7</v>
      </c>
      <c r="G313" s="8" t="str">
        <f t="shared" si="1"/>
        <v>202408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4"/>
      <c r="DP313" s="4"/>
      <c r="DQ313" s="4"/>
      <c r="DR313" s="4"/>
      <c r="DS313" s="4"/>
    </row>
    <row r="314">
      <c r="A314" s="5">
        <f>IFERROR(__xludf.DUMMYFUNCTION("""COMPUTED_VALUE"""),45535.0)</f>
        <v>45535</v>
      </c>
      <c r="B314" s="6" t="str">
        <f>IFERROR(__xludf.DUMMYFUNCTION("""COMPUTED_VALUE"""),"Rent &amp; Building Expenses")</f>
        <v>Rent &amp; Building Expenses</v>
      </c>
      <c r="C314" s="7">
        <f>IFERROR(__xludf.DUMMYFUNCTION("""COMPUTED_VALUE"""),282000.0)</f>
        <v>282000</v>
      </c>
      <c r="D314" s="6" t="str">
        <f>IFERROR(__xludf.DUMMYFUNCTION("""COMPUTED_VALUE"""),"Rent &amp; Utilities")</f>
        <v>Rent &amp; Utilities</v>
      </c>
      <c r="E314" s="6" t="str">
        <f>IFERROR(__xludf.DUMMYFUNCTION("""COMPUTED_VALUE"""),"Bank Transfer")</f>
        <v>Bank Transfer</v>
      </c>
      <c r="F314" s="6" t="s">
        <v>13</v>
      </c>
      <c r="G314" s="8" t="str">
        <f t="shared" si="1"/>
        <v>202408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4"/>
      <c r="DP314" s="4"/>
      <c r="DQ314" s="4"/>
      <c r="DR314" s="4"/>
      <c r="DS314" s="4"/>
    </row>
    <row r="315">
      <c r="A315" s="5">
        <f>IFERROR(__xludf.DUMMYFUNCTION("""COMPUTED_VALUE"""),45536.0)</f>
        <v>45536</v>
      </c>
      <c r="B315" s="6" t="str">
        <f>IFERROR(__xludf.DUMMYFUNCTION("""COMPUTED_VALUE"""),"Home Goods")</f>
        <v>Home Goods</v>
      </c>
      <c r="C315" s="7">
        <f>IFERROR(__xludf.DUMMYFUNCTION("""COMPUTED_VALUE"""),1601.0)</f>
        <v>1601</v>
      </c>
      <c r="D315" s="6" t="str">
        <f>IFERROR(__xludf.DUMMYFUNCTION("""COMPUTED_VALUE"""),"Home Goods &amp; Utilities")</f>
        <v>Home Goods &amp; Utilities</v>
      </c>
      <c r="E315" s="6" t="str">
        <f>IFERROR(__xludf.DUMMYFUNCTION("""COMPUTED_VALUE"""),"Credit Card")</f>
        <v>Credit Card</v>
      </c>
      <c r="F315" s="6" t="s">
        <v>8</v>
      </c>
      <c r="G315" s="8" t="str">
        <f t="shared" si="1"/>
        <v>202409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4"/>
      <c r="DP315" s="4"/>
      <c r="DQ315" s="4"/>
      <c r="DR315" s="4"/>
      <c r="DS315" s="4"/>
    </row>
    <row r="316">
      <c r="A316" s="5">
        <f>IFERROR(__xludf.DUMMYFUNCTION("""COMPUTED_VALUE"""),45536.0)</f>
        <v>45536</v>
      </c>
      <c r="B316" s="6" t="str">
        <f>IFERROR(__xludf.DUMMYFUNCTION("""COMPUTED_VALUE"""),"Clothing")</f>
        <v>Clothing</v>
      </c>
      <c r="C316" s="7">
        <f>IFERROR(__xludf.DUMMYFUNCTION("""COMPUTED_VALUE"""),13556.66)</f>
        <v>13556.66</v>
      </c>
      <c r="D316" s="6" t="str">
        <f>IFERROR(__xludf.DUMMYFUNCTION("""COMPUTED_VALUE"""),"Clothing")</f>
        <v>Clothing</v>
      </c>
      <c r="E316" s="6" t="str">
        <f>IFERROR(__xludf.DUMMYFUNCTION("""COMPUTED_VALUE"""),"Credit Card")</f>
        <v>Credit Card</v>
      </c>
      <c r="F316" s="6" t="s">
        <v>10</v>
      </c>
      <c r="G316" s="8" t="str">
        <f t="shared" si="1"/>
        <v>202409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4"/>
      <c r="DP316" s="4"/>
      <c r="DQ316" s="4"/>
      <c r="DR316" s="4"/>
      <c r="DS316" s="4"/>
    </row>
    <row r="317">
      <c r="A317" s="5">
        <f>IFERROR(__xludf.DUMMYFUNCTION("""COMPUTED_VALUE"""),45536.0)</f>
        <v>45536</v>
      </c>
      <c r="B317" s="6" t="str">
        <f>IFERROR(__xludf.DUMMYFUNCTION("""COMPUTED_VALUE"""),"Appliances")</f>
        <v>Appliances</v>
      </c>
      <c r="C317" s="7">
        <f>IFERROR(__xludf.DUMMYFUNCTION("""COMPUTED_VALUE"""),8115.0)</f>
        <v>8115</v>
      </c>
      <c r="D317" s="6" t="str">
        <f>IFERROR(__xludf.DUMMYFUNCTION("""COMPUTED_VALUE"""),"Home Goods &amp; Utilities")</f>
        <v>Home Goods &amp; Utilities</v>
      </c>
      <c r="E317" s="6" t="str">
        <f>IFERROR(__xludf.DUMMYFUNCTION("""COMPUTED_VALUE"""),"Credit Card")</f>
        <v>Credit Card</v>
      </c>
      <c r="F317" s="6" t="s">
        <v>8</v>
      </c>
      <c r="G317" s="8" t="str">
        <f t="shared" si="1"/>
        <v>202409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4"/>
      <c r="DP317" s="4"/>
      <c r="DQ317" s="4"/>
      <c r="DR317" s="4"/>
      <c r="DS317" s="4"/>
    </row>
    <row r="318">
      <c r="A318" s="5">
        <f>IFERROR(__xludf.DUMMYFUNCTION("""COMPUTED_VALUE"""),45536.0)</f>
        <v>45536</v>
      </c>
      <c r="B318" s="6" t="str">
        <f>IFERROR(__xludf.DUMMYFUNCTION("""COMPUTED_VALUE"""),"Appliances")</f>
        <v>Appliances</v>
      </c>
      <c r="C318" s="7">
        <f>IFERROR(__xludf.DUMMYFUNCTION("""COMPUTED_VALUE"""),2361.0)</f>
        <v>2361</v>
      </c>
      <c r="D318" s="6" t="str">
        <f>IFERROR(__xludf.DUMMYFUNCTION("""COMPUTED_VALUE"""),"Home Goods &amp; Utilities")</f>
        <v>Home Goods &amp; Utilities</v>
      </c>
      <c r="E318" s="6" t="str">
        <f>IFERROR(__xludf.DUMMYFUNCTION("""COMPUTED_VALUE"""),"Credit Card")</f>
        <v>Credit Card</v>
      </c>
      <c r="F318" s="6" t="s">
        <v>8</v>
      </c>
      <c r="G318" s="8" t="str">
        <f t="shared" si="1"/>
        <v>202409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4"/>
      <c r="DP318" s="4"/>
      <c r="DQ318" s="4"/>
      <c r="DR318" s="4"/>
      <c r="DS318" s="4"/>
    </row>
    <row r="319">
      <c r="A319" s="5">
        <f>IFERROR(__xludf.DUMMYFUNCTION("""COMPUTED_VALUE"""),45536.0)</f>
        <v>45536</v>
      </c>
      <c r="B319" s="6" t="str">
        <f>IFERROR(__xludf.DUMMYFUNCTION("""COMPUTED_VALUE"""),"Clothing")</f>
        <v>Clothing</v>
      </c>
      <c r="C319" s="7">
        <f>IFERROR(__xludf.DUMMYFUNCTION("""COMPUTED_VALUE"""),12600.0)</f>
        <v>12600</v>
      </c>
      <c r="D319" s="6" t="str">
        <f>IFERROR(__xludf.DUMMYFUNCTION("""COMPUTED_VALUE"""),"Clothing")</f>
        <v>Clothing</v>
      </c>
      <c r="E319" s="6" t="str">
        <f>IFERROR(__xludf.DUMMYFUNCTION("""COMPUTED_VALUE"""),"Credit Card")</f>
        <v>Credit Card</v>
      </c>
      <c r="F319" s="6" t="s">
        <v>10</v>
      </c>
      <c r="G319" s="8" t="str">
        <f t="shared" si="1"/>
        <v>202409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4"/>
      <c r="DP319" s="4"/>
      <c r="DQ319" s="4"/>
      <c r="DR319" s="4"/>
      <c r="DS319" s="4"/>
    </row>
    <row r="320">
      <c r="A320" s="5">
        <f>IFERROR(__xludf.DUMMYFUNCTION("""COMPUTED_VALUE"""),45536.0)</f>
        <v>45536</v>
      </c>
      <c r="B320" s="6" t="str">
        <f>IFERROR(__xludf.DUMMYFUNCTION("""COMPUTED_VALUE"""),"Clothing")</f>
        <v>Clothing</v>
      </c>
      <c r="C320" s="7">
        <f>IFERROR(__xludf.DUMMYFUNCTION("""COMPUTED_VALUE"""),14533.0)</f>
        <v>14533</v>
      </c>
      <c r="D320" s="6" t="str">
        <f>IFERROR(__xludf.DUMMYFUNCTION("""COMPUTED_VALUE"""),"Education")</f>
        <v>Education</v>
      </c>
      <c r="E320" s="6" t="str">
        <f>IFERROR(__xludf.DUMMYFUNCTION("""COMPUTED_VALUE"""),"Credit Card")</f>
        <v>Credit Card</v>
      </c>
      <c r="F320" s="6" t="s">
        <v>11</v>
      </c>
      <c r="G320" s="8" t="str">
        <f t="shared" si="1"/>
        <v>202409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4"/>
      <c r="DP320" s="4"/>
      <c r="DQ320" s="4"/>
      <c r="DR320" s="4"/>
      <c r="DS320" s="4"/>
    </row>
    <row r="321">
      <c r="A321" s="5">
        <f>IFERROR(__xludf.DUMMYFUNCTION("""COMPUTED_VALUE"""),45536.0)</f>
        <v>45536</v>
      </c>
      <c r="B321" s="6" t="str">
        <f>IFERROR(__xludf.DUMMYFUNCTION("""COMPUTED_VALUE"""),"Education")</f>
        <v>Education</v>
      </c>
      <c r="C321" s="7">
        <f>IFERROR(__xludf.DUMMYFUNCTION("""COMPUTED_VALUE"""),20000.0)</f>
        <v>20000</v>
      </c>
      <c r="D321" s="6" t="str">
        <f>IFERROR(__xludf.DUMMYFUNCTION("""COMPUTED_VALUE"""),"Education")</f>
        <v>Education</v>
      </c>
      <c r="E321" s="6" t="str">
        <f>IFERROR(__xludf.DUMMYFUNCTION("""COMPUTED_VALUE"""),"Credit Card")</f>
        <v>Credit Card</v>
      </c>
      <c r="F321" s="6" t="s">
        <v>11</v>
      </c>
      <c r="G321" s="8" t="str">
        <f t="shared" si="1"/>
        <v>202409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4"/>
      <c r="DP321" s="4"/>
      <c r="DQ321" s="4"/>
      <c r="DR321" s="4"/>
      <c r="DS321" s="4"/>
    </row>
    <row r="322">
      <c r="A322" s="5">
        <f>IFERROR(__xludf.DUMMYFUNCTION("""COMPUTED_VALUE"""),45536.0)</f>
        <v>45536</v>
      </c>
      <c r="B322" s="6" t="str">
        <f>IFERROR(__xludf.DUMMYFUNCTION("""COMPUTED_VALUE"""),"Home Goods")</f>
        <v>Home Goods</v>
      </c>
      <c r="C322" s="7">
        <f>IFERROR(__xludf.DUMMYFUNCTION("""COMPUTED_VALUE"""),2754.5)</f>
        <v>2754.5</v>
      </c>
      <c r="D322" s="6" t="str">
        <f>IFERROR(__xludf.DUMMYFUNCTION("""COMPUTED_VALUE"""),"Home Goods &amp; Utilities")</f>
        <v>Home Goods &amp; Utilities</v>
      </c>
      <c r="E322" s="6" t="str">
        <f>IFERROR(__xludf.DUMMYFUNCTION("""COMPUTED_VALUE"""),"Split Payment")</f>
        <v>Split Payment</v>
      </c>
      <c r="F322" s="6" t="s">
        <v>8</v>
      </c>
      <c r="G322" s="8" t="str">
        <f t="shared" si="1"/>
        <v>202409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4"/>
      <c r="DP322" s="4"/>
      <c r="DQ322" s="4"/>
      <c r="DR322" s="4"/>
      <c r="DS322" s="4"/>
    </row>
    <row r="323">
      <c r="A323" s="5">
        <f>IFERROR(__xludf.DUMMYFUNCTION("""COMPUTED_VALUE"""),45536.0)</f>
        <v>45536</v>
      </c>
      <c r="B323" s="6" t="str">
        <f>IFERROR(__xludf.DUMMYFUNCTION("""COMPUTED_VALUE"""),"Car Expenses")</f>
        <v>Car Expenses</v>
      </c>
      <c r="C323" s="7">
        <f>IFERROR(__xludf.DUMMYFUNCTION("""COMPUTED_VALUE"""),28831.0)</f>
        <v>28831</v>
      </c>
      <c r="D323" s="6" t="str">
        <f>IFERROR(__xludf.DUMMYFUNCTION("""COMPUTED_VALUE"""),"Car Expenses")</f>
        <v>Car Expenses</v>
      </c>
      <c r="E323" s="6" t="str">
        <f>IFERROR(__xludf.DUMMYFUNCTION("""COMPUTED_VALUE"""),"Split Payment")</f>
        <v>Split Payment</v>
      </c>
      <c r="F323" s="6" t="s">
        <v>9</v>
      </c>
      <c r="G323" s="8" t="str">
        <f t="shared" si="1"/>
        <v>202409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4"/>
      <c r="DP323" s="4"/>
      <c r="DQ323" s="4"/>
      <c r="DR323" s="4"/>
      <c r="DS323" s="4"/>
    </row>
    <row r="324">
      <c r="A324" s="5">
        <f>IFERROR(__xludf.DUMMYFUNCTION("""COMPUTED_VALUE"""),45536.0)</f>
        <v>45536</v>
      </c>
      <c r="B324" s="6" t="str">
        <f>IFERROR(__xludf.DUMMYFUNCTION("""COMPUTED_VALUE"""),"Personal Care")</f>
        <v>Personal Care</v>
      </c>
      <c r="C324" s="7">
        <f>IFERROR(__xludf.DUMMYFUNCTION("""COMPUTED_VALUE"""),18175.0)</f>
        <v>18175</v>
      </c>
      <c r="D324" s="6" t="str">
        <f>IFERROR(__xludf.DUMMYFUNCTION("""COMPUTED_VALUE"""),"Personal Care")</f>
        <v>Personal Care</v>
      </c>
      <c r="E324" s="6" t="str">
        <f>IFERROR(__xludf.DUMMYFUNCTION("""COMPUTED_VALUE"""),"Split Payment")</f>
        <v>Split Payment</v>
      </c>
      <c r="F324" s="6" t="s">
        <v>16</v>
      </c>
      <c r="G324" s="8" t="str">
        <f t="shared" si="1"/>
        <v>202409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4"/>
      <c r="DP324" s="4"/>
      <c r="DQ324" s="4"/>
      <c r="DR324" s="4"/>
      <c r="DS324" s="4"/>
    </row>
    <row r="325">
      <c r="A325" s="5">
        <f>IFERROR(__xludf.DUMMYFUNCTION("""COMPUTED_VALUE"""),45536.0)</f>
        <v>45536</v>
      </c>
      <c r="B325" s="6" t="str">
        <f>IFERROR(__xludf.DUMMYFUNCTION("""COMPUTED_VALUE"""),"Pets")</f>
        <v>Pets</v>
      </c>
      <c r="C325" s="7">
        <f>IFERROR(__xludf.DUMMYFUNCTION("""COMPUTED_VALUE"""),14437.0)</f>
        <v>14437</v>
      </c>
      <c r="D325" s="6" t="str">
        <f>IFERROR(__xludf.DUMMYFUNCTION("""COMPUTED_VALUE"""),"Pets")</f>
        <v>Pets</v>
      </c>
      <c r="E325" s="6" t="str">
        <f>IFERROR(__xludf.DUMMYFUNCTION("""COMPUTED_VALUE"""),"Split Payment")</f>
        <v>Split Payment</v>
      </c>
      <c r="F325" s="6" t="s">
        <v>7</v>
      </c>
      <c r="G325" s="8" t="str">
        <f t="shared" si="1"/>
        <v>202409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4"/>
      <c r="DP325" s="4"/>
      <c r="DQ325" s="4"/>
      <c r="DR325" s="4"/>
      <c r="DS325" s="4"/>
    </row>
    <row r="326">
      <c r="A326" s="5">
        <f>IFERROR(__xludf.DUMMYFUNCTION("""COMPUTED_VALUE"""),45536.0)</f>
        <v>45536</v>
      </c>
      <c r="B326" s="6" t="str">
        <f>IFERROR(__xludf.DUMMYFUNCTION("""COMPUTED_VALUE"""),"Restaurant")</f>
        <v>Restaurant</v>
      </c>
      <c r="C326" s="7">
        <f>IFERROR(__xludf.DUMMYFUNCTION("""COMPUTED_VALUE"""),23000.0)</f>
        <v>23000</v>
      </c>
      <c r="D326" s="6" t="str">
        <f>IFERROR(__xludf.DUMMYFUNCTION("""COMPUTED_VALUE"""),"Restaurant / Café")</f>
        <v>Restaurant / Café</v>
      </c>
      <c r="E326" s="6" t="str">
        <f>IFERROR(__xludf.DUMMYFUNCTION("""COMPUTED_VALUE"""),"Credit Card")</f>
        <v>Credit Card</v>
      </c>
      <c r="F326" s="6" t="s">
        <v>14</v>
      </c>
      <c r="G326" s="8" t="str">
        <f t="shared" si="1"/>
        <v>202409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4"/>
      <c r="DP326" s="4"/>
      <c r="DQ326" s="4"/>
      <c r="DR326" s="4"/>
      <c r="DS326" s="4"/>
    </row>
    <row r="327">
      <c r="A327" s="5">
        <f>IFERROR(__xludf.DUMMYFUNCTION("""COMPUTED_VALUE"""),45536.0)</f>
        <v>45536</v>
      </c>
      <c r="B327" s="6" t="str">
        <f>IFERROR(__xludf.DUMMYFUNCTION("""COMPUTED_VALUE"""),"Sports")</f>
        <v>Sports</v>
      </c>
      <c r="C327" s="7">
        <f>IFERROR(__xludf.DUMMYFUNCTION("""COMPUTED_VALUE"""),21990.0)</f>
        <v>21990</v>
      </c>
      <c r="D327" s="6" t="str">
        <f>IFERROR(__xludf.DUMMYFUNCTION("""COMPUTED_VALUE"""),"Sports")</f>
        <v>Sports</v>
      </c>
      <c r="E327" s="6" t="str">
        <f>IFERROR(__xludf.DUMMYFUNCTION("""COMPUTED_VALUE"""),"Credit Card")</f>
        <v>Credit Card</v>
      </c>
      <c r="F327" s="6" t="s">
        <v>12</v>
      </c>
      <c r="G327" s="8" t="str">
        <f t="shared" si="1"/>
        <v>202409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4"/>
      <c r="DP327" s="4"/>
      <c r="DQ327" s="4"/>
      <c r="DR327" s="4"/>
      <c r="DS327" s="4"/>
    </row>
    <row r="328">
      <c r="A328" s="5">
        <f>IFERROR(__xludf.DUMMYFUNCTION("""COMPUTED_VALUE"""),45536.0)</f>
        <v>45536</v>
      </c>
      <c r="B328" s="6" t="str">
        <f>IFERROR(__xludf.DUMMYFUNCTION("""COMPUTED_VALUE"""),"Stationery / Books")</f>
        <v>Stationery / Books</v>
      </c>
      <c r="C328" s="7">
        <f>IFERROR(__xludf.DUMMYFUNCTION("""COMPUTED_VALUE"""),3878.0)</f>
        <v>3878</v>
      </c>
      <c r="D328" s="6" t="str">
        <f>IFERROR(__xludf.DUMMYFUNCTION("""COMPUTED_VALUE"""),"Education")</f>
        <v>Education</v>
      </c>
      <c r="E328" s="6" t="str">
        <f>IFERROR(__xludf.DUMMYFUNCTION("""COMPUTED_VALUE"""),"Credit Card")</f>
        <v>Credit Card</v>
      </c>
      <c r="F328" s="6" t="s">
        <v>11</v>
      </c>
      <c r="G328" s="8" t="str">
        <f t="shared" si="1"/>
        <v>202409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4"/>
      <c r="DP328" s="4"/>
      <c r="DQ328" s="4"/>
      <c r="DR328" s="4"/>
      <c r="DS328" s="4"/>
    </row>
    <row r="329">
      <c r="A329" s="5">
        <f>IFERROR(__xludf.DUMMYFUNCTION("""COMPUTED_VALUE"""),45536.0)</f>
        <v>45536</v>
      </c>
      <c r="B329" s="6" t="str">
        <f>IFERROR(__xludf.DUMMYFUNCTION("""COMPUTED_VALUE"""),"Streaming Services")</f>
        <v>Streaming Services</v>
      </c>
      <c r="C329" s="7">
        <f>IFERROR(__xludf.DUMMYFUNCTION("""COMPUTED_VALUE"""),2566.0)</f>
        <v>2566</v>
      </c>
      <c r="D329" s="6" t="str">
        <f>IFERROR(__xludf.DUMMYFUNCTION("""COMPUTED_VALUE"""),"Streaming Services")</f>
        <v>Streaming Services</v>
      </c>
      <c r="E329" s="6" t="str">
        <f>IFERROR(__xludf.DUMMYFUNCTION("""COMPUTED_VALUE"""),"Credit Card")</f>
        <v>Credit Card</v>
      </c>
      <c r="F329" s="6" t="s">
        <v>12</v>
      </c>
      <c r="G329" s="8" t="str">
        <f t="shared" si="1"/>
        <v>202409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4"/>
      <c r="DP329" s="4"/>
      <c r="DQ329" s="4"/>
      <c r="DR329" s="4"/>
      <c r="DS329" s="4"/>
    </row>
    <row r="330">
      <c r="A330" s="5">
        <f>IFERROR(__xludf.DUMMYFUNCTION("""COMPUTED_VALUE"""),45536.0)</f>
        <v>45536</v>
      </c>
      <c r="B330" s="6" t="str">
        <f>IFERROR(__xludf.DUMMYFUNCTION("""COMPUTED_VALUE"""),"Water Bill (AySA)")</f>
        <v>Water Bill (AySA)</v>
      </c>
      <c r="C330" s="7">
        <f>IFERROR(__xludf.DUMMYFUNCTION("""COMPUTED_VALUE"""),547.5)</f>
        <v>547.5</v>
      </c>
      <c r="D330" s="6" t="str">
        <f>IFERROR(__xludf.DUMMYFUNCTION("""COMPUTED_VALUE"""),"Basic Services")</f>
        <v>Basic Services</v>
      </c>
      <c r="E330" s="6" t="str">
        <f>IFERROR(__xludf.DUMMYFUNCTION("""COMPUTED_VALUE"""),"Split Payment")</f>
        <v>Split Payment</v>
      </c>
      <c r="F330" s="6" t="s">
        <v>13</v>
      </c>
      <c r="G330" s="8" t="str">
        <f t="shared" si="1"/>
        <v>202409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4"/>
      <c r="DP330" s="4"/>
      <c r="DQ330" s="4"/>
      <c r="DR330" s="4"/>
      <c r="DS330" s="4"/>
    </row>
    <row r="331">
      <c r="A331" s="5">
        <f>IFERROR(__xludf.DUMMYFUNCTION("""COMPUTED_VALUE"""),45537.0)</f>
        <v>45537</v>
      </c>
      <c r="B331" s="6" t="str">
        <f>IFERROR(__xludf.DUMMYFUNCTION("""COMPUTED_VALUE"""),"Pets")</f>
        <v>Pets</v>
      </c>
      <c r="C331" s="7">
        <f>IFERROR(__xludf.DUMMYFUNCTION("""COMPUTED_VALUE"""),10960.0)</f>
        <v>10960</v>
      </c>
      <c r="D331" s="6" t="str">
        <f>IFERROR(__xludf.DUMMYFUNCTION("""COMPUTED_VALUE"""),"Pets")</f>
        <v>Pets</v>
      </c>
      <c r="E331" s="6" t="str">
        <f>IFERROR(__xludf.DUMMYFUNCTION("""COMPUTED_VALUE"""),"Credit Card")</f>
        <v>Credit Card</v>
      </c>
      <c r="F331" s="6" t="s">
        <v>7</v>
      </c>
      <c r="G331" s="8" t="str">
        <f t="shared" si="1"/>
        <v>202409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4"/>
      <c r="DP331" s="4"/>
      <c r="DQ331" s="4"/>
      <c r="DR331" s="4"/>
      <c r="DS331" s="4"/>
    </row>
    <row r="332">
      <c r="A332" s="5">
        <f>IFERROR(__xludf.DUMMYFUNCTION("""COMPUTED_VALUE"""),45537.0)</f>
        <v>45537</v>
      </c>
      <c r="B332" s="6" t="str">
        <f>IFERROR(__xludf.DUMMYFUNCTION("""COMPUTED_VALUE"""),"Pets")</f>
        <v>Pets</v>
      </c>
      <c r="C332" s="7">
        <f>IFERROR(__xludf.DUMMYFUNCTION("""COMPUTED_VALUE"""),12000.0)</f>
        <v>12000</v>
      </c>
      <c r="D332" s="6" t="str">
        <f>IFERROR(__xludf.DUMMYFUNCTION("""COMPUTED_VALUE"""),"Pets")</f>
        <v>Pets</v>
      </c>
      <c r="E332" s="6" t="str">
        <f>IFERROR(__xludf.DUMMYFUNCTION("""COMPUTED_VALUE"""),"Credit Card")</f>
        <v>Credit Card</v>
      </c>
      <c r="F332" s="6" t="s">
        <v>7</v>
      </c>
      <c r="G332" s="8" t="str">
        <f t="shared" si="1"/>
        <v>202409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4"/>
      <c r="DP332" s="4"/>
      <c r="DQ332" s="4"/>
      <c r="DR332" s="4"/>
      <c r="DS332" s="4"/>
    </row>
    <row r="333">
      <c r="A333" s="5">
        <f>IFERROR(__xludf.DUMMYFUNCTION("""COMPUTED_VALUE"""),45537.0)</f>
        <v>45537</v>
      </c>
      <c r="B333" s="6" t="str">
        <f>IFERROR(__xludf.DUMMYFUNCTION("""COMPUTED_VALUE"""),"Gas Bill (Metrogas)")</f>
        <v>Gas Bill (Metrogas)</v>
      </c>
      <c r="C333" s="7">
        <f>IFERROR(__xludf.DUMMYFUNCTION("""COMPUTED_VALUE"""),7041.0)</f>
        <v>7041</v>
      </c>
      <c r="D333" s="6" t="str">
        <f>IFERROR(__xludf.DUMMYFUNCTION("""COMPUTED_VALUE"""),"Basic Services")</f>
        <v>Basic Services</v>
      </c>
      <c r="E333" s="6" t="str">
        <f>IFERROR(__xludf.DUMMYFUNCTION("""COMPUTED_VALUE"""),"Split Payment")</f>
        <v>Split Payment</v>
      </c>
      <c r="F333" s="6" t="s">
        <v>13</v>
      </c>
      <c r="G333" s="8" t="str">
        <f t="shared" si="1"/>
        <v>202409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4"/>
      <c r="DP333" s="4"/>
      <c r="DQ333" s="4"/>
      <c r="DR333" s="4"/>
      <c r="DS333" s="4"/>
    </row>
    <row r="334">
      <c r="A334" s="5">
        <f>IFERROR(__xludf.DUMMYFUNCTION("""COMPUTED_VALUE"""),45537.0)</f>
        <v>45537</v>
      </c>
      <c r="B334" s="6" t="str">
        <f>IFERROR(__xludf.DUMMYFUNCTION("""COMPUTED_VALUE"""),"Groceries")</f>
        <v>Groceries</v>
      </c>
      <c r="C334" s="7">
        <f>IFERROR(__xludf.DUMMYFUNCTION("""COMPUTED_VALUE"""),2900.0)</f>
        <v>2900</v>
      </c>
      <c r="D334" s="6" t="str">
        <f>IFERROR(__xludf.DUMMYFUNCTION("""COMPUTED_VALUE"""),"Groceries")</f>
        <v>Groceries</v>
      </c>
      <c r="E334" s="6" t="str">
        <f>IFERROR(__xludf.DUMMYFUNCTION("""COMPUTED_VALUE"""),"Virtual Wallet")</f>
        <v>Virtual Wallet</v>
      </c>
      <c r="F334" s="6" t="s">
        <v>7</v>
      </c>
      <c r="G334" s="8" t="str">
        <f t="shared" si="1"/>
        <v>202409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4"/>
      <c r="DP334" s="4"/>
      <c r="DQ334" s="4"/>
      <c r="DR334" s="4"/>
      <c r="DS334" s="4"/>
    </row>
    <row r="335">
      <c r="A335" s="5">
        <f>IFERROR(__xludf.DUMMYFUNCTION("""COMPUTED_VALUE"""),45537.0)</f>
        <v>45537</v>
      </c>
      <c r="B335" s="6" t="str">
        <f>IFERROR(__xludf.DUMMYFUNCTION("""COMPUTED_VALUE"""),"Groceries")</f>
        <v>Groceries</v>
      </c>
      <c r="C335" s="7">
        <f>IFERROR(__xludf.DUMMYFUNCTION("""COMPUTED_VALUE"""),112.0)</f>
        <v>112</v>
      </c>
      <c r="D335" s="6" t="str">
        <f>IFERROR(__xludf.DUMMYFUNCTION("""COMPUTED_VALUE"""),"Groceries")</f>
        <v>Groceries</v>
      </c>
      <c r="E335" s="6" t="str">
        <f>IFERROR(__xludf.DUMMYFUNCTION("""COMPUTED_VALUE"""),"Virtual Wallet")</f>
        <v>Virtual Wallet</v>
      </c>
      <c r="F335" s="6" t="s">
        <v>7</v>
      </c>
      <c r="G335" s="8" t="str">
        <f t="shared" si="1"/>
        <v>202409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4"/>
      <c r="DP335" s="4"/>
      <c r="DQ335" s="4"/>
      <c r="DR335" s="4"/>
      <c r="DS335" s="4"/>
    </row>
    <row r="336">
      <c r="A336" s="5">
        <f>IFERROR(__xludf.DUMMYFUNCTION("""COMPUTED_VALUE"""),45537.0)</f>
        <v>45537</v>
      </c>
      <c r="B336" s="6" t="str">
        <f>IFERROR(__xludf.DUMMYFUNCTION("""COMPUTED_VALUE"""),"Internet Services")</f>
        <v>Internet Services</v>
      </c>
      <c r="C336" s="7">
        <f>IFERROR(__xludf.DUMMYFUNCTION("""COMPUTED_VALUE"""),11968.0)</f>
        <v>11968</v>
      </c>
      <c r="D336" s="6" t="str">
        <f>IFERROR(__xludf.DUMMYFUNCTION("""COMPUTED_VALUE"""),"Basic Services")</f>
        <v>Basic Services</v>
      </c>
      <c r="E336" s="6" t="str">
        <f>IFERROR(__xludf.DUMMYFUNCTION("""COMPUTED_VALUE"""),"Credit Card")</f>
        <v>Credit Card</v>
      </c>
      <c r="F336" s="6" t="s">
        <v>13</v>
      </c>
      <c r="G336" s="8" t="str">
        <f t="shared" si="1"/>
        <v>202409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4"/>
      <c r="DP336" s="4"/>
      <c r="DQ336" s="4"/>
      <c r="DR336" s="4"/>
      <c r="DS336" s="4"/>
    </row>
    <row r="337">
      <c r="A337" s="5">
        <f>IFERROR(__xludf.DUMMYFUNCTION("""COMPUTED_VALUE"""),45537.0)</f>
        <v>45537</v>
      </c>
      <c r="B337" s="6" t="str">
        <f>IFERROR(__xludf.DUMMYFUNCTION("""COMPUTED_VALUE"""),"Pets")</f>
        <v>Pets</v>
      </c>
      <c r="C337" s="7">
        <f>IFERROR(__xludf.DUMMYFUNCTION("""COMPUTED_VALUE"""),700.0)</f>
        <v>700</v>
      </c>
      <c r="D337" s="6" t="str">
        <f>IFERROR(__xludf.DUMMYFUNCTION("""COMPUTED_VALUE"""),"Pets")</f>
        <v>Pets</v>
      </c>
      <c r="E337" s="6" t="str">
        <f>IFERROR(__xludf.DUMMYFUNCTION("""COMPUTED_VALUE"""),"Debit Card")</f>
        <v>Debit Card</v>
      </c>
      <c r="F337" s="6" t="s">
        <v>7</v>
      </c>
      <c r="G337" s="8" t="str">
        <f t="shared" si="1"/>
        <v>202409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4"/>
      <c r="DP337" s="4"/>
      <c r="DQ337" s="4"/>
      <c r="DR337" s="4"/>
      <c r="DS337" s="4"/>
    </row>
    <row r="338">
      <c r="A338" s="5">
        <f>IFERROR(__xludf.DUMMYFUNCTION("""COMPUTED_VALUE"""),45538.0)</f>
        <v>45538</v>
      </c>
      <c r="B338" s="6" t="str">
        <f>IFERROR(__xludf.DUMMYFUNCTION("""COMPUTED_VALUE"""),"Pharmacy")</f>
        <v>Pharmacy</v>
      </c>
      <c r="C338" s="7">
        <f>IFERROR(__xludf.DUMMYFUNCTION("""COMPUTED_VALUE"""),9600.0)</f>
        <v>9600</v>
      </c>
      <c r="D338" s="6" t="str">
        <f>IFERROR(__xludf.DUMMYFUNCTION("""COMPUTED_VALUE"""),"Pets")</f>
        <v>Pets</v>
      </c>
      <c r="E338" s="6" t="str">
        <f>IFERROR(__xludf.DUMMYFUNCTION("""COMPUTED_VALUE"""),"Credit Card")</f>
        <v>Credit Card</v>
      </c>
      <c r="F338" s="6" t="s">
        <v>7</v>
      </c>
      <c r="G338" s="8" t="str">
        <f t="shared" si="1"/>
        <v>202409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4"/>
      <c r="DP338" s="4"/>
      <c r="DQ338" s="4"/>
      <c r="DR338" s="4"/>
      <c r="DS338" s="4"/>
    </row>
    <row r="339">
      <c r="A339" s="5">
        <f>IFERROR(__xludf.DUMMYFUNCTION("""COMPUTED_VALUE"""),45538.0)</f>
        <v>45538</v>
      </c>
      <c r="B339" s="6" t="str">
        <f>IFERROR(__xludf.DUMMYFUNCTION("""COMPUTED_VALUE"""),"Education")</f>
        <v>Education</v>
      </c>
      <c r="C339" s="7">
        <f>IFERROR(__xludf.DUMMYFUNCTION("""COMPUTED_VALUE"""),3000.0)</f>
        <v>3000</v>
      </c>
      <c r="D339" s="6" t="str">
        <f>IFERROR(__xludf.DUMMYFUNCTION("""COMPUTED_VALUE"""),"Education")</f>
        <v>Education</v>
      </c>
      <c r="E339" s="6" t="str">
        <f>IFERROR(__xludf.DUMMYFUNCTION("""COMPUTED_VALUE"""),"Credit Card")</f>
        <v>Credit Card</v>
      </c>
      <c r="F339" s="6" t="s">
        <v>11</v>
      </c>
      <c r="G339" s="8" t="str">
        <f t="shared" si="1"/>
        <v>202409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4"/>
      <c r="DP339" s="4"/>
      <c r="DQ339" s="4"/>
      <c r="DR339" s="4"/>
      <c r="DS339" s="4"/>
    </row>
    <row r="340">
      <c r="A340" s="5">
        <f>IFERROR(__xludf.DUMMYFUNCTION("""COMPUTED_VALUE"""),45538.0)</f>
        <v>45538</v>
      </c>
      <c r="B340" s="6" t="str">
        <f>IFERROR(__xludf.DUMMYFUNCTION("""COMPUTED_VALUE"""),"Groceries")</f>
        <v>Groceries</v>
      </c>
      <c r="C340" s="7">
        <f>IFERROR(__xludf.DUMMYFUNCTION("""COMPUTED_VALUE"""),700.0)</f>
        <v>700</v>
      </c>
      <c r="D340" s="6" t="str">
        <f>IFERROR(__xludf.DUMMYFUNCTION("""COMPUTED_VALUE"""),"Groceries")</f>
        <v>Groceries</v>
      </c>
      <c r="E340" s="6" t="str">
        <f>IFERROR(__xludf.DUMMYFUNCTION("""COMPUTED_VALUE"""),"Split Payment")</f>
        <v>Split Payment</v>
      </c>
      <c r="F340" s="6" t="s">
        <v>7</v>
      </c>
      <c r="G340" s="8" t="str">
        <f t="shared" si="1"/>
        <v>202409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4"/>
      <c r="DP340" s="4"/>
      <c r="DQ340" s="4"/>
      <c r="DR340" s="4"/>
      <c r="DS340" s="4"/>
    </row>
    <row r="341">
      <c r="A341" s="5">
        <f>IFERROR(__xludf.DUMMYFUNCTION("""COMPUTED_VALUE"""),45538.0)</f>
        <v>45538</v>
      </c>
      <c r="B341" s="6" t="str">
        <f>IFERROR(__xludf.DUMMYFUNCTION("""COMPUTED_VALUE"""),"Groceries")</f>
        <v>Groceries</v>
      </c>
      <c r="C341" s="7">
        <f>IFERROR(__xludf.DUMMYFUNCTION("""COMPUTED_VALUE"""),1500.0)</f>
        <v>1500</v>
      </c>
      <c r="D341" s="6" t="str">
        <f>IFERROR(__xludf.DUMMYFUNCTION("""COMPUTED_VALUE"""),"Groceries")</f>
        <v>Groceries</v>
      </c>
      <c r="E341" s="6" t="str">
        <f>IFERROR(__xludf.DUMMYFUNCTION("""COMPUTED_VALUE"""),"Split Payment")</f>
        <v>Split Payment</v>
      </c>
      <c r="F341" s="6" t="s">
        <v>7</v>
      </c>
      <c r="G341" s="8" t="str">
        <f t="shared" si="1"/>
        <v>202409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4"/>
      <c r="DP341" s="4"/>
      <c r="DQ341" s="4"/>
      <c r="DR341" s="4"/>
      <c r="DS341" s="4"/>
    </row>
    <row r="342">
      <c r="A342" s="5">
        <f>IFERROR(__xludf.DUMMYFUNCTION("""COMPUTED_VALUE"""),45538.0)</f>
        <v>45538</v>
      </c>
      <c r="B342" s="6" t="str">
        <f>IFERROR(__xludf.DUMMYFUNCTION("""COMPUTED_VALUE"""),"Pets")</f>
        <v>Pets</v>
      </c>
      <c r="C342" s="7">
        <f>IFERROR(__xludf.DUMMYFUNCTION("""COMPUTED_VALUE"""),5500.0)</f>
        <v>5500</v>
      </c>
      <c r="D342" s="6" t="str">
        <f>IFERROR(__xludf.DUMMYFUNCTION("""COMPUTED_VALUE"""),"Pets")</f>
        <v>Pets</v>
      </c>
      <c r="E342" s="6" t="str">
        <f>IFERROR(__xludf.DUMMYFUNCTION("""COMPUTED_VALUE"""),"Credit Card")</f>
        <v>Credit Card</v>
      </c>
      <c r="F342" s="6" t="s">
        <v>7</v>
      </c>
      <c r="G342" s="8" t="str">
        <f t="shared" si="1"/>
        <v>202409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4"/>
      <c r="DP342" s="4"/>
      <c r="DQ342" s="4"/>
      <c r="DR342" s="4"/>
      <c r="DS342" s="4"/>
    </row>
    <row r="343">
      <c r="A343" s="5">
        <f>IFERROR(__xludf.DUMMYFUNCTION("""COMPUTED_VALUE"""),45538.0)</f>
        <v>45538</v>
      </c>
      <c r="B343" s="6" t="str">
        <f>IFERROR(__xludf.DUMMYFUNCTION("""COMPUTED_VALUE"""),"Pharmacy")</f>
        <v>Pharmacy</v>
      </c>
      <c r="C343" s="7">
        <f>IFERROR(__xludf.DUMMYFUNCTION("""COMPUTED_VALUE"""),2110.0)</f>
        <v>2110</v>
      </c>
      <c r="D343" s="6" t="str">
        <f>IFERROR(__xludf.DUMMYFUNCTION("""COMPUTED_VALUE"""),"Healthcare")</f>
        <v>Healthcare</v>
      </c>
      <c r="E343" s="6" t="str">
        <f>IFERROR(__xludf.DUMMYFUNCTION("""COMPUTED_VALUE"""),"Virtual Wallet")</f>
        <v>Virtual Wallet</v>
      </c>
      <c r="F343" s="6" t="s">
        <v>15</v>
      </c>
      <c r="G343" s="8" t="str">
        <f t="shared" si="1"/>
        <v>202409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4"/>
      <c r="DP343" s="4"/>
      <c r="DQ343" s="4"/>
      <c r="DR343" s="4"/>
      <c r="DS343" s="4"/>
    </row>
    <row r="344">
      <c r="A344" s="5">
        <f>IFERROR(__xludf.DUMMYFUNCTION("""COMPUTED_VALUE"""),45539.0)</f>
        <v>45539</v>
      </c>
      <c r="B344" s="6" t="str">
        <f>IFERROR(__xludf.DUMMYFUNCTION("""COMPUTED_VALUE"""),"Pharmacy")</f>
        <v>Pharmacy</v>
      </c>
      <c r="C344" s="7">
        <f>IFERROR(__xludf.DUMMYFUNCTION("""COMPUTED_VALUE"""),7670.0)</f>
        <v>7670</v>
      </c>
      <c r="D344" s="6" t="str">
        <f>IFERROR(__xludf.DUMMYFUNCTION("""COMPUTED_VALUE"""),"Personal Care")</f>
        <v>Personal Care</v>
      </c>
      <c r="E344" s="6" t="str">
        <f>IFERROR(__xludf.DUMMYFUNCTION("""COMPUTED_VALUE"""),"Credit Card")</f>
        <v>Credit Card</v>
      </c>
      <c r="F344" s="6" t="s">
        <v>16</v>
      </c>
      <c r="G344" s="8" t="str">
        <f t="shared" si="1"/>
        <v>202409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4"/>
      <c r="DP344" s="4"/>
      <c r="DQ344" s="4"/>
      <c r="DR344" s="4"/>
      <c r="DS344" s="4"/>
    </row>
    <row r="345">
      <c r="A345" s="5">
        <f>IFERROR(__xludf.DUMMYFUNCTION("""COMPUTED_VALUE"""),45539.0)</f>
        <v>45539</v>
      </c>
      <c r="B345" s="6" t="str">
        <f>IFERROR(__xludf.DUMMYFUNCTION("""COMPUTED_VALUE"""),"Restaurant")</f>
        <v>Restaurant</v>
      </c>
      <c r="C345" s="7">
        <f>IFERROR(__xludf.DUMMYFUNCTION("""COMPUTED_VALUE"""),9000.0)</f>
        <v>9000</v>
      </c>
      <c r="D345" s="6" t="str">
        <f>IFERROR(__xludf.DUMMYFUNCTION("""COMPUTED_VALUE"""),"Restaurant / Café")</f>
        <v>Restaurant / Café</v>
      </c>
      <c r="E345" s="6" t="str">
        <f>IFERROR(__xludf.DUMMYFUNCTION("""COMPUTED_VALUE"""),"Credit Card")</f>
        <v>Credit Card</v>
      </c>
      <c r="F345" s="6" t="s">
        <v>14</v>
      </c>
      <c r="G345" s="8" t="str">
        <f t="shared" si="1"/>
        <v>202409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4"/>
      <c r="DP345" s="4"/>
      <c r="DQ345" s="4"/>
      <c r="DR345" s="4"/>
      <c r="DS345" s="4"/>
    </row>
    <row r="346">
      <c r="A346" s="5">
        <f>IFERROR(__xludf.DUMMYFUNCTION("""COMPUTED_VALUE"""),45539.0)</f>
        <v>45539</v>
      </c>
      <c r="B346" s="6" t="str">
        <f>IFERROR(__xludf.DUMMYFUNCTION("""COMPUTED_VALUE"""),"Pets")</f>
        <v>Pets</v>
      </c>
      <c r="C346" s="7">
        <f>IFERROR(__xludf.DUMMYFUNCTION("""COMPUTED_VALUE"""),700.0)</f>
        <v>700</v>
      </c>
      <c r="D346" s="6" t="str">
        <f>IFERROR(__xludf.DUMMYFUNCTION("""COMPUTED_VALUE"""),"Pets")</f>
        <v>Pets</v>
      </c>
      <c r="E346" s="6" t="str">
        <f>IFERROR(__xludf.DUMMYFUNCTION("""COMPUTED_VALUE"""),"Cash")</f>
        <v>Cash</v>
      </c>
      <c r="F346" s="6" t="s">
        <v>7</v>
      </c>
      <c r="G346" s="8" t="str">
        <f t="shared" si="1"/>
        <v>202409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4"/>
      <c r="DP346" s="4"/>
      <c r="DQ346" s="4"/>
      <c r="DR346" s="4"/>
      <c r="DS346" s="4"/>
    </row>
    <row r="347">
      <c r="A347" s="5">
        <f>IFERROR(__xludf.DUMMYFUNCTION("""COMPUTED_VALUE"""),45539.0)</f>
        <v>45539</v>
      </c>
      <c r="B347" s="6" t="str">
        <f>IFERROR(__xludf.DUMMYFUNCTION("""COMPUTED_VALUE"""),"Restaurant")</f>
        <v>Restaurant</v>
      </c>
      <c r="C347" s="7">
        <f>IFERROR(__xludf.DUMMYFUNCTION("""COMPUTED_VALUE"""),6100.0)</f>
        <v>6100</v>
      </c>
      <c r="D347" s="6" t="str">
        <f>IFERROR(__xludf.DUMMYFUNCTION("""COMPUTED_VALUE"""),"Restaurant / Café")</f>
        <v>Restaurant / Café</v>
      </c>
      <c r="E347" s="6" t="str">
        <f>IFERROR(__xludf.DUMMYFUNCTION("""COMPUTED_VALUE"""),"Virtual Wallet")</f>
        <v>Virtual Wallet</v>
      </c>
      <c r="F347" s="6" t="s">
        <v>14</v>
      </c>
      <c r="G347" s="8" t="str">
        <f t="shared" si="1"/>
        <v>202409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4"/>
      <c r="DP347" s="4"/>
      <c r="DQ347" s="4"/>
      <c r="DR347" s="4"/>
      <c r="DS347" s="4"/>
    </row>
    <row r="348">
      <c r="A348" s="5">
        <f>IFERROR(__xludf.DUMMYFUNCTION("""COMPUTED_VALUE"""),45539.0)</f>
        <v>45539</v>
      </c>
      <c r="B348" s="6" t="str">
        <f>IFERROR(__xludf.DUMMYFUNCTION("""COMPUTED_VALUE"""),"Restaurant")</f>
        <v>Restaurant</v>
      </c>
      <c r="C348" s="7">
        <f>IFERROR(__xludf.DUMMYFUNCTION("""COMPUTED_VALUE"""),35.0)</f>
        <v>35</v>
      </c>
      <c r="D348" s="6" t="str">
        <f>IFERROR(__xludf.DUMMYFUNCTION("""COMPUTED_VALUE"""),"Restaurant / Café")</f>
        <v>Restaurant / Café</v>
      </c>
      <c r="E348" s="6" t="str">
        <f>IFERROR(__xludf.DUMMYFUNCTION("""COMPUTED_VALUE"""),"Virtual Wallet")</f>
        <v>Virtual Wallet</v>
      </c>
      <c r="F348" s="6" t="s">
        <v>14</v>
      </c>
      <c r="G348" s="8" t="str">
        <f t="shared" si="1"/>
        <v>202409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4"/>
      <c r="DP348" s="4"/>
      <c r="DQ348" s="4"/>
      <c r="DR348" s="4"/>
      <c r="DS348" s="4"/>
    </row>
    <row r="349">
      <c r="A349" s="5">
        <f>IFERROR(__xludf.DUMMYFUNCTION("""COMPUTED_VALUE"""),45540.0)</f>
        <v>45540</v>
      </c>
      <c r="B349" s="6" t="str">
        <f>IFERROR(__xludf.DUMMYFUNCTION("""COMPUTED_VALUE"""),"Groceries")</f>
        <v>Groceries</v>
      </c>
      <c r="C349" s="7">
        <f>IFERROR(__xludf.DUMMYFUNCTION("""COMPUTED_VALUE"""),2500.0)</f>
        <v>2500</v>
      </c>
      <c r="D349" s="6" t="str">
        <f>IFERROR(__xludf.DUMMYFUNCTION("""COMPUTED_VALUE"""),"Personal Care")</f>
        <v>Personal Care</v>
      </c>
      <c r="E349" s="6" t="str">
        <f>IFERROR(__xludf.DUMMYFUNCTION("""COMPUTED_VALUE"""),"Split Payment")</f>
        <v>Split Payment</v>
      </c>
      <c r="F349" s="6" t="s">
        <v>16</v>
      </c>
      <c r="G349" s="8" t="str">
        <f t="shared" si="1"/>
        <v>202409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4"/>
      <c r="DP349" s="4"/>
      <c r="DQ349" s="4"/>
      <c r="DR349" s="4"/>
      <c r="DS349" s="4"/>
    </row>
    <row r="350">
      <c r="A350" s="5">
        <f>IFERROR(__xludf.DUMMYFUNCTION("""COMPUTED_VALUE"""),45540.0)</f>
        <v>45540</v>
      </c>
      <c r="B350" s="6" t="str">
        <f>IFERROR(__xludf.DUMMYFUNCTION("""COMPUTED_VALUE"""),"Groceries")</f>
        <v>Groceries</v>
      </c>
      <c r="C350" s="7">
        <f>IFERROR(__xludf.DUMMYFUNCTION("""COMPUTED_VALUE"""),750.0)</f>
        <v>750</v>
      </c>
      <c r="D350" s="6" t="str">
        <f>IFERROR(__xludf.DUMMYFUNCTION("""COMPUTED_VALUE"""),"Groceries")</f>
        <v>Groceries</v>
      </c>
      <c r="E350" s="6" t="str">
        <f>IFERROR(__xludf.DUMMYFUNCTION("""COMPUTED_VALUE"""),"Split Payment")</f>
        <v>Split Payment</v>
      </c>
      <c r="F350" s="6" t="s">
        <v>7</v>
      </c>
      <c r="G350" s="8" t="str">
        <f t="shared" si="1"/>
        <v>202409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4"/>
      <c r="DP350" s="4"/>
      <c r="DQ350" s="4"/>
      <c r="DR350" s="4"/>
      <c r="DS350" s="4"/>
    </row>
    <row r="351">
      <c r="A351" s="5">
        <f>IFERROR(__xludf.DUMMYFUNCTION("""COMPUTED_VALUE"""),45541.0)</f>
        <v>45541</v>
      </c>
      <c r="B351" s="6" t="str">
        <f>IFERROR(__xludf.DUMMYFUNCTION("""COMPUTED_VALUE"""),"Electricity Bill (Edesur)")</f>
        <v>Electricity Bill (Edesur)</v>
      </c>
      <c r="C351" s="7">
        <f>IFERROR(__xludf.DUMMYFUNCTION("""COMPUTED_VALUE"""),4931.5)</f>
        <v>4931.5</v>
      </c>
      <c r="D351" s="6" t="str">
        <f>IFERROR(__xludf.DUMMYFUNCTION("""COMPUTED_VALUE"""),"Basic Services")</f>
        <v>Basic Services</v>
      </c>
      <c r="E351" s="6" t="str">
        <f>IFERROR(__xludf.DUMMYFUNCTION("""COMPUTED_VALUE"""),"Split Payment")</f>
        <v>Split Payment</v>
      </c>
      <c r="F351" s="6" t="s">
        <v>13</v>
      </c>
      <c r="G351" s="8" t="str">
        <f t="shared" si="1"/>
        <v>202409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4"/>
      <c r="DP351" s="4"/>
      <c r="DQ351" s="4"/>
      <c r="DR351" s="4"/>
      <c r="DS351" s="4"/>
    </row>
    <row r="352">
      <c r="A352" s="5">
        <f>IFERROR(__xludf.DUMMYFUNCTION("""COMPUTED_VALUE"""),45541.0)</f>
        <v>45541</v>
      </c>
      <c r="B352" s="6" t="str">
        <f>IFERROR(__xludf.DUMMYFUNCTION("""COMPUTED_VALUE"""),"Municipal Tax (Agip)")</f>
        <v>Municipal Tax (Agip)</v>
      </c>
      <c r="C352" s="7">
        <f>IFERROR(__xludf.DUMMYFUNCTION("""COMPUTED_VALUE"""),6662.5)</f>
        <v>6662.5</v>
      </c>
      <c r="D352" s="6" t="str">
        <f>IFERROR(__xludf.DUMMYFUNCTION("""COMPUTED_VALUE"""),"Basic Services")</f>
        <v>Basic Services</v>
      </c>
      <c r="E352" s="6" t="str">
        <f>IFERROR(__xludf.DUMMYFUNCTION("""COMPUTED_VALUE"""),"Split Payment")</f>
        <v>Split Payment</v>
      </c>
      <c r="F352" s="6" t="s">
        <v>13</v>
      </c>
      <c r="G352" s="8" t="str">
        <f t="shared" si="1"/>
        <v>202409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4"/>
      <c r="DP352" s="4"/>
      <c r="DQ352" s="4"/>
      <c r="DR352" s="4"/>
      <c r="DS352" s="4"/>
    </row>
    <row r="353">
      <c r="A353" s="5">
        <f>IFERROR(__xludf.DUMMYFUNCTION("""COMPUTED_VALUE"""),45541.0)</f>
        <v>45541</v>
      </c>
      <c r="B353" s="6" t="str">
        <f>IFERROR(__xludf.DUMMYFUNCTION("""COMPUTED_VALUE"""),"Rent &amp; Building Expenses")</f>
        <v>Rent &amp; Building Expenses</v>
      </c>
      <c r="C353" s="7">
        <f>IFERROR(__xludf.DUMMYFUNCTION("""COMPUTED_VALUE"""),232000.0)</f>
        <v>232000</v>
      </c>
      <c r="D353" s="6" t="str">
        <f>IFERROR(__xludf.DUMMYFUNCTION("""COMPUTED_VALUE"""),"Rent &amp; Utilities")</f>
        <v>Rent &amp; Utilities</v>
      </c>
      <c r="E353" s="6" t="str">
        <f>IFERROR(__xludf.DUMMYFUNCTION("""COMPUTED_VALUE"""),"Bank Transfer")</f>
        <v>Bank Transfer</v>
      </c>
      <c r="F353" s="6" t="s">
        <v>13</v>
      </c>
      <c r="G353" s="8" t="str">
        <f t="shared" si="1"/>
        <v>202409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4"/>
      <c r="DP353" s="4"/>
      <c r="DQ353" s="4"/>
      <c r="DR353" s="4"/>
      <c r="DS353" s="4"/>
    </row>
    <row r="354">
      <c r="A354" s="5">
        <f>IFERROR(__xludf.DUMMYFUNCTION("""COMPUTED_VALUE"""),45541.0)</f>
        <v>45541</v>
      </c>
      <c r="B354" s="6" t="str">
        <f>IFERROR(__xludf.DUMMYFUNCTION("""COMPUTED_VALUE"""),"Restaurant")</f>
        <v>Restaurant</v>
      </c>
      <c r="C354" s="7">
        <f>IFERROR(__xludf.DUMMYFUNCTION("""COMPUTED_VALUE"""),7000.0)</f>
        <v>7000</v>
      </c>
      <c r="D354" s="6" t="str">
        <f>IFERROR(__xludf.DUMMYFUNCTION("""COMPUTED_VALUE"""),"Restaurant / Café")</f>
        <v>Restaurant / Café</v>
      </c>
      <c r="E354" s="6" t="str">
        <f>IFERROR(__xludf.DUMMYFUNCTION("""COMPUTED_VALUE"""),"Virtual Wallet")</f>
        <v>Virtual Wallet</v>
      </c>
      <c r="F354" s="6" t="s">
        <v>14</v>
      </c>
      <c r="G354" s="8" t="str">
        <f t="shared" si="1"/>
        <v>202409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4"/>
      <c r="DP354" s="4"/>
      <c r="DQ354" s="4"/>
      <c r="DR354" s="4"/>
      <c r="DS354" s="4"/>
    </row>
    <row r="355">
      <c r="A355" s="5">
        <f>IFERROR(__xludf.DUMMYFUNCTION("""COMPUTED_VALUE"""),45541.0)</f>
        <v>45541</v>
      </c>
      <c r="B355" s="6" t="str">
        <f>IFERROR(__xludf.DUMMYFUNCTION("""COMPUTED_VALUE"""),"Restaurant")</f>
        <v>Restaurant</v>
      </c>
      <c r="C355" s="7">
        <f>IFERROR(__xludf.DUMMYFUNCTION("""COMPUTED_VALUE"""),30.0)</f>
        <v>30</v>
      </c>
      <c r="D355" s="6" t="str">
        <f>IFERROR(__xludf.DUMMYFUNCTION("""COMPUTED_VALUE"""),"Lunch Out")</f>
        <v>Lunch Out</v>
      </c>
      <c r="E355" s="6" t="str">
        <f>IFERROR(__xludf.DUMMYFUNCTION("""COMPUTED_VALUE"""),"Virtual Wallet")</f>
        <v>Virtual Wallet</v>
      </c>
      <c r="F355" s="6" t="s">
        <v>14</v>
      </c>
      <c r="G355" s="8" t="str">
        <f t="shared" si="1"/>
        <v>202409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4"/>
      <c r="DP355" s="4"/>
      <c r="DQ355" s="4"/>
      <c r="DR355" s="4"/>
      <c r="DS355" s="4"/>
    </row>
    <row r="356">
      <c r="A356" s="5">
        <f>IFERROR(__xludf.DUMMYFUNCTION("""COMPUTED_VALUE"""),45541.0)</f>
        <v>45541</v>
      </c>
      <c r="B356" s="6" t="str">
        <f>IFERROR(__xludf.DUMMYFUNCTION("""COMPUTED_VALUE"""),"Streaming Services")</f>
        <v>Streaming Services</v>
      </c>
      <c r="C356" s="7">
        <f>IFERROR(__xludf.DUMMYFUNCTION("""COMPUTED_VALUE"""),5723.0)</f>
        <v>5723</v>
      </c>
      <c r="D356" s="6" t="str">
        <f>IFERROR(__xludf.DUMMYFUNCTION("""COMPUTED_VALUE"""),"Streaming Services")</f>
        <v>Streaming Services</v>
      </c>
      <c r="E356" s="6" t="str">
        <f>IFERROR(__xludf.DUMMYFUNCTION("""COMPUTED_VALUE"""),"Credit Card")</f>
        <v>Credit Card</v>
      </c>
      <c r="F356" s="6" t="s">
        <v>12</v>
      </c>
      <c r="G356" s="8" t="str">
        <f t="shared" si="1"/>
        <v>202409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4"/>
      <c r="DP356" s="4"/>
      <c r="DQ356" s="4"/>
      <c r="DR356" s="4"/>
      <c r="DS356" s="4"/>
    </row>
    <row r="357">
      <c r="A357" s="5">
        <f>IFERROR(__xludf.DUMMYFUNCTION("""COMPUTED_VALUE"""),45542.0)</f>
        <v>45542</v>
      </c>
      <c r="B357" s="6" t="str">
        <f>IFERROR(__xludf.DUMMYFUNCTION("""COMPUTED_VALUE"""),"Groceries")</f>
        <v>Groceries</v>
      </c>
      <c r="C357" s="7">
        <f>IFERROR(__xludf.DUMMYFUNCTION("""COMPUTED_VALUE"""),6850.0)</f>
        <v>6850</v>
      </c>
      <c r="D357" s="6" t="str">
        <f>IFERROR(__xludf.DUMMYFUNCTION("""COMPUTED_VALUE"""),"Groceries")</f>
        <v>Groceries</v>
      </c>
      <c r="E357" s="6" t="str">
        <f>IFERROR(__xludf.DUMMYFUNCTION("""COMPUTED_VALUE"""),"Split Payment")</f>
        <v>Split Payment</v>
      </c>
      <c r="F357" s="6" t="s">
        <v>7</v>
      </c>
      <c r="G357" s="8" t="str">
        <f t="shared" si="1"/>
        <v>202409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4"/>
      <c r="DP357" s="4"/>
      <c r="DQ357" s="4"/>
      <c r="DR357" s="4"/>
      <c r="DS357" s="4"/>
    </row>
    <row r="358">
      <c r="A358" s="5">
        <f>IFERROR(__xludf.DUMMYFUNCTION("""COMPUTED_VALUE"""),45542.0)</f>
        <v>45542</v>
      </c>
      <c r="B358" s="6" t="str">
        <f>IFERROR(__xludf.DUMMYFUNCTION("""COMPUTED_VALUE"""),"Groceries")</f>
        <v>Groceries</v>
      </c>
      <c r="C358" s="7">
        <f>IFERROR(__xludf.DUMMYFUNCTION("""COMPUTED_VALUE"""),38.0)</f>
        <v>38</v>
      </c>
      <c r="D358" s="6" t="str">
        <f>IFERROR(__xludf.DUMMYFUNCTION("""COMPUTED_VALUE"""),"Lunch Out")</f>
        <v>Lunch Out</v>
      </c>
      <c r="E358" s="6" t="str">
        <f>IFERROR(__xludf.DUMMYFUNCTION("""COMPUTED_VALUE"""),"Virtual Wallet")</f>
        <v>Virtual Wallet</v>
      </c>
      <c r="F358" s="6" t="s">
        <v>14</v>
      </c>
      <c r="G358" s="8" t="str">
        <f t="shared" si="1"/>
        <v>202409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  <c r="CI358" s="4"/>
      <c r="CJ358" s="4"/>
      <c r="CK358" s="4"/>
      <c r="CL358" s="4"/>
      <c r="CM358" s="4"/>
      <c r="CN358" s="4"/>
      <c r="CO358" s="4"/>
      <c r="CP358" s="4"/>
      <c r="CQ358" s="4"/>
      <c r="CR358" s="4"/>
      <c r="CS358" s="4"/>
      <c r="CT358" s="4"/>
      <c r="CU358" s="4"/>
      <c r="CV358" s="4"/>
      <c r="CW358" s="4"/>
      <c r="CX358" s="4"/>
      <c r="CY358" s="4"/>
      <c r="CZ358" s="4"/>
      <c r="DA358" s="4"/>
      <c r="DB358" s="4"/>
      <c r="DC358" s="4"/>
      <c r="DD358" s="4"/>
      <c r="DE358" s="4"/>
      <c r="DF358" s="4"/>
      <c r="DG358" s="4"/>
      <c r="DH358" s="4"/>
      <c r="DI358" s="4"/>
      <c r="DJ358" s="4"/>
      <c r="DK358" s="4"/>
      <c r="DL358" s="4"/>
      <c r="DM358" s="4"/>
      <c r="DN358" s="4"/>
      <c r="DO358" s="4"/>
      <c r="DP358" s="4"/>
      <c r="DQ358" s="4"/>
      <c r="DR358" s="4"/>
      <c r="DS358" s="4"/>
    </row>
    <row r="359">
      <c r="A359" s="5">
        <f>IFERROR(__xludf.DUMMYFUNCTION("""COMPUTED_VALUE"""),45542.0)</f>
        <v>45542</v>
      </c>
      <c r="B359" s="6" t="str">
        <f>IFERROR(__xludf.DUMMYFUNCTION("""COMPUTED_VALUE"""),"Home Goods")</f>
        <v>Home Goods</v>
      </c>
      <c r="C359" s="7">
        <f>IFERROR(__xludf.DUMMYFUNCTION("""COMPUTED_VALUE"""),2250.0)</f>
        <v>2250</v>
      </c>
      <c r="D359" s="6" t="str">
        <f>IFERROR(__xludf.DUMMYFUNCTION("""COMPUTED_VALUE"""),"Home Goods &amp; Utilities")</f>
        <v>Home Goods &amp; Utilities</v>
      </c>
      <c r="E359" s="6" t="str">
        <f>IFERROR(__xludf.DUMMYFUNCTION("""COMPUTED_VALUE"""),"Virtual Wallet")</f>
        <v>Virtual Wallet</v>
      </c>
      <c r="F359" s="6" t="s">
        <v>8</v>
      </c>
      <c r="G359" s="8" t="str">
        <f t="shared" si="1"/>
        <v>202409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  <c r="CI359" s="4"/>
      <c r="CJ359" s="4"/>
      <c r="CK359" s="4"/>
      <c r="CL359" s="4"/>
      <c r="CM359" s="4"/>
      <c r="CN359" s="4"/>
      <c r="CO359" s="4"/>
      <c r="CP359" s="4"/>
      <c r="CQ359" s="4"/>
      <c r="CR359" s="4"/>
      <c r="CS359" s="4"/>
      <c r="CT359" s="4"/>
      <c r="CU359" s="4"/>
      <c r="CV359" s="4"/>
      <c r="CW359" s="4"/>
      <c r="CX359" s="4"/>
      <c r="CY359" s="4"/>
      <c r="CZ359" s="4"/>
      <c r="DA359" s="4"/>
      <c r="DB359" s="4"/>
      <c r="DC359" s="4"/>
      <c r="DD359" s="4"/>
      <c r="DE359" s="4"/>
      <c r="DF359" s="4"/>
      <c r="DG359" s="4"/>
      <c r="DH359" s="4"/>
      <c r="DI359" s="4"/>
      <c r="DJ359" s="4"/>
      <c r="DK359" s="4"/>
      <c r="DL359" s="4"/>
      <c r="DM359" s="4"/>
      <c r="DN359" s="4"/>
      <c r="DO359" s="4"/>
      <c r="DP359" s="4"/>
      <c r="DQ359" s="4"/>
      <c r="DR359" s="4"/>
      <c r="DS359" s="4"/>
    </row>
    <row r="360">
      <c r="A360" s="5">
        <f>IFERROR(__xludf.DUMMYFUNCTION("""COMPUTED_VALUE"""),45543.0)</f>
        <v>45543</v>
      </c>
      <c r="B360" s="6" t="str">
        <f>IFERROR(__xludf.DUMMYFUNCTION("""COMPUTED_VALUE"""),"Restaurant")</f>
        <v>Restaurant</v>
      </c>
      <c r="C360" s="7">
        <f>IFERROR(__xludf.DUMMYFUNCTION("""COMPUTED_VALUE"""),21.0)</f>
        <v>21</v>
      </c>
      <c r="D360" s="6" t="str">
        <f>IFERROR(__xludf.DUMMYFUNCTION("""COMPUTED_VALUE"""),"Restaurant / Café")</f>
        <v>Restaurant / Café</v>
      </c>
      <c r="E360" s="6" t="str">
        <f>IFERROR(__xludf.DUMMYFUNCTION("""COMPUTED_VALUE"""),"Virtual Wallet")</f>
        <v>Virtual Wallet</v>
      </c>
      <c r="F360" s="6" t="s">
        <v>14</v>
      </c>
      <c r="G360" s="8" t="str">
        <f t="shared" si="1"/>
        <v>202409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  <c r="CI360" s="4"/>
      <c r="CJ360" s="4"/>
      <c r="CK360" s="4"/>
      <c r="CL360" s="4"/>
      <c r="CM360" s="4"/>
      <c r="CN360" s="4"/>
      <c r="CO360" s="4"/>
      <c r="CP360" s="4"/>
      <c r="CQ360" s="4"/>
      <c r="CR360" s="4"/>
      <c r="CS360" s="4"/>
      <c r="CT360" s="4"/>
      <c r="CU360" s="4"/>
      <c r="CV360" s="4"/>
      <c r="CW360" s="4"/>
      <c r="CX360" s="4"/>
      <c r="CY360" s="4"/>
      <c r="CZ360" s="4"/>
      <c r="DA360" s="4"/>
      <c r="DB360" s="4"/>
      <c r="DC360" s="4"/>
      <c r="DD360" s="4"/>
      <c r="DE360" s="4"/>
      <c r="DF360" s="4"/>
      <c r="DG360" s="4"/>
      <c r="DH360" s="4"/>
      <c r="DI360" s="4"/>
      <c r="DJ360" s="4"/>
      <c r="DK360" s="4"/>
      <c r="DL360" s="4"/>
      <c r="DM360" s="4"/>
      <c r="DN360" s="4"/>
      <c r="DO360" s="4"/>
      <c r="DP360" s="4"/>
      <c r="DQ360" s="4"/>
      <c r="DR360" s="4"/>
      <c r="DS360" s="4"/>
    </row>
    <row r="361">
      <c r="A361" s="5">
        <f>IFERROR(__xludf.DUMMYFUNCTION("""COMPUTED_VALUE"""),45543.0)</f>
        <v>45543</v>
      </c>
      <c r="B361" s="6" t="str">
        <f>IFERROR(__xludf.DUMMYFUNCTION("""COMPUTED_VALUE"""),"Restaurant")</f>
        <v>Restaurant</v>
      </c>
      <c r="C361" s="7">
        <f>IFERROR(__xludf.DUMMYFUNCTION("""COMPUTED_VALUE"""),2140.0)</f>
        <v>2140</v>
      </c>
      <c r="D361" s="6" t="str">
        <f>IFERROR(__xludf.DUMMYFUNCTION("""COMPUTED_VALUE"""),"Groceries")</f>
        <v>Groceries</v>
      </c>
      <c r="E361" s="6" t="str">
        <f>IFERROR(__xludf.DUMMYFUNCTION("""COMPUTED_VALUE"""),"Virtual Wallet")</f>
        <v>Virtual Wallet</v>
      </c>
      <c r="F361" s="6" t="s">
        <v>7</v>
      </c>
      <c r="G361" s="8" t="str">
        <f t="shared" si="1"/>
        <v>202409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  <c r="CI361" s="4"/>
      <c r="CJ361" s="4"/>
      <c r="CK361" s="4"/>
      <c r="CL361" s="4"/>
      <c r="CM361" s="4"/>
      <c r="CN361" s="4"/>
      <c r="CO361" s="4"/>
      <c r="CP361" s="4"/>
      <c r="CQ361" s="4"/>
      <c r="CR361" s="4"/>
      <c r="CS361" s="4"/>
      <c r="CT361" s="4"/>
      <c r="CU361" s="4"/>
      <c r="CV361" s="4"/>
      <c r="CW361" s="4"/>
      <c r="CX361" s="4"/>
      <c r="CY361" s="4"/>
      <c r="CZ361" s="4"/>
      <c r="DA361" s="4"/>
      <c r="DB361" s="4"/>
      <c r="DC361" s="4"/>
      <c r="DD361" s="4"/>
      <c r="DE361" s="4"/>
      <c r="DF361" s="4"/>
      <c r="DG361" s="4"/>
      <c r="DH361" s="4"/>
      <c r="DI361" s="4"/>
      <c r="DJ361" s="4"/>
      <c r="DK361" s="4"/>
      <c r="DL361" s="4"/>
      <c r="DM361" s="4"/>
      <c r="DN361" s="4"/>
      <c r="DO361" s="4"/>
      <c r="DP361" s="4"/>
      <c r="DQ361" s="4"/>
      <c r="DR361" s="4"/>
      <c r="DS361" s="4"/>
    </row>
    <row r="362">
      <c r="A362" s="5">
        <f>IFERROR(__xludf.DUMMYFUNCTION("""COMPUTED_VALUE"""),45544.0)</f>
        <v>45544</v>
      </c>
      <c r="B362" s="6" t="str">
        <f>IFERROR(__xludf.DUMMYFUNCTION("""COMPUTED_VALUE"""),"Donation")</f>
        <v>Donation</v>
      </c>
      <c r="C362" s="7">
        <f>IFERROR(__xludf.DUMMYFUNCTION("""COMPUTED_VALUE"""),5000.0)</f>
        <v>5000</v>
      </c>
      <c r="D362" s="6" t="str">
        <f>IFERROR(__xludf.DUMMYFUNCTION("""COMPUTED_VALUE"""),"Donation")</f>
        <v>Donation</v>
      </c>
      <c r="E362" s="6" t="str">
        <f>IFERROR(__xludf.DUMMYFUNCTION("""COMPUTED_VALUE"""),"Virtual Wallet")</f>
        <v>Virtual Wallet</v>
      </c>
      <c r="F362" s="6"/>
      <c r="G362" s="8" t="str">
        <f t="shared" si="1"/>
        <v>202409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  <c r="CI362" s="4"/>
      <c r="CJ362" s="4"/>
      <c r="CK362" s="4"/>
      <c r="CL362" s="4"/>
      <c r="CM362" s="4"/>
      <c r="CN362" s="4"/>
      <c r="CO362" s="4"/>
      <c r="CP362" s="4"/>
      <c r="CQ362" s="4"/>
      <c r="CR362" s="4"/>
      <c r="CS362" s="4"/>
      <c r="CT362" s="4"/>
      <c r="CU362" s="4"/>
      <c r="CV362" s="4"/>
      <c r="CW362" s="4"/>
      <c r="CX362" s="4"/>
      <c r="CY362" s="4"/>
      <c r="CZ362" s="4"/>
      <c r="DA362" s="4"/>
      <c r="DB362" s="4"/>
      <c r="DC362" s="4"/>
      <c r="DD362" s="4"/>
      <c r="DE362" s="4"/>
      <c r="DF362" s="4"/>
      <c r="DG362" s="4"/>
      <c r="DH362" s="4"/>
      <c r="DI362" s="4"/>
      <c r="DJ362" s="4"/>
      <c r="DK362" s="4"/>
      <c r="DL362" s="4"/>
      <c r="DM362" s="4"/>
      <c r="DN362" s="4"/>
      <c r="DO362" s="4"/>
      <c r="DP362" s="4"/>
      <c r="DQ362" s="4"/>
      <c r="DR362" s="4"/>
      <c r="DS362" s="4"/>
    </row>
    <row r="363">
      <c r="A363" s="5">
        <f>IFERROR(__xludf.DUMMYFUNCTION("""COMPUTED_VALUE"""),45544.0)</f>
        <v>45544</v>
      </c>
      <c r="B363" s="6" t="str">
        <f>IFERROR(__xludf.DUMMYFUNCTION("""COMPUTED_VALUE"""),"Restaurant")</f>
        <v>Restaurant</v>
      </c>
      <c r="C363" s="7">
        <f>IFERROR(__xludf.DUMMYFUNCTION("""COMPUTED_VALUE"""),8500.0)</f>
        <v>8500</v>
      </c>
      <c r="D363" s="6" t="str">
        <f>IFERROR(__xludf.DUMMYFUNCTION("""COMPUTED_VALUE"""),"Restaurant / Café")</f>
        <v>Restaurant / Café</v>
      </c>
      <c r="E363" s="6" t="str">
        <f>IFERROR(__xludf.DUMMYFUNCTION("""COMPUTED_VALUE"""),"Virtual Wallet")</f>
        <v>Virtual Wallet</v>
      </c>
      <c r="F363" s="6" t="s">
        <v>14</v>
      </c>
      <c r="G363" s="8" t="str">
        <f t="shared" si="1"/>
        <v>202409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  <c r="CI363" s="4"/>
      <c r="CJ363" s="4"/>
      <c r="CK363" s="4"/>
      <c r="CL363" s="4"/>
      <c r="CM363" s="4"/>
      <c r="CN363" s="4"/>
      <c r="CO363" s="4"/>
      <c r="CP363" s="4"/>
      <c r="CQ363" s="4"/>
      <c r="CR363" s="4"/>
      <c r="CS363" s="4"/>
      <c r="CT363" s="4"/>
      <c r="CU363" s="4"/>
      <c r="CV363" s="4"/>
      <c r="CW363" s="4"/>
      <c r="CX363" s="4"/>
      <c r="CY363" s="4"/>
      <c r="CZ363" s="4"/>
      <c r="DA363" s="4"/>
      <c r="DB363" s="4"/>
      <c r="DC363" s="4"/>
      <c r="DD363" s="4"/>
      <c r="DE363" s="4"/>
      <c r="DF363" s="4"/>
      <c r="DG363" s="4"/>
      <c r="DH363" s="4"/>
      <c r="DI363" s="4"/>
      <c r="DJ363" s="4"/>
      <c r="DK363" s="4"/>
      <c r="DL363" s="4"/>
      <c r="DM363" s="4"/>
      <c r="DN363" s="4"/>
      <c r="DO363" s="4"/>
      <c r="DP363" s="4"/>
      <c r="DQ363" s="4"/>
      <c r="DR363" s="4"/>
      <c r="DS363" s="4"/>
    </row>
    <row r="364">
      <c r="A364" s="5">
        <f>IFERROR(__xludf.DUMMYFUNCTION("""COMPUTED_VALUE"""),45544.0)</f>
        <v>45544</v>
      </c>
      <c r="B364" s="6" t="str">
        <f>IFERROR(__xludf.DUMMYFUNCTION("""COMPUTED_VALUE"""),"Streaming Services")</f>
        <v>Streaming Services</v>
      </c>
      <c r="C364" s="7">
        <f>IFERROR(__xludf.DUMMYFUNCTION("""COMPUTED_VALUE"""),2622.5)</f>
        <v>2622.5</v>
      </c>
      <c r="D364" s="6" t="str">
        <f>IFERROR(__xludf.DUMMYFUNCTION("""COMPUTED_VALUE"""),"Streaming Services")</f>
        <v>Streaming Services</v>
      </c>
      <c r="E364" s="6" t="str">
        <f>IFERROR(__xludf.DUMMYFUNCTION("""COMPUTED_VALUE"""),"Credit Card")</f>
        <v>Credit Card</v>
      </c>
      <c r="F364" s="6" t="s">
        <v>12</v>
      </c>
      <c r="G364" s="8" t="str">
        <f t="shared" si="1"/>
        <v>202409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  <c r="CI364" s="4"/>
      <c r="CJ364" s="4"/>
      <c r="CK364" s="4"/>
      <c r="CL364" s="4"/>
      <c r="CM364" s="4"/>
      <c r="CN364" s="4"/>
      <c r="CO364" s="4"/>
      <c r="CP364" s="4"/>
      <c r="CQ364" s="4"/>
      <c r="CR364" s="4"/>
      <c r="CS364" s="4"/>
      <c r="CT364" s="4"/>
      <c r="CU364" s="4"/>
      <c r="CV364" s="4"/>
      <c r="CW364" s="4"/>
      <c r="CX364" s="4"/>
      <c r="CY364" s="4"/>
      <c r="CZ364" s="4"/>
      <c r="DA364" s="4"/>
      <c r="DB364" s="4"/>
      <c r="DC364" s="4"/>
      <c r="DD364" s="4"/>
      <c r="DE364" s="4"/>
      <c r="DF364" s="4"/>
      <c r="DG364" s="4"/>
      <c r="DH364" s="4"/>
      <c r="DI364" s="4"/>
      <c r="DJ364" s="4"/>
      <c r="DK364" s="4"/>
      <c r="DL364" s="4"/>
      <c r="DM364" s="4"/>
      <c r="DN364" s="4"/>
      <c r="DO364" s="4"/>
      <c r="DP364" s="4"/>
      <c r="DQ364" s="4"/>
      <c r="DR364" s="4"/>
      <c r="DS364" s="4"/>
    </row>
    <row r="365">
      <c r="A365" s="5">
        <f>IFERROR(__xludf.DUMMYFUNCTION("""COMPUTED_VALUE"""),45545.0)</f>
        <v>45545</v>
      </c>
      <c r="B365" s="6" t="str">
        <f>IFERROR(__xludf.DUMMYFUNCTION("""COMPUTED_VALUE"""),"Restaurant")</f>
        <v>Restaurant</v>
      </c>
      <c r="C365" s="7">
        <f>IFERROR(__xludf.DUMMYFUNCTION("""COMPUTED_VALUE"""),43.0)</f>
        <v>43</v>
      </c>
      <c r="D365" s="6" t="str">
        <f>IFERROR(__xludf.DUMMYFUNCTION("""COMPUTED_VALUE"""),"Lunch Out")</f>
        <v>Lunch Out</v>
      </c>
      <c r="E365" s="6" t="str">
        <f>IFERROR(__xludf.DUMMYFUNCTION("""COMPUTED_VALUE"""),"Virtual Wallet")</f>
        <v>Virtual Wallet</v>
      </c>
      <c r="F365" s="6" t="s">
        <v>14</v>
      </c>
      <c r="G365" s="8" t="str">
        <f t="shared" si="1"/>
        <v>202409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  <c r="CI365" s="4"/>
      <c r="CJ365" s="4"/>
      <c r="CK365" s="4"/>
      <c r="CL365" s="4"/>
      <c r="CM365" s="4"/>
      <c r="CN365" s="4"/>
      <c r="CO365" s="4"/>
      <c r="CP365" s="4"/>
      <c r="CQ365" s="4"/>
      <c r="CR365" s="4"/>
      <c r="CS365" s="4"/>
      <c r="CT365" s="4"/>
      <c r="CU365" s="4"/>
      <c r="CV365" s="4"/>
      <c r="CW365" s="4"/>
      <c r="CX365" s="4"/>
      <c r="CY365" s="4"/>
      <c r="CZ365" s="4"/>
      <c r="DA365" s="4"/>
      <c r="DB365" s="4"/>
      <c r="DC365" s="4"/>
      <c r="DD365" s="4"/>
      <c r="DE365" s="4"/>
      <c r="DF365" s="4"/>
      <c r="DG365" s="4"/>
      <c r="DH365" s="4"/>
      <c r="DI365" s="4"/>
      <c r="DJ365" s="4"/>
      <c r="DK365" s="4"/>
      <c r="DL365" s="4"/>
      <c r="DM365" s="4"/>
      <c r="DN365" s="4"/>
      <c r="DO365" s="4"/>
      <c r="DP365" s="4"/>
      <c r="DQ365" s="4"/>
      <c r="DR365" s="4"/>
      <c r="DS365" s="4"/>
    </row>
    <row r="366">
      <c r="A366" s="5">
        <f>IFERROR(__xludf.DUMMYFUNCTION("""COMPUTED_VALUE"""),45545.0)</f>
        <v>45545</v>
      </c>
      <c r="B366" s="6" t="str">
        <f>IFERROR(__xludf.DUMMYFUNCTION("""COMPUTED_VALUE"""),"Restaurant")</f>
        <v>Restaurant</v>
      </c>
      <c r="C366" s="7">
        <f>IFERROR(__xludf.DUMMYFUNCTION("""COMPUTED_VALUE"""),193.5)</f>
        <v>193.5</v>
      </c>
      <c r="D366" s="6" t="str">
        <f>IFERROR(__xludf.DUMMYFUNCTION("""COMPUTED_VALUE"""),"Groceries")</f>
        <v>Groceries</v>
      </c>
      <c r="E366" s="6" t="str">
        <f>IFERROR(__xludf.DUMMYFUNCTION("""COMPUTED_VALUE"""),"Virtual Wallet")</f>
        <v>Virtual Wallet</v>
      </c>
      <c r="F366" s="6" t="s">
        <v>7</v>
      </c>
      <c r="G366" s="8" t="str">
        <f t="shared" si="1"/>
        <v>202409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  <c r="CI366" s="4"/>
      <c r="CJ366" s="4"/>
      <c r="CK366" s="4"/>
      <c r="CL366" s="4"/>
      <c r="CM366" s="4"/>
      <c r="CN366" s="4"/>
      <c r="CO366" s="4"/>
      <c r="CP366" s="4"/>
      <c r="CQ366" s="4"/>
      <c r="CR366" s="4"/>
      <c r="CS366" s="4"/>
      <c r="CT366" s="4"/>
      <c r="CU366" s="4"/>
      <c r="CV366" s="4"/>
      <c r="CW366" s="4"/>
      <c r="CX366" s="4"/>
      <c r="CY366" s="4"/>
      <c r="CZ366" s="4"/>
      <c r="DA366" s="4"/>
      <c r="DB366" s="4"/>
      <c r="DC366" s="4"/>
      <c r="DD366" s="4"/>
      <c r="DE366" s="4"/>
      <c r="DF366" s="4"/>
      <c r="DG366" s="4"/>
      <c r="DH366" s="4"/>
      <c r="DI366" s="4"/>
      <c r="DJ366" s="4"/>
      <c r="DK366" s="4"/>
      <c r="DL366" s="4"/>
      <c r="DM366" s="4"/>
      <c r="DN366" s="4"/>
      <c r="DO366" s="4"/>
      <c r="DP366" s="4"/>
      <c r="DQ366" s="4"/>
      <c r="DR366" s="4"/>
      <c r="DS366" s="4"/>
    </row>
    <row r="367">
      <c r="A367" s="5">
        <f>IFERROR(__xludf.DUMMYFUNCTION("""COMPUTED_VALUE"""),45546.0)</f>
        <v>45546</v>
      </c>
      <c r="B367" s="6" t="str">
        <f>IFERROR(__xludf.DUMMYFUNCTION("""COMPUTED_VALUE"""),"Health Insurance")</f>
        <v>Health Insurance</v>
      </c>
      <c r="C367" s="7">
        <f>IFERROR(__xludf.DUMMYFUNCTION("""COMPUTED_VALUE"""),100000.0)</f>
        <v>100000</v>
      </c>
      <c r="D367" s="6" t="str">
        <f>IFERROR(__xludf.DUMMYFUNCTION("""COMPUTED_VALUE"""),"Healthcare")</f>
        <v>Healthcare</v>
      </c>
      <c r="E367" s="6" t="str">
        <f>IFERROR(__xludf.DUMMYFUNCTION("""COMPUTED_VALUE"""),"Bank Transfer")</f>
        <v>Bank Transfer</v>
      </c>
      <c r="F367" s="6" t="s">
        <v>15</v>
      </c>
      <c r="G367" s="8" t="str">
        <f t="shared" si="1"/>
        <v>202409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  <c r="CI367" s="4"/>
      <c r="CJ367" s="4"/>
      <c r="CK367" s="4"/>
      <c r="CL367" s="4"/>
      <c r="CM367" s="4"/>
      <c r="CN367" s="4"/>
      <c r="CO367" s="4"/>
      <c r="CP367" s="4"/>
      <c r="CQ367" s="4"/>
      <c r="CR367" s="4"/>
      <c r="CS367" s="4"/>
      <c r="CT367" s="4"/>
      <c r="CU367" s="4"/>
      <c r="CV367" s="4"/>
      <c r="CW367" s="4"/>
      <c r="CX367" s="4"/>
      <c r="CY367" s="4"/>
      <c r="CZ367" s="4"/>
      <c r="DA367" s="4"/>
      <c r="DB367" s="4"/>
      <c r="DC367" s="4"/>
      <c r="DD367" s="4"/>
      <c r="DE367" s="4"/>
      <c r="DF367" s="4"/>
      <c r="DG367" s="4"/>
      <c r="DH367" s="4"/>
      <c r="DI367" s="4"/>
      <c r="DJ367" s="4"/>
      <c r="DK367" s="4"/>
      <c r="DL367" s="4"/>
      <c r="DM367" s="4"/>
      <c r="DN367" s="4"/>
      <c r="DO367" s="4"/>
      <c r="DP367" s="4"/>
      <c r="DQ367" s="4"/>
      <c r="DR367" s="4"/>
      <c r="DS367" s="4"/>
    </row>
    <row r="368">
      <c r="A368" s="5">
        <f>IFERROR(__xludf.DUMMYFUNCTION("""COMPUTED_VALUE"""),45546.0)</f>
        <v>45546</v>
      </c>
      <c r="B368" s="6" t="str">
        <f>IFERROR(__xludf.DUMMYFUNCTION("""COMPUTED_VALUE"""),"Restaurant")</f>
        <v>Restaurant</v>
      </c>
      <c r="C368" s="7">
        <f>IFERROR(__xludf.DUMMYFUNCTION("""COMPUTED_VALUE"""),7000.0)</f>
        <v>7000</v>
      </c>
      <c r="D368" s="6" t="str">
        <f>IFERROR(__xludf.DUMMYFUNCTION("""COMPUTED_VALUE"""),"Restaurant / Café")</f>
        <v>Restaurant / Café</v>
      </c>
      <c r="E368" s="6" t="str">
        <f>IFERROR(__xludf.DUMMYFUNCTION("""COMPUTED_VALUE"""),"Bank Transfer")</f>
        <v>Bank Transfer</v>
      </c>
      <c r="F368" s="6" t="s">
        <v>14</v>
      </c>
      <c r="G368" s="8" t="str">
        <f t="shared" si="1"/>
        <v>202409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  <c r="CI368" s="4"/>
      <c r="CJ368" s="4"/>
      <c r="CK368" s="4"/>
      <c r="CL368" s="4"/>
      <c r="CM368" s="4"/>
      <c r="CN368" s="4"/>
      <c r="CO368" s="4"/>
      <c r="CP368" s="4"/>
      <c r="CQ368" s="4"/>
      <c r="CR368" s="4"/>
      <c r="CS368" s="4"/>
      <c r="CT368" s="4"/>
      <c r="CU368" s="4"/>
      <c r="CV368" s="4"/>
      <c r="CW368" s="4"/>
      <c r="CX368" s="4"/>
      <c r="CY368" s="4"/>
      <c r="CZ368" s="4"/>
      <c r="DA368" s="4"/>
      <c r="DB368" s="4"/>
      <c r="DC368" s="4"/>
      <c r="DD368" s="4"/>
      <c r="DE368" s="4"/>
      <c r="DF368" s="4"/>
      <c r="DG368" s="4"/>
      <c r="DH368" s="4"/>
      <c r="DI368" s="4"/>
      <c r="DJ368" s="4"/>
      <c r="DK368" s="4"/>
      <c r="DL368" s="4"/>
      <c r="DM368" s="4"/>
      <c r="DN368" s="4"/>
      <c r="DO368" s="4"/>
      <c r="DP368" s="4"/>
      <c r="DQ368" s="4"/>
      <c r="DR368" s="4"/>
      <c r="DS368" s="4"/>
    </row>
    <row r="369">
      <c r="A369" s="5">
        <f>IFERROR(__xludf.DUMMYFUNCTION("""COMPUTED_VALUE"""),45547.0)</f>
        <v>45547</v>
      </c>
      <c r="B369" s="6" t="str">
        <f>IFERROR(__xludf.DUMMYFUNCTION("""COMPUTED_VALUE"""),"Pets")</f>
        <v>Pets</v>
      </c>
      <c r="C369" s="7">
        <f>IFERROR(__xludf.DUMMYFUNCTION("""COMPUTED_VALUE"""),14950.0)</f>
        <v>14950</v>
      </c>
      <c r="D369" s="6" t="str">
        <f>IFERROR(__xludf.DUMMYFUNCTION("""COMPUTED_VALUE"""),"Pets")</f>
        <v>Pets</v>
      </c>
      <c r="E369" s="6" t="str">
        <f>IFERROR(__xludf.DUMMYFUNCTION("""COMPUTED_VALUE"""),"Credit Card")</f>
        <v>Credit Card</v>
      </c>
      <c r="F369" s="6" t="s">
        <v>7</v>
      </c>
      <c r="G369" s="8" t="str">
        <f t="shared" si="1"/>
        <v>202409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  <c r="CI369" s="4"/>
      <c r="CJ369" s="4"/>
      <c r="CK369" s="4"/>
      <c r="CL369" s="4"/>
      <c r="CM369" s="4"/>
      <c r="CN369" s="4"/>
      <c r="CO369" s="4"/>
      <c r="CP369" s="4"/>
      <c r="CQ369" s="4"/>
      <c r="CR369" s="4"/>
      <c r="CS369" s="4"/>
      <c r="CT369" s="4"/>
      <c r="CU369" s="4"/>
      <c r="CV369" s="4"/>
      <c r="CW369" s="4"/>
      <c r="CX369" s="4"/>
      <c r="CY369" s="4"/>
      <c r="CZ369" s="4"/>
      <c r="DA369" s="4"/>
      <c r="DB369" s="4"/>
      <c r="DC369" s="4"/>
      <c r="DD369" s="4"/>
      <c r="DE369" s="4"/>
      <c r="DF369" s="4"/>
      <c r="DG369" s="4"/>
      <c r="DH369" s="4"/>
      <c r="DI369" s="4"/>
      <c r="DJ369" s="4"/>
      <c r="DK369" s="4"/>
      <c r="DL369" s="4"/>
      <c r="DM369" s="4"/>
      <c r="DN369" s="4"/>
      <c r="DO369" s="4"/>
      <c r="DP369" s="4"/>
      <c r="DQ369" s="4"/>
      <c r="DR369" s="4"/>
      <c r="DS369" s="4"/>
    </row>
    <row r="370">
      <c r="A370" s="5">
        <f>IFERROR(__xludf.DUMMYFUNCTION("""COMPUTED_VALUE"""),45548.0)</f>
        <v>45548</v>
      </c>
      <c r="B370" s="6" t="str">
        <f>IFERROR(__xludf.DUMMYFUNCTION("""COMPUTED_VALUE"""),"Groceries")</f>
        <v>Groceries</v>
      </c>
      <c r="C370" s="7">
        <f>IFERROR(__xludf.DUMMYFUNCTION("""COMPUTED_VALUE"""),4385.0)</f>
        <v>4385</v>
      </c>
      <c r="D370" s="6" t="str">
        <f>IFERROR(__xludf.DUMMYFUNCTION("""COMPUTED_VALUE"""),"Groceries")</f>
        <v>Groceries</v>
      </c>
      <c r="E370" s="6" t="str">
        <f>IFERROR(__xludf.DUMMYFUNCTION("""COMPUTED_VALUE"""),"Split Payment")</f>
        <v>Split Payment</v>
      </c>
      <c r="F370" s="6" t="s">
        <v>7</v>
      </c>
      <c r="G370" s="8" t="str">
        <f t="shared" si="1"/>
        <v>202409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  <c r="CI370" s="4"/>
      <c r="CJ370" s="4"/>
      <c r="CK370" s="4"/>
      <c r="CL370" s="4"/>
      <c r="CM370" s="4"/>
      <c r="CN370" s="4"/>
      <c r="CO370" s="4"/>
      <c r="CP370" s="4"/>
      <c r="CQ370" s="4"/>
      <c r="CR370" s="4"/>
      <c r="CS370" s="4"/>
      <c r="CT370" s="4"/>
      <c r="CU370" s="4"/>
      <c r="CV370" s="4"/>
      <c r="CW370" s="4"/>
      <c r="CX370" s="4"/>
      <c r="CY370" s="4"/>
      <c r="CZ370" s="4"/>
      <c r="DA370" s="4"/>
      <c r="DB370" s="4"/>
      <c r="DC370" s="4"/>
      <c r="DD370" s="4"/>
      <c r="DE370" s="4"/>
      <c r="DF370" s="4"/>
      <c r="DG370" s="4"/>
      <c r="DH370" s="4"/>
      <c r="DI370" s="4"/>
      <c r="DJ370" s="4"/>
      <c r="DK370" s="4"/>
      <c r="DL370" s="4"/>
      <c r="DM370" s="4"/>
      <c r="DN370" s="4"/>
      <c r="DO370" s="4"/>
      <c r="DP370" s="4"/>
      <c r="DQ370" s="4"/>
      <c r="DR370" s="4"/>
      <c r="DS370" s="4"/>
    </row>
    <row r="371">
      <c r="A371" s="5">
        <f>IFERROR(__xludf.DUMMYFUNCTION("""COMPUTED_VALUE"""),45548.0)</f>
        <v>45548</v>
      </c>
      <c r="B371" s="6" t="str">
        <f>IFERROR(__xludf.DUMMYFUNCTION("""COMPUTED_VALUE"""),"Groceries")</f>
        <v>Groceries</v>
      </c>
      <c r="C371" s="7">
        <f>IFERROR(__xludf.DUMMYFUNCTION("""COMPUTED_VALUE"""),1550.0)</f>
        <v>1550</v>
      </c>
      <c r="D371" s="6" t="str">
        <f>IFERROR(__xludf.DUMMYFUNCTION("""COMPUTED_VALUE"""),"Groceries")</f>
        <v>Groceries</v>
      </c>
      <c r="E371" s="6" t="str">
        <f>IFERROR(__xludf.DUMMYFUNCTION("""COMPUTED_VALUE"""),"Split Payment")</f>
        <v>Split Payment</v>
      </c>
      <c r="F371" s="6" t="s">
        <v>7</v>
      </c>
      <c r="G371" s="8" t="str">
        <f t="shared" si="1"/>
        <v>202409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  <c r="CI371" s="4"/>
      <c r="CJ371" s="4"/>
      <c r="CK371" s="4"/>
      <c r="CL371" s="4"/>
      <c r="CM371" s="4"/>
      <c r="CN371" s="4"/>
      <c r="CO371" s="4"/>
      <c r="CP371" s="4"/>
      <c r="CQ371" s="4"/>
      <c r="CR371" s="4"/>
      <c r="CS371" s="4"/>
      <c r="CT371" s="4"/>
      <c r="CU371" s="4"/>
      <c r="CV371" s="4"/>
      <c r="CW371" s="4"/>
      <c r="CX371" s="4"/>
      <c r="CY371" s="4"/>
      <c r="CZ371" s="4"/>
      <c r="DA371" s="4"/>
      <c r="DB371" s="4"/>
      <c r="DC371" s="4"/>
      <c r="DD371" s="4"/>
      <c r="DE371" s="4"/>
      <c r="DF371" s="4"/>
      <c r="DG371" s="4"/>
      <c r="DH371" s="4"/>
      <c r="DI371" s="4"/>
      <c r="DJ371" s="4"/>
      <c r="DK371" s="4"/>
      <c r="DL371" s="4"/>
      <c r="DM371" s="4"/>
      <c r="DN371" s="4"/>
      <c r="DO371" s="4"/>
      <c r="DP371" s="4"/>
      <c r="DQ371" s="4"/>
      <c r="DR371" s="4"/>
      <c r="DS371" s="4"/>
    </row>
    <row r="372">
      <c r="A372" s="5">
        <f>IFERROR(__xludf.DUMMYFUNCTION("""COMPUTED_VALUE"""),45548.0)</f>
        <v>45548</v>
      </c>
      <c r="B372" s="6" t="str">
        <f>IFERROR(__xludf.DUMMYFUNCTION("""COMPUTED_VALUE"""),"Groceries")</f>
        <v>Groceries</v>
      </c>
      <c r="C372" s="7">
        <f>IFERROR(__xludf.DUMMYFUNCTION("""COMPUTED_VALUE"""),35.0)</f>
        <v>35</v>
      </c>
      <c r="D372" s="6" t="str">
        <f>IFERROR(__xludf.DUMMYFUNCTION("""COMPUTED_VALUE"""),"Groceries")</f>
        <v>Groceries</v>
      </c>
      <c r="E372" s="6" t="str">
        <f>IFERROR(__xludf.DUMMYFUNCTION("""COMPUTED_VALUE"""),"Virtual Wallet")</f>
        <v>Virtual Wallet</v>
      </c>
      <c r="F372" s="6" t="s">
        <v>7</v>
      </c>
      <c r="G372" s="8" t="str">
        <f t="shared" si="1"/>
        <v>202409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  <c r="CI372" s="4"/>
      <c r="CJ372" s="4"/>
      <c r="CK372" s="4"/>
      <c r="CL372" s="4"/>
      <c r="CM372" s="4"/>
      <c r="CN372" s="4"/>
      <c r="CO372" s="4"/>
      <c r="CP372" s="4"/>
      <c r="CQ372" s="4"/>
      <c r="CR372" s="4"/>
      <c r="CS372" s="4"/>
      <c r="CT372" s="4"/>
      <c r="CU372" s="4"/>
      <c r="CV372" s="4"/>
      <c r="CW372" s="4"/>
      <c r="CX372" s="4"/>
      <c r="CY372" s="4"/>
      <c r="CZ372" s="4"/>
      <c r="DA372" s="4"/>
      <c r="DB372" s="4"/>
      <c r="DC372" s="4"/>
      <c r="DD372" s="4"/>
      <c r="DE372" s="4"/>
      <c r="DF372" s="4"/>
      <c r="DG372" s="4"/>
      <c r="DH372" s="4"/>
      <c r="DI372" s="4"/>
      <c r="DJ372" s="4"/>
      <c r="DK372" s="4"/>
      <c r="DL372" s="4"/>
      <c r="DM372" s="4"/>
      <c r="DN372" s="4"/>
      <c r="DO372" s="4"/>
      <c r="DP372" s="4"/>
      <c r="DQ372" s="4"/>
      <c r="DR372" s="4"/>
      <c r="DS372" s="4"/>
    </row>
    <row r="373">
      <c r="A373" s="5">
        <f>IFERROR(__xludf.DUMMYFUNCTION("""COMPUTED_VALUE"""),45548.0)</f>
        <v>45548</v>
      </c>
      <c r="B373" s="6" t="str">
        <f>IFERROR(__xludf.DUMMYFUNCTION("""COMPUTED_VALUE"""),"Home Goods")</f>
        <v>Home Goods</v>
      </c>
      <c r="C373" s="7">
        <f>IFERROR(__xludf.DUMMYFUNCTION("""COMPUTED_VALUE"""),1500.0)</f>
        <v>1500</v>
      </c>
      <c r="D373" s="6" t="str">
        <f>IFERROR(__xludf.DUMMYFUNCTION("""COMPUTED_VALUE"""),"Home Goods &amp; Utilities")</f>
        <v>Home Goods &amp; Utilities</v>
      </c>
      <c r="E373" s="6" t="str">
        <f>IFERROR(__xludf.DUMMYFUNCTION("""COMPUTED_VALUE"""),"Virtual Wallet")</f>
        <v>Virtual Wallet</v>
      </c>
      <c r="F373" s="6" t="s">
        <v>8</v>
      </c>
      <c r="G373" s="8" t="str">
        <f t="shared" si="1"/>
        <v>202409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  <c r="CI373" s="4"/>
      <c r="CJ373" s="4"/>
      <c r="CK373" s="4"/>
      <c r="CL373" s="4"/>
      <c r="CM373" s="4"/>
      <c r="CN373" s="4"/>
      <c r="CO373" s="4"/>
      <c r="CP373" s="4"/>
      <c r="CQ373" s="4"/>
      <c r="CR373" s="4"/>
      <c r="CS373" s="4"/>
      <c r="CT373" s="4"/>
      <c r="CU373" s="4"/>
      <c r="CV373" s="4"/>
      <c r="CW373" s="4"/>
      <c r="CX373" s="4"/>
      <c r="CY373" s="4"/>
      <c r="CZ373" s="4"/>
      <c r="DA373" s="4"/>
      <c r="DB373" s="4"/>
      <c r="DC373" s="4"/>
      <c r="DD373" s="4"/>
      <c r="DE373" s="4"/>
      <c r="DF373" s="4"/>
      <c r="DG373" s="4"/>
      <c r="DH373" s="4"/>
      <c r="DI373" s="4"/>
      <c r="DJ373" s="4"/>
      <c r="DK373" s="4"/>
      <c r="DL373" s="4"/>
      <c r="DM373" s="4"/>
      <c r="DN373" s="4"/>
      <c r="DO373" s="4"/>
      <c r="DP373" s="4"/>
      <c r="DQ373" s="4"/>
      <c r="DR373" s="4"/>
      <c r="DS373" s="4"/>
    </row>
    <row r="374">
      <c r="A374" s="5">
        <f>IFERROR(__xludf.DUMMYFUNCTION("""COMPUTED_VALUE"""),45549.0)</f>
        <v>45549</v>
      </c>
      <c r="B374" s="6" t="str">
        <f>IFERROR(__xludf.DUMMYFUNCTION("""COMPUTED_VALUE"""),"Gasoline")</f>
        <v>Gasoline</v>
      </c>
      <c r="C374" s="7">
        <f>IFERROR(__xludf.DUMMYFUNCTION("""COMPUTED_VALUE"""),10200.0)</f>
        <v>10200</v>
      </c>
      <c r="D374" s="6" t="str">
        <f>IFERROR(__xludf.DUMMYFUNCTION("""COMPUTED_VALUE"""),"Car Expenses")</f>
        <v>Car Expenses</v>
      </c>
      <c r="E374" s="6" t="str">
        <f>IFERROR(__xludf.DUMMYFUNCTION("""COMPUTED_VALUE"""),"Split Payment")</f>
        <v>Split Payment</v>
      </c>
      <c r="F374" s="6" t="s">
        <v>9</v>
      </c>
      <c r="G374" s="8" t="str">
        <f t="shared" si="1"/>
        <v>202409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  <c r="CI374" s="4"/>
      <c r="CJ374" s="4"/>
      <c r="CK374" s="4"/>
      <c r="CL374" s="4"/>
      <c r="CM374" s="4"/>
      <c r="CN374" s="4"/>
      <c r="CO374" s="4"/>
      <c r="CP374" s="4"/>
      <c r="CQ374" s="4"/>
      <c r="CR374" s="4"/>
      <c r="CS374" s="4"/>
      <c r="CT374" s="4"/>
      <c r="CU374" s="4"/>
      <c r="CV374" s="4"/>
      <c r="CW374" s="4"/>
      <c r="CX374" s="4"/>
      <c r="CY374" s="4"/>
      <c r="CZ374" s="4"/>
      <c r="DA374" s="4"/>
      <c r="DB374" s="4"/>
      <c r="DC374" s="4"/>
      <c r="DD374" s="4"/>
      <c r="DE374" s="4"/>
      <c r="DF374" s="4"/>
      <c r="DG374" s="4"/>
      <c r="DH374" s="4"/>
      <c r="DI374" s="4"/>
      <c r="DJ374" s="4"/>
      <c r="DK374" s="4"/>
      <c r="DL374" s="4"/>
      <c r="DM374" s="4"/>
      <c r="DN374" s="4"/>
      <c r="DO374" s="4"/>
      <c r="DP374" s="4"/>
      <c r="DQ374" s="4"/>
      <c r="DR374" s="4"/>
      <c r="DS374" s="4"/>
    </row>
    <row r="375">
      <c r="A375" s="5">
        <f>IFERROR(__xludf.DUMMYFUNCTION("""COMPUTED_VALUE"""),45549.0)</f>
        <v>45549</v>
      </c>
      <c r="B375" s="6" t="str">
        <f>IFERROR(__xludf.DUMMYFUNCTION("""COMPUTED_VALUE"""),"Groceries")</f>
        <v>Groceries</v>
      </c>
      <c r="C375" s="7">
        <f>IFERROR(__xludf.DUMMYFUNCTION("""COMPUTED_VALUE"""),1050.0)</f>
        <v>1050</v>
      </c>
      <c r="D375" s="6" t="str">
        <f>IFERROR(__xludf.DUMMYFUNCTION("""COMPUTED_VALUE"""),"Groceries")</f>
        <v>Groceries</v>
      </c>
      <c r="E375" s="6" t="str">
        <f>IFERROR(__xludf.DUMMYFUNCTION("""COMPUTED_VALUE"""),"Split Payment")</f>
        <v>Split Payment</v>
      </c>
      <c r="F375" s="6" t="s">
        <v>7</v>
      </c>
      <c r="G375" s="8" t="str">
        <f t="shared" si="1"/>
        <v>202409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  <c r="CI375" s="4"/>
      <c r="CJ375" s="4"/>
      <c r="CK375" s="4"/>
      <c r="CL375" s="4"/>
      <c r="CM375" s="4"/>
      <c r="CN375" s="4"/>
      <c r="CO375" s="4"/>
      <c r="CP375" s="4"/>
      <c r="CQ375" s="4"/>
      <c r="CR375" s="4"/>
      <c r="CS375" s="4"/>
      <c r="CT375" s="4"/>
      <c r="CU375" s="4"/>
      <c r="CV375" s="4"/>
      <c r="CW375" s="4"/>
      <c r="CX375" s="4"/>
      <c r="CY375" s="4"/>
      <c r="CZ375" s="4"/>
      <c r="DA375" s="4"/>
      <c r="DB375" s="4"/>
      <c r="DC375" s="4"/>
      <c r="DD375" s="4"/>
      <c r="DE375" s="4"/>
      <c r="DF375" s="4"/>
      <c r="DG375" s="4"/>
      <c r="DH375" s="4"/>
      <c r="DI375" s="4"/>
      <c r="DJ375" s="4"/>
      <c r="DK375" s="4"/>
      <c r="DL375" s="4"/>
      <c r="DM375" s="4"/>
      <c r="DN375" s="4"/>
      <c r="DO375" s="4"/>
      <c r="DP375" s="4"/>
      <c r="DQ375" s="4"/>
      <c r="DR375" s="4"/>
      <c r="DS375" s="4"/>
    </row>
    <row r="376">
      <c r="A376" s="5">
        <f>IFERROR(__xludf.DUMMYFUNCTION("""COMPUTED_VALUE"""),45550.0)</f>
        <v>45550</v>
      </c>
      <c r="B376" s="6" t="str">
        <f>IFERROR(__xludf.DUMMYFUNCTION("""COMPUTED_VALUE"""),"Home Maintenance")</f>
        <v>Home Maintenance</v>
      </c>
      <c r="C376" s="7">
        <f>IFERROR(__xludf.DUMMYFUNCTION("""COMPUTED_VALUE"""),5000.0)</f>
        <v>5000</v>
      </c>
      <c r="D376" s="6" t="str">
        <f>IFERROR(__xludf.DUMMYFUNCTION("""COMPUTED_VALUE"""),"Car Expenses")</f>
        <v>Car Expenses</v>
      </c>
      <c r="E376" s="6" t="str">
        <f>IFERROR(__xludf.DUMMYFUNCTION("""COMPUTED_VALUE"""),"Debit Card")</f>
        <v>Debit Card</v>
      </c>
      <c r="F376" s="6" t="s">
        <v>9</v>
      </c>
      <c r="G376" s="8" t="str">
        <f t="shared" si="1"/>
        <v>202409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  <c r="CI376" s="4"/>
      <c r="CJ376" s="4"/>
      <c r="CK376" s="4"/>
      <c r="CL376" s="4"/>
      <c r="CM376" s="4"/>
      <c r="CN376" s="4"/>
      <c r="CO376" s="4"/>
      <c r="CP376" s="4"/>
      <c r="CQ376" s="4"/>
      <c r="CR376" s="4"/>
      <c r="CS376" s="4"/>
      <c r="CT376" s="4"/>
      <c r="CU376" s="4"/>
      <c r="CV376" s="4"/>
      <c r="CW376" s="4"/>
      <c r="CX376" s="4"/>
      <c r="CY376" s="4"/>
      <c r="CZ376" s="4"/>
      <c r="DA376" s="4"/>
      <c r="DB376" s="4"/>
      <c r="DC376" s="4"/>
      <c r="DD376" s="4"/>
      <c r="DE376" s="4"/>
      <c r="DF376" s="4"/>
      <c r="DG376" s="4"/>
      <c r="DH376" s="4"/>
      <c r="DI376" s="4"/>
      <c r="DJ376" s="4"/>
      <c r="DK376" s="4"/>
      <c r="DL376" s="4"/>
      <c r="DM376" s="4"/>
      <c r="DN376" s="4"/>
      <c r="DO376" s="4"/>
      <c r="DP376" s="4"/>
      <c r="DQ376" s="4"/>
      <c r="DR376" s="4"/>
      <c r="DS376" s="4"/>
    </row>
    <row r="377">
      <c r="A377" s="5">
        <f>IFERROR(__xludf.DUMMYFUNCTION("""COMPUTED_VALUE"""),45550.0)</f>
        <v>45550</v>
      </c>
      <c r="B377" s="6" t="str">
        <f>IFERROR(__xludf.DUMMYFUNCTION("""COMPUTED_VALUE"""),"Restaurant")</f>
        <v>Restaurant</v>
      </c>
      <c r="C377" s="7">
        <f>IFERROR(__xludf.DUMMYFUNCTION("""COMPUTED_VALUE"""),2000.0)</f>
        <v>2000</v>
      </c>
      <c r="D377" s="6" t="str">
        <f>IFERROR(__xludf.DUMMYFUNCTION("""COMPUTED_VALUE"""),"Restaurant / Café")</f>
        <v>Restaurant / Café</v>
      </c>
      <c r="E377" s="6" t="str">
        <f>IFERROR(__xludf.DUMMYFUNCTION("""COMPUTED_VALUE"""),"Split Payment")</f>
        <v>Split Payment</v>
      </c>
      <c r="F377" s="6" t="s">
        <v>14</v>
      </c>
      <c r="G377" s="8" t="str">
        <f t="shared" si="1"/>
        <v>202409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  <c r="CI377" s="4"/>
      <c r="CJ377" s="4"/>
      <c r="CK377" s="4"/>
      <c r="CL377" s="4"/>
      <c r="CM377" s="4"/>
      <c r="CN377" s="4"/>
      <c r="CO377" s="4"/>
      <c r="CP377" s="4"/>
      <c r="CQ377" s="4"/>
      <c r="CR377" s="4"/>
      <c r="CS377" s="4"/>
      <c r="CT377" s="4"/>
      <c r="CU377" s="4"/>
      <c r="CV377" s="4"/>
      <c r="CW377" s="4"/>
      <c r="CX377" s="4"/>
      <c r="CY377" s="4"/>
      <c r="CZ377" s="4"/>
      <c r="DA377" s="4"/>
      <c r="DB377" s="4"/>
      <c r="DC377" s="4"/>
      <c r="DD377" s="4"/>
      <c r="DE377" s="4"/>
      <c r="DF377" s="4"/>
      <c r="DG377" s="4"/>
      <c r="DH377" s="4"/>
      <c r="DI377" s="4"/>
      <c r="DJ377" s="4"/>
      <c r="DK377" s="4"/>
      <c r="DL377" s="4"/>
      <c r="DM377" s="4"/>
      <c r="DN377" s="4"/>
      <c r="DO377" s="4"/>
      <c r="DP377" s="4"/>
      <c r="DQ377" s="4"/>
      <c r="DR377" s="4"/>
      <c r="DS377" s="4"/>
    </row>
    <row r="378">
      <c r="A378" s="5">
        <f>IFERROR(__xludf.DUMMYFUNCTION("""COMPUTED_VALUE"""),45551.0)</f>
        <v>45551</v>
      </c>
      <c r="B378" s="6" t="str">
        <f>IFERROR(__xludf.DUMMYFUNCTION("""COMPUTED_VALUE"""),"Groceries")</f>
        <v>Groceries</v>
      </c>
      <c r="C378" s="7">
        <f>IFERROR(__xludf.DUMMYFUNCTION("""COMPUTED_VALUE"""),1000.0)</f>
        <v>1000</v>
      </c>
      <c r="D378" s="6" t="str">
        <f>IFERROR(__xludf.DUMMYFUNCTION("""COMPUTED_VALUE"""),"Groceries")</f>
        <v>Groceries</v>
      </c>
      <c r="E378" s="6" t="str">
        <f>IFERROR(__xludf.DUMMYFUNCTION("""COMPUTED_VALUE"""),"Virtual Wallet")</f>
        <v>Virtual Wallet</v>
      </c>
      <c r="F378" s="6" t="s">
        <v>7</v>
      </c>
      <c r="G378" s="8" t="str">
        <f t="shared" si="1"/>
        <v>202409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  <c r="CI378" s="4"/>
      <c r="CJ378" s="4"/>
      <c r="CK378" s="4"/>
      <c r="CL378" s="4"/>
      <c r="CM378" s="4"/>
      <c r="CN378" s="4"/>
      <c r="CO378" s="4"/>
      <c r="CP378" s="4"/>
      <c r="CQ378" s="4"/>
      <c r="CR378" s="4"/>
      <c r="CS378" s="4"/>
      <c r="CT378" s="4"/>
      <c r="CU378" s="4"/>
      <c r="CV378" s="4"/>
      <c r="CW378" s="4"/>
      <c r="CX378" s="4"/>
      <c r="CY378" s="4"/>
      <c r="CZ378" s="4"/>
      <c r="DA378" s="4"/>
      <c r="DB378" s="4"/>
      <c r="DC378" s="4"/>
      <c r="DD378" s="4"/>
      <c r="DE378" s="4"/>
      <c r="DF378" s="4"/>
      <c r="DG378" s="4"/>
      <c r="DH378" s="4"/>
      <c r="DI378" s="4"/>
      <c r="DJ378" s="4"/>
      <c r="DK378" s="4"/>
      <c r="DL378" s="4"/>
      <c r="DM378" s="4"/>
      <c r="DN378" s="4"/>
      <c r="DO378" s="4"/>
      <c r="DP378" s="4"/>
      <c r="DQ378" s="4"/>
      <c r="DR378" s="4"/>
      <c r="DS378" s="4"/>
    </row>
    <row r="379">
      <c r="A379" s="5">
        <f>IFERROR(__xludf.DUMMYFUNCTION("""COMPUTED_VALUE"""),45551.0)</f>
        <v>45551</v>
      </c>
      <c r="B379" s="6" t="str">
        <f>IFERROR(__xludf.DUMMYFUNCTION("""COMPUTED_VALUE"""),"Home Goods")</f>
        <v>Home Goods</v>
      </c>
      <c r="C379" s="7">
        <f>IFERROR(__xludf.DUMMYFUNCTION("""COMPUTED_VALUE"""),5000.0)</f>
        <v>5000</v>
      </c>
      <c r="D379" s="6" t="str">
        <f>IFERROR(__xludf.DUMMYFUNCTION("""COMPUTED_VALUE"""),"Home Goods &amp; Utilities")</f>
        <v>Home Goods &amp; Utilities</v>
      </c>
      <c r="E379" s="6" t="str">
        <f>IFERROR(__xludf.DUMMYFUNCTION("""COMPUTED_VALUE"""),"Virtual Wallet")</f>
        <v>Virtual Wallet</v>
      </c>
      <c r="F379" s="6" t="s">
        <v>8</v>
      </c>
      <c r="G379" s="8" t="str">
        <f t="shared" si="1"/>
        <v>202409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  <c r="CI379" s="4"/>
      <c r="CJ379" s="4"/>
      <c r="CK379" s="4"/>
      <c r="CL379" s="4"/>
      <c r="CM379" s="4"/>
      <c r="CN379" s="4"/>
      <c r="CO379" s="4"/>
      <c r="CP379" s="4"/>
      <c r="CQ379" s="4"/>
      <c r="CR379" s="4"/>
      <c r="CS379" s="4"/>
      <c r="CT379" s="4"/>
      <c r="CU379" s="4"/>
      <c r="CV379" s="4"/>
      <c r="CW379" s="4"/>
      <c r="CX379" s="4"/>
      <c r="CY379" s="4"/>
      <c r="CZ379" s="4"/>
      <c r="DA379" s="4"/>
      <c r="DB379" s="4"/>
      <c r="DC379" s="4"/>
      <c r="DD379" s="4"/>
      <c r="DE379" s="4"/>
      <c r="DF379" s="4"/>
      <c r="DG379" s="4"/>
      <c r="DH379" s="4"/>
      <c r="DI379" s="4"/>
      <c r="DJ379" s="4"/>
      <c r="DK379" s="4"/>
      <c r="DL379" s="4"/>
      <c r="DM379" s="4"/>
      <c r="DN379" s="4"/>
      <c r="DO379" s="4"/>
      <c r="DP379" s="4"/>
      <c r="DQ379" s="4"/>
      <c r="DR379" s="4"/>
      <c r="DS379" s="4"/>
    </row>
    <row r="380">
      <c r="A380" s="5">
        <f>IFERROR(__xludf.DUMMYFUNCTION("""COMPUTED_VALUE"""),45551.0)</f>
        <v>45551</v>
      </c>
      <c r="B380" s="6" t="str">
        <f>IFERROR(__xludf.DUMMYFUNCTION("""COMPUTED_VALUE"""),"Lunch Out")</f>
        <v>Lunch Out</v>
      </c>
      <c r="C380" s="7">
        <f>IFERROR(__xludf.DUMMYFUNCTION("""COMPUTED_VALUE"""),30.0)</f>
        <v>30</v>
      </c>
      <c r="D380" s="6" t="str">
        <f>IFERROR(__xludf.DUMMYFUNCTION("""COMPUTED_VALUE"""),"Lunch Out")</f>
        <v>Lunch Out</v>
      </c>
      <c r="E380" s="6" t="str">
        <f>IFERROR(__xludf.DUMMYFUNCTION("""COMPUTED_VALUE"""),"Virtual Wallet")</f>
        <v>Virtual Wallet</v>
      </c>
      <c r="F380" s="6" t="s">
        <v>14</v>
      </c>
      <c r="G380" s="8" t="str">
        <f t="shared" si="1"/>
        <v>202409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  <c r="CI380" s="4"/>
      <c r="CJ380" s="4"/>
      <c r="CK380" s="4"/>
      <c r="CL380" s="4"/>
      <c r="CM380" s="4"/>
      <c r="CN380" s="4"/>
      <c r="CO380" s="4"/>
      <c r="CP380" s="4"/>
      <c r="CQ380" s="4"/>
      <c r="CR380" s="4"/>
      <c r="CS380" s="4"/>
      <c r="CT380" s="4"/>
      <c r="CU380" s="4"/>
      <c r="CV380" s="4"/>
      <c r="CW380" s="4"/>
      <c r="CX380" s="4"/>
      <c r="CY380" s="4"/>
      <c r="CZ380" s="4"/>
      <c r="DA380" s="4"/>
      <c r="DB380" s="4"/>
      <c r="DC380" s="4"/>
      <c r="DD380" s="4"/>
      <c r="DE380" s="4"/>
      <c r="DF380" s="4"/>
      <c r="DG380" s="4"/>
      <c r="DH380" s="4"/>
      <c r="DI380" s="4"/>
      <c r="DJ380" s="4"/>
      <c r="DK380" s="4"/>
      <c r="DL380" s="4"/>
      <c r="DM380" s="4"/>
      <c r="DN380" s="4"/>
      <c r="DO380" s="4"/>
      <c r="DP380" s="4"/>
      <c r="DQ380" s="4"/>
      <c r="DR380" s="4"/>
      <c r="DS380" s="4"/>
    </row>
    <row r="381">
      <c r="A381" s="5">
        <f>IFERROR(__xludf.DUMMYFUNCTION("""COMPUTED_VALUE"""),45552.0)</f>
        <v>45552</v>
      </c>
      <c r="B381" s="6" t="str">
        <f>IFERROR(__xludf.DUMMYFUNCTION("""COMPUTED_VALUE"""),"Restaurant")</f>
        <v>Restaurant</v>
      </c>
      <c r="C381" s="7">
        <f>IFERROR(__xludf.DUMMYFUNCTION("""COMPUTED_VALUE"""),42.0)</f>
        <v>42</v>
      </c>
      <c r="D381" s="6" t="str">
        <f>IFERROR(__xludf.DUMMYFUNCTION("""COMPUTED_VALUE"""),"Restaurant / Café")</f>
        <v>Restaurant / Café</v>
      </c>
      <c r="E381" s="6" t="str">
        <f>IFERROR(__xludf.DUMMYFUNCTION("""COMPUTED_VALUE"""),"Virtual Wallet")</f>
        <v>Virtual Wallet</v>
      </c>
      <c r="F381" s="6" t="s">
        <v>14</v>
      </c>
      <c r="G381" s="8" t="str">
        <f t="shared" si="1"/>
        <v>202409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  <c r="CI381" s="4"/>
      <c r="CJ381" s="4"/>
      <c r="CK381" s="4"/>
      <c r="CL381" s="4"/>
      <c r="CM381" s="4"/>
      <c r="CN381" s="4"/>
      <c r="CO381" s="4"/>
      <c r="CP381" s="4"/>
      <c r="CQ381" s="4"/>
      <c r="CR381" s="4"/>
      <c r="CS381" s="4"/>
      <c r="CT381" s="4"/>
      <c r="CU381" s="4"/>
      <c r="CV381" s="4"/>
      <c r="CW381" s="4"/>
      <c r="CX381" s="4"/>
      <c r="CY381" s="4"/>
      <c r="CZ381" s="4"/>
      <c r="DA381" s="4"/>
      <c r="DB381" s="4"/>
      <c r="DC381" s="4"/>
      <c r="DD381" s="4"/>
      <c r="DE381" s="4"/>
      <c r="DF381" s="4"/>
      <c r="DG381" s="4"/>
      <c r="DH381" s="4"/>
      <c r="DI381" s="4"/>
      <c r="DJ381" s="4"/>
      <c r="DK381" s="4"/>
      <c r="DL381" s="4"/>
      <c r="DM381" s="4"/>
      <c r="DN381" s="4"/>
      <c r="DO381" s="4"/>
      <c r="DP381" s="4"/>
      <c r="DQ381" s="4"/>
      <c r="DR381" s="4"/>
      <c r="DS381" s="4"/>
    </row>
    <row r="382">
      <c r="A382" s="5">
        <f>IFERROR(__xludf.DUMMYFUNCTION("""COMPUTED_VALUE"""),45552.0)</f>
        <v>45552</v>
      </c>
      <c r="B382" s="6" t="str">
        <f>IFERROR(__xludf.DUMMYFUNCTION("""COMPUTED_VALUE"""),"Restaurant")</f>
        <v>Restaurant</v>
      </c>
      <c r="C382" s="7">
        <f>IFERROR(__xludf.DUMMYFUNCTION("""COMPUTED_VALUE"""),4900.0)</f>
        <v>4900</v>
      </c>
      <c r="D382" s="6" t="str">
        <f>IFERROR(__xludf.DUMMYFUNCTION("""COMPUTED_VALUE"""),"Restaurant / Café")</f>
        <v>Restaurant / Café</v>
      </c>
      <c r="E382" s="6" t="str">
        <f>IFERROR(__xludf.DUMMYFUNCTION("""COMPUTED_VALUE"""),"Virtual Wallet")</f>
        <v>Virtual Wallet</v>
      </c>
      <c r="F382" s="6" t="s">
        <v>14</v>
      </c>
      <c r="G382" s="8" t="str">
        <f t="shared" si="1"/>
        <v>202409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  <c r="CI382" s="4"/>
      <c r="CJ382" s="4"/>
      <c r="CK382" s="4"/>
      <c r="CL382" s="4"/>
      <c r="CM382" s="4"/>
      <c r="CN382" s="4"/>
      <c r="CO382" s="4"/>
      <c r="CP382" s="4"/>
      <c r="CQ382" s="4"/>
      <c r="CR382" s="4"/>
      <c r="CS382" s="4"/>
      <c r="CT382" s="4"/>
      <c r="CU382" s="4"/>
      <c r="CV382" s="4"/>
      <c r="CW382" s="4"/>
      <c r="CX382" s="4"/>
      <c r="CY382" s="4"/>
      <c r="CZ382" s="4"/>
      <c r="DA382" s="4"/>
      <c r="DB382" s="4"/>
      <c r="DC382" s="4"/>
      <c r="DD382" s="4"/>
      <c r="DE382" s="4"/>
      <c r="DF382" s="4"/>
      <c r="DG382" s="4"/>
      <c r="DH382" s="4"/>
      <c r="DI382" s="4"/>
      <c r="DJ382" s="4"/>
      <c r="DK382" s="4"/>
      <c r="DL382" s="4"/>
      <c r="DM382" s="4"/>
      <c r="DN382" s="4"/>
      <c r="DO382" s="4"/>
      <c r="DP382" s="4"/>
      <c r="DQ382" s="4"/>
      <c r="DR382" s="4"/>
      <c r="DS382" s="4"/>
    </row>
    <row r="383">
      <c r="A383" s="5">
        <f>IFERROR(__xludf.DUMMYFUNCTION("""COMPUTED_VALUE"""),45553.0)</f>
        <v>45553</v>
      </c>
      <c r="B383" s="6" t="str">
        <f>IFERROR(__xludf.DUMMYFUNCTION("""COMPUTED_VALUE"""),"Home Maintenance")</f>
        <v>Home Maintenance</v>
      </c>
      <c r="C383" s="7">
        <f>IFERROR(__xludf.DUMMYFUNCTION("""COMPUTED_VALUE"""),2500.0)</f>
        <v>2500</v>
      </c>
      <c r="D383" s="6" t="str">
        <f>IFERROR(__xludf.DUMMYFUNCTION("""COMPUTED_VALUE"""),"Car Expenses")</f>
        <v>Car Expenses</v>
      </c>
      <c r="E383" s="6" t="str">
        <f>IFERROR(__xludf.DUMMYFUNCTION("""COMPUTED_VALUE"""),"Virtual Wallet")</f>
        <v>Virtual Wallet</v>
      </c>
      <c r="F383" s="6" t="s">
        <v>9</v>
      </c>
      <c r="G383" s="8" t="str">
        <f t="shared" si="1"/>
        <v>202409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  <c r="CI383" s="4"/>
      <c r="CJ383" s="4"/>
      <c r="CK383" s="4"/>
      <c r="CL383" s="4"/>
      <c r="CM383" s="4"/>
      <c r="CN383" s="4"/>
      <c r="CO383" s="4"/>
      <c r="CP383" s="4"/>
      <c r="CQ383" s="4"/>
      <c r="CR383" s="4"/>
      <c r="CS383" s="4"/>
      <c r="CT383" s="4"/>
      <c r="CU383" s="4"/>
      <c r="CV383" s="4"/>
      <c r="CW383" s="4"/>
      <c r="CX383" s="4"/>
      <c r="CY383" s="4"/>
      <c r="CZ383" s="4"/>
      <c r="DA383" s="4"/>
      <c r="DB383" s="4"/>
      <c r="DC383" s="4"/>
      <c r="DD383" s="4"/>
      <c r="DE383" s="4"/>
      <c r="DF383" s="4"/>
      <c r="DG383" s="4"/>
      <c r="DH383" s="4"/>
      <c r="DI383" s="4"/>
      <c r="DJ383" s="4"/>
      <c r="DK383" s="4"/>
      <c r="DL383" s="4"/>
      <c r="DM383" s="4"/>
      <c r="DN383" s="4"/>
      <c r="DO383" s="4"/>
      <c r="DP383" s="4"/>
      <c r="DQ383" s="4"/>
      <c r="DR383" s="4"/>
      <c r="DS383" s="4"/>
    </row>
    <row r="384">
      <c r="A384" s="5">
        <f>IFERROR(__xludf.DUMMYFUNCTION("""COMPUTED_VALUE"""),45553.0)</f>
        <v>45553</v>
      </c>
      <c r="B384" s="6" t="str">
        <f>IFERROR(__xludf.DUMMYFUNCTION("""COMPUTED_VALUE"""),"Lunch Out")</f>
        <v>Lunch Out</v>
      </c>
      <c r="C384" s="7">
        <f>IFERROR(__xludf.DUMMYFUNCTION("""COMPUTED_VALUE"""),25.0)</f>
        <v>25</v>
      </c>
      <c r="D384" s="6" t="str">
        <f>IFERROR(__xludf.DUMMYFUNCTION("""COMPUTED_VALUE"""),"Lunch Out")</f>
        <v>Lunch Out</v>
      </c>
      <c r="E384" s="6" t="str">
        <f>IFERROR(__xludf.DUMMYFUNCTION("""COMPUTED_VALUE"""),"Virtual Wallet")</f>
        <v>Virtual Wallet</v>
      </c>
      <c r="F384" s="6" t="s">
        <v>14</v>
      </c>
      <c r="G384" s="8" t="str">
        <f t="shared" si="1"/>
        <v>202409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  <c r="CI384" s="4"/>
      <c r="CJ384" s="4"/>
      <c r="CK384" s="4"/>
      <c r="CL384" s="4"/>
      <c r="CM384" s="4"/>
      <c r="CN384" s="4"/>
      <c r="CO384" s="4"/>
      <c r="CP384" s="4"/>
      <c r="CQ384" s="4"/>
      <c r="CR384" s="4"/>
      <c r="CS384" s="4"/>
      <c r="CT384" s="4"/>
      <c r="CU384" s="4"/>
      <c r="CV384" s="4"/>
      <c r="CW384" s="4"/>
      <c r="CX384" s="4"/>
      <c r="CY384" s="4"/>
      <c r="CZ384" s="4"/>
      <c r="DA384" s="4"/>
      <c r="DB384" s="4"/>
      <c r="DC384" s="4"/>
      <c r="DD384" s="4"/>
      <c r="DE384" s="4"/>
      <c r="DF384" s="4"/>
      <c r="DG384" s="4"/>
      <c r="DH384" s="4"/>
      <c r="DI384" s="4"/>
      <c r="DJ384" s="4"/>
      <c r="DK384" s="4"/>
      <c r="DL384" s="4"/>
      <c r="DM384" s="4"/>
      <c r="DN384" s="4"/>
      <c r="DO384" s="4"/>
      <c r="DP384" s="4"/>
      <c r="DQ384" s="4"/>
      <c r="DR384" s="4"/>
      <c r="DS384" s="4"/>
    </row>
    <row r="385">
      <c r="A385" s="5">
        <f>IFERROR(__xludf.DUMMYFUNCTION("""COMPUTED_VALUE"""),45553.0)</f>
        <v>45553</v>
      </c>
      <c r="B385" s="6" t="str">
        <f>IFERROR(__xludf.DUMMYFUNCTION("""COMPUTED_VALUE"""),"Restaurant")</f>
        <v>Restaurant</v>
      </c>
      <c r="C385" s="7">
        <f>IFERROR(__xludf.DUMMYFUNCTION("""COMPUTED_VALUE"""),50.0)</f>
        <v>50</v>
      </c>
      <c r="D385" s="6" t="str">
        <f>IFERROR(__xludf.DUMMYFUNCTION("""COMPUTED_VALUE"""),"Restaurant / Café")</f>
        <v>Restaurant / Café</v>
      </c>
      <c r="E385" s="6" t="str">
        <f>IFERROR(__xludf.DUMMYFUNCTION("""COMPUTED_VALUE"""),"Virtual Wallet")</f>
        <v>Virtual Wallet</v>
      </c>
      <c r="F385" s="6" t="s">
        <v>14</v>
      </c>
      <c r="G385" s="8" t="str">
        <f t="shared" si="1"/>
        <v>202409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  <c r="CI385" s="4"/>
      <c r="CJ385" s="4"/>
      <c r="CK385" s="4"/>
      <c r="CL385" s="4"/>
      <c r="CM385" s="4"/>
      <c r="CN385" s="4"/>
      <c r="CO385" s="4"/>
      <c r="CP385" s="4"/>
      <c r="CQ385" s="4"/>
      <c r="CR385" s="4"/>
      <c r="CS385" s="4"/>
      <c r="CT385" s="4"/>
      <c r="CU385" s="4"/>
      <c r="CV385" s="4"/>
      <c r="CW385" s="4"/>
      <c r="CX385" s="4"/>
      <c r="CY385" s="4"/>
      <c r="CZ385" s="4"/>
      <c r="DA385" s="4"/>
      <c r="DB385" s="4"/>
      <c r="DC385" s="4"/>
      <c r="DD385" s="4"/>
      <c r="DE385" s="4"/>
      <c r="DF385" s="4"/>
      <c r="DG385" s="4"/>
      <c r="DH385" s="4"/>
      <c r="DI385" s="4"/>
      <c r="DJ385" s="4"/>
      <c r="DK385" s="4"/>
      <c r="DL385" s="4"/>
      <c r="DM385" s="4"/>
      <c r="DN385" s="4"/>
      <c r="DO385" s="4"/>
      <c r="DP385" s="4"/>
      <c r="DQ385" s="4"/>
      <c r="DR385" s="4"/>
      <c r="DS385" s="4"/>
    </row>
    <row r="386">
      <c r="A386" s="5">
        <f>IFERROR(__xludf.DUMMYFUNCTION("""COMPUTED_VALUE"""),45554.0)</f>
        <v>45554</v>
      </c>
      <c r="B386" s="6" t="str">
        <f>IFERROR(__xludf.DUMMYFUNCTION("""COMPUTED_VALUE"""),"Doctor Visit")</f>
        <v>Doctor Visit</v>
      </c>
      <c r="C386" s="7">
        <f>IFERROR(__xludf.DUMMYFUNCTION("""COMPUTED_VALUE"""),4200.0)</f>
        <v>4200</v>
      </c>
      <c r="D386" s="6" t="str">
        <f>IFERROR(__xludf.DUMMYFUNCTION("""COMPUTED_VALUE"""),"Healthcare")</f>
        <v>Healthcare</v>
      </c>
      <c r="E386" s="6" t="str">
        <f>IFERROR(__xludf.DUMMYFUNCTION("""COMPUTED_VALUE"""),"Virtual Wallet")</f>
        <v>Virtual Wallet</v>
      </c>
      <c r="F386" s="6" t="s">
        <v>15</v>
      </c>
      <c r="G386" s="8" t="str">
        <f t="shared" si="1"/>
        <v>202409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  <c r="CI386" s="4"/>
      <c r="CJ386" s="4"/>
      <c r="CK386" s="4"/>
      <c r="CL386" s="4"/>
      <c r="CM386" s="4"/>
      <c r="CN386" s="4"/>
      <c r="CO386" s="4"/>
      <c r="CP386" s="4"/>
      <c r="CQ386" s="4"/>
      <c r="CR386" s="4"/>
      <c r="CS386" s="4"/>
      <c r="CT386" s="4"/>
      <c r="CU386" s="4"/>
      <c r="CV386" s="4"/>
      <c r="CW386" s="4"/>
      <c r="CX386" s="4"/>
      <c r="CY386" s="4"/>
      <c r="CZ386" s="4"/>
      <c r="DA386" s="4"/>
      <c r="DB386" s="4"/>
      <c r="DC386" s="4"/>
      <c r="DD386" s="4"/>
      <c r="DE386" s="4"/>
      <c r="DF386" s="4"/>
      <c r="DG386" s="4"/>
      <c r="DH386" s="4"/>
      <c r="DI386" s="4"/>
      <c r="DJ386" s="4"/>
      <c r="DK386" s="4"/>
      <c r="DL386" s="4"/>
      <c r="DM386" s="4"/>
      <c r="DN386" s="4"/>
      <c r="DO386" s="4"/>
      <c r="DP386" s="4"/>
      <c r="DQ386" s="4"/>
      <c r="DR386" s="4"/>
      <c r="DS386" s="4"/>
    </row>
    <row r="387">
      <c r="A387" s="5">
        <f>IFERROR(__xludf.DUMMYFUNCTION("""COMPUTED_VALUE"""),45554.0)</f>
        <v>45554</v>
      </c>
      <c r="B387" s="6" t="str">
        <f>IFERROR(__xludf.DUMMYFUNCTION("""COMPUTED_VALUE"""),"Groceries")</f>
        <v>Groceries</v>
      </c>
      <c r="C387" s="7">
        <f>IFERROR(__xludf.DUMMYFUNCTION("""COMPUTED_VALUE"""),8950.0)</f>
        <v>8950</v>
      </c>
      <c r="D387" s="6" t="str">
        <f>IFERROR(__xludf.DUMMYFUNCTION("""COMPUTED_VALUE"""),"Groceries")</f>
        <v>Groceries</v>
      </c>
      <c r="E387" s="6" t="str">
        <f>IFERROR(__xludf.DUMMYFUNCTION("""COMPUTED_VALUE"""),"Split Payment")</f>
        <v>Split Payment</v>
      </c>
      <c r="F387" s="6" t="s">
        <v>7</v>
      </c>
      <c r="G387" s="8" t="str">
        <f t="shared" si="1"/>
        <v>202409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  <c r="CI387" s="4"/>
      <c r="CJ387" s="4"/>
      <c r="CK387" s="4"/>
      <c r="CL387" s="4"/>
      <c r="CM387" s="4"/>
      <c r="CN387" s="4"/>
      <c r="CO387" s="4"/>
      <c r="CP387" s="4"/>
      <c r="CQ387" s="4"/>
      <c r="CR387" s="4"/>
      <c r="CS387" s="4"/>
      <c r="CT387" s="4"/>
      <c r="CU387" s="4"/>
      <c r="CV387" s="4"/>
      <c r="CW387" s="4"/>
      <c r="CX387" s="4"/>
      <c r="CY387" s="4"/>
      <c r="CZ387" s="4"/>
      <c r="DA387" s="4"/>
      <c r="DB387" s="4"/>
      <c r="DC387" s="4"/>
      <c r="DD387" s="4"/>
      <c r="DE387" s="4"/>
      <c r="DF387" s="4"/>
      <c r="DG387" s="4"/>
      <c r="DH387" s="4"/>
      <c r="DI387" s="4"/>
      <c r="DJ387" s="4"/>
      <c r="DK387" s="4"/>
      <c r="DL387" s="4"/>
      <c r="DM387" s="4"/>
      <c r="DN387" s="4"/>
      <c r="DO387" s="4"/>
      <c r="DP387" s="4"/>
      <c r="DQ387" s="4"/>
      <c r="DR387" s="4"/>
      <c r="DS387" s="4"/>
    </row>
    <row r="388">
      <c r="A388" s="5">
        <f>IFERROR(__xludf.DUMMYFUNCTION("""COMPUTED_VALUE"""),45554.0)</f>
        <v>45554</v>
      </c>
      <c r="B388" s="6" t="str">
        <f>IFERROR(__xludf.DUMMYFUNCTION("""COMPUTED_VALUE"""),"Groceries")</f>
        <v>Groceries</v>
      </c>
      <c r="C388" s="7">
        <f>IFERROR(__xludf.DUMMYFUNCTION("""COMPUTED_VALUE"""),1750.0)</f>
        <v>1750</v>
      </c>
      <c r="D388" s="6" t="str">
        <f>IFERROR(__xludf.DUMMYFUNCTION("""COMPUTED_VALUE"""),"Groceries")</f>
        <v>Groceries</v>
      </c>
      <c r="E388" s="6" t="str">
        <f>IFERROR(__xludf.DUMMYFUNCTION("""COMPUTED_VALUE"""),"Split Payment")</f>
        <v>Split Payment</v>
      </c>
      <c r="F388" s="6" t="s">
        <v>7</v>
      </c>
      <c r="G388" s="8" t="str">
        <f t="shared" si="1"/>
        <v>202409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  <c r="CI388" s="4"/>
      <c r="CJ388" s="4"/>
      <c r="CK388" s="4"/>
      <c r="CL388" s="4"/>
      <c r="CM388" s="4"/>
      <c r="CN388" s="4"/>
      <c r="CO388" s="4"/>
      <c r="CP388" s="4"/>
      <c r="CQ388" s="4"/>
      <c r="CR388" s="4"/>
      <c r="CS388" s="4"/>
      <c r="CT388" s="4"/>
      <c r="CU388" s="4"/>
      <c r="CV388" s="4"/>
      <c r="CW388" s="4"/>
      <c r="CX388" s="4"/>
      <c r="CY388" s="4"/>
      <c r="CZ388" s="4"/>
      <c r="DA388" s="4"/>
      <c r="DB388" s="4"/>
      <c r="DC388" s="4"/>
      <c r="DD388" s="4"/>
      <c r="DE388" s="4"/>
      <c r="DF388" s="4"/>
      <c r="DG388" s="4"/>
      <c r="DH388" s="4"/>
      <c r="DI388" s="4"/>
      <c r="DJ388" s="4"/>
      <c r="DK388" s="4"/>
      <c r="DL388" s="4"/>
      <c r="DM388" s="4"/>
      <c r="DN388" s="4"/>
      <c r="DO388" s="4"/>
      <c r="DP388" s="4"/>
      <c r="DQ388" s="4"/>
      <c r="DR388" s="4"/>
      <c r="DS388" s="4"/>
    </row>
    <row r="389">
      <c r="A389" s="5">
        <f>IFERROR(__xludf.DUMMYFUNCTION("""COMPUTED_VALUE"""),45554.0)</f>
        <v>45554</v>
      </c>
      <c r="B389" s="6" t="str">
        <f>IFERROR(__xludf.DUMMYFUNCTION("""COMPUTED_VALUE"""),"Groceries")</f>
        <v>Groceries</v>
      </c>
      <c r="C389" s="7">
        <f>IFERROR(__xludf.DUMMYFUNCTION("""COMPUTED_VALUE"""),7350.0)</f>
        <v>7350</v>
      </c>
      <c r="D389" s="6" t="str">
        <f>IFERROR(__xludf.DUMMYFUNCTION("""COMPUTED_VALUE"""),"Groceries")</f>
        <v>Groceries</v>
      </c>
      <c r="E389" s="6" t="str">
        <f>IFERROR(__xludf.DUMMYFUNCTION("""COMPUTED_VALUE"""),"Virtual Wallet")</f>
        <v>Virtual Wallet</v>
      </c>
      <c r="F389" s="6" t="s">
        <v>7</v>
      </c>
      <c r="G389" s="8" t="str">
        <f t="shared" si="1"/>
        <v>202409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  <c r="CI389" s="4"/>
      <c r="CJ389" s="4"/>
      <c r="CK389" s="4"/>
      <c r="CL389" s="4"/>
      <c r="CM389" s="4"/>
      <c r="CN389" s="4"/>
      <c r="CO389" s="4"/>
      <c r="CP389" s="4"/>
      <c r="CQ389" s="4"/>
      <c r="CR389" s="4"/>
      <c r="CS389" s="4"/>
      <c r="CT389" s="4"/>
      <c r="CU389" s="4"/>
      <c r="CV389" s="4"/>
      <c r="CW389" s="4"/>
      <c r="CX389" s="4"/>
      <c r="CY389" s="4"/>
      <c r="CZ389" s="4"/>
      <c r="DA389" s="4"/>
      <c r="DB389" s="4"/>
      <c r="DC389" s="4"/>
      <c r="DD389" s="4"/>
      <c r="DE389" s="4"/>
      <c r="DF389" s="4"/>
      <c r="DG389" s="4"/>
      <c r="DH389" s="4"/>
      <c r="DI389" s="4"/>
      <c r="DJ389" s="4"/>
      <c r="DK389" s="4"/>
      <c r="DL389" s="4"/>
      <c r="DM389" s="4"/>
      <c r="DN389" s="4"/>
      <c r="DO389" s="4"/>
      <c r="DP389" s="4"/>
      <c r="DQ389" s="4"/>
      <c r="DR389" s="4"/>
      <c r="DS389" s="4"/>
    </row>
    <row r="390">
      <c r="A390" s="5">
        <f>IFERROR(__xludf.DUMMYFUNCTION("""COMPUTED_VALUE"""),45554.0)</f>
        <v>45554</v>
      </c>
      <c r="B390" s="6" t="str">
        <f>IFERROR(__xludf.DUMMYFUNCTION("""COMPUTED_VALUE"""),"Restaurant")</f>
        <v>Restaurant</v>
      </c>
      <c r="C390" s="7">
        <f>IFERROR(__xludf.DUMMYFUNCTION("""COMPUTED_VALUE"""),38.0)</f>
        <v>38</v>
      </c>
      <c r="D390" s="6" t="str">
        <f>IFERROR(__xludf.DUMMYFUNCTION("""COMPUTED_VALUE"""),"Lunch Out")</f>
        <v>Lunch Out</v>
      </c>
      <c r="E390" s="6" t="str">
        <f>IFERROR(__xludf.DUMMYFUNCTION("""COMPUTED_VALUE"""),"Virtual Wallet")</f>
        <v>Virtual Wallet</v>
      </c>
      <c r="F390" s="6" t="s">
        <v>14</v>
      </c>
      <c r="G390" s="8" t="str">
        <f t="shared" si="1"/>
        <v>202409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  <c r="CI390" s="4"/>
      <c r="CJ390" s="4"/>
      <c r="CK390" s="4"/>
      <c r="CL390" s="4"/>
      <c r="CM390" s="4"/>
      <c r="CN390" s="4"/>
      <c r="CO390" s="4"/>
      <c r="CP390" s="4"/>
      <c r="CQ390" s="4"/>
      <c r="CR390" s="4"/>
      <c r="CS390" s="4"/>
      <c r="CT390" s="4"/>
      <c r="CU390" s="4"/>
      <c r="CV390" s="4"/>
      <c r="CW390" s="4"/>
      <c r="CX390" s="4"/>
      <c r="CY390" s="4"/>
      <c r="CZ390" s="4"/>
      <c r="DA390" s="4"/>
      <c r="DB390" s="4"/>
      <c r="DC390" s="4"/>
      <c r="DD390" s="4"/>
      <c r="DE390" s="4"/>
      <c r="DF390" s="4"/>
      <c r="DG390" s="4"/>
      <c r="DH390" s="4"/>
      <c r="DI390" s="4"/>
      <c r="DJ390" s="4"/>
      <c r="DK390" s="4"/>
      <c r="DL390" s="4"/>
      <c r="DM390" s="4"/>
      <c r="DN390" s="4"/>
      <c r="DO390" s="4"/>
      <c r="DP390" s="4"/>
      <c r="DQ390" s="4"/>
      <c r="DR390" s="4"/>
      <c r="DS390" s="4"/>
    </row>
    <row r="391">
      <c r="A391" s="5">
        <f>IFERROR(__xludf.DUMMYFUNCTION("""COMPUTED_VALUE"""),45555.0)</f>
        <v>45555</v>
      </c>
      <c r="B391" s="6" t="str">
        <f>IFERROR(__xludf.DUMMYFUNCTION("""COMPUTED_VALUE"""),"Home Goods")</f>
        <v>Home Goods</v>
      </c>
      <c r="C391" s="7">
        <f>IFERROR(__xludf.DUMMYFUNCTION("""COMPUTED_VALUE"""),1000.0)</f>
        <v>1000</v>
      </c>
      <c r="D391" s="6" t="str">
        <f>IFERROR(__xludf.DUMMYFUNCTION("""COMPUTED_VALUE"""),"Home Goods &amp; Utilities")</f>
        <v>Home Goods &amp; Utilities</v>
      </c>
      <c r="E391" s="6" t="str">
        <f>IFERROR(__xludf.DUMMYFUNCTION("""COMPUTED_VALUE"""),"Split Payment")</f>
        <v>Split Payment</v>
      </c>
      <c r="F391" s="6" t="s">
        <v>8</v>
      </c>
      <c r="G391" s="8" t="str">
        <f t="shared" si="1"/>
        <v>202409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  <c r="CI391" s="4"/>
      <c r="CJ391" s="4"/>
      <c r="CK391" s="4"/>
      <c r="CL391" s="4"/>
      <c r="CM391" s="4"/>
      <c r="CN391" s="4"/>
      <c r="CO391" s="4"/>
      <c r="CP391" s="4"/>
      <c r="CQ391" s="4"/>
      <c r="CR391" s="4"/>
      <c r="CS391" s="4"/>
      <c r="CT391" s="4"/>
      <c r="CU391" s="4"/>
      <c r="CV391" s="4"/>
      <c r="CW391" s="4"/>
      <c r="CX391" s="4"/>
      <c r="CY391" s="4"/>
      <c r="CZ391" s="4"/>
      <c r="DA391" s="4"/>
      <c r="DB391" s="4"/>
      <c r="DC391" s="4"/>
      <c r="DD391" s="4"/>
      <c r="DE391" s="4"/>
      <c r="DF391" s="4"/>
      <c r="DG391" s="4"/>
      <c r="DH391" s="4"/>
      <c r="DI391" s="4"/>
      <c r="DJ391" s="4"/>
      <c r="DK391" s="4"/>
      <c r="DL391" s="4"/>
      <c r="DM391" s="4"/>
      <c r="DN391" s="4"/>
      <c r="DO391" s="4"/>
      <c r="DP391" s="4"/>
      <c r="DQ391" s="4"/>
      <c r="DR391" s="4"/>
      <c r="DS391" s="4"/>
    </row>
    <row r="392">
      <c r="A392" s="5">
        <f>IFERROR(__xludf.DUMMYFUNCTION("""COMPUTED_VALUE"""),45555.0)</f>
        <v>45555</v>
      </c>
      <c r="B392" s="6" t="str">
        <f>IFERROR(__xludf.DUMMYFUNCTION("""COMPUTED_VALUE"""),"Sports")</f>
        <v>Sports</v>
      </c>
      <c r="C392" s="7">
        <f>IFERROR(__xludf.DUMMYFUNCTION("""COMPUTED_VALUE"""),61600.0)</f>
        <v>61600</v>
      </c>
      <c r="D392" s="6" t="str">
        <f>IFERROR(__xludf.DUMMYFUNCTION("""COMPUTED_VALUE"""),"Sports")</f>
        <v>Sports</v>
      </c>
      <c r="E392" s="6" t="str">
        <f>IFERROR(__xludf.DUMMYFUNCTION("""COMPUTED_VALUE"""),"Virtual Wallet")</f>
        <v>Virtual Wallet</v>
      </c>
      <c r="F392" s="6" t="s">
        <v>12</v>
      </c>
      <c r="G392" s="8" t="str">
        <f t="shared" si="1"/>
        <v>202409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  <c r="CI392" s="4"/>
      <c r="CJ392" s="4"/>
      <c r="CK392" s="4"/>
      <c r="CL392" s="4"/>
      <c r="CM392" s="4"/>
      <c r="CN392" s="4"/>
      <c r="CO392" s="4"/>
      <c r="CP392" s="4"/>
      <c r="CQ392" s="4"/>
      <c r="CR392" s="4"/>
      <c r="CS392" s="4"/>
      <c r="CT392" s="4"/>
      <c r="CU392" s="4"/>
      <c r="CV392" s="4"/>
      <c r="CW392" s="4"/>
      <c r="CX392" s="4"/>
      <c r="CY392" s="4"/>
      <c r="CZ392" s="4"/>
      <c r="DA392" s="4"/>
      <c r="DB392" s="4"/>
      <c r="DC392" s="4"/>
      <c r="DD392" s="4"/>
      <c r="DE392" s="4"/>
      <c r="DF392" s="4"/>
      <c r="DG392" s="4"/>
      <c r="DH392" s="4"/>
      <c r="DI392" s="4"/>
      <c r="DJ392" s="4"/>
      <c r="DK392" s="4"/>
      <c r="DL392" s="4"/>
      <c r="DM392" s="4"/>
      <c r="DN392" s="4"/>
      <c r="DO392" s="4"/>
      <c r="DP392" s="4"/>
      <c r="DQ392" s="4"/>
      <c r="DR392" s="4"/>
      <c r="DS392" s="4"/>
    </row>
    <row r="393">
      <c r="A393" s="5">
        <f>IFERROR(__xludf.DUMMYFUNCTION("""COMPUTED_VALUE"""),45556.0)</f>
        <v>45556</v>
      </c>
      <c r="B393" s="6" t="str">
        <f>IFERROR(__xludf.DUMMYFUNCTION("""COMPUTED_VALUE"""),"Groceries")</f>
        <v>Groceries</v>
      </c>
      <c r="C393" s="7">
        <f>IFERROR(__xludf.DUMMYFUNCTION("""COMPUTED_VALUE"""),1550.0)</f>
        <v>1550</v>
      </c>
      <c r="D393" s="6" t="str">
        <f>IFERROR(__xludf.DUMMYFUNCTION("""COMPUTED_VALUE"""),"Groceries")</f>
        <v>Groceries</v>
      </c>
      <c r="E393" s="6" t="str">
        <f>IFERROR(__xludf.DUMMYFUNCTION("""COMPUTED_VALUE"""),"Virtual Wallet")</f>
        <v>Virtual Wallet</v>
      </c>
      <c r="F393" s="6" t="s">
        <v>7</v>
      </c>
      <c r="G393" s="8" t="str">
        <f t="shared" si="1"/>
        <v>202409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  <c r="CI393" s="4"/>
      <c r="CJ393" s="4"/>
      <c r="CK393" s="4"/>
      <c r="CL393" s="4"/>
      <c r="CM393" s="4"/>
      <c r="CN393" s="4"/>
      <c r="CO393" s="4"/>
      <c r="CP393" s="4"/>
      <c r="CQ393" s="4"/>
      <c r="CR393" s="4"/>
      <c r="CS393" s="4"/>
      <c r="CT393" s="4"/>
      <c r="CU393" s="4"/>
      <c r="CV393" s="4"/>
      <c r="CW393" s="4"/>
      <c r="CX393" s="4"/>
      <c r="CY393" s="4"/>
      <c r="CZ393" s="4"/>
      <c r="DA393" s="4"/>
      <c r="DB393" s="4"/>
      <c r="DC393" s="4"/>
      <c r="DD393" s="4"/>
      <c r="DE393" s="4"/>
      <c r="DF393" s="4"/>
      <c r="DG393" s="4"/>
      <c r="DH393" s="4"/>
      <c r="DI393" s="4"/>
      <c r="DJ393" s="4"/>
      <c r="DK393" s="4"/>
      <c r="DL393" s="4"/>
      <c r="DM393" s="4"/>
      <c r="DN393" s="4"/>
      <c r="DO393" s="4"/>
      <c r="DP393" s="4"/>
      <c r="DQ393" s="4"/>
      <c r="DR393" s="4"/>
      <c r="DS393" s="4"/>
    </row>
    <row r="394">
      <c r="A394" s="5">
        <f>IFERROR(__xludf.DUMMYFUNCTION("""COMPUTED_VALUE"""),45556.0)</f>
        <v>45556</v>
      </c>
      <c r="B394" s="6" t="str">
        <f>IFERROR(__xludf.DUMMYFUNCTION("""COMPUTED_VALUE"""),"Restaurant")</f>
        <v>Restaurant</v>
      </c>
      <c r="C394" s="7">
        <f>IFERROR(__xludf.DUMMYFUNCTION("""COMPUTED_VALUE"""),1802.0)</f>
        <v>1802</v>
      </c>
      <c r="D394" s="6" t="str">
        <f>IFERROR(__xludf.DUMMYFUNCTION("""COMPUTED_VALUE"""),"Groceries")</f>
        <v>Groceries</v>
      </c>
      <c r="E394" s="6" t="str">
        <f>IFERROR(__xludf.DUMMYFUNCTION("""COMPUTED_VALUE"""),"Split Payment")</f>
        <v>Split Payment</v>
      </c>
      <c r="F394" s="6" t="s">
        <v>7</v>
      </c>
      <c r="G394" s="8" t="str">
        <f t="shared" si="1"/>
        <v>202409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  <c r="CI394" s="4"/>
      <c r="CJ394" s="4"/>
      <c r="CK394" s="4"/>
      <c r="CL394" s="4"/>
      <c r="CM394" s="4"/>
      <c r="CN394" s="4"/>
      <c r="CO394" s="4"/>
      <c r="CP394" s="4"/>
      <c r="CQ394" s="4"/>
      <c r="CR394" s="4"/>
      <c r="CS394" s="4"/>
      <c r="CT394" s="4"/>
      <c r="CU394" s="4"/>
      <c r="CV394" s="4"/>
      <c r="CW394" s="4"/>
      <c r="CX394" s="4"/>
      <c r="CY394" s="4"/>
      <c r="CZ394" s="4"/>
      <c r="DA394" s="4"/>
      <c r="DB394" s="4"/>
      <c r="DC394" s="4"/>
      <c r="DD394" s="4"/>
      <c r="DE394" s="4"/>
      <c r="DF394" s="4"/>
      <c r="DG394" s="4"/>
      <c r="DH394" s="4"/>
      <c r="DI394" s="4"/>
      <c r="DJ394" s="4"/>
      <c r="DK394" s="4"/>
      <c r="DL394" s="4"/>
      <c r="DM394" s="4"/>
      <c r="DN394" s="4"/>
      <c r="DO394" s="4"/>
      <c r="DP394" s="4"/>
      <c r="DQ394" s="4"/>
      <c r="DR394" s="4"/>
      <c r="DS394" s="4"/>
    </row>
    <row r="395">
      <c r="A395" s="5">
        <f>IFERROR(__xludf.DUMMYFUNCTION("""COMPUTED_VALUE"""),45557.0)</f>
        <v>45557</v>
      </c>
      <c r="B395" s="6" t="str">
        <f>IFERROR(__xludf.DUMMYFUNCTION("""COMPUTED_VALUE"""),"Groceries")</f>
        <v>Groceries</v>
      </c>
      <c r="C395" s="7">
        <f>IFERROR(__xludf.DUMMYFUNCTION("""COMPUTED_VALUE"""),2160.0)</f>
        <v>2160</v>
      </c>
      <c r="D395" s="6" t="str">
        <f>IFERROR(__xludf.DUMMYFUNCTION("""COMPUTED_VALUE"""),"Groceries")</f>
        <v>Groceries</v>
      </c>
      <c r="E395" s="6" t="str">
        <f>IFERROR(__xludf.DUMMYFUNCTION("""COMPUTED_VALUE"""),"Virtual Wallet")</f>
        <v>Virtual Wallet</v>
      </c>
      <c r="F395" s="6" t="s">
        <v>7</v>
      </c>
      <c r="G395" s="8" t="str">
        <f t="shared" si="1"/>
        <v>202409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  <c r="CI395" s="4"/>
      <c r="CJ395" s="4"/>
      <c r="CK395" s="4"/>
      <c r="CL395" s="4"/>
      <c r="CM395" s="4"/>
      <c r="CN395" s="4"/>
      <c r="CO395" s="4"/>
      <c r="CP395" s="4"/>
      <c r="CQ395" s="4"/>
      <c r="CR395" s="4"/>
      <c r="CS395" s="4"/>
      <c r="CT395" s="4"/>
      <c r="CU395" s="4"/>
      <c r="CV395" s="4"/>
      <c r="CW395" s="4"/>
      <c r="CX395" s="4"/>
      <c r="CY395" s="4"/>
      <c r="CZ395" s="4"/>
      <c r="DA395" s="4"/>
      <c r="DB395" s="4"/>
      <c r="DC395" s="4"/>
      <c r="DD395" s="4"/>
      <c r="DE395" s="4"/>
      <c r="DF395" s="4"/>
      <c r="DG395" s="4"/>
      <c r="DH395" s="4"/>
      <c r="DI395" s="4"/>
      <c r="DJ395" s="4"/>
      <c r="DK395" s="4"/>
      <c r="DL395" s="4"/>
      <c r="DM395" s="4"/>
      <c r="DN395" s="4"/>
      <c r="DO395" s="4"/>
      <c r="DP395" s="4"/>
      <c r="DQ395" s="4"/>
      <c r="DR395" s="4"/>
      <c r="DS395" s="4"/>
    </row>
    <row r="396">
      <c r="A396" s="5">
        <f>IFERROR(__xludf.DUMMYFUNCTION("""COMPUTED_VALUE"""),45557.0)</f>
        <v>45557</v>
      </c>
      <c r="B396" s="6" t="str">
        <f>IFERROR(__xludf.DUMMYFUNCTION("""COMPUTED_VALUE"""),"Restaurant")</f>
        <v>Restaurant</v>
      </c>
      <c r="C396" s="7">
        <f>IFERROR(__xludf.DUMMYFUNCTION("""COMPUTED_VALUE"""),6500.0)</f>
        <v>6500</v>
      </c>
      <c r="D396" s="6" t="str">
        <f>IFERROR(__xludf.DUMMYFUNCTION("""COMPUTED_VALUE"""),"Restaurant / Café")</f>
        <v>Restaurant / Café</v>
      </c>
      <c r="E396" s="6" t="str">
        <f>IFERROR(__xludf.DUMMYFUNCTION("""COMPUTED_VALUE"""),"Split Payment")</f>
        <v>Split Payment</v>
      </c>
      <c r="F396" s="6" t="s">
        <v>14</v>
      </c>
      <c r="G396" s="8" t="str">
        <f t="shared" si="1"/>
        <v>202409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  <c r="CI396" s="4"/>
      <c r="CJ396" s="4"/>
      <c r="CK396" s="4"/>
      <c r="CL396" s="4"/>
      <c r="CM396" s="4"/>
      <c r="CN396" s="4"/>
      <c r="CO396" s="4"/>
      <c r="CP396" s="4"/>
      <c r="CQ396" s="4"/>
      <c r="CR396" s="4"/>
      <c r="CS396" s="4"/>
      <c r="CT396" s="4"/>
      <c r="CU396" s="4"/>
      <c r="CV396" s="4"/>
      <c r="CW396" s="4"/>
      <c r="CX396" s="4"/>
      <c r="CY396" s="4"/>
      <c r="CZ396" s="4"/>
      <c r="DA396" s="4"/>
      <c r="DB396" s="4"/>
      <c r="DC396" s="4"/>
      <c r="DD396" s="4"/>
      <c r="DE396" s="4"/>
      <c r="DF396" s="4"/>
      <c r="DG396" s="4"/>
      <c r="DH396" s="4"/>
      <c r="DI396" s="4"/>
      <c r="DJ396" s="4"/>
      <c r="DK396" s="4"/>
      <c r="DL396" s="4"/>
      <c r="DM396" s="4"/>
      <c r="DN396" s="4"/>
      <c r="DO396" s="4"/>
      <c r="DP396" s="4"/>
      <c r="DQ396" s="4"/>
      <c r="DR396" s="4"/>
      <c r="DS396" s="4"/>
    </row>
    <row r="397">
      <c r="A397" s="5">
        <f>IFERROR(__xludf.DUMMYFUNCTION("""COMPUTED_VALUE"""),45557.0)</f>
        <v>45557</v>
      </c>
      <c r="B397" s="6" t="str">
        <f>IFERROR(__xludf.DUMMYFUNCTION("""COMPUTED_VALUE"""),"Cab/Uber")</f>
        <v>Cab/Uber</v>
      </c>
      <c r="C397" s="7">
        <f>IFERROR(__xludf.DUMMYFUNCTION("""COMPUTED_VALUE"""),900.0)</f>
        <v>900</v>
      </c>
      <c r="D397" s="6" t="str">
        <f>IFERROR(__xludf.DUMMYFUNCTION("""COMPUTED_VALUE"""),"Transportation")</f>
        <v>Transportation</v>
      </c>
      <c r="E397" s="6" t="str">
        <f>IFERROR(__xludf.DUMMYFUNCTION("""COMPUTED_VALUE"""),"Virtual Wallet")</f>
        <v>Virtual Wallet</v>
      </c>
      <c r="F397" s="6" t="s">
        <v>9</v>
      </c>
      <c r="G397" s="8" t="str">
        <f t="shared" si="1"/>
        <v>202409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  <c r="CI397" s="4"/>
      <c r="CJ397" s="4"/>
      <c r="CK397" s="4"/>
      <c r="CL397" s="4"/>
      <c r="CM397" s="4"/>
      <c r="CN397" s="4"/>
      <c r="CO397" s="4"/>
      <c r="CP397" s="4"/>
      <c r="CQ397" s="4"/>
      <c r="CR397" s="4"/>
      <c r="CS397" s="4"/>
      <c r="CT397" s="4"/>
      <c r="CU397" s="4"/>
      <c r="CV397" s="4"/>
      <c r="CW397" s="4"/>
      <c r="CX397" s="4"/>
      <c r="CY397" s="4"/>
      <c r="CZ397" s="4"/>
      <c r="DA397" s="4"/>
      <c r="DB397" s="4"/>
      <c r="DC397" s="4"/>
      <c r="DD397" s="4"/>
      <c r="DE397" s="4"/>
      <c r="DF397" s="4"/>
      <c r="DG397" s="4"/>
      <c r="DH397" s="4"/>
      <c r="DI397" s="4"/>
      <c r="DJ397" s="4"/>
      <c r="DK397" s="4"/>
      <c r="DL397" s="4"/>
      <c r="DM397" s="4"/>
      <c r="DN397" s="4"/>
      <c r="DO397" s="4"/>
      <c r="DP397" s="4"/>
      <c r="DQ397" s="4"/>
      <c r="DR397" s="4"/>
      <c r="DS397" s="4"/>
    </row>
    <row r="398">
      <c r="A398" s="5">
        <f>IFERROR(__xludf.DUMMYFUNCTION("""COMPUTED_VALUE"""),45558.0)</f>
        <v>45558</v>
      </c>
      <c r="B398" s="6" t="str">
        <f>IFERROR(__xludf.DUMMYFUNCTION("""COMPUTED_VALUE"""),"Mobile Plan")</f>
        <v>Mobile Plan</v>
      </c>
      <c r="C398" s="7">
        <f>IFERROR(__xludf.DUMMYFUNCTION("""COMPUTED_VALUE"""),8200.0)</f>
        <v>8200</v>
      </c>
      <c r="D398" s="6" t="str">
        <f>IFERROR(__xludf.DUMMYFUNCTION("""COMPUTED_VALUE"""),"Basic Services")</f>
        <v>Basic Services</v>
      </c>
      <c r="E398" s="6" t="str">
        <f>IFERROR(__xludf.DUMMYFUNCTION("""COMPUTED_VALUE"""),"Virtual Wallet")</f>
        <v>Virtual Wallet</v>
      </c>
      <c r="F398" s="6" t="s">
        <v>13</v>
      </c>
      <c r="G398" s="8" t="str">
        <f t="shared" si="1"/>
        <v>202409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  <c r="CI398" s="4"/>
      <c r="CJ398" s="4"/>
      <c r="CK398" s="4"/>
      <c r="CL398" s="4"/>
      <c r="CM398" s="4"/>
      <c r="CN398" s="4"/>
      <c r="CO398" s="4"/>
      <c r="CP398" s="4"/>
      <c r="CQ398" s="4"/>
      <c r="CR398" s="4"/>
      <c r="CS398" s="4"/>
      <c r="CT398" s="4"/>
      <c r="CU398" s="4"/>
      <c r="CV398" s="4"/>
      <c r="CW398" s="4"/>
      <c r="CX398" s="4"/>
      <c r="CY398" s="4"/>
      <c r="CZ398" s="4"/>
      <c r="DA398" s="4"/>
      <c r="DB398" s="4"/>
      <c r="DC398" s="4"/>
      <c r="DD398" s="4"/>
      <c r="DE398" s="4"/>
      <c r="DF398" s="4"/>
      <c r="DG398" s="4"/>
      <c r="DH398" s="4"/>
      <c r="DI398" s="4"/>
      <c r="DJ398" s="4"/>
      <c r="DK398" s="4"/>
      <c r="DL398" s="4"/>
      <c r="DM398" s="4"/>
      <c r="DN398" s="4"/>
      <c r="DO398" s="4"/>
      <c r="DP398" s="4"/>
      <c r="DQ398" s="4"/>
      <c r="DR398" s="4"/>
      <c r="DS398" s="4"/>
    </row>
    <row r="399">
      <c r="A399" s="5">
        <f>IFERROR(__xludf.DUMMYFUNCTION("""COMPUTED_VALUE"""),45558.0)</f>
        <v>45558</v>
      </c>
      <c r="B399" s="6" t="str">
        <f>IFERROR(__xludf.DUMMYFUNCTION("""COMPUTED_VALUE"""),"Restaurant")</f>
        <v>Restaurant</v>
      </c>
      <c r="C399" s="7">
        <f>IFERROR(__xludf.DUMMYFUNCTION("""COMPUTED_VALUE"""),30.0)</f>
        <v>30</v>
      </c>
      <c r="D399" s="6" t="str">
        <f>IFERROR(__xludf.DUMMYFUNCTION("""COMPUTED_VALUE"""),"Lunch Out")</f>
        <v>Lunch Out</v>
      </c>
      <c r="E399" s="6" t="str">
        <f>IFERROR(__xludf.DUMMYFUNCTION("""COMPUTED_VALUE"""),"Virtual Wallet")</f>
        <v>Virtual Wallet</v>
      </c>
      <c r="F399" s="6" t="s">
        <v>14</v>
      </c>
      <c r="G399" s="8" t="str">
        <f t="shared" si="1"/>
        <v>202409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  <c r="CI399" s="4"/>
      <c r="CJ399" s="4"/>
      <c r="CK399" s="4"/>
      <c r="CL399" s="4"/>
      <c r="CM399" s="4"/>
      <c r="CN399" s="4"/>
      <c r="CO399" s="4"/>
      <c r="CP399" s="4"/>
      <c r="CQ399" s="4"/>
      <c r="CR399" s="4"/>
      <c r="CS399" s="4"/>
      <c r="CT399" s="4"/>
      <c r="CU399" s="4"/>
      <c r="CV399" s="4"/>
      <c r="CW399" s="4"/>
      <c r="CX399" s="4"/>
      <c r="CY399" s="4"/>
      <c r="CZ399" s="4"/>
      <c r="DA399" s="4"/>
      <c r="DB399" s="4"/>
      <c r="DC399" s="4"/>
      <c r="DD399" s="4"/>
      <c r="DE399" s="4"/>
      <c r="DF399" s="4"/>
      <c r="DG399" s="4"/>
      <c r="DH399" s="4"/>
      <c r="DI399" s="4"/>
      <c r="DJ399" s="4"/>
      <c r="DK399" s="4"/>
      <c r="DL399" s="4"/>
      <c r="DM399" s="4"/>
      <c r="DN399" s="4"/>
      <c r="DO399" s="4"/>
      <c r="DP399" s="4"/>
      <c r="DQ399" s="4"/>
      <c r="DR399" s="4"/>
      <c r="DS399" s="4"/>
    </row>
    <row r="400">
      <c r="A400" s="5">
        <f>IFERROR(__xludf.DUMMYFUNCTION("""COMPUTED_VALUE"""),45559.0)</f>
        <v>45559</v>
      </c>
      <c r="B400" s="6" t="str">
        <f>IFERROR(__xludf.DUMMYFUNCTION("""COMPUTED_VALUE"""),"Restaurant")</f>
        <v>Restaurant</v>
      </c>
      <c r="C400" s="7">
        <f>IFERROR(__xludf.DUMMYFUNCTION("""COMPUTED_VALUE"""),2400.0)</f>
        <v>2400</v>
      </c>
      <c r="D400" s="6" t="str">
        <f>IFERROR(__xludf.DUMMYFUNCTION("""COMPUTED_VALUE"""),"Restaurant / Café")</f>
        <v>Restaurant / Café</v>
      </c>
      <c r="E400" s="6" t="str">
        <f>IFERROR(__xludf.DUMMYFUNCTION("""COMPUTED_VALUE"""),"Virtual Wallet")</f>
        <v>Virtual Wallet</v>
      </c>
      <c r="F400" s="6" t="s">
        <v>14</v>
      </c>
      <c r="G400" s="8" t="str">
        <f t="shared" si="1"/>
        <v>202409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  <c r="CI400" s="4"/>
      <c r="CJ400" s="4"/>
      <c r="CK400" s="4"/>
      <c r="CL400" s="4"/>
      <c r="CM400" s="4"/>
      <c r="CN400" s="4"/>
      <c r="CO400" s="4"/>
      <c r="CP400" s="4"/>
      <c r="CQ400" s="4"/>
      <c r="CR400" s="4"/>
      <c r="CS400" s="4"/>
      <c r="CT400" s="4"/>
      <c r="CU400" s="4"/>
      <c r="CV400" s="4"/>
      <c r="CW400" s="4"/>
      <c r="CX400" s="4"/>
      <c r="CY400" s="4"/>
      <c r="CZ400" s="4"/>
      <c r="DA400" s="4"/>
      <c r="DB400" s="4"/>
      <c r="DC400" s="4"/>
      <c r="DD400" s="4"/>
      <c r="DE400" s="4"/>
      <c r="DF400" s="4"/>
      <c r="DG400" s="4"/>
      <c r="DH400" s="4"/>
      <c r="DI400" s="4"/>
      <c r="DJ400" s="4"/>
      <c r="DK400" s="4"/>
      <c r="DL400" s="4"/>
      <c r="DM400" s="4"/>
      <c r="DN400" s="4"/>
      <c r="DO400" s="4"/>
      <c r="DP400" s="4"/>
      <c r="DQ400" s="4"/>
      <c r="DR400" s="4"/>
      <c r="DS400" s="4"/>
    </row>
    <row r="401">
      <c r="A401" s="5">
        <f>IFERROR(__xludf.DUMMYFUNCTION("""COMPUTED_VALUE"""),45561.0)</f>
        <v>45561</v>
      </c>
      <c r="B401" s="6" t="str">
        <f>IFERROR(__xludf.DUMMYFUNCTION("""COMPUTED_VALUE"""),"Electricity Bill (Edesur)")</f>
        <v>Electricity Bill (Edesur)</v>
      </c>
      <c r="C401" s="7">
        <f>IFERROR(__xludf.DUMMYFUNCTION("""COMPUTED_VALUE"""),13029.0)</f>
        <v>13029</v>
      </c>
      <c r="D401" s="6" t="str">
        <f>IFERROR(__xludf.DUMMYFUNCTION("""COMPUTED_VALUE"""),"Basic Services")</f>
        <v>Basic Services</v>
      </c>
      <c r="E401" s="6" t="str">
        <f>IFERROR(__xludf.DUMMYFUNCTION("""COMPUTED_VALUE"""),"Split Payment")</f>
        <v>Split Payment</v>
      </c>
      <c r="F401" s="6" t="s">
        <v>13</v>
      </c>
      <c r="G401" s="8" t="str">
        <f t="shared" si="1"/>
        <v>202409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  <c r="CI401" s="4"/>
      <c r="CJ401" s="4"/>
      <c r="CK401" s="4"/>
      <c r="CL401" s="4"/>
      <c r="CM401" s="4"/>
      <c r="CN401" s="4"/>
      <c r="CO401" s="4"/>
      <c r="CP401" s="4"/>
      <c r="CQ401" s="4"/>
      <c r="CR401" s="4"/>
      <c r="CS401" s="4"/>
      <c r="CT401" s="4"/>
      <c r="CU401" s="4"/>
      <c r="CV401" s="4"/>
      <c r="CW401" s="4"/>
      <c r="CX401" s="4"/>
      <c r="CY401" s="4"/>
      <c r="CZ401" s="4"/>
      <c r="DA401" s="4"/>
      <c r="DB401" s="4"/>
      <c r="DC401" s="4"/>
      <c r="DD401" s="4"/>
      <c r="DE401" s="4"/>
      <c r="DF401" s="4"/>
      <c r="DG401" s="4"/>
      <c r="DH401" s="4"/>
      <c r="DI401" s="4"/>
      <c r="DJ401" s="4"/>
      <c r="DK401" s="4"/>
      <c r="DL401" s="4"/>
      <c r="DM401" s="4"/>
      <c r="DN401" s="4"/>
      <c r="DO401" s="4"/>
      <c r="DP401" s="4"/>
      <c r="DQ401" s="4"/>
      <c r="DR401" s="4"/>
      <c r="DS401" s="4"/>
    </row>
    <row r="402">
      <c r="A402" s="5">
        <f>IFERROR(__xludf.DUMMYFUNCTION("""COMPUTED_VALUE"""),45561.0)</f>
        <v>45561</v>
      </c>
      <c r="B402" s="6" t="str">
        <f>IFERROR(__xludf.DUMMYFUNCTION("""COMPUTED_VALUE"""),"Groceries")</f>
        <v>Groceries</v>
      </c>
      <c r="C402" s="7">
        <f>IFERROR(__xludf.DUMMYFUNCTION("""COMPUTED_VALUE"""),4900.0)</f>
        <v>4900</v>
      </c>
      <c r="D402" s="6" t="str">
        <f>IFERROR(__xludf.DUMMYFUNCTION("""COMPUTED_VALUE"""),"Groceries")</f>
        <v>Groceries</v>
      </c>
      <c r="E402" s="6" t="str">
        <f>IFERROR(__xludf.DUMMYFUNCTION("""COMPUTED_VALUE"""),"Virtual Wallet")</f>
        <v>Virtual Wallet</v>
      </c>
      <c r="F402" s="6" t="s">
        <v>7</v>
      </c>
      <c r="G402" s="8" t="str">
        <f t="shared" si="1"/>
        <v>202409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  <c r="CI402" s="4"/>
      <c r="CJ402" s="4"/>
      <c r="CK402" s="4"/>
      <c r="CL402" s="4"/>
      <c r="CM402" s="4"/>
      <c r="CN402" s="4"/>
      <c r="CO402" s="4"/>
      <c r="CP402" s="4"/>
      <c r="CQ402" s="4"/>
      <c r="CR402" s="4"/>
      <c r="CS402" s="4"/>
      <c r="CT402" s="4"/>
      <c r="CU402" s="4"/>
      <c r="CV402" s="4"/>
      <c r="CW402" s="4"/>
      <c r="CX402" s="4"/>
      <c r="CY402" s="4"/>
      <c r="CZ402" s="4"/>
      <c r="DA402" s="4"/>
      <c r="DB402" s="4"/>
      <c r="DC402" s="4"/>
      <c r="DD402" s="4"/>
      <c r="DE402" s="4"/>
      <c r="DF402" s="4"/>
      <c r="DG402" s="4"/>
      <c r="DH402" s="4"/>
      <c r="DI402" s="4"/>
      <c r="DJ402" s="4"/>
      <c r="DK402" s="4"/>
      <c r="DL402" s="4"/>
      <c r="DM402" s="4"/>
      <c r="DN402" s="4"/>
      <c r="DO402" s="4"/>
      <c r="DP402" s="4"/>
      <c r="DQ402" s="4"/>
      <c r="DR402" s="4"/>
      <c r="DS402" s="4"/>
    </row>
    <row r="403">
      <c r="A403" s="5">
        <f>IFERROR(__xludf.DUMMYFUNCTION("""COMPUTED_VALUE"""),45561.0)</f>
        <v>45561</v>
      </c>
      <c r="B403" s="6" t="str">
        <f>IFERROR(__xludf.DUMMYFUNCTION("""COMPUTED_VALUE"""),"Restaurant")</f>
        <v>Restaurant</v>
      </c>
      <c r="C403" s="7">
        <f>IFERROR(__xludf.DUMMYFUNCTION("""COMPUTED_VALUE"""),3242.0)</f>
        <v>3242</v>
      </c>
      <c r="D403" s="6" t="str">
        <f>IFERROR(__xludf.DUMMYFUNCTION("""COMPUTED_VALUE"""),"Lunch Out")</f>
        <v>Lunch Out</v>
      </c>
      <c r="E403" s="6" t="str">
        <f>IFERROR(__xludf.DUMMYFUNCTION("""COMPUTED_VALUE"""),"Virtual Wallet")</f>
        <v>Virtual Wallet</v>
      </c>
      <c r="F403" s="6" t="s">
        <v>14</v>
      </c>
      <c r="G403" s="8" t="str">
        <f t="shared" si="1"/>
        <v>202409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  <c r="CI403" s="4"/>
      <c r="CJ403" s="4"/>
      <c r="CK403" s="4"/>
      <c r="CL403" s="4"/>
      <c r="CM403" s="4"/>
      <c r="CN403" s="4"/>
      <c r="CO403" s="4"/>
      <c r="CP403" s="4"/>
      <c r="CQ403" s="4"/>
      <c r="CR403" s="4"/>
      <c r="CS403" s="4"/>
      <c r="CT403" s="4"/>
      <c r="CU403" s="4"/>
      <c r="CV403" s="4"/>
      <c r="CW403" s="4"/>
      <c r="CX403" s="4"/>
      <c r="CY403" s="4"/>
      <c r="CZ403" s="4"/>
      <c r="DA403" s="4"/>
      <c r="DB403" s="4"/>
      <c r="DC403" s="4"/>
      <c r="DD403" s="4"/>
      <c r="DE403" s="4"/>
      <c r="DF403" s="4"/>
      <c r="DG403" s="4"/>
      <c r="DH403" s="4"/>
      <c r="DI403" s="4"/>
      <c r="DJ403" s="4"/>
      <c r="DK403" s="4"/>
      <c r="DL403" s="4"/>
      <c r="DM403" s="4"/>
      <c r="DN403" s="4"/>
      <c r="DO403" s="4"/>
      <c r="DP403" s="4"/>
      <c r="DQ403" s="4"/>
      <c r="DR403" s="4"/>
      <c r="DS403" s="4"/>
    </row>
    <row r="404">
      <c r="A404" s="5">
        <f>IFERROR(__xludf.DUMMYFUNCTION("""COMPUTED_VALUE"""),45561.0)</f>
        <v>45561</v>
      </c>
      <c r="B404" s="6" t="str">
        <f>IFERROR(__xludf.DUMMYFUNCTION("""COMPUTED_VALUE"""),"Water Bill (AySA)")</f>
        <v>Water Bill (AySA)</v>
      </c>
      <c r="C404" s="7">
        <f>IFERROR(__xludf.DUMMYFUNCTION("""COMPUTED_VALUE"""),12038.0)</f>
        <v>12038</v>
      </c>
      <c r="D404" s="6" t="str">
        <f>IFERROR(__xludf.DUMMYFUNCTION("""COMPUTED_VALUE"""),"Basic Services")</f>
        <v>Basic Services</v>
      </c>
      <c r="E404" s="6" t="str">
        <f>IFERROR(__xludf.DUMMYFUNCTION("""COMPUTED_VALUE"""),"Split Payment")</f>
        <v>Split Payment</v>
      </c>
      <c r="F404" s="6" t="s">
        <v>13</v>
      </c>
      <c r="G404" s="8" t="str">
        <f t="shared" si="1"/>
        <v>202409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  <c r="CI404" s="4"/>
      <c r="CJ404" s="4"/>
      <c r="CK404" s="4"/>
      <c r="CL404" s="4"/>
      <c r="CM404" s="4"/>
      <c r="CN404" s="4"/>
      <c r="CO404" s="4"/>
      <c r="CP404" s="4"/>
      <c r="CQ404" s="4"/>
      <c r="CR404" s="4"/>
      <c r="CS404" s="4"/>
      <c r="CT404" s="4"/>
      <c r="CU404" s="4"/>
      <c r="CV404" s="4"/>
      <c r="CW404" s="4"/>
      <c r="CX404" s="4"/>
      <c r="CY404" s="4"/>
      <c r="CZ404" s="4"/>
      <c r="DA404" s="4"/>
      <c r="DB404" s="4"/>
      <c r="DC404" s="4"/>
      <c r="DD404" s="4"/>
      <c r="DE404" s="4"/>
      <c r="DF404" s="4"/>
      <c r="DG404" s="4"/>
      <c r="DH404" s="4"/>
      <c r="DI404" s="4"/>
      <c r="DJ404" s="4"/>
      <c r="DK404" s="4"/>
      <c r="DL404" s="4"/>
      <c r="DM404" s="4"/>
      <c r="DN404" s="4"/>
      <c r="DO404" s="4"/>
      <c r="DP404" s="4"/>
      <c r="DQ404" s="4"/>
      <c r="DR404" s="4"/>
      <c r="DS404" s="4"/>
    </row>
    <row r="405">
      <c r="A405" s="5">
        <f>IFERROR(__xludf.DUMMYFUNCTION("""COMPUTED_VALUE"""),45562.0)</f>
        <v>45562</v>
      </c>
      <c r="B405" s="6" t="str">
        <f>IFERROR(__xludf.DUMMYFUNCTION("""COMPUTED_VALUE"""),"Restaurant")</f>
        <v>Restaurant</v>
      </c>
      <c r="C405" s="7">
        <f>IFERROR(__xludf.DUMMYFUNCTION("""COMPUTED_VALUE"""),4000.0)</f>
        <v>4000</v>
      </c>
      <c r="D405" s="6" t="str">
        <f>IFERROR(__xludf.DUMMYFUNCTION("""COMPUTED_VALUE"""),"Restaurant / Café")</f>
        <v>Restaurant / Café</v>
      </c>
      <c r="E405" s="6" t="str">
        <f>IFERROR(__xludf.DUMMYFUNCTION("""COMPUTED_VALUE"""),"Virtual Wallet")</f>
        <v>Virtual Wallet</v>
      </c>
      <c r="F405" s="6" t="s">
        <v>14</v>
      </c>
      <c r="G405" s="8" t="str">
        <f t="shared" si="1"/>
        <v>202409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  <c r="CI405" s="4"/>
      <c r="CJ405" s="4"/>
      <c r="CK405" s="4"/>
      <c r="CL405" s="4"/>
      <c r="CM405" s="4"/>
      <c r="CN405" s="4"/>
      <c r="CO405" s="4"/>
      <c r="CP405" s="4"/>
      <c r="CQ405" s="4"/>
      <c r="CR405" s="4"/>
      <c r="CS405" s="4"/>
      <c r="CT405" s="4"/>
      <c r="CU405" s="4"/>
      <c r="CV405" s="4"/>
      <c r="CW405" s="4"/>
      <c r="CX405" s="4"/>
      <c r="CY405" s="4"/>
      <c r="CZ405" s="4"/>
      <c r="DA405" s="4"/>
      <c r="DB405" s="4"/>
      <c r="DC405" s="4"/>
      <c r="DD405" s="4"/>
      <c r="DE405" s="4"/>
      <c r="DF405" s="4"/>
      <c r="DG405" s="4"/>
      <c r="DH405" s="4"/>
      <c r="DI405" s="4"/>
      <c r="DJ405" s="4"/>
      <c r="DK405" s="4"/>
      <c r="DL405" s="4"/>
      <c r="DM405" s="4"/>
      <c r="DN405" s="4"/>
      <c r="DO405" s="4"/>
      <c r="DP405" s="4"/>
      <c r="DQ405" s="4"/>
      <c r="DR405" s="4"/>
      <c r="DS405" s="4"/>
    </row>
    <row r="406">
      <c r="A406" s="5">
        <f>IFERROR(__xludf.DUMMYFUNCTION("""COMPUTED_VALUE"""),45563.0)</f>
        <v>45563</v>
      </c>
      <c r="B406" s="6" t="str">
        <f>IFERROR(__xludf.DUMMYFUNCTION("""COMPUTED_VALUE"""),"Groceries")</f>
        <v>Groceries</v>
      </c>
      <c r="C406" s="7">
        <f>IFERROR(__xludf.DUMMYFUNCTION("""COMPUTED_VALUE"""),1550.0)</f>
        <v>1550</v>
      </c>
      <c r="D406" s="6" t="str">
        <f>IFERROR(__xludf.DUMMYFUNCTION("""COMPUTED_VALUE"""),"Groceries")</f>
        <v>Groceries</v>
      </c>
      <c r="E406" s="6" t="str">
        <f>IFERROR(__xludf.DUMMYFUNCTION("""COMPUTED_VALUE"""),"Split Payment")</f>
        <v>Split Payment</v>
      </c>
      <c r="F406" s="6" t="s">
        <v>7</v>
      </c>
      <c r="G406" s="8" t="str">
        <f t="shared" si="1"/>
        <v>202409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  <c r="CI406" s="4"/>
      <c r="CJ406" s="4"/>
      <c r="CK406" s="4"/>
      <c r="CL406" s="4"/>
      <c r="CM406" s="4"/>
      <c r="CN406" s="4"/>
      <c r="CO406" s="4"/>
      <c r="CP406" s="4"/>
      <c r="CQ406" s="4"/>
      <c r="CR406" s="4"/>
      <c r="CS406" s="4"/>
      <c r="CT406" s="4"/>
      <c r="CU406" s="4"/>
      <c r="CV406" s="4"/>
      <c r="CW406" s="4"/>
      <c r="CX406" s="4"/>
      <c r="CY406" s="4"/>
      <c r="CZ406" s="4"/>
      <c r="DA406" s="4"/>
      <c r="DB406" s="4"/>
      <c r="DC406" s="4"/>
      <c r="DD406" s="4"/>
      <c r="DE406" s="4"/>
      <c r="DF406" s="4"/>
      <c r="DG406" s="4"/>
      <c r="DH406" s="4"/>
      <c r="DI406" s="4"/>
      <c r="DJ406" s="4"/>
      <c r="DK406" s="4"/>
      <c r="DL406" s="4"/>
      <c r="DM406" s="4"/>
      <c r="DN406" s="4"/>
      <c r="DO406" s="4"/>
      <c r="DP406" s="4"/>
      <c r="DQ406" s="4"/>
      <c r="DR406" s="4"/>
      <c r="DS406" s="4"/>
    </row>
    <row r="407">
      <c r="A407" s="5">
        <f>IFERROR(__xludf.DUMMYFUNCTION("""COMPUTED_VALUE"""),45563.0)</f>
        <v>45563</v>
      </c>
      <c r="B407" s="6" t="str">
        <f>IFERROR(__xludf.DUMMYFUNCTION("""COMPUTED_VALUE"""),"Home Goods")</f>
        <v>Home Goods</v>
      </c>
      <c r="C407" s="7">
        <f>IFERROR(__xludf.DUMMYFUNCTION("""COMPUTED_VALUE"""),2250.0)</f>
        <v>2250</v>
      </c>
      <c r="D407" s="6" t="str">
        <f>IFERROR(__xludf.DUMMYFUNCTION("""COMPUTED_VALUE"""),"Home Goods &amp; Utilities")</f>
        <v>Home Goods &amp; Utilities</v>
      </c>
      <c r="E407" s="6" t="str">
        <f>IFERROR(__xludf.DUMMYFUNCTION("""COMPUTED_VALUE"""),"Split Payment")</f>
        <v>Split Payment</v>
      </c>
      <c r="F407" s="6" t="s">
        <v>8</v>
      </c>
      <c r="G407" s="8" t="str">
        <f t="shared" si="1"/>
        <v>202409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  <c r="CD407" s="4"/>
      <c r="CE407" s="4"/>
      <c r="CF407" s="4"/>
      <c r="CG407" s="4"/>
      <c r="CH407" s="4"/>
      <c r="CI407" s="4"/>
      <c r="CJ407" s="4"/>
      <c r="CK407" s="4"/>
      <c r="CL407" s="4"/>
      <c r="CM407" s="4"/>
      <c r="CN407" s="4"/>
      <c r="CO407" s="4"/>
      <c r="CP407" s="4"/>
      <c r="CQ407" s="4"/>
      <c r="CR407" s="4"/>
      <c r="CS407" s="4"/>
      <c r="CT407" s="4"/>
      <c r="CU407" s="4"/>
      <c r="CV407" s="4"/>
      <c r="CW407" s="4"/>
      <c r="CX407" s="4"/>
      <c r="CY407" s="4"/>
      <c r="CZ407" s="4"/>
      <c r="DA407" s="4"/>
      <c r="DB407" s="4"/>
      <c r="DC407" s="4"/>
      <c r="DD407" s="4"/>
      <c r="DE407" s="4"/>
      <c r="DF407" s="4"/>
      <c r="DG407" s="4"/>
      <c r="DH407" s="4"/>
      <c r="DI407" s="4"/>
      <c r="DJ407" s="4"/>
      <c r="DK407" s="4"/>
      <c r="DL407" s="4"/>
      <c r="DM407" s="4"/>
      <c r="DN407" s="4"/>
      <c r="DO407" s="4"/>
      <c r="DP407" s="4"/>
      <c r="DQ407" s="4"/>
      <c r="DR407" s="4"/>
      <c r="DS407" s="4"/>
    </row>
    <row r="408">
      <c r="A408" s="5">
        <f>IFERROR(__xludf.DUMMYFUNCTION("""COMPUTED_VALUE"""),45563.0)</f>
        <v>45563</v>
      </c>
      <c r="B408" s="6" t="str">
        <f>IFERROR(__xludf.DUMMYFUNCTION("""COMPUTED_VALUE"""),"Restaurant")</f>
        <v>Restaurant</v>
      </c>
      <c r="C408" s="7">
        <f>IFERROR(__xludf.DUMMYFUNCTION("""COMPUTED_VALUE"""),2096.0)</f>
        <v>2096</v>
      </c>
      <c r="D408" s="6" t="str">
        <f>IFERROR(__xludf.DUMMYFUNCTION("""COMPUTED_VALUE"""),"Restaurant / Café")</f>
        <v>Restaurant / Café</v>
      </c>
      <c r="E408" s="6" t="str">
        <f>IFERROR(__xludf.DUMMYFUNCTION("""COMPUTED_VALUE"""),"Debit Card")</f>
        <v>Debit Card</v>
      </c>
      <c r="F408" s="6" t="s">
        <v>14</v>
      </c>
      <c r="G408" s="8" t="str">
        <f t="shared" si="1"/>
        <v>202409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  <c r="CD408" s="4"/>
      <c r="CE408" s="4"/>
      <c r="CF408" s="4"/>
      <c r="CG408" s="4"/>
      <c r="CH408" s="4"/>
      <c r="CI408" s="4"/>
      <c r="CJ408" s="4"/>
      <c r="CK408" s="4"/>
      <c r="CL408" s="4"/>
      <c r="CM408" s="4"/>
      <c r="CN408" s="4"/>
      <c r="CO408" s="4"/>
      <c r="CP408" s="4"/>
      <c r="CQ408" s="4"/>
      <c r="CR408" s="4"/>
      <c r="CS408" s="4"/>
      <c r="CT408" s="4"/>
      <c r="CU408" s="4"/>
      <c r="CV408" s="4"/>
      <c r="CW408" s="4"/>
      <c r="CX408" s="4"/>
      <c r="CY408" s="4"/>
      <c r="CZ408" s="4"/>
      <c r="DA408" s="4"/>
      <c r="DB408" s="4"/>
      <c r="DC408" s="4"/>
      <c r="DD408" s="4"/>
      <c r="DE408" s="4"/>
      <c r="DF408" s="4"/>
      <c r="DG408" s="4"/>
      <c r="DH408" s="4"/>
      <c r="DI408" s="4"/>
      <c r="DJ408" s="4"/>
      <c r="DK408" s="4"/>
      <c r="DL408" s="4"/>
      <c r="DM408" s="4"/>
      <c r="DN408" s="4"/>
      <c r="DO408" s="4"/>
      <c r="DP408" s="4"/>
      <c r="DQ408" s="4"/>
      <c r="DR408" s="4"/>
      <c r="DS408" s="4"/>
    </row>
    <row r="409">
      <c r="A409" s="5">
        <f>IFERROR(__xludf.DUMMYFUNCTION("""COMPUTED_VALUE"""),45563.0)</f>
        <v>45563</v>
      </c>
      <c r="B409" s="6" t="str">
        <f>IFERROR(__xludf.DUMMYFUNCTION("""COMPUTED_VALUE"""),"Restaurant")</f>
        <v>Restaurant</v>
      </c>
      <c r="C409" s="7">
        <f>IFERROR(__xludf.DUMMYFUNCTION("""COMPUTED_VALUE"""),1900.0)</f>
        <v>1900</v>
      </c>
      <c r="D409" s="6" t="str">
        <f>IFERROR(__xludf.DUMMYFUNCTION("""COMPUTED_VALUE"""),"Lunch Out")</f>
        <v>Lunch Out</v>
      </c>
      <c r="E409" s="6" t="str">
        <f>IFERROR(__xludf.DUMMYFUNCTION("""COMPUTED_VALUE"""),"Debit Card")</f>
        <v>Debit Card</v>
      </c>
      <c r="F409" s="6" t="s">
        <v>14</v>
      </c>
      <c r="G409" s="8" t="str">
        <f t="shared" si="1"/>
        <v>202409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  <c r="CD409" s="4"/>
      <c r="CE409" s="4"/>
      <c r="CF409" s="4"/>
      <c r="CG409" s="4"/>
      <c r="CH409" s="4"/>
      <c r="CI409" s="4"/>
      <c r="CJ409" s="4"/>
      <c r="CK409" s="4"/>
      <c r="CL409" s="4"/>
      <c r="CM409" s="4"/>
      <c r="CN409" s="4"/>
      <c r="CO409" s="4"/>
      <c r="CP409" s="4"/>
      <c r="CQ409" s="4"/>
      <c r="CR409" s="4"/>
      <c r="CS409" s="4"/>
      <c r="CT409" s="4"/>
      <c r="CU409" s="4"/>
      <c r="CV409" s="4"/>
      <c r="CW409" s="4"/>
      <c r="CX409" s="4"/>
      <c r="CY409" s="4"/>
      <c r="CZ409" s="4"/>
      <c r="DA409" s="4"/>
      <c r="DB409" s="4"/>
      <c r="DC409" s="4"/>
      <c r="DD409" s="4"/>
      <c r="DE409" s="4"/>
      <c r="DF409" s="4"/>
      <c r="DG409" s="4"/>
      <c r="DH409" s="4"/>
      <c r="DI409" s="4"/>
      <c r="DJ409" s="4"/>
      <c r="DK409" s="4"/>
      <c r="DL409" s="4"/>
      <c r="DM409" s="4"/>
      <c r="DN409" s="4"/>
      <c r="DO409" s="4"/>
      <c r="DP409" s="4"/>
      <c r="DQ409" s="4"/>
      <c r="DR409" s="4"/>
      <c r="DS409" s="4"/>
    </row>
    <row r="410">
      <c r="A410" s="5">
        <f>IFERROR(__xludf.DUMMYFUNCTION("""COMPUTED_VALUE"""),45563.0)</f>
        <v>45563</v>
      </c>
      <c r="B410" s="6" t="str">
        <f>IFERROR(__xludf.DUMMYFUNCTION("""COMPUTED_VALUE"""),"Restaurant")</f>
        <v>Restaurant</v>
      </c>
      <c r="C410" s="7">
        <f>IFERROR(__xludf.DUMMYFUNCTION("""COMPUTED_VALUE"""),6500.0)</f>
        <v>6500</v>
      </c>
      <c r="D410" s="6" t="str">
        <f>IFERROR(__xludf.DUMMYFUNCTION("""COMPUTED_VALUE"""),"Restaurant / Café")</f>
        <v>Restaurant / Café</v>
      </c>
      <c r="E410" s="6" t="str">
        <f>IFERROR(__xludf.DUMMYFUNCTION("""COMPUTED_VALUE"""),"Debit Card")</f>
        <v>Debit Card</v>
      </c>
      <c r="F410" s="6" t="s">
        <v>14</v>
      </c>
      <c r="G410" s="8" t="str">
        <f t="shared" si="1"/>
        <v>202409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  <c r="CD410" s="4"/>
      <c r="CE410" s="4"/>
      <c r="CF410" s="4"/>
      <c r="CG410" s="4"/>
      <c r="CH410" s="4"/>
      <c r="CI410" s="4"/>
      <c r="CJ410" s="4"/>
      <c r="CK410" s="4"/>
      <c r="CL410" s="4"/>
      <c r="CM410" s="4"/>
      <c r="CN410" s="4"/>
      <c r="CO410" s="4"/>
      <c r="CP410" s="4"/>
      <c r="CQ410" s="4"/>
      <c r="CR410" s="4"/>
      <c r="CS410" s="4"/>
      <c r="CT410" s="4"/>
      <c r="CU410" s="4"/>
      <c r="CV410" s="4"/>
      <c r="CW410" s="4"/>
      <c r="CX410" s="4"/>
      <c r="CY410" s="4"/>
      <c r="CZ410" s="4"/>
      <c r="DA410" s="4"/>
      <c r="DB410" s="4"/>
      <c r="DC410" s="4"/>
      <c r="DD410" s="4"/>
      <c r="DE410" s="4"/>
      <c r="DF410" s="4"/>
      <c r="DG410" s="4"/>
      <c r="DH410" s="4"/>
      <c r="DI410" s="4"/>
      <c r="DJ410" s="4"/>
      <c r="DK410" s="4"/>
      <c r="DL410" s="4"/>
      <c r="DM410" s="4"/>
      <c r="DN410" s="4"/>
      <c r="DO410" s="4"/>
      <c r="DP410" s="4"/>
      <c r="DQ410" s="4"/>
      <c r="DR410" s="4"/>
      <c r="DS410" s="4"/>
    </row>
    <row r="411">
      <c r="A411" s="5">
        <f>IFERROR(__xludf.DUMMYFUNCTION("""COMPUTED_VALUE"""),45563.0)</f>
        <v>45563</v>
      </c>
      <c r="B411" s="6" t="str">
        <f>IFERROR(__xludf.DUMMYFUNCTION("""COMPUTED_VALUE"""),"Restaurant")</f>
        <v>Restaurant</v>
      </c>
      <c r="C411" s="7">
        <f>IFERROR(__xludf.DUMMYFUNCTION("""COMPUTED_VALUE"""),5100.0)</f>
        <v>5100</v>
      </c>
      <c r="D411" s="6" t="str">
        <f>IFERROR(__xludf.DUMMYFUNCTION("""COMPUTED_VALUE"""),"Lunch Out")</f>
        <v>Lunch Out</v>
      </c>
      <c r="E411" s="6" t="str">
        <f>IFERROR(__xludf.DUMMYFUNCTION("""COMPUTED_VALUE"""),"Debit Card")</f>
        <v>Debit Card</v>
      </c>
      <c r="F411" s="6" t="s">
        <v>14</v>
      </c>
      <c r="G411" s="8" t="str">
        <f t="shared" si="1"/>
        <v>202409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  <c r="CI411" s="4"/>
      <c r="CJ411" s="4"/>
      <c r="CK411" s="4"/>
      <c r="CL411" s="4"/>
      <c r="CM411" s="4"/>
      <c r="CN411" s="4"/>
      <c r="CO411" s="4"/>
      <c r="CP411" s="4"/>
      <c r="CQ411" s="4"/>
      <c r="CR411" s="4"/>
      <c r="CS411" s="4"/>
      <c r="CT411" s="4"/>
      <c r="CU411" s="4"/>
      <c r="CV411" s="4"/>
      <c r="CW411" s="4"/>
      <c r="CX411" s="4"/>
      <c r="CY411" s="4"/>
      <c r="CZ411" s="4"/>
      <c r="DA411" s="4"/>
      <c r="DB411" s="4"/>
      <c r="DC411" s="4"/>
      <c r="DD411" s="4"/>
      <c r="DE411" s="4"/>
      <c r="DF411" s="4"/>
      <c r="DG411" s="4"/>
      <c r="DH411" s="4"/>
      <c r="DI411" s="4"/>
      <c r="DJ411" s="4"/>
      <c r="DK411" s="4"/>
      <c r="DL411" s="4"/>
      <c r="DM411" s="4"/>
      <c r="DN411" s="4"/>
      <c r="DO411" s="4"/>
      <c r="DP411" s="4"/>
      <c r="DQ411" s="4"/>
      <c r="DR411" s="4"/>
      <c r="DS411" s="4"/>
    </row>
    <row r="412">
      <c r="A412" s="5">
        <f>IFERROR(__xludf.DUMMYFUNCTION("""COMPUTED_VALUE"""),45564.0)</f>
        <v>45564</v>
      </c>
      <c r="B412" s="6" t="str">
        <f>IFERROR(__xludf.DUMMYFUNCTION("""COMPUTED_VALUE"""),"Groceries")</f>
        <v>Groceries</v>
      </c>
      <c r="C412" s="7">
        <f>IFERROR(__xludf.DUMMYFUNCTION("""COMPUTED_VALUE"""),2075.0)</f>
        <v>2075</v>
      </c>
      <c r="D412" s="6" t="str">
        <f>IFERROR(__xludf.DUMMYFUNCTION("""COMPUTED_VALUE"""),"Groceries")</f>
        <v>Groceries</v>
      </c>
      <c r="E412" s="6" t="str">
        <f>IFERROR(__xludf.DUMMYFUNCTION("""COMPUTED_VALUE"""),"Split Payment")</f>
        <v>Split Payment</v>
      </c>
      <c r="F412" s="6" t="s">
        <v>7</v>
      </c>
      <c r="G412" s="8" t="str">
        <f t="shared" si="1"/>
        <v>202409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  <c r="CF412" s="4"/>
      <c r="CG412" s="4"/>
      <c r="CH412" s="4"/>
      <c r="CI412" s="4"/>
      <c r="CJ412" s="4"/>
      <c r="CK412" s="4"/>
      <c r="CL412" s="4"/>
      <c r="CM412" s="4"/>
      <c r="CN412" s="4"/>
      <c r="CO412" s="4"/>
      <c r="CP412" s="4"/>
      <c r="CQ412" s="4"/>
      <c r="CR412" s="4"/>
      <c r="CS412" s="4"/>
      <c r="CT412" s="4"/>
      <c r="CU412" s="4"/>
      <c r="CV412" s="4"/>
      <c r="CW412" s="4"/>
      <c r="CX412" s="4"/>
      <c r="CY412" s="4"/>
      <c r="CZ412" s="4"/>
      <c r="DA412" s="4"/>
      <c r="DB412" s="4"/>
      <c r="DC412" s="4"/>
      <c r="DD412" s="4"/>
      <c r="DE412" s="4"/>
      <c r="DF412" s="4"/>
      <c r="DG412" s="4"/>
      <c r="DH412" s="4"/>
      <c r="DI412" s="4"/>
      <c r="DJ412" s="4"/>
      <c r="DK412" s="4"/>
      <c r="DL412" s="4"/>
      <c r="DM412" s="4"/>
      <c r="DN412" s="4"/>
      <c r="DO412" s="4"/>
      <c r="DP412" s="4"/>
      <c r="DQ412" s="4"/>
      <c r="DR412" s="4"/>
      <c r="DS412" s="4"/>
    </row>
    <row r="413">
      <c r="A413" s="5">
        <f>IFERROR(__xludf.DUMMYFUNCTION("""COMPUTED_VALUE"""),45564.0)</f>
        <v>45564</v>
      </c>
      <c r="B413" s="6" t="str">
        <f>IFERROR(__xludf.DUMMYFUNCTION("""COMPUTED_VALUE"""),"Groceries")</f>
        <v>Groceries</v>
      </c>
      <c r="C413" s="7">
        <f>IFERROR(__xludf.DUMMYFUNCTION("""COMPUTED_VALUE"""),500.0)</f>
        <v>500</v>
      </c>
      <c r="D413" s="6" t="str">
        <f>IFERROR(__xludf.DUMMYFUNCTION("""COMPUTED_VALUE"""),"Groceries")</f>
        <v>Groceries</v>
      </c>
      <c r="E413" s="6" t="str">
        <f>IFERROR(__xludf.DUMMYFUNCTION("""COMPUTED_VALUE"""),"Debit Card")</f>
        <v>Debit Card</v>
      </c>
      <c r="F413" s="6" t="s">
        <v>7</v>
      </c>
      <c r="G413" s="8" t="str">
        <f t="shared" si="1"/>
        <v>202409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  <c r="CD413" s="4"/>
      <c r="CE413" s="4"/>
      <c r="CF413" s="4"/>
      <c r="CG413" s="4"/>
      <c r="CH413" s="4"/>
      <c r="CI413" s="4"/>
      <c r="CJ413" s="4"/>
      <c r="CK413" s="4"/>
      <c r="CL413" s="4"/>
      <c r="CM413" s="4"/>
      <c r="CN413" s="4"/>
      <c r="CO413" s="4"/>
      <c r="CP413" s="4"/>
      <c r="CQ413" s="4"/>
      <c r="CR413" s="4"/>
      <c r="CS413" s="4"/>
      <c r="CT413" s="4"/>
      <c r="CU413" s="4"/>
      <c r="CV413" s="4"/>
      <c r="CW413" s="4"/>
      <c r="CX413" s="4"/>
      <c r="CY413" s="4"/>
      <c r="CZ413" s="4"/>
      <c r="DA413" s="4"/>
      <c r="DB413" s="4"/>
      <c r="DC413" s="4"/>
      <c r="DD413" s="4"/>
      <c r="DE413" s="4"/>
      <c r="DF413" s="4"/>
      <c r="DG413" s="4"/>
      <c r="DH413" s="4"/>
      <c r="DI413" s="4"/>
      <c r="DJ413" s="4"/>
      <c r="DK413" s="4"/>
      <c r="DL413" s="4"/>
      <c r="DM413" s="4"/>
      <c r="DN413" s="4"/>
      <c r="DO413" s="4"/>
      <c r="DP413" s="4"/>
      <c r="DQ413" s="4"/>
      <c r="DR413" s="4"/>
      <c r="DS413" s="4"/>
    </row>
    <row r="414">
      <c r="A414" s="5">
        <f>IFERROR(__xludf.DUMMYFUNCTION("""COMPUTED_VALUE"""),45564.0)</f>
        <v>45564</v>
      </c>
      <c r="B414" s="6" t="str">
        <f>IFERROR(__xludf.DUMMYFUNCTION("""COMPUTED_VALUE"""),"Home Goods")</f>
        <v>Home Goods</v>
      </c>
      <c r="C414" s="7">
        <f>IFERROR(__xludf.DUMMYFUNCTION("""COMPUTED_VALUE"""),1400.0)</f>
        <v>1400</v>
      </c>
      <c r="D414" s="6" t="str">
        <f>IFERROR(__xludf.DUMMYFUNCTION("""COMPUTED_VALUE"""),"Home Goods &amp; Utilities")</f>
        <v>Home Goods &amp; Utilities</v>
      </c>
      <c r="E414" s="6" t="str">
        <f>IFERROR(__xludf.DUMMYFUNCTION("""COMPUTED_VALUE"""),"Split Payment")</f>
        <v>Split Payment</v>
      </c>
      <c r="F414" s="6" t="s">
        <v>8</v>
      </c>
      <c r="G414" s="8" t="str">
        <f t="shared" si="1"/>
        <v>202409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  <c r="CD414" s="4"/>
      <c r="CE414" s="4"/>
      <c r="CF414" s="4"/>
      <c r="CG414" s="4"/>
      <c r="CH414" s="4"/>
      <c r="CI414" s="4"/>
      <c r="CJ414" s="4"/>
      <c r="CK414" s="4"/>
      <c r="CL414" s="4"/>
      <c r="CM414" s="4"/>
      <c r="CN414" s="4"/>
      <c r="CO414" s="4"/>
      <c r="CP414" s="4"/>
      <c r="CQ414" s="4"/>
      <c r="CR414" s="4"/>
      <c r="CS414" s="4"/>
      <c r="CT414" s="4"/>
      <c r="CU414" s="4"/>
      <c r="CV414" s="4"/>
      <c r="CW414" s="4"/>
      <c r="CX414" s="4"/>
      <c r="CY414" s="4"/>
      <c r="CZ414" s="4"/>
      <c r="DA414" s="4"/>
      <c r="DB414" s="4"/>
      <c r="DC414" s="4"/>
      <c r="DD414" s="4"/>
      <c r="DE414" s="4"/>
      <c r="DF414" s="4"/>
      <c r="DG414" s="4"/>
      <c r="DH414" s="4"/>
      <c r="DI414" s="4"/>
      <c r="DJ414" s="4"/>
      <c r="DK414" s="4"/>
      <c r="DL414" s="4"/>
      <c r="DM414" s="4"/>
      <c r="DN414" s="4"/>
      <c r="DO414" s="4"/>
      <c r="DP414" s="4"/>
      <c r="DQ414" s="4"/>
      <c r="DR414" s="4"/>
      <c r="DS414" s="4"/>
    </row>
    <row r="415">
      <c r="A415" s="5">
        <f>IFERROR(__xludf.DUMMYFUNCTION("""COMPUTED_VALUE"""),45564.0)</f>
        <v>45564</v>
      </c>
      <c r="B415" s="6" t="str">
        <f>IFERROR(__xludf.DUMMYFUNCTION("""COMPUTED_VALUE"""),"Home Goods")</f>
        <v>Home Goods</v>
      </c>
      <c r="C415" s="7">
        <f>IFERROR(__xludf.DUMMYFUNCTION("""COMPUTED_VALUE"""),550.0)</f>
        <v>550</v>
      </c>
      <c r="D415" s="6" t="str">
        <f>IFERROR(__xludf.DUMMYFUNCTION("""COMPUTED_VALUE"""),"Home Goods &amp; Utilities")</f>
        <v>Home Goods &amp; Utilities</v>
      </c>
      <c r="E415" s="6" t="str">
        <f>IFERROR(__xludf.DUMMYFUNCTION("""COMPUTED_VALUE"""),"Virtual Wallet")</f>
        <v>Virtual Wallet</v>
      </c>
      <c r="F415" s="6" t="s">
        <v>8</v>
      </c>
      <c r="G415" s="8" t="str">
        <f t="shared" si="1"/>
        <v>202409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  <c r="CD415" s="4"/>
      <c r="CE415" s="4"/>
      <c r="CF415" s="4"/>
      <c r="CG415" s="4"/>
      <c r="CH415" s="4"/>
      <c r="CI415" s="4"/>
      <c r="CJ415" s="4"/>
      <c r="CK415" s="4"/>
      <c r="CL415" s="4"/>
      <c r="CM415" s="4"/>
      <c r="CN415" s="4"/>
      <c r="CO415" s="4"/>
      <c r="CP415" s="4"/>
      <c r="CQ415" s="4"/>
      <c r="CR415" s="4"/>
      <c r="CS415" s="4"/>
      <c r="CT415" s="4"/>
      <c r="CU415" s="4"/>
      <c r="CV415" s="4"/>
      <c r="CW415" s="4"/>
      <c r="CX415" s="4"/>
      <c r="CY415" s="4"/>
      <c r="CZ415" s="4"/>
      <c r="DA415" s="4"/>
      <c r="DB415" s="4"/>
      <c r="DC415" s="4"/>
      <c r="DD415" s="4"/>
      <c r="DE415" s="4"/>
      <c r="DF415" s="4"/>
      <c r="DG415" s="4"/>
      <c r="DH415" s="4"/>
      <c r="DI415" s="4"/>
      <c r="DJ415" s="4"/>
      <c r="DK415" s="4"/>
      <c r="DL415" s="4"/>
      <c r="DM415" s="4"/>
      <c r="DN415" s="4"/>
      <c r="DO415" s="4"/>
      <c r="DP415" s="4"/>
      <c r="DQ415" s="4"/>
      <c r="DR415" s="4"/>
      <c r="DS415" s="4"/>
    </row>
    <row r="416">
      <c r="A416" s="5">
        <f>IFERROR(__xludf.DUMMYFUNCTION("""COMPUTED_VALUE"""),45564.0)</f>
        <v>45564</v>
      </c>
      <c r="B416" s="6" t="str">
        <f>IFERROR(__xludf.DUMMYFUNCTION("""COMPUTED_VALUE"""),"Pets")</f>
        <v>Pets</v>
      </c>
      <c r="C416" s="7">
        <f>IFERROR(__xludf.DUMMYFUNCTION("""COMPUTED_VALUE"""),1500.0)</f>
        <v>1500</v>
      </c>
      <c r="D416" s="6" t="str">
        <f>IFERROR(__xludf.DUMMYFUNCTION("""COMPUTED_VALUE"""),"Pets")</f>
        <v>Pets</v>
      </c>
      <c r="E416" s="6" t="str">
        <f>IFERROR(__xludf.DUMMYFUNCTION("""COMPUTED_VALUE"""),"Split Payment")</f>
        <v>Split Payment</v>
      </c>
      <c r="F416" s="6" t="s">
        <v>7</v>
      </c>
      <c r="G416" s="8" t="str">
        <f t="shared" si="1"/>
        <v>202409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  <c r="CD416" s="4"/>
      <c r="CE416" s="4"/>
      <c r="CF416" s="4"/>
      <c r="CG416" s="4"/>
      <c r="CH416" s="4"/>
      <c r="CI416" s="4"/>
      <c r="CJ416" s="4"/>
      <c r="CK416" s="4"/>
      <c r="CL416" s="4"/>
      <c r="CM416" s="4"/>
      <c r="CN416" s="4"/>
      <c r="CO416" s="4"/>
      <c r="CP416" s="4"/>
      <c r="CQ416" s="4"/>
      <c r="CR416" s="4"/>
      <c r="CS416" s="4"/>
      <c r="CT416" s="4"/>
      <c r="CU416" s="4"/>
      <c r="CV416" s="4"/>
      <c r="CW416" s="4"/>
      <c r="CX416" s="4"/>
      <c r="CY416" s="4"/>
      <c r="CZ416" s="4"/>
      <c r="DA416" s="4"/>
      <c r="DB416" s="4"/>
      <c r="DC416" s="4"/>
      <c r="DD416" s="4"/>
      <c r="DE416" s="4"/>
      <c r="DF416" s="4"/>
      <c r="DG416" s="4"/>
      <c r="DH416" s="4"/>
      <c r="DI416" s="4"/>
      <c r="DJ416" s="4"/>
      <c r="DK416" s="4"/>
      <c r="DL416" s="4"/>
      <c r="DM416" s="4"/>
      <c r="DN416" s="4"/>
      <c r="DO416" s="4"/>
      <c r="DP416" s="4"/>
      <c r="DQ416" s="4"/>
      <c r="DR416" s="4"/>
      <c r="DS416" s="4"/>
    </row>
    <row r="417">
      <c r="A417" s="5">
        <f>IFERROR(__xludf.DUMMYFUNCTION("""COMPUTED_VALUE"""),45564.0)</f>
        <v>45564</v>
      </c>
      <c r="B417" s="6" t="str">
        <f>IFERROR(__xludf.DUMMYFUNCTION("""COMPUTED_VALUE"""),"Restaurant")</f>
        <v>Restaurant</v>
      </c>
      <c r="C417" s="7">
        <f>IFERROR(__xludf.DUMMYFUNCTION("""COMPUTED_VALUE"""),2500.0)</f>
        <v>2500</v>
      </c>
      <c r="D417" s="6" t="str">
        <f>IFERROR(__xludf.DUMMYFUNCTION("""COMPUTED_VALUE"""),"Groceries")</f>
        <v>Groceries</v>
      </c>
      <c r="E417" s="6" t="str">
        <f>IFERROR(__xludf.DUMMYFUNCTION("""COMPUTED_VALUE"""),"Split Payment")</f>
        <v>Split Payment</v>
      </c>
      <c r="F417" s="6" t="s">
        <v>7</v>
      </c>
      <c r="G417" s="8" t="str">
        <f t="shared" si="1"/>
        <v>202409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  <c r="CD417" s="4"/>
      <c r="CE417" s="4"/>
      <c r="CF417" s="4"/>
      <c r="CG417" s="4"/>
      <c r="CH417" s="4"/>
      <c r="CI417" s="4"/>
      <c r="CJ417" s="4"/>
      <c r="CK417" s="4"/>
      <c r="CL417" s="4"/>
      <c r="CM417" s="4"/>
      <c r="CN417" s="4"/>
      <c r="CO417" s="4"/>
      <c r="CP417" s="4"/>
      <c r="CQ417" s="4"/>
      <c r="CR417" s="4"/>
      <c r="CS417" s="4"/>
      <c r="CT417" s="4"/>
      <c r="CU417" s="4"/>
      <c r="CV417" s="4"/>
      <c r="CW417" s="4"/>
      <c r="CX417" s="4"/>
      <c r="CY417" s="4"/>
      <c r="CZ417" s="4"/>
      <c r="DA417" s="4"/>
      <c r="DB417" s="4"/>
      <c r="DC417" s="4"/>
      <c r="DD417" s="4"/>
      <c r="DE417" s="4"/>
      <c r="DF417" s="4"/>
      <c r="DG417" s="4"/>
      <c r="DH417" s="4"/>
      <c r="DI417" s="4"/>
      <c r="DJ417" s="4"/>
      <c r="DK417" s="4"/>
      <c r="DL417" s="4"/>
      <c r="DM417" s="4"/>
      <c r="DN417" s="4"/>
      <c r="DO417" s="4"/>
      <c r="DP417" s="4"/>
      <c r="DQ417" s="4"/>
      <c r="DR417" s="4"/>
      <c r="DS417" s="4"/>
    </row>
    <row r="418">
      <c r="A418" s="9">
        <f>IFERROR(__xludf.DUMMYFUNCTION("""COMPUTED_VALUE"""),45566.0)</f>
        <v>45566</v>
      </c>
      <c r="B418" s="6" t="str">
        <f>IFERROR(__xludf.DUMMYFUNCTION("""COMPUTED_VALUE"""),"Car Insurance")</f>
        <v>Car Insurance</v>
      </c>
      <c r="C418" s="7">
        <f>IFERROR(__xludf.DUMMYFUNCTION("""COMPUTED_VALUE"""),35750.5)</f>
        <v>35750.5</v>
      </c>
      <c r="D418" s="6" t="str">
        <f>IFERROR(__xludf.DUMMYFUNCTION("""COMPUTED_VALUE"""),"Car Expenses")</f>
        <v>Car Expenses</v>
      </c>
      <c r="E418" s="6" t="str">
        <f>IFERROR(__xludf.DUMMYFUNCTION("""COMPUTED_VALUE"""),"Split Payment")</f>
        <v>Split Payment</v>
      </c>
      <c r="F418" s="6" t="s">
        <v>9</v>
      </c>
      <c r="G418" s="8" t="str">
        <f t="shared" si="1"/>
        <v>202410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  <c r="CD418" s="4"/>
      <c r="CE418" s="4"/>
      <c r="CF418" s="4"/>
      <c r="CG418" s="4"/>
      <c r="CH418" s="4"/>
      <c r="CI418" s="4"/>
      <c r="CJ418" s="4"/>
      <c r="CK418" s="4"/>
      <c r="CL418" s="4"/>
      <c r="CM418" s="4"/>
      <c r="CN418" s="4"/>
      <c r="CO418" s="4"/>
      <c r="CP418" s="4"/>
      <c r="CQ418" s="4"/>
      <c r="CR418" s="4"/>
      <c r="CS418" s="4"/>
      <c r="CT418" s="4"/>
      <c r="CU418" s="4"/>
      <c r="CV418" s="4"/>
      <c r="CW418" s="4"/>
      <c r="CX418" s="4"/>
      <c r="CY418" s="4"/>
      <c r="CZ418" s="4"/>
      <c r="DA418" s="4"/>
      <c r="DB418" s="4"/>
      <c r="DC418" s="4"/>
      <c r="DD418" s="4"/>
      <c r="DE418" s="4"/>
      <c r="DF418" s="4"/>
      <c r="DG418" s="4"/>
      <c r="DH418" s="4"/>
      <c r="DI418" s="4"/>
      <c r="DJ418" s="4"/>
      <c r="DK418" s="4"/>
      <c r="DL418" s="4"/>
      <c r="DM418" s="4"/>
      <c r="DN418" s="4"/>
      <c r="DO418" s="4"/>
      <c r="DP418" s="4"/>
      <c r="DQ418" s="4"/>
      <c r="DR418" s="4"/>
      <c r="DS418" s="4"/>
    </row>
    <row r="419">
      <c r="A419" s="9">
        <f>IFERROR(__xludf.DUMMYFUNCTION("""COMPUTED_VALUE"""),45566.0)</f>
        <v>45566</v>
      </c>
      <c r="B419" s="6" t="str">
        <f>IFERROR(__xludf.DUMMYFUNCTION("""COMPUTED_VALUE"""),"Education")</f>
        <v>Education</v>
      </c>
      <c r="C419" s="7">
        <f>IFERROR(__xludf.DUMMYFUNCTION("""COMPUTED_VALUE"""),20000.0)</f>
        <v>20000</v>
      </c>
      <c r="D419" s="6" t="str">
        <f>IFERROR(__xludf.DUMMYFUNCTION("""COMPUTED_VALUE"""),"Education")</f>
        <v>Education</v>
      </c>
      <c r="E419" s="6" t="str">
        <f>IFERROR(__xludf.DUMMYFUNCTION("""COMPUTED_VALUE"""),"Credit Card")</f>
        <v>Credit Card</v>
      </c>
      <c r="F419" s="6" t="s">
        <v>11</v>
      </c>
      <c r="G419" s="8" t="str">
        <f t="shared" si="1"/>
        <v>202410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  <c r="CD419" s="4"/>
      <c r="CE419" s="4"/>
      <c r="CF419" s="4"/>
      <c r="CG419" s="4"/>
      <c r="CH419" s="4"/>
      <c r="CI419" s="4"/>
      <c r="CJ419" s="4"/>
      <c r="CK419" s="4"/>
      <c r="CL419" s="4"/>
      <c r="CM419" s="4"/>
      <c r="CN419" s="4"/>
      <c r="CO419" s="4"/>
      <c r="CP419" s="4"/>
      <c r="CQ419" s="4"/>
      <c r="CR419" s="4"/>
      <c r="CS419" s="4"/>
      <c r="CT419" s="4"/>
      <c r="CU419" s="4"/>
      <c r="CV419" s="4"/>
      <c r="CW419" s="4"/>
      <c r="CX419" s="4"/>
      <c r="CY419" s="4"/>
      <c r="CZ419" s="4"/>
      <c r="DA419" s="4"/>
      <c r="DB419" s="4"/>
      <c r="DC419" s="4"/>
      <c r="DD419" s="4"/>
      <c r="DE419" s="4"/>
      <c r="DF419" s="4"/>
      <c r="DG419" s="4"/>
      <c r="DH419" s="4"/>
      <c r="DI419" s="4"/>
      <c r="DJ419" s="4"/>
      <c r="DK419" s="4"/>
      <c r="DL419" s="4"/>
      <c r="DM419" s="4"/>
      <c r="DN419" s="4"/>
      <c r="DO419" s="4"/>
      <c r="DP419" s="4"/>
      <c r="DQ419" s="4"/>
      <c r="DR419" s="4"/>
      <c r="DS419" s="4"/>
    </row>
    <row r="420">
      <c r="A420" s="9">
        <f>IFERROR(__xludf.DUMMYFUNCTION("""COMPUTED_VALUE"""),45566.0)</f>
        <v>45566</v>
      </c>
      <c r="B420" s="6" t="str">
        <f>IFERROR(__xludf.DUMMYFUNCTION("""COMPUTED_VALUE"""),"Car Expenses")</f>
        <v>Car Expenses</v>
      </c>
      <c r="C420" s="7">
        <f>IFERROR(__xludf.DUMMYFUNCTION("""COMPUTED_VALUE"""),2500.0)</f>
        <v>2500</v>
      </c>
      <c r="D420" s="6" t="str">
        <f>IFERROR(__xludf.DUMMYFUNCTION("""COMPUTED_VALUE"""),"Car Expenses")</f>
        <v>Car Expenses</v>
      </c>
      <c r="E420" s="6" t="str">
        <f>IFERROR(__xludf.DUMMYFUNCTION("""COMPUTED_VALUE"""),"Virtual Wallet")</f>
        <v>Virtual Wallet</v>
      </c>
      <c r="F420" s="6" t="s">
        <v>9</v>
      </c>
      <c r="G420" s="8" t="str">
        <f t="shared" si="1"/>
        <v>202410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  <c r="CD420" s="4"/>
      <c r="CE420" s="4"/>
      <c r="CF420" s="4"/>
      <c r="CG420" s="4"/>
      <c r="CH420" s="4"/>
      <c r="CI420" s="4"/>
      <c r="CJ420" s="4"/>
      <c r="CK420" s="4"/>
      <c r="CL420" s="4"/>
      <c r="CM420" s="4"/>
      <c r="CN420" s="4"/>
      <c r="CO420" s="4"/>
      <c r="CP420" s="4"/>
      <c r="CQ420" s="4"/>
      <c r="CR420" s="4"/>
      <c r="CS420" s="4"/>
      <c r="CT420" s="4"/>
      <c r="CU420" s="4"/>
      <c r="CV420" s="4"/>
      <c r="CW420" s="4"/>
      <c r="CX420" s="4"/>
      <c r="CY420" s="4"/>
      <c r="CZ420" s="4"/>
      <c r="DA420" s="4"/>
      <c r="DB420" s="4"/>
      <c r="DC420" s="4"/>
      <c r="DD420" s="4"/>
      <c r="DE420" s="4"/>
      <c r="DF420" s="4"/>
      <c r="DG420" s="4"/>
      <c r="DH420" s="4"/>
      <c r="DI420" s="4"/>
      <c r="DJ420" s="4"/>
      <c r="DK420" s="4"/>
      <c r="DL420" s="4"/>
      <c r="DM420" s="4"/>
      <c r="DN420" s="4"/>
      <c r="DO420" s="4"/>
      <c r="DP420" s="4"/>
      <c r="DQ420" s="4"/>
      <c r="DR420" s="4"/>
      <c r="DS420" s="4"/>
    </row>
    <row r="421">
      <c r="A421" s="9">
        <f>IFERROR(__xludf.DUMMYFUNCTION("""COMPUTED_VALUE"""),45566.0)</f>
        <v>45566</v>
      </c>
      <c r="B421" s="6" t="str">
        <f>IFERROR(__xludf.DUMMYFUNCTION("""COMPUTED_VALUE"""),"Gasoline")</f>
        <v>Gasoline</v>
      </c>
      <c r="C421" s="7">
        <f>IFERROR(__xludf.DUMMYFUNCTION("""COMPUTED_VALUE"""),10000.0)</f>
        <v>10000</v>
      </c>
      <c r="D421" s="6" t="str">
        <f>IFERROR(__xludf.DUMMYFUNCTION("""COMPUTED_VALUE"""),"Car Expenses")</f>
        <v>Car Expenses</v>
      </c>
      <c r="E421" s="6" t="str">
        <f>IFERROR(__xludf.DUMMYFUNCTION("""COMPUTED_VALUE"""),"Split Payment")</f>
        <v>Split Payment</v>
      </c>
      <c r="F421" s="6" t="s">
        <v>9</v>
      </c>
      <c r="G421" s="8" t="str">
        <f t="shared" si="1"/>
        <v>202410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  <c r="CD421" s="4"/>
      <c r="CE421" s="4"/>
      <c r="CF421" s="4"/>
      <c r="CG421" s="4"/>
      <c r="CH421" s="4"/>
      <c r="CI421" s="4"/>
      <c r="CJ421" s="4"/>
      <c r="CK421" s="4"/>
      <c r="CL421" s="4"/>
      <c r="CM421" s="4"/>
      <c r="CN421" s="4"/>
      <c r="CO421" s="4"/>
      <c r="CP421" s="4"/>
      <c r="CQ421" s="4"/>
      <c r="CR421" s="4"/>
      <c r="CS421" s="4"/>
      <c r="CT421" s="4"/>
      <c r="CU421" s="4"/>
      <c r="CV421" s="4"/>
      <c r="CW421" s="4"/>
      <c r="CX421" s="4"/>
      <c r="CY421" s="4"/>
      <c r="CZ421" s="4"/>
      <c r="DA421" s="4"/>
      <c r="DB421" s="4"/>
      <c r="DC421" s="4"/>
      <c r="DD421" s="4"/>
      <c r="DE421" s="4"/>
      <c r="DF421" s="4"/>
      <c r="DG421" s="4"/>
      <c r="DH421" s="4"/>
      <c r="DI421" s="4"/>
      <c r="DJ421" s="4"/>
      <c r="DK421" s="4"/>
      <c r="DL421" s="4"/>
      <c r="DM421" s="4"/>
      <c r="DN421" s="4"/>
      <c r="DO421" s="4"/>
      <c r="DP421" s="4"/>
      <c r="DQ421" s="4"/>
      <c r="DR421" s="4"/>
      <c r="DS421" s="4"/>
    </row>
    <row r="422">
      <c r="A422" s="9">
        <f>IFERROR(__xludf.DUMMYFUNCTION("""COMPUTED_VALUE"""),45566.0)</f>
        <v>45566</v>
      </c>
      <c r="B422" s="6" t="str">
        <f>IFERROR(__xludf.DUMMYFUNCTION("""COMPUTED_VALUE"""),"Groceries")</f>
        <v>Groceries</v>
      </c>
      <c r="C422" s="7">
        <f>IFERROR(__xludf.DUMMYFUNCTION("""COMPUTED_VALUE"""),3097.0)</f>
        <v>3097</v>
      </c>
      <c r="D422" s="6" t="str">
        <f>IFERROR(__xludf.DUMMYFUNCTION("""COMPUTED_VALUE"""),"Groceries")</f>
        <v>Groceries</v>
      </c>
      <c r="E422" s="6" t="str">
        <f>IFERROR(__xludf.DUMMYFUNCTION("""COMPUTED_VALUE"""),"Virtual Wallet")</f>
        <v>Virtual Wallet</v>
      </c>
      <c r="F422" s="6" t="s">
        <v>7</v>
      </c>
      <c r="G422" s="8" t="str">
        <f t="shared" si="1"/>
        <v>202410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  <c r="CD422" s="4"/>
      <c r="CE422" s="4"/>
      <c r="CF422" s="4"/>
      <c r="CG422" s="4"/>
      <c r="CH422" s="4"/>
      <c r="CI422" s="4"/>
      <c r="CJ422" s="4"/>
      <c r="CK422" s="4"/>
      <c r="CL422" s="4"/>
      <c r="CM422" s="4"/>
      <c r="CN422" s="4"/>
      <c r="CO422" s="4"/>
      <c r="CP422" s="4"/>
      <c r="CQ422" s="4"/>
      <c r="CR422" s="4"/>
      <c r="CS422" s="4"/>
      <c r="CT422" s="4"/>
      <c r="CU422" s="4"/>
      <c r="CV422" s="4"/>
      <c r="CW422" s="4"/>
      <c r="CX422" s="4"/>
      <c r="CY422" s="4"/>
      <c r="CZ422" s="4"/>
      <c r="DA422" s="4"/>
      <c r="DB422" s="4"/>
      <c r="DC422" s="4"/>
      <c r="DD422" s="4"/>
      <c r="DE422" s="4"/>
      <c r="DF422" s="4"/>
      <c r="DG422" s="4"/>
      <c r="DH422" s="4"/>
      <c r="DI422" s="4"/>
      <c r="DJ422" s="4"/>
      <c r="DK422" s="4"/>
      <c r="DL422" s="4"/>
      <c r="DM422" s="4"/>
      <c r="DN422" s="4"/>
      <c r="DO422" s="4"/>
      <c r="DP422" s="4"/>
      <c r="DQ422" s="4"/>
      <c r="DR422" s="4"/>
      <c r="DS422" s="4"/>
    </row>
    <row r="423">
      <c r="A423" s="9">
        <f>IFERROR(__xludf.DUMMYFUNCTION("""COMPUTED_VALUE"""),45566.0)</f>
        <v>45566</v>
      </c>
      <c r="B423" s="6" t="str">
        <f>IFERROR(__xludf.DUMMYFUNCTION("""COMPUTED_VALUE"""),"Restaurant")</f>
        <v>Restaurant</v>
      </c>
      <c r="C423" s="7">
        <f>IFERROR(__xludf.DUMMYFUNCTION("""COMPUTED_VALUE"""),62.0)</f>
        <v>62</v>
      </c>
      <c r="D423" s="6" t="str">
        <f>IFERROR(__xludf.DUMMYFUNCTION("""COMPUTED_VALUE"""),"Restaurant / Café")</f>
        <v>Restaurant / Café</v>
      </c>
      <c r="E423" s="6" t="str">
        <f>IFERROR(__xludf.DUMMYFUNCTION("""COMPUTED_VALUE"""),"Virtual Wallet")</f>
        <v>Virtual Wallet</v>
      </c>
      <c r="F423" s="6" t="s">
        <v>14</v>
      </c>
      <c r="G423" s="8" t="str">
        <f t="shared" si="1"/>
        <v>202410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  <c r="CD423" s="4"/>
      <c r="CE423" s="4"/>
      <c r="CF423" s="4"/>
      <c r="CG423" s="4"/>
      <c r="CH423" s="4"/>
      <c r="CI423" s="4"/>
      <c r="CJ423" s="4"/>
      <c r="CK423" s="4"/>
      <c r="CL423" s="4"/>
      <c r="CM423" s="4"/>
      <c r="CN423" s="4"/>
      <c r="CO423" s="4"/>
      <c r="CP423" s="4"/>
      <c r="CQ423" s="4"/>
      <c r="CR423" s="4"/>
      <c r="CS423" s="4"/>
      <c r="CT423" s="4"/>
      <c r="CU423" s="4"/>
      <c r="CV423" s="4"/>
      <c r="CW423" s="4"/>
      <c r="CX423" s="4"/>
      <c r="CY423" s="4"/>
      <c r="CZ423" s="4"/>
      <c r="DA423" s="4"/>
      <c r="DB423" s="4"/>
      <c r="DC423" s="4"/>
      <c r="DD423" s="4"/>
      <c r="DE423" s="4"/>
      <c r="DF423" s="4"/>
      <c r="DG423" s="4"/>
      <c r="DH423" s="4"/>
      <c r="DI423" s="4"/>
      <c r="DJ423" s="4"/>
      <c r="DK423" s="4"/>
      <c r="DL423" s="4"/>
      <c r="DM423" s="4"/>
      <c r="DN423" s="4"/>
      <c r="DO423" s="4"/>
      <c r="DP423" s="4"/>
      <c r="DQ423" s="4"/>
      <c r="DR423" s="4"/>
      <c r="DS423" s="4"/>
    </row>
    <row r="424">
      <c r="A424" s="9">
        <f>IFERROR(__xludf.DUMMYFUNCTION("""COMPUTED_VALUE"""),45566.0)</f>
        <v>45566</v>
      </c>
      <c r="B424" s="6" t="str">
        <f>IFERROR(__xludf.DUMMYFUNCTION("""COMPUTED_VALUE"""),"Restaurant")</f>
        <v>Restaurant</v>
      </c>
      <c r="C424" s="7">
        <f>IFERROR(__xludf.DUMMYFUNCTION("""COMPUTED_VALUE"""),30.0)</f>
        <v>30</v>
      </c>
      <c r="D424" s="6" t="str">
        <f>IFERROR(__xludf.DUMMYFUNCTION("""COMPUTED_VALUE"""),"Lunch Out")</f>
        <v>Lunch Out</v>
      </c>
      <c r="E424" s="6" t="str">
        <f>IFERROR(__xludf.DUMMYFUNCTION("""COMPUTED_VALUE"""),"Virtual Wallet")</f>
        <v>Virtual Wallet</v>
      </c>
      <c r="F424" s="6" t="s">
        <v>14</v>
      </c>
      <c r="G424" s="8" t="str">
        <f t="shared" si="1"/>
        <v>202410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  <c r="CD424" s="4"/>
      <c r="CE424" s="4"/>
      <c r="CF424" s="4"/>
      <c r="CG424" s="4"/>
      <c r="CH424" s="4"/>
      <c r="CI424" s="4"/>
      <c r="CJ424" s="4"/>
      <c r="CK424" s="4"/>
      <c r="CL424" s="4"/>
      <c r="CM424" s="4"/>
      <c r="CN424" s="4"/>
      <c r="CO424" s="4"/>
      <c r="CP424" s="4"/>
      <c r="CQ424" s="4"/>
      <c r="CR424" s="4"/>
      <c r="CS424" s="4"/>
      <c r="CT424" s="4"/>
      <c r="CU424" s="4"/>
      <c r="CV424" s="4"/>
      <c r="CW424" s="4"/>
      <c r="CX424" s="4"/>
      <c r="CY424" s="4"/>
      <c r="CZ424" s="4"/>
      <c r="DA424" s="4"/>
      <c r="DB424" s="4"/>
      <c r="DC424" s="4"/>
      <c r="DD424" s="4"/>
      <c r="DE424" s="4"/>
      <c r="DF424" s="4"/>
      <c r="DG424" s="4"/>
      <c r="DH424" s="4"/>
      <c r="DI424" s="4"/>
      <c r="DJ424" s="4"/>
      <c r="DK424" s="4"/>
      <c r="DL424" s="4"/>
      <c r="DM424" s="4"/>
      <c r="DN424" s="4"/>
      <c r="DO424" s="4"/>
      <c r="DP424" s="4"/>
      <c r="DQ424" s="4"/>
      <c r="DR424" s="4"/>
      <c r="DS424" s="4"/>
    </row>
    <row r="425">
      <c r="A425" s="9">
        <f>IFERROR(__xludf.DUMMYFUNCTION("""COMPUTED_VALUE"""),45567.0)</f>
        <v>45567</v>
      </c>
      <c r="B425" s="6" t="str">
        <f>IFERROR(__xludf.DUMMYFUNCTION("""COMPUTED_VALUE"""),"Home Goods")</f>
        <v>Home Goods</v>
      </c>
      <c r="C425" s="7">
        <f>IFERROR(__xludf.DUMMYFUNCTION("""COMPUTED_VALUE"""),2754.5)</f>
        <v>2754.5</v>
      </c>
      <c r="D425" s="6" t="str">
        <f>IFERROR(__xludf.DUMMYFUNCTION("""COMPUTED_VALUE"""),"Home Goods &amp; Utilities")</f>
        <v>Home Goods &amp; Utilities</v>
      </c>
      <c r="E425" s="6" t="str">
        <f>IFERROR(__xludf.DUMMYFUNCTION("""COMPUTED_VALUE"""),"Split Payment")</f>
        <v>Split Payment</v>
      </c>
      <c r="F425" s="6" t="s">
        <v>8</v>
      </c>
      <c r="G425" s="8" t="str">
        <f t="shared" si="1"/>
        <v>202410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  <c r="CD425" s="4"/>
      <c r="CE425" s="4"/>
      <c r="CF425" s="4"/>
      <c r="CG425" s="4"/>
      <c r="CH425" s="4"/>
      <c r="CI425" s="4"/>
      <c r="CJ425" s="4"/>
      <c r="CK425" s="4"/>
      <c r="CL425" s="4"/>
      <c r="CM425" s="4"/>
      <c r="CN425" s="4"/>
      <c r="CO425" s="4"/>
      <c r="CP425" s="4"/>
      <c r="CQ425" s="4"/>
      <c r="CR425" s="4"/>
      <c r="CS425" s="4"/>
      <c r="CT425" s="4"/>
      <c r="CU425" s="4"/>
      <c r="CV425" s="4"/>
      <c r="CW425" s="4"/>
      <c r="CX425" s="4"/>
      <c r="CY425" s="4"/>
      <c r="CZ425" s="4"/>
      <c r="DA425" s="4"/>
      <c r="DB425" s="4"/>
      <c r="DC425" s="4"/>
      <c r="DD425" s="4"/>
      <c r="DE425" s="4"/>
      <c r="DF425" s="4"/>
      <c r="DG425" s="4"/>
      <c r="DH425" s="4"/>
      <c r="DI425" s="4"/>
      <c r="DJ425" s="4"/>
      <c r="DK425" s="4"/>
      <c r="DL425" s="4"/>
      <c r="DM425" s="4"/>
      <c r="DN425" s="4"/>
      <c r="DO425" s="4"/>
      <c r="DP425" s="4"/>
      <c r="DQ425" s="4"/>
      <c r="DR425" s="4"/>
      <c r="DS425" s="4"/>
    </row>
    <row r="426">
      <c r="A426" s="9">
        <f>IFERROR(__xludf.DUMMYFUNCTION("""COMPUTED_VALUE"""),45567.0)</f>
        <v>45567</v>
      </c>
      <c r="B426" s="6" t="str">
        <f>IFERROR(__xludf.DUMMYFUNCTION("""COMPUTED_VALUE"""),"Personal Care")</f>
        <v>Personal Care</v>
      </c>
      <c r="C426" s="7">
        <f>IFERROR(__xludf.DUMMYFUNCTION("""COMPUTED_VALUE"""),18175.0)</f>
        <v>18175</v>
      </c>
      <c r="D426" s="6" t="str">
        <f>IFERROR(__xludf.DUMMYFUNCTION("""COMPUTED_VALUE"""),"Personal Care")</f>
        <v>Personal Care</v>
      </c>
      <c r="E426" s="6" t="str">
        <f>IFERROR(__xludf.DUMMYFUNCTION("""COMPUTED_VALUE"""),"Split Payment")</f>
        <v>Split Payment</v>
      </c>
      <c r="F426" s="6" t="s">
        <v>16</v>
      </c>
      <c r="G426" s="8" t="str">
        <f t="shared" si="1"/>
        <v>202410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  <c r="CD426" s="4"/>
      <c r="CE426" s="4"/>
      <c r="CF426" s="4"/>
      <c r="CG426" s="4"/>
      <c r="CH426" s="4"/>
      <c r="CI426" s="4"/>
      <c r="CJ426" s="4"/>
      <c r="CK426" s="4"/>
      <c r="CL426" s="4"/>
      <c r="CM426" s="4"/>
      <c r="CN426" s="4"/>
      <c r="CO426" s="4"/>
      <c r="CP426" s="4"/>
      <c r="CQ426" s="4"/>
      <c r="CR426" s="4"/>
      <c r="CS426" s="4"/>
      <c r="CT426" s="4"/>
      <c r="CU426" s="4"/>
      <c r="CV426" s="4"/>
      <c r="CW426" s="4"/>
      <c r="CX426" s="4"/>
      <c r="CY426" s="4"/>
      <c r="CZ426" s="4"/>
      <c r="DA426" s="4"/>
      <c r="DB426" s="4"/>
      <c r="DC426" s="4"/>
      <c r="DD426" s="4"/>
      <c r="DE426" s="4"/>
      <c r="DF426" s="4"/>
      <c r="DG426" s="4"/>
      <c r="DH426" s="4"/>
      <c r="DI426" s="4"/>
      <c r="DJ426" s="4"/>
      <c r="DK426" s="4"/>
      <c r="DL426" s="4"/>
      <c r="DM426" s="4"/>
      <c r="DN426" s="4"/>
      <c r="DO426" s="4"/>
      <c r="DP426" s="4"/>
      <c r="DQ426" s="4"/>
      <c r="DR426" s="4"/>
      <c r="DS426" s="4"/>
    </row>
    <row r="427">
      <c r="A427" s="9">
        <f>IFERROR(__xludf.DUMMYFUNCTION("""COMPUTED_VALUE"""),45567.0)</f>
        <v>45567</v>
      </c>
      <c r="B427" s="6" t="str">
        <f>IFERROR(__xludf.DUMMYFUNCTION("""COMPUTED_VALUE"""),"Groceries")</f>
        <v>Groceries</v>
      </c>
      <c r="C427" s="7">
        <f>IFERROR(__xludf.DUMMYFUNCTION("""COMPUTED_VALUE"""),5197.0)</f>
        <v>5197</v>
      </c>
      <c r="D427" s="6" t="str">
        <f>IFERROR(__xludf.DUMMYFUNCTION("""COMPUTED_VALUE"""),"Groceries")</f>
        <v>Groceries</v>
      </c>
      <c r="E427" s="6" t="str">
        <f>IFERROR(__xludf.DUMMYFUNCTION("""COMPUTED_VALUE"""),"Virtual Wallet")</f>
        <v>Virtual Wallet</v>
      </c>
      <c r="F427" s="6" t="s">
        <v>7</v>
      </c>
      <c r="G427" s="8" t="str">
        <f t="shared" si="1"/>
        <v>202410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  <c r="CD427" s="4"/>
      <c r="CE427" s="4"/>
      <c r="CF427" s="4"/>
      <c r="CG427" s="4"/>
      <c r="CH427" s="4"/>
      <c r="CI427" s="4"/>
      <c r="CJ427" s="4"/>
      <c r="CK427" s="4"/>
      <c r="CL427" s="4"/>
      <c r="CM427" s="4"/>
      <c r="CN427" s="4"/>
      <c r="CO427" s="4"/>
      <c r="CP427" s="4"/>
      <c r="CQ427" s="4"/>
      <c r="CR427" s="4"/>
      <c r="CS427" s="4"/>
      <c r="CT427" s="4"/>
      <c r="CU427" s="4"/>
      <c r="CV427" s="4"/>
      <c r="CW427" s="4"/>
      <c r="CX427" s="4"/>
      <c r="CY427" s="4"/>
      <c r="CZ427" s="4"/>
      <c r="DA427" s="4"/>
      <c r="DB427" s="4"/>
      <c r="DC427" s="4"/>
      <c r="DD427" s="4"/>
      <c r="DE427" s="4"/>
      <c r="DF427" s="4"/>
      <c r="DG427" s="4"/>
      <c r="DH427" s="4"/>
      <c r="DI427" s="4"/>
      <c r="DJ427" s="4"/>
      <c r="DK427" s="4"/>
      <c r="DL427" s="4"/>
      <c r="DM427" s="4"/>
      <c r="DN427" s="4"/>
      <c r="DO427" s="4"/>
      <c r="DP427" s="4"/>
      <c r="DQ427" s="4"/>
      <c r="DR427" s="4"/>
      <c r="DS427" s="4"/>
    </row>
    <row r="428">
      <c r="A428" s="9">
        <f>IFERROR(__xludf.DUMMYFUNCTION("""COMPUTED_VALUE"""),45567.0)</f>
        <v>45567</v>
      </c>
      <c r="B428" s="6" t="str">
        <f>IFERROR(__xludf.DUMMYFUNCTION("""COMPUTED_VALUE"""),"Restaurant")</f>
        <v>Restaurant</v>
      </c>
      <c r="C428" s="7">
        <f>IFERROR(__xludf.DUMMYFUNCTION("""COMPUTED_VALUE"""),12500.0)</f>
        <v>12500</v>
      </c>
      <c r="D428" s="6" t="str">
        <f>IFERROR(__xludf.DUMMYFUNCTION("""COMPUTED_VALUE"""),"Restaurant / Café")</f>
        <v>Restaurant / Café</v>
      </c>
      <c r="E428" s="6" t="str">
        <f>IFERROR(__xludf.DUMMYFUNCTION("""COMPUTED_VALUE"""),"Split Payment")</f>
        <v>Split Payment</v>
      </c>
      <c r="F428" s="6" t="s">
        <v>14</v>
      </c>
      <c r="G428" s="8" t="str">
        <f t="shared" si="1"/>
        <v>202410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  <c r="CD428" s="4"/>
      <c r="CE428" s="4"/>
      <c r="CF428" s="4"/>
      <c r="CG428" s="4"/>
      <c r="CH428" s="4"/>
      <c r="CI428" s="4"/>
      <c r="CJ428" s="4"/>
      <c r="CK428" s="4"/>
      <c r="CL428" s="4"/>
      <c r="CM428" s="4"/>
      <c r="CN428" s="4"/>
      <c r="CO428" s="4"/>
      <c r="CP428" s="4"/>
      <c r="CQ428" s="4"/>
      <c r="CR428" s="4"/>
      <c r="CS428" s="4"/>
      <c r="CT428" s="4"/>
      <c r="CU428" s="4"/>
      <c r="CV428" s="4"/>
      <c r="CW428" s="4"/>
      <c r="CX428" s="4"/>
      <c r="CY428" s="4"/>
      <c r="CZ428" s="4"/>
      <c r="DA428" s="4"/>
      <c r="DB428" s="4"/>
      <c r="DC428" s="4"/>
      <c r="DD428" s="4"/>
      <c r="DE428" s="4"/>
      <c r="DF428" s="4"/>
      <c r="DG428" s="4"/>
      <c r="DH428" s="4"/>
      <c r="DI428" s="4"/>
      <c r="DJ428" s="4"/>
      <c r="DK428" s="4"/>
      <c r="DL428" s="4"/>
      <c r="DM428" s="4"/>
      <c r="DN428" s="4"/>
      <c r="DO428" s="4"/>
      <c r="DP428" s="4"/>
      <c r="DQ428" s="4"/>
      <c r="DR428" s="4"/>
      <c r="DS428" s="4"/>
    </row>
    <row r="429">
      <c r="A429" s="9">
        <f>IFERROR(__xludf.DUMMYFUNCTION("""COMPUTED_VALUE"""),45567.0)</f>
        <v>45567</v>
      </c>
      <c r="B429" s="6" t="str">
        <f>IFERROR(__xludf.DUMMYFUNCTION("""COMPUTED_VALUE"""),"Restaurant")</f>
        <v>Restaurant</v>
      </c>
      <c r="C429" s="7">
        <f>IFERROR(__xludf.DUMMYFUNCTION("""COMPUTED_VALUE"""),62.0)</f>
        <v>62</v>
      </c>
      <c r="D429" s="6" t="str">
        <f>IFERROR(__xludf.DUMMYFUNCTION("""COMPUTED_VALUE"""),"Groceries")</f>
        <v>Groceries</v>
      </c>
      <c r="E429" s="6" t="str">
        <f>IFERROR(__xludf.DUMMYFUNCTION("""COMPUTED_VALUE"""),"Virtual Wallet")</f>
        <v>Virtual Wallet</v>
      </c>
      <c r="F429" s="6" t="s">
        <v>7</v>
      </c>
      <c r="G429" s="8" t="str">
        <f t="shared" si="1"/>
        <v>202410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  <c r="CD429" s="4"/>
      <c r="CE429" s="4"/>
      <c r="CF429" s="4"/>
      <c r="CG429" s="4"/>
      <c r="CH429" s="4"/>
      <c r="CI429" s="4"/>
      <c r="CJ429" s="4"/>
      <c r="CK429" s="4"/>
      <c r="CL429" s="4"/>
      <c r="CM429" s="4"/>
      <c r="CN429" s="4"/>
      <c r="CO429" s="4"/>
      <c r="CP429" s="4"/>
      <c r="CQ429" s="4"/>
      <c r="CR429" s="4"/>
      <c r="CS429" s="4"/>
      <c r="CT429" s="4"/>
      <c r="CU429" s="4"/>
      <c r="CV429" s="4"/>
      <c r="CW429" s="4"/>
      <c r="CX429" s="4"/>
      <c r="CY429" s="4"/>
      <c r="CZ429" s="4"/>
      <c r="DA429" s="4"/>
      <c r="DB429" s="4"/>
      <c r="DC429" s="4"/>
      <c r="DD429" s="4"/>
      <c r="DE429" s="4"/>
      <c r="DF429" s="4"/>
      <c r="DG429" s="4"/>
      <c r="DH429" s="4"/>
      <c r="DI429" s="4"/>
      <c r="DJ429" s="4"/>
      <c r="DK429" s="4"/>
      <c r="DL429" s="4"/>
      <c r="DM429" s="4"/>
      <c r="DN429" s="4"/>
      <c r="DO429" s="4"/>
      <c r="DP429" s="4"/>
      <c r="DQ429" s="4"/>
      <c r="DR429" s="4"/>
      <c r="DS429" s="4"/>
    </row>
    <row r="430">
      <c r="A430" s="9">
        <f>IFERROR(__xludf.DUMMYFUNCTION("""COMPUTED_VALUE"""),45567.0)</f>
        <v>45567</v>
      </c>
      <c r="B430" s="6" t="str">
        <f>IFERROR(__xludf.DUMMYFUNCTION("""COMPUTED_VALUE"""),"Restaurant")</f>
        <v>Restaurant</v>
      </c>
      <c r="C430" s="7">
        <f>IFERROR(__xludf.DUMMYFUNCTION("""COMPUTED_VALUE"""),332.0)</f>
        <v>332</v>
      </c>
      <c r="D430" s="6" t="str">
        <f>IFERROR(__xludf.DUMMYFUNCTION("""COMPUTED_VALUE"""),"Gifts")</f>
        <v>Gifts</v>
      </c>
      <c r="E430" s="6" t="str">
        <f>IFERROR(__xludf.DUMMYFUNCTION("""COMPUTED_VALUE"""),"Virtual Wallet")</f>
        <v>Virtual Wallet</v>
      </c>
      <c r="F430" s="6"/>
      <c r="G430" s="8" t="str">
        <f t="shared" si="1"/>
        <v>202410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  <c r="CD430" s="4"/>
      <c r="CE430" s="4"/>
      <c r="CF430" s="4"/>
      <c r="CG430" s="4"/>
      <c r="CH430" s="4"/>
      <c r="CI430" s="4"/>
      <c r="CJ430" s="4"/>
      <c r="CK430" s="4"/>
      <c r="CL430" s="4"/>
      <c r="CM430" s="4"/>
      <c r="CN430" s="4"/>
      <c r="CO430" s="4"/>
      <c r="CP430" s="4"/>
      <c r="CQ430" s="4"/>
      <c r="CR430" s="4"/>
      <c r="CS430" s="4"/>
      <c r="CT430" s="4"/>
      <c r="CU430" s="4"/>
      <c r="CV430" s="4"/>
      <c r="CW430" s="4"/>
      <c r="CX430" s="4"/>
      <c r="CY430" s="4"/>
      <c r="CZ430" s="4"/>
      <c r="DA430" s="4"/>
      <c r="DB430" s="4"/>
      <c r="DC430" s="4"/>
      <c r="DD430" s="4"/>
      <c r="DE430" s="4"/>
      <c r="DF430" s="4"/>
      <c r="DG430" s="4"/>
      <c r="DH430" s="4"/>
      <c r="DI430" s="4"/>
      <c r="DJ430" s="4"/>
      <c r="DK430" s="4"/>
      <c r="DL430" s="4"/>
      <c r="DM430" s="4"/>
      <c r="DN430" s="4"/>
      <c r="DO430" s="4"/>
      <c r="DP430" s="4"/>
      <c r="DQ430" s="4"/>
      <c r="DR430" s="4"/>
      <c r="DS430" s="4"/>
    </row>
    <row r="431">
      <c r="A431" s="9">
        <f>IFERROR(__xludf.DUMMYFUNCTION("""COMPUTED_VALUE"""),45567.0)</f>
        <v>45567</v>
      </c>
      <c r="B431" s="6" t="str">
        <f>IFERROR(__xludf.DUMMYFUNCTION("""COMPUTED_VALUE"""),"Restaurant")</f>
        <v>Restaurant</v>
      </c>
      <c r="C431" s="7">
        <f>IFERROR(__xludf.DUMMYFUNCTION("""COMPUTED_VALUE"""),74.0)</f>
        <v>74</v>
      </c>
      <c r="D431" s="6" t="str">
        <f>IFERROR(__xludf.DUMMYFUNCTION("""COMPUTED_VALUE"""),"Lunch Out")</f>
        <v>Lunch Out</v>
      </c>
      <c r="E431" s="6" t="str">
        <f>IFERROR(__xludf.DUMMYFUNCTION("""COMPUTED_VALUE"""),"Virtual Wallet")</f>
        <v>Virtual Wallet</v>
      </c>
      <c r="F431" s="6" t="s">
        <v>14</v>
      </c>
      <c r="G431" s="8" t="str">
        <f t="shared" si="1"/>
        <v>202410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  <c r="CD431" s="4"/>
      <c r="CE431" s="4"/>
      <c r="CF431" s="4"/>
      <c r="CG431" s="4"/>
      <c r="CH431" s="4"/>
      <c r="CI431" s="4"/>
      <c r="CJ431" s="4"/>
      <c r="CK431" s="4"/>
      <c r="CL431" s="4"/>
      <c r="CM431" s="4"/>
      <c r="CN431" s="4"/>
      <c r="CO431" s="4"/>
      <c r="CP431" s="4"/>
      <c r="CQ431" s="4"/>
      <c r="CR431" s="4"/>
      <c r="CS431" s="4"/>
      <c r="CT431" s="4"/>
      <c r="CU431" s="4"/>
      <c r="CV431" s="4"/>
      <c r="CW431" s="4"/>
      <c r="CX431" s="4"/>
      <c r="CY431" s="4"/>
      <c r="CZ431" s="4"/>
      <c r="DA431" s="4"/>
      <c r="DB431" s="4"/>
      <c r="DC431" s="4"/>
      <c r="DD431" s="4"/>
      <c r="DE431" s="4"/>
      <c r="DF431" s="4"/>
      <c r="DG431" s="4"/>
      <c r="DH431" s="4"/>
      <c r="DI431" s="4"/>
      <c r="DJ431" s="4"/>
      <c r="DK431" s="4"/>
      <c r="DL431" s="4"/>
      <c r="DM431" s="4"/>
      <c r="DN431" s="4"/>
      <c r="DO431" s="4"/>
      <c r="DP431" s="4"/>
      <c r="DQ431" s="4"/>
      <c r="DR431" s="4"/>
      <c r="DS431" s="4"/>
    </row>
    <row r="432">
      <c r="A432" s="9">
        <f>IFERROR(__xludf.DUMMYFUNCTION("""COMPUTED_VALUE"""),45568.0)</f>
        <v>45568</v>
      </c>
      <c r="B432" s="6" t="str">
        <f>IFERROR(__xludf.DUMMYFUNCTION("""COMPUTED_VALUE"""),"Pets")</f>
        <v>Pets</v>
      </c>
      <c r="C432" s="7">
        <f>IFERROR(__xludf.DUMMYFUNCTION("""COMPUTED_VALUE"""),14437.0)</f>
        <v>14437</v>
      </c>
      <c r="D432" s="6" t="str">
        <f>IFERROR(__xludf.DUMMYFUNCTION("""COMPUTED_VALUE"""),"Pets")</f>
        <v>Pets</v>
      </c>
      <c r="E432" s="6" t="str">
        <f>IFERROR(__xludf.DUMMYFUNCTION("""COMPUTED_VALUE"""),"Split Payment")</f>
        <v>Split Payment</v>
      </c>
      <c r="F432" s="6" t="s">
        <v>7</v>
      </c>
      <c r="G432" s="8" t="str">
        <f t="shared" si="1"/>
        <v>202410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  <c r="CD432" s="4"/>
      <c r="CE432" s="4"/>
      <c r="CF432" s="4"/>
      <c r="CG432" s="4"/>
      <c r="CH432" s="4"/>
      <c r="CI432" s="4"/>
      <c r="CJ432" s="4"/>
      <c r="CK432" s="4"/>
      <c r="CL432" s="4"/>
      <c r="CM432" s="4"/>
      <c r="CN432" s="4"/>
      <c r="CO432" s="4"/>
      <c r="CP432" s="4"/>
      <c r="CQ432" s="4"/>
      <c r="CR432" s="4"/>
      <c r="CS432" s="4"/>
      <c r="CT432" s="4"/>
      <c r="CU432" s="4"/>
      <c r="CV432" s="4"/>
      <c r="CW432" s="4"/>
      <c r="CX432" s="4"/>
      <c r="CY432" s="4"/>
      <c r="CZ432" s="4"/>
      <c r="DA432" s="4"/>
      <c r="DB432" s="4"/>
      <c r="DC432" s="4"/>
      <c r="DD432" s="4"/>
      <c r="DE432" s="4"/>
      <c r="DF432" s="4"/>
      <c r="DG432" s="4"/>
      <c r="DH432" s="4"/>
      <c r="DI432" s="4"/>
      <c r="DJ432" s="4"/>
      <c r="DK432" s="4"/>
      <c r="DL432" s="4"/>
      <c r="DM432" s="4"/>
      <c r="DN432" s="4"/>
      <c r="DO432" s="4"/>
      <c r="DP432" s="4"/>
      <c r="DQ432" s="4"/>
      <c r="DR432" s="4"/>
      <c r="DS432" s="4"/>
    </row>
    <row r="433">
      <c r="A433" s="9">
        <f>IFERROR(__xludf.DUMMYFUNCTION("""COMPUTED_VALUE"""),45568.0)</f>
        <v>45568</v>
      </c>
      <c r="B433" s="6" t="str">
        <f>IFERROR(__xludf.DUMMYFUNCTION("""COMPUTED_VALUE"""),"Sports")</f>
        <v>Sports</v>
      </c>
      <c r="C433" s="7">
        <f>IFERROR(__xludf.DUMMYFUNCTION("""COMPUTED_VALUE"""),21990.0)</f>
        <v>21990</v>
      </c>
      <c r="D433" s="6" t="str">
        <f>IFERROR(__xludf.DUMMYFUNCTION("""COMPUTED_VALUE"""),"Sports")</f>
        <v>Sports</v>
      </c>
      <c r="E433" s="6" t="str">
        <f>IFERROR(__xludf.DUMMYFUNCTION("""COMPUTED_VALUE"""),"Credit Card")</f>
        <v>Credit Card</v>
      </c>
      <c r="F433" s="6" t="s">
        <v>12</v>
      </c>
      <c r="G433" s="8" t="str">
        <f t="shared" si="1"/>
        <v>202410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  <c r="CD433" s="4"/>
      <c r="CE433" s="4"/>
      <c r="CF433" s="4"/>
      <c r="CG433" s="4"/>
      <c r="CH433" s="4"/>
      <c r="CI433" s="4"/>
      <c r="CJ433" s="4"/>
      <c r="CK433" s="4"/>
      <c r="CL433" s="4"/>
      <c r="CM433" s="4"/>
      <c r="CN433" s="4"/>
      <c r="CO433" s="4"/>
      <c r="CP433" s="4"/>
      <c r="CQ433" s="4"/>
      <c r="CR433" s="4"/>
      <c r="CS433" s="4"/>
      <c r="CT433" s="4"/>
      <c r="CU433" s="4"/>
      <c r="CV433" s="4"/>
      <c r="CW433" s="4"/>
      <c r="CX433" s="4"/>
      <c r="CY433" s="4"/>
      <c r="CZ433" s="4"/>
      <c r="DA433" s="4"/>
      <c r="DB433" s="4"/>
      <c r="DC433" s="4"/>
      <c r="DD433" s="4"/>
      <c r="DE433" s="4"/>
      <c r="DF433" s="4"/>
      <c r="DG433" s="4"/>
      <c r="DH433" s="4"/>
      <c r="DI433" s="4"/>
      <c r="DJ433" s="4"/>
      <c r="DK433" s="4"/>
      <c r="DL433" s="4"/>
      <c r="DM433" s="4"/>
      <c r="DN433" s="4"/>
      <c r="DO433" s="4"/>
      <c r="DP433" s="4"/>
      <c r="DQ433" s="4"/>
      <c r="DR433" s="4"/>
      <c r="DS433" s="4"/>
    </row>
    <row r="434">
      <c r="A434" s="9">
        <f>IFERROR(__xludf.DUMMYFUNCTION("""COMPUTED_VALUE"""),45568.0)</f>
        <v>45568</v>
      </c>
      <c r="B434" s="6" t="str">
        <f>IFERROR(__xludf.DUMMYFUNCTION("""COMPUTED_VALUE"""),"Doctor Visit")</f>
        <v>Doctor Visit</v>
      </c>
      <c r="C434" s="7">
        <f>IFERROR(__xludf.DUMMYFUNCTION("""COMPUTED_VALUE"""),4700.0)</f>
        <v>4700</v>
      </c>
      <c r="D434" s="6" t="str">
        <f>IFERROR(__xludf.DUMMYFUNCTION("""COMPUTED_VALUE"""),"Healthcare")</f>
        <v>Healthcare</v>
      </c>
      <c r="E434" s="6" t="str">
        <f>IFERROR(__xludf.DUMMYFUNCTION("""COMPUTED_VALUE"""),"Virtual Wallet")</f>
        <v>Virtual Wallet</v>
      </c>
      <c r="F434" s="6" t="s">
        <v>15</v>
      </c>
      <c r="G434" s="8" t="str">
        <f t="shared" si="1"/>
        <v>202410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  <c r="CD434" s="4"/>
      <c r="CE434" s="4"/>
      <c r="CF434" s="4"/>
      <c r="CG434" s="4"/>
      <c r="CH434" s="4"/>
      <c r="CI434" s="4"/>
      <c r="CJ434" s="4"/>
      <c r="CK434" s="4"/>
      <c r="CL434" s="4"/>
      <c r="CM434" s="4"/>
      <c r="CN434" s="4"/>
      <c r="CO434" s="4"/>
      <c r="CP434" s="4"/>
      <c r="CQ434" s="4"/>
      <c r="CR434" s="4"/>
      <c r="CS434" s="4"/>
      <c r="CT434" s="4"/>
      <c r="CU434" s="4"/>
      <c r="CV434" s="4"/>
      <c r="CW434" s="4"/>
      <c r="CX434" s="4"/>
      <c r="CY434" s="4"/>
      <c r="CZ434" s="4"/>
      <c r="DA434" s="4"/>
      <c r="DB434" s="4"/>
      <c r="DC434" s="4"/>
      <c r="DD434" s="4"/>
      <c r="DE434" s="4"/>
      <c r="DF434" s="4"/>
      <c r="DG434" s="4"/>
      <c r="DH434" s="4"/>
      <c r="DI434" s="4"/>
      <c r="DJ434" s="4"/>
      <c r="DK434" s="4"/>
      <c r="DL434" s="4"/>
      <c r="DM434" s="4"/>
      <c r="DN434" s="4"/>
      <c r="DO434" s="4"/>
      <c r="DP434" s="4"/>
      <c r="DQ434" s="4"/>
      <c r="DR434" s="4"/>
      <c r="DS434" s="4"/>
    </row>
    <row r="435">
      <c r="A435" s="9">
        <f>IFERROR(__xludf.DUMMYFUNCTION("""COMPUTED_VALUE"""),45568.0)</f>
        <v>45568</v>
      </c>
      <c r="B435" s="6" t="str">
        <f>IFERROR(__xludf.DUMMYFUNCTION("""COMPUTED_VALUE"""),"Groceries")</f>
        <v>Groceries</v>
      </c>
      <c r="C435" s="7">
        <f>IFERROR(__xludf.DUMMYFUNCTION("""COMPUTED_VALUE"""),3000.0)</f>
        <v>3000</v>
      </c>
      <c r="D435" s="6" t="str">
        <f>IFERROR(__xludf.DUMMYFUNCTION("""COMPUTED_VALUE"""),"Groceries")</f>
        <v>Groceries</v>
      </c>
      <c r="E435" s="6" t="str">
        <f>IFERROR(__xludf.DUMMYFUNCTION("""COMPUTED_VALUE"""),"Split Payment")</f>
        <v>Split Payment</v>
      </c>
      <c r="F435" s="6" t="s">
        <v>7</v>
      </c>
      <c r="G435" s="8" t="str">
        <f t="shared" si="1"/>
        <v>202410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  <c r="CD435" s="4"/>
      <c r="CE435" s="4"/>
      <c r="CF435" s="4"/>
      <c r="CG435" s="4"/>
      <c r="CH435" s="4"/>
      <c r="CI435" s="4"/>
      <c r="CJ435" s="4"/>
      <c r="CK435" s="4"/>
      <c r="CL435" s="4"/>
      <c r="CM435" s="4"/>
      <c r="CN435" s="4"/>
      <c r="CO435" s="4"/>
      <c r="CP435" s="4"/>
      <c r="CQ435" s="4"/>
      <c r="CR435" s="4"/>
      <c r="CS435" s="4"/>
      <c r="CT435" s="4"/>
      <c r="CU435" s="4"/>
      <c r="CV435" s="4"/>
      <c r="CW435" s="4"/>
      <c r="CX435" s="4"/>
      <c r="CY435" s="4"/>
      <c r="CZ435" s="4"/>
      <c r="DA435" s="4"/>
      <c r="DB435" s="4"/>
      <c r="DC435" s="4"/>
      <c r="DD435" s="4"/>
      <c r="DE435" s="4"/>
      <c r="DF435" s="4"/>
      <c r="DG435" s="4"/>
      <c r="DH435" s="4"/>
      <c r="DI435" s="4"/>
      <c r="DJ435" s="4"/>
      <c r="DK435" s="4"/>
      <c r="DL435" s="4"/>
      <c r="DM435" s="4"/>
      <c r="DN435" s="4"/>
      <c r="DO435" s="4"/>
      <c r="DP435" s="4"/>
      <c r="DQ435" s="4"/>
      <c r="DR435" s="4"/>
      <c r="DS435" s="4"/>
    </row>
    <row r="436">
      <c r="A436" s="9">
        <f>IFERROR(__xludf.DUMMYFUNCTION("""COMPUTED_VALUE"""),45568.0)</f>
        <v>45568</v>
      </c>
      <c r="B436" s="6" t="str">
        <f>IFERROR(__xludf.DUMMYFUNCTION("""COMPUTED_VALUE"""),"Pets")</f>
        <v>Pets</v>
      </c>
      <c r="C436" s="7">
        <f>IFERROR(__xludf.DUMMYFUNCTION("""COMPUTED_VALUE"""),19500.0)</f>
        <v>19500</v>
      </c>
      <c r="D436" s="6" t="str">
        <f>IFERROR(__xludf.DUMMYFUNCTION("""COMPUTED_VALUE"""),"Pets")</f>
        <v>Pets</v>
      </c>
      <c r="E436" s="6" t="str">
        <f>IFERROR(__xludf.DUMMYFUNCTION("""COMPUTED_VALUE"""),"Credit Card")</f>
        <v>Credit Card</v>
      </c>
      <c r="F436" s="6" t="s">
        <v>7</v>
      </c>
      <c r="G436" s="8" t="str">
        <f t="shared" si="1"/>
        <v>202410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  <c r="CD436" s="4"/>
      <c r="CE436" s="4"/>
      <c r="CF436" s="4"/>
      <c r="CG436" s="4"/>
      <c r="CH436" s="4"/>
      <c r="CI436" s="4"/>
      <c r="CJ436" s="4"/>
      <c r="CK436" s="4"/>
      <c r="CL436" s="4"/>
      <c r="CM436" s="4"/>
      <c r="CN436" s="4"/>
      <c r="CO436" s="4"/>
      <c r="CP436" s="4"/>
      <c r="CQ436" s="4"/>
      <c r="CR436" s="4"/>
      <c r="CS436" s="4"/>
      <c r="CT436" s="4"/>
      <c r="CU436" s="4"/>
      <c r="CV436" s="4"/>
      <c r="CW436" s="4"/>
      <c r="CX436" s="4"/>
      <c r="CY436" s="4"/>
      <c r="CZ436" s="4"/>
      <c r="DA436" s="4"/>
      <c r="DB436" s="4"/>
      <c r="DC436" s="4"/>
      <c r="DD436" s="4"/>
      <c r="DE436" s="4"/>
      <c r="DF436" s="4"/>
      <c r="DG436" s="4"/>
      <c r="DH436" s="4"/>
      <c r="DI436" s="4"/>
      <c r="DJ436" s="4"/>
      <c r="DK436" s="4"/>
      <c r="DL436" s="4"/>
      <c r="DM436" s="4"/>
      <c r="DN436" s="4"/>
      <c r="DO436" s="4"/>
      <c r="DP436" s="4"/>
      <c r="DQ436" s="4"/>
      <c r="DR436" s="4"/>
      <c r="DS436" s="4"/>
    </row>
    <row r="437">
      <c r="A437" s="9">
        <f>IFERROR(__xludf.DUMMYFUNCTION("""COMPUTED_VALUE"""),45569.0)</f>
        <v>45569</v>
      </c>
      <c r="B437" s="6" t="str">
        <f>IFERROR(__xludf.DUMMYFUNCTION("""COMPUTED_VALUE"""),"Stationery / Books")</f>
        <v>Stationery / Books</v>
      </c>
      <c r="C437" s="7">
        <f>IFERROR(__xludf.DUMMYFUNCTION("""COMPUTED_VALUE"""),3878.0)</f>
        <v>3878</v>
      </c>
      <c r="D437" s="6" t="str">
        <f>IFERROR(__xludf.DUMMYFUNCTION("""COMPUTED_VALUE"""),"Education")</f>
        <v>Education</v>
      </c>
      <c r="E437" s="6" t="str">
        <f>IFERROR(__xludf.DUMMYFUNCTION("""COMPUTED_VALUE"""),"Credit Card")</f>
        <v>Credit Card</v>
      </c>
      <c r="F437" s="6" t="s">
        <v>11</v>
      </c>
      <c r="G437" s="8" t="str">
        <f t="shared" si="1"/>
        <v>202410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  <c r="CD437" s="4"/>
      <c r="CE437" s="4"/>
      <c r="CF437" s="4"/>
      <c r="CG437" s="4"/>
      <c r="CH437" s="4"/>
      <c r="CI437" s="4"/>
      <c r="CJ437" s="4"/>
      <c r="CK437" s="4"/>
      <c r="CL437" s="4"/>
      <c r="CM437" s="4"/>
      <c r="CN437" s="4"/>
      <c r="CO437" s="4"/>
      <c r="CP437" s="4"/>
      <c r="CQ437" s="4"/>
      <c r="CR437" s="4"/>
      <c r="CS437" s="4"/>
      <c r="CT437" s="4"/>
      <c r="CU437" s="4"/>
      <c r="CV437" s="4"/>
      <c r="CW437" s="4"/>
      <c r="CX437" s="4"/>
      <c r="CY437" s="4"/>
      <c r="CZ437" s="4"/>
      <c r="DA437" s="4"/>
      <c r="DB437" s="4"/>
      <c r="DC437" s="4"/>
      <c r="DD437" s="4"/>
      <c r="DE437" s="4"/>
      <c r="DF437" s="4"/>
      <c r="DG437" s="4"/>
      <c r="DH437" s="4"/>
      <c r="DI437" s="4"/>
      <c r="DJ437" s="4"/>
      <c r="DK437" s="4"/>
      <c r="DL437" s="4"/>
      <c r="DM437" s="4"/>
      <c r="DN437" s="4"/>
      <c r="DO437" s="4"/>
      <c r="DP437" s="4"/>
      <c r="DQ437" s="4"/>
      <c r="DR437" s="4"/>
      <c r="DS437" s="4"/>
    </row>
    <row r="438">
      <c r="A438" s="9">
        <f>IFERROR(__xludf.DUMMYFUNCTION("""COMPUTED_VALUE"""),45569.0)</f>
        <v>45569</v>
      </c>
      <c r="B438" s="6" t="str">
        <f>IFERROR(__xludf.DUMMYFUNCTION("""COMPUTED_VALUE"""),"Water Bill (AySA)")</f>
        <v>Water Bill (AySA)</v>
      </c>
      <c r="C438" s="7">
        <f>IFERROR(__xludf.DUMMYFUNCTION("""COMPUTED_VALUE"""),547.5)</f>
        <v>547.5</v>
      </c>
      <c r="D438" s="6" t="str">
        <f>IFERROR(__xludf.DUMMYFUNCTION("""COMPUTED_VALUE"""),"Basic Services")</f>
        <v>Basic Services</v>
      </c>
      <c r="E438" s="6" t="str">
        <f>IFERROR(__xludf.DUMMYFUNCTION("""COMPUTED_VALUE"""),"Split Payment")</f>
        <v>Split Payment</v>
      </c>
      <c r="F438" s="6" t="s">
        <v>13</v>
      </c>
      <c r="G438" s="8" t="str">
        <f t="shared" si="1"/>
        <v>202410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  <c r="CD438" s="4"/>
      <c r="CE438" s="4"/>
      <c r="CF438" s="4"/>
      <c r="CG438" s="4"/>
      <c r="CH438" s="4"/>
      <c r="CI438" s="4"/>
      <c r="CJ438" s="4"/>
      <c r="CK438" s="4"/>
      <c r="CL438" s="4"/>
      <c r="CM438" s="4"/>
      <c r="CN438" s="4"/>
      <c r="CO438" s="4"/>
      <c r="CP438" s="4"/>
      <c r="CQ438" s="4"/>
      <c r="CR438" s="4"/>
      <c r="CS438" s="4"/>
      <c r="CT438" s="4"/>
      <c r="CU438" s="4"/>
      <c r="CV438" s="4"/>
      <c r="CW438" s="4"/>
      <c r="CX438" s="4"/>
      <c r="CY438" s="4"/>
      <c r="CZ438" s="4"/>
      <c r="DA438" s="4"/>
      <c r="DB438" s="4"/>
      <c r="DC438" s="4"/>
      <c r="DD438" s="4"/>
      <c r="DE438" s="4"/>
      <c r="DF438" s="4"/>
      <c r="DG438" s="4"/>
      <c r="DH438" s="4"/>
      <c r="DI438" s="4"/>
      <c r="DJ438" s="4"/>
      <c r="DK438" s="4"/>
      <c r="DL438" s="4"/>
      <c r="DM438" s="4"/>
      <c r="DN438" s="4"/>
      <c r="DO438" s="4"/>
      <c r="DP438" s="4"/>
      <c r="DQ438" s="4"/>
      <c r="DR438" s="4"/>
      <c r="DS438" s="4"/>
    </row>
    <row r="439">
      <c r="A439" s="9">
        <f>IFERROR(__xludf.DUMMYFUNCTION("""COMPUTED_VALUE"""),45569.0)</f>
        <v>45569</v>
      </c>
      <c r="B439" s="6" t="str">
        <f>IFERROR(__xludf.DUMMYFUNCTION("""COMPUTED_VALUE"""),"Gas Bill (Metrogas)")</f>
        <v>Gas Bill (Metrogas)</v>
      </c>
      <c r="C439" s="7">
        <f>IFERROR(__xludf.DUMMYFUNCTION("""COMPUTED_VALUE"""),12447.0)</f>
        <v>12447</v>
      </c>
      <c r="D439" s="6" t="str">
        <f>IFERROR(__xludf.DUMMYFUNCTION("""COMPUTED_VALUE"""),"Basic Services")</f>
        <v>Basic Services</v>
      </c>
      <c r="E439" s="6" t="str">
        <f>IFERROR(__xludf.DUMMYFUNCTION("""COMPUTED_VALUE"""),"Split Payment")</f>
        <v>Split Payment</v>
      </c>
      <c r="F439" s="6" t="s">
        <v>13</v>
      </c>
      <c r="G439" s="8" t="str">
        <f t="shared" si="1"/>
        <v>202410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  <c r="CD439" s="4"/>
      <c r="CE439" s="4"/>
      <c r="CF439" s="4"/>
      <c r="CG439" s="4"/>
      <c r="CH439" s="4"/>
      <c r="CI439" s="4"/>
      <c r="CJ439" s="4"/>
      <c r="CK439" s="4"/>
      <c r="CL439" s="4"/>
      <c r="CM439" s="4"/>
      <c r="CN439" s="4"/>
      <c r="CO439" s="4"/>
      <c r="CP439" s="4"/>
      <c r="CQ439" s="4"/>
      <c r="CR439" s="4"/>
      <c r="CS439" s="4"/>
      <c r="CT439" s="4"/>
      <c r="CU439" s="4"/>
      <c r="CV439" s="4"/>
      <c r="CW439" s="4"/>
      <c r="CX439" s="4"/>
      <c r="CY439" s="4"/>
      <c r="CZ439" s="4"/>
      <c r="DA439" s="4"/>
      <c r="DB439" s="4"/>
      <c r="DC439" s="4"/>
      <c r="DD439" s="4"/>
      <c r="DE439" s="4"/>
      <c r="DF439" s="4"/>
      <c r="DG439" s="4"/>
      <c r="DH439" s="4"/>
      <c r="DI439" s="4"/>
      <c r="DJ439" s="4"/>
      <c r="DK439" s="4"/>
      <c r="DL439" s="4"/>
      <c r="DM439" s="4"/>
      <c r="DN439" s="4"/>
      <c r="DO439" s="4"/>
      <c r="DP439" s="4"/>
      <c r="DQ439" s="4"/>
      <c r="DR439" s="4"/>
      <c r="DS439" s="4"/>
    </row>
    <row r="440">
      <c r="A440" s="9">
        <f>IFERROR(__xludf.DUMMYFUNCTION("""COMPUTED_VALUE"""),45569.0)</f>
        <v>45569</v>
      </c>
      <c r="B440" s="6" t="str">
        <f>IFERROR(__xludf.DUMMYFUNCTION("""COMPUTED_VALUE"""),"Health Insurance")</f>
        <v>Health Insurance</v>
      </c>
      <c r="C440" s="7">
        <f>IFERROR(__xludf.DUMMYFUNCTION("""COMPUTED_VALUE"""),110000.0)</f>
        <v>110000</v>
      </c>
      <c r="D440" s="6" t="str">
        <f>IFERROR(__xludf.DUMMYFUNCTION("""COMPUTED_VALUE"""),"Healthcare")</f>
        <v>Healthcare</v>
      </c>
      <c r="E440" s="6" t="str">
        <f>IFERROR(__xludf.DUMMYFUNCTION("""COMPUTED_VALUE"""),"Bank Transfer")</f>
        <v>Bank Transfer</v>
      </c>
      <c r="F440" s="6" t="s">
        <v>15</v>
      </c>
      <c r="G440" s="8" t="str">
        <f t="shared" si="1"/>
        <v>202410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  <c r="CD440" s="4"/>
      <c r="CE440" s="4"/>
      <c r="CF440" s="4"/>
      <c r="CG440" s="4"/>
      <c r="CH440" s="4"/>
      <c r="CI440" s="4"/>
      <c r="CJ440" s="4"/>
      <c r="CK440" s="4"/>
      <c r="CL440" s="4"/>
      <c r="CM440" s="4"/>
      <c r="CN440" s="4"/>
      <c r="CO440" s="4"/>
      <c r="CP440" s="4"/>
      <c r="CQ440" s="4"/>
      <c r="CR440" s="4"/>
      <c r="CS440" s="4"/>
      <c r="CT440" s="4"/>
      <c r="CU440" s="4"/>
      <c r="CV440" s="4"/>
      <c r="CW440" s="4"/>
      <c r="CX440" s="4"/>
      <c r="CY440" s="4"/>
      <c r="CZ440" s="4"/>
      <c r="DA440" s="4"/>
      <c r="DB440" s="4"/>
      <c r="DC440" s="4"/>
      <c r="DD440" s="4"/>
      <c r="DE440" s="4"/>
      <c r="DF440" s="4"/>
      <c r="DG440" s="4"/>
      <c r="DH440" s="4"/>
      <c r="DI440" s="4"/>
      <c r="DJ440" s="4"/>
      <c r="DK440" s="4"/>
      <c r="DL440" s="4"/>
      <c r="DM440" s="4"/>
      <c r="DN440" s="4"/>
      <c r="DO440" s="4"/>
      <c r="DP440" s="4"/>
      <c r="DQ440" s="4"/>
      <c r="DR440" s="4"/>
      <c r="DS440" s="4"/>
    </row>
    <row r="441">
      <c r="A441" s="9">
        <f>IFERROR(__xludf.DUMMYFUNCTION("""COMPUTED_VALUE"""),45569.0)</f>
        <v>45569</v>
      </c>
      <c r="B441" s="6" t="str">
        <f>IFERROR(__xludf.DUMMYFUNCTION("""COMPUTED_VALUE"""),"Rent &amp; Building Expenses")</f>
        <v>Rent &amp; Building Expenses</v>
      </c>
      <c r="C441" s="7">
        <f>IFERROR(__xludf.DUMMYFUNCTION("""COMPUTED_VALUE"""),235000.0)</f>
        <v>235000</v>
      </c>
      <c r="D441" s="6" t="str">
        <f>IFERROR(__xludf.DUMMYFUNCTION("""COMPUTED_VALUE"""),"Rent &amp; Utilities")</f>
        <v>Rent &amp; Utilities</v>
      </c>
      <c r="E441" s="6" t="str">
        <f>IFERROR(__xludf.DUMMYFUNCTION("""COMPUTED_VALUE"""),"Bank Transfer")</f>
        <v>Bank Transfer</v>
      </c>
      <c r="F441" s="6" t="s">
        <v>13</v>
      </c>
      <c r="G441" s="8" t="str">
        <f t="shared" si="1"/>
        <v>202410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  <c r="CD441" s="4"/>
      <c r="CE441" s="4"/>
      <c r="CF441" s="4"/>
      <c r="CG441" s="4"/>
      <c r="CH441" s="4"/>
      <c r="CI441" s="4"/>
      <c r="CJ441" s="4"/>
      <c r="CK441" s="4"/>
      <c r="CL441" s="4"/>
      <c r="CM441" s="4"/>
      <c r="CN441" s="4"/>
      <c r="CO441" s="4"/>
      <c r="CP441" s="4"/>
      <c r="CQ441" s="4"/>
      <c r="CR441" s="4"/>
      <c r="CS441" s="4"/>
      <c r="CT441" s="4"/>
      <c r="CU441" s="4"/>
      <c r="CV441" s="4"/>
      <c r="CW441" s="4"/>
      <c r="CX441" s="4"/>
      <c r="CY441" s="4"/>
      <c r="CZ441" s="4"/>
      <c r="DA441" s="4"/>
      <c r="DB441" s="4"/>
      <c r="DC441" s="4"/>
      <c r="DD441" s="4"/>
      <c r="DE441" s="4"/>
      <c r="DF441" s="4"/>
      <c r="DG441" s="4"/>
      <c r="DH441" s="4"/>
      <c r="DI441" s="4"/>
      <c r="DJ441" s="4"/>
      <c r="DK441" s="4"/>
      <c r="DL441" s="4"/>
      <c r="DM441" s="4"/>
      <c r="DN441" s="4"/>
      <c r="DO441" s="4"/>
      <c r="DP441" s="4"/>
      <c r="DQ441" s="4"/>
      <c r="DR441" s="4"/>
      <c r="DS441" s="4"/>
    </row>
    <row r="442">
      <c r="A442" s="9">
        <f>IFERROR(__xludf.DUMMYFUNCTION("""COMPUTED_VALUE"""),45570.0)</f>
        <v>45570</v>
      </c>
      <c r="B442" s="6" t="str">
        <f>IFERROR(__xludf.DUMMYFUNCTION("""COMPUTED_VALUE"""),"Streaming Services")</f>
        <v>Streaming Services</v>
      </c>
      <c r="C442" s="7">
        <f>IFERROR(__xludf.DUMMYFUNCTION("""COMPUTED_VALUE"""),2622.5)</f>
        <v>2622.5</v>
      </c>
      <c r="D442" s="6" t="str">
        <f>IFERROR(__xludf.DUMMYFUNCTION("""COMPUTED_VALUE"""),"Streaming Services")</f>
        <v>Streaming Services</v>
      </c>
      <c r="E442" s="6" t="str">
        <f>IFERROR(__xludf.DUMMYFUNCTION("""COMPUTED_VALUE"""),"Credit Card")</f>
        <v>Credit Card</v>
      </c>
      <c r="F442" s="6" t="s">
        <v>12</v>
      </c>
      <c r="G442" s="8" t="str">
        <f t="shared" si="1"/>
        <v>202410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  <c r="CD442" s="4"/>
      <c r="CE442" s="4"/>
      <c r="CF442" s="4"/>
      <c r="CG442" s="4"/>
      <c r="CH442" s="4"/>
      <c r="CI442" s="4"/>
      <c r="CJ442" s="4"/>
      <c r="CK442" s="4"/>
      <c r="CL442" s="4"/>
      <c r="CM442" s="4"/>
      <c r="CN442" s="4"/>
      <c r="CO442" s="4"/>
      <c r="CP442" s="4"/>
      <c r="CQ442" s="4"/>
      <c r="CR442" s="4"/>
      <c r="CS442" s="4"/>
      <c r="CT442" s="4"/>
      <c r="CU442" s="4"/>
      <c r="CV442" s="4"/>
      <c r="CW442" s="4"/>
      <c r="CX442" s="4"/>
      <c r="CY442" s="4"/>
      <c r="CZ442" s="4"/>
      <c r="DA442" s="4"/>
      <c r="DB442" s="4"/>
      <c r="DC442" s="4"/>
      <c r="DD442" s="4"/>
      <c r="DE442" s="4"/>
      <c r="DF442" s="4"/>
      <c r="DG442" s="4"/>
      <c r="DH442" s="4"/>
      <c r="DI442" s="4"/>
      <c r="DJ442" s="4"/>
      <c r="DK442" s="4"/>
      <c r="DL442" s="4"/>
      <c r="DM442" s="4"/>
      <c r="DN442" s="4"/>
      <c r="DO442" s="4"/>
      <c r="DP442" s="4"/>
      <c r="DQ442" s="4"/>
      <c r="DR442" s="4"/>
      <c r="DS442" s="4"/>
    </row>
    <row r="443">
      <c r="A443" s="9">
        <f>IFERROR(__xludf.DUMMYFUNCTION("""COMPUTED_VALUE"""),45570.0)</f>
        <v>45570</v>
      </c>
      <c r="B443" s="6" t="str">
        <f>IFERROR(__xludf.DUMMYFUNCTION("""COMPUTED_VALUE"""),"Home Goods")</f>
        <v>Home Goods</v>
      </c>
      <c r="C443" s="7">
        <f>IFERROR(__xludf.DUMMYFUNCTION("""COMPUTED_VALUE"""),10066.0)</f>
        <v>10066</v>
      </c>
      <c r="D443" s="6" t="str">
        <f>IFERROR(__xludf.DUMMYFUNCTION("""COMPUTED_VALUE"""),"Recreation")</f>
        <v>Recreation</v>
      </c>
      <c r="E443" s="6" t="str">
        <f>IFERROR(__xludf.DUMMYFUNCTION("""COMPUTED_VALUE"""),"Credit Card")</f>
        <v>Credit Card</v>
      </c>
      <c r="F443" s="6" t="s">
        <v>12</v>
      </c>
      <c r="G443" s="8" t="str">
        <f t="shared" si="1"/>
        <v>202410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  <c r="CD443" s="4"/>
      <c r="CE443" s="4"/>
      <c r="CF443" s="4"/>
      <c r="CG443" s="4"/>
      <c r="CH443" s="4"/>
      <c r="CI443" s="4"/>
      <c r="CJ443" s="4"/>
      <c r="CK443" s="4"/>
      <c r="CL443" s="4"/>
      <c r="CM443" s="4"/>
      <c r="CN443" s="4"/>
      <c r="CO443" s="4"/>
      <c r="CP443" s="4"/>
      <c r="CQ443" s="4"/>
      <c r="CR443" s="4"/>
      <c r="CS443" s="4"/>
      <c r="CT443" s="4"/>
      <c r="CU443" s="4"/>
      <c r="CV443" s="4"/>
      <c r="CW443" s="4"/>
      <c r="CX443" s="4"/>
      <c r="CY443" s="4"/>
      <c r="CZ443" s="4"/>
      <c r="DA443" s="4"/>
      <c r="DB443" s="4"/>
      <c r="DC443" s="4"/>
      <c r="DD443" s="4"/>
      <c r="DE443" s="4"/>
      <c r="DF443" s="4"/>
      <c r="DG443" s="4"/>
      <c r="DH443" s="4"/>
      <c r="DI443" s="4"/>
      <c r="DJ443" s="4"/>
      <c r="DK443" s="4"/>
      <c r="DL443" s="4"/>
      <c r="DM443" s="4"/>
      <c r="DN443" s="4"/>
      <c r="DO443" s="4"/>
      <c r="DP443" s="4"/>
      <c r="DQ443" s="4"/>
      <c r="DR443" s="4"/>
      <c r="DS443" s="4"/>
    </row>
    <row r="444">
      <c r="A444" s="9">
        <f>IFERROR(__xludf.DUMMYFUNCTION("""COMPUTED_VALUE"""),45570.0)</f>
        <v>45570</v>
      </c>
      <c r="B444" s="6" t="str">
        <f>IFERROR(__xludf.DUMMYFUNCTION("""COMPUTED_VALUE"""),"Home Goods")</f>
        <v>Home Goods</v>
      </c>
      <c r="C444" s="7">
        <f>IFERROR(__xludf.DUMMYFUNCTION("""COMPUTED_VALUE"""),8750.0)</f>
        <v>8750</v>
      </c>
      <c r="D444" s="6" t="str">
        <f>IFERROR(__xludf.DUMMYFUNCTION("""COMPUTED_VALUE"""),"Recreation")</f>
        <v>Recreation</v>
      </c>
      <c r="E444" s="6" t="str">
        <f>IFERROR(__xludf.DUMMYFUNCTION("""COMPUTED_VALUE"""),"Credit Card")</f>
        <v>Credit Card</v>
      </c>
      <c r="F444" s="6" t="s">
        <v>12</v>
      </c>
      <c r="G444" s="8" t="str">
        <f t="shared" si="1"/>
        <v>202410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  <c r="CD444" s="4"/>
      <c r="CE444" s="4"/>
      <c r="CF444" s="4"/>
      <c r="CG444" s="4"/>
      <c r="CH444" s="4"/>
      <c r="CI444" s="4"/>
      <c r="CJ444" s="4"/>
      <c r="CK444" s="4"/>
      <c r="CL444" s="4"/>
      <c r="CM444" s="4"/>
      <c r="CN444" s="4"/>
      <c r="CO444" s="4"/>
      <c r="CP444" s="4"/>
      <c r="CQ444" s="4"/>
      <c r="CR444" s="4"/>
      <c r="CS444" s="4"/>
      <c r="CT444" s="4"/>
      <c r="CU444" s="4"/>
      <c r="CV444" s="4"/>
      <c r="CW444" s="4"/>
      <c r="CX444" s="4"/>
      <c r="CY444" s="4"/>
      <c r="CZ444" s="4"/>
      <c r="DA444" s="4"/>
      <c r="DB444" s="4"/>
      <c r="DC444" s="4"/>
      <c r="DD444" s="4"/>
      <c r="DE444" s="4"/>
      <c r="DF444" s="4"/>
      <c r="DG444" s="4"/>
      <c r="DH444" s="4"/>
      <c r="DI444" s="4"/>
      <c r="DJ444" s="4"/>
      <c r="DK444" s="4"/>
      <c r="DL444" s="4"/>
      <c r="DM444" s="4"/>
      <c r="DN444" s="4"/>
      <c r="DO444" s="4"/>
      <c r="DP444" s="4"/>
      <c r="DQ444" s="4"/>
      <c r="DR444" s="4"/>
      <c r="DS444" s="4"/>
    </row>
    <row r="445">
      <c r="A445" s="9">
        <f>IFERROR(__xludf.DUMMYFUNCTION("""COMPUTED_VALUE"""),45570.0)</f>
        <v>45570</v>
      </c>
      <c r="B445" s="6" t="str">
        <f>IFERROR(__xludf.DUMMYFUNCTION("""COMPUTED_VALUE"""),"Cab/Uber")</f>
        <v>Cab/Uber</v>
      </c>
      <c r="C445" s="7">
        <f>IFERROR(__xludf.DUMMYFUNCTION("""COMPUTED_VALUE"""),1822.5)</f>
        <v>1822.5</v>
      </c>
      <c r="D445" s="6" t="str">
        <f>IFERROR(__xludf.DUMMYFUNCTION("""COMPUTED_VALUE"""),"Transportation")</f>
        <v>Transportation</v>
      </c>
      <c r="E445" s="6" t="str">
        <f>IFERROR(__xludf.DUMMYFUNCTION("""COMPUTED_VALUE"""),"Virtual Wallet")</f>
        <v>Virtual Wallet</v>
      </c>
      <c r="F445" s="6" t="s">
        <v>9</v>
      </c>
      <c r="G445" s="8" t="str">
        <f t="shared" si="1"/>
        <v>202410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  <c r="CD445" s="4"/>
      <c r="CE445" s="4"/>
      <c r="CF445" s="4"/>
      <c r="CG445" s="4"/>
      <c r="CH445" s="4"/>
      <c r="CI445" s="4"/>
      <c r="CJ445" s="4"/>
      <c r="CK445" s="4"/>
      <c r="CL445" s="4"/>
      <c r="CM445" s="4"/>
      <c r="CN445" s="4"/>
      <c r="CO445" s="4"/>
      <c r="CP445" s="4"/>
      <c r="CQ445" s="4"/>
      <c r="CR445" s="4"/>
      <c r="CS445" s="4"/>
      <c r="CT445" s="4"/>
      <c r="CU445" s="4"/>
      <c r="CV445" s="4"/>
      <c r="CW445" s="4"/>
      <c r="CX445" s="4"/>
      <c r="CY445" s="4"/>
      <c r="CZ445" s="4"/>
      <c r="DA445" s="4"/>
      <c r="DB445" s="4"/>
      <c r="DC445" s="4"/>
      <c r="DD445" s="4"/>
      <c r="DE445" s="4"/>
      <c r="DF445" s="4"/>
      <c r="DG445" s="4"/>
      <c r="DH445" s="4"/>
      <c r="DI445" s="4"/>
      <c r="DJ445" s="4"/>
      <c r="DK445" s="4"/>
      <c r="DL445" s="4"/>
      <c r="DM445" s="4"/>
      <c r="DN445" s="4"/>
      <c r="DO445" s="4"/>
      <c r="DP445" s="4"/>
      <c r="DQ445" s="4"/>
      <c r="DR445" s="4"/>
      <c r="DS445" s="4"/>
    </row>
    <row r="446">
      <c r="A446" s="9">
        <f>IFERROR(__xludf.DUMMYFUNCTION("""COMPUTED_VALUE"""),45570.0)</f>
        <v>45570</v>
      </c>
      <c r="B446" s="6" t="str">
        <f>IFERROR(__xludf.DUMMYFUNCTION("""COMPUTED_VALUE"""),"Municipal Tax (Agip)")</f>
        <v>Municipal Tax (Agip)</v>
      </c>
      <c r="C446" s="7">
        <f>IFERROR(__xludf.DUMMYFUNCTION("""COMPUTED_VALUE"""),6956.0)</f>
        <v>6956</v>
      </c>
      <c r="D446" s="6" t="str">
        <f>IFERROR(__xludf.DUMMYFUNCTION("""COMPUTED_VALUE"""),"Basic Services")</f>
        <v>Basic Services</v>
      </c>
      <c r="E446" s="6" t="str">
        <f>IFERROR(__xludf.DUMMYFUNCTION("""COMPUTED_VALUE"""),"Split Payment")</f>
        <v>Split Payment</v>
      </c>
      <c r="F446" s="6" t="s">
        <v>13</v>
      </c>
      <c r="G446" s="8" t="str">
        <f t="shared" si="1"/>
        <v>202410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  <c r="CD446" s="4"/>
      <c r="CE446" s="4"/>
      <c r="CF446" s="4"/>
      <c r="CG446" s="4"/>
      <c r="CH446" s="4"/>
      <c r="CI446" s="4"/>
      <c r="CJ446" s="4"/>
      <c r="CK446" s="4"/>
      <c r="CL446" s="4"/>
      <c r="CM446" s="4"/>
      <c r="CN446" s="4"/>
      <c r="CO446" s="4"/>
      <c r="CP446" s="4"/>
      <c r="CQ446" s="4"/>
      <c r="CR446" s="4"/>
      <c r="CS446" s="4"/>
      <c r="CT446" s="4"/>
      <c r="CU446" s="4"/>
      <c r="CV446" s="4"/>
      <c r="CW446" s="4"/>
      <c r="CX446" s="4"/>
      <c r="CY446" s="4"/>
      <c r="CZ446" s="4"/>
      <c r="DA446" s="4"/>
      <c r="DB446" s="4"/>
      <c r="DC446" s="4"/>
      <c r="DD446" s="4"/>
      <c r="DE446" s="4"/>
      <c r="DF446" s="4"/>
      <c r="DG446" s="4"/>
      <c r="DH446" s="4"/>
      <c r="DI446" s="4"/>
      <c r="DJ446" s="4"/>
      <c r="DK446" s="4"/>
      <c r="DL446" s="4"/>
      <c r="DM446" s="4"/>
      <c r="DN446" s="4"/>
      <c r="DO446" s="4"/>
      <c r="DP446" s="4"/>
      <c r="DQ446" s="4"/>
      <c r="DR446" s="4"/>
      <c r="DS446" s="4"/>
    </row>
    <row r="447">
      <c r="A447" s="9">
        <f>IFERROR(__xludf.DUMMYFUNCTION("""COMPUTED_VALUE"""),45570.0)</f>
        <v>45570</v>
      </c>
      <c r="B447" s="6" t="str">
        <f>IFERROR(__xludf.DUMMYFUNCTION("""COMPUTED_VALUE"""),"Restaurant")</f>
        <v>Restaurant</v>
      </c>
      <c r="C447" s="7">
        <f>IFERROR(__xludf.DUMMYFUNCTION("""COMPUTED_VALUE"""),239.0)</f>
        <v>239</v>
      </c>
      <c r="D447" s="6" t="str">
        <f>IFERROR(__xludf.DUMMYFUNCTION("""COMPUTED_VALUE"""),"Restaurant / Café")</f>
        <v>Restaurant / Café</v>
      </c>
      <c r="E447" s="6" t="str">
        <f>IFERROR(__xludf.DUMMYFUNCTION("""COMPUTED_VALUE"""),"Virtual Wallet")</f>
        <v>Virtual Wallet</v>
      </c>
      <c r="F447" s="6" t="s">
        <v>14</v>
      </c>
      <c r="G447" s="8" t="str">
        <f t="shared" si="1"/>
        <v>202410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  <c r="CD447" s="4"/>
      <c r="CE447" s="4"/>
      <c r="CF447" s="4"/>
      <c r="CG447" s="4"/>
      <c r="CH447" s="4"/>
      <c r="CI447" s="4"/>
      <c r="CJ447" s="4"/>
      <c r="CK447" s="4"/>
      <c r="CL447" s="4"/>
      <c r="CM447" s="4"/>
      <c r="CN447" s="4"/>
      <c r="CO447" s="4"/>
      <c r="CP447" s="4"/>
      <c r="CQ447" s="4"/>
      <c r="CR447" s="4"/>
      <c r="CS447" s="4"/>
      <c r="CT447" s="4"/>
      <c r="CU447" s="4"/>
      <c r="CV447" s="4"/>
      <c r="CW447" s="4"/>
      <c r="CX447" s="4"/>
      <c r="CY447" s="4"/>
      <c r="CZ447" s="4"/>
      <c r="DA447" s="4"/>
      <c r="DB447" s="4"/>
      <c r="DC447" s="4"/>
      <c r="DD447" s="4"/>
      <c r="DE447" s="4"/>
      <c r="DF447" s="4"/>
      <c r="DG447" s="4"/>
      <c r="DH447" s="4"/>
      <c r="DI447" s="4"/>
      <c r="DJ447" s="4"/>
      <c r="DK447" s="4"/>
      <c r="DL447" s="4"/>
      <c r="DM447" s="4"/>
      <c r="DN447" s="4"/>
      <c r="DO447" s="4"/>
      <c r="DP447" s="4"/>
      <c r="DQ447" s="4"/>
      <c r="DR447" s="4"/>
      <c r="DS447" s="4"/>
    </row>
    <row r="448">
      <c r="A448" s="9">
        <f>IFERROR(__xludf.DUMMYFUNCTION("""COMPUTED_VALUE"""),45571.0)</f>
        <v>45571</v>
      </c>
      <c r="B448" s="6" t="str">
        <f>IFERROR(__xludf.DUMMYFUNCTION("""COMPUTED_VALUE"""),"Home Goods")</f>
        <v>Home Goods</v>
      </c>
      <c r="C448" s="7">
        <f>IFERROR(__xludf.DUMMYFUNCTION("""COMPUTED_VALUE"""),10066.0)</f>
        <v>10066</v>
      </c>
      <c r="D448" s="6" t="str">
        <f>IFERROR(__xludf.DUMMYFUNCTION("""COMPUTED_VALUE"""),"Recreation")</f>
        <v>Recreation</v>
      </c>
      <c r="E448" s="6" t="str">
        <f>IFERROR(__xludf.DUMMYFUNCTION("""COMPUTED_VALUE"""),"Credit Card")</f>
        <v>Credit Card</v>
      </c>
      <c r="F448" s="6" t="s">
        <v>12</v>
      </c>
      <c r="G448" s="8" t="str">
        <f t="shared" si="1"/>
        <v>202410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  <c r="CD448" s="4"/>
      <c r="CE448" s="4"/>
      <c r="CF448" s="4"/>
      <c r="CG448" s="4"/>
      <c r="CH448" s="4"/>
      <c r="CI448" s="4"/>
      <c r="CJ448" s="4"/>
      <c r="CK448" s="4"/>
      <c r="CL448" s="4"/>
      <c r="CM448" s="4"/>
      <c r="CN448" s="4"/>
      <c r="CO448" s="4"/>
      <c r="CP448" s="4"/>
      <c r="CQ448" s="4"/>
      <c r="CR448" s="4"/>
      <c r="CS448" s="4"/>
      <c r="CT448" s="4"/>
      <c r="CU448" s="4"/>
      <c r="CV448" s="4"/>
      <c r="CW448" s="4"/>
      <c r="CX448" s="4"/>
      <c r="CY448" s="4"/>
      <c r="CZ448" s="4"/>
      <c r="DA448" s="4"/>
      <c r="DB448" s="4"/>
      <c r="DC448" s="4"/>
      <c r="DD448" s="4"/>
      <c r="DE448" s="4"/>
      <c r="DF448" s="4"/>
      <c r="DG448" s="4"/>
      <c r="DH448" s="4"/>
      <c r="DI448" s="4"/>
      <c r="DJ448" s="4"/>
      <c r="DK448" s="4"/>
      <c r="DL448" s="4"/>
      <c r="DM448" s="4"/>
      <c r="DN448" s="4"/>
      <c r="DO448" s="4"/>
      <c r="DP448" s="4"/>
      <c r="DQ448" s="4"/>
      <c r="DR448" s="4"/>
      <c r="DS448" s="4"/>
    </row>
    <row r="449">
      <c r="A449" s="9">
        <f>IFERROR(__xludf.DUMMYFUNCTION("""COMPUTED_VALUE"""),45571.0)</f>
        <v>45571</v>
      </c>
      <c r="B449" s="6" t="str">
        <f>IFERROR(__xludf.DUMMYFUNCTION("""COMPUTED_VALUE"""),"Home Goods")</f>
        <v>Home Goods</v>
      </c>
      <c r="C449" s="7">
        <f>IFERROR(__xludf.DUMMYFUNCTION("""COMPUTED_VALUE"""),8750.0)</f>
        <v>8750</v>
      </c>
      <c r="D449" s="6" t="str">
        <f>IFERROR(__xludf.DUMMYFUNCTION("""COMPUTED_VALUE"""),"Recreation")</f>
        <v>Recreation</v>
      </c>
      <c r="E449" s="6" t="str">
        <f>IFERROR(__xludf.DUMMYFUNCTION("""COMPUTED_VALUE"""),"Credit Card")</f>
        <v>Credit Card</v>
      </c>
      <c r="F449" s="6" t="s">
        <v>12</v>
      </c>
      <c r="G449" s="8" t="str">
        <f t="shared" si="1"/>
        <v>202410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  <c r="CD449" s="4"/>
      <c r="CE449" s="4"/>
      <c r="CF449" s="4"/>
      <c r="CG449" s="4"/>
      <c r="CH449" s="4"/>
      <c r="CI449" s="4"/>
      <c r="CJ449" s="4"/>
      <c r="CK449" s="4"/>
      <c r="CL449" s="4"/>
      <c r="CM449" s="4"/>
      <c r="CN449" s="4"/>
      <c r="CO449" s="4"/>
      <c r="CP449" s="4"/>
      <c r="CQ449" s="4"/>
      <c r="CR449" s="4"/>
      <c r="CS449" s="4"/>
      <c r="CT449" s="4"/>
      <c r="CU449" s="4"/>
      <c r="CV449" s="4"/>
      <c r="CW449" s="4"/>
      <c r="CX449" s="4"/>
      <c r="CY449" s="4"/>
      <c r="CZ449" s="4"/>
      <c r="DA449" s="4"/>
      <c r="DB449" s="4"/>
      <c r="DC449" s="4"/>
      <c r="DD449" s="4"/>
      <c r="DE449" s="4"/>
      <c r="DF449" s="4"/>
      <c r="DG449" s="4"/>
      <c r="DH449" s="4"/>
      <c r="DI449" s="4"/>
      <c r="DJ449" s="4"/>
      <c r="DK449" s="4"/>
      <c r="DL449" s="4"/>
      <c r="DM449" s="4"/>
      <c r="DN449" s="4"/>
      <c r="DO449" s="4"/>
      <c r="DP449" s="4"/>
      <c r="DQ449" s="4"/>
      <c r="DR449" s="4"/>
      <c r="DS449" s="4"/>
    </row>
    <row r="450">
      <c r="A450" s="9">
        <f>IFERROR(__xludf.DUMMYFUNCTION("""COMPUTED_VALUE"""),45571.0)</f>
        <v>45571</v>
      </c>
      <c r="B450" s="6" t="str">
        <f>IFERROR(__xludf.DUMMYFUNCTION("""COMPUTED_VALUE"""),"Recreation")</f>
        <v>Recreation</v>
      </c>
      <c r="C450" s="7">
        <f>IFERROR(__xludf.DUMMYFUNCTION("""COMPUTED_VALUE"""),11550.0)</f>
        <v>11550</v>
      </c>
      <c r="D450" s="6" t="str">
        <f>IFERROR(__xludf.DUMMYFUNCTION("""COMPUTED_VALUE"""),"Recreation")</f>
        <v>Recreation</v>
      </c>
      <c r="E450" s="6" t="str">
        <f>IFERROR(__xludf.DUMMYFUNCTION("""COMPUTED_VALUE"""),"Split Payment")</f>
        <v>Split Payment</v>
      </c>
      <c r="F450" s="6" t="s">
        <v>12</v>
      </c>
      <c r="G450" s="8" t="str">
        <f t="shared" si="1"/>
        <v>202410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  <c r="CD450" s="4"/>
      <c r="CE450" s="4"/>
      <c r="CF450" s="4"/>
      <c r="CG450" s="4"/>
      <c r="CH450" s="4"/>
      <c r="CI450" s="4"/>
      <c r="CJ450" s="4"/>
      <c r="CK450" s="4"/>
      <c r="CL450" s="4"/>
      <c r="CM450" s="4"/>
      <c r="CN450" s="4"/>
      <c r="CO450" s="4"/>
      <c r="CP450" s="4"/>
      <c r="CQ450" s="4"/>
      <c r="CR450" s="4"/>
      <c r="CS450" s="4"/>
      <c r="CT450" s="4"/>
      <c r="CU450" s="4"/>
      <c r="CV450" s="4"/>
      <c r="CW450" s="4"/>
      <c r="CX450" s="4"/>
      <c r="CY450" s="4"/>
      <c r="CZ450" s="4"/>
      <c r="DA450" s="4"/>
      <c r="DB450" s="4"/>
      <c r="DC450" s="4"/>
      <c r="DD450" s="4"/>
      <c r="DE450" s="4"/>
      <c r="DF450" s="4"/>
      <c r="DG450" s="4"/>
      <c r="DH450" s="4"/>
      <c r="DI450" s="4"/>
      <c r="DJ450" s="4"/>
      <c r="DK450" s="4"/>
      <c r="DL450" s="4"/>
      <c r="DM450" s="4"/>
      <c r="DN450" s="4"/>
      <c r="DO450" s="4"/>
      <c r="DP450" s="4"/>
      <c r="DQ450" s="4"/>
      <c r="DR450" s="4"/>
      <c r="DS450" s="4"/>
    </row>
    <row r="451">
      <c r="A451" s="9">
        <f>IFERROR(__xludf.DUMMYFUNCTION("""COMPUTED_VALUE"""),45571.0)</f>
        <v>45571</v>
      </c>
      <c r="B451" s="6" t="str">
        <f>IFERROR(__xludf.DUMMYFUNCTION("""COMPUTED_VALUE"""),"Recreation")</f>
        <v>Recreation</v>
      </c>
      <c r="C451" s="7">
        <f>IFERROR(__xludf.DUMMYFUNCTION("""COMPUTED_VALUE"""),3234.0)</f>
        <v>3234</v>
      </c>
      <c r="D451" s="6" t="str">
        <f>IFERROR(__xludf.DUMMYFUNCTION("""COMPUTED_VALUE"""),"Recreation")</f>
        <v>Recreation</v>
      </c>
      <c r="E451" s="6" t="str">
        <f>IFERROR(__xludf.DUMMYFUNCTION("""COMPUTED_VALUE"""),"Virtual Wallet")</f>
        <v>Virtual Wallet</v>
      </c>
      <c r="F451" s="6" t="s">
        <v>12</v>
      </c>
      <c r="G451" s="8" t="str">
        <f t="shared" si="1"/>
        <v>202410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  <c r="CD451" s="4"/>
      <c r="CE451" s="4"/>
      <c r="CF451" s="4"/>
      <c r="CG451" s="4"/>
      <c r="CH451" s="4"/>
      <c r="CI451" s="4"/>
      <c r="CJ451" s="4"/>
      <c r="CK451" s="4"/>
      <c r="CL451" s="4"/>
      <c r="CM451" s="4"/>
      <c r="CN451" s="4"/>
      <c r="CO451" s="4"/>
      <c r="CP451" s="4"/>
      <c r="CQ451" s="4"/>
      <c r="CR451" s="4"/>
      <c r="CS451" s="4"/>
      <c r="CT451" s="4"/>
      <c r="CU451" s="4"/>
      <c r="CV451" s="4"/>
      <c r="CW451" s="4"/>
      <c r="CX451" s="4"/>
      <c r="CY451" s="4"/>
      <c r="CZ451" s="4"/>
      <c r="DA451" s="4"/>
      <c r="DB451" s="4"/>
      <c r="DC451" s="4"/>
      <c r="DD451" s="4"/>
      <c r="DE451" s="4"/>
      <c r="DF451" s="4"/>
      <c r="DG451" s="4"/>
      <c r="DH451" s="4"/>
      <c r="DI451" s="4"/>
      <c r="DJ451" s="4"/>
      <c r="DK451" s="4"/>
      <c r="DL451" s="4"/>
      <c r="DM451" s="4"/>
      <c r="DN451" s="4"/>
      <c r="DO451" s="4"/>
      <c r="DP451" s="4"/>
      <c r="DQ451" s="4"/>
      <c r="DR451" s="4"/>
      <c r="DS451" s="4"/>
    </row>
    <row r="452">
      <c r="A452" s="9">
        <f>IFERROR(__xludf.DUMMYFUNCTION("""COMPUTED_VALUE"""),45571.0)</f>
        <v>45571</v>
      </c>
      <c r="B452" s="6" t="str">
        <f>IFERROR(__xludf.DUMMYFUNCTION("""COMPUTED_VALUE"""),"Restaurant")</f>
        <v>Restaurant</v>
      </c>
      <c r="C452" s="7">
        <f>IFERROR(__xludf.DUMMYFUNCTION("""COMPUTED_VALUE"""),6000.0)</f>
        <v>6000</v>
      </c>
      <c r="D452" s="6" t="str">
        <f>IFERROR(__xludf.DUMMYFUNCTION("""COMPUTED_VALUE"""),"Restaurant / Café")</f>
        <v>Restaurant / Café</v>
      </c>
      <c r="E452" s="6" t="str">
        <f>IFERROR(__xludf.DUMMYFUNCTION("""COMPUTED_VALUE"""),"Virtual Wallet")</f>
        <v>Virtual Wallet</v>
      </c>
      <c r="F452" s="6" t="s">
        <v>14</v>
      </c>
      <c r="G452" s="8" t="str">
        <f t="shared" si="1"/>
        <v>202410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  <c r="CD452" s="4"/>
      <c r="CE452" s="4"/>
      <c r="CF452" s="4"/>
      <c r="CG452" s="4"/>
      <c r="CH452" s="4"/>
      <c r="CI452" s="4"/>
      <c r="CJ452" s="4"/>
      <c r="CK452" s="4"/>
      <c r="CL452" s="4"/>
      <c r="CM452" s="4"/>
      <c r="CN452" s="4"/>
      <c r="CO452" s="4"/>
      <c r="CP452" s="4"/>
      <c r="CQ452" s="4"/>
      <c r="CR452" s="4"/>
      <c r="CS452" s="4"/>
      <c r="CT452" s="4"/>
      <c r="CU452" s="4"/>
      <c r="CV452" s="4"/>
      <c r="CW452" s="4"/>
      <c r="CX452" s="4"/>
      <c r="CY452" s="4"/>
      <c r="CZ452" s="4"/>
      <c r="DA452" s="4"/>
      <c r="DB452" s="4"/>
      <c r="DC452" s="4"/>
      <c r="DD452" s="4"/>
      <c r="DE452" s="4"/>
      <c r="DF452" s="4"/>
      <c r="DG452" s="4"/>
      <c r="DH452" s="4"/>
      <c r="DI452" s="4"/>
      <c r="DJ452" s="4"/>
      <c r="DK452" s="4"/>
      <c r="DL452" s="4"/>
      <c r="DM452" s="4"/>
      <c r="DN452" s="4"/>
      <c r="DO452" s="4"/>
      <c r="DP452" s="4"/>
      <c r="DQ452" s="4"/>
      <c r="DR452" s="4"/>
      <c r="DS452" s="4"/>
    </row>
    <row r="453">
      <c r="A453" s="9">
        <f>IFERROR(__xludf.DUMMYFUNCTION("""COMPUTED_VALUE"""),45571.0)</f>
        <v>45571</v>
      </c>
      <c r="B453" s="6" t="str">
        <f>IFERROR(__xludf.DUMMYFUNCTION("""COMPUTED_VALUE"""),"Restaurant")</f>
        <v>Restaurant</v>
      </c>
      <c r="C453" s="7">
        <f>IFERROR(__xludf.DUMMYFUNCTION("""COMPUTED_VALUE"""),13384.0)</f>
        <v>13384</v>
      </c>
      <c r="D453" s="6" t="str">
        <f>IFERROR(__xludf.DUMMYFUNCTION("""COMPUTED_VALUE"""),"Gifts")</f>
        <v>Gifts</v>
      </c>
      <c r="E453" s="6" t="str">
        <f>IFERROR(__xludf.DUMMYFUNCTION("""COMPUTED_VALUE"""),"Virtual Wallet")</f>
        <v>Virtual Wallet</v>
      </c>
      <c r="F453" s="6"/>
      <c r="G453" s="8" t="str">
        <f t="shared" si="1"/>
        <v>202410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  <c r="CD453" s="4"/>
      <c r="CE453" s="4"/>
      <c r="CF453" s="4"/>
      <c r="CG453" s="4"/>
      <c r="CH453" s="4"/>
      <c r="CI453" s="4"/>
      <c r="CJ453" s="4"/>
      <c r="CK453" s="4"/>
      <c r="CL453" s="4"/>
      <c r="CM453" s="4"/>
      <c r="CN453" s="4"/>
      <c r="CO453" s="4"/>
      <c r="CP453" s="4"/>
      <c r="CQ453" s="4"/>
      <c r="CR453" s="4"/>
      <c r="CS453" s="4"/>
      <c r="CT453" s="4"/>
      <c r="CU453" s="4"/>
      <c r="CV453" s="4"/>
      <c r="CW453" s="4"/>
      <c r="CX453" s="4"/>
      <c r="CY453" s="4"/>
      <c r="CZ453" s="4"/>
      <c r="DA453" s="4"/>
      <c r="DB453" s="4"/>
      <c r="DC453" s="4"/>
      <c r="DD453" s="4"/>
      <c r="DE453" s="4"/>
      <c r="DF453" s="4"/>
      <c r="DG453" s="4"/>
      <c r="DH453" s="4"/>
      <c r="DI453" s="4"/>
      <c r="DJ453" s="4"/>
      <c r="DK453" s="4"/>
      <c r="DL453" s="4"/>
      <c r="DM453" s="4"/>
      <c r="DN453" s="4"/>
      <c r="DO453" s="4"/>
      <c r="DP453" s="4"/>
      <c r="DQ453" s="4"/>
      <c r="DR453" s="4"/>
      <c r="DS453" s="4"/>
    </row>
    <row r="454">
      <c r="A454" s="9">
        <f>IFERROR(__xludf.DUMMYFUNCTION("""COMPUTED_VALUE"""),45571.0)</f>
        <v>45571</v>
      </c>
      <c r="B454" s="6" t="str">
        <f>IFERROR(__xludf.DUMMYFUNCTION("""COMPUTED_VALUE"""),"Streaming Services")</f>
        <v>Streaming Services</v>
      </c>
      <c r="C454" s="7">
        <f>IFERROR(__xludf.DUMMYFUNCTION("""COMPUTED_VALUE"""),5723.0)</f>
        <v>5723</v>
      </c>
      <c r="D454" s="6" t="str">
        <f>IFERROR(__xludf.DUMMYFUNCTION("""COMPUTED_VALUE"""),"Streaming Services")</f>
        <v>Streaming Services</v>
      </c>
      <c r="E454" s="6" t="str">
        <f>IFERROR(__xludf.DUMMYFUNCTION("""COMPUTED_VALUE"""),"Credit Card")</f>
        <v>Credit Card</v>
      </c>
      <c r="F454" s="6" t="s">
        <v>12</v>
      </c>
      <c r="G454" s="8" t="str">
        <f t="shared" si="1"/>
        <v>202410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  <c r="CD454" s="4"/>
      <c r="CE454" s="4"/>
      <c r="CF454" s="4"/>
      <c r="CG454" s="4"/>
      <c r="CH454" s="4"/>
      <c r="CI454" s="4"/>
      <c r="CJ454" s="4"/>
      <c r="CK454" s="4"/>
      <c r="CL454" s="4"/>
      <c r="CM454" s="4"/>
      <c r="CN454" s="4"/>
      <c r="CO454" s="4"/>
      <c r="CP454" s="4"/>
      <c r="CQ454" s="4"/>
      <c r="CR454" s="4"/>
      <c r="CS454" s="4"/>
      <c r="CT454" s="4"/>
      <c r="CU454" s="4"/>
      <c r="CV454" s="4"/>
      <c r="CW454" s="4"/>
      <c r="CX454" s="4"/>
      <c r="CY454" s="4"/>
      <c r="CZ454" s="4"/>
      <c r="DA454" s="4"/>
      <c r="DB454" s="4"/>
      <c r="DC454" s="4"/>
      <c r="DD454" s="4"/>
      <c r="DE454" s="4"/>
      <c r="DF454" s="4"/>
      <c r="DG454" s="4"/>
      <c r="DH454" s="4"/>
      <c r="DI454" s="4"/>
      <c r="DJ454" s="4"/>
      <c r="DK454" s="4"/>
      <c r="DL454" s="4"/>
      <c r="DM454" s="4"/>
      <c r="DN454" s="4"/>
      <c r="DO454" s="4"/>
      <c r="DP454" s="4"/>
      <c r="DQ454" s="4"/>
      <c r="DR454" s="4"/>
      <c r="DS454" s="4"/>
    </row>
    <row r="455">
      <c r="A455" s="9">
        <f>IFERROR(__xludf.DUMMYFUNCTION("""COMPUTED_VALUE"""),45572.0)</f>
        <v>45572</v>
      </c>
      <c r="B455" s="6" t="str">
        <f>IFERROR(__xludf.DUMMYFUNCTION("""COMPUTED_VALUE"""),"Groceries")</f>
        <v>Groceries</v>
      </c>
      <c r="C455" s="7">
        <f>IFERROR(__xludf.DUMMYFUNCTION("""COMPUTED_VALUE"""),1450.0)</f>
        <v>1450</v>
      </c>
      <c r="D455" s="6" t="str">
        <f>IFERROR(__xludf.DUMMYFUNCTION("""COMPUTED_VALUE"""),"Home Goods &amp; Utilities")</f>
        <v>Home Goods &amp; Utilities</v>
      </c>
      <c r="E455" s="6" t="str">
        <f>IFERROR(__xludf.DUMMYFUNCTION("""COMPUTED_VALUE"""),"Split Payment")</f>
        <v>Split Payment</v>
      </c>
      <c r="F455" s="6" t="s">
        <v>8</v>
      </c>
      <c r="G455" s="8" t="str">
        <f t="shared" si="1"/>
        <v>202410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  <c r="CD455" s="4"/>
      <c r="CE455" s="4"/>
      <c r="CF455" s="4"/>
      <c r="CG455" s="4"/>
      <c r="CH455" s="4"/>
      <c r="CI455" s="4"/>
      <c r="CJ455" s="4"/>
      <c r="CK455" s="4"/>
      <c r="CL455" s="4"/>
      <c r="CM455" s="4"/>
      <c r="CN455" s="4"/>
      <c r="CO455" s="4"/>
      <c r="CP455" s="4"/>
      <c r="CQ455" s="4"/>
      <c r="CR455" s="4"/>
      <c r="CS455" s="4"/>
      <c r="CT455" s="4"/>
      <c r="CU455" s="4"/>
      <c r="CV455" s="4"/>
      <c r="CW455" s="4"/>
      <c r="CX455" s="4"/>
      <c r="CY455" s="4"/>
      <c r="CZ455" s="4"/>
      <c r="DA455" s="4"/>
      <c r="DB455" s="4"/>
      <c r="DC455" s="4"/>
      <c r="DD455" s="4"/>
      <c r="DE455" s="4"/>
      <c r="DF455" s="4"/>
      <c r="DG455" s="4"/>
      <c r="DH455" s="4"/>
      <c r="DI455" s="4"/>
      <c r="DJ455" s="4"/>
      <c r="DK455" s="4"/>
      <c r="DL455" s="4"/>
      <c r="DM455" s="4"/>
      <c r="DN455" s="4"/>
      <c r="DO455" s="4"/>
      <c r="DP455" s="4"/>
      <c r="DQ455" s="4"/>
      <c r="DR455" s="4"/>
      <c r="DS455" s="4"/>
    </row>
    <row r="456">
      <c r="A456" s="9">
        <f>IFERROR(__xludf.DUMMYFUNCTION("""COMPUTED_VALUE"""),45572.0)</f>
        <v>45572</v>
      </c>
      <c r="B456" s="6" t="str">
        <f>IFERROR(__xludf.DUMMYFUNCTION("""COMPUTED_VALUE"""),"Pets")</f>
        <v>Pets</v>
      </c>
      <c r="C456" s="7">
        <f>IFERROR(__xludf.DUMMYFUNCTION("""COMPUTED_VALUE"""),4000.0)</f>
        <v>4000</v>
      </c>
      <c r="D456" s="6" t="str">
        <f>IFERROR(__xludf.DUMMYFUNCTION("""COMPUTED_VALUE"""),"Pets")</f>
        <v>Pets</v>
      </c>
      <c r="E456" s="6" t="str">
        <f>IFERROR(__xludf.DUMMYFUNCTION("""COMPUTED_VALUE"""),"Split Payment")</f>
        <v>Split Payment</v>
      </c>
      <c r="F456" s="6" t="s">
        <v>7</v>
      </c>
      <c r="G456" s="8" t="str">
        <f t="shared" si="1"/>
        <v>202410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  <c r="CD456" s="4"/>
      <c r="CE456" s="4"/>
      <c r="CF456" s="4"/>
      <c r="CG456" s="4"/>
      <c r="CH456" s="4"/>
      <c r="CI456" s="4"/>
      <c r="CJ456" s="4"/>
      <c r="CK456" s="4"/>
      <c r="CL456" s="4"/>
      <c r="CM456" s="4"/>
      <c r="CN456" s="4"/>
      <c r="CO456" s="4"/>
      <c r="CP456" s="4"/>
      <c r="CQ456" s="4"/>
      <c r="CR456" s="4"/>
      <c r="CS456" s="4"/>
      <c r="CT456" s="4"/>
      <c r="CU456" s="4"/>
      <c r="CV456" s="4"/>
      <c r="CW456" s="4"/>
      <c r="CX456" s="4"/>
      <c r="CY456" s="4"/>
      <c r="CZ456" s="4"/>
      <c r="DA456" s="4"/>
      <c r="DB456" s="4"/>
      <c r="DC456" s="4"/>
      <c r="DD456" s="4"/>
      <c r="DE456" s="4"/>
      <c r="DF456" s="4"/>
      <c r="DG456" s="4"/>
      <c r="DH456" s="4"/>
      <c r="DI456" s="4"/>
      <c r="DJ456" s="4"/>
      <c r="DK456" s="4"/>
      <c r="DL456" s="4"/>
      <c r="DM456" s="4"/>
      <c r="DN456" s="4"/>
      <c r="DO456" s="4"/>
      <c r="DP456" s="4"/>
      <c r="DQ456" s="4"/>
      <c r="DR456" s="4"/>
      <c r="DS456" s="4"/>
    </row>
    <row r="457">
      <c r="A457" s="9">
        <f>IFERROR(__xludf.DUMMYFUNCTION("""COMPUTED_VALUE"""),45573.0)</f>
        <v>45573</v>
      </c>
      <c r="B457" s="6" t="str">
        <f>IFERROR(__xludf.DUMMYFUNCTION("""COMPUTED_VALUE"""),"Groceries")</f>
        <v>Groceries</v>
      </c>
      <c r="C457" s="7">
        <f>IFERROR(__xludf.DUMMYFUNCTION("""COMPUTED_VALUE"""),3500.0)</f>
        <v>3500</v>
      </c>
      <c r="D457" s="6" t="str">
        <f>IFERROR(__xludf.DUMMYFUNCTION("""COMPUTED_VALUE"""),"Groceries")</f>
        <v>Groceries</v>
      </c>
      <c r="E457" s="6" t="str">
        <f>IFERROR(__xludf.DUMMYFUNCTION("""COMPUTED_VALUE"""),"Virtual Wallet")</f>
        <v>Virtual Wallet</v>
      </c>
      <c r="F457" s="6" t="s">
        <v>7</v>
      </c>
      <c r="G457" s="8" t="str">
        <f t="shared" si="1"/>
        <v>202410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  <c r="CD457" s="4"/>
      <c r="CE457" s="4"/>
      <c r="CF457" s="4"/>
      <c r="CG457" s="4"/>
      <c r="CH457" s="4"/>
      <c r="CI457" s="4"/>
      <c r="CJ457" s="4"/>
      <c r="CK457" s="4"/>
      <c r="CL457" s="4"/>
      <c r="CM457" s="4"/>
      <c r="CN457" s="4"/>
      <c r="CO457" s="4"/>
      <c r="CP457" s="4"/>
      <c r="CQ457" s="4"/>
      <c r="CR457" s="4"/>
      <c r="CS457" s="4"/>
      <c r="CT457" s="4"/>
      <c r="CU457" s="4"/>
      <c r="CV457" s="4"/>
      <c r="CW457" s="4"/>
      <c r="CX457" s="4"/>
      <c r="CY457" s="4"/>
      <c r="CZ457" s="4"/>
      <c r="DA457" s="4"/>
      <c r="DB457" s="4"/>
      <c r="DC457" s="4"/>
      <c r="DD457" s="4"/>
      <c r="DE457" s="4"/>
      <c r="DF457" s="4"/>
      <c r="DG457" s="4"/>
      <c r="DH457" s="4"/>
      <c r="DI457" s="4"/>
      <c r="DJ457" s="4"/>
      <c r="DK457" s="4"/>
      <c r="DL457" s="4"/>
      <c r="DM457" s="4"/>
      <c r="DN457" s="4"/>
      <c r="DO457" s="4"/>
      <c r="DP457" s="4"/>
      <c r="DQ457" s="4"/>
      <c r="DR457" s="4"/>
      <c r="DS457" s="4"/>
    </row>
    <row r="458">
      <c r="A458" s="9">
        <f>IFERROR(__xludf.DUMMYFUNCTION("""COMPUTED_VALUE"""),45574.0)</f>
        <v>45574</v>
      </c>
      <c r="B458" s="6" t="str">
        <f>IFERROR(__xludf.DUMMYFUNCTION("""COMPUTED_VALUE"""),"Groceries")</f>
        <v>Groceries</v>
      </c>
      <c r="C458" s="7">
        <f>IFERROR(__xludf.DUMMYFUNCTION("""COMPUTED_VALUE"""),1750.0)</f>
        <v>1750</v>
      </c>
      <c r="D458" s="6" t="str">
        <f>IFERROR(__xludf.DUMMYFUNCTION("""COMPUTED_VALUE"""),"Groceries")</f>
        <v>Groceries</v>
      </c>
      <c r="E458" s="6" t="str">
        <f>IFERROR(__xludf.DUMMYFUNCTION("""COMPUTED_VALUE"""),"Virtual Wallet")</f>
        <v>Virtual Wallet</v>
      </c>
      <c r="F458" s="6" t="s">
        <v>7</v>
      </c>
      <c r="G458" s="8" t="str">
        <f t="shared" si="1"/>
        <v>202410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  <c r="CD458" s="4"/>
      <c r="CE458" s="4"/>
      <c r="CF458" s="4"/>
      <c r="CG458" s="4"/>
      <c r="CH458" s="4"/>
      <c r="CI458" s="4"/>
      <c r="CJ458" s="4"/>
      <c r="CK458" s="4"/>
      <c r="CL458" s="4"/>
      <c r="CM458" s="4"/>
      <c r="CN458" s="4"/>
      <c r="CO458" s="4"/>
      <c r="CP458" s="4"/>
      <c r="CQ458" s="4"/>
      <c r="CR458" s="4"/>
      <c r="CS458" s="4"/>
      <c r="CT458" s="4"/>
      <c r="CU458" s="4"/>
      <c r="CV458" s="4"/>
      <c r="CW458" s="4"/>
      <c r="CX458" s="4"/>
      <c r="CY458" s="4"/>
      <c r="CZ458" s="4"/>
      <c r="DA458" s="4"/>
      <c r="DB458" s="4"/>
      <c r="DC458" s="4"/>
      <c r="DD458" s="4"/>
      <c r="DE458" s="4"/>
      <c r="DF458" s="4"/>
      <c r="DG458" s="4"/>
      <c r="DH458" s="4"/>
      <c r="DI458" s="4"/>
      <c r="DJ458" s="4"/>
      <c r="DK458" s="4"/>
      <c r="DL458" s="4"/>
      <c r="DM458" s="4"/>
      <c r="DN458" s="4"/>
      <c r="DO458" s="4"/>
      <c r="DP458" s="4"/>
      <c r="DQ458" s="4"/>
      <c r="DR458" s="4"/>
      <c r="DS458" s="4"/>
    </row>
    <row r="459">
      <c r="A459" s="9">
        <f>IFERROR(__xludf.DUMMYFUNCTION("""COMPUTED_VALUE"""),45574.0)</f>
        <v>45574</v>
      </c>
      <c r="B459" s="6" t="str">
        <f>IFERROR(__xludf.DUMMYFUNCTION("""COMPUTED_VALUE"""),"Restaurant")</f>
        <v>Restaurant</v>
      </c>
      <c r="C459" s="7">
        <f>IFERROR(__xludf.DUMMYFUNCTION("""COMPUTED_VALUE"""),32.0)</f>
        <v>32</v>
      </c>
      <c r="D459" s="6" t="str">
        <f>IFERROR(__xludf.DUMMYFUNCTION("""COMPUTED_VALUE"""),"Lunch Out")</f>
        <v>Lunch Out</v>
      </c>
      <c r="E459" s="6" t="str">
        <f>IFERROR(__xludf.DUMMYFUNCTION("""COMPUTED_VALUE"""),"Virtual Wallet")</f>
        <v>Virtual Wallet</v>
      </c>
      <c r="F459" s="6" t="s">
        <v>14</v>
      </c>
      <c r="G459" s="8" t="str">
        <f t="shared" si="1"/>
        <v>202410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  <c r="CD459" s="4"/>
      <c r="CE459" s="4"/>
      <c r="CF459" s="4"/>
      <c r="CG459" s="4"/>
      <c r="CH459" s="4"/>
      <c r="CI459" s="4"/>
      <c r="CJ459" s="4"/>
      <c r="CK459" s="4"/>
      <c r="CL459" s="4"/>
      <c r="CM459" s="4"/>
      <c r="CN459" s="4"/>
      <c r="CO459" s="4"/>
      <c r="CP459" s="4"/>
      <c r="CQ459" s="4"/>
      <c r="CR459" s="4"/>
      <c r="CS459" s="4"/>
      <c r="CT459" s="4"/>
      <c r="CU459" s="4"/>
      <c r="CV459" s="4"/>
      <c r="CW459" s="4"/>
      <c r="CX459" s="4"/>
      <c r="CY459" s="4"/>
      <c r="CZ459" s="4"/>
      <c r="DA459" s="4"/>
      <c r="DB459" s="4"/>
      <c r="DC459" s="4"/>
      <c r="DD459" s="4"/>
      <c r="DE459" s="4"/>
      <c r="DF459" s="4"/>
      <c r="DG459" s="4"/>
      <c r="DH459" s="4"/>
      <c r="DI459" s="4"/>
      <c r="DJ459" s="4"/>
      <c r="DK459" s="4"/>
      <c r="DL459" s="4"/>
      <c r="DM459" s="4"/>
      <c r="DN459" s="4"/>
      <c r="DO459" s="4"/>
      <c r="DP459" s="4"/>
      <c r="DQ459" s="4"/>
      <c r="DR459" s="4"/>
      <c r="DS459" s="4"/>
    </row>
    <row r="460">
      <c r="A460" s="9">
        <f>IFERROR(__xludf.DUMMYFUNCTION("""COMPUTED_VALUE"""),45575.0)</f>
        <v>45575</v>
      </c>
      <c r="B460" s="6" t="str">
        <f>IFERROR(__xludf.DUMMYFUNCTION("""COMPUTED_VALUE"""),"Recreation")</f>
        <v>Recreation</v>
      </c>
      <c r="C460" s="7">
        <f>IFERROR(__xludf.DUMMYFUNCTION("""COMPUTED_VALUE"""),2000.0)</f>
        <v>2000</v>
      </c>
      <c r="D460" s="6" t="str">
        <f>IFERROR(__xludf.DUMMYFUNCTION("""COMPUTED_VALUE"""),"Recreation")</f>
        <v>Recreation</v>
      </c>
      <c r="E460" s="6" t="str">
        <f>IFERROR(__xludf.DUMMYFUNCTION("""COMPUTED_VALUE"""),"Virtual Wallet")</f>
        <v>Virtual Wallet</v>
      </c>
      <c r="F460" s="6" t="s">
        <v>12</v>
      </c>
      <c r="G460" s="8" t="str">
        <f t="shared" si="1"/>
        <v>202410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  <c r="CD460" s="4"/>
      <c r="CE460" s="4"/>
      <c r="CF460" s="4"/>
      <c r="CG460" s="4"/>
      <c r="CH460" s="4"/>
      <c r="CI460" s="4"/>
      <c r="CJ460" s="4"/>
      <c r="CK460" s="4"/>
      <c r="CL460" s="4"/>
      <c r="CM460" s="4"/>
      <c r="CN460" s="4"/>
      <c r="CO460" s="4"/>
      <c r="CP460" s="4"/>
      <c r="CQ460" s="4"/>
      <c r="CR460" s="4"/>
      <c r="CS460" s="4"/>
      <c r="CT460" s="4"/>
      <c r="CU460" s="4"/>
      <c r="CV460" s="4"/>
      <c r="CW460" s="4"/>
      <c r="CX460" s="4"/>
      <c r="CY460" s="4"/>
      <c r="CZ460" s="4"/>
      <c r="DA460" s="4"/>
      <c r="DB460" s="4"/>
      <c r="DC460" s="4"/>
      <c r="DD460" s="4"/>
      <c r="DE460" s="4"/>
      <c r="DF460" s="4"/>
      <c r="DG460" s="4"/>
      <c r="DH460" s="4"/>
      <c r="DI460" s="4"/>
      <c r="DJ460" s="4"/>
      <c r="DK460" s="4"/>
      <c r="DL460" s="4"/>
      <c r="DM460" s="4"/>
      <c r="DN460" s="4"/>
      <c r="DO460" s="4"/>
      <c r="DP460" s="4"/>
      <c r="DQ460" s="4"/>
      <c r="DR460" s="4"/>
      <c r="DS460" s="4"/>
    </row>
    <row r="461">
      <c r="A461" s="9">
        <f>IFERROR(__xludf.DUMMYFUNCTION("""COMPUTED_VALUE"""),45576.0)</f>
        <v>45576</v>
      </c>
      <c r="B461" s="6" t="str">
        <f>IFERROR(__xludf.DUMMYFUNCTION("""COMPUTED_VALUE"""),"Groceries")</f>
        <v>Groceries</v>
      </c>
      <c r="C461" s="7">
        <f>IFERROR(__xludf.DUMMYFUNCTION("""COMPUTED_VALUE"""),750.0)</f>
        <v>750</v>
      </c>
      <c r="D461" s="6" t="str">
        <f>IFERROR(__xludf.DUMMYFUNCTION("""COMPUTED_VALUE"""),"Groceries")</f>
        <v>Groceries</v>
      </c>
      <c r="E461" s="6" t="str">
        <f>IFERROR(__xludf.DUMMYFUNCTION("""COMPUTED_VALUE"""),"Split Payment")</f>
        <v>Split Payment</v>
      </c>
      <c r="F461" s="6" t="s">
        <v>7</v>
      </c>
      <c r="G461" s="8" t="str">
        <f t="shared" si="1"/>
        <v>202410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  <c r="CD461" s="4"/>
      <c r="CE461" s="4"/>
      <c r="CF461" s="4"/>
      <c r="CG461" s="4"/>
      <c r="CH461" s="4"/>
      <c r="CI461" s="4"/>
      <c r="CJ461" s="4"/>
      <c r="CK461" s="4"/>
      <c r="CL461" s="4"/>
      <c r="CM461" s="4"/>
      <c r="CN461" s="4"/>
      <c r="CO461" s="4"/>
      <c r="CP461" s="4"/>
      <c r="CQ461" s="4"/>
      <c r="CR461" s="4"/>
      <c r="CS461" s="4"/>
      <c r="CT461" s="4"/>
      <c r="CU461" s="4"/>
      <c r="CV461" s="4"/>
      <c r="CW461" s="4"/>
      <c r="CX461" s="4"/>
      <c r="CY461" s="4"/>
      <c r="CZ461" s="4"/>
      <c r="DA461" s="4"/>
      <c r="DB461" s="4"/>
      <c r="DC461" s="4"/>
      <c r="DD461" s="4"/>
      <c r="DE461" s="4"/>
      <c r="DF461" s="4"/>
      <c r="DG461" s="4"/>
      <c r="DH461" s="4"/>
      <c r="DI461" s="4"/>
      <c r="DJ461" s="4"/>
      <c r="DK461" s="4"/>
      <c r="DL461" s="4"/>
      <c r="DM461" s="4"/>
      <c r="DN461" s="4"/>
      <c r="DO461" s="4"/>
      <c r="DP461" s="4"/>
      <c r="DQ461" s="4"/>
      <c r="DR461" s="4"/>
      <c r="DS461" s="4"/>
    </row>
    <row r="462">
      <c r="A462" s="9">
        <f>IFERROR(__xludf.DUMMYFUNCTION("""COMPUTED_VALUE"""),45576.0)</f>
        <v>45576</v>
      </c>
      <c r="B462" s="6" t="str">
        <f>IFERROR(__xludf.DUMMYFUNCTION("""COMPUTED_VALUE"""),"Groceries")</f>
        <v>Groceries</v>
      </c>
      <c r="C462" s="7">
        <f>IFERROR(__xludf.DUMMYFUNCTION("""COMPUTED_VALUE"""),2125.0)</f>
        <v>2125</v>
      </c>
      <c r="D462" s="6" t="str">
        <f>IFERROR(__xludf.DUMMYFUNCTION("""COMPUTED_VALUE"""),"Groceries")</f>
        <v>Groceries</v>
      </c>
      <c r="E462" s="6" t="str">
        <f>IFERROR(__xludf.DUMMYFUNCTION("""COMPUTED_VALUE"""),"Split Payment")</f>
        <v>Split Payment</v>
      </c>
      <c r="F462" s="6" t="s">
        <v>7</v>
      </c>
      <c r="G462" s="8" t="str">
        <f t="shared" si="1"/>
        <v>202410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  <c r="CD462" s="4"/>
      <c r="CE462" s="4"/>
      <c r="CF462" s="4"/>
      <c r="CG462" s="4"/>
      <c r="CH462" s="4"/>
      <c r="CI462" s="4"/>
      <c r="CJ462" s="4"/>
      <c r="CK462" s="4"/>
      <c r="CL462" s="4"/>
      <c r="CM462" s="4"/>
      <c r="CN462" s="4"/>
      <c r="CO462" s="4"/>
      <c r="CP462" s="4"/>
      <c r="CQ462" s="4"/>
      <c r="CR462" s="4"/>
      <c r="CS462" s="4"/>
      <c r="CT462" s="4"/>
      <c r="CU462" s="4"/>
      <c r="CV462" s="4"/>
      <c r="CW462" s="4"/>
      <c r="CX462" s="4"/>
      <c r="CY462" s="4"/>
      <c r="CZ462" s="4"/>
      <c r="DA462" s="4"/>
      <c r="DB462" s="4"/>
      <c r="DC462" s="4"/>
      <c r="DD462" s="4"/>
      <c r="DE462" s="4"/>
      <c r="DF462" s="4"/>
      <c r="DG462" s="4"/>
      <c r="DH462" s="4"/>
      <c r="DI462" s="4"/>
      <c r="DJ462" s="4"/>
      <c r="DK462" s="4"/>
      <c r="DL462" s="4"/>
      <c r="DM462" s="4"/>
      <c r="DN462" s="4"/>
      <c r="DO462" s="4"/>
      <c r="DP462" s="4"/>
      <c r="DQ462" s="4"/>
      <c r="DR462" s="4"/>
      <c r="DS462" s="4"/>
    </row>
    <row r="463">
      <c r="A463" s="9">
        <f>IFERROR(__xludf.DUMMYFUNCTION("""COMPUTED_VALUE"""),45576.0)</f>
        <v>45576</v>
      </c>
      <c r="B463" s="6" t="str">
        <f>IFERROR(__xludf.DUMMYFUNCTION("""COMPUTED_VALUE"""),"Groceries")</f>
        <v>Groceries</v>
      </c>
      <c r="C463" s="7">
        <f>IFERROR(__xludf.DUMMYFUNCTION("""COMPUTED_VALUE"""),1325.0)</f>
        <v>1325</v>
      </c>
      <c r="D463" s="6" t="str">
        <f>IFERROR(__xludf.DUMMYFUNCTION("""COMPUTED_VALUE"""),"Groceries")</f>
        <v>Groceries</v>
      </c>
      <c r="E463" s="6" t="str">
        <f>IFERROR(__xludf.DUMMYFUNCTION("""COMPUTED_VALUE"""),"Split Payment")</f>
        <v>Split Payment</v>
      </c>
      <c r="F463" s="6" t="s">
        <v>7</v>
      </c>
      <c r="G463" s="8" t="str">
        <f t="shared" si="1"/>
        <v>202410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  <c r="CD463" s="4"/>
      <c r="CE463" s="4"/>
      <c r="CF463" s="4"/>
      <c r="CG463" s="4"/>
      <c r="CH463" s="4"/>
      <c r="CI463" s="4"/>
      <c r="CJ463" s="4"/>
      <c r="CK463" s="4"/>
      <c r="CL463" s="4"/>
      <c r="CM463" s="4"/>
      <c r="CN463" s="4"/>
      <c r="CO463" s="4"/>
      <c r="CP463" s="4"/>
      <c r="CQ463" s="4"/>
      <c r="CR463" s="4"/>
      <c r="CS463" s="4"/>
      <c r="CT463" s="4"/>
      <c r="CU463" s="4"/>
      <c r="CV463" s="4"/>
      <c r="CW463" s="4"/>
      <c r="CX463" s="4"/>
      <c r="CY463" s="4"/>
      <c r="CZ463" s="4"/>
      <c r="DA463" s="4"/>
      <c r="DB463" s="4"/>
      <c r="DC463" s="4"/>
      <c r="DD463" s="4"/>
      <c r="DE463" s="4"/>
      <c r="DF463" s="4"/>
      <c r="DG463" s="4"/>
      <c r="DH463" s="4"/>
      <c r="DI463" s="4"/>
      <c r="DJ463" s="4"/>
      <c r="DK463" s="4"/>
      <c r="DL463" s="4"/>
      <c r="DM463" s="4"/>
      <c r="DN463" s="4"/>
      <c r="DO463" s="4"/>
      <c r="DP463" s="4"/>
      <c r="DQ463" s="4"/>
      <c r="DR463" s="4"/>
      <c r="DS463" s="4"/>
    </row>
    <row r="464">
      <c r="A464" s="9">
        <f>IFERROR(__xludf.DUMMYFUNCTION("""COMPUTED_VALUE"""),45576.0)</f>
        <v>45576</v>
      </c>
      <c r="B464" s="6" t="str">
        <f>IFERROR(__xludf.DUMMYFUNCTION("""COMPUTED_VALUE"""),"Restaurant")</f>
        <v>Restaurant</v>
      </c>
      <c r="C464" s="7">
        <f>IFERROR(__xludf.DUMMYFUNCTION("""COMPUTED_VALUE"""),15.16)</f>
        <v>15.16</v>
      </c>
      <c r="D464" s="6" t="str">
        <f>IFERROR(__xludf.DUMMYFUNCTION("""COMPUTED_VALUE"""),"Groceries")</f>
        <v>Groceries</v>
      </c>
      <c r="E464" s="6" t="str">
        <f>IFERROR(__xludf.DUMMYFUNCTION("""COMPUTED_VALUE"""),"Virtual Wallet")</f>
        <v>Virtual Wallet</v>
      </c>
      <c r="F464" s="6" t="s">
        <v>7</v>
      </c>
      <c r="G464" s="8" t="str">
        <f t="shared" si="1"/>
        <v>202410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  <c r="CD464" s="4"/>
      <c r="CE464" s="4"/>
      <c r="CF464" s="4"/>
      <c r="CG464" s="4"/>
      <c r="CH464" s="4"/>
      <c r="CI464" s="4"/>
      <c r="CJ464" s="4"/>
      <c r="CK464" s="4"/>
      <c r="CL464" s="4"/>
      <c r="CM464" s="4"/>
      <c r="CN464" s="4"/>
      <c r="CO464" s="4"/>
      <c r="CP464" s="4"/>
      <c r="CQ464" s="4"/>
      <c r="CR464" s="4"/>
      <c r="CS464" s="4"/>
      <c r="CT464" s="4"/>
      <c r="CU464" s="4"/>
      <c r="CV464" s="4"/>
      <c r="CW464" s="4"/>
      <c r="CX464" s="4"/>
      <c r="CY464" s="4"/>
      <c r="CZ464" s="4"/>
      <c r="DA464" s="4"/>
      <c r="DB464" s="4"/>
      <c r="DC464" s="4"/>
      <c r="DD464" s="4"/>
      <c r="DE464" s="4"/>
      <c r="DF464" s="4"/>
      <c r="DG464" s="4"/>
      <c r="DH464" s="4"/>
      <c r="DI464" s="4"/>
      <c r="DJ464" s="4"/>
      <c r="DK464" s="4"/>
      <c r="DL464" s="4"/>
      <c r="DM464" s="4"/>
      <c r="DN464" s="4"/>
      <c r="DO464" s="4"/>
      <c r="DP464" s="4"/>
      <c r="DQ464" s="4"/>
      <c r="DR464" s="4"/>
      <c r="DS464" s="4"/>
    </row>
    <row r="465">
      <c r="A465" s="9">
        <f>IFERROR(__xludf.DUMMYFUNCTION("""COMPUTED_VALUE"""),45576.0)</f>
        <v>45576</v>
      </c>
      <c r="B465" s="6" t="str">
        <f>IFERROR(__xludf.DUMMYFUNCTION("""COMPUTED_VALUE"""),"Restaurant")</f>
        <v>Restaurant</v>
      </c>
      <c r="C465" s="7">
        <f>IFERROR(__xludf.DUMMYFUNCTION("""COMPUTED_VALUE"""),75.0)</f>
        <v>75</v>
      </c>
      <c r="D465" s="6" t="str">
        <f>IFERROR(__xludf.DUMMYFUNCTION("""COMPUTED_VALUE"""),"Restaurant / Café")</f>
        <v>Restaurant / Café</v>
      </c>
      <c r="E465" s="6" t="str">
        <f>IFERROR(__xludf.DUMMYFUNCTION("""COMPUTED_VALUE"""),"Virtual Wallet")</f>
        <v>Virtual Wallet</v>
      </c>
      <c r="F465" s="6" t="s">
        <v>14</v>
      </c>
      <c r="G465" s="8" t="str">
        <f t="shared" si="1"/>
        <v>202410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  <c r="CD465" s="4"/>
      <c r="CE465" s="4"/>
      <c r="CF465" s="4"/>
      <c r="CG465" s="4"/>
      <c r="CH465" s="4"/>
      <c r="CI465" s="4"/>
      <c r="CJ465" s="4"/>
      <c r="CK465" s="4"/>
      <c r="CL465" s="4"/>
      <c r="CM465" s="4"/>
      <c r="CN465" s="4"/>
      <c r="CO465" s="4"/>
      <c r="CP465" s="4"/>
      <c r="CQ465" s="4"/>
      <c r="CR465" s="4"/>
      <c r="CS465" s="4"/>
      <c r="CT465" s="4"/>
      <c r="CU465" s="4"/>
      <c r="CV465" s="4"/>
      <c r="CW465" s="4"/>
      <c r="CX465" s="4"/>
      <c r="CY465" s="4"/>
      <c r="CZ465" s="4"/>
      <c r="DA465" s="4"/>
      <c r="DB465" s="4"/>
      <c r="DC465" s="4"/>
      <c r="DD465" s="4"/>
      <c r="DE465" s="4"/>
      <c r="DF465" s="4"/>
      <c r="DG465" s="4"/>
      <c r="DH465" s="4"/>
      <c r="DI465" s="4"/>
      <c r="DJ465" s="4"/>
      <c r="DK465" s="4"/>
      <c r="DL465" s="4"/>
      <c r="DM465" s="4"/>
      <c r="DN465" s="4"/>
      <c r="DO465" s="4"/>
      <c r="DP465" s="4"/>
      <c r="DQ465" s="4"/>
      <c r="DR465" s="4"/>
      <c r="DS465" s="4"/>
    </row>
    <row r="466">
      <c r="A466" s="9">
        <f>IFERROR(__xludf.DUMMYFUNCTION("""COMPUTED_VALUE"""),45577.0)</f>
        <v>45577</v>
      </c>
      <c r="B466" s="6" t="str">
        <f>IFERROR(__xludf.DUMMYFUNCTION("""COMPUTED_VALUE"""),"Home Goods")</f>
        <v>Home Goods</v>
      </c>
      <c r="C466" s="7">
        <f>IFERROR(__xludf.DUMMYFUNCTION("""COMPUTED_VALUE"""),3816.5)</f>
        <v>3816.5</v>
      </c>
      <c r="D466" s="6" t="str">
        <f>IFERROR(__xludf.DUMMYFUNCTION("""COMPUTED_VALUE"""),"Home Goods &amp; Utilities")</f>
        <v>Home Goods &amp; Utilities</v>
      </c>
      <c r="E466" s="6" t="str">
        <f>IFERROR(__xludf.DUMMYFUNCTION("""COMPUTED_VALUE"""),"Credit Card")</f>
        <v>Credit Card</v>
      </c>
      <c r="F466" s="6" t="s">
        <v>8</v>
      </c>
      <c r="G466" s="8" t="str">
        <f t="shared" si="1"/>
        <v>202410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  <c r="CD466" s="4"/>
      <c r="CE466" s="4"/>
      <c r="CF466" s="4"/>
      <c r="CG466" s="4"/>
      <c r="CH466" s="4"/>
      <c r="CI466" s="4"/>
      <c r="CJ466" s="4"/>
      <c r="CK466" s="4"/>
      <c r="CL466" s="4"/>
      <c r="CM466" s="4"/>
      <c r="CN466" s="4"/>
      <c r="CO466" s="4"/>
      <c r="CP466" s="4"/>
      <c r="CQ466" s="4"/>
      <c r="CR466" s="4"/>
      <c r="CS466" s="4"/>
      <c r="CT466" s="4"/>
      <c r="CU466" s="4"/>
      <c r="CV466" s="4"/>
      <c r="CW466" s="4"/>
      <c r="CX466" s="4"/>
      <c r="CY466" s="4"/>
      <c r="CZ466" s="4"/>
      <c r="DA466" s="4"/>
      <c r="DB466" s="4"/>
      <c r="DC466" s="4"/>
      <c r="DD466" s="4"/>
      <c r="DE466" s="4"/>
      <c r="DF466" s="4"/>
      <c r="DG466" s="4"/>
      <c r="DH466" s="4"/>
      <c r="DI466" s="4"/>
      <c r="DJ466" s="4"/>
      <c r="DK466" s="4"/>
      <c r="DL466" s="4"/>
      <c r="DM466" s="4"/>
      <c r="DN466" s="4"/>
      <c r="DO466" s="4"/>
      <c r="DP466" s="4"/>
      <c r="DQ466" s="4"/>
      <c r="DR466" s="4"/>
      <c r="DS466" s="4"/>
    </row>
    <row r="467">
      <c r="A467" s="9">
        <f>IFERROR(__xludf.DUMMYFUNCTION("""COMPUTED_VALUE"""),45577.0)</f>
        <v>45577</v>
      </c>
      <c r="B467" s="6" t="str">
        <f>IFERROR(__xludf.DUMMYFUNCTION("""COMPUTED_VALUE"""),"Home Goods")</f>
        <v>Home Goods</v>
      </c>
      <c r="C467" s="7">
        <f>IFERROR(__xludf.DUMMYFUNCTION("""COMPUTED_VALUE"""),5900.0)</f>
        <v>5900</v>
      </c>
      <c r="D467" s="6" t="str">
        <f>IFERROR(__xludf.DUMMYFUNCTION("""COMPUTED_VALUE"""),"Home Goods &amp; Utilities")</f>
        <v>Home Goods &amp; Utilities</v>
      </c>
      <c r="E467" s="6" t="str">
        <f>IFERROR(__xludf.DUMMYFUNCTION("""COMPUTED_VALUE"""),"Virtual Wallet")</f>
        <v>Virtual Wallet</v>
      </c>
      <c r="F467" s="6" t="s">
        <v>8</v>
      </c>
      <c r="G467" s="8" t="str">
        <f t="shared" si="1"/>
        <v>202410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  <c r="CD467" s="4"/>
      <c r="CE467" s="4"/>
      <c r="CF467" s="4"/>
      <c r="CG467" s="4"/>
      <c r="CH467" s="4"/>
      <c r="CI467" s="4"/>
      <c r="CJ467" s="4"/>
      <c r="CK467" s="4"/>
      <c r="CL467" s="4"/>
      <c r="CM467" s="4"/>
      <c r="CN467" s="4"/>
      <c r="CO467" s="4"/>
      <c r="CP467" s="4"/>
      <c r="CQ467" s="4"/>
      <c r="CR467" s="4"/>
      <c r="CS467" s="4"/>
      <c r="CT467" s="4"/>
      <c r="CU467" s="4"/>
      <c r="CV467" s="4"/>
      <c r="CW467" s="4"/>
      <c r="CX467" s="4"/>
      <c r="CY467" s="4"/>
      <c r="CZ467" s="4"/>
      <c r="DA467" s="4"/>
      <c r="DB467" s="4"/>
      <c r="DC467" s="4"/>
      <c r="DD467" s="4"/>
      <c r="DE467" s="4"/>
      <c r="DF467" s="4"/>
      <c r="DG467" s="4"/>
      <c r="DH467" s="4"/>
      <c r="DI467" s="4"/>
      <c r="DJ467" s="4"/>
      <c r="DK467" s="4"/>
      <c r="DL467" s="4"/>
      <c r="DM467" s="4"/>
      <c r="DN467" s="4"/>
      <c r="DO467" s="4"/>
      <c r="DP467" s="4"/>
      <c r="DQ467" s="4"/>
      <c r="DR467" s="4"/>
      <c r="DS467" s="4"/>
    </row>
    <row r="468">
      <c r="A468" s="9">
        <f>IFERROR(__xludf.DUMMYFUNCTION("""COMPUTED_VALUE"""),45578.0)</f>
        <v>45578</v>
      </c>
      <c r="B468" s="6" t="str">
        <f>IFERROR(__xludf.DUMMYFUNCTION("""COMPUTED_VALUE"""),"Groceries")</f>
        <v>Groceries</v>
      </c>
      <c r="C468" s="7">
        <f>IFERROR(__xludf.DUMMYFUNCTION("""COMPUTED_VALUE"""),1905.0)</f>
        <v>1905</v>
      </c>
      <c r="D468" s="6" t="str">
        <f>IFERROR(__xludf.DUMMYFUNCTION("""COMPUTED_VALUE"""),"Groceries")</f>
        <v>Groceries</v>
      </c>
      <c r="E468" s="6" t="str">
        <f>IFERROR(__xludf.DUMMYFUNCTION("""COMPUTED_VALUE"""),"Split Payment")</f>
        <v>Split Payment</v>
      </c>
      <c r="F468" s="6" t="s">
        <v>7</v>
      </c>
      <c r="G468" s="8" t="str">
        <f t="shared" si="1"/>
        <v>202410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  <c r="CD468" s="4"/>
      <c r="CE468" s="4"/>
      <c r="CF468" s="4"/>
      <c r="CG468" s="4"/>
      <c r="CH468" s="4"/>
      <c r="CI468" s="4"/>
      <c r="CJ468" s="4"/>
      <c r="CK468" s="4"/>
      <c r="CL468" s="4"/>
      <c r="CM468" s="4"/>
      <c r="CN468" s="4"/>
      <c r="CO468" s="4"/>
      <c r="CP468" s="4"/>
      <c r="CQ468" s="4"/>
      <c r="CR468" s="4"/>
      <c r="CS468" s="4"/>
      <c r="CT468" s="4"/>
      <c r="CU468" s="4"/>
      <c r="CV468" s="4"/>
      <c r="CW468" s="4"/>
      <c r="CX468" s="4"/>
      <c r="CY468" s="4"/>
      <c r="CZ468" s="4"/>
      <c r="DA468" s="4"/>
      <c r="DB468" s="4"/>
      <c r="DC468" s="4"/>
      <c r="DD468" s="4"/>
      <c r="DE468" s="4"/>
      <c r="DF468" s="4"/>
      <c r="DG468" s="4"/>
      <c r="DH468" s="4"/>
      <c r="DI468" s="4"/>
      <c r="DJ468" s="4"/>
      <c r="DK468" s="4"/>
      <c r="DL468" s="4"/>
      <c r="DM468" s="4"/>
      <c r="DN468" s="4"/>
      <c r="DO468" s="4"/>
      <c r="DP468" s="4"/>
      <c r="DQ468" s="4"/>
      <c r="DR468" s="4"/>
      <c r="DS468" s="4"/>
    </row>
    <row r="469">
      <c r="A469" s="9">
        <f>IFERROR(__xludf.DUMMYFUNCTION("""COMPUTED_VALUE"""),45578.0)</f>
        <v>45578</v>
      </c>
      <c r="B469" s="6" t="str">
        <f>IFERROR(__xludf.DUMMYFUNCTION("""COMPUTED_VALUE"""),"Groceries")</f>
        <v>Groceries</v>
      </c>
      <c r="C469" s="7">
        <f>IFERROR(__xludf.DUMMYFUNCTION("""COMPUTED_VALUE"""),2400.0)</f>
        <v>2400</v>
      </c>
      <c r="D469" s="6" t="str">
        <f>IFERROR(__xludf.DUMMYFUNCTION("""COMPUTED_VALUE"""),"Groceries")</f>
        <v>Groceries</v>
      </c>
      <c r="E469" s="6" t="str">
        <f>IFERROR(__xludf.DUMMYFUNCTION("""COMPUTED_VALUE"""),"Split Payment")</f>
        <v>Split Payment</v>
      </c>
      <c r="F469" s="6" t="s">
        <v>7</v>
      </c>
      <c r="G469" s="8" t="str">
        <f t="shared" si="1"/>
        <v>202410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  <c r="CD469" s="4"/>
      <c r="CE469" s="4"/>
      <c r="CF469" s="4"/>
      <c r="CG469" s="4"/>
      <c r="CH469" s="4"/>
      <c r="CI469" s="4"/>
      <c r="CJ469" s="4"/>
      <c r="CK469" s="4"/>
      <c r="CL469" s="4"/>
      <c r="CM469" s="4"/>
      <c r="CN469" s="4"/>
      <c r="CO469" s="4"/>
      <c r="CP469" s="4"/>
      <c r="CQ469" s="4"/>
      <c r="CR469" s="4"/>
      <c r="CS469" s="4"/>
      <c r="CT469" s="4"/>
      <c r="CU469" s="4"/>
      <c r="CV469" s="4"/>
      <c r="CW469" s="4"/>
      <c r="CX469" s="4"/>
      <c r="CY469" s="4"/>
      <c r="CZ469" s="4"/>
      <c r="DA469" s="4"/>
      <c r="DB469" s="4"/>
      <c r="DC469" s="4"/>
      <c r="DD469" s="4"/>
      <c r="DE469" s="4"/>
      <c r="DF469" s="4"/>
      <c r="DG469" s="4"/>
      <c r="DH469" s="4"/>
      <c r="DI469" s="4"/>
      <c r="DJ469" s="4"/>
      <c r="DK469" s="4"/>
      <c r="DL469" s="4"/>
      <c r="DM469" s="4"/>
      <c r="DN469" s="4"/>
      <c r="DO469" s="4"/>
      <c r="DP469" s="4"/>
      <c r="DQ469" s="4"/>
      <c r="DR469" s="4"/>
      <c r="DS469" s="4"/>
    </row>
    <row r="470">
      <c r="A470" s="9">
        <f>IFERROR(__xludf.DUMMYFUNCTION("""COMPUTED_VALUE"""),45578.0)</f>
        <v>45578</v>
      </c>
      <c r="B470" s="6" t="str">
        <f>IFERROR(__xludf.DUMMYFUNCTION("""COMPUTED_VALUE"""),"Restaurant")</f>
        <v>Restaurant</v>
      </c>
      <c r="C470" s="7">
        <f>IFERROR(__xludf.DUMMYFUNCTION("""COMPUTED_VALUE"""),35.0)</f>
        <v>35</v>
      </c>
      <c r="D470" s="6" t="str">
        <f>IFERROR(__xludf.DUMMYFUNCTION("""COMPUTED_VALUE"""),"Restaurant / Café")</f>
        <v>Restaurant / Café</v>
      </c>
      <c r="E470" s="6" t="str">
        <f>IFERROR(__xludf.DUMMYFUNCTION("""COMPUTED_VALUE"""),"Virtual Wallet")</f>
        <v>Virtual Wallet</v>
      </c>
      <c r="F470" s="6" t="s">
        <v>14</v>
      </c>
      <c r="G470" s="8" t="str">
        <f t="shared" si="1"/>
        <v>202410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  <c r="CD470" s="4"/>
      <c r="CE470" s="4"/>
      <c r="CF470" s="4"/>
      <c r="CG470" s="4"/>
      <c r="CH470" s="4"/>
      <c r="CI470" s="4"/>
      <c r="CJ470" s="4"/>
      <c r="CK470" s="4"/>
      <c r="CL470" s="4"/>
      <c r="CM470" s="4"/>
      <c r="CN470" s="4"/>
      <c r="CO470" s="4"/>
      <c r="CP470" s="4"/>
      <c r="CQ470" s="4"/>
      <c r="CR470" s="4"/>
      <c r="CS470" s="4"/>
      <c r="CT470" s="4"/>
      <c r="CU470" s="4"/>
      <c r="CV470" s="4"/>
      <c r="CW470" s="4"/>
      <c r="CX470" s="4"/>
      <c r="CY470" s="4"/>
      <c r="CZ470" s="4"/>
      <c r="DA470" s="4"/>
      <c r="DB470" s="4"/>
      <c r="DC470" s="4"/>
      <c r="DD470" s="4"/>
      <c r="DE470" s="4"/>
      <c r="DF470" s="4"/>
      <c r="DG470" s="4"/>
      <c r="DH470" s="4"/>
      <c r="DI470" s="4"/>
      <c r="DJ470" s="4"/>
      <c r="DK470" s="4"/>
      <c r="DL470" s="4"/>
      <c r="DM470" s="4"/>
      <c r="DN470" s="4"/>
      <c r="DO470" s="4"/>
      <c r="DP470" s="4"/>
      <c r="DQ470" s="4"/>
      <c r="DR470" s="4"/>
      <c r="DS470" s="4"/>
    </row>
    <row r="471">
      <c r="A471" s="9">
        <f>IFERROR(__xludf.DUMMYFUNCTION("""COMPUTED_VALUE"""),45579.0)</f>
        <v>45579</v>
      </c>
      <c r="B471" s="6" t="str">
        <f>IFERROR(__xludf.DUMMYFUNCTION("""COMPUTED_VALUE"""),"Internet Services")</f>
        <v>Internet Services</v>
      </c>
      <c r="C471" s="7">
        <f>IFERROR(__xludf.DUMMYFUNCTION("""COMPUTED_VALUE"""),11968.0)</f>
        <v>11968</v>
      </c>
      <c r="D471" s="6" t="str">
        <f>IFERROR(__xludf.DUMMYFUNCTION("""COMPUTED_VALUE"""),"Basic Services")</f>
        <v>Basic Services</v>
      </c>
      <c r="E471" s="6" t="str">
        <f>IFERROR(__xludf.DUMMYFUNCTION("""COMPUTED_VALUE"""),"Credit Card")</f>
        <v>Credit Card</v>
      </c>
      <c r="F471" s="6" t="s">
        <v>13</v>
      </c>
      <c r="G471" s="8" t="str">
        <f t="shared" si="1"/>
        <v>202410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  <c r="CD471" s="4"/>
      <c r="CE471" s="4"/>
      <c r="CF471" s="4"/>
      <c r="CG471" s="4"/>
      <c r="CH471" s="4"/>
      <c r="CI471" s="4"/>
      <c r="CJ471" s="4"/>
      <c r="CK471" s="4"/>
      <c r="CL471" s="4"/>
      <c r="CM471" s="4"/>
      <c r="CN471" s="4"/>
      <c r="CO471" s="4"/>
      <c r="CP471" s="4"/>
      <c r="CQ471" s="4"/>
      <c r="CR471" s="4"/>
      <c r="CS471" s="4"/>
      <c r="CT471" s="4"/>
      <c r="CU471" s="4"/>
      <c r="CV471" s="4"/>
      <c r="CW471" s="4"/>
      <c r="CX471" s="4"/>
      <c r="CY471" s="4"/>
      <c r="CZ471" s="4"/>
      <c r="DA471" s="4"/>
      <c r="DB471" s="4"/>
      <c r="DC471" s="4"/>
      <c r="DD471" s="4"/>
      <c r="DE471" s="4"/>
      <c r="DF471" s="4"/>
      <c r="DG471" s="4"/>
      <c r="DH471" s="4"/>
      <c r="DI471" s="4"/>
      <c r="DJ471" s="4"/>
      <c r="DK471" s="4"/>
      <c r="DL471" s="4"/>
      <c r="DM471" s="4"/>
      <c r="DN471" s="4"/>
      <c r="DO471" s="4"/>
      <c r="DP471" s="4"/>
      <c r="DQ471" s="4"/>
      <c r="DR471" s="4"/>
      <c r="DS471" s="4"/>
    </row>
    <row r="472">
      <c r="A472" s="9">
        <f>IFERROR(__xludf.DUMMYFUNCTION("""COMPUTED_VALUE"""),45579.0)</f>
        <v>45579</v>
      </c>
      <c r="B472" s="6" t="str">
        <f>IFERROR(__xludf.DUMMYFUNCTION("""COMPUTED_VALUE"""),"Pharmacy")</f>
        <v>Pharmacy</v>
      </c>
      <c r="C472" s="7">
        <f>IFERROR(__xludf.DUMMYFUNCTION("""COMPUTED_VALUE"""),2250.0)</f>
        <v>2250</v>
      </c>
      <c r="D472" s="6" t="str">
        <f>IFERROR(__xludf.DUMMYFUNCTION("""COMPUTED_VALUE"""),"Home Goods &amp; Utilities")</f>
        <v>Home Goods &amp; Utilities</v>
      </c>
      <c r="E472" s="6" t="str">
        <f>IFERROR(__xludf.DUMMYFUNCTION("""COMPUTED_VALUE"""),"Virtual Wallet")</f>
        <v>Virtual Wallet</v>
      </c>
      <c r="F472" s="6" t="s">
        <v>8</v>
      </c>
      <c r="G472" s="8" t="str">
        <f t="shared" si="1"/>
        <v>202410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  <c r="CD472" s="4"/>
      <c r="CE472" s="4"/>
      <c r="CF472" s="4"/>
      <c r="CG472" s="4"/>
      <c r="CH472" s="4"/>
      <c r="CI472" s="4"/>
      <c r="CJ472" s="4"/>
      <c r="CK472" s="4"/>
      <c r="CL472" s="4"/>
      <c r="CM472" s="4"/>
      <c r="CN472" s="4"/>
      <c r="CO472" s="4"/>
      <c r="CP472" s="4"/>
      <c r="CQ472" s="4"/>
      <c r="CR472" s="4"/>
      <c r="CS472" s="4"/>
      <c r="CT472" s="4"/>
      <c r="CU472" s="4"/>
      <c r="CV472" s="4"/>
      <c r="CW472" s="4"/>
      <c r="CX472" s="4"/>
      <c r="CY472" s="4"/>
      <c r="CZ472" s="4"/>
      <c r="DA472" s="4"/>
      <c r="DB472" s="4"/>
      <c r="DC472" s="4"/>
      <c r="DD472" s="4"/>
      <c r="DE472" s="4"/>
      <c r="DF472" s="4"/>
      <c r="DG472" s="4"/>
      <c r="DH472" s="4"/>
      <c r="DI472" s="4"/>
      <c r="DJ472" s="4"/>
      <c r="DK472" s="4"/>
      <c r="DL472" s="4"/>
      <c r="DM472" s="4"/>
      <c r="DN472" s="4"/>
      <c r="DO472" s="4"/>
      <c r="DP472" s="4"/>
      <c r="DQ472" s="4"/>
      <c r="DR472" s="4"/>
      <c r="DS472" s="4"/>
    </row>
    <row r="473">
      <c r="A473" s="9">
        <f>IFERROR(__xludf.DUMMYFUNCTION("""COMPUTED_VALUE"""),45580.0)</f>
        <v>45580</v>
      </c>
      <c r="B473" s="6" t="str">
        <f>IFERROR(__xludf.DUMMYFUNCTION("""COMPUTED_VALUE"""),"Groceries")</f>
        <v>Groceries</v>
      </c>
      <c r="C473" s="7">
        <f>IFERROR(__xludf.DUMMYFUNCTION("""COMPUTED_VALUE"""),2525.0)</f>
        <v>2525</v>
      </c>
      <c r="D473" s="6" t="str">
        <f>IFERROR(__xludf.DUMMYFUNCTION("""COMPUTED_VALUE"""),"Groceries")</f>
        <v>Groceries</v>
      </c>
      <c r="E473" s="6" t="str">
        <f>IFERROR(__xludf.DUMMYFUNCTION("""COMPUTED_VALUE"""),"Split Payment")</f>
        <v>Split Payment</v>
      </c>
      <c r="F473" s="6" t="s">
        <v>7</v>
      </c>
      <c r="G473" s="8" t="str">
        <f t="shared" si="1"/>
        <v>202410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  <c r="CD473" s="4"/>
      <c r="CE473" s="4"/>
      <c r="CF473" s="4"/>
      <c r="CG473" s="4"/>
      <c r="CH473" s="4"/>
      <c r="CI473" s="4"/>
      <c r="CJ473" s="4"/>
      <c r="CK473" s="4"/>
      <c r="CL473" s="4"/>
      <c r="CM473" s="4"/>
      <c r="CN473" s="4"/>
      <c r="CO473" s="4"/>
      <c r="CP473" s="4"/>
      <c r="CQ473" s="4"/>
      <c r="CR473" s="4"/>
      <c r="CS473" s="4"/>
      <c r="CT473" s="4"/>
      <c r="CU473" s="4"/>
      <c r="CV473" s="4"/>
      <c r="CW473" s="4"/>
      <c r="CX473" s="4"/>
      <c r="CY473" s="4"/>
      <c r="CZ473" s="4"/>
      <c r="DA473" s="4"/>
      <c r="DB473" s="4"/>
      <c r="DC473" s="4"/>
      <c r="DD473" s="4"/>
      <c r="DE473" s="4"/>
      <c r="DF473" s="4"/>
      <c r="DG473" s="4"/>
      <c r="DH473" s="4"/>
      <c r="DI473" s="4"/>
      <c r="DJ473" s="4"/>
      <c r="DK473" s="4"/>
      <c r="DL473" s="4"/>
      <c r="DM473" s="4"/>
      <c r="DN473" s="4"/>
      <c r="DO473" s="4"/>
      <c r="DP473" s="4"/>
      <c r="DQ473" s="4"/>
      <c r="DR473" s="4"/>
      <c r="DS473" s="4"/>
    </row>
    <row r="474">
      <c r="A474" s="9">
        <f>IFERROR(__xludf.DUMMYFUNCTION("""COMPUTED_VALUE"""),45580.0)</f>
        <v>45580</v>
      </c>
      <c r="B474" s="6" t="str">
        <f>IFERROR(__xludf.DUMMYFUNCTION("""COMPUTED_VALUE"""),"Groceries")</f>
        <v>Groceries</v>
      </c>
      <c r="C474" s="7">
        <f>IFERROR(__xludf.DUMMYFUNCTION("""COMPUTED_VALUE"""),2850.0)</f>
        <v>2850</v>
      </c>
      <c r="D474" s="6" t="str">
        <f>IFERROR(__xludf.DUMMYFUNCTION("""COMPUTED_VALUE"""),"Groceries")</f>
        <v>Groceries</v>
      </c>
      <c r="E474" s="6" t="str">
        <f>IFERROR(__xludf.DUMMYFUNCTION("""COMPUTED_VALUE"""),"Virtual Wallet")</f>
        <v>Virtual Wallet</v>
      </c>
      <c r="F474" s="6" t="s">
        <v>7</v>
      </c>
      <c r="G474" s="8" t="str">
        <f t="shared" si="1"/>
        <v>202410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  <c r="CD474" s="4"/>
      <c r="CE474" s="4"/>
      <c r="CF474" s="4"/>
      <c r="CG474" s="4"/>
      <c r="CH474" s="4"/>
      <c r="CI474" s="4"/>
      <c r="CJ474" s="4"/>
      <c r="CK474" s="4"/>
      <c r="CL474" s="4"/>
      <c r="CM474" s="4"/>
      <c r="CN474" s="4"/>
      <c r="CO474" s="4"/>
      <c r="CP474" s="4"/>
      <c r="CQ474" s="4"/>
      <c r="CR474" s="4"/>
      <c r="CS474" s="4"/>
      <c r="CT474" s="4"/>
      <c r="CU474" s="4"/>
      <c r="CV474" s="4"/>
      <c r="CW474" s="4"/>
      <c r="CX474" s="4"/>
      <c r="CY474" s="4"/>
      <c r="CZ474" s="4"/>
      <c r="DA474" s="4"/>
      <c r="DB474" s="4"/>
      <c r="DC474" s="4"/>
      <c r="DD474" s="4"/>
      <c r="DE474" s="4"/>
      <c r="DF474" s="4"/>
      <c r="DG474" s="4"/>
      <c r="DH474" s="4"/>
      <c r="DI474" s="4"/>
      <c r="DJ474" s="4"/>
      <c r="DK474" s="4"/>
      <c r="DL474" s="4"/>
      <c r="DM474" s="4"/>
      <c r="DN474" s="4"/>
      <c r="DO474" s="4"/>
      <c r="DP474" s="4"/>
      <c r="DQ474" s="4"/>
      <c r="DR474" s="4"/>
      <c r="DS474" s="4"/>
    </row>
    <row r="475">
      <c r="A475" s="9">
        <f>IFERROR(__xludf.DUMMYFUNCTION("""COMPUTED_VALUE"""),45580.0)</f>
        <v>45580</v>
      </c>
      <c r="B475" s="6" t="str">
        <f>IFERROR(__xludf.DUMMYFUNCTION("""COMPUTED_VALUE"""),"Pets")</f>
        <v>Pets</v>
      </c>
      <c r="C475" s="7">
        <f>IFERROR(__xludf.DUMMYFUNCTION("""COMPUTED_VALUE"""),10403.0)</f>
        <v>10403</v>
      </c>
      <c r="D475" s="6" t="str">
        <f>IFERROR(__xludf.DUMMYFUNCTION("""COMPUTED_VALUE"""),"Pets")</f>
        <v>Pets</v>
      </c>
      <c r="E475" s="6" t="str">
        <f>IFERROR(__xludf.DUMMYFUNCTION("""COMPUTED_VALUE"""),"Split Payment")</f>
        <v>Split Payment</v>
      </c>
      <c r="F475" s="6" t="s">
        <v>7</v>
      </c>
      <c r="G475" s="8" t="str">
        <f t="shared" si="1"/>
        <v>202410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  <c r="CD475" s="4"/>
      <c r="CE475" s="4"/>
      <c r="CF475" s="4"/>
      <c r="CG475" s="4"/>
      <c r="CH475" s="4"/>
      <c r="CI475" s="4"/>
      <c r="CJ475" s="4"/>
      <c r="CK475" s="4"/>
      <c r="CL475" s="4"/>
      <c r="CM475" s="4"/>
      <c r="CN475" s="4"/>
      <c r="CO475" s="4"/>
      <c r="CP475" s="4"/>
      <c r="CQ475" s="4"/>
      <c r="CR475" s="4"/>
      <c r="CS475" s="4"/>
      <c r="CT475" s="4"/>
      <c r="CU475" s="4"/>
      <c r="CV475" s="4"/>
      <c r="CW475" s="4"/>
      <c r="CX475" s="4"/>
      <c r="CY475" s="4"/>
      <c r="CZ475" s="4"/>
      <c r="DA475" s="4"/>
      <c r="DB475" s="4"/>
      <c r="DC475" s="4"/>
      <c r="DD475" s="4"/>
      <c r="DE475" s="4"/>
      <c r="DF475" s="4"/>
      <c r="DG475" s="4"/>
      <c r="DH475" s="4"/>
      <c r="DI475" s="4"/>
      <c r="DJ475" s="4"/>
      <c r="DK475" s="4"/>
      <c r="DL475" s="4"/>
      <c r="DM475" s="4"/>
      <c r="DN475" s="4"/>
      <c r="DO475" s="4"/>
      <c r="DP475" s="4"/>
      <c r="DQ475" s="4"/>
      <c r="DR475" s="4"/>
      <c r="DS475" s="4"/>
    </row>
    <row r="476">
      <c r="A476" s="9">
        <f>IFERROR(__xludf.DUMMYFUNCTION("""COMPUTED_VALUE"""),45580.0)</f>
        <v>45580</v>
      </c>
      <c r="B476" s="6" t="str">
        <f>IFERROR(__xludf.DUMMYFUNCTION("""COMPUTED_VALUE"""),"Pets")</f>
        <v>Pets</v>
      </c>
      <c r="C476" s="7">
        <f>IFERROR(__xludf.DUMMYFUNCTION("""COMPUTED_VALUE"""),10812.5)</f>
        <v>10812.5</v>
      </c>
      <c r="D476" s="6" t="str">
        <f>IFERROR(__xludf.DUMMYFUNCTION("""COMPUTED_VALUE"""),"Pets")</f>
        <v>Pets</v>
      </c>
      <c r="E476" s="6" t="str">
        <f>IFERROR(__xludf.DUMMYFUNCTION("""COMPUTED_VALUE"""),"Split Payment")</f>
        <v>Split Payment</v>
      </c>
      <c r="F476" s="6" t="s">
        <v>7</v>
      </c>
      <c r="G476" s="8" t="str">
        <f t="shared" si="1"/>
        <v>202410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  <c r="CD476" s="4"/>
      <c r="CE476" s="4"/>
      <c r="CF476" s="4"/>
      <c r="CG476" s="4"/>
      <c r="CH476" s="4"/>
      <c r="CI476" s="4"/>
      <c r="CJ476" s="4"/>
      <c r="CK476" s="4"/>
      <c r="CL476" s="4"/>
      <c r="CM476" s="4"/>
      <c r="CN476" s="4"/>
      <c r="CO476" s="4"/>
      <c r="CP476" s="4"/>
      <c r="CQ476" s="4"/>
      <c r="CR476" s="4"/>
      <c r="CS476" s="4"/>
      <c r="CT476" s="4"/>
      <c r="CU476" s="4"/>
      <c r="CV476" s="4"/>
      <c r="CW476" s="4"/>
      <c r="CX476" s="4"/>
      <c r="CY476" s="4"/>
      <c r="CZ476" s="4"/>
      <c r="DA476" s="4"/>
      <c r="DB476" s="4"/>
      <c r="DC476" s="4"/>
      <c r="DD476" s="4"/>
      <c r="DE476" s="4"/>
      <c r="DF476" s="4"/>
      <c r="DG476" s="4"/>
      <c r="DH476" s="4"/>
      <c r="DI476" s="4"/>
      <c r="DJ476" s="4"/>
      <c r="DK476" s="4"/>
      <c r="DL476" s="4"/>
      <c r="DM476" s="4"/>
      <c r="DN476" s="4"/>
      <c r="DO476" s="4"/>
      <c r="DP476" s="4"/>
      <c r="DQ476" s="4"/>
      <c r="DR476" s="4"/>
      <c r="DS476" s="4"/>
    </row>
    <row r="477">
      <c r="A477" s="9">
        <f>IFERROR(__xludf.DUMMYFUNCTION("""COMPUTED_VALUE"""),45580.0)</f>
        <v>45580</v>
      </c>
      <c r="B477" s="6" t="str">
        <f>IFERROR(__xludf.DUMMYFUNCTION("""COMPUTED_VALUE"""),"Pets")</f>
        <v>Pets</v>
      </c>
      <c r="C477" s="7">
        <f>IFERROR(__xludf.DUMMYFUNCTION("""COMPUTED_VALUE"""),1808.0)</f>
        <v>1808</v>
      </c>
      <c r="D477" s="6" t="str">
        <f>IFERROR(__xludf.DUMMYFUNCTION("""COMPUTED_VALUE"""),"Pets")</f>
        <v>Pets</v>
      </c>
      <c r="E477" s="6" t="str">
        <f>IFERROR(__xludf.DUMMYFUNCTION("""COMPUTED_VALUE"""),"Virtual Wallet")</f>
        <v>Virtual Wallet</v>
      </c>
      <c r="F477" s="6" t="s">
        <v>7</v>
      </c>
      <c r="G477" s="8" t="str">
        <f t="shared" si="1"/>
        <v>202410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  <c r="CD477" s="4"/>
      <c r="CE477" s="4"/>
      <c r="CF477" s="4"/>
      <c r="CG477" s="4"/>
      <c r="CH477" s="4"/>
      <c r="CI477" s="4"/>
      <c r="CJ477" s="4"/>
      <c r="CK477" s="4"/>
      <c r="CL477" s="4"/>
      <c r="CM477" s="4"/>
      <c r="CN477" s="4"/>
      <c r="CO477" s="4"/>
      <c r="CP477" s="4"/>
      <c r="CQ477" s="4"/>
      <c r="CR477" s="4"/>
      <c r="CS477" s="4"/>
      <c r="CT477" s="4"/>
      <c r="CU477" s="4"/>
      <c r="CV477" s="4"/>
      <c r="CW477" s="4"/>
      <c r="CX477" s="4"/>
      <c r="CY477" s="4"/>
      <c r="CZ477" s="4"/>
      <c r="DA477" s="4"/>
      <c r="DB477" s="4"/>
      <c r="DC477" s="4"/>
      <c r="DD477" s="4"/>
      <c r="DE477" s="4"/>
      <c r="DF477" s="4"/>
      <c r="DG477" s="4"/>
      <c r="DH477" s="4"/>
      <c r="DI477" s="4"/>
      <c r="DJ477" s="4"/>
      <c r="DK477" s="4"/>
      <c r="DL477" s="4"/>
      <c r="DM477" s="4"/>
      <c r="DN477" s="4"/>
      <c r="DO477" s="4"/>
      <c r="DP477" s="4"/>
      <c r="DQ477" s="4"/>
      <c r="DR477" s="4"/>
      <c r="DS477" s="4"/>
    </row>
    <row r="478">
      <c r="A478" s="9">
        <f>IFERROR(__xludf.DUMMYFUNCTION("""COMPUTED_VALUE"""),45582.0)</f>
        <v>45582</v>
      </c>
      <c r="B478" s="6" t="str">
        <f>IFERROR(__xludf.DUMMYFUNCTION("""COMPUTED_VALUE"""),"Groceries")</f>
        <v>Groceries</v>
      </c>
      <c r="C478" s="7">
        <f>IFERROR(__xludf.DUMMYFUNCTION("""COMPUTED_VALUE"""),4750.0)</f>
        <v>4750</v>
      </c>
      <c r="D478" s="6" t="str">
        <f>IFERROR(__xludf.DUMMYFUNCTION("""COMPUTED_VALUE"""),"Groceries")</f>
        <v>Groceries</v>
      </c>
      <c r="E478" s="6" t="str">
        <f>IFERROR(__xludf.DUMMYFUNCTION("""COMPUTED_VALUE"""),"Split Payment")</f>
        <v>Split Payment</v>
      </c>
      <c r="F478" s="6" t="s">
        <v>7</v>
      </c>
      <c r="G478" s="8" t="str">
        <f t="shared" si="1"/>
        <v>202410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  <c r="CD478" s="4"/>
      <c r="CE478" s="4"/>
      <c r="CF478" s="4"/>
      <c r="CG478" s="4"/>
      <c r="CH478" s="4"/>
      <c r="CI478" s="4"/>
      <c r="CJ478" s="4"/>
      <c r="CK478" s="4"/>
      <c r="CL478" s="4"/>
      <c r="CM478" s="4"/>
      <c r="CN478" s="4"/>
      <c r="CO478" s="4"/>
      <c r="CP478" s="4"/>
      <c r="CQ478" s="4"/>
      <c r="CR478" s="4"/>
      <c r="CS478" s="4"/>
      <c r="CT478" s="4"/>
      <c r="CU478" s="4"/>
      <c r="CV478" s="4"/>
      <c r="CW478" s="4"/>
      <c r="CX478" s="4"/>
      <c r="CY478" s="4"/>
      <c r="CZ478" s="4"/>
      <c r="DA478" s="4"/>
      <c r="DB478" s="4"/>
      <c r="DC478" s="4"/>
      <c r="DD478" s="4"/>
      <c r="DE478" s="4"/>
      <c r="DF478" s="4"/>
      <c r="DG478" s="4"/>
      <c r="DH478" s="4"/>
      <c r="DI478" s="4"/>
      <c r="DJ478" s="4"/>
      <c r="DK478" s="4"/>
      <c r="DL478" s="4"/>
      <c r="DM478" s="4"/>
      <c r="DN478" s="4"/>
      <c r="DO478" s="4"/>
      <c r="DP478" s="4"/>
      <c r="DQ478" s="4"/>
      <c r="DR478" s="4"/>
      <c r="DS478" s="4"/>
    </row>
    <row r="479">
      <c r="A479" s="9">
        <f>IFERROR(__xludf.DUMMYFUNCTION("""COMPUTED_VALUE"""),45582.0)</f>
        <v>45582</v>
      </c>
      <c r="B479" s="6" t="str">
        <f>IFERROR(__xludf.DUMMYFUNCTION("""COMPUTED_VALUE"""),"Groceries")</f>
        <v>Groceries</v>
      </c>
      <c r="C479" s="7">
        <f>IFERROR(__xludf.DUMMYFUNCTION("""COMPUTED_VALUE"""),1200.0)</f>
        <v>1200</v>
      </c>
      <c r="D479" s="6" t="str">
        <f>IFERROR(__xludf.DUMMYFUNCTION("""COMPUTED_VALUE"""),"Groceries")</f>
        <v>Groceries</v>
      </c>
      <c r="E479" s="6" t="str">
        <f>IFERROR(__xludf.DUMMYFUNCTION("""COMPUTED_VALUE"""),"Virtual Wallet")</f>
        <v>Virtual Wallet</v>
      </c>
      <c r="F479" s="6" t="s">
        <v>7</v>
      </c>
      <c r="G479" s="8" t="str">
        <f t="shared" si="1"/>
        <v>202410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  <c r="CD479" s="4"/>
      <c r="CE479" s="4"/>
      <c r="CF479" s="4"/>
      <c r="CG479" s="4"/>
      <c r="CH479" s="4"/>
      <c r="CI479" s="4"/>
      <c r="CJ479" s="4"/>
      <c r="CK479" s="4"/>
      <c r="CL479" s="4"/>
      <c r="CM479" s="4"/>
      <c r="CN479" s="4"/>
      <c r="CO479" s="4"/>
      <c r="CP479" s="4"/>
      <c r="CQ479" s="4"/>
      <c r="CR479" s="4"/>
      <c r="CS479" s="4"/>
      <c r="CT479" s="4"/>
      <c r="CU479" s="4"/>
      <c r="CV479" s="4"/>
      <c r="CW479" s="4"/>
      <c r="CX479" s="4"/>
      <c r="CY479" s="4"/>
      <c r="CZ479" s="4"/>
      <c r="DA479" s="4"/>
      <c r="DB479" s="4"/>
      <c r="DC479" s="4"/>
      <c r="DD479" s="4"/>
      <c r="DE479" s="4"/>
      <c r="DF479" s="4"/>
      <c r="DG479" s="4"/>
      <c r="DH479" s="4"/>
      <c r="DI479" s="4"/>
      <c r="DJ479" s="4"/>
      <c r="DK479" s="4"/>
      <c r="DL479" s="4"/>
      <c r="DM479" s="4"/>
      <c r="DN479" s="4"/>
      <c r="DO479" s="4"/>
      <c r="DP479" s="4"/>
      <c r="DQ479" s="4"/>
      <c r="DR479" s="4"/>
      <c r="DS479" s="4"/>
    </row>
    <row r="480">
      <c r="A480" s="9">
        <f>IFERROR(__xludf.DUMMYFUNCTION("""COMPUTED_VALUE"""),45582.0)</f>
        <v>45582</v>
      </c>
      <c r="B480" s="6" t="str">
        <f>IFERROR(__xludf.DUMMYFUNCTION("""COMPUTED_VALUE"""),"Restaurant")</f>
        <v>Restaurant</v>
      </c>
      <c r="C480" s="7">
        <f>IFERROR(__xludf.DUMMYFUNCTION("""COMPUTED_VALUE"""),19.5)</f>
        <v>19.5</v>
      </c>
      <c r="D480" s="6" t="str">
        <f>IFERROR(__xludf.DUMMYFUNCTION("""COMPUTED_VALUE"""),"Lunch Out")</f>
        <v>Lunch Out</v>
      </c>
      <c r="E480" s="6" t="str">
        <f>IFERROR(__xludf.DUMMYFUNCTION("""COMPUTED_VALUE"""),"Virtual Wallet")</f>
        <v>Virtual Wallet</v>
      </c>
      <c r="F480" s="6" t="s">
        <v>14</v>
      </c>
      <c r="G480" s="8" t="str">
        <f t="shared" si="1"/>
        <v>202410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  <c r="CI480" s="4"/>
      <c r="CJ480" s="4"/>
      <c r="CK480" s="4"/>
      <c r="CL480" s="4"/>
      <c r="CM480" s="4"/>
      <c r="CN480" s="4"/>
      <c r="CO480" s="4"/>
      <c r="CP480" s="4"/>
      <c r="CQ480" s="4"/>
      <c r="CR480" s="4"/>
      <c r="CS480" s="4"/>
      <c r="CT480" s="4"/>
      <c r="CU480" s="4"/>
      <c r="CV480" s="4"/>
      <c r="CW480" s="4"/>
      <c r="CX480" s="4"/>
      <c r="CY480" s="4"/>
      <c r="CZ480" s="4"/>
      <c r="DA480" s="4"/>
      <c r="DB480" s="4"/>
      <c r="DC480" s="4"/>
      <c r="DD480" s="4"/>
      <c r="DE480" s="4"/>
      <c r="DF480" s="4"/>
      <c r="DG480" s="4"/>
      <c r="DH480" s="4"/>
      <c r="DI480" s="4"/>
      <c r="DJ480" s="4"/>
      <c r="DK480" s="4"/>
      <c r="DL480" s="4"/>
      <c r="DM480" s="4"/>
      <c r="DN480" s="4"/>
      <c r="DO480" s="4"/>
      <c r="DP480" s="4"/>
      <c r="DQ480" s="4"/>
      <c r="DR480" s="4"/>
      <c r="DS480" s="4"/>
    </row>
    <row r="481">
      <c r="A481" s="9">
        <f>IFERROR(__xludf.DUMMYFUNCTION("""COMPUTED_VALUE"""),45583.0)</f>
        <v>45583</v>
      </c>
      <c r="B481" s="6" t="str">
        <f>IFERROR(__xludf.DUMMYFUNCTION("""COMPUTED_VALUE"""),"Cab/Uber")</f>
        <v>Cab/Uber</v>
      </c>
      <c r="C481" s="7">
        <f>IFERROR(__xludf.DUMMYFUNCTION("""COMPUTED_VALUE"""),2000.0)</f>
        <v>2000</v>
      </c>
      <c r="D481" s="6" t="str">
        <f>IFERROR(__xludf.DUMMYFUNCTION("""COMPUTED_VALUE"""),"Transportation")</f>
        <v>Transportation</v>
      </c>
      <c r="E481" s="6" t="str">
        <f>IFERROR(__xludf.DUMMYFUNCTION("""COMPUTED_VALUE"""),"Virtual Wallet")</f>
        <v>Virtual Wallet</v>
      </c>
      <c r="F481" s="6" t="s">
        <v>9</v>
      </c>
      <c r="G481" s="8" t="str">
        <f t="shared" si="1"/>
        <v>202410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  <c r="CD481" s="4"/>
      <c r="CE481" s="4"/>
      <c r="CF481" s="4"/>
      <c r="CG481" s="4"/>
      <c r="CH481" s="4"/>
      <c r="CI481" s="4"/>
      <c r="CJ481" s="4"/>
      <c r="CK481" s="4"/>
      <c r="CL481" s="4"/>
      <c r="CM481" s="4"/>
      <c r="CN481" s="4"/>
      <c r="CO481" s="4"/>
      <c r="CP481" s="4"/>
      <c r="CQ481" s="4"/>
      <c r="CR481" s="4"/>
      <c r="CS481" s="4"/>
      <c r="CT481" s="4"/>
      <c r="CU481" s="4"/>
      <c r="CV481" s="4"/>
      <c r="CW481" s="4"/>
      <c r="CX481" s="4"/>
      <c r="CY481" s="4"/>
      <c r="CZ481" s="4"/>
      <c r="DA481" s="4"/>
      <c r="DB481" s="4"/>
      <c r="DC481" s="4"/>
      <c r="DD481" s="4"/>
      <c r="DE481" s="4"/>
      <c r="DF481" s="4"/>
      <c r="DG481" s="4"/>
      <c r="DH481" s="4"/>
      <c r="DI481" s="4"/>
      <c r="DJ481" s="4"/>
      <c r="DK481" s="4"/>
      <c r="DL481" s="4"/>
      <c r="DM481" s="4"/>
      <c r="DN481" s="4"/>
      <c r="DO481" s="4"/>
      <c r="DP481" s="4"/>
      <c r="DQ481" s="4"/>
      <c r="DR481" s="4"/>
      <c r="DS481" s="4"/>
    </row>
    <row r="482">
      <c r="A482" s="9">
        <f>IFERROR(__xludf.DUMMYFUNCTION("""COMPUTED_VALUE"""),45583.0)</f>
        <v>45583</v>
      </c>
      <c r="B482" s="6" t="str">
        <f>IFERROR(__xludf.DUMMYFUNCTION("""COMPUTED_VALUE"""),"Groceries")</f>
        <v>Groceries</v>
      </c>
      <c r="C482" s="7">
        <f>IFERROR(__xludf.DUMMYFUNCTION("""COMPUTED_VALUE"""),1500.0)</f>
        <v>1500</v>
      </c>
      <c r="D482" s="6" t="str">
        <f>IFERROR(__xludf.DUMMYFUNCTION("""COMPUTED_VALUE"""),"Restaurant / Café")</f>
        <v>Restaurant / Café</v>
      </c>
      <c r="E482" s="6" t="str">
        <f>IFERROR(__xludf.DUMMYFUNCTION("""COMPUTED_VALUE"""),"Virtual Wallet")</f>
        <v>Virtual Wallet</v>
      </c>
      <c r="F482" s="6" t="s">
        <v>14</v>
      </c>
      <c r="G482" s="8" t="str">
        <f t="shared" si="1"/>
        <v>202410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  <c r="CD482" s="4"/>
      <c r="CE482" s="4"/>
      <c r="CF482" s="4"/>
      <c r="CG482" s="4"/>
      <c r="CH482" s="4"/>
      <c r="CI482" s="4"/>
      <c r="CJ482" s="4"/>
      <c r="CK482" s="4"/>
      <c r="CL482" s="4"/>
      <c r="CM482" s="4"/>
      <c r="CN482" s="4"/>
      <c r="CO482" s="4"/>
      <c r="CP482" s="4"/>
      <c r="CQ482" s="4"/>
      <c r="CR482" s="4"/>
      <c r="CS482" s="4"/>
      <c r="CT482" s="4"/>
      <c r="CU482" s="4"/>
      <c r="CV482" s="4"/>
      <c r="CW482" s="4"/>
      <c r="CX482" s="4"/>
      <c r="CY482" s="4"/>
      <c r="CZ482" s="4"/>
      <c r="DA482" s="4"/>
      <c r="DB482" s="4"/>
      <c r="DC482" s="4"/>
      <c r="DD482" s="4"/>
      <c r="DE482" s="4"/>
      <c r="DF482" s="4"/>
      <c r="DG482" s="4"/>
      <c r="DH482" s="4"/>
      <c r="DI482" s="4"/>
      <c r="DJ482" s="4"/>
      <c r="DK482" s="4"/>
      <c r="DL482" s="4"/>
      <c r="DM482" s="4"/>
      <c r="DN482" s="4"/>
      <c r="DO482" s="4"/>
      <c r="DP482" s="4"/>
      <c r="DQ482" s="4"/>
      <c r="DR482" s="4"/>
      <c r="DS482" s="4"/>
    </row>
    <row r="483">
      <c r="A483" s="9">
        <f>IFERROR(__xludf.DUMMYFUNCTION("""COMPUTED_VALUE"""),45583.0)</f>
        <v>45583</v>
      </c>
      <c r="B483" s="6" t="str">
        <f>IFERROR(__xludf.DUMMYFUNCTION("""COMPUTED_VALUE"""),"Restaurant")</f>
        <v>Restaurant</v>
      </c>
      <c r="C483" s="7">
        <f>IFERROR(__xludf.DUMMYFUNCTION("""COMPUTED_VALUE"""),8500.0)</f>
        <v>8500</v>
      </c>
      <c r="D483" s="6" t="str">
        <f>IFERROR(__xludf.DUMMYFUNCTION("""COMPUTED_VALUE"""),"Restaurant / Café")</f>
        <v>Restaurant / Café</v>
      </c>
      <c r="E483" s="6" t="str">
        <f>IFERROR(__xludf.DUMMYFUNCTION("""COMPUTED_VALUE"""),"Virtual Wallet")</f>
        <v>Virtual Wallet</v>
      </c>
      <c r="F483" s="6" t="s">
        <v>14</v>
      </c>
      <c r="G483" s="8" t="str">
        <f t="shared" si="1"/>
        <v>202410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  <c r="CD483" s="4"/>
      <c r="CE483" s="4"/>
      <c r="CF483" s="4"/>
      <c r="CG483" s="4"/>
      <c r="CH483" s="4"/>
      <c r="CI483" s="4"/>
      <c r="CJ483" s="4"/>
      <c r="CK483" s="4"/>
      <c r="CL483" s="4"/>
      <c r="CM483" s="4"/>
      <c r="CN483" s="4"/>
      <c r="CO483" s="4"/>
      <c r="CP483" s="4"/>
      <c r="CQ483" s="4"/>
      <c r="CR483" s="4"/>
      <c r="CS483" s="4"/>
      <c r="CT483" s="4"/>
      <c r="CU483" s="4"/>
      <c r="CV483" s="4"/>
      <c r="CW483" s="4"/>
      <c r="CX483" s="4"/>
      <c r="CY483" s="4"/>
      <c r="CZ483" s="4"/>
      <c r="DA483" s="4"/>
      <c r="DB483" s="4"/>
      <c r="DC483" s="4"/>
      <c r="DD483" s="4"/>
      <c r="DE483" s="4"/>
      <c r="DF483" s="4"/>
      <c r="DG483" s="4"/>
      <c r="DH483" s="4"/>
      <c r="DI483" s="4"/>
      <c r="DJ483" s="4"/>
      <c r="DK483" s="4"/>
      <c r="DL483" s="4"/>
      <c r="DM483" s="4"/>
      <c r="DN483" s="4"/>
      <c r="DO483" s="4"/>
      <c r="DP483" s="4"/>
      <c r="DQ483" s="4"/>
      <c r="DR483" s="4"/>
      <c r="DS483" s="4"/>
    </row>
    <row r="484">
      <c r="A484" s="9">
        <f>IFERROR(__xludf.DUMMYFUNCTION("""COMPUTED_VALUE"""),45584.0)</f>
        <v>45584</v>
      </c>
      <c r="B484" s="6" t="str">
        <f>IFERROR(__xludf.DUMMYFUNCTION("""COMPUTED_VALUE"""),"Groceries")</f>
        <v>Groceries</v>
      </c>
      <c r="C484" s="7">
        <f>IFERROR(__xludf.DUMMYFUNCTION("""COMPUTED_VALUE"""),1500.0)</f>
        <v>1500</v>
      </c>
      <c r="D484" s="6" t="str">
        <f>IFERROR(__xludf.DUMMYFUNCTION("""COMPUTED_VALUE"""),"Groceries")</f>
        <v>Groceries</v>
      </c>
      <c r="E484" s="6" t="str">
        <f>IFERROR(__xludf.DUMMYFUNCTION("""COMPUTED_VALUE"""),"Split Payment")</f>
        <v>Split Payment</v>
      </c>
      <c r="F484" s="6" t="s">
        <v>7</v>
      </c>
      <c r="G484" s="8" t="str">
        <f t="shared" si="1"/>
        <v>202410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  <c r="CD484" s="4"/>
      <c r="CE484" s="4"/>
      <c r="CF484" s="4"/>
      <c r="CG484" s="4"/>
      <c r="CH484" s="4"/>
      <c r="CI484" s="4"/>
      <c r="CJ484" s="4"/>
      <c r="CK484" s="4"/>
      <c r="CL484" s="4"/>
      <c r="CM484" s="4"/>
      <c r="CN484" s="4"/>
      <c r="CO484" s="4"/>
      <c r="CP484" s="4"/>
      <c r="CQ484" s="4"/>
      <c r="CR484" s="4"/>
      <c r="CS484" s="4"/>
      <c r="CT484" s="4"/>
      <c r="CU484" s="4"/>
      <c r="CV484" s="4"/>
      <c r="CW484" s="4"/>
      <c r="CX484" s="4"/>
      <c r="CY484" s="4"/>
      <c r="CZ484" s="4"/>
      <c r="DA484" s="4"/>
      <c r="DB484" s="4"/>
      <c r="DC484" s="4"/>
      <c r="DD484" s="4"/>
      <c r="DE484" s="4"/>
      <c r="DF484" s="4"/>
      <c r="DG484" s="4"/>
      <c r="DH484" s="4"/>
      <c r="DI484" s="4"/>
      <c r="DJ484" s="4"/>
      <c r="DK484" s="4"/>
      <c r="DL484" s="4"/>
      <c r="DM484" s="4"/>
      <c r="DN484" s="4"/>
      <c r="DO484" s="4"/>
      <c r="DP484" s="4"/>
      <c r="DQ484" s="4"/>
      <c r="DR484" s="4"/>
      <c r="DS484" s="4"/>
    </row>
    <row r="485">
      <c r="A485" s="9">
        <f>IFERROR(__xludf.DUMMYFUNCTION("""COMPUTED_VALUE"""),45584.0)</f>
        <v>45584</v>
      </c>
      <c r="B485" s="6" t="str">
        <f>IFERROR(__xludf.DUMMYFUNCTION("""COMPUTED_VALUE"""),"Groceries")</f>
        <v>Groceries</v>
      </c>
      <c r="C485" s="7">
        <f>IFERROR(__xludf.DUMMYFUNCTION("""COMPUTED_VALUE"""),1600.0)</f>
        <v>1600</v>
      </c>
      <c r="D485" s="6" t="str">
        <f>IFERROR(__xludf.DUMMYFUNCTION("""COMPUTED_VALUE"""),"Groceries")</f>
        <v>Groceries</v>
      </c>
      <c r="E485" s="6" t="str">
        <f>IFERROR(__xludf.DUMMYFUNCTION("""COMPUTED_VALUE"""),"Virtual Wallet")</f>
        <v>Virtual Wallet</v>
      </c>
      <c r="F485" s="6" t="s">
        <v>7</v>
      </c>
      <c r="G485" s="8" t="str">
        <f t="shared" si="1"/>
        <v>202410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  <c r="CD485" s="4"/>
      <c r="CE485" s="4"/>
      <c r="CF485" s="4"/>
      <c r="CG485" s="4"/>
      <c r="CH485" s="4"/>
      <c r="CI485" s="4"/>
      <c r="CJ485" s="4"/>
      <c r="CK485" s="4"/>
      <c r="CL485" s="4"/>
      <c r="CM485" s="4"/>
      <c r="CN485" s="4"/>
      <c r="CO485" s="4"/>
      <c r="CP485" s="4"/>
      <c r="CQ485" s="4"/>
      <c r="CR485" s="4"/>
      <c r="CS485" s="4"/>
      <c r="CT485" s="4"/>
      <c r="CU485" s="4"/>
      <c r="CV485" s="4"/>
      <c r="CW485" s="4"/>
      <c r="CX485" s="4"/>
      <c r="CY485" s="4"/>
      <c r="CZ485" s="4"/>
      <c r="DA485" s="4"/>
      <c r="DB485" s="4"/>
      <c r="DC485" s="4"/>
      <c r="DD485" s="4"/>
      <c r="DE485" s="4"/>
      <c r="DF485" s="4"/>
      <c r="DG485" s="4"/>
      <c r="DH485" s="4"/>
      <c r="DI485" s="4"/>
      <c r="DJ485" s="4"/>
      <c r="DK485" s="4"/>
      <c r="DL485" s="4"/>
      <c r="DM485" s="4"/>
      <c r="DN485" s="4"/>
      <c r="DO485" s="4"/>
      <c r="DP485" s="4"/>
      <c r="DQ485" s="4"/>
      <c r="DR485" s="4"/>
      <c r="DS485" s="4"/>
    </row>
    <row r="486">
      <c r="A486" s="9">
        <f>IFERROR(__xludf.DUMMYFUNCTION("""COMPUTED_VALUE"""),45584.0)</f>
        <v>45584</v>
      </c>
      <c r="B486" s="6" t="str">
        <f>IFERROR(__xludf.DUMMYFUNCTION("""COMPUTED_VALUE"""),"Pets")</f>
        <v>Pets</v>
      </c>
      <c r="C486" s="7">
        <f>IFERROR(__xludf.DUMMYFUNCTION("""COMPUTED_VALUE"""),600.0)</f>
        <v>600</v>
      </c>
      <c r="D486" s="6" t="str">
        <f>IFERROR(__xludf.DUMMYFUNCTION("""COMPUTED_VALUE"""),"Pets")</f>
        <v>Pets</v>
      </c>
      <c r="E486" s="6" t="str">
        <f>IFERROR(__xludf.DUMMYFUNCTION("""COMPUTED_VALUE"""),"Virtual Wallet")</f>
        <v>Virtual Wallet</v>
      </c>
      <c r="F486" s="6" t="s">
        <v>7</v>
      </c>
      <c r="G486" s="8" t="str">
        <f t="shared" si="1"/>
        <v>202410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  <c r="CD486" s="4"/>
      <c r="CE486" s="4"/>
      <c r="CF486" s="4"/>
      <c r="CG486" s="4"/>
      <c r="CH486" s="4"/>
      <c r="CI486" s="4"/>
      <c r="CJ486" s="4"/>
      <c r="CK486" s="4"/>
      <c r="CL486" s="4"/>
      <c r="CM486" s="4"/>
      <c r="CN486" s="4"/>
      <c r="CO486" s="4"/>
      <c r="CP486" s="4"/>
      <c r="CQ486" s="4"/>
      <c r="CR486" s="4"/>
      <c r="CS486" s="4"/>
      <c r="CT486" s="4"/>
      <c r="CU486" s="4"/>
      <c r="CV486" s="4"/>
      <c r="CW486" s="4"/>
      <c r="CX486" s="4"/>
      <c r="CY486" s="4"/>
      <c r="CZ486" s="4"/>
      <c r="DA486" s="4"/>
      <c r="DB486" s="4"/>
      <c r="DC486" s="4"/>
      <c r="DD486" s="4"/>
      <c r="DE486" s="4"/>
      <c r="DF486" s="4"/>
      <c r="DG486" s="4"/>
      <c r="DH486" s="4"/>
      <c r="DI486" s="4"/>
      <c r="DJ486" s="4"/>
      <c r="DK486" s="4"/>
      <c r="DL486" s="4"/>
      <c r="DM486" s="4"/>
      <c r="DN486" s="4"/>
      <c r="DO486" s="4"/>
      <c r="DP486" s="4"/>
      <c r="DQ486" s="4"/>
      <c r="DR486" s="4"/>
      <c r="DS486" s="4"/>
    </row>
    <row r="487">
      <c r="A487" s="9">
        <f>IFERROR(__xludf.DUMMYFUNCTION("""COMPUTED_VALUE"""),45584.0)</f>
        <v>45584</v>
      </c>
      <c r="B487" s="6" t="str">
        <f>IFERROR(__xludf.DUMMYFUNCTION("""COMPUTED_VALUE"""),"Pharmacy")</f>
        <v>Pharmacy</v>
      </c>
      <c r="C487" s="7">
        <f>IFERROR(__xludf.DUMMYFUNCTION("""COMPUTED_VALUE"""),8500.0)</f>
        <v>8500</v>
      </c>
      <c r="D487" s="6" t="str">
        <f>IFERROR(__xludf.DUMMYFUNCTION("""COMPUTED_VALUE"""),"Healthcare")</f>
        <v>Healthcare</v>
      </c>
      <c r="E487" s="6" t="str">
        <f>IFERROR(__xludf.DUMMYFUNCTION("""COMPUTED_VALUE"""),"Split Payment")</f>
        <v>Split Payment</v>
      </c>
      <c r="F487" s="6" t="s">
        <v>15</v>
      </c>
      <c r="G487" s="8" t="str">
        <f t="shared" si="1"/>
        <v>202410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  <c r="CD487" s="4"/>
      <c r="CE487" s="4"/>
      <c r="CF487" s="4"/>
      <c r="CG487" s="4"/>
      <c r="CH487" s="4"/>
      <c r="CI487" s="4"/>
      <c r="CJ487" s="4"/>
      <c r="CK487" s="4"/>
      <c r="CL487" s="4"/>
      <c r="CM487" s="4"/>
      <c r="CN487" s="4"/>
      <c r="CO487" s="4"/>
      <c r="CP487" s="4"/>
      <c r="CQ487" s="4"/>
      <c r="CR487" s="4"/>
      <c r="CS487" s="4"/>
      <c r="CT487" s="4"/>
      <c r="CU487" s="4"/>
      <c r="CV487" s="4"/>
      <c r="CW487" s="4"/>
      <c r="CX487" s="4"/>
      <c r="CY487" s="4"/>
      <c r="CZ487" s="4"/>
      <c r="DA487" s="4"/>
      <c r="DB487" s="4"/>
      <c r="DC487" s="4"/>
      <c r="DD487" s="4"/>
      <c r="DE487" s="4"/>
      <c r="DF487" s="4"/>
      <c r="DG487" s="4"/>
      <c r="DH487" s="4"/>
      <c r="DI487" s="4"/>
      <c r="DJ487" s="4"/>
      <c r="DK487" s="4"/>
      <c r="DL487" s="4"/>
      <c r="DM487" s="4"/>
      <c r="DN487" s="4"/>
      <c r="DO487" s="4"/>
      <c r="DP487" s="4"/>
      <c r="DQ487" s="4"/>
      <c r="DR487" s="4"/>
      <c r="DS487" s="4"/>
    </row>
    <row r="488">
      <c r="A488" s="9">
        <f>IFERROR(__xludf.DUMMYFUNCTION("""COMPUTED_VALUE"""),45584.0)</f>
        <v>45584</v>
      </c>
      <c r="B488" s="6" t="str">
        <f>IFERROR(__xludf.DUMMYFUNCTION("""COMPUTED_VALUE"""),"Restaurant")</f>
        <v>Restaurant</v>
      </c>
      <c r="C488" s="7">
        <f>IFERROR(__xludf.DUMMYFUNCTION("""COMPUTED_VALUE"""),875.0)</f>
        <v>875</v>
      </c>
      <c r="D488" s="6" t="str">
        <f>IFERROR(__xludf.DUMMYFUNCTION("""COMPUTED_VALUE"""),"Groceries")</f>
        <v>Groceries</v>
      </c>
      <c r="E488" s="6" t="str">
        <f>IFERROR(__xludf.DUMMYFUNCTION("""COMPUTED_VALUE"""),"Split Payment")</f>
        <v>Split Payment</v>
      </c>
      <c r="F488" s="6" t="s">
        <v>7</v>
      </c>
      <c r="G488" s="8" t="str">
        <f t="shared" si="1"/>
        <v>202410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  <c r="CD488" s="4"/>
      <c r="CE488" s="4"/>
      <c r="CF488" s="4"/>
      <c r="CG488" s="4"/>
      <c r="CH488" s="4"/>
      <c r="CI488" s="4"/>
      <c r="CJ488" s="4"/>
      <c r="CK488" s="4"/>
      <c r="CL488" s="4"/>
      <c r="CM488" s="4"/>
      <c r="CN488" s="4"/>
      <c r="CO488" s="4"/>
      <c r="CP488" s="4"/>
      <c r="CQ488" s="4"/>
      <c r="CR488" s="4"/>
      <c r="CS488" s="4"/>
      <c r="CT488" s="4"/>
      <c r="CU488" s="4"/>
      <c r="CV488" s="4"/>
      <c r="CW488" s="4"/>
      <c r="CX488" s="4"/>
      <c r="CY488" s="4"/>
      <c r="CZ488" s="4"/>
      <c r="DA488" s="4"/>
      <c r="DB488" s="4"/>
      <c r="DC488" s="4"/>
      <c r="DD488" s="4"/>
      <c r="DE488" s="4"/>
      <c r="DF488" s="4"/>
      <c r="DG488" s="4"/>
      <c r="DH488" s="4"/>
      <c r="DI488" s="4"/>
      <c r="DJ488" s="4"/>
      <c r="DK488" s="4"/>
      <c r="DL488" s="4"/>
      <c r="DM488" s="4"/>
      <c r="DN488" s="4"/>
      <c r="DO488" s="4"/>
      <c r="DP488" s="4"/>
      <c r="DQ488" s="4"/>
      <c r="DR488" s="4"/>
      <c r="DS488" s="4"/>
    </row>
    <row r="489">
      <c r="A489" s="9">
        <f>IFERROR(__xludf.DUMMYFUNCTION("""COMPUTED_VALUE"""),45584.0)</f>
        <v>45584</v>
      </c>
      <c r="B489" s="6" t="str">
        <f>IFERROR(__xludf.DUMMYFUNCTION("""COMPUTED_VALUE"""),"Restaurant")</f>
        <v>Restaurant</v>
      </c>
      <c r="C489" s="7">
        <f>IFERROR(__xludf.DUMMYFUNCTION("""COMPUTED_VALUE"""),4350.0)</f>
        <v>4350</v>
      </c>
      <c r="D489" s="6" t="str">
        <f>IFERROR(__xludf.DUMMYFUNCTION("""COMPUTED_VALUE"""),"Restaurant / Café")</f>
        <v>Restaurant / Café</v>
      </c>
      <c r="E489" s="6" t="str">
        <f>IFERROR(__xludf.DUMMYFUNCTION("""COMPUTED_VALUE"""),"Virtual Wallet")</f>
        <v>Virtual Wallet</v>
      </c>
      <c r="F489" s="6" t="s">
        <v>14</v>
      </c>
      <c r="G489" s="8" t="str">
        <f t="shared" si="1"/>
        <v>202410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  <c r="CD489" s="4"/>
      <c r="CE489" s="4"/>
      <c r="CF489" s="4"/>
      <c r="CG489" s="4"/>
      <c r="CH489" s="4"/>
      <c r="CI489" s="4"/>
      <c r="CJ489" s="4"/>
      <c r="CK489" s="4"/>
      <c r="CL489" s="4"/>
      <c r="CM489" s="4"/>
      <c r="CN489" s="4"/>
      <c r="CO489" s="4"/>
      <c r="CP489" s="4"/>
      <c r="CQ489" s="4"/>
      <c r="CR489" s="4"/>
      <c r="CS489" s="4"/>
      <c r="CT489" s="4"/>
      <c r="CU489" s="4"/>
      <c r="CV489" s="4"/>
      <c r="CW489" s="4"/>
      <c r="CX489" s="4"/>
      <c r="CY489" s="4"/>
      <c r="CZ489" s="4"/>
      <c r="DA489" s="4"/>
      <c r="DB489" s="4"/>
      <c r="DC489" s="4"/>
      <c r="DD489" s="4"/>
      <c r="DE489" s="4"/>
      <c r="DF489" s="4"/>
      <c r="DG489" s="4"/>
      <c r="DH489" s="4"/>
      <c r="DI489" s="4"/>
      <c r="DJ489" s="4"/>
      <c r="DK489" s="4"/>
      <c r="DL489" s="4"/>
      <c r="DM489" s="4"/>
      <c r="DN489" s="4"/>
      <c r="DO489" s="4"/>
      <c r="DP489" s="4"/>
      <c r="DQ489" s="4"/>
      <c r="DR489" s="4"/>
      <c r="DS489" s="4"/>
    </row>
    <row r="490">
      <c r="A490" s="9">
        <f>IFERROR(__xludf.DUMMYFUNCTION("""COMPUTED_VALUE"""),45584.0)</f>
        <v>45584</v>
      </c>
      <c r="B490" s="6" t="str">
        <f>IFERROR(__xludf.DUMMYFUNCTION("""COMPUTED_VALUE"""),"Restaurant")</f>
        <v>Restaurant</v>
      </c>
      <c r="C490" s="7">
        <f>IFERROR(__xludf.DUMMYFUNCTION("""COMPUTED_VALUE"""),10840.5)</f>
        <v>10840.5</v>
      </c>
      <c r="D490" s="6" t="str">
        <f>IFERROR(__xludf.DUMMYFUNCTION("""COMPUTED_VALUE"""),"Groceries")</f>
        <v>Groceries</v>
      </c>
      <c r="E490" s="6" t="str">
        <f>IFERROR(__xludf.DUMMYFUNCTION("""COMPUTED_VALUE"""),"Virtual Wallet")</f>
        <v>Virtual Wallet</v>
      </c>
      <c r="F490" s="6" t="s">
        <v>7</v>
      </c>
      <c r="G490" s="8" t="str">
        <f t="shared" si="1"/>
        <v>202410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  <c r="CD490" s="4"/>
      <c r="CE490" s="4"/>
      <c r="CF490" s="4"/>
      <c r="CG490" s="4"/>
      <c r="CH490" s="4"/>
      <c r="CI490" s="4"/>
      <c r="CJ490" s="4"/>
      <c r="CK490" s="4"/>
      <c r="CL490" s="4"/>
      <c r="CM490" s="4"/>
      <c r="CN490" s="4"/>
      <c r="CO490" s="4"/>
      <c r="CP490" s="4"/>
      <c r="CQ490" s="4"/>
      <c r="CR490" s="4"/>
      <c r="CS490" s="4"/>
      <c r="CT490" s="4"/>
      <c r="CU490" s="4"/>
      <c r="CV490" s="4"/>
      <c r="CW490" s="4"/>
      <c r="CX490" s="4"/>
      <c r="CY490" s="4"/>
      <c r="CZ490" s="4"/>
      <c r="DA490" s="4"/>
      <c r="DB490" s="4"/>
      <c r="DC490" s="4"/>
      <c r="DD490" s="4"/>
      <c r="DE490" s="4"/>
      <c r="DF490" s="4"/>
      <c r="DG490" s="4"/>
      <c r="DH490" s="4"/>
      <c r="DI490" s="4"/>
      <c r="DJ490" s="4"/>
      <c r="DK490" s="4"/>
      <c r="DL490" s="4"/>
      <c r="DM490" s="4"/>
      <c r="DN490" s="4"/>
      <c r="DO490" s="4"/>
      <c r="DP490" s="4"/>
      <c r="DQ490" s="4"/>
      <c r="DR490" s="4"/>
      <c r="DS490" s="4"/>
    </row>
    <row r="491">
      <c r="A491" s="9">
        <f>IFERROR(__xludf.DUMMYFUNCTION("""COMPUTED_VALUE"""),45585.0)</f>
        <v>45585</v>
      </c>
      <c r="B491" s="6" t="str">
        <f>IFERROR(__xludf.DUMMYFUNCTION("""COMPUTED_VALUE"""),"Gasoline")</f>
        <v>Gasoline</v>
      </c>
      <c r="C491" s="7">
        <f>IFERROR(__xludf.DUMMYFUNCTION("""COMPUTED_VALUE"""),12500.0)</f>
        <v>12500</v>
      </c>
      <c r="D491" s="6" t="str">
        <f>IFERROR(__xludf.DUMMYFUNCTION("""COMPUTED_VALUE"""),"Car Expenses")</f>
        <v>Car Expenses</v>
      </c>
      <c r="E491" s="6" t="str">
        <f>IFERROR(__xludf.DUMMYFUNCTION("""COMPUTED_VALUE"""),"Split Payment")</f>
        <v>Split Payment</v>
      </c>
      <c r="F491" s="6" t="s">
        <v>9</v>
      </c>
      <c r="G491" s="8" t="str">
        <f t="shared" si="1"/>
        <v>202410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  <c r="CD491" s="4"/>
      <c r="CE491" s="4"/>
      <c r="CF491" s="4"/>
      <c r="CG491" s="4"/>
      <c r="CH491" s="4"/>
      <c r="CI491" s="4"/>
      <c r="CJ491" s="4"/>
      <c r="CK491" s="4"/>
      <c r="CL491" s="4"/>
      <c r="CM491" s="4"/>
      <c r="CN491" s="4"/>
      <c r="CO491" s="4"/>
      <c r="CP491" s="4"/>
      <c r="CQ491" s="4"/>
      <c r="CR491" s="4"/>
      <c r="CS491" s="4"/>
      <c r="CT491" s="4"/>
      <c r="CU491" s="4"/>
      <c r="CV491" s="4"/>
      <c r="CW491" s="4"/>
      <c r="CX491" s="4"/>
      <c r="CY491" s="4"/>
      <c r="CZ491" s="4"/>
      <c r="DA491" s="4"/>
      <c r="DB491" s="4"/>
      <c r="DC491" s="4"/>
      <c r="DD491" s="4"/>
      <c r="DE491" s="4"/>
      <c r="DF491" s="4"/>
      <c r="DG491" s="4"/>
      <c r="DH491" s="4"/>
      <c r="DI491" s="4"/>
      <c r="DJ491" s="4"/>
      <c r="DK491" s="4"/>
      <c r="DL491" s="4"/>
      <c r="DM491" s="4"/>
      <c r="DN491" s="4"/>
      <c r="DO491" s="4"/>
      <c r="DP491" s="4"/>
      <c r="DQ491" s="4"/>
      <c r="DR491" s="4"/>
      <c r="DS491" s="4"/>
    </row>
    <row r="492">
      <c r="A492" s="9">
        <f>IFERROR(__xludf.DUMMYFUNCTION("""COMPUTED_VALUE"""),45585.0)</f>
        <v>45585</v>
      </c>
      <c r="B492" s="6" t="str">
        <f>IFERROR(__xludf.DUMMYFUNCTION("""COMPUTED_VALUE"""),"Gift")</f>
        <v>Gift</v>
      </c>
      <c r="C492" s="7">
        <f>IFERROR(__xludf.DUMMYFUNCTION("""COMPUTED_VALUE"""),2500.0)</f>
        <v>2500</v>
      </c>
      <c r="D492" s="6" t="str">
        <f>IFERROR(__xludf.DUMMYFUNCTION("""COMPUTED_VALUE"""),"Gifts")</f>
        <v>Gifts</v>
      </c>
      <c r="E492" s="6" t="str">
        <f>IFERROR(__xludf.DUMMYFUNCTION("""COMPUTED_VALUE"""),"Virtual Wallet")</f>
        <v>Virtual Wallet</v>
      </c>
      <c r="F492" s="6"/>
      <c r="G492" s="8" t="str">
        <f t="shared" si="1"/>
        <v>202410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  <c r="CD492" s="4"/>
      <c r="CE492" s="4"/>
      <c r="CF492" s="4"/>
      <c r="CG492" s="4"/>
      <c r="CH492" s="4"/>
      <c r="CI492" s="4"/>
      <c r="CJ492" s="4"/>
      <c r="CK492" s="4"/>
      <c r="CL492" s="4"/>
      <c r="CM492" s="4"/>
      <c r="CN492" s="4"/>
      <c r="CO492" s="4"/>
      <c r="CP492" s="4"/>
      <c r="CQ492" s="4"/>
      <c r="CR492" s="4"/>
      <c r="CS492" s="4"/>
      <c r="CT492" s="4"/>
      <c r="CU492" s="4"/>
      <c r="CV492" s="4"/>
      <c r="CW492" s="4"/>
      <c r="CX492" s="4"/>
      <c r="CY492" s="4"/>
      <c r="CZ492" s="4"/>
      <c r="DA492" s="4"/>
      <c r="DB492" s="4"/>
      <c r="DC492" s="4"/>
      <c r="DD492" s="4"/>
      <c r="DE492" s="4"/>
      <c r="DF492" s="4"/>
      <c r="DG492" s="4"/>
      <c r="DH492" s="4"/>
      <c r="DI492" s="4"/>
      <c r="DJ492" s="4"/>
      <c r="DK492" s="4"/>
      <c r="DL492" s="4"/>
      <c r="DM492" s="4"/>
      <c r="DN492" s="4"/>
      <c r="DO492" s="4"/>
      <c r="DP492" s="4"/>
      <c r="DQ492" s="4"/>
      <c r="DR492" s="4"/>
      <c r="DS492" s="4"/>
    </row>
    <row r="493">
      <c r="A493" s="9">
        <f>IFERROR(__xludf.DUMMYFUNCTION("""COMPUTED_VALUE"""),45586.0)</f>
        <v>45586</v>
      </c>
      <c r="B493" s="6" t="str">
        <f>IFERROR(__xludf.DUMMYFUNCTION("""COMPUTED_VALUE"""),"Groceries")</f>
        <v>Groceries</v>
      </c>
      <c r="C493" s="7">
        <f>IFERROR(__xludf.DUMMYFUNCTION("""COMPUTED_VALUE"""),1270.0)</f>
        <v>1270</v>
      </c>
      <c r="D493" s="6" t="str">
        <f>IFERROR(__xludf.DUMMYFUNCTION("""COMPUTED_VALUE"""),"Groceries")</f>
        <v>Groceries</v>
      </c>
      <c r="E493" s="6" t="str">
        <f>IFERROR(__xludf.DUMMYFUNCTION("""COMPUTED_VALUE"""),"Split Payment")</f>
        <v>Split Payment</v>
      </c>
      <c r="F493" s="6" t="s">
        <v>7</v>
      </c>
      <c r="G493" s="8" t="str">
        <f t="shared" si="1"/>
        <v>202410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  <c r="CD493" s="4"/>
      <c r="CE493" s="4"/>
      <c r="CF493" s="4"/>
      <c r="CG493" s="4"/>
      <c r="CH493" s="4"/>
      <c r="CI493" s="4"/>
      <c r="CJ493" s="4"/>
      <c r="CK493" s="4"/>
      <c r="CL493" s="4"/>
      <c r="CM493" s="4"/>
      <c r="CN493" s="4"/>
      <c r="CO493" s="4"/>
      <c r="CP493" s="4"/>
      <c r="CQ493" s="4"/>
      <c r="CR493" s="4"/>
      <c r="CS493" s="4"/>
      <c r="CT493" s="4"/>
      <c r="CU493" s="4"/>
      <c r="CV493" s="4"/>
      <c r="CW493" s="4"/>
      <c r="CX493" s="4"/>
      <c r="CY493" s="4"/>
      <c r="CZ493" s="4"/>
      <c r="DA493" s="4"/>
      <c r="DB493" s="4"/>
      <c r="DC493" s="4"/>
      <c r="DD493" s="4"/>
      <c r="DE493" s="4"/>
      <c r="DF493" s="4"/>
      <c r="DG493" s="4"/>
      <c r="DH493" s="4"/>
      <c r="DI493" s="4"/>
      <c r="DJ493" s="4"/>
      <c r="DK493" s="4"/>
      <c r="DL493" s="4"/>
      <c r="DM493" s="4"/>
      <c r="DN493" s="4"/>
      <c r="DO493" s="4"/>
      <c r="DP493" s="4"/>
      <c r="DQ493" s="4"/>
      <c r="DR493" s="4"/>
      <c r="DS493" s="4"/>
    </row>
    <row r="494">
      <c r="A494" s="9">
        <f>IFERROR(__xludf.DUMMYFUNCTION("""COMPUTED_VALUE"""),45587.0)</f>
        <v>45587</v>
      </c>
      <c r="B494" s="6" t="str">
        <f>IFERROR(__xludf.DUMMYFUNCTION("""COMPUTED_VALUE"""),"Appliances")</f>
        <v>Appliances</v>
      </c>
      <c r="C494" s="7">
        <f>IFERROR(__xludf.DUMMYFUNCTION("""COMPUTED_VALUE"""),2361.0)</f>
        <v>2361</v>
      </c>
      <c r="D494" s="6" t="str">
        <f>IFERROR(__xludf.DUMMYFUNCTION("""COMPUTED_VALUE"""),"Home Goods &amp; Utilities")</f>
        <v>Home Goods &amp; Utilities</v>
      </c>
      <c r="E494" s="6" t="str">
        <f>IFERROR(__xludf.DUMMYFUNCTION("""COMPUTED_VALUE"""),"Credit Card")</f>
        <v>Credit Card</v>
      </c>
      <c r="F494" s="6" t="s">
        <v>8</v>
      </c>
      <c r="G494" s="8" t="str">
        <f t="shared" si="1"/>
        <v>202410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  <c r="CD494" s="4"/>
      <c r="CE494" s="4"/>
      <c r="CF494" s="4"/>
      <c r="CG494" s="4"/>
      <c r="CH494" s="4"/>
      <c r="CI494" s="4"/>
      <c r="CJ494" s="4"/>
      <c r="CK494" s="4"/>
      <c r="CL494" s="4"/>
      <c r="CM494" s="4"/>
      <c r="CN494" s="4"/>
      <c r="CO494" s="4"/>
      <c r="CP494" s="4"/>
      <c r="CQ494" s="4"/>
      <c r="CR494" s="4"/>
      <c r="CS494" s="4"/>
      <c r="CT494" s="4"/>
      <c r="CU494" s="4"/>
      <c r="CV494" s="4"/>
      <c r="CW494" s="4"/>
      <c r="CX494" s="4"/>
      <c r="CY494" s="4"/>
      <c r="CZ494" s="4"/>
      <c r="DA494" s="4"/>
      <c r="DB494" s="4"/>
      <c r="DC494" s="4"/>
      <c r="DD494" s="4"/>
      <c r="DE494" s="4"/>
      <c r="DF494" s="4"/>
      <c r="DG494" s="4"/>
      <c r="DH494" s="4"/>
      <c r="DI494" s="4"/>
      <c r="DJ494" s="4"/>
      <c r="DK494" s="4"/>
      <c r="DL494" s="4"/>
      <c r="DM494" s="4"/>
      <c r="DN494" s="4"/>
      <c r="DO494" s="4"/>
      <c r="DP494" s="4"/>
      <c r="DQ494" s="4"/>
      <c r="DR494" s="4"/>
      <c r="DS494" s="4"/>
    </row>
    <row r="495">
      <c r="A495" s="9">
        <f>IFERROR(__xludf.DUMMYFUNCTION("""COMPUTED_VALUE"""),45587.0)</f>
        <v>45587</v>
      </c>
      <c r="B495" s="6" t="str">
        <f>IFERROR(__xludf.DUMMYFUNCTION("""COMPUTED_VALUE"""),"Streaming Services")</f>
        <v>Streaming Services</v>
      </c>
      <c r="C495" s="7">
        <f>IFERROR(__xludf.DUMMYFUNCTION("""COMPUTED_VALUE"""),2566.0)</f>
        <v>2566</v>
      </c>
      <c r="D495" s="6" t="str">
        <f>IFERROR(__xludf.DUMMYFUNCTION("""COMPUTED_VALUE"""),"Streaming Services")</f>
        <v>Streaming Services</v>
      </c>
      <c r="E495" s="6" t="str">
        <f>IFERROR(__xludf.DUMMYFUNCTION("""COMPUTED_VALUE"""),"Credit Card")</f>
        <v>Credit Card</v>
      </c>
      <c r="F495" s="6" t="s">
        <v>12</v>
      </c>
      <c r="G495" s="8" t="str">
        <f t="shared" si="1"/>
        <v>202410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  <c r="CD495" s="4"/>
      <c r="CE495" s="4"/>
      <c r="CF495" s="4"/>
      <c r="CG495" s="4"/>
      <c r="CH495" s="4"/>
      <c r="CI495" s="4"/>
      <c r="CJ495" s="4"/>
      <c r="CK495" s="4"/>
      <c r="CL495" s="4"/>
      <c r="CM495" s="4"/>
      <c r="CN495" s="4"/>
      <c r="CO495" s="4"/>
      <c r="CP495" s="4"/>
      <c r="CQ495" s="4"/>
      <c r="CR495" s="4"/>
      <c r="CS495" s="4"/>
      <c r="CT495" s="4"/>
      <c r="CU495" s="4"/>
      <c r="CV495" s="4"/>
      <c r="CW495" s="4"/>
      <c r="CX495" s="4"/>
      <c r="CY495" s="4"/>
      <c r="CZ495" s="4"/>
      <c r="DA495" s="4"/>
      <c r="DB495" s="4"/>
      <c r="DC495" s="4"/>
      <c r="DD495" s="4"/>
      <c r="DE495" s="4"/>
      <c r="DF495" s="4"/>
      <c r="DG495" s="4"/>
      <c r="DH495" s="4"/>
      <c r="DI495" s="4"/>
      <c r="DJ495" s="4"/>
      <c r="DK495" s="4"/>
      <c r="DL495" s="4"/>
      <c r="DM495" s="4"/>
      <c r="DN495" s="4"/>
      <c r="DO495" s="4"/>
      <c r="DP495" s="4"/>
      <c r="DQ495" s="4"/>
      <c r="DR495" s="4"/>
      <c r="DS495" s="4"/>
    </row>
    <row r="496">
      <c r="A496" s="9">
        <f>IFERROR(__xludf.DUMMYFUNCTION("""COMPUTED_VALUE"""),45587.0)</f>
        <v>45587</v>
      </c>
      <c r="B496" s="6" t="str">
        <f>IFERROR(__xludf.DUMMYFUNCTION("""COMPUTED_VALUE"""),"Streaming Services")</f>
        <v>Streaming Services</v>
      </c>
      <c r="C496" s="7">
        <f>IFERROR(__xludf.DUMMYFUNCTION("""COMPUTED_VALUE"""),2566.0)</f>
        <v>2566</v>
      </c>
      <c r="D496" s="6" t="str">
        <f>IFERROR(__xludf.DUMMYFUNCTION("""COMPUTED_VALUE"""),"Streaming Services")</f>
        <v>Streaming Services</v>
      </c>
      <c r="E496" s="6" t="str">
        <f>IFERROR(__xludf.DUMMYFUNCTION("""COMPUTED_VALUE"""),"Credit Card")</f>
        <v>Credit Card</v>
      </c>
      <c r="F496" s="6" t="s">
        <v>12</v>
      </c>
      <c r="G496" s="8" t="str">
        <f t="shared" si="1"/>
        <v>202410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  <c r="CD496" s="4"/>
      <c r="CE496" s="4"/>
      <c r="CF496" s="4"/>
      <c r="CG496" s="4"/>
      <c r="CH496" s="4"/>
      <c r="CI496" s="4"/>
      <c r="CJ496" s="4"/>
      <c r="CK496" s="4"/>
      <c r="CL496" s="4"/>
      <c r="CM496" s="4"/>
      <c r="CN496" s="4"/>
      <c r="CO496" s="4"/>
      <c r="CP496" s="4"/>
      <c r="CQ496" s="4"/>
      <c r="CR496" s="4"/>
      <c r="CS496" s="4"/>
      <c r="CT496" s="4"/>
      <c r="CU496" s="4"/>
      <c r="CV496" s="4"/>
      <c r="CW496" s="4"/>
      <c r="CX496" s="4"/>
      <c r="CY496" s="4"/>
      <c r="CZ496" s="4"/>
      <c r="DA496" s="4"/>
      <c r="DB496" s="4"/>
      <c r="DC496" s="4"/>
      <c r="DD496" s="4"/>
      <c r="DE496" s="4"/>
      <c r="DF496" s="4"/>
      <c r="DG496" s="4"/>
      <c r="DH496" s="4"/>
      <c r="DI496" s="4"/>
      <c r="DJ496" s="4"/>
      <c r="DK496" s="4"/>
      <c r="DL496" s="4"/>
      <c r="DM496" s="4"/>
      <c r="DN496" s="4"/>
      <c r="DO496" s="4"/>
      <c r="DP496" s="4"/>
      <c r="DQ496" s="4"/>
      <c r="DR496" s="4"/>
      <c r="DS496" s="4"/>
    </row>
    <row r="497">
      <c r="A497" s="9">
        <f>IFERROR(__xludf.DUMMYFUNCTION("""COMPUTED_VALUE"""),45587.0)</f>
        <v>45587</v>
      </c>
      <c r="B497" s="6" t="str">
        <f>IFERROR(__xludf.DUMMYFUNCTION("""COMPUTED_VALUE"""),"Groceries")</f>
        <v>Groceries</v>
      </c>
      <c r="C497" s="7">
        <f>IFERROR(__xludf.DUMMYFUNCTION("""COMPUTED_VALUE"""),875.0)</f>
        <v>875</v>
      </c>
      <c r="D497" s="6" t="str">
        <f>IFERROR(__xludf.DUMMYFUNCTION("""COMPUTED_VALUE"""),"Groceries")</f>
        <v>Groceries</v>
      </c>
      <c r="E497" s="6" t="str">
        <f>IFERROR(__xludf.DUMMYFUNCTION("""COMPUTED_VALUE"""),"Split Payment")</f>
        <v>Split Payment</v>
      </c>
      <c r="F497" s="6" t="s">
        <v>7</v>
      </c>
      <c r="G497" s="8" t="str">
        <f t="shared" si="1"/>
        <v>202410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  <c r="CD497" s="4"/>
      <c r="CE497" s="4"/>
      <c r="CF497" s="4"/>
      <c r="CG497" s="4"/>
      <c r="CH497" s="4"/>
      <c r="CI497" s="4"/>
      <c r="CJ497" s="4"/>
      <c r="CK497" s="4"/>
      <c r="CL497" s="4"/>
      <c r="CM497" s="4"/>
      <c r="CN497" s="4"/>
      <c r="CO497" s="4"/>
      <c r="CP497" s="4"/>
      <c r="CQ497" s="4"/>
      <c r="CR497" s="4"/>
      <c r="CS497" s="4"/>
      <c r="CT497" s="4"/>
      <c r="CU497" s="4"/>
      <c r="CV497" s="4"/>
      <c r="CW497" s="4"/>
      <c r="CX497" s="4"/>
      <c r="CY497" s="4"/>
      <c r="CZ497" s="4"/>
      <c r="DA497" s="4"/>
      <c r="DB497" s="4"/>
      <c r="DC497" s="4"/>
      <c r="DD497" s="4"/>
      <c r="DE497" s="4"/>
      <c r="DF497" s="4"/>
      <c r="DG497" s="4"/>
      <c r="DH497" s="4"/>
      <c r="DI497" s="4"/>
      <c r="DJ497" s="4"/>
      <c r="DK497" s="4"/>
      <c r="DL497" s="4"/>
      <c r="DM497" s="4"/>
      <c r="DN497" s="4"/>
      <c r="DO497" s="4"/>
      <c r="DP497" s="4"/>
      <c r="DQ497" s="4"/>
      <c r="DR497" s="4"/>
      <c r="DS497" s="4"/>
    </row>
    <row r="498">
      <c r="A498" s="9">
        <f>IFERROR(__xludf.DUMMYFUNCTION("""COMPUTED_VALUE"""),45587.0)</f>
        <v>45587</v>
      </c>
      <c r="B498" s="6" t="str">
        <f>IFERROR(__xludf.DUMMYFUNCTION("""COMPUTED_VALUE"""),"Groceries")</f>
        <v>Groceries</v>
      </c>
      <c r="C498" s="7">
        <f>IFERROR(__xludf.DUMMYFUNCTION("""COMPUTED_VALUE"""),2000.0)</f>
        <v>2000</v>
      </c>
      <c r="D498" s="6" t="str">
        <f>IFERROR(__xludf.DUMMYFUNCTION("""COMPUTED_VALUE"""),"Groceries")</f>
        <v>Groceries</v>
      </c>
      <c r="E498" s="6" t="str">
        <f>IFERROR(__xludf.DUMMYFUNCTION("""COMPUTED_VALUE"""),"Split Payment")</f>
        <v>Split Payment</v>
      </c>
      <c r="F498" s="6" t="s">
        <v>7</v>
      </c>
      <c r="G498" s="8" t="str">
        <f t="shared" si="1"/>
        <v>202410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  <c r="CD498" s="4"/>
      <c r="CE498" s="4"/>
      <c r="CF498" s="4"/>
      <c r="CG498" s="4"/>
      <c r="CH498" s="4"/>
      <c r="CI498" s="4"/>
      <c r="CJ498" s="4"/>
      <c r="CK498" s="4"/>
      <c r="CL498" s="4"/>
      <c r="CM498" s="4"/>
      <c r="CN498" s="4"/>
      <c r="CO498" s="4"/>
      <c r="CP498" s="4"/>
      <c r="CQ498" s="4"/>
      <c r="CR498" s="4"/>
      <c r="CS498" s="4"/>
      <c r="CT498" s="4"/>
      <c r="CU498" s="4"/>
      <c r="CV498" s="4"/>
      <c r="CW498" s="4"/>
      <c r="CX498" s="4"/>
      <c r="CY498" s="4"/>
      <c r="CZ498" s="4"/>
      <c r="DA498" s="4"/>
      <c r="DB498" s="4"/>
      <c r="DC498" s="4"/>
      <c r="DD498" s="4"/>
      <c r="DE498" s="4"/>
      <c r="DF498" s="4"/>
      <c r="DG498" s="4"/>
      <c r="DH498" s="4"/>
      <c r="DI498" s="4"/>
      <c r="DJ498" s="4"/>
      <c r="DK498" s="4"/>
      <c r="DL498" s="4"/>
      <c r="DM498" s="4"/>
      <c r="DN498" s="4"/>
      <c r="DO498" s="4"/>
      <c r="DP498" s="4"/>
      <c r="DQ498" s="4"/>
      <c r="DR498" s="4"/>
      <c r="DS498" s="4"/>
    </row>
    <row r="499">
      <c r="A499" s="9">
        <f>IFERROR(__xludf.DUMMYFUNCTION("""COMPUTED_VALUE"""),45588.0)</f>
        <v>45588</v>
      </c>
      <c r="B499" s="6" t="str">
        <f>IFERROR(__xludf.DUMMYFUNCTION("""COMPUTED_VALUE"""),"Electricity Bill (Edesur)")</f>
        <v>Electricity Bill (Edesur)</v>
      </c>
      <c r="C499" s="7">
        <f>IFERROR(__xludf.DUMMYFUNCTION("""COMPUTED_VALUE"""),14950.0)</f>
        <v>14950</v>
      </c>
      <c r="D499" s="6" t="str">
        <f>IFERROR(__xludf.DUMMYFUNCTION("""COMPUTED_VALUE"""),"Basic Services")</f>
        <v>Basic Services</v>
      </c>
      <c r="E499" s="6" t="str">
        <f>IFERROR(__xludf.DUMMYFUNCTION("""COMPUTED_VALUE"""),"Split Payment")</f>
        <v>Split Payment</v>
      </c>
      <c r="F499" s="6" t="s">
        <v>13</v>
      </c>
      <c r="G499" s="8" t="str">
        <f t="shared" si="1"/>
        <v>202410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  <c r="CD499" s="4"/>
      <c r="CE499" s="4"/>
      <c r="CF499" s="4"/>
      <c r="CG499" s="4"/>
      <c r="CH499" s="4"/>
      <c r="CI499" s="4"/>
      <c r="CJ499" s="4"/>
      <c r="CK499" s="4"/>
      <c r="CL499" s="4"/>
      <c r="CM499" s="4"/>
      <c r="CN499" s="4"/>
      <c r="CO499" s="4"/>
      <c r="CP499" s="4"/>
      <c r="CQ499" s="4"/>
      <c r="CR499" s="4"/>
      <c r="CS499" s="4"/>
      <c r="CT499" s="4"/>
      <c r="CU499" s="4"/>
      <c r="CV499" s="4"/>
      <c r="CW499" s="4"/>
      <c r="CX499" s="4"/>
      <c r="CY499" s="4"/>
      <c r="CZ499" s="4"/>
      <c r="DA499" s="4"/>
      <c r="DB499" s="4"/>
      <c r="DC499" s="4"/>
      <c r="DD499" s="4"/>
      <c r="DE499" s="4"/>
      <c r="DF499" s="4"/>
      <c r="DG499" s="4"/>
      <c r="DH499" s="4"/>
      <c r="DI499" s="4"/>
      <c r="DJ499" s="4"/>
      <c r="DK499" s="4"/>
      <c r="DL499" s="4"/>
      <c r="DM499" s="4"/>
      <c r="DN499" s="4"/>
      <c r="DO499" s="4"/>
      <c r="DP499" s="4"/>
      <c r="DQ499" s="4"/>
      <c r="DR499" s="4"/>
      <c r="DS499" s="4"/>
    </row>
    <row r="500">
      <c r="A500" s="9">
        <f>IFERROR(__xludf.DUMMYFUNCTION("""COMPUTED_VALUE"""),45588.0)</f>
        <v>45588</v>
      </c>
      <c r="B500" s="6" t="str">
        <f>IFERROR(__xludf.DUMMYFUNCTION("""COMPUTED_VALUE"""),"Groceries")</f>
        <v>Groceries</v>
      </c>
      <c r="C500" s="7">
        <f>IFERROR(__xludf.DUMMYFUNCTION("""COMPUTED_VALUE"""),4560.0)</f>
        <v>4560</v>
      </c>
      <c r="D500" s="6" t="str">
        <f>IFERROR(__xludf.DUMMYFUNCTION("""COMPUTED_VALUE"""),"Lunch Out")</f>
        <v>Lunch Out</v>
      </c>
      <c r="E500" s="6" t="str">
        <f>IFERROR(__xludf.DUMMYFUNCTION("""COMPUTED_VALUE"""),"Virtual Wallet")</f>
        <v>Virtual Wallet</v>
      </c>
      <c r="F500" s="6" t="s">
        <v>14</v>
      </c>
      <c r="G500" s="8" t="str">
        <f t="shared" si="1"/>
        <v>202410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  <c r="CD500" s="4"/>
      <c r="CE500" s="4"/>
      <c r="CF500" s="4"/>
      <c r="CG500" s="4"/>
      <c r="CH500" s="4"/>
      <c r="CI500" s="4"/>
      <c r="CJ500" s="4"/>
      <c r="CK500" s="4"/>
      <c r="CL500" s="4"/>
      <c r="CM500" s="4"/>
      <c r="CN500" s="4"/>
      <c r="CO500" s="4"/>
      <c r="CP500" s="4"/>
      <c r="CQ500" s="4"/>
      <c r="CR500" s="4"/>
      <c r="CS500" s="4"/>
      <c r="CT500" s="4"/>
      <c r="CU500" s="4"/>
      <c r="CV500" s="4"/>
      <c r="CW500" s="4"/>
      <c r="CX500" s="4"/>
      <c r="CY500" s="4"/>
      <c r="CZ500" s="4"/>
      <c r="DA500" s="4"/>
      <c r="DB500" s="4"/>
      <c r="DC500" s="4"/>
      <c r="DD500" s="4"/>
      <c r="DE500" s="4"/>
      <c r="DF500" s="4"/>
      <c r="DG500" s="4"/>
      <c r="DH500" s="4"/>
      <c r="DI500" s="4"/>
      <c r="DJ500" s="4"/>
      <c r="DK500" s="4"/>
      <c r="DL500" s="4"/>
      <c r="DM500" s="4"/>
      <c r="DN500" s="4"/>
      <c r="DO500" s="4"/>
      <c r="DP500" s="4"/>
      <c r="DQ500" s="4"/>
      <c r="DR500" s="4"/>
      <c r="DS500" s="4"/>
    </row>
    <row r="501">
      <c r="A501" s="9">
        <f>IFERROR(__xludf.DUMMYFUNCTION("""COMPUTED_VALUE"""),45588.0)</f>
        <v>45588</v>
      </c>
      <c r="B501" s="6" t="str">
        <f>IFERROR(__xludf.DUMMYFUNCTION("""COMPUTED_VALUE"""),"Pets")</f>
        <v>Pets</v>
      </c>
      <c r="C501" s="7">
        <f>IFERROR(__xludf.DUMMYFUNCTION("""COMPUTED_VALUE"""),15000.0)</f>
        <v>15000</v>
      </c>
      <c r="D501" s="6" t="str">
        <f>IFERROR(__xludf.DUMMYFUNCTION("""COMPUTED_VALUE"""),"Pets")</f>
        <v>Pets</v>
      </c>
      <c r="E501" s="6" t="str">
        <f>IFERROR(__xludf.DUMMYFUNCTION("""COMPUTED_VALUE"""),"Credit Card")</f>
        <v>Credit Card</v>
      </c>
      <c r="F501" s="6" t="s">
        <v>7</v>
      </c>
      <c r="G501" s="8" t="str">
        <f t="shared" si="1"/>
        <v>202410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  <c r="CD501" s="4"/>
      <c r="CE501" s="4"/>
      <c r="CF501" s="4"/>
      <c r="CG501" s="4"/>
      <c r="CH501" s="4"/>
      <c r="CI501" s="4"/>
      <c r="CJ501" s="4"/>
      <c r="CK501" s="4"/>
      <c r="CL501" s="4"/>
      <c r="CM501" s="4"/>
      <c r="CN501" s="4"/>
      <c r="CO501" s="4"/>
      <c r="CP501" s="4"/>
      <c r="CQ501" s="4"/>
      <c r="CR501" s="4"/>
      <c r="CS501" s="4"/>
      <c r="CT501" s="4"/>
      <c r="CU501" s="4"/>
      <c r="CV501" s="4"/>
      <c r="CW501" s="4"/>
      <c r="CX501" s="4"/>
      <c r="CY501" s="4"/>
      <c r="CZ501" s="4"/>
      <c r="DA501" s="4"/>
      <c r="DB501" s="4"/>
      <c r="DC501" s="4"/>
      <c r="DD501" s="4"/>
      <c r="DE501" s="4"/>
      <c r="DF501" s="4"/>
      <c r="DG501" s="4"/>
      <c r="DH501" s="4"/>
      <c r="DI501" s="4"/>
      <c r="DJ501" s="4"/>
      <c r="DK501" s="4"/>
      <c r="DL501" s="4"/>
      <c r="DM501" s="4"/>
      <c r="DN501" s="4"/>
      <c r="DO501" s="4"/>
      <c r="DP501" s="4"/>
      <c r="DQ501" s="4"/>
      <c r="DR501" s="4"/>
      <c r="DS501" s="4"/>
    </row>
    <row r="502">
      <c r="A502" s="9">
        <f>IFERROR(__xludf.DUMMYFUNCTION("""COMPUTED_VALUE"""),45588.0)</f>
        <v>45588</v>
      </c>
      <c r="B502" s="6" t="str">
        <f>IFERROR(__xludf.DUMMYFUNCTION("""COMPUTED_VALUE"""),"Restaurant")</f>
        <v>Restaurant</v>
      </c>
      <c r="C502" s="7">
        <f>IFERROR(__xludf.DUMMYFUNCTION("""COMPUTED_VALUE"""),2340.0)</f>
        <v>2340</v>
      </c>
      <c r="D502" s="6" t="str">
        <f>IFERROR(__xludf.DUMMYFUNCTION("""COMPUTED_VALUE"""),"Groceries")</f>
        <v>Groceries</v>
      </c>
      <c r="E502" s="6" t="str">
        <f>IFERROR(__xludf.DUMMYFUNCTION("""COMPUTED_VALUE"""),"Virtual Wallet")</f>
        <v>Virtual Wallet</v>
      </c>
      <c r="F502" s="6" t="s">
        <v>7</v>
      </c>
      <c r="G502" s="8" t="str">
        <f t="shared" si="1"/>
        <v>202410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  <c r="CD502" s="4"/>
      <c r="CE502" s="4"/>
      <c r="CF502" s="4"/>
      <c r="CG502" s="4"/>
      <c r="CH502" s="4"/>
      <c r="CI502" s="4"/>
      <c r="CJ502" s="4"/>
      <c r="CK502" s="4"/>
      <c r="CL502" s="4"/>
      <c r="CM502" s="4"/>
      <c r="CN502" s="4"/>
      <c r="CO502" s="4"/>
      <c r="CP502" s="4"/>
      <c r="CQ502" s="4"/>
      <c r="CR502" s="4"/>
      <c r="CS502" s="4"/>
      <c r="CT502" s="4"/>
      <c r="CU502" s="4"/>
      <c r="CV502" s="4"/>
      <c r="CW502" s="4"/>
      <c r="CX502" s="4"/>
      <c r="CY502" s="4"/>
      <c r="CZ502" s="4"/>
      <c r="DA502" s="4"/>
      <c r="DB502" s="4"/>
      <c r="DC502" s="4"/>
      <c r="DD502" s="4"/>
      <c r="DE502" s="4"/>
      <c r="DF502" s="4"/>
      <c r="DG502" s="4"/>
      <c r="DH502" s="4"/>
      <c r="DI502" s="4"/>
      <c r="DJ502" s="4"/>
      <c r="DK502" s="4"/>
      <c r="DL502" s="4"/>
      <c r="DM502" s="4"/>
      <c r="DN502" s="4"/>
      <c r="DO502" s="4"/>
      <c r="DP502" s="4"/>
      <c r="DQ502" s="4"/>
      <c r="DR502" s="4"/>
      <c r="DS502" s="4"/>
    </row>
    <row r="503">
      <c r="A503" s="9">
        <f>IFERROR(__xludf.DUMMYFUNCTION("""COMPUTED_VALUE"""),45588.0)</f>
        <v>45588</v>
      </c>
      <c r="B503" s="6" t="str">
        <f>IFERROR(__xludf.DUMMYFUNCTION("""COMPUTED_VALUE"""),"Water Bill (AySA)")</f>
        <v>Water Bill (AySA)</v>
      </c>
      <c r="C503" s="7">
        <f>IFERROR(__xludf.DUMMYFUNCTION("""COMPUTED_VALUE"""),11700.0)</f>
        <v>11700</v>
      </c>
      <c r="D503" s="6" t="str">
        <f>IFERROR(__xludf.DUMMYFUNCTION("""COMPUTED_VALUE"""),"Basic Services")</f>
        <v>Basic Services</v>
      </c>
      <c r="E503" s="6" t="str">
        <f>IFERROR(__xludf.DUMMYFUNCTION("""COMPUTED_VALUE"""),"Split Payment")</f>
        <v>Split Payment</v>
      </c>
      <c r="F503" s="6" t="s">
        <v>13</v>
      </c>
      <c r="G503" s="8" t="str">
        <f t="shared" si="1"/>
        <v>202410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  <c r="CD503" s="4"/>
      <c r="CE503" s="4"/>
      <c r="CF503" s="4"/>
      <c r="CG503" s="4"/>
      <c r="CH503" s="4"/>
      <c r="CI503" s="4"/>
      <c r="CJ503" s="4"/>
      <c r="CK503" s="4"/>
      <c r="CL503" s="4"/>
      <c r="CM503" s="4"/>
      <c r="CN503" s="4"/>
      <c r="CO503" s="4"/>
      <c r="CP503" s="4"/>
      <c r="CQ503" s="4"/>
      <c r="CR503" s="4"/>
      <c r="CS503" s="4"/>
      <c r="CT503" s="4"/>
      <c r="CU503" s="4"/>
      <c r="CV503" s="4"/>
      <c r="CW503" s="4"/>
      <c r="CX503" s="4"/>
      <c r="CY503" s="4"/>
      <c r="CZ503" s="4"/>
      <c r="DA503" s="4"/>
      <c r="DB503" s="4"/>
      <c r="DC503" s="4"/>
      <c r="DD503" s="4"/>
      <c r="DE503" s="4"/>
      <c r="DF503" s="4"/>
      <c r="DG503" s="4"/>
      <c r="DH503" s="4"/>
      <c r="DI503" s="4"/>
      <c r="DJ503" s="4"/>
      <c r="DK503" s="4"/>
      <c r="DL503" s="4"/>
      <c r="DM503" s="4"/>
      <c r="DN503" s="4"/>
      <c r="DO503" s="4"/>
      <c r="DP503" s="4"/>
      <c r="DQ503" s="4"/>
      <c r="DR503" s="4"/>
      <c r="DS503" s="4"/>
    </row>
    <row r="504">
      <c r="A504" s="9">
        <f>IFERROR(__xludf.DUMMYFUNCTION("""COMPUTED_VALUE"""),45589.0)</f>
        <v>45589</v>
      </c>
      <c r="B504" s="6" t="str">
        <f>IFERROR(__xludf.DUMMYFUNCTION("""COMPUTED_VALUE"""),"Doctor Visit")</f>
        <v>Doctor Visit</v>
      </c>
      <c r="C504" s="7">
        <f>IFERROR(__xludf.DUMMYFUNCTION("""COMPUTED_VALUE"""),4700.0)</f>
        <v>4700</v>
      </c>
      <c r="D504" s="6" t="str">
        <f>IFERROR(__xludf.DUMMYFUNCTION("""COMPUTED_VALUE"""),"Healthcare")</f>
        <v>Healthcare</v>
      </c>
      <c r="E504" s="6" t="str">
        <f>IFERROR(__xludf.DUMMYFUNCTION("""COMPUTED_VALUE"""),"Virtual Wallet")</f>
        <v>Virtual Wallet</v>
      </c>
      <c r="F504" s="6" t="s">
        <v>15</v>
      </c>
      <c r="G504" s="8" t="str">
        <f t="shared" si="1"/>
        <v>202410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  <c r="CD504" s="4"/>
      <c r="CE504" s="4"/>
      <c r="CF504" s="4"/>
      <c r="CG504" s="4"/>
      <c r="CH504" s="4"/>
      <c r="CI504" s="4"/>
      <c r="CJ504" s="4"/>
      <c r="CK504" s="4"/>
      <c r="CL504" s="4"/>
      <c r="CM504" s="4"/>
      <c r="CN504" s="4"/>
      <c r="CO504" s="4"/>
      <c r="CP504" s="4"/>
      <c r="CQ504" s="4"/>
      <c r="CR504" s="4"/>
      <c r="CS504" s="4"/>
      <c r="CT504" s="4"/>
      <c r="CU504" s="4"/>
      <c r="CV504" s="4"/>
      <c r="CW504" s="4"/>
      <c r="CX504" s="4"/>
      <c r="CY504" s="4"/>
      <c r="CZ504" s="4"/>
      <c r="DA504" s="4"/>
      <c r="DB504" s="4"/>
      <c r="DC504" s="4"/>
      <c r="DD504" s="4"/>
      <c r="DE504" s="4"/>
      <c r="DF504" s="4"/>
      <c r="DG504" s="4"/>
      <c r="DH504" s="4"/>
      <c r="DI504" s="4"/>
      <c r="DJ504" s="4"/>
      <c r="DK504" s="4"/>
      <c r="DL504" s="4"/>
      <c r="DM504" s="4"/>
      <c r="DN504" s="4"/>
      <c r="DO504" s="4"/>
      <c r="DP504" s="4"/>
      <c r="DQ504" s="4"/>
      <c r="DR504" s="4"/>
      <c r="DS504" s="4"/>
    </row>
    <row r="505">
      <c r="A505" s="9">
        <f>IFERROR(__xludf.DUMMYFUNCTION("""COMPUTED_VALUE"""),45589.0)</f>
        <v>45589</v>
      </c>
      <c r="B505" s="6" t="str">
        <f>IFERROR(__xludf.DUMMYFUNCTION("""COMPUTED_VALUE"""),"Gift")</f>
        <v>Gift</v>
      </c>
      <c r="C505" s="7">
        <f>IFERROR(__xludf.DUMMYFUNCTION("""COMPUTED_VALUE"""),25000.0)</f>
        <v>25000</v>
      </c>
      <c r="D505" s="6" t="str">
        <f>IFERROR(__xludf.DUMMYFUNCTION("""COMPUTED_VALUE"""),"Gifts")</f>
        <v>Gifts</v>
      </c>
      <c r="E505" s="6" t="str">
        <f>IFERROR(__xludf.DUMMYFUNCTION("""COMPUTED_VALUE"""),"Virtual Wallet")</f>
        <v>Virtual Wallet</v>
      </c>
      <c r="F505" s="6"/>
      <c r="G505" s="8" t="str">
        <f t="shared" si="1"/>
        <v>202410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  <c r="CD505" s="4"/>
      <c r="CE505" s="4"/>
      <c r="CF505" s="4"/>
      <c r="CG505" s="4"/>
      <c r="CH505" s="4"/>
      <c r="CI505" s="4"/>
      <c r="CJ505" s="4"/>
      <c r="CK505" s="4"/>
      <c r="CL505" s="4"/>
      <c r="CM505" s="4"/>
      <c r="CN505" s="4"/>
      <c r="CO505" s="4"/>
      <c r="CP505" s="4"/>
      <c r="CQ505" s="4"/>
      <c r="CR505" s="4"/>
      <c r="CS505" s="4"/>
      <c r="CT505" s="4"/>
      <c r="CU505" s="4"/>
      <c r="CV505" s="4"/>
      <c r="CW505" s="4"/>
      <c r="CX505" s="4"/>
      <c r="CY505" s="4"/>
      <c r="CZ505" s="4"/>
      <c r="DA505" s="4"/>
      <c r="DB505" s="4"/>
      <c r="DC505" s="4"/>
      <c r="DD505" s="4"/>
      <c r="DE505" s="4"/>
      <c r="DF505" s="4"/>
      <c r="DG505" s="4"/>
      <c r="DH505" s="4"/>
      <c r="DI505" s="4"/>
      <c r="DJ505" s="4"/>
      <c r="DK505" s="4"/>
      <c r="DL505" s="4"/>
      <c r="DM505" s="4"/>
      <c r="DN505" s="4"/>
      <c r="DO505" s="4"/>
      <c r="DP505" s="4"/>
      <c r="DQ505" s="4"/>
      <c r="DR505" s="4"/>
      <c r="DS505" s="4"/>
    </row>
    <row r="506">
      <c r="A506" s="9">
        <f>IFERROR(__xludf.DUMMYFUNCTION("""COMPUTED_VALUE"""),45589.0)</f>
        <v>45589</v>
      </c>
      <c r="B506" s="6" t="str">
        <f>IFERROR(__xludf.DUMMYFUNCTION("""COMPUTED_VALUE"""),"Groceries")</f>
        <v>Groceries</v>
      </c>
      <c r="C506" s="7">
        <f>IFERROR(__xludf.DUMMYFUNCTION("""COMPUTED_VALUE"""),3565.0)</f>
        <v>3565</v>
      </c>
      <c r="D506" s="6" t="str">
        <f>IFERROR(__xludf.DUMMYFUNCTION("""COMPUTED_VALUE"""),"Groceries")</f>
        <v>Groceries</v>
      </c>
      <c r="E506" s="6" t="str">
        <f>IFERROR(__xludf.DUMMYFUNCTION("""COMPUTED_VALUE"""),"Virtual Wallet")</f>
        <v>Virtual Wallet</v>
      </c>
      <c r="F506" s="6" t="s">
        <v>7</v>
      </c>
      <c r="G506" s="8" t="str">
        <f t="shared" si="1"/>
        <v>202410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  <c r="CD506" s="4"/>
      <c r="CE506" s="4"/>
      <c r="CF506" s="4"/>
      <c r="CG506" s="4"/>
      <c r="CH506" s="4"/>
      <c r="CI506" s="4"/>
      <c r="CJ506" s="4"/>
      <c r="CK506" s="4"/>
      <c r="CL506" s="4"/>
      <c r="CM506" s="4"/>
      <c r="CN506" s="4"/>
      <c r="CO506" s="4"/>
      <c r="CP506" s="4"/>
      <c r="CQ506" s="4"/>
      <c r="CR506" s="4"/>
      <c r="CS506" s="4"/>
      <c r="CT506" s="4"/>
      <c r="CU506" s="4"/>
      <c r="CV506" s="4"/>
      <c r="CW506" s="4"/>
      <c r="CX506" s="4"/>
      <c r="CY506" s="4"/>
      <c r="CZ506" s="4"/>
      <c r="DA506" s="4"/>
      <c r="DB506" s="4"/>
      <c r="DC506" s="4"/>
      <c r="DD506" s="4"/>
      <c r="DE506" s="4"/>
      <c r="DF506" s="4"/>
      <c r="DG506" s="4"/>
      <c r="DH506" s="4"/>
      <c r="DI506" s="4"/>
      <c r="DJ506" s="4"/>
      <c r="DK506" s="4"/>
      <c r="DL506" s="4"/>
      <c r="DM506" s="4"/>
      <c r="DN506" s="4"/>
      <c r="DO506" s="4"/>
      <c r="DP506" s="4"/>
      <c r="DQ506" s="4"/>
      <c r="DR506" s="4"/>
      <c r="DS506" s="4"/>
    </row>
    <row r="507">
      <c r="A507" s="9">
        <f>IFERROR(__xludf.DUMMYFUNCTION("""COMPUTED_VALUE"""),45589.0)</f>
        <v>45589</v>
      </c>
      <c r="B507" s="6" t="str">
        <f>IFERROR(__xludf.DUMMYFUNCTION("""COMPUTED_VALUE"""),"Groceries")</f>
        <v>Groceries</v>
      </c>
      <c r="C507" s="7">
        <f>IFERROR(__xludf.DUMMYFUNCTION("""COMPUTED_VALUE"""),4300.0)</f>
        <v>4300</v>
      </c>
      <c r="D507" s="6" t="str">
        <f>IFERROR(__xludf.DUMMYFUNCTION("""COMPUTED_VALUE"""),"Lunch Out")</f>
        <v>Lunch Out</v>
      </c>
      <c r="E507" s="6" t="str">
        <f>IFERROR(__xludf.DUMMYFUNCTION("""COMPUTED_VALUE"""),"Virtual Wallet")</f>
        <v>Virtual Wallet</v>
      </c>
      <c r="F507" s="6" t="s">
        <v>14</v>
      </c>
      <c r="G507" s="8" t="str">
        <f t="shared" si="1"/>
        <v>202410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  <c r="CD507" s="4"/>
      <c r="CE507" s="4"/>
      <c r="CF507" s="4"/>
      <c r="CG507" s="4"/>
      <c r="CH507" s="4"/>
      <c r="CI507" s="4"/>
      <c r="CJ507" s="4"/>
      <c r="CK507" s="4"/>
      <c r="CL507" s="4"/>
      <c r="CM507" s="4"/>
      <c r="CN507" s="4"/>
      <c r="CO507" s="4"/>
      <c r="CP507" s="4"/>
      <c r="CQ507" s="4"/>
      <c r="CR507" s="4"/>
      <c r="CS507" s="4"/>
      <c r="CT507" s="4"/>
      <c r="CU507" s="4"/>
      <c r="CV507" s="4"/>
      <c r="CW507" s="4"/>
      <c r="CX507" s="4"/>
      <c r="CY507" s="4"/>
      <c r="CZ507" s="4"/>
      <c r="DA507" s="4"/>
      <c r="DB507" s="4"/>
      <c r="DC507" s="4"/>
      <c r="DD507" s="4"/>
      <c r="DE507" s="4"/>
      <c r="DF507" s="4"/>
      <c r="DG507" s="4"/>
      <c r="DH507" s="4"/>
      <c r="DI507" s="4"/>
      <c r="DJ507" s="4"/>
      <c r="DK507" s="4"/>
      <c r="DL507" s="4"/>
      <c r="DM507" s="4"/>
      <c r="DN507" s="4"/>
      <c r="DO507" s="4"/>
      <c r="DP507" s="4"/>
      <c r="DQ507" s="4"/>
      <c r="DR507" s="4"/>
      <c r="DS507" s="4"/>
    </row>
    <row r="508">
      <c r="A508" s="9">
        <f>IFERROR(__xludf.DUMMYFUNCTION("""COMPUTED_VALUE"""),45590.0)</f>
        <v>45590</v>
      </c>
      <c r="B508" s="6" t="str">
        <f>IFERROR(__xludf.DUMMYFUNCTION("""COMPUTED_VALUE"""),"Groceries")</f>
        <v>Groceries</v>
      </c>
      <c r="C508" s="7">
        <f>IFERROR(__xludf.DUMMYFUNCTION("""COMPUTED_VALUE"""),4000.0)</f>
        <v>4000</v>
      </c>
      <c r="D508" s="6" t="str">
        <f>IFERROR(__xludf.DUMMYFUNCTION("""COMPUTED_VALUE"""),"Restaurant / Café")</f>
        <v>Restaurant / Café</v>
      </c>
      <c r="E508" s="6" t="str">
        <f>IFERROR(__xludf.DUMMYFUNCTION("""COMPUTED_VALUE"""),"Virtual Wallet")</f>
        <v>Virtual Wallet</v>
      </c>
      <c r="F508" s="6" t="s">
        <v>14</v>
      </c>
      <c r="G508" s="8" t="str">
        <f t="shared" si="1"/>
        <v>202410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  <c r="CD508" s="4"/>
      <c r="CE508" s="4"/>
      <c r="CF508" s="4"/>
      <c r="CG508" s="4"/>
      <c r="CH508" s="4"/>
      <c r="CI508" s="4"/>
      <c r="CJ508" s="4"/>
      <c r="CK508" s="4"/>
      <c r="CL508" s="4"/>
      <c r="CM508" s="4"/>
      <c r="CN508" s="4"/>
      <c r="CO508" s="4"/>
      <c r="CP508" s="4"/>
      <c r="CQ508" s="4"/>
      <c r="CR508" s="4"/>
      <c r="CS508" s="4"/>
      <c r="CT508" s="4"/>
      <c r="CU508" s="4"/>
      <c r="CV508" s="4"/>
      <c r="CW508" s="4"/>
      <c r="CX508" s="4"/>
      <c r="CY508" s="4"/>
      <c r="CZ508" s="4"/>
      <c r="DA508" s="4"/>
      <c r="DB508" s="4"/>
      <c r="DC508" s="4"/>
      <c r="DD508" s="4"/>
      <c r="DE508" s="4"/>
      <c r="DF508" s="4"/>
      <c r="DG508" s="4"/>
      <c r="DH508" s="4"/>
      <c r="DI508" s="4"/>
      <c r="DJ508" s="4"/>
      <c r="DK508" s="4"/>
      <c r="DL508" s="4"/>
      <c r="DM508" s="4"/>
      <c r="DN508" s="4"/>
      <c r="DO508" s="4"/>
      <c r="DP508" s="4"/>
      <c r="DQ508" s="4"/>
      <c r="DR508" s="4"/>
      <c r="DS508" s="4"/>
    </row>
    <row r="509">
      <c r="A509" s="9">
        <f>IFERROR(__xludf.DUMMYFUNCTION("""COMPUTED_VALUE"""),45590.0)</f>
        <v>45590</v>
      </c>
      <c r="B509" s="6" t="str">
        <f>IFERROR(__xludf.DUMMYFUNCTION("""COMPUTED_VALUE"""),"Groceries")</f>
        <v>Groceries</v>
      </c>
      <c r="C509" s="7">
        <f>IFERROR(__xludf.DUMMYFUNCTION("""COMPUTED_VALUE"""),3100.0)</f>
        <v>3100</v>
      </c>
      <c r="D509" s="6" t="str">
        <f>IFERROR(__xludf.DUMMYFUNCTION("""COMPUTED_VALUE"""),"Groceries")</f>
        <v>Groceries</v>
      </c>
      <c r="E509" s="6" t="str">
        <f>IFERROR(__xludf.DUMMYFUNCTION("""COMPUTED_VALUE"""),"Split Payment")</f>
        <v>Split Payment</v>
      </c>
      <c r="F509" s="6" t="s">
        <v>7</v>
      </c>
      <c r="G509" s="8" t="str">
        <f t="shared" si="1"/>
        <v>202410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  <c r="CD509" s="4"/>
      <c r="CE509" s="4"/>
      <c r="CF509" s="4"/>
      <c r="CG509" s="4"/>
      <c r="CH509" s="4"/>
      <c r="CI509" s="4"/>
      <c r="CJ509" s="4"/>
      <c r="CK509" s="4"/>
      <c r="CL509" s="4"/>
      <c r="CM509" s="4"/>
      <c r="CN509" s="4"/>
      <c r="CO509" s="4"/>
      <c r="CP509" s="4"/>
      <c r="CQ509" s="4"/>
      <c r="CR509" s="4"/>
      <c r="CS509" s="4"/>
      <c r="CT509" s="4"/>
      <c r="CU509" s="4"/>
      <c r="CV509" s="4"/>
      <c r="CW509" s="4"/>
      <c r="CX509" s="4"/>
      <c r="CY509" s="4"/>
      <c r="CZ509" s="4"/>
      <c r="DA509" s="4"/>
      <c r="DB509" s="4"/>
      <c r="DC509" s="4"/>
      <c r="DD509" s="4"/>
      <c r="DE509" s="4"/>
      <c r="DF509" s="4"/>
      <c r="DG509" s="4"/>
      <c r="DH509" s="4"/>
      <c r="DI509" s="4"/>
      <c r="DJ509" s="4"/>
      <c r="DK509" s="4"/>
      <c r="DL509" s="4"/>
      <c r="DM509" s="4"/>
      <c r="DN509" s="4"/>
      <c r="DO509" s="4"/>
      <c r="DP509" s="4"/>
      <c r="DQ509" s="4"/>
      <c r="DR509" s="4"/>
      <c r="DS509" s="4"/>
    </row>
    <row r="510">
      <c r="A510" s="9">
        <f>IFERROR(__xludf.DUMMYFUNCTION("""COMPUTED_VALUE"""),45590.0)</f>
        <v>45590</v>
      </c>
      <c r="B510" s="6" t="str">
        <f>IFERROR(__xludf.DUMMYFUNCTION("""COMPUTED_VALUE"""),"Restaurant")</f>
        <v>Restaurant</v>
      </c>
      <c r="C510" s="7">
        <f>IFERROR(__xludf.DUMMYFUNCTION("""COMPUTED_VALUE"""),10700.0)</f>
        <v>10700</v>
      </c>
      <c r="D510" s="6" t="str">
        <f>IFERROR(__xludf.DUMMYFUNCTION("""COMPUTED_VALUE"""),"Restaurant / Café")</f>
        <v>Restaurant / Café</v>
      </c>
      <c r="E510" s="6" t="str">
        <f>IFERROR(__xludf.DUMMYFUNCTION("""COMPUTED_VALUE"""),"Virtual Wallet")</f>
        <v>Virtual Wallet</v>
      </c>
      <c r="F510" s="6" t="s">
        <v>14</v>
      </c>
      <c r="G510" s="8" t="str">
        <f t="shared" si="1"/>
        <v>202410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  <c r="CD510" s="4"/>
      <c r="CE510" s="4"/>
      <c r="CF510" s="4"/>
      <c r="CG510" s="4"/>
      <c r="CH510" s="4"/>
      <c r="CI510" s="4"/>
      <c r="CJ510" s="4"/>
      <c r="CK510" s="4"/>
      <c r="CL510" s="4"/>
      <c r="CM510" s="4"/>
      <c r="CN510" s="4"/>
      <c r="CO510" s="4"/>
      <c r="CP510" s="4"/>
      <c r="CQ510" s="4"/>
      <c r="CR510" s="4"/>
      <c r="CS510" s="4"/>
      <c r="CT510" s="4"/>
      <c r="CU510" s="4"/>
      <c r="CV510" s="4"/>
      <c r="CW510" s="4"/>
      <c r="CX510" s="4"/>
      <c r="CY510" s="4"/>
      <c r="CZ510" s="4"/>
      <c r="DA510" s="4"/>
      <c r="DB510" s="4"/>
      <c r="DC510" s="4"/>
      <c r="DD510" s="4"/>
      <c r="DE510" s="4"/>
      <c r="DF510" s="4"/>
      <c r="DG510" s="4"/>
      <c r="DH510" s="4"/>
      <c r="DI510" s="4"/>
      <c r="DJ510" s="4"/>
      <c r="DK510" s="4"/>
      <c r="DL510" s="4"/>
      <c r="DM510" s="4"/>
      <c r="DN510" s="4"/>
      <c r="DO510" s="4"/>
      <c r="DP510" s="4"/>
      <c r="DQ510" s="4"/>
      <c r="DR510" s="4"/>
      <c r="DS510" s="4"/>
    </row>
    <row r="511">
      <c r="A511" s="9">
        <f>IFERROR(__xludf.DUMMYFUNCTION("""COMPUTED_VALUE"""),45590.0)</f>
        <v>45590</v>
      </c>
      <c r="B511" s="6" t="str">
        <f>IFERROR(__xludf.DUMMYFUNCTION("""COMPUTED_VALUE"""),"Sports")</f>
        <v>Sports</v>
      </c>
      <c r="C511" s="7">
        <f>IFERROR(__xludf.DUMMYFUNCTION("""COMPUTED_VALUE"""),41140.0)</f>
        <v>41140</v>
      </c>
      <c r="D511" s="6" t="str">
        <f>IFERROR(__xludf.DUMMYFUNCTION("""COMPUTED_VALUE"""),"Sports")</f>
        <v>Sports</v>
      </c>
      <c r="E511" s="6" t="str">
        <f>IFERROR(__xludf.DUMMYFUNCTION("""COMPUTED_VALUE"""),"Virtual Wallet")</f>
        <v>Virtual Wallet</v>
      </c>
      <c r="F511" s="6" t="s">
        <v>12</v>
      </c>
      <c r="G511" s="8" t="str">
        <f t="shared" si="1"/>
        <v>202410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  <c r="CD511" s="4"/>
      <c r="CE511" s="4"/>
      <c r="CF511" s="4"/>
      <c r="CG511" s="4"/>
      <c r="CH511" s="4"/>
      <c r="CI511" s="4"/>
      <c r="CJ511" s="4"/>
      <c r="CK511" s="4"/>
      <c r="CL511" s="4"/>
      <c r="CM511" s="4"/>
      <c r="CN511" s="4"/>
      <c r="CO511" s="4"/>
      <c r="CP511" s="4"/>
      <c r="CQ511" s="4"/>
      <c r="CR511" s="4"/>
      <c r="CS511" s="4"/>
      <c r="CT511" s="4"/>
      <c r="CU511" s="4"/>
      <c r="CV511" s="4"/>
      <c r="CW511" s="4"/>
      <c r="CX511" s="4"/>
      <c r="CY511" s="4"/>
      <c r="CZ511" s="4"/>
      <c r="DA511" s="4"/>
      <c r="DB511" s="4"/>
      <c r="DC511" s="4"/>
      <c r="DD511" s="4"/>
      <c r="DE511" s="4"/>
      <c r="DF511" s="4"/>
      <c r="DG511" s="4"/>
      <c r="DH511" s="4"/>
      <c r="DI511" s="4"/>
      <c r="DJ511" s="4"/>
      <c r="DK511" s="4"/>
      <c r="DL511" s="4"/>
      <c r="DM511" s="4"/>
      <c r="DN511" s="4"/>
      <c r="DO511" s="4"/>
      <c r="DP511" s="4"/>
      <c r="DQ511" s="4"/>
      <c r="DR511" s="4"/>
      <c r="DS511" s="4"/>
    </row>
    <row r="512">
      <c r="A512" s="9">
        <f>IFERROR(__xludf.DUMMYFUNCTION("""COMPUTED_VALUE"""),45591.0)</f>
        <v>45591</v>
      </c>
      <c r="B512" s="6" t="str">
        <f>IFERROR(__xludf.DUMMYFUNCTION("""COMPUTED_VALUE"""),"Groceries")</f>
        <v>Groceries</v>
      </c>
      <c r="C512" s="7">
        <f>IFERROR(__xludf.DUMMYFUNCTION("""COMPUTED_VALUE"""),3200.0)</f>
        <v>3200</v>
      </c>
      <c r="D512" s="6" t="str">
        <f>IFERROR(__xludf.DUMMYFUNCTION("""COMPUTED_VALUE"""),"Gifts")</f>
        <v>Gifts</v>
      </c>
      <c r="E512" s="6" t="str">
        <f>IFERROR(__xludf.DUMMYFUNCTION("""COMPUTED_VALUE"""),"Virtual Wallet")</f>
        <v>Virtual Wallet</v>
      </c>
      <c r="F512" s="6"/>
      <c r="G512" s="8" t="str">
        <f t="shared" si="1"/>
        <v>202410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  <c r="CD512" s="4"/>
      <c r="CE512" s="4"/>
      <c r="CF512" s="4"/>
      <c r="CG512" s="4"/>
      <c r="CH512" s="4"/>
      <c r="CI512" s="4"/>
      <c r="CJ512" s="4"/>
      <c r="CK512" s="4"/>
      <c r="CL512" s="4"/>
      <c r="CM512" s="4"/>
      <c r="CN512" s="4"/>
      <c r="CO512" s="4"/>
      <c r="CP512" s="4"/>
      <c r="CQ512" s="4"/>
      <c r="CR512" s="4"/>
      <c r="CS512" s="4"/>
      <c r="CT512" s="4"/>
      <c r="CU512" s="4"/>
      <c r="CV512" s="4"/>
      <c r="CW512" s="4"/>
      <c r="CX512" s="4"/>
      <c r="CY512" s="4"/>
      <c r="CZ512" s="4"/>
      <c r="DA512" s="4"/>
      <c r="DB512" s="4"/>
      <c r="DC512" s="4"/>
      <c r="DD512" s="4"/>
      <c r="DE512" s="4"/>
      <c r="DF512" s="4"/>
      <c r="DG512" s="4"/>
      <c r="DH512" s="4"/>
      <c r="DI512" s="4"/>
      <c r="DJ512" s="4"/>
      <c r="DK512" s="4"/>
      <c r="DL512" s="4"/>
      <c r="DM512" s="4"/>
      <c r="DN512" s="4"/>
      <c r="DO512" s="4"/>
      <c r="DP512" s="4"/>
      <c r="DQ512" s="4"/>
      <c r="DR512" s="4"/>
      <c r="DS512" s="4"/>
    </row>
    <row r="513">
      <c r="A513" s="9">
        <f>IFERROR(__xludf.DUMMYFUNCTION("""COMPUTED_VALUE"""),45591.0)</f>
        <v>45591</v>
      </c>
      <c r="B513" s="6" t="str">
        <f>IFERROR(__xludf.DUMMYFUNCTION("""COMPUTED_VALUE"""),"Mobile Plan")</f>
        <v>Mobile Plan</v>
      </c>
      <c r="C513" s="7">
        <f>IFERROR(__xludf.DUMMYFUNCTION("""COMPUTED_VALUE"""),8700.0)</f>
        <v>8700</v>
      </c>
      <c r="D513" s="6" t="str">
        <f>IFERROR(__xludf.DUMMYFUNCTION("""COMPUTED_VALUE"""),"Basic Services")</f>
        <v>Basic Services</v>
      </c>
      <c r="E513" s="6" t="str">
        <f>IFERROR(__xludf.DUMMYFUNCTION("""COMPUTED_VALUE"""),"Virtual Wallet")</f>
        <v>Virtual Wallet</v>
      </c>
      <c r="F513" s="6" t="s">
        <v>13</v>
      </c>
      <c r="G513" s="8" t="str">
        <f t="shared" si="1"/>
        <v>202410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  <c r="CD513" s="4"/>
      <c r="CE513" s="4"/>
      <c r="CF513" s="4"/>
      <c r="CG513" s="4"/>
      <c r="CH513" s="4"/>
      <c r="CI513" s="4"/>
      <c r="CJ513" s="4"/>
      <c r="CK513" s="4"/>
      <c r="CL513" s="4"/>
      <c r="CM513" s="4"/>
      <c r="CN513" s="4"/>
      <c r="CO513" s="4"/>
      <c r="CP513" s="4"/>
      <c r="CQ513" s="4"/>
      <c r="CR513" s="4"/>
      <c r="CS513" s="4"/>
      <c r="CT513" s="4"/>
      <c r="CU513" s="4"/>
      <c r="CV513" s="4"/>
      <c r="CW513" s="4"/>
      <c r="CX513" s="4"/>
      <c r="CY513" s="4"/>
      <c r="CZ513" s="4"/>
      <c r="DA513" s="4"/>
      <c r="DB513" s="4"/>
      <c r="DC513" s="4"/>
      <c r="DD513" s="4"/>
      <c r="DE513" s="4"/>
      <c r="DF513" s="4"/>
      <c r="DG513" s="4"/>
      <c r="DH513" s="4"/>
      <c r="DI513" s="4"/>
      <c r="DJ513" s="4"/>
      <c r="DK513" s="4"/>
      <c r="DL513" s="4"/>
      <c r="DM513" s="4"/>
      <c r="DN513" s="4"/>
      <c r="DO513" s="4"/>
      <c r="DP513" s="4"/>
      <c r="DQ513" s="4"/>
      <c r="DR513" s="4"/>
      <c r="DS513" s="4"/>
    </row>
    <row r="514">
      <c r="A514" s="9">
        <f>IFERROR(__xludf.DUMMYFUNCTION("""COMPUTED_VALUE"""),45592.0)</f>
        <v>45592</v>
      </c>
      <c r="B514" s="6" t="str">
        <f>IFERROR(__xludf.DUMMYFUNCTION("""COMPUTED_VALUE"""),"Personal Care")</f>
        <v>Personal Care</v>
      </c>
      <c r="C514" s="7">
        <f>IFERROR(__xludf.DUMMYFUNCTION("""COMPUTED_VALUE"""),15000.0)</f>
        <v>15000</v>
      </c>
      <c r="D514" s="6" t="str">
        <f>IFERROR(__xludf.DUMMYFUNCTION("""COMPUTED_VALUE"""),"Personal Care")</f>
        <v>Personal Care</v>
      </c>
      <c r="E514" s="6" t="str">
        <f>IFERROR(__xludf.DUMMYFUNCTION("""COMPUTED_VALUE"""),"Credit Card")</f>
        <v>Credit Card</v>
      </c>
      <c r="F514" s="6" t="s">
        <v>16</v>
      </c>
      <c r="G514" s="8" t="str">
        <f t="shared" si="1"/>
        <v>202410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  <c r="CD514" s="4"/>
      <c r="CE514" s="4"/>
      <c r="CF514" s="4"/>
      <c r="CG514" s="4"/>
      <c r="CH514" s="4"/>
      <c r="CI514" s="4"/>
      <c r="CJ514" s="4"/>
      <c r="CK514" s="4"/>
      <c r="CL514" s="4"/>
      <c r="CM514" s="4"/>
      <c r="CN514" s="4"/>
      <c r="CO514" s="4"/>
      <c r="CP514" s="4"/>
      <c r="CQ514" s="4"/>
      <c r="CR514" s="4"/>
      <c r="CS514" s="4"/>
      <c r="CT514" s="4"/>
      <c r="CU514" s="4"/>
      <c r="CV514" s="4"/>
      <c r="CW514" s="4"/>
      <c r="CX514" s="4"/>
      <c r="CY514" s="4"/>
      <c r="CZ514" s="4"/>
      <c r="DA514" s="4"/>
      <c r="DB514" s="4"/>
      <c r="DC514" s="4"/>
      <c r="DD514" s="4"/>
      <c r="DE514" s="4"/>
      <c r="DF514" s="4"/>
      <c r="DG514" s="4"/>
      <c r="DH514" s="4"/>
      <c r="DI514" s="4"/>
      <c r="DJ514" s="4"/>
      <c r="DK514" s="4"/>
      <c r="DL514" s="4"/>
      <c r="DM514" s="4"/>
      <c r="DN514" s="4"/>
      <c r="DO514" s="4"/>
      <c r="DP514" s="4"/>
      <c r="DQ514" s="4"/>
      <c r="DR514" s="4"/>
      <c r="DS514" s="4"/>
    </row>
    <row r="515">
      <c r="A515" s="9">
        <f>IFERROR(__xludf.DUMMYFUNCTION("""COMPUTED_VALUE"""),45592.0)</f>
        <v>45592</v>
      </c>
      <c r="B515" s="6" t="str">
        <f>IFERROR(__xludf.DUMMYFUNCTION("""COMPUTED_VALUE"""),"Pharmacy")</f>
        <v>Pharmacy</v>
      </c>
      <c r="C515" s="7">
        <f>IFERROR(__xludf.DUMMYFUNCTION("""COMPUTED_VALUE"""),5981.84)</f>
        <v>5981.84</v>
      </c>
      <c r="D515" s="6" t="str">
        <f>IFERROR(__xludf.DUMMYFUNCTION("""COMPUTED_VALUE"""),"Personal Care")</f>
        <v>Personal Care</v>
      </c>
      <c r="E515" s="6" t="str">
        <f>IFERROR(__xludf.DUMMYFUNCTION("""COMPUTED_VALUE"""),"Credit Card")</f>
        <v>Credit Card</v>
      </c>
      <c r="F515" s="6" t="s">
        <v>16</v>
      </c>
      <c r="G515" s="8" t="str">
        <f t="shared" si="1"/>
        <v>202410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  <c r="CD515" s="4"/>
      <c r="CE515" s="4"/>
      <c r="CF515" s="4"/>
      <c r="CG515" s="4"/>
      <c r="CH515" s="4"/>
      <c r="CI515" s="4"/>
      <c r="CJ515" s="4"/>
      <c r="CK515" s="4"/>
      <c r="CL515" s="4"/>
      <c r="CM515" s="4"/>
      <c r="CN515" s="4"/>
      <c r="CO515" s="4"/>
      <c r="CP515" s="4"/>
      <c r="CQ515" s="4"/>
      <c r="CR515" s="4"/>
      <c r="CS515" s="4"/>
      <c r="CT515" s="4"/>
      <c r="CU515" s="4"/>
      <c r="CV515" s="4"/>
      <c r="CW515" s="4"/>
      <c r="CX515" s="4"/>
      <c r="CY515" s="4"/>
      <c r="CZ515" s="4"/>
      <c r="DA515" s="4"/>
      <c r="DB515" s="4"/>
      <c r="DC515" s="4"/>
      <c r="DD515" s="4"/>
      <c r="DE515" s="4"/>
      <c r="DF515" s="4"/>
      <c r="DG515" s="4"/>
      <c r="DH515" s="4"/>
      <c r="DI515" s="4"/>
      <c r="DJ515" s="4"/>
      <c r="DK515" s="4"/>
      <c r="DL515" s="4"/>
      <c r="DM515" s="4"/>
      <c r="DN515" s="4"/>
      <c r="DO515" s="4"/>
      <c r="DP515" s="4"/>
      <c r="DQ515" s="4"/>
      <c r="DR515" s="4"/>
      <c r="DS515" s="4"/>
    </row>
    <row r="516">
      <c r="A516" s="9">
        <f>IFERROR(__xludf.DUMMYFUNCTION("""COMPUTED_VALUE"""),45592.0)</f>
        <v>45592</v>
      </c>
      <c r="B516" s="6" t="str">
        <f>IFERROR(__xludf.DUMMYFUNCTION("""COMPUTED_VALUE"""),"Groceries")</f>
        <v>Groceries</v>
      </c>
      <c r="C516" s="7">
        <f>IFERROR(__xludf.DUMMYFUNCTION("""COMPUTED_VALUE"""),9500.0)</f>
        <v>9500</v>
      </c>
      <c r="D516" s="6" t="str">
        <f>IFERROR(__xludf.DUMMYFUNCTION("""COMPUTED_VALUE"""),"Groceries")</f>
        <v>Groceries</v>
      </c>
      <c r="E516" s="6" t="str">
        <f>IFERROR(__xludf.DUMMYFUNCTION("""COMPUTED_VALUE"""),"Virtual Wallet")</f>
        <v>Virtual Wallet</v>
      </c>
      <c r="F516" s="6" t="s">
        <v>7</v>
      </c>
      <c r="G516" s="8" t="str">
        <f t="shared" si="1"/>
        <v>202410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  <c r="CD516" s="4"/>
      <c r="CE516" s="4"/>
      <c r="CF516" s="4"/>
      <c r="CG516" s="4"/>
      <c r="CH516" s="4"/>
      <c r="CI516" s="4"/>
      <c r="CJ516" s="4"/>
      <c r="CK516" s="4"/>
      <c r="CL516" s="4"/>
      <c r="CM516" s="4"/>
      <c r="CN516" s="4"/>
      <c r="CO516" s="4"/>
      <c r="CP516" s="4"/>
      <c r="CQ516" s="4"/>
      <c r="CR516" s="4"/>
      <c r="CS516" s="4"/>
      <c r="CT516" s="4"/>
      <c r="CU516" s="4"/>
      <c r="CV516" s="4"/>
      <c r="CW516" s="4"/>
      <c r="CX516" s="4"/>
      <c r="CY516" s="4"/>
      <c r="CZ516" s="4"/>
      <c r="DA516" s="4"/>
      <c r="DB516" s="4"/>
      <c r="DC516" s="4"/>
      <c r="DD516" s="4"/>
      <c r="DE516" s="4"/>
      <c r="DF516" s="4"/>
      <c r="DG516" s="4"/>
      <c r="DH516" s="4"/>
      <c r="DI516" s="4"/>
      <c r="DJ516" s="4"/>
      <c r="DK516" s="4"/>
      <c r="DL516" s="4"/>
      <c r="DM516" s="4"/>
      <c r="DN516" s="4"/>
      <c r="DO516" s="4"/>
      <c r="DP516" s="4"/>
      <c r="DQ516" s="4"/>
      <c r="DR516" s="4"/>
      <c r="DS516" s="4"/>
    </row>
    <row r="517">
      <c r="A517" s="9">
        <f>IFERROR(__xludf.DUMMYFUNCTION("""COMPUTED_VALUE"""),45592.0)</f>
        <v>45592</v>
      </c>
      <c r="B517" s="6" t="str">
        <f>IFERROR(__xludf.DUMMYFUNCTION("""COMPUTED_VALUE"""),"Home Goods")</f>
        <v>Home Goods</v>
      </c>
      <c r="C517" s="7">
        <f>IFERROR(__xludf.DUMMYFUNCTION("""COMPUTED_VALUE"""),2500.0)</f>
        <v>2500</v>
      </c>
      <c r="D517" s="6" t="str">
        <f>IFERROR(__xludf.DUMMYFUNCTION("""COMPUTED_VALUE"""),"Home Goods &amp; Utilities")</f>
        <v>Home Goods &amp; Utilities</v>
      </c>
      <c r="E517" s="6" t="str">
        <f>IFERROR(__xludf.DUMMYFUNCTION("""COMPUTED_VALUE"""),"Virtual Wallet")</f>
        <v>Virtual Wallet</v>
      </c>
      <c r="F517" s="6" t="s">
        <v>8</v>
      </c>
      <c r="G517" s="8" t="str">
        <f t="shared" si="1"/>
        <v>202410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  <c r="CD517" s="4"/>
      <c r="CE517" s="4"/>
      <c r="CF517" s="4"/>
      <c r="CG517" s="4"/>
      <c r="CH517" s="4"/>
      <c r="CI517" s="4"/>
      <c r="CJ517" s="4"/>
      <c r="CK517" s="4"/>
      <c r="CL517" s="4"/>
      <c r="CM517" s="4"/>
      <c r="CN517" s="4"/>
      <c r="CO517" s="4"/>
      <c r="CP517" s="4"/>
      <c r="CQ517" s="4"/>
      <c r="CR517" s="4"/>
      <c r="CS517" s="4"/>
      <c r="CT517" s="4"/>
      <c r="CU517" s="4"/>
      <c r="CV517" s="4"/>
      <c r="CW517" s="4"/>
      <c r="CX517" s="4"/>
      <c r="CY517" s="4"/>
      <c r="CZ517" s="4"/>
      <c r="DA517" s="4"/>
      <c r="DB517" s="4"/>
      <c r="DC517" s="4"/>
      <c r="DD517" s="4"/>
      <c r="DE517" s="4"/>
      <c r="DF517" s="4"/>
      <c r="DG517" s="4"/>
      <c r="DH517" s="4"/>
      <c r="DI517" s="4"/>
      <c r="DJ517" s="4"/>
      <c r="DK517" s="4"/>
      <c r="DL517" s="4"/>
      <c r="DM517" s="4"/>
      <c r="DN517" s="4"/>
      <c r="DO517" s="4"/>
      <c r="DP517" s="4"/>
      <c r="DQ517" s="4"/>
      <c r="DR517" s="4"/>
      <c r="DS517" s="4"/>
    </row>
    <row r="518">
      <c r="A518" s="9">
        <f>IFERROR(__xludf.DUMMYFUNCTION("""COMPUTED_VALUE"""),45592.0)</f>
        <v>45592</v>
      </c>
      <c r="B518" s="6" t="str">
        <f>IFERROR(__xludf.DUMMYFUNCTION("""COMPUTED_VALUE"""),"Restaurant")</f>
        <v>Restaurant</v>
      </c>
      <c r="C518" s="7">
        <f>IFERROR(__xludf.DUMMYFUNCTION("""COMPUTED_VALUE"""),3500.0)</f>
        <v>3500</v>
      </c>
      <c r="D518" s="6" t="str">
        <f>IFERROR(__xludf.DUMMYFUNCTION("""COMPUTED_VALUE"""),"Restaurant / Café")</f>
        <v>Restaurant / Café</v>
      </c>
      <c r="E518" s="6" t="str">
        <f>IFERROR(__xludf.DUMMYFUNCTION("""COMPUTED_VALUE"""),"Virtual Wallet")</f>
        <v>Virtual Wallet</v>
      </c>
      <c r="F518" s="6" t="s">
        <v>14</v>
      </c>
      <c r="G518" s="8" t="str">
        <f t="shared" si="1"/>
        <v>202410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  <c r="CI518" s="4"/>
      <c r="CJ518" s="4"/>
      <c r="CK518" s="4"/>
      <c r="CL518" s="4"/>
      <c r="CM518" s="4"/>
      <c r="CN518" s="4"/>
      <c r="CO518" s="4"/>
      <c r="CP518" s="4"/>
      <c r="CQ518" s="4"/>
      <c r="CR518" s="4"/>
      <c r="CS518" s="4"/>
      <c r="CT518" s="4"/>
      <c r="CU518" s="4"/>
      <c r="CV518" s="4"/>
      <c r="CW518" s="4"/>
      <c r="CX518" s="4"/>
      <c r="CY518" s="4"/>
      <c r="CZ518" s="4"/>
      <c r="DA518" s="4"/>
      <c r="DB518" s="4"/>
      <c r="DC518" s="4"/>
      <c r="DD518" s="4"/>
      <c r="DE518" s="4"/>
      <c r="DF518" s="4"/>
      <c r="DG518" s="4"/>
      <c r="DH518" s="4"/>
      <c r="DI518" s="4"/>
      <c r="DJ518" s="4"/>
      <c r="DK518" s="4"/>
      <c r="DL518" s="4"/>
      <c r="DM518" s="4"/>
      <c r="DN518" s="4"/>
      <c r="DO518" s="4"/>
      <c r="DP518" s="4"/>
      <c r="DQ518" s="4"/>
      <c r="DR518" s="4"/>
      <c r="DS518" s="4"/>
    </row>
    <row r="519">
      <c r="A519" s="9">
        <f>IFERROR(__xludf.DUMMYFUNCTION("""COMPUTED_VALUE"""),45593.0)</f>
        <v>45593</v>
      </c>
      <c r="B519" s="6" t="str">
        <f>IFERROR(__xludf.DUMMYFUNCTION("""COMPUTED_VALUE"""),"Education")</f>
        <v>Education</v>
      </c>
      <c r="C519" s="7">
        <f>IFERROR(__xludf.DUMMYFUNCTION("""COMPUTED_VALUE"""),3000.0)</f>
        <v>3000</v>
      </c>
      <c r="D519" s="6" t="str">
        <f>IFERROR(__xludf.DUMMYFUNCTION("""COMPUTED_VALUE"""),"Education")</f>
        <v>Education</v>
      </c>
      <c r="E519" s="6" t="str">
        <f>IFERROR(__xludf.DUMMYFUNCTION("""COMPUTED_VALUE"""),"Credit Card")</f>
        <v>Credit Card</v>
      </c>
      <c r="F519" s="6" t="s">
        <v>11</v>
      </c>
      <c r="G519" s="8" t="str">
        <f t="shared" si="1"/>
        <v>202410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  <c r="CI519" s="4"/>
      <c r="CJ519" s="4"/>
      <c r="CK519" s="4"/>
      <c r="CL519" s="4"/>
      <c r="CM519" s="4"/>
      <c r="CN519" s="4"/>
      <c r="CO519" s="4"/>
      <c r="CP519" s="4"/>
      <c r="CQ519" s="4"/>
      <c r="CR519" s="4"/>
      <c r="CS519" s="4"/>
      <c r="CT519" s="4"/>
      <c r="CU519" s="4"/>
      <c r="CV519" s="4"/>
      <c r="CW519" s="4"/>
      <c r="CX519" s="4"/>
      <c r="CY519" s="4"/>
      <c r="CZ519" s="4"/>
      <c r="DA519" s="4"/>
      <c r="DB519" s="4"/>
      <c r="DC519" s="4"/>
      <c r="DD519" s="4"/>
      <c r="DE519" s="4"/>
      <c r="DF519" s="4"/>
      <c r="DG519" s="4"/>
      <c r="DH519" s="4"/>
      <c r="DI519" s="4"/>
      <c r="DJ519" s="4"/>
      <c r="DK519" s="4"/>
      <c r="DL519" s="4"/>
      <c r="DM519" s="4"/>
      <c r="DN519" s="4"/>
      <c r="DO519" s="4"/>
      <c r="DP519" s="4"/>
      <c r="DQ519" s="4"/>
      <c r="DR519" s="4"/>
      <c r="DS519" s="4"/>
    </row>
    <row r="520">
      <c r="A520" s="9">
        <f>IFERROR(__xludf.DUMMYFUNCTION("""COMPUTED_VALUE"""),45593.0)</f>
        <v>45593</v>
      </c>
      <c r="B520" s="6" t="str">
        <f>IFERROR(__xludf.DUMMYFUNCTION("""COMPUTED_VALUE"""),"Pharmacy")</f>
        <v>Pharmacy</v>
      </c>
      <c r="C520" s="7">
        <f>IFERROR(__xludf.DUMMYFUNCTION("""COMPUTED_VALUE"""),7670.0)</f>
        <v>7670</v>
      </c>
      <c r="D520" s="6" t="str">
        <f>IFERROR(__xludf.DUMMYFUNCTION("""COMPUTED_VALUE"""),"Personal Care")</f>
        <v>Personal Care</v>
      </c>
      <c r="E520" s="6" t="str">
        <f>IFERROR(__xludf.DUMMYFUNCTION("""COMPUTED_VALUE"""),"Credit Card")</f>
        <v>Credit Card</v>
      </c>
      <c r="F520" s="6" t="s">
        <v>16</v>
      </c>
      <c r="G520" s="8" t="str">
        <f t="shared" si="1"/>
        <v>202410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  <c r="CD520" s="4"/>
      <c r="CE520" s="4"/>
      <c r="CF520" s="4"/>
      <c r="CG520" s="4"/>
      <c r="CH520" s="4"/>
      <c r="CI520" s="4"/>
      <c r="CJ520" s="4"/>
      <c r="CK520" s="4"/>
      <c r="CL520" s="4"/>
      <c r="CM520" s="4"/>
      <c r="CN520" s="4"/>
      <c r="CO520" s="4"/>
      <c r="CP520" s="4"/>
      <c r="CQ520" s="4"/>
      <c r="CR520" s="4"/>
      <c r="CS520" s="4"/>
      <c r="CT520" s="4"/>
      <c r="CU520" s="4"/>
      <c r="CV520" s="4"/>
      <c r="CW520" s="4"/>
      <c r="CX520" s="4"/>
      <c r="CY520" s="4"/>
      <c r="CZ520" s="4"/>
      <c r="DA520" s="4"/>
      <c r="DB520" s="4"/>
      <c r="DC520" s="4"/>
      <c r="DD520" s="4"/>
      <c r="DE520" s="4"/>
      <c r="DF520" s="4"/>
      <c r="DG520" s="4"/>
      <c r="DH520" s="4"/>
      <c r="DI520" s="4"/>
      <c r="DJ520" s="4"/>
      <c r="DK520" s="4"/>
      <c r="DL520" s="4"/>
      <c r="DM520" s="4"/>
      <c r="DN520" s="4"/>
      <c r="DO520" s="4"/>
      <c r="DP520" s="4"/>
      <c r="DQ520" s="4"/>
      <c r="DR520" s="4"/>
      <c r="DS520" s="4"/>
    </row>
    <row r="521">
      <c r="A521" s="9">
        <f>IFERROR(__xludf.DUMMYFUNCTION("""COMPUTED_VALUE"""),45593.0)</f>
        <v>45593</v>
      </c>
      <c r="B521" s="6" t="str">
        <f>IFERROR(__xludf.DUMMYFUNCTION("""COMPUTED_VALUE"""),"Pets")</f>
        <v>Pets</v>
      </c>
      <c r="C521" s="7">
        <f>IFERROR(__xludf.DUMMYFUNCTION("""COMPUTED_VALUE"""),17218.0)</f>
        <v>17218</v>
      </c>
      <c r="D521" s="6" t="str">
        <f>IFERROR(__xludf.DUMMYFUNCTION("""COMPUTED_VALUE"""),"Pets")</f>
        <v>Pets</v>
      </c>
      <c r="E521" s="6" t="str">
        <f>IFERROR(__xludf.DUMMYFUNCTION("""COMPUTED_VALUE"""),"Credit Card")</f>
        <v>Credit Card</v>
      </c>
      <c r="F521" s="6" t="s">
        <v>7</v>
      </c>
      <c r="G521" s="8" t="str">
        <f t="shared" si="1"/>
        <v>202410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  <c r="CD521" s="4"/>
      <c r="CE521" s="4"/>
      <c r="CF521" s="4"/>
      <c r="CG521" s="4"/>
      <c r="CH521" s="4"/>
      <c r="CI521" s="4"/>
      <c r="CJ521" s="4"/>
      <c r="CK521" s="4"/>
      <c r="CL521" s="4"/>
      <c r="CM521" s="4"/>
      <c r="CN521" s="4"/>
      <c r="CO521" s="4"/>
      <c r="CP521" s="4"/>
      <c r="CQ521" s="4"/>
      <c r="CR521" s="4"/>
      <c r="CS521" s="4"/>
      <c r="CT521" s="4"/>
      <c r="CU521" s="4"/>
      <c r="CV521" s="4"/>
      <c r="CW521" s="4"/>
      <c r="CX521" s="4"/>
      <c r="CY521" s="4"/>
      <c r="CZ521" s="4"/>
      <c r="DA521" s="4"/>
      <c r="DB521" s="4"/>
      <c r="DC521" s="4"/>
      <c r="DD521" s="4"/>
      <c r="DE521" s="4"/>
      <c r="DF521" s="4"/>
      <c r="DG521" s="4"/>
      <c r="DH521" s="4"/>
      <c r="DI521" s="4"/>
      <c r="DJ521" s="4"/>
      <c r="DK521" s="4"/>
      <c r="DL521" s="4"/>
      <c r="DM521" s="4"/>
      <c r="DN521" s="4"/>
      <c r="DO521" s="4"/>
      <c r="DP521" s="4"/>
      <c r="DQ521" s="4"/>
      <c r="DR521" s="4"/>
      <c r="DS521" s="4"/>
    </row>
    <row r="522">
      <c r="A522" s="9">
        <f>IFERROR(__xludf.DUMMYFUNCTION("""COMPUTED_VALUE"""),45593.0)</f>
        <v>45593</v>
      </c>
      <c r="B522" s="6" t="str">
        <f>IFERROR(__xludf.DUMMYFUNCTION("""COMPUTED_VALUE"""),"Education")</f>
        <v>Education</v>
      </c>
      <c r="C522" s="7">
        <f>IFERROR(__xludf.DUMMYFUNCTION("""COMPUTED_VALUE"""),1800.0)</f>
        <v>1800</v>
      </c>
      <c r="D522" s="6" t="str">
        <f>IFERROR(__xludf.DUMMYFUNCTION("""COMPUTED_VALUE"""),"Education")</f>
        <v>Education</v>
      </c>
      <c r="E522" s="6" t="str">
        <f>IFERROR(__xludf.DUMMYFUNCTION("""COMPUTED_VALUE"""),"Credit Card")</f>
        <v>Credit Card</v>
      </c>
      <c r="F522" s="6" t="s">
        <v>11</v>
      </c>
      <c r="G522" s="8" t="str">
        <f t="shared" si="1"/>
        <v>202410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  <c r="CD522" s="4"/>
      <c r="CE522" s="4"/>
      <c r="CF522" s="4"/>
      <c r="CG522" s="4"/>
      <c r="CH522" s="4"/>
      <c r="CI522" s="4"/>
      <c r="CJ522" s="4"/>
      <c r="CK522" s="4"/>
      <c r="CL522" s="4"/>
      <c r="CM522" s="4"/>
      <c r="CN522" s="4"/>
      <c r="CO522" s="4"/>
      <c r="CP522" s="4"/>
      <c r="CQ522" s="4"/>
      <c r="CR522" s="4"/>
      <c r="CS522" s="4"/>
      <c r="CT522" s="4"/>
      <c r="CU522" s="4"/>
      <c r="CV522" s="4"/>
      <c r="CW522" s="4"/>
      <c r="CX522" s="4"/>
      <c r="CY522" s="4"/>
      <c r="CZ522" s="4"/>
      <c r="DA522" s="4"/>
      <c r="DB522" s="4"/>
      <c r="DC522" s="4"/>
      <c r="DD522" s="4"/>
      <c r="DE522" s="4"/>
      <c r="DF522" s="4"/>
      <c r="DG522" s="4"/>
      <c r="DH522" s="4"/>
      <c r="DI522" s="4"/>
      <c r="DJ522" s="4"/>
      <c r="DK522" s="4"/>
      <c r="DL522" s="4"/>
      <c r="DM522" s="4"/>
      <c r="DN522" s="4"/>
      <c r="DO522" s="4"/>
      <c r="DP522" s="4"/>
      <c r="DQ522" s="4"/>
      <c r="DR522" s="4"/>
      <c r="DS522" s="4"/>
    </row>
    <row r="523">
      <c r="A523" s="9">
        <f>IFERROR(__xludf.DUMMYFUNCTION("""COMPUTED_VALUE"""),45593.0)</f>
        <v>45593</v>
      </c>
      <c r="B523" s="6" t="str">
        <f>IFERROR(__xludf.DUMMYFUNCTION("""COMPUTED_VALUE"""),"Groceries")</f>
        <v>Groceries</v>
      </c>
      <c r="C523" s="7">
        <f>IFERROR(__xludf.DUMMYFUNCTION("""COMPUTED_VALUE"""),3780.0)</f>
        <v>3780</v>
      </c>
      <c r="D523" s="6" t="str">
        <f>IFERROR(__xludf.DUMMYFUNCTION("""COMPUTED_VALUE"""),"Groceries")</f>
        <v>Groceries</v>
      </c>
      <c r="E523" s="6" t="str">
        <f>IFERROR(__xludf.DUMMYFUNCTION("""COMPUTED_VALUE"""),"Split Payment")</f>
        <v>Split Payment</v>
      </c>
      <c r="F523" s="6" t="s">
        <v>7</v>
      </c>
      <c r="G523" s="8" t="str">
        <f t="shared" si="1"/>
        <v>202410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  <c r="CI523" s="4"/>
      <c r="CJ523" s="4"/>
      <c r="CK523" s="4"/>
      <c r="CL523" s="4"/>
      <c r="CM523" s="4"/>
      <c r="CN523" s="4"/>
      <c r="CO523" s="4"/>
      <c r="CP523" s="4"/>
      <c r="CQ523" s="4"/>
      <c r="CR523" s="4"/>
      <c r="CS523" s="4"/>
      <c r="CT523" s="4"/>
      <c r="CU523" s="4"/>
      <c r="CV523" s="4"/>
      <c r="CW523" s="4"/>
      <c r="CX523" s="4"/>
      <c r="CY523" s="4"/>
      <c r="CZ523" s="4"/>
      <c r="DA523" s="4"/>
      <c r="DB523" s="4"/>
      <c r="DC523" s="4"/>
      <c r="DD523" s="4"/>
      <c r="DE523" s="4"/>
      <c r="DF523" s="4"/>
      <c r="DG523" s="4"/>
      <c r="DH523" s="4"/>
      <c r="DI523" s="4"/>
      <c r="DJ523" s="4"/>
      <c r="DK523" s="4"/>
      <c r="DL523" s="4"/>
      <c r="DM523" s="4"/>
      <c r="DN523" s="4"/>
      <c r="DO523" s="4"/>
      <c r="DP523" s="4"/>
      <c r="DQ523" s="4"/>
      <c r="DR523" s="4"/>
      <c r="DS523" s="4"/>
    </row>
    <row r="524">
      <c r="A524" s="9">
        <f>IFERROR(__xludf.DUMMYFUNCTION("""COMPUTED_VALUE"""),45594.0)</f>
        <v>45594</v>
      </c>
      <c r="B524" s="6" t="str">
        <f>IFERROR(__xludf.DUMMYFUNCTION("""COMPUTED_VALUE"""),"Groceries")</f>
        <v>Groceries</v>
      </c>
      <c r="C524" s="7">
        <f>IFERROR(__xludf.DUMMYFUNCTION("""COMPUTED_VALUE"""),1750.0)</f>
        <v>1750</v>
      </c>
      <c r="D524" s="6" t="str">
        <f>IFERROR(__xludf.DUMMYFUNCTION("""COMPUTED_VALUE"""),"Groceries")</f>
        <v>Groceries</v>
      </c>
      <c r="E524" s="6" t="str">
        <f>IFERROR(__xludf.DUMMYFUNCTION("""COMPUTED_VALUE"""),"Virtual Wallet")</f>
        <v>Virtual Wallet</v>
      </c>
      <c r="F524" s="6" t="s">
        <v>7</v>
      </c>
      <c r="G524" s="8" t="str">
        <f t="shared" si="1"/>
        <v>202410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  <c r="CI524" s="4"/>
      <c r="CJ524" s="4"/>
      <c r="CK524" s="4"/>
      <c r="CL524" s="4"/>
      <c r="CM524" s="4"/>
      <c r="CN524" s="4"/>
      <c r="CO524" s="4"/>
      <c r="CP524" s="4"/>
      <c r="CQ524" s="4"/>
      <c r="CR524" s="4"/>
      <c r="CS524" s="4"/>
      <c r="CT524" s="4"/>
      <c r="CU524" s="4"/>
      <c r="CV524" s="4"/>
      <c r="CW524" s="4"/>
      <c r="CX524" s="4"/>
      <c r="CY524" s="4"/>
      <c r="CZ524" s="4"/>
      <c r="DA524" s="4"/>
      <c r="DB524" s="4"/>
      <c r="DC524" s="4"/>
      <c r="DD524" s="4"/>
      <c r="DE524" s="4"/>
      <c r="DF524" s="4"/>
      <c r="DG524" s="4"/>
      <c r="DH524" s="4"/>
      <c r="DI524" s="4"/>
      <c r="DJ524" s="4"/>
      <c r="DK524" s="4"/>
      <c r="DL524" s="4"/>
      <c r="DM524" s="4"/>
      <c r="DN524" s="4"/>
      <c r="DO524" s="4"/>
      <c r="DP524" s="4"/>
      <c r="DQ524" s="4"/>
      <c r="DR524" s="4"/>
      <c r="DS524" s="4"/>
    </row>
    <row r="525">
      <c r="A525" s="9">
        <f>IFERROR(__xludf.DUMMYFUNCTION("""COMPUTED_VALUE"""),45594.0)</f>
        <v>45594</v>
      </c>
      <c r="B525" s="6" t="str">
        <f>IFERROR(__xludf.DUMMYFUNCTION("""COMPUTED_VALUE"""),"Groceries")</f>
        <v>Groceries</v>
      </c>
      <c r="C525" s="7">
        <f>IFERROR(__xludf.DUMMYFUNCTION("""COMPUTED_VALUE"""),2858.0)</f>
        <v>2858</v>
      </c>
      <c r="D525" s="6" t="str">
        <f>IFERROR(__xludf.DUMMYFUNCTION("""COMPUTED_VALUE"""),"Groceries")</f>
        <v>Groceries</v>
      </c>
      <c r="E525" s="6" t="str">
        <f>IFERROR(__xludf.DUMMYFUNCTION("""COMPUTED_VALUE"""),"Virtual Wallet")</f>
        <v>Virtual Wallet</v>
      </c>
      <c r="F525" s="6" t="s">
        <v>7</v>
      </c>
      <c r="G525" s="8" t="str">
        <f t="shared" si="1"/>
        <v>202410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  <c r="CD525" s="4"/>
      <c r="CE525" s="4"/>
      <c r="CF525" s="4"/>
      <c r="CG525" s="4"/>
      <c r="CH525" s="4"/>
      <c r="CI525" s="4"/>
      <c r="CJ525" s="4"/>
      <c r="CK525" s="4"/>
      <c r="CL525" s="4"/>
      <c r="CM525" s="4"/>
      <c r="CN525" s="4"/>
      <c r="CO525" s="4"/>
      <c r="CP525" s="4"/>
      <c r="CQ525" s="4"/>
      <c r="CR525" s="4"/>
      <c r="CS525" s="4"/>
      <c r="CT525" s="4"/>
      <c r="CU525" s="4"/>
      <c r="CV525" s="4"/>
      <c r="CW525" s="4"/>
      <c r="CX525" s="4"/>
      <c r="CY525" s="4"/>
      <c r="CZ525" s="4"/>
      <c r="DA525" s="4"/>
      <c r="DB525" s="4"/>
      <c r="DC525" s="4"/>
      <c r="DD525" s="4"/>
      <c r="DE525" s="4"/>
      <c r="DF525" s="4"/>
      <c r="DG525" s="4"/>
      <c r="DH525" s="4"/>
      <c r="DI525" s="4"/>
      <c r="DJ525" s="4"/>
      <c r="DK525" s="4"/>
      <c r="DL525" s="4"/>
      <c r="DM525" s="4"/>
      <c r="DN525" s="4"/>
      <c r="DO525" s="4"/>
      <c r="DP525" s="4"/>
      <c r="DQ525" s="4"/>
      <c r="DR525" s="4"/>
      <c r="DS525" s="4"/>
    </row>
    <row r="526">
      <c r="A526" s="9">
        <f>IFERROR(__xludf.DUMMYFUNCTION("""COMPUTED_VALUE"""),45594.0)</f>
        <v>45594</v>
      </c>
      <c r="B526" s="6" t="str">
        <f>IFERROR(__xludf.DUMMYFUNCTION("""COMPUTED_VALUE"""),"Restaurant")</f>
        <v>Restaurant</v>
      </c>
      <c r="C526" s="7">
        <f>IFERROR(__xludf.DUMMYFUNCTION("""COMPUTED_VALUE"""),7400.0)</f>
        <v>7400</v>
      </c>
      <c r="D526" s="6" t="str">
        <f>IFERROR(__xludf.DUMMYFUNCTION("""COMPUTED_VALUE"""),"Restaurant / Café")</f>
        <v>Restaurant / Café</v>
      </c>
      <c r="E526" s="6" t="str">
        <f>IFERROR(__xludf.DUMMYFUNCTION("""COMPUTED_VALUE"""),"Virtual Wallet")</f>
        <v>Virtual Wallet</v>
      </c>
      <c r="F526" s="6" t="s">
        <v>14</v>
      </c>
      <c r="G526" s="8" t="str">
        <f t="shared" si="1"/>
        <v>202410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  <c r="CD526" s="4"/>
      <c r="CE526" s="4"/>
      <c r="CF526" s="4"/>
      <c r="CG526" s="4"/>
      <c r="CH526" s="4"/>
      <c r="CI526" s="4"/>
      <c r="CJ526" s="4"/>
      <c r="CK526" s="4"/>
      <c r="CL526" s="4"/>
      <c r="CM526" s="4"/>
      <c r="CN526" s="4"/>
      <c r="CO526" s="4"/>
      <c r="CP526" s="4"/>
      <c r="CQ526" s="4"/>
      <c r="CR526" s="4"/>
      <c r="CS526" s="4"/>
      <c r="CT526" s="4"/>
      <c r="CU526" s="4"/>
      <c r="CV526" s="4"/>
      <c r="CW526" s="4"/>
      <c r="CX526" s="4"/>
      <c r="CY526" s="4"/>
      <c r="CZ526" s="4"/>
      <c r="DA526" s="4"/>
      <c r="DB526" s="4"/>
      <c r="DC526" s="4"/>
      <c r="DD526" s="4"/>
      <c r="DE526" s="4"/>
      <c r="DF526" s="4"/>
      <c r="DG526" s="4"/>
      <c r="DH526" s="4"/>
      <c r="DI526" s="4"/>
      <c r="DJ526" s="4"/>
      <c r="DK526" s="4"/>
      <c r="DL526" s="4"/>
      <c r="DM526" s="4"/>
      <c r="DN526" s="4"/>
      <c r="DO526" s="4"/>
      <c r="DP526" s="4"/>
      <c r="DQ526" s="4"/>
      <c r="DR526" s="4"/>
      <c r="DS526" s="4"/>
    </row>
    <row r="527">
      <c r="A527" s="9">
        <f>IFERROR(__xludf.DUMMYFUNCTION("""COMPUTED_VALUE"""),45595.0)</f>
        <v>45595</v>
      </c>
      <c r="B527" s="6" t="str">
        <f>IFERROR(__xludf.DUMMYFUNCTION("""COMPUTED_VALUE"""),"Groceries")</f>
        <v>Groceries</v>
      </c>
      <c r="C527" s="7">
        <f>IFERROR(__xludf.DUMMYFUNCTION("""COMPUTED_VALUE"""),4150.0)</f>
        <v>4150</v>
      </c>
      <c r="D527" s="6" t="str">
        <f>IFERROR(__xludf.DUMMYFUNCTION("""COMPUTED_VALUE"""),"Lunch Out")</f>
        <v>Lunch Out</v>
      </c>
      <c r="E527" s="6" t="str">
        <f>IFERROR(__xludf.DUMMYFUNCTION("""COMPUTED_VALUE"""),"Virtual Wallet")</f>
        <v>Virtual Wallet</v>
      </c>
      <c r="F527" s="6" t="s">
        <v>14</v>
      </c>
      <c r="G527" s="8" t="str">
        <f t="shared" si="1"/>
        <v>202410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  <c r="CD527" s="4"/>
      <c r="CE527" s="4"/>
      <c r="CF527" s="4"/>
      <c r="CG527" s="4"/>
      <c r="CH527" s="4"/>
      <c r="CI527" s="4"/>
      <c r="CJ527" s="4"/>
      <c r="CK527" s="4"/>
      <c r="CL527" s="4"/>
      <c r="CM527" s="4"/>
      <c r="CN527" s="4"/>
      <c r="CO527" s="4"/>
      <c r="CP527" s="4"/>
      <c r="CQ527" s="4"/>
      <c r="CR527" s="4"/>
      <c r="CS527" s="4"/>
      <c r="CT527" s="4"/>
      <c r="CU527" s="4"/>
      <c r="CV527" s="4"/>
      <c r="CW527" s="4"/>
      <c r="CX527" s="4"/>
      <c r="CY527" s="4"/>
      <c r="CZ527" s="4"/>
      <c r="DA527" s="4"/>
      <c r="DB527" s="4"/>
      <c r="DC527" s="4"/>
      <c r="DD527" s="4"/>
      <c r="DE527" s="4"/>
      <c r="DF527" s="4"/>
      <c r="DG527" s="4"/>
      <c r="DH527" s="4"/>
      <c r="DI527" s="4"/>
      <c r="DJ527" s="4"/>
      <c r="DK527" s="4"/>
      <c r="DL527" s="4"/>
      <c r="DM527" s="4"/>
      <c r="DN527" s="4"/>
      <c r="DO527" s="4"/>
      <c r="DP527" s="4"/>
      <c r="DQ527" s="4"/>
      <c r="DR527" s="4"/>
      <c r="DS527" s="4"/>
    </row>
    <row r="528">
      <c r="A528" s="9">
        <f>IFERROR(__xludf.DUMMYFUNCTION("""COMPUTED_VALUE"""),45595.0)</f>
        <v>45595</v>
      </c>
      <c r="B528" s="6" t="str">
        <f>IFERROR(__xludf.DUMMYFUNCTION("""COMPUTED_VALUE"""),"Recreation")</f>
        <v>Recreation</v>
      </c>
      <c r="C528" s="7">
        <f>IFERROR(__xludf.DUMMYFUNCTION("""COMPUTED_VALUE"""),2400.0)</f>
        <v>2400</v>
      </c>
      <c r="D528" s="6" t="str">
        <f>IFERROR(__xludf.DUMMYFUNCTION("""COMPUTED_VALUE"""),"Recreation")</f>
        <v>Recreation</v>
      </c>
      <c r="E528" s="6" t="str">
        <f>IFERROR(__xludf.DUMMYFUNCTION("""COMPUTED_VALUE"""),"Virtual Wallet")</f>
        <v>Virtual Wallet</v>
      </c>
      <c r="F528" s="6" t="s">
        <v>12</v>
      </c>
      <c r="G528" s="8" t="str">
        <f t="shared" si="1"/>
        <v>202410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  <c r="CD528" s="4"/>
      <c r="CE528" s="4"/>
      <c r="CF528" s="4"/>
      <c r="CG528" s="4"/>
      <c r="CH528" s="4"/>
      <c r="CI528" s="4"/>
      <c r="CJ528" s="4"/>
      <c r="CK528" s="4"/>
      <c r="CL528" s="4"/>
      <c r="CM528" s="4"/>
      <c r="CN528" s="4"/>
      <c r="CO528" s="4"/>
      <c r="CP528" s="4"/>
      <c r="CQ528" s="4"/>
      <c r="CR528" s="4"/>
      <c r="CS528" s="4"/>
      <c r="CT528" s="4"/>
      <c r="CU528" s="4"/>
      <c r="CV528" s="4"/>
      <c r="CW528" s="4"/>
      <c r="CX528" s="4"/>
      <c r="CY528" s="4"/>
      <c r="CZ528" s="4"/>
      <c r="DA528" s="4"/>
      <c r="DB528" s="4"/>
      <c r="DC528" s="4"/>
      <c r="DD528" s="4"/>
      <c r="DE528" s="4"/>
      <c r="DF528" s="4"/>
      <c r="DG528" s="4"/>
      <c r="DH528" s="4"/>
      <c r="DI528" s="4"/>
      <c r="DJ528" s="4"/>
      <c r="DK528" s="4"/>
      <c r="DL528" s="4"/>
      <c r="DM528" s="4"/>
      <c r="DN528" s="4"/>
      <c r="DO528" s="4"/>
      <c r="DP528" s="4"/>
      <c r="DQ528" s="4"/>
      <c r="DR528" s="4"/>
      <c r="DS528" s="4"/>
    </row>
    <row r="529">
      <c r="A529" s="9">
        <f>IFERROR(__xludf.DUMMYFUNCTION("""COMPUTED_VALUE"""),45595.0)</f>
        <v>45595</v>
      </c>
      <c r="B529" s="6" t="str">
        <f>IFERROR(__xludf.DUMMYFUNCTION("""COMPUTED_VALUE"""),"Restaurant")</f>
        <v>Restaurant</v>
      </c>
      <c r="C529" s="7">
        <f>IFERROR(__xludf.DUMMYFUNCTION("""COMPUTED_VALUE"""),4542.5)</f>
        <v>4542.5</v>
      </c>
      <c r="D529" s="6" t="str">
        <f>IFERROR(__xludf.DUMMYFUNCTION("""COMPUTED_VALUE"""),"Groceries")</f>
        <v>Groceries</v>
      </c>
      <c r="E529" s="6" t="str">
        <f>IFERROR(__xludf.DUMMYFUNCTION("""COMPUTED_VALUE"""),"Split Payment")</f>
        <v>Split Payment</v>
      </c>
      <c r="F529" s="6" t="s">
        <v>7</v>
      </c>
      <c r="G529" s="8" t="str">
        <f t="shared" si="1"/>
        <v>202410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  <c r="CD529" s="4"/>
      <c r="CE529" s="4"/>
      <c r="CF529" s="4"/>
      <c r="CG529" s="4"/>
      <c r="CH529" s="4"/>
      <c r="CI529" s="4"/>
      <c r="CJ529" s="4"/>
      <c r="CK529" s="4"/>
      <c r="CL529" s="4"/>
      <c r="CM529" s="4"/>
      <c r="CN529" s="4"/>
      <c r="CO529" s="4"/>
      <c r="CP529" s="4"/>
      <c r="CQ529" s="4"/>
      <c r="CR529" s="4"/>
      <c r="CS529" s="4"/>
      <c r="CT529" s="4"/>
      <c r="CU529" s="4"/>
      <c r="CV529" s="4"/>
      <c r="CW529" s="4"/>
      <c r="CX529" s="4"/>
      <c r="CY529" s="4"/>
      <c r="CZ529" s="4"/>
      <c r="DA529" s="4"/>
      <c r="DB529" s="4"/>
      <c r="DC529" s="4"/>
      <c r="DD529" s="4"/>
      <c r="DE529" s="4"/>
      <c r="DF529" s="4"/>
      <c r="DG529" s="4"/>
      <c r="DH529" s="4"/>
      <c r="DI529" s="4"/>
      <c r="DJ529" s="4"/>
      <c r="DK529" s="4"/>
      <c r="DL529" s="4"/>
      <c r="DM529" s="4"/>
      <c r="DN529" s="4"/>
      <c r="DO529" s="4"/>
      <c r="DP529" s="4"/>
      <c r="DQ529" s="4"/>
      <c r="DR529" s="4"/>
      <c r="DS529" s="4"/>
    </row>
    <row r="530">
      <c r="A530" s="9">
        <f>IFERROR(__xludf.DUMMYFUNCTION("""COMPUTED_VALUE"""),45596.0)</f>
        <v>45596</v>
      </c>
      <c r="B530" s="6" t="str">
        <f>IFERROR(__xludf.DUMMYFUNCTION("""COMPUTED_VALUE"""),"Groceries")</f>
        <v>Groceries</v>
      </c>
      <c r="C530" s="7">
        <f>IFERROR(__xludf.DUMMYFUNCTION("""COMPUTED_VALUE"""),2000.0)</f>
        <v>2000</v>
      </c>
      <c r="D530" s="6" t="str">
        <f>IFERROR(__xludf.DUMMYFUNCTION("""COMPUTED_VALUE"""),"Groceries")</f>
        <v>Groceries</v>
      </c>
      <c r="E530" s="6" t="str">
        <f>IFERROR(__xludf.DUMMYFUNCTION("""COMPUTED_VALUE"""),"Virtual Wallet")</f>
        <v>Virtual Wallet</v>
      </c>
      <c r="F530" s="6" t="s">
        <v>7</v>
      </c>
      <c r="G530" s="8" t="str">
        <f t="shared" si="1"/>
        <v>202410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  <c r="CD530" s="4"/>
      <c r="CE530" s="4"/>
      <c r="CF530" s="4"/>
      <c r="CG530" s="4"/>
      <c r="CH530" s="4"/>
      <c r="CI530" s="4"/>
      <c r="CJ530" s="4"/>
      <c r="CK530" s="4"/>
      <c r="CL530" s="4"/>
      <c r="CM530" s="4"/>
      <c r="CN530" s="4"/>
      <c r="CO530" s="4"/>
      <c r="CP530" s="4"/>
      <c r="CQ530" s="4"/>
      <c r="CR530" s="4"/>
      <c r="CS530" s="4"/>
      <c r="CT530" s="4"/>
      <c r="CU530" s="4"/>
      <c r="CV530" s="4"/>
      <c r="CW530" s="4"/>
      <c r="CX530" s="4"/>
      <c r="CY530" s="4"/>
      <c r="CZ530" s="4"/>
      <c r="DA530" s="4"/>
      <c r="DB530" s="4"/>
      <c r="DC530" s="4"/>
      <c r="DD530" s="4"/>
      <c r="DE530" s="4"/>
      <c r="DF530" s="4"/>
      <c r="DG530" s="4"/>
      <c r="DH530" s="4"/>
      <c r="DI530" s="4"/>
      <c r="DJ530" s="4"/>
      <c r="DK530" s="4"/>
      <c r="DL530" s="4"/>
      <c r="DM530" s="4"/>
      <c r="DN530" s="4"/>
      <c r="DO530" s="4"/>
      <c r="DP530" s="4"/>
      <c r="DQ530" s="4"/>
      <c r="DR530" s="4"/>
      <c r="DS530" s="4"/>
    </row>
    <row r="531">
      <c r="A531" s="9">
        <f>IFERROR(__xludf.DUMMYFUNCTION("""COMPUTED_VALUE"""),45597.0)</f>
        <v>45597</v>
      </c>
      <c r="B531" s="6" t="str">
        <f>IFERROR(__xludf.DUMMYFUNCTION("""COMPUTED_VALUE"""),"Car Insurance")</f>
        <v>Car Insurance</v>
      </c>
      <c r="C531" s="7">
        <f>IFERROR(__xludf.DUMMYFUNCTION("""COMPUTED_VALUE"""),35750.5)</f>
        <v>35750.5</v>
      </c>
      <c r="D531" s="6" t="str">
        <f>IFERROR(__xludf.DUMMYFUNCTION("""COMPUTED_VALUE"""),"Car Expenses")</f>
        <v>Car Expenses</v>
      </c>
      <c r="E531" s="6" t="str">
        <f>IFERROR(__xludf.DUMMYFUNCTION("""COMPUTED_VALUE"""),"Credit Card")</f>
        <v>Credit Card</v>
      </c>
      <c r="F531" s="6" t="s">
        <v>9</v>
      </c>
      <c r="G531" s="8" t="str">
        <f t="shared" si="1"/>
        <v>202411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  <c r="CD531" s="4"/>
      <c r="CE531" s="4"/>
      <c r="CF531" s="4"/>
      <c r="CG531" s="4"/>
      <c r="CH531" s="4"/>
      <c r="CI531" s="4"/>
      <c r="CJ531" s="4"/>
      <c r="CK531" s="4"/>
      <c r="CL531" s="4"/>
      <c r="CM531" s="4"/>
      <c r="CN531" s="4"/>
      <c r="CO531" s="4"/>
      <c r="CP531" s="4"/>
      <c r="CQ531" s="4"/>
      <c r="CR531" s="4"/>
      <c r="CS531" s="4"/>
      <c r="CT531" s="4"/>
      <c r="CU531" s="4"/>
      <c r="CV531" s="4"/>
      <c r="CW531" s="4"/>
      <c r="CX531" s="4"/>
      <c r="CY531" s="4"/>
      <c r="CZ531" s="4"/>
      <c r="DA531" s="4"/>
      <c r="DB531" s="4"/>
      <c r="DC531" s="4"/>
      <c r="DD531" s="4"/>
      <c r="DE531" s="4"/>
      <c r="DF531" s="4"/>
      <c r="DG531" s="4"/>
      <c r="DH531" s="4"/>
      <c r="DI531" s="4"/>
      <c r="DJ531" s="4"/>
      <c r="DK531" s="4"/>
      <c r="DL531" s="4"/>
      <c r="DM531" s="4"/>
      <c r="DN531" s="4"/>
      <c r="DO531" s="4"/>
      <c r="DP531" s="4"/>
      <c r="DQ531" s="4"/>
      <c r="DR531" s="4"/>
      <c r="DS531" s="4"/>
    </row>
    <row r="532">
      <c r="A532" s="9">
        <f>IFERROR(__xludf.DUMMYFUNCTION("""COMPUTED_VALUE"""),45597.0)</f>
        <v>45597</v>
      </c>
      <c r="B532" s="6" t="str">
        <f>IFERROR(__xludf.DUMMYFUNCTION("""COMPUTED_VALUE"""),"Home Goods")</f>
        <v>Home Goods</v>
      </c>
      <c r="C532" s="7">
        <f>IFERROR(__xludf.DUMMYFUNCTION("""COMPUTED_VALUE"""),2754.5)</f>
        <v>2754.5</v>
      </c>
      <c r="D532" s="6" t="str">
        <f>IFERROR(__xludf.DUMMYFUNCTION("""COMPUTED_VALUE"""),"Home Goods &amp; Utilities")</f>
        <v>Home Goods &amp; Utilities</v>
      </c>
      <c r="E532" s="6" t="str">
        <f>IFERROR(__xludf.DUMMYFUNCTION("""COMPUTED_VALUE"""),"Credit Card")</f>
        <v>Credit Card</v>
      </c>
      <c r="F532" s="6" t="s">
        <v>8</v>
      </c>
      <c r="G532" s="8" t="str">
        <f t="shared" si="1"/>
        <v>202411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  <c r="CD532" s="4"/>
      <c r="CE532" s="4"/>
      <c r="CF532" s="4"/>
      <c r="CG532" s="4"/>
      <c r="CH532" s="4"/>
      <c r="CI532" s="4"/>
      <c r="CJ532" s="4"/>
      <c r="CK532" s="4"/>
      <c r="CL532" s="4"/>
      <c r="CM532" s="4"/>
      <c r="CN532" s="4"/>
      <c r="CO532" s="4"/>
      <c r="CP532" s="4"/>
      <c r="CQ532" s="4"/>
      <c r="CR532" s="4"/>
      <c r="CS532" s="4"/>
      <c r="CT532" s="4"/>
      <c r="CU532" s="4"/>
      <c r="CV532" s="4"/>
      <c r="CW532" s="4"/>
      <c r="CX532" s="4"/>
      <c r="CY532" s="4"/>
      <c r="CZ532" s="4"/>
      <c r="DA532" s="4"/>
      <c r="DB532" s="4"/>
      <c r="DC532" s="4"/>
      <c r="DD532" s="4"/>
      <c r="DE532" s="4"/>
      <c r="DF532" s="4"/>
      <c r="DG532" s="4"/>
      <c r="DH532" s="4"/>
      <c r="DI532" s="4"/>
      <c r="DJ532" s="4"/>
      <c r="DK532" s="4"/>
      <c r="DL532" s="4"/>
      <c r="DM532" s="4"/>
      <c r="DN532" s="4"/>
      <c r="DO532" s="4"/>
      <c r="DP532" s="4"/>
      <c r="DQ532" s="4"/>
      <c r="DR532" s="4"/>
      <c r="DS532" s="4"/>
    </row>
    <row r="533">
      <c r="A533" s="9">
        <f>IFERROR(__xludf.DUMMYFUNCTION("""COMPUTED_VALUE"""),45597.0)</f>
        <v>45597</v>
      </c>
      <c r="B533" s="6" t="str">
        <f>IFERROR(__xludf.DUMMYFUNCTION("""COMPUTED_VALUE"""),"Stationery / Books")</f>
        <v>Stationery / Books</v>
      </c>
      <c r="C533" s="7">
        <f>IFERROR(__xludf.DUMMYFUNCTION("""COMPUTED_VALUE"""),3878.0)</f>
        <v>3878</v>
      </c>
      <c r="D533" s="6" t="str">
        <f>IFERROR(__xludf.DUMMYFUNCTION("""COMPUTED_VALUE"""),"Education")</f>
        <v>Education</v>
      </c>
      <c r="E533" s="6" t="str">
        <f>IFERROR(__xludf.DUMMYFUNCTION("""COMPUTED_VALUE"""),"Credit Card")</f>
        <v>Credit Card</v>
      </c>
      <c r="F533" s="6" t="s">
        <v>11</v>
      </c>
      <c r="G533" s="8" t="str">
        <f t="shared" si="1"/>
        <v>202411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  <c r="CD533" s="4"/>
      <c r="CE533" s="4"/>
      <c r="CF533" s="4"/>
      <c r="CG533" s="4"/>
      <c r="CH533" s="4"/>
      <c r="CI533" s="4"/>
      <c r="CJ533" s="4"/>
      <c r="CK533" s="4"/>
      <c r="CL533" s="4"/>
      <c r="CM533" s="4"/>
      <c r="CN533" s="4"/>
      <c r="CO533" s="4"/>
      <c r="CP533" s="4"/>
      <c r="CQ533" s="4"/>
      <c r="CR533" s="4"/>
      <c r="CS533" s="4"/>
      <c r="CT533" s="4"/>
      <c r="CU533" s="4"/>
      <c r="CV533" s="4"/>
      <c r="CW533" s="4"/>
      <c r="CX533" s="4"/>
      <c r="CY533" s="4"/>
      <c r="CZ533" s="4"/>
      <c r="DA533" s="4"/>
      <c r="DB533" s="4"/>
      <c r="DC533" s="4"/>
      <c r="DD533" s="4"/>
      <c r="DE533" s="4"/>
      <c r="DF533" s="4"/>
      <c r="DG533" s="4"/>
      <c r="DH533" s="4"/>
      <c r="DI533" s="4"/>
      <c r="DJ533" s="4"/>
      <c r="DK533" s="4"/>
      <c r="DL533" s="4"/>
      <c r="DM533" s="4"/>
      <c r="DN533" s="4"/>
      <c r="DO533" s="4"/>
      <c r="DP533" s="4"/>
      <c r="DQ533" s="4"/>
      <c r="DR533" s="4"/>
      <c r="DS533" s="4"/>
    </row>
    <row r="534">
      <c r="A534" s="9">
        <f>IFERROR(__xludf.DUMMYFUNCTION("""COMPUTED_VALUE"""),45597.0)</f>
        <v>45597</v>
      </c>
      <c r="B534" s="6" t="str">
        <f>IFERROR(__xludf.DUMMYFUNCTION("""COMPUTED_VALUE"""),"Water Bill (AySA)")</f>
        <v>Water Bill (AySA)</v>
      </c>
      <c r="C534" s="7">
        <f>IFERROR(__xludf.DUMMYFUNCTION("""COMPUTED_VALUE"""),547.5)</f>
        <v>547.5</v>
      </c>
      <c r="D534" s="6" t="str">
        <f>IFERROR(__xludf.DUMMYFUNCTION("""COMPUTED_VALUE"""),"Basic Services")</f>
        <v>Basic Services</v>
      </c>
      <c r="E534" s="6" t="str">
        <f>IFERROR(__xludf.DUMMYFUNCTION("""COMPUTED_VALUE"""),"Credit Card")</f>
        <v>Credit Card</v>
      </c>
      <c r="F534" s="6" t="s">
        <v>13</v>
      </c>
      <c r="G534" s="8" t="str">
        <f t="shared" si="1"/>
        <v>202411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  <c r="CD534" s="4"/>
      <c r="CE534" s="4"/>
      <c r="CF534" s="4"/>
      <c r="CG534" s="4"/>
      <c r="CH534" s="4"/>
      <c r="CI534" s="4"/>
      <c r="CJ534" s="4"/>
      <c r="CK534" s="4"/>
      <c r="CL534" s="4"/>
      <c r="CM534" s="4"/>
      <c r="CN534" s="4"/>
      <c r="CO534" s="4"/>
      <c r="CP534" s="4"/>
      <c r="CQ534" s="4"/>
      <c r="CR534" s="4"/>
      <c r="CS534" s="4"/>
      <c r="CT534" s="4"/>
      <c r="CU534" s="4"/>
      <c r="CV534" s="4"/>
      <c r="CW534" s="4"/>
      <c r="CX534" s="4"/>
      <c r="CY534" s="4"/>
      <c r="CZ534" s="4"/>
      <c r="DA534" s="4"/>
      <c r="DB534" s="4"/>
      <c r="DC534" s="4"/>
      <c r="DD534" s="4"/>
      <c r="DE534" s="4"/>
      <c r="DF534" s="4"/>
      <c r="DG534" s="4"/>
      <c r="DH534" s="4"/>
      <c r="DI534" s="4"/>
      <c r="DJ534" s="4"/>
      <c r="DK534" s="4"/>
      <c r="DL534" s="4"/>
      <c r="DM534" s="4"/>
      <c r="DN534" s="4"/>
      <c r="DO534" s="4"/>
      <c r="DP534" s="4"/>
      <c r="DQ534" s="4"/>
      <c r="DR534" s="4"/>
      <c r="DS534" s="4"/>
    </row>
    <row r="535">
      <c r="A535" s="9">
        <f>IFERROR(__xludf.DUMMYFUNCTION("""COMPUTED_VALUE"""),45597.0)</f>
        <v>45597</v>
      </c>
      <c r="B535" s="6" t="str">
        <f>IFERROR(__xludf.DUMMYFUNCTION("""COMPUTED_VALUE"""),"Groceries")</f>
        <v>Groceries</v>
      </c>
      <c r="C535" s="7">
        <f>IFERROR(__xludf.DUMMYFUNCTION("""COMPUTED_VALUE"""),3000.0)</f>
        <v>3000</v>
      </c>
      <c r="D535" s="6" t="str">
        <f>IFERROR(__xludf.DUMMYFUNCTION("""COMPUTED_VALUE"""),"Groceries")</f>
        <v>Groceries</v>
      </c>
      <c r="E535" s="6" t="str">
        <f>IFERROR(__xludf.DUMMYFUNCTION("""COMPUTED_VALUE"""),"Virtual Wallet")</f>
        <v>Virtual Wallet</v>
      </c>
      <c r="F535" s="6" t="s">
        <v>7</v>
      </c>
      <c r="G535" s="8" t="str">
        <f t="shared" si="1"/>
        <v>202411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  <c r="CD535" s="4"/>
      <c r="CE535" s="4"/>
      <c r="CF535" s="4"/>
      <c r="CG535" s="4"/>
      <c r="CH535" s="4"/>
      <c r="CI535" s="4"/>
      <c r="CJ535" s="4"/>
      <c r="CK535" s="4"/>
      <c r="CL535" s="4"/>
      <c r="CM535" s="4"/>
      <c r="CN535" s="4"/>
      <c r="CO535" s="4"/>
      <c r="CP535" s="4"/>
      <c r="CQ535" s="4"/>
      <c r="CR535" s="4"/>
      <c r="CS535" s="4"/>
      <c r="CT535" s="4"/>
      <c r="CU535" s="4"/>
      <c r="CV535" s="4"/>
      <c r="CW535" s="4"/>
      <c r="CX535" s="4"/>
      <c r="CY535" s="4"/>
      <c r="CZ535" s="4"/>
      <c r="DA535" s="4"/>
      <c r="DB535" s="4"/>
      <c r="DC535" s="4"/>
      <c r="DD535" s="4"/>
      <c r="DE535" s="4"/>
      <c r="DF535" s="4"/>
      <c r="DG535" s="4"/>
      <c r="DH535" s="4"/>
      <c r="DI535" s="4"/>
      <c r="DJ535" s="4"/>
      <c r="DK535" s="4"/>
      <c r="DL535" s="4"/>
      <c r="DM535" s="4"/>
      <c r="DN535" s="4"/>
      <c r="DO535" s="4"/>
      <c r="DP535" s="4"/>
      <c r="DQ535" s="4"/>
      <c r="DR535" s="4"/>
      <c r="DS535" s="4"/>
    </row>
    <row r="536">
      <c r="A536" s="9">
        <f>IFERROR(__xludf.DUMMYFUNCTION("""COMPUTED_VALUE"""),45597.0)</f>
        <v>45597</v>
      </c>
      <c r="B536" s="6" t="str">
        <f>IFERROR(__xludf.DUMMYFUNCTION("""COMPUTED_VALUE"""),"Groceries")</f>
        <v>Groceries</v>
      </c>
      <c r="C536" s="7">
        <f>IFERROR(__xludf.DUMMYFUNCTION("""COMPUTED_VALUE"""),41.51)</f>
        <v>41.51</v>
      </c>
      <c r="D536" s="6" t="str">
        <f>IFERROR(__xludf.DUMMYFUNCTION("""COMPUTED_VALUE"""),"Groceries")</f>
        <v>Groceries</v>
      </c>
      <c r="E536" s="6" t="str">
        <f>IFERROR(__xludf.DUMMYFUNCTION("""COMPUTED_VALUE"""),"Virtual Wallet")</f>
        <v>Virtual Wallet</v>
      </c>
      <c r="F536" s="6" t="s">
        <v>7</v>
      </c>
      <c r="G536" s="8" t="str">
        <f t="shared" si="1"/>
        <v>202411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  <c r="CD536" s="4"/>
      <c r="CE536" s="4"/>
      <c r="CF536" s="4"/>
      <c r="CG536" s="4"/>
      <c r="CH536" s="4"/>
      <c r="CI536" s="4"/>
      <c r="CJ536" s="4"/>
      <c r="CK536" s="4"/>
      <c r="CL536" s="4"/>
      <c r="CM536" s="4"/>
      <c r="CN536" s="4"/>
      <c r="CO536" s="4"/>
      <c r="CP536" s="4"/>
      <c r="CQ536" s="4"/>
      <c r="CR536" s="4"/>
      <c r="CS536" s="4"/>
      <c r="CT536" s="4"/>
      <c r="CU536" s="4"/>
      <c r="CV536" s="4"/>
      <c r="CW536" s="4"/>
      <c r="CX536" s="4"/>
      <c r="CY536" s="4"/>
      <c r="CZ536" s="4"/>
      <c r="DA536" s="4"/>
      <c r="DB536" s="4"/>
      <c r="DC536" s="4"/>
      <c r="DD536" s="4"/>
      <c r="DE536" s="4"/>
      <c r="DF536" s="4"/>
      <c r="DG536" s="4"/>
      <c r="DH536" s="4"/>
      <c r="DI536" s="4"/>
      <c r="DJ536" s="4"/>
      <c r="DK536" s="4"/>
      <c r="DL536" s="4"/>
      <c r="DM536" s="4"/>
      <c r="DN536" s="4"/>
      <c r="DO536" s="4"/>
      <c r="DP536" s="4"/>
      <c r="DQ536" s="4"/>
      <c r="DR536" s="4"/>
      <c r="DS536" s="4"/>
    </row>
    <row r="537">
      <c r="A537" s="9">
        <f>IFERROR(__xludf.DUMMYFUNCTION("""COMPUTED_VALUE"""),45597.0)</f>
        <v>45597</v>
      </c>
      <c r="B537" s="6" t="str">
        <f>IFERROR(__xludf.DUMMYFUNCTION("""COMPUTED_VALUE"""),"Rent &amp; Building Expenses")</f>
        <v>Rent &amp; Building Expenses</v>
      </c>
      <c r="C537" s="7">
        <f>IFERROR(__xludf.DUMMYFUNCTION("""COMPUTED_VALUE"""),240500.0)</f>
        <v>240500</v>
      </c>
      <c r="D537" s="6" t="str">
        <f>IFERROR(__xludf.DUMMYFUNCTION("""COMPUTED_VALUE"""),"Rent &amp; Utilities")</f>
        <v>Rent &amp; Utilities</v>
      </c>
      <c r="E537" s="6" t="str">
        <f>IFERROR(__xludf.DUMMYFUNCTION("""COMPUTED_VALUE"""),"Bank Transfer")</f>
        <v>Bank Transfer</v>
      </c>
      <c r="F537" s="6" t="s">
        <v>13</v>
      </c>
      <c r="G537" s="8" t="str">
        <f t="shared" si="1"/>
        <v>202411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  <c r="CD537" s="4"/>
      <c r="CE537" s="4"/>
      <c r="CF537" s="4"/>
      <c r="CG537" s="4"/>
      <c r="CH537" s="4"/>
      <c r="CI537" s="4"/>
      <c r="CJ537" s="4"/>
      <c r="CK537" s="4"/>
      <c r="CL537" s="4"/>
      <c r="CM537" s="4"/>
      <c r="CN537" s="4"/>
      <c r="CO537" s="4"/>
      <c r="CP537" s="4"/>
      <c r="CQ537" s="4"/>
      <c r="CR537" s="4"/>
      <c r="CS537" s="4"/>
      <c r="CT537" s="4"/>
      <c r="CU537" s="4"/>
      <c r="CV537" s="4"/>
      <c r="CW537" s="4"/>
      <c r="CX537" s="4"/>
      <c r="CY537" s="4"/>
      <c r="CZ537" s="4"/>
      <c r="DA537" s="4"/>
      <c r="DB537" s="4"/>
      <c r="DC537" s="4"/>
      <c r="DD537" s="4"/>
      <c r="DE537" s="4"/>
      <c r="DF537" s="4"/>
      <c r="DG537" s="4"/>
      <c r="DH537" s="4"/>
      <c r="DI537" s="4"/>
      <c r="DJ537" s="4"/>
      <c r="DK537" s="4"/>
      <c r="DL537" s="4"/>
      <c r="DM537" s="4"/>
      <c r="DN537" s="4"/>
      <c r="DO537" s="4"/>
      <c r="DP537" s="4"/>
      <c r="DQ537" s="4"/>
      <c r="DR537" s="4"/>
      <c r="DS537" s="4"/>
    </row>
    <row r="538">
      <c r="A538" s="9">
        <f>IFERROR(__xludf.DUMMYFUNCTION("""COMPUTED_VALUE"""),45597.0)</f>
        <v>45597</v>
      </c>
      <c r="B538" s="6" t="str">
        <f>IFERROR(__xludf.DUMMYFUNCTION("""COMPUTED_VALUE"""),"Restaurant")</f>
        <v>Restaurant</v>
      </c>
      <c r="C538" s="7">
        <f>IFERROR(__xludf.DUMMYFUNCTION("""COMPUTED_VALUE"""),35.0)</f>
        <v>35</v>
      </c>
      <c r="D538" s="6" t="str">
        <f>IFERROR(__xludf.DUMMYFUNCTION("""COMPUTED_VALUE"""),"Restaurant / Café")</f>
        <v>Restaurant / Café</v>
      </c>
      <c r="E538" s="6" t="str">
        <f>IFERROR(__xludf.DUMMYFUNCTION("""COMPUTED_VALUE"""),"Virtual Wallet")</f>
        <v>Virtual Wallet</v>
      </c>
      <c r="F538" s="6" t="s">
        <v>14</v>
      </c>
      <c r="G538" s="8" t="str">
        <f t="shared" si="1"/>
        <v>202411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  <c r="CD538" s="4"/>
      <c r="CE538" s="4"/>
      <c r="CF538" s="4"/>
      <c r="CG538" s="4"/>
      <c r="CH538" s="4"/>
      <c r="CI538" s="4"/>
      <c r="CJ538" s="4"/>
      <c r="CK538" s="4"/>
      <c r="CL538" s="4"/>
      <c r="CM538" s="4"/>
      <c r="CN538" s="4"/>
      <c r="CO538" s="4"/>
      <c r="CP538" s="4"/>
      <c r="CQ538" s="4"/>
      <c r="CR538" s="4"/>
      <c r="CS538" s="4"/>
      <c r="CT538" s="4"/>
      <c r="CU538" s="4"/>
      <c r="CV538" s="4"/>
      <c r="CW538" s="4"/>
      <c r="CX538" s="4"/>
      <c r="CY538" s="4"/>
      <c r="CZ538" s="4"/>
      <c r="DA538" s="4"/>
      <c r="DB538" s="4"/>
      <c r="DC538" s="4"/>
      <c r="DD538" s="4"/>
      <c r="DE538" s="4"/>
      <c r="DF538" s="4"/>
      <c r="DG538" s="4"/>
      <c r="DH538" s="4"/>
      <c r="DI538" s="4"/>
      <c r="DJ538" s="4"/>
      <c r="DK538" s="4"/>
      <c r="DL538" s="4"/>
      <c r="DM538" s="4"/>
      <c r="DN538" s="4"/>
      <c r="DO538" s="4"/>
      <c r="DP538" s="4"/>
      <c r="DQ538" s="4"/>
      <c r="DR538" s="4"/>
      <c r="DS538" s="4"/>
    </row>
    <row r="539">
      <c r="A539" s="9">
        <f>IFERROR(__xludf.DUMMYFUNCTION("""COMPUTED_VALUE"""),45598.0)</f>
        <v>45598</v>
      </c>
      <c r="B539" s="6" t="str">
        <f>IFERROR(__xludf.DUMMYFUNCTION("""COMPUTED_VALUE"""),"Doctor Visit")</f>
        <v>Doctor Visit</v>
      </c>
      <c r="C539" s="7">
        <f>IFERROR(__xludf.DUMMYFUNCTION("""COMPUTED_VALUE"""),4700.0)</f>
        <v>4700</v>
      </c>
      <c r="D539" s="6" t="str">
        <f>IFERROR(__xludf.DUMMYFUNCTION("""COMPUTED_VALUE"""),"Healthcare")</f>
        <v>Healthcare</v>
      </c>
      <c r="E539" s="6" t="str">
        <f>IFERROR(__xludf.DUMMYFUNCTION("""COMPUTED_VALUE"""),"Virtual Wallet")</f>
        <v>Virtual Wallet</v>
      </c>
      <c r="F539" s="6" t="s">
        <v>15</v>
      </c>
      <c r="G539" s="8" t="str">
        <f t="shared" si="1"/>
        <v>202411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  <c r="CD539" s="4"/>
      <c r="CE539" s="4"/>
      <c r="CF539" s="4"/>
      <c r="CG539" s="4"/>
      <c r="CH539" s="4"/>
      <c r="CI539" s="4"/>
      <c r="CJ539" s="4"/>
      <c r="CK539" s="4"/>
      <c r="CL539" s="4"/>
      <c r="CM539" s="4"/>
      <c r="CN539" s="4"/>
      <c r="CO539" s="4"/>
      <c r="CP539" s="4"/>
      <c r="CQ539" s="4"/>
      <c r="CR539" s="4"/>
      <c r="CS539" s="4"/>
      <c r="CT539" s="4"/>
      <c r="CU539" s="4"/>
      <c r="CV539" s="4"/>
      <c r="CW539" s="4"/>
      <c r="CX539" s="4"/>
      <c r="CY539" s="4"/>
      <c r="CZ539" s="4"/>
      <c r="DA539" s="4"/>
      <c r="DB539" s="4"/>
      <c r="DC539" s="4"/>
      <c r="DD539" s="4"/>
      <c r="DE539" s="4"/>
      <c r="DF539" s="4"/>
      <c r="DG539" s="4"/>
      <c r="DH539" s="4"/>
      <c r="DI539" s="4"/>
      <c r="DJ539" s="4"/>
      <c r="DK539" s="4"/>
      <c r="DL539" s="4"/>
      <c r="DM539" s="4"/>
      <c r="DN539" s="4"/>
      <c r="DO539" s="4"/>
      <c r="DP539" s="4"/>
      <c r="DQ539" s="4"/>
      <c r="DR539" s="4"/>
      <c r="DS539" s="4"/>
    </row>
    <row r="540">
      <c r="A540" s="9">
        <f>IFERROR(__xludf.DUMMYFUNCTION("""COMPUTED_VALUE"""),45598.0)</f>
        <v>45598</v>
      </c>
      <c r="B540" s="6" t="str">
        <f>IFERROR(__xludf.DUMMYFUNCTION("""COMPUTED_VALUE"""),"Groceries")</f>
        <v>Groceries</v>
      </c>
      <c r="C540" s="7">
        <f>IFERROR(__xludf.DUMMYFUNCTION("""COMPUTED_VALUE"""),7025.0)</f>
        <v>7025</v>
      </c>
      <c r="D540" s="6" t="str">
        <f>IFERROR(__xludf.DUMMYFUNCTION("""COMPUTED_VALUE"""),"Groceries")</f>
        <v>Groceries</v>
      </c>
      <c r="E540" s="6" t="str">
        <f>IFERROR(__xludf.DUMMYFUNCTION("""COMPUTED_VALUE"""),"Split Payment")</f>
        <v>Split Payment</v>
      </c>
      <c r="F540" s="6" t="s">
        <v>7</v>
      </c>
      <c r="G540" s="8" t="str">
        <f t="shared" si="1"/>
        <v>202411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  <c r="CD540" s="4"/>
      <c r="CE540" s="4"/>
      <c r="CF540" s="4"/>
      <c r="CG540" s="4"/>
      <c r="CH540" s="4"/>
      <c r="CI540" s="4"/>
      <c r="CJ540" s="4"/>
      <c r="CK540" s="4"/>
      <c r="CL540" s="4"/>
      <c r="CM540" s="4"/>
      <c r="CN540" s="4"/>
      <c r="CO540" s="4"/>
      <c r="CP540" s="4"/>
      <c r="CQ540" s="4"/>
      <c r="CR540" s="4"/>
      <c r="CS540" s="4"/>
      <c r="CT540" s="4"/>
      <c r="CU540" s="4"/>
      <c r="CV540" s="4"/>
      <c r="CW540" s="4"/>
      <c r="CX540" s="4"/>
      <c r="CY540" s="4"/>
      <c r="CZ540" s="4"/>
      <c r="DA540" s="4"/>
      <c r="DB540" s="4"/>
      <c r="DC540" s="4"/>
      <c r="DD540" s="4"/>
      <c r="DE540" s="4"/>
      <c r="DF540" s="4"/>
      <c r="DG540" s="4"/>
      <c r="DH540" s="4"/>
      <c r="DI540" s="4"/>
      <c r="DJ540" s="4"/>
      <c r="DK540" s="4"/>
      <c r="DL540" s="4"/>
      <c r="DM540" s="4"/>
      <c r="DN540" s="4"/>
      <c r="DO540" s="4"/>
      <c r="DP540" s="4"/>
      <c r="DQ540" s="4"/>
      <c r="DR540" s="4"/>
      <c r="DS540" s="4"/>
    </row>
    <row r="541">
      <c r="A541" s="9">
        <f>IFERROR(__xludf.DUMMYFUNCTION("""COMPUTED_VALUE"""),45598.0)</f>
        <v>45598</v>
      </c>
      <c r="B541" s="6" t="str">
        <f>IFERROR(__xludf.DUMMYFUNCTION("""COMPUTED_VALUE"""),"Groceries")</f>
        <v>Groceries</v>
      </c>
      <c r="C541" s="7">
        <f>IFERROR(__xludf.DUMMYFUNCTION("""COMPUTED_VALUE"""),292.0)</f>
        <v>292</v>
      </c>
      <c r="D541" s="6" t="str">
        <f>IFERROR(__xludf.DUMMYFUNCTION("""COMPUTED_VALUE"""),"Groceries")</f>
        <v>Groceries</v>
      </c>
      <c r="E541" s="6" t="str">
        <f>IFERROR(__xludf.DUMMYFUNCTION("""COMPUTED_VALUE"""),"Virtual Wallet")</f>
        <v>Virtual Wallet</v>
      </c>
      <c r="F541" s="6" t="s">
        <v>7</v>
      </c>
      <c r="G541" s="8" t="str">
        <f t="shared" si="1"/>
        <v>202411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  <c r="CD541" s="4"/>
      <c r="CE541" s="4"/>
      <c r="CF541" s="4"/>
      <c r="CG541" s="4"/>
      <c r="CH541" s="4"/>
      <c r="CI541" s="4"/>
      <c r="CJ541" s="4"/>
      <c r="CK541" s="4"/>
      <c r="CL541" s="4"/>
      <c r="CM541" s="4"/>
      <c r="CN541" s="4"/>
      <c r="CO541" s="4"/>
      <c r="CP541" s="4"/>
      <c r="CQ541" s="4"/>
      <c r="CR541" s="4"/>
      <c r="CS541" s="4"/>
      <c r="CT541" s="4"/>
      <c r="CU541" s="4"/>
      <c r="CV541" s="4"/>
      <c r="CW541" s="4"/>
      <c r="CX541" s="4"/>
      <c r="CY541" s="4"/>
      <c r="CZ541" s="4"/>
      <c r="DA541" s="4"/>
      <c r="DB541" s="4"/>
      <c r="DC541" s="4"/>
      <c r="DD541" s="4"/>
      <c r="DE541" s="4"/>
      <c r="DF541" s="4"/>
      <c r="DG541" s="4"/>
      <c r="DH541" s="4"/>
      <c r="DI541" s="4"/>
      <c r="DJ541" s="4"/>
      <c r="DK541" s="4"/>
      <c r="DL541" s="4"/>
      <c r="DM541" s="4"/>
      <c r="DN541" s="4"/>
      <c r="DO541" s="4"/>
      <c r="DP541" s="4"/>
      <c r="DQ541" s="4"/>
      <c r="DR541" s="4"/>
      <c r="DS541" s="4"/>
    </row>
    <row r="542">
      <c r="A542" s="9">
        <f>IFERROR(__xludf.DUMMYFUNCTION("""COMPUTED_VALUE"""),45598.0)</f>
        <v>45598</v>
      </c>
      <c r="B542" s="6" t="str">
        <f>IFERROR(__xludf.DUMMYFUNCTION("""COMPUTED_VALUE"""),"Groceries")</f>
        <v>Groceries</v>
      </c>
      <c r="C542" s="7">
        <f>IFERROR(__xludf.DUMMYFUNCTION("""COMPUTED_VALUE"""),222.0)</f>
        <v>222</v>
      </c>
      <c r="D542" s="6" t="str">
        <f>IFERROR(__xludf.DUMMYFUNCTION("""COMPUTED_VALUE"""),"Lunch Out")</f>
        <v>Lunch Out</v>
      </c>
      <c r="E542" s="6" t="str">
        <f>IFERROR(__xludf.DUMMYFUNCTION("""COMPUTED_VALUE"""),"Virtual Wallet")</f>
        <v>Virtual Wallet</v>
      </c>
      <c r="F542" s="6" t="s">
        <v>14</v>
      </c>
      <c r="G542" s="8" t="str">
        <f t="shared" si="1"/>
        <v>202411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  <c r="CD542" s="4"/>
      <c r="CE542" s="4"/>
      <c r="CF542" s="4"/>
      <c r="CG542" s="4"/>
      <c r="CH542" s="4"/>
      <c r="CI542" s="4"/>
      <c r="CJ542" s="4"/>
      <c r="CK542" s="4"/>
      <c r="CL542" s="4"/>
      <c r="CM542" s="4"/>
      <c r="CN542" s="4"/>
      <c r="CO542" s="4"/>
      <c r="CP542" s="4"/>
      <c r="CQ542" s="4"/>
      <c r="CR542" s="4"/>
      <c r="CS542" s="4"/>
      <c r="CT542" s="4"/>
      <c r="CU542" s="4"/>
      <c r="CV542" s="4"/>
      <c r="CW542" s="4"/>
      <c r="CX542" s="4"/>
      <c r="CY542" s="4"/>
      <c r="CZ542" s="4"/>
      <c r="DA542" s="4"/>
      <c r="DB542" s="4"/>
      <c r="DC542" s="4"/>
      <c r="DD542" s="4"/>
      <c r="DE542" s="4"/>
      <c r="DF542" s="4"/>
      <c r="DG542" s="4"/>
      <c r="DH542" s="4"/>
      <c r="DI542" s="4"/>
      <c r="DJ542" s="4"/>
      <c r="DK542" s="4"/>
      <c r="DL542" s="4"/>
      <c r="DM542" s="4"/>
      <c r="DN542" s="4"/>
      <c r="DO542" s="4"/>
      <c r="DP542" s="4"/>
      <c r="DQ542" s="4"/>
      <c r="DR542" s="4"/>
      <c r="DS542" s="4"/>
    </row>
    <row r="543">
      <c r="A543" s="9">
        <f>IFERROR(__xludf.DUMMYFUNCTION("""COMPUTED_VALUE"""),45599.0)</f>
        <v>45599</v>
      </c>
      <c r="B543" s="6" t="str">
        <f>IFERROR(__xludf.DUMMYFUNCTION("""COMPUTED_VALUE"""),"Home Goods")</f>
        <v>Home Goods</v>
      </c>
      <c r="C543" s="7">
        <f>IFERROR(__xludf.DUMMYFUNCTION("""COMPUTED_VALUE"""),6000.0)</f>
        <v>6000</v>
      </c>
      <c r="D543" s="6" t="str">
        <f>IFERROR(__xludf.DUMMYFUNCTION("""COMPUTED_VALUE"""),"Home Goods &amp; Utilities")</f>
        <v>Home Goods &amp; Utilities</v>
      </c>
      <c r="E543" s="6" t="str">
        <f>IFERROR(__xludf.DUMMYFUNCTION("""COMPUTED_VALUE"""),"Virtual Wallet")</f>
        <v>Virtual Wallet</v>
      </c>
      <c r="F543" s="6" t="s">
        <v>8</v>
      </c>
      <c r="G543" s="8" t="str">
        <f t="shared" si="1"/>
        <v>202411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  <c r="CD543" s="4"/>
      <c r="CE543" s="4"/>
      <c r="CF543" s="4"/>
      <c r="CG543" s="4"/>
      <c r="CH543" s="4"/>
      <c r="CI543" s="4"/>
      <c r="CJ543" s="4"/>
      <c r="CK543" s="4"/>
      <c r="CL543" s="4"/>
      <c r="CM543" s="4"/>
      <c r="CN543" s="4"/>
      <c r="CO543" s="4"/>
      <c r="CP543" s="4"/>
      <c r="CQ543" s="4"/>
      <c r="CR543" s="4"/>
      <c r="CS543" s="4"/>
      <c r="CT543" s="4"/>
      <c r="CU543" s="4"/>
      <c r="CV543" s="4"/>
      <c r="CW543" s="4"/>
      <c r="CX543" s="4"/>
      <c r="CY543" s="4"/>
      <c r="CZ543" s="4"/>
      <c r="DA543" s="4"/>
      <c r="DB543" s="4"/>
      <c r="DC543" s="4"/>
      <c r="DD543" s="4"/>
      <c r="DE543" s="4"/>
      <c r="DF543" s="4"/>
      <c r="DG543" s="4"/>
      <c r="DH543" s="4"/>
      <c r="DI543" s="4"/>
      <c r="DJ543" s="4"/>
      <c r="DK543" s="4"/>
      <c r="DL543" s="4"/>
      <c r="DM543" s="4"/>
      <c r="DN543" s="4"/>
      <c r="DO543" s="4"/>
      <c r="DP543" s="4"/>
      <c r="DQ543" s="4"/>
      <c r="DR543" s="4"/>
      <c r="DS543" s="4"/>
    </row>
    <row r="544">
      <c r="A544" s="9">
        <f>IFERROR(__xludf.DUMMYFUNCTION("""COMPUTED_VALUE"""),45599.0)</f>
        <v>45599</v>
      </c>
      <c r="B544" s="6" t="str">
        <f>IFERROR(__xludf.DUMMYFUNCTION("""COMPUTED_VALUE"""),"Home Goods")</f>
        <v>Home Goods</v>
      </c>
      <c r="C544" s="7">
        <f>IFERROR(__xludf.DUMMYFUNCTION("""COMPUTED_VALUE"""),7000.0)</f>
        <v>7000</v>
      </c>
      <c r="D544" s="6" t="str">
        <f>IFERROR(__xludf.DUMMYFUNCTION("""COMPUTED_VALUE"""),"Home Goods &amp; Utilities")</f>
        <v>Home Goods &amp; Utilities</v>
      </c>
      <c r="E544" s="6" t="str">
        <f>IFERROR(__xludf.DUMMYFUNCTION("""COMPUTED_VALUE"""),"Virtual Wallet")</f>
        <v>Virtual Wallet</v>
      </c>
      <c r="F544" s="6" t="s">
        <v>8</v>
      </c>
      <c r="G544" s="8" t="str">
        <f t="shared" si="1"/>
        <v>202411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  <c r="CD544" s="4"/>
      <c r="CE544" s="4"/>
      <c r="CF544" s="4"/>
      <c r="CG544" s="4"/>
      <c r="CH544" s="4"/>
      <c r="CI544" s="4"/>
      <c r="CJ544" s="4"/>
      <c r="CK544" s="4"/>
      <c r="CL544" s="4"/>
      <c r="CM544" s="4"/>
      <c r="CN544" s="4"/>
      <c r="CO544" s="4"/>
      <c r="CP544" s="4"/>
      <c r="CQ544" s="4"/>
      <c r="CR544" s="4"/>
      <c r="CS544" s="4"/>
      <c r="CT544" s="4"/>
      <c r="CU544" s="4"/>
      <c r="CV544" s="4"/>
      <c r="CW544" s="4"/>
      <c r="CX544" s="4"/>
      <c r="CY544" s="4"/>
      <c r="CZ544" s="4"/>
      <c r="DA544" s="4"/>
      <c r="DB544" s="4"/>
      <c r="DC544" s="4"/>
      <c r="DD544" s="4"/>
      <c r="DE544" s="4"/>
      <c r="DF544" s="4"/>
      <c r="DG544" s="4"/>
      <c r="DH544" s="4"/>
      <c r="DI544" s="4"/>
      <c r="DJ544" s="4"/>
      <c r="DK544" s="4"/>
      <c r="DL544" s="4"/>
      <c r="DM544" s="4"/>
      <c r="DN544" s="4"/>
      <c r="DO544" s="4"/>
      <c r="DP544" s="4"/>
      <c r="DQ544" s="4"/>
      <c r="DR544" s="4"/>
      <c r="DS544" s="4"/>
    </row>
    <row r="545">
      <c r="A545" s="9">
        <f>IFERROR(__xludf.DUMMYFUNCTION("""COMPUTED_VALUE"""),45599.0)</f>
        <v>45599</v>
      </c>
      <c r="B545" s="6" t="str">
        <f>IFERROR(__xludf.DUMMYFUNCTION("""COMPUTED_VALUE"""),"Recreation")</f>
        <v>Recreation</v>
      </c>
      <c r="C545" s="7">
        <f>IFERROR(__xludf.DUMMYFUNCTION("""COMPUTED_VALUE"""),2300.0)</f>
        <v>2300</v>
      </c>
      <c r="D545" s="6" t="str">
        <f>IFERROR(__xludf.DUMMYFUNCTION("""COMPUTED_VALUE"""),"Recreation")</f>
        <v>Recreation</v>
      </c>
      <c r="E545" s="6" t="str">
        <f>IFERROR(__xludf.DUMMYFUNCTION("""COMPUTED_VALUE"""),"Virtual Wallet")</f>
        <v>Virtual Wallet</v>
      </c>
      <c r="F545" s="6" t="s">
        <v>12</v>
      </c>
      <c r="G545" s="8" t="str">
        <f t="shared" si="1"/>
        <v>202411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  <c r="CD545" s="4"/>
      <c r="CE545" s="4"/>
      <c r="CF545" s="4"/>
      <c r="CG545" s="4"/>
      <c r="CH545" s="4"/>
      <c r="CI545" s="4"/>
      <c r="CJ545" s="4"/>
      <c r="CK545" s="4"/>
      <c r="CL545" s="4"/>
      <c r="CM545" s="4"/>
      <c r="CN545" s="4"/>
      <c r="CO545" s="4"/>
      <c r="CP545" s="4"/>
      <c r="CQ545" s="4"/>
      <c r="CR545" s="4"/>
      <c r="CS545" s="4"/>
      <c r="CT545" s="4"/>
      <c r="CU545" s="4"/>
      <c r="CV545" s="4"/>
      <c r="CW545" s="4"/>
      <c r="CX545" s="4"/>
      <c r="CY545" s="4"/>
      <c r="CZ545" s="4"/>
      <c r="DA545" s="4"/>
      <c r="DB545" s="4"/>
      <c r="DC545" s="4"/>
      <c r="DD545" s="4"/>
      <c r="DE545" s="4"/>
      <c r="DF545" s="4"/>
      <c r="DG545" s="4"/>
      <c r="DH545" s="4"/>
      <c r="DI545" s="4"/>
      <c r="DJ545" s="4"/>
      <c r="DK545" s="4"/>
      <c r="DL545" s="4"/>
      <c r="DM545" s="4"/>
      <c r="DN545" s="4"/>
      <c r="DO545" s="4"/>
      <c r="DP545" s="4"/>
      <c r="DQ545" s="4"/>
      <c r="DR545" s="4"/>
      <c r="DS545" s="4"/>
    </row>
    <row r="546">
      <c r="A546" s="9">
        <f>IFERROR(__xludf.DUMMYFUNCTION("""COMPUTED_VALUE"""),45599.0)</f>
        <v>45599</v>
      </c>
      <c r="B546" s="6" t="str">
        <f>IFERROR(__xludf.DUMMYFUNCTION("""COMPUTED_VALUE"""),"Recreation")</f>
        <v>Recreation</v>
      </c>
      <c r="C546" s="7">
        <f>IFERROR(__xludf.DUMMYFUNCTION("""COMPUTED_VALUE"""),1742.0)</f>
        <v>1742</v>
      </c>
      <c r="D546" s="6" t="str">
        <f>IFERROR(__xludf.DUMMYFUNCTION("""COMPUTED_VALUE"""),"Recreation")</f>
        <v>Recreation</v>
      </c>
      <c r="E546" s="6" t="str">
        <f>IFERROR(__xludf.DUMMYFUNCTION("""COMPUTED_VALUE"""),"Virtual Wallet")</f>
        <v>Virtual Wallet</v>
      </c>
      <c r="F546" s="6" t="s">
        <v>12</v>
      </c>
      <c r="G546" s="8" t="str">
        <f t="shared" si="1"/>
        <v>202411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  <c r="CD546" s="4"/>
      <c r="CE546" s="4"/>
      <c r="CF546" s="4"/>
      <c r="CG546" s="4"/>
      <c r="CH546" s="4"/>
      <c r="CI546" s="4"/>
      <c r="CJ546" s="4"/>
      <c r="CK546" s="4"/>
      <c r="CL546" s="4"/>
      <c r="CM546" s="4"/>
      <c r="CN546" s="4"/>
      <c r="CO546" s="4"/>
      <c r="CP546" s="4"/>
      <c r="CQ546" s="4"/>
      <c r="CR546" s="4"/>
      <c r="CS546" s="4"/>
      <c r="CT546" s="4"/>
      <c r="CU546" s="4"/>
      <c r="CV546" s="4"/>
      <c r="CW546" s="4"/>
      <c r="CX546" s="4"/>
      <c r="CY546" s="4"/>
      <c r="CZ546" s="4"/>
      <c r="DA546" s="4"/>
      <c r="DB546" s="4"/>
      <c r="DC546" s="4"/>
      <c r="DD546" s="4"/>
      <c r="DE546" s="4"/>
      <c r="DF546" s="4"/>
      <c r="DG546" s="4"/>
      <c r="DH546" s="4"/>
      <c r="DI546" s="4"/>
      <c r="DJ546" s="4"/>
      <c r="DK546" s="4"/>
      <c r="DL546" s="4"/>
      <c r="DM546" s="4"/>
      <c r="DN546" s="4"/>
      <c r="DO546" s="4"/>
      <c r="DP546" s="4"/>
      <c r="DQ546" s="4"/>
      <c r="DR546" s="4"/>
      <c r="DS546" s="4"/>
    </row>
    <row r="547">
      <c r="A547" s="9">
        <f>IFERROR(__xludf.DUMMYFUNCTION("""COMPUTED_VALUE"""),45599.0)</f>
        <v>45599</v>
      </c>
      <c r="B547" s="6" t="str">
        <f>IFERROR(__xludf.DUMMYFUNCTION("""COMPUTED_VALUE"""),"Recreation")</f>
        <v>Recreation</v>
      </c>
      <c r="C547" s="7">
        <f>IFERROR(__xludf.DUMMYFUNCTION("""COMPUTED_VALUE"""),2300.0)</f>
        <v>2300</v>
      </c>
      <c r="D547" s="6" t="str">
        <f>IFERROR(__xludf.DUMMYFUNCTION("""COMPUTED_VALUE"""),"Recreation")</f>
        <v>Recreation</v>
      </c>
      <c r="E547" s="6" t="str">
        <f>IFERROR(__xludf.DUMMYFUNCTION("""COMPUTED_VALUE"""),"Virtual Wallet")</f>
        <v>Virtual Wallet</v>
      </c>
      <c r="F547" s="6" t="s">
        <v>12</v>
      </c>
      <c r="G547" s="8" t="str">
        <f t="shared" si="1"/>
        <v>202411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  <c r="CD547" s="4"/>
      <c r="CE547" s="4"/>
      <c r="CF547" s="4"/>
      <c r="CG547" s="4"/>
      <c r="CH547" s="4"/>
      <c r="CI547" s="4"/>
      <c r="CJ547" s="4"/>
      <c r="CK547" s="4"/>
      <c r="CL547" s="4"/>
      <c r="CM547" s="4"/>
      <c r="CN547" s="4"/>
      <c r="CO547" s="4"/>
      <c r="CP547" s="4"/>
      <c r="CQ547" s="4"/>
      <c r="CR547" s="4"/>
      <c r="CS547" s="4"/>
      <c r="CT547" s="4"/>
      <c r="CU547" s="4"/>
      <c r="CV547" s="4"/>
      <c r="CW547" s="4"/>
      <c r="CX547" s="4"/>
      <c r="CY547" s="4"/>
      <c r="CZ547" s="4"/>
      <c r="DA547" s="4"/>
      <c r="DB547" s="4"/>
      <c r="DC547" s="4"/>
      <c r="DD547" s="4"/>
      <c r="DE547" s="4"/>
      <c r="DF547" s="4"/>
      <c r="DG547" s="4"/>
      <c r="DH547" s="4"/>
      <c r="DI547" s="4"/>
      <c r="DJ547" s="4"/>
      <c r="DK547" s="4"/>
      <c r="DL547" s="4"/>
      <c r="DM547" s="4"/>
      <c r="DN547" s="4"/>
      <c r="DO547" s="4"/>
      <c r="DP547" s="4"/>
      <c r="DQ547" s="4"/>
      <c r="DR547" s="4"/>
      <c r="DS547" s="4"/>
    </row>
    <row r="548">
      <c r="A548" s="9">
        <f>IFERROR(__xludf.DUMMYFUNCTION("""COMPUTED_VALUE"""),45600.0)</f>
        <v>45600</v>
      </c>
      <c r="B548" s="6" t="str">
        <f>IFERROR(__xludf.DUMMYFUNCTION("""COMPUTED_VALUE"""),"Cab/Uber")</f>
        <v>Cab/Uber</v>
      </c>
      <c r="C548" s="7">
        <f>IFERROR(__xludf.DUMMYFUNCTION("""COMPUTED_VALUE"""),3000.0)</f>
        <v>3000</v>
      </c>
      <c r="D548" s="6" t="str">
        <f>IFERROR(__xludf.DUMMYFUNCTION("""COMPUTED_VALUE"""),"Transportation")</f>
        <v>Transportation</v>
      </c>
      <c r="E548" s="6" t="str">
        <f>IFERROR(__xludf.DUMMYFUNCTION("""COMPUTED_VALUE"""),"Virtual Wallet")</f>
        <v>Virtual Wallet</v>
      </c>
      <c r="F548" s="6" t="s">
        <v>9</v>
      </c>
      <c r="G548" s="8" t="str">
        <f t="shared" si="1"/>
        <v>202411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  <c r="CD548" s="4"/>
      <c r="CE548" s="4"/>
      <c r="CF548" s="4"/>
      <c r="CG548" s="4"/>
      <c r="CH548" s="4"/>
      <c r="CI548" s="4"/>
      <c r="CJ548" s="4"/>
      <c r="CK548" s="4"/>
      <c r="CL548" s="4"/>
      <c r="CM548" s="4"/>
      <c r="CN548" s="4"/>
      <c r="CO548" s="4"/>
      <c r="CP548" s="4"/>
      <c r="CQ548" s="4"/>
      <c r="CR548" s="4"/>
      <c r="CS548" s="4"/>
      <c r="CT548" s="4"/>
      <c r="CU548" s="4"/>
      <c r="CV548" s="4"/>
      <c r="CW548" s="4"/>
      <c r="CX548" s="4"/>
      <c r="CY548" s="4"/>
      <c r="CZ548" s="4"/>
      <c r="DA548" s="4"/>
      <c r="DB548" s="4"/>
      <c r="DC548" s="4"/>
      <c r="DD548" s="4"/>
      <c r="DE548" s="4"/>
      <c r="DF548" s="4"/>
      <c r="DG548" s="4"/>
      <c r="DH548" s="4"/>
      <c r="DI548" s="4"/>
      <c r="DJ548" s="4"/>
      <c r="DK548" s="4"/>
      <c r="DL548" s="4"/>
      <c r="DM548" s="4"/>
      <c r="DN548" s="4"/>
      <c r="DO548" s="4"/>
      <c r="DP548" s="4"/>
      <c r="DQ548" s="4"/>
      <c r="DR548" s="4"/>
      <c r="DS548" s="4"/>
    </row>
    <row r="549">
      <c r="A549" s="9">
        <f>IFERROR(__xludf.DUMMYFUNCTION("""COMPUTED_VALUE"""),45600.0)</f>
        <v>45600</v>
      </c>
      <c r="B549" s="6" t="str">
        <f>IFERROR(__xludf.DUMMYFUNCTION("""COMPUTED_VALUE"""),"Clothing")</f>
        <v>Clothing</v>
      </c>
      <c r="C549" s="7">
        <f>IFERROR(__xludf.DUMMYFUNCTION("""COMPUTED_VALUE"""),33993.0)</f>
        <v>33993</v>
      </c>
      <c r="D549" s="6" t="str">
        <f>IFERROR(__xludf.DUMMYFUNCTION("""COMPUTED_VALUE"""),"Clothing")</f>
        <v>Clothing</v>
      </c>
      <c r="E549" s="6" t="str">
        <f>IFERROR(__xludf.DUMMYFUNCTION("""COMPUTED_VALUE"""),"Credit Card")</f>
        <v>Credit Card</v>
      </c>
      <c r="F549" s="6" t="s">
        <v>10</v>
      </c>
      <c r="G549" s="8" t="str">
        <f t="shared" si="1"/>
        <v>202411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  <c r="CD549" s="4"/>
      <c r="CE549" s="4"/>
      <c r="CF549" s="4"/>
      <c r="CG549" s="4"/>
      <c r="CH549" s="4"/>
      <c r="CI549" s="4"/>
      <c r="CJ549" s="4"/>
      <c r="CK549" s="4"/>
      <c r="CL549" s="4"/>
      <c r="CM549" s="4"/>
      <c r="CN549" s="4"/>
      <c r="CO549" s="4"/>
      <c r="CP549" s="4"/>
      <c r="CQ549" s="4"/>
      <c r="CR549" s="4"/>
      <c r="CS549" s="4"/>
      <c r="CT549" s="4"/>
      <c r="CU549" s="4"/>
      <c r="CV549" s="4"/>
      <c r="CW549" s="4"/>
      <c r="CX549" s="4"/>
      <c r="CY549" s="4"/>
      <c r="CZ549" s="4"/>
      <c r="DA549" s="4"/>
      <c r="DB549" s="4"/>
      <c r="DC549" s="4"/>
      <c r="DD549" s="4"/>
      <c r="DE549" s="4"/>
      <c r="DF549" s="4"/>
      <c r="DG549" s="4"/>
      <c r="DH549" s="4"/>
      <c r="DI549" s="4"/>
      <c r="DJ549" s="4"/>
      <c r="DK549" s="4"/>
      <c r="DL549" s="4"/>
      <c r="DM549" s="4"/>
      <c r="DN549" s="4"/>
      <c r="DO549" s="4"/>
      <c r="DP549" s="4"/>
      <c r="DQ549" s="4"/>
      <c r="DR549" s="4"/>
      <c r="DS549" s="4"/>
    </row>
    <row r="550">
      <c r="A550" s="9">
        <f>IFERROR(__xludf.DUMMYFUNCTION("""COMPUTED_VALUE"""),45600.0)</f>
        <v>45600</v>
      </c>
      <c r="B550" s="6" t="str">
        <f>IFERROR(__xludf.DUMMYFUNCTION("""COMPUTED_VALUE"""),"Health Insurance")</f>
        <v>Health Insurance</v>
      </c>
      <c r="C550" s="7">
        <f>IFERROR(__xludf.DUMMYFUNCTION("""COMPUTED_VALUE"""),100000.0)</f>
        <v>100000</v>
      </c>
      <c r="D550" s="6" t="str">
        <f>IFERROR(__xludf.DUMMYFUNCTION("""COMPUTED_VALUE"""),"Healthcare")</f>
        <v>Healthcare</v>
      </c>
      <c r="E550" s="6" t="str">
        <f>IFERROR(__xludf.DUMMYFUNCTION("""COMPUTED_VALUE"""),"Virtual Wallet")</f>
        <v>Virtual Wallet</v>
      </c>
      <c r="F550" s="6" t="s">
        <v>15</v>
      </c>
      <c r="G550" s="8" t="str">
        <f t="shared" si="1"/>
        <v>202411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  <c r="CD550" s="4"/>
      <c r="CE550" s="4"/>
      <c r="CF550" s="4"/>
      <c r="CG550" s="4"/>
      <c r="CH550" s="4"/>
      <c r="CI550" s="4"/>
      <c r="CJ550" s="4"/>
      <c r="CK550" s="4"/>
      <c r="CL550" s="4"/>
      <c r="CM550" s="4"/>
      <c r="CN550" s="4"/>
      <c r="CO550" s="4"/>
      <c r="CP550" s="4"/>
      <c r="CQ550" s="4"/>
      <c r="CR550" s="4"/>
      <c r="CS550" s="4"/>
      <c r="CT550" s="4"/>
      <c r="CU550" s="4"/>
      <c r="CV550" s="4"/>
      <c r="CW550" s="4"/>
      <c r="CX550" s="4"/>
      <c r="CY550" s="4"/>
      <c r="CZ550" s="4"/>
      <c r="DA550" s="4"/>
      <c r="DB550" s="4"/>
      <c r="DC550" s="4"/>
      <c r="DD550" s="4"/>
      <c r="DE550" s="4"/>
      <c r="DF550" s="4"/>
      <c r="DG550" s="4"/>
      <c r="DH550" s="4"/>
      <c r="DI550" s="4"/>
      <c r="DJ550" s="4"/>
      <c r="DK550" s="4"/>
      <c r="DL550" s="4"/>
      <c r="DM550" s="4"/>
      <c r="DN550" s="4"/>
      <c r="DO550" s="4"/>
      <c r="DP550" s="4"/>
      <c r="DQ550" s="4"/>
      <c r="DR550" s="4"/>
      <c r="DS550" s="4"/>
    </row>
    <row r="551">
      <c r="A551" s="9">
        <f>IFERROR(__xludf.DUMMYFUNCTION("""COMPUTED_VALUE"""),45600.0)</f>
        <v>45600</v>
      </c>
      <c r="B551" s="6" t="str">
        <f>IFERROR(__xludf.DUMMYFUNCTION("""COMPUTED_VALUE"""),"Restaurant")</f>
        <v>Restaurant</v>
      </c>
      <c r="C551" s="7">
        <f>IFERROR(__xludf.DUMMYFUNCTION("""COMPUTED_VALUE"""),9800.0)</f>
        <v>9800</v>
      </c>
      <c r="D551" s="6" t="str">
        <f>IFERROR(__xludf.DUMMYFUNCTION("""COMPUTED_VALUE"""),"Restaurant / Café")</f>
        <v>Restaurant / Café</v>
      </c>
      <c r="E551" s="6" t="str">
        <f>IFERROR(__xludf.DUMMYFUNCTION("""COMPUTED_VALUE"""),"Credit Card")</f>
        <v>Credit Card</v>
      </c>
      <c r="F551" s="6" t="s">
        <v>14</v>
      </c>
      <c r="G551" s="8" t="str">
        <f t="shared" si="1"/>
        <v>202411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  <c r="CD551" s="4"/>
      <c r="CE551" s="4"/>
      <c r="CF551" s="4"/>
      <c r="CG551" s="4"/>
      <c r="CH551" s="4"/>
      <c r="CI551" s="4"/>
      <c r="CJ551" s="4"/>
      <c r="CK551" s="4"/>
      <c r="CL551" s="4"/>
      <c r="CM551" s="4"/>
      <c r="CN551" s="4"/>
      <c r="CO551" s="4"/>
      <c r="CP551" s="4"/>
      <c r="CQ551" s="4"/>
      <c r="CR551" s="4"/>
      <c r="CS551" s="4"/>
      <c r="CT551" s="4"/>
      <c r="CU551" s="4"/>
      <c r="CV551" s="4"/>
      <c r="CW551" s="4"/>
      <c r="CX551" s="4"/>
      <c r="CY551" s="4"/>
      <c r="CZ551" s="4"/>
      <c r="DA551" s="4"/>
      <c r="DB551" s="4"/>
      <c r="DC551" s="4"/>
      <c r="DD551" s="4"/>
      <c r="DE551" s="4"/>
      <c r="DF551" s="4"/>
      <c r="DG551" s="4"/>
      <c r="DH551" s="4"/>
      <c r="DI551" s="4"/>
      <c r="DJ551" s="4"/>
      <c r="DK551" s="4"/>
      <c r="DL551" s="4"/>
      <c r="DM551" s="4"/>
      <c r="DN551" s="4"/>
      <c r="DO551" s="4"/>
      <c r="DP551" s="4"/>
      <c r="DQ551" s="4"/>
      <c r="DR551" s="4"/>
      <c r="DS551" s="4"/>
    </row>
    <row r="552">
      <c r="A552" s="9">
        <f>IFERROR(__xludf.DUMMYFUNCTION("""COMPUTED_VALUE"""),45601.0)</f>
        <v>45601</v>
      </c>
      <c r="B552" s="6" t="str">
        <f>IFERROR(__xludf.DUMMYFUNCTION("""COMPUTED_VALUE"""),"Groceries")</f>
        <v>Groceries</v>
      </c>
      <c r="C552" s="7">
        <f>IFERROR(__xludf.DUMMYFUNCTION("""COMPUTED_VALUE"""),30.0)</f>
        <v>30</v>
      </c>
      <c r="D552" s="6" t="str">
        <f>IFERROR(__xludf.DUMMYFUNCTION("""COMPUTED_VALUE"""),"Lunch Out")</f>
        <v>Lunch Out</v>
      </c>
      <c r="E552" s="6" t="str">
        <f>IFERROR(__xludf.DUMMYFUNCTION("""COMPUTED_VALUE"""),"Virtual Wallet")</f>
        <v>Virtual Wallet</v>
      </c>
      <c r="F552" s="6" t="s">
        <v>14</v>
      </c>
      <c r="G552" s="8" t="str">
        <f t="shared" si="1"/>
        <v>202411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  <c r="CD552" s="4"/>
      <c r="CE552" s="4"/>
      <c r="CF552" s="4"/>
      <c r="CG552" s="4"/>
      <c r="CH552" s="4"/>
      <c r="CI552" s="4"/>
      <c r="CJ552" s="4"/>
      <c r="CK552" s="4"/>
      <c r="CL552" s="4"/>
      <c r="CM552" s="4"/>
      <c r="CN552" s="4"/>
      <c r="CO552" s="4"/>
      <c r="CP552" s="4"/>
      <c r="CQ552" s="4"/>
      <c r="CR552" s="4"/>
      <c r="CS552" s="4"/>
      <c r="CT552" s="4"/>
      <c r="CU552" s="4"/>
      <c r="CV552" s="4"/>
      <c r="CW552" s="4"/>
      <c r="CX552" s="4"/>
      <c r="CY552" s="4"/>
      <c r="CZ552" s="4"/>
      <c r="DA552" s="4"/>
      <c r="DB552" s="4"/>
      <c r="DC552" s="4"/>
      <c r="DD552" s="4"/>
      <c r="DE552" s="4"/>
      <c r="DF552" s="4"/>
      <c r="DG552" s="4"/>
      <c r="DH552" s="4"/>
      <c r="DI552" s="4"/>
      <c r="DJ552" s="4"/>
      <c r="DK552" s="4"/>
      <c r="DL552" s="4"/>
      <c r="DM552" s="4"/>
      <c r="DN552" s="4"/>
      <c r="DO552" s="4"/>
      <c r="DP552" s="4"/>
      <c r="DQ552" s="4"/>
      <c r="DR552" s="4"/>
      <c r="DS552" s="4"/>
    </row>
    <row r="553">
      <c r="A553" s="9">
        <f>IFERROR(__xludf.DUMMYFUNCTION("""COMPUTED_VALUE"""),45602.0)</f>
        <v>45602</v>
      </c>
      <c r="B553" s="6" t="str">
        <f>IFERROR(__xludf.DUMMYFUNCTION("""COMPUTED_VALUE"""),"Doctor Visit")</f>
        <v>Doctor Visit</v>
      </c>
      <c r="C553" s="7">
        <f>IFERROR(__xludf.DUMMYFUNCTION("""COMPUTED_VALUE"""),15000.0)</f>
        <v>15000</v>
      </c>
      <c r="D553" s="6" t="str">
        <f>IFERROR(__xludf.DUMMYFUNCTION("""COMPUTED_VALUE"""),"Pets")</f>
        <v>Pets</v>
      </c>
      <c r="E553" s="6" t="str">
        <f>IFERROR(__xludf.DUMMYFUNCTION("""COMPUTED_VALUE"""),"Credit Card")</f>
        <v>Credit Card</v>
      </c>
      <c r="F553" s="6" t="s">
        <v>7</v>
      </c>
      <c r="G553" s="8" t="str">
        <f t="shared" si="1"/>
        <v>202411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  <c r="CD553" s="4"/>
      <c r="CE553" s="4"/>
      <c r="CF553" s="4"/>
      <c r="CG553" s="4"/>
      <c r="CH553" s="4"/>
      <c r="CI553" s="4"/>
      <c r="CJ553" s="4"/>
      <c r="CK553" s="4"/>
      <c r="CL553" s="4"/>
      <c r="CM553" s="4"/>
      <c r="CN553" s="4"/>
      <c r="CO553" s="4"/>
      <c r="CP553" s="4"/>
      <c r="CQ553" s="4"/>
      <c r="CR553" s="4"/>
      <c r="CS553" s="4"/>
      <c r="CT553" s="4"/>
      <c r="CU553" s="4"/>
      <c r="CV553" s="4"/>
      <c r="CW553" s="4"/>
      <c r="CX553" s="4"/>
      <c r="CY553" s="4"/>
      <c r="CZ553" s="4"/>
      <c r="DA553" s="4"/>
      <c r="DB553" s="4"/>
      <c r="DC553" s="4"/>
      <c r="DD553" s="4"/>
      <c r="DE553" s="4"/>
      <c r="DF553" s="4"/>
      <c r="DG553" s="4"/>
      <c r="DH553" s="4"/>
      <c r="DI553" s="4"/>
      <c r="DJ553" s="4"/>
      <c r="DK553" s="4"/>
      <c r="DL553" s="4"/>
      <c r="DM553" s="4"/>
      <c r="DN553" s="4"/>
      <c r="DO553" s="4"/>
      <c r="DP553" s="4"/>
      <c r="DQ553" s="4"/>
      <c r="DR553" s="4"/>
      <c r="DS553" s="4"/>
    </row>
    <row r="554">
      <c r="A554" s="9">
        <f>IFERROR(__xludf.DUMMYFUNCTION("""COMPUTED_VALUE"""),45602.0)</f>
        <v>45602</v>
      </c>
      <c r="B554" s="6" t="str">
        <f>IFERROR(__xludf.DUMMYFUNCTION("""COMPUTED_VALUE"""),"Donation")</f>
        <v>Donation</v>
      </c>
      <c r="C554" s="7">
        <f>IFERROR(__xludf.DUMMYFUNCTION("""COMPUTED_VALUE"""),5000.0)</f>
        <v>5000</v>
      </c>
      <c r="D554" s="6" t="str">
        <f>IFERROR(__xludf.DUMMYFUNCTION("""COMPUTED_VALUE"""),"Donation")</f>
        <v>Donation</v>
      </c>
      <c r="E554" s="6" t="str">
        <f>IFERROR(__xludf.DUMMYFUNCTION("""COMPUTED_VALUE"""),"Virtual Wallet")</f>
        <v>Virtual Wallet</v>
      </c>
      <c r="F554" s="6"/>
      <c r="G554" s="8" t="str">
        <f t="shared" si="1"/>
        <v>202411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  <c r="CD554" s="4"/>
      <c r="CE554" s="4"/>
      <c r="CF554" s="4"/>
      <c r="CG554" s="4"/>
      <c r="CH554" s="4"/>
      <c r="CI554" s="4"/>
      <c r="CJ554" s="4"/>
      <c r="CK554" s="4"/>
      <c r="CL554" s="4"/>
      <c r="CM554" s="4"/>
      <c r="CN554" s="4"/>
      <c r="CO554" s="4"/>
      <c r="CP554" s="4"/>
      <c r="CQ554" s="4"/>
      <c r="CR554" s="4"/>
      <c r="CS554" s="4"/>
      <c r="CT554" s="4"/>
      <c r="CU554" s="4"/>
      <c r="CV554" s="4"/>
      <c r="CW554" s="4"/>
      <c r="CX554" s="4"/>
      <c r="CY554" s="4"/>
      <c r="CZ554" s="4"/>
      <c r="DA554" s="4"/>
      <c r="DB554" s="4"/>
      <c r="DC554" s="4"/>
      <c r="DD554" s="4"/>
      <c r="DE554" s="4"/>
      <c r="DF554" s="4"/>
      <c r="DG554" s="4"/>
      <c r="DH554" s="4"/>
      <c r="DI554" s="4"/>
      <c r="DJ554" s="4"/>
      <c r="DK554" s="4"/>
      <c r="DL554" s="4"/>
      <c r="DM554" s="4"/>
      <c r="DN554" s="4"/>
      <c r="DO554" s="4"/>
      <c r="DP554" s="4"/>
      <c r="DQ554" s="4"/>
      <c r="DR554" s="4"/>
      <c r="DS554" s="4"/>
    </row>
    <row r="555">
      <c r="A555" s="9">
        <f>IFERROR(__xludf.DUMMYFUNCTION("""COMPUTED_VALUE"""),45602.0)</f>
        <v>45602</v>
      </c>
      <c r="B555" s="6" t="str">
        <f>IFERROR(__xludf.DUMMYFUNCTION("""COMPUTED_VALUE"""),"Streaming Services")</f>
        <v>Streaming Services</v>
      </c>
      <c r="C555" s="7">
        <f>IFERROR(__xludf.DUMMYFUNCTION("""COMPUTED_VALUE"""),2622.0)</f>
        <v>2622</v>
      </c>
      <c r="D555" s="6" t="str">
        <f>IFERROR(__xludf.DUMMYFUNCTION("""COMPUTED_VALUE"""),"Streaming Services")</f>
        <v>Streaming Services</v>
      </c>
      <c r="E555" s="6" t="str">
        <f>IFERROR(__xludf.DUMMYFUNCTION("""COMPUTED_VALUE"""),"Credit Card")</f>
        <v>Credit Card</v>
      </c>
      <c r="F555" s="6" t="s">
        <v>12</v>
      </c>
      <c r="G555" s="8" t="str">
        <f t="shared" si="1"/>
        <v>202411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  <c r="CD555" s="4"/>
      <c r="CE555" s="4"/>
      <c r="CF555" s="4"/>
      <c r="CG555" s="4"/>
      <c r="CH555" s="4"/>
      <c r="CI555" s="4"/>
      <c r="CJ555" s="4"/>
      <c r="CK555" s="4"/>
      <c r="CL555" s="4"/>
      <c r="CM555" s="4"/>
      <c r="CN555" s="4"/>
      <c r="CO555" s="4"/>
      <c r="CP555" s="4"/>
      <c r="CQ555" s="4"/>
      <c r="CR555" s="4"/>
      <c r="CS555" s="4"/>
      <c r="CT555" s="4"/>
      <c r="CU555" s="4"/>
      <c r="CV555" s="4"/>
      <c r="CW555" s="4"/>
      <c r="CX555" s="4"/>
      <c r="CY555" s="4"/>
      <c r="CZ555" s="4"/>
      <c r="DA555" s="4"/>
      <c r="DB555" s="4"/>
      <c r="DC555" s="4"/>
      <c r="DD555" s="4"/>
      <c r="DE555" s="4"/>
      <c r="DF555" s="4"/>
      <c r="DG555" s="4"/>
      <c r="DH555" s="4"/>
      <c r="DI555" s="4"/>
      <c r="DJ555" s="4"/>
      <c r="DK555" s="4"/>
      <c r="DL555" s="4"/>
      <c r="DM555" s="4"/>
      <c r="DN555" s="4"/>
      <c r="DO555" s="4"/>
      <c r="DP555" s="4"/>
      <c r="DQ555" s="4"/>
      <c r="DR555" s="4"/>
      <c r="DS555" s="4"/>
    </row>
    <row r="556">
      <c r="A556" s="9">
        <f>IFERROR(__xludf.DUMMYFUNCTION("""COMPUTED_VALUE"""),45602.0)</f>
        <v>45602</v>
      </c>
      <c r="B556" s="6" t="str">
        <f>IFERROR(__xludf.DUMMYFUNCTION("""COMPUTED_VALUE"""),"Streaming Services")</f>
        <v>Streaming Services</v>
      </c>
      <c r="C556" s="7">
        <f>IFERROR(__xludf.DUMMYFUNCTION("""COMPUTED_VALUE"""),5723.0)</f>
        <v>5723</v>
      </c>
      <c r="D556" s="6" t="str">
        <f>IFERROR(__xludf.DUMMYFUNCTION("""COMPUTED_VALUE"""),"Streaming Services")</f>
        <v>Streaming Services</v>
      </c>
      <c r="E556" s="6" t="str">
        <f>IFERROR(__xludf.DUMMYFUNCTION("""COMPUTED_VALUE"""),"Credit Card")</f>
        <v>Credit Card</v>
      </c>
      <c r="F556" s="6" t="s">
        <v>12</v>
      </c>
      <c r="G556" s="8" t="str">
        <f t="shared" si="1"/>
        <v>202411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  <c r="CD556" s="4"/>
      <c r="CE556" s="4"/>
      <c r="CF556" s="4"/>
      <c r="CG556" s="4"/>
      <c r="CH556" s="4"/>
      <c r="CI556" s="4"/>
      <c r="CJ556" s="4"/>
      <c r="CK556" s="4"/>
      <c r="CL556" s="4"/>
      <c r="CM556" s="4"/>
      <c r="CN556" s="4"/>
      <c r="CO556" s="4"/>
      <c r="CP556" s="4"/>
      <c r="CQ556" s="4"/>
      <c r="CR556" s="4"/>
      <c r="CS556" s="4"/>
      <c r="CT556" s="4"/>
      <c r="CU556" s="4"/>
      <c r="CV556" s="4"/>
      <c r="CW556" s="4"/>
      <c r="CX556" s="4"/>
      <c r="CY556" s="4"/>
      <c r="CZ556" s="4"/>
      <c r="DA556" s="4"/>
      <c r="DB556" s="4"/>
      <c r="DC556" s="4"/>
      <c r="DD556" s="4"/>
      <c r="DE556" s="4"/>
      <c r="DF556" s="4"/>
      <c r="DG556" s="4"/>
      <c r="DH556" s="4"/>
      <c r="DI556" s="4"/>
      <c r="DJ556" s="4"/>
      <c r="DK556" s="4"/>
      <c r="DL556" s="4"/>
      <c r="DM556" s="4"/>
      <c r="DN556" s="4"/>
      <c r="DO556" s="4"/>
      <c r="DP556" s="4"/>
      <c r="DQ556" s="4"/>
      <c r="DR556" s="4"/>
      <c r="DS556" s="4"/>
    </row>
    <row r="557">
      <c r="A557" s="9">
        <f>IFERROR(__xludf.DUMMYFUNCTION("""COMPUTED_VALUE"""),45603.0)</f>
        <v>45603</v>
      </c>
      <c r="B557" s="6" t="str">
        <f>IFERROR(__xludf.DUMMYFUNCTION("""COMPUTED_VALUE"""),"Gas Bill (Metrogas)")</f>
        <v>Gas Bill (Metrogas)</v>
      </c>
      <c r="C557" s="7">
        <f>IFERROR(__xludf.DUMMYFUNCTION("""COMPUTED_VALUE"""),10859.0)</f>
        <v>10859</v>
      </c>
      <c r="D557" s="6" t="str">
        <f>IFERROR(__xludf.DUMMYFUNCTION("""COMPUTED_VALUE"""),"Basic Services")</f>
        <v>Basic Services</v>
      </c>
      <c r="E557" s="6" t="str">
        <f>IFERROR(__xludf.DUMMYFUNCTION("""COMPUTED_VALUE"""),"Split Payment")</f>
        <v>Split Payment</v>
      </c>
      <c r="F557" s="6" t="s">
        <v>13</v>
      </c>
      <c r="G557" s="8" t="str">
        <f t="shared" si="1"/>
        <v>202411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  <c r="CD557" s="4"/>
      <c r="CE557" s="4"/>
      <c r="CF557" s="4"/>
      <c r="CG557" s="4"/>
      <c r="CH557" s="4"/>
      <c r="CI557" s="4"/>
      <c r="CJ557" s="4"/>
      <c r="CK557" s="4"/>
      <c r="CL557" s="4"/>
      <c r="CM557" s="4"/>
      <c r="CN557" s="4"/>
      <c r="CO557" s="4"/>
      <c r="CP557" s="4"/>
      <c r="CQ557" s="4"/>
      <c r="CR557" s="4"/>
      <c r="CS557" s="4"/>
      <c r="CT557" s="4"/>
      <c r="CU557" s="4"/>
      <c r="CV557" s="4"/>
      <c r="CW557" s="4"/>
      <c r="CX557" s="4"/>
      <c r="CY557" s="4"/>
      <c r="CZ557" s="4"/>
      <c r="DA557" s="4"/>
      <c r="DB557" s="4"/>
      <c r="DC557" s="4"/>
      <c r="DD557" s="4"/>
      <c r="DE557" s="4"/>
      <c r="DF557" s="4"/>
      <c r="DG557" s="4"/>
      <c r="DH557" s="4"/>
      <c r="DI557" s="4"/>
      <c r="DJ557" s="4"/>
      <c r="DK557" s="4"/>
      <c r="DL557" s="4"/>
      <c r="DM557" s="4"/>
      <c r="DN557" s="4"/>
      <c r="DO557" s="4"/>
      <c r="DP557" s="4"/>
      <c r="DQ557" s="4"/>
      <c r="DR557" s="4"/>
      <c r="DS557" s="4"/>
    </row>
    <row r="558">
      <c r="A558" s="9">
        <f>IFERROR(__xludf.DUMMYFUNCTION("""COMPUTED_VALUE"""),45603.0)</f>
        <v>45603</v>
      </c>
      <c r="B558" s="6" t="str">
        <f>IFERROR(__xludf.DUMMYFUNCTION("""COMPUTED_VALUE"""),"Groceries")</f>
        <v>Groceries</v>
      </c>
      <c r="C558" s="7">
        <f>IFERROR(__xludf.DUMMYFUNCTION("""COMPUTED_VALUE"""),3840.0)</f>
        <v>3840</v>
      </c>
      <c r="D558" s="6" t="str">
        <f>IFERROR(__xludf.DUMMYFUNCTION("""COMPUTED_VALUE"""),"Lunch Out")</f>
        <v>Lunch Out</v>
      </c>
      <c r="E558" s="6" t="str">
        <f>IFERROR(__xludf.DUMMYFUNCTION("""COMPUTED_VALUE"""),"Virtual Wallet")</f>
        <v>Virtual Wallet</v>
      </c>
      <c r="F558" s="6" t="s">
        <v>14</v>
      </c>
      <c r="G558" s="8" t="str">
        <f t="shared" si="1"/>
        <v>202411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  <c r="CD558" s="4"/>
      <c r="CE558" s="4"/>
      <c r="CF558" s="4"/>
      <c r="CG558" s="4"/>
      <c r="CH558" s="4"/>
      <c r="CI558" s="4"/>
      <c r="CJ558" s="4"/>
      <c r="CK558" s="4"/>
      <c r="CL558" s="4"/>
      <c r="CM558" s="4"/>
      <c r="CN558" s="4"/>
      <c r="CO558" s="4"/>
      <c r="CP558" s="4"/>
      <c r="CQ558" s="4"/>
      <c r="CR558" s="4"/>
      <c r="CS558" s="4"/>
      <c r="CT558" s="4"/>
      <c r="CU558" s="4"/>
      <c r="CV558" s="4"/>
      <c r="CW558" s="4"/>
      <c r="CX558" s="4"/>
      <c r="CY558" s="4"/>
      <c r="CZ558" s="4"/>
      <c r="DA558" s="4"/>
      <c r="DB558" s="4"/>
      <c r="DC558" s="4"/>
      <c r="DD558" s="4"/>
      <c r="DE558" s="4"/>
      <c r="DF558" s="4"/>
      <c r="DG558" s="4"/>
      <c r="DH558" s="4"/>
      <c r="DI558" s="4"/>
      <c r="DJ558" s="4"/>
      <c r="DK558" s="4"/>
      <c r="DL558" s="4"/>
      <c r="DM558" s="4"/>
      <c r="DN558" s="4"/>
      <c r="DO558" s="4"/>
      <c r="DP558" s="4"/>
      <c r="DQ558" s="4"/>
      <c r="DR558" s="4"/>
      <c r="DS558" s="4"/>
    </row>
    <row r="559">
      <c r="A559" s="9">
        <f>IFERROR(__xludf.DUMMYFUNCTION("""COMPUTED_VALUE"""),45603.0)</f>
        <v>45603</v>
      </c>
      <c r="B559" s="6" t="str">
        <f>IFERROR(__xludf.DUMMYFUNCTION("""COMPUTED_VALUE"""),"Home Goods")</f>
        <v>Home Goods</v>
      </c>
      <c r="C559" s="7">
        <f>IFERROR(__xludf.DUMMYFUNCTION("""COMPUTED_VALUE"""),1500.0)</f>
        <v>1500</v>
      </c>
      <c r="D559" s="6" t="str">
        <f>IFERROR(__xludf.DUMMYFUNCTION("""COMPUTED_VALUE"""),"Home Goods &amp; Utilities")</f>
        <v>Home Goods &amp; Utilities</v>
      </c>
      <c r="E559" s="6" t="str">
        <f>IFERROR(__xludf.DUMMYFUNCTION("""COMPUTED_VALUE"""),"Virtual Wallet")</f>
        <v>Virtual Wallet</v>
      </c>
      <c r="F559" s="6" t="s">
        <v>8</v>
      </c>
      <c r="G559" s="8" t="str">
        <f t="shared" si="1"/>
        <v>202411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  <c r="CD559" s="4"/>
      <c r="CE559" s="4"/>
      <c r="CF559" s="4"/>
      <c r="CG559" s="4"/>
      <c r="CH559" s="4"/>
      <c r="CI559" s="4"/>
      <c r="CJ559" s="4"/>
      <c r="CK559" s="4"/>
      <c r="CL559" s="4"/>
      <c r="CM559" s="4"/>
      <c r="CN559" s="4"/>
      <c r="CO559" s="4"/>
      <c r="CP559" s="4"/>
      <c r="CQ559" s="4"/>
      <c r="CR559" s="4"/>
      <c r="CS559" s="4"/>
      <c r="CT559" s="4"/>
      <c r="CU559" s="4"/>
      <c r="CV559" s="4"/>
      <c r="CW559" s="4"/>
      <c r="CX559" s="4"/>
      <c r="CY559" s="4"/>
      <c r="CZ559" s="4"/>
      <c r="DA559" s="4"/>
      <c r="DB559" s="4"/>
      <c r="DC559" s="4"/>
      <c r="DD559" s="4"/>
      <c r="DE559" s="4"/>
      <c r="DF559" s="4"/>
      <c r="DG559" s="4"/>
      <c r="DH559" s="4"/>
      <c r="DI559" s="4"/>
      <c r="DJ559" s="4"/>
      <c r="DK559" s="4"/>
      <c r="DL559" s="4"/>
      <c r="DM559" s="4"/>
      <c r="DN559" s="4"/>
      <c r="DO559" s="4"/>
      <c r="DP559" s="4"/>
      <c r="DQ559" s="4"/>
      <c r="DR559" s="4"/>
      <c r="DS559" s="4"/>
    </row>
    <row r="560">
      <c r="A560" s="9">
        <f>IFERROR(__xludf.DUMMYFUNCTION("""COMPUTED_VALUE"""),45603.0)</f>
        <v>45603</v>
      </c>
      <c r="B560" s="6" t="str">
        <f>IFERROR(__xludf.DUMMYFUNCTION("""COMPUTED_VALUE"""),"Home Goods")</f>
        <v>Home Goods</v>
      </c>
      <c r="C560" s="7">
        <f>IFERROR(__xludf.DUMMYFUNCTION("""COMPUTED_VALUE"""),19400.0)</f>
        <v>19400</v>
      </c>
      <c r="D560" s="6" t="str">
        <f>IFERROR(__xludf.DUMMYFUNCTION("""COMPUTED_VALUE"""),"Home Goods &amp; Utilities")</f>
        <v>Home Goods &amp; Utilities</v>
      </c>
      <c r="E560" s="6" t="str">
        <f>IFERROR(__xludf.DUMMYFUNCTION("""COMPUTED_VALUE"""),"Virtual Wallet")</f>
        <v>Virtual Wallet</v>
      </c>
      <c r="F560" s="6" t="s">
        <v>8</v>
      </c>
      <c r="G560" s="8" t="str">
        <f t="shared" si="1"/>
        <v>202411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  <c r="CD560" s="4"/>
      <c r="CE560" s="4"/>
      <c r="CF560" s="4"/>
      <c r="CG560" s="4"/>
      <c r="CH560" s="4"/>
      <c r="CI560" s="4"/>
      <c r="CJ560" s="4"/>
      <c r="CK560" s="4"/>
      <c r="CL560" s="4"/>
      <c r="CM560" s="4"/>
      <c r="CN560" s="4"/>
      <c r="CO560" s="4"/>
      <c r="CP560" s="4"/>
      <c r="CQ560" s="4"/>
      <c r="CR560" s="4"/>
      <c r="CS560" s="4"/>
      <c r="CT560" s="4"/>
      <c r="CU560" s="4"/>
      <c r="CV560" s="4"/>
      <c r="CW560" s="4"/>
      <c r="CX560" s="4"/>
      <c r="CY560" s="4"/>
      <c r="CZ560" s="4"/>
      <c r="DA560" s="4"/>
      <c r="DB560" s="4"/>
      <c r="DC560" s="4"/>
      <c r="DD560" s="4"/>
      <c r="DE560" s="4"/>
      <c r="DF560" s="4"/>
      <c r="DG560" s="4"/>
      <c r="DH560" s="4"/>
      <c r="DI560" s="4"/>
      <c r="DJ560" s="4"/>
      <c r="DK560" s="4"/>
      <c r="DL560" s="4"/>
      <c r="DM560" s="4"/>
      <c r="DN560" s="4"/>
      <c r="DO560" s="4"/>
      <c r="DP560" s="4"/>
      <c r="DQ560" s="4"/>
      <c r="DR560" s="4"/>
      <c r="DS560" s="4"/>
    </row>
    <row r="561">
      <c r="A561" s="9">
        <f>IFERROR(__xludf.DUMMYFUNCTION("""COMPUTED_VALUE"""),45603.0)</f>
        <v>45603</v>
      </c>
      <c r="B561" s="6" t="str">
        <f>IFERROR(__xludf.DUMMYFUNCTION("""COMPUTED_VALUE"""),"Municipal Tax (Agip)")</f>
        <v>Municipal Tax (Agip)</v>
      </c>
      <c r="C561" s="7">
        <f>IFERROR(__xludf.DUMMYFUNCTION("""COMPUTED_VALUE"""),7290.0)</f>
        <v>7290</v>
      </c>
      <c r="D561" s="6" t="str">
        <f>IFERROR(__xludf.DUMMYFUNCTION("""COMPUTED_VALUE"""),"Basic Services")</f>
        <v>Basic Services</v>
      </c>
      <c r="E561" s="6" t="str">
        <f>IFERROR(__xludf.DUMMYFUNCTION("""COMPUTED_VALUE"""),"Split Payment")</f>
        <v>Split Payment</v>
      </c>
      <c r="F561" s="6" t="s">
        <v>13</v>
      </c>
      <c r="G561" s="8" t="str">
        <f t="shared" si="1"/>
        <v>202411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  <c r="CD561" s="4"/>
      <c r="CE561" s="4"/>
      <c r="CF561" s="4"/>
      <c r="CG561" s="4"/>
      <c r="CH561" s="4"/>
      <c r="CI561" s="4"/>
      <c r="CJ561" s="4"/>
      <c r="CK561" s="4"/>
      <c r="CL561" s="4"/>
      <c r="CM561" s="4"/>
      <c r="CN561" s="4"/>
      <c r="CO561" s="4"/>
      <c r="CP561" s="4"/>
      <c r="CQ561" s="4"/>
      <c r="CR561" s="4"/>
      <c r="CS561" s="4"/>
      <c r="CT561" s="4"/>
      <c r="CU561" s="4"/>
      <c r="CV561" s="4"/>
      <c r="CW561" s="4"/>
      <c r="CX561" s="4"/>
      <c r="CY561" s="4"/>
      <c r="CZ561" s="4"/>
      <c r="DA561" s="4"/>
      <c r="DB561" s="4"/>
      <c r="DC561" s="4"/>
      <c r="DD561" s="4"/>
      <c r="DE561" s="4"/>
      <c r="DF561" s="4"/>
      <c r="DG561" s="4"/>
      <c r="DH561" s="4"/>
      <c r="DI561" s="4"/>
      <c r="DJ561" s="4"/>
      <c r="DK561" s="4"/>
      <c r="DL561" s="4"/>
      <c r="DM561" s="4"/>
      <c r="DN561" s="4"/>
      <c r="DO561" s="4"/>
      <c r="DP561" s="4"/>
      <c r="DQ561" s="4"/>
      <c r="DR561" s="4"/>
      <c r="DS561" s="4"/>
    </row>
    <row r="562">
      <c r="A562" s="9">
        <f>IFERROR(__xludf.DUMMYFUNCTION("""COMPUTED_VALUE"""),45603.0)</f>
        <v>45603</v>
      </c>
      <c r="B562" s="6" t="str">
        <f>IFERROR(__xludf.DUMMYFUNCTION("""COMPUTED_VALUE"""),"Stationery / Books")</f>
        <v>Stationery / Books</v>
      </c>
      <c r="C562" s="7">
        <f>IFERROR(__xludf.DUMMYFUNCTION("""COMPUTED_VALUE"""),7050.0)</f>
        <v>7050</v>
      </c>
      <c r="D562" s="6" t="str">
        <f>IFERROR(__xludf.DUMMYFUNCTION("""COMPUTED_VALUE"""),"Home Goods &amp; Utilities")</f>
        <v>Home Goods &amp; Utilities</v>
      </c>
      <c r="E562" s="6" t="str">
        <f>IFERROR(__xludf.DUMMYFUNCTION("""COMPUTED_VALUE"""),"Credit Card")</f>
        <v>Credit Card</v>
      </c>
      <c r="F562" s="6" t="s">
        <v>8</v>
      </c>
      <c r="G562" s="8" t="str">
        <f t="shared" si="1"/>
        <v>202411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  <c r="CD562" s="4"/>
      <c r="CE562" s="4"/>
      <c r="CF562" s="4"/>
      <c r="CG562" s="4"/>
      <c r="CH562" s="4"/>
      <c r="CI562" s="4"/>
      <c r="CJ562" s="4"/>
      <c r="CK562" s="4"/>
      <c r="CL562" s="4"/>
      <c r="CM562" s="4"/>
      <c r="CN562" s="4"/>
      <c r="CO562" s="4"/>
      <c r="CP562" s="4"/>
      <c r="CQ562" s="4"/>
      <c r="CR562" s="4"/>
      <c r="CS562" s="4"/>
      <c r="CT562" s="4"/>
      <c r="CU562" s="4"/>
      <c r="CV562" s="4"/>
      <c r="CW562" s="4"/>
      <c r="CX562" s="4"/>
      <c r="CY562" s="4"/>
      <c r="CZ562" s="4"/>
      <c r="DA562" s="4"/>
      <c r="DB562" s="4"/>
      <c r="DC562" s="4"/>
      <c r="DD562" s="4"/>
      <c r="DE562" s="4"/>
      <c r="DF562" s="4"/>
      <c r="DG562" s="4"/>
      <c r="DH562" s="4"/>
      <c r="DI562" s="4"/>
      <c r="DJ562" s="4"/>
      <c r="DK562" s="4"/>
      <c r="DL562" s="4"/>
      <c r="DM562" s="4"/>
      <c r="DN562" s="4"/>
      <c r="DO562" s="4"/>
      <c r="DP562" s="4"/>
      <c r="DQ562" s="4"/>
      <c r="DR562" s="4"/>
      <c r="DS562" s="4"/>
    </row>
    <row r="563">
      <c r="A563" s="9">
        <f>IFERROR(__xludf.DUMMYFUNCTION("""COMPUTED_VALUE"""),45604.0)</f>
        <v>45604</v>
      </c>
      <c r="B563" s="6" t="str">
        <f>IFERROR(__xludf.DUMMYFUNCTION("""COMPUTED_VALUE"""),"Clothing")</f>
        <v>Clothing</v>
      </c>
      <c r="C563" s="7">
        <f>IFERROR(__xludf.DUMMYFUNCTION("""COMPUTED_VALUE"""),19326.0)</f>
        <v>19326</v>
      </c>
      <c r="D563" s="6" t="str">
        <f>IFERROR(__xludf.DUMMYFUNCTION("""COMPUTED_VALUE"""),"Clothing")</f>
        <v>Clothing</v>
      </c>
      <c r="E563" s="6" t="str">
        <f>IFERROR(__xludf.DUMMYFUNCTION("""COMPUTED_VALUE"""),"Credit Card")</f>
        <v>Credit Card</v>
      </c>
      <c r="F563" s="6" t="s">
        <v>10</v>
      </c>
      <c r="G563" s="8" t="str">
        <f t="shared" si="1"/>
        <v>202411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  <c r="CD563" s="4"/>
      <c r="CE563" s="4"/>
      <c r="CF563" s="4"/>
      <c r="CG563" s="4"/>
      <c r="CH563" s="4"/>
      <c r="CI563" s="4"/>
      <c r="CJ563" s="4"/>
      <c r="CK563" s="4"/>
      <c r="CL563" s="4"/>
      <c r="CM563" s="4"/>
      <c r="CN563" s="4"/>
      <c r="CO563" s="4"/>
      <c r="CP563" s="4"/>
      <c r="CQ563" s="4"/>
      <c r="CR563" s="4"/>
      <c r="CS563" s="4"/>
      <c r="CT563" s="4"/>
      <c r="CU563" s="4"/>
      <c r="CV563" s="4"/>
      <c r="CW563" s="4"/>
      <c r="CX563" s="4"/>
      <c r="CY563" s="4"/>
      <c r="CZ563" s="4"/>
      <c r="DA563" s="4"/>
      <c r="DB563" s="4"/>
      <c r="DC563" s="4"/>
      <c r="DD563" s="4"/>
      <c r="DE563" s="4"/>
      <c r="DF563" s="4"/>
      <c r="DG563" s="4"/>
      <c r="DH563" s="4"/>
      <c r="DI563" s="4"/>
      <c r="DJ563" s="4"/>
      <c r="DK563" s="4"/>
      <c r="DL563" s="4"/>
      <c r="DM563" s="4"/>
      <c r="DN563" s="4"/>
      <c r="DO563" s="4"/>
      <c r="DP563" s="4"/>
      <c r="DQ563" s="4"/>
      <c r="DR563" s="4"/>
      <c r="DS563" s="4"/>
    </row>
    <row r="564">
      <c r="A564" s="9">
        <f>IFERROR(__xludf.DUMMYFUNCTION("""COMPUTED_VALUE"""),45604.0)</f>
        <v>45604</v>
      </c>
      <c r="B564" s="6" t="str">
        <f>IFERROR(__xludf.DUMMYFUNCTION("""COMPUTED_VALUE"""),"Clothing")</f>
        <v>Clothing</v>
      </c>
      <c r="C564" s="7">
        <f>IFERROR(__xludf.DUMMYFUNCTION("""COMPUTED_VALUE"""),5000.0)</f>
        <v>5000</v>
      </c>
      <c r="D564" s="6" t="str">
        <f>IFERROR(__xludf.DUMMYFUNCTION("""COMPUTED_VALUE"""),"Clothing")</f>
        <v>Clothing</v>
      </c>
      <c r="E564" s="6" t="str">
        <f>IFERROR(__xludf.DUMMYFUNCTION("""COMPUTED_VALUE"""),"Debit Card")</f>
        <v>Debit Card</v>
      </c>
      <c r="F564" s="6" t="s">
        <v>10</v>
      </c>
      <c r="G564" s="8" t="str">
        <f t="shared" si="1"/>
        <v>202411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  <c r="CD564" s="4"/>
      <c r="CE564" s="4"/>
      <c r="CF564" s="4"/>
      <c r="CG564" s="4"/>
      <c r="CH564" s="4"/>
      <c r="CI564" s="4"/>
      <c r="CJ564" s="4"/>
      <c r="CK564" s="4"/>
      <c r="CL564" s="4"/>
      <c r="CM564" s="4"/>
      <c r="CN564" s="4"/>
      <c r="CO564" s="4"/>
      <c r="CP564" s="4"/>
      <c r="CQ564" s="4"/>
      <c r="CR564" s="4"/>
      <c r="CS564" s="4"/>
      <c r="CT564" s="4"/>
      <c r="CU564" s="4"/>
      <c r="CV564" s="4"/>
      <c r="CW564" s="4"/>
      <c r="CX564" s="4"/>
      <c r="CY564" s="4"/>
      <c r="CZ564" s="4"/>
      <c r="DA564" s="4"/>
      <c r="DB564" s="4"/>
      <c r="DC564" s="4"/>
      <c r="DD564" s="4"/>
      <c r="DE564" s="4"/>
      <c r="DF564" s="4"/>
      <c r="DG564" s="4"/>
      <c r="DH564" s="4"/>
      <c r="DI564" s="4"/>
      <c r="DJ564" s="4"/>
      <c r="DK564" s="4"/>
      <c r="DL564" s="4"/>
      <c r="DM564" s="4"/>
      <c r="DN564" s="4"/>
      <c r="DO564" s="4"/>
      <c r="DP564" s="4"/>
      <c r="DQ564" s="4"/>
      <c r="DR564" s="4"/>
      <c r="DS564" s="4"/>
    </row>
    <row r="565">
      <c r="A565" s="9">
        <f>IFERROR(__xludf.DUMMYFUNCTION("""COMPUTED_VALUE"""),45604.0)</f>
        <v>45604</v>
      </c>
      <c r="B565" s="6" t="str">
        <f>IFERROR(__xludf.DUMMYFUNCTION("""COMPUTED_VALUE"""),"Health Insurance")</f>
        <v>Health Insurance</v>
      </c>
      <c r="C565" s="7">
        <f>IFERROR(__xludf.DUMMYFUNCTION("""COMPUTED_VALUE"""),10000.0)</f>
        <v>10000</v>
      </c>
      <c r="D565" s="6" t="str">
        <f>IFERROR(__xludf.DUMMYFUNCTION("""COMPUTED_VALUE"""),"Healthcare")</f>
        <v>Healthcare</v>
      </c>
      <c r="E565" s="6" t="str">
        <f>IFERROR(__xludf.DUMMYFUNCTION("""COMPUTED_VALUE"""),"Debit Card")</f>
        <v>Debit Card</v>
      </c>
      <c r="F565" s="6" t="s">
        <v>15</v>
      </c>
      <c r="G565" s="8" t="str">
        <f t="shared" si="1"/>
        <v>202411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  <c r="CD565" s="4"/>
      <c r="CE565" s="4"/>
      <c r="CF565" s="4"/>
      <c r="CG565" s="4"/>
      <c r="CH565" s="4"/>
      <c r="CI565" s="4"/>
      <c r="CJ565" s="4"/>
      <c r="CK565" s="4"/>
      <c r="CL565" s="4"/>
      <c r="CM565" s="4"/>
      <c r="CN565" s="4"/>
      <c r="CO565" s="4"/>
      <c r="CP565" s="4"/>
      <c r="CQ565" s="4"/>
      <c r="CR565" s="4"/>
      <c r="CS565" s="4"/>
      <c r="CT565" s="4"/>
      <c r="CU565" s="4"/>
      <c r="CV565" s="4"/>
      <c r="CW565" s="4"/>
      <c r="CX565" s="4"/>
      <c r="CY565" s="4"/>
      <c r="CZ565" s="4"/>
      <c r="DA565" s="4"/>
      <c r="DB565" s="4"/>
      <c r="DC565" s="4"/>
      <c r="DD565" s="4"/>
      <c r="DE565" s="4"/>
      <c r="DF565" s="4"/>
      <c r="DG565" s="4"/>
      <c r="DH565" s="4"/>
      <c r="DI565" s="4"/>
      <c r="DJ565" s="4"/>
      <c r="DK565" s="4"/>
      <c r="DL565" s="4"/>
      <c r="DM565" s="4"/>
      <c r="DN565" s="4"/>
      <c r="DO565" s="4"/>
      <c r="DP565" s="4"/>
      <c r="DQ565" s="4"/>
      <c r="DR565" s="4"/>
      <c r="DS565" s="4"/>
    </row>
    <row r="566">
      <c r="A566" s="9">
        <f>IFERROR(__xludf.DUMMYFUNCTION("""COMPUTED_VALUE"""),45604.0)</f>
        <v>45604</v>
      </c>
      <c r="B566" s="6" t="str">
        <f>IFERROR(__xludf.DUMMYFUNCTION("""COMPUTED_VALUE"""),"Home Goods")</f>
        <v>Home Goods</v>
      </c>
      <c r="C566" s="7">
        <f>IFERROR(__xludf.DUMMYFUNCTION("""COMPUTED_VALUE"""),3000.0)</f>
        <v>3000</v>
      </c>
      <c r="D566" s="6" t="str">
        <f>IFERROR(__xludf.DUMMYFUNCTION("""COMPUTED_VALUE"""),"Home Goods &amp; Utilities")</f>
        <v>Home Goods &amp; Utilities</v>
      </c>
      <c r="E566" s="6" t="str">
        <f>IFERROR(__xludf.DUMMYFUNCTION("""COMPUTED_VALUE"""),"Virtual Wallet")</f>
        <v>Virtual Wallet</v>
      </c>
      <c r="F566" s="6" t="s">
        <v>8</v>
      </c>
      <c r="G566" s="8" t="str">
        <f t="shared" si="1"/>
        <v>202411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  <c r="CD566" s="4"/>
      <c r="CE566" s="4"/>
      <c r="CF566" s="4"/>
      <c r="CG566" s="4"/>
      <c r="CH566" s="4"/>
      <c r="CI566" s="4"/>
      <c r="CJ566" s="4"/>
      <c r="CK566" s="4"/>
      <c r="CL566" s="4"/>
      <c r="CM566" s="4"/>
      <c r="CN566" s="4"/>
      <c r="CO566" s="4"/>
      <c r="CP566" s="4"/>
      <c r="CQ566" s="4"/>
      <c r="CR566" s="4"/>
      <c r="CS566" s="4"/>
      <c r="CT566" s="4"/>
      <c r="CU566" s="4"/>
      <c r="CV566" s="4"/>
      <c r="CW566" s="4"/>
      <c r="CX566" s="4"/>
      <c r="CY566" s="4"/>
      <c r="CZ566" s="4"/>
      <c r="DA566" s="4"/>
      <c r="DB566" s="4"/>
      <c r="DC566" s="4"/>
      <c r="DD566" s="4"/>
      <c r="DE566" s="4"/>
      <c r="DF566" s="4"/>
      <c r="DG566" s="4"/>
      <c r="DH566" s="4"/>
      <c r="DI566" s="4"/>
      <c r="DJ566" s="4"/>
      <c r="DK566" s="4"/>
      <c r="DL566" s="4"/>
      <c r="DM566" s="4"/>
      <c r="DN566" s="4"/>
      <c r="DO566" s="4"/>
      <c r="DP566" s="4"/>
      <c r="DQ566" s="4"/>
      <c r="DR566" s="4"/>
      <c r="DS566" s="4"/>
    </row>
    <row r="567">
      <c r="A567" s="9">
        <f>IFERROR(__xludf.DUMMYFUNCTION("""COMPUTED_VALUE"""),45604.0)</f>
        <v>45604</v>
      </c>
      <c r="B567" s="6" t="str">
        <f>IFERROR(__xludf.DUMMYFUNCTION("""COMPUTED_VALUE"""),"Restaurant")</f>
        <v>Restaurant</v>
      </c>
      <c r="C567" s="7">
        <f>IFERROR(__xludf.DUMMYFUNCTION("""COMPUTED_VALUE"""),9800.0)</f>
        <v>9800</v>
      </c>
      <c r="D567" s="6" t="str">
        <f>IFERROR(__xludf.DUMMYFUNCTION("""COMPUTED_VALUE"""),"Restaurant / Café")</f>
        <v>Restaurant / Café</v>
      </c>
      <c r="E567" s="6" t="str">
        <f>IFERROR(__xludf.DUMMYFUNCTION("""COMPUTED_VALUE"""),"Credit Card")</f>
        <v>Credit Card</v>
      </c>
      <c r="F567" s="6" t="s">
        <v>14</v>
      </c>
      <c r="G567" s="8" t="str">
        <f t="shared" si="1"/>
        <v>202411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  <c r="CD567" s="4"/>
      <c r="CE567" s="4"/>
      <c r="CF567" s="4"/>
      <c r="CG567" s="4"/>
      <c r="CH567" s="4"/>
      <c r="CI567" s="4"/>
      <c r="CJ567" s="4"/>
      <c r="CK567" s="4"/>
      <c r="CL567" s="4"/>
      <c r="CM567" s="4"/>
      <c r="CN567" s="4"/>
      <c r="CO567" s="4"/>
      <c r="CP567" s="4"/>
      <c r="CQ567" s="4"/>
      <c r="CR567" s="4"/>
      <c r="CS567" s="4"/>
      <c r="CT567" s="4"/>
      <c r="CU567" s="4"/>
      <c r="CV567" s="4"/>
      <c r="CW567" s="4"/>
      <c r="CX567" s="4"/>
      <c r="CY567" s="4"/>
      <c r="CZ567" s="4"/>
      <c r="DA567" s="4"/>
      <c r="DB567" s="4"/>
      <c r="DC567" s="4"/>
      <c r="DD567" s="4"/>
      <c r="DE567" s="4"/>
      <c r="DF567" s="4"/>
      <c r="DG567" s="4"/>
      <c r="DH567" s="4"/>
      <c r="DI567" s="4"/>
      <c r="DJ567" s="4"/>
      <c r="DK567" s="4"/>
      <c r="DL567" s="4"/>
      <c r="DM567" s="4"/>
      <c r="DN567" s="4"/>
      <c r="DO567" s="4"/>
      <c r="DP567" s="4"/>
      <c r="DQ567" s="4"/>
      <c r="DR567" s="4"/>
      <c r="DS567" s="4"/>
    </row>
    <row r="568">
      <c r="A568" s="9">
        <f>IFERROR(__xludf.DUMMYFUNCTION("""COMPUTED_VALUE"""),45605.0)</f>
        <v>45605</v>
      </c>
      <c r="B568" s="6" t="str">
        <f>IFERROR(__xludf.DUMMYFUNCTION("""COMPUTED_VALUE"""),"Car Insurance")</f>
        <v>Car Insurance</v>
      </c>
      <c r="C568" s="7">
        <f>IFERROR(__xludf.DUMMYFUNCTION("""COMPUTED_VALUE"""),8489.0)</f>
        <v>8489</v>
      </c>
      <c r="D568" s="6" t="str">
        <f>IFERROR(__xludf.DUMMYFUNCTION("""COMPUTED_VALUE"""),"Car Expenses")</f>
        <v>Car Expenses</v>
      </c>
      <c r="E568" s="6" t="str">
        <f>IFERROR(__xludf.DUMMYFUNCTION("""COMPUTED_VALUE"""),"Split Payment")</f>
        <v>Split Payment</v>
      </c>
      <c r="F568" s="6" t="s">
        <v>9</v>
      </c>
      <c r="G568" s="8" t="str">
        <f t="shared" si="1"/>
        <v>202411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  <c r="CD568" s="4"/>
      <c r="CE568" s="4"/>
      <c r="CF568" s="4"/>
      <c r="CG568" s="4"/>
      <c r="CH568" s="4"/>
      <c r="CI568" s="4"/>
      <c r="CJ568" s="4"/>
      <c r="CK568" s="4"/>
      <c r="CL568" s="4"/>
      <c r="CM568" s="4"/>
      <c r="CN568" s="4"/>
      <c r="CO568" s="4"/>
      <c r="CP568" s="4"/>
      <c r="CQ568" s="4"/>
      <c r="CR568" s="4"/>
      <c r="CS568" s="4"/>
      <c r="CT568" s="4"/>
      <c r="CU568" s="4"/>
      <c r="CV568" s="4"/>
      <c r="CW568" s="4"/>
      <c r="CX568" s="4"/>
      <c r="CY568" s="4"/>
      <c r="CZ568" s="4"/>
      <c r="DA568" s="4"/>
      <c r="DB568" s="4"/>
      <c r="DC568" s="4"/>
      <c r="DD568" s="4"/>
      <c r="DE568" s="4"/>
      <c r="DF568" s="4"/>
      <c r="DG568" s="4"/>
      <c r="DH568" s="4"/>
      <c r="DI568" s="4"/>
      <c r="DJ568" s="4"/>
      <c r="DK568" s="4"/>
      <c r="DL568" s="4"/>
      <c r="DM568" s="4"/>
      <c r="DN568" s="4"/>
      <c r="DO568" s="4"/>
      <c r="DP568" s="4"/>
      <c r="DQ568" s="4"/>
      <c r="DR568" s="4"/>
      <c r="DS568" s="4"/>
    </row>
    <row r="569">
      <c r="A569" s="9">
        <f>IFERROR(__xludf.DUMMYFUNCTION("""COMPUTED_VALUE"""),45605.0)</f>
        <v>45605</v>
      </c>
      <c r="B569" s="6" t="str">
        <f>IFERROR(__xludf.DUMMYFUNCTION("""COMPUTED_VALUE"""),"Clothing")</f>
        <v>Clothing</v>
      </c>
      <c r="C569" s="7">
        <f>IFERROR(__xludf.DUMMYFUNCTION("""COMPUTED_VALUE"""),19900.0)</f>
        <v>19900</v>
      </c>
      <c r="D569" s="6" t="str">
        <f>IFERROR(__xludf.DUMMYFUNCTION("""COMPUTED_VALUE"""),"Clothing")</f>
        <v>Clothing</v>
      </c>
      <c r="E569" s="6" t="str">
        <f>IFERROR(__xludf.DUMMYFUNCTION("""COMPUTED_VALUE"""),"Credit Card")</f>
        <v>Credit Card</v>
      </c>
      <c r="F569" s="6" t="s">
        <v>10</v>
      </c>
      <c r="G569" s="8" t="str">
        <f t="shared" si="1"/>
        <v>202411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  <c r="CD569" s="4"/>
      <c r="CE569" s="4"/>
      <c r="CF569" s="4"/>
      <c r="CG569" s="4"/>
      <c r="CH569" s="4"/>
      <c r="CI569" s="4"/>
      <c r="CJ569" s="4"/>
      <c r="CK569" s="4"/>
      <c r="CL569" s="4"/>
      <c r="CM569" s="4"/>
      <c r="CN569" s="4"/>
      <c r="CO569" s="4"/>
      <c r="CP569" s="4"/>
      <c r="CQ569" s="4"/>
      <c r="CR569" s="4"/>
      <c r="CS569" s="4"/>
      <c r="CT569" s="4"/>
      <c r="CU569" s="4"/>
      <c r="CV569" s="4"/>
      <c r="CW569" s="4"/>
      <c r="CX569" s="4"/>
      <c r="CY569" s="4"/>
      <c r="CZ569" s="4"/>
      <c r="DA569" s="4"/>
      <c r="DB569" s="4"/>
      <c r="DC569" s="4"/>
      <c r="DD569" s="4"/>
      <c r="DE569" s="4"/>
      <c r="DF569" s="4"/>
      <c r="DG569" s="4"/>
      <c r="DH569" s="4"/>
      <c r="DI569" s="4"/>
      <c r="DJ569" s="4"/>
      <c r="DK569" s="4"/>
      <c r="DL569" s="4"/>
      <c r="DM569" s="4"/>
      <c r="DN569" s="4"/>
      <c r="DO569" s="4"/>
      <c r="DP569" s="4"/>
      <c r="DQ569" s="4"/>
      <c r="DR569" s="4"/>
      <c r="DS569" s="4"/>
    </row>
    <row r="570">
      <c r="A570" s="9">
        <f>IFERROR(__xludf.DUMMYFUNCTION("""COMPUTED_VALUE"""),45606.0)</f>
        <v>45606</v>
      </c>
      <c r="B570" s="6" t="str">
        <f>IFERROR(__xludf.DUMMYFUNCTION("""COMPUTED_VALUE"""),"Gasoline")</f>
        <v>Gasoline</v>
      </c>
      <c r="C570" s="7">
        <f>IFERROR(__xludf.DUMMYFUNCTION("""COMPUTED_VALUE"""),10000.0)</f>
        <v>10000</v>
      </c>
      <c r="D570" s="6" t="str">
        <f>IFERROR(__xludf.DUMMYFUNCTION("""COMPUTED_VALUE"""),"Car Expenses")</f>
        <v>Car Expenses</v>
      </c>
      <c r="E570" s="6" t="str">
        <f>IFERROR(__xludf.DUMMYFUNCTION("""COMPUTED_VALUE"""),"Debit Card")</f>
        <v>Debit Card</v>
      </c>
      <c r="F570" s="6" t="s">
        <v>9</v>
      </c>
      <c r="G570" s="8" t="str">
        <f t="shared" si="1"/>
        <v>202411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  <c r="CD570" s="4"/>
      <c r="CE570" s="4"/>
      <c r="CF570" s="4"/>
      <c r="CG570" s="4"/>
      <c r="CH570" s="4"/>
      <c r="CI570" s="4"/>
      <c r="CJ570" s="4"/>
      <c r="CK570" s="4"/>
      <c r="CL570" s="4"/>
      <c r="CM570" s="4"/>
      <c r="CN570" s="4"/>
      <c r="CO570" s="4"/>
      <c r="CP570" s="4"/>
      <c r="CQ570" s="4"/>
      <c r="CR570" s="4"/>
      <c r="CS570" s="4"/>
      <c r="CT570" s="4"/>
      <c r="CU570" s="4"/>
      <c r="CV570" s="4"/>
      <c r="CW570" s="4"/>
      <c r="CX570" s="4"/>
      <c r="CY570" s="4"/>
      <c r="CZ570" s="4"/>
      <c r="DA570" s="4"/>
      <c r="DB570" s="4"/>
      <c r="DC570" s="4"/>
      <c r="DD570" s="4"/>
      <c r="DE570" s="4"/>
      <c r="DF570" s="4"/>
      <c r="DG570" s="4"/>
      <c r="DH570" s="4"/>
      <c r="DI570" s="4"/>
      <c r="DJ570" s="4"/>
      <c r="DK570" s="4"/>
      <c r="DL570" s="4"/>
      <c r="DM570" s="4"/>
      <c r="DN570" s="4"/>
      <c r="DO570" s="4"/>
      <c r="DP570" s="4"/>
      <c r="DQ570" s="4"/>
      <c r="DR570" s="4"/>
      <c r="DS570" s="4"/>
    </row>
    <row r="571">
      <c r="A571" s="9">
        <f>IFERROR(__xludf.DUMMYFUNCTION("""COMPUTED_VALUE"""),45607.0)</f>
        <v>45607</v>
      </c>
      <c r="B571" s="6" t="str">
        <f>IFERROR(__xludf.DUMMYFUNCTION("""COMPUTED_VALUE"""),"Groceries")</f>
        <v>Groceries</v>
      </c>
      <c r="C571" s="7">
        <f>IFERROR(__xludf.DUMMYFUNCTION("""COMPUTED_VALUE"""),5125.0)</f>
        <v>5125</v>
      </c>
      <c r="D571" s="6" t="str">
        <f>IFERROR(__xludf.DUMMYFUNCTION("""COMPUTED_VALUE"""),"Lunch Out")</f>
        <v>Lunch Out</v>
      </c>
      <c r="E571" s="6" t="str">
        <f>IFERROR(__xludf.DUMMYFUNCTION("""COMPUTED_VALUE"""),"Virtual Wallet")</f>
        <v>Virtual Wallet</v>
      </c>
      <c r="F571" s="6" t="s">
        <v>14</v>
      </c>
      <c r="G571" s="8" t="str">
        <f t="shared" si="1"/>
        <v>202411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  <c r="CD571" s="4"/>
      <c r="CE571" s="4"/>
      <c r="CF571" s="4"/>
      <c r="CG571" s="4"/>
      <c r="CH571" s="4"/>
      <c r="CI571" s="4"/>
      <c r="CJ571" s="4"/>
      <c r="CK571" s="4"/>
      <c r="CL571" s="4"/>
      <c r="CM571" s="4"/>
      <c r="CN571" s="4"/>
      <c r="CO571" s="4"/>
      <c r="CP571" s="4"/>
      <c r="CQ571" s="4"/>
      <c r="CR571" s="4"/>
      <c r="CS571" s="4"/>
      <c r="CT571" s="4"/>
      <c r="CU571" s="4"/>
      <c r="CV571" s="4"/>
      <c r="CW571" s="4"/>
      <c r="CX571" s="4"/>
      <c r="CY571" s="4"/>
      <c r="CZ571" s="4"/>
      <c r="DA571" s="4"/>
      <c r="DB571" s="4"/>
      <c r="DC571" s="4"/>
      <c r="DD571" s="4"/>
      <c r="DE571" s="4"/>
      <c r="DF571" s="4"/>
      <c r="DG571" s="4"/>
      <c r="DH571" s="4"/>
      <c r="DI571" s="4"/>
      <c r="DJ571" s="4"/>
      <c r="DK571" s="4"/>
      <c r="DL571" s="4"/>
      <c r="DM571" s="4"/>
      <c r="DN571" s="4"/>
      <c r="DO571" s="4"/>
      <c r="DP571" s="4"/>
      <c r="DQ571" s="4"/>
      <c r="DR571" s="4"/>
      <c r="DS571" s="4"/>
    </row>
    <row r="572">
      <c r="A572" s="9">
        <f>IFERROR(__xludf.DUMMYFUNCTION("""COMPUTED_VALUE"""),45608.0)</f>
        <v>45608</v>
      </c>
      <c r="B572" s="6" t="str">
        <f>IFERROR(__xludf.DUMMYFUNCTION("""COMPUTED_VALUE"""),"Home Goods")</f>
        <v>Home Goods</v>
      </c>
      <c r="C572" s="7">
        <f>IFERROR(__xludf.DUMMYFUNCTION("""COMPUTED_VALUE"""),3816.5)</f>
        <v>3816.5</v>
      </c>
      <c r="D572" s="6" t="str">
        <f>IFERROR(__xludf.DUMMYFUNCTION("""COMPUTED_VALUE"""),"Home Goods &amp; Utilities")</f>
        <v>Home Goods &amp; Utilities</v>
      </c>
      <c r="E572" s="6" t="str">
        <f>IFERROR(__xludf.DUMMYFUNCTION("""COMPUTED_VALUE"""),"Credit Card")</f>
        <v>Credit Card</v>
      </c>
      <c r="F572" s="6" t="s">
        <v>8</v>
      </c>
      <c r="G572" s="8" t="str">
        <f t="shared" si="1"/>
        <v>202411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  <c r="CD572" s="4"/>
      <c r="CE572" s="4"/>
      <c r="CF572" s="4"/>
      <c r="CG572" s="4"/>
      <c r="CH572" s="4"/>
      <c r="CI572" s="4"/>
      <c r="CJ572" s="4"/>
      <c r="CK572" s="4"/>
      <c r="CL572" s="4"/>
      <c r="CM572" s="4"/>
      <c r="CN572" s="4"/>
      <c r="CO572" s="4"/>
      <c r="CP572" s="4"/>
      <c r="CQ572" s="4"/>
      <c r="CR572" s="4"/>
      <c r="CS572" s="4"/>
      <c r="CT572" s="4"/>
      <c r="CU572" s="4"/>
      <c r="CV572" s="4"/>
      <c r="CW572" s="4"/>
      <c r="CX572" s="4"/>
      <c r="CY572" s="4"/>
      <c r="CZ572" s="4"/>
      <c r="DA572" s="4"/>
      <c r="DB572" s="4"/>
      <c r="DC572" s="4"/>
      <c r="DD572" s="4"/>
      <c r="DE572" s="4"/>
      <c r="DF572" s="4"/>
      <c r="DG572" s="4"/>
      <c r="DH572" s="4"/>
      <c r="DI572" s="4"/>
      <c r="DJ572" s="4"/>
      <c r="DK572" s="4"/>
      <c r="DL572" s="4"/>
      <c r="DM572" s="4"/>
      <c r="DN572" s="4"/>
      <c r="DO572" s="4"/>
      <c r="DP572" s="4"/>
      <c r="DQ572" s="4"/>
      <c r="DR572" s="4"/>
      <c r="DS572" s="4"/>
    </row>
    <row r="573">
      <c r="A573" s="9">
        <f>IFERROR(__xludf.DUMMYFUNCTION("""COMPUTED_VALUE"""),45608.0)</f>
        <v>45608</v>
      </c>
      <c r="B573" s="6" t="str">
        <f>IFERROR(__xludf.DUMMYFUNCTION("""COMPUTED_VALUE"""),"Groceries")</f>
        <v>Groceries</v>
      </c>
      <c r="C573" s="7">
        <f>IFERROR(__xludf.DUMMYFUNCTION("""COMPUTED_VALUE"""),35.0)</f>
        <v>35</v>
      </c>
      <c r="D573" s="6" t="str">
        <f>IFERROR(__xludf.DUMMYFUNCTION("""COMPUTED_VALUE"""),"Lunch Out")</f>
        <v>Lunch Out</v>
      </c>
      <c r="E573" s="6" t="str">
        <f>IFERROR(__xludf.DUMMYFUNCTION("""COMPUTED_VALUE"""),"Virtual Wallet")</f>
        <v>Virtual Wallet</v>
      </c>
      <c r="F573" s="6" t="s">
        <v>14</v>
      </c>
      <c r="G573" s="8" t="str">
        <f t="shared" si="1"/>
        <v>202411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  <c r="CD573" s="4"/>
      <c r="CE573" s="4"/>
      <c r="CF573" s="4"/>
      <c r="CG573" s="4"/>
      <c r="CH573" s="4"/>
      <c r="CI573" s="4"/>
      <c r="CJ573" s="4"/>
      <c r="CK573" s="4"/>
      <c r="CL573" s="4"/>
      <c r="CM573" s="4"/>
      <c r="CN573" s="4"/>
      <c r="CO573" s="4"/>
      <c r="CP573" s="4"/>
      <c r="CQ573" s="4"/>
      <c r="CR573" s="4"/>
      <c r="CS573" s="4"/>
      <c r="CT573" s="4"/>
      <c r="CU573" s="4"/>
      <c r="CV573" s="4"/>
      <c r="CW573" s="4"/>
      <c r="CX573" s="4"/>
      <c r="CY573" s="4"/>
      <c r="CZ573" s="4"/>
      <c r="DA573" s="4"/>
      <c r="DB573" s="4"/>
      <c r="DC573" s="4"/>
      <c r="DD573" s="4"/>
      <c r="DE573" s="4"/>
      <c r="DF573" s="4"/>
      <c r="DG573" s="4"/>
      <c r="DH573" s="4"/>
      <c r="DI573" s="4"/>
      <c r="DJ573" s="4"/>
      <c r="DK573" s="4"/>
      <c r="DL573" s="4"/>
      <c r="DM573" s="4"/>
      <c r="DN573" s="4"/>
      <c r="DO573" s="4"/>
      <c r="DP573" s="4"/>
      <c r="DQ573" s="4"/>
      <c r="DR573" s="4"/>
      <c r="DS573" s="4"/>
    </row>
    <row r="574">
      <c r="A574" s="9">
        <f>IFERROR(__xludf.DUMMYFUNCTION("""COMPUTED_VALUE"""),45609.0)</f>
        <v>45609</v>
      </c>
      <c r="B574" s="6" t="str">
        <f>IFERROR(__xludf.DUMMYFUNCTION("""COMPUTED_VALUE"""),"Health Insurance")</f>
        <v>Health Insurance</v>
      </c>
      <c r="C574" s="7">
        <f>IFERROR(__xludf.DUMMYFUNCTION("""COMPUTED_VALUE"""),13330.0)</f>
        <v>13330</v>
      </c>
      <c r="D574" s="6" t="str">
        <f>IFERROR(__xludf.DUMMYFUNCTION("""COMPUTED_VALUE"""),"Healthcare")</f>
        <v>Healthcare</v>
      </c>
      <c r="E574" s="6" t="str">
        <f>IFERROR(__xludf.DUMMYFUNCTION("""COMPUTED_VALUE"""),"Credit Card")</f>
        <v>Credit Card</v>
      </c>
      <c r="F574" s="6" t="s">
        <v>15</v>
      </c>
      <c r="G574" s="8" t="str">
        <f t="shared" si="1"/>
        <v>202411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  <c r="CD574" s="4"/>
      <c r="CE574" s="4"/>
      <c r="CF574" s="4"/>
      <c r="CG574" s="4"/>
      <c r="CH574" s="4"/>
      <c r="CI574" s="4"/>
      <c r="CJ574" s="4"/>
      <c r="CK574" s="4"/>
      <c r="CL574" s="4"/>
      <c r="CM574" s="4"/>
      <c r="CN574" s="4"/>
      <c r="CO574" s="4"/>
      <c r="CP574" s="4"/>
      <c r="CQ574" s="4"/>
      <c r="CR574" s="4"/>
      <c r="CS574" s="4"/>
      <c r="CT574" s="4"/>
      <c r="CU574" s="4"/>
      <c r="CV574" s="4"/>
      <c r="CW574" s="4"/>
      <c r="CX574" s="4"/>
      <c r="CY574" s="4"/>
      <c r="CZ574" s="4"/>
      <c r="DA574" s="4"/>
      <c r="DB574" s="4"/>
      <c r="DC574" s="4"/>
      <c r="DD574" s="4"/>
      <c r="DE574" s="4"/>
      <c r="DF574" s="4"/>
      <c r="DG574" s="4"/>
      <c r="DH574" s="4"/>
      <c r="DI574" s="4"/>
      <c r="DJ574" s="4"/>
      <c r="DK574" s="4"/>
      <c r="DL574" s="4"/>
      <c r="DM574" s="4"/>
      <c r="DN574" s="4"/>
      <c r="DO574" s="4"/>
      <c r="DP574" s="4"/>
      <c r="DQ574" s="4"/>
      <c r="DR574" s="4"/>
      <c r="DS574" s="4"/>
    </row>
    <row r="575">
      <c r="A575" s="9">
        <f>IFERROR(__xludf.DUMMYFUNCTION("""COMPUTED_VALUE"""),45610.0)</f>
        <v>45610</v>
      </c>
      <c r="B575" s="6" t="str">
        <f>IFERROR(__xludf.DUMMYFUNCTION("""COMPUTED_VALUE"""),"Restaurant")</f>
        <v>Restaurant</v>
      </c>
      <c r="C575" s="7">
        <f>IFERROR(__xludf.DUMMYFUNCTION("""COMPUTED_VALUE"""),12500.0)</f>
        <v>12500</v>
      </c>
      <c r="D575" s="6" t="str">
        <f>IFERROR(__xludf.DUMMYFUNCTION("""COMPUTED_VALUE"""),"Restaurant / Café")</f>
        <v>Restaurant / Café</v>
      </c>
      <c r="E575" s="6" t="str">
        <f>IFERROR(__xludf.DUMMYFUNCTION("""COMPUTED_VALUE"""),"Debit Card")</f>
        <v>Debit Card</v>
      </c>
      <c r="F575" s="6" t="s">
        <v>14</v>
      </c>
      <c r="G575" s="8" t="str">
        <f t="shared" si="1"/>
        <v>202411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  <c r="CD575" s="4"/>
      <c r="CE575" s="4"/>
      <c r="CF575" s="4"/>
      <c r="CG575" s="4"/>
      <c r="CH575" s="4"/>
      <c r="CI575" s="4"/>
      <c r="CJ575" s="4"/>
      <c r="CK575" s="4"/>
      <c r="CL575" s="4"/>
      <c r="CM575" s="4"/>
      <c r="CN575" s="4"/>
      <c r="CO575" s="4"/>
      <c r="CP575" s="4"/>
      <c r="CQ575" s="4"/>
      <c r="CR575" s="4"/>
      <c r="CS575" s="4"/>
      <c r="CT575" s="4"/>
      <c r="CU575" s="4"/>
      <c r="CV575" s="4"/>
      <c r="CW575" s="4"/>
      <c r="CX575" s="4"/>
      <c r="CY575" s="4"/>
      <c r="CZ575" s="4"/>
      <c r="DA575" s="4"/>
      <c r="DB575" s="4"/>
      <c r="DC575" s="4"/>
      <c r="DD575" s="4"/>
      <c r="DE575" s="4"/>
      <c r="DF575" s="4"/>
      <c r="DG575" s="4"/>
      <c r="DH575" s="4"/>
      <c r="DI575" s="4"/>
      <c r="DJ575" s="4"/>
      <c r="DK575" s="4"/>
      <c r="DL575" s="4"/>
      <c r="DM575" s="4"/>
      <c r="DN575" s="4"/>
      <c r="DO575" s="4"/>
      <c r="DP575" s="4"/>
      <c r="DQ575" s="4"/>
      <c r="DR575" s="4"/>
      <c r="DS575" s="4"/>
    </row>
    <row r="576">
      <c r="A576" s="9">
        <f>IFERROR(__xludf.DUMMYFUNCTION("""COMPUTED_VALUE"""),45611.0)</f>
        <v>45611</v>
      </c>
      <c r="B576" s="6" t="str">
        <f>IFERROR(__xludf.DUMMYFUNCTION("""COMPUTED_VALUE"""),"Pets")</f>
        <v>Pets</v>
      </c>
      <c r="C576" s="7">
        <f>IFERROR(__xludf.DUMMYFUNCTION("""COMPUTED_VALUE"""),10812.5)</f>
        <v>10812.5</v>
      </c>
      <c r="D576" s="6" t="str">
        <f>IFERROR(__xludf.DUMMYFUNCTION("""COMPUTED_VALUE"""),"Pets")</f>
        <v>Pets</v>
      </c>
      <c r="E576" s="6" t="str">
        <f>IFERROR(__xludf.DUMMYFUNCTION("""COMPUTED_VALUE"""),"Credit Card")</f>
        <v>Credit Card</v>
      </c>
      <c r="F576" s="6" t="s">
        <v>7</v>
      </c>
      <c r="G576" s="8" t="str">
        <f t="shared" si="1"/>
        <v>202411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  <c r="CD576" s="4"/>
      <c r="CE576" s="4"/>
      <c r="CF576" s="4"/>
      <c r="CG576" s="4"/>
      <c r="CH576" s="4"/>
      <c r="CI576" s="4"/>
      <c r="CJ576" s="4"/>
      <c r="CK576" s="4"/>
      <c r="CL576" s="4"/>
      <c r="CM576" s="4"/>
      <c r="CN576" s="4"/>
      <c r="CO576" s="4"/>
      <c r="CP576" s="4"/>
      <c r="CQ576" s="4"/>
      <c r="CR576" s="4"/>
      <c r="CS576" s="4"/>
      <c r="CT576" s="4"/>
      <c r="CU576" s="4"/>
      <c r="CV576" s="4"/>
      <c r="CW576" s="4"/>
      <c r="CX576" s="4"/>
      <c r="CY576" s="4"/>
      <c r="CZ576" s="4"/>
      <c r="DA576" s="4"/>
      <c r="DB576" s="4"/>
      <c r="DC576" s="4"/>
      <c r="DD576" s="4"/>
      <c r="DE576" s="4"/>
      <c r="DF576" s="4"/>
      <c r="DG576" s="4"/>
      <c r="DH576" s="4"/>
      <c r="DI576" s="4"/>
      <c r="DJ576" s="4"/>
      <c r="DK576" s="4"/>
      <c r="DL576" s="4"/>
      <c r="DM576" s="4"/>
      <c r="DN576" s="4"/>
      <c r="DO576" s="4"/>
      <c r="DP576" s="4"/>
      <c r="DQ576" s="4"/>
      <c r="DR576" s="4"/>
      <c r="DS576" s="4"/>
    </row>
    <row r="577">
      <c r="A577" s="9">
        <f>IFERROR(__xludf.DUMMYFUNCTION("""COMPUTED_VALUE"""),45611.0)</f>
        <v>45611</v>
      </c>
      <c r="B577" s="6" t="str">
        <f>IFERROR(__xludf.DUMMYFUNCTION("""COMPUTED_VALUE"""),"Pets")</f>
        <v>Pets</v>
      </c>
      <c r="C577" s="7">
        <f>IFERROR(__xludf.DUMMYFUNCTION("""COMPUTED_VALUE"""),10403.0)</f>
        <v>10403</v>
      </c>
      <c r="D577" s="6" t="str">
        <f>IFERROR(__xludf.DUMMYFUNCTION("""COMPUTED_VALUE"""),"Pets")</f>
        <v>Pets</v>
      </c>
      <c r="E577" s="6" t="str">
        <f>IFERROR(__xludf.DUMMYFUNCTION("""COMPUTED_VALUE"""),"Credit Card")</f>
        <v>Credit Card</v>
      </c>
      <c r="F577" s="6" t="s">
        <v>7</v>
      </c>
      <c r="G577" s="8" t="str">
        <f t="shared" si="1"/>
        <v>202411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  <c r="CD577" s="4"/>
      <c r="CE577" s="4"/>
      <c r="CF577" s="4"/>
      <c r="CG577" s="4"/>
      <c r="CH577" s="4"/>
      <c r="CI577" s="4"/>
      <c r="CJ577" s="4"/>
      <c r="CK577" s="4"/>
      <c r="CL577" s="4"/>
      <c r="CM577" s="4"/>
      <c r="CN577" s="4"/>
      <c r="CO577" s="4"/>
      <c r="CP577" s="4"/>
      <c r="CQ577" s="4"/>
      <c r="CR577" s="4"/>
      <c r="CS577" s="4"/>
      <c r="CT577" s="4"/>
      <c r="CU577" s="4"/>
      <c r="CV577" s="4"/>
      <c r="CW577" s="4"/>
      <c r="CX577" s="4"/>
      <c r="CY577" s="4"/>
      <c r="CZ577" s="4"/>
      <c r="DA577" s="4"/>
      <c r="DB577" s="4"/>
      <c r="DC577" s="4"/>
      <c r="DD577" s="4"/>
      <c r="DE577" s="4"/>
      <c r="DF577" s="4"/>
      <c r="DG577" s="4"/>
      <c r="DH577" s="4"/>
      <c r="DI577" s="4"/>
      <c r="DJ577" s="4"/>
      <c r="DK577" s="4"/>
      <c r="DL577" s="4"/>
      <c r="DM577" s="4"/>
      <c r="DN577" s="4"/>
      <c r="DO577" s="4"/>
      <c r="DP577" s="4"/>
      <c r="DQ577" s="4"/>
      <c r="DR577" s="4"/>
      <c r="DS577" s="4"/>
    </row>
    <row r="578">
      <c r="A578" s="9">
        <f>IFERROR(__xludf.DUMMYFUNCTION("""COMPUTED_VALUE"""),45611.0)</f>
        <v>45611</v>
      </c>
      <c r="B578" s="6" t="str">
        <f>IFERROR(__xludf.DUMMYFUNCTION("""COMPUTED_VALUE"""),"Groceries")</f>
        <v>Groceries</v>
      </c>
      <c r="C578" s="7">
        <f>IFERROR(__xludf.DUMMYFUNCTION("""COMPUTED_VALUE"""),3585.0)</f>
        <v>3585</v>
      </c>
      <c r="D578" s="6" t="str">
        <f>IFERROR(__xludf.DUMMYFUNCTION("""COMPUTED_VALUE"""),"Groceries")</f>
        <v>Groceries</v>
      </c>
      <c r="E578" s="6" t="str">
        <f>IFERROR(__xludf.DUMMYFUNCTION("""COMPUTED_VALUE"""),"Split Payment")</f>
        <v>Split Payment</v>
      </c>
      <c r="F578" s="6" t="s">
        <v>7</v>
      </c>
      <c r="G578" s="8" t="str">
        <f t="shared" si="1"/>
        <v>202411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  <c r="CD578" s="4"/>
      <c r="CE578" s="4"/>
      <c r="CF578" s="4"/>
      <c r="CG578" s="4"/>
      <c r="CH578" s="4"/>
      <c r="CI578" s="4"/>
      <c r="CJ578" s="4"/>
      <c r="CK578" s="4"/>
      <c r="CL578" s="4"/>
      <c r="CM578" s="4"/>
      <c r="CN578" s="4"/>
      <c r="CO578" s="4"/>
      <c r="CP578" s="4"/>
      <c r="CQ578" s="4"/>
      <c r="CR578" s="4"/>
      <c r="CS578" s="4"/>
      <c r="CT578" s="4"/>
      <c r="CU578" s="4"/>
      <c r="CV578" s="4"/>
      <c r="CW578" s="4"/>
      <c r="CX578" s="4"/>
      <c r="CY578" s="4"/>
      <c r="CZ578" s="4"/>
      <c r="DA578" s="4"/>
      <c r="DB578" s="4"/>
      <c r="DC578" s="4"/>
      <c r="DD578" s="4"/>
      <c r="DE578" s="4"/>
      <c r="DF578" s="4"/>
      <c r="DG578" s="4"/>
      <c r="DH578" s="4"/>
      <c r="DI578" s="4"/>
      <c r="DJ578" s="4"/>
      <c r="DK578" s="4"/>
      <c r="DL578" s="4"/>
      <c r="DM578" s="4"/>
      <c r="DN578" s="4"/>
      <c r="DO578" s="4"/>
      <c r="DP578" s="4"/>
      <c r="DQ578" s="4"/>
      <c r="DR578" s="4"/>
      <c r="DS578" s="4"/>
    </row>
    <row r="579">
      <c r="A579" s="9">
        <f>IFERROR(__xludf.DUMMYFUNCTION("""COMPUTED_VALUE"""),45611.0)</f>
        <v>45611</v>
      </c>
      <c r="B579" s="6" t="str">
        <f>IFERROR(__xludf.DUMMYFUNCTION("""COMPUTED_VALUE"""),"Groceries")</f>
        <v>Groceries</v>
      </c>
      <c r="C579" s="7">
        <f>IFERROR(__xludf.DUMMYFUNCTION("""COMPUTED_VALUE"""),41.0)</f>
        <v>41</v>
      </c>
      <c r="D579" s="6" t="str">
        <f>IFERROR(__xludf.DUMMYFUNCTION("""COMPUTED_VALUE"""),"Groceries")</f>
        <v>Groceries</v>
      </c>
      <c r="E579" s="6" t="str">
        <f>IFERROR(__xludf.DUMMYFUNCTION("""COMPUTED_VALUE"""),"Virtual Wallet")</f>
        <v>Virtual Wallet</v>
      </c>
      <c r="F579" s="6" t="s">
        <v>7</v>
      </c>
      <c r="G579" s="8" t="str">
        <f t="shared" si="1"/>
        <v>202411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  <c r="CD579" s="4"/>
      <c r="CE579" s="4"/>
      <c r="CF579" s="4"/>
      <c r="CG579" s="4"/>
      <c r="CH579" s="4"/>
      <c r="CI579" s="4"/>
      <c r="CJ579" s="4"/>
      <c r="CK579" s="4"/>
      <c r="CL579" s="4"/>
      <c r="CM579" s="4"/>
      <c r="CN579" s="4"/>
      <c r="CO579" s="4"/>
      <c r="CP579" s="4"/>
      <c r="CQ579" s="4"/>
      <c r="CR579" s="4"/>
      <c r="CS579" s="4"/>
      <c r="CT579" s="4"/>
      <c r="CU579" s="4"/>
      <c r="CV579" s="4"/>
      <c r="CW579" s="4"/>
      <c r="CX579" s="4"/>
      <c r="CY579" s="4"/>
      <c r="CZ579" s="4"/>
      <c r="DA579" s="4"/>
      <c r="DB579" s="4"/>
      <c r="DC579" s="4"/>
      <c r="DD579" s="4"/>
      <c r="DE579" s="4"/>
      <c r="DF579" s="4"/>
      <c r="DG579" s="4"/>
      <c r="DH579" s="4"/>
      <c r="DI579" s="4"/>
      <c r="DJ579" s="4"/>
      <c r="DK579" s="4"/>
      <c r="DL579" s="4"/>
      <c r="DM579" s="4"/>
      <c r="DN579" s="4"/>
      <c r="DO579" s="4"/>
      <c r="DP579" s="4"/>
      <c r="DQ579" s="4"/>
      <c r="DR579" s="4"/>
      <c r="DS579" s="4"/>
    </row>
    <row r="580">
      <c r="A580" s="9">
        <f>IFERROR(__xludf.DUMMYFUNCTION("""COMPUTED_VALUE"""),45611.0)</f>
        <v>45611</v>
      </c>
      <c r="B580" s="6" t="str">
        <f>IFERROR(__xludf.DUMMYFUNCTION("""COMPUTED_VALUE"""),"Home Goods")</f>
        <v>Home Goods</v>
      </c>
      <c r="C580" s="7">
        <f>IFERROR(__xludf.DUMMYFUNCTION("""COMPUTED_VALUE"""),2101.0)</f>
        <v>2101</v>
      </c>
      <c r="D580" s="6" t="str">
        <f>IFERROR(__xludf.DUMMYFUNCTION("""COMPUTED_VALUE"""),"Home Goods &amp; Utilities")</f>
        <v>Home Goods &amp; Utilities</v>
      </c>
      <c r="E580" s="6" t="str">
        <f>IFERROR(__xludf.DUMMYFUNCTION("""COMPUTED_VALUE"""),"Credit Card")</f>
        <v>Credit Card</v>
      </c>
      <c r="F580" s="6" t="s">
        <v>8</v>
      </c>
      <c r="G580" s="8" t="str">
        <f t="shared" si="1"/>
        <v>202411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  <c r="CD580" s="4"/>
      <c r="CE580" s="4"/>
      <c r="CF580" s="4"/>
      <c r="CG580" s="4"/>
      <c r="CH580" s="4"/>
      <c r="CI580" s="4"/>
      <c r="CJ580" s="4"/>
      <c r="CK580" s="4"/>
      <c r="CL580" s="4"/>
      <c r="CM580" s="4"/>
      <c r="CN580" s="4"/>
      <c r="CO580" s="4"/>
      <c r="CP580" s="4"/>
      <c r="CQ580" s="4"/>
      <c r="CR580" s="4"/>
      <c r="CS580" s="4"/>
      <c r="CT580" s="4"/>
      <c r="CU580" s="4"/>
      <c r="CV580" s="4"/>
      <c r="CW580" s="4"/>
      <c r="CX580" s="4"/>
      <c r="CY580" s="4"/>
      <c r="CZ580" s="4"/>
      <c r="DA580" s="4"/>
      <c r="DB580" s="4"/>
      <c r="DC580" s="4"/>
      <c r="DD580" s="4"/>
      <c r="DE580" s="4"/>
      <c r="DF580" s="4"/>
      <c r="DG580" s="4"/>
      <c r="DH580" s="4"/>
      <c r="DI580" s="4"/>
      <c r="DJ580" s="4"/>
      <c r="DK580" s="4"/>
      <c r="DL580" s="4"/>
      <c r="DM580" s="4"/>
      <c r="DN580" s="4"/>
      <c r="DO580" s="4"/>
      <c r="DP580" s="4"/>
      <c r="DQ580" s="4"/>
      <c r="DR580" s="4"/>
      <c r="DS580" s="4"/>
    </row>
    <row r="581">
      <c r="A581" s="9">
        <f>IFERROR(__xludf.DUMMYFUNCTION("""COMPUTED_VALUE"""),45611.0)</f>
        <v>45611</v>
      </c>
      <c r="B581" s="6" t="str">
        <f>IFERROR(__xludf.DUMMYFUNCTION("""COMPUTED_VALUE"""),"Restaurant")</f>
        <v>Restaurant</v>
      </c>
      <c r="C581" s="7">
        <f>IFERROR(__xludf.DUMMYFUNCTION("""COMPUTED_VALUE"""),9750.0)</f>
        <v>9750</v>
      </c>
      <c r="D581" s="6" t="str">
        <f>IFERROR(__xludf.DUMMYFUNCTION("""COMPUTED_VALUE"""),"Restaurant / Café")</f>
        <v>Restaurant / Café</v>
      </c>
      <c r="E581" s="6" t="str">
        <f>IFERROR(__xludf.DUMMYFUNCTION("""COMPUTED_VALUE"""),"Split Payment")</f>
        <v>Split Payment</v>
      </c>
      <c r="F581" s="6" t="s">
        <v>14</v>
      </c>
      <c r="G581" s="8" t="str">
        <f t="shared" si="1"/>
        <v>202411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  <c r="CD581" s="4"/>
      <c r="CE581" s="4"/>
      <c r="CF581" s="4"/>
      <c r="CG581" s="4"/>
      <c r="CH581" s="4"/>
      <c r="CI581" s="4"/>
      <c r="CJ581" s="4"/>
      <c r="CK581" s="4"/>
      <c r="CL581" s="4"/>
      <c r="CM581" s="4"/>
      <c r="CN581" s="4"/>
      <c r="CO581" s="4"/>
      <c r="CP581" s="4"/>
      <c r="CQ581" s="4"/>
      <c r="CR581" s="4"/>
      <c r="CS581" s="4"/>
      <c r="CT581" s="4"/>
      <c r="CU581" s="4"/>
      <c r="CV581" s="4"/>
      <c r="CW581" s="4"/>
      <c r="CX581" s="4"/>
      <c r="CY581" s="4"/>
      <c r="CZ581" s="4"/>
      <c r="DA581" s="4"/>
      <c r="DB581" s="4"/>
      <c r="DC581" s="4"/>
      <c r="DD581" s="4"/>
      <c r="DE581" s="4"/>
      <c r="DF581" s="4"/>
      <c r="DG581" s="4"/>
      <c r="DH581" s="4"/>
      <c r="DI581" s="4"/>
      <c r="DJ581" s="4"/>
      <c r="DK581" s="4"/>
      <c r="DL581" s="4"/>
      <c r="DM581" s="4"/>
      <c r="DN581" s="4"/>
      <c r="DO581" s="4"/>
      <c r="DP581" s="4"/>
      <c r="DQ581" s="4"/>
      <c r="DR581" s="4"/>
      <c r="DS581" s="4"/>
    </row>
    <row r="582">
      <c r="A582" s="9">
        <f>IFERROR(__xludf.DUMMYFUNCTION("""COMPUTED_VALUE"""),45611.0)</f>
        <v>45611</v>
      </c>
      <c r="B582" s="6" t="str">
        <f>IFERROR(__xludf.DUMMYFUNCTION("""COMPUTED_VALUE"""),"Sports")</f>
        <v>Sports</v>
      </c>
      <c r="C582" s="7">
        <f>IFERROR(__xludf.DUMMYFUNCTION("""COMPUTED_VALUE"""),41140.0)</f>
        <v>41140</v>
      </c>
      <c r="D582" s="6" t="str">
        <f>IFERROR(__xludf.DUMMYFUNCTION("""COMPUTED_VALUE"""),"Sports")</f>
        <v>Sports</v>
      </c>
      <c r="E582" s="6" t="str">
        <f>IFERROR(__xludf.DUMMYFUNCTION("""COMPUTED_VALUE"""),"Virtual Wallet")</f>
        <v>Virtual Wallet</v>
      </c>
      <c r="F582" s="6" t="s">
        <v>12</v>
      </c>
      <c r="G582" s="8" t="str">
        <f t="shared" si="1"/>
        <v>202411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  <c r="CD582" s="4"/>
      <c r="CE582" s="4"/>
      <c r="CF582" s="4"/>
      <c r="CG582" s="4"/>
      <c r="CH582" s="4"/>
      <c r="CI582" s="4"/>
      <c r="CJ582" s="4"/>
      <c r="CK582" s="4"/>
      <c r="CL582" s="4"/>
      <c r="CM582" s="4"/>
      <c r="CN582" s="4"/>
      <c r="CO582" s="4"/>
      <c r="CP582" s="4"/>
      <c r="CQ582" s="4"/>
      <c r="CR582" s="4"/>
      <c r="CS582" s="4"/>
      <c r="CT582" s="4"/>
      <c r="CU582" s="4"/>
      <c r="CV582" s="4"/>
      <c r="CW582" s="4"/>
      <c r="CX582" s="4"/>
      <c r="CY582" s="4"/>
      <c r="CZ582" s="4"/>
      <c r="DA582" s="4"/>
      <c r="DB582" s="4"/>
      <c r="DC582" s="4"/>
      <c r="DD582" s="4"/>
      <c r="DE582" s="4"/>
      <c r="DF582" s="4"/>
      <c r="DG582" s="4"/>
      <c r="DH582" s="4"/>
      <c r="DI582" s="4"/>
      <c r="DJ582" s="4"/>
      <c r="DK582" s="4"/>
      <c r="DL582" s="4"/>
      <c r="DM582" s="4"/>
      <c r="DN582" s="4"/>
      <c r="DO582" s="4"/>
      <c r="DP582" s="4"/>
      <c r="DQ582" s="4"/>
      <c r="DR582" s="4"/>
      <c r="DS582" s="4"/>
    </row>
    <row r="583">
      <c r="A583" s="9">
        <f>IFERROR(__xludf.DUMMYFUNCTION("""COMPUTED_VALUE"""),45612.0)</f>
        <v>45612</v>
      </c>
      <c r="B583" s="6" t="str">
        <f>IFERROR(__xludf.DUMMYFUNCTION("""COMPUTED_VALUE"""),"Home Goods")</f>
        <v>Home Goods</v>
      </c>
      <c r="C583" s="7">
        <f>IFERROR(__xludf.DUMMYFUNCTION("""COMPUTED_VALUE"""),4500.0)</f>
        <v>4500</v>
      </c>
      <c r="D583" s="6" t="str">
        <f>IFERROR(__xludf.DUMMYFUNCTION("""COMPUTED_VALUE"""),"Home Goods &amp; Utilities")</f>
        <v>Home Goods &amp; Utilities</v>
      </c>
      <c r="E583" s="6" t="str">
        <f>IFERROR(__xludf.DUMMYFUNCTION("""COMPUTED_VALUE"""),"Virtual Wallet")</f>
        <v>Virtual Wallet</v>
      </c>
      <c r="F583" s="6" t="s">
        <v>8</v>
      </c>
      <c r="G583" s="8" t="str">
        <f t="shared" si="1"/>
        <v>202411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  <c r="CD583" s="4"/>
      <c r="CE583" s="4"/>
      <c r="CF583" s="4"/>
      <c r="CG583" s="4"/>
      <c r="CH583" s="4"/>
      <c r="CI583" s="4"/>
      <c r="CJ583" s="4"/>
      <c r="CK583" s="4"/>
      <c r="CL583" s="4"/>
      <c r="CM583" s="4"/>
      <c r="CN583" s="4"/>
      <c r="CO583" s="4"/>
      <c r="CP583" s="4"/>
      <c r="CQ583" s="4"/>
      <c r="CR583" s="4"/>
      <c r="CS583" s="4"/>
      <c r="CT583" s="4"/>
      <c r="CU583" s="4"/>
      <c r="CV583" s="4"/>
      <c r="CW583" s="4"/>
      <c r="CX583" s="4"/>
      <c r="CY583" s="4"/>
      <c r="CZ583" s="4"/>
      <c r="DA583" s="4"/>
      <c r="DB583" s="4"/>
      <c r="DC583" s="4"/>
      <c r="DD583" s="4"/>
      <c r="DE583" s="4"/>
      <c r="DF583" s="4"/>
      <c r="DG583" s="4"/>
      <c r="DH583" s="4"/>
      <c r="DI583" s="4"/>
      <c r="DJ583" s="4"/>
      <c r="DK583" s="4"/>
      <c r="DL583" s="4"/>
      <c r="DM583" s="4"/>
      <c r="DN583" s="4"/>
      <c r="DO583" s="4"/>
      <c r="DP583" s="4"/>
      <c r="DQ583" s="4"/>
      <c r="DR583" s="4"/>
      <c r="DS583" s="4"/>
    </row>
    <row r="584">
      <c r="A584" s="9">
        <f>IFERROR(__xludf.DUMMYFUNCTION("""COMPUTED_VALUE"""),45612.0)</f>
        <v>45612</v>
      </c>
      <c r="B584" s="6" t="str">
        <f>IFERROR(__xludf.DUMMYFUNCTION("""COMPUTED_VALUE"""),"Home Goods")</f>
        <v>Home Goods</v>
      </c>
      <c r="C584" s="7">
        <f>IFERROR(__xludf.DUMMYFUNCTION("""COMPUTED_VALUE"""),5700.0)</f>
        <v>5700</v>
      </c>
      <c r="D584" s="6" t="str">
        <f>IFERROR(__xludf.DUMMYFUNCTION("""COMPUTED_VALUE"""),"Home Goods &amp; Utilities")</f>
        <v>Home Goods &amp; Utilities</v>
      </c>
      <c r="E584" s="6" t="str">
        <f>IFERROR(__xludf.DUMMYFUNCTION("""COMPUTED_VALUE"""),"Virtual Wallet")</f>
        <v>Virtual Wallet</v>
      </c>
      <c r="F584" s="6" t="s">
        <v>8</v>
      </c>
      <c r="G584" s="8" t="str">
        <f t="shared" si="1"/>
        <v>202411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  <c r="CD584" s="4"/>
      <c r="CE584" s="4"/>
      <c r="CF584" s="4"/>
      <c r="CG584" s="4"/>
      <c r="CH584" s="4"/>
      <c r="CI584" s="4"/>
      <c r="CJ584" s="4"/>
      <c r="CK584" s="4"/>
      <c r="CL584" s="4"/>
      <c r="CM584" s="4"/>
      <c r="CN584" s="4"/>
      <c r="CO584" s="4"/>
      <c r="CP584" s="4"/>
      <c r="CQ584" s="4"/>
      <c r="CR584" s="4"/>
      <c r="CS584" s="4"/>
      <c r="CT584" s="4"/>
      <c r="CU584" s="4"/>
      <c r="CV584" s="4"/>
      <c r="CW584" s="4"/>
      <c r="CX584" s="4"/>
      <c r="CY584" s="4"/>
      <c r="CZ584" s="4"/>
      <c r="DA584" s="4"/>
      <c r="DB584" s="4"/>
      <c r="DC584" s="4"/>
      <c r="DD584" s="4"/>
      <c r="DE584" s="4"/>
      <c r="DF584" s="4"/>
      <c r="DG584" s="4"/>
      <c r="DH584" s="4"/>
      <c r="DI584" s="4"/>
      <c r="DJ584" s="4"/>
      <c r="DK584" s="4"/>
      <c r="DL584" s="4"/>
      <c r="DM584" s="4"/>
      <c r="DN584" s="4"/>
      <c r="DO584" s="4"/>
      <c r="DP584" s="4"/>
      <c r="DQ584" s="4"/>
      <c r="DR584" s="4"/>
      <c r="DS584" s="4"/>
    </row>
    <row r="585">
      <c r="A585" s="9">
        <f>IFERROR(__xludf.DUMMYFUNCTION("""COMPUTED_VALUE"""),45612.0)</f>
        <v>45612</v>
      </c>
      <c r="B585" s="6" t="str">
        <f>IFERROR(__xludf.DUMMYFUNCTION("""COMPUTED_VALUE"""),"Home Goods")</f>
        <v>Home Goods</v>
      </c>
      <c r="C585" s="7">
        <f>IFERROR(__xludf.DUMMYFUNCTION("""COMPUTED_VALUE"""),12000.0)</f>
        <v>12000</v>
      </c>
      <c r="D585" s="6" t="str">
        <f>IFERROR(__xludf.DUMMYFUNCTION("""COMPUTED_VALUE"""),"Home Goods &amp; Utilities")</f>
        <v>Home Goods &amp; Utilities</v>
      </c>
      <c r="E585" s="6" t="str">
        <f>IFERROR(__xludf.DUMMYFUNCTION("""COMPUTED_VALUE"""),"Virtual Wallet")</f>
        <v>Virtual Wallet</v>
      </c>
      <c r="F585" s="6" t="s">
        <v>8</v>
      </c>
      <c r="G585" s="8" t="str">
        <f t="shared" si="1"/>
        <v>202411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  <c r="CD585" s="4"/>
      <c r="CE585" s="4"/>
      <c r="CF585" s="4"/>
      <c r="CG585" s="4"/>
      <c r="CH585" s="4"/>
      <c r="CI585" s="4"/>
      <c r="CJ585" s="4"/>
      <c r="CK585" s="4"/>
      <c r="CL585" s="4"/>
      <c r="CM585" s="4"/>
      <c r="CN585" s="4"/>
      <c r="CO585" s="4"/>
      <c r="CP585" s="4"/>
      <c r="CQ585" s="4"/>
      <c r="CR585" s="4"/>
      <c r="CS585" s="4"/>
      <c r="CT585" s="4"/>
      <c r="CU585" s="4"/>
      <c r="CV585" s="4"/>
      <c r="CW585" s="4"/>
      <c r="CX585" s="4"/>
      <c r="CY585" s="4"/>
      <c r="CZ585" s="4"/>
      <c r="DA585" s="4"/>
      <c r="DB585" s="4"/>
      <c r="DC585" s="4"/>
      <c r="DD585" s="4"/>
      <c r="DE585" s="4"/>
      <c r="DF585" s="4"/>
      <c r="DG585" s="4"/>
      <c r="DH585" s="4"/>
      <c r="DI585" s="4"/>
      <c r="DJ585" s="4"/>
      <c r="DK585" s="4"/>
      <c r="DL585" s="4"/>
      <c r="DM585" s="4"/>
      <c r="DN585" s="4"/>
      <c r="DO585" s="4"/>
      <c r="DP585" s="4"/>
      <c r="DQ585" s="4"/>
      <c r="DR585" s="4"/>
      <c r="DS585" s="4"/>
    </row>
    <row r="586">
      <c r="A586" s="9">
        <f>IFERROR(__xludf.DUMMYFUNCTION("""COMPUTED_VALUE"""),45612.0)</f>
        <v>45612</v>
      </c>
      <c r="B586" s="6" t="str">
        <f>IFERROR(__xludf.DUMMYFUNCTION("""COMPUTED_VALUE"""),"Pets")</f>
        <v>Pets</v>
      </c>
      <c r="C586" s="7">
        <f>IFERROR(__xludf.DUMMYFUNCTION("""COMPUTED_VALUE"""),600.0)</f>
        <v>600</v>
      </c>
      <c r="D586" s="6" t="str">
        <f>IFERROR(__xludf.DUMMYFUNCTION("""COMPUTED_VALUE"""),"Pets")</f>
        <v>Pets</v>
      </c>
      <c r="E586" s="6" t="str">
        <f>IFERROR(__xludf.DUMMYFUNCTION("""COMPUTED_VALUE"""),"Virtual Wallet")</f>
        <v>Virtual Wallet</v>
      </c>
      <c r="F586" s="6" t="s">
        <v>7</v>
      </c>
      <c r="G586" s="8" t="str">
        <f t="shared" si="1"/>
        <v>202411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  <c r="CD586" s="4"/>
      <c r="CE586" s="4"/>
      <c r="CF586" s="4"/>
      <c r="CG586" s="4"/>
      <c r="CH586" s="4"/>
      <c r="CI586" s="4"/>
      <c r="CJ586" s="4"/>
      <c r="CK586" s="4"/>
      <c r="CL586" s="4"/>
      <c r="CM586" s="4"/>
      <c r="CN586" s="4"/>
      <c r="CO586" s="4"/>
      <c r="CP586" s="4"/>
      <c r="CQ586" s="4"/>
      <c r="CR586" s="4"/>
      <c r="CS586" s="4"/>
      <c r="CT586" s="4"/>
      <c r="CU586" s="4"/>
      <c r="CV586" s="4"/>
      <c r="CW586" s="4"/>
      <c r="CX586" s="4"/>
      <c r="CY586" s="4"/>
      <c r="CZ586" s="4"/>
      <c r="DA586" s="4"/>
      <c r="DB586" s="4"/>
      <c r="DC586" s="4"/>
      <c r="DD586" s="4"/>
      <c r="DE586" s="4"/>
      <c r="DF586" s="4"/>
      <c r="DG586" s="4"/>
      <c r="DH586" s="4"/>
      <c r="DI586" s="4"/>
      <c r="DJ586" s="4"/>
      <c r="DK586" s="4"/>
      <c r="DL586" s="4"/>
      <c r="DM586" s="4"/>
      <c r="DN586" s="4"/>
      <c r="DO586" s="4"/>
      <c r="DP586" s="4"/>
      <c r="DQ586" s="4"/>
      <c r="DR586" s="4"/>
      <c r="DS586" s="4"/>
    </row>
    <row r="587">
      <c r="A587" s="9">
        <f>IFERROR(__xludf.DUMMYFUNCTION("""COMPUTED_VALUE"""),45612.0)</f>
        <v>45612</v>
      </c>
      <c r="B587" s="6" t="str">
        <f>IFERROR(__xludf.DUMMYFUNCTION("""COMPUTED_VALUE"""),"Restaurant")</f>
        <v>Restaurant</v>
      </c>
      <c r="C587" s="7">
        <f>IFERROR(__xludf.DUMMYFUNCTION("""COMPUTED_VALUE"""),2000.0)</f>
        <v>2000</v>
      </c>
      <c r="D587" s="6" t="str">
        <f>IFERROR(__xludf.DUMMYFUNCTION("""COMPUTED_VALUE"""),"Restaurant / Café")</f>
        <v>Restaurant / Café</v>
      </c>
      <c r="E587" s="6" t="str">
        <f>IFERROR(__xludf.DUMMYFUNCTION("""COMPUTED_VALUE"""),"Virtual Wallet")</f>
        <v>Virtual Wallet</v>
      </c>
      <c r="F587" s="6" t="s">
        <v>14</v>
      </c>
      <c r="G587" s="8" t="str">
        <f t="shared" si="1"/>
        <v>202411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  <c r="CD587" s="4"/>
      <c r="CE587" s="4"/>
      <c r="CF587" s="4"/>
      <c r="CG587" s="4"/>
      <c r="CH587" s="4"/>
      <c r="CI587" s="4"/>
      <c r="CJ587" s="4"/>
      <c r="CK587" s="4"/>
      <c r="CL587" s="4"/>
      <c r="CM587" s="4"/>
      <c r="CN587" s="4"/>
      <c r="CO587" s="4"/>
      <c r="CP587" s="4"/>
      <c r="CQ587" s="4"/>
      <c r="CR587" s="4"/>
      <c r="CS587" s="4"/>
      <c r="CT587" s="4"/>
      <c r="CU587" s="4"/>
      <c r="CV587" s="4"/>
      <c r="CW587" s="4"/>
      <c r="CX587" s="4"/>
      <c r="CY587" s="4"/>
      <c r="CZ587" s="4"/>
      <c r="DA587" s="4"/>
      <c r="DB587" s="4"/>
      <c r="DC587" s="4"/>
      <c r="DD587" s="4"/>
      <c r="DE587" s="4"/>
      <c r="DF587" s="4"/>
      <c r="DG587" s="4"/>
      <c r="DH587" s="4"/>
      <c r="DI587" s="4"/>
      <c r="DJ587" s="4"/>
      <c r="DK587" s="4"/>
      <c r="DL587" s="4"/>
      <c r="DM587" s="4"/>
      <c r="DN587" s="4"/>
      <c r="DO587" s="4"/>
      <c r="DP587" s="4"/>
      <c r="DQ587" s="4"/>
      <c r="DR587" s="4"/>
      <c r="DS587" s="4"/>
    </row>
    <row r="588">
      <c r="A588" s="9">
        <f>IFERROR(__xludf.DUMMYFUNCTION("""COMPUTED_VALUE"""),45613.0)</f>
        <v>45613</v>
      </c>
      <c r="B588" s="6" t="str">
        <f>IFERROR(__xludf.DUMMYFUNCTION("""COMPUTED_VALUE"""),"Gift")</f>
        <v>Gift</v>
      </c>
      <c r="C588" s="7">
        <f>IFERROR(__xludf.DUMMYFUNCTION("""COMPUTED_VALUE"""),12000.0)</f>
        <v>12000</v>
      </c>
      <c r="D588" s="6" t="str">
        <f>IFERROR(__xludf.DUMMYFUNCTION("""COMPUTED_VALUE"""),"Gifts")</f>
        <v>Gifts</v>
      </c>
      <c r="E588" s="6" t="str">
        <f>IFERROR(__xludf.DUMMYFUNCTION("""COMPUTED_VALUE"""),"Cash")</f>
        <v>Cash</v>
      </c>
      <c r="F588" s="6"/>
      <c r="G588" s="8" t="str">
        <f t="shared" si="1"/>
        <v>202411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  <c r="CD588" s="4"/>
      <c r="CE588" s="4"/>
      <c r="CF588" s="4"/>
      <c r="CG588" s="4"/>
      <c r="CH588" s="4"/>
      <c r="CI588" s="4"/>
      <c r="CJ588" s="4"/>
      <c r="CK588" s="4"/>
      <c r="CL588" s="4"/>
      <c r="CM588" s="4"/>
      <c r="CN588" s="4"/>
      <c r="CO588" s="4"/>
      <c r="CP588" s="4"/>
      <c r="CQ588" s="4"/>
      <c r="CR588" s="4"/>
      <c r="CS588" s="4"/>
      <c r="CT588" s="4"/>
      <c r="CU588" s="4"/>
      <c r="CV588" s="4"/>
      <c r="CW588" s="4"/>
      <c r="CX588" s="4"/>
      <c r="CY588" s="4"/>
      <c r="CZ588" s="4"/>
      <c r="DA588" s="4"/>
      <c r="DB588" s="4"/>
      <c r="DC588" s="4"/>
      <c r="DD588" s="4"/>
      <c r="DE588" s="4"/>
      <c r="DF588" s="4"/>
      <c r="DG588" s="4"/>
      <c r="DH588" s="4"/>
      <c r="DI588" s="4"/>
      <c r="DJ588" s="4"/>
      <c r="DK588" s="4"/>
      <c r="DL588" s="4"/>
      <c r="DM588" s="4"/>
      <c r="DN588" s="4"/>
      <c r="DO588" s="4"/>
      <c r="DP588" s="4"/>
      <c r="DQ588" s="4"/>
      <c r="DR588" s="4"/>
      <c r="DS588" s="4"/>
    </row>
    <row r="589">
      <c r="A589" s="9">
        <f>IFERROR(__xludf.DUMMYFUNCTION("""COMPUTED_VALUE"""),45613.0)</f>
        <v>45613</v>
      </c>
      <c r="B589" s="6" t="str">
        <f>IFERROR(__xludf.DUMMYFUNCTION("""COMPUTED_VALUE"""),"Groceries")</f>
        <v>Groceries</v>
      </c>
      <c r="C589" s="7">
        <f>IFERROR(__xludf.DUMMYFUNCTION("""COMPUTED_VALUE"""),5798.0)</f>
        <v>5798</v>
      </c>
      <c r="D589" s="6" t="str">
        <f>IFERROR(__xludf.DUMMYFUNCTION("""COMPUTED_VALUE"""),"Groceries")</f>
        <v>Groceries</v>
      </c>
      <c r="E589" s="6" t="str">
        <f>IFERROR(__xludf.DUMMYFUNCTION("""COMPUTED_VALUE"""),"Virtual Wallet")</f>
        <v>Virtual Wallet</v>
      </c>
      <c r="F589" s="6" t="s">
        <v>7</v>
      </c>
      <c r="G589" s="8" t="str">
        <f t="shared" si="1"/>
        <v>202411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  <c r="CD589" s="4"/>
      <c r="CE589" s="4"/>
      <c r="CF589" s="4"/>
      <c r="CG589" s="4"/>
      <c r="CH589" s="4"/>
      <c r="CI589" s="4"/>
      <c r="CJ589" s="4"/>
      <c r="CK589" s="4"/>
      <c r="CL589" s="4"/>
      <c r="CM589" s="4"/>
      <c r="CN589" s="4"/>
      <c r="CO589" s="4"/>
      <c r="CP589" s="4"/>
      <c r="CQ589" s="4"/>
      <c r="CR589" s="4"/>
      <c r="CS589" s="4"/>
      <c r="CT589" s="4"/>
      <c r="CU589" s="4"/>
      <c r="CV589" s="4"/>
      <c r="CW589" s="4"/>
      <c r="CX589" s="4"/>
      <c r="CY589" s="4"/>
      <c r="CZ589" s="4"/>
      <c r="DA589" s="4"/>
      <c r="DB589" s="4"/>
      <c r="DC589" s="4"/>
      <c r="DD589" s="4"/>
      <c r="DE589" s="4"/>
      <c r="DF589" s="4"/>
      <c r="DG589" s="4"/>
      <c r="DH589" s="4"/>
      <c r="DI589" s="4"/>
      <c r="DJ589" s="4"/>
      <c r="DK589" s="4"/>
      <c r="DL589" s="4"/>
      <c r="DM589" s="4"/>
      <c r="DN589" s="4"/>
      <c r="DO589" s="4"/>
      <c r="DP589" s="4"/>
      <c r="DQ589" s="4"/>
      <c r="DR589" s="4"/>
      <c r="DS589" s="4"/>
    </row>
    <row r="590">
      <c r="A590" s="9">
        <f>IFERROR(__xludf.DUMMYFUNCTION("""COMPUTED_VALUE"""),45613.0)</f>
        <v>45613</v>
      </c>
      <c r="B590" s="6" t="str">
        <f>IFERROR(__xludf.DUMMYFUNCTION("""COMPUTED_VALUE"""),"Groceries")</f>
        <v>Groceries</v>
      </c>
      <c r="C590" s="7">
        <f>IFERROR(__xludf.DUMMYFUNCTION("""COMPUTED_VALUE"""),2800.0)</f>
        <v>2800</v>
      </c>
      <c r="D590" s="6" t="str">
        <f>IFERROR(__xludf.DUMMYFUNCTION("""COMPUTED_VALUE"""),"Restaurant / Café")</f>
        <v>Restaurant / Café</v>
      </c>
      <c r="E590" s="6" t="str">
        <f>IFERROR(__xludf.DUMMYFUNCTION("""COMPUTED_VALUE"""),"Virtual Wallet")</f>
        <v>Virtual Wallet</v>
      </c>
      <c r="F590" s="6" t="s">
        <v>14</v>
      </c>
      <c r="G590" s="8" t="str">
        <f t="shared" si="1"/>
        <v>202411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  <c r="CD590" s="4"/>
      <c r="CE590" s="4"/>
      <c r="CF590" s="4"/>
      <c r="CG590" s="4"/>
      <c r="CH590" s="4"/>
      <c r="CI590" s="4"/>
      <c r="CJ590" s="4"/>
      <c r="CK590" s="4"/>
      <c r="CL590" s="4"/>
      <c r="CM590" s="4"/>
      <c r="CN590" s="4"/>
      <c r="CO590" s="4"/>
      <c r="CP590" s="4"/>
      <c r="CQ590" s="4"/>
      <c r="CR590" s="4"/>
      <c r="CS590" s="4"/>
      <c r="CT590" s="4"/>
      <c r="CU590" s="4"/>
      <c r="CV590" s="4"/>
      <c r="CW590" s="4"/>
      <c r="CX590" s="4"/>
      <c r="CY590" s="4"/>
      <c r="CZ590" s="4"/>
      <c r="DA590" s="4"/>
      <c r="DB590" s="4"/>
      <c r="DC590" s="4"/>
      <c r="DD590" s="4"/>
      <c r="DE590" s="4"/>
      <c r="DF590" s="4"/>
      <c r="DG590" s="4"/>
      <c r="DH590" s="4"/>
      <c r="DI590" s="4"/>
      <c r="DJ590" s="4"/>
      <c r="DK590" s="4"/>
      <c r="DL590" s="4"/>
      <c r="DM590" s="4"/>
      <c r="DN590" s="4"/>
      <c r="DO590" s="4"/>
      <c r="DP590" s="4"/>
      <c r="DQ590" s="4"/>
      <c r="DR590" s="4"/>
      <c r="DS590" s="4"/>
    </row>
    <row r="591">
      <c r="A591" s="9">
        <f>IFERROR(__xludf.DUMMYFUNCTION("""COMPUTED_VALUE"""),45613.0)</f>
        <v>45613</v>
      </c>
      <c r="B591" s="6" t="str">
        <f>IFERROR(__xludf.DUMMYFUNCTION("""COMPUTED_VALUE"""),"Streaming Services")</f>
        <v>Streaming Services</v>
      </c>
      <c r="C591" s="7">
        <f>IFERROR(__xludf.DUMMYFUNCTION("""COMPUTED_VALUE"""),4838.0)</f>
        <v>4838</v>
      </c>
      <c r="D591" s="6" t="str">
        <f>IFERROR(__xludf.DUMMYFUNCTION("""COMPUTED_VALUE"""),"Streaming Services")</f>
        <v>Streaming Services</v>
      </c>
      <c r="E591" s="6" t="str">
        <f>IFERROR(__xludf.DUMMYFUNCTION("""COMPUTED_VALUE"""),"Credit Card")</f>
        <v>Credit Card</v>
      </c>
      <c r="F591" s="6" t="s">
        <v>12</v>
      </c>
      <c r="G591" s="8" t="str">
        <f t="shared" si="1"/>
        <v>202411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  <c r="CD591" s="4"/>
      <c r="CE591" s="4"/>
      <c r="CF591" s="4"/>
      <c r="CG591" s="4"/>
      <c r="CH591" s="4"/>
      <c r="CI591" s="4"/>
      <c r="CJ591" s="4"/>
      <c r="CK591" s="4"/>
      <c r="CL591" s="4"/>
      <c r="CM591" s="4"/>
      <c r="CN591" s="4"/>
      <c r="CO591" s="4"/>
      <c r="CP591" s="4"/>
      <c r="CQ591" s="4"/>
      <c r="CR591" s="4"/>
      <c r="CS591" s="4"/>
      <c r="CT591" s="4"/>
      <c r="CU591" s="4"/>
      <c r="CV591" s="4"/>
      <c r="CW591" s="4"/>
      <c r="CX591" s="4"/>
      <c r="CY591" s="4"/>
      <c r="CZ591" s="4"/>
      <c r="DA591" s="4"/>
      <c r="DB591" s="4"/>
      <c r="DC591" s="4"/>
      <c r="DD591" s="4"/>
      <c r="DE591" s="4"/>
      <c r="DF591" s="4"/>
      <c r="DG591" s="4"/>
      <c r="DH591" s="4"/>
      <c r="DI591" s="4"/>
      <c r="DJ591" s="4"/>
      <c r="DK591" s="4"/>
      <c r="DL591" s="4"/>
      <c r="DM591" s="4"/>
      <c r="DN591" s="4"/>
      <c r="DO591" s="4"/>
      <c r="DP591" s="4"/>
      <c r="DQ591" s="4"/>
      <c r="DR591" s="4"/>
      <c r="DS591" s="4"/>
    </row>
    <row r="592">
      <c r="A592" s="9">
        <f>IFERROR(__xludf.DUMMYFUNCTION("""COMPUTED_VALUE"""),45614.0)</f>
        <v>45614</v>
      </c>
      <c r="B592" s="6" t="str">
        <f>IFERROR(__xludf.DUMMYFUNCTION("""COMPUTED_VALUE"""),"Lunch Out")</f>
        <v>Lunch Out</v>
      </c>
      <c r="C592" s="7">
        <f>IFERROR(__xludf.DUMMYFUNCTION("""COMPUTED_VALUE"""),2200.0)</f>
        <v>2200</v>
      </c>
      <c r="D592" s="6" t="str">
        <f>IFERROR(__xludf.DUMMYFUNCTION("""COMPUTED_VALUE"""),"Lunch Out")</f>
        <v>Lunch Out</v>
      </c>
      <c r="E592" s="6" t="str">
        <f>IFERROR(__xludf.DUMMYFUNCTION("""COMPUTED_VALUE"""),"Virtual Wallet")</f>
        <v>Virtual Wallet</v>
      </c>
      <c r="F592" s="6" t="s">
        <v>14</v>
      </c>
      <c r="G592" s="8" t="str">
        <f t="shared" si="1"/>
        <v>202411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  <c r="CD592" s="4"/>
      <c r="CE592" s="4"/>
      <c r="CF592" s="4"/>
      <c r="CG592" s="4"/>
      <c r="CH592" s="4"/>
      <c r="CI592" s="4"/>
      <c r="CJ592" s="4"/>
      <c r="CK592" s="4"/>
      <c r="CL592" s="4"/>
      <c r="CM592" s="4"/>
      <c r="CN592" s="4"/>
      <c r="CO592" s="4"/>
      <c r="CP592" s="4"/>
      <c r="CQ592" s="4"/>
      <c r="CR592" s="4"/>
      <c r="CS592" s="4"/>
      <c r="CT592" s="4"/>
      <c r="CU592" s="4"/>
      <c r="CV592" s="4"/>
      <c r="CW592" s="4"/>
      <c r="CX592" s="4"/>
      <c r="CY592" s="4"/>
      <c r="CZ592" s="4"/>
      <c r="DA592" s="4"/>
      <c r="DB592" s="4"/>
      <c r="DC592" s="4"/>
      <c r="DD592" s="4"/>
      <c r="DE592" s="4"/>
      <c r="DF592" s="4"/>
      <c r="DG592" s="4"/>
      <c r="DH592" s="4"/>
      <c r="DI592" s="4"/>
      <c r="DJ592" s="4"/>
      <c r="DK592" s="4"/>
      <c r="DL592" s="4"/>
      <c r="DM592" s="4"/>
      <c r="DN592" s="4"/>
      <c r="DO592" s="4"/>
      <c r="DP592" s="4"/>
      <c r="DQ592" s="4"/>
      <c r="DR592" s="4"/>
      <c r="DS592" s="4"/>
    </row>
    <row r="593">
      <c r="A593" s="9">
        <f>IFERROR(__xludf.DUMMYFUNCTION("""COMPUTED_VALUE"""),45616.0)</f>
        <v>45616</v>
      </c>
      <c r="B593" s="6" t="str">
        <f>IFERROR(__xludf.DUMMYFUNCTION("""COMPUTED_VALUE"""),"Clothing")</f>
        <v>Clothing</v>
      </c>
      <c r="C593" s="7">
        <f>IFERROR(__xludf.DUMMYFUNCTION("""COMPUTED_VALUE"""),9666.0)</f>
        <v>9666</v>
      </c>
      <c r="D593" s="6" t="str">
        <f>IFERROR(__xludf.DUMMYFUNCTION("""COMPUTED_VALUE"""),"Clothing")</f>
        <v>Clothing</v>
      </c>
      <c r="E593" s="6" t="str">
        <f>IFERROR(__xludf.DUMMYFUNCTION("""COMPUTED_VALUE"""),"Credit Card")</f>
        <v>Credit Card</v>
      </c>
      <c r="F593" s="6" t="s">
        <v>10</v>
      </c>
      <c r="G593" s="8" t="str">
        <f t="shared" si="1"/>
        <v>202411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  <c r="CD593" s="4"/>
      <c r="CE593" s="4"/>
      <c r="CF593" s="4"/>
      <c r="CG593" s="4"/>
      <c r="CH593" s="4"/>
      <c r="CI593" s="4"/>
      <c r="CJ593" s="4"/>
      <c r="CK593" s="4"/>
      <c r="CL593" s="4"/>
      <c r="CM593" s="4"/>
      <c r="CN593" s="4"/>
      <c r="CO593" s="4"/>
      <c r="CP593" s="4"/>
      <c r="CQ593" s="4"/>
      <c r="CR593" s="4"/>
      <c r="CS593" s="4"/>
      <c r="CT593" s="4"/>
      <c r="CU593" s="4"/>
      <c r="CV593" s="4"/>
      <c r="CW593" s="4"/>
      <c r="CX593" s="4"/>
      <c r="CY593" s="4"/>
      <c r="CZ593" s="4"/>
      <c r="DA593" s="4"/>
      <c r="DB593" s="4"/>
      <c r="DC593" s="4"/>
      <c r="DD593" s="4"/>
      <c r="DE593" s="4"/>
      <c r="DF593" s="4"/>
      <c r="DG593" s="4"/>
      <c r="DH593" s="4"/>
      <c r="DI593" s="4"/>
      <c r="DJ593" s="4"/>
      <c r="DK593" s="4"/>
      <c r="DL593" s="4"/>
      <c r="DM593" s="4"/>
      <c r="DN593" s="4"/>
      <c r="DO593" s="4"/>
      <c r="DP593" s="4"/>
      <c r="DQ593" s="4"/>
      <c r="DR593" s="4"/>
      <c r="DS593" s="4"/>
    </row>
    <row r="594">
      <c r="A594" s="9">
        <f>IFERROR(__xludf.DUMMYFUNCTION("""COMPUTED_VALUE"""),45616.0)</f>
        <v>45616</v>
      </c>
      <c r="B594" s="6" t="str">
        <f>IFERROR(__xludf.DUMMYFUNCTION("""COMPUTED_VALUE"""),"Electricity Bill (Edesur)")</f>
        <v>Electricity Bill (Edesur)</v>
      </c>
      <c r="C594" s="7">
        <f>IFERROR(__xludf.DUMMYFUNCTION("""COMPUTED_VALUE"""),14850.0)</f>
        <v>14850</v>
      </c>
      <c r="D594" s="6" t="str">
        <f>IFERROR(__xludf.DUMMYFUNCTION("""COMPUTED_VALUE"""),"Basic Services")</f>
        <v>Basic Services</v>
      </c>
      <c r="E594" s="6" t="str">
        <f>IFERROR(__xludf.DUMMYFUNCTION("""COMPUTED_VALUE"""),"Split Payment")</f>
        <v>Split Payment</v>
      </c>
      <c r="F594" s="6" t="s">
        <v>13</v>
      </c>
      <c r="G594" s="8" t="str">
        <f t="shared" si="1"/>
        <v>202411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  <c r="CD594" s="4"/>
      <c r="CE594" s="4"/>
      <c r="CF594" s="4"/>
      <c r="CG594" s="4"/>
      <c r="CH594" s="4"/>
      <c r="CI594" s="4"/>
      <c r="CJ594" s="4"/>
      <c r="CK594" s="4"/>
      <c r="CL594" s="4"/>
      <c r="CM594" s="4"/>
      <c r="CN594" s="4"/>
      <c r="CO594" s="4"/>
      <c r="CP594" s="4"/>
      <c r="CQ594" s="4"/>
      <c r="CR594" s="4"/>
      <c r="CS594" s="4"/>
      <c r="CT594" s="4"/>
      <c r="CU594" s="4"/>
      <c r="CV594" s="4"/>
      <c r="CW594" s="4"/>
      <c r="CX594" s="4"/>
      <c r="CY594" s="4"/>
      <c r="CZ594" s="4"/>
      <c r="DA594" s="4"/>
      <c r="DB594" s="4"/>
      <c r="DC594" s="4"/>
      <c r="DD594" s="4"/>
      <c r="DE594" s="4"/>
      <c r="DF594" s="4"/>
      <c r="DG594" s="4"/>
      <c r="DH594" s="4"/>
      <c r="DI594" s="4"/>
      <c r="DJ594" s="4"/>
      <c r="DK594" s="4"/>
      <c r="DL594" s="4"/>
      <c r="DM594" s="4"/>
      <c r="DN594" s="4"/>
      <c r="DO594" s="4"/>
      <c r="DP594" s="4"/>
      <c r="DQ594" s="4"/>
      <c r="DR594" s="4"/>
      <c r="DS594" s="4"/>
    </row>
    <row r="595">
      <c r="A595" s="9">
        <f>IFERROR(__xludf.DUMMYFUNCTION("""COMPUTED_VALUE"""),45616.0)</f>
        <v>45616</v>
      </c>
      <c r="B595" s="6" t="str">
        <f>IFERROR(__xludf.DUMMYFUNCTION("""COMPUTED_VALUE"""),"Groceries")</f>
        <v>Groceries</v>
      </c>
      <c r="C595" s="7">
        <f>IFERROR(__xludf.DUMMYFUNCTION("""COMPUTED_VALUE"""),3500.0)</f>
        <v>3500</v>
      </c>
      <c r="D595" s="6" t="str">
        <f>IFERROR(__xludf.DUMMYFUNCTION("""COMPUTED_VALUE"""),"Lunch Out")</f>
        <v>Lunch Out</v>
      </c>
      <c r="E595" s="6" t="str">
        <f>IFERROR(__xludf.DUMMYFUNCTION("""COMPUTED_VALUE"""),"Virtual Wallet")</f>
        <v>Virtual Wallet</v>
      </c>
      <c r="F595" s="6" t="s">
        <v>14</v>
      </c>
      <c r="G595" s="8" t="str">
        <f t="shared" si="1"/>
        <v>202411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  <c r="CD595" s="4"/>
      <c r="CE595" s="4"/>
      <c r="CF595" s="4"/>
      <c r="CG595" s="4"/>
      <c r="CH595" s="4"/>
      <c r="CI595" s="4"/>
      <c r="CJ595" s="4"/>
      <c r="CK595" s="4"/>
      <c r="CL595" s="4"/>
      <c r="CM595" s="4"/>
      <c r="CN595" s="4"/>
      <c r="CO595" s="4"/>
      <c r="CP595" s="4"/>
      <c r="CQ595" s="4"/>
      <c r="CR595" s="4"/>
      <c r="CS595" s="4"/>
      <c r="CT595" s="4"/>
      <c r="CU595" s="4"/>
      <c r="CV595" s="4"/>
      <c r="CW595" s="4"/>
      <c r="CX595" s="4"/>
      <c r="CY595" s="4"/>
      <c r="CZ595" s="4"/>
      <c r="DA595" s="4"/>
      <c r="DB595" s="4"/>
      <c r="DC595" s="4"/>
      <c r="DD595" s="4"/>
      <c r="DE595" s="4"/>
      <c r="DF595" s="4"/>
      <c r="DG595" s="4"/>
      <c r="DH595" s="4"/>
      <c r="DI595" s="4"/>
      <c r="DJ595" s="4"/>
      <c r="DK595" s="4"/>
      <c r="DL595" s="4"/>
      <c r="DM595" s="4"/>
      <c r="DN595" s="4"/>
      <c r="DO595" s="4"/>
      <c r="DP595" s="4"/>
      <c r="DQ595" s="4"/>
      <c r="DR595" s="4"/>
      <c r="DS595" s="4"/>
    </row>
    <row r="596">
      <c r="A596" s="9">
        <f>IFERROR(__xludf.DUMMYFUNCTION("""COMPUTED_VALUE"""),45616.0)</f>
        <v>45616</v>
      </c>
      <c r="B596" s="6" t="str">
        <f>IFERROR(__xludf.DUMMYFUNCTION("""COMPUTED_VALUE"""),"Pharmacy")</f>
        <v>Pharmacy</v>
      </c>
      <c r="C596" s="7">
        <f>IFERROR(__xludf.DUMMYFUNCTION("""COMPUTED_VALUE"""),14705.0)</f>
        <v>14705</v>
      </c>
      <c r="D596" s="6" t="str">
        <f>IFERROR(__xludf.DUMMYFUNCTION("""COMPUTED_VALUE"""),"Personal Care")</f>
        <v>Personal Care</v>
      </c>
      <c r="E596" s="6" t="str">
        <f>IFERROR(__xludf.DUMMYFUNCTION("""COMPUTED_VALUE"""),"Credit Card")</f>
        <v>Credit Card</v>
      </c>
      <c r="F596" s="6" t="s">
        <v>16</v>
      </c>
      <c r="G596" s="8" t="str">
        <f t="shared" si="1"/>
        <v>202411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  <c r="CD596" s="4"/>
      <c r="CE596" s="4"/>
      <c r="CF596" s="4"/>
      <c r="CG596" s="4"/>
      <c r="CH596" s="4"/>
      <c r="CI596" s="4"/>
      <c r="CJ596" s="4"/>
      <c r="CK596" s="4"/>
      <c r="CL596" s="4"/>
      <c r="CM596" s="4"/>
      <c r="CN596" s="4"/>
      <c r="CO596" s="4"/>
      <c r="CP596" s="4"/>
      <c r="CQ596" s="4"/>
      <c r="CR596" s="4"/>
      <c r="CS596" s="4"/>
      <c r="CT596" s="4"/>
      <c r="CU596" s="4"/>
      <c r="CV596" s="4"/>
      <c r="CW596" s="4"/>
      <c r="CX596" s="4"/>
      <c r="CY596" s="4"/>
      <c r="CZ596" s="4"/>
      <c r="DA596" s="4"/>
      <c r="DB596" s="4"/>
      <c r="DC596" s="4"/>
      <c r="DD596" s="4"/>
      <c r="DE596" s="4"/>
      <c r="DF596" s="4"/>
      <c r="DG596" s="4"/>
      <c r="DH596" s="4"/>
      <c r="DI596" s="4"/>
      <c r="DJ596" s="4"/>
      <c r="DK596" s="4"/>
      <c r="DL596" s="4"/>
      <c r="DM596" s="4"/>
      <c r="DN596" s="4"/>
      <c r="DO596" s="4"/>
      <c r="DP596" s="4"/>
      <c r="DQ596" s="4"/>
      <c r="DR596" s="4"/>
      <c r="DS596" s="4"/>
    </row>
    <row r="597">
      <c r="A597" s="9">
        <f>IFERROR(__xludf.DUMMYFUNCTION("""COMPUTED_VALUE"""),45616.0)</f>
        <v>45616</v>
      </c>
      <c r="B597" s="6" t="str">
        <f>IFERROR(__xludf.DUMMYFUNCTION("""COMPUTED_VALUE"""),"Stationery / Books")</f>
        <v>Stationery / Books</v>
      </c>
      <c r="C597" s="7">
        <f>IFERROR(__xludf.DUMMYFUNCTION("""COMPUTED_VALUE"""),8400.0)</f>
        <v>8400</v>
      </c>
      <c r="D597" s="6" t="str">
        <f>IFERROR(__xludf.DUMMYFUNCTION("""COMPUTED_VALUE"""),"Education")</f>
        <v>Education</v>
      </c>
      <c r="E597" s="6" t="str">
        <f>IFERROR(__xludf.DUMMYFUNCTION("""COMPUTED_VALUE"""),"Credit Card")</f>
        <v>Credit Card</v>
      </c>
      <c r="F597" s="6" t="s">
        <v>11</v>
      </c>
      <c r="G597" s="8" t="str">
        <f t="shared" si="1"/>
        <v>202411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  <c r="CD597" s="4"/>
      <c r="CE597" s="4"/>
      <c r="CF597" s="4"/>
      <c r="CG597" s="4"/>
      <c r="CH597" s="4"/>
      <c r="CI597" s="4"/>
      <c r="CJ597" s="4"/>
      <c r="CK597" s="4"/>
      <c r="CL597" s="4"/>
      <c r="CM597" s="4"/>
      <c r="CN597" s="4"/>
      <c r="CO597" s="4"/>
      <c r="CP597" s="4"/>
      <c r="CQ597" s="4"/>
      <c r="CR597" s="4"/>
      <c r="CS597" s="4"/>
      <c r="CT597" s="4"/>
      <c r="CU597" s="4"/>
      <c r="CV597" s="4"/>
      <c r="CW597" s="4"/>
      <c r="CX597" s="4"/>
      <c r="CY597" s="4"/>
      <c r="CZ597" s="4"/>
      <c r="DA597" s="4"/>
      <c r="DB597" s="4"/>
      <c r="DC597" s="4"/>
      <c r="DD597" s="4"/>
      <c r="DE597" s="4"/>
      <c r="DF597" s="4"/>
      <c r="DG597" s="4"/>
      <c r="DH597" s="4"/>
      <c r="DI597" s="4"/>
      <c r="DJ597" s="4"/>
      <c r="DK597" s="4"/>
      <c r="DL597" s="4"/>
      <c r="DM597" s="4"/>
      <c r="DN597" s="4"/>
      <c r="DO597" s="4"/>
      <c r="DP597" s="4"/>
      <c r="DQ597" s="4"/>
      <c r="DR597" s="4"/>
      <c r="DS597" s="4"/>
    </row>
    <row r="598">
      <c r="A598" s="9">
        <f>IFERROR(__xludf.DUMMYFUNCTION("""COMPUTED_VALUE"""),45616.0)</f>
        <v>45616</v>
      </c>
      <c r="B598" s="6" t="str">
        <f>IFERROR(__xludf.DUMMYFUNCTION("""COMPUTED_VALUE"""),"Water Bill (AySA)")</f>
        <v>Water Bill (AySA)</v>
      </c>
      <c r="C598" s="7">
        <f>IFERROR(__xludf.DUMMYFUNCTION("""COMPUTED_VALUE"""),13350.0)</f>
        <v>13350</v>
      </c>
      <c r="D598" s="6" t="str">
        <f>IFERROR(__xludf.DUMMYFUNCTION("""COMPUTED_VALUE"""),"Basic Services")</f>
        <v>Basic Services</v>
      </c>
      <c r="E598" s="6" t="str">
        <f>IFERROR(__xludf.DUMMYFUNCTION("""COMPUTED_VALUE"""),"Split Payment")</f>
        <v>Split Payment</v>
      </c>
      <c r="F598" s="6" t="s">
        <v>13</v>
      </c>
      <c r="G598" s="8" t="str">
        <f t="shared" si="1"/>
        <v>202411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  <c r="CD598" s="4"/>
      <c r="CE598" s="4"/>
      <c r="CF598" s="4"/>
      <c r="CG598" s="4"/>
      <c r="CH598" s="4"/>
      <c r="CI598" s="4"/>
      <c r="CJ598" s="4"/>
      <c r="CK598" s="4"/>
      <c r="CL598" s="4"/>
      <c r="CM598" s="4"/>
      <c r="CN598" s="4"/>
      <c r="CO598" s="4"/>
      <c r="CP598" s="4"/>
      <c r="CQ598" s="4"/>
      <c r="CR598" s="4"/>
      <c r="CS598" s="4"/>
      <c r="CT598" s="4"/>
      <c r="CU598" s="4"/>
      <c r="CV598" s="4"/>
      <c r="CW598" s="4"/>
      <c r="CX598" s="4"/>
      <c r="CY598" s="4"/>
      <c r="CZ598" s="4"/>
      <c r="DA598" s="4"/>
      <c r="DB598" s="4"/>
      <c r="DC598" s="4"/>
      <c r="DD598" s="4"/>
      <c r="DE598" s="4"/>
      <c r="DF598" s="4"/>
      <c r="DG598" s="4"/>
      <c r="DH598" s="4"/>
      <c r="DI598" s="4"/>
      <c r="DJ598" s="4"/>
      <c r="DK598" s="4"/>
      <c r="DL598" s="4"/>
      <c r="DM598" s="4"/>
      <c r="DN598" s="4"/>
      <c r="DO598" s="4"/>
      <c r="DP598" s="4"/>
      <c r="DQ598" s="4"/>
      <c r="DR598" s="4"/>
      <c r="DS598" s="4"/>
    </row>
    <row r="599">
      <c r="A599" s="9">
        <f>IFERROR(__xludf.DUMMYFUNCTION("""COMPUTED_VALUE"""),45617.0)</f>
        <v>45617</v>
      </c>
      <c r="B599" s="6" t="str">
        <f>IFERROR(__xludf.DUMMYFUNCTION("""COMPUTED_VALUE"""),"Appliances")</f>
        <v>Appliances</v>
      </c>
      <c r="C599" s="7">
        <f>IFERROR(__xludf.DUMMYFUNCTION("""COMPUTED_VALUE"""),2361.0)</f>
        <v>2361</v>
      </c>
      <c r="D599" s="6" t="str">
        <f>IFERROR(__xludf.DUMMYFUNCTION("""COMPUTED_VALUE"""),"Home Goods &amp; Utilities")</f>
        <v>Home Goods &amp; Utilities</v>
      </c>
      <c r="E599" s="6" t="str">
        <f>IFERROR(__xludf.DUMMYFUNCTION("""COMPUTED_VALUE"""),"Credit Card")</f>
        <v>Credit Card</v>
      </c>
      <c r="F599" s="6" t="s">
        <v>8</v>
      </c>
      <c r="G599" s="8" t="str">
        <f t="shared" si="1"/>
        <v>202411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  <c r="CD599" s="4"/>
      <c r="CE599" s="4"/>
      <c r="CF599" s="4"/>
      <c r="CG599" s="4"/>
      <c r="CH599" s="4"/>
      <c r="CI599" s="4"/>
      <c r="CJ599" s="4"/>
      <c r="CK599" s="4"/>
      <c r="CL599" s="4"/>
      <c r="CM599" s="4"/>
      <c r="CN599" s="4"/>
      <c r="CO599" s="4"/>
      <c r="CP599" s="4"/>
      <c r="CQ599" s="4"/>
      <c r="CR599" s="4"/>
      <c r="CS599" s="4"/>
      <c r="CT599" s="4"/>
      <c r="CU599" s="4"/>
      <c r="CV599" s="4"/>
      <c r="CW599" s="4"/>
      <c r="CX599" s="4"/>
      <c r="CY599" s="4"/>
      <c r="CZ599" s="4"/>
      <c r="DA599" s="4"/>
      <c r="DB599" s="4"/>
      <c r="DC599" s="4"/>
      <c r="DD599" s="4"/>
      <c r="DE599" s="4"/>
      <c r="DF599" s="4"/>
      <c r="DG599" s="4"/>
      <c r="DH599" s="4"/>
      <c r="DI599" s="4"/>
      <c r="DJ599" s="4"/>
      <c r="DK599" s="4"/>
      <c r="DL599" s="4"/>
      <c r="DM599" s="4"/>
      <c r="DN599" s="4"/>
      <c r="DO599" s="4"/>
      <c r="DP599" s="4"/>
      <c r="DQ599" s="4"/>
      <c r="DR599" s="4"/>
      <c r="DS599" s="4"/>
    </row>
    <row r="600">
      <c r="A600" s="9">
        <f>IFERROR(__xludf.DUMMYFUNCTION("""COMPUTED_VALUE"""),45617.0)</f>
        <v>45617</v>
      </c>
      <c r="B600" s="6" t="str">
        <f>IFERROR(__xludf.DUMMYFUNCTION("""COMPUTED_VALUE"""),"Home Goods")</f>
        <v>Home Goods</v>
      </c>
      <c r="C600" s="7">
        <f>IFERROR(__xludf.DUMMYFUNCTION("""COMPUTED_VALUE"""),10066.0)</f>
        <v>10066</v>
      </c>
      <c r="D600" s="6" t="str">
        <f>IFERROR(__xludf.DUMMYFUNCTION("""COMPUTED_VALUE"""),"Recreation")</f>
        <v>Recreation</v>
      </c>
      <c r="E600" s="6" t="str">
        <f>IFERROR(__xludf.DUMMYFUNCTION("""COMPUTED_VALUE"""),"Credit Card")</f>
        <v>Credit Card</v>
      </c>
      <c r="F600" s="6" t="s">
        <v>12</v>
      </c>
      <c r="G600" s="8" t="str">
        <f t="shared" si="1"/>
        <v>202411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  <c r="CD600" s="4"/>
      <c r="CE600" s="4"/>
      <c r="CF600" s="4"/>
      <c r="CG600" s="4"/>
      <c r="CH600" s="4"/>
      <c r="CI600" s="4"/>
      <c r="CJ600" s="4"/>
      <c r="CK600" s="4"/>
      <c r="CL600" s="4"/>
      <c r="CM600" s="4"/>
      <c r="CN600" s="4"/>
      <c r="CO600" s="4"/>
      <c r="CP600" s="4"/>
      <c r="CQ600" s="4"/>
      <c r="CR600" s="4"/>
      <c r="CS600" s="4"/>
      <c r="CT600" s="4"/>
      <c r="CU600" s="4"/>
      <c r="CV600" s="4"/>
      <c r="CW600" s="4"/>
      <c r="CX600" s="4"/>
      <c r="CY600" s="4"/>
      <c r="CZ600" s="4"/>
      <c r="DA600" s="4"/>
      <c r="DB600" s="4"/>
      <c r="DC600" s="4"/>
      <c r="DD600" s="4"/>
      <c r="DE600" s="4"/>
      <c r="DF600" s="4"/>
      <c r="DG600" s="4"/>
      <c r="DH600" s="4"/>
      <c r="DI600" s="4"/>
      <c r="DJ600" s="4"/>
      <c r="DK600" s="4"/>
      <c r="DL600" s="4"/>
      <c r="DM600" s="4"/>
      <c r="DN600" s="4"/>
      <c r="DO600" s="4"/>
      <c r="DP600" s="4"/>
      <c r="DQ600" s="4"/>
      <c r="DR600" s="4"/>
      <c r="DS600" s="4"/>
    </row>
    <row r="601">
      <c r="A601" s="9">
        <f>IFERROR(__xludf.DUMMYFUNCTION("""COMPUTED_VALUE"""),45617.0)</f>
        <v>45617</v>
      </c>
      <c r="B601" s="6" t="str">
        <f>IFERROR(__xludf.DUMMYFUNCTION("""COMPUTED_VALUE"""),"Home Goods")</f>
        <v>Home Goods</v>
      </c>
      <c r="C601" s="7">
        <f>IFERROR(__xludf.DUMMYFUNCTION("""COMPUTED_VALUE"""),8750.0)</f>
        <v>8750</v>
      </c>
      <c r="D601" s="6" t="str">
        <f>IFERROR(__xludf.DUMMYFUNCTION("""COMPUTED_VALUE"""),"Recreation")</f>
        <v>Recreation</v>
      </c>
      <c r="E601" s="6" t="str">
        <f>IFERROR(__xludf.DUMMYFUNCTION("""COMPUTED_VALUE"""),"Credit Card")</f>
        <v>Credit Card</v>
      </c>
      <c r="F601" s="6" t="s">
        <v>12</v>
      </c>
      <c r="G601" s="8" t="str">
        <f t="shared" si="1"/>
        <v>202411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  <c r="CD601" s="4"/>
      <c r="CE601" s="4"/>
      <c r="CF601" s="4"/>
      <c r="CG601" s="4"/>
      <c r="CH601" s="4"/>
      <c r="CI601" s="4"/>
      <c r="CJ601" s="4"/>
      <c r="CK601" s="4"/>
      <c r="CL601" s="4"/>
      <c r="CM601" s="4"/>
      <c r="CN601" s="4"/>
      <c r="CO601" s="4"/>
      <c r="CP601" s="4"/>
      <c r="CQ601" s="4"/>
      <c r="CR601" s="4"/>
      <c r="CS601" s="4"/>
      <c r="CT601" s="4"/>
      <c r="CU601" s="4"/>
      <c r="CV601" s="4"/>
      <c r="CW601" s="4"/>
      <c r="CX601" s="4"/>
      <c r="CY601" s="4"/>
      <c r="CZ601" s="4"/>
      <c r="DA601" s="4"/>
      <c r="DB601" s="4"/>
      <c r="DC601" s="4"/>
      <c r="DD601" s="4"/>
      <c r="DE601" s="4"/>
      <c r="DF601" s="4"/>
      <c r="DG601" s="4"/>
      <c r="DH601" s="4"/>
      <c r="DI601" s="4"/>
      <c r="DJ601" s="4"/>
      <c r="DK601" s="4"/>
      <c r="DL601" s="4"/>
      <c r="DM601" s="4"/>
      <c r="DN601" s="4"/>
      <c r="DO601" s="4"/>
      <c r="DP601" s="4"/>
      <c r="DQ601" s="4"/>
      <c r="DR601" s="4"/>
      <c r="DS601" s="4"/>
    </row>
    <row r="602">
      <c r="A602" s="9">
        <f>IFERROR(__xludf.DUMMYFUNCTION("""COMPUTED_VALUE"""),45617.0)</f>
        <v>45617</v>
      </c>
      <c r="B602" s="6" t="str">
        <f>IFERROR(__xludf.DUMMYFUNCTION("""COMPUTED_VALUE"""),"Groceries")</f>
        <v>Groceries</v>
      </c>
      <c r="C602" s="7">
        <f>IFERROR(__xludf.DUMMYFUNCTION("""COMPUTED_VALUE"""),4268.0)</f>
        <v>4268</v>
      </c>
      <c r="D602" s="6" t="str">
        <f>IFERROR(__xludf.DUMMYFUNCTION("""COMPUTED_VALUE"""),"Groceries")</f>
        <v>Groceries</v>
      </c>
      <c r="E602" s="6" t="str">
        <f>IFERROR(__xludf.DUMMYFUNCTION("""COMPUTED_VALUE"""),"Split Payment")</f>
        <v>Split Payment</v>
      </c>
      <c r="F602" s="6" t="s">
        <v>7</v>
      </c>
      <c r="G602" s="8" t="str">
        <f t="shared" si="1"/>
        <v>202411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  <c r="CD602" s="4"/>
      <c r="CE602" s="4"/>
      <c r="CF602" s="4"/>
      <c r="CG602" s="4"/>
      <c r="CH602" s="4"/>
      <c r="CI602" s="4"/>
      <c r="CJ602" s="4"/>
      <c r="CK602" s="4"/>
      <c r="CL602" s="4"/>
      <c r="CM602" s="4"/>
      <c r="CN602" s="4"/>
      <c r="CO602" s="4"/>
      <c r="CP602" s="4"/>
      <c r="CQ602" s="4"/>
      <c r="CR602" s="4"/>
      <c r="CS602" s="4"/>
      <c r="CT602" s="4"/>
      <c r="CU602" s="4"/>
      <c r="CV602" s="4"/>
      <c r="CW602" s="4"/>
      <c r="CX602" s="4"/>
      <c r="CY602" s="4"/>
      <c r="CZ602" s="4"/>
      <c r="DA602" s="4"/>
      <c r="DB602" s="4"/>
      <c r="DC602" s="4"/>
      <c r="DD602" s="4"/>
      <c r="DE602" s="4"/>
      <c r="DF602" s="4"/>
      <c r="DG602" s="4"/>
      <c r="DH602" s="4"/>
      <c r="DI602" s="4"/>
      <c r="DJ602" s="4"/>
      <c r="DK602" s="4"/>
      <c r="DL602" s="4"/>
      <c r="DM602" s="4"/>
      <c r="DN602" s="4"/>
      <c r="DO602" s="4"/>
      <c r="DP602" s="4"/>
      <c r="DQ602" s="4"/>
      <c r="DR602" s="4"/>
      <c r="DS602" s="4"/>
    </row>
    <row r="603">
      <c r="A603" s="9">
        <f>IFERROR(__xludf.DUMMYFUNCTION("""COMPUTED_VALUE"""),45617.0)</f>
        <v>45617</v>
      </c>
      <c r="B603" s="6" t="str">
        <f>IFERROR(__xludf.DUMMYFUNCTION("""COMPUTED_VALUE"""),"Pets")</f>
        <v>Pets</v>
      </c>
      <c r="C603" s="7">
        <f>IFERROR(__xludf.DUMMYFUNCTION("""COMPUTED_VALUE"""),15000.0)</f>
        <v>15000</v>
      </c>
      <c r="D603" s="6" t="str">
        <f>IFERROR(__xludf.DUMMYFUNCTION("""COMPUTED_VALUE"""),"Pets")</f>
        <v>Pets</v>
      </c>
      <c r="E603" s="6" t="str">
        <f>IFERROR(__xludf.DUMMYFUNCTION("""COMPUTED_VALUE"""),"Credit Card")</f>
        <v>Credit Card</v>
      </c>
      <c r="F603" s="6" t="s">
        <v>7</v>
      </c>
      <c r="G603" s="8" t="str">
        <f t="shared" si="1"/>
        <v>202411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  <c r="CD603" s="4"/>
      <c r="CE603" s="4"/>
      <c r="CF603" s="4"/>
      <c r="CG603" s="4"/>
      <c r="CH603" s="4"/>
      <c r="CI603" s="4"/>
      <c r="CJ603" s="4"/>
      <c r="CK603" s="4"/>
      <c r="CL603" s="4"/>
      <c r="CM603" s="4"/>
      <c r="CN603" s="4"/>
      <c r="CO603" s="4"/>
      <c r="CP603" s="4"/>
      <c r="CQ603" s="4"/>
      <c r="CR603" s="4"/>
      <c r="CS603" s="4"/>
      <c r="CT603" s="4"/>
      <c r="CU603" s="4"/>
      <c r="CV603" s="4"/>
      <c r="CW603" s="4"/>
      <c r="CX603" s="4"/>
      <c r="CY603" s="4"/>
      <c r="CZ603" s="4"/>
      <c r="DA603" s="4"/>
      <c r="DB603" s="4"/>
      <c r="DC603" s="4"/>
      <c r="DD603" s="4"/>
      <c r="DE603" s="4"/>
      <c r="DF603" s="4"/>
      <c r="DG603" s="4"/>
      <c r="DH603" s="4"/>
      <c r="DI603" s="4"/>
      <c r="DJ603" s="4"/>
      <c r="DK603" s="4"/>
      <c r="DL603" s="4"/>
      <c r="DM603" s="4"/>
      <c r="DN603" s="4"/>
      <c r="DO603" s="4"/>
      <c r="DP603" s="4"/>
      <c r="DQ603" s="4"/>
      <c r="DR603" s="4"/>
      <c r="DS603" s="4"/>
    </row>
    <row r="604">
      <c r="A604" s="9">
        <f>IFERROR(__xludf.DUMMYFUNCTION("""COMPUTED_VALUE"""),45617.0)</f>
        <v>45617</v>
      </c>
      <c r="B604" s="6" t="str">
        <f>IFERROR(__xludf.DUMMYFUNCTION("""COMPUTED_VALUE"""),"Recreation")</f>
        <v>Recreation</v>
      </c>
      <c r="C604" s="7">
        <f>IFERROR(__xludf.DUMMYFUNCTION("""COMPUTED_VALUE"""),30000.0)</f>
        <v>30000</v>
      </c>
      <c r="D604" s="6" t="str">
        <f>IFERROR(__xludf.DUMMYFUNCTION("""COMPUTED_VALUE"""),"Recreation")</f>
        <v>Recreation</v>
      </c>
      <c r="E604" s="6" t="str">
        <f>IFERROR(__xludf.DUMMYFUNCTION("""COMPUTED_VALUE"""),"Virtual Wallet")</f>
        <v>Virtual Wallet</v>
      </c>
      <c r="F604" s="6" t="s">
        <v>12</v>
      </c>
      <c r="G604" s="8" t="str">
        <f t="shared" si="1"/>
        <v>202411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  <c r="CD604" s="4"/>
      <c r="CE604" s="4"/>
      <c r="CF604" s="4"/>
      <c r="CG604" s="4"/>
      <c r="CH604" s="4"/>
      <c r="CI604" s="4"/>
      <c r="CJ604" s="4"/>
      <c r="CK604" s="4"/>
      <c r="CL604" s="4"/>
      <c r="CM604" s="4"/>
      <c r="CN604" s="4"/>
      <c r="CO604" s="4"/>
      <c r="CP604" s="4"/>
      <c r="CQ604" s="4"/>
      <c r="CR604" s="4"/>
      <c r="CS604" s="4"/>
      <c r="CT604" s="4"/>
      <c r="CU604" s="4"/>
      <c r="CV604" s="4"/>
      <c r="CW604" s="4"/>
      <c r="CX604" s="4"/>
      <c r="CY604" s="4"/>
      <c r="CZ604" s="4"/>
      <c r="DA604" s="4"/>
      <c r="DB604" s="4"/>
      <c r="DC604" s="4"/>
      <c r="DD604" s="4"/>
      <c r="DE604" s="4"/>
      <c r="DF604" s="4"/>
      <c r="DG604" s="4"/>
      <c r="DH604" s="4"/>
      <c r="DI604" s="4"/>
      <c r="DJ604" s="4"/>
      <c r="DK604" s="4"/>
      <c r="DL604" s="4"/>
      <c r="DM604" s="4"/>
      <c r="DN604" s="4"/>
      <c r="DO604" s="4"/>
      <c r="DP604" s="4"/>
      <c r="DQ604" s="4"/>
      <c r="DR604" s="4"/>
      <c r="DS604" s="4"/>
    </row>
    <row r="605">
      <c r="A605" s="9">
        <f>IFERROR(__xludf.DUMMYFUNCTION("""COMPUTED_VALUE"""),45617.0)</f>
        <v>45617</v>
      </c>
      <c r="B605" s="6" t="str">
        <f>IFERROR(__xludf.DUMMYFUNCTION("""COMPUTED_VALUE"""),"Restaurant")</f>
        <v>Restaurant</v>
      </c>
      <c r="C605" s="7">
        <f>IFERROR(__xludf.DUMMYFUNCTION("""COMPUTED_VALUE"""),5600.0)</f>
        <v>5600</v>
      </c>
      <c r="D605" s="6" t="str">
        <f>IFERROR(__xludf.DUMMYFUNCTION("""COMPUTED_VALUE"""),"Restaurant / Café")</f>
        <v>Restaurant / Café</v>
      </c>
      <c r="E605" s="6" t="str">
        <f>IFERROR(__xludf.DUMMYFUNCTION("""COMPUTED_VALUE"""),"Virtual Wallet")</f>
        <v>Virtual Wallet</v>
      </c>
      <c r="F605" s="6" t="s">
        <v>14</v>
      </c>
      <c r="G605" s="8" t="str">
        <f t="shared" si="1"/>
        <v>202411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  <c r="CD605" s="4"/>
      <c r="CE605" s="4"/>
      <c r="CF605" s="4"/>
      <c r="CG605" s="4"/>
      <c r="CH605" s="4"/>
      <c r="CI605" s="4"/>
      <c r="CJ605" s="4"/>
      <c r="CK605" s="4"/>
      <c r="CL605" s="4"/>
      <c r="CM605" s="4"/>
      <c r="CN605" s="4"/>
      <c r="CO605" s="4"/>
      <c r="CP605" s="4"/>
      <c r="CQ605" s="4"/>
      <c r="CR605" s="4"/>
      <c r="CS605" s="4"/>
      <c r="CT605" s="4"/>
      <c r="CU605" s="4"/>
      <c r="CV605" s="4"/>
      <c r="CW605" s="4"/>
      <c r="CX605" s="4"/>
      <c r="CY605" s="4"/>
      <c r="CZ605" s="4"/>
      <c r="DA605" s="4"/>
      <c r="DB605" s="4"/>
      <c r="DC605" s="4"/>
      <c r="DD605" s="4"/>
      <c r="DE605" s="4"/>
      <c r="DF605" s="4"/>
      <c r="DG605" s="4"/>
      <c r="DH605" s="4"/>
      <c r="DI605" s="4"/>
      <c r="DJ605" s="4"/>
      <c r="DK605" s="4"/>
      <c r="DL605" s="4"/>
      <c r="DM605" s="4"/>
      <c r="DN605" s="4"/>
      <c r="DO605" s="4"/>
      <c r="DP605" s="4"/>
      <c r="DQ605" s="4"/>
      <c r="DR605" s="4"/>
      <c r="DS605" s="4"/>
    </row>
    <row r="606">
      <c r="A606" s="9">
        <f>IFERROR(__xludf.DUMMYFUNCTION("""COMPUTED_VALUE"""),45617.0)</f>
        <v>45617</v>
      </c>
      <c r="B606" s="6" t="str">
        <f>IFERROR(__xludf.DUMMYFUNCTION("""COMPUTED_VALUE"""),"Streaming Services")</f>
        <v>Streaming Services</v>
      </c>
      <c r="C606" s="7">
        <f>IFERROR(__xludf.DUMMYFUNCTION("""COMPUTED_VALUE"""),5132.0)</f>
        <v>5132</v>
      </c>
      <c r="D606" s="6" t="str">
        <f>IFERROR(__xludf.DUMMYFUNCTION("""COMPUTED_VALUE"""),"Streaming Services")</f>
        <v>Streaming Services</v>
      </c>
      <c r="E606" s="6" t="str">
        <f>IFERROR(__xludf.DUMMYFUNCTION("""COMPUTED_VALUE"""),"Credit Card")</f>
        <v>Credit Card</v>
      </c>
      <c r="F606" s="6" t="s">
        <v>12</v>
      </c>
      <c r="G606" s="8" t="str">
        <f t="shared" si="1"/>
        <v>202411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  <c r="CD606" s="4"/>
      <c r="CE606" s="4"/>
      <c r="CF606" s="4"/>
      <c r="CG606" s="4"/>
      <c r="CH606" s="4"/>
      <c r="CI606" s="4"/>
      <c r="CJ606" s="4"/>
      <c r="CK606" s="4"/>
      <c r="CL606" s="4"/>
      <c r="CM606" s="4"/>
      <c r="CN606" s="4"/>
      <c r="CO606" s="4"/>
      <c r="CP606" s="4"/>
      <c r="CQ606" s="4"/>
      <c r="CR606" s="4"/>
      <c r="CS606" s="4"/>
      <c r="CT606" s="4"/>
      <c r="CU606" s="4"/>
      <c r="CV606" s="4"/>
      <c r="CW606" s="4"/>
      <c r="CX606" s="4"/>
      <c r="CY606" s="4"/>
      <c r="CZ606" s="4"/>
      <c r="DA606" s="4"/>
      <c r="DB606" s="4"/>
      <c r="DC606" s="4"/>
      <c r="DD606" s="4"/>
      <c r="DE606" s="4"/>
      <c r="DF606" s="4"/>
      <c r="DG606" s="4"/>
      <c r="DH606" s="4"/>
      <c r="DI606" s="4"/>
      <c r="DJ606" s="4"/>
      <c r="DK606" s="4"/>
      <c r="DL606" s="4"/>
      <c r="DM606" s="4"/>
      <c r="DN606" s="4"/>
      <c r="DO606" s="4"/>
      <c r="DP606" s="4"/>
      <c r="DQ606" s="4"/>
      <c r="DR606" s="4"/>
      <c r="DS606" s="4"/>
    </row>
    <row r="607">
      <c r="A607" s="9">
        <f>IFERROR(__xludf.DUMMYFUNCTION("""COMPUTED_VALUE"""),45618.0)</f>
        <v>45618</v>
      </c>
      <c r="B607" s="6" t="str">
        <f>IFERROR(__xludf.DUMMYFUNCTION("""COMPUTED_VALUE"""),"Cab/Uber")</f>
        <v>Cab/Uber</v>
      </c>
      <c r="C607" s="7">
        <f>IFERROR(__xludf.DUMMYFUNCTION("""COMPUTED_VALUE"""),10101.0)</f>
        <v>10101</v>
      </c>
      <c r="D607" s="6" t="str">
        <f>IFERROR(__xludf.DUMMYFUNCTION("""COMPUTED_VALUE"""),"Transportation")</f>
        <v>Transportation</v>
      </c>
      <c r="E607" s="6" t="str">
        <f>IFERROR(__xludf.DUMMYFUNCTION("""COMPUTED_VALUE"""),"Virtual Wallet")</f>
        <v>Virtual Wallet</v>
      </c>
      <c r="F607" s="6" t="s">
        <v>9</v>
      </c>
      <c r="G607" s="8" t="str">
        <f t="shared" si="1"/>
        <v>202411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  <c r="CD607" s="4"/>
      <c r="CE607" s="4"/>
      <c r="CF607" s="4"/>
      <c r="CG607" s="4"/>
      <c r="CH607" s="4"/>
      <c r="CI607" s="4"/>
      <c r="CJ607" s="4"/>
      <c r="CK607" s="4"/>
      <c r="CL607" s="4"/>
      <c r="CM607" s="4"/>
      <c r="CN607" s="4"/>
      <c r="CO607" s="4"/>
      <c r="CP607" s="4"/>
      <c r="CQ607" s="4"/>
      <c r="CR607" s="4"/>
      <c r="CS607" s="4"/>
      <c r="CT607" s="4"/>
      <c r="CU607" s="4"/>
      <c r="CV607" s="4"/>
      <c r="CW607" s="4"/>
      <c r="CX607" s="4"/>
      <c r="CY607" s="4"/>
      <c r="CZ607" s="4"/>
      <c r="DA607" s="4"/>
      <c r="DB607" s="4"/>
      <c r="DC607" s="4"/>
      <c r="DD607" s="4"/>
      <c r="DE607" s="4"/>
      <c r="DF607" s="4"/>
      <c r="DG607" s="4"/>
      <c r="DH607" s="4"/>
      <c r="DI607" s="4"/>
      <c r="DJ607" s="4"/>
      <c r="DK607" s="4"/>
      <c r="DL607" s="4"/>
      <c r="DM607" s="4"/>
      <c r="DN607" s="4"/>
      <c r="DO607" s="4"/>
      <c r="DP607" s="4"/>
      <c r="DQ607" s="4"/>
      <c r="DR607" s="4"/>
      <c r="DS607" s="4"/>
    </row>
    <row r="608">
      <c r="A608" s="9">
        <f>IFERROR(__xludf.DUMMYFUNCTION("""COMPUTED_VALUE"""),45618.0)</f>
        <v>45618</v>
      </c>
      <c r="B608" s="6" t="str">
        <f>IFERROR(__xludf.DUMMYFUNCTION("""COMPUTED_VALUE"""),"Groceries")</f>
        <v>Groceries</v>
      </c>
      <c r="C608" s="7">
        <f>IFERROR(__xludf.DUMMYFUNCTION("""COMPUTED_VALUE"""),10481.0)</f>
        <v>10481</v>
      </c>
      <c r="D608" s="6" t="str">
        <f>IFERROR(__xludf.DUMMYFUNCTION("""COMPUTED_VALUE"""),"Groceries")</f>
        <v>Groceries</v>
      </c>
      <c r="E608" s="6" t="str">
        <f>IFERROR(__xludf.DUMMYFUNCTION("""COMPUTED_VALUE"""),"Split Payment")</f>
        <v>Split Payment</v>
      </c>
      <c r="F608" s="6" t="s">
        <v>7</v>
      </c>
      <c r="G608" s="8" t="str">
        <f t="shared" si="1"/>
        <v>202411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  <c r="CD608" s="4"/>
      <c r="CE608" s="4"/>
      <c r="CF608" s="4"/>
      <c r="CG608" s="4"/>
      <c r="CH608" s="4"/>
      <c r="CI608" s="4"/>
      <c r="CJ608" s="4"/>
      <c r="CK608" s="4"/>
      <c r="CL608" s="4"/>
      <c r="CM608" s="4"/>
      <c r="CN608" s="4"/>
      <c r="CO608" s="4"/>
      <c r="CP608" s="4"/>
      <c r="CQ608" s="4"/>
      <c r="CR608" s="4"/>
      <c r="CS608" s="4"/>
      <c r="CT608" s="4"/>
      <c r="CU608" s="4"/>
      <c r="CV608" s="4"/>
      <c r="CW608" s="4"/>
      <c r="CX608" s="4"/>
      <c r="CY608" s="4"/>
      <c r="CZ608" s="4"/>
      <c r="DA608" s="4"/>
      <c r="DB608" s="4"/>
      <c r="DC608" s="4"/>
      <c r="DD608" s="4"/>
      <c r="DE608" s="4"/>
      <c r="DF608" s="4"/>
      <c r="DG608" s="4"/>
      <c r="DH608" s="4"/>
      <c r="DI608" s="4"/>
      <c r="DJ608" s="4"/>
      <c r="DK608" s="4"/>
      <c r="DL608" s="4"/>
      <c r="DM608" s="4"/>
      <c r="DN608" s="4"/>
      <c r="DO608" s="4"/>
      <c r="DP608" s="4"/>
      <c r="DQ608" s="4"/>
      <c r="DR608" s="4"/>
      <c r="DS608" s="4"/>
    </row>
    <row r="609">
      <c r="A609" s="9">
        <f>IFERROR(__xludf.DUMMYFUNCTION("""COMPUTED_VALUE"""),45618.0)</f>
        <v>45618</v>
      </c>
      <c r="B609" s="6" t="str">
        <f>IFERROR(__xludf.DUMMYFUNCTION("""COMPUTED_VALUE"""),"Restaurant")</f>
        <v>Restaurant</v>
      </c>
      <c r="C609" s="7">
        <f>IFERROR(__xludf.DUMMYFUNCTION("""COMPUTED_VALUE"""),8899.0)</f>
        <v>8899</v>
      </c>
      <c r="D609" s="6" t="str">
        <f>IFERROR(__xludf.DUMMYFUNCTION("""COMPUTED_VALUE"""),"Restaurant / Café")</f>
        <v>Restaurant / Café</v>
      </c>
      <c r="E609" s="6" t="str">
        <f>IFERROR(__xludf.DUMMYFUNCTION("""COMPUTED_VALUE"""),"Credit Card")</f>
        <v>Credit Card</v>
      </c>
      <c r="F609" s="6" t="s">
        <v>14</v>
      </c>
      <c r="G609" s="8" t="str">
        <f t="shared" si="1"/>
        <v>202411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  <c r="CD609" s="4"/>
      <c r="CE609" s="4"/>
      <c r="CF609" s="4"/>
      <c r="CG609" s="4"/>
      <c r="CH609" s="4"/>
      <c r="CI609" s="4"/>
      <c r="CJ609" s="4"/>
      <c r="CK609" s="4"/>
      <c r="CL609" s="4"/>
      <c r="CM609" s="4"/>
      <c r="CN609" s="4"/>
      <c r="CO609" s="4"/>
      <c r="CP609" s="4"/>
      <c r="CQ609" s="4"/>
      <c r="CR609" s="4"/>
      <c r="CS609" s="4"/>
      <c r="CT609" s="4"/>
      <c r="CU609" s="4"/>
      <c r="CV609" s="4"/>
      <c r="CW609" s="4"/>
      <c r="CX609" s="4"/>
      <c r="CY609" s="4"/>
      <c r="CZ609" s="4"/>
      <c r="DA609" s="4"/>
      <c r="DB609" s="4"/>
      <c r="DC609" s="4"/>
      <c r="DD609" s="4"/>
      <c r="DE609" s="4"/>
      <c r="DF609" s="4"/>
      <c r="DG609" s="4"/>
      <c r="DH609" s="4"/>
      <c r="DI609" s="4"/>
      <c r="DJ609" s="4"/>
      <c r="DK609" s="4"/>
      <c r="DL609" s="4"/>
      <c r="DM609" s="4"/>
      <c r="DN609" s="4"/>
      <c r="DO609" s="4"/>
      <c r="DP609" s="4"/>
      <c r="DQ609" s="4"/>
      <c r="DR609" s="4"/>
      <c r="DS609" s="4"/>
    </row>
    <row r="610">
      <c r="A610" s="9">
        <f>IFERROR(__xludf.DUMMYFUNCTION("""COMPUTED_VALUE"""),45619.0)</f>
        <v>45619</v>
      </c>
      <c r="B610" s="6" t="str">
        <f>IFERROR(__xludf.DUMMYFUNCTION("""COMPUTED_VALUE"""),"Gasoline")</f>
        <v>Gasoline</v>
      </c>
      <c r="C610" s="7">
        <f>IFERROR(__xludf.DUMMYFUNCTION("""COMPUTED_VALUE"""),10000.0)</f>
        <v>10000</v>
      </c>
      <c r="D610" s="6" t="str">
        <f>IFERROR(__xludf.DUMMYFUNCTION("""COMPUTED_VALUE"""),"Car Expenses")</f>
        <v>Car Expenses</v>
      </c>
      <c r="E610" s="6" t="str">
        <f>IFERROR(__xludf.DUMMYFUNCTION("""COMPUTED_VALUE"""),"Virtual Wallet")</f>
        <v>Virtual Wallet</v>
      </c>
      <c r="F610" s="6" t="s">
        <v>9</v>
      </c>
      <c r="G610" s="8" t="str">
        <f t="shared" si="1"/>
        <v>202411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  <c r="CD610" s="4"/>
      <c r="CE610" s="4"/>
      <c r="CF610" s="4"/>
      <c r="CG610" s="4"/>
      <c r="CH610" s="4"/>
      <c r="CI610" s="4"/>
      <c r="CJ610" s="4"/>
      <c r="CK610" s="4"/>
      <c r="CL610" s="4"/>
      <c r="CM610" s="4"/>
      <c r="CN610" s="4"/>
      <c r="CO610" s="4"/>
      <c r="CP610" s="4"/>
      <c r="CQ610" s="4"/>
      <c r="CR610" s="4"/>
      <c r="CS610" s="4"/>
      <c r="CT610" s="4"/>
      <c r="CU610" s="4"/>
      <c r="CV610" s="4"/>
      <c r="CW610" s="4"/>
      <c r="CX610" s="4"/>
      <c r="CY610" s="4"/>
      <c r="CZ610" s="4"/>
      <c r="DA610" s="4"/>
      <c r="DB610" s="4"/>
      <c r="DC610" s="4"/>
      <c r="DD610" s="4"/>
      <c r="DE610" s="4"/>
      <c r="DF610" s="4"/>
      <c r="DG610" s="4"/>
      <c r="DH610" s="4"/>
      <c r="DI610" s="4"/>
      <c r="DJ610" s="4"/>
      <c r="DK610" s="4"/>
      <c r="DL610" s="4"/>
      <c r="DM610" s="4"/>
      <c r="DN610" s="4"/>
      <c r="DO610" s="4"/>
      <c r="DP610" s="4"/>
      <c r="DQ610" s="4"/>
      <c r="DR610" s="4"/>
      <c r="DS610" s="4"/>
    </row>
    <row r="611">
      <c r="A611" s="9">
        <f>IFERROR(__xludf.DUMMYFUNCTION("""COMPUTED_VALUE"""),45619.0)</f>
        <v>45619</v>
      </c>
      <c r="B611" s="6" t="str">
        <f>IFERROR(__xludf.DUMMYFUNCTION("""COMPUTED_VALUE"""),"Restaurant")</f>
        <v>Restaurant</v>
      </c>
      <c r="C611" s="7">
        <f>IFERROR(__xludf.DUMMYFUNCTION("""COMPUTED_VALUE"""),6150.0)</f>
        <v>6150</v>
      </c>
      <c r="D611" s="6" t="str">
        <f>IFERROR(__xludf.DUMMYFUNCTION("""COMPUTED_VALUE"""),"Restaurant / Café")</f>
        <v>Restaurant / Café</v>
      </c>
      <c r="E611" s="6" t="str">
        <f>IFERROR(__xludf.DUMMYFUNCTION("""COMPUTED_VALUE"""),"Split Payment")</f>
        <v>Split Payment</v>
      </c>
      <c r="F611" s="6" t="s">
        <v>14</v>
      </c>
      <c r="G611" s="8" t="str">
        <f t="shared" si="1"/>
        <v>202411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  <c r="CD611" s="4"/>
      <c r="CE611" s="4"/>
      <c r="CF611" s="4"/>
      <c r="CG611" s="4"/>
      <c r="CH611" s="4"/>
      <c r="CI611" s="4"/>
      <c r="CJ611" s="4"/>
      <c r="CK611" s="4"/>
      <c r="CL611" s="4"/>
      <c r="CM611" s="4"/>
      <c r="CN611" s="4"/>
      <c r="CO611" s="4"/>
      <c r="CP611" s="4"/>
      <c r="CQ611" s="4"/>
      <c r="CR611" s="4"/>
      <c r="CS611" s="4"/>
      <c r="CT611" s="4"/>
      <c r="CU611" s="4"/>
      <c r="CV611" s="4"/>
      <c r="CW611" s="4"/>
      <c r="CX611" s="4"/>
      <c r="CY611" s="4"/>
      <c r="CZ611" s="4"/>
      <c r="DA611" s="4"/>
      <c r="DB611" s="4"/>
      <c r="DC611" s="4"/>
      <c r="DD611" s="4"/>
      <c r="DE611" s="4"/>
      <c r="DF611" s="4"/>
      <c r="DG611" s="4"/>
      <c r="DH611" s="4"/>
      <c r="DI611" s="4"/>
      <c r="DJ611" s="4"/>
      <c r="DK611" s="4"/>
      <c r="DL611" s="4"/>
      <c r="DM611" s="4"/>
      <c r="DN611" s="4"/>
      <c r="DO611" s="4"/>
      <c r="DP611" s="4"/>
      <c r="DQ611" s="4"/>
      <c r="DR611" s="4"/>
      <c r="DS611" s="4"/>
    </row>
    <row r="612">
      <c r="A612" s="9">
        <f>IFERROR(__xludf.DUMMYFUNCTION("""COMPUTED_VALUE"""),45619.0)</f>
        <v>45619</v>
      </c>
      <c r="B612" s="6" t="str">
        <f>IFERROR(__xludf.DUMMYFUNCTION("""COMPUTED_VALUE"""),"Restaurant")</f>
        <v>Restaurant</v>
      </c>
      <c r="C612" s="7">
        <f>IFERROR(__xludf.DUMMYFUNCTION("""COMPUTED_VALUE"""),2200.0)</f>
        <v>2200</v>
      </c>
      <c r="D612" s="6" t="str">
        <f>IFERROR(__xludf.DUMMYFUNCTION("""COMPUTED_VALUE"""),"Restaurant / Café")</f>
        <v>Restaurant / Café</v>
      </c>
      <c r="E612" s="6" t="str">
        <f>IFERROR(__xludf.DUMMYFUNCTION("""COMPUTED_VALUE"""),"Cash")</f>
        <v>Cash</v>
      </c>
      <c r="F612" s="6" t="s">
        <v>14</v>
      </c>
      <c r="G612" s="8" t="str">
        <f t="shared" si="1"/>
        <v>202411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  <c r="CD612" s="4"/>
      <c r="CE612" s="4"/>
      <c r="CF612" s="4"/>
      <c r="CG612" s="4"/>
      <c r="CH612" s="4"/>
      <c r="CI612" s="4"/>
      <c r="CJ612" s="4"/>
      <c r="CK612" s="4"/>
      <c r="CL612" s="4"/>
      <c r="CM612" s="4"/>
      <c r="CN612" s="4"/>
      <c r="CO612" s="4"/>
      <c r="CP612" s="4"/>
      <c r="CQ612" s="4"/>
      <c r="CR612" s="4"/>
      <c r="CS612" s="4"/>
      <c r="CT612" s="4"/>
      <c r="CU612" s="4"/>
      <c r="CV612" s="4"/>
      <c r="CW612" s="4"/>
      <c r="CX612" s="4"/>
      <c r="CY612" s="4"/>
      <c r="CZ612" s="4"/>
      <c r="DA612" s="4"/>
      <c r="DB612" s="4"/>
      <c r="DC612" s="4"/>
      <c r="DD612" s="4"/>
      <c r="DE612" s="4"/>
      <c r="DF612" s="4"/>
      <c r="DG612" s="4"/>
      <c r="DH612" s="4"/>
      <c r="DI612" s="4"/>
      <c r="DJ612" s="4"/>
      <c r="DK612" s="4"/>
      <c r="DL612" s="4"/>
      <c r="DM612" s="4"/>
      <c r="DN612" s="4"/>
      <c r="DO612" s="4"/>
      <c r="DP612" s="4"/>
      <c r="DQ612" s="4"/>
      <c r="DR612" s="4"/>
      <c r="DS612" s="4"/>
    </row>
    <row r="613">
      <c r="A613" s="9">
        <f>IFERROR(__xludf.DUMMYFUNCTION("""COMPUTED_VALUE"""),45619.0)</f>
        <v>45619</v>
      </c>
      <c r="B613" s="6" t="str">
        <f>IFERROR(__xludf.DUMMYFUNCTION("""COMPUTED_VALUE"""),"Car Expenses")</f>
        <v>Car Expenses</v>
      </c>
      <c r="C613" s="7">
        <f>IFERROR(__xludf.DUMMYFUNCTION("""COMPUTED_VALUE"""),650.0)</f>
        <v>650</v>
      </c>
      <c r="D613" s="6" t="str">
        <f>IFERROR(__xludf.DUMMYFUNCTION("""COMPUTED_VALUE"""),"Car Expenses")</f>
        <v>Car Expenses</v>
      </c>
      <c r="E613" s="6" t="str">
        <f>IFERROR(__xludf.DUMMYFUNCTION("""COMPUTED_VALUE"""),"Virtual Wallet")</f>
        <v>Virtual Wallet</v>
      </c>
      <c r="F613" s="6" t="s">
        <v>9</v>
      </c>
      <c r="G613" s="8" t="str">
        <f t="shared" si="1"/>
        <v>202411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  <c r="CD613" s="4"/>
      <c r="CE613" s="4"/>
      <c r="CF613" s="4"/>
      <c r="CG613" s="4"/>
      <c r="CH613" s="4"/>
      <c r="CI613" s="4"/>
      <c r="CJ613" s="4"/>
      <c r="CK613" s="4"/>
      <c r="CL613" s="4"/>
      <c r="CM613" s="4"/>
      <c r="CN613" s="4"/>
      <c r="CO613" s="4"/>
      <c r="CP613" s="4"/>
      <c r="CQ613" s="4"/>
      <c r="CR613" s="4"/>
      <c r="CS613" s="4"/>
      <c r="CT613" s="4"/>
      <c r="CU613" s="4"/>
      <c r="CV613" s="4"/>
      <c r="CW613" s="4"/>
      <c r="CX613" s="4"/>
      <c r="CY613" s="4"/>
      <c r="CZ613" s="4"/>
      <c r="DA613" s="4"/>
      <c r="DB613" s="4"/>
      <c r="DC613" s="4"/>
      <c r="DD613" s="4"/>
      <c r="DE613" s="4"/>
      <c r="DF613" s="4"/>
      <c r="DG613" s="4"/>
      <c r="DH613" s="4"/>
      <c r="DI613" s="4"/>
      <c r="DJ613" s="4"/>
      <c r="DK613" s="4"/>
      <c r="DL613" s="4"/>
      <c r="DM613" s="4"/>
      <c r="DN613" s="4"/>
      <c r="DO613" s="4"/>
      <c r="DP613" s="4"/>
      <c r="DQ613" s="4"/>
      <c r="DR613" s="4"/>
      <c r="DS613" s="4"/>
    </row>
    <row r="614">
      <c r="A614" s="9">
        <f>IFERROR(__xludf.DUMMYFUNCTION("""COMPUTED_VALUE"""),45620.0)</f>
        <v>45620</v>
      </c>
      <c r="B614" s="6" t="str">
        <f>IFERROR(__xludf.DUMMYFUNCTION("""COMPUTED_VALUE"""),"Education")</f>
        <v>Education</v>
      </c>
      <c r="C614" s="7">
        <f>IFERROR(__xludf.DUMMYFUNCTION("""COMPUTED_VALUE"""),20000.0)</f>
        <v>20000</v>
      </c>
      <c r="D614" s="6" t="str">
        <f>IFERROR(__xludf.DUMMYFUNCTION("""COMPUTED_VALUE"""),"Education")</f>
        <v>Education</v>
      </c>
      <c r="E614" s="6" t="str">
        <f>IFERROR(__xludf.DUMMYFUNCTION("""COMPUTED_VALUE"""),"Credit Card")</f>
        <v>Credit Card</v>
      </c>
      <c r="F614" s="6" t="s">
        <v>11</v>
      </c>
      <c r="G614" s="8" t="str">
        <f t="shared" si="1"/>
        <v>202411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  <c r="CD614" s="4"/>
      <c r="CE614" s="4"/>
      <c r="CF614" s="4"/>
      <c r="CG614" s="4"/>
      <c r="CH614" s="4"/>
      <c r="CI614" s="4"/>
      <c r="CJ614" s="4"/>
      <c r="CK614" s="4"/>
      <c r="CL614" s="4"/>
      <c r="CM614" s="4"/>
      <c r="CN614" s="4"/>
      <c r="CO614" s="4"/>
      <c r="CP614" s="4"/>
      <c r="CQ614" s="4"/>
      <c r="CR614" s="4"/>
      <c r="CS614" s="4"/>
      <c r="CT614" s="4"/>
      <c r="CU614" s="4"/>
      <c r="CV614" s="4"/>
      <c r="CW614" s="4"/>
      <c r="CX614" s="4"/>
      <c r="CY614" s="4"/>
      <c r="CZ614" s="4"/>
      <c r="DA614" s="4"/>
      <c r="DB614" s="4"/>
      <c r="DC614" s="4"/>
      <c r="DD614" s="4"/>
      <c r="DE614" s="4"/>
      <c r="DF614" s="4"/>
      <c r="DG614" s="4"/>
      <c r="DH614" s="4"/>
      <c r="DI614" s="4"/>
      <c r="DJ614" s="4"/>
      <c r="DK614" s="4"/>
      <c r="DL614" s="4"/>
      <c r="DM614" s="4"/>
      <c r="DN614" s="4"/>
      <c r="DO614" s="4"/>
      <c r="DP614" s="4"/>
      <c r="DQ614" s="4"/>
      <c r="DR614" s="4"/>
      <c r="DS614" s="4"/>
    </row>
    <row r="615">
      <c r="A615" s="9">
        <f>IFERROR(__xludf.DUMMYFUNCTION("""COMPUTED_VALUE"""),45621.0)</f>
        <v>45621</v>
      </c>
      <c r="B615" s="6" t="str">
        <f>IFERROR(__xludf.DUMMYFUNCTION("""COMPUTED_VALUE"""),"Mobile Plan")</f>
        <v>Mobile Plan</v>
      </c>
      <c r="C615" s="7">
        <f>IFERROR(__xludf.DUMMYFUNCTION("""COMPUTED_VALUE"""),8700.0)</f>
        <v>8700</v>
      </c>
      <c r="D615" s="6" t="str">
        <f>IFERROR(__xludf.DUMMYFUNCTION("""COMPUTED_VALUE"""),"Basic Services")</f>
        <v>Basic Services</v>
      </c>
      <c r="E615" s="6" t="str">
        <f>IFERROR(__xludf.DUMMYFUNCTION("""COMPUTED_VALUE"""),"Virtual Wallet")</f>
        <v>Virtual Wallet</v>
      </c>
      <c r="F615" s="6" t="s">
        <v>13</v>
      </c>
      <c r="G615" s="8" t="str">
        <f t="shared" si="1"/>
        <v>202411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  <c r="CD615" s="4"/>
      <c r="CE615" s="4"/>
      <c r="CF615" s="4"/>
      <c r="CG615" s="4"/>
      <c r="CH615" s="4"/>
      <c r="CI615" s="4"/>
      <c r="CJ615" s="4"/>
      <c r="CK615" s="4"/>
      <c r="CL615" s="4"/>
      <c r="CM615" s="4"/>
      <c r="CN615" s="4"/>
      <c r="CO615" s="4"/>
      <c r="CP615" s="4"/>
      <c r="CQ615" s="4"/>
      <c r="CR615" s="4"/>
      <c r="CS615" s="4"/>
      <c r="CT615" s="4"/>
      <c r="CU615" s="4"/>
      <c r="CV615" s="4"/>
      <c r="CW615" s="4"/>
      <c r="CX615" s="4"/>
      <c r="CY615" s="4"/>
      <c r="CZ615" s="4"/>
      <c r="DA615" s="4"/>
      <c r="DB615" s="4"/>
      <c r="DC615" s="4"/>
      <c r="DD615" s="4"/>
      <c r="DE615" s="4"/>
      <c r="DF615" s="4"/>
      <c r="DG615" s="4"/>
      <c r="DH615" s="4"/>
      <c r="DI615" s="4"/>
      <c r="DJ615" s="4"/>
      <c r="DK615" s="4"/>
      <c r="DL615" s="4"/>
      <c r="DM615" s="4"/>
      <c r="DN615" s="4"/>
      <c r="DO615" s="4"/>
      <c r="DP615" s="4"/>
      <c r="DQ615" s="4"/>
      <c r="DR615" s="4"/>
      <c r="DS615" s="4"/>
    </row>
    <row r="616">
      <c r="A616" s="9">
        <f>IFERROR(__xludf.DUMMYFUNCTION("""COMPUTED_VALUE"""),45622.0)</f>
        <v>45622</v>
      </c>
      <c r="B616" s="6" t="str">
        <f>IFERROR(__xludf.DUMMYFUNCTION("""COMPUTED_VALUE"""),"Lunch Out")</f>
        <v>Lunch Out</v>
      </c>
      <c r="C616" s="7">
        <f>IFERROR(__xludf.DUMMYFUNCTION("""COMPUTED_VALUE"""),3500.0)</f>
        <v>3500</v>
      </c>
      <c r="D616" s="6" t="str">
        <f>IFERROR(__xludf.DUMMYFUNCTION("""COMPUTED_VALUE"""),"Lunch Out")</f>
        <v>Lunch Out</v>
      </c>
      <c r="E616" s="6" t="str">
        <f>IFERROR(__xludf.DUMMYFUNCTION("""COMPUTED_VALUE"""),"Virtual Wallet")</f>
        <v>Virtual Wallet</v>
      </c>
      <c r="F616" s="6" t="s">
        <v>14</v>
      </c>
      <c r="G616" s="8" t="str">
        <f t="shared" si="1"/>
        <v>202411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  <c r="CD616" s="4"/>
      <c r="CE616" s="4"/>
      <c r="CF616" s="4"/>
      <c r="CG616" s="4"/>
      <c r="CH616" s="4"/>
      <c r="CI616" s="4"/>
      <c r="CJ616" s="4"/>
      <c r="CK616" s="4"/>
      <c r="CL616" s="4"/>
      <c r="CM616" s="4"/>
      <c r="CN616" s="4"/>
      <c r="CO616" s="4"/>
      <c r="CP616" s="4"/>
      <c r="CQ616" s="4"/>
      <c r="CR616" s="4"/>
      <c r="CS616" s="4"/>
      <c r="CT616" s="4"/>
      <c r="CU616" s="4"/>
      <c r="CV616" s="4"/>
      <c r="CW616" s="4"/>
      <c r="CX616" s="4"/>
      <c r="CY616" s="4"/>
      <c r="CZ616" s="4"/>
      <c r="DA616" s="4"/>
      <c r="DB616" s="4"/>
      <c r="DC616" s="4"/>
      <c r="DD616" s="4"/>
      <c r="DE616" s="4"/>
      <c r="DF616" s="4"/>
      <c r="DG616" s="4"/>
      <c r="DH616" s="4"/>
      <c r="DI616" s="4"/>
      <c r="DJ616" s="4"/>
      <c r="DK616" s="4"/>
      <c r="DL616" s="4"/>
      <c r="DM616" s="4"/>
      <c r="DN616" s="4"/>
      <c r="DO616" s="4"/>
      <c r="DP616" s="4"/>
      <c r="DQ616" s="4"/>
      <c r="DR616" s="4"/>
      <c r="DS616" s="4"/>
    </row>
    <row r="617">
      <c r="A617" s="9">
        <f>IFERROR(__xludf.DUMMYFUNCTION("""COMPUTED_VALUE"""),45623.0)</f>
        <v>45623</v>
      </c>
      <c r="B617" s="6" t="str">
        <f>IFERROR(__xludf.DUMMYFUNCTION("""COMPUTED_VALUE"""),"Pharmacy")</f>
        <v>Pharmacy</v>
      </c>
      <c r="C617" s="7">
        <f>IFERROR(__xludf.DUMMYFUNCTION("""COMPUTED_VALUE"""),5981.84)</f>
        <v>5981.84</v>
      </c>
      <c r="D617" s="6" t="str">
        <f>IFERROR(__xludf.DUMMYFUNCTION("""COMPUTED_VALUE"""),"Personal Care")</f>
        <v>Personal Care</v>
      </c>
      <c r="E617" s="6" t="str">
        <f>IFERROR(__xludf.DUMMYFUNCTION("""COMPUTED_VALUE"""),"Credit Card")</f>
        <v>Credit Card</v>
      </c>
      <c r="F617" s="6" t="s">
        <v>16</v>
      </c>
      <c r="G617" s="8" t="str">
        <f t="shared" si="1"/>
        <v>202411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  <c r="CD617" s="4"/>
      <c r="CE617" s="4"/>
      <c r="CF617" s="4"/>
      <c r="CG617" s="4"/>
      <c r="CH617" s="4"/>
      <c r="CI617" s="4"/>
      <c r="CJ617" s="4"/>
      <c r="CK617" s="4"/>
      <c r="CL617" s="4"/>
      <c r="CM617" s="4"/>
      <c r="CN617" s="4"/>
      <c r="CO617" s="4"/>
      <c r="CP617" s="4"/>
      <c r="CQ617" s="4"/>
      <c r="CR617" s="4"/>
      <c r="CS617" s="4"/>
      <c r="CT617" s="4"/>
      <c r="CU617" s="4"/>
      <c r="CV617" s="4"/>
      <c r="CW617" s="4"/>
      <c r="CX617" s="4"/>
      <c r="CY617" s="4"/>
      <c r="CZ617" s="4"/>
      <c r="DA617" s="4"/>
      <c r="DB617" s="4"/>
      <c r="DC617" s="4"/>
      <c r="DD617" s="4"/>
      <c r="DE617" s="4"/>
      <c r="DF617" s="4"/>
      <c r="DG617" s="4"/>
      <c r="DH617" s="4"/>
      <c r="DI617" s="4"/>
      <c r="DJ617" s="4"/>
      <c r="DK617" s="4"/>
      <c r="DL617" s="4"/>
      <c r="DM617" s="4"/>
      <c r="DN617" s="4"/>
      <c r="DO617" s="4"/>
      <c r="DP617" s="4"/>
      <c r="DQ617" s="4"/>
      <c r="DR617" s="4"/>
      <c r="DS617" s="4"/>
    </row>
    <row r="618">
      <c r="A618" s="9">
        <f>IFERROR(__xludf.DUMMYFUNCTION("""COMPUTED_VALUE"""),45623.0)</f>
        <v>45623</v>
      </c>
      <c r="B618" s="6" t="str">
        <f>IFERROR(__xludf.DUMMYFUNCTION("""COMPUTED_VALUE"""),"Groceries")</f>
        <v>Groceries</v>
      </c>
      <c r="C618" s="7">
        <f>IFERROR(__xludf.DUMMYFUNCTION("""COMPUTED_VALUE"""),7250.0)</f>
        <v>7250</v>
      </c>
      <c r="D618" s="6" t="str">
        <f>IFERROR(__xludf.DUMMYFUNCTION("""COMPUTED_VALUE"""),"Groceries")</f>
        <v>Groceries</v>
      </c>
      <c r="E618" s="6" t="str">
        <f>IFERROR(__xludf.DUMMYFUNCTION("""COMPUTED_VALUE"""),"Split Payment")</f>
        <v>Split Payment</v>
      </c>
      <c r="F618" s="6" t="s">
        <v>7</v>
      </c>
      <c r="G618" s="8" t="str">
        <f t="shared" si="1"/>
        <v>202411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  <c r="CD618" s="4"/>
      <c r="CE618" s="4"/>
      <c r="CF618" s="4"/>
      <c r="CG618" s="4"/>
      <c r="CH618" s="4"/>
      <c r="CI618" s="4"/>
      <c r="CJ618" s="4"/>
      <c r="CK618" s="4"/>
      <c r="CL618" s="4"/>
      <c r="CM618" s="4"/>
      <c r="CN618" s="4"/>
      <c r="CO618" s="4"/>
      <c r="CP618" s="4"/>
      <c r="CQ618" s="4"/>
      <c r="CR618" s="4"/>
      <c r="CS618" s="4"/>
      <c r="CT618" s="4"/>
      <c r="CU618" s="4"/>
      <c r="CV618" s="4"/>
      <c r="CW618" s="4"/>
      <c r="CX618" s="4"/>
      <c r="CY618" s="4"/>
      <c r="CZ618" s="4"/>
      <c r="DA618" s="4"/>
      <c r="DB618" s="4"/>
      <c r="DC618" s="4"/>
      <c r="DD618" s="4"/>
      <c r="DE618" s="4"/>
      <c r="DF618" s="4"/>
      <c r="DG618" s="4"/>
      <c r="DH618" s="4"/>
      <c r="DI618" s="4"/>
      <c r="DJ618" s="4"/>
      <c r="DK618" s="4"/>
      <c r="DL618" s="4"/>
      <c r="DM618" s="4"/>
      <c r="DN618" s="4"/>
      <c r="DO618" s="4"/>
      <c r="DP618" s="4"/>
      <c r="DQ618" s="4"/>
      <c r="DR618" s="4"/>
      <c r="DS618" s="4"/>
    </row>
    <row r="619">
      <c r="A619" s="9">
        <f>IFERROR(__xludf.DUMMYFUNCTION("""COMPUTED_VALUE"""),45624.0)</f>
        <v>45624</v>
      </c>
      <c r="B619" s="6" t="str">
        <f>IFERROR(__xludf.DUMMYFUNCTION("""COMPUTED_VALUE"""),"Groceries")</f>
        <v>Groceries</v>
      </c>
      <c r="C619" s="7">
        <f>IFERROR(__xludf.DUMMYFUNCTION("""COMPUTED_VALUE"""),4100.0)</f>
        <v>4100</v>
      </c>
      <c r="D619" s="6" t="str">
        <f>IFERROR(__xludf.DUMMYFUNCTION("""COMPUTED_VALUE"""),"Lunch Out")</f>
        <v>Lunch Out</v>
      </c>
      <c r="E619" s="6" t="str">
        <f>IFERROR(__xludf.DUMMYFUNCTION("""COMPUTED_VALUE"""),"Virtual Wallet")</f>
        <v>Virtual Wallet</v>
      </c>
      <c r="F619" s="6" t="s">
        <v>14</v>
      </c>
      <c r="G619" s="8" t="str">
        <f t="shared" si="1"/>
        <v>202411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  <c r="CD619" s="4"/>
      <c r="CE619" s="4"/>
      <c r="CF619" s="4"/>
      <c r="CG619" s="4"/>
      <c r="CH619" s="4"/>
      <c r="CI619" s="4"/>
      <c r="CJ619" s="4"/>
      <c r="CK619" s="4"/>
      <c r="CL619" s="4"/>
      <c r="CM619" s="4"/>
      <c r="CN619" s="4"/>
      <c r="CO619" s="4"/>
      <c r="CP619" s="4"/>
      <c r="CQ619" s="4"/>
      <c r="CR619" s="4"/>
      <c r="CS619" s="4"/>
      <c r="CT619" s="4"/>
      <c r="CU619" s="4"/>
      <c r="CV619" s="4"/>
      <c r="CW619" s="4"/>
      <c r="CX619" s="4"/>
      <c r="CY619" s="4"/>
      <c r="CZ619" s="4"/>
      <c r="DA619" s="4"/>
      <c r="DB619" s="4"/>
      <c r="DC619" s="4"/>
      <c r="DD619" s="4"/>
      <c r="DE619" s="4"/>
      <c r="DF619" s="4"/>
      <c r="DG619" s="4"/>
      <c r="DH619" s="4"/>
      <c r="DI619" s="4"/>
      <c r="DJ619" s="4"/>
      <c r="DK619" s="4"/>
      <c r="DL619" s="4"/>
      <c r="DM619" s="4"/>
      <c r="DN619" s="4"/>
      <c r="DO619" s="4"/>
      <c r="DP619" s="4"/>
      <c r="DQ619" s="4"/>
      <c r="DR619" s="4"/>
      <c r="DS619" s="4"/>
    </row>
    <row r="620">
      <c r="A620" s="9">
        <f>IFERROR(__xludf.DUMMYFUNCTION("""COMPUTED_VALUE"""),45624.0)</f>
        <v>45624</v>
      </c>
      <c r="B620" s="6" t="str">
        <f>IFERROR(__xludf.DUMMYFUNCTION("""COMPUTED_VALUE"""),"Lunch Out")</f>
        <v>Lunch Out</v>
      </c>
      <c r="C620" s="7">
        <f>IFERROR(__xludf.DUMMYFUNCTION("""COMPUTED_VALUE"""),4700.0)</f>
        <v>4700</v>
      </c>
      <c r="D620" s="6" t="str">
        <f>IFERROR(__xludf.DUMMYFUNCTION("""COMPUTED_VALUE"""),"Lunch Out")</f>
        <v>Lunch Out</v>
      </c>
      <c r="E620" s="6" t="str">
        <f>IFERROR(__xludf.DUMMYFUNCTION("""COMPUTED_VALUE"""),"Virtual Wallet")</f>
        <v>Virtual Wallet</v>
      </c>
      <c r="F620" s="6" t="s">
        <v>14</v>
      </c>
      <c r="G620" s="8" t="str">
        <f t="shared" si="1"/>
        <v>202411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  <c r="CD620" s="4"/>
      <c r="CE620" s="4"/>
      <c r="CF620" s="4"/>
      <c r="CG620" s="4"/>
      <c r="CH620" s="4"/>
      <c r="CI620" s="4"/>
      <c r="CJ620" s="4"/>
      <c r="CK620" s="4"/>
      <c r="CL620" s="4"/>
      <c r="CM620" s="4"/>
      <c r="CN620" s="4"/>
      <c r="CO620" s="4"/>
      <c r="CP620" s="4"/>
      <c r="CQ620" s="4"/>
      <c r="CR620" s="4"/>
      <c r="CS620" s="4"/>
      <c r="CT620" s="4"/>
      <c r="CU620" s="4"/>
      <c r="CV620" s="4"/>
      <c r="CW620" s="4"/>
      <c r="CX620" s="4"/>
      <c r="CY620" s="4"/>
      <c r="CZ620" s="4"/>
      <c r="DA620" s="4"/>
      <c r="DB620" s="4"/>
      <c r="DC620" s="4"/>
      <c r="DD620" s="4"/>
      <c r="DE620" s="4"/>
      <c r="DF620" s="4"/>
      <c r="DG620" s="4"/>
      <c r="DH620" s="4"/>
      <c r="DI620" s="4"/>
      <c r="DJ620" s="4"/>
      <c r="DK620" s="4"/>
      <c r="DL620" s="4"/>
      <c r="DM620" s="4"/>
      <c r="DN620" s="4"/>
      <c r="DO620" s="4"/>
      <c r="DP620" s="4"/>
      <c r="DQ620" s="4"/>
      <c r="DR620" s="4"/>
      <c r="DS620" s="4"/>
    </row>
    <row r="621">
      <c r="A621" s="9">
        <f>IFERROR(__xludf.DUMMYFUNCTION("""COMPUTED_VALUE"""),45625.0)</f>
        <v>45625</v>
      </c>
      <c r="B621" s="6" t="str">
        <f>IFERROR(__xludf.DUMMYFUNCTION("""COMPUTED_VALUE"""),"Education")</f>
        <v>Education</v>
      </c>
      <c r="C621" s="7">
        <f>IFERROR(__xludf.DUMMYFUNCTION("""COMPUTED_VALUE"""),1800.0)</f>
        <v>1800</v>
      </c>
      <c r="D621" s="6" t="str">
        <f>IFERROR(__xludf.DUMMYFUNCTION("""COMPUTED_VALUE"""),"Education")</f>
        <v>Education</v>
      </c>
      <c r="E621" s="6" t="str">
        <f>IFERROR(__xludf.DUMMYFUNCTION("""COMPUTED_VALUE"""),"Credit Card")</f>
        <v>Credit Card</v>
      </c>
      <c r="F621" s="6" t="s">
        <v>11</v>
      </c>
      <c r="G621" s="8" t="str">
        <f t="shared" si="1"/>
        <v>202411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  <c r="CD621" s="4"/>
      <c r="CE621" s="4"/>
      <c r="CF621" s="4"/>
      <c r="CG621" s="4"/>
      <c r="CH621" s="4"/>
      <c r="CI621" s="4"/>
      <c r="CJ621" s="4"/>
      <c r="CK621" s="4"/>
      <c r="CL621" s="4"/>
      <c r="CM621" s="4"/>
      <c r="CN621" s="4"/>
      <c r="CO621" s="4"/>
      <c r="CP621" s="4"/>
      <c r="CQ621" s="4"/>
      <c r="CR621" s="4"/>
      <c r="CS621" s="4"/>
      <c r="CT621" s="4"/>
      <c r="CU621" s="4"/>
      <c r="CV621" s="4"/>
      <c r="CW621" s="4"/>
      <c r="CX621" s="4"/>
      <c r="CY621" s="4"/>
      <c r="CZ621" s="4"/>
      <c r="DA621" s="4"/>
      <c r="DB621" s="4"/>
      <c r="DC621" s="4"/>
      <c r="DD621" s="4"/>
      <c r="DE621" s="4"/>
      <c r="DF621" s="4"/>
      <c r="DG621" s="4"/>
      <c r="DH621" s="4"/>
      <c r="DI621" s="4"/>
      <c r="DJ621" s="4"/>
      <c r="DK621" s="4"/>
      <c r="DL621" s="4"/>
      <c r="DM621" s="4"/>
      <c r="DN621" s="4"/>
      <c r="DO621" s="4"/>
      <c r="DP621" s="4"/>
      <c r="DQ621" s="4"/>
      <c r="DR621" s="4"/>
      <c r="DS621" s="4"/>
    </row>
    <row r="622">
      <c r="A622" s="9">
        <f>IFERROR(__xludf.DUMMYFUNCTION("""COMPUTED_VALUE"""),45625.0)</f>
        <v>45625</v>
      </c>
      <c r="B622" s="6" t="str">
        <f>IFERROR(__xludf.DUMMYFUNCTION("""COMPUTED_VALUE"""),"Gas Bill (Metrogas)")</f>
        <v>Gas Bill (Metrogas)</v>
      </c>
      <c r="C622" s="7">
        <f>IFERROR(__xludf.DUMMYFUNCTION("""COMPUTED_VALUE"""),21000.0)</f>
        <v>21000</v>
      </c>
      <c r="D622" s="6" t="str">
        <f>IFERROR(__xludf.DUMMYFUNCTION("""COMPUTED_VALUE"""),"Basic Services")</f>
        <v>Basic Services</v>
      </c>
      <c r="E622" s="6" t="str">
        <f>IFERROR(__xludf.DUMMYFUNCTION("""COMPUTED_VALUE"""),"Credit Card")</f>
        <v>Credit Card</v>
      </c>
      <c r="F622" s="6" t="s">
        <v>13</v>
      </c>
      <c r="G622" s="8" t="str">
        <f t="shared" si="1"/>
        <v>202411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  <c r="CD622" s="4"/>
      <c r="CE622" s="4"/>
      <c r="CF622" s="4"/>
      <c r="CG622" s="4"/>
      <c r="CH622" s="4"/>
      <c r="CI622" s="4"/>
      <c r="CJ622" s="4"/>
      <c r="CK622" s="4"/>
      <c r="CL622" s="4"/>
      <c r="CM622" s="4"/>
      <c r="CN622" s="4"/>
      <c r="CO622" s="4"/>
      <c r="CP622" s="4"/>
      <c r="CQ622" s="4"/>
      <c r="CR622" s="4"/>
      <c r="CS622" s="4"/>
      <c r="CT622" s="4"/>
      <c r="CU622" s="4"/>
      <c r="CV622" s="4"/>
      <c r="CW622" s="4"/>
      <c r="CX622" s="4"/>
      <c r="CY622" s="4"/>
      <c r="CZ622" s="4"/>
      <c r="DA622" s="4"/>
      <c r="DB622" s="4"/>
      <c r="DC622" s="4"/>
      <c r="DD622" s="4"/>
      <c r="DE622" s="4"/>
      <c r="DF622" s="4"/>
      <c r="DG622" s="4"/>
      <c r="DH622" s="4"/>
      <c r="DI622" s="4"/>
      <c r="DJ622" s="4"/>
      <c r="DK622" s="4"/>
      <c r="DL622" s="4"/>
      <c r="DM622" s="4"/>
      <c r="DN622" s="4"/>
      <c r="DO622" s="4"/>
      <c r="DP622" s="4"/>
      <c r="DQ622" s="4"/>
      <c r="DR622" s="4"/>
      <c r="DS622" s="4"/>
    </row>
    <row r="623">
      <c r="A623" s="9">
        <f>IFERROR(__xludf.DUMMYFUNCTION("""COMPUTED_VALUE"""),45625.0)</f>
        <v>45625</v>
      </c>
      <c r="B623" s="6" t="str">
        <f>IFERROR(__xludf.DUMMYFUNCTION("""COMPUTED_VALUE"""),"Sports")</f>
        <v>Sports</v>
      </c>
      <c r="C623" s="7">
        <f>IFERROR(__xludf.DUMMYFUNCTION("""COMPUTED_VALUE"""),26620.0)</f>
        <v>26620</v>
      </c>
      <c r="D623" s="6" t="str">
        <f>IFERROR(__xludf.DUMMYFUNCTION("""COMPUTED_VALUE"""),"Sports")</f>
        <v>Sports</v>
      </c>
      <c r="E623" s="6" t="str">
        <f>IFERROR(__xludf.DUMMYFUNCTION("""COMPUTED_VALUE"""),"Virtual Wallet")</f>
        <v>Virtual Wallet</v>
      </c>
      <c r="F623" s="6" t="s">
        <v>12</v>
      </c>
      <c r="G623" s="8" t="str">
        <f t="shared" si="1"/>
        <v>202411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  <c r="CD623" s="4"/>
      <c r="CE623" s="4"/>
      <c r="CF623" s="4"/>
      <c r="CG623" s="4"/>
      <c r="CH623" s="4"/>
      <c r="CI623" s="4"/>
      <c r="CJ623" s="4"/>
      <c r="CK623" s="4"/>
      <c r="CL623" s="4"/>
      <c r="CM623" s="4"/>
      <c r="CN623" s="4"/>
      <c r="CO623" s="4"/>
      <c r="CP623" s="4"/>
      <c r="CQ623" s="4"/>
      <c r="CR623" s="4"/>
      <c r="CS623" s="4"/>
      <c r="CT623" s="4"/>
      <c r="CU623" s="4"/>
      <c r="CV623" s="4"/>
      <c r="CW623" s="4"/>
      <c r="CX623" s="4"/>
      <c r="CY623" s="4"/>
      <c r="CZ623" s="4"/>
      <c r="DA623" s="4"/>
      <c r="DB623" s="4"/>
      <c r="DC623" s="4"/>
      <c r="DD623" s="4"/>
      <c r="DE623" s="4"/>
      <c r="DF623" s="4"/>
      <c r="DG623" s="4"/>
      <c r="DH623" s="4"/>
      <c r="DI623" s="4"/>
      <c r="DJ623" s="4"/>
      <c r="DK623" s="4"/>
      <c r="DL623" s="4"/>
      <c r="DM623" s="4"/>
      <c r="DN623" s="4"/>
      <c r="DO623" s="4"/>
      <c r="DP623" s="4"/>
      <c r="DQ623" s="4"/>
      <c r="DR623" s="4"/>
      <c r="DS623" s="4"/>
    </row>
    <row r="624">
      <c r="A624" s="9">
        <f>IFERROR(__xludf.DUMMYFUNCTION("""COMPUTED_VALUE"""),45626.0)</f>
        <v>45626</v>
      </c>
      <c r="B624" s="6" t="str">
        <f>IFERROR(__xludf.DUMMYFUNCTION("""COMPUTED_VALUE"""),"Home Goods")</f>
        <v>Home Goods</v>
      </c>
      <c r="C624" s="7">
        <f>IFERROR(__xludf.DUMMYFUNCTION("""COMPUTED_VALUE"""),12797.0)</f>
        <v>12797</v>
      </c>
      <c r="D624" s="6" t="str">
        <f>IFERROR(__xludf.DUMMYFUNCTION("""COMPUTED_VALUE"""),"Home Goods &amp; Utilities")</f>
        <v>Home Goods &amp; Utilities</v>
      </c>
      <c r="E624" s="6" t="str">
        <f>IFERROR(__xludf.DUMMYFUNCTION("""COMPUTED_VALUE"""),"Credit Card")</f>
        <v>Credit Card</v>
      </c>
      <c r="F624" s="6" t="s">
        <v>8</v>
      </c>
      <c r="G624" s="8" t="str">
        <f t="shared" si="1"/>
        <v>202411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  <c r="CD624" s="4"/>
      <c r="CE624" s="4"/>
      <c r="CF624" s="4"/>
      <c r="CG624" s="4"/>
      <c r="CH624" s="4"/>
      <c r="CI624" s="4"/>
      <c r="CJ624" s="4"/>
      <c r="CK624" s="4"/>
      <c r="CL624" s="4"/>
      <c r="CM624" s="4"/>
      <c r="CN624" s="4"/>
      <c r="CO624" s="4"/>
      <c r="CP624" s="4"/>
      <c r="CQ624" s="4"/>
      <c r="CR624" s="4"/>
      <c r="CS624" s="4"/>
      <c r="CT624" s="4"/>
      <c r="CU624" s="4"/>
      <c r="CV624" s="4"/>
      <c r="CW624" s="4"/>
      <c r="CX624" s="4"/>
      <c r="CY624" s="4"/>
      <c r="CZ624" s="4"/>
      <c r="DA624" s="4"/>
      <c r="DB624" s="4"/>
      <c r="DC624" s="4"/>
      <c r="DD624" s="4"/>
      <c r="DE624" s="4"/>
      <c r="DF624" s="4"/>
      <c r="DG624" s="4"/>
      <c r="DH624" s="4"/>
      <c r="DI624" s="4"/>
      <c r="DJ624" s="4"/>
      <c r="DK624" s="4"/>
      <c r="DL624" s="4"/>
      <c r="DM624" s="4"/>
      <c r="DN624" s="4"/>
      <c r="DO624" s="4"/>
      <c r="DP624" s="4"/>
      <c r="DQ624" s="4"/>
      <c r="DR624" s="4"/>
      <c r="DS624" s="4"/>
    </row>
    <row r="625">
      <c r="A625" s="9">
        <f>IFERROR(__xludf.DUMMYFUNCTION("""COMPUTED_VALUE"""),45626.0)</f>
        <v>45626</v>
      </c>
      <c r="B625" s="6" t="str">
        <f>IFERROR(__xludf.DUMMYFUNCTION("""COMPUTED_VALUE"""),"Internet Services")</f>
        <v>Internet Services</v>
      </c>
      <c r="C625" s="7">
        <f>IFERROR(__xludf.DUMMYFUNCTION("""COMPUTED_VALUE"""),12944.0)</f>
        <v>12944</v>
      </c>
      <c r="D625" s="6" t="str">
        <f>IFERROR(__xludf.DUMMYFUNCTION("""COMPUTED_VALUE"""),"Basic Services")</f>
        <v>Basic Services</v>
      </c>
      <c r="E625" s="6" t="str">
        <f>IFERROR(__xludf.DUMMYFUNCTION("""COMPUTED_VALUE"""),"Credit Card")</f>
        <v>Credit Card</v>
      </c>
      <c r="F625" s="6" t="s">
        <v>13</v>
      </c>
      <c r="G625" s="8" t="str">
        <f t="shared" si="1"/>
        <v>202411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  <c r="CD625" s="4"/>
      <c r="CE625" s="4"/>
      <c r="CF625" s="4"/>
      <c r="CG625" s="4"/>
      <c r="CH625" s="4"/>
      <c r="CI625" s="4"/>
      <c r="CJ625" s="4"/>
      <c r="CK625" s="4"/>
      <c r="CL625" s="4"/>
      <c r="CM625" s="4"/>
      <c r="CN625" s="4"/>
      <c r="CO625" s="4"/>
      <c r="CP625" s="4"/>
      <c r="CQ625" s="4"/>
      <c r="CR625" s="4"/>
      <c r="CS625" s="4"/>
      <c r="CT625" s="4"/>
      <c r="CU625" s="4"/>
      <c r="CV625" s="4"/>
      <c r="CW625" s="4"/>
      <c r="CX625" s="4"/>
      <c r="CY625" s="4"/>
      <c r="CZ625" s="4"/>
      <c r="DA625" s="4"/>
      <c r="DB625" s="4"/>
      <c r="DC625" s="4"/>
      <c r="DD625" s="4"/>
      <c r="DE625" s="4"/>
      <c r="DF625" s="4"/>
      <c r="DG625" s="4"/>
      <c r="DH625" s="4"/>
      <c r="DI625" s="4"/>
      <c r="DJ625" s="4"/>
      <c r="DK625" s="4"/>
      <c r="DL625" s="4"/>
      <c r="DM625" s="4"/>
      <c r="DN625" s="4"/>
      <c r="DO625" s="4"/>
      <c r="DP625" s="4"/>
      <c r="DQ625" s="4"/>
      <c r="DR625" s="4"/>
      <c r="DS625" s="4"/>
    </row>
    <row r="626">
      <c r="A626" s="9">
        <f>IFERROR(__xludf.DUMMYFUNCTION("""COMPUTED_VALUE"""),45626.0)</f>
        <v>45626</v>
      </c>
      <c r="B626" s="6" t="str">
        <f>IFERROR(__xludf.DUMMYFUNCTION("""COMPUTED_VALUE"""),"Doctor Visit")</f>
        <v>Doctor Visit</v>
      </c>
      <c r="C626" s="7">
        <f>IFERROR(__xludf.DUMMYFUNCTION("""COMPUTED_VALUE"""),4700.0)</f>
        <v>4700</v>
      </c>
      <c r="D626" s="6" t="str">
        <f>IFERROR(__xludf.DUMMYFUNCTION("""COMPUTED_VALUE"""),"Healthcare")</f>
        <v>Healthcare</v>
      </c>
      <c r="E626" s="6" t="str">
        <f>IFERROR(__xludf.DUMMYFUNCTION("""COMPUTED_VALUE"""),"Virtual Wallet")</f>
        <v>Virtual Wallet</v>
      </c>
      <c r="F626" s="6" t="s">
        <v>15</v>
      </c>
      <c r="G626" s="8" t="str">
        <f t="shared" si="1"/>
        <v>202411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  <c r="CD626" s="4"/>
      <c r="CE626" s="4"/>
      <c r="CF626" s="4"/>
      <c r="CG626" s="4"/>
      <c r="CH626" s="4"/>
      <c r="CI626" s="4"/>
      <c r="CJ626" s="4"/>
      <c r="CK626" s="4"/>
      <c r="CL626" s="4"/>
      <c r="CM626" s="4"/>
      <c r="CN626" s="4"/>
      <c r="CO626" s="4"/>
      <c r="CP626" s="4"/>
      <c r="CQ626" s="4"/>
      <c r="CR626" s="4"/>
      <c r="CS626" s="4"/>
      <c r="CT626" s="4"/>
      <c r="CU626" s="4"/>
      <c r="CV626" s="4"/>
      <c r="CW626" s="4"/>
      <c r="CX626" s="4"/>
      <c r="CY626" s="4"/>
      <c r="CZ626" s="4"/>
      <c r="DA626" s="4"/>
      <c r="DB626" s="4"/>
      <c r="DC626" s="4"/>
      <c r="DD626" s="4"/>
      <c r="DE626" s="4"/>
      <c r="DF626" s="4"/>
      <c r="DG626" s="4"/>
      <c r="DH626" s="4"/>
      <c r="DI626" s="4"/>
      <c r="DJ626" s="4"/>
      <c r="DK626" s="4"/>
      <c r="DL626" s="4"/>
      <c r="DM626" s="4"/>
      <c r="DN626" s="4"/>
      <c r="DO626" s="4"/>
      <c r="DP626" s="4"/>
      <c r="DQ626" s="4"/>
      <c r="DR626" s="4"/>
      <c r="DS626" s="4"/>
    </row>
    <row r="627">
      <c r="A627" s="9">
        <f>IFERROR(__xludf.DUMMYFUNCTION("""COMPUTED_VALUE"""),45626.0)</f>
        <v>45626</v>
      </c>
      <c r="B627" s="6" t="str">
        <f>IFERROR(__xludf.DUMMYFUNCTION("""COMPUTED_VALUE"""),"Pets")</f>
        <v>Pets</v>
      </c>
      <c r="C627" s="7">
        <f>IFERROR(__xludf.DUMMYFUNCTION("""COMPUTED_VALUE"""),17500.0)</f>
        <v>17500</v>
      </c>
      <c r="D627" s="6" t="str">
        <f>IFERROR(__xludf.DUMMYFUNCTION("""COMPUTED_VALUE"""),"Pets")</f>
        <v>Pets</v>
      </c>
      <c r="E627" s="6" t="str">
        <f>IFERROR(__xludf.DUMMYFUNCTION("""COMPUTED_VALUE"""),"Credit Card")</f>
        <v>Credit Card</v>
      </c>
      <c r="F627" s="6" t="s">
        <v>7</v>
      </c>
      <c r="G627" s="8" t="str">
        <f t="shared" si="1"/>
        <v>202411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  <c r="CD627" s="4"/>
      <c r="CE627" s="4"/>
      <c r="CF627" s="4"/>
      <c r="CG627" s="4"/>
      <c r="CH627" s="4"/>
      <c r="CI627" s="4"/>
      <c r="CJ627" s="4"/>
      <c r="CK627" s="4"/>
      <c r="CL627" s="4"/>
      <c r="CM627" s="4"/>
      <c r="CN627" s="4"/>
      <c r="CO627" s="4"/>
      <c r="CP627" s="4"/>
      <c r="CQ627" s="4"/>
      <c r="CR627" s="4"/>
      <c r="CS627" s="4"/>
      <c r="CT627" s="4"/>
      <c r="CU627" s="4"/>
      <c r="CV627" s="4"/>
      <c r="CW627" s="4"/>
      <c r="CX627" s="4"/>
      <c r="CY627" s="4"/>
      <c r="CZ627" s="4"/>
      <c r="DA627" s="4"/>
      <c r="DB627" s="4"/>
      <c r="DC627" s="4"/>
      <c r="DD627" s="4"/>
      <c r="DE627" s="4"/>
      <c r="DF627" s="4"/>
      <c r="DG627" s="4"/>
      <c r="DH627" s="4"/>
      <c r="DI627" s="4"/>
      <c r="DJ627" s="4"/>
      <c r="DK627" s="4"/>
      <c r="DL627" s="4"/>
      <c r="DM627" s="4"/>
      <c r="DN627" s="4"/>
      <c r="DO627" s="4"/>
      <c r="DP627" s="4"/>
      <c r="DQ627" s="4"/>
      <c r="DR627" s="4"/>
      <c r="DS627" s="4"/>
    </row>
    <row r="628">
      <c r="A628" s="9">
        <f>IFERROR(__xludf.DUMMYFUNCTION("""COMPUTED_VALUE"""),45626.0)</f>
        <v>45626</v>
      </c>
      <c r="B628" s="6" t="str">
        <f>IFERROR(__xludf.DUMMYFUNCTION("""COMPUTED_VALUE"""),"Groceries")</f>
        <v>Groceries</v>
      </c>
      <c r="C628" s="7">
        <f>IFERROR(__xludf.DUMMYFUNCTION("""COMPUTED_VALUE"""),5975.0)</f>
        <v>5975</v>
      </c>
      <c r="D628" s="6" t="str">
        <f>IFERROR(__xludf.DUMMYFUNCTION("""COMPUTED_VALUE"""),"Groceries")</f>
        <v>Groceries</v>
      </c>
      <c r="E628" s="6" t="str">
        <f>IFERROR(__xludf.DUMMYFUNCTION("""COMPUTED_VALUE"""),"Virtual Wallet")</f>
        <v>Virtual Wallet</v>
      </c>
      <c r="F628" s="6" t="s">
        <v>7</v>
      </c>
      <c r="G628" s="8" t="str">
        <f t="shared" si="1"/>
        <v>202411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  <c r="CD628" s="4"/>
      <c r="CE628" s="4"/>
      <c r="CF628" s="4"/>
      <c r="CG628" s="4"/>
      <c r="CH628" s="4"/>
      <c r="CI628" s="4"/>
      <c r="CJ628" s="4"/>
      <c r="CK628" s="4"/>
      <c r="CL628" s="4"/>
      <c r="CM628" s="4"/>
      <c r="CN628" s="4"/>
      <c r="CO628" s="4"/>
      <c r="CP628" s="4"/>
      <c r="CQ628" s="4"/>
      <c r="CR628" s="4"/>
      <c r="CS628" s="4"/>
      <c r="CT628" s="4"/>
      <c r="CU628" s="4"/>
      <c r="CV628" s="4"/>
      <c r="CW628" s="4"/>
      <c r="CX628" s="4"/>
      <c r="CY628" s="4"/>
      <c r="CZ628" s="4"/>
      <c r="DA628" s="4"/>
      <c r="DB628" s="4"/>
      <c r="DC628" s="4"/>
      <c r="DD628" s="4"/>
      <c r="DE628" s="4"/>
      <c r="DF628" s="4"/>
      <c r="DG628" s="4"/>
      <c r="DH628" s="4"/>
      <c r="DI628" s="4"/>
      <c r="DJ628" s="4"/>
      <c r="DK628" s="4"/>
      <c r="DL628" s="4"/>
      <c r="DM628" s="4"/>
      <c r="DN628" s="4"/>
      <c r="DO628" s="4"/>
      <c r="DP628" s="4"/>
      <c r="DQ628" s="4"/>
      <c r="DR628" s="4"/>
      <c r="DS628" s="4"/>
    </row>
    <row r="629">
      <c r="A629" s="9">
        <f>IFERROR(__xludf.DUMMYFUNCTION("""COMPUTED_VALUE"""),45626.0)</f>
        <v>45626</v>
      </c>
      <c r="B629" s="6" t="str">
        <f>IFERROR(__xludf.DUMMYFUNCTION("""COMPUTED_VALUE"""),"Groceries")</f>
        <v>Groceries</v>
      </c>
      <c r="C629" s="7">
        <f>IFERROR(__xludf.DUMMYFUNCTION("""COMPUTED_VALUE"""),7050.0)</f>
        <v>7050</v>
      </c>
      <c r="D629" s="6" t="str">
        <f>IFERROR(__xludf.DUMMYFUNCTION("""COMPUTED_VALUE"""),"Restaurant / Café")</f>
        <v>Restaurant / Café</v>
      </c>
      <c r="E629" s="6" t="str">
        <f>IFERROR(__xludf.DUMMYFUNCTION("""COMPUTED_VALUE"""),"Virtual Wallet")</f>
        <v>Virtual Wallet</v>
      </c>
      <c r="F629" s="6" t="s">
        <v>14</v>
      </c>
      <c r="G629" s="8" t="str">
        <f t="shared" si="1"/>
        <v>202411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  <c r="CD629" s="4"/>
      <c r="CE629" s="4"/>
      <c r="CF629" s="4"/>
      <c r="CG629" s="4"/>
      <c r="CH629" s="4"/>
      <c r="CI629" s="4"/>
      <c r="CJ629" s="4"/>
      <c r="CK629" s="4"/>
      <c r="CL629" s="4"/>
      <c r="CM629" s="4"/>
      <c r="CN629" s="4"/>
      <c r="CO629" s="4"/>
      <c r="CP629" s="4"/>
      <c r="CQ629" s="4"/>
      <c r="CR629" s="4"/>
      <c r="CS629" s="4"/>
      <c r="CT629" s="4"/>
      <c r="CU629" s="4"/>
      <c r="CV629" s="4"/>
      <c r="CW629" s="4"/>
      <c r="CX629" s="4"/>
      <c r="CY629" s="4"/>
      <c r="CZ629" s="4"/>
      <c r="DA629" s="4"/>
      <c r="DB629" s="4"/>
      <c r="DC629" s="4"/>
      <c r="DD629" s="4"/>
      <c r="DE629" s="4"/>
      <c r="DF629" s="4"/>
      <c r="DG629" s="4"/>
      <c r="DH629" s="4"/>
      <c r="DI629" s="4"/>
      <c r="DJ629" s="4"/>
      <c r="DK629" s="4"/>
      <c r="DL629" s="4"/>
      <c r="DM629" s="4"/>
      <c r="DN629" s="4"/>
      <c r="DO629" s="4"/>
      <c r="DP629" s="4"/>
      <c r="DQ629" s="4"/>
      <c r="DR629" s="4"/>
      <c r="DS629" s="4"/>
    </row>
    <row r="630">
      <c r="A630" s="9">
        <f>IFERROR(__xludf.DUMMYFUNCTION("""COMPUTED_VALUE"""),45626.0)</f>
        <v>45626</v>
      </c>
      <c r="B630" s="6" t="str">
        <f>IFERROR(__xludf.DUMMYFUNCTION("""COMPUTED_VALUE"""),"Home Goods")</f>
        <v>Home Goods</v>
      </c>
      <c r="C630" s="7">
        <f>IFERROR(__xludf.DUMMYFUNCTION("""COMPUTED_VALUE"""),14200.0)</f>
        <v>14200</v>
      </c>
      <c r="D630" s="6" t="str">
        <f>IFERROR(__xludf.DUMMYFUNCTION("""COMPUTED_VALUE"""),"Car Expenses")</f>
        <v>Car Expenses</v>
      </c>
      <c r="E630" s="6" t="str">
        <f>IFERROR(__xludf.DUMMYFUNCTION("""COMPUTED_VALUE"""),"Split Payment")</f>
        <v>Split Payment</v>
      </c>
      <c r="F630" s="6" t="s">
        <v>9</v>
      </c>
      <c r="G630" s="8" t="str">
        <f t="shared" si="1"/>
        <v>202411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  <c r="CD630" s="4"/>
      <c r="CE630" s="4"/>
      <c r="CF630" s="4"/>
      <c r="CG630" s="4"/>
      <c r="CH630" s="4"/>
      <c r="CI630" s="4"/>
      <c r="CJ630" s="4"/>
      <c r="CK630" s="4"/>
      <c r="CL630" s="4"/>
      <c r="CM630" s="4"/>
      <c r="CN630" s="4"/>
      <c r="CO630" s="4"/>
      <c r="CP630" s="4"/>
      <c r="CQ630" s="4"/>
      <c r="CR630" s="4"/>
      <c r="CS630" s="4"/>
      <c r="CT630" s="4"/>
      <c r="CU630" s="4"/>
      <c r="CV630" s="4"/>
      <c r="CW630" s="4"/>
      <c r="CX630" s="4"/>
      <c r="CY630" s="4"/>
      <c r="CZ630" s="4"/>
      <c r="DA630" s="4"/>
      <c r="DB630" s="4"/>
      <c r="DC630" s="4"/>
      <c r="DD630" s="4"/>
      <c r="DE630" s="4"/>
      <c r="DF630" s="4"/>
      <c r="DG630" s="4"/>
      <c r="DH630" s="4"/>
      <c r="DI630" s="4"/>
      <c r="DJ630" s="4"/>
      <c r="DK630" s="4"/>
      <c r="DL630" s="4"/>
      <c r="DM630" s="4"/>
      <c r="DN630" s="4"/>
      <c r="DO630" s="4"/>
      <c r="DP630" s="4"/>
      <c r="DQ630" s="4"/>
      <c r="DR630" s="4"/>
      <c r="DS630" s="4"/>
    </row>
    <row r="631">
      <c r="A631" s="9">
        <f>IFERROR(__xludf.DUMMYFUNCTION("""COMPUTED_VALUE"""),45626.0)</f>
        <v>45626</v>
      </c>
      <c r="B631" s="6" t="str">
        <f>IFERROR(__xludf.DUMMYFUNCTION("""COMPUTED_VALUE"""),"Car Expenses")</f>
        <v>Car Expenses</v>
      </c>
      <c r="C631" s="7">
        <f>IFERROR(__xludf.DUMMYFUNCTION("""COMPUTED_VALUE"""),6000.0)</f>
        <v>6000</v>
      </c>
      <c r="D631" s="6" t="str">
        <f>IFERROR(__xludf.DUMMYFUNCTION("""COMPUTED_VALUE"""),"Car Expenses")</f>
        <v>Car Expenses</v>
      </c>
      <c r="E631" s="6" t="str">
        <f>IFERROR(__xludf.DUMMYFUNCTION("""COMPUTED_VALUE"""),"Split Payment")</f>
        <v>Split Payment</v>
      </c>
      <c r="F631" s="6" t="s">
        <v>9</v>
      </c>
      <c r="G631" s="8" t="str">
        <f t="shared" si="1"/>
        <v>202411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  <c r="CD631" s="4"/>
      <c r="CE631" s="4"/>
      <c r="CF631" s="4"/>
      <c r="CG631" s="4"/>
      <c r="CH631" s="4"/>
      <c r="CI631" s="4"/>
      <c r="CJ631" s="4"/>
      <c r="CK631" s="4"/>
      <c r="CL631" s="4"/>
      <c r="CM631" s="4"/>
      <c r="CN631" s="4"/>
      <c r="CO631" s="4"/>
      <c r="CP631" s="4"/>
      <c r="CQ631" s="4"/>
      <c r="CR631" s="4"/>
      <c r="CS631" s="4"/>
      <c r="CT631" s="4"/>
      <c r="CU631" s="4"/>
      <c r="CV631" s="4"/>
      <c r="CW631" s="4"/>
      <c r="CX631" s="4"/>
      <c r="CY631" s="4"/>
      <c r="CZ631" s="4"/>
      <c r="DA631" s="4"/>
      <c r="DB631" s="4"/>
      <c r="DC631" s="4"/>
      <c r="DD631" s="4"/>
      <c r="DE631" s="4"/>
      <c r="DF631" s="4"/>
      <c r="DG631" s="4"/>
      <c r="DH631" s="4"/>
      <c r="DI631" s="4"/>
      <c r="DJ631" s="4"/>
      <c r="DK631" s="4"/>
      <c r="DL631" s="4"/>
      <c r="DM631" s="4"/>
      <c r="DN631" s="4"/>
      <c r="DO631" s="4"/>
      <c r="DP631" s="4"/>
      <c r="DQ631" s="4"/>
      <c r="DR631" s="4"/>
      <c r="DS631" s="4"/>
    </row>
    <row r="632">
      <c r="A632" s="9">
        <f>IFERROR(__xludf.DUMMYFUNCTION("""COMPUTED_VALUE"""),45626.0)</f>
        <v>45626</v>
      </c>
      <c r="B632" s="6" t="str">
        <f>IFERROR(__xludf.DUMMYFUNCTION("""COMPUTED_VALUE"""),"Restaurant")</f>
        <v>Restaurant</v>
      </c>
      <c r="C632" s="7">
        <f>IFERROR(__xludf.DUMMYFUNCTION("""COMPUTED_VALUE"""),14000.0)</f>
        <v>14000</v>
      </c>
      <c r="D632" s="6" t="str">
        <f>IFERROR(__xludf.DUMMYFUNCTION("""COMPUTED_VALUE"""),"Restaurant / Café")</f>
        <v>Restaurant / Café</v>
      </c>
      <c r="E632" s="6" t="str">
        <f>IFERROR(__xludf.DUMMYFUNCTION("""COMPUTED_VALUE"""),"Virtual Wallet")</f>
        <v>Virtual Wallet</v>
      </c>
      <c r="F632" s="6" t="s">
        <v>14</v>
      </c>
      <c r="G632" s="8" t="str">
        <f t="shared" si="1"/>
        <v>202411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  <c r="CD632" s="4"/>
      <c r="CE632" s="4"/>
      <c r="CF632" s="4"/>
      <c r="CG632" s="4"/>
      <c r="CH632" s="4"/>
      <c r="CI632" s="4"/>
      <c r="CJ632" s="4"/>
      <c r="CK632" s="4"/>
      <c r="CL632" s="4"/>
      <c r="CM632" s="4"/>
      <c r="CN632" s="4"/>
      <c r="CO632" s="4"/>
      <c r="CP632" s="4"/>
      <c r="CQ632" s="4"/>
      <c r="CR632" s="4"/>
      <c r="CS632" s="4"/>
      <c r="CT632" s="4"/>
      <c r="CU632" s="4"/>
      <c r="CV632" s="4"/>
      <c r="CW632" s="4"/>
      <c r="CX632" s="4"/>
      <c r="CY632" s="4"/>
      <c r="CZ632" s="4"/>
      <c r="DA632" s="4"/>
      <c r="DB632" s="4"/>
      <c r="DC632" s="4"/>
      <c r="DD632" s="4"/>
      <c r="DE632" s="4"/>
      <c r="DF632" s="4"/>
      <c r="DG632" s="4"/>
      <c r="DH632" s="4"/>
      <c r="DI632" s="4"/>
      <c r="DJ632" s="4"/>
      <c r="DK632" s="4"/>
      <c r="DL632" s="4"/>
      <c r="DM632" s="4"/>
      <c r="DN632" s="4"/>
      <c r="DO632" s="4"/>
      <c r="DP632" s="4"/>
      <c r="DQ632" s="4"/>
      <c r="DR632" s="4"/>
      <c r="DS632" s="4"/>
    </row>
    <row r="633">
      <c r="A633" s="9">
        <f>IFERROR(__xludf.DUMMYFUNCTION("""COMPUTED_VALUE"""),45627.0)</f>
        <v>45627</v>
      </c>
      <c r="B633" s="6" t="str">
        <f>IFERROR(__xludf.DUMMYFUNCTION("""COMPUTED_VALUE"""),"Home Goods")</f>
        <v>Home Goods</v>
      </c>
      <c r="C633" s="7">
        <f>IFERROR(__xludf.DUMMYFUNCTION("""COMPUTED_VALUE"""),15015.0)</f>
        <v>15015</v>
      </c>
      <c r="D633" s="6" t="str">
        <f>IFERROR(__xludf.DUMMYFUNCTION("""COMPUTED_VALUE"""),"Home Goods &amp; Utilities")</f>
        <v>Home Goods &amp; Utilities</v>
      </c>
      <c r="E633" s="6" t="str">
        <f>IFERROR(__xludf.DUMMYFUNCTION("""COMPUTED_VALUE"""),"Split Payment")</f>
        <v>Split Payment</v>
      </c>
      <c r="F633" s="6" t="s">
        <v>8</v>
      </c>
      <c r="G633" s="8" t="str">
        <f t="shared" si="1"/>
        <v>202412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  <c r="CD633" s="4"/>
      <c r="CE633" s="4"/>
      <c r="CF633" s="4"/>
      <c r="CG633" s="4"/>
      <c r="CH633" s="4"/>
      <c r="CI633" s="4"/>
      <c r="CJ633" s="4"/>
      <c r="CK633" s="4"/>
      <c r="CL633" s="4"/>
      <c r="CM633" s="4"/>
      <c r="CN633" s="4"/>
      <c r="CO633" s="4"/>
      <c r="CP633" s="4"/>
      <c r="CQ633" s="4"/>
      <c r="CR633" s="4"/>
      <c r="CS633" s="4"/>
      <c r="CT633" s="4"/>
      <c r="CU633" s="4"/>
      <c r="CV633" s="4"/>
      <c r="CW633" s="4"/>
      <c r="CX633" s="4"/>
      <c r="CY633" s="4"/>
      <c r="CZ633" s="4"/>
      <c r="DA633" s="4"/>
      <c r="DB633" s="4"/>
      <c r="DC633" s="4"/>
      <c r="DD633" s="4"/>
      <c r="DE633" s="4"/>
      <c r="DF633" s="4"/>
      <c r="DG633" s="4"/>
      <c r="DH633" s="4"/>
      <c r="DI633" s="4"/>
      <c r="DJ633" s="4"/>
      <c r="DK633" s="4"/>
      <c r="DL633" s="4"/>
      <c r="DM633" s="4"/>
      <c r="DN633" s="4"/>
      <c r="DO633" s="4"/>
      <c r="DP633" s="4"/>
      <c r="DQ633" s="4"/>
      <c r="DR633" s="4"/>
      <c r="DS633" s="4"/>
    </row>
    <row r="634">
      <c r="A634" s="9">
        <f>IFERROR(__xludf.DUMMYFUNCTION("""COMPUTED_VALUE"""),45627.0)</f>
        <v>45627</v>
      </c>
      <c r="B634" s="6" t="str">
        <f>IFERROR(__xludf.DUMMYFUNCTION("""COMPUTED_VALUE"""),"Home Goods")</f>
        <v>Home Goods</v>
      </c>
      <c r="C634" s="7">
        <f>IFERROR(__xludf.DUMMYFUNCTION("""COMPUTED_VALUE"""),2754.5)</f>
        <v>2754.5</v>
      </c>
      <c r="D634" s="6" t="str">
        <f>IFERROR(__xludf.DUMMYFUNCTION("""COMPUTED_VALUE"""),"Home Goods &amp; Utilities")</f>
        <v>Home Goods &amp; Utilities</v>
      </c>
      <c r="E634" s="6" t="str">
        <f>IFERROR(__xludf.DUMMYFUNCTION("""COMPUTED_VALUE"""),"Split Payment")</f>
        <v>Split Payment</v>
      </c>
      <c r="F634" s="6" t="s">
        <v>8</v>
      </c>
      <c r="G634" s="8" t="str">
        <f t="shared" si="1"/>
        <v>202412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  <c r="CD634" s="4"/>
      <c r="CE634" s="4"/>
      <c r="CF634" s="4"/>
      <c r="CG634" s="4"/>
      <c r="CH634" s="4"/>
      <c r="CI634" s="4"/>
      <c r="CJ634" s="4"/>
      <c r="CK634" s="4"/>
      <c r="CL634" s="4"/>
      <c r="CM634" s="4"/>
      <c r="CN634" s="4"/>
      <c r="CO634" s="4"/>
      <c r="CP634" s="4"/>
      <c r="CQ634" s="4"/>
      <c r="CR634" s="4"/>
      <c r="CS634" s="4"/>
      <c r="CT634" s="4"/>
      <c r="CU634" s="4"/>
      <c r="CV634" s="4"/>
      <c r="CW634" s="4"/>
      <c r="CX634" s="4"/>
      <c r="CY634" s="4"/>
      <c r="CZ634" s="4"/>
      <c r="DA634" s="4"/>
      <c r="DB634" s="4"/>
      <c r="DC634" s="4"/>
      <c r="DD634" s="4"/>
      <c r="DE634" s="4"/>
      <c r="DF634" s="4"/>
      <c r="DG634" s="4"/>
      <c r="DH634" s="4"/>
      <c r="DI634" s="4"/>
      <c r="DJ634" s="4"/>
      <c r="DK634" s="4"/>
      <c r="DL634" s="4"/>
      <c r="DM634" s="4"/>
      <c r="DN634" s="4"/>
      <c r="DO634" s="4"/>
      <c r="DP634" s="4"/>
      <c r="DQ634" s="4"/>
      <c r="DR634" s="4"/>
      <c r="DS634" s="4"/>
    </row>
    <row r="635">
      <c r="A635" s="9">
        <f>IFERROR(__xludf.DUMMYFUNCTION("""COMPUTED_VALUE"""),45627.0)</f>
        <v>45627</v>
      </c>
      <c r="B635" s="6" t="str">
        <f>IFERROR(__xludf.DUMMYFUNCTION("""COMPUTED_VALUE"""),"Car Insurance")</f>
        <v>Car Insurance</v>
      </c>
      <c r="C635" s="7">
        <f>IFERROR(__xludf.DUMMYFUNCTION("""COMPUTED_VALUE"""),35750.5)</f>
        <v>35750.5</v>
      </c>
      <c r="D635" s="6" t="str">
        <f>IFERROR(__xludf.DUMMYFUNCTION("""COMPUTED_VALUE"""),"Car Expenses")</f>
        <v>Car Expenses</v>
      </c>
      <c r="E635" s="6" t="str">
        <f>IFERROR(__xludf.DUMMYFUNCTION("""COMPUTED_VALUE"""),"Split Payment")</f>
        <v>Split Payment</v>
      </c>
      <c r="F635" s="6" t="s">
        <v>9</v>
      </c>
      <c r="G635" s="8" t="str">
        <f t="shared" si="1"/>
        <v>202412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  <c r="CD635" s="4"/>
      <c r="CE635" s="4"/>
      <c r="CF635" s="4"/>
      <c r="CG635" s="4"/>
      <c r="CH635" s="4"/>
      <c r="CI635" s="4"/>
      <c r="CJ635" s="4"/>
      <c r="CK635" s="4"/>
      <c r="CL635" s="4"/>
      <c r="CM635" s="4"/>
      <c r="CN635" s="4"/>
      <c r="CO635" s="4"/>
      <c r="CP635" s="4"/>
      <c r="CQ635" s="4"/>
      <c r="CR635" s="4"/>
      <c r="CS635" s="4"/>
      <c r="CT635" s="4"/>
      <c r="CU635" s="4"/>
      <c r="CV635" s="4"/>
      <c r="CW635" s="4"/>
      <c r="CX635" s="4"/>
      <c r="CY635" s="4"/>
      <c r="CZ635" s="4"/>
      <c r="DA635" s="4"/>
      <c r="DB635" s="4"/>
      <c r="DC635" s="4"/>
      <c r="DD635" s="4"/>
      <c r="DE635" s="4"/>
      <c r="DF635" s="4"/>
      <c r="DG635" s="4"/>
      <c r="DH635" s="4"/>
      <c r="DI635" s="4"/>
      <c r="DJ635" s="4"/>
      <c r="DK635" s="4"/>
      <c r="DL635" s="4"/>
      <c r="DM635" s="4"/>
      <c r="DN635" s="4"/>
      <c r="DO635" s="4"/>
      <c r="DP635" s="4"/>
      <c r="DQ635" s="4"/>
      <c r="DR635" s="4"/>
      <c r="DS635" s="4"/>
    </row>
    <row r="636">
      <c r="A636" s="9">
        <f>IFERROR(__xludf.DUMMYFUNCTION("""COMPUTED_VALUE"""),45627.0)</f>
        <v>45627</v>
      </c>
      <c r="B636" s="6" t="str">
        <f>IFERROR(__xludf.DUMMYFUNCTION("""COMPUTED_VALUE"""),"Stationery / Books")</f>
        <v>Stationery / Books</v>
      </c>
      <c r="C636" s="7">
        <f>IFERROR(__xludf.DUMMYFUNCTION("""COMPUTED_VALUE"""),3878.0)</f>
        <v>3878</v>
      </c>
      <c r="D636" s="6" t="str">
        <f>IFERROR(__xludf.DUMMYFUNCTION("""COMPUTED_VALUE"""),"Education")</f>
        <v>Education</v>
      </c>
      <c r="E636" s="6" t="str">
        <f>IFERROR(__xludf.DUMMYFUNCTION("""COMPUTED_VALUE"""),"Credit Card")</f>
        <v>Credit Card</v>
      </c>
      <c r="F636" s="6" t="s">
        <v>11</v>
      </c>
      <c r="G636" s="8" t="str">
        <f t="shared" si="1"/>
        <v>202412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  <c r="CD636" s="4"/>
      <c r="CE636" s="4"/>
      <c r="CF636" s="4"/>
      <c r="CG636" s="4"/>
      <c r="CH636" s="4"/>
      <c r="CI636" s="4"/>
      <c r="CJ636" s="4"/>
      <c r="CK636" s="4"/>
      <c r="CL636" s="4"/>
      <c r="CM636" s="4"/>
      <c r="CN636" s="4"/>
      <c r="CO636" s="4"/>
      <c r="CP636" s="4"/>
      <c r="CQ636" s="4"/>
      <c r="CR636" s="4"/>
      <c r="CS636" s="4"/>
      <c r="CT636" s="4"/>
      <c r="CU636" s="4"/>
      <c r="CV636" s="4"/>
      <c r="CW636" s="4"/>
      <c r="CX636" s="4"/>
      <c r="CY636" s="4"/>
      <c r="CZ636" s="4"/>
      <c r="DA636" s="4"/>
      <c r="DB636" s="4"/>
      <c r="DC636" s="4"/>
      <c r="DD636" s="4"/>
      <c r="DE636" s="4"/>
      <c r="DF636" s="4"/>
      <c r="DG636" s="4"/>
      <c r="DH636" s="4"/>
      <c r="DI636" s="4"/>
      <c r="DJ636" s="4"/>
      <c r="DK636" s="4"/>
      <c r="DL636" s="4"/>
      <c r="DM636" s="4"/>
      <c r="DN636" s="4"/>
      <c r="DO636" s="4"/>
      <c r="DP636" s="4"/>
      <c r="DQ636" s="4"/>
      <c r="DR636" s="4"/>
      <c r="DS636" s="4"/>
    </row>
    <row r="637">
      <c r="A637" s="9">
        <f>IFERROR(__xludf.DUMMYFUNCTION("""COMPUTED_VALUE"""),45627.0)</f>
        <v>45627</v>
      </c>
      <c r="B637" s="6" t="str">
        <f>IFERROR(__xludf.DUMMYFUNCTION("""COMPUTED_VALUE"""),"Water Bill (AySA)")</f>
        <v>Water Bill (AySA)</v>
      </c>
      <c r="C637" s="7">
        <f>IFERROR(__xludf.DUMMYFUNCTION("""COMPUTED_VALUE"""),1547.0)</f>
        <v>1547</v>
      </c>
      <c r="D637" s="6" t="str">
        <f>IFERROR(__xludf.DUMMYFUNCTION("""COMPUTED_VALUE"""),"Basic Services")</f>
        <v>Basic Services</v>
      </c>
      <c r="E637" s="6" t="str">
        <f>IFERROR(__xludf.DUMMYFUNCTION("""COMPUTED_VALUE"""),"Split Payment")</f>
        <v>Split Payment</v>
      </c>
      <c r="F637" s="6" t="s">
        <v>13</v>
      </c>
      <c r="G637" s="8" t="str">
        <f t="shared" si="1"/>
        <v>202412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  <c r="CD637" s="4"/>
      <c r="CE637" s="4"/>
      <c r="CF637" s="4"/>
      <c r="CG637" s="4"/>
      <c r="CH637" s="4"/>
      <c r="CI637" s="4"/>
      <c r="CJ637" s="4"/>
      <c r="CK637" s="4"/>
      <c r="CL637" s="4"/>
      <c r="CM637" s="4"/>
      <c r="CN637" s="4"/>
      <c r="CO637" s="4"/>
      <c r="CP637" s="4"/>
      <c r="CQ637" s="4"/>
      <c r="CR637" s="4"/>
      <c r="CS637" s="4"/>
      <c r="CT637" s="4"/>
      <c r="CU637" s="4"/>
      <c r="CV637" s="4"/>
      <c r="CW637" s="4"/>
      <c r="CX637" s="4"/>
      <c r="CY637" s="4"/>
      <c r="CZ637" s="4"/>
      <c r="DA637" s="4"/>
      <c r="DB637" s="4"/>
      <c r="DC637" s="4"/>
      <c r="DD637" s="4"/>
      <c r="DE637" s="4"/>
      <c r="DF637" s="4"/>
      <c r="DG637" s="4"/>
      <c r="DH637" s="4"/>
      <c r="DI637" s="4"/>
      <c r="DJ637" s="4"/>
      <c r="DK637" s="4"/>
      <c r="DL637" s="4"/>
      <c r="DM637" s="4"/>
      <c r="DN637" s="4"/>
      <c r="DO637" s="4"/>
      <c r="DP637" s="4"/>
      <c r="DQ637" s="4"/>
      <c r="DR637" s="4"/>
      <c r="DS637" s="4"/>
    </row>
    <row r="638">
      <c r="A638" s="9">
        <f>IFERROR(__xludf.DUMMYFUNCTION("""COMPUTED_VALUE"""),45628.0)</f>
        <v>45628</v>
      </c>
      <c r="B638" s="6" t="str">
        <f>IFERROR(__xludf.DUMMYFUNCTION("""COMPUTED_VALUE"""),"Gas Bill (Metrogas)")</f>
        <v>Gas Bill (Metrogas)</v>
      </c>
      <c r="C638" s="7">
        <f>IFERROR(__xludf.DUMMYFUNCTION("""COMPUTED_VALUE"""),8371.0)</f>
        <v>8371</v>
      </c>
      <c r="D638" s="6" t="str">
        <f>IFERROR(__xludf.DUMMYFUNCTION("""COMPUTED_VALUE"""),"Basic Services")</f>
        <v>Basic Services</v>
      </c>
      <c r="E638" s="6" t="str">
        <f>IFERROR(__xludf.DUMMYFUNCTION("""COMPUTED_VALUE"""),"Split Payment")</f>
        <v>Split Payment</v>
      </c>
      <c r="F638" s="6" t="s">
        <v>13</v>
      </c>
      <c r="G638" s="8" t="str">
        <f t="shared" si="1"/>
        <v>202412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  <c r="CD638" s="4"/>
      <c r="CE638" s="4"/>
      <c r="CF638" s="4"/>
      <c r="CG638" s="4"/>
      <c r="CH638" s="4"/>
      <c r="CI638" s="4"/>
      <c r="CJ638" s="4"/>
      <c r="CK638" s="4"/>
      <c r="CL638" s="4"/>
      <c r="CM638" s="4"/>
      <c r="CN638" s="4"/>
      <c r="CO638" s="4"/>
      <c r="CP638" s="4"/>
      <c r="CQ638" s="4"/>
      <c r="CR638" s="4"/>
      <c r="CS638" s="4"/>
      <c r="CT638" s="4"/>
      <c r="CU638" s="4"/>
      <c r="CV638" s="4"/>
      <c r="CW638" s="4"/>
      <c r="CX638" s="4"/>
      <c r="CY638" s="4"/>
      <c r="CZ638" s="4"/>
      <c r="DA638" s="4"/>
      <c r="DB638" s="4"/>
      <c r="DC638" s="4"/>
      <c r="DD638" s="4"/>
      <c r="DE638" s="4"/>
      <c r="DF638" s="4"/>
      <c r="DG638" s="4"/>
      <c r="DH638" s="4"/>
      <c r="DI638" s="4"/>
      <c r="DJ638" s="4"/>
      <c r="DK638" s="4"/>
      <c r="DL638" s="4"/>
      <c r="DM638" s="4"/>
      <c r="DN638" s="4"/>
      <c r="DO638" s="4"/>
      <c r="DP638" s="4"/>
      <c r="DQ638" s="4"/>
      <c r="DR638" s="4"/>
      <c r="DS638" s="4"/>
    </row>
    <row r="639">
      <c r="A639" s="9">
        <f>IFERROR(__xludf.DUMMYFUNCTION("""COMPUTED_VALUE"""),45628.0)</f>
        <v>45628</v>
      </c>
      <c r="B639" s="6" t="str">
        <f>IFERROR(__xludf.DUMMYFUNCTION("""COMPUTED_VALUE"""),"Groceries")</f>
        <v>Groceries</v>
      </c>
      <c r="C639" s="7">
        <f>IFERROR(__xludf.DUMMYFUNCTION("""COMPUTED_VALUE"""),381.0)</f>
        <v>381</v>
      </c>
      <c r="D639" s="6" t="str">
        <f>IFERROR(__xludf.DUMMYFUNCTION("""COMPUTED_VALUE"""),"Groceries")</f>
        <v>Groceries</v>
      </c>
      <c r="E639" s="6" t="str">
        <f>IFERROR(__xludf.DUMMYFUNCTION("""COMPUTED_VALUE"""),"Virtual Wallet")</f>
        <v>Virtual Wallet</v>
      </c>
      <c r="F639" s="6" t="s">
        <v>7</v>
      </c>
      <c r="G639" s="8" t="str">
        <f t="shared" si="1"/>
        <v>202412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  <c r="CD639" s="4"/>
      <c r="CE639" s="4"/>
      <c r="CF639" s="4"/>
      <c r="CG639" s="4"/>
      <c r="CH639" s="4"/>
      <c r="CI639" s="4"/>
      <c r="CJ639" s="4"/>
      <c r="CK639" s="4"/>
      <c r="CL639" s="4"/>
      <c r="CM639" s="4"/>
      <c r="CN639" s="4"/>
      <c r="CO639" s="4"/>
      <c r="CP639" s="4"/>
      <c r="CQ639" s="4"/>
      <c r="CR639" s="4"/>
      <c r="CS639" s="4"/>
      <c r="CT639" s="4"/>
      <c r="CU639" s="4"/>
      <c r="CV639" s="4"/>
      <c r="CW639" s="4"/>
      <c r="CX639" s="4"/>
      <c r="CY639" s="4"/>
      <c r="CZ639" s="4"/>
      <c r="DA639" s="4"/>
      <c r="DB639" s="4"/>
      <c r="DC639" s="4"/>
      <c r="DD639" s="4"/>
      <c r="DE639" s="4"/>
      <c r="DF639" s="4"/>
      <c r="DG639" s="4"/>
      <c r="DH639" s="4"/>
      <c r="DI639" s="4"/>
      <c r="DJ639" s="4"/>
      <c r="DK639" s="4"/>
      <c r="DL639" s="4"/>
      <c r="DM639" s="4"/>
      <c r="DN639" s="4"/>
      <c r="DO639" s="4"/>
      <c r="DP639" s="4"/>
      <c r="DQ639" s="4"/>
      <c r="DR639" s="4"/>
      <c r="DS639" s="4"/>
    </row>
    <row r="640">
      <c r="A640" s="9">
        <f>IFERROR(__xludf.DUMMYFUNCTION("""COMPUTED_VALUE"""),45628.0)</f>
        <v>45628</v>
      </c>
      <c r="B640" s="6" t="str">
        <f>IFERROR(__xludf.DUMMYFUNCTION("""COMPUTED_VALUE"""),"Groceries")</f>
        <v>Groceries</v>
      </c>
      <c r="C640" s="7">
        <f>IFERROR(__xludf.DUMMYFUNCTION("""COMPUTED_VALUE"""),43.0)</f>
        <v>43</v>
      </c>
      <c r="D640" s="6" t="str">
        <f>IFERROR(__xludf.DUMMYFUNCTION("""COMPUTED_VALUE"""),"Groceries")</f>
        <v>Groceries</v>
      </c>
      <c r="E640" s="6" t="str">
        <f>IFERROR(__xludf.DUMMYFUNCTION("""COMPUTED_VALUE"""),"Virtual Wallet")</f>
        <v>Virtual Wallet</v>
      </c>
      <c r="F640" s="6" t="s">
        <v>7</v>
      </c>
      <c r="G640" s="8" t="str">
        <f t="shared" si="1"/>
        <v>202412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  <c r="CD640" s="4"/>
      <c r="CE640" s="4"/>
      <c r="CF640" s="4"/>
      <c r="CG640" s="4"/>
      <c r="CH640" s="4"/>
      <c r="CI640" s="4"/>
      <c r="CJ640" s="4"/>
      <c r="CK640" s="4"/>
      <c r="CL640" s="4"/>
      <c r="CM640" s="4"/>
      <c r="CN640" s="4"/>
      <c r="CO640" s="4"/>
      <c r="CP640" s="4"/>
      <c r="CQ640" s="4"/>
      <c r="CR640" s="4"/>
      <c r="CS640" s="4"/>
      <c r="CT640" s="4"/>
      <c r="CU640" s="4"/>
      <c r="CV640" s="4"/>
      <c r="CW640" s="4"/>
      <c r="CX640" s="4"/>
      <c r="CY640" s="4"/>
      <c r="CZ640" s="4"/>
      <c r="DA640" s="4"/>
      <c r="DB640" s="4"/>
      <c r="DC640" s="4"/>
      <c r="DD640" s="4"/>
      <c r="DE640" s="4"/>
      <c r="DF640" s="4"/>
      <c r="DG640" s="4"/>
      <c r="DH640" s="4"/>
      <c r="DI640" s="4"/>
      <c r="DJ640" s="4"/>
      <c r="DK640" s="4"/>
      <c r="DL640" s="4"/>
      <c r="DM640" s="4"/>
      <c r="DN640" s="4"/>
      <c r="DO640" s="4"/>
      <c r="DP640" s="4"/>
      <c r="DQ640" s="4"/>
      <c r="DR640" s="4"/>
      <c r="DS640" s="4"/>
    </row>
    <row r="641">
      <c r="A641" s="9">
        <f>IFERROR(__xludf.DUMMYFUNCTION("""COMPUTED_VALUE"""),45628.0)</f>
        <v>45628</v>
      </c>
      <c r="B641" s="6" t="str">
        <f>IFERROR(__xludf.DUMMYFUNCTION("""COMPUTED_VALUE"""),"Recreation")</f>
        <v>Recreation</v>
      </c>
      <c r="C641" s="7">
        <f>IFERROR(__xludf.DUMMYFUNCTION("""COMPUTED_VALUE"""),15000.0)</f>
        <v>15000</v>
      </c>
      <c r="D641" s="6" t="str">
        <f>IFERROR(__xludf.DUMMYFUNCTION("""COMPUTED_VALUE"""),"Recreation")</f>
        <v>Recreation</v>
      </c>
      <c r="E641" s="6" t="str">
        <f>IFERROR(__xludf.DUMMYFUNCTION("""COMPUTED_VALUE"""),"Virtual Wallet")</f>
        <v>Virtual Wallet</v>
      </c>
      <c r="F641" s="6" t="s">
        <v>12</v>
      </c>
      <c r="G641" s="8" t="str">
        <f t="shared" si="1"/>
        <v>202412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  <c r="CD641" s="4"/>
      <c r="CE641" s="4"/>
      <c r="CF641" s="4"/>
      <c r="CG641" s="4"/>
      <c r="CH641" s="4"/>
      <c r="CI641" s="4"/>
      <c r="CJ641" s="4"/>
      <c r="CK641" s="4"/>
      <c r="CL641" s="4"/>
      <c r="CM641" s="4"/>
      <c r="CN641" s="4"/>
      <c r="CO641" s="4"/>
      <c r="CP641" s="4"/>
      <c r="CQ641" s="4"/>
      <c r="CR641" s="4"/>
      <c r="CS641" s="4"/>
      <c r="CT641" s="4"/>
      <c r="CU641" s="4"/>
      <c r="CV641" s="4"/>
      <c r="CW641" s="4"/>
      <c r="CX641" s="4"/>
      <c r="CY641" s="4"/>
      <c r="CZ641" s="4"/>
      <c r="DA641" s="4"/>
      <c r="DB641" s="4"/>
      <c r="DC641" s="4"/>
      <c r="DD641" s="4"/>
      <c r="DE641" s="4"/>
      <c r="DF641" s="4"/>
      <c r="DG641" s="4"/>
      <c r="DH641" s="4"/>
      <c r="DI641" s="4"/>
      <c r="DJ641" s="4"/>
      <c r="DK641" s="4"/>
      <c r="DL641" s="4"/>
      <c r="DM641" s="4"/>
      <c r="DN641" s="4"/>
      <c r="DO641" s="4"/>
      <c r="DP641" s="4"/>
      <c r="DQ641" s="4"/>
      <c r="DR641" s="4"/>
      <c r="DS641" s="4"/>
    </row>
    <row r="642">
      <c r="A642" s="9">
        <f>IFERROR(__xludf.DUMMYFUNCTION("""COMPUTED_VALUE"""),45629.0)</f>
        <v>45629</v>
      </c>
      <c r="B642" s="6" t="str">
        <f>IFERROR(__xludf.DUMMYFUNCTION("""COMPUTED_VALUE"""),"Rent &amp; Building Expenses")</f>
        <v>Rent &amp; Building Expenses</v>
      </c>
      <c r="C642" s="7">
        <f>IFERROR(__xludf.DUMMYFUNCTION("""COMPUTED_VALUE"""),300000.0)</f>
        <v>300000</v>
      </c>
      <c r="D642" s="6" t="str">
        <f>IFERROR(__xludf.DUMMYFUNCTION("""COMPUTED_VALUE"""),"Rent &amp; Utilities")</f>
        <v>Rent &amp; Utilities</v>
      </c>
      <c r="E642" s="6" t="str">
        <f>IFERROR(__xludf.DUMMYFUNCTION("""COMPUTED_VALUE"""),"Bank Transfer")</f>
        <v>Bank Transfer</v>
      </c>
      <c r="F642" s="6" t="s">
        <v>13</v>
      </c>
      <c r="G642" s="8" t="str">
        <f t="shared" si="1"/>
        <v>202412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  <c r="CD642" s="4"/>
      <c r="CE642" s="4"/>
      <c r="CF642" s="4"/>
      <c r="CG642" s="4"/>
      <c r="CH642" s="4"/>
      <c r="CI642" s="4"/>
      <c r="CJ642" s="4"/>
      <c r="CK642" s="4"/>
      <c r="CL642" s="4"/>
      <c r="CM642" s="4"/>
      <c r="CN642" s="4"/>
      <c r="CO642" s="4"/>
      <c r="CP642" s="4"/>
      <c r="CQ642" s="4"/>
      <c r="CR642" s="4"/>
      <c r="CS642" s="4"/>
      <c r="CT642" s="4"/>
      <c r="CU642" s="4"/>
      <c r="CV642" s="4"/>
      <c r="CW642" s="4"/>
      <c r="CX642" s="4"/>
      <c r="CY642" s="4"/>
      <c r="CZ642" s="4"/>
      <c r="DA642" s="4"/>
      <c r="DB642" s="4"/>
      <c r="DC642" s="4"/>
      <c r="DD642" s="4"/>
      <c r="DE642" s="4"/>
      <c r="DF642" s="4"/>
      <c r="DG642" s="4"/>
      <c r="DH642" s="4"/>
      <c r="DI642" s="4"/>
      <c r="DJ642" s="4"/>
      <c r="DK642" s="4"/>
      <c r="DL642" s="4"/>
      <c r="DM642" s="4"/>
      <c r="DN642" s="4"/>
      <c r="DO642" s="4"/>
      <c r="DP642" s="4"/>
      <c r="DQ642" s="4"/>
      <c r="DR642" s="4"/>
      <c r="DS642" s="4"/>
    </row>
    <row r="643">
      <c r="A643" s="9">
        <f>IFERROR(__xludf.DUMMYFUNCTION("""COMPUTED_VALUE"""),45630.0)</f>
        <v>45630</v>
      </c>
      <c r="B643" s="6" t="str">
        <f>IFERROR(__xludf.DUMMYFUNCTION("""COMPUTED_VALUE"""),"Clothing")</f>
        <v>Clothing</v>
      </c>
      <c r="C643" s="7">
        <f>IFERROR(__xludf.DUMMYFUNCTION("""COMPUTED_VALUE"""),33993.0)</f>
        <v>33993</v>
      </c>
      <c r="D643" s="6" t="str">
        <f>IFERROR(__xludf.DUMMYFUNCTION("""COMPUTED_VALUE"""),"Clothing")</f>
        <v>Clothing</v>
      </c>
      <c r="E643" s="6" t="str">
        <f>IFERROR(__xludf.DUMMYFUNCTION("""COMPUTED_VALUE"""),"Credit Card")</f>
        <v>Credit Card</v>
      </c>
      <c r="F643" s="6" t="s">
        <v>10</v>
      </c>
      <c r="G643" s="8" t="str">
        <f t="shared" si="1"/>
        <v>202412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  <c r="CD643" s="4"/>
      <c r="CE643" s="4"/>
      <c r="CF643" s="4"/>
      <c r="CG643" s="4"/>
      <c r="CH643" s="4"/>
      <c r="CI643" s="4"/>
      <c r="CJ643" s="4"/>
      <c r="CK643" s="4"/>
      <c r="CL643" s="4"/>
      <c r="CM643" s="4"/>
      <c r="CN643" s="4"/>
      <c r="CO643" s="4"/>
      <c r="CP643" s="4"/>
      <c r="CQ643" s="4"/>
      <c r="CR643" s="4"/>
      <c r="CS643" s="4"/>
      <c r="CT643" s="4"/>
      <c r="CU643" s="4"/>
      <c r="CV643" s="4"/>
      <c r="CW643" s="4"/>
      <c r="CX643" s="4"/>
      <c r="CY643" s="4"/>
      <c r="CZ643" s="4"/>
      <c r="DA643" s="4"/>
      <c r="DB643" s="4"/>
      <c r="DC643" s="4"/>
      <c r="DD643" s="4"/>
      <c r="DE643" s="4"/>
      <c r="DF643" s="4"/>
      <c r="DG643" s="4"/>
      <c r="DH643" s="4"/>
      <c r="DI643" s="4"/>
      <c r="DJ643" s="4"/>
      <c r="DK643" s="4"/>
      <c r="DL643" s="4"/>
      <c r="DM643" s="4"/>
      <c r="DN643" s="4"/>
      <c r="DO643" s="4"/>
      <c r="DP643" s="4"/>
      <c r="DQ643" s="4"/>
      <c r="DR643" s="4"/>
      <c r="DS643" s="4"/>
    </row>
    <row r="644">
      <c r="A644" s="9">
        <f>IFERROR(__xludf.DUMMYFUNCTION("""COMPUTED_VALUE"""),45630.0)</f>
        <v>45630</v>
      </c>
      <c r="B644" s="6" t="str">
        <f>IFERROR(__xludf.DUMMYFUNCTION("""COMPUTED_VALUE"""),"Groceries")</f>
        <v>Groceries</v>
      </c>
      <c r="C644" s="7">
        <f>IFERROR(__xludf.DUMMYFUNCTION("""COMPUTED_VALUE"""),35.0)</f>
        <v>35</v>
      </c>
      <c r="D644" s="6" t="str">
        <f>IFERROR(__xludf.DUMMYFUNCTION("""COMPUTED_VALUE"""),"Lunch Out")</f>
        <v>Lunch Out</v>
      </c>
      <c r="E644" s="6" t="str">
        <f>IFERROR(__xludf.DUMMYFUNCTION("""COMPUTED_VALUE"""),"Virtual Wallet")</f>
        <v>Virtual Wallet</v>
      </c>
      <c r="F644" s="6" t="s">
        <v>14</v>
      </c>
      <c r="G644" s="8" t="str">
        <f t="shared" si="1"/>
        <v>202412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  <c r="CD644" s="4"/>
      <c r="CE644" s="4"/>
      <c r="CF644" s="4"/>
      <c r="CG644" s="4"/>
      <c r="CH644" s="4"/>
      <c r="CI644" s="4"/>
      <c r="CJ644" s="4"/>
      <c r="CK644" s="4"/>
      <c r="CL644" s="4"/>
      <c r="CM644" s="4"/>
      <c r="CN644" s="4"/>
      <c r="CO644" s="4"/>
      <c r="CP644" s="4"/>
      <c r="CQ644" s="4"/>
      <c r="CR644" s="4"/>
      <c r="CS644" s="4"/>
      <c r="CT644" s="4"/>
      <c r="CU644" s="4"/>
      <c r="CV644" s="4"/>
      <c r="CW644" s="4"/>
      <c r="CX644" s="4"/>
      <c r="CY644" s="4"/>
      <c r="CZ644" s="4"/>
      <c r="DA644" s="4"/>
      <c r="DB644" s="4"/>
      <c r="DC644" s="4"/>
      <c r="DD644" s="4"/>
      <c r="DE644" s="4"/>
      <c r="DF644" s="4"/>
      <c r="DG644" s="4"/>
      <c r="DH644" s="4"/>
      <c r="DI644" s="4"/>
      <c r="DJ644" s="4"/>
      <c r="DK644" s="4"/>
      <c r="DL644" s="4"/>
      <c r="DM644" s="4"/>
      <c r="DN644" s="4"/>
      <c r="DO644" s="4"/>
      <c r="DP644" s="4"/>
      <c r="DQ644" s="4"/>
      <c r="DR644" s="4"/>
      <c r="DS644" s="4"/>
    </row>
    <row r="645">
      <c r="A645" s="9">
        <f>IFERROR(__xludf.DUMMYFUNCTION("""COMPUTED_VALUE"""),45630.0)</f>
        <v>45630</v>
      </c>
      <c r="B645" s="6" t="str">
        <f>IFERROR(__xludf.DUMMYFUNCTION("""COMPUTED_VALUE"""),"Groceries")</f>
        <v>Groceries</v>
      </c>
      <c r="C645" s="7">
        <f>IFERROR(__xludf.DUMMYFUNCTION("""COMPUTED_VALUE"""),1000.0)</f>
        <v>1000</v>
      </c>
      <c r="D645" s="6" t="str">
        <f>IFERROR(__xludf.DUMMYFUNCTION("""COMPUTED_VALUE"""),"Groceries")</f>
        <v>Groceries</v>
      </c>
      <c r="E645" s="6" t="str">
        <f>IFERROR(__xludf.DUMMYFUNCTION("""COMPUTED_VALUE"""),"Virtual Wallet")</f>
        <v>Virtual Wallet</v>
      </c>
      <c r="F645" s="6" t="s">
        <v>7</v>
      </c>
      <c r="G645" s="8" t="str">
        <f t="shared" si="1"/>
        <v>202412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  <c r="CD645" s="4"/>
      <c r="CE645" s="4"/>
      <c r="CF645" s="4"/>
      <c r="CG645" s="4"/>
      <c r="CH645" s="4"/>
      <c r="CI645" s="4"/>
      <c r="CJ645" s="4"/>
      <c r="CK645" s="4"/>
      <c r="CL645" s="4"/>
      <c r="CM645" s="4"/>
      <c r="CN645" s="4"/>
      <c r="CO645" s="4"/>
      <c r="CP645" s="4"/>
      <c r="CQ645" s="4"/>
      <c r="CR645" s="4"/>
      <c r="CS645" s="4"/>
      <c r="CT645" s="4"/>
      <c r="CU645" s="4"/>
      <c r="CV645" s="4"/>
      <c r="CW645" s="4"/>
      <c r="CX645" s="4"/>
      <c r="CY645" s="4"/>
      <c r="CZ645" s="4"/>
      <c r="DA645" s="4"/>
      <c r="DB645" s="4"/>
      <c r="DC645" s="4"/>
      <c r="DD645" s="4"/>
      <c r="DE645" s="4"/>
      <c r="DF645" s="4"/>
      <c r="DG645" s="4"/>
      <c r="DH645" s="4"/>
      <c r="DI645" s="4"/>
      <c r="DJ645" s="4"/>
      <c r="DK645" s="4"/>
      <c r="DL645" s="4"/>
      <c r="DM645" s="4"/>
      <c r="DN645" s="4"/>
      <c r="DO645" s="4"/>
      <c r="DP645" s="4"/>
      <c r="DQ645" s="4"/>
      <c r="DR645" s="4"/>
      <c r="DS645" s="4"/>
    </row>
    <row r="646">
      <c r="A646" s="9">
        <f>IFERROR(__xludf.DUMMYFUNCTION("""COMPUTED_VALUE"""),45630.0)</f>
        <v>45630</v>
      </c>
      <c r="B646" s="6" t="str">
        <f>IFERROR(__xludf.DUMMYFUNCTION("""COMPUTED_VALUE"""),"Restaurant")</f>
        <v>Restaurant</v>
      </c>
      <c r="C646" s="7">
        <f>IFERROR(__xludf.DUMMYFUNCTION("""COMPUTED_VALUE"""),6300.0)</f>
        <v>6300</v>
      </c>
      <c r="D646" s="6" t="str">
        <f>IFERROR(__xludf.DUMMYFUNCTION("""COMPUTED_VALUE"""),"Restaurant / Café")</f>
        <v>Restaurant / Café</v>
      </c>
      <c r="E646" s="6" t="str">
        <f>IFERROR(__xludf.DUMMYFUNCTION("""COMPUTED_VALUE"""),"Virtual Wallet")</f>
        <v>Virtual Wallet</v>
      </c>
      <c r="F646" s="6" t="s">
        <v>14</v>
      </c>
      <c r="G646" s="8" t="str">
        <f t="shared" si="1"/>
        <v>202412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  <c r="CD646" s="4"/>
      <c r="CE646" s="4"/>
      <c r="CF646" s="4"/>
      <c r="CG646" s="4"/>
      <c r="CH646" s="4"/>
      <c r="CI646" s="4"/>
      <c r="CJ646" s="4"/>
      <c r="CK646" s="4"/>
      <c r="CL646" s="4"/>
      <c r="CM646" s="4"/>
      <c r="CN646" s="4"/>
      <c r="CO646" s="4"/>
      <c r="CP646" s="4"/>
      <c r="CQ646" s="4"/>
      <c r="CR646" s="4"/>
      <c r="CS646" s="4"/>
      <c r="CT646" s="4"/>
      <c r="CU646" s="4"/>
      <c r="CV646" s="4"/>
      <c r="CW646" s="4"/>
      <c r="CX646" s="4"/>
      <c r="CY646" s="4"/>
      <c r="CZ646" s="4"/>
      <c r="DA646" s="4"/>
      <c r="DB646" s="4"/>
      <c r="DC646" s="4"/>
      <c r="DD646" s="4"/>
      <c r="DE646" s="4"/>
      <c r="DF646" s="4"/>
      <c r="DG646" s="4"/>
      <c r="DH646" s="4"/>
      <c r="DI646" s="4"/>
      <c r="DJ646" s="4"/>
      <c r="DK646" s="4"/>
      <c r="DL646" s="4"/>
      <c r="DM646" s="4"/>
      <c r="DN646" s="4"/>
      <c r="DO646" s="4"/>
      <c r="DP646" s="4"/>
      <c r="DQ646" s="4"/>
      <c r="DR646" s="4"/>
      <c r="DS646" s="4"/>
    </row>
    <row r="647">
      <c r="A647" s="9">
        <f>IFERROR(__xludf.DUMMYFUNCTION("""COMPUTED_VALUE"""),45630.0)</f>
        <v>45630</v>
      </c>
      <c r="B647" s="6" t="str">
        <f>IFERROR(__xludf.DUMMYFUNCTION("""COMPUTED_VALUE"""),"Sports")</f>
        <v>Sports</v>
      </c>
      <c r="C647" s="7">
        <f>IFERROR(__xludf.DUMMYFUNCTION("""COMPUTED_VALUE"""),67760.0)</f>
        <v>67760</v>
      </c>
      <c r="D647" s="6" t="str">
        <f>IFERROR(__xludf.DUMMYFUNCTION("""COMPUTED_VALUE"""),"Sports")</f>
        <v>Sports</v>
      </c>
      <c r="E647" s="6" t="str">
        <f>IFERROR(__xludf.DUMMYFUNCTION("""COMPUTED_VALUE"""),"Virtual Wallet")</f>
        <v>Virtual Wallet</v>
      </c>
      <c r="F647" s="6" t="s">
        <v>12</v>
      </c>
      <c r="G647" s="8" t="str">
        <f t="shared" si="1"/>
        <v>202412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  <c r="CD647" s="4"/>
      <c r="CE647" s="4"/>
      <c r="CF647" s="4"/>
      <c r="CG647" s="4"/>
      <c r="CH647" s="4"/>
      <c r="CI647" s="4"/>
      <c r="CJ647" s="4"/>
      <c r="CK647" s="4"/>
      <c r="CL647" s="4"/>
      <c r="CM647" s="4"/>
      <c r="CN647" s="4"/>
      <c r="CO647" s="4"/>
      <c r="CP647" s="4"/>
      <c r="CQ647" s="4"/>
      <c r="CR647" s="4"/>
      <c r="CS647" s="4"/>
      <c r="CT647" s="4"/>
      <c r="CU647" s="4"/>
      <c r="CV647" s="4"/>
      <c r="CW647" s="4"/>
      <c r="CX647" s="4"/>
      <c r="CY647" s="4"/>
      <c r="CZ647" s="4"/>
      <c r="DA647" s="4"/>
      <c r="DB647" s="4"/>
      <c r="DC647" s="4"/>
      <c r="DD647" s="4"/>
      <c r="DE647" s="4"/>
      <c r="DF647" s="4"/>
      <c r="DG647" s="4"/>
      <c r="DH647" s="4"/>
      <c r="DI647" s="4"/>
      <c r="DJ647" s="4"/>
      <c r="DK647" s="4"/>
      <c r="DL647" s="4"/>
      <c r="DM647" s="4"/>
      <c r="DN647" s="4"/>
      <c r="DO647" s="4"/>
      <c r="DP647" s="4"/>
      <c r="DQ647" s="4"/>
      <c r="DR647" s="4"/>
      <c r="DS647" s="4"/>
    </row>
    <row r="648">
      <c r="A648" s="9">
        <f>IFERROR(__xludf.DUMMYFUNCTION("""COMPUTED_VALUE"""),45631.0)</f>
        <v>45631</v>
      </c>
      <c r="B648" s="6" t="str">
        <f>IFERROR(__xludf.DUMMYFUNCTION("""COMPUTED_VALUE"""),"Gasoline")</f>
        <v>Gasoline</v>
      </c>
      <c r="C648" s="7">
        <f>IFERROR(__xludf.DUMMYFUNCTION("""COMPUTED_VALUE"""),7500.0)</f>
        <v>7500</v>
      </c>
      <c r="D648" s="6" t="str">
        <f>IFERROR(__xludf.DUMMYFUNCTION("""COMPUTED_VALUE"""),"Car Expenses")</f>
        <v>Car Expenses</v>
      </c>
      <c r="E648" s="6" t="str">
        <f>IFERROR(__xludf.DUMMYFUNCTION("""COMPUTED_VALUE"""),"Debit Card")</f>
        <v>Debit Card</v>
      </c>
      <c r="F648" s="6" t="s">
        <v>9</v>
      </c>
      <c r="G648" s="8" t="str">
        <f t="shared" si="1"/>
        <v>202412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  <c r="CD648" s="4"/>
      <c r="CE648" s="4"/>
      <c r="CF648" s="4"/>
      <c r="CG648" s="4"/>
      <c r="CH648" s="4"/>
      <c r="CI648" s="4"/>
      <c r="CJ648" s="4"/>
      <c r="CK648" s="4"/>
      <c r="CL648" s="4"/>
      <c r="CM648" s="4"/>
      <c r="CN648" s="4"/>
      <c r="CO648" s="4"/>
      <c r="CP648" s="4"/>
      <c r="CQ648" s="4"/>
      <c r="CR648" s="4"/>
      <c r="CS648" s="4"/>
      <c r="CT648" s="4"/>
      <c r="CU648" s="4"/>
      <c r="CV648" s="4"/>
      <c r="CW648" s="4"/>
      <c r="CX648" s="4"/>
      <c r="CY648" s="4"/>
      <c r="CZ648" s="4"/>
      <c r="DA648" s="4"/>
      <c r="DB648" s="4"/>
      <c r="DC648" s="4"/>
      <c r="DD648" s="4"/>
      <c r="DE648" s="4"/>
      <c r="DF648" s="4"/>
      <c r="DG648" s="4"/>
      <c r="DH648" s="4"/>
      <c r="DI648" s="4"/>
      <c r="DJ648" s="4"/>
      <c r="DK648" s="4"/>
      <c r="DL648" s="4"/>
      <c r="DM648" s="4"/>
      <c r="DN648" s="4"/>
      <c r="DO648" s="4"/>
      <c r="DP648" s="4"/>
      <c r="DQ648" s="4"/>
      <c r="DR648" s="4"/>
      <c r="DS648" s="4"/>
    </row>
    <row r="649">
      <c r="A649" s="9">
        <f>IFERROR(__xludf.DUMMYFUNCTION("""COMPUTED_VALUE"""),45631.0)</f>
        <v>45631</v>
      </c>
      <c r="B649" s="6" t="str">
        <f>IFERROR(__xludf.DUMMYFUNCTION("""COMPUTED_VALUE"""),"Municipal Tax (Agip)")</f>
        <v>Municipal Tax (Agip)</v>
      </c>
      <c r="C649" s="7">
        <f>IFERROR(__xludf.DUMMYFUNCTION("""COMPUTED_VALUE"""),7661.0)</f>
        <v>7661</v>
      </c>
      <c r="D649" s="6" t="str">
        <f>IFERROR(__xludf.DUMMYFUNCTION("""COMPUTED_VALUE"""),"Basic Services")</f>
        <v>Basic Services</v>
      </c>
      <c r="E649" s="6" t="str">
        <f>IFERROR(__xludf.DUMMYFUNCTION("""COMPUTED_VALUE"""),"Split Payment")</f>
        <v>Split Payment</v>
      </c>
      <c r="F649" s="6" t="s">
        <v>13</v>
      </c>
      <c r="G649" s="8" t="str">
        <f t="shared" si="1"/>
        <v>202412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  <c r="CD649" s="4"/>
      <c r="CE649" s="4"/>
      <c r="CF649" s="4"/>
      <c r="CG649" s="4"/>
      <c r="CH649" s="4"/>
      <c r="CI649" s="4"/>
      <c r="CJ649" s="4"/>
      <c r="CK649" s="4"/>
      <c r="CL649" s="4"/>
      <c r="CM649" s="4"/>
      <c r="CN649" s="4"/>
      <c r="CO649" s="4"/>
      <c r="CP649" s="4"/>
      <c r="CQ649" s="4"/>
      <c r="CR649" s="4"/>
      <c r="CS649" s="4"/>
      <c r="CT649" s="4"/>
      <c r="CU649" s="4"/>
      <c r="CV649" s="4"/>
      <c r="CW649" s="4"/>
      <c r="CX649" s="4"/>
      <c r="CY649" s="4"/>
      <c r="CZ649" s="4"/>
      <c r="DA649" s="4"/>
      <c r="DB649" s="4"/>
      <c r="DC649" s="4"/>
      <c r="DD649" s="4"/>
      <c r="DE649" s="4"/>
      <c r="DF649" s="4"/>
      <c r="DG649" s="4"/>
      <c r="DH649" s="4"/>
      <c r="DI649" s="4"/>
      <c r="DJ649" s="4"/>
      <c r="DK649" s="4"/>
      <c r="DL649" s="4"/>
      <c r="DM649" s="4"/>
      <c r="DN649" s="4"/>
      <c r="DO649" s="4"/>
      <c r="DP649" s="4"/>
      <c r="DQ649" s="4"/>
      <c r="DR649" s="4"/>
      <c r="DS649" s="4"/>
    </row>
    <row r="650">
      <c r="A650" s="9">
        <f>IFERROR(__xludf.DUMMYFUNCTION("""COMPUTED_VALUE"""),45631.0)</f>
        <v>45631</v>
      </c>
      <c r="B650" s="6" t="str">
        <f>IFERROR(__xludf.DUMMYFUNCTION("""COMPUTED_VALUE"""),"Pets")</f>
        <v>Pets</v>
      </c>
      <c r="C650" s="7">
        <f>IFERROR(__xludf.DUMMYFUNCTION("""COMPUTED_VALUE"""),10000.0)</f>
        <v>10000</v>
      </c>
      <c r="D650" s="6" t="str">
        <f>IFERROR(__xludf.DUMMYFUNCTION("""COMPUTED_VALUE"""),"Pets")</f>
        <v>Pets</v>
      </c>
      <c r="E650" s="6" t="str">
        <f>IFERROR(__xludf.DUMMYFUNCTION("""COMPUTED_VALUE"""),"Debit Card")</f>
        <v>Debit Card</v>
      </c>
      <c r="F650" s="6" t="s">
        <v>7</v>
      </c>
      <c r="G650" s="8" t="str">
        <f t="shared" si="1"/>
        <v>202412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  <c r="CD650" s="4"/>
      <c r="CE650" s="4"/>
      <c r="CF650" s="4"/>
      <c r="CG650" s="4"/>
      <c r="CH650" s="4"/>
      <c r="CI650" s="4"/>
      <c r="CJ650" s="4"/>
      <c r="CK650" s="4"/>
      <c r="CL650" s="4"/>
      <c r="CM650" s="4"/>
      <c r="CN650" s="4"/>
      <c r="CO650" s="4"/>
      <c r="CP650" s="4"/>
      <c r="CQ650" s="4"/>
      <c r="CR650" s="4"/>
      <c r="CS650" s="4"/>
      <c r="CT650" s="4"/>
      <c r="CU650" s="4"/>
      <c r="CV650" s="4"/>
      <c r="CW650" s="4"/>
      <c r="CX650" s="4"/>
      <c r="CY650" s="4"/>
      <c r="CZ650" s="4"/>
      <c r="DA650" s="4"/>
      <c r="DB650" s="4"/>
      <c r="DC650" s="4"/>
      <c r="DD650" s="4"/>
      <c r="DE650" s="4"/>
      <c r="DF650" s="4"/>
      <c r="DG650" s="4"/>
      <c r="DH650" s="4"/>
      <c r="DI650" s="4"/>
      <c r="DJ650" s="4"/>
      <c r="DK650" s="4"/>
      <c r="DL650" s="4"/>
      <c r="DM650" s="4"/>
      <c r="DN650" s="4"/>
      <c r="DO650" s="4"/>
      <c r="DP650" s="4"/>
      <c r="DQ650" s="4"/>
      <c r="DR650" s="4"/>
      <c r="DS650" s="4"/>
    </row>
    <row r="651">
      <c r="A651" s="9">
        <f>IFERROR(__xludf.DUMMYFUNCTION("""COMPUTED_VALUE"""),45632.0)</f>
        <v>45632</v>
      </c>
      <c r="B651" s="6" t="str">
        <f>IFERROR(__xludf.DUMMYFUNCTION("""COMPUTED_VALUE"""),"Streaming Services")</f>
        <v>Streaming Services</v>
      </c>
      <c r="C651" s="7">
        <f>IFERROR(__xludf.DUMMYFUNCTION("""COMPUTED_VALUE"""),2622.0)</f>
        <v>2622</v>
      </c>
      <c r="D651" s="6" t="str">
        <f>IFERROR(__xludf.DUMMYFUNCTION("""COMPUTED_VALUE"""),"Streaming Services")</f>
        <v>Streaming Services</v>
      </c>
      <c r="E651" s="6" t="str">
        <f>IFERROR(__xludf.DUMMYFUNCTION("""COMPUTED_VALUE"""),"Credit Card")</f>
        <v>Credit Card</v>
      </c>
      <c r="F651" s="6" t="s">
        <v>12</v>
      </c>
      <c r="G651" s="8" t="str">
        <f t="shared" si="1"/>
        <v>202412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  <c r="CD651" s="4"/>
      <c r="CE651" s="4"/>
      <c r="CF651" s="4"/>
      <c r="CG651" s="4"/>
      <c r="CH651" s="4"/>
      <c r="CI651" s="4"/>
      <c r="CJ651" s="4"/>
      <c r="CK651" s="4"/>
      <c r="CL651" s="4"/>
      <c r="CM651" s="4"/>
      <c r="CN651" s="4"/>
      <c r="CO651" s="4"/>
      <c r="CP651" s="4"/>
      <c r="CQ651" s="4"/>
      <c r="CR651" s="4"/>
      <c r="CS651" s="4"/>
      <c r="CT651" s="4"/>
      <c r="CU651" s="4"/>
      <c r="CV651" s="4"/>
      <c r="CW651" s="4"/>
      <c r="CX651" s="4"/>
      <c r="CY651" s="4"/>
      <c r="CZ651" s="4"/>
      <c r="DA651" s="4"/>
      <c r="DB651" s="4"/>
      <c r="DC651" s="4"/>
      <c r="DD651" s="4"/>
      <c r="DE651" s="4"/>
      <c r="DF651" s="4"/>
      <c r="DG651" s="4"/>
      <c r="DH651" s="4"/>
      <c r="DI651" s="4"/>
      <c r="DJ651" s="4"/>
      <c r="DK651" s="4"/>
      <c r="DL651" s="4"/>
      <c r="DM651" s="4"/>
      <c r="DN651" s="4"/>
      <c r="DO651" s="4"/>
      <c r="DP651" s="4"/>
      <c r="DQ651" s="4"/>
      <c r="DR651" s="4"/>
      <c r="DS651" s="4"/>
    </row>
    <row r="652">
      <c r="A652" s="9">
        <f>IFERROR(__xludf.DUMMYFUNCTION("""COMPUTED_VALUE"""),45632.0)</f>
        <v>45632</v>
      </c>
      <c r="B652" s="6" t="str">
        <f>IFERROR(__xludf.DUMMYFUNCTION("""COMPUTED_VALUE"""),"Streaming Services")</f>
        <v>Streaming Services</v>
      </c>
      <c r="C652" s="7">
        <f>IFERROR(__xludf.DUMMYFUNCTION("""COMPUTED_VALUE"""),5723.0)</f>
        <v>5723</v>
      </c>
      <c r="D652" s="6" t="str">
        <f>IFERROR(__xludf.DUMMYFUNCTION("""COMPUTED_VALUE"""),"Streaming Services")</f>
        <v>Streaming Services</v>
      </c>
      <c r="E652" s="6" t="str">
        <f>IFERROR(__xludf.DUMMYFUNCTION("""COMPUTED_VALUE"""),"Credit Card")</f>
        <v>Credit Card</v>
      </c>
      <c r="F652" s="6" t="s">
        <v>12</v>
      </c>
      <c r="G652" s="8" t="str">
        <f t="shared" si="1"/>
        <v>202412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  <c r="CD652" s="4"/>
      <c r="CE652" s="4"/>
      <c r="CF652" s="4"/>
      <c r="CG652" s="4"/>
      <c r="CH652" s="4"/>
      <c r="CI652" s="4"/>
      <c r="CJ652" s="4"/>
      <c r="CK652" s="4"/>
      <c r="CL652" s="4"/>
      <c r="CM652" s="4"/>
      <c r="CN652" s="4"/>
      <c r="CO652" s="4"/>
      <c r="CP652" s="4"/>
      <c r="CQ652" s="4"/>
      <c r="CR652" s="4"/>
      <c r="CS652" s="4"/>
      <c r="CT652" s="4"/>
      <c r="CU652" s="4"/>
      <c r="CV652" s="4"/>
      <c r="CW652" s="4"/>
      <c r="CX652" s="4"/>
      <c r="CY652" s="4"/>
      <c r="CZ652" s="4"/>
      <c r="DA652" s="4"/>
      <c r="DB652" s="4"/>
      <c r="DC652" s="4"/>
      <c r="DD652" s="4"/>
      <c r="DE652" s="4"/>
      <c r="DF652" s="4"/>
      <c r="DG652" s="4"/>
      <c r="DH652" s="4"/>
      <c r="DI652" s="4"/>
      <c r="DJ652" s="4"/>
      <c r="DK652" s="4"/>
      <c r="DL652" s="4"/>
      <c r="DM652" s="4"/>
      <c r="DN652" s="4"/>
      <c r="DO652" s="4"/>
      <c r="DP652" s="4"/>
      <c r="DQ652" s="4"/>
      <c r="DR652" s="4"/>
      <c r="DS652" s="4"/>
    </row>
    <row r="653">
      <c r="A653" s="9">
        <f>IFERROR(__xludf.DUMMYFUNCTION("""COMPUTED_VALUE"""),45634.0)</f>
        <v>45634</v>
      </c>
      <c r="B653" s="6" t="str">
        <f>IFERROR(__xludf.DUMMYFUNCTION("""COMPUTED_VALUE"""),"Clothing")</f>
        <v>Clothing</v>
      </c>
      <c r="C653" s="7">
        <f>IFERROR(__xludf.DUMMYFUNCTION("""COMPUTED_VALUE"""),19326.0)</f>
        <v>19326</v>
      </c>
      <c r="D653" s="6" t="str">
        <f>IFERROR(__xludf.DUMMYFUNCTION("""COMPUTED_VALUE"""),"Clothing")</f>
        <v>Clothing</v>
      </c>
      <c r="E653" s="6" t="str">
        <f>IFERROR(__xludf.DUMMYFUNCTION("""COMPUTED_VALUE"""),"Credit Card")</f>
        <v>Credit Card</v>
      </c>
      <c r="F653" s="6" t="s">
        <v>10</v>
      </c>
      <c r="G653" s="8" t="str">
        <f t="shared" si="1"/>
        <v>202412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  <c r="CD653" s="4"/>
      <c r="CE653" s="4"/>
      <c r="CF653" s="4"/>
      <c r="CG653" s="4"/>
      <c r="CH653" s="4"/>
      <c r="CI653" s="4"/>
      <c r="CJ653" s="4"/>
      <c r="CK653" s="4"/>
      <c r="CL653" s="4"/>
      <c r="CM653" s="4"/>
      <c r="CN653" s="4"/>
      <c r="CO653" s="4"/>
      <c r="CP653" s="4"/>
      <c r="CQ653" s="4"/>
      <c r="CR653" s="4"/>
      <c r="CS653" s="4"/>
      <c r="CT653" s="4"/>
      <c r="CU653" s="4"/>
      <c r="CV653" s="4"/>
      <c r="CW653" s="4"/>
      <c r="CX653" s="4"/>
      <c r="CY653" s="4"/>
      <c r="CZ653" s="4"/>
      <c r="DA653" s="4"/>
      <c r="DB653" s="4"/>
      <c r="DC653" s="4"/>
      <c r="DD653" s="4"/>
      <c r="DE653" s="4"/>
      <c r="DF653" s="4"/>
      <c r="DG653" s="4"/>
      <c r="DH653" s="4"/>
      <c r="DI653" s="4"/>
      <c r="DJ653" s="4"/>
      <c r="DK653" s="4"/>
      <c r="DL653" s="4"/>
      <c r="DM653" s="4"/>
      <c r="DN653" s="4"/>
      <c r="DO653" s="4"/>
      <c r="DP653" s="4"/>
      <c r="DQ653" s="4"/>
      <c r="DR653" s="4"/>
      <c r="DS653" s="4"/>
    </row>
    <row r="654">
      <c r="A654" s="9">
        <f>IFERROR(__xludf.DUMMYFUNCTION("""COMPUTED_VALUE"""),45634.0)</f>
        <v>45634</v>
      </c>
      <c r="B654" s="6" t="str">
        <f>IFERROR(__xludf.DUMMYFUNCTION("""COMPUTED_VALUE"""),"Groceries")</f>
        <v>Groceries</v>
      </c>
      <c r="C654" s="7">
        <f>IFERROR(__xludf.DUMMYFUNCTION("""COMPUTED_VALUE"""),24704.0)</f>
        <v>24704</v>
      </c>
      <c r="D654" s="6" t="str">
        <f>IFERROR(__xludf.DUMMYFUNCTION("""COMPUTED_VALUE"""),"Groceries")</f>
        <v>Groceries</v>
      </c>
      <c r="E654" s="6" t="str">
        <f>IFERROR(__xludf.DUMMYFUNCTION("""COMPUTED_VALUE"""),"Bank Transfer")</f>
        <v>Bank Transfer</v>
      </c>
      <c r="F654" s="6" t="s">
        <v>7</v>
      </c>
      <c r="G654" s="8" t="str">
        <f t="shared" si="1"/>
        <v>202412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  <c r="CD654" s="4"/>
      <c r="CE654" s="4"/>
      <c r="CF654" s="4"/>
      <c r="CG654" s="4"/>
      <c r="CH654" s="4"/>
      <c r="CI654" s="4"/>
      <c r="CJ654" s="4"/>
      <c r="CK654" s="4"/>
      <c r="CL654" s="4"/>
      <c r="CM654" s="4"/>
      <c r="CN654" s="4"/>
      <c r="CO654" s="4"/>
      <c r="CP654" s="4"/>
      <c r="CQ654" s="4"/>
      <c r="CR654" s="4"/>
      <c r="CS654" s="4"/>
      <c r="CT654" s="4"/>
      <c r="CU654" s="4"/>
      <c r="CV654" s="4"/>
      <c r="CW654" s="4"/>
      <c r="CX654" s="4"/>
      <c r="CY654" s="4"/>
      <c r="CZ654" s="4"/>
      <c r="DA654" s="4"/>
      <c r="DB654" s="4"/>
      <c r="DC654" s="4"/>
      <c r="DD654" s="4"/>
      <c r="DE654" s="4"/>
      <c r="DF654" s="4"/>
      <c r="DG654" s="4"/>
      <c r="DH654" s="4"/>
      <c r="DI654" s="4"/>
      <c r="DJ654" s="4"/>
      <c r="DK654" s="4"/>
      <c r="DL654" s="4"/>
      <c r="DM654" s="4"/>
      <c r="DN654" s="4"/>
      <c r="DO654" s="4"/>
      <c r="DP654" s="4"/>
      <c r="DQ654" s="4"/>
      <c r="DR654" s="4"/>
      <c r="DS654" s="4"/>
    </row>
    <row r="655">
      <c r="A655" s="9">
        <f>IFERROR(__xludf.DUMMYFUNCTION("""COMPUTED_VALUE"""),45635.0)</f>
        <v>45635</v>
      </c>
      <c r="B655" s="6" t="str">
        <f>IFERROR(__xludf.DUMMYFUNCTION("""COMPUTED_VALUE"""),"Doctor Visit")</f>
        <v>Doctor Visit</v>
      </c>
      <c r="C655" s="7">
        <f>IFERROR(__xludf.DUMMYFUNCTION("""COMPUTED_VALUE"""),6000.0)</f>
        <v>6000</v>
      </c>
      <c r="D655" s="6" t="str">
        <f>IFERROR(__xludf.DUMMYFUNCTION("""COMPUTED_VALUE"""),"Healthcare")</f>
        <v>Healthcare</v>
      </c>
      <c r="E655" s="6" t="str">
        <f>IFERROR(__xludf.DUMMYFUNCTION("""COMPUTED_VALUE"""),"Virtual Wallet")</f>
        <v>Virtual Wallet</v>
      </c>
      <c r="F655" s="6" t="s">
        <v>15</v>
      </c>
      <c r="G655" s="8" t="str">
        <f t="shared" si="1"/>
        <v>202412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  <c r="CD655" s="4"/>
      <c r="CE655" s="4"/>
      <c r="CF655" s="4"/>
      <c r="CG655" s="4"/>
      <c r="CH655" s="4"/>
      <c r="CI655" s="4"/>
      <c r="CJ655" s="4"/>
      <c r="CK655" s="4"/>
      <c r="CL655" s="4"/>
      <c r="CM655" s="4"/>
      <c r="CN655" s="4"/>
      <c r="CO655" s="4"/>
      <c r="CP655" s="4"/>
      <c r="CQ655" s="4"/>
      <c r="CR655" s="4"/>
      <c r="CS655" s="4"/>
      <c r="CT655" s="4"/>
      <c r="CU655" s="4"/>
      <c r="CV655" s="4"/>
      <c r="CW655" s="4"/>
      <c r="CX655" s="4"/>
      <c r="CY655" s="4"/>
      <c r="CZ655" s="4"/>
      <c r="DA655" s="4"/>
      <c r="DB655" s="4"/>
      <c r="DC655" s="4"/>
      <c r="DD655" s="4"/>
      <c r="DE655" s="4"/>
      <c r="DF655" s="4"/>
      <c r="DG655" s="4"/>
      <c r="DH655" s="4"/>
      <c r="DI655" s="4"/>
      <c r="DJ655" s="4"/>
      <c r="DK655" s="4"/>
      <c r="DL655" s="4"/>
      <c r="DM655" s="4"/>
      <c r="DN655" s="4"/>
      <c r="DO655" s="4"/>
      <c r="DP655" s="4"/>
      <c r="DQ655" s="4"/>
      <c r="DR655" s="4"/>
      <c r="DS655" s="4"/>
    </row>
    <row r="656">
      <c r="A656" s="9">
        <f>IFERROR(__xludf.DUMMYFUNCTION("""COMPUTED_VALUE"""),45636.0)</f>
        <v>45636</v>
      </c>
      <c r="B656" s="6" t="str">
        <f>IFERROR(__xludf.DUMMYFUNCTION("""COMPUTED_VALUE"""),"Home Goods")</f>
        <v>Home Goods</v>
      </c>
      <c r="C656" s="7">
        <f>IFERROR(__xludf.DUMMYFUNCTION("""COMPUTED_VALUE"""),3816.5)</f>
        <v>3816.5</v>
      </c>
      <c r="D656" s="6" t="str">
        <f>IFERROR(__xludf.DUMMYFUNCTION("""COMPUTED_VALUE"""),"Home Goods &amp; Utilities")</f>
        <v>Home Goods &amp; Utilities</v>
      </c>
      <c r="E656" s="6" t="str">
        <f>IFERROR(__xludf.DUMMYFUNCTION("""COMPUTED_VALUE"""),"Credit Card")</f>
        <v>Credit Card</v>
      </c>
      <c r="F656" s="6" t="s">
        <v>8</v>
      </c>
      <c r="G656" s="8" t="str">
        <f t="shared" si="1"/>
        <v>202412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  <c r="CD656" s="4"/>
      <c r="CE656" s="4"/>
      <c r="CF656" s="4"/>
      <c r="CG656" s="4"/>
      <c r="CH656" s="4"/>
      <c r="CI656" s="4"/>
      <c r="CJ656" s="4"/>
      <c r="CK656" s="4"/>
      <c r="CL656" s="4"/>
      <c r="CM656" s="4"/>
      <c r="CN656" s="4"/>
      <c r="CO656" s="4"/>
      <c r="CP656" s="4"/>
      <c r="CQ656" s="4"/>
      <c r="CR656" s="4"/>
      <c r="CS656" s="4"/>
      <c r="CT656" s="4"/>
      <c r="CU656" s="4"/>
      <c r="CV656" s="4"/>
      <c r="CW656" s="4"/>
      <c r="CX656" s="4"/>
      <c r="CY656" s="4"/>
      <c r="CZ656" s="4"/>
      <c r="DA656" s="4"/>
      <c r="DB656" s="4"/>
      <c r="DC656" s="4"/>
      <c r="DD656" s="4"/>
      <c r="DE656" s="4"/>
      <c r="DF656" s="4"/>
      <c r="DG656" s="4"/>
      <c r="DH656" s="4"/>
      <c r="DI656" s="4"/>
      <c r="DJ656" s="4"/>
      <c r="DK656" s="4"/>
      <c r="DL656" s="4"/>
      <c r="DM656" s="4"/>
      <c r="DN656" s="4"/>
      <c r="DO656" s="4"/>
      <c r="DP656" s="4"/>
      <c r="DQ656" s="4"/>
      <c r="DR656" s="4"/>
      <c r="DS656" s="4"/>
    </row>
    <row r="657">
      <c r="A657" s="9">
        <f>IFERROR(__xludf.DUMMYFUNCTION("""COMPUTED_VALUE"""),45636.0)</f>
        <v>45636</v>
      </c>
      <c r="B657" s="6" t="str">
        <f>IFERROR(__xludf.DUMMYFUNCTION("""COMPUTED_VALUE"""),"Donation")</f>
        <v>Donation</v>
      </c>
      <c r="C657" s="7">
        <f>IFERROR(__xludf.DUMMYFUNCTION("""COMPUTED_VALUE"""),5000.0)</f>
        <v>5000</v>
      </c>
      <c r="D657" s="6" t="str">
        <f>IFERROR(__xludf.DUMMYFUNCTION("""COMPUTED_VALUE"""),"Donation")</f>
        <v>Donation</v>
      </c>
      <c r="E657" s="6" t="str">
        <f>IFERROR(__xludf.DUMMYFUNCTION("""COMPUTED_VALUE"""),"Virtual Wallet")</f>
        <v>Virtual Wallet</v>
      </c>
      <c r="F657" s="6"/>
      <c r="G657" s="8" t="str">
        <f t="shared" si="1"/>
        <v>202412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  <c r="CD657" s="4"/>
      <c r="CE657" s="4"/>
      <c r="CF657" s="4"/>
      <c r="CG657" s="4"/>
      <c r="CH657" s="4"/>
      <c r="CI657" s="4"/>
      <c r="CJ657" s="4"/>
      <c r="CK657" s="4"/>
      <c r="CL657" s="4"/>
      <c r="CM657" s="4"/>
      <c r="CN657" s="4"/>
      <c r="CO657" s="4"/>
      <c r="CP657" s="4"/>
      <c r="CQ657" s="4"/>
      <c r="CR657" s="4"/>
      <c r="CS657" s="4"/>
      <c r="CT657" s="4"/>
      <c r="CU657" s="4"/>
      <c r="CV657" s="4"/>
      <c r="CW657" s="4"/>
      <c r="CX657" s="4"/>
      <c r="CY657" s="4"/>
      <c r="CZ657" s="4"/>
      <c r="DA657" s="4"/>
      <c r="DB657" s="4"/>
      <c r="DC657" s="4"/>
      <c r="DD657" s="4"/>
      <c r="DE657" s="4"/>
      <c r="DF657" s="4"/>
      <c r="DG657" s="4"/>
      <c r="DH657" s="4"/>
      <c r="DI657" s="4"/>
      <c r="DJ657" s="4"/>
      <c r="DK657" s="4"/>
      <c r="DL657" s="4"/>
      <c r="DM657" s="4"/>
      <c r="DN657" s="4"/>
      <c r="DO657" s="4"/>
      <c r="DP657" s="4"/>
      <c r="DQ657" s="4"/>
      <c r="DR657" s="4"/>
      <c r="DS657" s="4"/>
    </row>
    <row r="658">
      <c r="A658" s="9">
        <f>IFERROR(__xludf.DUMMYFUNCTION("""COMPUTED_VALUE"""),45636.0)</f>
        <v>45636</v>
      </c>
      <c r="B658" s="6" t="str">
        <f>IFERROR(__xludf.DUMMYFUNCTION("""COMPUTED_VALUE"""),"Groceries")</f>
        <v>Groceries</v>
      </c>
      <c r="C658" s="7">
        <f>IFERROR(__xludf.DUMMYFUNCTION("""COMPUTED_VALUE"""),2400.0)</f>
        <v>2400</v>
      </c>
      <c r="D658" s="6" t="str">
        <f>IFERROR(__xludf.DUMMYFUNCTION("""COMPUTED_VALUE"""),"Groceries")</f>
        <v>Groceries</v>
      </c>
      <c r="E658" s="6" t="str">
        <f>IFERROR(__xludf.DUMMYFUNCTION("""COMPUTED_VALUE"""),"Split Payment")</f>
        <v>Split Payment</v>
      </c>
      <c r="F658" s="6" t="s">
        <v>7</v>
      </c>
      <c r="G658" s="8" t="str">
        <f t="shared" si="1"/>
        <v>202412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  <c r="CD658" s="4"/>
      <c r="CE658" s="4"/>
      <c r="CF658" s="4"/>
      <c r="CG658" s="4"/>
      <c r="CH658" s="4"/>
      <c r="CI658" s="4"/>
      <c r="CJ658" s="4"/>
      <c r="CK658" s="4"/>
      <c r="CL658" s="4"/>
      <c r="CM658" s="4"/>
      <c r="CN658" s="4"/>
      <c r="CO658" s="4"/>
      <c r="CP658" s="4"/>
      <c r="CQ658" s="4"/>
      <c r="CR658" s="4"/>
      <c r="CS658" s="4"/>
      <c r="CT658" s="4"/>
      <c r="CU658" s="4"/>
      <c r="CV658" s="4"/>
      <c r="CW658" s="4"/>
      <c r="CX658" s="4"/>
      <c r="CY658" s="4"/>
      <c r="CZ658" s="4"/>
      <c r="DA658" s="4"/>
      <c r="DB658" s="4"/>
      <c r="DC658" s="4"/>
      <c r="DD658" s="4"/>
      <c r="DE658" s="4"/>
      <c r="DF658" s="4"/>
      <c r="DG658" s="4"/>
      <c r="DH658" s="4"/>
      <c r="DI658" s="4"/>
      <c r="DJ658" s="4"/>
      <c r="DK658" s="4"/>
      <c r="DL658" s="4"/>
      <c r="DM658" s="4"/>
      <c r="DN658" s="4"/>
      <c r="DO658" s="4"/>
      <c r="DP658" s="4"/>
      <c r="DQ658" s="4"/>
      <c r="DR658" s="4"/>
      <c r="DS658" s="4"/>
    </row>
    <row r="659">
      <c r="A659" s="9">
        <f>IFERROR(__xludf.DUMMYFUNCTION("""COMPUTED_VALUE"""),45637.0)</f>
        <v>45637</v>
      </c>
      <c r="B659" s="6" t="str">
        <f>IFERROR(__xludf.DUMMYFUNCTION("""COMPUTED_VALUE"""),"Gift")</f>
        <v>Gift</v>
      </c>
      <c r="C659" s="7">
        <f>IFERROR(__xludf.DUMMYFUNCTION("""COMPUTED_VALUE"""),6033.0)</f>
        <v>6033</v>
      </c>
      <c r="D659" s="6" t="str">
        <f>IFERROR(__xludf.DUMMYFUNCTION("""COMPUTED_VALUE"""),"Gifts")</f>
        <v>Gifts</v>
      </c>
      <c r="E659" s="6" t="str">
        <f>IFERROR(__xludf.DUMMYFUNCTION("""COMPUTED_VALUE"""),"Credit Card")</f>
        <v>Credit Card</v>
      </c>
      <c r="F659" s="6"/>
      <c r="G659" s="8" t="str">
        <f t="shared" si="1"/>
        <v>202412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  <c r="CI659" s="4"/>
      <c r="CJ659" s="4"/>
      <c r="CK659" s="4"/>
      <c r="CL659" s="4"/>
      <c r="CM659" s="4"/>
      <c r="CN659" s="4"/>
      <c r="CO659" s="4"/>
      <c r="CP659" s="4"/>
      <c r="CQ659" s="4"/>
      <c r="CR659" s="4"/>
      <c r="CS659" s="4"/>
      <c r="CT659" s="4"/>
      <c r="CU659" s="4"/>
      <c r="CV659" s="4"/>
      <c r="CW659" s="4"/>
      <c r="CX659" s="4"/>
      <c r="CY659" s="4"/>
      <c r="CZ659" s="4"/>
      <c r="DA659" s="4"/>
      <c r="DB659" s="4"/>
      <c r="DC659" s="4"/>
      <c r="DD659" s="4"/>
      <c r="DE659" s="4"/>
      <c r="DF659" s="4"/>
      <c r="DG659" s="4"/>
      <c r="DH659" s="4"/>
      <c r="DI659" s="4"/>
      <c r="DJ659" s="4"/>
      <c r="DK659" s="4"/>
      <c r="DL659" s="4"/>
      <c r="DM659" s="4"/>
      <c r="DN659" s="4"/>
      <c r="DO659" s="4"/>
      <c r="DP659" s="4"/>
      <c r="DQ659" s="4"/>
      <c r="DR659" s="4"/>
      <c r="DS659" s="4"/>
    </row>
    <row r="660">
      <c r="A660" s="9">
        <f>IFERROR(__xludf.DUMMYFUNCTION("""COMPUTED_VALUE"""),45637.0)</f>
        <v>45637</v>
      </c>
      <c r="B660" s="6" t="str">
        <f>IFERROR(__xludf.DUMMYFUNCTION("""COMPUTED_VALUE"""),"Groceries")</f>
        <v>Groceries</v>
      </c>
      <c r="C660" s="7">
        <f>IFERROR(__xludf.DUMMYFUNCTION("""COMPUTED_VALUE"""),4000.0)</f>
        <v>4000</v>
      </c>
      <c r="D660" s="6" t="str">
        <f>IFERROR(__xludf.DUMMYFUNCTION("""COMPUTED_VALUE"""),"Groceries")</f>
        <v>Groceries</v>
      </c>
      <c r="E660" s="6" t="str">
        <f>IFERROR(__xludf.DUMMYFUNCTION("""COMPUTED_VALUE"""),"Split Payment")</f>
        <v>Split Payment</v>
      </c>
      <c r="F660" s="6" t="s">
        <v>7</v>
      </c>
      <c r="G660" s="8" t="str">
        <f t="shared" si="1"/>
        <v>202412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  <c r="CI660" s="4"/>
      <c r="CJ660" s="4"/>
      <c r="CK660" s="4"/>
      <c r="CL660" s="4"/>
      <c r="CM660" s="4"/>
      <c r="CN660" s="4"/>
      <c r="CO660" s="4"/>
      <c r="CP660" s="4"/>
      <c r="CQ660" s="4"/>
      <c r="CR660" s="4"/>
      <c r="CS660" s="4"/>
      <c r="CT660" s="4"/>
      <c r="CU660" s="4"/>
      <c r="CV660" s="4"/>
      <c r="CW660" s="4"/>
      <c r="CX660" s="4"/>
      <c r="CY660" s="4"/>
      <c r="CZ660" s="4"/>
      <c r="DA660" s="4"/>
      <c r="DB660" s="4"/>
      <c r="DC660" s="4"/>
      <c r="DD660" s="4"/>
      <c r="DE660" s="4"/>
      <c r="DF660" s="4"/>
      <c r="DG660" s="4"/>
      <c r="DH660" s="4"/>
      <c r="DI660" s="4"/>
      <c r="DJ660" s="4"/>
      <c r="DK660" s="4"/>
      <c r="DL660" s="4"/>
      <c r="DM660" s="4"/>
      <c r="DN660" s="4"/>
      <c r="DO660" s="4"/>
      <c r="DP660" s="4"/>
      <c r="DQ660" s="4"/>
      <c r="DR660" s="4"/>
      <c r="DS660" s="4"/>
    </row>
    <row r="661">
      <c r="A661" s="9">
        <f>IFERROR(__xludf.DUMMYFUNCTION("""COMPUTED_VALUE"""),45637.0)</f>
        <v>45637</v>
      </c>
      <c r="B661" s="6" t="str">
        <f>IFERROR(__xludf.DUMMYFUNCTION("""COMPUTED_VALUE"""),"Car Expenses")</f>
        <v>Car Expenses</v>
      </c>
      <c r="C661" s="7">
        <f>IFERROR(__xludf.DUMMYFUNCTION("""COMPUTED_VALUE"""),9000.0)</f>
        <v>9000</v>
      </c>
      <c r="D661" s="6" t="str">
        <f>IFERROR(__xludf.DUMMYFUNCTION("""COMPUTED_VALUE"""),"Car Expenses")</f>
        <v>Car Expenses</v>
      </c>
      <c r="E661" s="6" t="str">
        <f>IFERROR(__xludf.DUMMYFUNCTION("""COMPUTED_VALUE"""),"Debit Card")</f>
        <v>Debit Card</v>
      </c>
      <c r="F661" s="6" t="s">
        <v>9</v>
      </c>
      <c r="G661" s="8" t="str">
        <f t="shared" si="1"/>
        <v>202412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  <c r="CD661" s="4"/>
      <c r="CE661" s="4"/>
      <c r="CF661" s="4"/>
      <c r="CG661" s="4"/>
      <c r="CH661" s="4"/>
      <c r="CI661" s="4"/>
      <c r="CJ661" s="4"/>
      <c r="CK661" s="4"/>
      <c r="CL661" s="4"/>
      <c r="CM661" s="4"/>
      <c r="CN661" s="4"/>
      <c r="CO661" s="4"/>
      <c r="CP661" s="4"/>
      <c r="CQ661" s="4"/>
      <c r="CR661" s="4"/>
      <c r="CS661" s="4"/>
      <c r="CT661" s="4"/>
      <c r="CU661" s="4"/>
      <c r="CV661" s="4"/>
      <c r="CW661" s="4"/>
      <c r="CX661" s="4"/>
      <c r="CY661" s="4"/>
      <c r="CZ661" s="4"/>
      <c r="DA661" s="4"/>
      <c r="DB661" s="4"/>
      <c r="DC661" s="4"/>
      <c r="DD661" s="4"/>
      <c r="DE661" s="4"/>
      <c r="DF661" s="4"/>
      <c r="DG661" s="4"/>
      <c r="DH661" s="4"/>
      <c r="DI661" s="4"/>
      <c r="DJ661" s="4"/>
      <c r="DK661" s="4"/>
      <c r="DL661" s="4"/>
      <c r="DM661" s="4"/>
      <c r="DN661" s="4"/>
      <c r="DO661" s="4"/>
      <c r="DP661" s="4"/>
      <c r="DQ661" s="4"/>
      <c r="DR661" s="4"/>
      <c r="DS661" s="4"/>
    </row>
    <row r="662">
      <c r="A662" s="9">
        <f>IFERROR(__xludf.DUMMYFUNCTION("""COMPUTED_VALUE"""),45637.0)</f>
        <v>45637</v>
      </c>
      <c r="B662" s="6" t="str">
        <f>IFERROR(__xludf.DUMMYFUNCTION("""COMPUTED_VALUE"""),"Car Expenses")</f>
        <v>Car Expenses</v>
      </c>
      <c r="C662" s="7">
        <f>IFERROR(__xludf.DUMMYFUNCTION("""COMPUTED_VALUE"""),7000.0)</f>
        <v>7000</v>
      </c>
      <c r="D662" s="6" t="str">
        <f>IFERROR(__xludf.DUMMYFUNCTION("""COMPUTED_VALUE"""),"Car Expenses")</f>
        <v>Car Expenses</v>
      </c>
      <c r="E662" s="6" t="str">
        <f>IFERROR(__xludf.DUMMYFUNCTION("""COMPUTED_VALUE"""),"Debit Card")</f>
        <v>Debit Card</v>
      </c>
      <c r="F662" s="6" t="s">
        <v>9</v>
      </c>
      <c r="G662" s="8" t="str">
        <f t="shared" si="1"/>
        <v>202412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  <c r="CD662" s="4"/>
      <c r="CE662" s="4"/>
      <c r="CF662" s="4"/>
      <c r="CG662" s="4"/>
      <c r="CH662" s="4"/>
      <c r="CI662" s="4"/>
      <c r="CJ662" s="4"/>
      <c r="CK662" s="4"/>
      <c r="CL662" s="4"/>
      <c r="CM662" s="4"/>
      <c r="CN662" s="4"/>
      <c r="CO662" s="4"/>
      <c r="CP662" s="4"/>
      <c r="CQ662" s="4"/>
      <c r="CR662" s="4"/>
      <c r="CS662" s="4"/>
      <c r="CT662" s="4"/>
      <c r="CU662" s="4"/>
      <c r="CV662" s="4"/>
      <c r="CW662" s="4"/>
      <c r="CX662" s="4"/>
      <c r="CY662" s="4"/>
      <c r="CZ662" s="4"/>
      <c r="DA662" s="4"/>
      <c r="DB662" s="4"/>
      <c r="DC662" s="4"/>
      <c r="DD662" s="4"/>
      <c r="DE662" s="4"/>
      <c r="DF662" s="4"/>
      <c r="DG662" s="4"/>
      <c r="DH662" s="4"/>
      <c r="DI662" s="4"/>
      <c r="DJ662" s="4"/>
      <c r="DK662" s="4"/>
      <c r="DL662" s="4"/>
      <c r="DM662" s="4"/>
      <c r="DN662" s="4"/>
      <c r="DO662" s="4"/>
      <c r="DP662" s="4"/>
      <c r="DQ662" s="4"/>
      <c r="DR662" s="4"/>
      <c r="DS662" s="4"/>
    </row>
    <row r="663">
      <c r="A663" s="9">
        <f>IFERROR(__xludf.DUMMYFUNCTION("""COMPUTED_VALUE"""),45638.0)</f>
        <v>45638</v>
      </c>
      <c r="B663" s="6" t="str">
        <f>IFERROR(__xludf.DUMMYFUNCTION("""COMPUTED_VALUE"""),"Clothing")</f>
        <v>Clothing</v>
      </c>
      <c r="C663" s="7">
        <f>IFERROR(__xludf.DUMMYFUNCTION("""COMPUTED_VALUE"""),11200.0)</f>
        <v>11200</v>
      </c>
      <c r="D663" s="6" t="str">
        <f>IFERROR(__xludf.DUMMYFUNCTION("""COMPUTED_VALUE"""),"Transportation")</f>
        <v>Transportation</v>
      </c>
      <c r="E663" s="6" t="str">
        <f>IFERROR(__xludf.DUMMYFUNCTION("""COMPUTED_VALUE"""),"Virtual Wallet")</f>
        <v>Virtual Wallet</v>
      </c>
      <c r="F663" s="6" t="s">
        <v>9</v>
      </c>
      <c r="G663" s="8" t="str">
        <f t="shared" si="1"/>
        <v>202412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  <c r="CD663" s="4"/>
      <c r="CE663" s="4"/>
      <c r="CF663" s="4"/>
      <c r="CG663" s="4"/>
      <c r="CH663" s="4"/>
      <c r="CI663" s="4"/>
      <c r="CJ663" s="4"/>
      <c r="CK663" s="4"/>
      <c r="CL663" s="4"/>
      <c r="CM663" s="4"/>
      <c r="CN663" s="4"/>
      <c r="CO663" s="4"/>
      <c r="CP663" s="4"/>
      <c r="CQ663" s="4"/>
      <c r="CR663" s="4"/>
      <c r="CS663" s="4"/>
      <c r="CT663" s="4"/>
      <c r="CU663" s="4"/>
      <c r="CV663" s="4"/>
      <c r="CW663" s="4"/>
      <c r="CX663" s="4"/>
      <c r="CY663" s="4"/>
      <c r="CZ663" s="4"/>
      <c r="DA663" s="4"/>
      <c r="DB663" s="4"/>
      <c r="DC663" s="4"/>
      <c r="DD663" s="4"/>
      <c r="DE663" s="4"/>
      <c r="DF663" s="4"/>
      <c r="DG663" s="4"/>
      <c r="DH663" s="4"/>
      <c r="DI663" s="4"/>
      <c r="DJ663" s="4"/>
      <c r="DK663" s="4"/>
      <c r="DL663" s="4"/>
      <c r="DM663" s="4"/>
      <c r="DN663" s="4"/>
      <c r="DO663" s="4"/>
      <c r="DP663" s="4"/>
      <c r="DQ663" s="4"/>
      <c r="DR663" s="4"/>
      <c r="DS663" s="4"/>
    </row>
    <row r="664">
      <c r="A664" s="9">
        <f>IFERROR(__xludf.DUMMYFUNCTION("""COMPUTED_VALUE"""),45639.0)</f>
        <v>45639</v>
      </c>
      <c r="B664" s="6" t="str">
        <f>IFERROR(__xludf.DUMMYFUNCTION("""COMPUTED_VALUE"""),"Healthcare")</f>
        <v>Healthcare</v>
      </c>
      <c r="C664" s="7">
        <f>IFERROR(__xludf.DUMMYFUNCTION("""COMPUTED_VALUE"""),13330.0)</f>
        <v>13330</v>
      </c>
      <c r="D664" s="6" t="str">
        <f>IFERROR(__xludf.DUMMYFUNCTION("""COMPUTED_VALUE"""),"Healthcare")</f>
        <v>Healthcare</v>
      </c>
      <c r="E664" s="6" t="str">
        <f>IFERROR(__xludf.DUMMYFUNCTION("""COMPUTED_VALUE"""),"Credit Card")</f>
        <v>Credit Card</v>
      </c>
      <c r="F664" s="6" t="s">
        <v>15</v>
      </c>
      <c r="G664" s="8" t="str">
        <f t="shared" si="1"/>
        <v>202412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  <c r="CD664" s="4"/>
      <c r="CE664" s="4"/>
      <c r="CF664" s="4"/>
      <c r="CG664" s="4"/>
      <c r="CH664" s="4"/>
      <c r="CI664" s="4"/>
      <c r="CJ664" s="4"/>
      <c r="CK664" s="4"/>
      <c r="CL664" s="4"/>
      <c r="CM664" s="4"/>
      <c r="CN664" s="4"/>
      <c r="CO664" s="4"/>
      <c r="CP664" s="4"/>
      <c r="CQ664" s="4"/>
      <c r="CR664" s="4"/>
      <c r="CS664" s="4"/>
      <c r="CT664" s="4"/>
      <c r="CU664" s="4"/>
      <c r="CV664" s="4"/>
      <c r="CW664" s="4"/>
      <c r="CX664" s="4"/>
      <c r="CY664" s="4"/>
      <c r="CZ664" s="4"/>
      <c r="DA664" s="4"/>
      <c r="DB664" s="4"/>
      <c r="DC664" s="4"/>
      <c r="DD664" s="4"/>
      <c r="DE664" s="4"/>
      <c r="DF664" s="4"/>
      <c r="DG664" s="4"/>
      <c r="DH664" s="4"/>
      <c r="DI664" s="4"/>
      <c r="DJ664" s="4"/>
      <c r="DK664" s="4"/>
      <c r="DL664" s="4"/>
      <c r="DM664" s="4"/>
      <c r="DN664" s="4"/>
      <c r="DO664" s="4"/>
      <c r="DP664" s="4"/>
      <c r="DQ664" s="4"/>
      <c r="DR664" s="4"/>
      <c r="DS664" s="4"/>
    </row>
    <row r="665">
      <c r="A665" s="9">
        <f>IFERROR(__xludf.DUMMYFUNCTION("""COMPUTED_VALUE"""),45639.0)</f>
        <v>45639</v>
      </c>
      <c r="B665" s="6" t="str">
        <f>IFERROR(__xludf.DUMMYFUNCTION("""COMPUTED_VALUE"""),"Groceries")</f>
        <v>Groceries</v>
      </c>
      <c r="C665" s="7">
        <f>IFERROR(__xludf.DUMMYFUNCTION("""COMPUTED_VALUE"""),27.0)</f>
        <v>27</v>
      </c>
      <c r="D665" s="6" t="str">
        <f>IFERROR(__xludf.DUMMYFUNCTION("""COMPUTED_VALUE"""),"Lunch Out")</f>
        <v>Lunch Out</v>
      </c>
      <c r="E665" s="6" t="str">
        <f>IFERROR(__xludf.DUMMYFUNCTION("""COMPUTED_VALUE"""),"Virtual Wallet")</f>
        <v>Virtual Wallet</v>
      </c>
      <c r="F665" s="6" t="s">
        <v>14</v>
      </c>
      <c r="G665" s="8" t="str">
        <f t="shared" si="1"/>
        <v>202412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  <c r="CD665" s="4"/>
      <c r="CE665" s="4"/>
      <c r="CF665" s="4"/>
      <c r="CG665" s="4"/>
      <c r="CH665" s="4"/>
      <c r="CI665" s="4"/>
      <c r="CJ665" s="4"/>
      <c r="CK665" s="4"/>
      <c r="CL665" s="4"/>
      <c r="CM665" s="4"/>
      <c r="CN665" s="4"/>
      <c r="CO665" s="4"/>
      <c r="CP665" s="4"/>
      <c r="CQ665" s="4"/>
      <c r="CR665" s="4"/>
      <c r="CS665" s="4"/>
      <c r="CT665" s="4"/>
      <c r="CU665" s="4"/>
      <c r="CV665" s="4"/>
      <c r="CW665" s="4"/>
      <c r="CX665" s="4"/>
      <c r="CY665" s="4"/>
      <c r="CZ665" s="4"/>
      <c r="DA665" s="4"/>
      <c r="DB665" s="4"/>
      <c r="DC665" s="4"/>
      <c r="DD665" s="4"/>
      <c r="DE665" s="4"/>
      <c r="DF665" s="4"/>
      <c r="DG665" s="4"/>
      <c r="DH665" s="4"/>
      <c r="DI665" s="4"/>
      <c r="DJ665" s="4"/>
      <c r="DK665" s="4"/>
      <c r="DL665" s="4"/>
      <c r="DM665" s="4"/>
      <c r="DN665" s="4"/>
      <c r="DO665" s="4"/>
      <c r="DP665" s="4"/>
      <c r="DQ665" s="4"/>
      <c r="DR665" s="4"/>
      <c r="DS665" s="4"/>
    </row>
    <row r="666">
      <c r="A666" s="9">
        <f>IFERROR(__xludf.DUMMYFUNCTION("""COMPUTED_VALUE"""),45639.0)</f>
        <v>45639</v>
      </c>
      <c r="B666" s="6" t="str">
        <f>IFERROR(__xludf.DUMMYFUNCTION("""COMPUTED_VALUE"""),"Pharmacy")</f>
        <v>Pharmacy</v>
      </c>
      <c r="C666" s="7">
        <f>IFERROR(__xludf.DUMMYFUNCTION("""COMPUTED_VALUE"""),34447.0)</f>
        <v>34447</v>
      </c>
      <c r="D666" s="6" t="str">
        <f>IFERROR(__xludf.DUMMYFUNCTION("""COMPUTED_VALUE"""),"Groceries")</f>
        <v>Groceries</v>
      </c>
      <c r="E666" s="6" t="str">
        <f>IFERROR(__xludf.DUMMYFUNCTION("""COMPUTED_VALUE"""),"Credit Card")</f>
        <v>Credit Card</v>
      </c>
      <c r="F666" s="6" t="s">
        <v>7</v>
      </c>
      <c r="G666" s="8" t="str">
        <f t="shared" si="1"/>
        <v>202412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  <c r="CD666" s="4"/>
      <c r="CE666" s="4"/>
      <c r="CF666" s="4"/>
      <c r="CG666" s="4"/>
      <c r="CH666" s="4"/>
      <c r="CI666" s="4"/>
      <c r="CJ666" s="4"/>
      <c r="CK666" s="4"/>
      <c r="CL666" s="4"/>
      <c r="CM666" s="4"/>
      <c r="CN666" s="4"/>
      <c r="CO666" s="4"/>
      <c r="CP666" s="4"/>
      <c r="CQ666" s="4"/>
      <c r="CR666" s="4"/>
      <c r="CS666" s="4"/>
      <c r="CT666" s="4"/>
      <c r="CU666" s="4"/>
      <c r="CV666" s="4"/>
      <c r="CW666" s="4"/>
      <c r="CX666" s="4"/>
      <c r="CY666" s="4"/>
      <c r="CZ666" s="4"/>
      <c r="DA666" s="4"/>
      <c r="DB666" s="4"/>
      <c r="DC666" s="4"/>
      <c r="DD666" s="4"/>
      <c r="DE666" s="4"/>
      <c r="DF666" s="4"/>
      <c r="DG666" s="4"/>
      <c r="DH666" s="4"/>
      <c r="DI666" s="4"/>
      <c r="DJ666" s="4"/>
      <c r="DK666" s="4"/>
      <c r="DL666" s="4"/>
      <c r="DM666" s="4"/>
      <c r="DN666" s="4"/>
      <c r="DO666" s="4"/>
      <c r="DP666" s="4"/>
      <c r="DQ666" s="4"/>
      <c r="DR666" s="4"/>
      <c r="DS666" s="4"/>
    </row>
    <row r="667">
      <c r="A667" s="9">
        <f>IFERROR(__xludf.DUMMYFUNCTION("""COMPUTED_VALUE"""),45640.0)</f>
        <v>45640</v>
      </c>
      <c r="B667" s="6" t="str">
        <f>IFERROR(__xludf.DUMMYFUNCTION("""COMPUTED_VALUE"""),"Groceries")</f>
        <v>Groceries</v>
      </c>
      <c r="C667" s="7">
        <f>IFERROR(__xludf.DUMMYFUNCTION("""COMPUTED_VALUE"""),1800.0)</f>
        <v>1800</v>
      </c>
      <c r="D667" s="6" t="str">
        <f>IFERROR(__xludf.DUMMYFUNCTION("""COMPUTED_VALUE"""),"Groceries")</f>
        <v>Groceries</v>
      </c>
      <c r="E667" s="6" t="str">
        <f>IFERROR(__xludf.DUMMYFUNCTION("""COMPUTED_VALUE"""),"Split Payment")</f>
        <v>Split Payment</v>
      </c>
      <c r="F667" s="6" t="s">
        <v>7</v>
      </c>
      <c r="G667" s="8" t="str">
        <f t="shared" si="1"/>
        <v>202412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  <c r="CD667" s="4"/>
      <c r="CE667" s="4"/>
      <c r="CF667" s="4"/>
      <c r="CG667" s="4"/>
      <c r="CH667" s="4"/>
      <c r="CI667" s="4"/>
      <c r="CJ667" s="4"/>
      <c r="CK667" s="4"/>
      <c r="CL667" s="4"/>
      <c r="CM667" s="4"/>
      <c r="CN667" s="4"/>
      <c r="CO667" s="4"/>
      <c r="CP667" s="4"/>
      <c r="CQ667" s="4"/>
      <c r="CR667" s="4"/>
      <c r="CS667" s="4"/>
      <c r="CT667" s="4"/>
      <c r="CU667" s="4"/>
      <c r="CV667" s="4"/>
      <c r="CW667" s="4"/>
      <c r="CX667" s="4"/>
      <c r="CY667" s="4"/>
      <c r="CZ667" s="4"/>
      <c r="DA667" s="4"/>
      <c r="DB667" s="4"/>
      <c r="DC667" s="4"/>
      <c r="DD667" s="4"/>
      <c r="DE667" s="4"/>
      <c r="DF667" s="4"/>
      <c r="DG667" s="4"/>
      <c r="DH667" s="4"/>
      <c r="DI667" s="4"/>
      <c r="DJ667" s="4"/>
      <c r="DK667" s="4"/>
      <c r="DL667" s="4"/>
      <c r="DM667" s="4"/>
      <c r="DN667" s="4"/>
      <c r="DO667" s="4"/>
      <c r="DP667" s="4"/>
      <c r="DQ667" s="4"/>
      <c r="DR667" s="4"/>
      <c r="DS667" s="4"/>
    </row>
    <row r="668">
      <c r="A668" s="9">
        <f>IFERROR(__xludf.DUMMYFUNCTION("""COMPUTED_VALUE"""),45640.0)</f>
        <v>45640</v>
      </c>
      <c r="B668" s="6" t="str">
        <f>IFERROR(__xludf.DUMMYFUNCTION("""COMPUTED_VALUE"""),"Groceries")</f>
        <v>Groceries</v>
      </c>
      <c r="C668" s="7">
        <f>IFERROR(__xludf.DUMMYFUNCTION("""COMPUTED_VALUE"""),2400.0)</f>
        <v>2400</v>
      </c>
      <c r="D668" s="6" t="str">
        <f>IFERROR(__xludf.DUMMYFUNCTION("""COMPUTED_VALUE"""),"Groceries")</f>
        <v>Groceries</v>
      </c>
      <c r="E668" s="6" t="str">
        <f>IFERROR(__xludf.DUMMYFUNCTION("""COMPUTED_VALUE"""),"Split Payment")</f>
        <v>Split Payment</v>
      </c>
      <c r="F668" s="6" t="s">
        <v>7</v>
      </c>
      <c r="G668" s="8" t="str">
        <f t="shared" si="1"/>
        <v>202412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  <c r="CD668" s="4"/>
      <c r="CE668" s="4"/>
      <c r="CF668" s="4"/>
      <c r="CG668" s="4"/>
      <c r="CH668" s="4"/>
      <c r="CI668" s="4"/>
      <c r="CJ668" s="4"/>
      <c r="CK668" s="4"/>
      <c r="CL668" s="4"/>
      <c r="CM668" s="4"/>
      <c r="CN668" s="4"/>
      <c r="CO668" s="4"/>
      <c r="CP668" s="4"/>
      <c r="CQ668" s="4"/>
      <c r="CR668" s="4"/>
      <c r="CS668" s="4"/>
      <c r="CT668" s="4"/>
      <c r="CU668" s="4"/>
      <c r="CV668" s="4"/>
      <c r="CW668" s="4"/>
      <c r="CX668" s="4"/>
      <c r="CY668" s="4"/>
      <c r="CZ668" s="4"/>
      <c r="DA668" s="4"/>
      <c r="DB668" s="4"/>
      <c r="DC668" s="4"/>
      <c r="DD668" s="4"/>
      <c r="DE668" s="4"/>
      <c r="DF668" s="4"/>
      <c r="DG668" s="4"/>
      <c r="DH668" s="4"/>
      <c r="DI668" s="4"/>
      <c r="DJ668" s="4"/>
      <c r="DK668" s="4"/>
      <c r="DL668" s="4"/>
      <c r="DM668" s="4"/>
      <c r="DN668" s="4"/>
      <c r="DO668" s="4"/>
      <c r="DP668" s="4"/>
      <c r="DQ668" s="4"/>
      <c r="DR668" s="4"/>
      <c r="DS668" s="4"/>
    </row>
    <row r="669">
      <c r="A669" s="9">
        <f>IFERROR(__xludf.DUMMYFUNCTION("""COMPUTED_VALUE"""),45640.0)</f>
        <v>45640</v>
      </c>
      <c r="B669" s="6" t="str">
        <f>IFERROR(__xludf.DUMMYFUNCTION("""COMPUTED_VALUE"""),"Restaurant")</f>
        <v>Restaurant</v>
      </c>
      <c r="C669" s="7">
        <f>IFERROR(__xludf.DUMMYFUNCTION("""COMPUTED_VALUE"""),7000.0)</f>
        <v>7000</v>
      </c>
      <c r="D669" s="6" t="str">
        <f>IFERROR(__xludf.DUMMYFUNCTION("""COMPUTED_VALUE"""),"Restaurant / Café")</f>
        <v>Restaurant / Café</v>
      </c>
      <c r="E669" s="6" t="str">
        <f>IFERROR(__xludf.DUMMYFUNCTION("""COMPUTED_VALUE"""),"Split Payment")</f>
        <v>Split Payment</v>
      </c>
      <c r="F669" s="6" t="s">
        <v>14</v>
      </c>
      <c r="G669" s="8" t="str">
        <f t="shared" si="1"/>
        <v>202412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  <c r="CD669" s="4"/>
      <c r="CE669" s="4"/>
      <c r="CF669" s="4"/>
      <c r="CG669" s="4"/>
      <c r="CH669" s="4"/>
      <c r="CI669" s="4"/>
      <c r="CJ669" s="4"/>
      <c r="CK669" s="4"/>
      <c r="CL669" s="4"/>
      <c r="CM669" s="4"/>
      <c r="CN669" s="4"/>
      <c r="CO669" s="4"/>
      <c r="CP669" s="4"/>
      <c r="CQ669" s="4"/>
      <c r="CR669" s="4"/>
      <c r="CS669" s="4"/>
      <c r="CT669" s="4"/>
      <c r="CU669" s="4"/>
      <c r="CV669" s="4"/>
      <c r="CW669" s="4"/>
      <c r="CX669" s="4"/>
      <c r="CY669" s="4"/>
      <c r="CZ669" s="4"/>
      <c r="DA669" s="4"/>
      <c r="DB669" s="4"/>
      <c r="DC669" s="4"/>
      <c r="DD669" s="4"/>
      <c r="DE669" s="4"/>
      <c r="DF669" s="4"/>
      <c r="DG669" s="4"/>
      <c r="DH669" s="4"/>
      <c r="DI669" s="4"/>
      <c r="DJ669" s="4"/>
      <c r="DK669" s="4"/>
      <c r="DL669" s="4"/>
      <c r="DM669" s="4"/>
      <c r="DN669" s="4"/>
      <c r="DO669" s="4"/>
      <c r="DP669" s="4"/>
      <c r="DQ669" s="4"/>
      <c r="DR669" s="4"/>
      <c r="DS669" s="4"/>
    </row>
    <row r="670">
      <c r="A670" s="9">
        <f>IFERROR(__xludf.DUMMYFUNCTION("""COMPUTED_VALUE"""),45640.0)</f>
        <v>45640</v>
      </c>
      <c r="B670" s="6" t="str">
        <f>IFERROR(__xludf.DUMMYFUNCTION("""COMPUTED_VALUE"""),"Restaurant")</f>
        <v>Restaurant</v>
      </c>
      <c r="C670" s="7">
        <f>IFERROR(__xludf.DUMMYFUNCTION("""COMPUTED_VALUE"""),35.5)</f>
        <v>35.5</v>
      </c>
      <c r="D670" s="6" t="str">
        <f>IFERROR(__xludf.DUMMYFUNCTION("""COMPUTED_VALUE"""),"Restaurant / Café")</f>
        <v>Restaurant / Café</v>
      </c>
      <c r="E670" s="6" t="str">
        <f>IFERROR(__xludf.DUMMYFUNCTION("""COMPUTED_VALUE"""),"Virtual Wallet")</f>
        <v>Virtual Wallet</v>
      </c>
      <c r="F670" s="6" t="s">
        <v>14</v>
      </c>
      <c r="G670" s="8" t="str">
        <f t="shared" si="1"/>
        <v>202412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  <c r="CD670" s="4"/>
      <c r="CE670" s="4"/>
      <c r="CF670" s="4"/>
      <c r="CG670" s="4"/>
      <c r="CH670" s="4"/>
      <c r="CI670" s="4"/>
      <c r="CJ670" s="4"/>
      <c r="CK670" s="4"/>
      <c r="CL670" s="4"/>
      <c r="CM670" s="4"/>
      <c r="CN670" s="4"/>
      <c r="CO670" s="4"/>
      <c r="CP670" s="4"/>
      <c r="CQ670" s="4"/>
      <c r="CR670" s="4"/>
      <c r="CS670" s="4"/>
      <c r="CT670" s="4"/>
      <c r="CU670" s="4"/>
      <c r="CV670" s="4"/>
      <c r="CW670" s="4"/>
      <c r="CX670" s="4"/>
      <c r="CY670" s="4"/>
      <c r="CZ670" s="4"/>
      <c r="DA670" s="4"/>
      <c r="DB670" s="4"/>
      <c r="DC670" s="4"/>
      <c r="DD670" s="4"/>
      <c r="DE670" s="4"/>
      <c r="DF670" s="4"/>
      <c r="DG670" s="4"/>
      <c r="DH670" s="4"/>
      <c r="DI670" s="4"/>
      <c r="DJ670" s="4"/>
      <c r="DK670" s="4"/>
      <c r="DL670" s="4"/>
      <c r="DM670" s="4"/>
      <c r="DN670" s="4"/>
      <c r="DO670" s="4"/>
      <c r="DP670" s="4"/>
      <c r="DQ670" s="4"/>
      <c r="DR670" s="4"/>
      <c r="DS670" s="4"/>
    </row>
    <row r="671">
      <c r="A671" s="9">
        <f>IFERROR(__xludf.DUMMYFUNCTION("""COMPUTED_VALUE"""),45641.0)</f>
        <v>45641</v>
      </c>
      <c r="B671" s="6" t="str">
        <f>IFERROR(__xludf.DUMMYFUNCTION("""COMPUTED_VALUE"""),"Home Goods")</f>
        <v>Home Goods</v>
      </c>
      <c r="C671" s="7">
        <f>IFERROR(__xludf.DUMMYFUNCTION("""COMPUTED_VALUE"""),2101.0)</f>
        <v>2101</v>
      </c>
      <c r="D671" s="6" t="str">
        <f>IFERROR(__xludf.DUMMYFUNCTION("""COMPUTED_VALUE"""),"Home Goods &amp; Utilities")</f>
        <v>Home Goods &amp; Utilities</v>
      </c>
      <c r="E671" s="6" t="str">
        <f>IFERROR(__xludf.DUMMYFUNCTION("""COMPUTED_VALUE"""),"Split Payment")</f>
        <v>Split Payment</v>
      </c>
      <c r="F671" s="6" t="s">
        <v>8</v>
      </c>
      <c r="G671" s="8" t="str">
        <f t="shared" si="1"/>
        <v>202412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  <c r="CD671" s="4"/>
      <c r="CE671" s="4"/>
      <c r="CF671" s="4"/>
      <c r="CG671" s="4"/>
      <c r="CH671" s="4"/>
      <c r="CI671" s="4"/>
      <c r="CJ671" s="4"/>
      <c r="CK671" s="4"/>
      <c r="CL671" s="4"/>
      <c r="CM671" s="4"/>
      <c r="CN671" s="4"/>
      <c r="CO671" s="4"/>
      <c r="CP671" s="4"/>
      <c r="CQ671" s="4"/>
      <c r="CR671" s="4"/>
      <c r="CS671" s="4"/>
      <c r="CT671" s="4"/>
      <c r="CU671" s="4"/>
      <c r="CV671" s="4"/>
      <c r="CW671" s="4"/>
      <c r="CX671" s="4"/>
      <c r="CY671" s="4"/>
      <c r="CZ671" s="4"/>
      <c r="DA671" s="4"/>
      <c r="DB671" s="4"/>
      <c r="DC671" s="4"/>
      <c r="DD671" s="4"/>
      <c r="DE671" s="4"/>
      <c r="DF671" s="4"/>
      <c r="DG671" s="4"/>
      <c r="DH671" s="4"/>
      <c r="DI671" s="4"/>
      <c r="DJ671" s="4"/>
      <c r="DK671" s="4"/>
      <c r="DL671" s="4"/>
      <c r="DM671" s="4"/>
      <c r="DN671" s="4"/>
      <c r="DO671" s="4"/>
      <c r="DP671" s="4"/>
      <c r="DQ671" s="4"/>
      <c r="DR671" s="4"/>
      <c r="DS671" s="4"/>
    </row>
    <row r="672">
      <c r="A672" s="9">
        <f>IFERROR(__xludf.DUMMYFUNCTION("""COMPUTED_VALUE"""),45641.0)</f>
        <v>45641</v>
      </c>
      <c r="B672" s="6" t="str">
        <f>IFERROR(__xludf.DUMMYFUNCTION("""COMPUTED_VALUE"""),"Pets")</f>
        <v>Pets</v>
      </c>
      <c r="C672" s="7">
        <f>IFERROR(__xludf.DUMMYFUNCTION("""COMPUTED_VALUE"""),10403.0)</f>
        <v>10403</v>
      </c>
      <c r="D672" s="6" t="str">
        <f>IFERROR(__xludf.DUMMYFUNCTION("""COMPUTED_VALUE"""),"Pets")</f>
        <v>Pets</v>
      </c>
      <c r="E672" s="6" t="str">
        <f>IFERROR(__xludf.DUMMYFUNCTION("""COMPUTED_VALUE"""),"Split Payment")</f>
        <v>Split Payment</v>
      </c>
      <c r="F672" s="6" t="s">
        <v>7</v>
      </c>
      <c r="G672" s="8" t="str">
        <f t="shared" si="1"/>
        <v>202412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  <c r="CD672" s="4"/>
      <c r="CE672" s="4"/>
      <c r="CF672" s="4"/>
      <c r="CG672" s="4"/>
      <c r="CH672" s="4"/>
      <c r="CI672" s="4"/>
      <c r="CJ672" s="4"/>
      <c r="CK672" s="4"/>
      <c r="CL672" s="4"/>
      <c r="CM672" s="4"/>
      <c r="CN672" s="4"/>
      <c r="CO672" s="4"/>
      <c r="CP672" s="4"/>
      <c r="CQ672" s="4"/>
      <c r="CR672" s="4"/>
      <c r="CS672" s="4"/>
      <c r="CT672" s="4"/>
      <c r="CU672" s="4"/>
      <c r="CV672" s="4"/>
      <c r="CW672" s="4"/>
      <c r="CX672" s="4"/>
      <c r="CY672" s="4"/>
      <c r="CZ672" s="4"/>
      <c r="DA672" s="4"/>
      <c r="DB672" s="4"/>
      <c r="DC672" s="4"/>
      <c r="DD672" s="4"/>
      <c r="DE672" s="4"/>
      <c r="DF672" s="4"/>
      <c r="DG672" s="4"/>
      <c r="DH672" s="4"/>
      <c r="DI672" s="4"/>
      <c r="DJ672" s="4"/>
      <c r="DK672" s="4"/>
      <c r="DL672" s="4"/>
      <c r="DM672" s="4"/>
      <c r="DN672" s="4"/>
      <c r="DO672" s="4"/>
      <c r="DP672" s="4"/>
      <c r="DQ672" s="4"/>
      <c r="DR672" s="4"/>
      <c r="DS672" s="4"/>
    </row>
    <row r="673">
      <c r="A673" s="9">
        <f>IFERROR(__xludf.DUMMYFUNCTION("""COMPUTED_VALUE"""),45641.0)</f>
        <v>45641</v>
      </c>
      <c r="B673" s="6" t="str">
        <f>IFERROR(__xludf.DUMMYFUNCTION("""COMPUTED_VALUE"""),"Pets")</f>
        <v>Pets</v>
      </c>
      <c r="C673" s="7">
        <f>IFERROR(__xludf.DUMMYFUNCTION("""COMPUTED_VALUE"""),10812.5)</f>
        <v>10812.5</v>
      </c>
      <c r="D673" s="6" t="str">
        <f>IFERROR(__xludf.DUMMYFUNCTION("""COMPUTED_VALUE"""),"Pets")</f>
        <v>Pets</v>
      </c>
      <c r="E673" s="6" t="str">
        <f>IFERROR(__xludf.DUMMYFUNCTION("""COMPUTED_VALUE"""),"Split Payment")</f>
        <v>Split Payment</v>
      </c>
      <c r="F673" s="6" t="s">
        <v>7</v>
      </c>
      <c r="G673" s="8" t="str">
        <f t="shared" si="1"/>
        <v>202412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  <c r="CD673" s="4"/>
      <c r="CE673" s="4"/>
      <c r="CF673" s="4"/>
      <c r="CG673" s="4"/>
      <c r="CH673" s="4"/>
      <c r="CI673" s="4"/>
      <c r="CJ673" s="4"/>
      <c r="CK673" s="4"/>
      <c r="CL673" s="4"/>
      <c r="CM673" s="4"/>
      <c r="CN673" s="4"/>
      <c r="CO673" s="4"/>
      <c r="CP673" s="4"/>
      <c r="CQ673" s="4"/>
      <c r="CR673" s="4"/>
      <c r="CS673" s="4"/>
      <c r="CT673" s="4"/>
      <c r="CU673" s="4"/>
      <c r="CV673" s="4"/>
      <c r="CW673" s="4"/>
      <c r="CX673" s="4"/>
      <c r="CY673" s="4"/>
      <c r="CZ673" s="4"/>
      <c r="DA673" s="4"/>
      <c r="DB673" s="4"/>
      <c r="DC673" s="4"/>
      <c r="DD673" s="4"/>
      <c r="DE673" s="4"/>
      <c r="DF673" s="4"/>
      <c r="DG673" s="4"/>
      <c r="DH673" s="4"/>
      <c r="DI673" s="4"/>
      <c r="DJ673" s="4"/>
      <c r="DK673" s="4"/>
      <c r="DL673" s="4"/>
      <c r="DM673" s="4"/>
      <c r="DN673" s="4"/>
      <c r="DO673" s="4"/>
      <c r="DP673" s="4"/>
      <c r="DQ673" s="4"/>
      <c r="DR673" s="4"/>
      <c r="DS673" s="4"/>
    </row>
    <row r="674">
      <c r="A674" s="9">
        <f>IFERROR(__xludf.DUMMYFUNCTION("""COMPUTED_VALUE"""),45641.0)</f>
        <v>45641</v>
      </c>
      <c r="B674" s="6" t="str">
        <f>IFERROR(__xludf.DUMMYFUNCTION("""COMPUTED_VALUE"""),"Clothing")</f>
        <v>Clothing</v>
      </c>
      <c r="C674" s="7">
        <f>IFERROR(__xludf.DUMMYFUNCTION("""COMPUTED_VALUE"""),16000.0)</f>
        <v>16000</v>
      </c>
      <c r="D674" s="6" t="str">
        <f>IFERROR(__xludf.DUMMYFUNCTION("""COMPUTED_VALUE"""),"Gifts")</f>
        <v>Gifts</v>
      </c>
      <c r="E674" s="6" t="str">
        <f>IFERROR(__xludf.DUMMYFUNCTION("""COMPUTED_VALUE"""),"Credit Card")</f>
        <v>Credit Card</v>
      </c>
      <c r="F674" s="6"/>
      <c r="G674" s="8" t="str">
        <f t="shared" si="1"/>
        <v>202412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  <c r="CD674" s="4"/>
      <c r="CE674" s="4"/>
      <c r="CF674" s="4"/>
      <c r="CG674" s="4"/>
      <c r="CH674" s="4"/>
      <c r="CI674" s="4"/>
      <c r="CJ674" s="4"/>
      <c r="CK674" s="4"/>
      <c r="CL674" s="4"/>
      <c r="CM674" s="4"/>
      <c r="CN674" s="4"/>
      <c r="CO674" s="4"/>
      <c r="CP674" s="4"/>
      <c r="CQ674" s="4"/>
      <c r="CR674" s="4"/>
      <c r="CS674" s="4"/>
      <c r="CT674" s="4"/>
      <c r="CU674" s="4"/>
      <c r="CV674" s="4"/>
      <c r="CW674" s="4"/>
      <c r="CX674" s="4"/>
      <c r="CY674" s="4"/>
      <c r="CZ674" s="4"/>
      <c r="DA674" s="4"/>
      <c r="DB674" s="4"/>
      <c r="DC674" s="4"/>
      <c r="DD674" s="4"/>
      <c r="DE674" s="4"/>
      <c r="DF674" s="4"/>
      <c r="DG674" s="4"/>
      <c r="DH674" s="4"/>
      <c r="DI674" s="4"/>
      <c r="DJ674" s="4"/>
      <c r="DK674" s="4"/>
      <c r="DL674" s="4"/>
      <c r="DM674" s="4"/>
      <c r="DN674" s="4"/>
      <c r="DO674" s="4"/>
      <c r="DP674" s="4"/>
      <c r="DQ674" s="4"/>
      <c r="DR674" s="4"/>
      <c r="DS674" s="4"/>
    </row>
    <row r="675">
      <c r="A675" s="9">
        <f>IFERROR(__xludf.DUMMYFUNCTION("""COMPUTED_VALUE"""),45641.0)</f>
        <v>45641</v>
      </c>
      <c r="B675" s="6" t="str">
        <f>IFERROR(__xludf.DUMMYFUNCTION("""COMPUTED_VALUE"""),"Gasoline")</f>
        <v>Gasoline</v>
      </c>
      <c r="C675" s="7">
        <f>IFERROR(__xludf.DUMMYFUNCTION("""COMPUTED_VALUE"""),10000.0)</f>
        <v>10000</v>
      </c>
      <c r="D675" s="6" t="str">
        <f>IFERROR(__xludf.DUMMYFUNCTION("""COMPUTED_VALUE"""),"Car Expenses")</f>
        <v>Car Expenses</v>
      </c>
      <c r="E675" s="6" t="str">
        <f>IFERROR(__xludf.DUMMYFUNCTION("""COMPUTED_VALUE"""),"Virtual Wallet")</f>
        <v>Virtual Wallet</v>
      </c>
      <c r="F675" s="6" t="s">
        <v>9</v>
      </c>
      <c r="G675" s="8" t="str">
        <f t="shared" si="1"/>
        <v>202412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  <c r="CD675" s="4"/>
      <c r="CE675" s="4"/>
      <c r="CF675" s="4"/>
      <c r="CG675" s="4"/>
      <c r="CH675" s="4"/>
      <c r="CI675" s="4"/>
      <c r="CJ675" s="4"/>
      <c r="CK675" s="4"/>
      <c r="CL675" s="4"/>
      <c r="CM675" s="4"/>
      <c r="CN675" s="4"/>
      <c r="CO675" s="4"/>
      <c r="CP675" s="4"/>
      <c r="CQ675" s="4"/>
      <c r="CR675" s="4"/>
      <c r="CS675" s="4"/>
      <c r="CT675" s="4"/>
      <c r="CU675" s="4"/>
      <c r="CV675" s="4"/>
      <c r="CW675" s="4"/>
      <c r="CX675" s="4"/>
      <c r="CY675" s="4"/>
      <c r="CZ675" s="4"/>
      <c r="DA675" s="4"/>
      <c r="DB675" s="4"/>
      <c r="DC675" s="4"/>
      <c r="DD675" s="4"/>
      <c r="DE675" s="4"/>
      <c r="DF675" s="4"/>
      <c r="DG675" s="4"/>
      <c r="DH675" s="4"/>
      <c r="DI675" s="4"/>
      <c r="DJ675" s="4"/>
      <c r="DK675" s="4"/>
      <c r="DL675" s="4"/>
      <c r="DM675" s="4"/>
      <c r="DN675" s="4"/>
      <c r="DO675" s="4"/>
      <c r="DP675" s="4"/>
      <c r="DQ675" s="4"/>
      <c r="DR675" s="4"/>
      <c r="DS675" s="4"/>
    </row>
    <row r="676">
      <c r="A676" s="9">
        <f>IFERROR(__xludf.DUMMYFUNCTION("""COMPUTED_VALUE"""),45641.0)</f>
        <v>45641</v>
      </c>
      <c r="B676" s="6" t="str">
        <f>IFERROR(__xludf.DUMMYFUNCTION("""COMPUTED_VALUE"""),"Groceries")</f>
        <v>Groceries</v>
      </c>
      <c r="C676" s="7">
        <f>IFERROR(__xludf.DUMMYFUNCTION("""COMPUTED_VALUE"""),2124.0)</f>
        <v>2124</v>
      </c>
      <c r="D676" s="6" t="str">
        <f>IFERROR(__xludf.DUMMYFUNCTION("""COMPUTED_VALUE"""),"Groceries")</f>
        <v>Groceries</v>
      </c>
      <c r="E676" s="6" t="str">
        <f>IFERROR(__xludf.DUMMYFUNCTION("""COMPUTED_VALUE"""),"Split Payment")</f>
        <v>Split Payment</v>
      </c>
      <c r="F676" s="6" t="s">
        <v>7</v>
      </c>
      <c r="G676" s="8" t="str">
        <f t="shared" si="1"/>
        <v>202412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  <c r="CD676" s="4"/>
      <c r="CE676" s="4"/>
      <c r="CF676" s="4"/>
      <c r="CG676" s="4"/>
      <c r="CH676" s="4"/>
      <c r="CI676" s="4"/>
      <c r="CJ676" s="4"/>
      <c r="CK676" s="4"/>
      <c r="CL676" s="4"/>
      <c r="CM676" s="4"/>
      <c r="CN676" s="4"/>
      <c r="CO676" s="4"/>
      <c r="CP676" s="4"/>
      <c r="CQ676" s="4"/>
      <c r="CR676" s="4"/>
      <c r="CS676" s="4"/>
      <c r="CT676" s="4"/>
      <c r="CU676" s="4"/>
      <c r="CV676" s="4"/>
      <c r="CW676" s="4"/>
      <c r="CX676" s="4"/>
      <c r="CY676" s="4"/>
      <c r="CZ676" s="4"/>
      <c r="DA676" s="4"/>
      <c r="DB676" s="4"/>
      <c r="DC676" s="4"/>
      <c r="DD676" s="4"/>
      <c r="DE676" s="4"/>
      <c r="DF676" s="4"/>
      <c r="DG676" s="4"/>
      <c r="DH676" s="4"/>
      <c r="DI676" s="4"/>
      <c r="DJ676" s="4"/>
      <c r="DK676" s="4"/>
      <c r="DL676" s="4"/>
      <c r="DM676" s="4"/>
      <c r="DN676" s="4"/>
      <c r="DO676" s="4"/>
      <c r="DP676" s="4"/>
      <c r="DQ676" s="4"/>
      <c r="DR676" s="4"/>
      <c r="DS676" s="4"/>
    </row>
    <row r="677">
      <c r="A677" s="9">
        <f>IFERROR(__xludf.DUMMYFUNCTION("""COMPUTED_VALUE"""),45642.0)</f>
        <v>45642</v>
      </c>
      <c r="B677" s="6" t="str">
        <f>IFERROR(__xludf.DUMMYFUNCTION("""COMPUTED_VALUE"""),"Groceries")</f>
        <v>Groceries</v>
      </c>
      <c r="C677" s="7">
        <f>IFERROR(__xludf.DUMMYFUNCTION("""COMPUTED_VALUE"""),2300.0)</f>
        <v>2300</v>
      </c>
      <c r="D677" s="6" t="str">
        <f>IFERROR(__xludf.DUMMYFUNCTION("""COMPUTED_VALUE"""),"Lunch Out")</f>
        <v>Lunch Out</v>
      </c>
      <c r="E677" s="6" t="str">
        <f>IFERROR(__xludf.DUMMYFUNCTION("""COMPUTED_VALUE"""),"Virtual Wallet")</f>
        <v>Virtual Wallet</v>
      </c>
      <c r="F677" s="6" t="s">
        <v>14</v>
      </c>
      <c r="G677" s="8" t="str">
        <f t="shared" si="1"/>
        <v>202412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  <c r="CD677" s="4"/>
      <c r="CE677" s="4"/>
      <c r="CF677" s="4"/>
      <c r="CG677" s="4"/>
      <c r="CH677" s="4"/>
      <c r="CI677" s="4"/>
      <c r="CJ677" s="4"/>
      <c r="CK677" s="4"/>
      <c r="CL677" s="4"/>
      <c r="CM677" s="4"/>
      <c r="CN677" s="4"/>
      <c r="CO677" s="4"/>
      <c r="CP677" s="4"/>
      <c r="CQ677" s="4"/>
      <c r="CR677" s="4"/>
      <c r="CS677" s="4"/>
      <c r="CT677" s="4"/>
      <c r="CU677" s="4"/>
      <c r="CV677" s="4"/>
      <c r="CW677" s="4"/>
      <c r="CX677" s="4"/>
      <c r="CY677" s="4"/>
      <c r="CZ677" s="4"/>
      <c r="DA677" s="4"/>
      <c r="DB677" s="4"/>
      <c r="DC677" s="4"/>
      <c r="DD677" s="4"/>
      <c r="DE677" s="4"/>
      <c r="DF677" s="4"/>
      <c r="DG677" s="4"/>
      <c r="DH677" s="4"/>
      <c r="DI677" s="4"/>
      <c r="DJ677" s="4"/>
      <c r="DK677" s="4"/>
      <c r="DL677" s="4"/>
      <c r="DM677" s="4"/>
      <c r="DN677" s="4"/>
      <c r="DO677" s="4"/>
      <c r="DP677" s="4"/>
      <c r="DQ677" s="4"/>
      <c r="DR677" s="4"/>
      <c r="DS677" s="4"/>
    </row>
    <row r="678">
      <c r="A678" s="9">
        <f>IFERROR(__xludf.DUMMYFUNCTION("""COMPUTED_VALUE"""),45642.0)</f>
        <v>45642</v>
      </c>
      <c r="B678" s="6" t="str">
        <f>IFERROR(__xludf.DUMMYFUNCTION("""COMPUTED_VALUE"""),"Lunch Out")</f>
        <v>Lunch Out</v>
      </c>
      <c r="C678" s="7">
        <f>IFERROR(__xludf.DUMMYFUNCTION("""COMPUTED_VALUE"""),5156.0)</f>
        <v>5156</v>
      </c>
      <c r="D678" s="6" t="str">
        <f>IFERROR(__xludf.DUMMYFUNCTION("""COMPUTED_VALUE"""),"Lunch Out")</f>
        <v>Lunch Out</v>
      </c>
      <c r="E678" s="6" t="str">
        <f>IFERROR(__xludf.DUMMYFUNCTION("""COMPUTED_VALUE"""),"Virtual Wallet")</f>
        <v>Virtual Wallet</v>
      </c>
      <c r="F678" s="6" t="s">
        <v>14</v>
      </c>
      <c r="G678" s="8" t="str">
        <f t="shared" si="1"/>
        <v>202412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  <c r="CD678" s="4"/>
      <c r="CE678" s="4"/>
      <c r="CF678" s="4"/>
      <c r="CG678" s="4"/>
      <c r="CH678" s="4"/>
      <c r="CI678" s="4"/>
      <c r="CJ678" s="4"/>
      <c r="CK678" s="4"/>
      <c r="CL678" s="4"/>
      <c r="CM678" s="4"/>
      <c r="CN678" s="4"/>
      <c r="CO678" s="4"/>
      <c r="CP678" s="4"/>
      <c r="CQ678" s="4"/>
      <c r="CR678" s="4"/>
      <c r="CS678" s="4"/>
      <c r="CT678" s="4"/>
      <c r="CU678" s="4"/>
      <c r="CV678" s="4"/>
      <c r="CW678" s="4"/>
      <c r="CX678" s="4"/>
      <c r="CY678" s="4"/>
      <c r="CZ678" s="4"/>
      <c r="DA678" s="4"/>
      <c r="DB678" s="4"/>
      <c r="DC678" s="4"/>
      <c r="DD678" s="4"/>
      <c r="DE678" s="4"/>
      <c r="DF678" s="4"/>
      <c r="DG678" s="4"/>
      <c r="DH678" s="4"/>
      <c r="DI678" s="4"/>
      <c r="DJ678" s="4"/>
      <c r="DK678" s="4"/>
      <c r="DL678" s="4"/>
      <c r="DM678" s="4"/>
      <c r="DN678" s="4"/>
      <c r="DO678" s="4"/>
      <c r="DP678" s="4"/>
      <c r="DQ678" s="4"/>
      <c r="DR678" s="4"/>
      <c r="DS678" s="4"/>
    </row>
    <row r="679">
      <c r="A679" s="9">
        <f>IFERROR(__xludf.DUMMYFUNCTION("""COMPUTED_VALUE"""),45643.0)</f>
        <v>45643</v>
      </c>
      <c r="B679" s="6" t="str">
        <f>IFERROR(__xludf.DUMMYFUNCTION("""COMPUTED_VALUE"""),"Streaming Services")</f>
        <v>Streaming Services</v>
      </c>
      <c r="C679" s="7">
        <f>IFERROR(__xludf.DUMMYFUNCTION("""COMPUTED_VALUE"""),4838.0)</f>
        <v>4838</v>
      </c>
      <c r="D679" s="6" t="str">
        <f>IFERROR(__xludf.DUMMYFUNCTION("""COMPUTED_VALUE"""),"Streaming Services")</f>
        <v>Streaming Services</v>
      </c>
      <c r="E679" s="6" t="str">
        <f>IFERROR(__xludf.DUMMYFUNCTION("""COMPUTED_VALUE"""),"Credit Card")</f>
        <v>Credit Card</v>
      </c>
      <c r="F679" s="6" t="s">
        <v>12</v>
      </c>
      <c r="G679" s="8" t="str">
        <f t="shared" si="1"/>
        <v>202412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  <c r="CD679" s="4"/>
      <c r="CE679" s="4"/>
      <c r="CF679" s="4"/>
      <c r="CG679" s="4"/>
      <c r="CH679" s="4"/>
      <c r="CI679" s="4"/>
      <c r="CJ679" s="4"/>
      <c r="CK679" s="4"/>
      <c r="CL679" s="4"/>
      <c r="CM679" s="4"/>
      <c r="CN679" s="4"/>
      <c r="CO679" s="4"/>
      <c r="CP679" s="4"/>
      <c r="CQ679" s="4"/>
      <c r="CR679" s="4"/>
      <c r="CS679" s="4"/>
      <c r="CT679" s="4"/>
      <c r="CU679" s="4"/>
      <c r="CV679" s="4"/>
      <c r="CW679" s="4"/>
      <c r="CX679" s="4"/>
      <c r="CY679" s="4"/>
      <c r="CZ679" s="4"/>
      <c r="DA679" s="4"/>
      <c r="DB679" s="4"/>
      <c r="DC679" s="4"/>
      <c r="DD679" s="4"/>
      <c r="DE679" s="4"/>
      <c r="DF679" s="4"/>
      <c r="DG679" s="4"/>
      <c r="DH679" s="4"/>
      <c r="DI679" s="4"/>
      <c r="DJ679" s="4"/>
      <c r="DK679" s="4"/>
      <c r="DL679" s="4"/>
      <c r="DM679" s="4"/>
      <c r="DN679" s="4"/>
      <c r="DO679" s="4"/>
      <c r="DP679" s="4"/>
      <c r="DQ679" s="4"/>
      <c r="DR679" s="4"/>
      <c r="DS679" s="4"/>
    </row>
    <row r="680">
      <c r="A680" s="9">
        <f>IFERROR(__xludf.DUMMYFUNCTION("""COMPUTED_VALUE"""),45643.0)</f>
        <v>45643</v>
      </c>
      <c r="B680" s="6" t="str">
        <f>IFERROR(__xludf.DUMMYFUNCTION("""COMPUTED_VALUE"""),"Groceries")</f>
        <v>Groceries</v>
      </c>
      <c r="C680" s="7">
        <f>IFERROR(__xludf.DUMMYFUNCTION("""COMPUTED_VALUE"""),7750.0)</f>
        <v>7750</v>
      </c>
      <c r="D680" s="6" t="str">
        <f>IFERROR(__xludf.DUMMYFUNCTION("""COMPUTED_VALUE"""),"Restaurant / Café")</f>
        <v>Restaurant / Café</v>
      </c>
      <c r="E680" s="6" t="str">
        <f>IFERROR(__xludf.DUMMYFUNCTION("""COMPUTED_VALUE"""),"Virtual Wallet")</f>
        <v>Virtual Wallet</v>
      </c>
      <c r="F680" s="6" t="s">
        <v>14</v>
      </c>
      <c r="G680" s="8" t="str">
        <f t="shared" si="1"/>
        <v>202412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  <c r="CD680" s="4"/>
      <c r="CE680" s="4"/>
      <c r="CF680" s="4"/>
      <c r="CG680" s="4"/>
      <c r="CH680" s="4"/>
      <c r="CI680" s="4"/>
      <c r="CJ680" s="4"/>
      <c r="CK680" s="4"/>
      <c r="CL680" s="4"/>
      <c r="CM680" s="4"/>
      <c r="CN680" s="4"/>
      <c r="CO680" s="4"/>
      <c r="CP680" s="4"/>
      <c r="CQ680" s="4"/>
      <c r="CR680" s="4"/>
      <c r="CS680" s="4"/>
      <c r="CT680" s="4"/>
      <c r="CU680" s="4"/>
      <c r="CV680" s="4"/>
      <c r="CW680" s="4"/>
      <c r="CX680" s="4"/>
      <c r="CY680" s="4"/>
      <c r="CZ680" s="4"/>
      <c r="DA680" s="4"/>
      <c r="DB680" s="4"/>
      <c r="DC680" s="4"/>
      <c r="DD680" s="4"/>
      <c r="DE680" s="4"/>
      <c r="DF680" s="4"/>
      <c r="DG680" s="4"/>
      <c r="DH680" s="4"/>
      <c r="DI680" s="4"/>
      <c r="DJ680" s="4"/>
      <c r="DK680" s="4"/>
      <c r="DL680" s="4"/>
      <c r="DM680" s="4"/>
      <c r="DN680" s="4"/>
      <c r="DO680" s="4"/>
      <c r="DP680" s="4"/>
      <c r="DQ680" s="4"/>
      <c r="DR680" s="4"/>
      <c r="DS680" s="4"/>
    </row>
    <row r="681">
      <c r="A681" s="9">
        <f>IFERROR(__xludf.DUMMYFUNCTION("""COMPUTED_VALUE"""),45643.0)</f>
        <v>45643</v>
      </c>
      <c r="B681" s="6" t="str">
        <f>IFERROR(__xludf.DUMMYFUNCTION("""COMPUTED_VALUE"""),"Restaurant")</f>
        <v>Restaurant</v>
      </c>
      <c r="C681" s="7">
        <f>IFERROR(__xludf.DUMMYFUNCTION("""COMPUTED_VALUE"""),8000.0)</f>
        <v>8000</v>
      </c>
      <c r="D681" s="6" t="str">
        <f>IFERROR(__xludf.DUMMYFUNCTION("""COMPUTED_VALUE"""),"Restaurant / Café")</f>
        <v>Restaurant / Café</v>
      </c>
      <c r="E681" s="6" t="str">
        <f>IFERROR(__xludf.DUMMYFUNCTION("""COMPUTED_VALUE"""),"Virtual Wallet")</f>
        <v>Virtual Wallet</v>
      </c>
      <c r="F681" s="6" t="s">
        <v>14</v>
      </c>
      <c r="G681" s="8" t="str">
        <f t="shared" si="1"/>
        <v>202412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  <c r="CD681" s="4"/>
      <c r="CE681" s="4"/>
      <c r="CF681" s="4"/>
      <c r="CG681" s="4"/>
      <c r="CH681" s="4"/>
      <c r="CI681" s="4"/>
      <c r="CJ681" s="4"/>
      <c r="CK681" s="4"/>
      <c r="CL681" s="4"/>
      <c r="CM681" s="4"/>
      <c r="CN681" s="4"/>
      <c r="CO681" s="4"/>
      <c r="CP681" s="4"/>
      <c r="CQ681" s="4"/>
      <c r="CR681" s="4"/>
      <c r="CS681" s="4"/>
      <c r="CT681" s="4"/>
      <c r="CU681" s="4"/>
      <c r="CV681" s="4"/>
      <c r="CW681" s="4"/>
      <c r="CX681" s="4"/>
      <c r="CY681" s="4"/>
      <c r="CZ681" s="4"/>
      <c r="DA681" s="4"/>
      <c r="DB681" s="4"/>
      <c r="DC681" s="4"/>
      <c r="DD681" s="4"/>
      <c r="DE681" s="4"/>
      <c r="DF681" s="4"/>
      <c r="DG681" s="4"/>
      <c r="DH681" s="4"/>
      <c r="DI681" s="4"/>
      <c r="DJ681" s="4"/>
      <c r="DK681" s="4"/>
      <c r="DL681" s="4"/>
      <c r="DM681" s="4"/>
      <c r="DN681" s="4"/>
      <c r="DO681" s="4"/>
      <c r="DP681" s="4"/>
      <c r="DQ681" s="4"/>
      <c r="DR681" s="4"/>
      <c r="DS681" s="4"/>
    </row>
    <row r="682">
      <c r="A682" s="9">
        <f>IFERROR(__xludf.DUMMYFUNCTION("""COMPUTED_VALUE"""),45643.0)</f>
        <v>45643</v>
      </c>
      <c r="B682" s="6" t="str">
        <f>IFERROR(__xludf.DUMMYFUNCTION("""COMPUTED_VALUE"""),"Restaurant")</f>
        <v>Restaurant</v>
      </c>
      <c r="C682" s="7">
        <f>IFERROR(__xludf.DUMMYFUNCTION("""COMPUTED_VALUE"""),2884.0)</f>
        <v>2884</v>
      </c>
      <c r="D682" s="6" t="str">
        <f>IFERROR(__xludf.DUMMYFUNCTION("""COMPUTED_VALUE"""),"Lunch Out")</f>
        <v>Lunch Out</v>
      </c>
      <c r="E682" s="6" t="str">
        <f>IFERROR(__xludf.DUMMYFUNCTION("""COMPUTED_VALUE"""),"Virtual Wallet")</f>
        <v>Virtual Wallet</v>
      </c>
      <c r="F682" s="6" t="s">
        <v>14</v>
      </c>
      <c r="G682" s="8" t="str">
        <f t="shared" si="1"/>
        <v>202412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  <c r="CD682" s="4"/>
      <c r="CE682" s="4"/>
      <c r="CF682" s="4"/>
      <c r="CG682" s="4"/>
      <c r="CH682" s="4"/>
      <c r="CI682" s="4"/>
      <c r="CJ682" s="4"/>
      <c r="CK682" s="4"/>
      <c r="CL682" s="4"/>
      <c r="CM682" s="4"/>
      <c r="CN682" s="4"/>
      <c r="CO682" s="4"/>
      <c r="CP682" s="4"/>
      <c r="CQ682" s="4"/>
      <c r="CR682" s="4"/>
      <c r="CS682" s="4"/>
      <c r="CT682" s="4"/>
      <c r="CU682" s="4"/>
      <c r="CV682" s="4"/>
      <c r="CW682" s="4"/>
      <c r="CX682" s="4"/>
      <c r="CY682" s="4"/>
      <c r="CZ682" s="4"/>
      <c r="DA682" s="4"/>
      <c r="DB682" s="4"/>
      <c r="DC682" s="4"/>
      <c r="DD682" s="4"/>
      <c r="DE682" s="4"/>
      <c r="DF682" s="4"/>
      <c r="DG682" s="4"/>
      <c r="DH682" s="4"/>
      <c r="DI682" s="4"/>
      <c r="DJ682" s="4"/>
      <c r="DK682" s="4"/>
      <c r="DL682" s="4"/>
      <c r="DM682" s="4"/>
      <c r="DN682" s="4"/>
      <c r="DO682" s="4"/>
      <c r="DP682" s="4"/>
      <c r="DQ682" s="4"/>
      <c r="DR682" s="4"/>
      <c r="DS682" s="4"/>
    </row>
    <row r="683">
      <c r="A683" s="9">
        <f>IFERROR(__xludf.DUMMYFUNCTION("""COMPUTED_VALUE"""),45644.0)</f>
        <v>45644</v>
      </c>
      <c r="B683" s="6" t="str">
        <f>IFERROR(__xludf.DUMMYFUNCTION("""COMPUTED_VALUE"""),"Pets")</f>
        <v>Pets</v>
      </c>
      <c r="C683" s="7">
        <f>IFERROR(__xludf.DUMMYFUNCTION("""COMPUTED_VALUE"""),8500.0)</f>
        <v>8500</v>
      </c>
      <c r="D683" s="6" t="str">
        <f>IFERROR(__xludf.DUMMYFUNCTION("""COMPUTED_VALUE"""),"Pets")</f>
        <v>Pets</v>
      </c>
      <c r="E683" s="6" t="str">
        <f>IFERROR(__xludf.DUMMYFUNCTION("""COMPUTED_VALUE"""),"Virtual Wallet")</f>
        <v>Virtual Wallet</v>
      </c>
      <c r="F683" s="6" t="s">
        <v>7</v>
      </c>
      <c r="G683" s="8" t="str">
        <f t="shared" si="1"/>
        <v>202412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  <c r="CD683" s="4"/>
      <c r="CE683" s="4"/>
      <c r="CF683" s="4"/>
      <c r="CG683" s="4"/>
      <c r="CH683" s="4"/>
      <c r="CI683" s="4"/>
      <c r="CJ683" s="4"/>
      <c r="CK683" s="4"/>
      <c r="CL683" s="4"/>
      <c r="CM683" s="4"/>
      <c r="CN683" s="4"/>
      <c r="CO683" s="4"/>
      <c r="CP683" s="4"/>
      <c r="CQ683" s="4"/>
      <c r="CR683" s="4"/>
      <c r="CS683" s="4"/>
      <c r="CT683" s="4"/>
      <c r="CU683" s="4"/>
      <c r="CV683" s="4"/>
      <c r="CW683" s="4"/>
      <c r="CX683" s="4"/>
      <c r="CY683" s="4"/>
      <c r="CZ683" s="4"/>
      <c r="DA683" s="4"/>
      <c r="DB683" s="4"/>
      <c r="DC683" s="4"/>
      <c r="DD683" s="4"/>
      <c r="DE683" s="4"/>
      <c r="DF683" s="4"/>
      <c r="DG683" s="4"/>
      <c r="DH683" s="4"/>
      <c r="DI683" s="4"/>
      <c r="DJ683" s="4"/>
      <c r="DK683" s="4"/>
      <c r="DL683" s="4"/>
      <c r="DM683" s="4"/>
      <c r="DN683" s="4"/>
      <c r="DO683" s="4"/>
      <c r="DP683" s="4"/>
      <c r="DQ683" s="4"/>
      <c r="DR683" s="4"/>
      <c r="DS683" s="4"/>
    </row>
    <row r="684">
      <c r="A684" s="9">
        <f>IFERROR(__xludf.DUMMYFUNCTION("""COMPUTED_VALUE"""),45645.0)</f>
        <v>45645</v>
      </c>
      <c r="B684" s="6" t="str">
        <f>IFERROR(__xludf.DUMMYFUNCTION("""COMPUTED_VALUE"""),"Groceries")</f>
        <v>Groceries</v>
      </c>
      <c r="C684" s="7">
        <f>IFERROR(__xludf.DUMMYFUNCTION("""COMPUTED_VALUE"""),2869.0)</f>
        <v>2869</v>
      </c>
      <c r="D684" s="6" t="str">
        <f>IFERROR(__xludf.DUMMYFUNCTION("""COMPUTED_VALUE"""),"Groceries")</f>
        <v>Groceries</v>
      </c>
      <c r="E684" s="6" t="str">
        <f>IFERROR(__xludf.DUMMYFUNCTION("""COMPUTED_VALUE"""),"Virtual Wallet")</f>
        <v>Virtual Wallet</v>
      </c>
      <c r="F684" s="6" t="s">
        <v>7</v>
      </c>
      <c r="G684" s="8" t="str">
        <f t="shared" si="1"/>
        <v>202412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  <c r="CD684" s="4"/>
      <c r="CE684" s="4"/>
      <c r="CF684" s="4"/>
      <c r="CG684" s="4"/>
      <c r="CH684" s="4"/>
      <c r="CI684" s="4"/>
      <c r="CJ684" s="4"/>
      <c r="CK684" s="4"/>
      <c r="CL684" s="4"/>
      <c r="CM684" s="4"/>
      <c r="CN684" s="4"/>
      <c r="CO684" s="4"/>
      <c r="CP684" s="4"/>
      <c r="CQ684" s="4"/>
      <c r="CR684" s="4"/>
      <c r="CS684" s="4"/>
      <c r="CT684" s="4"/>
      <c r="CU684" s="4"/>
      <c r="CV684" s="4"/>
      <c r="CW684" s="4"/>
      <c r="CX684" s="4"/>
      <c r="CY684" s="4"/>
      <c r="CZ684" s="4"/>
      <c r="DA684" s="4"/>
      <c r="DB684" s="4"/>
      <c r="DC684" s="4"/>
      <c r="DD684" s="4"/>
      <c r="DE684" s="4"/>
      <c r="DF684" s="4"/>
      <c r="DG684" s="4"/>
      <c r="DH684" s="4"/>
      <c r="DI684" s="4"/>
      <c r="DJ684" s="4"/>
      <c r="DK684" s="4"/>
      <c r="DL684" s="4"/>
      <c r="DM684" s="4"/>
      <c r="DN684" s="4"/>
      <c r="DO684" s="4"/>
      <c r="DP684" s="4"/>
      <c r="DQ684" s="4"/>
      <c r="DR684" s="4"/>
      <c r="DS684" s="4"/>
    </row>
    <row r="685">
      <c r="A685" s="9">
        <f>IFERROR(__xludf.DUMMYFUNCTION("""COMPUTED_VALUE"""),45645.0)</f>
        <v>45645</v>
      </c>
      <c r="B685" s="6" t="str">
        <f>IFERROR(__xludf.DUMMYFUNCTION("""COMPUTED_VALUE"""),"Groceries")</f>
        <v>Groceries</v>
      </c>
      <c r="C685" s="7">
        <f>IFERROR(__xludf.DUMMYFUNCTION("""COMPUTED_VALUE"""),2400.0)</f>
        <v>2400</v>
      </c>
      <c r="D685" s="6" t="str">
        <f>IFERROR(__xludf.DUMMYFUNCTION("""COMPUTED_VALUE"""),"Groceries")</f>
        <v>Groceries</v>
      </c>
      <c r="E685" s="6" t="str">
        <f>IFERROR(__xludf.DUMMYFUNCTION("""COMPUTED_VALUE"""),"Virtual Wallet")</f>
        <v>Virtual Wallet</v>
      </c>
      <c r="F685" s="6" t="s">
        <v>7</v>
      </c>
      <c r="G685" s="8" t="str">
        <f t="shared" si="1"/>
        <v>202412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  <c r="CD685" s="4"/>
      <c r="CE685" s="4"/>
      <c r="CF685" s="4"/>
      <c r="CG685" s="4"/>
      <c r="CH685" s="4"/>
      <c r="CI685" s="4"/>
      <c r="CJ685" s="4"/>
      <c r="CK685" s="4"/>
      <c r="CL685" s="4"/>
      <c r="CM685" s="4"/>
      <c r="CN685" s="4"/>
      <c r="CO685" s="4"/>
      <c r="CP685" s="4"/>
      <c r="CQ685" s="4"/>
      <c r="CR685" s="4"/>
      <c r="CS685" s="4"/>
      <c r="CT685" s="4"/>
      <c r="CU685" s="4"/>
      <c r="CV685" s="4"/>
      <c r="CW685" s="4"/>
      <c r="CX685" s="4"/>
      <c r="CY685" s="4"/>
      <c r="CZ685" s="4"/>
      <c r="DA685" s="4"/>
      <c r="DB685" s="4"/>
      <c r="DC685" s="4"/>
      <c r="DD685" s="4"/>
      <c r="DE685" s="4"/>
      <c r="DF685" s="4"/>
      <c r="DG685" s="4"/>
      <c r="DH685" s="4"/>
      <c r="DI685" s="4"/>
      <c r="DJ685" s="4"/>
      <c r="DK685" s="4"/>
      <c r="DL685" s="4"/>
      <c r="DM685" s="4"/>
      <c r="DN685" s="4"/>
      <c r="DO685" s="4"/>
      <c r="DP685" s="4"/>
      <c r="DQ685" s="4"/>
      <c r="DR685" s="4"/>
      <c r="DS685" s="4"/>
    </row>
    <row r="686">
      <c r="A686" s="9">
        <f>IFERROR(__xludf.DUMMYFUNCTION("""COMPUTED_VALUE"""),45645.0)</f>
        <v>45645</v>
      </c>
      <c r="B686" s="6" t="str">
        <f>IFERROR(__xludf.DUMMYFUNCTION("""COMPUTED_VALUE"""),"Pets")</f>
        <v>Pets</v>
      </c>
      <c r="C686" s="7">
        <f>IFERROR(__xludf.DUMMYFUNCTION("""COMPUTED_VALUE"""),4600.0)</f>
        <v>4600</v>
      </c>
      <c r="D686" s="6" t="str">
        <f>IFERROR(__xludf.DUMMYFUNCTION("""COMPUTED_VALUE"""),"Pets")</f>
        <v>Pets</v>
      </c>
      <c r="E686" s="6" t="str">
        <f>IFERROR(__xludf.DUMMYFUNCTION("""COMPUTED_VALUE"""),"Virtual Wallet")</f>
        <v>Virtual Wallet</v>
      </c>
      <c r="F686" s="6" t="s">
        <v>7</v>
      </c>
      <c r="G686" s="8" t="str">
        <f t="shared" si="1"/>
        <v>202412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  <c r="CD686" s="4"/>
      <c r="CE686" s="4"/>
      <c r="CF686" s="4"/>
      <c r="CG686" s="4"/>
      <c r="CH686" s="4"/>
      <c r="CI686" s="4"/>
      <c r="CJ686" s="4"/>
      <c r="CK686" s="4"/>
      <c r="CL686" s="4"/>
      <c r="CM686" s="4"/>
      <c r="CN686" s="4"/>
      <c r="CO686" s="4"/>
      <c r="CP686" s="4"/>
      <c r="CQ686" s="4"/>
      <c r="CR686" s="4"/>
      <c r="CS686" s="4"/>
      <c r="CT686" s="4"/>
      <c r="CU686" s="4"/>
      <c r="CV686" s="4"/>
      <c r="CW686" s="4"/>
      <c r="CX686" s="4"/>
      <c r="CY686" s="4"/>
      <c r="CZ686" s="4"/>
      <c r="DA686" s="4"/>
      <c r="DB686" s="4"/>
      <c r="DC686" s="4"/>
      <c r="DD686" s="4"/>
      <c r="DE686" s="4"/>
      <c r="DF686" s="4"/>
      <c r="DG686" s="4"/>
      <c r="DH686" s="4"/>
      <c r="DI686" s="4"/>
      <c r="DJ686" s="4"/>
      <c r="DK686" s="4"/>
      <c r="DL686" s="4"/>
      <c r="DM686" s="4"/>
      <c r="DN686" s="4"/>
      <c r="DO686" s="4"/>
      <c r="DP686" s="4"/>
      <c r="DQ686" s="4"/>
      <c r="DR686" s="4"/>
      <c r="DS686" s="4"/>
    </row>
    <row r="687">
      <c r="A687" s="9">
        <f>IFERROR(__xludf.DUMMYFUNCTION("""COMPUTED_VALUE"""),45645.0)</f>
        <v>45645</v>
      </c>
      <c r="B687" s="6" t="str">
        <f>IFERROR(__xludf.DUMMYFUNCTION("""COMPUTED_VALUE"""),"Restaurant")</f>
        <v>Restaurant</v>
      </c>
      <c r="C687" s="7">
        <f>IFERROR(__xludf.DUMMYFUNCTION("""COMPUTED_VALUE"""),2500.0)</f>
        <v>2500</v>
      </c>
      <c r="D687" s="6" t="str">
        <f>IFERROR(__xludf.DUMMYFUNCTION("""COMPUTED_VALUE"""),"Restaurant / Café")</f>
        <v>Restaurant / Café</v>
      </c>
      <c r="E687" s="6" t="str">
        <f>IFERROR(__xludf.DUMMYFUNCTION("""COMPUTED_VALUE"""),"Virtual Wallet")</f>
        <v>Virtual Wallet</v>
      </c>
      <c r="F687" s="6" t="s">
        <v>14</v>
      </c>
      <c r="G687" s="8" t="str">
        <f t="shared" si="1"/>
        <v>202412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  <c r="CD687" s="4"/>
      <c r="CE687" s="4"/>
      <c r="CF687" s="4"/>
      <c r="CG687" s="4"/>
      <c r="CH687" s="4"/>
      <c r="CI687" s="4"/>
      <c r="CJ687" s="4"/>
      <c r="CK687" s="4"/>
      <c r="CL687" s="4"/>
      <c r="CM687" s="4"/>
      <c r="CN687" s="4"/>
      <c r="CO687" s="4"/>
      <c r="CP687" s="4"/>
      <c r="CQ687" s="4"/>
      <c r="CR687" s="4"/>
      <c r="CS687" s="4"/>
      <c r="CT687" s="4"/>
      <c r="CU687" s="4"/>
      <c r="CV687" s="4"/>
      <c r="CW687" s="4"/>
      <c r="CX687" s="4"/>
      <c r="CY687" s="4"/>
      <c r="CZ687" s="4"/>
      <c r="DA687" s="4"/>
      <c r="DB687" s="4"/>
      <c r="DC687" s="4"/>
      <c r="DD687" s="4"/>
      <c r="DE687" s="4"/>
      <c r="DF687" s="4"/>
      <c r="DG687" s="4"/>
      <c r="DH687" s="4"/>
      <c r="DI687" s="4"/>
      <c r="DJ687" s="4"/>
      <c r="DK687" s="4"/>
      <c r="DL687" s="4"/>
      <c r="DM687" s="4"/>
      <c r="DN687" s="4"/>
      <c r="DO687" s="4"/>
      <c r="DP687" s="4"/>
      <c r="DQ687" s="4"/>
      <c r="DR687" s="4"/>
      <c r="DS687" s="4"/>
    </row>
    <row r="688">
      <c r="A688" s="9">
        <f>IFERROR(__xludf.DUMMYFUNCTION("""COMPUTED_VALUE"""),45646.0)</f>
        <v>45646</v>
      </c>
      <c r="B688" s="6" t="str">
        <f>IFERROR(__xludf.DUMMYFUNCTION("""COMPUTED_VALUE"""),"Clothing")</f>
        <v>Clothing</v>
      </c>
      <c r="C688" s="7">
        <f>IFERROR(__xludf.DUMMYFUNCTION("""COMPUTED_VALUE"""),9666.0)</f>
        <v>9666</v>
      </c>
      <c r="D688" s="6" t="str">
        <f>IFERROR(__xludf.DUMMYFUNCTION("""COMPUTED_VALUE"""),"Clothing")</f>
        <v>Clothing</v>
      </c>
      <c r="E688" s="6" t="str">
        <f>IFERROR(__xludf.DUMMYFUNCTION("""COMPUTED_VALUE"""),"Credit Card")</f>
        <v>Credit Card</v>
      </c>
      <c r="F688" s="6" t="s">
        <v>10</v>
      </c>
      <c r="G688" s="8" t="str">
        <f t="shared" si="1"/>
        <v>202412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  <c r="CD688" s="4"/>
      <c r="CE688" s="4"/>
      <c r="CF688" s="4"/>
      <c r="CG688" s="4"/>
      <c r="CH688" s="4"/>
      <c r="CI688" s="4"/>
      <c r="CJ688" s="4"/>
      <c r="CK688" s="4"/>
      <c r="CL688" s="4"/>
      <c r="CM688" s="4"/>
      <c r="CN688" s="4"/>
      <c r="CO688" s="4"/>
      <c r="CP688" s="4"/>
      <c r="CQ688" s="4"/>
      <c r="CR688" s="4"/>
      <c r="CS688" s="4"/>
      <c r="CT688" s="4"/>
      <c r="CU688" s="4"/>
      <c r="CV688" s="4"/>
      <c r="CW688" s="4"/>
      <c r="CX688" s="4"/>
      <c r="CY688" s="4"/>
      <c r="CZ688" s="4"/>
      <c r="DA688" s="4"/>
      <c r="DB688" s="4"/>
      <c r="DC688" s="4"/>
      <c r="DD688" s="4"/>
      <c r="DE688" s="4"/>
      <c r="DF688" s="4"/>
      <c r="DG688" s="4"/>
      <c r="DH688" s="4"/>
      <c r="DI688" s="4"/>
      <c r="DJ688" s="4"/>
      <c r="DK688" s="4"/>
      <c r="DL688" s="4"/>
      <c r="DM688" s="4"/>
      <c r="DN688" s="4"/>
      <c r="DO688" s="4"/>
      <c r="DP688" s="4"/>
      <c r="DQ688" s="4"/>
      <c r="DR688" s="4"/>
      <c r="DS688" s="4"/>
    </row>
    <row r="689">
      <c r="A689" s="9">
        <f>IFERROR(__xludf.DUMMYFUNCTION("""COMPUTED_VALUE"""),45646.0)</f>
        <v>45646</v>
      </c>
      <c r="B689" s="6" t="str">
        <f>IFERROR(__xludf.DUMMYFUNCTION("""COMPUTED_VALUE"""),"Pharmacy")</f>
        <v>Pharmacy</v>
      </c>
      <c r="C689" s="7">
        <f>IFERROR(__xludf.DUMMYFUNCTION("""COMPUTED_VALUE"""),14705.0)</f>
        <v>14705</v>
      </c>
      <c r="D689" s="6" t="str">
        <f>IFERROR(__xludf.DUMMYFUNCTION("""COMPUTED_VALUE"""),"Personal Care")</f>
        <v>Personal Care</v>
      </c>
      <c r="E689" s="6" t="str">
        <f>IFERROR(__xludf.DUMMYFUNCTION("""COMPUTED_VALUE"""),"Credit Card")</f>
        <v>Credit Card</v>
      </c>
      <c r="F689" s="6" t="s">
        <v>16</v>
      </c>
      <c r="G689" s="8" t="str">
        <f t="shared" si="1"/>
        <v>202412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  <c r="CD689" s="4"/>
      <c r="CE689" s="4"/>
      <c r="CF689" s="4"/>
      <c r="CG689" s="4"/>
      <c r="CH689" s="4"/>
      <c r="CI689" s="4"/>
      <c r="CJ689" s="4"/>
      <c r="CK689" s="4"/>
      <c r="CL689" s="4"/>
      <c r="CM689" s="4"/>
      <c r="CN689" s="4"/>
      <c r="CO689" s="4"/>
      <c r="CP689" s="4"/>
      <c r="CQ689" s="4"/>
      <c r="CR689" s="4"/>
      <c r="CS689" s="4"/>
      <c r="CT689" s="4"/>
      <c r="CU689" s="4"/>
      <c r="CV689" s="4"/>
      <c r="CW689" s="4"/>
      <c r="CX689" s="4"/>
      <c r="CY689" s="4"/>
      <c r="CZ689" s="4"/>
      <c r="DA689" s="4"/>
      <c r="DB689" s="4"/>
      <c r="DC689" s="4"/>
      <c r="DD689" s="4"/>
      <c r="DE689" s="4"/>
      <c r="DF689" s="4"/>
      <c r="DG689" s="4"/>
      <c r="DH689" s="4"/>
      <c r="DI689" s="4"/>
      <c r="DJ689" s="4"/>
      <c r="DK689" s="4"/>
      <c r="DL689" s="4"/>
      <c r="DM689" s="4"/>
      <c r="DN689" s="4"/>
      <c r="DO689" s="4"/>
      <c r="DP689" s="4"/>
      <c r="DQ689" s="4"/>
      <c r="DR689" s="4"/>
      <c r="DS689" s="4"/>
    </row>
    <row r="690">
      <c r="A690" s="9">
        <f>IFERROR(__xludf.DUMMYFUNCTION("""COMPUTED_VALUE"""),45646.0)</f>
        <v>45646</v>
      </c>
      <c r="B690" s="6" t="str">
        <f>IFERROR(__xludf.DUMMYFUNCTION("""COMPUTED_VALUE"""),"Groceries")</f>
        <v>Groceries</v>
      </c>
      <c r="C690" s="7">
        <f>IFERROR(__xludf.DUMMYFUNCTION("""COMPUTED_VALUE"""),999.0)</f>
        <v>999</v>
      </c>
      <c r="D690" s="6" t="str">
        <f>IFERROR(__xludf.DUMMYFUNCTION("""COMPUTED_VALUE"""),"Groceries")</f>
        <v>Groceries</v>
      </c>
      <c r="E690" s="6" t="str">
        <f>IFERROR(__xludf.DUMMYFUNCTION("""COMPUTED_VALUE"""),"Split Payment")</f>
        <v>Split Payment</v>
      </c>
      <c r="F690" s="6" t="s">
        <v>7</v>
      </c>
      <c r="G690" s="8" t="str">
        <f t="shared" si="1"/>
        <v>202412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  <c r="CD690" s="4"/>
      <c r="CE690" s="4"/>
      <c r="CF690" s="4"/>
      <c r="CG690" s="4"/>
      <c r="CH690" s="4"/>
      <c r="CI690" s="4"/>
      <c r="CJ690" s="4"/>
      <c r="CK690" s="4"/>
      <c r="CL690" s="4"/>
      <c r="CM690" s="4"/>
      <c r="CN690" s="4"/>
      <c r="CO690" s="4"/>
      <c r="CP690" s="4"/>
      <c r="CQ690" s="4"/>
      <c r="CR690" s="4"/>
      <c r="CS690" s="4"/>
      <c r="CT690" s="4"/>
      <c r="CU690" s="4"/>
      <c r="CV690" s="4"/>
      <c r="CW690" s="4"/>
      <c r="CX690" s="4"/>
      <c r="CY690" s="4"/>
      <c r="CZ690" s="4"/>
      <c r="DA690" s="4"/>
      <c r="DB690" s="4"/>
      <c r="DC690" s="4"/>
      <c r="DD690" s="4"/>
      <c r="DE690" s="4"/>
      <c r="DF690" s="4"/>
      <c r="DG690" s="4"/>
      <c r="DH690" s="4"/>
      <c r="DI690" s="4"/>
      <c r="DJ690" s="4"/>
      <c r="DK690" s="4"/>
      <c r="DL690" s="4"/>
      <c r="DM690" s="4"/>
      <c r="DN690" s="4"/>
      <c r="DO690" s="4"/>
      <c r="DP690" s="4"/>
      <c r="DQ690" s="4"/>
      <c r="DR690" s="4"/>
      <c r="DS690" s="4"/>
    </row>
    <row r="691">
      <c r="A691" s="9">
        <f>IFERROR(__xludf.DUMMYFUNCTION("""COMPUTED_VALUE"""),45646.0)</f>
        <v>45646</v>
      </c>
      <c r="B691" s="6" t="str">
        <f>IFERROR(__xludf.DUMMYFUNCTION("""COMPUTED_VALUE"""),"Pharmacy")</f>
        <v>Pharmacy</v>
      </c>
      <c r="C691" s="7">
        <f>IFERROR(__xludf.DUMMYFUNCTION("""COMPUTED_VALUE"""),10392.0)</f>
        <v>10392</v>
      </c>
      <c r="D691" s="6" t="str">
        <f>IFERROR(__xludf.DUMMYFUNCTION("""COMPUTED_VALUE"""),"Home Goods &amp; Utilities")</f>
        <v>Home Goods &amp; Utilities</v>
      </c>
      <c r="E691" s="6" t="str">
        <f>IFERROR(__xludf.DUMMYFUNCTION("""COMPUTED_VALUE"""),"Credit Card")</f>
        <v>Credit Card</v>
      </c>
      <c r="F691" s="6" t="s">
        <v>8</v>
      </c>
      <c r="G691" s="8" t="str">
        <f t="shared" si="1"/>
        <v>202412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  <c r="CD691" s="4"/>
      <c r="CE691" s="4"/>
      <c r="CF691" s="4"/>
      <c r="CG691" s="4"/>
      <c r="CH691" s="4"/>
      <c r="CI691" s="4"/>
      <c r="CJ691" s="4"/>
      <c r="CK691" s="4"/>
      <c r="CL691" s="4"/>
      <c r="CM691" s="4"/>
      <c r="CN691" s="4"/>
      <c r="CO691" s="4"/>
      <c r="CP691" s="4"/>
      <c r="CQ691" s="4"/>
      <c r="CR691" s="4"/>
      <c r="CS691" s="4"/>
      <c r="CT691" s="4"/>
      <c r="CU691" s="4"/>
      <c r="CV691" s="4"/>
      <c r="CW691" s="4"/>
      <c r="CX691" s="4"/>
      <c r="CY691" s="4"/>
      <c r="CZ691" s="4"/>
      <c r="DA691" s="4"/>
      <c r="DB691" s="4"/>
      <c r="DC691" s="4"/>
      <c r="DD691" s="4"/>
      <c r="DE691" s="4"/>
      <c r="DF691" s="4"/>
      <c r="DG691" s="4"/>
      <c r="DH691" s="4"/>
      <c r="DI691" s="4"/>
      <c r="DJ691" s="4"/>
      <c r="DK691" s="4"/>
      <c r="DL691" s="4"/>
      <c r="DM691" s="4"/>
      <c r="DN691" s="4"/>
      <c r="DO691" s="4"/>
      <c r="DP691" s="4"/>
      <c r="DQ691" s="4"/>
      <c r="DR691" s="4"/>
      <c r="DS691" s="4"/>
    </row>
    <row r="692">
      <c r="A692" s="9">
        <f>IFERROR(__xludf.DUMMYFUNCTION("""COMPUTED_VALUE"""),45646.0)</f>
        <v>45646</v>
      </c>
      <c r="B692" s="6" t="str">
        <f>IFERROR(__xludf.DUMMYFUNCTION("""COMPUTED_VALUE"""),"Restaurant")</f>
        <v>Restaurant</v>
      </c>
      <c r="C692" s="7">
        <f>IFERROR(__xludf.DUMMYFUNCTION("""COMPUTED_VALUE"""),15000.0)</f>
        <v>15000</v>
      </c>
      <c r="D692" s="6" t="str">
        <f>IFERROR(__xludf.DUMMYFUNCTION("""COMPUTED_VALUE"""),"Restaurant / Café")</f>
        <v>Restaurant / Café</v>
      </c>
      <c r="E692" s="6" t="str">
        <f>IFERROR(__xludf.DUMMYFUNCTION("""COMPUTED_VALUE"""),"Virtual Wallet")</f>
        <v>Virtual Wallet</v>
      </c>
      <c r="F692" s="6" t="s">
        <v>14</v>
      </c>
      <c r="G692" s="8" t="str">
        <f t="shared" si="1"/>
        <v>202412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  <c r="CD692" s="4"/>
      <c r="CE692" s="4"/>
      <c r="CF692" s="4"/>
      <c r="CG692" s="4"/>
      <c r="CH692" s="4"/>
      <c r="CI692" s="4"/>
      <c r="CJ692" s="4"/>
      <c r="CK692" s="4"/>
      <c r="CL692" s="4"/>
      <c r="CM692" s="4"/>
      <c r="CN692" s="4"/>
      <c r="CO692" s="4"/>
      <c r="CP692" s="4"/>
      <c r="CQ692" s="4"/>
      <c r="CR692" s="4"/>
      <c r="CS692" s="4"/>
      <c r="CT692" s="4"/>
      <c r="CU692" s="4"/>
      <c r="CV692" s="4"/>
      <c r="CW692" s="4"/>
      <c r="CX692" s="4"/>
      <c r="CY692" s="4"/>
      <c r="CZ692" s="4"/>
      <c r="DA692" s="4"/>
      <c r="DB692" s="4"/>
      <c r="DC692" s="4"/>
      <c r="DD692" s="4"/>
      <c r="DE692" s="4"/>
      <c r="DF692" s="4"/>
      <c r="DG692" s="4"/>
      <c r="DH692" s="4"/>
      <c r="DI692" s="4"/>
      <c r="DJ692" s="4"/>
      <c r="DK692" s="4"/>
      <c r="DL692" s="4"/>
      <c r="DM692" s="4"/>
      <c r="DN692" s="4"/>
      <c r="DO692" s="4"/>
      <c r="DP692" s="4"/>
      <c r="DQ692" s="4"/>
      <c r="DR692" s="4"/>
      <c r="DS692" s="4"/>
    </row>
    <row r="693">
      <c r="A693" s="9">
        <f>IFERROR(__xludf.DUMMYFUNCTION("""COMPUTED_VALUE"""),45647.0)</f>
        <v>45647</v>
      </c>
      <c r="B693" s="6" t="str">
        <f>IFERROR(__xludf.DUMMYFUNCTION("""COMPUTED_VALUE"""),"Home Goods")</f>
        <v>Home Goods</v>
      </c>
      <c r="C693" s="7">
        <f>IFERROR(__xludf.DUMMYFUNCTION("""COMPUTED_VALUE"""),8750.0)</f>
        <v>8750</v>
      </c>
      <c r="D693" s="6" t="str">
        <f>IFERROR(__xludf.DUMMYFUNCTION("""COMPUTED_VALUE"""),"Recreation")</f>
        <v>Recreation</v>
      </c>
      <c r="E693" s="6" t="str">
        <f>IFERROR(__xludf.DUMMYFUNCTION("""COMPUTED_VALUE"""),"Credit Card")</f>
        <v>Credit Card</v>
      </c>
      <c r="F693" s="6" t="s">
        <v>12</v>
      </c>
      <c r="G693" s="8" t="str">
        <f t="shared" si="1"/>
        <v>202412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  <c r="CD693" s="4"/>
      <c r="CE693" s="4"/>
      <c r="CF693" s="4"/>
      <c r="CG693" s="4"/>
      <c r="CH693" s="4"/>
      <c r="CI693" s="4"/>
      <c r="CJ693" s="4"/>
      <c r="CK693" s="4"/>
      <c r="CL693" s="4"/>
      <c r="CM693" s="4"/>
      <c r="CN693" s="4"/>
      <c r="CO693" s="4"/>
      <c r="CP693" s="4"/>
      <c r="CQ693" s="4"/>
      <c r="CR693" s="4"/>
      <c r="CS693" s="4"/>
      <c r="CT693" s="4"/>
      <c r="CU693" s="4"/>
      <c r="CV693" s="4"/>
      <c r="CW693" s="4"/>
      <c r="CX693" s="4"/>
      <c r="CY693" s="4"/>
      <c r="CZ693" s="4"/>
      <c r="DA693" s="4"/>
      <c r="DB693" s="4"/>
      <c r="DC693" s="4"/>
      <c r="DD693" s="4"/>
      <c r="DE693" s="4"/>
      <c r="DF693" s="4"/>
      <c r="DG693" s="4"/>
      <c r="DH693" s="4"/>
      <c r="DI693" s="4"/>
      <c r="DJ693" s="4"/>
      <c r="DK693" s="4"/>
      <c r="DL693" s="4"/>
      <c r="DM693" s="4"/>
      <c r="DN693" s="4"/>
      <c r="DO693" s="4"/>
      <c r="DP693" s="4"/>
      <c r="DQ693" s="4"/>
      <c r="DR693" s="4"/>
      <c r="DS693" s="4"/>
    </row>
    <row r="694">
      <c r="A694" s="9">
        <f>IFERROR(__xludf.DUMMYFUNCTION("""COMPUTED_VALUE"""),45647.0)</f>
        <v>45647</v>
      </c>
      <c r="B694" s="6" t="str">
        <f>IFERROR(__xludf.DUMMYFUNCTION("""COMPUTED_VALUE"""),"Streaming Services")</f>
        <v>Streaming Services</v>
      </c>
      <c r="C694" s="7">
        <f>IFERROR(__xludf.DUMMYFUNCTION("""COMPUTED_VALUE"""),5132.0)</f>
        <v>5132</v>
      </c>
      <c r="D694" s="6" t="str">
        <f>IFERROR(__xludf.DUMMYFUNCTION("""COMPUTED_VALUE"""),"Streaming Services")</f>
        <v>Streaming Services</v>
      </c>
      <c r="E694" s="6" t="str">
        <f>IFERROR(__xludf.DUMMYFUNCTION("""COMPUTED_VALUE"""),"Credit Card")</f>
        <v>Credit Card</v>
      </c>
      <c r="F694" s="6" t="s">
        <v>12</v>
      </c>
      <c r="G694" s="8" t="str">
        <f t="shared" si="1"/>
        <v>202412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  <c r="CD694" s="4"/>
      <c r="CE694" s="4"/>
      <c r="CF694" s="4"/>
      <c r="CG694" s="4"/>
      <c r="CH694" s="4"/>
      <c r="CI694" s="4"/>
      <c r="CJ694" s="4"/>
      <c r="CK694" s="4"/>
      <c r="CL694" s="4"/>
      <c r="CM694" s="4"/>
      <c r="CN694" s="4"/>
      <c r="CO694" s="4"/>
      <c r="CP694" s="4"/>
      <c r="CQ694" s="4"/>
      <c r="CR694" s="4"/>
      <c r="CS694" s="4"/>
      <c r="CT694" s="4"/>
      <c r="CU694" s="4"/>
      <c r="CV694" s="4"/>
      <c r="CW694" s="4"/>
      <c r="CX694" s="4"/>
      <c r="CY694" s="4"/>
      <c r="CZ694" s="4"/>
      <c r="DA694" s="4"/>
      <c r="DB694" s="4"/>
      <c r="DC694" s="4"/>
      <c r="DD694" s="4"/>
      <c r="DE694" s="4"/>
      <c r="DF694" s="4"/>
      <c r="DG694" s="4"/>
      <c r="DH694" s="4"/>
      <c r="DI694" s="4"/>
      <c r="DJ694" s="4"/>
      <c r="DK694" s="4"/>
      <c r="DL694" s="4"/>
      <c r="DM694" s="4"/>
      <c r="DN694" s="4"/>
      <c r="DO694" s="4"/>
      <c r="DP694" s="4"/>
      <c r="DQ694" s="4"/>
      <c r="DR694" s="4"/>
      <c r="DS694" s="4"/>
    </row>
    <row r="695">
      <c r="A695" s="9">
        <f>IFERROR(__xludf.DUMMYFUNCTION("""COMPUTED_VALUE"""),45647.0)</f>
        <v>45647</v>
      </c>
      <c r="B695" s="6" t="str">
        <f>IFERROR(__xludf.DUMMYFUNCTION("""COMPUTED_VALUE"""),"Home Goods")</f>
        <v>Home Goods</v>
      </c>
      <c r="C695" s="7">
        <f>IFERROR(__xludf.DUMMYFUNCTION("""COMPUTED_VALUE"""),10066.0)</f>
        <v>10066</v>
      </c>
      <c r="D695" s="6" t="str">
        <f>IFERROR(__xludf.DUMMYFUNCTION("""COMPUTED_VALUE"""),"Recreation")</f>
        <v>Recreation</v>
      </c>
      <c r="E695" s="6" t="str">
        <f>IFERROR(__xludf.DUMMYFUNCTION("""COMPUTED_VALUE"""),"Credit Card")</f>
        <v>Credit Card</v>
      </c>
      <c r="F695" s="6" t="s">
        <v>12</v>
      </c>
      <c r="G695" s="8" t="str">
        <f t="shared" si="1"/>
        <v>202412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  <c r="CD695" s="4"/>
      <c r="CE695" s="4"/>
      <c r="CF695" s="4"/>
      <c r="CG695" s="4"/>
      <c r="CH695" s="4"/>
      <c r="CI695" s="4"/>
      <c r="CJ695" s="4"/>
      <c r="CK695" s="4"/>
      <c r="CL695" s="4"/>
      <c r="CM695" s="4"/>
      <c r="CN695" s="4"/>
      <c r="CO695" s="4"/>
      <c r="CP695" s="4"/>
      <c r="CQ695" s="4"/>
      <c r="CR695" s="4"/>
      <c r="CS695" s="4"/>
      <c r="CT695" s="4"/>
      <c r="CU695" s="4"/>
      <c r="CV695" s="4"/>
      <c r="CW695" s="4"/>
      <c r="CX695" s="4"/>
      <c r="CY695" s="4"/>
      <c r="CZ695" s="4"/>
      <c r="DA695" s="4"/>
      <c r="DB695" s="4"/>
      <c r="DC695" s="4"/>
      <c r="DD695" s="4"/>
      <c r="DE695" s="4"/>
      <c r="DF695" s="4"/>
      <c r="DG695" s="4"/>
      <c r="DH695" s="4"/>
      <c r="DI695" s="4"/>
      <c r="DJ695" s="4"/>
      <c r="DK695" s="4"/>
      <c r="DL695" s="4"/>
      <c r="DM695" s="4"/>
      <c r="DN695" s="4"/>
      <c r="DO695" s="4"/>
      <c r="DP695" s="4"/>
      <c r="DQ695" s="4"/>
      <c r="DR695" s="4"/>
      <c r="DS695" s="4"/>
    </row>
    <row r="696">
      <c r="A696" s="9">
        <f>IFERROR(__xludf.DUMMYFUNCTION("""COMPUTED_VALUE"""),45647.0)</f>
        <v>45647</v>
      </c>
      <c r="B696" s="6" t="str">
        <f>IFERROR(__xludf.DUMMYFUNCTION("""COMPUTED_VALUE"""),"Gift")</f>
        <v>Gift</v>
      </c>
      <c r="C696" s="7">
        <f>IFERROR(__xludf.DUMMYFUNCTION("""COMPUTED_VALUE"""),15000.0)</f>
        <v>15000</v>
      </c>
      <c r="D696" s="6" t="str">
        <f>IFERROR(__xludf.DUMMYFUNCTION("""COMPUTED_VALUE"""),"Gifts")</f>
        <v>Gifts</v>
      </c>
      <c r="E696" s="6" t="str">
        <f>IFERROR(__xludf.DUMMYFUNCTION("""COMPUTED_VALUE"""),"Virtual Wallet")</f>
        <v>Virtual Wallet</v>
      </c>
      <c r="F696" s="6"/>
      <c r="G696" s="8" t="str">
        <f t="shared" si="1"/>
        <v>202412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  <c r="CD696" s="4"/>
      <c r="CE696" s="4"/>
      <c r="CF696" s="4"/>
      <c r="CG696" s="4"/>
      <c r="CH696" s="4"/>
      <c r="CI696" s="4"/>
      <c r="CJ696" s="4"/>
      <c r="CK696" s="4"/>
      <c r="CL696" s="4"/>
      <c r="CM696" s="4"/>
      <c r="CN696" s="4"/>
      <c r="CO696" s="4"/>
      <c r="CP696" s="4"/>
      <c r="CQ696" s="4"/>
      <c r="CR696" s="4"/>
      <c r="CS696" s="4"/>
      <c r="CT696" s="4"/>
      <c r="CU696" s="4"/>
      <c r="CV696" s="4"/>
      <c r="CW696" s="4"/>
      <c r="CX696" s="4"/>
      <c r="CY696" s="4"/>
      <c r="CZ696" s="4"/>
      <c r="DA696" s="4"/>
      <c r="DB696" s="4"/>
      <c r="DC696" s="4"/>
      <c r="DD696" s="4"/>
      <c r="DE696" s="4"/>
      <c r="DF696" s="4"/>
      <c r="DG696" s="4"/>
      <c r="DH696" s="4"/>
      <c r="DI696" s="4"/>
      <c r="DJ696" s="4"/>
      <c r="DK696" s="4"/>
      <c r="DL696" s="4"/>
      <c r="DM696" s="4"/>
      <c r="DN696" s="4"/>
      <c r="DO696" s="4"/>
      <c r="DP696" s="4"/>
      <c r="DQ696" s="4"/>
      <c r="DR696" s="4"/>
      <c r="DS696" s="4"/>
    </row>
    <row r="697">
      <c r="A697" s="9">
        <f>IFERROR(__xludf.DUMMYFUNCTION("""COMPUTED_VALUE"""),45647.0)</f>
        <v>45647</v>
      </c>
      <c r="B697" s="6" t="str">
        <f>IFERROR(__xludf.DUMMYFUNCTION("""COMPUTED_VALUE"""),"Gift")</f>
        <v>Gift</v>
      </c>
      <c r="C697" s="7">
        <f>IFERROR(__xludf.DUMMYFUNCTION("""COMPUTED_VALUE"""),2250.0)</f>
        <v>2250</v>
      </c>
      <c r="D697" s="6" t="str">
        <f>IFERROR(__xludf.DUMMYFUNCTION("""COMPUTED_VALUE"""),"Home Goods &amp; Utilities")</f>
        <v>Home Goods &amp; Utilities</v>
      </c>
      <c r="E697" s="6" t="str">
        <f>IFERROR(__xludf.DUMMYFUNCTION("""COMPUTED_VALUE"""),"Virtual Wallet")</f>
        <v>Virtual Wallet</v>
      </c>
      <c r="F697" s="6" t="s">
        <v>8</v>
      </c>
      <c r="G697" s="8" t="str">
        <f t="shared" si="1"/>
        <v>202412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  <c r="CD697" s="4"/>
      <c r="CE697" s="4"/>
      <c r="CF697" s="4"/>
      <c r="CG697" s="4"/>
      <c r="CH697" s="4"/>
      <c r="CI697" s="4"/>
      <c r="CJ697" s="4"/>
      <c r="CK697" s="4"/>
      <c r="CL697" s="4"/>
      <c r="CM697" s="4"/>
      <c r="CN697" s="4"/>
      <c r="CO697" s="4"/>
      <c r="CP697" s="4"/>
      <c r="CQ697" s="4"/>
      <c r="CR697" s="4"/>
      <c r="CS697" s="4"/>
      <c r="CT697" s="4"/>
      <c r="CU697" s="4"/>
      <c r="CV697" s="4"/>
      <c r="CW697" s="4"/>
      <c r="CX697" s="4"/>
      <c r="CY697" s="4"/>
      <c r="CZ697" s="4"/>
      <c r="DA697" s="4"/>
      <c r="DB697" s="4"/>
      <c r="DC697" s="4"/>
      <c r="DD697" s="4"/>
      <c r="DE697" s="4"/>
      <c r="DF697" s="4"/>
      <c r="DG697" s="4"/>
      <c r="DH697" s="4"/>
      <c r="DI697" s="4"/>
      <c r="DJ697" s="4"/>
      <c r="DK697" s="4"/>
      <c r="DL697" s="4"/>
      <c r="DM697" s="4"/>
      <c r="DN697" s="4"/>
      <c r="DO697" s="4"/>
      <c r="DP697" s="4"/>
      <c r="DQ697" s="4"/>
      <c r="DR697" s="4"/>
      <c r="DS697" s="4"/>
    </row>
    <row r="698">
      <c r="A698" s="9">
        <f>IFERROR(__xludf.DUMMYFUNCTION("""COMPUTED_VALUE"""),45647.0)</f>
        <v>45647</v>
      </c>
      <c r="B698" s="6" t="str">
        <f>IFERROR(__xludf.DUMMYFUNCTION("""COMPUTED_VALUE"""),"Groceries")</f>
        <v>Groceries</v>
      </c>
      <c r="C698" s="7">
        <f>IFERROR(__xludf.DUMMYFUNCTION("""COMPUTED_VALUE"""),6600.0)</f>
        <v>6600</v>
      </c>
      <c r="D698" s="6" t="str">
        <f>IFERROR(__xludf.DUMMYFUNCTION("""COMPUTED_VALUE"""),"Lunch Out")</f>
        <v>Lunch Out</v>
      </c>
      <c r="E698" s="6" t="str">
        <f>IFERROR(__xludf.DUMMYFUNCTION("""COMPUTED_VALUE"""),"Virtual Wallet")</f>
        <v>Virtual Wallet</v>
      </c>
      <c r="F698" s="6" t="s">
        <v>14</v>
      </c>
      <c r="G698" s="8" t="str">
        <f t="shared" si="1"/>
        <v>202412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  <c r="CD698" s="4"/>
      <c r="CE698" s="4"/>
      <c r="CF698" s="4"/>
      <c r="CG698" s="4"/>
      <c r="CH698" s="4"/>
      <c r="CI698" s="4"/>
      <c r="CJ698" s="4"/>
      <c r="CK698" s="4"/>
      <c r="CL698" s="4"/>
      <c r="CM698" s="4"/>
      <c r="CN698" s="4"/>
      <c r="CO698" s="4"/>
      <c r="CP698" s="4"/>
      <c r="CQ698" s="4"/>
      <c r="CR698" s="4"/>
      <c r="CS698" s="4"/>
      <c r="CT698" s="4"/>
      <c r="CU698" s="4"/>
      <c r="CV698" s="4"/>
      <c r="CW698" s="4"/>
      <c r="CX698" s="4"/>
      <c r="CY698" s="4"/>
      <c r="CZ698" s="4"/>
      <c r="DA698" s="4"/>
      <c r="DB698" s="4"/>
      <c r="DC698" s="4"/>
      <c r="DD698" s="4"/>
      <c r="DE698" s="4"/>
      <c r="DF698" s="4"/>
      <c r="DG698" s="4"/>
      <c r="DH698" s="4"/>
      <c r="DI698" s="4"/>
      <c r="DJ698" s="4"/>
      <c r="DK698" s="4"/>
      <c r="DL698" s="4"/>
      <c r="DM698" s="4"/>
      <c r="DN698" s="4"/>
      <c r="DO698" s="4"/>
      <c r="DP698" s="4"/>
      <c r="DQ698" s="4"/>
      <c r="DR698" s="4"/>
      <c r="DS698" s="4"/>
    </row>
    <row r="699">
      <c r="A699" s="9">
        <f>IFERROR(__xludf.DUMMYFUNCTION("""COMPUTED_VALUE"""),45647.0)</f>
        <v>45647</v>
      </c>
      <c r="B699" s="6" t="str">
        <f>IFERROR(__xludf.DUMMYFUNCTION("""COMPUTED_VALUE"""),"Home Goods")</f>
        <v>Home Goods</v>
      </c>
      <c r="C699" s="7">
        <f>IFERROR(__xludf.DUMMYFUNCTION("""COMPUTED_VALUE"""),1600.0)</f>
        <v>1600</v>
      </c>
      <c r="D699" s="6" t="str">
        <f>IFERROR(__xludf.DUMMYFUNCTION("""COMPUTED_VALUE"""),"Car Expenses")</f>
        <v>Car Expenses</v>
      </c>
      <c r="E699" s="6" t="str">
        <f>IFERROR(__xludf.DUMMYFUNCTION("""COMPUTED_VALUE"""),"Virtual Wallet")</f>
        <v>Virtual Wallet</v>
      </c>
      <c r="F699" s="6" t="s">
        <v>9</v>
      </c>
      <c r="G699" s="8" t="str">
        <f t="shared" si="1"/>
        <v>202412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  <c r="CD699" s="4"/>
      <c r="CE699" s="4"/>
      <c r="CF699" s="4"/>
      <c r="CG699" s="4"/>
      <c r="CH699" s="4"/>
      <c r="CI699" s="4"/>
      <c r="CJ699" s="4"/>
      <c r="CK699" s="4"/>
      <c r="CL699" s="4"/>
      <c r="CM699" s="4"/>
      <c r="CN699" s="4"/>
      <c r="CO699" s="4"/>
      <c r="CP699" s="4"/>
      <c r="CQ699" s="4"/>
      <c r="CR699" s="4"/>
      <c r="CS699" s="4"/>
      <c r="CT699" s="4"/>
      <c r="CU699" s="4"/>
      <c r="CV699" s="4"/>
      <c r="CW699" s="4"/>
      <c r="CX699" s="4"/>
      <c r="CY699" s="4"/>
      <c r="CZ699" s="4"/>
      <c r="DA699" s="4"/>
      <c r="DB699" s="4"/>
      <c r="DC699" s="4"/>
      <c r="DD699" s="4"/>
      <c r="DE699" s="4"/>
      <c r="DF699" s="4"/>
      <c r="DG699" s="4"/>
      <c r="DH699" s="4"/>
      <c r="DI699" s="4"/>
      <c r="DJ699" s="4"/>
      <c r="DK699" s="4"/>
      <c r="DL699" s="4"/>
      <c r="DM699" s="4"/>
      <c r="DN699" s="4"/>
      <c r="DO699" s="4"/>
      <c r="DP699" s="4"/>
      <c r="DQ699" s="4"/>
      <c r="DR699" s="4"/>
      <c r="DS699" s="4"/>
    </row>
    <row r="700">
      <c r="A700" s="9">
        <f>IFERROR(__xludf.DUMMYFUNCTION("""COMPUTED_VALUE"""),45648.0)</f>
        <v>45648</v>
      </c>
      <c r="B700" s="6" t="str">
        <f>IFERROR(__xludf.DUMMYFUNCTION("""COMPUTED_VALUE"""),"Appliances")</f>
        <v>Appliances</v>
      </c>
      <c r="C700" s="7">
        <f>IFERROR(__xludf.DUMMYFUNCTION("""COMPUTED_VALUE"""),2361.0)</f>
        <v>2361</v>
      </c>
      <c r="D700" s="6" t="str">
        <f>IFERROR(__xludf.DUMMYFUNCTION("""COMPUTED_VALUE"""),"Home Goods &amp; Utilities")</f>
        <v>Home Goods &amp; Utilities</v>
      </c>
      <c r="E700" s="6" t="str">
        <f>IFERROR(__xludf.DUMMYFUNCTION("""COMPUTED_VALUE"""),"Credit Card")</f>
        <v>Credit Card</v>
      </c>
      <c r="F700" s="6" t="s">
        <v>8</v>
      </c>
      <c r="G700" s="8" t="str">
        <f t="shared" si="1"/>
        <v>202412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  <c r="CD700" s="4"/>
      <c r="CE700" s="4"/>
      <c r="CF700" s="4"/>
      <c r="CG700" s="4"/>
      <c r="CH700" s="4"/>
      <c r="CI700" s="4"/>
      <c r="CJ700" s="4"/>
      <c r="CK700" s="4"/>
      <c r="CL700" s="4"/>
      <c r="CM700" s="4"/>
      <c r="CN700" s="4"/>
      <c r="CO700" s="4"/>
      <c r="CP700" s="4"/>
      <c r="CQ700" s="4"/>
      <c r="CR700" s="4"/>
      <c r="CS700" s="4"/>
      <c r="CT700" s="4"/>
      <c r="CU700" s="4"/>
      <c r="CV700" s="4"/>
      <c r="CW700" s="4"/>
      <c r="CX700" s="4"/>
      <c r="CY700" s="4"/>
      <c r="CZ700" s="4"/>
      <c r="DA700" s="4"/>
      <c r="DB700" s="4"/>
      <c r="DC700" s="4"/>
      <c r="DD700" s="4"/>
      <c r="DE700" s="4"/>
      <c r="DF700" s="4"/>
      <c r="DG700" s="4"/>
      <c r="DH700" s="4"/>
      <c r="DI700" s="4"/>
      <c r="DJ700" s="4"/>
      <c r="DK700" s="4"/>
      <c r="DL700" s="4"/>
      <c r="DM700" s="4"/>
      <c r="DN700" s="4"/>
      <c r="DO700" s="4"/>
      <c r="DP700" s="4"/>
      <c r="DQ700" s="4"/>
      <c r="DR700" s="4"/>
      <c r="DS700" s="4"/>
    </row>
    <row r="701">
      <c r="A701" s="9">
        <f>IFERROR(__xludf.DUMMYFUNCTION("""COMPUTED_VALUE"""),45648.0)</f>
        <v>45648</v>
      </c>
      <c r="B701" s="6" t="str">
        <f>IFERROR(__xludf.DUMMYFUNCTION("""COMPUTED_VALUE"""),"Delivery")</f>
        <v>Delivery</v>
      </c>
      <c r="C701" s="7">
        <f>IFERROR(__xludf.DUMMYFUNCTION("""COMPUTED_VALUE"""),6115.0)</f>
        <v>6115</v>
      </c>
      <c r="D701" s="6" t="str">
        <f>IFERROR(__xludf.DUMMYFUNCTION("""COMPUTED_VALUE"""),"Restaurant / Café")</f>
        <v>Restaurant / Café</v>
      </c>
      <c r="E701" s="6" t="str">
        <f>IFERROR(__xludf.DUMMYFUNCTION("""COMPUTED_VALUE"""),"Credit Card")</f>
        <v>Credit Card</v>
      </c>
      <c r="F701" s="6" t="s">
        <v>14</v>
      </c>
      <c r="G701" s="8" t="str">
        <f t="shared" si="1"/>
        <v>202412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  <c r="CD701" s="4"/>
      <c r="CE701" s="4"/>
      <c r="CF701" s="4"/>
      <c r="CG701" s="4"/>
      <c r="CH701" s="4"/>
      <c r="CI701" s="4"/>
      <c r="CJ701" s="4"/>
      <c r="CK701" s="4"/>
      <c r="CL701" s="4"/>
      <c r="CM701" s="4"/>
      <c r="CN701" s="4"/>
      <c r="CO701" s="4"/>
      <c r="CP701" s="4"/>
      <c r="CQ701" s="4"/>
      <c r="CR701" s="4"/>
      <c r="CS701" s="4"/>
      <c r="CT701" s="4"/>
      <c r="CU701" s="4"/>
      <c r="CV701" s="4"/>
      <c r="CW701" s="4"/>
      <c r="CX701" s="4"/>
      <c r="CY701" s="4"/>
      <c r="CZ701" s="4"/>
      <c r="DA701" s="4"/>
      <c r="DB701" s="4"/>
      <c r="DC701" s="4"/>
      <c r="DD701" s="4"/>
      <c r="DE701" s="4"/>
      <c r="DF701" s="4"/>
      <c r="DG701" s="4"/>
      <c r="DH701" s="4"/>
      <c r="DI701" s="4"/>
      <c r="DJ701" s="4"/>
      <c r="DK701" s="4"/>
      <c r="DL701" s="4"/>
      <c r="DM701" s="4"/>
      <c r="DN701" s="4"/>
      <c r="DO701" s="4"/>
      <c r="DP701" s="4"/>
      <c r="DQ701" s="4"/>
      <c r="DR701" s="4"/>
      <c r="DS701" s="4"/>
    </row>
    <row r="702">
      <c r="A702" s="9">
        <f>IFERROR(__xludf.DUMMYFUNCTION("""COMPUTED_VALUE"""),45648.0)</f>
        <v>45648</v>
      </c>
      <c r="B702" s="6" t="str">
        <f>IFERROR(__xludf.DUMMYFUNCTION("""COMPUTED_VALUE"""),"Electricity Bill (Edesur)")</f>
        <v>Electricity Bill (Edesur)</v>
      </c>
      <c r="C702" s="7">
        <f>IFERROR(__xludf.DUMMYFUNCTION("""COMPUTED_VALUE"""),5054.0)</f>
        <v>5054</v>
      </c>
      <c r="D702" s="6" t="str">
        <f>IFERROR(__xludf.DUMMYFUNCTION("""COMPUTED_VALUE"""),"Basic Services")</f>
        <v>Basic Services</v>
      </c>
      <c r="E702" s="6" t="str">
        <f>IFERROR(__xludf.DUMMYFUNCTION("""COMPUTED_VALUE"""),"Split Payment")</f>
        <v>Split Payment</v>
      </c>
      <c r="F702" s="6" t="s">
        <v>13</v>
      </c>
      <c r="G702" s="8" t="str">
        <f t="shared" si="1"/>
        <v>202412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  <c r="CD702" s="4"/>
      <c r="CE702" s="4"/>
      <c r="CF702" s="4"/>
      <c r="CG702" s="4"/>
      <c r="CH702" s="4"/>
      <c r="CI702" s="4"/>
      <c r="CJ702" s="4"/>
      <c r="CK702" s="4"/>
      <c r="CL702" s="4"/>
      <c r="CM702" s="4"/>
      <c r="CN702" s="4"/>
      <c r="CO702" s="4"/>
      <c r="CP702" s="4"/>
      <c r="CQ702" s="4"/>
      <c r="CR702" s="4"/>
      <c r="CS702" s="4"/>
      <c r="CT702" s="4"/>
      <c r="CU702" s="4"/>
      <c r="CV702" s="4"/>
      <c r="CW702" s="4"/>
      <c r="CX702" s="4"/>
      <c r="CY702" s="4"/>
      <c r="CZ702" s="4"/>
      <c r="DA702" s="4"/>
      <c r="DB702" s="4"/>
      <c r="DC702" s="4"/>
      <c r="DD702" s="4"/>
      <c r="DE702" s="4"/>
      <c r="DF702" s="4"/>
      <c r="DG702" s="4"/>
      <c r="DH702" s="4"/>
      <c r="DI702" s="4"/>
      <c r="DJ702" s="4"/>
      <c r="DK702" s="4"/>
      <c r="DL702" s="4"/>
      <c r="DM702" s="4"/>
      <c r="DN702" s="4"/>
      <c r="DO702" s="4"/>
      <c r="DP702" s="4"/>
      <c r="DQ702" s="4"/>
      <c r="DR702" s="4"/>
      <c r="DS702" s="4"/>
    </row>
    <row r="703">
      <c r="A703" s="9">
        <f>IFERROR(__xludf.DUMMYFUNCTION("""COMPUTED_VALUE"""),45648.0)</f>
        <v>45648</v>
      </c>
      <c r="B703" s="6" t="str">
        <f>IFERROR(__xludf.DUMMYFUNCTION("""COMPUTED_VALUE"""),"Groceries")</f>
        <v>Groceries</v>
      </c>
      <c r="C703" s="7">
        <f>IFERROR(__xludf.DUMMYFUNCTION("""COMPUTED_VALUE"""),900.0)</f>
        <v>900</v>
      </c>
      <c r="D703" s="6" t="str">
        <f>IFERROR(__xludf.DUMMYFUNCTION("""COMPUTED_VALUE"""),"Restaurant / Café")</f>
        <v>Restaurant / Café</v>
      </c>
      <c r="E703" s="6" t="str">
        <f>IFERROR(__xludf.DUMMYFUNCTION("""COMPUTED_VALUE"""),"Virtual Wallet")</f>
        <v>Virtual Wallet</v>
      </c>
      <c r="F703" s="6" t="s">
        <v>14</v>
      </c>
      <c r="G703" s="8" t="str">
        <f t="shared" si="1"/>
        <v>202412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  <c r="CD703" s="4"/>
      <c r="CE703" s="4"/>
      <c r="CF703" s="4"/>
      <c r="CG703" s="4"/>
      <c r="CH703" s="4"/>
      <c r="CI703" s="4"/>
      <c r="CJ703" s="4"/>
      <c r="CK703" s="4"/>
      <c r="CL703" s="4"/>
      <c r="CM703" s="4"/>
      <c r="CN703" s="4"/>
      <c r="CO703" s="4"/>
      <c r="CP703" s="4"/>
      <c r="CQ703" s="4"/>
      <c r="CR703" s="4"/>
      <c r="CS703" s="4"/>
      <c r="CT703" s="4"/>
      <c r="CU703" s="4"/>
      <c r="CV703" s="4"/>
      <c r="CW703" s="4"/>
      <c r="CX703" s="4"/>
      <c r="CY703" s="4"/>
      <c r="CZ703" s="4"/>
      <c r="DA703" s="4"/>
      <c r="DB703" s="4"/>
      <c r="DC703" s="4"/>
      <c r="DD703" s="4"/>
      <c r="DE703" s="4"/>
      <c r="DF703" s="4"/>
      <c r="DG703" s="4"/>
      <c r="DH703" s="4"/>
      <c r="DI703" s="4"/>
      <c r="DJ703" s="4"/>
      <c r="DK703" s="4"/>
      <c r="DL703" s="4"/>
      <c r="DM703" s="4"/>
      <c r="DN703" s="4"/>
      <c r="DO703" s="4"/>
      <c r="DP703" s="4"/>
      <c r="DQ703" s="4"/>
      <c r="DR703" s="4"/>
      <c r="DS703" s="4"/>
    </row>
    <row r="704">
      <c r="A704" s="9">
        <f>IFERROR(__xludf.DUMMYFUNCTION("""COMPUTED_VALUE"""),45648.0)</f>
        <v>45648</v>
      </c>
      <c r="B704" s="6" t="str">
        <f>IFERROR(__xludf.DUMMYFUNCTION("""COMPUTED_VALUE"""),"Car Expenses")</f>
        <v>Car Expenses</v>
      </c>
      <c r="C704" s="7">
        <f>IFERROR(__xludf.DUMMYFUNCTION("""COMPUTED_VALUE"""),7500.0)</f>
        <v>7500</v>
      </c>
      <c r="D704" s="6" t="str">
        <f>IFERROR(__xludf.DUMMYFUNCTION("""COMPUTED_VALUE"""),"Car Expenses")</f>
        <v>Car Expenses</v>
      </c>
      <c r="E704" s="6" t="str">
        <f>IFERROR(__xludf.DUMMYFUNCTION("""COMPUTED_VALUE"""),"Cash")</f>
        <v>Cash</v>
      </c>
      <c r="F704" s="6" t="s">
        <v>9</v>
      </c>
      <c r="G704" s="8" t="str">
        <f t="shared" si="1"/>
        <v>202412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  <c r="CD704" s="4"/>
      <c r="CE704" s="4"/>
      <c r="CF704" s="4"/>
      <c r="CG704" s="4"/>
      <c r="CH704" s="4"/>
      <c r="CI704" s="4"/>
      <c r="CJ704" s="4"/>
      <c r="CK704" s="4"/>
      <c r="CL704" s="4"/>
      <c r="CM704" s="4"/>
      <c r="CN704" s="4"/>
      <c r="CO704" s="4"/>
      <c r="CP704" s="4"/>
      <c r="CQ704" s="4"/>
      <c r="CR704" s="4"/>
      <c r="CS704" s="4"/>
      <c r="CT704" s="4"/>
      <c r="CU704" s="4"/>
      <c r="CV704" s="4"/>
      <c r="CW704" s="4"/>
      <c r="CX704" s="4"/>
      <c r="CY704" s="4"/>
      <c r="CZ704" s="4"/>
      <c r="DA704" s="4"/>
      <c r="DB704" s="4"/>
      <c r="DC704" s="4"/>
      <c r="DD704" s="4"/>
      <c r="DE704" s="4"/>
      <c r="DF704" s="4"/>
      <c r="DG704" s="4"/>
      <c r="DH704" s="4"/>
      <c r="DI704" s="4"/>
      <c r="DJ704" s="4"/>
      <c r="DK704" s="4"/>
      <c r="DL704" s="4"/>
      <c r="DM704" s="4"/>
      <c r="DN704" s="4"/>
      <c r="DO704" s="4"/>
      <c r="DP704" s="4"/>
      <c r="DQ704" s="4"/>
      <c r="DR704" s="4"/>
      <c r="DS704" s="4"/>
    </row>
    <row r="705">
      <c r="A705" s="9">
        <f>IFERROR(__xludf.DUMMYFUNCTION("""COMPUTED_VALUE"""),45648.0)</f>
        <v>45648</v>
      </c>
      <c r="B705" s="6" t="str">
        <f>IFERROR(__xludf.DUMMYFUNCTION("""COMPUTED_VALUE"""),"Restaurant")</f>
        <v>Restaurant</v>
      </c>
      <c r="C705" s="7">
        <f>IFERROR(__xludf.DUMMYFUNCTION("""COMPUTED_VALUE"""),21500.0)</f>
        <v>21500</v>
      </c>
      <c r="D705" s="6" t="str">
        <f>IFERROR(__xludf.DUMMYFUNCTION("""COMPUTED_VALUE"""),"Restaurant / Café")</f>
        <v>Restaurant / Café</v>
      </c>
      <c r="E705" s="6" t="str">
        <f>IFERROR(__xludf.DUMMYFUNCTION("""COMPUTED_VALUE"""),"Virtual Wallet")</f>
        <v>Virtual Wallet</v>
      </c>
      <c r="F705" s="6" t="s">
        <v>14</v>
      </c>
      <c r="G705" s="8" t="str">
        <f t="shared" si="1"/>
        <v>202412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  <c r="CD705" s="4"/>
      <c r="CE705" s="4"/>
      <c r="CF705" s="4"/>
      <c r="CG705" s="4"/>
      <c r="CH705" s="4"/>
      <c r="CI705" s="4"/>
      <c r="CJ705" s="4"/>
      <c r="CK705" s="4"/>
      <c r="CL705" s="4"/>
      <c r="CM705" s="4"/>
      <c r="CN705" s="4"/>
      <c r="CO705" s="4"/>
      <c r="CP705" s="4"/>
      <c r="CQ705" s="4"/>
      <c r="CR705" s="4"/>
      <c r="CS705" s="4"/>
      <c r="CT705" s="4"/>
      <c r="CU705" s="4"/>
      <c r="CV705" s="4"/>
      <c r="CW705" s="4"/>
      <c r="CX705" s="4"/>
      <c r="CY705" s="4"/>
      <c r="CZ705" s="4"/>
      <c r="DA705" s="4"/>
      <c r="DB705" s="4"/>
      <c r="DC705" s="4"/>
      <c r="DD705" s="4"/>
      <c r="DE705" s="4"/>
      <c r="DF705" s="4"/>
      <c r="DG705" s="4"/>
      <c r="DH705" s="4"/>
      <c r="DI705" s="4"/>
      <c r="DJ705" s="4"/>
      <c r="DK705" s="4"/>
      <c r="DL705" s="4"/>
      <c r="DM705" s="4"/>
      <c r="DN705" s="4"/>
      <c r="DO705" s="4"/>
      <c r="DP705" s="4"/>
      <c r="DQ705" s="4"/>
      <c r="DR705" s="4"/>
      <c r="DS705" s="4"/>
    </row>
    <row r="706">
      <c r="A706" s="9">
        <f>IFERROR(__xludf.DUMMYFUNCTION("""COMPUTED_VALUE"""),45648.0)</f>
        <v>45648</v>
      </c>
      <c r="B706" s="6" t="str">
        <f>IFERROR(__xludf.DUMMYFUNCTION("""COMPUTED_VALUE"""),"Water Bill (AySA)")</f>
        <v>Water Bill (AySA)</v>
      </c>
      <c r="C706" s="7">
        <f>IFERROR(__xludf.DUMMYFUNCTION("""COMPUTED_VALUE"""),13101.0)</f>
        <v>13101</v>
      </c>
      <c r="D706" s="6" t="str">
        <f>IFERROR(__xludf.DUMMYFUNCTION("""COMPUTED_VALUE"""),"Basic Services")</f>
        <v>Basic Services</v>
      </c>
      <c r="E706" s="6" t="str">
        <f>IFERROR(__xludf.DUMMYFUNCTION("""COMPUTED_VALUE"""),"Split Payment")</f>
        <v>Split Payment</v>
      </c>
      <c r="F706" s="6" t="s">
        <v>13</v>
      </c>
      <c r="G706" s="8" t="str">
        <f t="shared" si="1"/>
        <v>202412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  <c r="CD706" s="4"/>
      <c r="CE706" s="4"/>
      <c r="CF706" s="4"/>
      <c r="CG706" s="4"/>
      <c r="CH706" s="4"/>
      <c r="CI706" s="4"/>
      <c r="CJ706" s="4"/>
      <c r="CK706" s="4"/>
      <c r="CL706" s="4"/>
      <c r="CM706" s="4"/>
      <c r="CN706" s="4"/>
      <c r="CO706" s="4"/>
      <c r="CP706" s="4"/>
      <c r="CQ706" s="4"/>
      <c r="CR706" s="4"/>
      <c r="CS706" s="4"/>
      <c r="CT706" s="4"/>
      <c r="CU706" s="4"/>
      <c r="CV706" s="4"/>
      <c r="CW706" s="4"/>
      <c r="CX706" s="4"/>
      <c r="CY706" s="4"/>
      <c r="CZ706" s="4"/>
      <c r="DA706" s="4"/>
      <c r="DB706" s="4"/>
      <c r="DC706" s="4"/>
      <c r="DD706" s="4"/>
      <c r="DE706" s="4"/>
      <c r="DF706" s="4"/>
      <c r="DG706" s="4"/>
      <c r="DH706" s="4"/>
      <c r="DI706" s="4"/>
      <c r="DJ706" s="4"/>
      <c r="DK706" s="4"/>
      <c r="DL706" s="4"/>
      <c r="DM706" s="4"/>
      <c r="DN706" s="4"/>
      <c r="DO706" s="4"/>
      <c r="DP706" s="4"/>
      <c r="DQ706" s="4"/>
      <c r="DR706" s="4"/>
      <c r="DS706" s="4"/>
    </row>
    <row r="707">
      <c r="A707" s="9">
        <f>IFERROR(__xludf.DUMMYFUNCTION("""COMPUTED_VALUE"""),45649.0)</f>
        <v>45649</v>
      </c>
      <c r="B707" s="6" t="str">
        <f>IFERROR(__xludf.DUMMYFUNCTION("""COMPUTED_VALUE"""),"Appliances")</f>
        <v>Appliances</v>
      </c>
      <c r="C707" s="7">
        <f>IFERROR(__xludf.DUMMYFUNCTION("""COMPUTED_VALUE"""),13889.0)</f>
        <v>13889</v>
      </c>
      <c r="D707" s="6" t="str">
        <f>IFERROR(__xludf.DUMMYFUNCTION("""COMPUTED_VALUE"""),"Home Goods &amp; Utilities")</f>
        <v>Home Goods &amp; Utilities</v>
      </c>
      <c r="E707" s="6" t="str">
        <f>IFERROR(__xludf.DUMMYFUNCTION("""COMPUTED_VALUE"""),"Credit Card")</f>
        <v>Credit Card</v>
      </c>
      <c r="F707" s="6" t="s">
        <v>8</v>
      </c>
      <c r="G707" s="8" t="str">
        <f t="shared" si="1"/>
        <v>202412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  <c r="CD707" s="4"/>
      <c r="CE707" s="4"/>
      <c r="CF707" s="4"/>
      <c r="CG707" s="4"/>
      <c r="CH707" s="4"/>
      <c r="CI707" s="4"/>
      <c r="CJ707" s="4"/>
      <c r="CK707" s="4"/>
      <c r="CL707" s="4"/>
      <c r="CM707" s="4"/>
      <c r="CN707" s="4"/>
      <c r="CO707" s="4"/>
      <c r="CP707" s="4"/>
      <c r="CQ707" s="4"/>
      <c r="CR707" s="4"/>
      <c r="CS707" s="4"/>
      <c r="CT707" s="4"/>
      <c r="CU707" s="4"/>
      <c r="CV707" s="4"/>
      <c r="CW707" s="4"/>
      <c r="CX707" s="4"/>
      <c r="CY707" s="4"/>
      <c r="CZ707" s="4"/>
      <c r="DA707" s="4"/>
      <c r="DB707" s="4"/>
      <c r="DC707" s="4"/>
      <c r="DD707" s="4"/>
      <c r="DE707" s="4"/>
      <c r="DF707" s="4"/>
      <c r="DG707" s="4"/>
      <c r="DH707" s="4"/>
      <c r="DI707" s="4"/>
      <c r="DJ707" s="4"/>
      <c r="DK707" s="4"/>
      <c r="DL707" s="4"/>
      <c r="DM707" s="4"/>
      <c r="DN707" s="4"/>
      <c r="DO707" s="4"/>
      <c r="DP707" s="4"/>
      <c r="DQ707" s="4"/>
      <c r="DR707" s="4"/>
      <c r="DS707" s="4"/>
    </row>
    <row r="708">
      <c r="A708" s="9">
        <f>IFERROR(__xludf.DUMMYFUNCTION("""COMPUTED_VALUE"""),45649.0)</f>
        <v>45649</v>
      </c>
      <c r="B708" s="6" t="str">
        <f>IFERROR(__xludf.DUMMYFUNCTION("""COMPUTED_VALUE"""),"Groceries")</f>
        <v>Groceries</v>
      </c>
      <c r="C708" s="7">
        <f>IFERROR(__xludf.DUMMYFUNCTION("""COMPUTED_VALUE"""),3273.0)</f>
        <v>3273</v>
      </c>
      <c r="D708" s="6" t="str">
        <f>IFERROR(__xludf.DUMMYFUNCTION("""COMPUTED_VALUE"""),"Groceries")</f>
        <v>Groceries</v>
      </c>
      <c r="E708" s="6" t="str">
        <f>IFERROR(__xludf.DUMMYFUNCTION("""COMPUTED_VALUE"""),"Split Payment")</f>
        <v>Split Payment</v>
      </c>
      <c r="F708" s="6" t="s">
        <v>7</v>
      </c>
      <c r="G708" s="8" t="str">
        <f t="shared" si="1"/>
        <v>202412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  <c r="CD708" s="4"/>
      <c r="CE708" s="4"/>
      <c r="CF708" s="4"/>
      <c r="CG708" s="4"/>
      <c r="CH708" s="4"/>
      <c r="CI708" s="4"/>
      <c r="CJ708" s="4"/>
      <c r="CK708" s="4"/>
      <c r="CL708" s="4"/>
      <c r="CM708" s="4"/>
      <c r="CN708" s="4"/>
      <c r="CO708" s="4"/>
      <c r="CP708" s="4"/>
      <c r="CQ708" s="4"/>
      <c r="CR708" s="4"/>
      <c r="CS708" s="4"/>
      <c r="CT708" s="4"/>
      <c r="CU708" s="4"/>
      <c r="CV708" s="4"/>
      <c r="CW708" s="4"/>
      <c r="CX708" s="4"/>
      <c r="CY708" s="4"/>
      <c r="CZ708" s="4"/>
      <c r="DA708" s="4"/>
      <c r="DB708" s="4"/>
      <c r="DC708" s="4"/>
      <c r="DD708" s="4"/>
      <c r="DE708" s="4"/>
      <c r="DF708" s="4"/>
      <c r="DG708" s="4"/>
      <c r="DH708" s="4"/>
      <c r="DI708" s="4"/>
      <c r="DJ708" s="4"/>
      <c r="DK708" s="4"/>
      <c r="DL708" s="4"/>
      <c r="DM708" s="4"/>
      <c r="DN708" s="4"/>
      <c r="DO708" s="4"/>
      <c r="DP708" s="4"/>
      <c r="DQ708" s="4"/>
      <c r="DR708" s="4"/>
      <c r="DS708" s="4"/>
    </row>
    <row r="709">
      <c r="A709" s="9">
        <f>IFERROR(__xludf.DUMMYFUNCTION("""COMPUTED_VALUE"""),45650.0)</f>
        <v>45650</v>
      </c>
      <c r="B709" s="6" t="str">
        <f>IFERROR(__xludf.DUMMYFUNCTION("""COMPUTED_VALUE"""),"Education")</f>
        <v>Education</v>
      </c>
      <c r="C709" s="7">
        <f>IFERROR(__xludf.DUMMYFUNCTION("""COMPUTED_VALUE"""),20000.0)</f>
        <v>20000</v>
      </c>
      <c r="D709" s="6" t="str">
        <f>IFERROR(__xludf.DUMMYFUNCTION("""COMPUTED_VALUE"""),"Education")</f>
        <v>Education</v>
      </c>
      <c r="E709" s="6" t="str">
        <f>IFERROR(__xludf.DUMMYFUNCTION("""COMPUTED_VALUE"""),"Credit Card")</f>
        <v>Credit Card</v>
      </c>
      <c r="F709" s="6" t="s">
        <v>11</v>
      </c>
      <c r="G709" s="8" t="str">
        <f t="shared" si="1"/>
        <v>202412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  <c r="CD709" s="4"/>
      <c r="CE709" s="4"/>
      <c r="CF709" s="4"/>
      <c r="CG709" s="4"/>
      <c r="CH709" s="4"/>
      <c r="CI709" s="4"/>
      <c r="CJ709" s="4"/>
      <c r="CK709" s="4"/>
      <c r="CL709" s="4"/>
      <c r="CM709" s="4"/>
      <c r="CN709" s="4"/>
      <c r="CO709" s="4"/>
      <c r="CP709" s="4"/>
      <c r="CQ709" s="4"/>
      <c r="CR709" s="4"/>
      <c r="CS709" s="4"/>
      <c r="CT709" s="4"/>
      <c r="CU709" s="4"/>
      <c r="CV709" s="4"/>
      <c r="CW709" s="4"/>
      <c r="CX709" s="4"/>
      <c r="CY709" s="4"/>
      <c r="CZ709" s="4"/>
      <c r="DA709" s="4"/>
      <c r="DB709" s="4"/>
      <c r="DC709" s="4"/>
      <c r="DD709" s="4"/>
      <c r="DE709" s="4"/>
      <c r="DF709" s="4"/>
      <c r="DG709" s="4"/>
      <c r="DH709" s="4"/>
      <c r="DI709" s="4"/>
      <c r="DJ709" s="4"/>
      <c r="DK709" s="4"/>
      <c r="DL709" s="4"/>
      <c r="DM709" s="4"/>
      <c r="DN709" s="4"/>
      <c r="DO709" s="4"/>
      <c r="DP709" s="4"/>
      <c r="DQ709" s="4"/>
      <c r="DR709" s="4"/>
      <c r="DS709" s="4"/>
    </row>
    <row r="710">
      <c r="A710" s="9">
        <f>IFERROR(__xludf.DUMMYFUNCTION("""COMPUTED_VALUE"""),45650.0)</f>
        <v>45650</v>
      </c>
      <c r="B710" s="6" t="str">
        <f>IFERROR(__xludf.DUMMYFUNCTION("""COMPUTED_VALUE"""),"Groceries")</f>
        <v>Groceries</v>
      </c>
      <c r="C710" s="7">
        <f>IFERROR(__xludf.DUMMYFUNCTION("""COMPUTED_VALUE"""),58040.0)</f>
        <v>58040</v>
      </c>
      <c r="D710" s="6" t="str">
        <f>IFERROR(__xludf.DUMMYFUNCTION("""COMPUTED_VALUE"""),"Groceries")</f>
        <v>Groceries</v>
      </c>
      <c r="E710" s="6" t="str">
        <f>IFERROR(__xludf.DUMMYFUNCTION("""COMPUTED_VALUE"""),"Split Payment")</f>
        <v>Split Payment</v>
      </c>
      <c r="F710" s="6" t="s">
        <v>7</v>
      </c>
      <c r="G710" s="8" t="str">
        <f t="shared" si="1"/>
        <v>202412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  <c r="CD710" s="4"/>
      <c r="CE710" s="4"/>
      <c r="CF710" s="4"/>
      <c r="CG710" s="4"/>
      <c r="CH710" s="4"/>
      <c r="CI710" s="4"/>
      <c r="CJ710" s="4"/>
      <c r="CK710" s="4"/>
      <c r="CL710" s="4"/>
      <c r="CM710" s="4"/>
      <c r="CN710" s="4"/>
      <c r="CO710" s="4"/>
      <c r="CP710" s="4"/>
      <c r="CQ710" s="4"/>
      <c r="CR710" s="4"/>
      <c r="CS710" s="4"/>
      <c r="CT710" s="4"/>
      <c r="CU710" s="4"/>
      <c r="CV710" s="4"/>
      <c r="CW710" s="4"/>
      <c r="CX710" s="4"/>
      <c r="CY710" s="4"/>
      <c r="CZ710" s="4"/>
      <c r="DA710" s="4"/>
      <c r="DB710" s="4"/>
      <c r="DC710" s="4"/>
      <c r="DD710" s="4"/>
      <c r="DE710" s="4"/>
      <c r="DF710" s="4"/>
      <c r="DG710" s="4"/>
      <c r="DH710" s="4"/>
      <c r="DI710" s="4"/>
      <c r="DJ710" s="4"/>
      <c r="DK710" s="4"/>
      <c r="DL710" s="4"/>
      <c r="DM710" s="4"/>
      <c r="DN710" s="4"/>
      <c r="DO710" s="4"/>
      <c r="DP710" s="4"/>
      <c r="DQ710" s="4"/>
      <c r="DR710" s="4"/>
      <c r="DS710" s="4"/>
    </row>
    <row r="711">
      <c r="A711" s="9">
        <f>IFERROR(__xludf.DUMMYFUNCTION("""COMPUTED_VALUE"""),45650.0)</f>
        <v>45650</v>
      </c>
      <c r="B711" s="6" t="str">
        <f>IFERROR(__xludf.DUMMYFUNCTION("""COMPUTED_VALUE"""),"Groceries")</f>
        <v>Groceries</v>
      </c>
      <c r="C711" s="7">
        <f>IFERROR(__xludf.DUMMYFUNCTION("""COMPUTED_VALUE"""),4650.0)</f>
        <v>4650</v>
      </c>
      <c r="D711" s="6" t="str">
        <f>IFERROR(__xludf.DUMMYFUNCTION("""COMPUTED_VALUE"""),"Groceries")</f>
        <v>Groceries</v>
      </c>
      <c r="E711" s="6" t="str">
        <f>IFERROR(__xludf.DUMMYFUNCTION("""COMPUTED_VALUE"""),"Debit Card")</f>
        <v>Debit Card</v>
      </c>
      <c r="F711" s="6" t="s">
        <v>7</v>
      </c>
      <c r="G711" s="8" t="str">
        <f t="shared" si="1"/>
        <v>202412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  <c r="CD711" s="4"/>
      <c r="CE711" s="4"/>
      <c r="CF711" s="4"/>
      <c r="CG711" s="4"/>
      <c r="CH711" s="4"/>
      <c r="CI711" s="4"/>
      <c r="CJ711" s="4"/>
      <c r="CK711" s="4"/>
      <c r="CL711" s="4"/>
      <c r="CM711" s="4"/>
      <c r="CN711" s="4"/>
      <c r="CO711" s="4"/>
      <c r="CP711" s="4"/>
      <c r="CQ711" s="4"/>
      <c r="CR711" s="4"/>
      <c r="CS711" s="4"/>
      <c r="CT711" s="4"/>
      <c r="CU711" s="4"/>
      <c r="CV711" s="4"/>
      <c r="CW711" s="4"/>
      <c r="CX711" s="4"/>
      <c r="CY711" s="4"/>
      <c r="CZ711" s="4"/>
      <c r="DA711" s="4"/>
      <c r="DB711" s="4"/>
      <c r="DC711" s="4"/>
      <c r="DD711" s="4"/>
      <c r="DE711" s="4"/>
      <c r="DF711" s="4"/>
      <c r="DG711" s="4"/>
      <c r="DH711" s="4"/>
      <c r="DI711" s="4"/>
      <c r="DJ711" s="4"/>
      <c r="DK711" s="4"/>
      <c r="DL711" s="4"/>
      <c r="DM711" s="4"/>
      <c r="DN711" s="4"/>
      <c r="DO711" s="4"/>
      <c r="DP711" s="4"/>
      <c r="DQ711" s="4"/>
      <c r="DR711" s="4"/>
      <c r="DS711" s="4"/>
    </row>
    <row r="712">
      <c r="A712" s="9">
        <f>IFERROR(__xludf.DUMMYFUNCTION("""COMPUTED_VALUE"""),45650.0)</f>
        <v>45650</v>
      </c>
      <c r="B712" s="6" t="str">
        <f>IFERROR(__xludf.DUMMYFUNCTION("""COMPUTED_VALUE"""),"Home Goods")</f>
        <v>Home Goods</v>
      </c>
      <c r="C712" s="7">
        <f>IFERROR(__xludf.DUMMYFUNCTION("""COMPUTED_VALUE"""),9025.0)</f>
        <v>9025</v>
      </c>
      <c r="D712" s="6" t="str">
        <f>IFERROR(__xludf.DUMMYFUNCTION("""COMPUTED_VALUE"""),"Gifts")</f>
        <v>Gifts</v>
      </c>
      <c r="E712" s="6" t="str">
        <f>IFERROR(__xludf.DUMMYFUNCTION("""COMPUTED_VALUE"""),"Virtual Wallet")</f>
        <v>Virtual Wallet</v>
      </c>
      <c r="F712" s="6"/>
      <c r="G712" s="8" t="str">
        <f t="shared" si="1"/>
        <v>202412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  <c r="CD712" s="4"/>
      <c r="CE712" s="4"/>
      <c r="CF712" s="4"/>
      <c r="CG712" s="4"/>
      <c r="CH712" s="4"/>
      <c r="CI712" s="4"/>
      <c r="CJ712" s="4"/>
      <c r="CK712" s="4"/>
      <c r="CL712" s="4"/>
      <c r="CM712" s="4"/>
      <c r="CN712" s="4"/>
      <c r="CO712" s="4"/>
      <c r="CP712" s="4"/>
      <c r="CQ712" s="4"/>
      <c r="CR712" s="4"/>
      <c r="CS712" s="4"/>
      <c r="CT712" s="4"/>
      <c r="CU712" s="4"/>
      <c r="CV712" s="4"/>
      <c r="CW712" s="4"/>
      <c r="CX712" s="4"/>
      <c r="CY712" s="4"/>
      <c r="CZ712" s="4"/>
      <c r="DA712" s="4"/>
      <c r="DB712" s="4"/>
      <c r="DC712" s="4"/>
      <c r="DD712" s="4"/>
      <c r="DE712" s="4"/>
      <c r="DF712" s="4"/>
      <c r="DG712" s="4"/>
      <c r="DH712" s="4"/>
      <c r="DI712" s="4"/>
      <c r="DJ712" s="4"/>
      <c r="DK712" s="4"/>
      <c r="DL712" s="4"/>
      <c r="DM712" s="4"/>
      <c r="DN712" s="4"/>
      <c r="DO712" s="4"/>
      <c r="DP712" s="4"/>
      <c r="DQ712" s="4"/>
      <c r="DR712" s="4"/>
      <c r="DS712" s="4"/>
    </row>
    <row r="713">
      <c r="A713" s="9">
        <f>IFERROR(__xludf.DUMMYFUNCTION("""COMPUTED_VALUE"""),45650.0)</f>
        <v>45650</v>
      </c>
      <c r="B713" s="6" t="str">
        <f>IFERROR(__xludf.DUMMYFUNCTION("""COMPUTED_VALUE"""),"Home Goods")</f>
        <v>Home Goods</v>
      </c>
      <c r="C713" s="7">
        <f>IFERROR(__xludf.DUMMYFUNCTION("""COMPUTED_VALUE"""),650.0)</f>
        <v>650</v>
      </c>
      <c r="D713" s="6" t="str">
        <f>IFERROR(__xludf.DUMMYFUNCTION("""COMPUTED_VALUE"""),"Gifts")</f>
        <v>Gifts</v>
      </c>
      <c r="E713" s="6" t="str">
        <f>IFERROR(__xludf.DUMMYFUNCTION("""COMPUTED_VALUE"""),"Debit Card")</f>
        <v>Debit Card</v>
      </c>
      <c r="F713" s="6"/>
      <c r="G713" s="8" t="str">
        <f t="shared" si="1"/>
        <v>202412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  <c r="CD713" s="4"/>
      <c r="CE713" s="4"/>
      <c r="CF713" s="4"/>
      <c r="CG713" s="4"/>
      <c r="CH713" s="4"/>
      <c r="CI713" s="4"/>
      <c r="CJ713" s="4"/>
      <c r="CK713" s="4"/>
      <c r="CL713" s="4"/>
      <c r="CM713" s="4"/>
      <c r="CN713" s="4"/>
      <c r="CO713" s="4"/>
      <c r="CP713" s="4"/>
      <c r="CQ713" s="4"/>
      <c r="CR713" s="4"/>
      <c r="CS713" s="4"/>
      <c r="CT713" s="4"/>
      <c r="CU713" s="4"/>
      <c r="CV713" s="4"/>
      <c r="CW713" s="4"/>
      <c r="CX713" s="4"/>
      <c r="CY713" s="4"/>
      <c r="CZ713" s="4"/>
      <c r="DA713" s="4"/>
      <c r="DB713" s="4"/>
      <c r="DC713" s="4"/>
      <c r="DD713" s="4"/>
      <c r="DE713" s="4"/>
      <c r="DF713" s="4"/>
      <c r="DG713" s="4"/>
      <c r="DH713" s="4"/>
      <c r="DI713" s="4"/>
      <c r="DJ713" s="4"/>
      <c r="DK713" s="4"/>
      <c r="DL713" s="4"/>
      <c r="DM713" s="4"/>
      <c r="DN713" s="4"/>
      <c r="DO713" s="4"/>
      <c r="DP713" s="4"/>
      <c r="DQ713" s="4"/>
      <c r="DR713" s="4"/>
      <c r="DS713" s="4"/>
    </row>
    <row r="714">
      <c r="A714" s="9">
        <f>IFERROR(__xludf.DUMMYFUNCTION("""COMPUTED_VALUE"""),45650.0)</f>
        <v>45650</v>
      </c>
      <c r="B714" s="6" t="str">
        <f>IFERROR(__xludf.DUMMYFUNCTION("""COMPUTED_VALUE"""),"Pets")</f>
        <v>Pets</v>
      </c>
      <c r="C714" s="7">
        <f>IFERROR(__xludf.DUMMYFUNCTION("""COMPUTED_VALUE"""),17780.0)</f>
        <v>17780</v>
      </c>
      <c r="D714" s="6" t="str">
        <f>IFERROR(__xludf.DUMMYFUNCTION("""COMPUTED_VALUE"""),"Pets")</f>
        <v>Pets</v>
      </c>
      <c r="E714" s="6" t="str">
        <f>IFERROR(__xludf.DUMMYFUNCTION("""COMPUTED_VALUE"""),"Split Payment")</f>
        <v>Split Payment</v>
      </c>
      <c r="F714" s="6" t="s">
        <v>7</v>
      </c>
      <c r="G714" s="8" t="str">
        <f t="shared" si="1"/>
        <v>202412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  <c r="CD714" s="4"/>
      <c r="CE714" s="4"/>
      <c r="CF714" s="4"/>
      <c r="CG714" s="4"/>
      <c r="CH714" s="4"/>
      <c r="CI714" s="4"/>
      <c r="CJ714" s="4"/>
      <c r="CK714" s="4"/>
      <c r="CL714" s="4"/>
      <c r="CM714" s="4"/>
      <c r="CN714" s="4"/>
      <c r="CO714" s="4"/>
      <c r="CP714" s="4"/>
      <c r="CQ714" s="4"/>
      <c r="CR714" s="4"/>
      <c r="CS714" s="4"/>
      <c r="CT714" s="4"/>
      <c r="CU714" s="4"/>
      <c r="CV714" s="4"/>
      <c r="CW714" s="4"/>
      <c r="CX714" s="4"/>
      <c r="CY714" s="4"/>
      <c r="CZ714" s="4"/>
      <c r="DA714" s="4"/>
      <c r="DB714" s="4"/>
      <c r="DC714" s="4"/>
      <c r="DD714" s="4"/>
      <c r="DE714" s="4"/>
      <c r="DF714" s="4"/>
      <c r="DG714" s="4"/>
      <c r="DH714" s="4"/>
      <c r="DI714" s="4"/>
      <c r="DJ714" s="4"/>
      <c r="DK714" s="4"/>
      <c r="DL714" s="4"/>
      <c r="DM714" s="4"/>
      <c r="DN714" s="4"/>
      <c r="DO714" s="4"/>
      <c r="DP714" s="4"/>
      <c r="DQ714" s="4"/>
      <c r="DR714" s="4"/>
      <c r="DS714" s="4"/>
    </row>
    <row r="715">
      <c r="A715" s="9">
        <f>IFERROR(__xludf.DUMMYFUNCTION("""COMPUTED_VALUE"""),45653.0)</f>
        <v>45653</v>
      </c>
      <c r="B715" s="6" t="str">
        <f>IFERROR(__xludf.DUMMYFUNCTION("""COMPUTED_VALUE"""),"Pharmacy")</f>
        <v>Pharmacy</v>
      </c>
      <c r="C715" s="7">
        <f>IFERROR(__xludf.DUMMYFUNCTION("""COMPUTED_VALUE"""),5981.84)</f>
        <v>5981.84</v>
      </c>
      <c r="D715" s="6" t="str">
        <f>IFERROR(__xludf.DUMMYFUNCTION("""COMPUTED_VALUE"""),"Personal Care")</f>
        <v>Personal Care</v>
      </c>
      <c r="E715" s="6" t="str">
        <f>IFERROR(__xludf.DUMMYFUNCTION("""COMPUTED_VALUE"""),"Credit Card")</f>
        <v>Credit Card</v>
      </c>
      <c r="F715" s="6" t="s">
        <v>16</v>
      </c>
      <c r="G715" s="8" t="str">
        <f t="shared" si="1"/>
        <v>202412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  <c r="CD715" s="4"/>
      <c r="CE715" s="4"/>
      <c r="CF715" s="4"/>
      <c r="CG715" s="4"/>
      <c r="CH715" s="4"/>
      <c r="CI715" s="4"/>
      <c r="CJ715" s="4"/>
      <c r="CK715" s="4"/>
      <c r="CL715" s="4"/>
      <c r="CM715" s="4"/>
      <c r="CN715" s="4"/>
      <c r="CO715" s="4"/>
      <c r="CP715" s="4"/>
      <c r="CQ715" s="4"/>
      <c r="CR715" s="4"/>
      <c r="CS715" s="4"/>
      <c r="CT715" s="4"/>
      <c r="CU715" s="4"/>
      <c r="CV715" s="4"/>
      <c r="CW715" s="4"/>
      <c r="CX715" s="4"/>
      <c r="CY715" s="4"/>
      <c r="CZ715" s="4"/>
      <c r="DA715" s="4"/>
      <c r="DB715" s="4"/>
      <c r="DC715" s="4"/>
      <c r="DD715" s="4"/>
      <c r="DE715" s="4"/>
      <c r="DF715" s="4"/>
      <c r="DG715" s="4"/>
      <c r="DH715" s="4"/>
      <c r="DI715" s="4"/>
      <c r="DJ715" s="4"/>
      <c r="DK715" s="4"/>
      <c r="DL715" s="4"/>
      <c r="DM715" s="4"/>
      <c r="DN715" s="4"/>
      <c r="DO715" s="4"/>
      <c r="DP715" s="4"/>
      <c r="DQ715" s="4"/>
      <c r="DR715" s="4"/>
      <c r="DS715" s="4"/>
    </row>
    <row r="716">
      <c r="A716" s="9">
        <f>IFERROR(__xludf.DUMMYFUNCTION("""COMPUTED_VALUE"""),45654.0)</f>
        <v>45654</v>
      </c>
      <c r="B716" s="6" t="str">
        <f>IFERROR(__xludf.DUMMYFUNCTION("""COMPUTED_VALUE"""),"Education")</f>
        <v>Education</v>
      </c>
      <c r="C716" s="7">
        <f>IFERROR(__xludf.DUMMYFUNCTION("""COMPUTED_VALUE"""),3000.0)</f>
        <v>3000</v>
      </c>
      <c r="D716" s="6" t="str">
        <f>IFERROR(__xludf.DUMMYFUNCTION("""COMPUTED_VALUE"""),"Education")</f>
        <v>Education</v>
      </c>
      <c r="E716" s="6" t="str">
        <f>IFERROR(__xludf.DUMMYFUNCTION("""COMPUTED_VALUE"""),"Credit Card")</f>
        <v>Credit Card</v>
      </c>
      <c r="F716" s="6" t="s">
        <v>11</v>
      </c>
      <c r="G716" s="8" t="str">
        <f t="shared" si="1"/>
        <v>202412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  <c r="CD716" s="4"/>
      <c r="CE716" s="4"/>
      <c r="CF716" s="4"/>
      <c r="CG716" s="4"/>
      <c r="CH716" s="4"/>
      <c r="CI716" s="4"/>
      <c r="CJ716" s="4"/>
      <c r="CK716" s="4"/>
      <c r="CL716" s="4"/>
      <c r="CM716" s="4"/>
      <c r="CN716" s="4"/>
      <c r="CO716" s="4"/>
      <c r="CP716" s="4"/>
      <c r="CQ716" s="4"/>
      <c r="CR716" s="4"/>
      <c r="CS716" s="4"/>
      <c r="CT716" s="4"/>
      <c r="CU716" s="4"/>
      <c r="CV716" s="4"/>
      <c r="CW716" s="4"/>
      <c r="CX716" s="4"/>
      <c r="CY716" s="4"/>
      <c r="CZ716" s="4"/>
      <c r="DA716" s="4"/>
      <c r="DB716" s="4"/>
      <c r="DC716" s="4"/>
      <c r="DD716" s="4"/>
      <c r="DE716" s="4"/>
      <c r="DF716" s="4"/>
      <c r="DG716" s="4"/>
      <c r="DH716" s="4"/>
      <c r="DI716" s="4"/>
      <c r="DJ716" s="4"/>
      <c r="DK716" s="4"/>
      <c r="DL716" s="4"/>
      <c r="DM716" s="4"/>
      <c r="DN716" s="4"/>
      <c r="DO716" s="4"/>
      <c r="DP716" s="4"/>
      <c r="DQ716" s="4"/>
      <c r="DR716" s="4"/>
      <c r="DS716" s="4"/>
    </row>
    <row r="717">
      <c r="A717" s="9">
        <f>IFERROR(__xludf.DUMMYFUNCTION("""COMPUTED_VALUE"""),45654.0)</f>
        <v>45654</v>
      </c>
      <c r="B717" s="6" t="str">
        <f>IFERROR(__xludf.DUMMYFUNCTION("""COMPUTED_VALUE"""),"Car Expenses")</f>
        <v>Car Expenses</v>
      </c>
      <c r="C717" s="7">
        <f>IFERROR(__xludf.DUMMYFUNCTION("""COMPUTED_VALUE"""),16208.33)</f>
        <v>16208.33</v>
      </c>
      <c r="D717" s="6" t="str">
        <f>IFERROR(__xludf.DUMMYFUNCTION("""COMPUTED_VALUE"""),"Car Expenses")</f>
        <v>Car Expenses</v>
      </c>
      <c r="E717" s="6" t="str">
        <f>IFERROR(__xludf.DUMMYFUNCTION("""COMPUTED_VALUE"""),"Credit Card")</f>
        <v>Credit Card</v>
      </c>
      <c r="F717" s="6" t="s">
        <v>9</v>
      </c>
      <c r="G717" s="8" t="str">
        <f t="shared" si="1"/>
        <v>202412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  <c r="CD717" s="4"/>
      <c r="CE717" s="4"/>
      <c r="CF717" s="4"/>
      <c r="CG717" s="4"/>
      <c r="CH717" s="4"/>
      <c r="CI717" s="4"/>
      <c r="CJ717" s="4"/>
      <c r="CK717" s="4"/>
      <c r="CL717" s="4"/>
      <c r="CM717" s="4"/>
      <c r="CN717" s="4"/>
      <c r="CO717" s="4"/>
      <c r="CP717" s="4"/>
      <c r="CQ717" s="4"/>
      <c r="CR717" s="4"/>
      <c r="CS717" s="4"/>
      <c r="CT717" s="4"/>
      <c r="CU717" s="4"/>
      <c r="CV717" s="4"/>
      <c r="CW717" s="4"/>
      <c r="CX717" s="4"/>
      <c r="CY717" s="4"/>
      <c r="CZ717" s="4"/>
      <c r="DA717" s="4"/>
      <c r="DB717" s="4"/>
      <c r="DC717" s="4"/>
      <c r="DD717" s="4"/>
      <c r="DE717" s="4"/>
      <c r="DF717" s="4"/>
      <c r="DG717" s="4"/>
      <c r="DH717" s="4"/>
      <c r="DI717" s="4"/>
      <c r="DJ717" s="4"/>
      <c r="DK717" s="4"/>
      <c r="DL717" s="4"/>
      <c r="DM717" s="4"/>
      <c r="DN717" s="4"/>
      <c r="DO717" s="4"/>
      <c r="DP717" s="4"/>
      <c r="DQ717" s="4"/>
      <c r="DR717" s="4"/>
      <c r="DS717" s="4"/>
    </row>
    <row r="718">
      <c r="A718" s="9">
        <f>IFERROR(__xludf.DUMMYFUNCTION("""COMPUTED_VALUE"""),45655.0)</f>
        <v>45655</v>
      </c>
      <c r="B718" s="6" t="str">
        <f>IFERROR(__xludf.DUMMYFUNCTION("""COMPUTED_VALUE"""),"Education")</f>
        <v>Education</v>
      </c>
      <c r="C718" s="7">
        <f>IFERROR(__xludf.DUMMYFUNCTION("""COMPUTED_VALUE"""),1800.0)</f>
        <v>1800</v>
      </c>
      <c r="D718" s="6" t="str">
        <f>IFERROR(__xludf.DUMMYFUNCTION("""COMPUTED_VALUE"""),"Education")</f>
        <v>Education</v>
      </c>
      <c r="E718" s="6" t="str">
        <f>IFERROR(__xludf.DUMMYFUNCTION("""COMPUTED_VALUE"""),"Credit Card")</f>
        <v>Credit Card</v>
      </c>
      <c r="F718" s="6" t="s">
        <v>11</v>
      </c>
      <c r="G718" s="8" t="str">
        <f t="shared" si="1"/>
        <v>202412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  <c r="CD718" s="4"/>
      <c r="CE718" s="4"/>
      <c r="CF718" s="4"/>
      <c r="CG718" s="4"/>
      <c r="CH718" s="4"/>
      <c r="CI718" s="4"/>
      <c r="CJ718" s="4"/>
      <c r="CK718" s="4"/>
      <c r="CL718" s="4"/>
      <c r="CM718" s="4"/>
      <c r="CN718" s="4"/>
      <c r="CO718" s="4"/>
      <c r="CP718" s="4"/>
      <c r="CQ718" s="4"/>
      <c r="CR718" s="4"/>
      <c r="CS718" s="4"/>
      <c r="CT718" s="4"/>
      <c r="CU718" s="4"/>
      <c r="CV718" s="4"/>
      <c r="CW718" s="4"/>
      <c r="CX718" s="4"/>
      <c r="CY718" s="4"/>
      <c r="CZ718" s="4"/>
      <c r="DA718" s="4"/>
      <c r="DB718" s="4"/>
      <c r="DC718" s="4"/>
      <c r="DD718" s="4"/>
      <c r="DE718" s="4"/>
      <c r="DF718" s="4"/>
      <c r="DG718" s="4"/>
      <c r="DH718" s="4"/>
      <c r="DI718" s="4"/>
      <c r="DJ718" s="4"/>
      <c r="DK718" s="4"/>
      <c r="DL718" s="4"/>
      <c r="DM718" s="4"/>
      <c r="DN718" s="4"/>
      <c r="DO718" s="4"/>
      <c r="DP718" s="4"/>
      <c r="DQ718" s="4"/>
      <c r="DR718" s="4"/>
      <c r="DS718" s="4"/>
    </row>
    <row r="719">
      <c r="A719" s="9">
        <f>IFERROR(__xludf.DUMMYFUNCTION("""COMPUTED_VALUE"""),45656.0)</f>
        <v>45656</v>
      </c>
      <c r="B719" s="6" t="str">
        <f>IFERROR(__xludf.DUMMYFUNCTION("""COMPUTED_VALUE"""),"Home Goods")</f>
        <v>Home Goods</v>
      </c>
      <c r="C719" s="7">
        <f>IFERROR(__xludf.DUMMYFUNCTION("""COMPUTED_VALUE"""),12797.0)</f>
        <v>12797</v>
      </c>
      <c r="D719" s="6" t="str">
        <f>IFERROR(__xludf.DUMMYFUNCTION("""COMPUTED_VALUE"""),"Home Goods &amp; Utilities")</f>
        <v>Home Goods &amp; Utilities</v>
      </c>
      <c r="E719" s="6" t="str">
        <f>IFERROR(__xludf.DUMMYFUNCTION("""COMPUTED_VALUE"""),"Credit Card")</f>
        <v>Credit Card</v>
      </c>
      <c r="F719" s="6" t="s">
        <v>8</v>
      </c>
      <c r="G719" s="8" t="str">
        <f t="shared" si="1"/>
        <v>202412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  <c r="CD719" s="4"/>
      <c r="CE719" s="4"/>
      <c r="CF719" s="4"/>
      <c r="CG719" s="4"/>
      <c r="CH719" s="4"/>
      <c r="CI719" s="4"/>
      <c r="CJ719" s="4"/>
      <c r="CK719" s="4"/>
      <c r="CL719" s="4"/>
      <c r="CM719" s="4"/>
      <c r="CN719" s="4"/>
      <c r="CO719" s="4"/>
      <c r="CP719" s="4"/>
      <c r="CQ719" s="4"/>
      <c r="CR719" s="4"/>
      <c r="CS719" s="4"/>
      <c r="CT719" s="4"/>
      <c r="CU719" s="4"/>
      <c r="CV719" s="4"/>
      <c r="CW719" s="4"/>
      <c r="CX719" s="4"/>
      <c r="CY719" s="4"/>
      <c r="CZ719" s="4"/>
      <c r="DA719" s="4"/>
      <c r="DB719" s="4"/>
      <c r="DC719" s="4"/>
      <c r="DD719" s="4"/>
      <c r="DE719" s="4"/>
      <c r="DF719" s="4"/>
      <c r="DG719" s="4"/>
      <c r="DH719" s="4"/>
      <c r="DI719" s="4"/>
      <c r="DJ719" s="4"/>
      <c r="DK719" s="4"/>
      <c r="DL719" s="4"/>
      <c r="DM719" s="4"/>
      <c r="DN719" s="4"/>
      <c r="DO719" s="4"/>
      <c r="DP719" s="4"/>
      <c r="DQ719" s="4"/>
      <c r="DR719" s="4"/>
      <c r="DS719" s="4"/>
    </row>
    <row r="720">
      <c r="A720" s="9">
        <f>IFERROR(__xludf.DUMMYFUNCTION("""COMPUTED_VALUE"""),45656.0)</f>
        <v>45656</v>
      </c>
      <c r="B720" s="6" t="str">
        <f>IFERROR(__xludf.DUMMYFUNCTION("""COMPUTED_VALUE"""),"Internet Services")</f>
        <v>Internet Services</v>
      </c>
      <c r="C720" s="7">
        <f>IFERROR(__xludf.DUMMYFUNCTION("""COMPUTED_VALUE"""),12944.0)</f>
        <v>12944</v>
      </c>
      <c r="D720" s="6" t="str">
        <f>IFERROR(__xludf.DUMMYFUNCTION("""COMPUTED_VALUE"""),"Basic Services")</f>
        <v>Basic Services</v>
      </c>
      <c r="E720" s="6" t="str">
        <f>IFERROR(__xludf.DUMMYFUNCTION("""COMPUTED_VALUE"""),"Credit Card")</f>
        <v>Credit Card</v>
      </c>
      <c r="F720" s="6" t="s">
        <v>13</v>
      </c>
      <c r="G720" s="8" t="str">
        <f t="shared" si="1"/>
        <v>202412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  <c r="CD720" s="4"/>
      <c r="CE720" s="4"/>
      <c r="CF720" s="4"/>
      <c r="CG720" s="4"/>
      <c r="CH720" s="4"/>
      <c r="CI720" s="4"/>
      <c r="CJ720" s="4"/>
      <c r="CK720" s="4"/>
      <c r="CL720" s="4"/>
      <c r="CM720" s="4"/>
      <c r="CN720" s="4"/>
      <c r="CO720" s="4"/>
      <c r="CP720" s="4"/>
      <c r="CQ720" s="4"/>
      <c r="CR720" s="4"/>
      <c r="CS720" s="4"/>
      <c r="CT720" s="4"/>
      <c r="CU720" s="4"/>
      <c r="CV720" s="4"/>
      <c r="CW720" s="4"/>
      <c r="CX720" s="4"/>
      <c r="CY720" s="4"/>
      <c r="CZ720" s="4"/>
      <c r="DA720" s="4"/>
      <c r="DB720" s="4"/>
      <c r="DC720" s="4"/>
      <c r="DD720" s="4"/>
      <c r="DE720" s="4"/>
      <c r="DF720" s="4"/>
      <c r="DG720" s="4"/>
      <c r="DH720" s="4"/>
      <c r="DI720" s="4"/>
      <c r="DJ720" s="4"/>
      <c r="DK720" s="4"/>
      <c r="DL720" s="4"/>
      <c r="DM720" s="4"/>
      <c r="DN720" s="4"/>
      <c r="DO720" s="4"/>
      <c r="DP720" s="4"/>
      <c r="DQ720" s="4"/>
      <c r="DR720" s="4"/>
      <c r="DS720" s="4"/>
    </row>
    <row r="721">
      <c r="A721" s="9">
        <f>IFERROR(__xludf.DUMMYFUNCTION("""COMPUTED_VALUE"""),45658.0)</f>
        <v>45658</v>
      </c>
      <c r="B721" s="6" t="str">
        <f>IFERROR(__xludf.DUMMYFUNCTION("""COMPUTED_VALUE"""),"Home Goods")</f>
        <v>Home Goods</v>
      </c>
      <c r="C721" s="7">
        <f>IFERROR(__xludf.DUMMYFUNCTION("""COMPUTED_VALUE"""),2754.5)</f>
        <v>2754.5</v>
      </c>
      <c r="D721" s="6" t="str">
        <f>IFERROR(__xludf.DUMMYFUNCTION("""COMPUTED_VALUE"""),"Home Goods &amp; Utilities")</f>
        <v>Home Goods &amp; Utilities</v>
      </c>
      <c r="E721" s="6" t="str">
        <f>IFERROR(__xludf.DUMMYFUNCTION("""COMPUTED_VALUE"""),"Split Payment")</f>
        <v>Split Payment</v>
      </c>
      <c r="F721" s="6" t="s">
        <v>8</v>
      </c>
      <c r="G721" s="8" t="str">
        <f t="shared" si="1"/>
        <v>202501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  <c r="CD721" s="4"/>
      <c r="CE721" s="4"/>
      <c r="CF721" s="4"/>
      <c r="CG721" s="4"/>
      <c r="CH721" s="4"/>
      <c r="CI721" s="4"/>
      <c r="CJ721" s="4"/>
      <c r="CK721" s="4"/>
      <c r="CL721" s="4"/>
      <c r="CM721" s="4"/>
      <c r="CN721" s="4"/>
      <c r="CO721" s="4"/>
      <c r="CP721" s="4"/>
      <c r="CQ721" s="4"/>
      <c r="CR721" s="4"/>
      <c r="CS721" s="4"/>
      <c r="CT721" s="4"/>
      <c r="CU721" s="4"/>
      <c r="CV721" s="4"/>
      <c r="CW721" s="4"/>
      <c r="CX721" s="4"/>
      <c r="CY721" s="4"/>
      <c r="CZ721" s="4"/>
      <c r="DA721" s="4"/>
      <c r="DB721" s="4"/>
      <c r="DC721" s="4"/>
      <c r="DD721" s="4"/>
      <c r="DE721" s="4"/>
      <c r="DF721" s="4"/>
      <c r="DG721" s="4"/>
      <c r="DH721" s="4"/>
      <c r="DI721" s="4"/>
      <c r="DJ721" s="4"/>
      <c r="DK721" s="4"/>
      <c r="DL721" s="4"/>
      <c r="DM721" s="4"/>
      <c r="DN721" s="4"/>
      <c r="DO721" s="4"/>
      <c r="DP721" s="4"/>
      <c r="DQ721" s="4"/>
      <c r="DR721" s="4"/>
      <c r="DS721" s="4"/>
    </row>
    <row r="722">
      <c r="A722" s="9">
        <f>IFERROR(__xludf.DUMMYFUNCTION("""COMPUTED_VALUE"""),45658.0)</f>
        <v>45658</v>
      </c>
      <c r="B722" s="6" t="str">
        <f>IFERROR(__xludf.DUMMYFUNCTION("""COMPUTED_VALUE"""),"Car Insurance")</f>
        <v>Car Insurance</v>
      </c>
      <c r="C722" s="7">
        <f>IFERROR(__xludf.DUMMYFUNCTION("""COMPUTED_VALUE"""),31519.0)</f>
        <v>31519</v>
      </c>
      <c r="D722" s="6" t="str">
        <f>IFERROR(__xludf.DUMMYFUNCTION("""COMPUTED_VALUE"""),"Car Expenses")</f>
        <v>Car Expenses</v>
      </c>
      <c r="E722" s="6" t="str">
        <f>IFERROR(__xludf.DUMMYFUNCTION("""COMPUTED_VALUE"""),"Credit Card")</f>
        <v>Credit Card</v>
      </c>
      <c r="F722" s="6" t="s">
        <v>9</v>
      </c>
      <c r="G722" s="8" t="str">
        <f t="shared" si="1"/>
        <v>202501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  <c r="CD722" s="4"/>
      <c r="CE722" s="4"/>
      <c r="CF722" s="4"/>
      <c r="CG722" s="4"/>
      <c r="CH722" s="4"/>
      <c r="CI722" s="4"/>
      <c r="CJ722" s="4"/>
      <c r="CK722" s="4"/>
      <c r="CL722" s="4"/>
      <c r="CM722" s="4"/>
      <c r="CN722" s="4"/>
      <c r="CO722" s="4"/>
      <c r="CP722" s="4"/>
      <c r="CQ722" s="4"/>
      <c r="CR722" s="4"/>
      <c r="CS722" s="4"/>
      <c r="CT722" s="4"/>
      <c r="CU722" s="4"/>
      <c r="CV722" s="4"/>
      <c r="CW722" s="4"/>
      <c r="CX722" s="4"/>
      <c r="CY722" s="4"/>
      <c r="CZ722" s="4"/>
      <c r="DA722" s="4"/>
      <c r="DB722" s="4"/>
      <c r="DC722" s="4"/>
      <c r="DD722" s="4"/>
      <c r="DE722" s="4"/>
      <c r="DF722" s="4"/>
      <c r="DG722" s="4"/>
      <c r="DH722" s="4"/>
      <c r="DI722" s="4"/>
      <c r="DJ722" s="4"/>
      <c r="DK722" s="4"/>
      <c r="DL722" s="4"/>
      <c r="DM722" s="4"/>
      <c r="DN722" s="4"/>
      <c r="DO722" s="4"/>
      <c r="DP722" s="4"/>
      <c r="DQ722" s="4"/>
      <c r="DR722" s="4"/>
      <c r="DS722" s="4"/>
    </row>
    <row r="723">
      <c r="A723" s="9">
        <f>IFERROR(__xludf.DUMMYFUNCTION("""COMPUTED_VALUE"""),45658.0)</f>
        <v>45658</v>
      </c>
      <c r="B723" s="6" t="str">
        <f>IFERROR(__xludf.DUMMYFUNCTION("""COMPUTED_VALUE"""),"Stationery / Books")</f>
        <v>Stationery / Books</v>
      </c>
      <c r="C723" s="7">
        <f>IFERROR(__xludf.DUMMYFUNCTION("""COMPUTED_VALUE"""),3878.0)</f>
        <v>3878</v>
      </c>
      <c r="D723" s="6" t="str">
        <f>IFERROR(__xludf.DUMMYFUNCTION("""COMPUTED_VALUE"""),"Education")</f>
        <v>Education</v>
      </c>
      <c r="E723" s="6" t="str">
        <f>IFERROR(__xludf.DUMMYFUNCTION("""COMPUTED_VALUE"""),"Credit Card")</f>
        <v>Credit Card</v>
      </c>
      <c r="F723" s="6" t="s">
        <v>11</v>
      </c>
      <c r="G723" s="8" t="str">
        <f t="shared" si="1"/>
        <v>202501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  <c r="CD723" s="4"/>
      <c r="CE723" s="4"/>
      <c r="CF723" s="4"/>
      <c r="CG723" s="4"/>
      <c r="CH723" s="4"/>
      <c r="CI723" s="4"/>
      <c r="CJ723" s="4"/>
      <c r="CK723" s="4"/>
      <c r="CL723" s="4"/>
      <c r="CM723" s="4"/>
      <c r="CN723" s="4"/>
      <c r="CO723" s="4"/>
      <c r="CP723" s="4"/>
      <c r="CQ723" s="4"/>
      <c r="CR723" s="4"/>
      <c r="CS723" s="4"/>
      <c r="CT723" s="4"/>
      <c r="CU723" s="4"/>
      <c r="CV723" s="4"/>
      <c r="CW723" s="4"/>
      <c r="CX723" s="4"/>
      <c r="CY723" s="4"/>
      <c r="CZ723" s="4"/>
      <c r="DA723" s="4"/>
      <c r="DB723" s="4"/>
      <c r="DC723" s="4"/>
      <c r="DD723" s="4"/>
      <c r="DE723" s="4"/>
      <c r="DF723" s="4"/>
      <c r="DG723" s="4"/>
      <c r="DH723" s="4"/>
      <c r="DI723" s="4"/>
      <c r="DJ723" s="4"/>
      <c r="DK723" s="4"/>
      <c r="DL723" s="4"/>
      <c r="DM723" s="4"/>
      <c r="DN723" s="4"/>
      <c r="DO723" s="4"/>
      <c r="DP723" s="4"/>
      <c r="DQ723" s="4"/>
      <c r="DR723" s="4"/>
      <c r="DS723" s="4"/>
    </row>
    <row r="724">
      <c r="A724" s="9">
        <f>IFERROR(__xludf.DUMMYFUNCTION("""COMPUTED_VALUE"""),45658.0)</f>
        <v>45658</v>
      </c>
      <c r="B724" s="6" t="str">
        <f>IFERROR(__xludf.DUMMYFUNCTION("""COMPUTED_VALUE"""),"Water Bill (AySA)")</f>
        <v>Water Bill (AySA)</v>
      </c>
      <c r="C724" s="7">
        <f>IFERROR(__xludf.DUMMYFUNCTION("""COMPUTED_VALUE"""),1547.0)</f>
        <v>1547</v>
      </c>
      <c r="D724" s="6" t="str">
        <f>IFERROR(__xludf.DUMMYFUNCTION("""COMPUTED_VALUE"""),"Basic Services")</f>
        <v>Basic Services</v>
      </c>
      <c r="E724" s="6" t="str">
        <f>IFERROR(__xludf.DUMMYFUNCTION("""COMPUTED_VALUE"""),"Split Payment")</f>
        <v>Split Payment</v>
      </c>
      <c r="F724" s="6" t="s">
        <v>13</v>
      </c>
      <c r="G724" s="8" t="str">
        <f t="shared" si="1"/>
        <v>202501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  <c r="CD724" s="4"/>
      <c r="CE724" s="4"/>
      <c r="CF724" s="4"/>
      <c r="CG724" s="4"/>
      <c r="CH724" s="4"/>
      <c r="CI724" s="4"/>
      <c r="CJ724" s="4"/>
      <c r="CK724" s="4"/>
      <c r="CL724" s="4"/>
      <c r="CM724" s="4"/>
      <c r="CN724" s="4"/>
      <c r="CO724" s="4"/>
      <c r="CP724" s="4"/>
      <c r="CQ724" s="4"/>
      <c r="CR724" s="4"/>
      <c r="CS724" s="4"/>
      <c r="CT724" s="4"/>
      <c r="CU724" s="4"/>
      <c r="CV724" s="4"/>
      <c r="CW724" s="4"/>
      <c r="CX724" s="4"/>
      <c r="CY724" s="4"/>
      <c r="CZ724" s="4"/>
      <c r="DA724" s="4"/>
      <c r="DB724" s="4"/>
      <c r="DC724" s="4"/>
      <c r="DD724" s="4"/>
      <c r="DE724" s="4"/>
      <c r="DF724" s="4"/>
      <c r="DG724" s="4"/>
      <c r="DH724" s="4"/>
      <c r="DI724" s="4"/>
      <c r="DJ724" s="4"/>
      <c r="DK724" s="4"/>
      <c r="DL724" s="4"/>
      <c r="DM724" s="4"/>
      <c r="DN724" s="4"/>
      <c r="DO724" s="4"/>
      <c r="DP724" s="4"/>
      <c r="DQ724" s="4"/>
      <c r="DR724" s="4"/>
      <c r="DS724" s="4"/>
    </row>
    <row r="725">
      <c r="A725" s="9">
        <f>IFERROR(__xludf.DUMMYFUNCTION("""COMPUTED_VALUE"""),45658.0)</f>
        <v>45658</v>
      </c>
      <c r="B725" s="6" t="str">
        <f>IFERROR(__xludf.DUMMYFUNCTION("""COMPUTED_VALUE"""),"Home Goods")</f>
        <v>Home Goods</v>
      </c>
      <c r="C725" s="7">
        <f>IFERROR(__xludf.DUMMYFUNCTION("""COMPUTED_VALUE"""),15015.0)</f>
        <v>15015</v>
      </c>
      <c r="D725" s="6" t="str">
        <f>IFERROR(__xludf.DUMMYFUNCTION("""COMPUTED_VALUE"""),"Home Goods &amp; Utilities")</f>
        <v>Home Goods &amp; Utilities</v>
      </c>
      <c r="E725" s="6" t="str">
        <f>IFERROR(__xludf.DUMMYFUNCTION("""COMPUTED_VALUE"""),"Split Payment")</f>
        <v>Split Payment</v>
      </c>
      <c r="F725" s="6" t="s">
        <v>8</v>
      </c>
      <c r="G725" s="8" t="str">
        <f t="shared" si="1"/>
        <v>202501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  <c r="CD725" s="4"/>
      <c r="CE725" s="4"/>
      <c r="CF725" s="4"/>
      <c r="CG725" s="4"/>
      <c r="CH725" s="4"/>
      <c r="CI725" s="4"/>
      <c r="CJ725" s="4"/>
      <c r="CK725" s="4"/>
      <c r="CL725" s="4"/>
      <c r="CM725" s="4"/>
      <c r="CN725" s="4"/>
      <c r="CO725" s="4"/>
      <c r="CP725" s="4"/>
      <c r="CQ725" s="4"/>
      <c r="CR725" s="4"/>
      <c r="CS725" s="4"/>
      <c r="CT725" s="4"/>
      <c r="CU725" s="4"/>
      <c r="CV725" s="4"/>
      <c r="CW725" s="4"/>
      <c r="CX725" s="4"/>
      <c r="CY725" s="4"/>
      <c r="CZ725" s="4"/>
      <c r="DA725" s="4"/>
      <c r="DB725" s="4"/>
      <c r="DC725" s="4"/>
      <c r="DD725" s="4"/>
      <c r="DE725" s="4"/>
      <c r="DF725" s="4"/>
      <c r="DG725" s="4"/>
      <c r="DH725" s="4"/>
      <c r="DI725" s="4"/>
      <c r="DJ725" s="4"/>
      <c r="DK725" s="4"/>
      <c r="DL725" s="4"/>
      <c r="DM725" s="4"/>
      <c r="DN725" s="4"/>
      <c r="DO725" s="4"/>
      <c r="DP725" s="4"/>
      <c r="DQ725" s="4"/>
      <c r="DR725" s="4"/>
      <c r="DS725" s="4"/>
    </row>
    <row r="726">
      <c r="A726" s="9">
        <f>IFERROR(__xludf.DUMMYFUNCTION("""COMPUTED_VALUE"""),45658.0)</f>
        <v>45658</v>
      </c>
      <c r="B726" s="6" t="str">
        <f>IFERROR(__xludf.DUMMYFUNCTION("""COMPUTED_VALUE"""),"Groceries")</f>
        <v>Groceries</v>
      </c>
      <c r="C726" s="7">
        <f>IFERROR(__xludf.DUMMYFUNCTION("""COMPUTED_VALUE"""),3500.0)</f>
        <v>3500</v>
      </c>
      <c r="D726" s="6" t="str">
        <f>IFERROR(__xludf.DUMMYFUNCTION("""COMPUTED_VALUE"""),"Groceries")</f>
        <v>Groceries</v>
      </c>
      <c r="E726" s="6" t="str">
        <f>IFERROR(__xludf.DUMMYFUNCTION("""COMPUTED_VALUE"""),"Virtual Wallet")</f>
        <v>Virtual Wallet</v>
      </c>
      <c r="F726" s="6" t="s">
        <v>7</v>
      </c>
      <c r="G726" s="8" t="str">
        <f t="shared" si="1"/>
        <v>202501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  <c r="CD726" s="4"/>
      <c r="CE726" s="4"/>
      <c r="CF726" s="4"/>
      <c r="CG726" s="4"/>
      <c r="CH726" s="4"/>
      <c r="CI726" s="4"/>
      <c r="CJ726" s="4"/>
      <c r="CK726" s="4"/>
      <c r="CL726" s="4"/>
      <c r="CM726" s="4"/>
      <c r="CN726" s="4"/>
      <c r="CO726" s="4"/>
      <c r="CP726" s="4"/>
      <c r="CQ726" s="4"/>
      <c r="CR726" s="4"/>
      <c r="CS726" s="4"/>
      <c r="CT726" s="4"/>
      <c r="CU726" s="4"/>
      <c r="CV726" s="4"/>
      <c r="CW726" s="4"/>
      <c r="CX726" s="4"/>
      <c r="CY726" s="4"/>
      <c r="CZ726" s="4"/>
      <c r="DA726" s="4"/>
      <c r="DB726" s="4"/>
      <c r="DC726" s="4"/>
      <c r="DD726" s="4"/>
      <c r="DE726" s="4"/>
      <c r="DF726" s="4"/>
      <c r="DG726" s="4"/>
      <c r="DH726" s="4"/>
      <c r="DI726" s="4"/>
      <c r="DJ726" s="4"/>
      <c r="DK726" s="4"/>
      <c r="DL726" s="4"/>
      <c r="DM726" s="4"/>
      <c r="DN726" s="4"/>
      <c r="DO726" s="4"/>
      <c r="DP726" s="4"/>
      <c r="DQ726" s="4"/>
      <c r="DR726" s="4"/>
      <c r="DS726" s="4"/>
    </row>
    <row r="727">
      <c r="A727" s="9">
        <f>IFERROR(__xludf.DUMMYFUNCTION("""COMPUTED_VALUE"""),45658.0)</f>
        <v>45658</v>
      </c>
      <c r="B727" s="6" t="str">
        <f>IFERROR(__xludf.DUMMYFUNCTION("""COMPUTED_VALUE"""),"Lunch Out")</f>
        <v>Lunch Out</v>
      </c>
      <c r="C727" s="7">
        <f>IFERROR(__xludf.DUMMYFUNCTION("""COMPUTED_VALUE"""),7000.0)</f>
        <v>7000</v>
      </c>
      <c r="D727" s="6" t="str">
        <f>IFERROR(__xludf.DUMMYFUNCTION("""COMPUTED_VALUE"""),"Lunch Out")</f>
        <v>Lunch Out</v>
      </c>
      <c r="E727" s="6" t="str">
        <f>IFERROR(__xludf.DUMMYFUNCTION("""COMPUTED_VALUE"""),"Virtual Wallet")</f>
        <v>Virtual Wallet</v>
      </c>
      <c r="F727" s="6" t="s">
        <v>14</v>
      </c>
      <c r="G727" s="8" t="str">
        <f t="shared" si="1"/>
        <v>202501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  <c r="CD727" s="4"/>
      <c r="CE727" s="4"/>
      <c r="CF727" s="4"/>
      <c r="CG727" s="4"/>
      <c r="CH727" s="4"/>
      <c r="CI727" s="4"/>
      <c r="CJ727" s="4"/>
      <c r="CK727" s="4"/>
      <c r="CL727" s="4"/>
      <c r="CM727" s="4"/>
      <c r="CN727" s="4"/>
      <c r="CO727" s="4"/>
      <c r="CP727" s="4"/>
      <c r="CQ727" s="4"/>
      <c r="CR727" s="4"/>
      <c r="CS727" s="4"/>
      <c r="CT727" s="4"/>
      <c r="CU727" s="4"/>
      <c r="CV727" s="4"/>
      <c r="CW727" s="4"/>
      <c r="CX727" s="4"/>
      <c r="CY727" s="4"/>
      <c r="CZ727" s="4"/>
      <c r="DA727" s="4"/>
      <c r="DB727" s="4"/>
      <c r="DC727" s="4"/>
      <c r="DD727" s="4"/>
      <c r="DE727" s="4"/>
      <c r="DF727" s="4"/>
      <c r="DG727" s="4"/>
      <c r="DH727" s="4"/>
      <c r="DI727" s="4"/>
      <c r="DJ727" s="4"/>
      <c r="DK727" s="4"/>
      <c r="DL727" s="4"/>
      <c r="DM727" s="4"/>
      <c r="DN727" s="4"/>
      <c r="DO727" s="4"/>
      <c r="DP727" s="4"/>
      <c r="DQ727" s="4"/>
      <c r="DR727" s="4"/>
      <c r="DS727" s="4"/>
    </row>
    <row r="728">
      <c r="A728" s="9">
        <f>IFERROR(__xludf.DUMMYFUNCTION("""COMPUTED_VALUE"""),45659.0)</f>
        <v>45659</v>
      </c>
      <c r="B728" s="6" t="str">
        <f>IFERROR(__xludf.DUMMYFUNCTION("""COMPUTED_VALUE"""),"Donation")</f>
        <v>Donation</v>
      </c>
      <c r="C728" s="7">
        <f>IFERROR(__xludf.DUMMYFUNCTION("""COMPUTED_VALUE"""),5000.0)</f>
        <v>5000</v>
      </c>
      <c r="D728" s="6" t="str">
        <f>IFERROR(__xludf.DUMMYFUNCTION("""COMPUTED_VALUE"""),"Donation")</f>
        <v>Donation</v>
      </c>
      <c r="E728" s="6" t="str">
        <f>IFERROR(__xludf.DUMMYFUNCTION("""COMPUTED_VALUE"""),"Virtual Wallet")</f>
        <v>Virtual Wallet</v>
      </c>
      <c r="F728" s="6"/>
      <c r="G728" s="8" t="str">
        <f t="shared" si="1"/>
        <v>202501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  <c r="CD728" s="4"/>
      <c r="CE728" s="4"/>
      <c r="CF728" s="4"/>
      <c r="CG728" s="4"/>
      <c r="CH728" s="4"/>
      <c r="CI728" s="4"/>
      <c r="CJ728" s="4"/>
      <c r="CK728" s="4"/>
      <c r="CL728" s="4"/>
      <c r="CM728" s="4"/>
      <c r="CN728" s="4"/>
      <c r="CO728" s="4"/>
      <c r="CP728" s="4"/>
      <c r="CQ728" s="4"/>
      <c r="CR728" s="4"/>
      <c r="CS728" s="4"/>
      <c r="CT728" s="4"/>
      <c r="CU728" s="4"/>
      <c r="CV728" s="4"/>
      <c r="CW728" s="4"/>
      <c r="CX728" s="4"/>
      <c r="CY728" s="4"/>
      <c r="CZ728" s="4"/>
      <c r="DA728" s="4"/>
      <c r="DB728" s="4"/>
      <c r="DC728" s="4"/>
      <c r="DD728" s="4"/>
      <c r="DE728" s="4"/>
      <c r="DF728" s="4"/>
      <c r="DG728" s="4"/>
      <c r="DH728" s="4"/>
      <c r="DI728" s="4"/>
      <c r="DJ728" s="4"/>
      <c r="DK728" s="4"/>
      <c r="DL728" s="4"/>
      <c r="DM728" s="4"/>
      <c r="DN728" s="4"/>
      <c r="DO728" s="4"/>
      <c r="DP728" s="4"/>
      <c r="DQ728" s="4"/>
      <c r="DR728" s="4"/>
      <c r="DS728" s="4"/>
    </row>
    <row r="729">
      <c r="A729" s="9">
        <f>IFERROR(__xludf.DUMMYFUNCTION("""COMPUTED_VALUE"""),45659.0)</f>
        <v>45659</v>
      </c>
      <c r="B729" s="6" t="str">
        <f>IFERROR(__xludf.DUMMYFUNCTION("""COMPUTED_VALUE"""),"Internet Services")</f>
        <v>Internet Services</v>
      </c>
      <c r="C729" s="7">
        <f>IFERROR(__xludf.DUMMYFUNCTION("""COMPUTED_VALUE"""),8375.0)</f>
        <v>8375</v>
      </c>
      <c r="D729" s="6" t="str">
        <f>IFERROR(__xludf.DUMMYFUNCTION("""COMPUTED_VALUE"""),"Basic Services")</f>
        <v>Basic Services</v>
      </c>
      <c r="E729" s="6" t="str">
        <f>IFERROR(__xludf.DUMMYFUNCTION("""COMPUTED_VALUE"""),"Credit Card")</f>
        <v>Credit Card</v>
      </c>
      <c r="F729" s="6" t="s">
        <v>13</v>
      </c>
      <c r="G729" s="8" t="str">
        <f t="shared" si="1"/>
        <v>202501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  <c r="CD729" s="4"/>
      <c r="CE729" s="4"/>
      <c r="CF729" s="4"/>
      <c r="CG729" s="4"/>
      <c r="CH729" s="4"/>
      <c r="CI729" s="4"/>
      <c r="CJ729" s="4"/>
      <c r="CK729" s="4"/>
      <c r="CL729" s="4"/>
      <c r="CM729" s="4"/>
      <c r="CN729" s="4"/>
      <c r="CO729" s="4"/>
      <c r="CP729" s="4"/>
      <c r="CQ729" s="4"/>
      <c r="CR729" s="4"/>
      <c r="CS729" s="4"/>
      <c r="CT729" s="4"/>
      <c r="CU729" s="4"/>
      <c r="CV729" s="4"/>
      <c r="CW729" s="4"/>
      <c r="CX729" s="4"/>
      <c r="CY729" s="4"/>
      <c r="CZ729" s="4"/>
      <c r="DA729" s="4"/>
      <c r="DB729" s="4"/>
      <c r="DC729" s="4"/>
      <c r="DD729" s="4"/>
      <c r="DE729" s="4"/>
      <c r="DF729" s="4"/>
      <c r="DG729" s="4"/>
      <c r="DH729" s="4"/>
      <c r="DI729" s="4"/>
      <c r="DJ729" s="4"/>
      <c r="DK729" s="4"/>
      <c r="DL729" s="4"/>
      <c r="DM729" s="4"/>
      <c r="DN729" s="4"/>
      <c r="DO729" s="4"/>
      <c r="DP729" s="4"/>
      <c r="DQ729" s="4"/>
      <c r="DR729" s="4"/>
      <c r="DS729" s="4"/>
    </row>
    <row r="730">
      <c r="A730" s="9">
        <f>IFERROR(__xludf.DUMMYFUNCTION("""COMPUTED_VALUE"""),45659.0)</f>
        <v>45659</v>
      </c>
      <c r="B730" s="6" t="str">
        <f>IFERROR(__xludf.DUMMYFUNCTION("""COMPUTED_VALUE"""),"Restaurant")</f>
        <v>Restaurant</v>
      </c>
      <c r="C730" s="7">
        <f>IFERROR(__xludf.DUMMYFUNCTION("""COMPUTED_VALUE"""),118.0)</f>
        <v>118</v>
      </c>
      <c r="D730" s="6" t="str">
        <f>IFERROR(__xludf.DUMMYFUNCTION("""COMPUTED_VALUE"""),"Restaurant / Café")</f>
        <v>Restaurant / Café</v>
      </c>
      <c r="E730" s="6" t="str">
        <f>IFERROR(__xludf.DUMMYFUNCTION("""COMPUTED_VALUE"""),"Virtual Wallet")</f>
        <v>Virtual Wallet</v>
      </c>
      <c r="F730" s="6" t="s">
        <v>14</v>
      </c>
      <c r="G730" s="8" t="str">
        <f t="shared" si="1"/>
        <v>202501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  <c r="CD730" s="4"/>
      <c r="CE730" s="4"/>
      <c r="CF730" s="4"/>
      <c r="CG730" s="4"/>
      <c r="CH730" s="4"/>
      <c r="CI730" s="4"/>
      <c r="CJ730" s="4"/>
      <c r="CK730" s="4"/>
      <c r="CL730" s="4"/>
      <c r="CM730" s="4"/>
      <c r="CN730" s="4"/>
      <c r="CO730" s="4"/>
      <c r="CP730" s="4"/>
      <c r="CQ730" s="4"/>
      <c r="CR730" s="4"/>
      <c r="CS730" s="4"/>
      <c r="CT730" s="4"/>
      <c r="CU730" s="4"/>
      <c r="CV730" s="4"/>
      <c r="CW730" s="4"/>
      <c r="CX730" s="4"/>
      <c r="CY730" s="4"/>
      <c r="CZ730" s="4"/>
      <c r="DA730" s="4"/>
      <c r="DB730" s="4"/>
      <c r="DC730" s="4"/>
      <c r="DD730" s="4"/>
      <c r="DE730" s="4"/>
      <c r="DF730" s="4"/>
      <c r="DG730" s="4"/>
      <c r="DH730" s="4"/>
      <c r="DI730" s="4"/>
      <c r="DJ730" s="4"/>
      <c r="DK730" s="4"/>
      <c r="DL730" s="4"/>
      <c r="DM730" s="4"/>
      <c r="DN730" s="4"/>
      <c r="DO730" s="4"/>
      <c r="DP730" s="4"/>
      <c r="DQ730" s="4"/>
      <c r="DR730" s="4"/>
      <c r="DS730" s="4"/>
    </row>
    <row r="731">
      <c r="A731" s="9">
        <f>IFERROR(__xludf.DUMMYFUNCTION("""COMPUTED_VALUE"""),45660.0)</f>
        <v>45660</v>
      </c>
      <c r="B731" s="6" t="str">
        <f>IFERROR(__xludf.DUMMYFUNCTION("""COMPUTED_VALUE"""),"Restaurant")</f>
        <v>Restaurant</v>
      </c>
      <c r="C731" s="7">
        <f>IFERROR(__xludf.DUMMYFUNCTION("""COMPUTED_VALUE"""),19100.0)</f>
        <v>19100</v>
      </c>
      <c r="D731" s="6" t="str">
        <f>IFERROR(__xludf.DUMMYFUNCTION("""COMPUTED_VALUE"""),"Restaurant / Café")</f>
        <v>Restaurant / Café</v>
      </c>
      <c r="E731" s="6" t="str">
        <f>IFERROR(__xludf.DUMMYFUNCTION("""COMPUTED_VALUE"""),"Virtual Wallet")</f>
        <v>Virtual Wallet</v>
      </c>
      <c r="F731" s="6" t="s">
        <v>14</v>
      </c>
      <c r="G731" s="8" t="str">
        <f t="shared" si="1"/>
        <v>202501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  <c r="CD731" s="4"/>
      <c r="CE731" s="4"/>
      <c r="CF731" s="4"/>
      <c r="CG731" s="4"/>
      <c r="CH731" s="4"/>
      <c r="CI731" s="4"/>
      <c r="CJ731" s="4"/>
      <c r="CK731" s="4"/>
      <c r="CL731" s="4"/>
      <c r="CM731" s="4"/>
      <c r="CN731" s="4"/>
      <c r="CO731" s="4"/>
      <c r="CP731" s="4"/>
      <c r="CQ731" s="4"/>
      <c r="CR731" s="4"/>
      <c r="CS731" s="4"/>
      <c r="CT731" s="4"/>
      <c r="CU731" s="4"/>
      <c r="CV731" s="4"/>
      <c r="CW731" s="4"/>
      <c r="CX731" s="4"/>
      <c r="CY731" s="4"/>
      <c r="CZ731" s="4"/>
      <c r="DA731" s="4"/>
      <c r="DB731" s="4"/>
      <c r="DC731" s="4"/>
      <c r="DD731" s="4"/>
      <c r="DE731" s="4"/>
      <c r="DF731" s="4"/>
      <c r="DG731" s="4"/>
      <c r="DH731" s="4"/>
      <c r="DI731" s="4"/>
      <c r="DJ731" s="4"/>
      <c r="DK731" s="4"/>
      <c r="DL731" s="4"/>
      <c r="DM731" s="4"/>
      <c r="DN731" s="4"/>
      <c r="DO731" s="4"/>
      <c r="DP731" s="4"/>
      <c r="DQ731" s="4"/>
      <c r="DR731" s="4"/>
      <c r="DS731" s="4"/>
    </row>
    <row r="732">
      <c r="A732" s="9">
        <f>IFERROR(__xludf.DUMMYFUNCTION("""COMPUTED_VALUE"""),45661.0)</f>
        <v>45661</v>
      </c>
      <c r="B732" s="6" t="str">
        <f>IFERROR(__xludf.DUMMYFUNCTION("""COMPUTED_VALUE"""),"Clothing")</f>
        <v>Clothing</v>
      </c>
      <c r="C732" s="7">
        <f>IFERROR(__xludf.DUMMYFUNCTION("""COMPUTED_VALUE"""),33993.0)</f>
        <v>33993</v>
      </c>
      <c r="D732" s="6" t="str">
        <f>IFERROR(__xludf.DUMMYFUNCTION("""COMPUTED_VALUE"""),"Clothing")</f>
        <v>Clothing</v>
      </c>
      <c r="E732" s="6" t="str">
        <f>IFERROR(__xludf.DUMMYFUNCTION("""COMPUTED_VALUE"""),"Credit Card")</f>
        <v>Credit Card</v>
      </c>
      <c r="F732" s="6" t="s">
        <v>10</v>
      </c>
      <c r="G732" s="8" t="str">
        <f t="shared" si="1"/>
        <v>202501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  <c r="CD732" s="4"/>
      <c r="CE732" s="4"/>
      <c r="CF732" s="4"/>
      <c r="CG732" s="4"/>
      <c r="CH732" s="4"/>
      <c r="CI732" s="4"/>
      <c r="CJ732" s="4"/>
      <c r="CK732" s="4"/>
      <c r="CL732" s="4"/>
      <c r="CM732" s="4"/>
      <c r="CN732" s="4"/>
      <c r="CO732" s="4"/>
      <c r="CP732" s="4"/>
      <c r="CQ732" s="4"/>
      <c r="CR732" s="4"/>
      <c r="CS732" s="4"/>
      <c r="CT732" s="4"/>
      <c r="CU732" s="4"/>
      <c r="CV732" s="4"/>
      <c r="CW732" s="4"/>
      <c r="CX732" s="4"/>
      <c r="CY732" s="4"/>
      <c r="CZ732" s="4"/>
      <c r="DA732" s="4"/>
      <c r="DB732" s="4"/>
      <c r="DC732" s="4"/>
      <c r="DD732" s="4"/>
      <c r="DE732" s="4"/>
      <c r="DF732" s="4"/>
      <c r="DG732" s="4"/>
      <c r="DH732" s="4"/>
      <c r="DI732" s="4"/>
      <c r="DJ732" s="4"/>
      <c r="DK732" s="4"/>
      <c r="DL732" s="4"/>
      <c r="DM732" s="4"/>
      <c r="DN732" s="4"/>
      <c r="DO732" s="4"/>
      <c r="DP732" s="4"/>
      <c r="DQ732" s="4"/>
      <c r="DR732" s="4"/>
      <c r="DS732" s="4"/>
    </row>
    <row r="733">
      <c r="A733" s="9">
        <f>IFERROR(__xludf.DUMMYFUNCTION("""COMPUTED_VALUE"""),45661.0)</f>
        <v>45661</v>
      </c>
      <c r="B733" s="6" t="str">
        <f>IFERROR(__xludf.DUMMYFUNCTION("""COMPUTED_VALUE"""),"Clothing")</f>
        <v>Clothing</v>
      </c>
      <c r="C733" s="7">
        <f>IFERROR(__xludf.DUMMYFUNCTION("""COMPUTED_VALUE"""),19326.0)</f>
        <v>19326</v>
      </c>
      <c r="D733" s="6" t="str">
        <f>IFERROR(__xludf.DUMMYFUNCTION("""COMPUTED_VALUE"""),"Clothing")</f>
        <v>Clothing</v>
      </c>
      <c r="E733" s="6" t="str">
        <f>IFERROR(__xludf.DUMMYFUNCTION("""COMPUTED_VALUE"""),"Credit Card")</f>
        <v>Credit Card</v>
      </c>
      <c r="F733" s="6" t="s">
        <v>10</v>
      </c>
      <c r="G733" s="8" t="str">
        <f t="shared" si="1"/>
        <v>202501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  <c r="CD733" s="4"/>
      <c r="CE733" s="4"/>
      <c r="CF733" s="4"/>
      <c r="CG733" s="4"/>
      <c r="CH733" s="4"/>
      <c r="CI733" s="4"/>
      <c r="CJ733" s="4"/>
      <c r="CK733" s="4"/>
      <c r="CL733" s="4"/>
      <c r="CM733" s="4"/>
      <c r="CN733" s="4"/>
      <c r="CO733" s="4"/>
      <c r="CP733" s="4"/>
      <c r="CQ733" s="4"/>
      <c r="CR733" s="4"/>
      <c r="CS733" s="4"/>
      <c r="CT733" s="4"/>
      <c r="CU733" s="4"/>
      <c r="CV733" s="4"/>
      <c r="CW733" s="4"/>
      <c r="CX733" s="4"/>
      <c r="CY733" s="4"/>
      <c r="CZ733" s="4"/>
      <c r="DA733" s="4"/>
      <c r="DB733" s="4"/>
      <c r="DC733" s="4"/>
      <c r="DD733" s="4"/>
      <c r="DE733" s="4"/>
      <c r="DF733" s="4"/>
      <c r="DG733" s="4"/>
      <c r="DH733" s="4"/>
      <c r="DI733" s="4"/>
      <c r="DJ733" s="4"/>
      <c r="DK733" s="4"/>
      <c r="DL733" s="4"/>
      <c r="DM733" s="4"/>
      <c r="DN733" s="4"/>
      <c r="DO733" s="4"/>
      <c r="DP733" s="4"/>
      <c r="DQ733" s="4"/>
      <c r="DR733" s="4"/>
      <c r="DS733" s="4"/>
    </row>
    <row r="734">
      <c r="A734" s="9">
        <f>IFERROR(__xludf.DUMMYFUNCTION("""COMPUTED_VALUE"""),45661.0)</f>
        <v>45661</v>
      </c>
      <c r="B734" s="6" t="str">
        <f>IFERROR(__xludf.DUMMYFUNCTION("""COMPUTED_VALUE"""),"Clothing")</f>
        <v>Clothing</v>
      </c>
      <c r="C734" s="7">
        <f>IFERROR(__xludf.DUMMYFUNCTION("""COMPUTED_VALUE"""),0.0)</f>
        <v>0</v>
      </c>
      <c r="D734" s="6" t="str">
        <f>IFERROR(__xludf.DUMMYFUNCTION("""COMPUTED_VALUE"""),"Clothing")</f>
        <v>Clothing</v>
      </c>
      <c r="E734" s="6" t="str">
        <f>IFERROR(__xludf.DUMMYFUNCTION("""COMPUTED_VALUE"""),"Credit Card")</f>
        <v>Credit Card</v>
      </c>
      <c r="F734" s="6" t="s">
        <v>10</v>
      </c>
      <c r="G734" s="8" t="str">
        <f t="shared" si="1"/>
        <v>202501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  <c r="CD734" s="4"/>
      <c r="CE734" s="4"/>
      <c r="CF734" s="4"/>
      <c r="CG734" s="4"/>
      <c r="CH734" s="4"/>
      <c r="CI734" s="4"/>
      <c r="CJ734" s="4"/>
      <c r="CK734" s="4"/>
      <c r="CL734" s="4"/>
      <c r="CM734" s="4"/>
      <c r="CN734" s="4"/>
      <c r="CO734" s="4"/>
      <c r="CP734" s="4"/>
      <c r="CQ734" s="4"/>
      <c r="CR734" s="4"/>
      <c r="CS734" s="4"/>
      <c r="CT734" s="4"/>
      <c r="CU734" s="4"/>
      <c r="CV734" s="4"/>
      <c r="CW734" s="4"/>
      <c r="CX734" s="4"/>
      <c r="CY734" s="4"/>
      <c r="CZ734" s="4"/>
      <c r="DA734" s="4"/>
      <c r="DB734" s="4"/>
      <c r="DC734" s="4"/>
      <c r="DD734" s="4"/>
      <c r="DE734" s="4"/>
      <c r="DF734" s="4"/>
      <c r="DG734" s="4"/>
      <c r="DH734" s="4"/>
      <c r="DI734" s="4"/>
      <c r="DJ734" s="4"/>
      <c r="DK734" s="4"/>
      <c r="DL734" s="4"/>
      <c r="DM734" s="4"/>
      <c r="DN734" s="4"/>
      <c r="DO734" s="4"/>
      <c r="DP734" s="4"/>
      <c r="DQ734" s="4"/>
      <c r="DR734" s="4"/>
      <c r="DS734" s="4"/>
    </row>
    <row r="735">
      <c r="A735" s="9">
        <f>IFERROR(__xludf.DUMMYFUNCTION("""COMPUTED_VALUE"""),45661.0)</f>
        <v>45661</v>
      </c>
      <c r="B735" s="6" t="str">
        <f>IFERROR(__xludf.DUMMYFUNCTION("""COMPUTED_VALUE"""),"Clothing")</f>
        <v>Clothing</v>
      </c>
      <c r="C735" s="7">
        <f>IFERROR(__xludf.DUMMYFUNCTION("""COMPUTED_VALUE"""),0.0)</f>
        <v>0</v>
      </c>
      <c r="D735" s="6" t="str">
        <f>IFERROR(__xludf.DUMMYFUNCTION("""COMPUTED_VALUE"""),"Clothing")</f>
        <v>Clothing</v>
      </c>
      <c r="E735" s="6" t="str">
        <f>IFERROR(__xludf.DUMMYFUNCTION("""COMPUTED_VALUE"""),"Credit Card")</f>
        <v>Credit Card</v>
      </c>
      <c r="F735" s="6" t="s">
        <v>10</v>
      </c>
      <c r="G735" s="8" t="str">
        <f t="shared" si="1"/>
        <v>202501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  <c r="CD735" s="4"/>
      <c r="CE735" s="4"/>
      <c r="CF735" s="4"/>
      <c r="CG735" s="4"/>
      <c r="CH735" s="4"/>
      <c r="CI735" s="4"/>
      <c r="CJ735" s="4"/>
      <c r="CK735" s="4"/>
      <c r="CL735" s="4"/>
      <c r="CM735" s="4"/>
      <c r="CN735" s="4"/>
      <c r="CO735" s="4"/>
      <c r="CP735" s="4"/>
      <c r="CQ735" s="4"/>
      <c r="CR735" s="4"/>
      <c r="CS735" s="4"/>
      <c r="CT735" s="4"/>
      <c r="CU735" s="4"/>
      <c r="CV735" s="4"/>
      <c r="CW735" s="4"/>
      <c r="CX735" s="4"/>
      <c r="CY735" s="4"/>
      <c r="CZ735" s="4"/>
      <c r="DA735" s="4"/>
      <c r="DB735" s="4"/>
      <c r="DC735" s="4"/>
      <c r="DD735" s="4"/>
      <c r="DE735" s="4"/>
      <c r="DF735" s="4"/>
      <c r="DG735" s="4"/>
      <c r="DH735" s="4"/>
      <c r="DI735" s="4"/>
      <c r="DJ735" s="4"/>
      <c r="DK735" s="4"/>
      <c r="DL735" s="4"/>
      <c r="DM735" s="4"/>
      <c r="DN735" s="4"/>
      <c r="DO735" s="4"/>
      <c r="DP735" s="4"/>
      <c r="DQ735" s="4"/>
      <c r="DR735" s="4"/>
      <c r="DS735" s="4"/>
    </row>
    <row r="736">
      <c r="A736" s="9">
        <f>IFERROR(__xludf.DUMMYFUNCTION("""COMPUTED_VALUE"""),45661.0)</f>
        <v>45661</v>
      </c>
      <c r="B736" s="6" t="str">
        <f>IFERROR(__xludf.DUMMYFUNCTION("""COMPUTED_VALUE"""),"Clothing")</f>
        <v>Clothing</v>
      </c>
      <c r="C736" s="7">
        <f>IFERROR(__xludf.DUMMYFUNCTION("""COMPUTED_VALUE"""),0.0)</f>
        <v>0</v>
      </c>
      <c r="D736" s="6" t="str">
        <f>IFERROR(__xludf.DUMMYFUNCTION("""COMPUTED_VALUE"""),"Clothing")</f>
        <v>Clothing</v>
      </c>
      <c r="E736" s="6" t="str">
        <f>IFERROR(__xludf.DUMMYFUNCTION("""COMPUTED_VALUE"""),"Credit Card")</f>
        <v>Credit Card</v>
      </c>
      <c r="F736" s="6" t="s">
        <v>10</v>
      </c>
      <c r="G736" s="8" t="str">
        <f t="shared" si="1"/>
        <v>202501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  <c r="CD736" s="4"/>
      <c r="CE736" s="4"/>
      <c r="CF736" s="4"/>
      <c r="CG736" s="4"/>
      <c r="CH736" s="4"/>
      <c r="CI736" s="4"/>
      <c r="CJ736" s="4"/>
      <c r="CK736" s="4"/>
      <c r="CL736" s="4"/>
      <c r="CM736" s="4"/>
      <c r="CN736" s="4"/>
      <c r="CO736" s="4"/>
      <c r="CP736" s="4"/>
      <c r="CQ736" s="4"/>
      <c r="CR736" s="4"/>
      <c r="CS736" s="4"/>
      <c r="CT736" s="4"/>
      <c r="CU736" s="4"/>
      <c r="CV736" s="4"/>
      <c r="CW736" s="4"/>
      <c r="CX736" s="4"/>
      <c r="CY736" s="4"/>
      <c r="CZ736" s="4"/>
      <c r="DA736" s="4"/>
      <c r="DB736" s="4"/>
      <c r="DC736" s="4"/>
      <c r="DD736" s="4"/>
      <c r="DE736" s="4"/>
      <c r="DF736" s="4"/>
      <c r="DG736" s="4"/>
      <c r="DH736" s="4"/>
      <c r="DI736" s="4"/>
      <c r="DJ736" s="4"/>
      <c r="DK736" s="4"/>
      <c r="DL736" s="4"/>
      <c r="DM736" s="4"/>
      <c r="DN736" s="4"/>
      <c r="DO736" s="4"/>
      <c r="DP736" s="4"/>
      <c r="DQ736" s="4"/>
      <c r="DR736" s="4"/>
      <c r="DS736" s="4"/>
    </row>
    <row r="737">
      <c r="A737" s="9">
        <f>IFERROR(__xludf.DUMMYFUNCTION("""COMPUTED_VALUE"""),45661.0)</f>
        <v>45661</v>
      </c>
      <c r="B737" s="6" t="str">
        <f>IFERROR(__xludf.DUMMYFUNCTION("""COMPUTED_VALUE"""),"Groceries")</f>
        <v>Groceries</v>
      </c>
      <c r="C737" s="7">
        <f>IFERROR(__xludf.DUMMYFUNCTION("""COMPUTED_VALUE"""),750.0)</f>
        <v>750</v>
      </c>
      <c r="D737" s="6" t="str">
        <f>IFERROR(__xludf.DUMMYFUNCTION("""COMPUTED_VALUE"""),"Groceries")</f>
        <v>Groceries</v>
      </c>
      <c r="E737" s="6" t="str">
        <f>IFERROR(__xludf.DUMMYFUNCTION("""COMPUTED_VALUE"""),"Debit Card")</f>
        <v>Debit Card</v>
      </c>
      <c r="F737" s="6" t="s">
        <v>7</v>
      </c>
      <c r="G737" s="8" t="str">
        <f t="shared" si="1"/>
        <v>202501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  <c r="CD737" s="4"/>
      <c r="CE737" s="4"/>
      <c r="CF737" s="4"/>
      <c r="CG737" s="4"/>
      <c r="CH737" s="4"/>
      <c r="CI737" s="4"/>
      <c r="CJ737" s="4"/>
      <c r="CK737" s="4"/>
      <c r="CL737" s="4"/>
      <c r="CM737" s="4"/>
      <c r="CN737" s="4"/>
      <c r="CO737" s="4"/>
      <c r="CP737" s="4"/>
      <c r="CQ737" s="4"/>
      <c r="CR737" s="4"/>
      <c r="CS737" s="4"/>
      <c r="CT737" s="4"/>
      <c r="CU737" s="4"/>
      <c r="CV737" s="4"/>
      <c r="CW737" s="4"/>
      <c r="CX737" s="4"/>
      <c r="CY737" s="4"/>
      <c r="CZ737" s="4"/>
      <c r="DA737" s="4"/>
      <c r="DB737" s="4"/>
      <c r="DC737" s="4"/>
      <c r="DD737" s="4"/>
      <c r="DE737" s="4"/>
      <c r="DF737" s="4"/>
      <c r="DG737" s="4"/>
      <c r="DH737" s="4"/>
      <c r="DI737" s="4"/>
      <c r="DJ737" s="4"/>
      <c r="DK737" s="4"/>
      <c r="DL737" s="4"/>
      <c r="DM737" s="4"/>
      <c r="DN737" s="4"/>
      <c r="DO737" s="4"/>
      <c r="DP737" s="4"/>
      <c r="DQ737" s="4"/>
      <c r="DR737" s="4"/>
      <c r="DS737" s="4"/>
    </row>
    <row r="738">
      <c r="A738" s="9">
        <f>IFERROR(__xludf.DUMMYFUNCTION("""COMPUTED_VALUE"""),45662.0)</f>
        <v>45662</v>
      </c>
      <c r="B738" s="6" t="str">
        <f>IFERROR(__xludf.DUMMYFUNCTION("""COMPUTED_VALUE"""),"Home Goods")</f>
        <v>Home Goods</v>
      </c>
      <c r="C738" s="7">
        <f>IFERROR(__xludf.DUMMYFUNCTION("""COMPUTED_VALUE"""),5500.0)</f>
        <v>5500</v>
      </c>
      <c r="D738" s="6" t="str">
        <f>IFERROR(__xludf.DUMMYFUNCTION("""COMPUTED_VALUE"""),"Home Goods &amp; Utilities")</f>
        <v>Home Goods &amp; Utilities</v>
      </c>
      <c r="E738" s="6" t="str">
        <f>IFERROR(__xludf.DUMMYFUNCTION("""COMPUTED_VALUE"""),"Split Payment")</f>
        <v>Split Payment</v>
      </c>
      <c r="F738" s="6" t="s">
        <v>8</v>
      </c>
      <c r="G738" s="8" t="str">
        <f t="shared" si="1"/>
        <v>202501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  <c r="CD738" s="4"/>
      <c r="CE738" s="4"/>
      <c r="CF738" s="4"/>
      <c r="CG738" s="4"/>
      <c r="CH738" s="4"/>
      <c r="CI738" s="4"/>
      <c r="CJ738" s="4"/>
      <c r="CK738" s="4"/>
      <c r="CL738" s="4"/>
      <c r="CM738" s="4"/>
      <c r="CN738" s="4"/>
      <c r="CO738" s="4"/>
      <c r="CP738" s="4"/>
      <c r="CQ738" s="4"/>
      <c r="CR738" s="4"/>
      <c r="CS738" s="4"/>
      <c r="CT738" s="4"/>
      <c r="CU738" s="4"/>
      <c r="CV738" s="4"/>
      <c r="CW738" s="4"/>
      <c r="CX738" s="4"/>
      <c r="CY738" s="4"/>
      <c r="CZ738" s="4"/>
      <c r="DA738" s="4"/>
      <c r="DB738" s="4"/>
      <c r="DC738" s="4"/>
      <c r="DD738" s="4"/>
      <c r="DE738" s="4"/>
      <c r="DF738" s="4"/>
      <c r="DG738" s="4"/>
      <c r="DH738" s="4"/>
      <c r="DI738" s="4"/>
      <c r="DJ738" s="4"/>
      <c r="DK738" s="4"/>
      <c r="DL738" s="4"/>
      <c r="DM738" s="4"/>
      <c r="DN738" s="4"/>
      <c r="DO738" s="4"/>
      <c r="DP738" s="4"/>
      <c r="DQ738" s="4"/>
      <c r="DR738" s="4"/>
      <c r="DS738" s="4"/>
    </row>
    <row r="739">
      <c r="A739" s="9">
        <f>IFERROR(__xludf.DUMMYFUNCTION("""COMPUTED_VALUE"""),45663.0)</f>
        <v>45663</v>
      </c>
      <c r="B739" s="6" t="str">
        <f>IFERROR(__xludf.DUMMYFUNCTION("""COMPUTED_VALUE"""),"Doctor Visit")</f>
        <v>Doctor Visit</v>
      </c>
      <c r="C739" s="7">
        <f>IFERROR(__xludf.DUMMYFUNCTION("""COMPUTED_VALUE"""),12000.0)</f>
        <v>12000</v>
      </c>
      <c r="D739" s="6" t="str">
        <f>IFERROR(__xludf.DUMMYFUNCTION("""COMPUTED_VALUE"""),"Healthcare")</f>
        <v>Healthcare</v>
      </c>
      <c r="E739" s="6" t="str">
        <f>IFERROR(__xludf.DUMMYFUNCTION("""COMPUTED_VALUE"""),"Virtual Wallet")</f>
        <v>Virtual Wallet</v>
      </c>
      <c r="F739" s="6" t="s">
        <v>15</v>
      </c>
      <c r="G739" s="8" t="str">
        <f t="shared" si="1"/>
        <v>202501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  <c r="CD739" s="4"/>
      <c r="CE739" s="4"/>
      <c r="CF739" s="4"/>
      <c r="CG739" s="4"/>
      <c r="CH739" s="4"/>
      <c r="CI739" s="4"/>
      <c r="CJ739" s="4"/>
      <c r="CK739" s="4"/>
      <c r="CL739" s="4"/>
      <c r="CM739" s="4"/>
      <c r="CN739" s="4"/>
      <c r="CO739" s="4"/>
      <c r="CP739" s="4"/>
      <c r="CQ739" s="4"/>
      <c r="CR739" s="4"/>
      <c r="CS739" s="4"/>
      <c r="CT739" s="4"/>
      <c r="CU739" s="4"/>
      <c r="CV739" s="4"/>
      <c r="CW739" s="4"/>
      <c r="CX739" s="4"/>
      <c r="CY739" s="4"/>
      <c r="CZ739" s="4"/>
      <c r="DA739" s="4"/>
      <c r="DB739" s="4"/>
      <c r="DC739" s="4"/>
      <c r="DD739" s="4"/>
      <c r="DE739" s="4"/>
      <c r="DF739" s="4"/>
      <c r="DG739" s="4"/>
      <c r="DH739" s="4"/>
      <c r="DI739" s="4"/>
      <c r="DJ739" s="4"/>
      <c r="DK739" s="4"/>
      <c r="DL739" s="4"/>
      <c r="DM739" s="4"/>
      <c r="DN739" s="4"/>
      <c r="DO739" s="4"/>
      <c r="DP739" s="4"/>
      <c r="DQ739" s="4"/>
      <c r="DR739" s="4"/>
      <c r="DS739" s="4"/>
    </row>
    <row r="740">
      <c r="A740" s="9">
        <f>IFERROR(__xludf.DUMMYFUNCTION("""COMPUTED_VALUE"""),45663.0)</f>
        <v>45663</v>
      </c>
      <c r="B740" s="6" t="str">
        <f>IFERROR(__xludf.DUMMYFUNCTION("""COMPUTED_VALUE"""),"Gas Bill (Metrogas)")</f>
        <v>Gas Bill (Metrogas)</v>
      </c>
      <c r="C740" s="7">
        <f>IFERROR(__xludf.DUMMYFUNCTION("""COMPUTED_VALUE"""),8266.0)</f>
        <v>8266</v>
      </c>
      <c r="D740" s="6" t="str">
        <f>IFERROR(__xludf.DUMMYFUNCTION("""COMPUTED_VALUE"""),"Basic Services")</f>
        <v>Basic Services</v>
      </c>
      <c r="E740" s="6" t="str">
        <f>IFERROR(__xludf.DUMMYFUNCTION("""COMPUTED_VALUE"""),"Split Payment")</f>
        <v>Split Payment</v>
      </c>
      <c r="F740" s="6" t="s">
        <v>13</v>
      </c>
      <c r="G740" s="8" t="str">
        <f t="shared" si="1"/>
        <v>202501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  <c r="CD740" s="4"/>
      <c r="CE740" s="4"/>
      <c r="CF740" s="4"/>
      <c r="CG740" s="4"/>
      <c r="CH740" s="4"/>
      <c r="CI740" s="4"/>
      <c r="CJ740" s="4"/>
      <c r="CK740" s="4"/>
      <c r="CL740" s="4"/>
      <c r="CM740" s="4"/>
      <c r="CN740" s="4"/>
      <c r="CO740" s="4"/>
      <c r="CP740" s="4"/>
      <c r="CQ740" s="4"/>
      <c r="CR740" s="4"/>
      <c r="CS740" s="4"/>
      <c r="CT740" s="4"/>
      <c r="CU740" s="4"/>
      <c r="CV740" s="4"/>
      <c r="CW740" s="4"/>
      <c r="CX740" s="4"/>
      <c r="CY740" s="4"/>
      <c r="CZ740" s="4"/>
      <c r="DA740" s="4"/>
      <c r="DB740" s="4"/>
      <c r="DC740" s="4"/>
      <c r="DD740" s="4"/>
      <c r="DE740" s="4"/>
      <c r="DF740" s="4"/>
      <c r="DG740" s="4"/>
      <c r="DH740" s="4"/>
      <c r="DI740" s="4"/>
      <c r="DJ740" s="4"/>
      <c r="DK740" s="4"/>
      <c r="DL740" s="4"/>
      <c r="DM740" s="4"/>
      <c r="DN740" s="4"/>
      <c r="DO740" s="4"/>
      <c r="DP740" s="4"/>
      <c r="DQ740" s="4"/>
      <c r="DR740" s="4"/>
      <c r="DS740" s="4"/>
    </row>
    <row r="741">
      <c r="A741" s="9">
        <f>IFERROR(__xludf.DUMMYFUNCTION("""COMPUTED_VALUE"""),45663.0)</f>
        <v>45663</v>
      </c>
      <c r="B741" s="6" t="str">
        <f>IFERROR(__xludf.DUMMYFUNCTION("""COMPUTED_VALUE"""),"Groceries")</f>
        <v>Groceries</v>
      </c>
      <c r="C741" s="7">
        <f>IFERROR(__xludf.DUMMYFUNCTION("""COMPUTED_VALUE"""),5000.0)</f>
        <v>5000</v>
      </c>
      <c r="D741" s="6" t="str">
        <f>IFERROR(__xludf.DUMMYFUNCTION("""COMPUTED_VALUE"""),"Groceries")</f>
        <v>Groceries</v>
      </c>
      <c r="E741" s="6" t="str">
        <f>IFERROR(__xludf.DUMMYFUNCTION("""COMPUTED_VALUE"""),"Split Payment")</f>
        <v>Split Payment</v>
      </c>
      <c r="F741" s="6" t="s">
        <v>7</v>
      </c>
      <c r="G741" s="8" t="str">
        <f t="shared" si="1"/>
        <v>202501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  <c r="CD741" s="4"/>
      <c r="CE741" s="4"/>
      <c r="CF741" s="4"/>
      <c r="CG741" s="4"/>
      <c r="CH741" s="4"/>
      <c r="CI741" s="4"/>
      <c r="CJ741" s="4"/>
      <c r="CK741" s="4"/>
      <c r="CL741" s="4"/>
      <c r="CM741" s="4"/>
      <c r="CN741" s="4"/>
      <c r="CO741" s="4"/>
      <c r="CP741" s="4"/>
      <c r="CQ741" s="4"/>
      <c r="CR741" s="4"/>
      <c r="CS741" s="4"/>
      <c r="CT741" s="4"/>
      <c r="CU741" s="4"/>
      <c r="CV741" s="4"/>
      <c r="CW741" s="4"/>
      <c r="CX741" s="4"/>
      <c r="CY741" s="4"/>
      <c r="CZ741" s="4"/>
      <c r="DA741" s="4"/>
      <c r="DB741" s="4"/>
      <c r="DC741" s="4"/>
      <c r="DD741" s="4"/>
      <c r="DE741" s="4"/>
      <c r="DF741" s="4"/>
      <c r="DG741" s="4"/>
      <c r="DH741" s="4"/>
      <c r="DI741" s="4"/>
      <c r="DJ741" s="4"/>
      <c r="DK741" s="4"/>
      <c r="DL741" s="4"/>
      <c r="DM741" s="4"/>
      <c r="DN741" s="4"/>
      <c r="DO741" s="4"/>
      <c r="DP741" s="4"/>
      <c r="DQ741" s="4"/>
      <c r="DR741" s="4"/>
      <c r="DS741" s="4"/>
    </row>
    <row r="742">
      <c r="A742" s="9">
        <f>IFERROR(__xludf.DUMMYFUNCTION("""COMPUTED_VALUE"""),45663.0)</f>
        <v>45663</v>
      </c>
      <c r="B742" s="6" t="str">
        <f>IFERROR(__xludf.DUMMYFUNCTION("""COMPUTED_VALUE"""),"Restaurant")</f>
        <v>Restaurant</v>
      </c>
      <c r="C742" s="7">
        <f>IFERROR(__xludf.DUMMYFUNCTION("""COMPUTED_VALUE"""),49.0)</f>
        <v>49</v>
      </c>
      <c r="D742" s="6" t="str">
        <f>IFERROR(__xludf.DUMMYFUNCTION("""COMPUTED_VALUE"""),"Restaurant / Café")</f>
        <v>Restaurant / Café</v>
      </c>
      <c r="E742" s="6" t="str">
        <f>IFERROR(__xludf.DUMMYFUNCTION("""COMPUTED_VALUE"""),"Virtual Wallet")</f>
        <v>Virtual Wallet</v>
      </c>
      <c r="F742" s="6" t="s">
        <v>14</v>
      </c>
      <c r="G742" s="8" t="str">
        <f t="shared" si="1"/>
        <v>202501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  <c r="CD742" s="4"/>
      <c r="CE742" s="4"/>
      <c r="CF742" s="4"/>
      <c r="CG742" s="4"/>
      <c r="CH742" s="4"/>
      <c r="CI742" s="4"/>
      <c r="CJ742" s="4"/>
      <c r="CK742" s="4"/>
      <c r="CL742" s="4"/>
      <c r="CM742" s="4"/>
      <c r="CN742" s="4"/>
      <c r="CO742" s="4"/>
      <c r="CP742" s="4"/>
      <c r="CQ742" s="4"/>
      <c r="CR742" s="4"/>
      <c r="CS742" s="4"/>
      <c r="CT742" s="4"/>
      <c r="CU742" s="4"/>
      <c r="CV742" s="4"/>
      <c r="CW742" s="4"/>
      <c r="CX742" s="4"/>
      <c r="CY742" s="4"/>
      <c r="CZ742" s="4"/>
      <c r="DA742" s="4"/>
      <c r="DB742" s="4"/>
      <c r="DC742" s="4"/>
      <c r="DD742" s="4"/>
      <c r="DE742" s="4"/>
      <c r="DF742" s="4"/>
      <c r="DG742" s="4"/>
      <c r="DH742" s="4"/>
      <c r="DI742" s="4"/>
      <c r="DJ742" s="4"/>
      <c r="DK742" s="4"/>
      <c r="DL742" s="4"/>
      <c r="DM742" s="4"/>
      <c r="DN742" s="4"/>
      <c r="DO742" s="4"/>
      <c r="DP742" s="4"/>
      <c r="DQ742" s="4"/>
      <c r="DR742" s="4"/>
      <c r="DS742" s="4"/>
    </row>
    <row r="743">
      <c r="A743" s="9">
        <f>IFERROR(__xludf.DUMMYFUNCTION("""COMPUTED_VALUE"""),45663.0)</f>
        <v>45663</v>
      </c>
      <c r="B743" s="6" t="str">
        <f>IFERROR(__xludf.DUMMYFUNCTION("""COMPUTED_VALUE"""),"Streaming Services")</f>
        <v>Streaming Services</v>
      </c>
      <c r="C743" s="7">
        <f>IFERROR(__xludf.DUMMYFUNCTION("""COMPUTED_VALUE"""),5435.0)</f>
        <v>5435</v>
      </c>
      <c r="D743" s="6" t="str">
        <f>IFERROR(__xludf.DUMMYFUNCTION("""COMPUTED_VALUE"""),"Streaming Services")</f>
        <v>Streaming Services</v>
      </c>
      <c r="E743" s="6" t="str">
        <f>IFERROR(__xludf.DUMMYFUNCTION("""COMPUTED_VALUE"""),"Credit Card")</f>
        <v>Credit Card</v>
      </c>
      <c r="F743" s="6" t="s">
        <v>12</v>
      </c>
      <c r="G743" s="8" t="str">
        <f t="shared" si="1"/>
        <v>202501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  <c r="CD743" s="4"/>
      <c r="CE743" s="4"/>
      <c r="CF743" s="4"/>
      <c r="CG743" s="4"/>
      <c r="CH743" s="4"/>
      <c r="CI743" s="4"/>
      <c r="CJ743" s="4"/>
      <c r="CK743" s="4"/>
      <c r="CL743" s="4"/>
      <c r="CM743" s="4"/>
      <c r="CN743" s="4"/>
      <c r="CO743" s="4"/>
      <c r="CP743" s="4"/>
      <c r="CQ743" s="4"/>
      <c r="CR743" s="4"/>
      <c r="CS743" s="4"/>
      <c r="CT743" s="4"/>
      <c r="CU743" s="4"/>
      <c r="CV743" s="4"/>
      <c r="CW743" s="4"/>
      <c r="CX743" s="4"/>
      <c r="CY743" s="4"/>
      <c r="CZ743" s="4"/>
      <c r="DA743" s="4"/>
      <c r="DB743" s="4"/>
      <c r="DC743" s="4"/>
      <c r="DD743" s="4"/>
      <c r="DE743" s="4"/>
      <c r="DF743" s="4"/>
      <c r="DG743" s="4"/>
      <c r="DH743" s="4"/>
      <c r="DI743" s="4"/>
      <c r="DJ743" s="4"/>
      <c r="DK743" s="4"/>
      <c r="DL743" s="4"/>
      <c r="DM743" s="4"/>
      <c r="DN743" s="4"/>
      <c r="DO743" s="4"/>
      <c r="DP743" s="4"/>
      <c r="DQ743" s="4"/>
      <c r="DR743" s="4"/>
      <c r="DS743" s="4"/>
    </row>
    <row r="744">
      <c r="A744" s="9">
        <f>IFERROR(__xludf.DUMMYFUNCTION("""COMPUTED_VALUE"""),45664.0)</f>
        <v>45664</v>
      </c>
      <c r="B744" s="6" t="str">
        <f>IFERROR(__xludf.DUMMYFUNCTION("""COMPUTED_VALUE"""),"Groceries")</f>
        <v>Groceries</v>
      </c>
      <c r="C744" s="7">
        <f>IFERROR(__xludf.DUMMYFUNCTION("""COMPUTED_VALUE"""),10500.0)</f>
        <v>10500</v>
      </c>
      <c r="D744" s="6" t="str">
        <f>IFERROR(__xludf.DUMMYFUNCTION("""COMPUTED_VALUE"""),"Home Goods &amp; Utilities")</f>
        <v>Home Goods &amp; Utilities</v>
      </c>
      <c r="E744" s="6" t="str">
        <f>IFERROR(__xludf.DUMMYFUNCTION("""COMPUTED_VALUE"""),"Credit Card")</f>
        <v>Credit Card</v>
      </c>
      <c r="F744" s="6" t="s">
        <v>8</v>
      </c>
      <c r="G744" s="8" t="str">
        <f t="shared" si="1"/>
        <v>202501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  <c r="CD744" s="4"/>
      <c r="CE744" s="4"/>
      <c r="CF744" s="4"/>
      <c r="CG744" s="4"/>
      <c r="CH744" s="4"/>
      <c r="CI744" s="4"/>
      <c r="CJ744" s="4"/>
      <c r="CK744" s="4"/>
      <c r="CL744" s="4"/>
      <c r="CM744" s="4"/>
      <c r="CN744" s="4"/>
      <c r="CO744" s="4"/>
      <c r="CP744" s="4"/>
      <c r="CQ744" s="4"/>
      <c r="CR744" s="4"/>
      <c r="CS744" s="4"/>
      <c r="CT744" s="4"/>
      <c r="CU744" s="4"/>
      <c r="CV744" s="4"/>
      <c r="CW744" s="4"/>
      <c r="CX744" s="4"/>
      <c r="CY744" s="4"/>
      <c r="CZ744" s="4"/>
      <c r="DA744" s="4"/>
      <c r="DB744" s="4"/>
      <c r="DC744" s="4"/>
      <c r="DD744" s="4"/>
      <c r="DE744" s="4"/>
      <c r="DF744" s="4"/>
      <c r="DG744" s="4"/>
      <c r="DH744" s="4"/>
      <c r="DI744" s="4"/>
      <c r="DJ744" s="4"/>
      <c r="DK744" s="4"/>
      <c r="DL744" s="4"/>
      <c r="DM744" s="4"/>
      <c r="DN744" s="4"/>
      <c r="DO744" s="4"/>
      <c r="DP744" s="4"/>
      <c r="DQ744" s="4"/>
      <c r="DR744" s="4"/>
      <c r="DS744" s="4"/>
    </row>
    <row r="745">
      <c r="A745" s="9">
        <f>IFERROR(__xludf.DUMMYFUNCTION("""COMPUTED_VALUE"""),45664.0)</f>
        <v>45664</v>
      </c>
      <c r="B745" s="6" t="str">
        <f>IFERROR(__xludf.DUMMYFUNCTION("""COMPUTED_VALUE"""),"Restaurant")</f>
        <v>Restaurant</v>
      </c>
      <c r="C745" s="7">
        <f>IFERROR(__xludf.DUMMYFUNCTION("""COMPUTED_VALUE"""),55.0)</f>
        <v>55</v>
      </c>
      <c r="D745" s="6" t="str">
        <f>IFERROR(__xludf.DUMMYFUNCTION("""COMPUTED_VALUE"""),"Lunch Out")</f>
        <v>Lunch Out</v>
      </c>
      <c r="E745" s="6" t="str">
        <f>IFERROR(__xludf.DUMMYFUNCTION("""COMPUTED_VALUE"""),"Virtual Wallet")</f>
        <v>Virtual Wallet</v>
      </c>
      <c r="F745" s="6" t="s">
        <v>14</v>
      </c>
      <c r="G745" s="8" t="str">
        <f t="shared" si="1"/>
        <v>202501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  <c r="CD745" s="4"/>
      <c r="CE745" s="4"/>
      <c r="CF745" s="4"/>
      <c r="CG745" s="4"/>
      <c r="CH745" s="4"/>
      <c r="CI745" s="4"/>
      <c r="CJ745" s="4"/>
      <c r="CK745" s="4"/>
      <c r="CL745" s="4"/>
      <c r="CM745" s="4"/>
      <c r="CN745" s="4"/>
      <c r="CO745" s="4"/>
      <c r="CP745" s="4"/>
      <c r="CQ745" s="4"/>
      <c r="CR745" s="4"/>
      <c r="CS745" s="4"/>
      <c r="CT745" s="4"/>
      <c r="CU745" s="4"/>
      <c r="CV745" s="4"/>
      <c r="CW745" s="4"/>
      <c r="CX745" s="4"/>
      <c r="CY745" s="4"/>
      <c r="CZ745" s="4"/>
      <c r="DA745" s="4"/>
      <c r="DB745" s="4"/>
      <c r="DC745" s="4"/>
      <c r="DD745" s="4"/>
      <c r="DE745" s="4"/>
      <c r="DF745" s="4"/>
      <c r="DG745" s="4"/>
      <c r="DH745" s="4"/>
      <c r="DI745" s="4"/>
      <c r="DJ745" s="4"/>
      <c r="DK745" s="4"/>
      <c r="DL745" s="4"/>
      <c r="DM745" s="4"/>
      <c r="DN745" s="4"/>
      <c r="DO745" s="4"/>
      <c r="DP745" s="4"/>
      <c r="DQ745" s="4"/>
      <c r="DR745" s="4"/>
      <c r="DS745" s="4"/>
    </row>
    <row r="746">
      <c r="A746" s="9">
        <f>IFERROR(__xludf.DUMMYFUNCTION("""COMPUTED_VALUE"""),45665.0)</f>
        <v>45665</v>
      </c>
      <c r="B746" s="6" t="str">
        <f>IFERROR(__xludf.DUMMYFUNCTION("""COMPUTED_VALUE"""),"Groceries")</f>
        <v>Groceries</v>
      </c>
      <c r="C746" s="7">
        <f>IFERROR(__xludf.DUMMYFUNCTION("""COMPUTED_VALUE"""),5200.0)</f>
        <v>5200</v>
      </c>
      <c r="D746" s="6" t="str">
        <f>IFERROR(__xludf.DUMMYFUNCTION("""COMPUTED_VALUE"""),"Pets")</f>
        <v>Pets</v>
      </c>
      <c r="E746" s="6" t="str">
        <f>IFERROR(__xludf.DUMMYFUNCTION("""COMPUTED_VALUE"""),"Virtual Wallet")</f>
        <v>Virtual Wallet</v>
      </c>
      <c r="F746" s="6" t="s">
        <v>7</v>
      </c>
      <c r="G746" s="8" t="str">
        <f t="shared" si="1"/>
        <v>202501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  <c r="CD746" s="4"/>
      <c r="CE746" s="4"/>
      <c r="CF746" s="4"/>
      <c r="CG746" s="4"/>
      <c r="CH746" s="4"/>
      <c r="CI746" s="4"/>
      <c r="CJ746" s="4"/>
      <c r="CK746" s="4"/>
      <c r="CL746" s="4"/>
      <c r="CM746" s="4"/>
      <c r="CN746" s="4"/>
      <c r="CO746" s="4"/>
      <c r="CP746" s="4"/>
      <c r="CQ746" s="4"/>
      <c r="CR746" s="4"/>
      <c r="CS746" s="4"/>
      <c r="CT746" s="4"/>
      <c r="CU746" s="4"/>
      <c r="CV746" s="4"/>
      <c r="CW746" s="4"/>
      <c r="CX746" s="4"/>
      <c r="CY746" s="4"/>
      <c r="CZ746" s="4"/>
      <c r="DA746" s="4"/>
      <c r="DB746" s="4"/>
      <c r="DC746" s="4"/>
      <c r="DD746" s="4"/>
      <c r="DE746" s="4"/>
      <c r="DF746" s="4"/>
      <c r="DG746" s="4"/>
      <c r="DH746" s="4"/>
      <c r="DI746" s="4"/>
      <c r="DJ746" s="4"/>
      <c r="DK746" s="4"/>
      <c r="DL746" s="4"/>
      <c r="DM746" s="4"/>
      <c r="DN746" s="4"/>
      <c r="DO746" s="4"/>
      <c r="DP746" s="4"/>
      <c r="DQ746" s="4"/>
      <c r="DR746" s="4"/>
      <c r="DS746" s="4"/>
    </row>
    <row r="747">
      <c r="A747" s="9">
        <f>IFERROR(__xludf.DUMMYFUNCTION("""COMPUTED_VALUE"""),45665.0)</f>
        <v>45665</v>
      </c>
      <c r="B747" s="6" t="str">
        <f>IFERROR(__xludf.DUMMYFUNCTION("""COMPUTED_VALUE"""),"Groceries")</f>
        <v>Groceries</v>
      </c>
      <c r="C747" s="7">
        <f>IFERROR(__xludf.DUMMYFUNCTION("""COMPUTED_VALUE"""),3950.0)</f>
        <v>3950</v>
      </c>
      <c r="D747" s="6" t="str">
        <f>IFERROR(__xludf.DUMMYFUNCTION("""COMPUTED_VALUE"""),"Groceries")</f>
        <v>Groceries</v>
      </c>
      <c r="E747" s="6" t="str">
        <f>IFERROR(__xludf.DUMMYFUNCTION("""COMPUTED_VALUE"""),"Virtual Wallet")</f>
        <v>Virtual Wallet</v>
      </c>
      <c r="F747" s="6" t="s">
        <v>7</v>
      </c>
      <c r="G747" s="8" t="str">
        <f t="shared" si="1"/>
        <v>202501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  <c r="CD747" s="4"/>
      <c r="CE747" s="4"/>
      <c r="CF747" s="4"/>
      <c r="CG747" s="4"/>
      <c r="CH747" s="4"/>
      <c r="CI747" s="4"/>
      <c r="CJ747" s="4"/>
      <c r="CK747" s="4"/>
      <c r="CL747" s="4"/>
      <c r="CM747" s="4"/>
      <c r="CN747" s="4"/>
      <c r="CO747" s="4"/>
      <c r="CP747" s="4"/>
      <c r="CQ747" s="4"/>
      <c r="CR747" s="4"/>
      <c r="CS747" s="4"/>
      <c r="CT747" s="4"/>
      <c r="CU747" s="4"/>
      <c r="CV747" s="4"/>
      <c r="CW747" s="4"/>
      <c r="CX747" s="4"/>
      <c r="CY747" s="4"/>
      <c r="CZ747" s="4"/>
      <c r="DA747" s="4"/>
      <c r="DB747" s="4"/>
      <c r="DC747" s="4"/>
      <c r="DD747" s="4"/>
      <c r="DE747" s="4"/>
      <c r="DF747" s="4"/>
      <c r="DG747" s="4"/>
      <c r="DH747" s="4"/>
      <c r="DI747" s="4"/>
      <c r="DJ747" s="4"/>
      <c r="DK747" s="4"/>
      <c r="DL747" s="4"/>
      <c r="DM747" s="4"/>
      <c r="DN747" s="4"/>
      <c r="DO747" s="4"/>
      <c r="DP747" s="4"/>
      <c r="DQ747" s="4"/>
      <c r="DR747" s="4"/>
      <c r="DS747" s="4"/>
    </row>
    <row r="748">
      <c r="A748" s="9">
        <f>IFERROR(__xludf.DUMMYFUNCTION("""COMPUTED_VALUE"""),45665.0)</f>
        <v>45665</v>
      </c>
      <c r="B748" s="6" t="str">
        <f>IFERROR(__xludf.DUMMYFUNCTION("""COMPUTED_VALUE"""),"Restaurant")</f>
        <v>Restaurant</v>
      </c>
      <c r="C748" s="7">
        <f>IFERROR(__xludf.DUMMYFUNCTION("""COMPUTED_VALUE"""),2325.0)</f>
        <v>2325</v>
      </c>
      <c r="D748" s="6" t="str">
        <f>IFERROR(__xludf.DUMMYFUNCTION("""COMPUTED_VALUE"""),"Groceries")</f>
        <v>Groceries</v>
      </c>
      <c r="E748" s="6" t="str">
        <f>IFERROR(__xludf.DUMMYFUNCTION("""COMPUTED_VALUE"""),"Virtual Wallet")</f>
        <v>Virtual Wallet</v>
      </c>
      <c r="F748" s="6" t="s">
        <v>7</v>
      </c>
      <c r="G748" s="8" t="str">
        <f t="shared" si="1"/>
        <v>202501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  <c r="CD748" s="4"/>
      <c r="CE748" s="4"/>
      <c r="CF748" s="4"/>
      <c r="CG748" s="4"/>
      <c r="CH748" s="4"/>
      <c r="CI748" s="4"/>
      <c r="CJ748" s="4"/>
      <c r="CK748" s="4"/>
      <c r="CL748" s="4"/>
      <c r="CM748" s="4"/>
      <c r="CN748" s="4"/>
      <c r="CO748" s="4"/>
      <c r="CP748" s="4"/>
      <c r="CQ748" s="4"/>
      <c r="CR748" s="4"/>
      <c r="CS748" s="4"/>
      <c r="CT748" s="4"/>
      <c r="CU748" s="4"/>
      <c r="CV748" s="4"/>
      <c r="CW748" s="4"/>
      <c r="CX748" s="4"/>
      <c r="CY748" s="4"/>
      <c r="CZ748" s="4"/>
      <c r="DA748" s="4"/>
      <c r="DB748" s="4"/>
      <c r="DC748" s="4"/>
      <c r="DD748" s="4"/>
      <c r="DE748" s="4"/>
      <c r="DF748" s="4"/>
      <c r="DG748" s="4"/>
      <c r="DH748" s="4"/>
      <c r="DI748" s="4"/>
      <c r="DJ748" s="4"/>
      <c r="DK748" s="4"/>
      <c r="DL748" s="4"/>
      <c r="DM748" s="4"/>
      <c r="DN748" s="4"/>
      <c r="DO748" s="4"/>
      <c r="DP748" s="4"/>
      <c r="DQ748" s="4"/>
      <c r="DR748" s="4"/>
      <c r="DS748" s="4"/>
    </row>
    <row r="749">
      <c r="A749" s="9">
        <f>IFERROR(__xludf.DUMMYFUNCTION("""COMPUTED_VALUE"""),45665.0)</f>
        <v>45665</v>
      </c>
      <c r="B749" s="6" t="str">
        <f>IFERROR(__xludf.DUMMYFUNCTION("""COMPUTED_VALUE"""),"Restaurant")</f>
        <v>Restaurant</v>
      </c>
      <c r="C749" s="7">
        <f>IFERROR(__xludf.DUMMYFUNCTION("""COMPUTED_VALUE"""),69.0)</f>
        <v>69</v>
      </c>
      <c r="D749" s="6" t="str">
        <f>IFERROR(__xludf.DUMMYFUNCTION("""COMPUTED_VALUE"""),"Restaurant / Café")</f>
        <v>Restaurant / Café</v>
      </c>
      <c r="E749" s="6" t="str">
        <f>IFERROR(__xludf.DUMMYFUNCTION("""COMPUTED_VALUE"""),"Virtual Wallet")</f>
        <v>Virtual Wallet</v>
      </c>
      <c r="F749" s="6" t="s">
        <v>14</v>
      </c>
      <c r="G749" s="8" t="str">
        <f t="shared" si="1"/>
        <v>202501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  <c r="CD749" s="4"/>
      <c r="CE749" s="4"/>
      <c r="CF749" s="4"/>
      <c r="CG749" s="4"/>
      <c r="CH749" s="4"/>
      <c r="CI749" s="4"/>
      <c r="CJ749" s="4"/>
      <c r="CK749" s="4"/>
      <c r="CL749" s="4"/>
      <c r="CM749" s="4"/>
      <c r="CN749" s="4"/>
      <c r="CO749" s="4"/>
      <c r="CP749" s="4"/>
      <c r="CQ749" s="4"/>
      <c r="CR749" s="4"/>
      <c r="CS749" s="4"/>
      <c r="CT749" s="4"/>
      <c r="CU749" s="4"/>
      <c r="CV749" s="4"/>
      <c r="CW749" s="4"/>
      <c r="CX749" s="4"/>
      <c r="CY749" s="4"/>
      <c r="CZ749" s="4"/>
      <c r="DA749" s="4"/>
      <c r="DB749" s="4"/>
      <c r="DC749" s="4"/>
      <c r="DD749" s="4"/>
      <c r="DE749" s="4"/>
      <c r="DF749" s="4"/>
      <c r="DG749" s="4"/>
      <c r="DH749" s="4"/>
      <c r="DI749" s="4"/>
      <c r="DJ749" s="4"/>
      <c r="DK749" s="4"/>
      <c r="DL749" s="4"/>
      <c r="DM749" s="4"/>
      <c r="DN749" s="4"/>
      <c r="DO749" s="4"/>
      <c r="DP749" s="4"/>
      <c r="DQ749" s="4"/>
      <c r="DR749" s="4"/>
      <c r="DS749" s="4"/>
    </row>
    <row r="750">
      <c r="A750" s="9">
        <f>IFERROR(__xludf.DUMMYFUNCTION("""COMPUTED_VALUE"""),45666.0)</f>
        <v>45666</v>
      </c>
      <c r="B750" s="6" t="str">
        <f>IFERROR(__xludf.DUMMYFUNCTION("""COMPUTED_VALUE"""),"Restaurant")</f>
        <v>Restaurant</v>
      </c>
      <c r="C750" s="7">
        <f>IFERROR(__xludf.DUMMYFUNCTION("""COMPUTED_VALUE"""),9189.0)</f>
        <v>9189</v>
      </c>
      <c r="D750" s="6" t="str">
        <f>IFERROR(__xludf.DUMMYFUNCTION("""COMPUTED_VALUE"""),"Restaurant / Café")</f>
        <v>Restaurant / Café</v>
      </c>
      <c r="E750" s="6" t="str">
        <f>IFERROR(__xludf.DUMMYFUNCTION("""COMPUTED_VALUE"""),"Split Payment")</f>
        <v>Split Payment</v>
      </c>
      <c r="F750" s="6" t="s">
        <v>14</v>
      </c>
      <c r="G750" s="8" t="str">
        <f t="shared" si="1"/>
        <v>202501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  <c r="CD750" s="4"/>
      <c r="CE750" s="4"/>
      <c r="CF750" s="4"/>
      <c r="CG750" s="4"/>
      <c r="CH750" s="4"/>
      <c r="CI750" s="4"/>
      <c r="CJ750" s="4"/>
      <c r="CK750" s="4"/>
      <c r="CL750" s="4"/>
      <c r="CM750" s="4"/>
      <c r="CN750" s="4"/>
      <c r="CO750" s="4"/>
      <c r="CP750" s="4"/>
      <c r="CQ750" s="4"/>
      <c r="CR750" s="4"/>
      <c r="CS750" s="4"/>
      <c r="CT750" s="4"/>
      <c r="CU750" s="4"/>
      <c r="CV750" s="4"/>
      <c r="CW750" s="4"/>
      <c r="CX750" s="4"/>
      <c r="CY750" s="4"/>
      <c r="CZ750" s="4"/>
      <c r="DA750" s="4"/>
      <c r="DB750" s="4"/>
      <c r="DC750" s="4"/>
      <c r="DD750" s="4"/>
      <c r="DE750" s="4"/>
      <c r="DF750" s="4"/>
      <c r="DG750" s="4"/>
      <c r="DH750" s="4"/>
      <c r="DI750" s="4"/>
      <c r="DJ750" s="4"/>
      <c r="DK750" s="4"/>
      <c r="DL750" s="4"/>
      <c r="DM750" s="4"/>
      <c r="DN750" s="4"/>
      <c r="DO750" s="4"/>
      <c r="DP750" s="4"/>
      <c r="DQ750" s="4"/>
      <c r="DR750" s="4"/>
      <c r="DS750" s="4"/>
    </row>
    <row r="751">
      <c r="A751" s="9">
        <f>IFERROR(__xludf.DUMMYFUNCTION("""COMPUTED_VALUE"""),45666.0)</f>
        <v>45666</v>
      </c>
      <c r="B751" s="6" t="str">
        <f>IFERROR(__xludf.DUMMYFUNCTION("""COMPUTED_VALUE"""),"Streaming Services")</f>
        <v>Streaming Services</v>
      </c>
      <c r="C751" s="7">
        <f>IFERROR(__xludf.DUMMYFUNCTION("""COMPUTED_VALUE"""),2491.0)</f>
        <v>2491</v>
      </c>
      <c r="D751" s="6" t="str">
        <f>IFERROR(__xludf.DUMMYFUNCTION("""COMPUTED_VALUE"""),"Streaming Services")</f>
        <v>Streaming Services</v>
      </c>
      <c r="E751" s="6" t="str">
        <f>IFERROR(__xludf.DUMMYFUNCTION("""COMPUTED_VALUE"""),"Credit Card")</f>
        <v>Credit Card</v>
      </c>
      <c r="F751" s="6" t="s">
        <v>12</v>
      </c>
      <c r="G751" s="8" t="str">
        <f t="shared" si="1"/>
        <v>202501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  <c r="CD751" s="4"/>
      <c r="CE751" s="4"/>
      <c r="CF751" s="4"/>
      <c r="CG751" s="4"/>
      <c r="CH751" s="4"/>
      <c r="CI751" s="4"/>
      <c r="CJ751" s="4"/>
      <c r="CK751" s="4"/>
      <c r="CL751" s="4"/>
      <c r="CM751" s="4"/>
      <c r="CN751" s="4"/>
      <c r="CO751" s="4"/>
      <c r="CP751" s="4"/>
      <c r="CQ751" s="4"/>
      <c r="CR751" s="4"/>
      <c r="CS751" s="4"/>
      <c r="CT751" s="4"/>
      <c r="CU751" s="4"/>
      <c r="CV751" s="4"/>
      <c r="CW751" s="4"/>
      <c r="CX751" s="4"/>
      <c r="CY751" s="4"/>
      <c r="CZ751" s="4"/>
      <c r="DA751" s="4"/>
      <c r="DB751" s="4"/>
      <c r="DC751" s="4"/>
      <c r="DD751" s="4"/>
      <c r="DE751" s="4"/>
      <c r="DF751" s="4"/>
      <c r="DG751" s="4"/>
      <c r="DH751" s="4"/>
      <c r="DI751" s="4"/>
      <c r="DJ751" s="4"/>
      <c r="DK751" s="4"/>
      <c r="DL751" s="4"/>
      <c r="DM751" s="4"/>
      <c r="DN751" s="4"/>
      <c r="DO751" s="4"/>
      <c r="DP751" s="4"/>
      <c r="DQ751" s="4"/>
      <c r="DR751" s="4"/>
      <c r="DS751" s="4"/>
    </row>
    <row r="752">
      <c r="A752" s="9">
        <f>IFERROR(__xludf.DUMMYFUNCTION("""COMPUTED_VALUE"""),45667.0)</f>
        <v>45667</v>
      </c>
      <c r="B752" s="6" t="str">
        <f>IFERROR(__xludf.DUMMYFUNCTION("""COMPUTED_VALUE"""),"Cab/Uber")</f>
        <v>Cab/Uber</v>
      </c>
      <c r="C752" s="7">
        <f>IFERROR(__xludf.DUMMYFUNCTION("""COMPUTED_VALUE"""),2000.0)</f>
        <v>2000</v>
      </c>
      <c r="D752" s="6" t="str">
        <f>IFERROR(__xludf.DUMMYFUNCTION("""COMPUTED_VALUE"""),"Transportation")</f>
        <v>Transportation</v>
      </c>
      <c r="E752" s="6" t="str">
        <f>IFERROR(__xludf.DUMMYFUNCTION("""COMPUTED_VALUE"""),"Virtual Wallet")</f>
        <v>Virtual Wallet</v>
      </c>
      <c r="F752" s="6" t="s">
        <v>9</v>
      </c>
      <c r="G752" s="8" t="str">
        <f t="shared" si="1"/>
        <v>202501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  <c r="CD752" s="4"/>
      <c r="CE752" s="4"/>
      <c r="CF752" s="4"/>
      <c r="CG752" s="4"/>
      <c r="CH752" s="4"/>
      <c r="CI752" s="4"/>
      <c r="CJ752" s="4"/>
      <c r="CK752" s="4"/>
      <c r="CL752" s="4"/>
      <c r="CM752" s="4"/>
      <c r="CN752" s="4"/>
      <c r="CO752" s="4"/>
      <c r="CP752" s="4"/>
      <c r="CQ752" s="4"/>
      <c r="CR752" s="4"/>
      <c r="CS752" s="4"/>
      <c r="CT752" s="4"/>
      <c r="CU752" s="4"/>
      <c r="CV752" s="4"/>
      <c r="CW752" s="4"/>
      <c r="CX752" s="4"/>
      <c r="CY752" s="4"/>
      <c r="CZ752" s="4"/>
      <c r="DA752" s="4"/>
      <c r="DB752" s="4"/>
      <c r="DC752" s="4"/>
      <c r="DD752" s="4"/>
      <c r="DE752" s="4"/>
      <c r="DF752" s="4"/>
      <c r="DG752" s="4"/>
      <c r="DH752" s="4"/>
      <c r="DI752" s="4"/>
      <c r="DJ752" s="4"/>
      <c r="DK752" s="4"/>
      <c r="DL752" s="4"/>
      <c r="DM752" s="4"/>
      <c r="DN752" s="4"/>
      <c r="DO752" s="4"/>
      <c r="DP752" s="4"/>
      <c r="DQ752" s="4"/>
      <c r="DR752" s="4"/>
      <c r="DS752" s="4"/>
    </row>
    <row r="753">
      <c r="A753" s="9">
        <f>IFERROR(__xludf.DUMMYFUNCTION("""COMPUTED_VALUE"""),45667.0)</f>
        <v>45667</v>
      </c>
      <c r="B753" s="6" t="str">
        <f>IFERROR(__xludf.DUMMYFUNCTION("""COMPUTED_VALUE"""),"Clothing")</f>
        <v>Clothing</v>
      </c>
      <c r="C753" s="7">
        <f>IFERROR(__xludf.DUMMYFUNCTION("""COMPUTED_VALUE"""),19651.0)</f>
        <v>19651</v>
      </c>
      <c r="D753" s="6" t="str">
        <f>IFERROR(__xludf.DUMMYFUNCTION("""COMPUTED_VALUE"""),"Clothing")</f>
        <v>Clothing</v>
      </c>
      <c r="E753" s="6" t="str">
        <f>IFERROR(__xludf.DUMMYFUNCTION("""COMPUTED_VALUE"""),"Credit Card")</f>
        <v>Credit Card</v>
      </c>
      <c r="F753" s="6" t="s">
        <v>10</v>
      </c>
      <c r="G753" s="8" t="str">
        <f t="shared" si="1"/>
        <v>202501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  <c r="CD753" s="4"/>
      <c r="CE753" s="4"/>
      <c r="CF753" s="4"/>
      <c r="CG753" s="4"/>
      <c r="CH753" s="4"/>
      <c r="CI753" s="4"/>
      <c r="CJ753" s="4"/>
      <c r="CK753" s="4"/>
      <c r="CL753" s="4"/>
      <c r="CM753" s="4"/>
      <c r="CN753" s="4"/>
      <c r="CO753" s="4"/>
      <c r="CP753" s="4"/>
      <c r="CQ753" s="4"/>
      <c r="CR753" s="4"/>
      <c r="CS753" s="4"/>
      <c r="CT753" s="4"/>
      <c r="CU753" s="4"/>
      <c r="CV753" s="4"/>
      <c r="CW753" s="4"/>
      <c r="CX753" s="4"/>
      <c r="CY753" s="4"/>
      <c r="CZ753" s="4"/>
      <c r="DA753" s="4"/>
      <c r="DB753" s="4"/>
      <c r="DC753" s="4"/>
      <c r="DD753" s="4"/>
      <c r="DE753" s="4"/>
      <c r="DF753" s="4"/>
      <c r="DG753" s="4"/>
      <c r="DH753" s="4"/>
      <c r="DI753" s="4"/>
      <c r="DJ753" s="4"/>
      <c r="DK753" s="4"/>
      <c r="DL753" s="4"/>
      <c r="DM753" s="4"/>
      <c r="DN753" s="4"/>
      <c r="DO753" s="4"/>
      <c r="DP753" s="4"/>
      <c r="DQ753" s="4"/>
      <c r="DR753" s="4"/>
      <c r="DS753" s="4"/>
    </row>
    <row r="754">
      <c r="A754" s="9">
        <f>IFERROR(__xludf.DUMMYFUNCTION("""COMPUTED_VALUE"""),45667.0)</f>
        <v>45667</v>
      </c>
      <c r="B754" s="6" t="str">
        <f>IFERROR(__xludf.DUMMYFUNCTION("""COMPUTED_VALUE"""),"Groceries")</f>
        <v>Groceries</v>
      </c>
      <c r="C754" s="7">
        <f>IFERROR(__xludf.DUMMYFUNCTION("""COMPUTED_VALUE"""),40.0)</f>
        <v>40</v>
      </c>
      <c r="D754" s="6" t="str">
        <f>IFERROR(__xludf.DUMMYFUNCTION("""COMPUTED_VALUE"""),"Groceries")</f>
        <v>Groceries</v>
      </c>
      <c r="E754" s="6" t="str">
        <f>IFERROR(__xludf.DUMMYFUNCTION("""COMPUTED_VALUE"""),"Virtual Wallet")</f>
        <v>Virtual Wallet</v>
      </c>
      <c r="F754" s="6" t="s">
        <v>7</v>
      </c>
      <c r="G754" s="8" t="str">
        <f t="shared" si="1"/>
        <v>202501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  <c r="CD754" s="4"/>
      <c r="CE754" s="4"/>
      <c r="CF754" s="4"/>
      <c r="CG754" s="4"/>
      <c r="CH754" s="4"/>
      <c r="CI754" s="4"/>
      <c r="CJ754" s="4"/>
      <c r="CK754" s="4"/>
      <c r="CL754" s="4"/>
      <c r="CM754" s="4"/>
      <c r="CN754" s="4"/>
      <c r="CO754" s="4"/>
      <c r="CP754" s="4"/>
      <c r="CQ754" s="4"/>
      <c r="CR754" s="4"/>
      <c r="CS754" s="4"/>
      <c r="CT754" s="4"/>
      <c r="CU754" s="4"/>
      <c r="CV754" s="4"/>
      <c r="CW754" s="4"/>
      <c r="CX754" s="4"/>
      <c r="CY754" s="4"/>
      <c r="CZ754" s="4"/>
      <c r="DA754" s="4"/>
      <c r="DB754" s="4"/>
      <c r="DC754" s="4"/>
      <c r="DD754" s="4"/>
      <c r="DE754" s="4"/>
      <c r="DF754" s="4"/>
      <c r="DG754" s="4"/>
      <c r="DH754" s="4"/>
      <c r="DI754" s="4"/>
      <c r="DJ754" s="4"/>
      <c r="DK754" s="4"/>
      <c r="DL754" s="4"/>
      <c r="DM754" s="4"/>
      <c r="DN754" s="4"/>
      <c r="DO754" s="4"/>
      <c r="DP754" s="4"/>
      <c r="DQ754" s="4"/>
      <c r="DR754" s="4"/>
      <c r="DS754" s="4"/>
    </row>
    <row r="755">
      <c r="A755" s="9">
        <f>IFERROR(__xludf.DUMMYFUNCTION("""COMPUTED_VALUE"""),45667.0)</f>
        <v>45667</v>
      </c>
      <c r="B755" s="6" t="str">
        <f>IFERROR(__xludf.DUMMYFUNCTION("""COMPUTED_VALUE"""),"Groceries")</f>
        <v>Groceries</v>
      </c>
      <c r="C755" s="7">
        <f>IFERROR(__xludf.DUMMYFUNCTION("""COMPUTED_VALUE"""),26559.0)</f>
        <v>26559</v>
      </c>
      <c r="D755" s="6" t="str">
        <f>IFERROR(__xludf.DUMMYFUNCTION("""COMPUTED_VALUE"""),"Restaurant / Café")</f>
        <v>Restaurant / Café</v>
      </c>
      <c r="E755" s="6" t="str">
        <f>IFERROR(__xludf.DUMMYFUNCTION("""COMPUTED_VALUE"""),"Virtual Wallet")</f>
        <v>Virtual Wallet</v>
      </c>
      <c r="F755" s="6" t="s">
        <v>14</v>
      </c>
      <c r="G755" s="8" t="str">
        <f t="shared" si="1"/>
        <v>202501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  <c r="CD755" s="4"/>
      <c r="CE755" s="4"/>
      <c r="CF755" s="4"/>
      <c r="CG755" s="4"/>
      <c r="CH755" s="4"/>
      <c r="CI755" s="4"/>
      <c r="CJ755" s="4"/>
      <c r="CK755" s="4"/>
      <c r="CL755" s="4"/>
      <c r="CM755" s="4"/>
      <c r="CN755" s="4"/>
      <c r="CO755" s="4"/>
      <c r="CP755" s="4"/>
      <c r="CQ755" s="4"/>
      <c r="CR755" s="4"/>
      <c r="CS755" s="4"/>
      <c r="CT755" s="4"/>
      <c r="CU755" s="4"/>
      <c r="CV755" s="4"/>
      <c r="CW755" s="4"/>
      <c r="CX755" s="4"/>
      <c r="CY755" s="4"/>
      <c r="CZ755" s="4"/>
      <c r="DA755" s="4"/>
      <c r="DB755" s="4"/>
      <c r="DC755" s="4"/>
      <c r="DD755" s="4"/>
      <c r="DE755" s="4"/>
      <c r="DF755" s="4"/>
      <c r="DG755" s="4"/>
      <c r="DH755" s="4"/>
      <c r="DI755" s="4"/>
      <c r="DJ755" s="4"/>
      <c r="DK755" s="4"/>
      <c r="DL755" s="4"/>
      <c r="DM755" s="4"/>
      <c r="DN755" s="4"/>
      <c r="DO755" s="4"/>
      <c r="DP755" s="4"/>
      <c r="DQ755" s="4"/>
      <c r="DR755" s="4"/>
      <c r="DS755" s="4"/>
    </row>
    <row r="756">
      <c r="A756" s="9">
        <f>IFERROR(__xludf.DUMMYFUNCTION("""COMPUTED_VALUE"""),45667.0)</f>
        <v>45667</v>
      </c>
      <c r="B756" s="6" t="str">
        <f>IFERROR(__xludf.DUMMYFUNCTION("""COMPUTED_VALUE"""),"Sports")</f>
        <v>Sports</v>
      </c>
      <c r="C756" s="7">
        <f>IFERROR(__xludf.DUMMYFUNCTION("""COMPUTED_VALUE"""),69000.0)</f>
        <v>69000</v>
      </c>
      <c r="D756" s="6" t="str">
        <f>IFERROR(__xludf.DUMMYFUNCTION("""COMPUTED_VALUE"""),"Sports")</f>
        <v>Sports</v>
      </c>
      <c r="E756" s="6" t="str">
        <f>IFERROR(__xludf.DUMMYFUNCTION("""COMPUTED_VALUE"""),"Cash")</f>
        <v>Cash</v>
      </c>
      <c r="F756" s="6" t="s">
        <v>12</v>
      </c>
      <c r="G756" s="8" t="str">
        <f t="shared" si="1"/>
        <v>202501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  <c r="CD756" s="4"/>
      <c r="CE756" s="4"/>
      <c r="CF756" s="4"/>
      <c r="CG756" s="4"/>
      <c r="CH756" s="4"/>
      <c r="CI756" s="4"/>
      <c r="CJ756" s="4"/>
      <c r="CK756" s="4"/>
      <c r="CL756" s="4"/>
      <c r="CM756" s="4"/>
      <c r="CN756" s="4"/>
      <c r="CO756" s="4"/>
      <c r="CP756" s="4"/>
      <c r="CQ756" s="4"/>
      <c r="CR756" s="4"/>
      <c r="CS756" s="4"/>
      <c r="CT756" s="4"/>
      <c r="CU756" s="4"/>
      <c r="CV756" s="4"/>
      <c r="CW756" s="4"/>
      <c r="CX756" s="4"/>
      <c r="CY756" s="4"/>
      <c r="CZ756" s="4"/>
      <c r="DA756" s="4"/>
      <c r="DB756" s="4"/>
      <c r="DC756" s="4"/>
      <c r="DD756" s="4"/>
      <c r="DE756" s="4"/>
      <c r="DF756" s="4"/>
      <c r="DG756" s="4"/>
      <c r="DH756" s="4"/>
      <c r="DI756" s="4"/>
      <c r="DJ756" s="4"/>
      <c r="DK756" s="4"/>
      <c r="DL756" s="4"/>
      <c r="DM756" s="4"/>
      <c r="DN756" s="4"/>
      <c r="DO756" s="4"/>
      <c r="DP756" s="4"/>
      <c r="DQ756" s="4"/>
      <c r="DR756" s="4"/>
      <c r="DS756" s="4"/>
    </row>
    <row r="757">
      <c r="A757" s="9">
        <f>IFERROR(__xludf.DUMMYFUNCTION("""COMPUTED_VALUE"""),45668.0)</f>
        <v>45668</v>
      </c>
      <c r="B757" s="6" t="str">
        <f>IFERROR(__xludf.DUMMYFUNCTION("""COMPUTED_VALUE"""),"Gift")</f>
        <v>Gift</v>
      </c>
      <c r="C757" s="7">
        <f>IFERROR(__xludf.DUMMYFUNCTION("""COMPUTED_VALUE"""),6033.0)</f>
        <v>6033</v>
      </c>
      <c r="D757" s="6" t="str">
        <f>IFERROR(__xludf.DUMMYFUNCTION("""COMPUTED_VALUE"""),"Gifts")</f>
        <v>Gifts</v>
      </c>
      <c r="E757" s="6" t="str">
        <f>IFERROR(__xludf.DUMMYFUNCTION("""COMPUTED_VALUE"""),"Credit Card")</f>
        <v>Credit Card</v>
      </c>
      <c r="F757" s="6"/>
      <c r="G757" s="8" t="str">
        <f t="shared" si="1"/>
        <v>202501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  <c r="CD757" s="4"/>
      <c r="CE757" s="4"/>
      <c r="CF757" s="4"/>
      <c r="CG757" s="4"/>
      <c r="CH757" s="4"/>
      <c r="CI757" s="4"/>
      <c r="CJ757" s="4"/>
      <c r="CK757" s="4"/>
      <c r="CL757" s="4"/>
      <c r="CM757" s="4"/>
      <c r="CN757" s="4"/>
      <c r="CO757" s="4"/>
      <c r="CP757" s="4"/>
      <c r="CQ757" s="4"/>
      <c r="CR757" s="4"/>
      <c r="CS757" s="4"/>
      <c r="CT757" s="4"/>
      <c r="CU757" s="4"/>
      <c r="CV757" s="4"/>
      <c r="CW757" s="4"/>
      <c r="CX757" s="4"/>
      <c r="CY757" s="4"/>
      <c r="CZ757" s="4"/>
      <c r="DA757" s="4"/>
      <c r="DB757" s="4"/>
      <c r="DC757" s="4"/>
      <c r="DD757" s="4"/>
      <c r="DE757" s="4"/>
      <c r="DF757" s="4"/>
      <c r="DG757" s="4"/>
      <c r="DH757" s="4"/>
      <c r="DI757" s="4"/>
      <c r="DJ757" s="4"/>
      <c r="DK757" s="4"/>
      <c r="DL757" s="4"/>
      <c r="DM757" s="4"/>
      <c r="DN757" s="4"/>
      <c r="DO757" s="4"/>
      <c r="DP757" s="4"/>
      <c r="DQ757" s="4"/>
      <c r="DR757" s="4"/>
      <c r="DS757" s="4"/>
    </row>
    <row r="758">
      <c r="A758" s="9">
        <f>IFERROR(__xludf.DUMMYFUNCTION("""COMPUTED_VALUE"""),45668.0)</f>
        <v>45668</v>
      </c>
      <c r="B758" s="6" t="str">
        <f>IFERROR(__xludf.DUMMYFUNCTION("""COMPUTED_VALUE"""),"Cab/Uber")</f>
        <v>Cab/Uber</v>
      </c>
      <c r="C758" s="7">
        <f>IFERROR(__xludf.DUMMYFUNCTION("""COMPUTED_VALUE"""),4024.0)</f>
        <v>4024</v>
      </c>
      <c r="D758" s="6" t="str">
        <f>IFERROR(__xludf.DUMMYFUNCTION("""COMPUTED_VALUE"""),"Transportation")</f>
        <v>Transportation</v>
      </c>
      <c r="E758" s="6" t="str">
        <f>IFERROR(__xludf.DUMMYFUNCTION("""COMPUTED_VALUE"""),"Virtual Wallet")</f>
        <v>Virtual Wallet</v>
      </c>
      <c r="F758" s="6" t="s">
        <v>9</v>
      </c>
      <c r="G758" s="8" t="str">
        <f t="shared" si="1"/>
        <v>202501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  <c r="CD758" s="4"/>
      <c r="CE758" s="4"/>
      <c r="CF758" s="4"/>
      <c r="CG758" s="4"/>
      <c r="CH758" s="4"/>
      <c r="CI758" s="4"/>
      <c r="CJ758" s="4"/>
      <c r="CK758" s="4"/>
      <c r="CL758" s="4"/>
      <c r="CM758" s="4"/>
      <c r="CN758" s="4"/>
      <c r="CO758" s="4"/>
      <c r="CP758" s="4"/>
      <c r="CQ758" s="4"/>
      <c r="CR758" s="4"/>
      <c r="CS758" s="4"/>
      <c r="CT758" s="4"/>
      <c r="CU758" s="4"/>
      <c r="CV758" s="4"/>
      <c r="CW758" s="4"/>
      <c r="CX758" s="4"/>
      <c r="CY758" s="4"/>
      <c r="CZ758" s="4"/>
      <c r="DA758" s="4"/>
      <c r="DB758" s="4"/>
      <c r="DC758" s="4"/>
      <c r="DD758" s="4"/>
      <c r="DE758" s="4"/>
      <c r="DF758" s="4"/>
      <c r="DG758" s="4"/>
      <c r="DH758" s="4"/>
      <c r="DI758" s="4"/>
      <c r="DJ758" s="4"/>
      <c r="DK758" s="4"/>
      <c r="DL758" s="4"/>
      <c r="DM758" s="4"/>
      <c r="DN758" s="4"/>
      <c r="DO758" s="4"/>
      <c r="DP758" s="4"/>
      <c r="DQ758" s="4"/>
      <c r="DR758" s="4"/>
      <c r="DS758" s="4"/>
    </row>
    <row r="759">
      <c r="A759" s="9">
        <f>IFERROR(__xludf.DUMMYFUNCTION("""COMPUTED_VALUE"""),45668.0)</f>
        <v>45668</v>
      </c>
      <c r="B759" s="6" t="str">
        <f>IFERROR(__xludf.DUMMYFUNCTION("""COMPUTED_VALUE"""),"Gasoline")</f>
        <v>Gasoline</v>
      </c>
      <c r="C759" s="7">
        <f>IFERROR(__xludf.DUMMYFUNCTION("""COMPUTED_VALUE"""),10000.0)</f>
        <v>10000</v>
      </c>
      <c r="D759" s="6" t="str">
        <f>IFERROR(__xludf.DUMMYFUNCTION("""COMPUTED_VALUE"""),"Car Expenses")</f>
        <v>Car Expenses</v>
      </c>
      <c r="E759" s="6" t="str">
        <f>IFERROR(__xludf.DUMMYFUNCTION("""COMPUTED_VALUE"""),"Virtual Wallet")</f>
        <v>Virtual Wallet</v>
      </c>
      <c r="F759" s="6" t="s">
        <v>9</v>
      </c>
      <c r="G759" s="8" t="str">
        <f t="shared" si="1"/>
        <v>202501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  <c r="CD759" s="4"/>
      <c r="CE759" s="4"/>
      <c r="CF759" s="4"/>
      <c r="CG759" s="4"/>
      <c r="CH759" s="4"/>
      <c r="CI759" s="4"/>
      <c r="CJ759" s="4"/>
      <c r="CK759" s="4"/>
      <c r="CL759" s="4"/>
      <c r="CM759" s="4"/>
      <c r="CN759" s="4"/>
      <c r="CO759" s="4"/>
      <c r="CP759" s="4"/>
      <c r="CQ759" s="4"/>
      <c r="CR759" s="4"/>
      <c r="CS759" s="4"/>
      <c r="CT759" s="4"/>
      <c r="CU759" s="4"/>
      <c r="CV759" s="4"/>
      <c r="CW759" s="4"/>
      <c r="CX759" s="4"/>
      <c r="CY759" s="4"/>
      <c r="CZ759" s="4"/>
      <c r="DA759" s="4"/>
      <c r="DB759" s="4"/>
      <c r="DC759" s="4"/>
      <c r="DD759" s="4"/>
      <c r="DE759" s="4"/>
      <c r="DF759" s="4"/>
      <c r="DG759" s="4"/>
      <c r="DH759" s="4"/>
      <c r="DI759" s="4"/>
      <c r="DJ759" s="4"/>
      <c r="DK759" s="4"/>
      <c r="DL759" s="4"/>
      <c r="DM759" s="4"/>
      <c r="DN759" s="4"/>
      <c r="DO759" s="4"/>
      <c r="DP759" s="4"/>
      <c r="DQ759" s="4"/>
      <c r="DR759" s="4"/>
      <c r="DS759" s="4"/>
    </row>
    <row r="760">
      <c r="A760" s="9">
        <f>IFERROR(__xludf.DUMMYFUNCTION("""COMPUTED_VALUE"""),45668.0)</f>
        <v>45668</v>
      </c>
      <c r="B760" s="6" t="str">
        <f>IFERROR(__xludf.DUMMYFUNCTION("""COMPUTED_VALUE"""),"Home Goods")</f>
        <v>Home Goods</v>
      </c>
      <c r="C760" s="7">
        <f>IFERROR(__xludf.DUMMYFUNCTION("""COMPUTED_VALUE"""),7403.0)</f>
        <v>7403</v>
      </c>
      <c r="D760" s="6" t="str">
        <f>IFERROR(__xludf.DUMMYFUNCTION("""COMPUTED_VALUE"""),"Home Goods &amp; Utilities")</f>
        <v>Home Goods &amp; Utilities</v>
      </c>
      <c r="E760" s="6" t="str">
        <f>IFERROR(__xludf.DUMMYFUNCTION("""COMPUTED_VALUE"""),"Virtual Wallet")</f>
        <v>Virtual Wallet</v>
      </c>
      <c r="F760" s="6" t="s">
        <v>8</v>
      </c>
      <c r="G760" s="8" t="str">
        <f t="shared" si="1"/>
        <v>202501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  <c r="CD760" s="4"/>
      <c r="CE760" s="4"/>
      <c r="CF760" s="4"/>
      <c r="CG760" s="4"/>
      <c r="CH760" s="4"/>
      <c r="CI760" s="4"/>
      <c r="CJ760" s="4"/>
      <c r="CK760" s="4"/>
      <c r="CL760" s="4"/>
      <c r="CM760" s="4"/>
      <c r="CN760" s="4"/>
      <c r="CO760" s="4"/>
      <c r="CP760" s="4"/>
      <c r="CQ760" s="4"/>
      <c r="CR760" s="4"/>
      <c r="CS760" s="4"/>
      <c r="CT760" s="4"/>
      <c r="CU760" s="4"/>
      <c r="CV760" s="4"/>
      <c r="CW760" s="4"/>
      <c r="CX760" s="4"/>
      <c r="CY760" s="4"/>
      <c r="CZ760" s="4"/>
      <c r="DA760" s="4"/>
      <c r="DB760" s="4"/>
      <c r="DC760" s="4"/>
      <c r="DD760" s="4"/>
      <c r="DE760" s="4"/>
      <c r="DF760" s="4"/>
      <c r="DG760" s="4"/>
      <c r="DH760" s="4"/>
      <c r="DI760" s="4"/>
      <c r="DJ760" s="4"/>
      <c r="DK760" s="4"/>
      <c r="DL760" s="4"/>
      <c r="DM760" s="4"/>
      <c r="DN760" s="4"/>
      <c r="DO760" s="4"/>
      <c r="DP760" s="4"/>
      <c r="DQ760" s="4"/>
      <c r="DR760" s="4"/>
      <c r="DS760" s="4"/>
    </row>
    <row r="761">
      <c r="A761" s="9">
        <f>IFERROR(__xludf.DUMMYFUNCTION("""COMPUTED_VALUE"""),45668.0)</f>
        <v>45668</v>
      </c>
      <c r="B761" s="6" t="str">
        <f>IFERROR(__xludf.DUMMYFUNCTION("""COMPUTED_VALUE"""),"Rent &amp; Building Expenses")</f>
        <v>Rent &amp; Building Expenses</v>
      </c>
      <c r="C761" s="7">
        <f>IFERROR(__xludf.DUMMYFUNCTION("""COMPUTED_VALUE"""),353000.0)</f>
        <v>353000</v>
      </c>
      <c r="D761" s="6" t="str">
        <f>IFERROR(__xludf.DUMMYFUNCTION("""COMPUTED_VALUE"""),"Rent &amp; Utilities")</f>
        <v>Rent &amp; Utilities</v>
      </c>
      <c r="E761" s="6" t="str">
        <f>IFERROR(__xludf.DUMMYFUNCTION("""COMPUTED_VALUE"""),"Virtual Wallet")</f>
        <v>Virtual Wallet</v>
      </c>
      <c r="F761" s="6" t="s">
        <v>13</v>
      </c>
      <c r="G761" s="8" t="str">
        <f t="shared" si="1"/>
        <v>202501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  <c r="CD761" s="4"/>
      <c r="CE761" s="4"/>
      <c r="CF761" s="4"/>
      <c r="CG761" s="4"/>
      <c r="CH761" s="4"/>
      <c r="CI761" s="4"/>
      <c r="CJ761" s="4"/>
      <c r="CK761" s="4"/>
      <c r="CL761" s="4"/>
      <c r="CM761" s="4"/>
      <c r="CN761" s="4"/>
      <c r="CO761" s="4"/>
      <c r="CP761" s="4"/>
      <c r="CQ761" s="4"/>
      <c r="CR761" s="4"/>
      <c r="CS761" s="4"/>
      <c r="CT761" s="4"/>
      <c r="CU761" s="4"/>
      <c r="CV761" s="4"/>
      <c r="CW761" s="4"/>
      <c r="CX761" s="4"/>
      <c r="CY761" s="4"/>
      <c r="CZ761" s="4"/>
      <c r="DA761" s="4"/>
      <c r="DB761" s="4"/>
      <c r="DC761" s="4"/>
      <c r="DD761" s="4"/>
      <c r="DE761" s="4"/>
      <c r="DF761" s="4"/>
      <c r="DG761" s="4"/>
      <c r="DH761" s="4"/>
      <c r="DI761" s="4"/>
      <c r="DJ761" s="4"/>
      <c r="DK761" s="4"/>
      <c r="DL761" s="4"/>
      <c r="DM761" s="4"/>
      <c r="DN761" s="4"/>
      <c r="DO761" s="4"/>
      <c r="DP761" s="4"/>
      <c r="DQ761" s="4"/>
      <c r="DR761" s="4"/>
      <c r="DS761" s="4"/>
    </row>
    <row r="762">
      <c r="A762" s="9">
        <f>IFERROR(__xludf.DUMMYFUNCTION("""COMPUTED_VALUE"""),45668.0)</f>
        <v>45668</v>
      </c>
      <c r="B762" s="6" t="str">
        <f>IFERROR(__xludf.DUMMYFUNCTION("""COMPUTED_VALUE"""),"Restaurant")</f>
        <v>Restaurant</v>
      </c>
      <c r="C762" s="7">
        <f>IFERROR(__xludf.DUMMYFUNCTION("""COMPUTED_VALUE"""),21625.0)</f>
        <v>21625</v>
      </c>
      <c r="D762" s="6" t="str">
        <f>IFERROR(__xludf.DUMMYFUNCTION("""COMPUTED_VALUE"""),"Restaurant / Café")</f>
        <v>Restaurant / Café</v>
      </c>
      <c r="E762" s="6" t="str">
        <f>IFERROR(__xludf.DUMMYFUNCTION("""COMPUTED_VALUE"""),"Virtual Wallet")</f>
        <v>Virtual Wallet</v>
      </c>
      <c r="F762" s="6" t="s">
        <v>14</v>
      </c>
      <c r="G762" s="8" t="str">
        <f t="shared" si="1"/>
        <v>202501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  <c r="CD762" s="4"/>
      <c r="CE762" s="4"/>
      <c r="CF762" s="4"/>
      <c r="CG762" s="4"/>
      <c r="CH762" s="4"/>
      <c r="CI762" s="4"/>
      <c r="CJ762" s="4"/>
      <c r="CK762" s="4"/>
      <c r="CL762" s="4"/>
      <c r="CM762" s="4"/>
      <c r="CN762" s="4"/>
      <c r="CO762" s="4"/>
      <c r="CP762" s="4"/>
      <c r="CQ762" s="4"/>
      <c r="CR762" s="4"/>
      <c r="CS762" s="4"/>
      <c r="CT762" s="4"/>
      <c r="CU762" s="4"/>
      <c r="CV762" s="4"/>
      <c r="CW762" s="4"/>
      <c r="CX762" s="4"/>
      <c r="CY762" s="4"/>
      <c r="CZ762" s="4"/>
      <c r="DA762" s="4"/>
      <c r="DB762" s="4"/>
      <c r="DC762" s="4"/>
      <c r="DD762" s="4"/>
      <c r="DE762" s="4"/>
      <c r="DF762" s="4"/>
      <c r="DG762" s="4"/>
      <c r="DH762" s="4"/>
      <c r="DI762" s="4"/>
      <c r="DJ762" s="4"/>
      <c r="DK762" s="4"/>
      <c r="DL762" s="4"/>
      <c r="DM762" s="4"/>
      <c r="DN762" s="4"/>
      <c r="DO762" s="4"/>
      <c r="DP762" s="4"/>
      <c r="DQ762" s="4"/>
      <c r="DR762" s="4"/>
      <c r="DS762" s="4"/>
    </row>
    <row r="763">
      <c r="A763" s="9">
        <f>IFERROR(__xludf.DUMMYFUNCTION("""COMPUTED_VALUE"""),45669.0)</f>
        <v>45669</v>
      </c>
      <c r="B763" s="6" t="str">
        <f>IFERROR(__xludf.DUMMYFUNCTION("""COMPUTED_VALUE"""),"Groceries")</f>
        <v>Groceries</v>
      </c>
      <c r="C763" s="7">
        <f>IFERROR(__xludf.DUMMYFUNCTION("""COMPUTED_VALUE"""),2150.0)</f>
        <v>2150</v>
      </c>
      <c r="D763" s="6" t="str">
        <f>IFERROR(__xludf.DUMMYFUNCTION("""COMPUTED_VALUE"""),"Groceries")</f>
        <v>Groceries</v>
      </c>
      <c r="E763" s="6" t="str">
        <f>IFERROR(__xludf.DUMMYFUNCTION("""COMPUTED_VALUE"""),"Virtual Wallet")</f>
        <v>Virtual Wallet</v>
      </c>
      <c r="F763" s="6" t="s">
        <v>7</v>
      </c>
      <c r="G763" s="8" t="str">
        <f t="shared" si="1"/>
        <v>202501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  <c r="CD763" s="4"/>
      <c r="CE763" s="4"/>
      <c r="CF763" s="4"/>
      <c r="CG763" s="4"/>
      <c r="CH763" s="4"/>
      <c r="CI763" s="4"/>
      <c r="CJ763" s="4"/>
      <c r="CK763" s="4"/>
      <c r="CL763" s="4"/>
      <c r="CM763" s="4"/>
      <c r="CN763" s="4"/>
      <c r="CO763" s="4"/>
      <c r="CP763" s="4"/>
      <c r="CQ763" s="4"/>
      <c r="CR763" s="4"/>
      <c r="CS763" s="4"/>
      <c r="CT763" s="4"/>
      <c r="CU763" s="4"/>
      <c r="CV763" s="4"/>
      <c r="CW763" s="4"/>
      <c r="CX763" s="4"/>
      <c r="CY763" s="4"/>
      <c r="CZ763" s="4"/>
      <c r="DA763" s="4"/>
      <c r="DB763" s="4"/>
      <c r="DC763" s="4"/>
      <c r="DD763" s="4"/>
      <c r="DE763" s="4"/>
      <c r="DF763" s="4"/>
      <c r="DG763" s="4"/>
      <c r="DH763" s="4"/>
      <c r="DI763" s="4"/>
      <c r="DJ763" s="4"/>
      <c r="DK763" s="4"/>
      <c r="DL763" s="4"/>
      <c r="DM763" s="4"/>
      <c r="DN763" s="4"/>
      <c r="DO763" s="4"/>
      <c r="DP763" s="4"/>
      <c r="DQ763" s="4"/>
      <c r="DR763" s="4"/>
      <c r="DS763" s="4"/>
    </row>
    <row r="764">
      <c r="A764" s="9">
        <f>IFERROR(__xludf.DUMMYFUNCTION("""COMPUTED_VALUE"""),45669.0)</f>
        <v>45669</v>
      </c>
      <c r="B764" s="6" t="str">
        <f>IFERROR(__xludf.DUMMYFUNCTION("""COMPUTED_VALUE"""),"Municipal Tax (ABL)")</f>
        <v>Municipal Tax (ABL)</v>
      </c>
      <c r="C764" s="7">
        <f>IFERROR(__xludf.DUMMYFUNCTION("""COMPUTED_VALUE"""),7661.0)</f>
        <v>7661</v>
      </c>
      <c r="D764" s="6" t="str">
        <f>IFERROR(__xludf.DUMMYFUNCTION("""COMPUTED_VALUE"""),"Basic Services")</f>
        <v>Basic Services</v>
      </c>
      <c r="E764" s="6" t="str">
        <f>IFERROR(__xludf.DUMMYFUNCTION("""COMPUTED_VALUE"""),"Split Payment")</f>
        <v>Split Payment</v>
      </c>
      <c r="F764" s="6" t="s">
        <v>13</v>
      </c>
      <c r="G764" s="8" t="str">
        <f t="shared" si="1"/>
        <v>202501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  <c r="CD764" s="4"/>
      <c r="CE764" s="4"/>
      <c r="CF764" s="4"/>
      <c r="CG764" s="4"/>
      <c r="CH764" s="4"/>
      <c r="CI764" s="4"/>
      <c r="CJ764" s="4"/>
      <c r="CK764" s="4"/>
      <c r="CL764" s="4"/>
      <c r="CM764" s="4"/>
      <c r="CN764" s="4"/>
      <c r="CO764" s="4"/>
      <c r="CP764" s="4"/>
      <c r="CQ764" s="4"/>
      <c r="CR764" s="4"/>
      <c r="CS764" s="4"/>
      <c r="CT764" s="4"/>
      <c r="CU764" s="4"/>
      <c r="CV764" s="4"/>
      <c r="CW764" s="4"/>
      <c r="CX764" s="4"/>
      <c r="CY764" s="4"/>
      <c r="CZ764" s="4"/>
      <c r="DA764" s="4"/>
      <c r="DB764" s="4"/>
      <c r="DC764" s="4"/>
      <c r="DD764" s="4"/>
      <c r="DE764" s="4"/>
      <c r="DF764" s="4"/>
      <c r="DG764" s="4"/>
      <c r="DH764" s="4"/>
      <c r="DI764" s="4"/>
      <c r="DJ764" s="4"/>
      <c r="DK764" s="4"/>
      <c r="DL764" s="4"/>
      <c r="DM764" s="4"/>
      <c r="DN764" s="4"/>
      <c r="DO764" s="4"/>
      <c r="DP764" s="4"/>
      <c r="DQ764" s="4"/>
      <c r="DR764" s="4"/>
      <c r="DS764" s="4"/>
    </row>
    <row r="765">
      <c r="A765" s="9">
        <f>IFERROR(__xludf.DUMMYFUNCTION("""COMPUTED_VALUE"""),45669.0)</f>
        <v>45669</v>
      </c>
      <c r="B765" s="6" t="str">
        <f>IFERROR(__xludf.DUMMYFUNCTION("""COMPUTED_VALUE"""),"Pets")</f>
        <v>Pets</v>
      </c>
      <c r="C765" s="7">
        <f>IFERROR(__xludf.DUMMYFUNCTION("""COMPUTED_VALUE"""),750.0)</f>
        <v>750</v>
      </c>
      <c r="D765" s="6" t="str">
        <f>IFERROR(__xludf.DUMMYFUNCTION("""COMPUTED_VALUE"""),"Pets")</f>
        <v>Pets</v>
      </c>
      <c r="E765" s="6" t="str">
        <f>IFERROR(__xludf.DUMMYFUNCTION("""COMPUTED_VALUE"""),"Virtual Wallet")</f>
        <v>Virtual Wallet</v>
      </c>
      <c r="F765" s="6" t="s">
        <v>7</v>
      </c>
      <c r="G765" s="8" t="str">
        <f t="shared" si="1"/>
        <v>202501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  <c r="CD765" s="4"/>
      <c r="CE765" s="4"/>
      <c r="CF765" s="4"/>
      <c r="CG765" s="4"/>
      <c r="CH765" s="4"/>
      <c r="CI765" s="4"/>
      <c r="CJ765" s="4"/>
      <c r="CK765" s="4"/>
      <c r="CL765" s="4"/>
      <c r="CM765" s="4"/>
      <c r="CN765" s="4"/>
      <c r="CO765" s="4"/>
      <c r="CP765" s="4"/>
      <c r="CQ765" s="4"/>
      <c r="CR765" s="4"/>
      <c r="CS765" s="4"/>
      <c r="CT765" s="4"/>
      <c r="CU765" s="4"/>
      <c r="CV765" s="4"/>
      <c r="CW765" s="4"/>
      <c r="CX765" s="4"/>
      <c r="CY765" s="4"/>
      <c r="CZ765" s="4"/>
      <c r="DA765" s="4"/>
      <c r="DB765" s="4"/>
      <c r="DC765" s="4"/>
      <c r="DD765" s="4"/>
      <c r="DE765" s="4"/>
      <c r="DF765" s="4"/>
      <c r="DG765" s="4"/>
      <c r="DH765" s="4"/>
      <c r="DI765" s="4"/>
      <c r="DJ765" s="4"/>
      <c r="DK765" s="4"/>
      <c r="DL765" s="4"/>
      <c r="DM765" s="4"/>
      <c r="DN765" s="4"/>
      <c r="DO765" s="4"/>
      <c r="DP765" s="4"/>
      <c r="DQ765" s="4"/>
      <c r="DR765" s="4"/>
      <c r="DS765" s="4"/>
    </row>
    <row r="766">
      <c r="A766" s="9">
        <f>IFERROR(__xludf.DUMMYFUNCTION("""COMPUTED_VALUE"""),45670.0)</f>
        <v>45670</v>
      </c>
      <c r="B766" s="6" t="str">
        <f>IFERROR(__xludf.DUMMYFUNCTION("""COMPUTED_VALUE"""),"Healthcare")</f>
        <v>Healthcare</v>
      </c>
      <c r="C766" s="7">
        <f>IFERROR(__xludf.DUMMYFUNCTION("""COMPUTED_VALUE"""),13330.0)</f>
        <v>13330</v>
      </c>
      <c r="D766" s="6" t="str">
        <f>IFERROR(__xludf.DUMMYFUNCTION("""COMPUTED_VALUE"""),"Healthcare")</f>
        <v>Healthcare</v>
      </c>
      <c r="E766" s="6" t="str">
        <f>IFERROR(__xludf.DUMMYFUNCTION("""COMPUTED_VALUE"""),"Credit Card")</f>
        <v>Credit Card</v>
      </c>
      <c r="F766" s="6" t="s">
        <v>15</v>
      </c>
      <c r="G766" s="8" t="str">
        <f t="shared" si="1"/>
        <v>202501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  <c r="CD766" s="4"/>
      <c r="CE766" s="4"/>
      <c r="CF766" s="4"/>
      <c r="CG766" s="4"/>
      <c r="CH766" s="4"/>
      <c r="CI766" s="4"/>
      <c r="CJ766" s="4"/>
      <c r="CK766" s="4"/>
      <c r="CL766" s="4"/>
      <c r="CM766" s="4"/>
      <c r="CN766" s="4"/>
      <c r="CO766" s="4"/>
      <c r="CP766" s="4"/>
      <c r="CQ766" s="4"/>
      <c r="CR766" s="4"/>
      <c r="CS766" s="4"/>
      <c r="CT766" s="4"/>
      <c r="CU766" s="4"/>
      <c r="CV766" s="4"/>
      <c r="CW766" s="4"/>
      <c r="CX766" s="4"/>
      <c r="CY766" s="4"/>
      <c r="CZ766" s="4"/>
      <c r="DA766" s="4"/>
      <c r="DB766" s="4"/>
      <c r="DC766" s="4"/>
      <c r="DD766" s="4"/>
      <c r="DE766" s="4"/>
      <c r="DF766" s="4"/>
      <c r="DG766" s="4"/>
      <c r="DH766" s="4"/>
      <c r="DI766" s="4"/>
      <c r="DJ766" s="4"/>
      <c r="DK766" s="4"/>
      <c r="DL766" s="4"/>
      <c r="DM766" s="4"/>
      <c r="DN766" s="4"/>
      <c r="DO766" s="4"/>
      <c r="DP766" s="4"/>
      <c r="DQ766" s="4"/>
      <c r="DR766" s="4"/>
      <c r="DS766" s="4"/>
    </row>
    <row r="767">
      <c r="A767" s="9">
        <f>IFERROR(__xludf.DUMMYFUNCTION("""COMPUTED_VALUE"""),45670.0)</f>
        <v>45670</v>
      </c>
      <c r="B767" s="6" t="str">
        <f>IFERROR(__xludf.DUMMYFUNCTION("""COMPUTED_VALUE"""),"Groceries")</f>
        <v>Groceries</v>
      </c>
      <c r="C767" s="7">
        <f>IFERROR(__xludf.DUMMYFUNCTION("""COMPUTED_VALUE"""),2000.0)</f>
        <v>2000</v>
      </c>
      <c r="D767" s="6" t="str">
        <f>IFERROR(__xludf.DUMMYFUNCTION("""COMPUTED_VALUE"""),"Groceries")</f>
        <v>Groceries</v>
      </c>
      <c r="E767" s="6" t="str">
        <f>IFERROR(__xludf.DUMMYFUNCTION("""COMPUTED_VALUE"""),"Virtual Wallet")</f>
        <v>Virtual Wallet</v>
      </c>
      <c r="F767" s="6" t="s">
        <v>7</v>
      </c>
      <c r="G767" s="8" t="str">
        <f t="shared" si="1"/>
        <v>202501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  <c r="CD767" s="4"/>
      <c r="CE767" s="4"/>
      <c r="CF767" s="4"/>
      <c r="CG767" s="4"/>
      <c r="CH767" s="4"/>
      <c r="CI767" s="4"/>
      <c r="CJ767" s="4"/>
      <c r="CK767" s="4"/>
      <c r="CL767" s="4"/>
      <c r="CM767" s="4"/>
      <c r="CN767" s="4"/>
      <c r="CO767" s="4"/>
      <c r="CP767" s="4"/>
      <c r="CQ767" s="4"/>
      <c r="CR767" s="4"/>
      <c r="CS767" s="4"/>
      <c r="CT767" s="4"/>
      <c r="CU767" s="4"/>
      <c r="CV767" s="4"/>
      <c r="CW767" s="4"/>
      <c r="CX767" s="4"/>
      <c r="CY767" s="4"/>
      <c r="CZ767" s="4"/>
      <c r="DA767" s="4"/>
      <c r="DB767" s="4"/>
      <c r="DC767" s="4"/>
      <c r="DD767" s="4"/>
      <c r="DE767" s="4"/>
      <c r="DF767" s="4"/>
      <c r="DG767" s="4"/>
      <c r="DH767" s="4"/>
      <c r="DI767" s="4"/>
      <c r="DJ767" s="4"/>
      <c r="DK767" s="4"/>
      <c r="DL767" s="4"/>
      <c r="DM767" s="4"/>
      <c r="DN767" s="4"/>
      <c r="DO767" s="4"/>
      <c r="DP767" s="4"/>
      <c r="DQ767" s="4"/>
      <c r="DR767" s="4"/>
      <c r="DS767" s="4"/>
    </row>
    <row r="768">
      <c r="A768" s="9">
        <f>IFERROR(__xludf.DUMMYFUNCTION("""COMPUTED_VALUE"""),45670.0)</f>
        <v>45670</v>
      </c>
      <c r="B768" s="6" t="str">
        <f>IFERROR(__xludf.DUMMYFUNCTION("""COMPUTED_VALUE"""),"Restaurant")</f>
        <v>Restaurant</v>
      </c>
      <c r="C768" s="7">
        <f>IFERROR(__xludf.DUMMYFUNCTION("""COMPUTED_VALUE"""),10500.0)</f>
        <v>10500</v>
      </c>
      <c r="D768" s="6" t="str">
        <f>IFERROR(__xludf.DUMMYFUNCTION("""COMPUTED_VALUE"""),"Restaurant / Café")</f>
        <v>Restaurant / Café</v>
      </c>
      <c r="E768" s="6" t="str">
        <f>IFERROR(__xludf.DUMMYFUNCTION("""COMPUTED_VALUE"""),"Virtual Wallet")</f>
        <v>Virtual Wallet</v>
      </c>
      <c r="F768" s="6" t="s">
        <v>14</v>
      </c>
      <c r="G768" s="8" t="str">
        <f t="shared" si="1"/>
        <v>202501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  <c r="CD768" s="4"/>
      <c r="CE768" s="4"/>
      <c r="CF768" s="4"/>
      <c r="CG768" s="4"/>
      <c r="CH768" s="4"/>
      <c r="CI768" s="4"/>
      <c r="CJ768" s="4"/>
      <c r="CK768" s="4"/>
      <c r="CL768" s="4"/>
      <c r="CM768" s="4"/>
      <c r="CN768" s="4"/>
      <c r="CO768" s="4"/>
      <c r="CP768" s="4"/>
      <c r="CQ768" s="4"/>
      <c r="CR768" s="4"/>
      <c r="CS768" s="4"/>
      <c r="CT768" s="4"/>
      <c r="CU768" s="4"/>
      <c r="CV768" s="4"/>
      <c r="CW768" s="4"/>
      <c r="CX768" s="4"/>
      <c r="CY768" s="4"/>
      <c r="CZ768" s="4"/>
      <c r="DA768" s="4"/>
      <c r="DB768" s="4"/>
      <c r="DC768" s="4"/>
      <c r="DD768" s="4"/>
      <c r="DE768" s="4"/>
      <c r="DF768" s="4"/>
      <c r="DG768" s="4"/>
      <c r="DH768" s="4"/>
      <c r="DI768" s="4"/>
      <c r="DJ768" s="4"/>
      <c r="DK768" s="4"/>
      <c r="DL768" s="4"/>
      <c r="DM768" s="4"/>
      <c r="DN768" s="4"/>
      <c r="DO768" s="4"/>
      <c r="DP768" s="4"/>
      <c r="DQ768" s="4"/>
      <c r="DR768" s="4"/>
      <c r="DS768" s="4"/>
    </row>
    <row r="769">
      <c r="A769" s="9">
        <f>IFERROR(__xludf.DUMMYFUNCTION("""COMPUTED_VALUE"""),45671.0)</f>
        <v>45671</v>
      </c>
      <c r="B769" s="6" t="str">
        <f>IFERROR(__xludf.DUMMYFUNCTION("""COMPUTED_VALUE"""),"Groceries")</f>
        <v>Groceries</v>
      </c>
      <c r="C769" s="7">
        <f>IFERROR(__xludf.DUMMYFUNCTION("""COMPUTED_VALUE"""),3050.0)</f>
        <v>3050</v>
      </c>
      <c r="D769" s="6" t="str">
        <f>IFERROR(__xludf.DUMMYFUNCTION("""COMPUTED_VALUE"""),"Groceries")</f>
        <v>Groceries</v>
      </c>
      <c r="E769" s="6" t="str">
        <f>IFERROR(__xludf.DUMMYFUNCTION("""COMPUTED_VALUE"""),"Split Payment")</f>
        <v>Split Payment</v>
      </c>
      <c r="F769" s="6" t="s">
        <v>7</v>
      </c>
      <c r="G769" s="8" t="str">
        <f t="shared" si="1"/>
        <v>202501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  <c r="CD769" s="4"/>
      <c r="CE769" s="4"/>
      <c r="CF769" s="4"/>
      <c r="CG769" s="4"/>
      <c r="CH769" s="4"/>
      <c r="CI769" s="4"/>
      <c r="CJ769" s="4"/>
      <c r="CK769" s="4"/>
      <c r="CL769" s="4"/>
      <c r="CM769" s="4"/>
      <c r="CN769" s="4"/>
      <c r="CO769" s="4"/>
      <c r="CP769" s="4"/>
      <c r="CQ769" s="4"/>
      <c r="CR769" s="4"/>
      <c r="CS769" s="4"/>
      <c r="CT769" s="4"/>
      <c r="CU769" s="4"/>
      <c r="CV769" s="4"/>
      <c r="CW769" s="4"/>
      <c r="CX769" s="4"/>
      <c r="CY769" s="4"/>
      <c r="CZ769" s="4"/>
      <c r="DA769" s="4"/>
      <c r="DB769" s="4"/>
      <c r="DC769" s="4"/>
      <c r="DD769" s="4"/>
      <c r="DE769" s="4"/>
      <c r="DF769" s="4"/>
      <c r="DG769" s="4"/>
      <c r="DH769" s="4"/>
      <c r="DI769" s="4"/>
      <c r="DJ769" s="4"/>
      <c r="DK769" s="4"/>
      <c r="DL769" s="4"/>
      <c r="DM769" s="4"/>
      <c r="DN769" s="4"/>
      <c r="DO769" s="4"/>
      <c r="DP769" s="4"/>
      <c r="DQ769" s="4"/>
      <c r="DR769" s="4"/>
      <c r="DS769" s="4"/>
    </row>
    <row r="770">
      <c r="A770" s="9">
        <f>IFERROR(__xludf.DUMMYFUNCTION("""COMPUTED_VALUE"""),45671.0)</f>
        <v>45671</v>
      </c>
      <c r="B770" s="6" t="str">
        <f>IFERROR(__xludf.DUMMYFUNCTION("""COMPUTED_VALUE"""),"Pets")</f>
        <v>Pets</v>
      </c>
      <c r="C770" s="7">
        <f>IFERROR(__xludf.DUMMYFUNCTION("""COMPUTED_VALUE"""),25500.0)</f>
        <v>25500</v>
      </c>
      <c r="D770" s="6" t="str">
        <f>IFERROR(__xludf.DUMMYFUNCTION("""COMPUTED_VALUE"""),"Pets")</f>
        <v>Pets</v>
      </c>
      <c r="E770" s="6" t="str">
        <f>IFERROR(__xludf.DUMMYFUNCTION("""COMPUTED_VALUE"""),"Split Payment")</f>
        <v>Split Payment</v>
      </c>
      <c r="F770" s="6" t="s">
        <v>7</v>
      </c>
      <c r="G770" s="8" t="str">
        <f t="shared" si="1"/>
        <v>202501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  <c r="CD770" s="4"/>
      <c r="CE770" s="4"/>
      <c r="CF770" s="4"/>
      <c r="CG770" s="4"/>
      <c r="CH770" s="4"/>
      <c r="CI770" s="4"/>
      <c r="CJ770" s="4"/>
      <c r="CK770" s="4"/>
      <c r="CL770" s="4"/>
      <c r="CM770" s="4"/>
      <c r="CN770" s="4"/>
      <c r="CO770" s="4"/>
      <c r="CP770" s="4"/>
      <c r="CQ770" s="4"/>
      <c r="CR770" s="4"/>
      <c r="CS770" s="4"/>
      <c r="CT770" s="4"/>
      <c r="CU770" s="4"/>
      <c r="CV770" s="4"/>
      <c r="CW770" s="4"/>
      <c r="CX770" s="4"/>
      <c r="CY770" s="4"/>
      <c r="CZ770" s="4"/>
      <c r="DA770" s="4"/>
      <c r="DB770" s="4"/>
      <c r="DC770" s="4"/>
      <c r="DD770" s="4"/>
      <c r="DE770" s="4"/>
      <c r="DF770" s="4"/>
      <c r="DG770" s="4"/>
      <c r="DH770" s="4"/>
      <c r="DI770" s="4"/>
      <c r="DJ770" s="4"/>
      <c r="DK770" s="4"/>
      <c r="DL770" s="4"/>
      <c r="DM770" s="4"/>
      <c r="DN770" s="4"/>
      <c r="DO770" s="4"/>
      <c r="DP770" s="4"/>
      <c r="DQ770" s="4"/>
      <c r="DR770" s="4"/>
      <c r="DS770" s="4"/>
    </row>
    <row r="771">
      <c r="A771" s="9">
        <f>IFERROR(__xludf.DUMMYFUNCTION("""COMPUTED_VALUE"""),45672.0)</f>
        <v>45672</v>
      </c>
      <c r="B771" s="6" t="str">
        <f>IFERROR(__xludf.DUMMYFUNCTION("""COMPUTED_VALUE"""),"Home Goods")</f>
        <v>Home Goods</v>
      </c>
      <c r="C771" s="7">
        <f>IFERROR(__xludf.DUMMYFUNCTION("""COMPUTED_VALUE"""),2101.0)</f>
        <v>2101</v>
      </c>
      <c r="D771" s="6" t="str">
        <f>IFERROR(__xludf.DUMMYFUNCTION("""COMPUTED_VALUE"""),"Home Goods &amp; Utilities")</f>
        <v>Home Goods &amp; Utilities</v>
      </c>
      <c r="E771" s="6" t="str">
        <f>IFERROR(__xludf.DUMMYFUNCTION("""COMPUTED_VALUE"""),"Split Payment")</f>
        <v>Split Payment</v>
      </c>
      <c r="F771" s="6" t="s">
        <v>8</v>
      </c>
      <c r="G771" s="8" t="str">
        <f t="shared" si="1"/>
        <v>202501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  <c r="CD771" s="4"/>
      <c r="CE771" s="4"/>
      <c r="CF771" s="4"/>
      <c r="CG771" s="4"/>
      <c r="CH771" s="4"/>
      <c r="CI771" s="4"/>
      <c r="CJ771" s="4"/>
      <c r="CK771" s="4"/>
      <c r="CL771" s="4"/>
      <c r="CM771" s="4"/>
      <c r="CN771" s="4"/>
      <c r="CO771" s="4"/>
      <c r="CP771" s="4"/>
      <c r="CQ771" s="4"/>
      <c r="CR771" s="4"/>
      <c r="CS771" s="4"/>
      <c r="CT771" s="4"/>
      <c r="CU771" s="4"/>
      <c r="CV771" s="4"/>
      <c r="CW771" s="4"/>
      <c r="CX771" s="4"/>
      <c r="CY771" s="4"/>
      <c r="CZ771" s="4"/>
      <c r="DA771" s="4"/>
      <c r="DB771" s="4"/>
      <c r="DC771" s="4"/>
      <c r="DD771" s="4"/>
      <c r="DE771" s="4"/>
      <c r="DF771" s="4"/>
      <c r="DG771" s="4"/>
      <c r="DH771" s="4"/>
      <c r="DI771" s="4"/>
      <c r="DJ771" s="4"/>
      <c r="DK771" s="4"/>
      <c r="DL771" s="4"/>
      <c r="DM771" s="4"/>
      <c r="DN771" s="4"/>
      <c r="DO771" s="4"/>
      <c r="DP771" s="4"/>
      <c r="DQ771" s="4"/>
      <c r="DR771" s="4"/>
      <c r="DS771" s="4"/>
    </row>
    <row r="772">
      <c r="A772" s="9">
        <f>IFERROR(__xludf.DUMMYFUNCTION("""COMPUTED_VALUE"""),45672.0)</f>
        <v>45672</v>
      </c>
      <c r="B772" s="6" t="str">
        <f>IFERROR(__xludf.DUMMYFUNCTION("""COMPUTED_VALUE"""),"Clothing")</f>
        <v>Clothing</v>
      </c>
      <c r="C772" s="7">
        <f>IFERROR(__xludf.DUMMYFUNCTION("""COMPUTED_VALUE"""),16000.0)</f>
        <v>16000</v>
      </c>
      <c r="D772" s="6" t="str">
        <f>IFERROR(__xludf.DUMMYFUNCTION("""COMPUTED_VALUE"""),"Clothing")</f>
        <v>Clothing</v>
      </c>
      <c r="E772" s="6" t="str">
        <f>IFERROR(__xludf.DUMMYFUNCTION("""COMPUTED_VALUE"""),"Credit Card")</f>
        <v>Credit Card</v>
      </c>
      <c r="F772" s="6" t="s">
        <v>10</v>
      </c>
      <c r="G772" s="8" t="str">
        <f t="shared" si="1"/>
        <v>202501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  <c r="CD772" s="4"/>
      <c r="CE772" s="4"/>
      <c r="CF772" s="4"/>
      <c r="CG772" s="4"/>
      <c r="CH772" s="4"/>
      <c r="CI772" s="4"/>
      <c r="CJ772" s="4"/>
      <c r="CK772" s="4"/>
      <c r="CL772" s="4"/>
      <c r="CM772" s="4"/>
      <c r="CN772" s="4"/>
      <c r="CO772" s="4"/>
      <c r="CP772" s="4"/>
      <c r="CQ772" s="4"/>
      <c r="CR772" s="4"/>
      <c r="CS772" s="4"/>
      <c r="CT772" s="4"/>
      <c r="CU772" s="4"/>
      <c r="CV772" s="4"/>
      <c r="CW772" s="4"/>
      <c r="CX772" s="4"/>
      <c r="CY772" s="4"/>
      <c r="CZ772" s="4"/>
      <c r="DA772" s="4"/>
      <c r="DB772" s="4"/>
      <c r="DC772" s="4"/>
      <c r="DD772" s="4"/>
      <c r="DE772" s="4"/>
      <c r="DF772" s="4"/>
      <c r="DG772" s="4"/>
      <c r="DH772" s="4"/>
      <c r="DI772" s="4"/>
      <c r="DJ772" s="4"/>
      <c r="DK772" s="4"/>
      <c r="DL772" s="4"/>
      <c r="DM772" s="4"/>
      <c r="DN772" s="4"/>
      <c r="DO772" s="4"/>
      <c r="DP772" s="4"/>
      <c r="DQ772" s="4"/>
      <c r="DR772" s="4"/>
      <c r="DS772" s="4"/>
    </row>
    <row r="773">
      <c r="A773" s="9">
        <f>IFERROR(__xludf.DUMMYFUNCTION("""COMPUTED_VALUE"""),45672.0)</f>
        <v>45672</v>
      </c>
      <c r="B773" s="6" t="str">
        <f>IFERROR(__xludf.DUMMYFUNCTION("""COMPUTED_VALUE"""),"Groceries")</f>
        <v>Groceries</v>
      </c>
      <c r="C773" s="7">
        <f>IFERROR(__xludf.DUMMYFUNCTION("""COMPUTED_VALUE"""),8750.0)</f>
        <v>8750</v>
      </c>
      <c r="D773" s="6" t="str">
        <f>IFERROR(__xludf.DUMMYFUNCTION("""COMPUTED_VALUE"""),"Groceries")</f>
        <v>Groceries</v>
      </c>
      <c r="E773" s="6" t="str">
        <f>IFERROR(__xludf.DUMMYFUNCTION("""COMPUTED_VALUE"""),"Virtual Wallet")</f>
        <v>Virtual Wallet</v>
      </c>
      <c r="F773" s="6" t="s">
        <v>7</v>
      </c>
      <c r="G773" s="8" t="str">
        <f t="shared" si="1"/>
        <v>202501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  <c r="CD773" s="4"/>
      <c r="CE773" s="4"/>
      <c r="CF773" s="4"/>
      <c r="CG773" s="4"/>
      <c r="CH773" s="4"/>
      <c r="CI773" s="4"/>
      <c r="CJ773" s="4"/>
      <c r="CK773" s="4"/>
      <c r="CL773" s="4"/>
      <c r="CM773" s="4"/>
      <c r="CN773" s="4"/>
      <c r="CO773" s="4"/>
      <c r="CP773" s="4"/>
      <c r="CQ773" s="4"/>
      <c r="CR773" s="4"/>
      <c r="CS773" s="4"/>
      <c r="CT773" s="4"/>
      <c r="CU773" s="4"/>
      <c r="CV773" s="4"/>
      <c r="CW773" s="4"/>
      <c r="CX773" s="4"/>
      <c r="CY773" s="4"/>
      <c r="CZ773" s="4"/>
      <c r="DA773" s="4"/>
      <c r="DB773" s="4"/>
      <c r="DC773" s="4"/>
      <c r="DD773" s="4"/>
      <c r="DE773" s="4"/>
      <c r="DF773" s="4"/>
      <c r="DG773" s="4"/>
      <c r="DH773" s="4"/>
      <c r="DI773" s="4"/>
      <c r="DJ773" s="4"/>
      <c r="DK773" s="4"/>
      <c r="DL773" s="4"/>
      <c r="DM773" s="4"/>
      <c r="DN773" s="4"/>
      <c r="DO773" s="4"/>
      <c r="DP773" s="4"/>
      <c r="DQ773" s="4"/>
      <c r="DR773" s="4"/>
      <c r="DS773" s="4"/>
    </row>
    <row r="774">
      <c r="A774" s="9">
        <f>IFERROR(__xludf.DUMMYFUNCTION("""COMPUTED_VALUE"""),45672.0)</f>
        <v>45672</v>
      </c>
      <c r="B774" s="6" t="str">
        <f>IFERROR(__xludf.DUMMYFUNCTION("""COMPUTED_VALUE"""),"Home Goods")</f>
        <v>Home Goods</v>
      </c>
      <c r="C774" s="7">
        <f>IFERROR(__xludf.DUMMYFUNCTION("""COMPUTED_VALUE"""),23283.0)</f>
        <v>23283</v>
      </c>
      <c r="D774" s="6" t="str">
        <f>IFERROR(__xludf.DUMMYFUNCTION("""COMPUTED_VALUE"""),"Personal Care")</f>
        <v>Personal Care</v>
      </c>
      <c r="E774" s="6" t="str">
        <f>IFERROR(__xludf.DUMMYFUNCTION("""COMPUTED_VALUE"""),"Credit Card")</f>
        <v>Credit Card</v>
      </c>
      <c r="F774" s="6" t="s">
        <v>16</v>
      </c>
      <c r="G774" s="8" t="str">
        <f t="shared" si="1"/>
        <v>202501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  <c r="CD774" s="4"/>
      <c r="CE774" s="4"/>
      <c r="CF774" s="4"/>
      <c r="CG774" s="4"/>
      <c r="CH774" s="4"/>
      <c r="CI774" s="4"/>
      <c r="CJ774" s="4"/>
      <c r="CK774" s="4"/>
      <c r="CL774" s="4"/>
      <c r="CM774" s="4"/>
      <c r="CN774" s="4"/>
      <c r="CO774" s="4"/>
      <c r="CP774" s="4"/>
      <c r="CQ774" s="4"/>
      <c r="CR774" s="4"/>
      <c r="CS774" s="4"/>
      <c r="CT774" s="4"/>
      <c r="CU774" s="4"/>
      <c r="CV774" s="4"/>
      <c r="CW774" s="4"/>
      <c r="CX774" s="4"/>
      <c r="CY774" s="4"/>
      <c r="CZ774" s="4"/>
      <c r="DA774" s="4"/>
      <c r="DB774" s="4"/>
      <c r="DC774" s="4"/>
      <c r="DD774" s="4"/>
      <c r="DE774" s="4"/>
      <c r="DF774" s="4"/>
      <c r="DG774" s="4"/>
      <c r="DH774" s="4"/>
      <c r="DI774" s="4"/>
      <c r="DJ774" s="4"/>
      <c r="DK774" s="4"/>
      <c r="DL774" s="4"/>
      <c r="DM774" s="4"/>
      <c r="DN774" s="4"/>
      <c r="DO774" s="4"/>
      <c r="DP774" s="4"/>
      <c r="DQ774" s="4"/>
      <c r="DR774" s="4"/>
      <c r="DS774" s="4"/>
    </row>
    <row r="775">
      <c r="A775" s="9">
        <f>IFERROR(__xludf.DUMMYFUNCTION("""COMPUTED_VALUE"""),45672.0)</f>
        <v>45672</v>
      </c>
      <c r="B775" s="6" t="str">
        <f>IFERROR(__xludf.DUMMYFUNCTION("""COMPUTED_VALUE"""),"Home Goods")</f>
        <v>Home Goods</v>
      </c>
      <c r="C775" s="7">
        <f>IFERROR(__xludf.DUMMYFUNCTION("""COMPUTED_VALUE"""),5000.0)</f>
        <v>5000</v>
      </c>
      <c r="D775" s="6" t="str">
        <f>IFERROR(__xludf.DUMMYFUNCTION("""COMPUTED_VALUE"""),"Home Goods &amp; Utilities")</f>
        <v>Home Goods &amp; Utilities</v>
      </c>
      <c r="E775" s="6" t="str">
        <f>IFERROR(__xludf.DUMMYFUNCTION("""COMPUTED_VALUE"""),"Virtual Wallet")</f>
        <v>Virtual Wallet</v>
      </c>
      <c r="F775" s="6" t="s">
        <v>8</v>
      </c>
      <c r="G775" s="8" t="str">
        <f t="shared" si="1"/>
        <v>202501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  <c r="CD775" s="4"/>
      <c r="CE775" s="4"/>
      <c r="CF775" s="4"/>
      <c r="CG775" s="4"/>
      <c r="CH775" s="4"/>
      <c r="CI775" s="4"/>
      <c r="CJ775" s="4"/>
      <c r="CK775" s="4"/>
      <c r="CL775" s="4"/>
      <c r="CM775" s="4"/>
      <c r="CN775" s="4"/>
      <c r="CO775" s="4"/>
      <c r="CP775" s="4"/>
      <c r="CQ775" s="4"/>
      <c r="CR775" s="4"/>
      <c r="CS775" s="4"/>
      <c r="CT775" s="4"/>
      <c r="CU775" s="4"/>
      <c r="CV775" s="4"/>
      <c r="CW775" s="4"/>
      <c r="CX775" s="4"/>
      <c r="CY775" s="4"/>
      <c r="CZ775" s="4"/>
      <c r="DA775" s="4"/>
      <c r="DB775" s="4"/>
      <c r="DC775" s="4"/>
      <c r="DD775" s="4"/>
      <c r="DE775" s="4"/>
      <c r="DF775" s="4"/>
      <c r="DG775" s="4"/>
      <c r="DH775" s="4"/>
      <c r="DI775" s="4"/>
      <c r="DJ775" s="4"/>
      <c r="DK775" s="4"/>
      <c r="DL775" s="4"/>
      <c r="DM775" s="4"/>
      <c r="DN775" s="4"/>
      <c r="DO775" s="4"/>
      <c r="DP775" s="4"/>
      <c r="DQ775" s="4"/>
      <c r="DR775" s="4"/>
      <c r="DS775" s="4"/>
    </row>
    <row r="776">
      <c r="A776" s="9">
        <f>IFERROR(__xludf.DUMMYFUNCTION("""COMPUTED_VALUE"""),45673.0)</f>
        <v>45673</v>
      </c>
      <c r="B776" s="6" t="str">
        <f>IFERROR(__xludf.DUMMYFUNCTION("""COMPUTED_VALUE"""),"Gift")</f>
        <v>Gift</v>
      </c>
      <c r="C776" s="7">
        <f>IFERROR(__xludf.DUMMYFUNCTION("""COMPUTED_VALUE"""),47000.0)</f>
        <v>47000</v>
      </c>
      <c r="D776" s="6" t="str">
        <f>IFERROR(__xludf.DUMMYFUNCTION("""COMPUTED_VALUE"""),"Gifts")</f>
        <v>Gifts</v>
      </c>
      <c r="E776" s="6" t="str">
        <f>IFERROR(__xludf.DUMMYFUNCTION("""COMPUTED_VALUE"""),"Credit Card")</f>
        <v>Credit Card</v>
      </c>
      <c r="F776" s="6"/>
      <c r="G776" s="8" t="str">
        <f t="shared" si="1"/>
        <v>202501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  <c r="CD776" s="4"/>
      <c r="CE776" s="4"/>
      <c r="CF776" s="4"/>
      <c r="CG776" s="4"/>
      <c r="CH776" s="4"/>
      <c r="CI776" s="4"/>
      <c r="CJ776" s="4"/>
      <c r="CK776" s="4"/>
      <c r="CL776" s="4"/>
      <c r="CM776" s="4"/>
      <c r="CN776" s="4"/>
      <c r="CO776" s="4"/>
      <c r="CP776" s="4"/>
      <c r="CQ776" s="4"/>
      <c r="CR776" s="4"/>
      <c r="CS776" s="4"/>
      <c r="CT776" s="4"/>
      <c r="CU776" s="4"/>
      <c r="CV776" s="4"/>
      <c r="CW776" s="4"/>
      <c r="CX776" s="4"/>
      <c r="CY776" s="4"/>
      <c r="CZ776" s="4"/>
      <c r="DA776" s="4"/>
      <c r="DB776" s="4"/>
      <c r="DC776" s="4"/>
      <c r="DD776" s="4"/>
      <c r="DE776" s="4"/>
      <c r="DF776" s="4"/>
      <c r="DG776" s="4"/>
      <c r="DH776" s="4"/>
      <c r="DI776" s="4"/>
      <c r="DJ776" s="4"/>
      <c r="DK776" s="4"/>
      <c r="DL776" s="4"/>
      <c r="DM776" s="4"/>
      <c r="DN776" s="4"/>
      <c r="DO776" s="4"/>
      <c r="DP776" s="4"/>
      <c r="DQ776" s="4"/>
      <c r="DR776" s="4"/>
      <c r="DS776" s="4"/>
    </row>
    <row r="777">
      <c r="A777" s="9">
        <f>IFERROR(__xludf.DUMMYFUNCTION("""COMPUTED_VALUE"""),45673.0)</f>
        <v>45673</v>
      </c>
      <c r="B777" s="6" t="str">
        <f>IFERROR(__xludf.DUMMYFUNCTION("""COMPUTED_VALUE"""),"Car Expenses")</f>
        <v>Car Expenses</v>
      </c>
      <c r="C777" s="7">
        <f>IFERROR(__xludf.DUMMYFUNCTION("""COMPUTED_VALUE"""),3320.0)</f>
        <v>3320</v>
      </c>
      <c r="D777" s="6" t="str">
        <f>IFERROR(__xludf.DUMMYFUNCTION("""COMPUTED_VALUE"""),"Car Expenses")</f>
        <v>Car Expenses</v>
      </c>
      <c r="E777" s="6" t="str">
        <f>IFERROR(__xludf.DUMMYFUNCTION("""COMPUTED_VALUE"""),"Virtual Wallet")</f>
        <v>Virtual Wallet</v>
      </c>
      <c r="F777" s="6" t="s">
        <v>9</v>
      </c>
      <c r="G777" s="8" t="str">
        <f t="shared" si="1"/>
        <v>202501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  <c r="CD777" s="4"/>
      <c r="CE777" s="4"/>
      <c r="CF777" s="4"/>
      <c r="CG777" s="4"/>
      <c r="CH777" s="4"/>
      <c r="CI777" s="4"/>
      <c r="CJ777" s="4"/>
      <c r="CK777" s="4"/>
      <c r="CL777" s="4"/>
      <c r="CM777" s="4"/>
      <c r="CN777" s="4"/>
      <c r="CO777" s="4"/>
      <c r="CP777" s="4"/>
      <c r="CQ777" s="4"/>
      <c r="CR777" s="4"/>
      <c r="CS777" s="4"/>
      <c r="CT777" s="4"/>
      <c r="CU777" s="4"/>
      <c r="CV777" s="4"/>
      <c r="CW777" s="4"/>
      <c r="CX777" s="4"/>
      <c r="CY777" s="4"/>
      <c r="CZ777" s="4"/>
      <c r="DA777" s="4"/>
      <c r="DB777" s="4"/>
      <c r="DC777" s="4"/>
      <c r="DD777" s="4"/>
      <c r="DE777" s="4"/>
      <c r="DF777" s="4"/>
      <c r="DG777" s="4"/>
      <c r="DH777" s="4"/>
      <c r="DI777" s="4"/>
      <c r="DJ777" s="4"/>
      <c r="DK777" s="4"/>
      <c r="DL777" s="4"/>
      <c r="DM777" s="4"/>
      <c r="DN777" s="4"/>
      <c r="DO777" s="4"/>
      <c r="DP777" s="4"/>
      <c r="DQ777" s="4"/>
      <c r="DR777" s="4"/>
      <c r="DS777" s="4"/>
    </row>
    <row r="778">
      <c r="A778" s="9">
        <f>IFERROR(__xludf.DUMMYFUNCTION("""COMPUTED_VALUE"""),45674.0)</f>
        <v>45674</v>
      </c>
      <c r="B778" s="6" t="str">
        <f>IFERROR(__xludf.DUMMYFUNCTION("""COMPUTED_VALUE"""),"Restaurant")</f>
        <v>Restaurant</v>
      </c>
      <c r="C778" s="7">
        <f>IFERROR(__xludf.DUMMYFUNCTION("""COMPUTED_VALUE"""),7100.0)</f>
        <v>7100</v>
      </c>
      <c r="D778" s="6" t="str">
        <f>IFERROR(__xludf.DUMMYFUNCTION("""COMPUTED_VALUE"""),"Restaurant / Café")</f>
        <v>Restaurant / Café</v>
      </c>
      <c r="E778" s="6" t="str">
        <f>IFERROR(__xludf.DUMMYFUNCTION("""COMPUTED_VALUE"""),"Virtual Wallet")</f>
        <v>Virtual Wallet</v>
      </c>
      <c r="F778" s="6" t="s">
        <v>14</v>
      </c>
      <c r="G778" s="8" t="str">
        <f t="shared" si="1"/>
        <v>202501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  <c r="CD778" s="4"/>
      <c r="CE778" s="4"/>
      <c r="CF778" s="4"/>
      <c r="CG778" s="4"/>
      <c r="CH778" s="4"/>
      <c r="CI778" s="4"/>
      <c r="CJ778" s="4"/>
      <c r="CK778" s="4"/>
      <c r="CL778" s="4"/>
      <c r="CM778" s="4"/>
      <c r="CN778" s="4"/>
      <c r="CO778" s="4"/>
      <c r="CP778" s="4"/>
      <c r="CQ778" s="4"/>
      <c r="CR778" s="4"/>
      <c r="CS778" s="4"/>
      <c r="CT778" s="4"/>
      <c r="CU778" s="4"/>
      <c r="CV778" s="4"/>
      <c r="CW778" s="4"/>
      <c r="CX778" s="4"/>
      <c r="CY778" s="4"/>
      <c r="CZ778" s="4"/>
      <c r="DA778" s="4"/>
      <c r="DB778" s="4"/>
      <c r="DC778" s="4"/>
      <c r="DD778" s="4"/>
      <c r="DE778" s="4"/>
      <c r="DF778" s="4"/>
      <c r="DG778" s="4"/>
      <c r="DH778" s="4"/>
      <c r="DI778" s="4"/>
      <c r="DJ778" s="4"/>
      <c r="DK778" s="4"/>
      <c r="DL778" s="4"/>
      <c r="DM778" s="4"/>
      <c r="DN778" s="4"/>
      <c r="DO778" s="4"/>
      <c r="DP778" s="4"/>
      <c r="DQ778" s="4"/>
      <c r="DR778" s="4"/>
      <c r="DS778" s="4"/>
    </row>
    <row r="779">
      <c r="A779" s="9">
        <f>IFERROR(__xludf.DUMMYFUNCTION("""COMPUTED_VALUE"""),45674.0)</f>
        <v>45674</v>
      </c>
      <c r="B779" s="6" t="str">
        <f>IFERROR(__xludf.DUMMYFUNCTION("""COMPUTED_VALUE"""),"Streaming Services")</f>
        <v>Streaming Services</v>
      </c>
      <c r="C779" s="7">
        <f>IFERROR(__xludf.DUMMYFUNCTION("""COMPUTED_VALUE"""),4838.0)</f>
        <v>4838</v>
      </c>
      <c r="D779" s="6" t="str">
        <f>IFERROR(__xludf.DUMMYFUNCTION("""COMPUTED_VALUE"""),"Streaming Services")</f>
        <v>Streaming Services</v>
      </c>
      <c r="E779" s="6" t="str">
        <f>IFERROR(__xludf.DUMMYFUNCTION("""COMPUTED_VALUE"""),"Credit Card")</f>
        <v>Credit Card</v>
      </c>
      <c r="F779" s="6" t="s">
        <v>12</v>
      </c>
      <c r="G779" s="8" t="str">
        <f t="shared" si="1"/>
        <v>202501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  <c r="CD779" s="4"/>
      <c r="CE779" s="4"/>
      <c r="CF779" s="4"/>
      <c r="CG779" s="4"/>
      <c r="CH779" s="4"/>
      <c r="CI779" s="4"/>
      <c r="CJ779" s="4"/>
      <c r="CK779" s="4"/>
      <c r="CL779" s="4"/>
      <c r="CM779" s="4"/>
      <c r="CN779" s="4"/>
      <c r="CO779" s="4"/>
      <c r="CP779" s="4"/>
      <c r="CQ779" s="4"/>
      <c r="CR779" s="4"/>
      <c r="CS779" s="4"/>
      <c r="CT779" s="4"/>
      <c r="CU779" s="4"/>
      <c r="CV779" s="4"/>
      <c r="CW779" s="4"/>
      <c r="CX779" s="4"/>
      <c r="CY779" s="4"/>
      <c r="CZ779" s="4"/>
      <c r="DA779" s="4"/>
      <c r="DB779" s="4"/>
      <c r="DC779" s="4"/>
      <c r="DD779" s="4"/>
      <c r="DE779" s="4"/>
      <c r="DF779" s="4"/>
      <c r="DG779" s="4"/>
      <c r="DH779" s="4"/>
      <c r="DI779" s="4"/>
      <c r="DJ779" s="4"/>
      <c r="DK779" s="4"/>
      <c r="DL779" s="4"/>
      <c r="DM779" s="4"/>
      <c r="DN779" s="4"/>
      <c r="DO779" s="4"/>
      <c r="DP779" s="4"/>
      <c r="DQ779" s="4"/>
      <c r="DR779" s="4"/>
      <c r="DS779" s="4"/>
    </row>
    <row r="780">
      <c r="A780" s="9">
        <f>IFERROR(__xludf.DUMMYFUNCTION("""COMPUTED_VALUE"""),45675.0)</f>
        <v>45675</v>
      </c>
      <c r="B780" s="6" t="str">
        <f>IFERROR(__xludf.DUMMYFUNCTION("""COMPUTED_VALUE"""),"Groceries")</f>
        <v>Groceries</v>
      </c>
      <c r="C780" s="7">
        <f>IFERROR(__xludf.DUMMYFUNCTION("""COMPUTED_VALUE"""),2000.0)</f>
        <v>2000</v>
      </c>
      <c r="D780" s="6" t="str">
        <f>IFERROR(__xludf.DUMMYFUNCTION("""COMPUTED_VALUE"""),"Groceries")</f>
        <v>Groceries</v>
      </c>
      <c r="E780" s="6" t="str">
        <f>IFERROR(__xludf.DUMMYFUNCTION("""COMPUTED_VALUE"""),"Split Payment")</f>
        <v>Split Payment</v>
      </c>
      <c r="F780" s="6" t="s">
        <v>7</v>
      </c>
      <c r="G780" s="8" t="str">
        <f t="shared" si="1"/>
        <v>202501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  <c r="CD780" s="4"/>
      <c r="CE780" s="4"/>
      <c r="CF780" s="4"/>
      <c r="CG780" s="4"/>
      <c r="CH780" s="4"/>
      <c r="CI780" s="4"/>
      <c r="CJ780" s="4"/>
      <c r="CK780" s="4"/>
      <c r="CL780" s="4"/>
      <c r="CM780" s="4"/>
      <c r="CN780" s="4"/>
      <c r="CO780" s="4"/>
      <c r="CP780" s="4"/>
      <c r="CQ780" s="4"/>
      <c r="CR780" s="4"/>
      <c r="CS780" s="4"/>
      <c r="CT780" s="4"/>
      <c r="CU780" s="4"/>
      <c r="CV780" s="4"/>
      <c r="CW780" s="4"/>
      <c r="CX780" s="4"/>
      <c r="CY780" s="4"/>
      <c r="CZ780" s="4"/>
      <c r="DA780" s="4"/>
      <c r="DB780" s="4"/>
      <c r="DC780" s="4"/>
      <c r="DD780" s="4"/>
      <c r="DE780" s="4"/>
      <c r="DF780" s="4"/>
      <c r="DG780" s="4"/>
      <c r="DH780" s="4"/>
      <c r="DI780" s="4"/>
      <c r="DJ780" s="4"/>
      <c r="DK780" s="4"/>
      <c r="DL780" s="4"/>
      <c r="DM780" s="4"/>
      <c r="DN780" s="4"/>
      <c r="DO780" s="4"/>
      <c r="DP780" s="4"/>
      <c r="DQ780" s="4"/>
      <c r="DR780" s="4"/>
      <c r="DS780" s="4"/>
    </row>
    <row r="781">
      <c r="A781" s="9">
        <f>IFERROR(__xludf.DUMMYFUNCTION("""COMPUTED_VALUE"""),45675.0)</f>
        <v>45675</v>
      </c>
      <c r="B781" s="6" t="str">
        <f>IFERROR(__xludf.DUMMYFUNCTION("""COMPUTED_VALUE"""),"Groceries")</f>
        <v>Groceries</v>
      </c>
      <c r="C781" s="7">
        <f>IFERROR(__xludf.DUMMYFUNCTION("""COMPUTED_VALUE"""),1600.0)</f>
        <v>1600</v>
      </c>
      <c r="D781" s="6" t="str">
        <f>IFERROR(__xludf.DUMMYFUNCTION("""COMPUTED_VALUE"""),"Groceries")</f>
        <v>Groceries</v>
      </c>
      <c r="E781" s="6" t="str">
        <f>IFERROR(__xludf.DUMMYFUNCTION("""COMPUTED_VALUE"""),"Virtual Wallet")</f>
        <v>Virtual Wallet</v>
      </c>
      <c r="F781" s="6" t="s">
        <v>7</v>
      </c>
      <c r="G781" s="8" t="str">
        <f t="shared" si="1"/>
        <v>202501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  <c r="CD781" s="4"/>
      <c r="CE781" s="4"/>
      <c r="CF781" s="4"/>
      <c r="CG781" s="4"/>
      <c r="CH781" s="4"/>
      <c r="CI781" s="4"/>
      <c r="CJ781" s="4"/>
      <c r="CK781" s="4"/>
      <c r="CL781" s="4"/>
      <c r="CM781" s="4"/>
      <c r="CN781" s="4"/>
      <c r="CO781" s="4"/>
      <c r="CP781" s="4"/>
      <c r="CQ781" s="4"/>
      <c r="CR781" s="4"/>
      <c r="CS781" s="4"/>
      <c r="CT781" s="4"/>
      <c r="CU781" s="4"/>
      <c r="CV781" s="4"/>
      <c r="CW781" s="4"/>
      <c r="CX781" s="4"/>
      <c r="CY781" s="4"/>
      <c r="CZ781" s="4"/>
      <c r="DA781" s="4"/>
      <c r="DB781" s="4"/>
      <c r="DC781" s="4"/>
      <c r="DD781" s="4"/>
      <c r="DE781" s="4"/>
      <c r="DF781" s="4"/>
      <c r="DG781" s="4"/>
      <c r="DH781" s="4"/>
      <c r="DI781" s="4"/>
      <c r="DJ781" s="4"/>
      <c r="DK781" s="4"/>
      <c r="DL781" s="4"/>
      <c r="DM781" s="4"/>
      <c r="DN781" s="4"/>
      <c r="DO781" s="4"/>
      <c r="DP781" s="4"/>
      <c r="DQ781" s="4"/>
      <c r="DR781" s="4"/>
      <c r="DS781" s="4"/>
    </row>
    <row r="782">
      <c r="A782" s="9">
        <f>IFERROR(__xludf.DUMMYFUNCTION("""COMPUTED_VALUE"""),45675.0)</f>
        <v>45675</v>
      </c>
      <c r="B782" s="6" t="str">
        <f>IFERROR(__xludf.DUMMYFUNCTION("""COMPUTED_VALUE"""),"Home Goods")</f>
        <v>Home Goods</v>
      </c>
      <c r="C782" s="7">
        <f>IFERROR(__xludf.DUMMYFUNCTION("""COMPUTED_VALUE"""),3750.0)</f>
        <v>3750</v>
      </c>
      <c r="D782" s="6" t="str">
        <f>IFERROR(__xludf.DUMMYFUNCTION("""COMPUTED_VALUE"""),"Home Goods &amp; Utilities")</f>
        <v>Home Goods &amp; Utilities</v>
      </c>
      <c r="E782" s="6" t="str">
        <f>IFERROR(__xludf.DUMMYFUNCTION("""COMPUTED_VALUE"""),"Virtual Wallet")</f>
        <v>Virtual Wallet</v>
      </c>
      <c r="F782" s="6" t="s">
        <v>8</v>
      </c>
      <c r="G782" s="8" t="str">
        <f t="shared" si="1"/>
        <v>202501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  <c r="CD782" s="4"/>
      <c r="CE782" s="4"/>
      <c r="CF782" s="4"/>
      <c r="CG782" s="4"/>
      <c r="CH782" s="4"/>
      <c r="CI782" s="4"/>
      <c r="CJ782" s="4"/>
      <c r="CK782" s="4"/>
      <c r="CL782" s="4"/>
      <c r="CM782" s="4"/>
      <c r="CN782" s="4"/>
      <c r="CO782" s="4"/>
      <c r="CP782" s="4"/>
      <c r="CQ782" s="4"/>
      <c r="CR782" s="4"/>
      <c r="CS782" s="4"/>
      <c r="CT782" s="4"/>
      <c r="CU782" s="4"/>
      <c r="CV782" s="4"/>
      <c r="CW782" s="4"/>
      <c r="CX782" s="4"/>
      <c r="CY782" s="4"/>
      <c r="CZ782" s="4"/>
      <c r="DA782" s="4"/>
      <c r="DB782" s="4"/>
      <c r="DC782" s="4"/>
      <c r="DD782" s="4"/>
      <c r="DE782" s="4"/>
      <c r="DF782" s="4"/>
      <c r="DG782" s="4"/>
      <c r="DH782" s="4"/>
      <c r="DI782" s="4"/>
      <c r="DJ782" s="4"/>
      <c r="DK782" s="4"/>
      <c r="DL782" s="4"/>
      <c r="DM782" s="4"/>
      <c r="DN782" s="4"/>
      <c r="DO782" s="4"/>
      <c r="DP782" s="4"/>
      <c r="DQ782" s="4"/>
      <c r="DR782" s="4"/>
      <c r="DS782" s="4"/>
    </row>
    <row r="783">
      <c r="A783" s="9">
        <f>IFERROR(__xludf.DUMMYFUNCTION("""COMPUTED_VALUE"""),45675.0)</f>
        <v>45675</v>
      </c>
      <c r="B783" s="6" t="str">
        <f>IFERROR(__xludf.DUMMYFUNCTION("""COMPUTED_VALUE"""),"Pets")</f>
        <v>Pets</v>
      </c>
      <c r="C783" s="7">
        <f>IFERROR(__xludf.DUMMYFUNCTION("""COMPUTED_VALUE"""),9991.0)</f>
        <v>9991</v>
      </c>
      <c r="D783" s="6" t="str">
        <f>IFERROR(__xludf.DUMMYFUNCTION("""COMPUTED_VALUE"""),"Pets")</f>
        <v>Pets</v>
      </c>
      <c r="E783" s="6" t="str">
        <f>IFERROR(__xludf.DUMMYFUNCTION("""COMPUTED_VALUE"""),"Split Payment")</f>
        <v>Split Payment</v>
      </c>
      <c r="F783" s="6" t="s">
        <v>7</v>
      </c>
      <c r="G783" s="8" t="str">
        <f t="shared" si="1"/>
        <v>202501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  <c r="CD783" s="4"/>
      <c r="CE783" s="4"/>
      <c r="CF783" s="4"/>
      <c r="CG783" s="4"/>
      <c r="CH783" s="4"/>
      <c r="CI783" s="4"/>
      <c r="CJ783" s="4"/>
      <c r="CK783" s="4"/>
      <c r="CL783" s="4"/>
      <c r="CM783" s="4"/>
      <c r="CN783" s="4"/>
      <c r="CO783" s="4"/>
      <c r="CP783" s="4"/>
      <c r="CQ783" s="4"/>
      <c r="CR783" s="4"/>
      <c r="CS783" s="4"/>
      <c r="CT783" s="4"/>
      <c r="CU783" s="4"/>
      <c r="CV783" s="4"/>
      <c r="CW783" s="4"/>
      <c r="CX783" s="4"/>
      <c r="CY783" s="4"/>
      <c r="CZ783" s="4"/>
      <c r="DA783" s="4"/>
      <c r="DB783" s="4"/>
      <c r="DC783" s="4"/>
      <c r="DD783" s="4"/>
      <c r="DE783" s="4"/>
      <c r="DF783" s="4"/>
      <c r="DG783" s="4"/>
      <c r="DH783" s="4"/>
      <c r="DI783" s="4"/>
      <c r="DJ783" s="4"/>
      <c r="DK783" s="4"/>
      <c r="DL783" s="4"/>
      <c r="DM783" s="4"/>
      <c r="DN783" s="4"/>
      <c r="DO783" s="4"/>
      <c r="DP783" s="4"/>
      <c r="DQ783" s="4"/>
      <c r="DR783" s="4"/>
      <c r="DS783" s="4"/>
    </row>
    <row r="784">
      <c r="A784" s="9">
        <f>IFERROR(__xludf.DUMMYFUNCTION("""COMPUTED_VALUE"""),45676.0)</f>
        <v>45676</v>
      </c>
      <c r="B784" s="6" t="str">
        <f>IFERROR(__xludf.DUMMYFUNCTION("""COMPUTED_VALUE"""),"Groceries")</f>
        <v>Groceries</v>
      </c>
      <c r="C784" s="7">
        <f>IFERROR(__xludf.DUMMYFUNCTION("""COMPUTED_VALUE"""),3613.0)</f>
        <v>3613</v>
      </c>
      <c r="D784" s="6" t="str">
        <f>IFERROR(__xludf.DUMMYFUNCTION("""COMPUTED_VALUE"""),"Groceries")</f>
        <v>Groceries</v>
      </c>
      <c r="E784" s="6" t="str">
        <f>IFERROR(__xludf.DUMMYFUNCTION("""COMPUTED_VALUE"""),"Virtual Wallet")</f>
        <v>Virtual Wallet</v>
      </c>
      <c r="F784" s="6" t="s">
        <v>7</v>
      </c>
      <c r="G784" s="8" t="str">
        <f t="shared" si="1"/>
        <v>202501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  <c r="CD784" s="4"/>
      <c r="CE784" s="4"/>
      <c r="CF784" s="4"/>
      <c r="CG784" s="4"/>
      <c r="CH784" s="4"/>
      <c r="CI784" s="4"/>
      <c r="CJ784" s="4"/>
      <c r="CK784" s="4"/>
      <c r="CL784" s="4"/>
      <c r="CM784" s="4"/>
      <c r="CN784" s="4"/>
      <c r="CO784" s="4"/>
      <c r="CP784" s="4"/>
      <c r="CQ784" s="4"/>
      <c r="CR784" s="4"/>
      <c r="CS784" s="4"/>
      <c r="CT784" s="4"/>
      <c r="CU784" s="4"/>
      <c r="CV784" s="4"/>
      <c r="CW784" s="4"/>
      <c r="CX784" s="4"/>
      <c r="CY784" s="4"/>
      <c r="CZ784" s="4"/>
      <c r="DA784" s="4"/>
      <c r="DB784" s="4"/>
      <c r="DC784" s="4"/>
      <c r="DD784" s="4"/>
      <c r="DE784" s="4"/>
      <c r="DF784" s="4"/>
      <c r="DG784" s="4"/>
      <c r="DH784" s="4"/>
      <c r="DI784" s="4"/>
      <c r="DJ784" s="4"/>
      <c r="DK784" s="4"/>
      <c r="DL784" s="4"/>
      <c r="DM784" s="4"/>
      <c r="DN784" s="4"/>
      <c r="DO784" s="4"/>
      <c r="DP784" s="4"/>
      <c r="DQ784" s="4"/>
      <c r="DR784" s="4"/>
      <c r="DS784" s="4"/>
    </row>
    <row r="785">
      <c r="A785" s="9">
        <f>IFERROR(__xludf.DUMMYFUNCTION("""COMPUTED_VALUE"""),45676.0)</f>
        <v>45676</v>
      </c>
      <c r="B785" s="6" t="str">
        <f>IFERROR(__xludf.DUMMYFUNCTION("""COMPUTED_VALUE"""),"Home Goods")</f>
        <v>Home Goods</v>
      </c>
      <c r="C785" s="7">
        <f>IFERROR(__xludf.DUMMYFUNCTION("""COMPUTED_VALUE"""),11070.0)</f>
        <v>11070</v>
      </c>
      <c r="D785" s="6" t="str">
        <f>IFERROR(__xludf.DUMMYFUNCTION("""COMPUTED_VALUE"""),"Home Goods &amp; Utilities")</f>
        <v>Home Goods &amp; Utilities</v>
      </c>
      <c r="E785" s="6" t="str">
        <f>IFERROR(__xludf.DUMMYFUNCTION("""COMPUTED_VALUE"""),"Virtual Wallet")</f>
        <v>Virtual Wallet</v>
      </c>
      <c r="F785" s="6" t="s">
        <v>8</v>
      </c>
      <c r="G785" s="8" t="str">
        <f t="shared" si="1"/>
        <v>202501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  <c r="CD785" s="4"/>
      <c r="CE785" s="4"/>
      <c r="CF785" s="4"/>
      <c r="CG785" s="4"/>
      <c r="CH785" s="4"/>
      <c r="CI785" s="4"/>
      <c r="CJ785" s="4"/>
      <c r="CK785" s="4"/>
      <c r="CL785" s="4"/>
      <c r="CM785" s="4"/>
      <c r="CN785" s="4"/>
      <c r="CO785" s="4"/>
      <c r="CP785" s="4"/>
      <c r="CQ785" s="4"/>
      <c r="CR785" s="4"/>
      <c r="CS785" s="4"/>
      <c r="CT785" s="4"/>
      <c r="CU785" s="4"/>
      <c r="CV785" s="4"/>
      <c r="CW785" s="4"/>
      <c r="CX785" s="4"/>
      <c r="CY785" s="4"/>
      <c r="CZ785" s="4"/>
      <c r="DA785" s="4"/>
      <c r="DB785" s="4"/>
      <c r="DC785" s="4"/>
      <c r="DD785" s="4"/>
      <c r="DE785" s="4"/>
      <c r="DF785" s="4"/>
      <c r="DG785" s="4"/>
      <c r="DH785" s="4"/>
      <c r="DI785" s="4"/>
      <c r="DJ785" s="4"/>
      <c r="DK785" s="4"/>
      <c r="DL785" s="4"/>
      <c r="DM785" s="4"/>
      <c r="DN785" s="4"/>
      <c r="DO785" s="4"/>
      <c r="DP785" s="4"/>
      <c r="DQ785" s="4"/>
      <c r="DR785" s="4"/>
      <c r="DS785" s="4"/>
    </row>
    <row r="786">
      <c r="A786" s="9">
        <f>IFERROR(__xludf.DUMMYFUNCTION("""COMPUTED_VALUE"""),45676.0)</f>
        <v>45676</v>
      </c>
      <c r="B786" s="6" t="str">
        <f>IFERROR(__xludf.DUMMYFUNCTION("""COMPUTED_VALUE"""),"Restaurant")</f>
        <v>Restaurant</v>
      </c>
      <c r="C786" s="7">
        <f>IFERROR(__xludf.DUMMYFUNCTION("""COMPUTED_VALUE"""),4800.0)</f>
        <v>4800</v>
      </c>
      <c r="D786" s="6" t="str">
        <f>IFERROR(__xludf.DUMMYFUNCTION("""COMPUTED_VALUE"""),"Restaurant / Café")</f>
        <v>Restaurant / Café</v>
      </c>
      <c r="E786" s="6" t="str">
        <f>IFERROR(__xludf.DUMMYFUNCTION("""COMPUTED_VALUE"""),"Virtual Wallet")</f>
        <v>Virtual Wallet</v>
      </c>
      <c r="F786" s="6" t="s">
        <v>14</v>
      </c>
      <c r="G786" s="8" t="str">
        <f t="shared" si="1"/>
        <v>202501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  <c r="CD786" s="4"/>
      <c r="CE786" s="4"/>
      <c r="CF786" s="4"/>
      <c r="CG786" s="4"/>
      <c r="CH786" s="4"/>
      <c r="CI786" s="4"/>
      <c r="CJ786" s="4"/>
      <c r="CK786" s="4"/>
      <c r="CL786" s="4"/>
      <c r="CM786" s="4"/>
      <c r="CN786" s="4"/>
      <c r="CO786" s="4"/>
      <c r="CP786" s="4"/>
      <c r="CQ786" s="4"/>
      <c r="CR786" s="4"/>
      <c r="CS786" s="4"/>
      <c r="CT786" s="4"/>
      <c r="CU786" s="4"/>
      <c r="CV786" s="4"/>
      <c r="CW786" s="4"/>
      <c r="CX786" s="4"/>
      <c r="CY786" s="4"/>
      <c r="CZ786" s="4"/>
      <c r="DA786" s="4"/>
      <c r="DB786" s="4"/>
      <c r="DC786" s="4"/>
      <c r="DD786" s="4"/>
      <c r="DE786" s="4"/>
      <c r="DF786" s="4"/>
      <c r="DG786" s="4"/>
      <c r="DH786" s="4"/>
      <c r="DI786" s="4"/>
      <c r="DJ786" s="4"/>
      <c r="DK786" s="4"/>
      <c r="DL786" s="4"/>
      <c r="DM786" s="4"/>
      <c r="DN786" s="4"/>
      <c r="DO786" s="4"/>
      <c r="DP786" s="4"/>
      <c r="DQ786" s="4"/>
      <c r="DR786" s="4"/>
      <c r="DS786" s="4"/>
    </row>
    <row r="787">
      <c r="A787" s="9">
        <f>IFERROR(__xludf.DUMMYFUNCTION("""COMPUTED_VALUE"""),45677.0)</f>
        <v>45677</v>
      </c>
      <c r="B787" s="6" t="str">
        <f>IFERROR(__xludf.DUMMYFUNCTION("""COMPUTED_VALUE"""),"Pharmacy")</f>
        <v>Pharmacy</v>
      </c>
      <c r="C787" s="7">
        <f>IFERROR(__xludf.DUMMYFUNCTION("""COMPUTED_VALUE"""),10392.0)</f>
        <v>10392</v>
      </c>
      <c r="D787" s="6" t="str">
        <f>IFERROR(__xludf.DUMMYFUNCTION("""COMPUTED_VALUE"""),"Personal Care")</f>
        <v>Personal Care</v>
      </c>
      <c r="E787" s="6" t="str">
        <f>IFERROR(__xludf.DUMMYFUNCTION("""COMPUTED_VALUE"""),"Credit Card")</f>
        <v>Credit Card</v>
      </c>
      <c r="F787" s="6" t="s">
        <v>16</v>
      </c>
      <c r="G787" s="8" t="str">
        <f t="shared" si="1"/>
        <v>202501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  <c r="CD787" s="4"/>
      <c r="CE787" s="4"/>
      <c r="CF787" s="4"/>
      <c r="CG787" s="4"/>
      <c r="CH787" s="4"/>
      <c r="CI787" s="4"/>
      <c r="CJ787" s="4"/>
      <c r="CK787" s="4"/>
      <c r="CL787" s="4"/>
      <c r="CM787" s="4"/>
      <c r="CN787" s="4"/>
      <c r="CO787" s="4"/>
      <c r="CP787" s="4"/>
      <c r="CQ787" s="4"/>
      <c r="CR787" s="4"/>
      <c r="CS787" s="4"/>
      <c r="CT787" s="4"/>
      <c r="CU787" s="4"/>
      <c r="CV787" s="4"/>
      <c r="CW787" s="4"/>
      <c r="CX787" s="4"/>
      <c r="CY787" s="4"/>
      <c r="CZ787" s="4"/>
      <c r="DA787" s="4"/>
      <c r="DB787" s="4"/>
      <c r="DC787" s="4"/>
      <c r="DD787" s="4"/>
      <c r="DE787" s="4"/>
      <c r="DF787" s="4"/>
      <c r="DG787" s="4"/>
      <c r="DH787" s="4"/>
      <c r="DI787" s="4"/>
      <c r="DJ787" s="4"/>
      <c r="DK787" s="4"/>
      <c r="DL787" s="4"/>
      <c r="DM787" s="4"/>
      <c r="DN787" s="4"/>
      <c r="DO787" s="4"/>
      <c r="DP787" s="4"/>
      <c r="DQ787" s="4"/>
      <c r="DR787" s="4"/>
      <c r="DS787" s="4"/>
    </row>
    <row r="788">
      <c r="A788" s="9">
        <f>IFERROR(__xludf.DUMMYFUNCTION("""COMPUTED_VALUE"""),45677.0)</f>
        <v>45677</v>
      </c>
      <c r="B788" s="6" t="str">
        <f>IFERROR(__xludf.DUMMYFUNCTION("""COMPUTED_VALUE"""),"Clothing")</f>
        <v>Clothing</v>
      </c>
      <c r="C788" s="7">
        <f>IFERROR(__xludf.DUMMYFUNCTION("""COMPUTED_VALUE"""),9666.0)</f>
        <v>9666</v>
      </c>
      <c r="D788" s="6" t="str">
        <f>IFERROR(__xludf.DUMMYFUNCTION("""COMPUTED_VALUE"""),"Clothing")</f>
        <v>Clothing</v>
      </c>
      <c r="E788" s="6" t="str">
        <f>IFERROR(__xludf.DUMMYFUNCTION("""COMPUTED_VALUE"""),"Credit Card")</f>
        <v>Credit Card</v>
      </c>
      <c r="F788" s="6" t="s">
        <v>10</v>
      </c>
      <c r="G788" s="8" t="str">
        <f t="shared" si="1"/>
        <v>202501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  <c r="CD788" s="4"/>
      <c r="CE788" s="4"/>
      <c r="CF788" s="4"/>
      <c r="CG788" s="4"/>
      <c r="CH788" s="4"/>
      <c r="CI788" s="4"/>
      <c r="CJ788" s="4"/>
      <c r="CK788" s="4"/>
      <c r="CL788" s="4"/>
      <c r="CM788" s="4"/>
      <c r="CN788" s="4"/>
      <c r="CO788" s="4"/>
      <c r="CP788" s="4"/>
      <c r="CQ788" s="4"/>
      <c r="CR788" s="4"/>
      <c r="CS788" s="4"/>
      <c r="CT788" s="4"/>
      <c r="CU788" s="4"/>
      <c r="CV788" s="4"/>
      <c r="CW788" s="4"/>
      <c r="CX788" s="4"/>
      <c r="CY788" s="4"/>
      <c r="CZ788" s="4"/>
      <c r="DA788" s="4"/>
      <c r="DB788" s="4"/>
      <c r="DC788" s="4"/>
      <c r="DD788" s="4"/>
      <c r="DE788" s="4"/>
      <c r="DF788" s="4"/>
      <c r="DG788" s="4"/>
      <c r="DH788" s="4"/>
      <c r="DI788" s="4"/>
      <c r="DJ788" s="4"/>
      <c r="DK788" s="4"/>
      <c r="DL788" s="4"/>
      <c r="DM788" s="4"/>
      <c r="DN788" s="4"/>
      <c r="DO788" s="4"/>
      <c r="DP788" s="4"/>
      <c r="DQ788" s="4"/>
      <c r="DR788" s="4"/>
      <c r="DS788" s="4"/>
    </row>
    <row r="789">
      <c r="A789" s="9">
        <f>IFERROR(__xludf.DUMMYFUNCTION("""COMPUTED_VALUE"""),45677.0)</f>
        <v>45677</v>
      </c>
      <c r="B789" s="6" t="str">
        <f>IFERROR(__xludf.DUMMYFUNCTION("""COMPUTED_VALUE"""),"Pharmacy")</f>
        <v>Pharmacy</v>
      </c>
      <c r="C789" s="7">
        <f>IFERROR(__xludf.DUMMYFUNCTION("""COMPUTED_VALUE"""),14705.0)</f>
        <v>14705</v>
      </c>
      <c r="D789" s="6" t="str">
        <f>IFERROR(__xludf.DUMMYFUNCTION("""COMPUTED_VALUE"""),"Personal Care")</f>
        <v>Personal Care</v>
      </c>
      <c r="E789" s="6" t="str">
        <f>IFERROR(__xludf.DUMMYFUNCTION("""COMPUTED_VALUE"""),"Credit Card")</f>
        <v>Credit Card</v>
      </c>
      <c r="F789" s="6" t="s">
        <v>16</v>
      </c>
      <c r="G789" s="8" t="str">
        <f t="shared" si="1"/>
        <v>202501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  <c r="CD789" s="4"/>
      <c r="CE789" s="4"/>
      <c r="CF789" s="4"/>
      <c r="CG789" s="4"/>
      <c r="CH789" s="4"/>
      <c r="CI789" s="4"/>
      <c r="CJ789" s="4"/>
      <c r="CK789" s="4"/>
      <c r="CL789" s="4"/>
      <c r="CM789" s="4"/>
      <c r="CN789" s="4"/>
      <c r="CO789" s="4"/>
      <c r="CP789" s="4"/>
      <c r="CQ789" s="4"/>
      <c r="CR789" s="4"/>
      <c r="CS789" s="4"/>
      <c r="CT789" s="4"/>
      <c r="CU789" s="4"/>
      <c r="CV789" s="4"/>
      <c r="CW789" s="4"/>
      <c r="CX789" s="4"/>
      <c r="CY789" s="4"/>
      <c r="CZ789" s="4"/>
      <c r="DA789" s="4"/>
      <c r="DB789" s="4"/>
      <c r="DC789" s="4"/>
      <c r="DD789" s="4"/>
      <c r="DE789" s="4"/>
      <c r="DF789" s="4"/>
      <c r="DG789" s="4"/>
      <c r="DH789" s="4"/>
      <c r="DI789" s="4"/>
      <c r="DJ789" s="4"/>
      <c r="DK789" s="4"/>
      <c r="DL789" s="4"/>
      <c r="DM789" s="4"/>
      <c r="DN789" s="4"/>
      <c r="DO789" s="4"/>
      <c r="DP789" s="4"/>
      <c r="DQ789" s="4"/>
      <c r="DR789" s="4"/>
      <c r="DS789" s="4"/>
    </row>
    <row r="790">
      <c r="A790" s="9">
        <f>IFERROR(__xludf.DUMMYFUNCTION("""COMPUTED_VALUE"""),45677.0)</f>
        <v>45677</v>
      </c>
      <c r="B790" s="6" t="str">
        <f>IFERROR(__xludf.DUMMYFUNCTION("""COMPUTED_VALUE"""),"Electricity Bill (Edesur)")</f>
        <v>Electricity Bill (Edesur)</v>
      </c>
      <c r="C790" s="7">
        <f>IFERROR(__xludf.DUMMYFUNCTION("""COMPUTED_VALUE"""),5242.0)</f>
        <v>5242</v>
      </c>
      <c r="D790" s="6" t="str">
        <f>IFERROR(__xludf.DUMMYFUNCTION("""COMPUTED_VALUE"""),"Basic Services")</f>
        <v>Basic Services</v>
      </c>
      <c r="E790" s="6" t="str">
        <f>IFERROR(__xludf.DUMMYFUNCTION("""COMPUTED_VALUE"""),"Split Payment")</f>
        <v>Split Payment</v>
      </c>
      <c r="F790" s="6" t="s">
        <v>13</v>
      </c>
      <c r="G790" s="8" t="str">
        <f t="shared" si="1"/>
        <v>202501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  <c r="CD790" s="4"/>
      <c r="CE790" s="4"/>
      <c r="CF790" s="4"/>
      <c r="CG790" s="4"/>
      <c r="CH790" s="4"/>
      <c r="CI790" s="4"/>
      <c r="CJ790" s="4"/>
      <c r="CK790" s="4"/>
      <c r="CL790" s="4"/>
      <c r="CM790" s="4"/>
      <c r="CN790" s="4"/>
      <c r="CO790" s="4"/>
      <c r="CP790" s="4"/>
      <c r="CQ790" s="4"/>
      <c r="CR790" s="4"/>
      <c r="CS790" s="4"/>
      <c r="CT790" s="4"/>
      <c r="CU790" s="4"/>
      <c r="CV790" s="4"/>
      <c r="CW790" s="4"/>
      <c r="CX790" s="4"/>
      <c r="CY790" s="4"/>
      <c r="CZ790" s="4"/>
      <c r="DA790" s="4"/>
      <c r="DB790" s="4"/>
      <c r="DC790" s="4"/>
      <c r="DD790" s="4"/>
      <c r="DE790" s="4"/>
      <c r="DF790" s="4"/>
      <c r="DG790" s="4"/>
      <c r="DH790" s="4"/>
      <c r="DI790" s="4"/>
      <c r="DJ790" s="4"/>
      <c r="DK790" s="4"/>
      <c r="DL790" s="4"/>
      <c r="DM790" s="4"/>
      <c r="DN790" s="4"/>
      <c r="DO790" s="4"/>
      <c r="DP790" s="4"/>
      <c r="DQ790" s="4"/>
      <c r="DR790" s="4"/>
      <c r="DS790" s="4"/>
    </row>
    <row r="791">
      <c r="A791" s="9">
        <f>IFERROR(__xludf.DUMMYFUNCTION("""COMPUTED_VALUE"""),45677.0)</f>
        <v>45677</v>
      </c>
      <c r="B791" s="6" t="str">
        <f>IFERROR(__xludf.DUMMYFUNCTION("""COMPUTED_VALUE"""),"Pets")</f>
        <v>Pets</v>
      </c>
      <c r="C791" s="7">
        <f>IFERROR(__xludf.DUMMYFUNCTION("""COMPUTED_VALUE"""),4800.0)</f>
        <v>4800</v>
      </c>
      <c r="D791" s="6" t="str">
        <f>IFERROR(__xludf.DUMMYFUNCTION("""COMPUTED_VALUE"""),"Pets")</f>
        <v>Pets</v>
      </c>
      <c r="E791" s="6" t="str">
        <f>IFERROR(__xludf.DUMMYFUNCTION("""COMPUTED_VALUE"""),"Virtual Wallet")</f>
        <v>Virtual Wallet</v>
      </c>
      <c r="F791" s="6" t="s">
        <v>7</v>
      </c>
      <c r="G791" s="8" t="str">
        <f t="shared" si="1"/>
        <v>202501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  <c r="CD791" s="4"/>
      <c r="CE791" s="4"/>
      <c r="CF791" s="4"/>
      <c r="CG791" s="4"/>
      <c r="CH791" s="4"/>
      <c r="CI791" s="4"/>
      <c r="CJ791" s="4"/>
      <c r="CK791" s="4"/>
      <c r="CL791" s="4"/>
      <c r="CM791" s="4"/>
      <c r="CN791" s="4"/>
      <c r="CO791" s="4"/>
      <c r="CP791" s="4"/>
      <c r="CQ791" s="4"/>
      <c r="CR791" s="4"/>
      <c r="CS791" s="4"/>
      <c r="CT791" s="4"/>
      <c r="CU791" s="4"/>
      <c r="CV791" s="4"/>
      <c r="CW791" s="4"/>
      <c r="CX791" s="4"/>
      <c r="CY791" s="4"/>
      <c r="CZ791" s="4"/>
      <c r="DA791" s="4"/>
      <c r="DB791" s="4"/>
      <c r="DC791" s="4"/>
      <c r="DD791" s="4"/>
      <c r="DE791" s="4"/>
      <c r="DF791" s="4"/>
      <c r="DG791" s="4"/>
      <c r="DH791" s="4"/>
      <c r="DI791" s="4"/>
      <c r="DJ791" s="4"/>
      <c r="DK791" s="4"/>
      <c r="DL791" s="4"/>
      <c r="DM791" s="4"/>
      <c r="DN791" s="4"/>
      <c r="DO791" s="4"/>
      <c r="DP791" s="4"/>
      <c r="DQ791" s="4"/>
      <c r="DR791" s="4"/>
      <c r="DS791" s="4"/>
    </row>
    <row r="792">
      <c r="A792" s="9">
        <f>IFERROR(__xludf.DUMMYFUNCTION("""COMPUTED_VALUE"""),45677.0)</f>
        <v>45677</v>
      </c>
      <c r="B792" s="6" t="str">
        <f>IFERROR(__xludf.DUMMYFUNCTION("""COMPUTED_VALUE"""),"Streaming Services")</f>
        <v>Streaming Services</v>
      </c>
      <c r="C792" s="7">
        <f>IFERROR(__xludf.DUMMYFUNCTION("""COMPUTED_VALUE"""),5132.0)</f>
        <v>5132</v>
      </c>
      <c r="D792" s="6" t="str">
        <f>IFERROR(__xludf.DUMMYFUNCTION("""COMPUTED_VALUE"""),"Streaming Services")</f>
        <v>Streaming Services</v>
      </c>
      <c r="E792" s="6" t="str">
        <f>IFERROR(__xludf.DUMMYFUNCTION("""COMPUTED_VALUE"""),"Credit Card")</f>
        <v>Credit Card</v>
      </c>
      <c r="F792" s="6" t="s">
        <v>12</v>
      </c>
      <c r="G792" s="8" t="str">
        <f t="shared" si="1"/>
        <v>202501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  <c r="CD792" s="4"/>
      <c r="CE792" s="4"/>
      <c r="CF792" s="4"/>
      <c r="CG792" s="4"/>
      <c r="CH792" s="4"/>
      <c r="CI792" s="4"/>
      <c r="CJ792" s="4"/>
      <c r="CK792" s="4"/>
      <c r="CL792" s="4"/>
      <c r="CM792" s="4"/>
      <c r="CN792" s="4"/>
      <c r="CO792" s="4"/>
      <c r="CP792" s="4"/>
      <c r="CQ792" s="4"/>
      <c r="CR792" s="4"/>
      <c r="CS792" s="4"/>
      <c r="CT792" s="4"/>
      <c r="CU792" s="4"/>
      <c r="CV792" s="4"/>
      <c r="CW792" s="4"/>
      <c r="CX792" s="4"/>
      <c r="CY792" s="4"/>
      <c r="CZ792" s="4"/>
      <c r="DA792" s="4"/>
      <c r="DB792" s="4"/>
      <c r="DC792" s="4"/>
      <c r="DD792" s="4"/>
      <c r="DE792" s="4"/>
      <c r="DF792" s="4"/>
      <c r="DG792" s="4"/>
      <c r="DH792" s="4"/>
      <c r="DI792" s="4"/>
      <c r="DJ792" s="4"/>
      <c r="DK792" s="4"/>
      <c r="DL792" s="4"/>
      <c r="DM792" s="4"/>
      <c r="DN792" s="4"/>
      <c r="DO792" s="4"/>
      <c r="DP792" s="4"/>
      <c r="DQ792" s="4"/>
      <c r="DR792" s="4"/>
      <c r="DS792" s="4"/>
    </row>
    <row r="793">
      <c r="A793" s="9">
        <f>IFERROR(__xludf.DUMMYFUNCTION("""COMPUTED_VALUE"""),45677.0)</f>
        <v>45677</v>
      </c>
      <c r="B793" s="6" t="str">
        <f>IFERROR(__xludf.DUMMYFUNCTION("""COMPUTED_VALUE"""),"Water Bill (AySA)")</f>
        <v>Water Bill (AySA)</v>
      </c>
      <c r="C793" s="7">
        <f>IFERROR(__xludf.DUMMYFUNCTION("""COMPUTED_VALUE"""),13018.0)</f>
        <v>13018</v>
      </c>
      <c r="D793" s="6" t="str">
        <f>IFERROR(__xludf.DUMMYFUNCTION("""COMPUTED_VALUE"""),"Basic Services")</f>
        <v>Basic Services</v>
      </c>
      <c r="E793" s="6" t="str">
        <f>IFERROR(__xludf.DUMMYFUNCTION("""COMPUTED_VALUE"""),"Split Payment")</f>
        <v>Split Payment</v>
      </c>
      <c r="F793" s="6" t="s">
        <v>13</v>
      </c>
      <c r="G793" s="8" t="str">
        <f t="shared" si="1"/>
        <v>202501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  <c r="CD793" s="4"/>
      <c r="CE793" s="4"/>
      <c r="CF793" s="4"/>
      <c r="CG793" s="4"/>
      <c r="CH793" s="4"/>
      <c r="CI793" s="4"/>
      <c r="CJ793" s="4"/>
      <c r="CK793" s="4"/>
      <c r="CL793" s="4"/>
      <c r="CM793" s="4"/>
      <c r="CN793" s="4"/>
      <c r="CO793" s="4"/>
      <c r="CP793" s="4"/>
      <c r="CQ793" s="4"/>
      <c r="CR793" s="4"/>
      <c r="CS793" s="4"/>
      <c r="CT793" s="4"/>
      <c r="CU793" s="4"/>
      <c r="CV793" s="4"/>
      <c r="CW793" s="4"/>
      <c r="CX793" s="4"/>
      <c r="CY793" s="4"/>
      <c r="CZ793" s="4"/>
      <c r="DA793" s="4"/>
      <c r="DB793" s="4"/>
      <c r="DC793" s="4"/>
      <c r="DD793" s="4"/>
      <c r="DE793" s="4"/>
      <c r="DF793" s="4"/>
      <c r="DG793" s="4"/>
      <c r="DH793" s="4"/>
      <c r="DI793" s="4"/>
      <c r="DJ793" s="4"/>
      <c r="DK793" s="4"/>
      <c r="DL793" s="4"/>
      <c r="DM793" s="4"/>
      <c r="DN793" s="4"/>
      <c r="DO793" s="4"/>
      <c r="DP793" s="4"/>
      <c r="DQ793" s="4"/>
      <c r="DR793" s="4"/>
      <c r="DS793" s="4"/>
    </row>
    <row r="794">
      <c r="A794" s="9">
        <f>IFERROR(__xludf.DUMMYFUNCTION("""COMPUTED_VALUE"""),45678.0)</f>
        <v>45678</v>
      </c>
      <c r="B794" s="6" t="str">
        <f>IFERROR(__xludf.DUMMYFUNCTION("""COMPUTED_VALUE"""),"Gift")</f>
        <v>Gift</v>
      </c>
      <c r="C794" s="7">
        <f>IFERROR(__xludf.DUMMYFUNCTION("""COMPUTED_VALUE"""),15665.34)</f>
        <v>15665.34</v>
      </c>
      <c r="D794" s="6" t="str">
        <f>IFERROR(__xludf.DUMMYFUNCTION("""COMPUTED_VALUE"""),"Gifts")</f>
        <v>Gifts</v>
      </c>
      <c r="E794" s="6" t="str">
        <f>IFERROR(__xludf.DUMMYFUNCTION("""COMPUTED_VALUE"""),"Credit Card")</f>
        <v>Credit Card</v>
      </c>
      <c r="F794" s="6"/>
      <c r="G794" s="8" t="str">
        <f t="shared" si="1"/>
        <v>202501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  <c r="CD794" s="4"/>
      <c r="CE794" s="4"/>
      <c r="CF794" s="4"/>
      <c r="CG794" s="4"/>
      <c r="CH794" s="4"/>
      <c r="CI794" s="4"/>
      <c r="CJ794" s="4"/>
      <c r="CK794" s="4"/>
      <c r="CL794" s="4"/>
      <c r="CM794" s="4"/>
      <c r="CN794" s="4"/>
      <c r="CO794" s="4"/>
      <c r="CP794" s="4"/>
      <c r="CQ794" s="4"/>
      <c r="CR794" s="4"/>
      <c r="CS794" s="4"/>
      <c r="CT794" s="4"/>
      <c r="CU794" s="4"/>
      <c r="CV794" s="4"/>
      <c r="CW794" s="4"/>
      <c r="CX794" s="4"/>
      <c r="CY794" s="4"/>
      <c r="CZ794" s="4"/>
      <c r="DA794" s="4"/>
      <c r="DB794" s="4"/>
      <c r="DC794" s="4"/>
      <c r="DD794" s="4"/>
      <c r="DE794" s="4"/>
      <c r="DF794" s="4"/>
      <c r="DG794" s="4"/>
      <c r="DH794" s="4"/>
      <c r="DI794" s="4"/>
      <c r="DJ794" s="4"/>
      <c r="DK794" s="4"/>
      <c r="DL794" s="4"/>
      <c r="DM794" s="4"/>
      <c r="DN794" s="4"/>
      <c r="DO794" s="4"/>
      <c r="DP794" s="4"/>
      <c r="DQ794" s="4"/>
      <c r="DR794" s="4"/>
      <c r="DS794" s="4"/>
    </row>
    <row r="795">
      <c r="A795" s="9">
        <f>IFERROR(__xludf.DUMMYFUNCTION("""COMPUTED_VALUE"""),45678.0)</f>
        <v>45678</v>
      </c>
      <c r="B795" s="6" t="str">
        <f>IFERROR(__xludf.DUMMYFUNCTION("""COMPUTED_VALUE"""),"Gift")</f>
        <v>Gift</v>
      </c>
      <c r="C795" s="7">
        <f>IFERROR(__xludf.DUMMYFUNCTION("""COMPUTED_VALUE"""),11330.0)</f>
        <v>11330</v>
      </c>
      <c r="D795" s="6" t="str">
        <f>IFERROR(__xludf.DUMMYFUNCTION("""COMPUTED_VALUE"""),"Gifts")</f>
        <v>Gifts</v>
      </c>
      <c r="E795" s="6" t="str">
        <f>IFERROR(__xludf.DUMMYFUNCTION("""COMPUTED_VALUE"""),"Credit Card")</f>
        <v>Credit Card</v>
      </c>
      <c r="F795" s="6"/>
      <c r="G795" s="8" t="str">
        <f t="shared" si="1"/>
        <v>202501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  <c r="CD795" s="4"/>
      <c r="CE795" s="4"/>
      <c r="CF795" s="4"/>
      <c r="CG795" s="4"/>
      <c r="CH795" s="4"/>
      <c r="CI795" s="4"/>
      <c r="CJ795" s="4"/>
      <c r="CK795" s="4"/>
      <c r="CL795" s="4"/>
      <c r="CM795" s="4"/>
      <c r="CN795" s="4"/>
      <c r="CO795" s="4"/>
      <c r="CP795" s="4"/>
      <c r="CQ795" s="4"/>
      <c r="CR795" s="4"/>
      <c r="CS795" s="4"/>
      <c r="CT795" s="4"/>
      <c r="CU795" s="4"/>
      <c r="CV795" s="4"/>
      <c r="CW795" s="4"/>
      <c r="CX795" s="4"/>
      <c r="CY795" s="4"/>
      <c r="CZ795" s="4"/>
      <c r="DA795" s="4"/>
      <c r="DB795" s="4"/>
      <c r="DC795" s="4"/>
      <c r="DD795" s="4"/>
      <c r="DE795" s="4"/>
      <c r="DF795" s="4"/>
      <c r="DG795" s="4"/>
      <c r="DH795" s="4"/>
      <c r="DI795" s="4"/>
      <c r="DJ795" s="4"/>
      <c r="DK795" s="4"/>
      <c r="DL795" s="4"/>
      <c r="DM795" s="4"/>
      <c r="DN795" s="4"/>
      <c r="DO795" s="4"/>
      <c r="DP795" s="4"/>
      <c r="DQ795" s="4"/>
      <c r="DR795" s="4"/>
      <c r="DS795" s="4"/>
    </row>
    <row r="796">
      <c r="A796" s="9">
        <f>IFERROR(__xludf.DUMMYFUNCTION("""COMPUTED_VALUE"""),45678.0)</f>
        <v>45678</v>
      </c>
      <c r="B796" s="6" t="str">
        <f>IFERROR(__xludf.DUMMYFUNCTION("""COMPUTED_VALUE"""),"Gift")</f>
        <v>Gift</v>
      </c>
      <c r="C796" s="7">
        <f>IFERROR(__xludf.DUMMYFUNCTION("""COMPUTED_VALUE"""),11666.7)</f>
        <v>11666.7</v>
      </c>
      <c r="D796" s="6" t="str">
        <f>IFERROR(__xludf.DUMMYFUNCTION("""COMPUTED_VALUE"""),"Gifts")</f>
        <v>Gifts</v>
      </c>
      <c r="E796" s="6" t="str">
        <f>IFERROR(__xludf.DUMMYFUNCTION("""COMPUTED_VALUE"""),"Credit Card")</f>
        <v>Credit Card</v>
      </c>
      <c r="F796" s="6"/>
      <c r="G796" s="8" t="str">
        <f t="shared" si="1"/>
        <v>202501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  <c r="CD796" s="4"/>
      <c r="CE796" s="4"/>
      <c r="CF796" s="4"/>
      <c r="CG796" s="4"/>
      <c r="CH796" s="4"/>
      <c r="CI796" s="4"/>
      <c r="CJ796" s="4"/>
      <c r="CK796" s="4"/>
      <c r="CL796" s="4"/>
      <c r="CM796" s="4"/>
      <c r="CN796" s="4"/>
      <c r="CO796" s="4"/>
      <c r="CP796" s="4"/>
      <c r="CQ796" s="4"/>
      <c r="CR796" s="4"/>
      <c r="CS796" s="4"/>
      <c r="CT796" s="4"/>
      <c r="CU796" s="4"/>
      <c r="CV796" s="4"/>
      <c r="CW796" s="4"/>
      <c r="CX796" s="4"/>
      <c r="CY796" s="4"/>
      <c r="CZ796" s="4"/>
      <c r="DA796" s="4"/>
      <c r="DB796" s="4"/>
      <c r="DC796" s="4"/>
      <c r="DD796" s="4"/>
      <c r="DE796" s="4"/>
      <c r="DF796" s="4"/>
      <c r="DG796" s="4"/>
      <c r="DH796" s="4"/>
      <c r="DI796" s="4"/>
      <c r="DJ796" s="4"/>
      <c r="DK796" s="4"/>
      <c r="DL796" s="4"/>
      <c r="DM796" s="4"/>
      <c r="DN796" s="4"/>
      <c r="DO796" s="4"/>
      <c r="DP796" s="4"/>
      <c r="DQ796" s="4"/>
      <c r="DR796" s="4"/>
      <c r="DS796" s="4"/>
    </row>
    <row r="797">
      <c r="A797" s="9">
        <f>IFERROR(__xludf.DUMMYFUNCTION("""COMPUTED_VALUE"""),45678.0)</f>
        <v>45678</v>
      </c>
      <c r="B797" s="6" t="str">
        <f>IFERROR(__xludf.DUMMYFUNCTION("""COMPUTED_VALUE"""),"Gift")</f>
        <v>Gift</v>
      </c>
      <c r="C797" s="7">
        <f>IFERROR(__xludf.DUMMYFUNCTION("""COMPUTED_VALUE"""),8166.68)</f>
        <v>8166.68</v>
      </c>
      <c r="D797" s="6" t="str">
        <f>IFERROR(__xludf.DUMMYFUNCTION("""COMPUTED_VALUE"""),"Gifts")</f>
        <v>Gifts</v>
      </c>
      <c r="E797" s="6" t="str">
        <f>IFERROR(__xludf.DUMMYFUNCTION("""COMPUTED_VALUE"""),"Credit Card")</f>
        <v>Credit Card</v>
      </c>
      <c r="F797" s="6"/>
      <c r="G797" s="8" t="str">
        <f t="shared" si="1"/>
        <v>202501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  <c r="CD797" s="4"/>
      <c r="CE797" s="4"/>
      <c r="CF797" s="4"/>
      <c r="CG797" s="4"/>
      <c r="CH797" s="4"/>
      <c r="CI797" s="4"/>
      <c r="CJ797" s="4"/>
      <c r="CK797" s="4"/>
      <c r="CL797" s="4"/>
      <c r="CM797" s="4"/>
      <c r="CN797" s="4"/>
      <c r="CO797" s="4"/>
      <c r="CP797" s="4"/>
      <c r="CQ797" s="4"/>
      <c r="CR797" s="4"/>
      <c r="CS797" s="4"/>
      <c r="CT797" s="4"/>
      <c r="CU797" s="4"/>
      <c r="CV797" s="4"/>
      <c r="CW797" s="4"/>
      <c r="CX797" s="4"/>
      <c r="CY797" s="4"/>
      <c r="CZ797" s="4"/>
      <c r="DA797" s="4"/>
      <c r="DB797" s="4"/>
      <c r="DC797" s="4"/>
      <c r="DD797" s="4"/>
      <c r="DE797" s="4"/>
      <c r="DF797" s="4"/>
      <c r="DG797" s="4"/>
      <c r="DH797" s="4"/>
      <c r="DI797" s="4"/>
      <c r="DJ797" s="4"/>
      <c r="DK797" s="4"/>
      <c r="DL797" s="4"/>
      <c r="DM797" s="4"/>
      <c r="DN797" s="4"/>
      <c r="DO797" s="4"/>
      <c r="DP797" s="4"/>
      <c r="DQ797" s="4"/>
      <c r="DR797" s="4"/>
      <c r="DS797" s="4"/>
    </row>
    <row r="798">
      <c r="A798" s="9">
        <f>IFERROR(__xludf.DUMMYFUNCTION("""COMPUTED_VALUE"""),45678.0)</f>
        <v>45678</v>
      </c>
      <c r="B798" s="6" t="str">
        <f>IFERROR(__xludf.DUMMYFUNCTION("""COMPUTED_VALUE"""),"Streaming Services")</f>
        <v>Streaming Services</v>
      </c>
      <c r="C798" s="7">
        <f>IFERROR(__xludf.DUMMYFUNCTION("""COMPUTED_VALUE"""),5132.0)</f>
        <v>5132</v>
      </c>
      <c r="D798" s="6" t="str">
        <f>IFERROR(__xludf.DUMMYFUNCTION("""COMPUTED_VALUE"""),"Streaming Services")</f>
        <v>Streaming Services</v>
      </c>
      <c r="E798" s="6" t="str">
        <f>IFERROR(__xludf.DUMMYFUNCTION("""COMPUTED_VALUE"""),"Credit Card")</f>
        <v>Credit Card</v>
      </c>
      <c r="F798" s="6" t="s">
        <v>12</v>
      </c>
      <c r="G798" s="8" t="str">
        <f t="shared" si="1"/>
        <v>202501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  <c r="CD798" s="4"/>
      <c r="CE798" s="4"/>
      <c r="CF798" s="4"/>
      <c r="CG798" s="4"/>
      <c r="CH798" s="4"/>
      <c r="CI798" s="4"/>
      <c r="CJ798" s="4"/>
      <c r="CK798" s="4"/>
      <c r="CL798" s="4"/>
      <c r="CM798" s="4"/>
      <c r="CN798" s="4"/>
      <c r="CO798" s="4"/>
      <c r="CP798" s="4"/>
      <c r="CQ798" s="4"/>
      <c r="CR798" s="4"/>
      <c r="CS798" s="4"/>
      <c r="CT798" s="4"/>
      <c r="CU798" s="4"/>
      <c r="CV798" s="4"/>
      <c r="CW798" s="4"/>
      <c r="CX798" s="4"/>
      <c r="CY798" s="4"/>
      <c r="CZ798" s="4"/>
      <c r="DA798" s="4"/>
      <c r="DB798" s="4"/>
      <c r="DC798" s="4"/>
      <c r="DD798" s="4"/>
      <c r="DE798" s="4"/>
      <c r="DF798" s="4"/>
      <c r="DG798" s="4"/>
      <c r="DH798" s="4"/>
      <c r="DI798" s="4"/>
      <c r="DJ798" s="4"/>
      <c r="DK798" s="4"/>
      <c r="DL798" s="4"/>
      <c r="DM798" s="4"/>
      <c r="DN798" s="4"/>
      <c r="DO798" s="4"/>
      <c r="DP798" s="4"/>
      <c r="DQ798" s="4"/>
      <c r="DR798" s="4"/>
      <c r="DS798" s="4"/>
    </row>
    <row r="799">
      <c r="A799" s="9">
        <f>IFERROR(__xludf.DUMMYFUNCTION("""COMPUTED_VALUE"""),45678.0)</f>
        <v>45678</v>
      </c>
      <c r="B799" s="6" t="str">
        <f>IFERROR(__xludf.DUMMYFUNCTION("""COMPUTED_VALUE"""),"Doctor Visit")</f>
        <v>Doctor Visit</v>
      </c>
      <c r="C799" s="7">
        <f>IFERROR(__xludf.DUMMYFUNCTION("""COMPUTED_VALUE"""),6000.0)</f>
        <v>6000</v>
      </c>
      <c r="D799" s="6" t="str">
        <f>IFERROR(__xludf.DUMMYFUNCTION("""COMPUTED_VALUE"""),"Healthcare")</f>
        <v>Healthcare</v>
      </c>
      <c r="E799" s="6" t="str">
        <f>IFERROR(__xludf.DUMMYFUNCTION("""COMPUTED_VALUE"""),"Virtual Wallet")</f>
        <v>Virtual Wallet</v>
      </c>
      <c r="F799" s="6" t="s">
        <v>15</v>
      </c>
      <c r="G799" s="8" t="str">
        <f t="shared" si="1"/>
        <v>202501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  <c r="CD799" s="4"/>
      <c r="CE799" s="4"/>
      <c r="CF799" s="4"/>
      <c r="CG799" s="4"/>
      <c r="CH799" s="4"/>
      <c r="CI799" s="4"/>
      <c r="CJ799" s="4"/>
      <c r="CK799" s="4"/>
      <c r="CL799" s="4"/>
      <c r="CM799" s="4"/>
      <c r="CN799" s="4"/>
      <c r="CO799" s="4"/>
      <c r="CP799" s="4"/>
      <c r="CQ799" s="4"/>
      <c r="CR799" s="4"/>
      <c r="CS799" s="4"/>
      <c r="CT799" s="4"/>
      <c r="CU799" s="4"/>
      <c r="CV799" s="4"/>
      <c r="CW799" s="4"/>
      <c r="CX799" s="4"/>
      <c r="CY799" s="4"/>
      <c r="CZ799" s="4"/>
      <c r="DA799" s="4"/>
      <c r="DB799" s="4"/>
      <c r="DC799" s="4"/>
      <c r="DD799" s="4"/>
      <c r="DE799" s="4"/>
      <c r="DF799" s="4"/>
      <c r="DG799" s="4"/>
      <c r="DH799" s="4"/>
      <c r="DI799" s="4"/>
      <c r="DJ799" s="4"/>
      <c r="DK799" s="4"/>
      <c r="DL799" s="4"/>
      <c r="DM799" s="4"/>
      <c r="DN799" s="4"/>
      <c r="DO799" s="4"/>
      <c r="DP799" s="4"/>
      <c r="DQ799" s="4"/>
      <c r="DR799" s="4"/>
      <c r="DS799" s="4"/>
    </row>
    <row r="800">
      <c r="A800" s="9">
        <f>IFERROR(__xludf.DUMMYFUNCTION("""COMPUTED_VALUE"""),45678.0)</f>
        <v>45678</v>
      </c>
      <c r="B800" s="6" t="str">
        <f>IFERROR(__xludf.DUMMYFUNCTION("""COMPUTED_VALUE"""),"Restaurant")</f>
        <v>Restaurant</v>
      </c>
      <c r="C800" s="7">
        <f>IFERROR(__xludf.DUMMYFUNCTION("""COMPUTED_VALUE"""),5000.0)</f>
        <v>5000</v>
      </c>
      <c r="D800" s="6" t="str">
        <f>IFERROR(__xludf.DUMMYFUNCTION("""COMPUTED_VALUE"""),"Restaurant / Café")</f>
        <v>Restaurant / Café</v>
      </c>
      <c r="E800" s="6" t="str">
        <f>IFERROR(__xludf.DUMMYFUNCTION("""COMPUTED_VALUE"""),"Virtual Wallet")</f>
        <v>Virtual Wallet</v>
      </c>
      <c r="F800" s="6" t="s">
        <v>14</v>
      </c>
      <c r="G800" s="8" t="str">
        <f t="shared" si="1"/>
        <v>202501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  <c r="CD800" s="4"/>
      <c r="CE800" s="4"/>
      <c r="CF800" s="4"/>
      <c r="CG800" s="4"/>
      <c r="CH800" s="4"/>
      <c r="CI800" s="4"/>
      <c r="CJ800" s="4"/>
      <c r="CK800" s="4"/>
      <c r="CL800" s="4"/>
      <c r="CM800" s="4"/>
      <c r="CN800" s="4"/>
      <c r="CO800" s="4"/>
      <c r="CP800" s="4"/>
      <c r="CQ800" s="4"/>
      <c r="CR800" s="4"/>
      <c r="CS800" s="4"/>
      <c r="CT800" s="4"/>
      <c r="CU800" s="4"/>
      <c r="CV800" s="4"/>
      <c r="CW800" s="4"/>
      <c r="CX800" s="4"/>
      <c r="CY800" s="4"/>
      <c r="CZ800" s="4"/>
      <c r="DA800" s="4"/>
      <c r="DB800" s="4"/>
      <c r="DC800" s="4"/>
      <c r="DD800" s="4"/>
      <c r="DE800" s="4"/>
      <c r="DF800" s="4"/>
      <c r="DG800" s="4"/>
      <c r="DH800" s="4"/>
      <c r="DI800" s="4"/>
      <c r="DJ800" s="4"/>
      <c r="DK800" s="4"/>
      <c r="DL800" s="4"/>
      <c r="DM800" s="4"/>
      <c r="DN800" s="4"/>
      <c r="DO800" s="4"/>
      <c r="DP800" s="4"/>
      <c r="DQ800" s="4"/>
      <c r="DR800" s="4"/>
      <c r="DS800" s="4"/>
    </row>
    <row r="801">
      <c r="A801" s="9">
        <f>IFERROR(__xludf.DUMMYFUNCTION("""COMPUTED_VALUE"""),45679.0)</f>
        <v>45679</v>
      </c>
      <c r="B801" s="6" t="str">
        <f>IFERROR(__xludf.DUMMYFUNCTION("""COMPUTED_VALUE"""),"Appliances")</f>
        <v>Appliances</v>
      </c>
      <c r="C801" s="7">
        <f>IFERROR(__xludf.DUMMYFUNCTION("""COMPUTED_VALUE"""),2361.0)</f>
        <v>2361</v>
      </c>
      <c r="D801" s="6" t="str">
        <f>IFERROR(__xludf.DUMMYFUNCTION("""COMPUTED_VALUE"""),"Home Goods &amp; Utilities")</f>
        <v>Home Goods &amp; Utilities</v>
      </c>
      <c r="E801" s="6" t="str">
        <f>IFERROR(__xludf.DUMMYFUNCTION("""COMPUTED_VALUE"""),"Credit Card")</f>
        <v>Credit Card</v>
      </c>
      <c r="F801" s="6" t="s">
        <v>8</v>
      </c>
      <c r="G801" s="8" t="str">
        <f t="shared" si="1"/>
        <v>202501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  <c r="CD801" s="4"/>
      <c r="CE801" s="4"/>
      <c r="CF801" s="4"/>
      <c r="CG801" s="4"/>
      <c r="CH801" s="4"/>
      <c r="CI801" s="4"/>
      <c r="CJ801" s="4"/>
      <c r="CK801" s="4"/>
      <c r="CL801" s="4"/>
      <c r="CM801" s="4"/>
      <c r="CN801" s="4"/>
      <c r="CO801" s="4"/>
      <c r="CP801" s="4"/>
      <c r="CQ801" s="4"/>
      <c r="CR801" s="4"/>
      <c r="CS801" s="4"/>
      <c r="CT801" s="4"/>
      <c r="CU801" s="4"/>
      <c r="CV801" s="4"/>
      <c r="CW801" s="4"/>
      <c r="CX801" s="4"/>
      <c r="CY801" s="4"/>
      <c r="CZ801" s="4"/>
      <c r="DA801" s="4"/>
      <c r="DB801" s="4"/>
      <c r="DC801" s="4"/>
      <c r="DD801" s="4"/>
      <c r="DE801" s="4"/>
      <c r="DF801" s="4"/>
      <c r="DG801" s="4"/>
      <c r="DH801" s="4"/>
      <c r="DI801" s="4"/>
      <c r="DJ801" s="4"/>
      <c r="DK801" s="4"/>
      <c r="DL801" s="4"/>
      <c r="DM801" s="4"/>
      <c r="DN801" s="4"/>
      <c r="DO801" s="4"/>
      <c r="DP801" s="4"/>
      <c r="DQ801" s="4"/>
      <c r="DR801" s="4"/>
      <c r="DS801" s="4"/>
    </row>
    <row r="802">
      <c r="A802" s="9">
        <f>IFERROR(__xludf.DUMMYFUNCTION("""COMPUTED_VALUE"""),45679.0)</f>
        <v>45679</v>
      </c>
      <c r="B802" s="6" t="str">
        <f>IFERROR(__xludf.DUMMYFUNCTION("""COMPUTED_VALUE"""),"Groceries")</f>
        <v>Groceries</v>
      </c>
      <c r="C802" s="7">
        <f>IFERROR(__xludf.DUMMYFUNCTION("""COMPUTED_VALUE"""),15206.0)</f>
        <v>15206</v>
      </c>
      <c r="D802" s="6" t="str">
        <f>IFERROR(__xludf.DUMMYFUNCTION("""COMPUTED_VALUE"""),"Groceries")</f>
        <v>Groceries</v>
      </c>
      <c r="E802" s="6" t="str">
        <f>IFERROR(__xludf.DUMMYFUNCTION("""COMPUTED_VALUE"""),"Credit Card")</f>
        <v>Credit Card</v>
      </c>
      <c r="F802" s="6" t="s">
        <v>7</v>
      </c>
      <c r="G802" s="8" t="str">
        <f t="shared" si="1"/>
        <v>202501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  <c r="CD802" s="4"/>
      <c r="CE802" s="4"/>
      <c r="CF802" s="4"/>
      <c r="CG802" s="4"/>
      <c r="CH802" s="4"/>
      <c r="CI802" s="4"/>
      <c r="CJ802" s="4"/>
      <c r="CK802" s="4"/>
      <c r="CL802" s="4"/>
      <c r="CM802" s="4"/>
      <c r="CN802" s="4"/>
      <c r="CO802" s="4"/>
      <c r="CP802" s="4"/>
      <c r="CQ802" s="4"/>
      <c r="CR802" s="4"/>
      <c r="CS802" s="4"/>
      <c r="CT802" s="4"/>
      <c r="CU802" s="4"/>
      <c r="CV802" s="4"/>
      <c r="CW802" s="4"/>
      <c r="CX802" s="4"/>
      <c r="CY802" s="4"/>
      <c r="CZ802" s="4"/>
      <c r="DA802" s="4"/>
      <c r="DB802" s="4"/>
      <c r="DC802" s="4"/>
      <c r="DD802" s="4"/>
      <c r="DE802" s="4"/>
      <c r="DF802" s="4"/>
      <c r="DG802" s="4"/>
      <c r="DH802" s="4"/>
      <c r="DI802" s="4"/>
      <c r="DJ802" s="4"/>
      <c r="DK802" s="4"/>
      <c r="DL802" s="4"/>
      <c r="DM802" s="4"/>
      <c r="DN802" s="4"/>
      <c r="DO802" s="4"/>
      <c r="DP802" s="4"/>
      <c r="DQ802" s="4"/>
      <c r="DR802" s="4"/>
      <c r="DS802" s="4"/>
    </row>
    <row r="803">
      <c r="A803" s="9">
        <f>IFERROR(__xludf.DUMMYFUNCTION("""COMPUTED_VALUE"""),45680.0)</f>
        <v>45680</v>
      </c>
      <c r="B803" s="6" t="str">
        <f>IFERROR(__xludf.DUMMYFUNCTION("""COMPUTED_VALUE"""),"Appliances")</f>
        <v>Appliances</v>
      </c>
      <c r="C803" s="7">
        <f>IFERROR(__xludf.DUMMYFUNCTION("""COMPUTED_VALUE"""),13889.0)</f>
        <v>13889</v>
      </c>
      <c r="D803" s="6" t="str">
        <f>IFERROR(__xludf.DUMMYFUNCTION("""COMPUTED_VALUE"""),"Home Goods &amp; Utilities")</f>
        <v>Home Goods &amp; Utilities</v>
      </c>
      <c r="E803" s="6" t="str">
        <f>IFERROR(__xludf.DUMMYFUNCTION("""COMPUTED_VALUE"""),"Credit Card")</f>
        <v>Credit Card</v>
      </c>
      <c r="F803" s="6" t="s">
        <v>8</v>
      </c>
      <c r="G803" s="8" t="str">
        <f t="shared" si="1"/>
        <v>202501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  <c r="CD803" s="4"/>
      <c r="CE803" s="4"/>
      <c r="CF803" s="4"/>
      <c r="CG803" s="4"/>
      <c r="CH803" s="4"/>
      <c r="CI803" s="4"/>
      <c r="CJ803" s="4"/>
      <c r="CK803" s="4"/>
      <c r="CL803" s="4"/>
      <c r="CM803" s="4"/>
      <c r="CN803" s="4"/>
      <c r="CO803" s="4"/>
      <c r="CP803" s="4"/>
      <c r="CQ803" s="4"/>
      <c r="CR803" s="4"/>
      <c r="CS803" s="4"/>
      <c r="CT803" s="4"/>
      <c r="CU803" s="4"/>
      <c r="CV803" s="4"/>
      <c r="CW803" s="4"/>
      <c r="CX803" s="4"/>
      <c r="CY803" s="4"/>
      <c r="CZ803" s="4"/>
      <c r="DA803" s="4"/>
      <c r="DB803" s="4"/>
      <c r="DC803" s="4"/>
      <c r="DD803" s="4"/>
      <c r="DE803" s="4"/>
      <c r="DF803" s="4"/>
      <c r="DG803" s="4"/>
      <c r="DH803" s="4"/>
      <c r="DI803" s="4"/>
      <c r="DJ803" s="4"/>
      <c r="DK803" s="4"/>
      <c r="DL803" s="4"/>
      <c r="DM803" s="4"/>
      <c r="DN803" s="4"/>
      <c r="DO803" s="4"/>
      <c r="DP803" s="4"/>
      <c r="DQ803" s="4"/>
      <c r="DR803" s="4"/>
      <c r="DS803" s="4"/>
    </row>
    <row r="804">
      <c r="A804" s="9">
        <f>IFERROR(__xludf.DUMMYFUNCTION("""COMPUTED_VALUE"""),45680.0)</f>
        <v>45680</v>
      </c>
      <c r="B804" s="6" t="str">
        <f>IFERROR(__xludf.DUMMYFUNCTION("""COMPUTED_VALUE"""),"Gasoline")</f>
        <v>Gasoline</v>
      </c>
      <c r="C804" s="7">
        <f>IFERROR(__xludf.DUMMYFUNCTION("""COMPUTED_VALUE"""),15000.0)</f>
        <v>15000</v>
      </c>
      <c r="D804" s="6" t="str">
        <f>IFERROR(__xludf.DUMMYFUNCTION("""COMPUTED_VALUE"""),"Car Expenses")</f>
        <v>Car Expenses</v>
      </c>
      <c r="E804" s="6" t="str">
        <f>IFERROR(__xludf.DUMMYFUNCTION("""COMPUTED_VALUE"""),"Virtual Wallet")</f>
        <v>Virtual Wallet</v>
      </c>
      <c r="F804" s="6" t="s">
        <v>9</v>
      </c>
      <c r="G804" s="8" t="str">
        <f t="shared" si="1"/>
        <v>202501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  <c r="CD804" s="4"/>
      <c r="CE804" s="4"/>
      <c r="CF804" s="4"/>
      <c r="CG804" s="4"/>
      <c r="CH804" s="4"/>
      <c r="CI804" s="4"/>
      <c r="CJ804" s="4"/>
      <c r="CK804" s="4"/>
      <c r="CL804" s="4"/>
      <c r="CM804" s="4"/>
      <c r="CN804" s="4"/>
      <c r="CO804" s="4"/>
      <c r="CP804" s="4"/>
      <c r="CQ804" s="4"/>
      <c r="CR804" s="4"/>
      <c r="CS804" s="4"/>
      <c r="CT804" s="4"/>
      <c r="CU804" s="4"/>
      <c r="CV804" s="4"/>
      <c r="CW804" s="4"/>
      <c r="CX804" s="4"/>
      <c r="CY804" s="4"/>
      <c r="CZ804" s="4"/>
      <c r="DA804" s="4"/>
      <c r="DB804" s="4"/>
      <c r="DC804" s="4"/>
      <c r="DD804" s="4"/>
      <c r="DE804" s="4"/>
      <c r="DF804" s="4"/>
      <c r="DG804" s="4"/>
      <c r="DH804" s="4"/>
      <c r="DI804" s="4"/>
      <c r="DJ804" s="4"/>
      <c r="DK804" s="4"/>
      <c r="DL804" s="4"/>
      <c r="DM804" s="4"/>
      <c r="DN804" s="4"/>
      <c r="DO804" s="4"/>
      <c r="DP804" s="4"/>
      <c r="DQ804" s="4"/>
      <c r="DR804" s="4"/>
      <c r="DS804" s="4"/>
    </row>
    <row r="805">
      <c r="A805" s="9">
        <f>IFERROR(__xludf.DUMMYFUNCTION("""COMPUTED_VALUE"""),45681.0)</f>
        <v>45681</v>
      </c>
      <c r="B805" s="6" t="str">
        <f>IFERROR(__xludf.DUMMYFUNCTION("""COMPUTED_VALUE"""),"Pets")</f>
        <v>Pets</v>
      </c>
      <c r="C805" s="7">
        <f>IFERROR(__xludf.DUMMYFUNCTION("""COMPUTED_VALUE"""),17780.0)</f>
        <v>17780</v>
      </c>
      <c r="D805" s="6" t="str">
        <f>IFERROR(__xludf.DUMMYFUNCTION("""COMPUTED_VALUE"""),"Pets")</f>
        <v>Pets</v>
      </c>
      <c r="E805" s="6" t="str">
        <f>IFERROR(__xludf.DUMMYFUNCTION("""COMPUTED_VALUE"""),"Split Payment")</f>
        <v>Split Payment</v>
      </c>
      <c r="F805" s="6" t="s">
        <v>7</v>
      </c>
      <c r="G805" s="8" t="str">
        <f t="shared" si="1"/>
        <v>202501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  <c r="CD805" s="4"/>
      <c r="CE805" s="4"/>
      <c r="CF805" s="4"/>
      <c r="CG805" s="4"/>
      <c r="CH805" s="4"/>
      <c r="CI805" s="4"/>
      <c r="CJ805" s="4"/>
      <c r="CK805" s="4"/>
      <c r="CL805" s="4"/>
      <c r="CM805" s="4"/>
      <c r="CN805" s="4"/>
      <c r="CO805" s="4"/>
      <c r="CP805" s="4"/>
      <c r="CQ805" s="4"/>
      <c r="CR805" s="4"/>
      <c r="CS805" s="4"/>
      <c r="CT805" s="4"/>
      <c r="CU805" s="4"/>
      <c r="CV805" s="4"/>
      <c r="CW805" s="4"/>
      <c r="CX805" s="4"/>
      <c r="CY805" s="4"/>
      <c r="CZ805" s="4"/>
      <c r="DA805" s="4"/>
      <c r="DB805" s="4"/>
      <c r="DC805" s="4"/>
      <c r="DD805" s="4"/>
      <c r="DE805" s="4"/>
      <c r="DF805" s="4"/>
      <c r="DG805" s="4"/>
      <c r="DH805" s="4"/>
      <c r="DI805" s="4"/>
      <c r="DJ805" s="4"/>
      <c r="DK805" s="4"/>
      <c r="DL805" s="4"/>
      <c r="DM805" s="4"/>
      <c r="DN805" s="4"/>
      <c r="DO805" s="4"/>
      <c r="DP805" s="4"/>
      <c r="DQ805" s="4"/>
      <c r="DR805" s="4"/>
      <c r="DS805" s="4"/>
    </row>
    <row r="806">
      <c r="A806" s="9">
        <f>IFERROR(__xludf.DUMMYFUNCTION("""COMPUTED_VALUE"""),45681.0)</f>
        <v>45681</v>
      </c>
      <c r="B806" s="6" t="str">
        <f>IFERROR(__xludf.DUMMYFUNCTION("""COMPUTED_VALUE"""),"Education")</f>
        <v>Education</v>
      </c>
      <c r="C806" s="7">
        <f>IFERROR(__xludf.DUMMYFUNCTION("""COMPUTED_VALUE"""),20000.0)</f>
        <v>20000</v>
      </c>
      <c r="D806" s="6" t="str">
        <f>IFERROR(__xludf.DUMMYFUNCTION("""COMPUTED_VALUE"""),"Education")</f>
        <v>Education</v>
      </c>
      <c r="E806" s="6" t="str">
        <f>IFERROR(__xludf.DUMMYFUNCTION("""COMPUTED_VALUE"""),"Credit Card")</f>
        <v>Credit Card</v>
      </c>
      <c r="F806" s="6" t="s">
        <v>11</v>
      </c>
      <c r="G806" s="8" t="str">
        <f t="shared" si="1"/>
        <v>202501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  <c r="CD806" s="4"/>
      <c r="CE806" s="4"/>
      <c r="CF806" s="4"/>
      <c r="CG806" s="4"/>
      <c r="CH806" s="4"/>
      <c r="CI806" s="4"/>
      <c r="CJ806" s="4"/>
      <c r="CK806" s="4"/>
      <c r="CL806" s="4"/>
      <c r="CM806" s="4"/>
      <c r="CN806" s="4"/>
      <c r="CO806" s="4"/>
      <c r="CP806" s="4"/>
      <c r="CQ806" s="4"/>
      <c r="CR806" s="4"/>
      <c r="CS806" s="4"/>
      <c r="CT806" s="4"/>
      <c r="CU806" s="4"/>
      <c r="CV806" s="4"/>
      <c r="CW806" s="4"/>
      <c r="CX806" s="4"/>
      <c r="CY806" s="4"/>
      <c r="CZ806" s="4"/>
      <c r="DA806" s="4"/>
      <c r="DB806" s="4"/>
      <c r="DC806" s="4"/>
      <c r="DD806" s="4"/>
      <c r="DE806" s="4"/>
      <c r="DF806" s="4"/>
      <c r="DG806" s="4"/>
      <c r="DH806" s="4"/>
      <c r="DI806" s="4"/>
      <c r="DJ806" s="4"/>
      <c r="DK806" s="4"/>
      <c r="DL806" s="4"/>
      <c r="DM806" s="4"/>
      <c r="DN806" s="4"/>
      <c r="DO806" s="4"/>
      <c r="DP806" s="4"/>
      <c r="DQ806" s="4"/>
      <c r="DR806" s="4"/>
      <c r="DS806" s="4"/>
    </row>
    <row r="807">
      <c r="A807" s="9">
        <f>IFERROR(__xludf.DUMMYFUNCTION("""COMPUTED_VALUE"""),45681.0)</f>
        <v>45681</v>
      </c>
      <c r="B807" s="6" t="str">
        <f>IFERROR(__xludf.DUMMYFUNCTION("""COMPUTED_VALUE"""),"Home Goods")</f>
        <v>Home Goods</v>
      </c>
      <c r="C807" s="7">
        <f>IFERROR(__xludf.DUMMYFUNCTION("""COMPUTED_VALUE"""),5000.0)</f>
        <v>5000</v>
      </c>
      <c r="D807" s="6" t="str">
        <f>IFERROR(__xludf.DUMMYFUNCTION("""COMPUTED_VALUE"""),"Car Expenses")</f>
        <v>Car Expenses</v>
      </c>
      <c r="E807" s="6" t="str">
        <f>IFERROR(__xludf.DUMMYFUNCTION("""COMPUTED_VALUE"""),"Split Payment")</f>
        <v>Split Payment</v>
      </c>
      <c r="F807" s="6" t="s">
        <v>9</v>
      </c>
      <c r="G807" s="8" t="str">
        <f t="shared" si="1"/>
        <v>202501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  <c r="CD807" s="4"/>
      <c r="CE807" s="4"/>
      <c r="CF807" s="4"/>
      <c r="CG807" s="4"/>
      <c r="CH807" s="4"/>
      <c r="CI807" s="4"/>
      <c r="CJ807" s="4"/>
      <c r="CK807" s="4"/>
      <c r="CL807" s="4"/>
      <c r="CM807" s="4"/>
      <c r="CN807" s="4"/>
      <c r="CO807" s="4"/>
      <c r="CP807" s="4"/>
      <c r="CQ807" s="4"/>
      <c r="CR807" s="4"/>
      <c r="CS807" s="4"/>
      <c r="CT807" s="4"/>
      <c r="CU807" s="4"/>
      <c r="CV807" s="4"/>
      <c r="CW807" s="4"/>
      <c r="CX807" s="4"/>
      <c r="CY807" s="4"/>
      <c r="CZ807" s="4"/>
      <c r="DA807" s="4"/>
      <c r="DB807" s="4"/>
      <c r="DC807" s="4"/>
      <c r="DD807" s="4"/>
      <c r="DE807" s="4"/>
      <c r="DF807" s="4"/>
      <c r="DG807" s="4"/>
      <c r="DH807" s="4"/>
      <c r="DI807" s="4"/>
      <c r="DJ807" s="4"/>
      <c r="DK807" s="4"/>
      <c r="DL807" s="4"/>
      <c r="DM807" s="4"/>
      <c r="DN807" s="4"/>
      <c r="DO807" s="4"/>
      <c r="DP807" s="4"/>
      <c r="DQ807" s="4"/>
      <c r="DR807" s="4"/>
      <c r="DS807" s="4"/>
    </row>
    <row r="808">
      <c r="A808" s="9">
        <f>IFERROR(__xludf.DUMMYFUNCTION("""COMPUTED_VALUE"""),45681.0)</f>
        <v>45681</v>
      </c>
      <c r="B808" s="6" t="str">
        <f>IFERROR(__xludf.DUMMYFUNCTION("""COMPUTED_VALUE"""),"Restaurant")</f>
        <v>Restaurant</v>
      </c>
      <c r="C808" s="7">
        <f>IFERROR(__xludf.DUMMYFUNCTION("""COMPUTED_VALUE"""),10000.0)</f>
        <v>10000</v>
      </c>
      <c r="D808" s="6" t="str">
        <f>IFERROR(__xludf.DUMMYFUNCTION("""COMPUTED_VALUE"""),"Restaurant / Café")</f>
        <v>Restaurant / Café</v>
      </c>
      <c r="E808" s="6" t="str">
        <f>IFERROR(__xludf.DUMMYFUNCTION("""COMPUTED_VALUE"""),"Virtual Wallet")</f>
        <v>Virtual Wallet</v>
      </c>
      <c r="F808" s="6" t="s">
        <v>14</v>
      </c>
      <c r="G808" s="8" t="str">
        <f t="shared" si="1"/>
        <v>202501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  <c r="CD808" s="4"/>
      <c r="CE808" s="4"/>
      <c r="CF808" s="4"/>
      <c r="CG808" s="4"/>
      <c r="CH808" s="4"/>
      <c r="CI808" s="4"/>
      <c r="CJ808" s="4"/>
      <c r="CK808" s="4"/>
      <c r="CL808" s="4"/>
      <c r="CM808" s="4"/>
      <c r="CN808" s="4"/>
      <c r="CO808" s="4"/>
      <c r="CP808" s="4"/>
      <c r="CQ808" s="4"/>
      <c r="CR808" s="4"/>
      <c r="CS808" s="4"/>
      <c r="CT808" s="4"/>
      <c r="CU808" s="4"/>
      <c r="CV808" s="4"/>
      <c r="CW808" s="4"/>
      <c r="CX808" s="4"/>
      <c r="CY808" s="4"/>
      <c r="CZ808" s="4"/>
      <c r="DA808" s="4"/>
      <c r="DB808" s="4"/>
      <c r="DC808" s="4"/>
      <c r="DD808" s="4"/>
      <c r="DE808" s="4"/>
      <c r="DF808" s="4"/>
      <c r="DG808" s="4"/>
      <c r="DH808" s="4"/>
      <c r="DI808" s="4"/>
      <c r="DJ808" s="4"/>
      <c r="DK808" s="4"/>
      <c r="DL808" s="4"/>
      <c r="DM808" s="4"/>
      <c r="DN808" s="4"/>
      <c r="DO808" s="4"/>
      <c r="DP808" s="4"/>
      <c r="DQ808" s="4"/>
      <c r="DR808" s="4"/>
      <c r="DS808" s="4"/>
    </row>
    <row r="809">
      <c r="A809" s="9">
        <f>IFERROR(__xludf.DUMMYFUNCTION("""COMPUTED_VALUE"""),45682.0)</f>
        <v>45682</v>
      </c>
      <c r="B809" s="6" t="str">
        <f>IFERROR(__xludf.DUMMYFUNCTION("""COMPUTED_VALUE"""),"Streaming Services")</f>
        <v>Streaming Services</v>
      </c>
      <c r="C809" s="7">
        <f>IFERROR(__xludf.DUMMYFUNCTION("""COMPUTED_VALUE"""),5299.0)</f>
        <v>5299</v>
      </c>
      <c r="D809" s="6" t="str">
        <f>IFERROR(__xludf.DUMMYFUNCTION("""COMPUTED_VALUE"""),"Streaming Services")</f>
        <v>Streaming Services</v>
      </c>
      <c r="E809" s="6" t="str">
        <f>IFERROR(__xludf.DUMMYFUNCTION("""COMPUTED_VALUE"""),"Credit Card")</f>
        <v>Credit Card</v>
      </c>
      <c r="F809" s="6" t="s">
        <v>12</v>
      </c>
      <c r="G809" s="8" t="str">
        <f t="shared" si="1"/>
        <v>202501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  <c r="CD809" s="4"/>
      <c r="CE809" s="4"/>
      <c r="CF809" s="4"/>
      <c r="CG809" s="4"/>
      <c r="CH809" s="4"/>
      <c r="CI809" s="4"/>
      <c r="CJ809" s="4"/>
      <c r="CK809" s="4"/>
      <c r="CL809" s="4"/>
      <c r="CM809" s="4"/>
      <c r="CN809" s="4"/>
      <c r="CO809" s="4"/>
      <c r="CP809" s="4"/>
      <c r="CQ809" s="4"/>
      <c r="CR809" s="4"/>
      <c r="CS809" s="4"/>
      <c r="CT809" s="4"/>
      <c r="CU809" s="4"/>
      <c r="CV809" s="4"/>
      <c r="CW809" s="4"/>
      <c r="CX809" s="4"/>
      <c r="CY809" s="4"/>
      <c r="CZ809" s="4"/>
      <c r="DA809" s="4"/>
      <c r="DB809" s="4"/>
      <c r="DC809" s="4"/>
      <c r="DD809" s="4"/>
      <c r="DE809" s="4"/>
      <c r="DF809" s="4"/>
      <c r="DG809" s="4"/>
      <c r="DH809" s="4"/>
      <c r="DI809" s="4"/>
      <c r="DJ809" s="4"/>
      <c r="DK809" s="4"/>
      <c r="DL809" s="4"/>
      <c r="DM809" s="4"/>
      <c r="DN809" s="4"/>
      <c r="DO809" s="4"/>
      <c r="DP809" s="4"/>
      <c r="DQ809" s="4"/>
      <c r="DR809" s="4"/>
      <c r="DS809" s="4"/>
    </row>
    <row r="810">
      <c r="A810" s="9">
        <f>IFERROR(__xludf.DUMMYFUNCTION("""COMPUTED_VALUE"""),45682.0)</f>
        <v>45682</v>
      </c>
      <c r="B810" s="6" t="str">
        <f>IFERROR(__xludf.DUMMYFUNCTION("""COMPUTED_VALUE"""),"Groceries")</f>
        <v>Groceries</v>
      </c>
      <c r="C810" s="7">
        <f>IFERROR(__xludf.DUMMYFUNCTION("""COMPUTED_VALUE"""),4050.0)</f>
        <v>4050</v>
      </c>
      <c r="D810" s="6" t="str">
        <f>IFERROR(__xludf.DUMMYFUNCTION("""COMPUTED_VALUE"""),"Groceries")</f>
        <v>Groceries</v>
      </c>
      <c r="E810" s="6" t="str">
        <f>IFERROR(__xludf.DUMMYFUNCTION("""COMPUTED_VALUE"""),"Split Payment")</f>
        <v>Split Payment</v>
      </c>
      <c r="F810" s="6" t="s">
        <v>7</v>
      </c>
      <c r="G810" s="8" t="str">
        <f t="shared" si="1"/>
        <v>202501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  <c r="CD810" s="4"/>
      <c r="CE810" s="4"/>
      <c r="CF810" s="4"/>
      <c r="CG810" s="4"/>
      <c r="CH810" s="4"/>
      <c r="CI810" s="4"/>
      <c r="CJ810" s="4"/>
      <c r="CK810" s="4"/>
      <c r="CL810" s="4"/>
      <c r="CM810" s="4"/>
      <c r="CN810" s="4"/>
      <c r="CO810" s="4"/>
      <c r="CP810" s="4"/>
      <c r="CQ810" s="4"/>
      <c r="CR810" s="4"/>
      <c r="CS810" s="4"/>
      <c r="CT810" s="4"/>
      <c r="CU810" s="4"/>
      <c r="CV810" s="4"/>
      <c r="CW810" s="4"/>
      <c r="CX810" s="4"/>
      <c r="CY810" s="4"/>
      <c r="CZ810" s="4"/>
      <c r="DA810" s="4"/>
      <c r="DB810" s="4"/>
      <c r="DC810" s="4"/>
      <c r="DD810" s="4"/>
      <c r="DE810" s="4"/>
      <c r="DF810" s="4"/>
      <c r="DG810" s="4"/>
      <c r="DH810" s="4"/>
      <c r="DI810" s="4"/>
      <c r="DJ810" s="4"/>
      <c r="DK810" s="4"/>
      <c r="DL810" s="4"/>
      <c r="DM810" s="4"/>
      <c r="DN810" s="4"/>
      <c r="DO810" s="4"/>
      <c r="DP810" s="4"/>
      <c r="DQ810" s="4"/>
      <c r="DR810" s="4"/>
      <c r="DS810" s="4"/>
    </row>
    <row r="811">
      <c r="A811" s="9">
        <f>IFERROR(__xludf.DUMMYFUNCTION("""COMPUTED_VALUE"""),45683.0)</f>
        <v>45683</v>
      </c>
      <c r="B811" s="6" t="str">
        <f>IFERROR(__xludf.DUMMYFUNCTION("""COMPUTED_VALUE"""),"Restaurant")</f>
        <v>Restaurant</v>
      </c>
      <c r="C811" s="7">
        <f>IFERROR(__xludf.DUMMYFUNCTION("""COMPUTED_VALUE"""),2750.0)</f>
        <v>2750</v>
      </c>
      <c r="D811" s="6" t="str">
        <f>IFERROR(__xludf.DUMMYFUNCTION("""COMPUTED_VALUE"""),"Groceries")</f>
        <v>Groceries</v>
      </c>
      <c r="E811" s="6" t="str">
        <f>IFERROR(__xludf.DUMMYFUNCTION("""COMPUTED_VALUE"""),"Split Payment")</f>
        <v>Split Payment</v>
      </c>
      <c r="F811" s="6" t="s">
        <v>7</v>
      </c>
      <c r="G811" s="8" t="str">
        <f t="shared" si="1"/>
        <v>202501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  <c r="CD811" s="4"/>
      <c r="CE811" s="4"/>
      <c r="CF811" s="4"/>
      <c r="CG811" s="4"/>
      <c r="CH811" s="4"/>
      <c r="CI811" s="4"/>
      <c r="CJ811" s="4"/>
      <c r="CK811" s="4"/>
      <c r="CL811" s="4"/>
      <c r="CM811" s="4"/>
      <c r="CN811" s="4"/>
      <c r="CO811" s="4"/>
      <c r="CP811" s="4"/>
      <c r="CQ811" s="4"/>
      <c r="CR811" s="4"/>
      <c r="CS811" s="4"/>
      <c r="CT811" s="4"/>
      <c r="CU811" s="4"/>
      <c r="CV811" s="4"/>
      <c r="CW811" s="4"/>
      <c r="CX811" s="4"/>
      <c r="CY811" s="4"/>
      <c r="CZ811" s="4"/>
      <c r="DA811" s="4"/>
      <c r="DB811" s="4"/>
      <c r="DC811" s="4"/>
      <c r="DD811" s="4"/>
      <c r="DE811" s="4"/>
      <c r="DF811" s="4"/>
      <c r="DG811" s="4"/>
      <c r="DH811" s="4"/>
      <c r="DI811" s="4"/>
      <c r="DJ811" s="4"/>
      <c r="DK811" s="4"/>
      <c r="DL811" s="4"/>
      <c r="DM811" s="4"/>
      <c r="DN811" s="4"/>
      <c r="DO811" s="4"/>
      <c r="DP811" s="4"/>
      <c r="DQ811" s="4"/>
      <c r="DR811" s="4"/>
      <c r="DS811" s="4"/>
    </row>
    <row r="812">
      <c r="A812" s="9">
        <f>IFERROR(__xludf.DUMMYFUNCTION("""COMPUTED_VALUE"""),45683.0)</f>
        <v>45683</v>
      </c>
      <c r="B812" s="6" t="str">
        <f>IFERROR(__xludf.DUMMYFUNCTION("""COMPUTED_VALUE"""),"Restaurant")</f>
        <v>Restaurant</v>
      </c>
      <c r="C812" s="7">
        <f>IFERROR(__xludf.DUMMYFUNCTION("""COMPUTED_VALUE"""),4850.0)</f>
        <v>4850</v>
      </c>
      <c r="D812" s="6" t="str">
        <f>IFERROR(__xludf.DUMMYFUNCTION("""COMPUTED_VALUE"""),"Restaurant / Café")</f>
        <v>Restaurant / Café</v>
      </c>
      <c r="E812" s="6" t="str">
        <f>IFERROR(__xludf.DUMMYFUNCTION("""COMPUTED_VALUE"""),"Virtual Wallet")</f>
        <v>Virtual Wallet</v>
      </c>
      <c r="F812" s="6" t="s">
        <v>14</v>
      </c>
      <c r="G812" s="8" t="str">
        <f t="shared" si="1"/>
        <v>202501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  <c r="CD812" s="4"/>
      <c r="CE812" s="4"/>
      <c r="CF812" s="4"/>
      <c r="CG812" s="4"/>
      <c r="CH812" s="4"/>
      <c r="CI812" s="4"/>
      <c r="CJ812" s="4"/>
      <c r="CK812" s="4"/>
      <c r="CL812" s="4"/>
      <c r="CM812" s="4"/>
      <c r="CN812" s="4"/>
      <c r="CO812" s="4"/>
      <c r="CP812" s="4"/>
      <c r="CQ812" s="4"/>
      <c r="CR812" s="4"/>
      <c r="CS812" s="4"/>
      <c r="CT812" s="4"/>
      <c r="CU812" s="4"/>
      <c r="CV812" s="4"/>
      <c r="CW812" s="4"/>
      <c r="CX812" s="4"/>
      <c r="CY812" s="4"/>
      <c r="CZ812" s="4"/>
      <c r="DA812" s="4"/>
      <c r="DB812" s="4"/>
      <c r="DC812" s="4"/>
      <c r="DD812" s="4"/>
      <c r="DE812" s="4"/>
      <c r="DF812" s="4"/>
      <c r="DG812" s="4"/>
      <c r="DH812" s="4"/>
      <c r="DI812" s="4"/>
      <c r="DJ812" s="4"/>
      <c r="DK812" s="4"/>
      <c r="DL812" s="4"/>
      <c r="DM812" s="4"/>
      <c r="DN812" s="4"/>
      <c r="DO812" s="4"/>
      <c r="DP812" s="4"/>
      <c r="DQ812" s="4"/>
      <c r="DR812" s="4"/>
      <c r="DS812" s="4"/>
    </row>
    <row r="813">
      <c r="A813" s="9">
        <f>IFERROR(__xludf.DUMMYFUNCTION("""COMPUTED_VALUE"""),45684.0)</f>
        <v>45684</v>
      </c>
      <c r="B813" s="6" t="str">
        <f>IFERROR(__xludf.DUMMYFUNCTION("""COMPUTED_VALUE"""),"Groceries")</f>
        <v>Groceries</v>
      </c>
      <c r="C813" s="7">
        <f>IFERROR(__xludf.DUMMYFUNCTION("""COMPUTED_VALUE"""),1450.0)</f>
        <v>1450</v>
      </c>
      <c r="D813" s="6" t="str">
        <f>IFERROR(__xludf.DUMMYFUNCTION("""COMPUTED_VALUE"""),"Groceries")</f>
        <v>Groceries</v>
      </c>
      <c r="E813" s="6" t="str">
        <f>IFERROR(__xludf.DUMMYFUNCTION("""COMPUTED_VALUE"""),"Split Payment")</f>
        <v>Split Payment</v>
      </c>
      <c r="F813" s="6" t="s">
        <v>7</v>
      </c>
      <c r="G813" s="8" t="str">
        <f t="shared" si="1"/>
        <v>202501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  <c r="CD813" s="4"/>
      <c r="CE813" s="4"/>
      <c r="CF813" s="4"/>
      <c r="CG813" s="4"/>
      <c r="CH813" s="4"/>
      <c r="CI813" s="4"/>
      <c r="CJ813" s="4"/>
      <c r="CK813" s="4"/>
      <c r="CL813" s="4"/>
      <c r="CM813" s="4"/>
      <c r="CN813" s="4"/>
      <c r="CO813" s="4"/>
      <c r="CP813" s="4"/>
      <c r="CQ813" s="4"/>
      <c r="CR813" s="4"/>
      <c r="CS813" s="4"/>
      <c r="CT813" s="4"/>
      <c r="CU813" s="4"/>
      <c r="CV813" s="4"/>
      <c r="CW813" s="4"/>
      <c r="CX813" s="4"/>
      <c r="CY813" s="4"/>
      <c r="CZ813" s="4"/>
      <c r="DA813" s="4"/>
      <c r="DB813" s="4"/>
      <c r="DC813" s="4"/>
      <c r="DD813" s="4"/>
      <c r="DE813" s="4"/>
      <c r="DF813" s="4"/>
      <c r="DG813" s="4"/>
      <c r="DH813" s="4"/>
      <c r="DI813" s="4"/>
      <c r="DJ813" s="4"/>
      <c r="DK813" s="4"/>
      <c r="DL813" s="4"/>
      <c r="DM813" s="4"/>
      <c r="DN813" s="4"/>
      <c r="DO813" s="4"/>
      <c r="DP813" s="4"/>
      <c r="DQ813" s="4"/>
      <c r="DR813" s="4"/>
      <c r="DS813" s="4"/>
    </row>
    <row r="814">
      <c r="A814" s="9">
        <f>IFERROR(__xludf.DUMMYFUNCTION("""COMPUTED_VALUE"""),45684.0)</f>
        <v>45684</v>
      </c>
      <c r="B814" s="6" t="str">
        <f>IFERROR(__xludf.DUMMYFUNCTION("""COMPUTED_VALUE"""),"Groceries")</f>
        <v>Groceries</v>
      </c>
      <c r="C814" s="7">
        <f>IFERROR(__xludf.DUMMYFUNCTION("""COMPUTED_VALUE"""),4289.0)</f>
        <v>4289</v>
      </c>
      <c r="D814" s="6" t="str">
        <f>IFERROR(__xludf.DUMMYFUNCTION("""COMPUTED_VALUE"""),"Groceries")</f>
        <v>Groceries</v>
      </c>
      <c r="E814" s="6" t="str">
        <f>IFERROR(__xludf.DUMMYFUNCTION("""COMPUTED_VALUE"""),"Split Payment")</f>
        <v>Split Payment</v>
      </c>
      <c r="F814" s="6" t="s">
        <v>7</v>
      </c>
      <c r="G814" s="8" t="str">
        <f t="shared" si="1"/>
        <v>202501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  <c r="CD814" s="4"/>
      <c r="CE814" s="4"/>
      <c r="CF814" s="4"/>
      <c r="CG814" s="4"/>
      <c r="CH814" s="4"/>
      <c r="CI814" s="4"/>
      <c r="CJ814" s="4"/>
      <c r="CK814" s="4"/>
      <c r="CL814" s="4"/>
      <c r="CM814" s="4"/>
      <c r="CN814" s="4"/>
      <c r="CO814" s="4"/>
      <c r="CP814" s="4"/>
      <c r="CQ814" s="4"/>
      <c r="CR814" s="4"/>
      <c r="CS814" s="4"/>
      <c r="CT814" s="4"/>
      <c r="CU814" s="4"/>
      <c r="CV814" s="4"/>
      <c r="CW814" s="4"/>
      <c r="CX814" s="4"/>
      <c r="CY814" s="4"/>
      <c r="CZ814" s="4"/>
      <c r="DA814" s="4"/>
      <c r="DB814" s="4"/>
      <c r="DC814" s="4"/>
      <c r="DD814" s="4"/>
      <c r="DE814" s="4"/>
      <c r="DF814" s="4"/>
      <c r="DG814" s="4"/>
      <c r="DH814" s="4"/>
      <c r="DI814" s="4"/>
      <c r="DJ814" s="4"/>
      <c r="DK814" s="4"/>
      <c r="DL814" s="4"/>
      <c r="DM814" s="4"/>
      <c r="DN814" s="4"/>
      <c r="DO814" s="4"/>
      <c r="DP814" s="4"/>
      <c r="DQ814" s="4"/>
      <c r="DR814" s="4"/>
      <c r="DS814" s="4"/>
    </row>
    <row r="815">
      <c r="A815" s="9">
        <f>IFERROR(__xludf.DUMMYFUNCTION("""COMPUTED_VALUE"""),45685.0)</f>
        <v>45685</v>
      </c>
      <c r="B815" s="6" t="str">
        <f>IFERROR(__xludf.DUMMYFUNCTION("""COMPUTED_VALUE"""),"Education")</f>
        <v>Education</v>
      </c>
      <c r="C815" s="7">
        <f>IFERROR(__xludf.DUMMYFUNCTION("""COMPUTED_VALUE"""),3000.0)</f>
        <v>3000</v>
      </c>
      <c r="D815" s="6" t="str">
        <f>IFERROR(__xludf.DUMMYFUNCTION("""COMPUTED_VALUE"""),"Education")</f>
        <v>Education</v>
      </c>
      <c r="E815" s="6" t="str">
        <f>IFERROR(__xludf.DUMMYFUNCTION("""COMPUTED_VALUE"""),"Credit Card")</f>
        <v>Credit Card</v>
      </c>
      <c r="F815" s="6" t="s">
        <v>11</v>
      </c>
      <c r="G815" s="8" t="str">
        <f t="shared" si="1"/>
        <v>202501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  <c r="CD815" s="4"/>
      <c r="CE815" s="4"/>
      <c r="CF815" s="4"/>
      <c r="CG815" s="4"/>
      <c r="CH815" s="4"/>
      <c r="CI815" s="4"/>
      <c r="CJ815" s="4"/>
      <c r="CK815" s="4"/>
      <c r="CL815" s="4"/>
      <c r="CM815" s="4"/>
      <c r="CN815" s="4"/>
      <c r="CO815" s="4"/>
      <c r="CP815" s="4"/>
      <c r="CQ815" s="4"/>
      <c r="CR815" s="4"/>
      <c r="CS815" s="4"/>
      <c r="CT815" s="4"/>
      <c r="CU815" s="4"/>
      <c r="CV815" s="4"/>
      <c r="CW815" s="4"/>
      <c r="CX815" s="4"/>
      <c r="CY815" s="4"/>
      <c r="CZ815" s="4"/>
      <c r="DA815" s="4"/>
      <c r="DB815" s="4"/>
      <c r="DC815" s="4"/>
      <c r="DD815" s="4"/>
      <c r="DE815" s="4"/>
      <c r="DF815" s="4"/>
      <c r="DG815" s="4"/>
      <c r="DH815" s="4"/>
      <c r="DI815" s="4"/>
      <c r="DJ815" s="4"/>
      <c r="DK815" s="4"/>
      <c r="DL815" s="4"/>
      <c r="DM815" s="4"/>
      <c r="DN815" s="4"/>
      <c r="DO815" s="4"/>
      <c r="DP815" s="4"/>
      <c r="DQ815" s="4"/>
      <c r="DR815" s="4"/>
      <c r="DS815" s="4"/>
    </row>
    <row r="816">
      <c r="A816" s="9">
        <f>IFERROR(__xludf.DUMMYFUNCTION("""COMPUTED_VALUE"""),45685.0)</f>
        <v>45685</v>
      </c>
      <c r="B816" s="6" t="str">
        <f>IFERROR(__xludf.DUMMYFUNCTION("""COMPUTED_VALUE"""),"Restaurant")</f>
        <v>Restaurant</v>
      </c>
      <c r="C816" s="7">
        <f>IFERROR(__xludf.DUMMYFUNCTION("""COMPUTED_VALUE"""),3800.0)</f>
        <v>3800</v>
      </c>
      <c r="D816" s="6" t="str">
        <f>IFERROR(__xludf.DUMMYFUNCTION("""COMPUTED_VALUE"""),"Restaurant / Café")</f>
        <v>Restaurant / Café</v>
      </c>
      <c r="E816" s="6" t="str">
        <f>IFERROR(__xludf.DUMMYFUNCTION("""COMPUTED_VALUE"""),"Virtual Wallet")</f>
        <v>Virtual Wallet</v>
      </c>
      <c r="F816" s="6" t="s">
        <v>14</v>
      </c>
      <c r="G816" s="8" t="str">
        <f t="shared" si="1"/>
        <v>202501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  <c r="CD816" s="4"/>
      <c r="CE816" s="4"/>
      <c r="CF816" s="4"/>
      <c r="CG816" s="4"/>
      <c r="CH816" s="4"/>
      <c r="CI816" s="4"/>
      <c r="CJ816" s="4"/>
      <c r="CK816" s="4"/>
      <c r="CL816" s="4"/>
      <c r="CM816" s="4"/>
      <c r="CN816" s="4"/>
      <c r="CO816" s="4"/>
      <c r="CP816" s="4"/>
      <c r="CQ816" s="4"/>
      <c r="CR816" s="4"/>
      <c r="CS816" s="4"/>
      <c r="CT816" s="4"/>
      <c r="CU816" s="4"/>
      <c r="CV816" s="4"/>
      <c r="CW816" s="4"/>
      <c r="CX816" s="4"/>
      <c r="CY816" s="4"/>
      <c r="CZ816" s="4"/>
      <c r="DA816" s="4"/>
      <c r="DB816" s="4"/>
      <c r="DC816" s="4"/>
      <c r="DD816" s="4"/>
      <c r="DE816" s="4"/>
      <c r="DF816" s="4"/>
      <c r="DG816" s="4"/>
      <c r="DH816" s="4"/>
      <c r="DI816" s="4"/>
      <c r="DJ816" s="4"/>
      <c r="DK816" s="4"/>
      <c r="DL816" s="4"/>
      <c r="DM816" s="4"/>
      <c r="DN816" s="4"/>
      <c r="DO816" s="4"/>
      <c r="DP816" s="4"/>
      <c r="DQ816" s="4"/>
      <c r="DR816" s="4"/>
      <c r="DS816" s="4"/>
    </row>
    <row r="817">
      <c r="A817" s="9">
        <f>IFERROR(__xludf.DUMMYFUNCTION("""COMPUTED_VALUE"""),45686.0)</f>
        <v>45686</v>
      </c>
      <c r="B817" s="6" t="str">
        <f>IFERROR(__xludf.DUMMYFUNCTION("""COMPUTED_VALUE"""),"Groceries")</f>
        <v>Groceries</v>
      </c>
      <c r="C817" s="7">
        <f>IFERROR(__xludf.DUMMYFUNCTION("""COMPUTED_VALUE"""),7037.0)</f>
        <v>7037</v>
      </c>
      <c r="D817" s="6" t="str">
        <f>IFERROR(__xludf.DUMMYFUNCTION("""COMPUTED_VALUE"""),"Groceries")</f>
        <v>Groceries</v>
      </c>
      <c r="E817" s="6" t="str">
        <f>IFERROR(__xludf.DUMMYFUNCTION("""COMPUTED_VALUE"""),"Split Payment")</f>
        <v>Split Payment</v>
      </c>
      <c r="F817" s="6" t="s">
        <v>7</v>
      </c>
      <c r="G817" s="8" t="str">
        <f t="shared" si="1"/>
        <v>202501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  <c r="CD817" s="4"/>
      <c r="CE817" s="4"/>
      <c r="CF817" s="4"/>
      <c r="CG817" s="4"/>
      <c r="CH817" s="4"/>
      <c r="CI817" s="4"/>
      <c r="CJ817" s="4"/>
      <c r="CK817" s="4"/>
      <c r="CL817" s="4"/>
      <c r="CM817" s="4"/>
      <c r="CN817" s="4"/>
      <c r="CO817" s="4"/>
      <c r="CP817" s="4"/>
      <c r="CQ817" s="4"/>
      <c r="CR817" s="4"/>
      <c r="CS817" s="4"/>
      <c r="CT817" s="4"/>
      <c r="CU817" s="4"/>
      <c r="CV817" s="4"/>
      <c r="CW817" s="4"/>
      <c r="CX817" s="4"/>
      <c r="CY817" s="4"/>
      <c r="CZ817" s="4"/>
      <c r="DA817" s="4"/>
      <c r="DB817" s="4"/>
      <c r="DC817" s="4"/>
      <c r="DD817" s="4"/>
      <c r="DE817" s="4"/>
      <c r="DF817" s="4"/>
      <c r="DG817" s="4"/>
      <c r="DH817" s="4"/>
      <c r="DI817" s="4"/>
      <c r="DJ817" s="4"/>
      <c r="DK817" s="4"/>
      <c r="DL817" s="4"/>
      <c r="DM817" s="4"/>
      <c r="DN817" s="4"/>
      <c r="DO817" s="4"/>
      <c r="DP817" s="4"/>
      <c r="DQ817" s="4"/>
      <c r="DR817" s="4"/>
      <c r="DS817" s="4"/>
    </row>
    <row r="818">
      <c r="A818" s="9">
        <f>IFERROR(__xludf.DUMMYFUNCTION("""COMPUTED_VALUE"""),45686.0)</f>
        <v>45686</v>
      </c>
      <c r="B818" s="6" t="str">
        <f>IFERROR(__xludf.DUMMYFUNCTION("""COMPUTED_VALUE"""),"Pets")</f>
        <v>Pets</v>
      </c>
      <c r="C818" s="7">
        <f>IFERROR(__xludf.DUMMYFUNCTION("""COMPUTED_VALUE"""),8000.0)</f>
        <v>8000</v>
      </c>
      <c r="D818" s="6" t="str">
        <f>IFERROR(__xludf.DUMMYFUNCTION("""COMPUTED_VALUE"""),"Pets")</f>
        <v>Pets</v>
      </c>
      <c r="E818" s="6" t="str">
        <f>IFERROR(__xludf.DUMMYFUNCTION("""COMPUTED_VALUE"""),"Virtual Wallet")</f>
        <v>Virtual Wallet</v>
      </c>
      <c r="F818" s="6" t="s">
        <v>7</v>
      </c>
      <c r="G818" s="8" t="str">
        <f t="shared" si="1"/>
        <v>202501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  <c r="CD818" s="4"/>
      <c r="CE818" s="4"/>
      <c r="CF818" s="4"/>
      <c r="CG818" s="4"/>
      <c r="CH818" s="4"/>
      <c r="CI818" s="4"/>
      <c r="CJ818" s="4"/>
      <c r="CK818" s="4"/>
      <c r="CL818" s="4"/>
      <c r="CM818" s="4"/>
      <c r="CN818" s="4"/>
      <c r="CO818" s="4"/>
      <c r="CP818" s="4"/>
      <c r="CQ818" s="4"/>
      <c r="CR818" s="4"/>
      <c r="CS818" s="4"/>
      <c r="CT818" s="4"/>
      <c r="CU818" s="4"/>
      <c r="CV818" s="4"/>
      <c r="CW818" s="4"/>
      <c r="CX818" s="4"/>
      <c r="CY818" s="4"/>
      <c r="CZ818" s="4"/>
      <c r="DA818" s="4"/>
      <c r="DB818" s="4"/>
      <c r="DC818" s="4"/>
      <c r="DD818" s="4"/>
      <c r="DE818" s="4"/>
      <c r="DF818" s="4"/>
      <c r="DG818" s="4"/>
      <c r="DH818" s="4"/>
      <c r="DI818" s="4"/>
      <c r="DJ818" s="4"/>
      <c r="DK818" s="4"/>
      <c r="DL818" s="4"/>
      <c r="DM818" s="4"/>
      <c r="DN818" s="4"/>
      <c r="DO818" s="4"/>
      <c r="DP818" s="4"/>
      <c r="DQ818" s="4"/>
      <c r="DR818" s="4"/>
      <c r="DS818" s="4"/>
    </row>
    <row r="819">
      <c r="A819" s="9">
        <f>IFERROR(__xludf.DUMMYFUNCTION("""COMPUTED_VALUE"""),45686.0)</f>
        <v>45686</v>
      </c>
      <c r="B819" s="6" t="str">
        <f>IFERROR(__xludf.DUMMYFUNCTION("""COMPUTED_VALUE"""),"Restaurant")</f>
        <v>Restaurant</v>
      </c>
      <c r="C819" s="7">
        <f>IFERROR(__xludf.DUMMYFUNCTION("""COMPUTED_VALUE"""),3500.0)</f>
        <v>3500</v>
      </c>
      <c r="D819" s="6" t="str">
        <f>IFERROR(__xludf.DUMMYFUNCTION("""COMPUTED_VALUE"""),"Restaurant / Café")</f>
        <v>Restaurant / Café</v>
      </c>
      <c r="E819" s="6" t="str">
        <f>IFERROR(__xludf.DUMMYFUNCTION("""COMPUTED_VALUE"""),"Virtual Wallet")</f>
        <v>Virtual Wallet</v>
      </c>
      <c r="F819" s="6" t="s">
        <v>14</v>
      </c>
      <c r="G819" s="8" t="str">
        <f t="shared" si="1"/>
        <v>202501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  <c r="CD819" s="4"/>
      <c r="CE819" s="4"/>
      <c r="CF819" s="4"/>
      <c r="CG819" s="4"/>
      <c r="CH819" s="4"/>
      <c r="CI819" s="4"/>
      <c r="CJ819" s="4"/>
      <c r="CK819" s="4"/>
      <c r="CL819" s="4"/>
      <c r="CM819" s="4"/>
      <c r="CN819" s="4"/>
      <c r="CO819" s="4"/>
      <c r="CP819" s="4"/>
      <c r="CQ819" s="4"/>
      <c r="CR819" s="4"/>
      <c r="CS819" s="4"/>
      <c r="CT819" s="4"/>
      <c r="CU819" s="4"/>
      <c r="CV819" s="4"/>
      <c r="CW819" s="4"/>
      <c r="CX819" s="4"/>
      <c r="CY819" s="4"/>
      <c r="CZ819" s="4"/>
      <c r="DA819" s="4"/>
      <c r="DB819" s="4"/>
      <c r="DC819" s="4"/>
      <c r="DD819" s="4"/>
      <c r="DE819" s="4"/>
      <c r="DF819" s="4"/>
      <c r="DG819" s="4"/>
      <c r="DH819" s="4"/>
      <c r="DI819" s="4"/>
      <c r="DJ819" s="4"/>
      <c r="DK819" s="4"/>
      <c r="DL819" s="4"/>
      <c r="DM819" s="4"/>
      <c r="DN819" s="4"/>
      <c r="DO819" s="4"/>
      <c r="DP819" s="4"/>
      <c r="DQ819" s="4"/>
      <c r="DR819" s="4"/>
      <c r="DS819" s="4"/>
    </row>
    <row r="820">
      <c r="A820" s="9">
        <f>IFERROR(__xludf.DUMMYFUNCTION("""COMPUTED_VALUE"""),45687.0)</f>
        <v>45687</v>
      </c>
      <c r="B820" s="6" t="str">
        <f>IFERROR(__xludf.DUMMYFUNCTION("""COMPUTED_VALUE"""),"Mobile Plan")</f>
        <v>Mobile Plan</v>
      </c>
      <c r="C820" s="7">
        <f>IFERROR(__xludf.DUMMYFUNCTION("""COMPUTED_VALUE"""),9000.0)</f>
        <v>9000</v>
      </c>
      <c r="D820" s="6" t="str">
        <f>IFERROR(__xludf.DUMMYFUNCTION("""COMPUTED_VALUE"""),"Basic Services")</f>
        <v>Basic Services</v>
      </c>
      <c r="E820" s="6" t="str">
        <f>IFERROR(__xludf.DUMMYFUNCTION("""COMPUTED_VALUE"""),"Split Payment")</f>
        <v>Split Payment</v>
      </c>
      <c r="F820" s="6" t="s">
        <v>13</v>
      </c>
      <c r="G820" s="8" t="str">
        <f t="shared" si="1"/>
        <v>202501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  <c r="CD820" s="4"/>
      <c r="CE820" s="4"/>
      <c r="CF820" s="4"/>
      <c r="CG820" s="4"/>
      <c r="CH820" s="4"/>
      <c r="CI820" s="4"/>
      <c r="CJ820" s="4"/>
      <c r="CK820" s="4"/>
      <c r="CL820" s="4"/>
      <c r="CM820" s="4"/>
      <c r="CN820" s="4"/>
      <c r="CO820" s="4"/>
      <c r="CP820" s="4"/>
      <c r="CQ820" s="4"/>
      <c r="CR820" s="4"/>
      <c r="CS820" s="4"/>
      <c r="CT820" s="4"/>
      <c r="CU820" s="4"/>
      <c r="CV820" s="4"/>
      <c r="CW820" s="4"/>
      <c r="CX820" s="4"/>
      <c r="CY820" s="4"/>
      <c r="CZ820" s="4"/>
      <c r="DA820" s="4"/>
      <c r="DB820" s="4"/>
      <c r="DC820" s="4"/>
      <c r="DD820" s="4"/>
      <c r="DE820" s="4"/>
      <c r="DF820" s="4"/>
      <c r="DG820" s="4"/>
      <c r="DH820" s="4"/>
      <c r="DI820" s="4"/>
      <c r="DJ820" s="4"/>
      <c r="DK820" s="4"/>
      <c r="DL820" s="4"/>
      <c r="DM820" s="4"/>
      <c r="DN820" s="4"/>
      <c r="DO820" s="4"/>
      <c r="DP820" s="4"/>
      <c r="DQ820" s="4"/>
      <c r="DR820" s="4"/>
      <c r="DS820" s="4"/>
    </row>
    <row r="821">
      <c r="A821" s="9">
        <f>IFERROR(__xludf.DUMMYFUNCTION("""COMPUTED_VALUE"""),45687.0)</f>
        <v>45687</v>
      </c>
      <c r="B821" s="6" t="str">
        <f>IFERROR(__xludf.DUMMYFUNCTION("""COMPUTED_VALUE"""),"Pharmacy")</f>
        <v>Pharmacy</v>
      </c>
      <c r="C821" s="7">
        <f>IFERROR(__xludf.DUMMYFUNCTION("""COMPUTED_VALUE"""),51590.0)</f>
        <v>51590</v>
      </c>
      <c r="D821" s="6" t="str">
        <f>IFERROR(__xludf.DUMMYFUNCTION("""COMPUTED_VALUE"""),"Healthcare")</f>
        <v>Healthcare</v>
      </c>
      <c r="E821" s="6" t="str">
        <f>IFERROR(__xludf.DUMMYFUNCTION("""COMPUTED_VALUE"""),"Split Payment")</f>
        <v>Split Payment</v>
      </c>
      <c r="F821" s="6" t="s">
        <v>15</v>
      </c>
      <c r="G821" s="8" t="str">
        <f t="shared" si="1"/>
        <v>202501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  <c r="CD821" s="4"/>
      <c r="CE821" s="4"/>
      <c r="CF821" s="4"/>
      <c r="CG821" s="4"/>
      <c r="CH821" s="4"/>
      <c r="CI821" s="4"/>
      <c r="CJ821" s="4"/>
      <c r="CK821" s="4"/>
      <c r="CL821" s="4"/>
      <c r="CM821" s="4"/>
      <c r="CN821" s="4"/>
      <c r="CO821" s="4"/>
      <c r="CP821" s="4"/>
      <c r="CQ821" s="4"/>
      <c r="CR821" s="4"/>
      <c r="CS821" s="4"/>
      <c r="CT821" s="4"/>
      <c r="CU821" s="4"/>
      <c r="CV821" s="4"/>
      <c r="CW821" s="4"/>
      <c r="CX821" s="4"/>
      <c r="CY821" s="4"/>
      <c r="CZ821" s="4"/>
      <c r="DA821" s="4"/>
      <c r="DB821" s="4"/>
      <c r="DC821" s="4"/>
      <c r="DD821" s="4"/>
      <c r="DE821" s="4"/>
      <c r="DF821" s="4"/>
      <c r="DG821" s="4"/>
      <c r="DH821" s="4"/>
      <c r="DI821" s="4"/>
      <c r="DJ821" s="4"/>
      <c r="DK821" s="4"/>
      <c r="DL821" s="4"/>
      <c r="DM821" s="4"/>
      <c r="DN821" s="4"/>
      <c r="DO821" s="4"/>
      <c r="DP821" s="4"/>
      <c r="DQ821" s="4"/>
      <c r="DR821" s="4"/>
      <c r="DS821" s="4"/>
    </row>
    <row r="822">
      <c r="A822" s="9">
        <f>IFERROR(__xludf.DUMMYFUNCTION("""COMPUTED_VALUE"""),45687.0)</f>
        <v>45687</v>
      </c>
      <c r="B822" s="6" t="str">
        <f>IFERROR(__xludf.DUMMYFUNCTION("""COMPUTED_VALUE"""),"Home Goods")</f>
        <v>Home Goods</v>
      </c>
      <c r="C822" s="7">
        <f>IFERROR(__xludf.DUMMYFUNCTION("""COMPUTED_VALUE"""),12797.0)</f>
        <v>12797</v>
      </c>
      <c r="D822" s="6" t="str">
        <f>IFERROR(__xludf.DUMMYFUNCTION("""COMPUTED_VALUE"""),"Home Goods &amp; Utilities")</f>
        <v>Home Goods &amp; Utilities</v>
      </c>
      <c r="E822" s="6" t="str">
        <f>IFERROR(__xludf.DUMMYFUNCTION("""COMPUTED_VALUE"""),"Credit Card")</f>
        <v>Credit Card</v>
      </c>
      <c r="F822" s="6" t="s">
        <v>8</v>
      </c>
      <c r="G822" s="8" t="str">
        <f t="shared" si="1"/>
        <v>202501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  <c r="CD822" s="4"/>
      <c r="CE822" s="4"/>
      <c r="CF822" s="4"/>
      <c r="CG822" s="4"/>
      <c r="CH822" s="4"/>
      <c r="CI822" s="4"/>
      <c r="CJ822" s="4"/>
      <c r="CK822" s="4"/>
      <c r="CL822" s="4"/>
      <c r="CM822" s="4"/>
      <c r="CN822" s="4"/>
      <c r="CO822" s="4"/>
      <c r="CP822" s="4"/>
      <c r="CQ822" s="4"/>
      <c r="CR822" s="4"/>
      <c r="CS822" s="4"/>
      <c r="CT822" s="4"/>
      <c r="CU822" s="4"/>
      <c r="CV822" s="4"/>
      <c r="CW822" s="4"/>
      <c r="CX822" s="4"/>
      <c r="CY822" s="4"/>
      <c r="CZ822" s="4"/>
      <c r="DA822" s="4"/>
      <c r="DB822" s="4"/>
      <c r="DC822" s="4"/>
      <c r="DD822" s="4"/>
      <c r="DE822" s="4"/>
      <c r="DF822" s="4"/>
      <c r="DG822" s="4"/>
      <c r="DH822" s="4"/>
      <c r="DI822" s="4"/>
      <c r="DJ822" s="4"/>
      <c r="DK822" s="4"/>
      <c r="DL822" s="4"/>
      <c r="DM822" s="4"/>
      <c r="DN822" s="4"/>
      <c r="DO822" s="4"/>
      <c r="DP822" s="4"/>
      <c r="DQ822" s="4"/>
      <c r="DR822" s="4"/>
      <c r="DS822" s="4"/>
    </row>
    <row r="823">
      <c r="A823" s="9">
        <f>IFERROR(__xludf.DUMMYFUNCTION("""COMPUTED_VALUE"""),45687.0)</f>
        <v>45687</v>
      </c>
      <c r="B823" s="6" t="str">
        <f>IFERROR(__xludf.DUMMYFUNCTION("""COMPUTED_VALUE"""),"Car Maintenance")</f>
        <v>Car Maintenance</v>
      </c>
      <c r="C823" s="7">
        <f>IFERROR(__xludf.DUMMYFUNCTION("""COMPUTED_VALUE"""),16208.33)</f>
        <v>16208.33</v>
      </c>
      <c r="D823" s="6" t="str">
        <f>IFERROR(__xludf.DUMMYFUNCTION("""COMPUTED_VALUE"""),"Car Expenses")</f>
        <v>Car Expenses</v>
      </c>
      <c r="E823" s="6" t="str">
        <f>IFERROR(__xludf.DUMMYFUNCTION("""COMPUTED_VALUE"""),"Credit Card")</f>
        <v>Credit Card</v>
      </c>
      <c r="F823" s="6" t="s">
        <v>9</v>
      </c>
      <c r="G823" s="8" t="str">
        <f t="shared" si="1"/>
        <v>202501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  <c r="CD823" s="4"/>
      <c r="CE823" s="4"/>
      <c r="CF823" s="4"/>
      <c r="CG823" s="4"/>
      <c r="CH823" s="4"/>
      <c r="CI823" s="4"/>
      <c r="CJ823" s="4"/>
      <c r="CK823" s="4"/>
      <c r="CL823" s="4"/>
      <c r="CM823" s="4"/>
      <c r="CN823" s="4"/>
      <c r="CO823" s="4"/>
      <c r="CP823" s="4"/>
      <c r="CQ823" s="4"/>
      <c r="CR823" s="4"/>
      <c r="CS823" s="4"/>
      <c r="CT823" s="4"/>
      <c r="CU823" s="4"/>
      <c r="CV823" s="4"/>
      <c r="CW823" s="4"/>
      <c r="CX823" s="4"/>
      <c r="CY823" s="4"/>
      <c r="CZ823" s="4"/>
      <c r="DA823" s="4"/>
      <c r="DB823" s="4"/>
      <c r="DC823" s="4"/>
      <c r="DD823" s="4"/>
      <c r="DE823" s="4"/>
      <c r="DF823" s="4"/>
      <c r="DG823" s="4"/>
      <c r="DH823" s="4"/>
      <c r="DI823" s="4"/>
      <c r="DJ823" s="4"/>
      <c r="DK823" s="4"/>
      <c r="DL823" s="4"/>
      <c r="DM823" s="4"/>
      <c r="DN823" s="4"/>
      <c r="DO823" s="4"/>
      <c r="DP823" s="4"/>
      <c r="DQ823" s="4"/>
      <c r="DR823" s="4"/>
      <c r="DS823" s="4"/>
    </row>
    <row r="824">
      <c r="A824" s="9">
        <f>IFERROR(__xludf.DUMMYFUNCTION("""COMPUTED_VALUE"""),45687.0)</f>
        <v>45687</v>
      </c>
      <c r="B824" s="6" t="str">
        <f>IFERROR(__xludf.DUMMYFUNCTION("""COMPUTED_VALUE"""),"Sports")</f>
        <v>Sports</v>
      </c>
      <c r="C824" s="7">
        <f>IFERROR(__xludf.DUMMYFUNCTION("""COMPUTED_VALUE"""),10650.0)</f>
        <v>10650</v>
      </c>
      <c r="D824" s="6" t="str">
        <f>IFERROR(__xludf.DUMMYFUNCTION("""COMPUTED_VALUE"""),"Restaurant / Café")</f>
        <v>Restaurant / Café</v>
      </c>
      <c r="E824" s="6" t="str">
        <f>IFERROR(__xludf.DUMMYFUNCTION("""COMPUTED_VALUE"""),"Virtual Wallet")</f>
        <v>Virtual Wallet</v>
      </c>
      <c r="F824" s="6" t="s">
        <v>14</v>
      </c>
      <c r="G824" s="8" t="str">
        <f t="shared" si="1"/>
        <v>202501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  <c r="CD824" s="4"/>
      <c r="CE824" s="4"/>
      <c r="CF824" s="4"/>
      <c r="CG824" s="4"/>
      <c r="CH824" s="4"/>
      <c r="CI824" s="4"/>
      <c r="CJ824" s="4"/>
      <c r="CK824" s="4"/>
      <c r="CL824" s="4"/>
      <c r="CM824" s="4"/>
      <c r="CN824" s="4"/>
      <c r="CO824" s="4"/>
      <c r="CP824" s="4"/>
      <c r="CQ824" s="4"/>
      <c r="CR824" s="4"/>
      <c r="CS824" s="4"/>
      <c r="CT824" s="4"/>
      <c r="CU824" s="4"/>
      <c r="CV824" s="4"/>
      <c r="CW824" s="4"/>
      <c r="CX824" s="4"/>
      <c r="CY824" s="4"/>
      <c r="CZ824" s="4"/>
      <c r="DA824" s="4"/>
      <c r="DB824" s="4"/>
      <c r="DC824" s="4"/>
      <c r="DD824" s="4"/>
      <c r="DE824" s="4"/>
      <c r="DF824" s="4"/>
      <c r="DG824" s="4"/>
      <c r="DH824" s="4"/>
      <c r="DI824" s="4"/>
      <c r="DJ824" s="4"/>
      <c r="DK824" s="4"/>
      <c r="DL824" s="4"/>
      <c r="DM824" s="4"/>
      <c r="DN824" s="4"/>
      <c r="DO824" s="4"/>
      <c r="DP824" s="4"/>
      <c r="DQ824" s="4"/>
      <c r="DR824" s="4"/>
      <c r="DS824" s="4"/>
    </row>
    <row r="825">
      <c r="A825" s="9">
        <f>IFERROR(__xludf.DUMMYFUNCTION("""COMPUTED_VALUE"""),45689.0)</f>
        <v>45689</v>
      </c>
      <c r="B825" s="6" t="str">
        <f>IFERROR(__xludf.DUMMYFUNCTION("""COMPUTED_VALUE"""),"Home Goods")</f>
        <v>Home Goods</v>
      </c>
      <c r="C825" s="7">
        <f>IFERROR(__xludf.DUMMYFUNCTION("""COMPUTED_VALUE"""),2754.5)</f>
        <v>2754.5</v>
      </c>
      <c r="D825" s="6" t="str">
        <f>IFERROR(__xludf.DUMMYFUNCTION("""COMPUTED_VALUE"""),"Home Goods &amp; Utilities")</f>
        <v>Home Goods &amp; Utilities</v>
      </c>
      <c r="E825" s="6" t="str">
        <f>IFERROR(__xludf.DUMMYFUNCTION("""COMPUTED_VALUE"""),"Split Payment")</f>
        <v>Split Payment</v>
      </c>
      <c r="F825" s="6" t="s">
        <v>8</v>
      </c>
      <c r="G825" s="8" t="str">
        <f t="shared" si="1"/>
        <v>202502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  <c r="CD825" s="4"/>
      <c r="CE825" s="4"/>
      <c r="CF825" s="4"/>
      <c r="CG825" s="4"/>
      <c r="CH825" s="4"/>
      <c r="CI825" s="4"/>
      <c r="CJ825" s="4"/>
      <c r="CK825" s="4"/>
      <c r="CL825" s="4"/>
      <c r="CM825" s="4"/>
      <c r="CN825" s="4"/>
      <c r="CO825" s="4"/>
      <c r="CP825" s="4"/>
      <c r="CQ825" s="4"/>
      <c r="CR825" s="4"/>
      <c r="CS825" s="4"/>
      <c r="CT825" s="4"/>
      <c r="CU825" s="4"/>
      <c r="CV825" s="4"/>
      <c r="CW825" s="4"/>
      <c r="CX825" s="4"/>
      <c r="CY825" s="4"/>
      <c r="CZ825" s="4"/>
      <c r="DA825" s="4"/>
      <c r="DB825" s="4"/>
      <c r="DC825" s="4"/>
      <c r="DD825" s="4"/>
      <c r="DE825" s="4"/>
      <c r="DF825" s="4"/>
      <c r="DG825" s="4"/>
      <c r="DH825" s="4"/>
      <c r="DI825" s="4"/>
      <c r="DJ825" s="4"/>
      <c r="DK825" s="4"/>
      <c r="DL825" s="4"/>
      <c r="DM825" s="4"/>
      <c r="DN825" s="4"/>
      <c r="DO825" s="4"/>
      <c r="DP825" s="4"/>
      <c r="DQ825" s="4"/>
      <c r="DR825" s="4"/>
      <c r="DS825" s="4"/>
    </row>
    <row r="826">
      <c r="A826" s="9">
        <f>IFERROR(__xludf.DUMMYFUNCTION("""COMPUTED_VALUE"""),45689.0)</f>
        <v>45689</v>
      </c>
      <c r="B826" s="6" t="str">
        <f>IFERROR(__xludf.DUMMYFUNCTION("""COMPUTED_VALUE"""),"Cab/Uber")</f>
        <v>Cab/Uber</v>
      </c>
      <c r="C826" s="7">
        <f>IFERROR(__xludf.DUMMYFUNCTION("""COMPUTED_VALUE"""),1200.0)</f>
        <v>1200</v>
      </c>
      <c r="D826" s="6" t="str">
        <f>IFERROR(__xludf.DUMMYFUNCTION("""COMPUTED_VALUE"""),"Transportation")</f>
        <v>Transportation</v>
      </c>
      <c r="E826" s="6" t="str">
        <f>IFERROR(__xludf.DUMMYFUNCTION("""COMPUTED_VALUE"""),"Virtual Wallet")</f>
        <v>Virtual Wallet</v>
      </c>
      <c r="F826" s="6" t="s">
        <v>9</v>
      </c>
      <c r="G826" s="8" t="str">
        <f t="shared" si="1"/>
        <v>202502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  <c r="CD826" s="4"/>
      <c r="CE826" s="4"/>
      <c r="CF826" s="4"/>
      <c r="CG826" s="4"/>
      <c r="CH826" s="4"/>
      <c r="CI826" s="4"/>
      <c r="CJ826" s="4"/>
      <c r="CK826" s="4"/>
      <c r="CL826" s="4"/>
      <c r="CM826" s="4"/>
      <c r="CN826" s="4"/>
      <c r="CO826" s="4"/>
      <c r="CP826" s="4"/>
      <c r="CQ826" s="4"/>
      <c r="CR826" s="4"/>
      <c r="CS826" s="4"/>
      <c r="CT826" s="4"/>
      <c r="CU826" s="4"/>
      <c r="CV826" s="4"/>
      <c r="CW826" s="4"/>
      <c r="CX826" s="4"/>
      <c r="CY826" s="4"/>
      <c r="CZ826" s="4"/>
      <c r="DA826" s="4"/>
      <c r="DB826" s="4"/>
      <c r="DC826" s="4"/>
      <c r="DD826" s="4"/>
      <c r="DE826" s="4"/>
      <c r="DF826" s="4"/>
      <c r="DG826" s="4"/>
      <c r="DH826" s="4"/>
      <c r="DI826" s="4"/>
      <c r="DJ826" s="4"/>
      <c r="DK826" s="4"/>
      <c r="DL826" s="4"/>
      <c r="DM826" s="4"/>
      <c r="DN826" s="4"/>
      <c r="DO826" s="4"/>
      <c r="DP826" s="4"/>
      <c r="DQ826" s="4"/>
      <c r="DR826" s="4"/>
      <c r="DS826" s="4"/>
    </row>
    <row r="827">
      <c r="A827" s="9">
        <f>IFERROR(__xludf.DUMMYFUNCTION("""COMPUTED_VALUE"""),45689.0)</f>
        <v>45689</v>
      </c>
      <c r="B827" s="6" t="str">
        <f>IFERROR(__xludf.DUMMYFUNCTION("""COMPUTED_VALUE"""),"Groceries")</f>
        <v>Groceries</v>
      </c>
      <c r="C827" s="7">
        <f>IFERROR(__xludf.DUMMYFUNCTION("""COMPUTED_VALUE"""),10600.0)</f>
        <v>10600</v>
      </c>
      <c r="D827" s="6" t="str">
        <f>IFERROR(__xludf.DUMMYFUNCTION("""COMPUTED_VALUE"""),"Groceries")</f>
        <v>Groceries</v>
      </c>
      <c r="E827" s="6" t="str">
        <f>IFERROR(__xludf.DUMMYFUNCTION("""COMPUTED_VALUE"""),"Split Payment")</f>
        <v>Split Payment</v>
      </c>
      <c r="F827" s="6" t="s">
        <v>7</v>
      </c>
      <c r="G827" s="8" t="str">
        <f t="shared" si="1"/>
        <v>202502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  <c r="CD827" s="4"/>
      <c r="CE827" s="4"/>
      <c r="CF827" s="4"/>
      <c r="CG827" s="4"/>
      <c r="CH827" s="4"/>
      <c r="CI827" s="4"/>
      <c r="CJ827" s="4"/>
      <c r="CK827" s="4"/>
      <c r="CL827" s="4"/>
      <c r="CM827" s="4"/>
      <c r="CN827" s="4"/>
      <c r="CO827" s="4"/>
      <c r="CP827" s="4"/>
      <c r="CQ827" s="4"/>
      <c r="CR827" s="4"/>
      <c r="CS827" s="4"/>
      <c r="CT827" s="4"/>
      <c r="CU827" s="4"/>
      <c r="CV827" s="4"/>
      <c r="CW827" s="4"/>
      <c r="CX827" s="4"/>
      <c r="CY827" s="4"/>
      <c r="CZ827" s="4"/>
      <c r="DA827" s="4"/>
      <c r="DB827" s="4"/>
      <c r="DC827" s="4"/>
      <c r="DD827" s="4"/>
      <c r="DE827" s="4"/>
      <c r="DF827" s="4"/>
      <c r="DG827" s="4"/>
      <c r="DH827" s="4"/>
      <c r="DI827" s="4"/>
      <c r="DJ827" s="4"/>
      <c r="DK827" s="4"/>
      <c r="DL827" s="4"/>
      <c r="DM827" s="4"/>
      <c r="DN827" s="4"/>
      <c r="DO827" s="4"/>
      <c r="DP827" s="4"/>
      <c r="DQ827" s="4"/>
      <c r="DR827" s="4"/>
      <c r="DS827" s="4"/>
    </row>
    <row r="828">
      <c r="A828" s="9">
        <f>IFERROR(__xludf.DUMMYFUNCTION("""COMPUTED_VALUE"""),45690.0)</f>
        <v>45690</v>
      </c>
      <c r="B828" s="6" t="str">
        <f>IFERROR(__xludf.DUMMYFUNCTION("""COMPUTED_VALUE"""),"Gas Bill (Metrogas)")</f>
        <v>Gas Bill (Metrogas)</v>
      </c>
      <c r="C828" s="7">
        <f>IFERROR(__xludf.DUMMYFUNCTION("""COMPUTED_VALUE"""),5274.0)</f>
        <v>5274</v>
      </c>
      <c r="D828" s="6" t="str">
        <f>IFERROR(__xludf.DUMMYFUNCTION("""COMPUTED_VALUE"""),"Basic Services")</f>
        <v>Basic Services</v>
      </c>
      <c r="E828" s="6" t="str">
        <f>IFERROR(__xludf.DUMMYFUNCTION("""COMPUTED_VALUE"""),"Split Payment")</f>
        <v>Split Payment</v>
      </c>
      <c r="F828" s="6" t="s">
        <v>13</v>
      </c>
      <c r="G828" s="8" t="str">
        <f t="shared" si="1"/>
        <v>202502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  <c r="CD828" s="4"/>
      <c r="CE828" s="4"/>
      <c r="CF828" s="4"/>
      <c r="CG828" s="4"/>
      <c r="CH828" s="4"/>
      <c r="CI828" s="4"/>
      <c r="CJ828" s="4"/>
      <c r="CK828" s="4"/>
      <c r="CL828" s="4"/>
      <c r="CM828" s="4"/>
      <c r="CN828" s="4"/>
      <c r="CO828" s="4"/>
      <c r="CP828" s="4"/>
      <c r="CQ828" s="4"/>
      <c r="CR828" s="4"/>
      <c r="CS828" s="4"/>
      <c r="CT828" s="4"/>
      <c r="CU828" s="4"/>
      <c r="CV828" s="4"/>
      <c r="CW828" s="4"/>
      <c r="CX828" s="4"/>
      <c r="CY828" s="4"/>
      <c r="CZ828" s="4"/>
      <c r="DA828" s="4"/>
      <c r="DB828" s="4"/>
      <c r="DC828" s="4"/>
      <c r="DD828" s="4"/>
      <c r="DE828" s="4"/>
      <c r="DF828" s="4"/>
      <c r="DG828" s="4"/>
      <c r="DH828" s="4"/>
      <c r="DI828" s="4"/>
      <c r="DJ828" s="4"/>
      <c r="DK828" s="4"/>
      <c r="DL828" s="4"/>
      <c r="DM828" s="4"/>
      <c r="DN828" s="4"/>
      <c r="DO828" s="4"/>
      <c r="DP828" s="4"/>
      <c r="DQ828" s="4"/>
      <c r="DR828" s="4"/>
      <c r="DS828" s="4"/>
    </row>
    <row r="829">
      <c r="A829" s="9">
        <f>IFERROR(__xludf.DUMMYFUNCTION("""COMPUTED_VALUE"""),45690.0)</f>
        <v>45690</v>
      </c>
      <c r="B829" s="6" t="str">
        <f>IFERROR(__xludf.DUMMYFUNCTION("""COMPUTED_VALUE"""),"Groceries")</f>
        <v>Groceries</v>
      </c>
      <c r="C829" s="7">
        <f>IFERROR(__xludf.DUMMYFUNCTION("""COMPUTED_VALUE"""),1600.0)</f>
        <v>1600</v>
      </c>
      <c r="D829" s="6" t="str">
        <f>IFERROR(__xludf.DUMMYFUNCTION("""COMPUTED_VALUE"""),"Groceries")</f>
        <v>Groceries</v>
      </c>
      <c r="E829" s="6" t="str">
        <f>IFERROR(__xludf.DUMMYFUNCTION("""COMPUTED_VALUE"""),"Split Payment")</f>
        <v>Split Payment</v>
      </c>
      <c r="F829" s="6" t="s">
        <v>7</v>
      </c>
      <c r="G829" s="8" t="str">
        <f t="shared" si="1"/>
        <v>202502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  <c r="CD829" s="4"/>
      <c r="CE829" s="4"/>
      <c r="CF829" s="4"/>
      <c r="CG829" s="4"/>
      <c r="CH829" s="4"/>
      <c r="CI829" s="4"/>
      <c r="CJ829" s="4"/>
      <c r="CK829" s="4"/>
      <c r="CL829" s="4"/>
      <c r="CM829" s="4"/>
      <c r="CN829" s="4"/>
      <c r="CO829" s="4"/>
      <c r="CP829" s="4"/>
      <c r="CQ829" s="4"/>
      <c r="CR829" s="4"/>
      <c r="CS829" s="4"/>
      <c r="CT829" s="4"/>
      <c r="CU829" s="4"/>
      <c r="CV829" s="4"/>
      <c r="CW829" s="4"/>
      <c r="CX829" s="4"/>
      <c r="CY829" s="4"/>
      <c r="CZ829" s="4"/>
      <c r="DA829" s="4"/>
      <c r="DB829" s="4"/>
      <c r="DC829" s="4"/>
      <c r="DD829" s="4"/>
      <c r="DE829" s="4"/>
      <c r="DF829" s="4"/>
      <c r="DG829" s="4"/>
      <c r="DH829" s="4"/>
      <c r="DI829" s="4"/>
      <c r="DJ829" s="4"/>
      <c r="DK829" s="4"/>
      <c r="DL829" s="4"/>
      <c r="DM829" s="4"/>
      <c r="DN829" s="4"/>
      <c r="DO829" s="4"/>
      <c r="DP829" s="4"/>
      <c r="DQ829" s="4"/>
      <c r="DR829" s="4"/>
      <c r="DS829" s="4"/>
    </row>
    <row r="830">
      <c r="A830" s="9">
        <f>IFERROR(__xludf.DUMMYFUNCTION("""COMPUTED_VALUE"""),45690.0)</f>
        <v>45690</v>
      </c>
      <c r="B830" s="6" t="str">
        <f>IFERROR(__xludf.DUMMYFUNCTION("""COMPUTED_VALUE"""),"Groceries")</f>
        <v>Groceries</v>
      </c>
      <c r="C830" s="7">
        <f>IFERROR(__xludf.DUMMYFUNCTION("""COMPUTED_VALUE"""),662.0)</f>
        <v>662</v>
      </c>
      <c r="D830" s="6" t="str">
        <f>IFERROR(__xludf.DUMMYFUNCTION("""COMPUTED_VALUE"""),"Groceries")</f>
        <v>Groceries</v>
      </c>
      <c r="E830" s="6" t="str">
        <f>IFERROR(__xludf.DUMMYFUNCTION("""COMPUTED_VALUE"""),"Credit Card")</f>
        <v>Credit Card</v>
      </c>
      <c r="F830" s="6" t="s">
        <v>7</v>
      </c>
      <c r="G830" s="8" t="str">
        <f t="shared" si="1"/>
        <v>202502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  <c r="CD830" s="4"/>
      <c r="CE830" s="4"/>
      <c r="CF830" s="4"/>
      <c r="CG830" s="4"/>
      <c r="CH830" s="4"/>
      <c r="CI830" s="4"/>
      <c r="CJ830" s="4"/>
      <c r="CK830" s="4"/>
      <c r="CL830" s="4"/>
      <c r="CM830" s="4"/>
      <c r="CN830" s="4"/>
      <c r="CO830" s="4"/>
      <c r="CP830" s="4"/>
      <c r="CQ830" s="4"/>
      <c r="CR830" s="4"/>
      <c r="CS830" s="4"/>
      <c r="CT830" s="4"/>
      <c r="CU830" s="4"/>
      <c r="CV830" s="4"/>
      <c r="CW830" s="4"/>
      <c r="CX830" s="4"/>
      <c r="CY830" s="4"/>
      <c r="CZ830" s="4"/>
      <c r="DA830" s="4"/>
      <c r="DB830" s="4"/>
      <c r="DC830" s="4"/>
      <c r="DD830" s="4"/>
      <c r="DE830" s="4"/>
      <c r="DF830" s="4"/>
      <c r="DG830" s="4"/>
      <c r="DH830" s="4"/>
      <c r="DI830" s="4"/>
      <c r="DJ830" s="4"/>
      <c r="DK830" s="4"/>
      <c r="DL830" s="4"/>
      <c r="DM830" s="4"/>
      <c r="DN830" s="4"/>
      <c r="DO830" s="4"/>
      <c r="DP830" s="4"/>
      <c r="DQ830" s="4"/>
      <c r="DR830" s="4"/>
      <c r="DS830" s="4"/>
    </row>
    <row r="831">
      <c r="A831" s="9">
        <f>IFERROR(__xludf.DUMMYFUNCTION("""COMPUTED_VALUE"""),45690.0)</f>
        <v>45690</v>
      </c>
      <c r="B831" s="6" t="str">
        <f>IFERROR(__xludf.DUMMYFUNCTION("""COMPUTED_VALUE"""),"Groceries")</f>
        <v>Groceries</v>
      </c>
      <c r="C831" s="7">
        <f>IFERROR(__xludf.DUMMYFUNCTION("""COMPUTED_VALUE"""),3950.0)</f>
        <v>3950</v>
      </c>
      <c r="D831" s="6" t="str">
        <f>IFERROR(__xludf.DUMMYFUNCTION("""COMPUTED_VALUE"""),"Groceries")</f>
        <v>Groceries</v>
      </c>
      <c r="E831" s="6" t="str">
        <f>IFERROR(__xludf.DUMMYFUNCTION("""COMPUTED_VALUE"""),"Credit Card")</f>
        <v>Credit Card</v>
      </c>
      <c r="F831" s="6" t="s">
        <v>7</v>
      </c>
      <c r="G831" s="8" t="str">
        <f t="shared" si="1"/>
        <v>202502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  <c r="CD831" s="4"/>
      <c r="CE831" s="4"/>
      <c r="CF831" s="4"/>
      <c r="CG831" s="4"/>
      <c r="CH831" s="4"/>
      <c r="CI831" s="4"/>
      <c r="CJ831" s="4"/>
      <c r="CK831" s="4"/>
      <c r="CL831" s="4"/>
      <c r="CM831" s="4"/>
      <c r="CN831" s="4"/>
      <c r="CO831" s="4"/>
      <c r="CP831" s="4"/>
      <c r="CQ831" s="4"/>
      <c r="CR831" s="4"/>
      <c r="CS831" s="4"/>
      <c r="CT831" s="4"/>
      <c r="CU831" s="4"/>
      <c r="CV831" s="4"/>
      <c r="CW831" s="4"/>
      <c r="CX831" s="4"/>
      <c r="CY831" s="4"/>
      <c r="CZ831" s="4"/>
      <c r="DA831" s="4"/>
      <c r="DB831" s="4"/>
      <c r="DC831" s="4"/>
      <c r="DD831" s="4"/>
      <c r="DE831" s="4"/>
      <c r="DF831" s="4"/>
      <c r="DG831" s="4"/>
      <c r="DH831" s="4"/>
      <c r="DI831" s="4"/>
      <c r="DJ831" s="4"/>
      <c r="DK831" s="4"/>
      <c r="DL831" s="4"/>
      <c r="DM831" s="4"/>
      <c r="DN831" s="4"/>
      <c r="DO831" s="4"/>
      <c r="DP831" s="4"/>
      <c r="DQ831" s="4"/>
      <c r="DR831" s="4"/>
      <c r="DS831" s="4"/>
    </row>
    <row r="832">
      <c r="A832" s="9">
        <f>IFERROR(__xludf.DUMMYFUNCTION("""COMPUTED_VALUE"""),45690.0)</f>
        <v>45690</v>
      </c>
      <c r="B832" s="6" t="str">
        <f>IFERROR(__xludf.DUMMYFUNCTION("""COMPUTED_VALUE"""),"Municipal Tax (Agip)")</f>
        <v>Municipal Tax (Agip)</v>
      </c>
      <c r="C832" s="7">
        <f>IFERROR(__xludf.DUMMYFUNCTION("""COMPUTED_VALUE"""),7661.0)</f>
        <v>7661</v>
      </c>
      <c r="D832" s="6" t="str">
        <f>IFERROR(__xludf.DUMMYFUNCTION("""COMPUTED_VALUE"""),"Basic Services")</f>
        <v>Basic Services</v>
      </c>
      <c r="E832" s="6" t="str">
        <f>IFERROR(__xludf.DUMMYFUNCTION("""COMPUTED_VALUE"""),"Split Payment")</f>
        <v>Split Payment</v>
      </c>
      <c r="F832" s="6" t="s">
        <v>13</v>
      </c>
      <c r="G832" s="8" t="str">
        <f t="shared" si="1"/>
        <v>202502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  <c r="CD832" s="4"/>
      <c r="CE832" s="4"/>
      <c r="CF832" s="4"/>
      <c r="CG832" s="4"/>
      <c r="CH832" s="4"/>
      <c r="CI832" s="4"/>
      <c r="CJ832" s="4"/>
      <c r="CK832" s="4"/>
      <c r="CL832" s="4"/>
      <c r="CM832" s="4"/>
      <c r="CN832" s="4"/>
      <c r="CO832" s="4"/>
      <c r="CP832" s="4"/>
      <c r="CQ832" s="4"/>
      <c r="CR832" s="4"/>
      <c r="CS832" s="4"/>
      <c r="CT832" s="4"/>
      <c r="CU832" s="4"/>
      <c r="CV832" s="4"/>
      <c r="CW832" s="4"/>
      <c r="CX832" s="4"/>
      <c r="CY832" s="4"/>
      <c r="CZ832" s="4"/>
      <c r="DA832" s="4"/>
      <c r="DB832" s="4"/>
      <c r="DC832" s="4"/>
      <c r="DD832" s="4"/>
      <c r="DE832" s="4"/>
      <c r="DF832" s="4"/>
      <c r="DG832" s="4"/>
      <c r="DH832" s="4"/>
      <c r="DI832" s="4"/>
      <c r="DJ832" s="4"/>
      <c r="DK832" s="4"/>
      <c r="DL832" s="4"/>
      <c r="DM832" s="4"/>
      <c r="DN832" s="4"/>
      <c r="DO832" s="4"/>
      <c r="DP832" s="4"/>
      <c r="DQ832" s="4"/>
      <c r="DR832" s="4"/>
      <c r="DS832" s="4"/>
    </row>
    <row r="833">
      <c r="A833" s="9">
        <f>IFERROR(__xludf.DUMMYFUNCTION("""COMPUTED_VALUE"""),45690.0)</f>
        <v>45690</v>
      </c>
      <c r="B833" s="6" t="str">
        <f>IFERROR(__xludf.DUMMYFUNCTION("""COMPUTED_VALUE"""),"Streaming Services")</f>
        <v>Streaming Services</v>
      </c>
      <c r="C833" s="7">
        <f>IFERROR(__xludf.DUMMYFUNCTION("""COMPUTED_VALUE"""),2491.0)</f>
        <v>2491</v>
      </c>
      <c r="D833" s="6" t="str">
        <f>IFERROR(__xludf.DUMMYFUNCTION("""COMPUTED_VALUE"""),"Streaming Services")</f>
        <v>Streaming Services</v>
      </c>
      <c r="E833" s="6" t="str">
        <f>IFERROR(__xludf.DUMMYFUNCTION("""COMPUTED_VALUE"""),"Credit Card")</f>
        <v>Credit Card</v>
      </c>
      <c r="F833" s="6" t="s">
        <v>12</v>
      </c>
      <c r="G833" s="8" t="str">
        <f t="shared" si="1"/>
        <v>202502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  <c r="CD833" s="4"/>
      <c r="CE833" s="4"/>
      <c r="CF833" s="4"/>
      <c r="CG833" s="4"/>
      <c r="CH833" s="4"/>
      <c r="CI833" s="4"/>
      <c r="CJ833" s="4"/>
      <c r="CK833" s="4"/>
      <c r="CL833" s="4"/>
      <c r="CM833" s="4"/>
      <c r="CN833" s="4"/>
      <c r="CO833" s="4"/>
      <c r="CP833" s="4"/>
      <c r="CQ833" s="4"/>
      <c r="CR833" s="4"/>
      <c r="CS833" s="4"/>
      <c r="CT833" s="4"/>
      <c r="CU833" s="4"/>
      <c r="CV833" s="4"/>
      <c r="CW833" s="4"/>
      <c r="CX833" s="4"/>
      <c r="CY833" s="4"/>
      <c r="CZ833" s="4"/>
      <c r="DA833" s="4"/>
      <c r="DB833" s="4"/>
      <c r="DC833" s="4"/>
      <c r="DD833" s="4"/>
      <c r="DE833" s="4"/>
      <c r="DF833" s="4"/>
      <c r="DG833" s="4"/>
      <c r="DH833" s="4"/>
      <c r="DI833" s="4"/>
      <c r="DJ833" s="4"/>
      <c r="DK833" s="4"/>
      <c r="DL833" s="4"/>
      <c r="DM833" s="4"/>
      <c r="DN833" s="4"/>
      <c r="DO833" s="4"/>
      <c r="DP833" s="4"/>
      <c r="DQ833" s="4"/>
      <c r="DR833" s="4"/>
      <c r="DS833" s="4"/>
    </row>
    <row r="834">
      <c r="A834" s="9">
        <f>IFERROR(__xludf.DUMMYFUNCTION("""COMPUTED_VALUE"""),45691.0)</f>
        <v>45691</v>
      </c>
      <c r="B834" s="6" t="str">
        <f>IFERROR(__xludf.DUMMYFUNCTION("""COMPUTED_VALUE"""),"Doctor Visit")</f>
        <v>Doctor Visit</v>
      </c>
      <c r="C834" s="7">
        <f>IFERROR(__xludf.DUMMYFUNCTION("""COMPUTED_VALUE"""),6500.0)</f>
        <v>6500</v>
      </c>
      <c r="D834" s="6" t="str">
        <f>IFERROR(__xludf.DUMMYFUNCTION("""COMPUTED_VALUE"""),"Healthcare")</f>
        <v>Healthcare</v>
      </c>
      <c r="E834" s="6" t="str">
        <f>IFERROR(__xludf.DUMMYFUNCTION("""COMPUTED_VALUE"""),"Virtual Wallet")</f>
        <v>Virtual Wallet</v>
      </c>
      <c r="F834" s="6" t="s">
        <v>15</v>
      </c>
      <c r="G834" s="8" t="str">
        <f t="shared" si="1"/>
        <v>202502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  <c r="CD834" s="4"/>
      <c r="CE834" s="4"/>
      <c r="CF834" s="4"/>
      <c r="CG834" s="4"/>
      <c r="CH834" s="4"/>
      <c r="CI834" s="4"/>
      <c r="CJ834" s="4"/>
      <c r="CK834" s="4"/>
      <c r="CL834" s="4"/>
      <c r="CM834" s="4"/>
      <c r="CN834" s="4"/>
      <c r="CO834" s="4"/>
      <c r="CP834" s="4"/>
      <c r="CQ834" s="4"/>
      <c r="CR834" s="4"/>
      <c r="CS834" s="4"/>
      <c r="CT834" s="4"/>
      <c r="CU834" s="4"/>
      <c r="CV834" s="4"/>
      <c r="CW834" s="4"/>
      <c r="CX834" s="4"/>
      <c r="CY834" s="4"/>
      <c r="CZ834" s="4"/>
      <c r="DA834" s="4"/>
      <c r="DB834" s="4"/>
      <c r="DC834" s="4"/>
      <c r="DD834" s="4"/>
      <c r="DE834" s="4"/>
      <c r="DF834" s="4"/>
      <c r="DG834" s="4"/>
      <c r="DH834" s="4"/>
      <c r="DI834" s="4"/>
      <c r="DJ834" s="4"/>
      <c r="DK834" s="4"/>
      <c r="DL834" s="4"/>
      <c r="DM834" s="4"/>
      <c r="DN834" s="4"/>
      <c r="DO834" s="4"/>
      <c r="DP834" s="4"/>
      <c r="DQ834" s="4"/>
      <c r="DR834" s="4"/>
      <c r="DS834" s="4"/>
    </row>
    <row r="835">
      <c r="A835" s="9">
        <f>IFERROR(__xludf.DUMMYFUNCTION("""COMPUTED_VALUE"""),45692.0)</f>
        <v>45692</v>
      </c>
      <c r="B835" s="6" t="str">
        <f>IFERROR(__xludf.DUMMYFUNCTION("""COMPUTED_VALUE"""),"Clothing")</f>
        <v>Clothing</v>
      </c>
      <c r="C835" s="7">
        <f>IFERROR(__xludf.DUMMYFUNCTION("""COMPUTED_VALUE"""),33993.0)</f>
        <v>33993</v>
      </c>
      <c r="D835" s="6" t="str">
        <f>IFERROR(__xludf.DUMMYFUNCTION("""COMPUTED_VALUE"""),"Clothing")</f>
        <v>Clothing</v>
      </c>
      <c r="E835" s="6" t="str">
        <f>IFERROR(__xludf.DUMMYFUNCTION("""COMPUTED_VALUE"""),"Credit Card")</f>
        <v>Credit Card</v>
      </c>
      <c r="F835" s="6" t="s">
        <v>10</v>
      </c>
      <c r="G835" s="8" t="str">
        <f t="shared" si="1"/>
        <v>202502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  <c r="CD835" s="4"/>
      <c r="CE835" s="4"/>
      <c r="CF835" s="4"/>
      <c r="CG835" s="4"/>
      <c r="CH835" s="4"/>
      <c r="CI835" s="4"/>
      <c r="CJ835" s="4"/>
      <c r="CK835" s="4"/>
      <c r="CL835" s="4"/>
      <c r="CM835" s="4"/>
      <c r="CN835" s="4"/>
      <c r="CO835" s="4"/>
      <c r="CP835" s="4"/>
      <c r="CQ835" s="4"/>
      <c r="CR835" s="4"/>
      <c r="CS835" s="4"/>
      <c r="CT835" s="4"/>
      <c r="CU835" s="4"/>
      <c r="CV835" s="4"/>
      <c r="CW835" s="4"/>
      <c r="CX835" s="4"/>
      <c r="CY835" s="4"/>
      <c r="CZ835" s="4"/>
      <c r="DA835" s="4"/>
      <c r="DB835" s="4"/>
      <c r="DC835" s="4"/>
      <c r="DD835" s="4"/>
      <c r="DE835" s="4"/>
      <c r="DF835" s="4"/>
      <c r="DG835" s="4"/>
      <c r="DH835" s="4"/>
      <c r="DI835" s="4"/>
      <c r="DJ835" s="4"/>
      <c r="DK835" s="4"/>
      <c r="DL835" s="4"/>
      <c r="DM835" s="4"/>
      <c r="DN835" s="4"/>
      <c r="DO835" s="4"/>
      <c r="DP835" s="4"/>
      <c r="DQ835" s="4"/>
      <c r="DR835" s="4"/>
      <c r="DS835" s="4"/>
    </row>
    <row r="836">
      <c r="A836" s="9">
        <f>IFERROR(__xludf.DUMMYFUNCTION("""COMPUTED_VALUE"""),45692.0)</f>
        <v>45692</v>
      </c>
      <c r="B836" s="6" t="str">
        <f>IFERROR(__xludf.DUMMYFUNCTION("""COMPUTED_VALUE"""),"Clothing")</f>
        <v>Clothing</v>
      </c>
      <c r="C836" s="7">
        <f>IFERROR(__xludf.DUMMYFUNCTION("""COMPUTED_VALUE"""),8666.0)</f>
        <v>8666</v>
      </c>
      <c r="D836" s="6" t="str">
        <f>IFERROR(__xludf.DUMMYFUNCTION("""COMPUTED_VALUE"""),"Clothing")</f>
        <v>Clothing</v>
      </c>
      <c r="E836" s="6" t="str">
        <f>IFERROR(__xludf.DUMMYFUNCTION("""COMPUTED_VALUE"""),"Credit Card")</f>
        <v>Credit Card</v>
      </c>
      <c r="F836" s="6" t="s">
        <v>10</v>
      </c>
      <c r="G836" s="8" t="str">
        <f t="shared" si="1"/>
        <v>202502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  <c r="CD836" s="4"/>
      <c r="CE836" s="4"/>
      <c r="CF836" s="4"/>
      <c r="CG836" s="4"/>
      <c r="CH836" s="4"/>
      <c r="CI836" s="4"/>
      <c r="CJ836" s="4"/>
      <c r="CK836" s="4"/>
      <c r="CL836" s="4"/>
      <c r="CM836" s="4"/>
      <c r="CN836" s="4"/>
      <c r="CO836" s="4"/>
      <c r="CP836" s="4"/>
      <c r="CQ836" s="4"/>
      <c r="CR836" s="4"/>
      <c r="CS836" s="4"/>
      <c r="CT836" s="4"/>
      <c r="CU836" s="4"/>
      <c r="CV836" s="4"/>
      <c r="CW836" s="4"/>
      <c r="CX836" s="4"/>
      <c r="CY836" s="4"/>
      <c r="CZ836" s="4"/>
      <c r="DA836" s="4"/>
      <c r="DB836" s="4"/>
      <c r="DC836" s="4"/>
      <c r="DD836" s="4"/>
      <c r="DE836" s="4"/>
      <c r="DF836" s="4"/>
      <c r="DG836" s="4"/>
      <c r="DH836" s="4"/>
      <c r="DI836" s="4"/>
      <c r="DJ836" s="4"/>
      <c r="DK836" s="4"/>
      <c r="DL836" s="4"/>
      <c r="DM836" s="4"/>
      <c r="DN836" s="4"/>
      <c r="DO836" s="4"/>
      <c r="DP836" s="4"/>
      <c r="DQ836" s="4"/>
      <c r="DR836" s="4"/>
      <c r="DS836" s="4"/>
    </row>
    <row r="837">
      <c r="A837" s="9">
        <f>IFERROR(__xludf.DUMMYFUNCTION("""COMPUTED_VALUE"""),45692.0)</f>
        <v>45692</v>
      </c>
      <c r="B837" s="6" t="str">
        <f>IFERROR(__xludf.DUMMYFUNCTION("""COMPUTED_VALUE"""),"Clothing")</f>
        <v>Clothing</v>
      </c>
      <c r="C837" s="7">
        <f>IFERROR(__xludf.DUMMYFUNCTION("""COMPUTED_VALUE"""),1700.0)</f>
        <v>1700</v>
      </c>
      <c r="D837" s="6" t="str">
        <f>IFERROR(__xludf.DUMMYFUNCTION("""COMPUTED_VALUE"""),"Clothing")</f>
        <v>Clothing</v>
      </c>
      <c r="E837" s="6" t="str">
        <f>IFERROR(__xludf.DUMMYFUNCTION("""COMPUTED_VALUE"""),"Credit Card")</f>
        <v>Credit Card</v>
      </c>
      <c r="F837" s="6" t="s">
        <v>10</v>
      </c>
      <c r="G837" s="8" t="str">
        <f t="shared" si="1"/>
        <v>202502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  <c r="CD837" s="4"/>
      <c r="CE837" s="4"/>
      <c r="CF837" s="4"/>
      <c r="CG837" s="4"/>
      <c r="CH837" s="4"/>
      <c r="CI837" s="4"/>
      <c r="CJ837" s="4"/>
      <c r="CK837" s="4"/>
      <c r="CL837" s="4"/>
      <c r="CM837" s="4"/>
      <c r="CN837" s="4"/>
      <c r="CO837" s="4"/>
      <c r="CP837" s="4"/>
      <c r="CQ837" s="4"/>
      <c r="CR837" s="4"/>
      <c r="CS837" s="4"/>
      <c r="CT837" s="4"/>
      <c r="CU837" s="4"/>
      <c r="CV837" s="4"/>
      <c r="CW837" s="4"/>
      <c r="CX837" s="4"/>
      <c r="CY837" s="4"/>
      <c r="CZ837" s="4"/>
      <c r="DA837" s="4"/>
      <c r="DB837" s="4"/>
      <c r="DC837" s="4"/>
      <c r="DD837" s="4"/>
      <c r="DE837" s="4"/>
      <c r="DF837" s="4"/>
      <c r="DG837" s="4"/>
      <c r="DH837" s="4"/>
      <c r="DI837" s="4"/>
      <c r="DJ837" s="4"/>
      <c r="DK837" s="4"/>
      <c r="DL837" s="4"/>
      <c r="DM837" s="4"/>
      <c r="DN837" s="4"/>
      <c r="DO837" s="4"/>
      <c r="DP837" s="4"/>
      <c r="DQ837" s="4"/>
      <c r="DR837" s="4"/>
      <c r="DS837" s="4"/>
    </row>
    <row r="838">
      <c r="A838" s="9">
        <f>IFERROR(__xludf.DUMMYFUNCTION("""COMPUTED_VALUE"""),45692.0)</f>
        <v>45692</v>
      </c>
      <c r="B838" s="6" t="str">
        <f>IFERROR(__xludf.DUMMYFUNCTION("""COMPUTED_VALUE"""),"Clothing")</f>
        <v>Clothing</v>
      </c>
      <c r="C838" s="7">
        <f>IFERROR(__xludf.DUMMYFUNCTION("""COMPUTED_VALUE"""),5300.0)</f>
        <v>5300</v>
      </c>
      <c r="D838" s="6" t="str">
        <f>IFERROR(__xludf.DUMMYFUNCTION("""COMPUTED_VALUE"""),"Clothing")</f>
        <v>Clothing</v>
      </c>
      <c r="E838" s="6" t="str">
        <f>IFERROR(__xludf.DUMMYFUNCTION("""COMPUTED_VALUE"""),"Credit Card")</f>
        <v>Credit Card</v>
      </c>
      <c r="F838" s="6" t="s">
        <v>10</v>
      </c>
      <c r="G838" s="8" t="str">
        <f t="shared" si="1"/>
        <v>202502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  <c r="CD838" s="4"/>
      <c r="CE838" s="4"/>
      <c r="CF838" s="4"/>
      <c r="CG838" s="4"/>
      <c r="CH838" s="4"/>
      <c r="CI838" s="4"/>
      <c r="CJ838" s="4"/>
      <c r="CK838" s="4"/>
      <c r="CL838" s="4"/>
      <c r="CM838" s="4"/>
      <c r="CN838" s="4"/>
      <c r="CO838" s="4"/>
      <c r="CP838" s="4"/>
      <c r="CQ838" s="4"/>
      <c r="CR838" s="4"/>
      <c r="CS838" s="4"/>
      <c r="CT838" s="4"/>
      <c r="CU838" s="4"/>
      <c r="CV838" s="4"/>
      <c r="CW838" s="4"/>
      <c r="CX838" s="4"/>
      <c r="CY838" s="4"/>
      <c r="CZ838" s="4"/>
      <c r="DA838" s="4"/>
      <c r="DB838" s="4"/>
      <c r="DC838" s="4"/>
      <c r="DD838" s="4"/>
      <c r="DE838" s="4"/>
      <c r="DF838" s="4"/>
      <c r="DG838" s="4"/>
      <c r="DH838" s="4"/>
      <c r="DI838" s="4"/>
      <c r="DJ838" s="4"/>
      <c r="DK838" s="4"/>
      <c r="DL838" s="4"/>
      <c r="DM838" s="4"/>
      <c r="DN838" s="4"/>
      <c r="DO838" s="4"/>
      <c r="DP838" s="4"/>
      <c r="DQ838" s="4"/>
      <c r="DR838" s="4"/>
      <c r="DS838" s="4"/>
    </row>
    <row r="839">
      <c r="A839" s="9">
        <f>IFERROR(__xludf.DUMMYFUNCTION("""COMPUTED_VALUE"""),45692.0)</f>
        <v>45692</v>
      </c>
      <c r="B839" s="6" t="str">
        <f>IFERROR(__xludf.DUMMYFUNCTION("""COMPUTED_VALUE"""),"Rent &amp; Building Expenses")</f>
        <v>Rent &amp; Building Expenses</v>
      </c>
      <c r="C839" s="7">
        <f>IFERROR(__xludf.DUMMYFUNCTION("""COMPUTED_VALUE"""),370000.0)</f>
        <v>370000</v>
      </c>
      <c r="D839" s="6" t="str">
        <f>IFERROR(__xludf.DUMMYFUNCTION("""COMPUTED_VALUE"""),"Rent &amp; Utilities")</f>
        <v>Rent &amp; Utilities</v>
      </c>
      <c r="E839" s="6" t="str">
        <f>IFERROR(__xludf.DUMMYFUNCTION("""COMPUTED_VALUE"""),"Virtual Wallet")</f>
        <v>Virtual Wallet</v>
      </c>
      <c r="F839" s="6" t="s">
        <v>13</v>
      </c>
      <c r="G839" s="8" t="str">
        <f t="shared" si="1"/>
        <v>202502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  <c r="CD839" s="4"/>
      <c r="CE839" s="4"/>
      <c r="CF839" s="4"/>
      <c r="CG839" s="4"/>
      <c r="CH839" s="4"/>
      <c r="CI839" s="4"/>
      <c r="CJ839" s="4"/>
      <c r="CK839" s="4"/>
      <c r="CL839" s="4"/>
      <c r="CM839" s="4"/>
      <c r="CN839" s="4"/>
      <c r="CO839" s="4"/>
      <c r="CP839" s="4"/>
      <c r="CQ839" s="4"/>
      <c r="CR839" s="4"/>
      <c r="CS839" s="4"/>
      <c r="CT839" s="4"/>
      <c r="CU839" s="4"/>
      <c r="CV839" s="4"/>
      <c r="CW839" s="4"/>
      <c r="CX839" s="4"/>
      <c r="CY839" s="4"/>
      <c r="CZ839" s="4"/>
      <c r="DA839" s="4"/>
      <c r="DB839" s="4"/>
      <c r="DC839" s="4"/>
      <c r="DD839" s="4"/>
      <c r="DE839" s="4"/>
      <c r="DF839" s="4"/>
      <c r="DG839" s="4"/>
      <c r="DH839" s="4"/>
      <c r="DI839" s="4"/>
      <c r="DJ839" s="4"/>
      <c r="DK839" s="4"/>
      <c r="DL839" s="4"/>
      <c r="DM839" s="4"/>
      <c r="DN839" s="4"/>
      <c r="DO839" s="4"/>
      <c r="DP839" s="4"/>
      <c r="DQ839" s="4"/>
      <c r="DR839" s="4"/>
      <c r="DS839" s="4"/>
    </row>
    <row r="840">
      <c r="A840" s="9">
        <f>IFERROR(__xludf.DUMMYFUNCTION("""COMPUTED_VALUE"""),45692.0)</f>
        <v>45692</v>
      </c>
      <c r="B840" s="6" t="str">
        <f>IFERROR(__xludf.DUMMYFUNCTION("""COMPUTED_VALUE"""),"Restaurant")</f>
        <v>Restaurant</v>
      </c>
      <c r="C840" s="7">
        <f>IFERROR(__xludf.DUMMYFUNCTION("""COMPUTED_VALUE"""),46.0)</f>
        <v>46</v>
      </c>
      <c r="D840" s="6" t="str">
        <f>IFERROR(__xludf.DUMMYFUNCTION("""COMPUTED_VALUE"""),"Restaurant / Café")</f>
        <v>Restaurant / Café</v>
      </c>
      <c r="E840" s="6" t="str">
        <f>IFERROR(__xludf.DUMMYFUNCTION("""COMPUTED_VALUE"""),"Virtual Wallet")</f>
        <v>Virtual Wallet</v>
      </c>
      <c r="F840" s="6" t="s">
        <v>14</v>
      </c>
      <c r="G840" s="8" t="str">
        <f t="shared" si="1"/>
        <v>202502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  <c r="CD840" s="4"/>
      <c r="CE840" s="4"/>
      <c r="CF840" s="4"/>
      <c r="CG840" s="4"/>
      <c r="CH840" s="4"/>
      <c r="CI840" s="4"/>
      <c r="CJ840" s="4"/>
      <c r="CK840" s="4"/>
      <c r="CL840" s="4"/>
      <c r="CM840" s="4"/>
      <c r="CN840" s="4"/>
      <c r="CO840" s="4"/>
      <c r="CP840" s="4"/>
      <c r="CQ840" s="4"/>
      <c r="CR840" s="4"/>
      <c r="CS840" s="4"/>
      <c r="CT840" s="4"/>
      <c r="CU840" s="4"/>
      <c r="CV840" s="4"/>
      <c r="CW840" s="4"/>
      <c r="CX840" s="4"/>
      <c r="CY840" s="4"/>
      <c r="CZ840" s="4"/>
      <c r="DA840" s="4"/>
      <c r="DB840" s="4"/>
      <c r="DC840" s="4"/>
      <c r="DD840" s="4"/>
      <c r="DE840" s="4"/>
      <c r="DF840" s="4"/>
      <c r="DG840" s="4"/>
      <c r="DH840" s="4"/>
      <c r="DI840" s="4"/>
      <c r="DJ840" s="4"/>
      <c r="DK840" s="4"/>
      <c r="DL840" s="4"/>
      <c r="DM840" s="4"/>
      <c r="DN840" s="4"/>
      <c r="DO840" s="4"/>
      <c r="DP840" s="4"/>
      <c r="DQ840" s="4"/>
      <c r="DR840" s="4"/>
      <c r="DS840" s="4"/>
    </row>
    <row r="841">
      <c r="A841" s="9">
        <f>IFERROR(__xludf.DUMMYFUNCTION("""COMPUTED_VALUE"""),45693.0)</f>
        <v>45693</v>
      </c>
      <c r="B841" s="6" t="str">
        <f>IFERROR(__xludf.DUMMYFUNCTION("""COMPUTED_VALUE"""),"Home Goods")</f>
        <v>Home Goods</v>
      </c>
      <c r="C841" s="7">
        <f>IFERROR(__xludf.DUMMYFUNCTION("""COMPUTED_VALUE"""),5500.0)</f>
        <v>5500</v>
      </c>
      <c r="D841" s="6" t="str">
        <f>IFERROR(__xludf.DUMMYFUNCTION("""COMPUTED_VALUE"""),"Home Goods &amp; Utilities")</f>
        <v>Home Goods &amp; Utilities</v>
      </c>
      <c r="E841" s="6" t="str">
        <f>IFERROR(__xludf.DUMMYFUNCTION("""COMPUTED_VALUE"""),"Split Payment")</f>
        <v>Split Payment</v>
      </c>
      <c r="F841" s="6" t="s">
        <v>8</v>
      </c>
      <c r="G841" s="8" t="str">
        <f t="shared" si="1"/>
        <v>202502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  <c r="CD841" s="4"/>
      <c r="CE841" s="4"/>
      <c r="CF841" s="4"/>
      <c r="CG841" s="4"/>
      <c r="CH841" s="4"/>
      <c r="CI841" s="4"/>
      <c r="CJ841" s="4"/>
      <c r="CK841" s="4"/>
      <c r="CL841" s="4"/>
      <c r="CM841" s="4"/>
      <c r="CN841" s="4"/>
      <c r="CO841" s="4"/>
      <c r="CP841" s="4"/>
      <c r="CQ841" s="4"/>
      <c r="CR841" s="4"/>
      <c r="CS841" s="4"/>
      <c r="CT841" s="4"/>
      <c r="CU841" s="4"/>
      <c r="CV841" s="4"/>
      <c r="CW841" s="4"/>
      <c r="CX841" s="4"/>
      <c r="CY841" s="4"/>
      <c r="CZ841" s="4"/>
      <c r="DA841" s="4"/>
      <c r="DB841" s="4"/>
      <c r="DC841" s="4"/>
      <c r="DD841" s="4"/>
      <c r="DE841" s="4"/>
      <c r="DF841" s="4"/>
      <c r="DG841" s="4"/>
      <c r="DH841" s="4"/>
      <c r="DI841" s="4"/>
      <c r="DJ841" s="4"/>
      <c r="DK841" s="4"/>
      <c r="DL841" s="4"/>
      <c r="DM841" s="4"/>
      <c r="DN841" s="4"/>
      <c r="DO841" s="4"/>
      <c r="DP841" s="4"/>
      <c r="DQ841" s="4"/>
      <c r="DR841" s="4"/>
      <c r="DS841" s="4"/>
    </row>
    <row r="842">
      <c r="A842" s="9">
        <f>IFERROR(__xludf.DUMMYFUNCTION("""COMPUTED_VALUE"""),45693.0)</f>
        <v>45693</v>
      </c>
      <c r="B842" s="6" t="str">
        <f>IFERROR(__xludf.DUMMYFUNCTION("""COMPUTED_VALUE"""),"Groceries")</f>
        <v>Groceries</v>
      </c>
      <c r="C842" s="7">
        <f>IFERROR(__xludf.DUMMYFUNCTION("""COMPUTED_VALUE"""),53.0)</f>
        <v>53</v>
      </c>
      <c r="D842" s="6" t="str">
        <f>IFERROR(__xludf.DUMMYFUNCTION("""COMPUTED_VALUE"""),"Lunch Out")</f>
        <v>Lunch Out</v>
      </c>
      <c r="E842" s="6" t="str">
        <f>IFERROR(__xludf.DUMMYFUNCTION("""COMPUTED_VALUE"""),"Virtual Wallet")</f>
        <v>Virtual Wallet</v>
      </c>
      <c r="F842" s="6" t="s">
        <v>14</v>
      </c>
      <c r="G842" s="8" t="str">
        <f t="shared" si="1"/>
        <v>202502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  <c r="CD842" s="4"/>
      <c r="CE842" s="4"/>
      <c r="CF842" s="4"/>
      <c r="CG842" s="4"/>
      <c r="CH842" s="4"/>
      <c r="CI842" s="4"/>
      <c r="CJ842" s="4"/>
      <c r="CK842" s="4"/>
      <c r="CL842" s="4"/>
      <c r="CM842" s="4"/>
      <c r="CN842" s="4"/>
      <c r="CO842" s="4"/>
      <c r="CP842" s="4"/>
      <c r="CQ842" s="4"/>
      <c r="CR842" s="4"/>
      <c r="CS842" s="4"/>
      <c r="CT842" s="4"/>
      <c r="CU842" s="4"/>
      <c r="CV842" s="4"/>
      <c r="CW842" s="4"/>
      <c r="CX842" s="4"/>
      <c r="CY842" s="4"/>
      <c r="CZ842" s="4"/>
      <c r="DA842" s="4"/>
      <c r="DB842" s="4"/>
      <c r="DC842" s="4"/>
      <c r="DD842" s="4"/>
      <c r="DE842" s="4"/>
      <c r="DF842" s="4"/>
      <c r="DG842" s="4"/>
      <c r="DH842" s="4"/>
      <c r="DI842" s="4"/>
      <c r="DJ842" s="4"/>
      <c r="DK842" s="4"/>
      <c r="DL842" s="4"/>
      <c r="DM842" s="4"/>
      <c r="DN842" s="4"/>
      <c r="DO842" s="4"/>
      <c r="DP842" s="4"/>
      <c r="DQ842" s="4"/>
      <c r="DR842" s="4"/>
      <c r="DS842" s="4"/>
    </row>
    <row r="843">
      <c r="A843" s="9">
        <f>IFERROR(__xludf.DUMMYFUNCTION("""COMPUTED_VALUE"""),45693.0)</f>
        <v>45693</v>
      </c>
      <c r="B843" s="6" t="str">
        <f>IFERROR(__xludf.DUMMYFUNCTION("""COMPUTED_VALUE"""),"Restaurant")</f>
        <v>Restaurant</v>
      </c>
      <c r="C843" s="7">
        <f>IFERROR(__xludf.DUMMYFUNCTION("""COMPUTED_VALUE"""),11879.0)</f>
        <v>11879</v>
      </c>
      <c r="D843" s="6" t="str">
        <f>IFERROR(__xludf.DUMMYFUNCTION("""COMPUTED_VALUE"""),"Restaurant / Café")</f>
        <v>Restaurant / Café</v>
      </c>
      <c r="E843" s="6" t="str">
        <f>IFERROR(__xludf.DUMMYFUNCTION("""COMPUTED_VALUE"""),"Credit Card")</f>
        <v>Credit Card</v>
      </c>
      <c r="F843" s="6" t="s">
        <v>14</v>
      </c>
      <c r="G843" s="8" t="str">
        <f t="shared" si="1"/>
        <v>202502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  <c r="CD843" s="4"/>
      <c r="CE843" s="4"/>
      <c r="CF843" s="4"/>
      <c r="CG843" s="4"/>
      <c r="CH843" s="4"/>
      <c r="CI843" s="4"/>
      <c r="CJ843" s="4"/>
      <c r="CK843" s="4"/>
      <c r="CL843" s="4"/>
      <c r="CM843" s="4"/>
      <c r="CN843" s="4"/>
      <c r="CO843" s="4"/>
      <c r="CP843" s="4"/>
      <c r="CQ843" s="4"/>
      <c r="CR843" s="4"/>
      <c r="CS843" s="4"/>
      <c r="CT843" s="4"/>
      <c r="CU843" s="4"/>
      <c r="CV843" s="4"/>
      <c r="CW843" s="4"/>
      <c r="CX843" s="4"/>
      <c r="CY843" s="4"/>
      <c r="CZ843" s="4"/>
      <c r="DA843" s="4"/>
      <c r="DB843" s="4"/>
      <c r="DC843" s="4"/>
      <c r="DD843" s="4"/>
      <c r="DE843" s="4"/>
      <c r="DF843" s="4"/>
      <c r="DG843" s="4"/>
      <c r="DH843" s="4"/>
      <c r="DI843" s="4"/>
      <c r="DJ843" s="4"/>
      <c r="DK843" s="4"/>
      <c r="DL843" s="4"/>
      <c r="DM843" s="4"/>
      <c r="DN843" s="4"/>
      <c r="DO843" s="4"/>
      <c r="DP843" s="4"/>
      <c r="DQ843" s="4"/>
      <c r="DR843" s="4"/>
      <c r="DS843" s="4"/>
    </row>
    <row r="844">
      <c r="A844" s="9">
        <f>IFERROR(__xludf.DUMMYFUNCTION("""COMPUTED_VALUE"""),45694.0)</f>
        <v>45694</v>
      </c>
      <c r="B844" s="6" t="str">
        <f>IFERROR(__xludf.DUMMYFUNCTION("""COMPUTED_VALUE"""),"Restaurant")</f>
        <v>Restaurant</v>
      </c>
      <c r="C844" s="7">
        <f>IFERROR(__xludf.DUMMYFUNCTION("""COMPUTED_VALUE"""),46.0)</f>
        <v>46</v>
      </c>
      <c r="D844" s="6" t="str">
        <f>IFERROR(__xludf.DUMMYFUNCTION("""COMPUTED_VALUE"""),"Restaurant / Café")</f>
        <v>Restaurant / Café</v>
      </c>
      <c r="E844" s="6" t="str">
        <f>IFERROR(__xludf.DUMMYFUNCTION("""COMPUTED_VALUE"""),"Virtual Wallet")</f>
        <v>Virtual Wallet</v>
      </c>
      <c r="F844" s="6" t="s">
        <v>14</v>
      </c>
      <c r="G844" s="8" t="str">
        <f t="shared" si="1"/>
        <v>202502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  <c r="CD844" s="4"/>
      <c r="CE844" s="4"/>
      <c r="CF844" s="4"/>
      <c r="CG844" s="4"/>
      <c r="CH844" s="4"/>
      <c r="CI844" s="4"/>
      <c r="CJ844" s="4"/>
      <c r="CK844" s="4"/>
      <c r="CL844" s="4"/>
      <c r="CM844" s="4"/>
      <c r="CN844" s="4"/>
      <c r="CO844" s="4"/>
      <c r="CP844" s="4"/>
      <c r="CQ844" s="4"/>
      <c r="CR844" s="4"/>
      <c r="CS844" s="4"/>
      <c r="CT844" s="4"/>
      <c r="CU844" s="4"/>
      <c r="CV844" s="4"/>
      <c r="CW844" s="4"/>
      <c r="CX844" s="4"/>
      <c r="CY844" s="4"/>
      <c r="CZ844" s="4"/>
      <c r="DA844" s="4"/>
      <c r="DB844" s="4"/>
      <c r="DC844" s="4"/>
      <c r="DD844" s="4"/>
      <c r="DE844" s="4"/>
      <c r="DF844" s="4"/>
      <c r="DG844" s="4"/>
      <c r="DH844" s="4"/>
      <c r="DI844" s="4"/>
      <c r="DJ844" s="4"/>
      <c r="DK844" s="4"/>
      <c r="DL844" s="4"/>
      <c r="DM844" s="4"/>
      <c r="DN844" s="4"/>
      <c r="DO844" s="4"/>
      <c r="DP844" s="4"/>
      <c r="DQ844" s="4"/>
      <c r="DR844" s="4"/>
      <c r="DS844" s="4"/>
    </row>
    <row r="845">
      <c r="A845" s="9">
        <f>IFERROR(__xludf.DUMMYFUNCTION("""COMPUTED_VALUE"""),45694.0)</f>
        <v>45694</v>
      </c>
      <c r="B845" s="6" t="str">
        <f>IFERROR(__xludf.DUMMYFUNCTION("""COMPUTED_VALUE"""),"Sports")</f>
        <v>Sports</v>
      </c>
      <c r="C845" s="7">
        <f>IFERROR(__xludf.DUMMYFUNCTION("""COMPUTED_VALUE"""),69000.0)</f>
        <v>69000</v>
      </c>
      <c r="D845" s="6" t="str">
        <f>IFERROR(__xludf.DUMMYFUNCTION("""COMPUTED_VALUE"""),"Sports")</f>
        <v>Sports</v>
      </c>
      <c r="E845" s="6" t="str">
        <f>IFERROR(__xludf.DUMMYFUNCTION("""COMPUTED_VALUE"""),"Cash")</f>
        <v>Cash</v>
      </c>
      <c r="F845" s="6" t="s">
        <v>12</v>
      </c>
      <c r="G845" s="8" t="str">
        <f t="shared" si="1"/>
        <v>202502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  <c r="CD845" s="4"/>
      <c r="CE845" s="4"/>
      <c r="CF845" s="4"/>
      <c r="CG845" s="4"/>
      <c r="CH845" s="4"/>
      <c r="CI845" s="4"/>
      <c r="CJ845" s="4"/>
      <c r="CK845" s="4"/>
      <c r="CL845" s="4"/>
      <c r="CM845" s="4"/>
      <c r="CN845" s="4"/>
      <c r="CO845" s="4"/>
      <c r="CP845" s="4"/>
      <c r="CQ845" s="4"/>
      <c r="CR845" s="4"/>
      <c r="CS845" s="4"/>
      <c r="CT845" s="4"/>
      <c r="CU845" s="4"/>
      <c r="CV845" s="4"/>
      <c r="CW845" s="4"/>
      <c r="CX845" s="4"/>
      <c r="CY845" s="4"/>
      <c r="CZ845" s="4"/>
      <c r="DA845" s="4"/>
      <c r="DB845" s="4"/>
      <c r="DC845" s="4"/>
      <c r="DD845" s="4"/>
      <c r="DE845" s="4"/>
      <c r="DF845" s="4"/>
      <c r="DG845" s="4"/>
      <c r="DH845" s="4"/>
      <c r="DI845" s="4"/>
      <c r="DJ845" s="4"/>
      <c r="DK845" s="4"/>
      <c r="DL845" s="4"/>
      <c r="DM845" s="4"/>
      <c r="DN845" s="4"/>
      <c r="DO845" s="4"/>
      <c r="DP845" s="4"/>
      <c r="DQ845" s="4"/>
      <c r="DR845" s="4"/>
      <c r="DS845" s="4"/>
    </row>
    <row r="846">
      <c r="A846" s="9">
        <f>IFERROR(__xludf.DUMMYFUNCTION("""COMPUTED_VALUE"""),45694.0)</f>
        <v>45694</v>
      </c>
      <c r="B846" s="6" t="str">
        <f>IFERROR(__xludf.DUMMYFUNCTION("""COMPUTED_VALUE"""),"Streaming Services")</f>
        <v>Streaming Services</v>
      </c>
      <c r="C846" s="7">
        <f>IFERROR(__xludf.DUMMYFUNCTION("""COMPUTED_VALUE"""),5435.0)</f>
        <v>5435</v>
      </c>
      <c r="D846" s="6" t="str">
        <f>IFERROR(__xludf.DUMMYFUNCTION("""COMPUTED_VALUE"""),"Basic Services")</f>
        <v>Basic Services</v>
      </c>
      <c r="E846" s="6" t="str">
        <f>IFERROR(__xludf.DUMMYFUNCTION("""COMPUTED_VALUE"""),"Credit Card")</f>
        <v>Credit Card</v>
      </c>
      <c r="F846" s="6" t="s">
        <v>13</v>
      </c>
      <c r="G846" s="8" t="str">
        <f t="shared" si="1"/>
        <v>202502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  <c r="CD846" s="4"/>
      <c r="CE846" s="4"/>
      <c r="CF846" s="4"/>
      <c r="CG846" s="4"/>
      <c r="CH846" s="4"/>
      <c r="CI846" s="4"/>
      <c r="CJ846" s="4"/>
      <c r="CK846" s="4"/>
      <c r="CL846" s="4"/>
      <c r="CM846" s="4"/>
      <c r="CN846" s="4"/>
      <c r="CO846" s="4"/>
      <c r="CP846" s="4"/>
      <c r="CQ846" s="4"/>
      <c r="CR846" s="4"/>
      <c r="CS846" s="4"/>
      <c r="CT846" s="4"/>
      <c r="CU846" s="4"/>
      <c r="CV846" s="4"/>
      <c r="CW846" s="4"/>
      <c r="CX846" s="4"/>
      <c r="CY846" s="4"/>
      <c r="CZ846" s="4"/>
      <c r="DA846" s="4"/>
      <c r="DB846" s="4"/>
      <c r="DC846" s="4"/>
      <c r="DD846" s="4"/>
      <c r="DE846" s="4"/>
      <c r="DF846" s="4"/>
      <c r="DG846" s="4"/>
      <c r="DH846" s="4"/>
      <c r="DI846" s="4"/>
      <c r="DJ846" s="4"/>
      <c r="DK846" s="4"/>
      <c r="DL846" s="4"/>
      <c r="DM846" s="4"/>
      <c r="DN846" s="4"/>
      <c r="DO846" s="4"/>
      <c r="DP846" s="4"/>
      <c r="DQ846" s="4"/>
      <c r="DR846" s="4"/>
      <c r="DS846" s="4"/>
    </row>
    <row r="847">
      <c r="A847" s="9">
        <f>IFERROR(__xludf.DUMMYFUNCTION("""COMPUTED_VALUE"""),45694.0)</f>
        <v>45694</v>
      </c>
      <c r="B847" s="6" t="str">
        <f>IFERROR(__xludf.DUMMYFUNCTION("""COMPUTED_VALUE"""),"Streaming Services")</f>
        <v>Streaming Services</v>
      </c>
      <c r="C847" s="7">
        <f>IFERROR(__xludf.DUMMYFUNCTION("""COMPUTED_VALUE"""),5435.0)</f>
        <v>5435</v>
      </c>
      <c r="D847" s="6" t="str">
        <f>IFERROR(__xludf.DUMMYFUNCTION("""COMPUTED_VALUE"""),"Streaming Services")</f>
        <v>Streaming Services</v>
      </c>
      <c r="E847" s="6" t="str">
        <f>IFERROR(__xludf.DUMMYFUNCTION("""COMPUTED_VALUE"""),"Credit Card")</f>
        <v>Credit Card</v>
      </c>
      <c r="F847" s="6" t="s">
        <v>12</v>
      </c>
      <c r="G847" s="8" t="str">
        <f t="shared" si="1"/>
        <v>202502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  <c r="CD847" s="4"/>
      <c r="CE847" s="4"/>
      <c r="CF847" s="4"/>
      <c r="CG847" s="4"/>
      <c r="CH847" s="4"/>
      <c r="CI847" s="4"/>
      <c r="CJ847" s="4"/>
      <c r="CK847" s="4"/>
      <c r="CL847" s="4"/>
      <c r="CM847" s="4"/>
      <c r="CN847" s="4"/>
      <c r="CO847" s="4"/>
      <c r="CP847" s="4"/>
      <c r="CQ847" s="4"/>
      <c r="CR847" s="4"/>
      <c r="CS847" s="4"/>
      <c r="CT847" s="4"/>
      <c r="CU847" s="4"/>
      <c r="CV847" s="4"/>
      <c r="CW847" s="4"/>
      <c r="CX847" s="4"/>
      <c r="CY847" s="4"/>
      <c r="CZ847" s="4"/>
      <c r="DA847" s="4"/>
      <c r="DB847" s="4"/>
      <c r="DC847" s="4"/>
      <c r="DD847" s="4"/>
      <c r="DE847" s="4"/>
      <c r="DF847" s="4"/>
      <c r="DG847" s="4"/>
      <c r="DH847" s="4"/>
      <c r="DI847" s="4"/>
      <c r="DJ847" s="4"/>
      <c r="DK847" s="4"/>
      <c r="DL847" s="4"/>
      <c r="DM847" s="4"/>
      <c r="DN847" s="4"/>
      <c r="DO847" s="4"/>
      <c r="DP847" s="4"/>
      <c r="DQ847" s="4"/>
      <c r="DR847" s="4"/>
      <c r="DS847" s="4"/>
    </row>
    <row r="848">
      <c r="A848" s="9">
        <f>IFERROR(__xludf.DUMMYFUNCTION("""COMPUTED_VALUE"""),45695.0)</f>
        <v>45695</v>
      </c>
      <c r="B848" s="6" t="str">
        <f>IFERROR(__xludf.DUMMYFUNCTION("""COMPUTED_VALUE"""),"Groceries")</f>
        <v>Groceries</v>
      </c>
      <c r="C848" s="7">
        <f>IFERROR(__xludf.DUMMYFUNCTION("""COMPUTED_VALUE"""),5880.0)</f>
        <v>5880</v>
      </c>
      <c r="D848" s="6" t="str">
        <f>IFERROR(__xludf.DUMMYFUNCTION("""COMPUTED_VALUE"""),"Lunch Out")</f>
        <v>Lunch Out</v>
      </c>
      <c r="E848" s="6" t="str">
        <f>IFERROR(__xludf.DUMMYFUNCTION("""COMPUTED_VALUE"""),"Virtual Wallet")</f>
        <v>Virtual Wallet</v>
      </c>
      <c r="F848" s="6" t="s">
        <v>14</v>
      </c>
      <c r="G848" s="8" t="str">
        <f t="shared" si="1"/>
        <v>202502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  <c r="CD848" s="4"/>
      <c r="CE848" s="4"/>
      <c r="CF848" s="4"/>
      <c r="CG848" s="4"/>
      <c r="CH848" s="4"/>
      <c r="CI848" s="4"/>
      <c r="CJ848" s="4"/>
      <c r="CK848" s="4"/>
      <c r="CL848" s="4"/>
      <c r="CM848" s="4"/>
      <c r="CN848" s="4"/>
      <c r="CO848" s="4"/>
      <c r="CP848" s="4"/>
      <c r="CQ848" s="4"/>
      <c r="CR848" s="4"/>
      <c r="CS848" s="4"/>
      <c r="CT848" s="4"/>
      <c r="CU848" s="4"/>
      <c r="CV848" s="4"/>
      <c r="CW848" s="4"/>
      <c r="CX848" s="4"/>
      <c r="CY848" s="4"/>
      <c r="CZ848" s="4"/>
      <c r="DA848" s="4"/>
      <c r="DB848" s="4"/>
      <c r="DC848" s="4"/>
      <c r="DD848" s="4"/>
      <c r="DE848" s="4"/>
      <c r="DF848" s="4"/>
      <c r="DG848" s="4"/>
      <c r="DH848" s="4"/>
      <c r="DI848" s="4"/>
      <c r="DJ848" s="4"/>
      <c r="DK848" s="4"/>
      <c r="DL848" s="4"/>
      <c r="DM848" s="4"/>
      <c r="DN848" s="4"/>
      <c r="DO848" s="4"/>
      <c r="DP848" s="4"/>
      <c r="DQ848" s="4"/>
      <c r="DR848" s="4"/>
      <c r="DS848" s="4"/>
    </row>
    <row r="849">
      <c r="A849" s="9">
        <f>IFERROR(__xludf.DUMMYFUNCTION("""COMPUTED_VALUE"""),45695.0)</f>
        <v>45695</v>
      </c>
      <c r="B849" s="6" t="str">
        <f>IFERROR(__xludf.DUMMYFUNCTION("""COMPUTED_VALUE"""),"Restaurant")</f>
        <v>Restaurant</v>
      </c>
      <c r="C849" s="7">
        <f>IFERROR(__xludf.DUMMYFUNCTION("""COMPUTED_VALUE"""),6900.0)</f>
        <v>6900</v>
      </c>
      <c r="D849" s="6" t="str">
        <f>IFERROR(__xludf.DUMMYFUNCTION("""COMPUTED_VALUE"""),"Restaurant / Café")</f>
        <v>Restaurant / Café</v>
      </c>
      <c r="E849" s="6" t="str">
        <f>IFERROR(__xludf.DUMMYFUNCTION("""COMPUTED_VALUE"""),"Virtual Wallet")</f>
        <v>Virtual Wallet</v>
      </c>
      <c r="F849" s="6" t="s">
        <v>14</v>
      </c>
      <c r="G849" s="8" t="str">
        <f t="shared" si="1"/>
        <v>202502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  <c r="CD849" s="4"/>
      <c r="CE849" s="4"/>
      <c r="CF849" s="4"/>
      <c r="CG849" s="4"/>
      <c r="CH849" s="4"/>
      <c r="CI849" s="4"/>
      <c r="CJ849" s="4"/>
      <c r="CK849" s="4"/>
      <c r="CL849" s="4"/>
      <c r="CM849" s="4"/>
      <c r="CN849" s="4"/>
      <c r="CO849" s="4"/>
      <c r="CP849" s="4"/>
      <c r="CQ849" s="4"/>
      <c r="CR849" s="4"/>
      <c r="CS849" s="4"/>
      <c r="CT849" s="4"/>
      <c r="CU849" s="4"/>
      <c r="CV849" s="4"/>
      <c r="CW849" s="4"/>
      <c r="CX849" s="4"/>
      <c r="CY849" s="4"/>
      <c r="CZ849" s="4"/>
      <c r="DA849" s="4"/>
      <c r="DB849" s="4"/>
      <c r="DC849" s="4"/>
      <c r="DD849" s="4"/>
      <c r="DE849" s="4"/>
      <c r="DF849" s="4"/>
      <c r="DG849" s="4"/>
      <c r="DH849" s="4"/>
      <c r="DI849" s="4"/>
      <c r="DJ849" s="4"/>
      <c r="DK849" s="4"/>
      <c r="DL849" s="4"/>
      <c r="DM849" s="4"/>
      <c r="DN849" s="4"/>
      <c r="DO849" s="4"/>
      <c r="DP849" s="4"/>
      <c r="DQ849" s="4"/>
      <c r="DR849" s="4"/>
      <c r="DS849" s="4"/>
    </row>
    <row r="850">
      <c r="A850" s="9">
        <f>IFERROR(__xludf.DUMMYFUNCTION("""COMPUTED_VALUE"""),45695.0)</f>
        <v>45695</v>
      </c>
      <c r="B850" s="6" t="str">
        <f>IFERROR(__xludf.DUMMYFUNCTION("""COMPUTED_VALUE"""),"Restaurant")</f>
        <v>Restaurant</v>
      </c>
      <c r="C850" s="7">
        <f>IFERROR(__xludf.DUMMYFUNCTION("""COMPUTED_VALUE"""),6335.0)</f>
        <v>6335</v>
      </c>
      <c r="D850" s="6" t="str">
        <f>IFERROR(__xludf.DUMMYFUNCTION("""COMPUTED_VALUE"""),"Restaurant / Café")</f>
        <v>Restaurant / Café</v>
      </c>
      <c r="E850" s="6" t="str">
        <f>IFERROR(__xludf.DUMMYFUNCTION("""COMPUTED_VALUE"""),"Split Payment")</f>
        <v>Split Payment</v>
      </c>
      <c r="F850" s="6" t="s">
        <v>14</v>
      </c>
      <c r="G850" s="8" t="str">
        <f t="shared" si="1"/>
        <v>202502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  <c r="CD850" s="4"/>
      <c r="CE850" s="4"/>
      <c r="CF850" s="4"/>
      <c r="CG850" s="4"/>
      <c r="CH850" s="4"/>
      <c r="CI850" s="4"/>
      <c r="CJ850" s="4"/>
      <c r="CK850" s="4"/>
      <c r="CL850" s="4"/>
      <c r="CM850" s="4"/>
      <c r="CN850" s="4"/>
      <c r="CO850" s="4"/>
      <c r="CP850" s="4"/>
      <c r="CQ850" s="4"/>
      <c r="CR850" s="4"/>
      <c r="CS850" s="4"/>
      <c r="CT850" s="4"/>
      <c r="CU850" s="4"/>
      <c r="CV850" s="4"/>
      <c r="CW850" s="4"/>
      <c r="CX850" s="4"/>
      <c r="CY850" s="4"/>
      <c r="CZ850" s="4"/>
      <c r="DA850" s="4"/>
      <c r="DB850" s="4"/>
      <c r="DC850" s="4"/>
      <c r="DD850" s="4"/>
      <c r="DE850" s="4"/>
      <c r="DF850" s="4"/>
      <c r="DG850" s="4"/>
      <c r="DH850" s="4"/>
      <c r="DI850" s="4"/>
      <c r="DJ850" s="4"/>
      <c r="DK850" s="4"/>
      <c r="DL850" s="4"/>
      <c r="DM850" s="4"/>
      <c r="DN850" s="4"/>
      <c r="DO850" s="4"/>
      <c r="DP850" s="4"/>
      <c r="DQ850" s="4"/>
      <c r="DR850" s="4"/>
      <c r="DS850" s="4"/>
    </row>
    <row r="851">
      <c r="A851" s="9">
        <f>IFERROR(__xludf.DUMMYFUNCTION("""COMPUTED_VALUE"""),45696.0)</f>
        <v>45696</v>
      </c>
      <c r="B851" s="6" t="str">
        <f>IFERROR(__xludf.DUMMYFUNCTION("""COMPUTED_VALUE"""),"Gift")</f>
        <v>Gift</v>
      </c>
      <c r="C851" s="7">
        <f>IFERROR(__xludf.DUMMYFUNCTION("""COMPUTED_VALUE"""),2000.0)</f>
        <v>2000</v>
      </c>
      <c r="D851" s="6" t="str">
        <f>IFERROR(__xludf.DUMMYFUNCTION("""COMPUTED_VALUE"""),"Recreation")</f>
        <v>Recreation</v>
      </c>
      <c r="E851" s="6" t="str">
        <f>IFERROR(__xludf.DUMMYFUNCTION("""COMPUTED_VALUE"""),"Virtual Wallet")</f>
        <v>Virtual Wallet</v>
      </c>
      <c r="F851" s="6" t="s">
        <v>12</v>
      </c>
      <c r="G851" s="8" t="str">
        <f t="shared" si="1"/>
        <v>202502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  <c r="CD851" s="4"/>
      <c r="CE851" s="4"/>
      <c r="CF851" s="4"/>
      <c r="CG851" s="4"/>
      <c r="CH851" s="4"/>
      <c r="CI851" s="4"/>
      <c r="CJ851" s="4"/>
      <c r="CK851" s="4"/>
      <c r="CL851" s="4"/>
      <c r="CM851" s="4"/>
      <c r="CN851" s="4"/>
      <c r="CO851" s="4"/>
      <c r="CP851" s="4"/>
      <c r="CQ851" s="4"/>
      <c r="CR851" s="4"/>
      <c r="CS851" s="4"/>
      <c r="CT851" s="4"/>
      <c r="CU851" s="4"/>
      <c r="CV851" s="4"/>
      <c r="CW851" s="4"/>
      <c r="CX851" s="4"/>
      <c r="CY851" s="4"/>
      <c r="CZ851" s="4"/>
      <c r="DA851" s="4"/>
      <c r="DB851" s="4"/>
      <c r="DC851" s="4"/>
      <c r="DD851" s="4"/>
      <c r="DE851" s="4"/>
      <c r="DF851" s="4"/>
      <c r="DG851" s="4"/>
      <c r="DH851" s="4"/>
      <c r="DI851" s="4"/>
      <c r="DJ851" s="4"/>
      <c r="DK851" s="4"/>
      <c r="DL851" s="4"/>
      <c r="DM851" s="4"/>
      <c r="DN851" s="4"/>
      <c r="DO851" s="4"/>
      <c r="DP851" s="4"/>
      <c r="DQ851" s="4"/>
      <c r="DR851" s="4"/>
      <c r="DS851" s="4"/>
    </row>
    <row r="852">
      <c r="A852" s="9">
        <f>IFERROR(__xludf.DUMMYFUNCTION("""COMPUTED_VALUE"""),45696.0)</f>
        <v>45696</v>
      </c>
      <c r="B852" s="6" t="str">
        <f>IFERROR(__xludf.DUMMYFUNCTION("""COMPUTED_VALUE"""),"Groceries")</f>
        <v>Groceries</v>
      </c>
      <c r="C852" s="7">
        <f>IFERROR(__xludf.DUMMYFUNCTION("""COMPUTED_VALUE"""),126.0)</f>
        <v>126</v>
      </c>
      <c r="D852" s="6" t="str">
        <f>IFERROR(__xludf.DUMMYFUNCTION("""COMPUTED_VALUE"""),"Recreation")</f>
        <v>Recreation</v>
      </c>
      <c r="E852" s="6" t="str">
        <f>IFERROR(__xludf.DUMMYFUNCTION("""COMPUTED_VALUE"""),"Virtual Wallet")</f>
        <v>Virtual Wallet</v>
      </c>
      <c r="F852" s="6" t="s">
        <v>12</v>
      </c>
      <c r="G852" s="8" t="str">
        <f t="shared" si="1"/>
        <v>202502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  <c r="CD852" s="4"/>
      <c r="CE852" s="4"/>
      <c r="CF852" s="4"/>
      <c r="CG852" s="4"/>
      <c r="CH852" s="4"/>
      <c r="CI852" s="4"/>
      <c r="CJ852" s="4"/>
      <c r="CK852" s="4"/>
      <c r="CL852" s="4"/>
      <c r="CM852" s="4"/>
      <c r="CN852" s="4"/>
      <c r="CO852" s="4"/>
      <c r="CP852" s="4"/>
      <c r="CQ852" s="4"/>
      <c r="CR852" s="4"/>
      <c r="CS852" s="4"/>
      <c r="CT852" s="4"/>
      <c r="CU852" s="4"/>
      <c r="CV852" s="4"/>
      <c r="CW852" s="4"/>
      <c r="CX852" s="4"/>
      <c r="CY852" s="4"/>
      <c r="CZ852" s="4"/>
      <c r="DA852" s="4"/>
      <c r="DB852" s="4"/>
      <c r="DC852" s="4"/>
      <c r="DD852" s="4"/>
      <c r="DE852" s="4"/>
      <c r="DF852" s="4"/>
      <c r="DG852" s="4"/>
      <c r="DH852" s="4"/>
      <c r="DI852" s="4"/>
      <c r="DJ852" s="4"/>
      <c r="DK852" s="4"/>
      <c r="DL852" s="4"/>
      <c r="DM852" s="4"/>
      <c r="DN852" s="4"/>
      <c r="DO852" s="4"/>
      <c r="DP852" s="4"/>
      <c r="DQ852" s="4"/>
      <c r="DR852" s="4"/>
      <c r="DS852" s="4"/>
    </row>
    <row r="853">
      <c r="A853" s="9">
        <f>IFERROR(__xludf.DUMMYFUNCTION("""COMPUTED_VALUE"""),45696.0)</f>
        <v>45696</v>
      </c>
      <c r="B853" s="6" t="str">
        <f>IFERROR(__xludf.DUMMYFUNCTION("""COMPUTED_VALUE"""),"Groceries")</f>
        <v>Groceries</v>
      </c>
      <c r="C853" s="7">
        <f>IFERROR(__xludf.DUMMYFUNCTION("""COMPUTED_VALUE"""),23500.0)</f>
        <v>23500</v>
      </c>
      <c r="D853" s="6" t="str">
        <f>IFERROR(__xludf.DUMMYFUNCTION("""COMPUTED_VALUE"""),"Recreation")</f>
        <v>Recreation</v>
      </c>
      <c r="E853" s="6" t="str">
        <f>IFERROR(__xludf.DUMMYFUNCTION("""COMPUTED_VALUE"""),"Virtual Wallet")</f>
        <v>Virtual Wallet</v>
      </c>
      <c r="F853" s="6" t="s">
        <v>12</v>
      </c>
      <c r="G853" s="8" t="str">
        <f t="shared" si="1"/>
        <v>202502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  <c r="CD853" s="4"/>
      <c r="CE853" s="4"/>
      <c r="CF853" s="4"/>
      <c r="CG853" s="4"/>
      <c r="CH853" s="4"/>
      <c r="CI853" s="4"/>
      <c r="CJ853" s="4"/>
      <c r="CK853" s="4"/>
      <c r="CL853" s="4"/>
      <c r="CM853" s="4"/>
      <c r="CN853" s="4"/>
      <c r="CO853" s="4"/>
      <c r="CP853" s="4"/>
      <c r="CQ853" s="4"/>
      <c r="CR853" s="4"/>
      <c r="CS853" s="4"/>
      <c r="CT853" s="4"/>
      <c r="CU853" s="4"/>
      <c r="CV853" s="4"/>
      <c r="CW853" s="4"/>
      <c r="CX853" s="4"/>
      <c r="CY853" s="4"/>
      <c r="CZ853" s="4"/>
      <c r="DA853" s="4"/>
      <c r="DB853" s="4"/>
      <c r="DC853" s="4"/>
      <c r="DD853" s="4"/>
      <c r="DE853" s="4"/>
      <c r="DF853" s="4"/>
      <c r="DG853" s="4"/>
      <c r="DH853" s="4"/>
      <c r="DI853" s="4"/>
      <c r="DJ853" s="4"/>
      <c r="DK853" s="4"/>
      <c r="DL853" s="4"/>
      <c r="DM853" s="4"/>
      <c r="DN853" s="4"/>
      <c r="DO853" s="4"/>
      <c r="DP853" s="4"/>
      <c r="DQ853" s="4"/>
      <c r="DR853" s="4"/>
      <c r="DS853" s="4"/>
    </row>
    <row r="854">
      <c r="A854" s="9">
        <f>IFERROR(__xludf.DUMMYFUNCTION("""COMPUTED_VALUE"""),45696.0)</f>
        <v>45696</v>
      </c>
      <c r="B854" s="6" t="str">
        <f>IFERROR(__xludf.DUMMYFUNCTION("""COMPUTED_VALUE"""),"Recreation")</f>
        <v>Recreation</v>
      </c>
      <c r="C854" s="7">
        <f>IFERROR(__xludf.DUMMYFUNCTION("""COMPUTED_VALUE"""),44610.0)</f>
        <v>44610</v>
      </c>
      <c r="D854" s="6" t="str">
        <f>IFERROR(__xludf.DUMMYFUNCTION("""COMPUTED_VALUE"""),"Recreation")</f>
        <v>Recreation</v>
      </c>
      <c r="E854" s="6" t="str">
        <f>IFERROR(__xludf.DUMMYFUNCTION("""COMPUTED_VALUE"""),"Credit Card")</f>
        <v>Credit Card</v>
      </c>
      <c r="F854" s="6" t="s">
        <v>12</v>
      </c>
      <c r="G854" s="8" t="str">
        <f t="shared" si="1"/>
        <v>202502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  <c r="CD854" s="4"/>
      <c r="CE854" s="4"/>
      <c r="CF854" s="4"/>
      <c r="CG854" s="4"/>
      <c r="CH854" s="4"/>
      <c r="CI854" s="4"/>
      <c r="CJ854" s="4"/>
      <c r="CK854" s="4"/>
      <c r="CL854" s="4"/>
      <c r="CM854" s="4"/>
      <c r="CN854" s="4"/>
      <c r="CO854" s="4"/>
      <c r="CP854" s="4"/>
      <c r="CQ854" s="4"/>
      <c r="CR854" s="4"/>
      <c r="CS854" s="4"/>
      <c r="CT854" s="4"/>
      <c r="CU854" s="4"/>
      <c r="CV854" s="4"/>
      <c r="CW854" s="4"/>
      <c r="CX854" s="4"/>
      <c r="CY854" s="4"/>
      <c r="CZ854" s="4"/>
      <c r="DA854" s="4"/>
      <c r="DB854" s="4"/>
      <c r="DC854" s="4"/>
      <c r="DD854" s="4"/>
      <c r="DE854" s="4"/>
      <c r="DF854" s="4"/>
      <c r="DG854" s="4"/>
      <c r="DH854" s="4"/>
      <c r="DI854" s="4"/>
      <c r="DJ854" s="4"/>
      <c r="DK854" s="4"/>
      <c r="DL854" s="4"/>
      <c r="DM854" s="4"/>
      <c r="DN854" s="4"/>
      <c r="DO854" s="4"/>
      <c r="DP854" s="4"/>
      <c r="DQ854" s="4"/>
      <c r="DR854" s="4"/>
      <c r="DS854" s="4"/>
    </row>
    <row r="855">
      <c r="A855" s="9">
        <f>IFERROR(__xludf.DUMMYFUNCTION("""COMPUTED_VALUE"""),45696.0)</f>
        <v>45696</v>
      </c>
      <c r="B855" s="6" t="str">
        <f>IFERROR(__xludf.DUMMYFUNCTION("""COMPUTED_VALUE"""),"Restaurant")</f>
        <v>Restaurant</v>
      </c>
      <c r="C855" s="7">
        <f>IFERROR(__xludf.DUMMYFUNCTION("""COMPUTED_VALUE"""),20930.0)</f>
        <v>20930</v>
      </c>
      <c r="D855" s="6" t="str">
        <f>IFERROR(__xludf.DUMMYFUNCTION("""COMPUTED_VALUE"""),"Recreation")</f>
        <v>Recreation</v>
      </c>
      <c r="E855" s="6" t="str">
        <f>IFERROR(__xludf.DUMMYFUNCTION("""COMPUTED_VALUE"""),"Virtual Wallet")</f>
        <v>Virtual Wallet</v>
      </c>
      <c r="F855" s="6" t="s">
        <v>12</v>
      </c>
      <c r="G855" s="8" t="str">
        <f t="shared" si="1"/>
        <v>202502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  <c r="CD855" s="4"/>
      <c r="CE855" s="4"/>
      <c r="CF855" s="4"/>
      <c r="CG855" s="4"/>
      <c r="CH855" s="4"/>
      <c r="CI855" s="4"/>
      <c r="CJ855" s="4"/>
      <c r="CK855" s="4"/>
      <c r="CL855" s="4"/>
      <c r="CM855" s="4"/>
      <c r="CN855" s="4"/>
      <c r="CO855" s="4"/>
      <c r="CP855" s="4"/>
      <c r="CQ855" s="4"/>
      <c r="CR855" s="4"/>
      <c r="CS855" s="4"/>
      <c r="CT855" s="4"/>
      <c r="CU855" s="4"/>
      <c r="CV855" s="4"/>
      <c r="CW855" s="4"/>
      <c r="CX855" s="4"/>
      <c r="CY855" s="4"/>
      <c r="CZ855" s="4"/>
      <c r="DA855" s="4"/>
      <c r="DB855" s="4"/>
      <c r="DC855" s="4"/>
      <c r="DD855" s="4"/>
      <c r="DE855" s="4"/>
      <c r="DF855" s="4"/>
      <c r="DG855" s="4"/>
      <c r="DH855" s="4"/>
      <c r="DI855" s="4"/>
      <c r="DJ855" s="4"/>
      <c r="DK855" s="4"/>
      <c r="DL855" s="4"/>
      <c r="DM855" s="4"/>
      <c r="DN855" s="4"/>
      <c r="DO855" s="4"/>
      <c r="DP855" s="4"/>
      <c r="DQ855" s="4"/>
      <c r="DR855" s="4"/>
      <c r="DS855" s="4"/>
    </row>
    <row r="856">
      <c r="A856" s="9">
        <f>IFERROR(__xludf.DUMMYFUNCTION("""COMPUTED_VALUE"""),45697.0)</f>
        <v>45697</v>
      </c>
      <c r="B856" s="6" t="str">
        <f>IFERROR(__xludf.DUMMYFUNCTION("""COMPUTED_VALUE"""),"Groceries")</f>
        <v>Groceries</v>
      </c>
      <c r="C856" s="7">
        <f>IFERROR(__xludf.DUMMYFUNCTION("""COMPUTED_VALUE"""),9600.0)</f>
        <v>9600</v>
      </c>
      <c r="D856" s="6" t="str">
        <f>IFERROR(__xludf.DUMMYFUNCTION("""COMPUTED_VALUE"""),"Groceries")</f>
        <v>Groceries</v>
      </c>
      <c r="E856" s="6" t="str">
        <f>IFERROR(__xludf.DUMMYFUNCTION("""COMPUTED_VALUE"""),"Virtual Wallet")</f>
        <v>Virtual Wallet</v>
      </c>
      <c r="F856" s="6" t="s">
        <v>7</v>
      </c>
      <c r="G856" s="8" t="str">
        <f t="shared" si="1"/>
        <v>202502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  <c r="CD856" s="4"/>
      <c r="CE856" s="4"/>
      <c r="CF856" s="4"/>
      <c r="CG856" s="4"/>
      <c r="CH856" s="4"/>
      <c r="CI856" s="4"/>
      <c r="CJ856" s="4"/>
      <c r="CK856" s="4"/>
      <c r="CL856" s="4"/>
      <c r="CM856" s="4"/>
      <c r="CN856" s="4"/>
      <c r="CO856" s="4"/>
      <c r="CP856" s="4"/>
      <c r="CQ856" s="4"/>
      <c r="CR856" s="4"/>
      <c r="CS856" s="4"/>
      <c r="CT856" s="4"/>
      <c r="CU856" s="4"/>
      <c r="CV856" s="4"/>
      <c r="CW856" s="4"/>
      <c r="CX856" s="4"/>
      <c r="CY856" s="4"/>
      <c r="CZ856" s="4"/>
      <c r="DA856" s="4"/>
      <c r="DB856" s="4"/>
      <c r="DC856" s="4"/>
      <c r="DD856" s="4"/>
      <c r="DE856" s="4"/>
      <c r="DF856" s="4"/>
      <c r="DG856" s="4"/>
      <c r="DH856" s="4"/>
      <c r="DI856" s="4"/>
      <c r="DJ856" s="4"/>
      <c r="DK856" s="4"/>
      <c r="DL856" s="4"/>
      <c r="DM856" s="4"/>
      <c r="DN856" s="4"/>
      <c r="DO856" s="4"/>
      <c r="DP856" s="4"/>
      <c r="DQ856" s="4"/>
      <c r="DR856" s="4"/>
      <c r="DS856" s="4"/>
    </row>
    <row r="857">
      <c r="A857" s="9">
        <f>IFERROR(__xludf.DUMMYFUNCTION("""COMPUTED_VALUE"""),45697.0)</f>
        <v>45697</v>
      </c>
      <c r="B857" s="6" t="str">
        <f>IFERROR(__xludf.DUMMYFUNCTION("""COMPUTED_VALUE"""),"Groceries")</f>
        <v>Groceries</v>
      </c>
      <c r="C857" s="7">
        <f>IFERROR(__xludf.DUMMYFUNCTION("""COMPUTED_VALUE"""),8330.0)</f>
        <v>8330</v>
      </c>
      <c r="D857" s="6" t="str">
        <f>IFERROR(__xludf.DUMMYFUNCTION("""COMPUTED_VALUE"""),"Recreation")</f>
        <v>Recreation</v>
      </c>
      <c r="E857" s="6" t="str">
        <f>IFERROR(__xludf.DUMMYFUNCTION("""COMPUTED_VALUE"""),"Virtual Wallet")</f>
        <v>Virtual Wallet</v>
      </c>
      <c r="F857" s="6" t="s">
        <v>12</v>
      </c>
      <c r="G857" s="8" t="str">
        <f t="shared" si="1"/>
        <v>202502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  <c r="CD857" s="4"/>
      <c r="CE857" s="4"/>
      <c r="CF857" s="4"/>
      <c r="CG857" s="4"/>
      <c r="CH857" s="4"/>
      <c r="CI857" s="4"/>
      <c r="CJ857" s="4"/>
      <c r="CK857" s="4"/>
      <c r="CL857" s="4"/>
      <c r="CM857" s="4"/>
      <c r="CN857" s="4"/>
      <c r="CO857" s="4"/>
      <c r="CP857" s="4"/>
      <c r="CQ857" s="4"/>
      <c r="CR857" s="4"/>
      <c r="CS857" s="4"/>
      <c r="CT857" s="4"/>
      <c r="CU857" s="4"/>
      <c r="CV857" s="4"/>
      <c r="CW857" s="4"/>
      <c r="CX857" s="4"/>
      <c r="CY857" s="4"/>
      <c r="CZ857" s="4"/>
      <c r="DA857" s="4"/>
      <c r="DB857" s="4"/>
      <c r="DC857" s="4"/>
      <c r="DD857" s="4"/>
      <c r="DE857" s="4"/>
      <c r="DF857" s="4"/>
      <c r="DG857" s="4"/>
      <c r="DH857" s="4"/>
      <c r="DI857" s="4"/>
      <c r="DJ857" s="4"/>
      <c r="DK857" s="4"/>
      <c r="DL857" s="4"/>
      <c r="DM857" s="4"/>
      <c r="DN857" s="4"/>
      <c r="DO857" s="4"/>
      <c r="DP857" s="4"/>
      <c r="DQ857" s="4"/>
      <c r="DR857" s="4"/>
      <c r="DS857" s="4"/>
    </row>
    <row r="858">
      <c r="A858" s="9">
        <f>IFERROR(__xludf.DUMMYFUNCTION("""COMPUTED_VALUE"""),45697.0)</f>
        <v>45697</v>
      </c>
      <c r="B858" s="6" t="str">
        <f>IFERROR(__xludf.DUMMYFUNCTION("""COMPUTED_VALUE"""),"Streaming Services")</f>
        <v>Streaming Services</v>
      </c>
      <c r="C858" s="7">
        <f>IFERROR(__xludf.DUMMYFUNCTION("""COMPUTED_VALUE"""),2491.0)</f>
        <v>2491</v>
      </c>
      <c r="D858" s="6" t="str">
        <f>IFERROR(__xludf.DUMMYFUNCTION("""COMPUTED_VALUE"""),"Basic Services")</f>
        <v>Basic Services</v>
      </c>
      <c r="E858" s="6" t="str">
        <f>IFERROR(__xludf.DUMMYFUNCTION("""COMPUTED_VALUE"""),"Credit Card")</f>
        <v>Credit Card</v>
      </c>
      <c r="F858" s="6" t="s">
        <v>13</v>
      </c>
      <c r="G858" s="8" t="str">
        <f t="shared" si="1"/>
        <v>202502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  <c r="CD858" s="4"/>
      <c r="CE858" s="4"/>
      <c r="CF858" s="4"/>
      <c r="CG858" s="4"/>
      <c r="CH858" s="4"/>
      <c r="CI858" s="4"/>
      <c r="CJ858" s="4"/>
      <c r="CK858" s="4"/>
      <c r="CL858" s="4"/>
      <c r="CM858" s="4"/>
      <c r="CN858" s="4"/>
      <c r="CO858" s="4"/>
      <c r="CP858" s="4"/>
      <c r="CQ858" s="4"/>
      <c r="CR858" s="4"/>
      <c r="CS858" s="4"/>
      <c r="CT858" s="4"/>
      <c r="CU858" s="4"/>
      <c r="CV858" s="4"/>
      <c r="CW858" s="4"/>
      <c r="CX858" s="4"/>
      <c r="CY858" s="4"/>
      <c r="CZ858" s="4"/>
      <c r="DA858" s="4"/>
      <c r="DB858" s="4"/>
      <c r="DC858" s="4"/>
      <c r="DD858" s="4"/>
      <c r="DE858" s="4"/>
      <c r="DF858" s="4"/>
      <c r="DG858" s="4"/>
      <c r="DH858" s="4"/>
      <c r="DI858" s="4"/>
      <c r="DJ858" s="4"/>
      <c r="DK858" s="4"/>
      <c r="DL858" s="4"/>
      <c r="DM858" s="4"/>
      <c r="DN858" s="4"/>
      <c r="DO858" s="4"/>
      <c r="DP858" s="4"/>
      <c r="DQ858" s="4"/>
      <c r="DR858" s="4"/>
      <c r="DS858" s="4"/>
    </row>
    <row r="859">
      <c r="A859" s="9">
        <f>IFERROR(__xludf.DUMMYFUNCTION("""COMPUTED_VALUE"""),45698.0)</f>
        <v>45698</v>
      </c>
      <c r="B859" s="6" t="str">
        <f>IFERROR(__xludf.DUMMYFUNCTION("""COMPUTED_VALUE"""),"Clothing")</f>
        <v>Clothing</v>
      </c>
      <c r="C859" s="7">
        <f>IFERROR(__xludf.DUMMYFUNCTION("""COMPUTED_VALUE"""),19651.0)</f>
        <v>19651</v>
      </c>
      <c r="D859" s="6" t="str">
        <f>IFERROR(__xludf.DUMMYFUNCTION("""COMPUTED_VALUE"""),"Clothing")</f>
        <v>Clothing</v>
      </c>
      <c r="E859" s="6" t="str">
        <f>IFERROR(__xludf.DUMMYFUNCTION("""COMPUTED_VALUE"""),"Credit Card")</f>
        <v>Credit Card</v>
      </c>
      <c r="F859" s="6" t="s">
        <v>10</v>
      </c>
      <c r="G859" s="8" t="str">
        <f t="shared" si="1"/>
        <v>202502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  <c r="CD859" s="4"/>
      <c r="CE859" s="4"/>
      <c r="CF859" s="4"/>
      <c r="CG859" s="4"/>
      <c r="CH859" s="4"/>
      <c r="CI859" s="4"/>
      <c r="CJ859" s="4"/>
      <c r="CK859" s="4"/>
      <c r="CL859" s="4"/>
      <c r="CM859" s="4"/>
      <c r="CN859" s="4"/>
      <c r="CO859" s="4"/>
      <c r="CP859" s="4"/>
      <c r="CQ859" s="4"/>
      <c r="CR859" s="4"/>
      <c r="CS859" s="4"/>
      <c r="CT859" s="4"/>
      <c r="CU859" s="4"/>
      <c r="CV859" s="4"/>
      <c r="CW859" s="4"/>
      <c r="CX859" s="4"/>
      <c r="CY859" s="4"/>
      <c r="CZ859" s="4"/>
      <c r="DA859" s="4"/>
      <c r="DB859" s="4"/>
      <c r="DC859" s="4"/>
      <c r="DD859" s="4"/>
      <c r="DE859" s="4"/>
      <c r="DF859" s="4"/>
      <c r="DG859" s="4"/>
      <c r="DH859" s="4"/>
      <c r="DI859" s="4"/>
      <c r="DJ859" s="4"/>
      <c r="DK859" s="4"/>
      <c r="DL859" s="4"/>
      <c r="DM859" s="4"/>
      <c r="DN859" s="4"/>
      <c r="DO859" s="4"/>
      <c r="DP859" s="4"/>
      <c r="DQ859" s="4"/>
      <c r="DR859" s="4"/>
      <c r="DS859" s="4"/>
    </row>
    <row r="860">
      <c r="A860" s="9">
        <f>IFERROR(__xludf.DUMMYFUNCTION("""COMPUTED_VALUE"""),45698.0)</f>
        <v>45698</v>
      </c>
      <c r="B860" s="6" t="str">
        <f>IFERROR(__xludf.DUMMYFUNCTION("""COMPUTED_VALUE"""),"Education")</f>
        <v>Education</v>
      </c>
      <c r="C860" s="7">
        <f>IFERROR(__xludf.DUMMYFUNCTION("""COMPUTED_VALUE"""),7247.0)</f>
        <v>7247</v>
      </c>
      <c r="D860" s="6" t="str">
        <f>IFERROR(__xludf.DUMMYFUNCTION("""COMPUTED_VALUE"""),"Education")</f>
        <v>Education</v>
      </c>
      <c r="E860" s="6" t="str">
        <f>IFERROR(__xludf.DUMMYFUNCTION("""COMPUTED_VALUE"""),"Virtual Wallet")</f>
        <v>Virtual Wallet</v>
      </c>
      <c r="F860" s="6" t="s">
        <v>11</v>
      </c>
      <c r="G860" s="8" t="str">
        <f t="shared" si="1"/>
        <v>202502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  <c r="CD860" s="4"/>
      <c r="CE860" s="4"/>
      <c r="CF860" s="4"/>
      <c r="CG860" s="4"/>
      <c r="CH860" s="4"/>
      <c r="CI860" s="4"/>
      <c r="CJ860" s="4"/>
      <c r="CK860" s="4"/>
      <c r="CL860" s="4"/>
      <c r="CM860" s="4"/>
      <c r="CN860" s="4"/>
      <c r="CO860" s="4"/>
      <c r="CP860" s="4"/>
      <c r="CQ860" s="4"/>
      <c r="CR860" s="4"/>
      <c r="CS860" s="4"/>
      <c r="CT860" s="4"/>
      <c r="CU860" s="4"/>
      <c r="CV860" s="4"/>
      <c r="CW860" s="4"/>
      <c r="CX860" s="4"/>
      <c r="CY860" s="4"/>
      <c r="CZ860" s="4"/>
      <c r="DA860" s="4"/>
      <c r="DB860" s="4"/>
      <c r="DC860" s="4"/>
      <c r="DD860" s="4"/>
      <c r="DE860" s="4"/>
      <c r="DF860" s="4"/>
      <c r="DG860" s="4"/>
      <c r="DH860" s="4"/>
      <c r="DI860" s="4"/>
      <c r="DJ860" s="4"/>
      <c r="DK860" s="4"/>
      <c r="DL860" s="4"/>
      <c r="DM860" s="4"/>
      <c r="DN860" s="4"/>
      <c r="DO860" s="4"/>
      <c r="DP860" s="4"/>
      <c r="DQ860" s="4"/>
      <c r="DR860" s="4"/>
      <c r="DS860" s="4"/>
    </row>
    <row r="861">
      <c r="A861" s="9">
        <f>IFERROR(__xludf.DUMMYFUNCTION("""COMPUTED_VALUE"""),45699.0)</f>
        <v>45699</v>
      </c>
      <c r="B861" s="6" t="str">
        <f>IFERROR(__xludf.DUMMYFUNCTION("""COMPUTED_VALUE"""),"Gift")</f>
        <v>Gift</v>
      </c>
      <c r="C861" s="7">
        <f>IFERROR(__xludf.DUMMYFUNCTION("""COMPUTED_VALUE"""),6033.0)</f>
        <v>6033</v>
      </c>
      <c r="D861" s="6" t="str">
        <f>IFERROR(__xludf.DUMMYFUNCTION("""COMPUTED_VALUE"""),"Gifts")</f>
        <v>Gifts</v>
      </c>
      <c r="E861" s="6" t="str">
        <f>IFERROR(__xludf.DUMMYFUNCTION("""COMPUTED_VALUE"""),"Credit Card")</f>
        <v>Credit Card</v>
      </c>
      <c r="F861" s="6"/>
      <c r="G861" s="8" t="str">
        <f t="shared" si="1"/>
        <v>202502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  <c r="CD861" s="4"/>
      <c r="CE861" s="4"/>
      <c r="CF861" s="4"/>
      <c r="CG861" s="4"/>
      <c r="CH861" s="4"/>
      <c r="CI861" s="4"/>
      <c r="CJ861" s="4"/>
      <c r="CK861" s="4"/>
      <c r="CL861" s="4"/>
      <c r="CM861" s="4"/>
      <c r="CN861" s="4"/>
      <c r="CO861" s="4"/>
      <c r="CP861" s="4"/>
      <c r="CQ861" s="4"/>
      <c r="CR861" s="4"/>
      <c r="CS861" s="4"/>
      <c r="CT861" s="4"/>
      <c r="CU861" s="4"/>
      <c r="CV861" s="4"/>
      <c r="CW861" s="4"/>
      <c r="CX861" s="4"/>
      <c r="CY861" s="4"/>
      <c r="CZ861" s="4"/>
      <c r="DA861" s="4"/>
      <c r="DB861" s="4"/>
      <c r="DC861" s="4"/>
      <c r="DD861" s="4"/>
      <c r="DE861" s="4"/>
      <c r="DF861" s="4"/>
      <c r="DG861" s="4"/>
      <c r="DH861" s="4"/>
      <c r="DI861" s="4"/>
      <c r="DJ861" s="4"/>
      <c r="DK861" s="4"/>
      <c r="DL861" s="4"/>
      <c r="DM861" s="4"/>
      <c r="DN861" s="4"/>
      <c r="DO861" s="4"/>
      <c r="DP861" s="4"/>
      <c r="DQ861" s="4"/>
      <c r="DR861" s="4"/>
      <c r="DS861" s="4"/>
    </row>
    <row r="862">
      <c r="A862" s="9">
        <f>IFERROR(__xludf.DUMMYFUNCTION("""COMPUTED_VALUE"""),45699.0)</f>
        <v>45699</v>
      </c>
      <c r="B862" s="6" t="str">
        <f>IFERROR(__xludf.DUMMYFUNCTION("""COMPUTED_VALUE"""),"Pets")</f>
        <v>Pets</v>
      </c>
      <c r="C862" s="7">
        <f>IFERROR(__xludf.DUMMYFUNCTION("""COMPUTED_VALUE"""),40000.0)</f>
        <v>40000</v>
      </c>
      <c r="D862" s="6" t="str">
        <f>IFERROR(__xludf.DUMMYFUNCTION("""COMPUTED_VALUE"""),"Pets")</f>
        <v>Pets</v>
      </c>
      <c r="E862" s="6" t="str">
        <f>IFERROR(__xludf.DUMMYFUNCTION("""COMPUTED_VALUE"""),"Split Payment")</f>
        <v>Split Payment</v>
      </c>
      <c r="F862" s="6" t="s">
        <v>7</v>
      </c>
      <c r="G862" s="8" t="str">
        <f t="shared" si="1"/>
        <v>202502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  <c r="CD862" s="4"/>
      <c r="CE862" s="4"/>
      <c r="CF862" s="4"/>
      <c r="CG862" s="4"/>
      <c r="CH862" s="4"/>
      <c r="CI862" s="4"/>
      <c r="CJ862" s="4"/>
      <c r="CK862" s="4"/>
      <c r="CL862" s="4"/>
      <c r="CM862" s="4"/>
      <c r="CN862" s="4"/>
      <c r="CO862" s="4"/>
      <c r="CP862" s="4"/>
      <c r="CQ862" s="4"/>
      <c r="CR862" s="4"/>
      <c r="CS862" s="4"/>
      <c r="CT862" s="4"/>
      <c r="CU862" s="4"/>
      <c r="CV862" s="4"/>
      <c r="CW862" s="4"/>
      <c r="CX862" s="4"/>
      <c r="CY862" s="4"/>
      <c r="CZ862" s="4"/>
      <c r="DA862" s="4"/>
      <c r="DB862" s="4"/>
      <c r="DC862" s="4"/>
      <c r="DD862" s="4"/>
      <c r="DE862" s="4"/>
      <c r="DF862" s="4"/>
      <c r="DG862" s="4"/>
      <c r="DH862" s="4"/>
      <c r="DI862" s="4"/>
      <c r="DJ862" s="4"/>
      <c r="DK862" s="4"/>
      <c r="DL862" s="4"/>
      <c r="DM862" s="4"/>
      <c r="DN862" s="4"/>
      <c r="DO862" s="4"/>
      <c r="DP862" s="4"/>
      <c r="DQ862" s="4"/>
      <c r="DR862" s="4"/>
      <c r="DS862" s="4"/>
    </row>
    <row r="863">
      <c r="A863" s="9">
        <f>IFERROR(__xludf.DUMMYFUNCTION("""COMPUTED_VALUE"""),45699.0)</f>
        <v>45699</v>
      </c>
      <c r="B863" s="6" t="str">
        <f>IFERROR(__xludf.DUMMYFUNCTION("""COMPUTED_VALUE"""),"Pets")</f>
        <v>Pets</v>
      </c>
      <c r="C863" s="7">
        <f>IFERROR(__xludf.DUMMYFUNCTION("""COMPUTED_VALUE"""),18155.0)</f>
        <v>18155</v>
      </c>
      <c r="D863" s="6" t="str">
        <f>IFERROR(__xludf.DUMMYFUNCTION("""COMPUTED_VALUE"""),"Pets")</f>
        <v>Pets</v>
      </c>
      <c r="E863" s="6" t="str">
        <f>IFERROR(__xludf.DUMMYFUNCTION("""COMPUTED_VALUE"""),"Credit Card")</f>
        <v>Credit Card</v>
      </c>
      <c r="F863" s="6" t="s">
        <v>7</v>
      </c>
      <c r="G863" s="8" t="str">
        <f t="shared" si="1"/>
        <v>202502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  <c r="CD863" s="4"/>
      <c r="CE863" s="4"/>
      <c r="CF863" s="4"/>
      <c r="CG863" s="4"/>
      <c r="CH863" s="4"/>
      <c r="CI863" s="4"/>
      <c r="CJ863" s="4"/>
      <c r="CK863" s="4"/>
      <c r="CL863" s="4"/>
      <c r="CM863" s="4"/>
      <c r="CN863" s="4"/>
      <c r="CO863" s="4"/>
      <c r="CP863" s="4"/>
      <c r="CQ863" s="4"/>
      <c r="CR863" s="4"/>
      <c r="CS863" s="4"/>
      <c r="CT863" s="4"/>
      <c r="CU863" s="4"/>
      <c r="CV863" s="4"/>
      <c r="CW863" s="4"/>
      <c r="CX863" s="4"/>
      <c r="CY863" s="4"/>
      <c r="CZ863" s="4"/>
      <c r="DA863" s="4"/>
      <c r="DB863" s="4"/>
      <c r="DC863" s="4"/>
      <c r="DD863" s="4"/>
      <c r="DE863" s="4"/>
      <c r="DF863" s="4"/>
      <c r="DG863" s="4"/>
      <c r="DH863" s="4"/>
      <c r="DI863" s="4"/>
      <c r="DJ863" s="4"/>
      <c r="DK863" s="4"/>
      <c r="DL863" s="4"/>
      <c r="DM863" s="4"/>
      <c r="DN863" s="4"/>
      <c r="DO863" s="4"/>
      <c r="DP863" s="4"/>
      <c r="DQ863" s="4"/>
      <c r="DR863" s="4"/>
      <c r="DS863" s="4"/>
    </row>
    <row r="864">
      <c r="A864" s="9">
        <f>IFERROR(__xludf.DUMMYFUNCTION("""COMPUTED_VALUE"""),45700.0)</f>
        <v>45700</v>
      </c>
      <c r="B864" s="6" t="str">
        <f>IFERROR(__xludf.DUMMYFUNCTION("""COMPUTED_VALUE"""),"Home Goods")</f>
        <v>Home Goods</v>
      </c>
      <c r="C864" s="7">
        <f>IFERROR(__xludf.DUMMYFUNCTION("""COMPUTED_VALUE"""),5850.0)</f>
        <v>5850</v>
      </c>
      <c r="D864" s="6" t="str">
        <f>IFERROR(__xludf.DUMMYFUNCTION("""COMPUTED_VALUE"""),"Groceries")</f>
        <v>Groceries</v>
      </c>
      <c r="E864" s="6" t="str">
        <f>IFERROR(__xludf.DUMMYFUNCTION("""COMPUTED_VALUE"""),"Debit Card")</f>
        <v>Debit Card</v>
      </c>
      <c r="F864" s="6" t="s">
        <v>7</v>
      </c>
      <c r="G864" s="8" t="str">
        <f t="shared" si="1"/>
        <v>202502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  <c r="CD864" s="4"/>
      <c r="CE864" s="4"/>
      <c r="CF864" s="4"/>
      <c r="CG864" s="4"/>
      <c r="CH864" s="4"/>
      <c r="CI864" s="4"/>
      <c r="CJ864" s="4"/>
      <c r="CK864" s="4"/>
      <c r="CL864" s="4"/>
      <c r="CM864" s="4"/>
      <c r="CN864" s="4"/>
      <c r="CO864" s="4"/>
      <c r="CP864" s="4"/>
      <c r="CQ864" s="4"/>
      <c r="CR864" s="4"/>
      <c r="CS864" s="4"/>
      <c r="CT864" s="4"/>
      <c r="CU864" s="4"/>
      <c r="CV864" s="4"/>
      <c r="CW864" s="4"/>
      <c r="CX864" s="4"/>
      <c r="CY864" s="4"/>
      <c r="CZ864" s="4"/>
      <c r="DA864" s="4"/>
      <c r="DB864" s="4"/>
      <c r="DC864" s="4"/>
      <c r="DD864" s="4"/>
      <c r="DE864" s="4"/>
      <c r="DF864" s="4"/>
      <c r="DG864" s="4"/>
      <c r="DH864" s="4"/>
      <c r="DI864" s="4"/>
      <c r="DJ864" s="4"/>
      <c r="DK864" s="4"/>
      <c r="DL864" s="4"/>
      <c r="DM864" s="4"/>
      <c r="DN864" s="4"/>
      <c r="DO864" s="4"/>
      <c r="DP864" s="4"/>
      <c r="DQ864" s="4"/>
      <c r="DR864" s="4"/>
      <c r="DS864" s="4"/>
    </row>
    <row r="865">
      <c r="A865" s="9">
        <f>IFERROR(__xludf.DUMMYFUNCTION("""COMPUTED_VALUE"""),45700.0)</f>
        <v>45700</v>
      </c>
      <c r="B865" s="6" t="str">
        <f>IFERROR(__xludf.DUMMYFUNCTION("""COMPUTED_VALUE"""),"Pharmacy")</f>
        <v>Pharmacy</v>
      </c>
      <c r="C865" s="7">
        <f>IFERROR(__xludf.DUMMYFUNCTION("""COMPUTED_VALUE"""),30000.0)</f>
        <v>30000</v>
      </c>
      <c r="D865" s="6" t="str">
        <f>IFERROR(__xludf.DUMMYFUNCTION("""COMPUTED_VALUE"""),"Healthcare")</f>
        <v>Healthcare</v>
      </c>
      <c r="E865" s="6" t="str">
        <f>IFERROR(__xludf.DUMMYFUNCTION("""COMPUTED_VALUE"""),"Debit Card")</f>
        <v>Debit Card</v>
      </c>
      <c r="F865" s="6" t="s">
        <v>15</v>
      </c>
      <c r="G865" s="8" t="str">
        <f t="shared" si="1"/>
        <v>202502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  <c r="CD865" s="4"/>
      <c r="CE865" s="4"/>
      <c r="CF865" s="4"/>
      <c r="CG865" s="4"/>
      <c r="CH865" s="4"/>
      <c r="CI865" s="4"/>
      <c r="CJ865" s="4"/>
      <c r="CK865" s="4"/>
      <c r="CL865" s="4"/>
      <c r="CM865" s="4"/>
      <c r="CN865" s="4"/>
      <c r="CO865" s="4"/>
      <c r="CP865" s="4"/>
      <c r="CQ865" s="4"/>
      <c r="CR865" s="4"/>
      <c r="CS865" s="4"/>
      <c r="CT865" s="4"/>
      <c r="CU865" s="4"/>
      <c r="CV865" s="4"/>
      <c r="CW865" s="4"/>
      <c r="CX865" s="4"/>
      <c r="CY865" s="4"/>
      <c r="CZ865" s="4"/>
      <c r="DA865" s="4"/>
      <c r="DB865" s="4"/>
      <c r="DC865" s="4"/>
      <c r="DD865" s="4"/>
      <c r="DE865" s="4"/>
      <c r="DF865" s="4"/>
      <c r="DG865" s="4"/>
      <c r="DH865" s="4"/>
      <c r="DI865" s="4"/>
      <c r="DJ865" s="4"/>
      <c r="DK865" s="4"/>
      <c r="DL865" s="4"/>
      <c r="DM865" s="4"/>
      <c r="DN865" s="4"/>
      <c r="DO865" s="4"/>
      <c r="DP865" s="4"/>
      <c r="DQ865" s="4"/>
      <c r="DR865" s="4"/>
      <c r="DS865" s="4"/>
    </row>
    <row r="866">
      <c r="A866" s="9">
        <f>IFERROR(__xludf.DUMMYFUNCTION("""COMPUTED_VALUE"""),45700.0)</f>
        <v>45700</v>
      </c>
      <c r="B866" s="6" t="str">
        <f>IFERROR(__xludf.DUMMYFUNCTION("""COMPUTED_VALUE"""),"Pharmacy")</f>
        <v>Pharmacy</v>
      </c>
      <c r="C866" s="7">
        <f>IFERROR(__xludf.DUMMYFUNCTION("""COMPUTED_VALUE"""),2500.0)</f>
        <v>2500</v>
      </c>
      <c r="D866" s="6" t="str">
        <f>IFERROR(__xludf.DUMMYFUNCTION("""COMPUTED_VALUE"""),"Healthcare")</f>
        <v>Healthcare</v>
      </c>
      <c r="E866" s="6" t="str">
        <f>IFERROR(__xludf.DUMMYFUNCTION("""COMPUTED_VALUE"""),"Debit Card")</f>
        <v>Debit Card</v>
      </c>
      <c r="F866" s="6" t="s">
        <v>15</v>
      </c>
      <c r="G866" s="8" t="str">
        <f t="shared" si="1"/>
        <v>202502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  <c r="CD866" s="4"/>
      <c r="CE866" s="4"/>
      <c r="CF866" s="4"/>
      <c r="CG866" s="4"/>
      <c r="CH866" s="4"/>
      <c r="CI866" s="4"/>
      <c r="CJ866" s="4"/>
      <c r="CK866" s="4"/>
      <c r="CL866" s="4"/>
      <c r="CM866" s="4"/>
      <c r="CN866" s="4"/>
      <c r="CO866" s="4"/>
      <c r="CP866" s="4"/>
      <c r="CQ866" s="4"/>
      <c r="CR866" s="4"/>
      <c r="CS866" s="4"/>
      <c r="CT866" s="4"/>
      <c r="CU866" s="4"/>
      <c r="CV866" s="4"/>
      <c r="CW866" s="4"/>
      <c r="CX866" s="4"/>
      <c r="CY866" s="4"/>
      <c r="CZ866" s="4"/>
      <c r="DA866" s="4"/>
      <c r="DB866" s="4"/>
      <c r="DC866" s="4"/>
      <c r="DD866" s="4"/>
      <c r="DE866" s="4"/>
      <c r="DF866" s="4"/>
      <c r="DG866" s="4"/>
      <c r="DH866" s="4"/>
      <c r="DI866" s="4"/>
      <c r="DJ866" s="4"/>
      <c r="DK866" s="4"/>
      <c r="DL866" s="4"/>
      <c r="DM866" s="4"/>
      <c r="DN866" s="4"/>
      <c r="DO866" s="4"/>
      <c r="DP866" s="4"/>
      <c r="DQ866" s="4"/>
      <c r="DR866" s="4"/>
      <c r="DS866" s="4"/>
    </row>
    <row r="867">
      <c r="A867" s="9">
        <f>IFERROR(__xludf.DUMMYFUNCTION("""COMPUTED_VALUE"""),45701.0)</f>
        <v>45701</v>
      </c>
      <c r="B867" s="6" t="str">
        <f>IFERROR(__xludf.DUMMYFUNCTION("""COMPUTED_VALUE"""),"Restaurant")</f>
        <v>Restaurant</v>
      </c>
      <c r="C867" s="7">
        <f>IFERROR(__xludf.DUMMYFUNCTION("""COMPUTED_VALUE"""),2385.0)</f>
        <v>2385</v>
      </c>
      <c r="D867" s="6" t="str">
        <f>IFERROR(__xludf.DUMMYFUNCTION("""COMPUTED_VALUE"""),"Groceries")</f>
        <v>Groceries</v>
      </c>
      <c r="E867" s="6" t="str">
        <f>IFERROR(__xludf.DUMMYFUNCTION("""COMPUTED_VALUE"""),"Split Payment")</f>
        <v>Split Payment</v>
      </c>
      <c r="F867" s="6" t="s">
        <v>7</v>
      </c>
      <c r="G867" s="8" t="str">
        <f t="shared" si="1"/>
        <v>202502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  <c r="CD867" s="4"/>
      <c r="CE867" s="4"/>
      <c r="CF867" s="4"/>
      <c r="CG867" s="4"/>
      <c r="CH867" s="4"/>
      <c r="CI867" s="4"/>
      <c r="CJ867" s="4"/>
      <c r="CK867" s="4"/>
      <c r="CL867" s="4"/>
      <c r="CM867" s="4"/>
      <c r="CN867" s="4"/>
      <c r="CO867" s="4"/>
      <c r="CP867" s="4"/>
      <c r="CQ867" s="4"/>
      <c r="CR867" s="4"/>
      <c r="CS867" s="4"/>
      <c r="CT867" s="4"/>
      <c r="CU867" s="4"/>
      <c r="CV867" s="4"/>
      <c r="CW867" s="4"/>
      <c r="CX867" s="4"/>
      <c r="CY867" s="4"/>
      <c r="CZ867" s="4"/>
      <c r="DA867" s="4"/>
      <c r="DB867" s="4"/>
      <c r="DC867" s="4"/>
      <c r="DD867" s="4"/>
      <c r="DE867" s="4"/>
      <c r="DF867" s="4"/>
      <c r="DG867" s="4"/>
      <c r="DH867" s="4"/>
      <c r="DI867" s="4"/>
      <c r="DJ867" s="4"/>
      <c r="DK867" s="4"/>
      <c r="DL867" s="4"/>
      <c r="DM867" s="4"/>
      <c r="DN867" s="4"/>
      <c r="DO867" s="4"/>
      <c r="DP867" s="4"/>
      <c r="DQ867" s="4"/>
      <c r="DR867" s="4"/>
      <c r="DS867" s="4"/>
    </row>
    <row r="868">
      <c r="A868" s="9">
        <f>IFERROR(__xludf.DUMMYFUNCTION("""COMPUTED_VALUE"""),45702.0)</f>
        <v>45702</v>
      </c>
      <c r="B868" s="6" t="str">
        <f>IFERROR(__xludf.DUMMYFUNCTION("""COMPUTED_VALUE"""),"Doctor Visit")</f>
        <v>Doctor Visit</v>
      </c>
      <c r="C868" s="7">
        <f>IFERROR(__xludf.DUMMYFUNCTION("""COMPUTED_VALUE"""),6500.0)</f>
        <v>6500</v>
      </c>
      <c r="D868" s="6" t="str">
        <f>IFERROR(__xludf.DUMMYFUNCTION("""COMPUTED_VALUE"""),"Healthcare")</f>
        <v>Healthcare</v>
      </c>
      <c r="E868" s="6" t="str">
        <f>IFERROR(__xludf.DUMMYFUNCTION("""COMPUTED_VALUE"""),"Virtual Wallet")</f>
        <v>Virtual Wallet</v>
      </c>
      <c r="F868" s="6" t="s">
        <v>15</v>
      </c>
      <c r="G868" s="8" t="str">
        <f t="shared" si="1"/>
        <v>202502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  <c r="CD868" s="4"/>
      <c r="CE868" s="4"/>
      <c r="CF868" s="4"/>
      <c r="CG868" s="4"/>
      <c r="CH868" s="4"/>
      <c r="CI868" s="4"/>
      <c r="CJ868" s="4"/>
      <c r="CK868" s="4"/>
      <c r="CL868" s="4"/>
      <c r="CM868" s="4"/>
      <c r="CN868" s="4"/>
      <c r="CO868" s="4"/>
      <c r="CP868" s="4"/>
      <c r="CQ868" s="4"/>
      <c r="CR868" s="4"/>
      <c r="CS868" s="4"/>
      <c r="CT868" s="4"/>
      <c r="CU868" s="4"/>
      <c r="CV868" s="4"/>
      <c r="CW868" s="4"/>
      <c r="CX868" s="4"/>
      <c r="CY868" s="4"/>
      <c r="CZ868" s="4"/>
      <c r="DA868" s="4"/>
      <c r="DB868" s="4"/>
      <c r="DC868" s="4"/>
      <c r="DD868" s="4"/>
      <c r="DE868" s="4"/>
      <c r="DF868" s="4"/>
      <c r="DG868" s="4"/>
      <c r="DH868" s="4"/>
      <c r="DI868" s="4"/>
      <c r="DJ868" s="4"/>
      <c r="DK868" s="4"/>
      <c r="DL868" s="4"/>
      <c r="DM868" s="4"/>
      <c r="DN868" s="4"/>
      <c r="DO868" s="4"/>
      <c r="DP868" s="4"/>
      <c r="DQ868" s="4"/>
      <c r="DR868" s="4"/>
      <c r="DS868" s="4"/>
    </row>
    <row r="869">
      <c r="A869" s="9">
        <f>IFERROR(__xludf.DUMMYFUNCTION("""COMPUTED_VALUE"""),45702.0)</f>
        <v>45702</v>
      </c>
      <c r="B869" s="6" t="str">
        <f>IFERROR(__xludf.DUMMYFUNCTION("""COMPUTED_VALUE"""),"Donation")</f>
        <v>Donation</v>
      </c>
      <c r="C869" s="7">
        <f>IFERROR(__xludf.DUMMYFUNCTION("""COMPUTED_VALUE"""),5000.0)</f>
        <v>5000</v>
      </c>
      <c r="D869" s="6" t="str">
        <f>IFERROR(__xludf.DUMMYFUNCTION("""COMPUTED_VALUE"""),"Donation")</f>
        <v>Donation</v>
      </c>
      <c r="E869" s="6" t="str">
        <f>IFERROR(__xludf.DUMMYFUNCTION("""COMPUTED_VALUE"""),"Virtual Wallet")</f>
        <v>Virtual Wallet</v>
      </c>
      <c r="F869" s="6"/>
      <c r="G869" s="8" t="str">
        <f t="shared" si="1"/>
        <v>202502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  <c r="CD869" s="4"/>
      <c r="CE869" s="4"/>
      <c r="CF869" s="4"/>
      <c r="CG869" s="4"/>
      <c r="CH869" s="4"/>
      <c r="CI869" s="4"/>
      <c r="CJ869" s="4"/>
      <c r="CK869" s="4"/>
      <c r="CL869" s="4"/>
      <c r="CM869" s="4"/>
      <c r="CN869" s="4"/>
      <c r="CO869" s="4"/>
      <c r="CP869" s="4"/>
      <c r="CQ869" s="4"/>
      <c r="CR869" s="4"/>
      <c r="CS869" s="4"/>
      <c r="CT869" s="4"/>
      <c r="CU869" s="4"/>
      <c r="CV869" s="4"/>
      <c r="CW869" s="4"/>
      <c r="CX869" s="4"/>
      <c r="CY869" s="4"/>
      <c r="CZ869" s="4"/>
      <c r="DA869" s="4"/>
      <c r="DB869" s="4"/>
      <c r="DC869" s="4"/>
      <c r="DD869" s="4"/>
      <c r="DE869" s="4"/>
      <c r="DF869" s="4"/>
      <c r="DG869" s="4"/>
      <c r="DH869" s="4"/>
      <c r="DI869" s="4"/>
      <c r="DJ869" s="4"/>
      <c r="DK869" s="4"/>
      <c r="DL869" s="4"/>
      <c r="DM869" s="4"/>
      <c r="DN869" s="4"/>
      <c r="DO869" s="4"/>
      <c r="DP869" s="4"/>
      <c r="DQ869" s="4"/>
      <c r="DR869" s="4"/>
      <c r="DS869" s="4"/>
    </row>
    <row r="870">
      <c r="A870" s="9">
        <f>IFERROR(__xludf.DUMMYFUNCTION("""COMPUTED_VALUE"""),45702.0)</f>
        <v>45702</v>
      </c>
      <c r="B870" s="6" t="str">
        <f>IFERROR(__xludf.DUMMYFUNCTION("""COMPUTED_VALUE"""),"Gasoline")</f>
        <v>Gasoline</v>
      </c>
      <c r="C870" s="7">
        <f>IFERROR(__xludf.DUMMYFUNCTION("""COMPUTED_VALUE"""),3000.0)</f>
        <v>3000</v>
      </c>
      <c r="D870" s="6" t="str">
        <f>IFERROR(__xludf.DUMMYFUNCTION("""COMPUTED_VALUE"""),"Car Expenses")</f>
        <v>Car Expenses</v>
      </c>
      <c r="E870" s="6" t="str">
        <f>IFERROR(__xludf.DUMMYFUNCTION("""COMPUTED_VALUE"""),"Virtual Wallet")</f>
        <v>Virtual Wallet</v>
      </c>
      <c r="F870" s="6" t="s">
        <v>9</v>
      </c>
      <c r="G870" s="8" t="str">
        <f t="shared" si="1"/>
        <v>202502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  <c r="CD870" s="4"/>
      <c r="CE870" s="4"/>
      <c r="CF870" s="4"/>
      <c r="CG870" s="4"/>
      <c r="CH870" s="4"/>
      <c r="CI870" s="4"/>
      <c r="CJ870" s="4"/>
      <c r="CK870" s="4"/>
      <c r="CL870" s="4"/>
      <c r="CM870" s="4"/>
      <c r="CN870" s="4"/>
      <c r="CO870" s="4"/>
      <c r="CP870" s="4"/>
      <c r="CQ870" s="4"/>
      <c r="CR870" s="4"/>
      <c r="CS870" s="4"/>
      <c r="CT870" s="4"/>
      <c r="CU870" s="4"/>
      <c r="CV870" s="4"/>
      <c r="CW870" s="4"/>
      <c r="CX870" s="4"/>
      <c r="CY870" s="4"/>
      <c r="CZ870" s="4"/>
      <c r="DA870" s="4"/>
      <c r="DB870" s="4"/>
      <c r="DC870" s="4"/>
      <c r="DD870" s="4"/>
      <c r="DE870" s="4"/>
      <c r="DF870" s="4"/>
      <c r="DG870" s="4"/>
      <c r="DH870" s="4"/>
      <c r="DI870" s="4"/>
      <c r="DJ870" s="4"/>
      <c r="DK870" s="4"/>
      <c r="DL870" s="4"/>
      <c r="DM870" s="4"/>
      <c r="DN870" s="4"/>
      <c r="DO870" s="4"/>
      <c r="DP870" s="4"/>
      <c r="DQ870" s="4"/>
      <c r="DR870" s="4"/>
      <c r="DS870" s="4"/>
    </row>
    <row r="871">
      <c r="A871" s="9">
        <f>IFERROR(__xludf.DUMMYFUNCTION("""COMPUTED_VALUE"""),45702.0)</f>
        <v>45702</v>
      </c>
      <c r="B871" s="6" t="str">
        <f>IFERROR(__xludf.DUMMYFUNCTION("""COMPUTED_VALUE"""),"Gasoline")</f>
        <v>Gasoline</v>
      </c>
      <c r="C871" s="7">
        <f>IFERROR(__xludf.DUMMYFUNCTION("""COMPUTED_VALUE"""),5000.0)</f>
        <v>5000</v>
      </c>
      <c r="D871" s="6" t="str">
        <f>IFERROR(__xludf.DUMMYFUNCTION("""COMPUTED_VALUE"""),"Car Expenses")</f>
        <v>Car Expenses</v>
      </c>
      <c r="E871" s="6" t="str">
        <f>IFERROR(__xludf.DUMMYFUNCTION("""COMPUTED_VALUE"""),"Virtual Wallet")</f>
        <v>Virtual Wallet</v>
      </c>
      <c r="F871" s="6" t="s">
        <v>9</v>
      </c>
      <c r="G871" s="8" t="str">
        <f t="shared" si="1"/>
        <v>202502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  <c r="CD871" s="4"/>
      <c r="CE871" s="4"/>
      <c r="CF871" s="4"/>
      <c r="CG871" s="4"/>
      <c r="CH871" s="4"/>
      <c r="CI871" s="4"/>
      <c r="CJ871" s="4"/>
      <c r="CK871" s="4"/>
      <c r="CL871" s="4"/>
      <c r="CM871" s="4"/>
      <c r="CN871" s="4"/>
      <c r="CO871" s="4"/>
      <c r="CP871" s="4"/>
      <c r="CQ871" s="4"/>
      <c r="CR871" s="4"/>
      <c r="CS871" s="4"/>
      <c r="CT871" s="4"/>
      <c r="CU871" s="4"/>
      <c r="CV871" s="4"/>
      <c r="CW871" s="4"/>
      <c r="CX871" s="4"/>
      <c r="CY871" s="4"/>
      <c r="CZ871" s="4"/>
      <c r="DA871" s="4"/>
      <c r="DB871" s="4"/>
      <c r="DC871" s="4"/>
      <c r="DD871" s="4"/>
      <c r="DE871" s="4"/>
      <c r="DF871" s="4"/>
      <c r="DG871" s="4"/>
      <c r="DH871" s="4"/>
      <c r="DI871" s="4"/>
      <c r="DJ871" s="4"/>
      <c r="DK871" s="4"/>
      <c r="DL871" s="4"/>
      <c r="DM871" s="4"/>
      <c r="DN871" s="4"/>
      <c r="DO871" s="4"/>
      <c r="DP871" s="4"/>
      <c r="DQ871" s="4"/>
      <c r="DR871" s="4"/>
      <c r="DS871" s="4"/>
    </row>
    <row r="872">
      <c r="A872" s="9">
        <f>IFERROR(__xludf.DUMMYFUNCTION("""COMPUTED_VALUE"""),45702.0)</f>
        <v>45702</v>
      </c>
      <c r="B872" s="6" t="str">
        <f>IFERROR(__xludf.DUMMYFUNCTION("""COMPUTED_VALUE"""),"Restaurant")</f>
        <v>Restaurant</v>
      </c>
      <c r="C872" s="7">
        <f>IFERROR(__xludf.DUMMYFUNCTION("""COMPUTED_VALUE"""),13300.0)</f>
        <v>13300</v>
      </c>
      <c r="D872" s="6" t="str">
        <f>IFERROR(__xludf.DUMMYFUNCTION("""COMPUTED_VALUE"""),"Restaurant / Café")</f>
        <v>Restaurant / Café</v>
      </c>
      <c r="E872" s="6" t="str">
        <f>IFERROR(__xludf.DUMMYFUNCTION("""COMPUTED_VALUE"""),"Virtual Wallet")</f>
        <v>Virtual Wallet</v>
      </c>
      <c r="F872" s="6" t="s">
        <v>14</v>
      </c>
      <c r="G872" s="8" t="str">
        <f t="shared" si="1"/>
        <v>202502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  <c r="CD872" s="4"/>
      <c r="CE872" s="4"/>
      <c r="CF872" s="4"/>
      <c r="CG872" s="4"/>
      <c r="CH872" s="4"/>
      <c r="CI872" s="4"/>
      <c r="CJ872" s="4"/>
      <c r="CK872" s="4"/>
      <c r="CL872" s="4"/>
      <c r="CM872" s="4"/>
      <c r="CN872" s="4"/>
      <c r="CO872" s="4"/>
      <c r="CP872" s="4"/>
      <c r="CQ872" s="4"/>
      <c r="CR872" s="4"/>
      <c r="CS872" s="4"/>
      <c r="CT872" s="4"/>
      <c r="CU872" s="4"/>
      <c r="CV872" s="4"/>
      <c r="CW872" s="4"/>
      <c r="CX872" s="4"/>
      <c r="CY872" s="4"/>
      <c r="CZ872" s="4"/>
      <c r="DA872" s="4"/>
      <c r="DB872" s="4"/>
      <c r="DC872" s="4"/>
      <c r="DD872" s="4"/>
      <c r="DE872" s="4"/>
      <c r="DF872" s="4"/>
      <c r="DG872" s="4"/>
      <c r="DH872" s="4"/>
      <c r="DI872" s="4"/>
      <c r="DJ872" s="4"/>
      <c r="DK872" s="4"/>
      <c r="DL872" s="4"/>
      <c r="DM872" s="4"/>
      <c r="DN872" s="4"/>
      <c r="DO872" s="4"/>
      <c r="DP872" s="4"/>
      <c r="DQ872" s="4"/>
      <c r="DR872" s="4"/>
      <c r="DS872" s="4"/>
    </row>
    <row r="873">
      <c r="A873" s="9">
        <f>IFERROR(__xludf.DUMMYFUNCTION("""COMPUTED_VALUE"""),45702.0)</f>
        <v>45702</v>
      </c>
      <c r="B873" s="6" t="str">
        <f>IFERROR(__xludf.DUMMYFUNCTION("""COMPUTED_VALUE"""),"Restaurant")</f>
        <v>Restaurant</v>
      </c>
      <c r="C873" s="7">
        <f>IFERROR(__xludf.DUMMYFUNCTION("""COMPUTED_VALUE"""),1500.0)</f>
        <v>1500</v>
      </c>
      <c r="D873" s="6" t="str">
        <f>IFERROR(__xludf.DUMMYFUNCTION("""COMPUTED_VALUE"""),"Groceries")</f>
        <v>Groceries</v>
      </c>
      <c r="E873" s="6" t="str">
        <f>IFERROR(__xludf.DUMMYFUNCTION("""COMPUTED_VALUE"""),"Split Payment")</f>
        <v>Split Payment</v>
      </c>
      <c r="F873" s="6" t="s">
        <v>7</v>
      </c>
      <c r="G873" s="8" t="str">
        <f t="shared" si="1"/>
        <v>202502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  <c r="CD873" s="4"/>
      <c r="CE873" s="4"/>
      <c r="CF873" s="4"/>
      <c r="CG873" s="4"/>
      <c r="CH873" s="4"/>
      <c r="CI873" s="4"/>
      <c r="CJ873" s="4"/>
      <c r="CK873" s="4"/>
      <c r="CL873" s="4"/>
      <c r="CM873" s="4"/>
      <c r="CN873" s="4"/>
      <c r="CO873" s="4"/>
      <c r="CP873" s="4"/>
      <c r="CQ873" s="4"/>
      <c r="CR873" s="4"/>
      <c r="CS873" s="4"/>
      <c r="CT873" s="4"/>
      <c r="CU873" s="4"/>
      <c r="CV873" s="4"/>
      <c r="CW873" s="4"/>
      <c r="CX873" s="4"/>
      <c r="CY873" s="4"/>
      <c r="CZ873" s="4"/>
      <c r="DA873" s="4"/>
      <c r="DB873" s="4"/>
      <c r="DC873" s="4"/>
      <c r="DD873" s="4"/>
      <c r="DE873" s="4"/>
      <c r="DF873" s="4"/>
      <c r="DG873" s="4"/>
      <c r="DH873" s="4"/>
      <c r="DI873" s="4"/>
      <c r="DJ873" s="4"/>
      <c r="DK873" s="4"/>
      <c r="DL873" s="4"/>
      <c r="DM873" s="4"/>
      <c r="DN873" s="4"/>
      <c r="DO873" s="4"/>
      <c r="DP873" s="4"/>
      <c r="DQ873" s="4"/>
      <c r="DR873" s="4"/>
      <c r="DS873" s="4"/>
    </row>
    <row r="874">
      <c r="A874" s="9">
        <f>IFERROR(__xludf.DUMMYFUNCTION("""COMPUTED_VALUE"""),45703.0)</f>
        <v>45703</v>
      </c>
      <c r="B874" s="6" t="str">
        <f>IFERROR(__xludf.DUMMYFUNCTION("""COMPUTED_VALUE"""),"Home Goods")</f>
        <v>Home Goods</v>
      </c>
      <c r="C874" s="7">
        <f>IFERROR(__xludf.DUMMYFUNCTION("""COMPUTED_VALUE"""),2101.0)</f>
        <v>2101</v>
      </c>
      <c r="D874" s="6" t="str">
        <f>IFERROR(__xludf.DUMMYFUNCTION("""COMPUTED_VALUE"""),"Home Goods &amp; Utilities")</f>
        <v>Home Goods &amp; Utilities</v>
      </c>
      <c r="E874" s="6" t="str">
        <f>IFERROR(__xludf.DUMMYFUNCTION("""COMPUTED_VALUE"""),"Split Payment")</f>
        <v>Split Payment</v>
      </c>
      <c r="F874" s="6" t="s">
        <v>8</v>
      </c>
      <c r="G874" s="8" t="str">
        <f t="shared" si="1"/>
        <v>202502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  <c r="CD874" s="4"/>
      <c r="CE874" s="4"/>
      <c r="CF874" s="4"/>
      <c r="CG874" s="4"/>
      <c r="CH874" s="4"/>
      <c r="CI874" s="4"/>
      <c r="CJ874" s="4"/>
      <c r="CK874" s="4"/>
      <c r="CL874" s="4"/>
      <c r="CM874" s="4"/>
      <c r="CN874" s="4"/>
      <c r="CO874" s="4"/>
      <c r="CP874" s="4"/>
      <c r="CQ874" s="4"/>
      <c r="CR874" s="4"/>
      <c r="CS874" s="4"/>
      <c r="CT874" s="4"/>
      <c r="CU874" s="4"/>
      <c r="CV874" s="4"/>
      <c r="CW874" s="4"/>
      <c r="CX874" s="4"/>
      <c r="CY874" s="4"/>
      <c r="CZ874" s="4"/>
      <c r="DA874" s="4"/>
      <c r="DB874" s="4"/>
      <c r="DC874" s="4"/>
      <c r="DD874" s="4"/>
      <c r="DE874" s="4"/>
      <c r="DF874" s="4"/>
      <c r="DG874" s="4"/>
      <c r="DH874" s="4"/>
      <c r="DI874" s="4"/>
      <c r="DJ874" s="4"/>
      <c r="DK874" s="4"/>
      <c r="DL874" s="4"/>
      <c r="DM874" s="4"/>
      <c r="DN874" s="4"/>
      <c r="DO874" s="4"/>
      <c r="DP874" s="4"/>
      <c r="DQ874" s="4"/>
      <c r="DR874" s="4"/>
      <c r="DS874" s="4"/>
    </row>
    <row r="875">
      <c r="A875" s="9">
        <f>IFERROR(__xludf.DUMMYFUNCTION("""COMPUTED_VALUE"""),45703.0)</f>
        <v>45703</v>
      </c>
      <c r="B875" s="6" t="str">
        <f>IFERROR(__xludf.DUMMYFUNCTION("""COMPUTED_VALUE"""),"Clothing")</f>
        <v>Clothing</v>
      </c>
      <c r="C875" s="7">
        <f>IFERROR(__xludf.DUMMYFUNCTION("""COMPUTED_VALUE"""),16000.0)</f>
        <v>16000</v>
      </c>
      <c r="D875" s="6" t="str">
        <f>IFERROR(__xludf.DUMMYFUNCTION("""COMPUTED_VALUE"""),"Clothing")</f>
        <v>Clothing</v>
      </c>
      <c r="E875" s="6" t="str">
        <f>IFERROR(__xludf.DUMMYFUNCTION("""COMPUTED_VALUE"""),"Credit Card")</f>
        <v>Credit Card</v>
      </c>
      <c r="F875" s="6" t="s">
        <v>10</v>
      </c>
      <c r="G875" s="8" t="str">
        <f t="shared" si="1"/>
        <v>202502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  <c r="CD875" s="4"/>
      <c r="CE875" s="4"/>
      <c r="CF875" s="4"/>
      <c r="CG875" s="4"/>
      <c r="CH875" s="4"/>
      <c r="CI875" s="4"/>
      <c r="CJ875" s="4"/>
      <c r="CK875" s="4"/>
      <c r="CL875" s="4"/>
      <c r="CM875" s="4"/>
      <c r="CN875" s="4"/>
      <c r="CO875" s="4"/>
      <c r="CP875" s="4"/>
      <c r="CQ875" s="4"/>
      <c r="CR875" s="4"/>
      <c r="CS875" s="4"/>
      <c r="CT875" s="4"/>
      <c r="CU875" s="4"/>
      <c r="CV875" s="4"/>
      <c r="CW875" s="4"/>
      <c r="CX875" s="4"/>
      <c r="CY875" s="4"/>
      <c r="CZ875" s="4"/>
      <c r="DA875" s="4"/>
      <c r="DB875" s="4"/>
      <c r="DC875" s="4"/>
      <c r="DD875" s="4"/>
      <c r="DE875" s="4"/>
      <c r="DF875" s="4"/>
      <c r="DG875" s="4"/>
      <c r="DH875" s="4"/>
      <c r="DI875" s="4"/>
      <c r="DJ875" s="4"/>
      <c r="DK875" s="4"/>
      <c r="DL875" s="4"/>
      <c r="DM875" s="4"/>
      <c r="DN875" s="4"/>
      <c r="DO875" s="4"/>
      <c r="DP875" s="4"/>
      <c r="DQ875" s="4"/>
      <c r="DR875" s="4"/>
      <c r="DS875" s="4"/>
    </row>
    <row r="876">
      <c r="A876" s="9">
        <f>IFERROR(__xludf.DUMMYFUNCTION("""COMPUTED_VALUE"""),45703.0)</f>
        <v>45703</v>
      </c>
      <c r="B876" s="6" t="str">
        <f>IFERROR(__xludf.DUMMYFUNCTION("""COMPUTED_VALUE"""),"Groceries")</f>
        <v>Groceries</v>
      </c>
      <c r="C876" s="7">
        <f>IFERROR(__xludf.DUMMYFUNCTION("""COMPUTED_VALUE"""),5596.0)</f>
        <v>5596</v>
      </c>
      <c r="D876" s="6" t="str">
        <f>IFERROR(__xludf.DUMMYFUNCTION("""COMPUTED_VALUE"""),"Groceries")</f>
        <v>Groceries</v>
      </c>
      <c r="E876" s="6" t="str">
        <f>IFERROR(__xludf.DUMMYFUNCTION("""COMPUTED_VALUE"""),"Virtual Wallet")</f>
        <v>Virtual Wallet</v>
      </c>
      <c r="F876" s="6" t="s">
        <v>7</v>
      </c>
      <c r="G876" s="8" t="str">
        <f t="shared" si="1"/>
        <v>202502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  <c r="CD876" s="4"/>
      <c r="CE876" s="4"/>
      <c r="CF876" s="4"/>
      <c r="CG876" s="4"/>
      <c r="CH876" s="4"/>
      <c r="CI876" s="4"/>
      <c r="CJ876" s="4"/>
      <c r="CK876" s="4"/>
      <c r="CL876" s="4"/>
      <c r="CM876" s="4"/>
      <c r="CN876" s="4"/>
      <c r="CO876" s="4"/>
      <c r="CP876" s="4"/>
      <c r="CQ876" s="4"/>
      <c r="CR876" s="4"/>
      <c r="CS876" s="4"/>
      <c r="CT876" s="4"/>
      <c r="CU876" s="4"/>
      <c r="CV876" s="4"/>
      <c r="CW876" s="4"/>
      <c r="CX876" s="4"/>
      <c r="CY876" s="4"/>
      <c r="CZ876" s="4"/>
      <c r="DA876" s="4"/>
      <c r="DB876" s="4"/>
      <c r="DC876" s="4"/>
      <c r="DD876" s="4"/>
      <c r="DE876" s="4"/>
      <c r="DF876" s="4"/>
      <c r="DG876" s="4"/>
      <c r="DH876" s="4"/>
      <c r="DI876" s="4"/>
      <c r="DJ876" s="4"/>
      <c r="DK876" s="4"/>
      <c r="DL876" s="4"/>
      <c r="DM876" s="4"/>
      <c r="DN876" s="4"/>
      <c r="DO876" s="4"/>
      <c r="DP876" s="4"/>
      <c r="DQ876" s="4"/>
      <c r="DR876" s="4"/>
      <c r="DS876" s="4"/>
    </row>
    <row r="877">
      <c r="A877" s="9">
        <f>IFERROR(__xludf.DUMMYFUNCTION("""COMPUTED_VALUE"""),45703.0)</f>
        <v>45703</v>
      </c>
      <c r="B877" s="6" t="str">
        <f>IFERROR(__xludf.DUMMYFUNCTION("""COMPUTED_VALUE"""),"Groceries")</f>
        <v>Groceries</v>
      </c>
      <c r="C877" s="7">
        <f>IFERROR(__xludf.DUMMYFUNCTION("""COMPUTED_VALUE"""),2150.0)</f>
        <v>2150</v>
      </c>
      <c r="D877" s="6" t="str">
        <f>IFERROR(__xludf.DUMMYFUNCTION("""COMPUTED_VALUE"""),"Groceries")</f>
        <v>Groceries</v>
      </c>
      <c r="E877" s="6" t="str">
        <f>IFERROR(__xludf.DUMMYFUNCTION("""COMPUTED_VALUE"""),"Virtual Wallet")</f>
        <v>Virtual Wallet</v>
      </c>
      <c r="F877" s="6" t="s">
        <v>7</v>
      </c>
      <c r="G877" s="8" t="str">
        <f t="shared" si="1"/>
        <v>202502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  <c r="CD877" s="4"/>
      <c r="CE877" s="4"/>
      <c r="CF877" s="4"/>
      <c r="CG877" s="4"/>
      <c r="CH877" s="4"/>
      <c r="CI877" s="4"/>
      <c r="CJ877" s="4"/>
      <c r="CK877" s="4"/>
      <c r="CL877" s="4"/>
      <c r="CM877" s="4"/>
      <c r="CN877" s="4"/>
      <c r="CO877" s="4"/>
      <c r="CP877" s="4"/>
      <c r="CQ877" s="4"/>
      <c r="CR877" s="4"/>
      <c r="CS877" s="4"/>
      <c r="CT877" s="4"/>
      <c r="CU877" s="4"/>
      <c r="CV877" s="4"/>
      <c r="CW877" s="4"/>
      <c r="CX877" s="4"/>
      <c r="CY877" s="4"/>
      <c r="CZ877" s="4"/>
      <c r="DA877" s="4"/>
      <c r="DB877" s="4"/>
      <c r="DC877" s="4"/>
      <c r="DD877" s="4"/>
      <c r="DE877" s="4"/>
      <c r="DF877" s="4"/>
      <c r="DG877" s="4"/>
      <c r="DH877" s="4"/>
      <c r="DI877" s="4"/>
      <c r="DJ877" s="4"/>
      <c r="DK877" s="4"/>
      <c r="DL877" s="4"/>
      <c r="DM877" s="4"/>
      <c r="DN877" s="4"/>
      <c r="DO877" s="4"/>
      <c r="DP877" s="4"/>
      <c r="DQ877" s="4"/>
      <c r="DR877" s="4"/>
      <c r="DS877" s="4"/>
    </row>
    <row r="878">
      <c r="A878" s="9">
        <f>IFERROR(__xludf.DUMMYFUNCTION("""COMPUTED_VALUE"""),45703.0)</f>
        <v>45703</v>
      </c>
      <c r="B878" s="6" t="str">
        <f>IFERROR(__xludf.DUMMYFUNCTION("""COMPUTED_VALUE"""),"Groceries")</f>
        <v>Groceries</v>
      </c>
      <c r="C878" s="7">
        <f>IFERROR(__xludf.DUMMYFUNCTION("""COMPUTED_VALUE"""),2375.0)</f>
        <v>2375</v>
      </c>
      <c r="D878" s="6" t="str">
        <f>IFERROR(__xludf.DUMMYFUNCTION("""COMPUTED_VALUE"""),"Groceries")</f>
        <v>Groceries</v>
      </c>
      <c r="E878" s="6" t="str">
        <f>IFERROR(__xludf.DUMMYFUNCTION("""COMPUTED_VALUE"""),"Virtual Wallet")</f>
        <v>Virtual Wallet</v>
      </c>
      <c r="F878" s="6" t="s">
        <v>7</v>
      </c>
      <c r="G878" s="8" t="str">
        <f t="shared" si="1"/>
        <v>202502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  <c r="CD878" s="4"/>
      <c r="CE878" s="4"/>
      <c r="CF878" s="4"/>
      <c r="CG878" s="4"/>
      <c r="CH878" s="4"/>
      <c r="CI878" s="4"/>
      <c r="CJ878" s="4"/>
      <c r="CK878" s="4"/>
      <c r="CL878" s="4"/>
      <c r="CM878" s="4"/>
      <c r="CN878" s="4"/>
      <c r="CO878" s="4"/>
      <c r="CP878" s="4"/>
      <c r="CQ878" s="4"/>
      <c r="CR878" s="4"/>
      <c r="CS878" s="4"/>
      <c r="CT878" s="4"/>
      <c r="CU878" s="4"/>
      <c r="CV878" s="4"/>
      <c r="CW878" s="4"/>
      <c r="CX878" s="4"/>
      <c r="CY878" s="4"/>
      <c r="CZ878" s="4"/>
      <c r="DA878" s="4"/>
      <c r="DB878" s="4"/>
      <c r="DC878" s="4"/>
      <c r="DD878" s="4"/>
      <c r="DE878" s="4"/>
      <c r="DF878" s="4"/>
      <c r="DG878" s="4"/>
      <c r="DH878" s="4"/>
      <c r="DI878" s="4"/>
      <c r="DJ878" s="4"/>
      <c r="DK878" s="4"/>
      <c r="DL878" s="4"/>
      <c r="DM878" s="4"/>
      <c r="DN878" s="4"/>
      <c r="DO878" s="4"/>
      <c r="DP878" s="4"/>
      <c r="DQ878" s="4"/>
      <c r="DR878" s="4"/>
      <c r="DS878" s="4"/>
    </row>
    <row r="879">
      <c r="A879" s="9">
        <f>IFERROR(__xludf.DUMMYFUNCTION("""COMPUTED_VALUE"""),45703.0)</f>
        <v>45703</v>
      </c>
      <c r="B879" s="6" t="str">
        <f>IFERROR(__xludf.DUMMYFUNCTION("""COMPUTED_VALUE"""),"Sports")</f>
        <v>Sports</v>
      </c>
      <c r="C879" s="7">
        <f>IFERROR(__xludf.DUMMYFUNCTION("""COMPUTED_VALUE"""),8000.0)</f>
        <v>8000</v>
      </c>
      <c r="D879" s="6" t="str">
        <f>IFERROR(__xludf.DUMMYFUNCTION("""COMPUTED_VALUE"""),"Sports")</f>
        <v>Sports</v>
      </c>
      <c r="E879" s="6" t="str">
        <f>IFERROR(__xludf.DUMMYFUNCTION("""COMPUTED_VALUE"""),"Virtual Wallet")</f>
        <v>Virtual Wallet</v>
      </c>
      <c r="F879" s="6" t="s">
        <v>12</v>
      </c>
      <c r="G879" s="8" t="str">
        <f t="shared" si="1"/>
        <v>202502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  <c r="CD879" s="4"/>
      <c r="CE879" s="4"/>
      <c r="CF879" s="4"/>
      <c r="CG879" s="4"/>
      <c r="CH879" s="4"/>
      <c r="CI879" s="4"/>
      <c r="CJ879" s="4"/>
      <c r="CK879" s="4"/>
      <c r="CL879" s="4"/>
      <c r="CM879" s="4"/>
      <c r="CN879" s="4"/>
      <c r="CO879" s="4"/>
      <c r="CP879" s="4"/>
      <c r="CQ879" s="4"/>
      <c r="CR879" s="4"/>
      <c r="CS879" s="4"/>
      <c r="CT879" s="4"/>
      <c r="CU879" s="4"/>
      <c r="CV879" s="4"/>
      <c r="CW879" s="4"/>
      <c r="CX879" s="4"/>
      <c r="CY879" s="4"/>
      <c r="CZ879" s="4"/>
      <c r="DA879" s="4"/>
      <c r="DB879" s="4"/>
      <c r="DC879" s="4"/>
      <c r="DD879" s="4"/>
      <c r="DE879" s="4"/>
      <c r="DF879" s="4"/>
      <c r="DG879" s="4"/>
      <c r="DH879" s="4"/>
      <c r="DI879" s="4"/>
      <c r="DJ879" s="4"/>
      <c r="DK879" s="4"/>
      <c r="DL879" s="4"/>
      <c r="DM879" s="4"/>
      <c r="DN879" s="4"/>
      <c r="DO879" s="4"/>
      <c r="DP879" s="4"/>
      <c r="DQ879" s="4"/>
      <c r="DR879" s="4"/>
      <c r="DS879" s="4"/>
    </row>
    <row r="880">
      <c r="A880" s="9">
        <f>IFERROR(__xludf.DUMMYFUNCTION("""COMPUTED_VALUE"""),45703.0)</f>
        <v>45703</v>
      </c>
      <c r="B880" s="6" t="str">
        <f>IFERROR(__xludf.DUMMYFUNCTION("""COMPUTED_VALUE"""),"Sports")</f>
        <v>Sports</v>
      </c>
      <c r="C880" s="7">
        <f>IFERROR(__xludf.DUMMYFUNCTION("""COMPUTED_VALUE"""),13223.0)</f>
        <v>13223</v>
      </c>
      <c r="D880" s="6" t="str">
        <f>IFERROR(__xludf.DUMMYFUNCTION("""COMPUTED_VALUE"""),"Sports")</f>
        <v>Sports</v>
      </c>
      <c r="E880" s="6" t="str">
        <f>IFERROR(__xludf.DUMMYFUNCTION("""COMPUTED_VALUE"""),"Virtual Wallet")</f>
        <v>Virtual Wallet</v>
      </c>
      <c r="F880" s="6" t="s">
        <v>12</v>
      </c>
      <c r="G880" s="8" t="str">
        <f t="shared" si="1"/>
        <v>202502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  <c r="CD880" s="4"/>
      <c r="CE880" s="4"/>
      <c r="CF880" s="4"/>
      <c r="CG880" s="4"/>
      <c r="CH880" s="4"/>
      <c r="CI880" s="4"/>
      <c r="CJ880" s="4"/>
      <c r="CK880" s="4"/>
      <c r="CL880" s="4"/>
      <c r="CM880" s="4"/>
      <c r="CN880" s="4"/>
      <c r="CO880" s="4"/>
      <c r="CP880" s="4"/>
      <c r="CQ880" s="4"/>
      <c r="CR880" s="4"/>
      <c r="CS880" s="4"/>
      <c r="CT880" s="4"/>
      <c r="CU880" s="4"/>
      <c r="CV880" s="4"/>
      <c r="CW880" s="4"/>
      <c r="CX880" s="4"/>
      <c r="CY880" s="4"/>
      <c r="CZ880" s="4"/>
      <c r="DA880" s="4"/>
      <c r="DB880" s="4"/>
      <c r="DC880" s="4"/>
      <c r="DD880" s="4"/>
      <c r="DE880" s="4"/>
      <c r="DF880" s="4"/>
      <c r="DG880" s="4"/>
      <c r="DH880" s="4"/>
      <c r="DI880" s="4"/>
      <c r="DJ880" s="4"/>
      <c r="DK880" s="4"/>
      <c r="DL880" s="4"/>
      <c r="DM880" s="4"/>
      <c r="DN880" s="4"/>
      <c r="DO880" s="4"/>
      <c r="DP880" s="4"/>
      <c r="DQ880" s="4"/>
      <c r="DR880" s="4"/>
      <c r="DS880" s="4"/>
    </row>
    <row r="881">
      <c r="A881" s="9">
        <f>IFERROR(__xludf.DUMMYFUNCTION("""COMPUTED_VALUE"""),45704.0)</f>
        <v>45704</v>
      </c>
      <c r="B881" s="6" t="str">
        <f>IFERROR(__xludf.DUMMYFUNCTION("""COMPUTED_VALUE"""),"Groceries")</f>
        <v>Groceries</v>
      </c>
      <c r="C881" s="7">
        <f>IFERROR(__xludf.DUMMYFUNCTION("""COMPUTED_VALUE"""),34400.0)</f>
        <v>34400</v>
      </c>
      <c r="D881" s="6" t="str">
        <f>IFERROR(__xludf.DUMMYFUNCTION("""COMPUTED_VALUE"""),"Groceries")</f>
        <v>Groceries</v>
      </c>
      <c r="E881" s="6" t="str">
        <f>IFERROR(__xludf.DUMMYFUNCTION("""COMPUTED_VALUE"""),"Split Payment")</f>
        <v>Split Payment</v>
      </c>
      <c r="F881" s="6" t="s">
        <v>7</v>
      </c>
      <c r="G881" s="8" t="str">
        <f t="shared" si="1"/>
        <v>202502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  <c r="CD881" s="4"/>
      <c r="CE881" s="4"/>
      <c r="CF881" s="4"/>
      <c r="CG881" s="4"/>
      <c r="CH881" s="4"/>
      <c r="CI881" s="4"/>
      <c r="CJ881" s="4"/>
      <c r="CK881" s="4"/>
      <c r="CL881" s="4"/>
      <c r="CM881" s="4"/>
      <c r="CN881" s="4"/>
      <c r="CO881" s="4"/>
      <c r="CP881" s="4"/>
      <c r="CQ881" s="4"/>
      <c r="CR881" s="4"/>
      <c r="CS881" s="4"/>
      <c r="CT881" s="4"/>
      <c r="CU881" s="4"/>
      <c r="CV881" s="4"/>
      <c r="CW881" s="4"/>
      <c r="CX881" s="4"/>
      <c r="CY881" s="4"/>
      <c r="CZ881" s="4"/>
      <c r="DA881" s="4"/>
      <c r="DB881" s="4"/>
      <c r="DC881" s="4"/>
      <c r="DD881" s="4"/>
      <c r="DE881" s="4"/>
      <c r="DF881" s="4"/>
      <c r="DG881" s="4"/>
      <c r="DH881" s="4"/>
      <c r="DI881" s="4"/>
      <c r="DJ881" s="4"/>
      <c r="DK881" s="4"/>
      <c r="DL881" s="4"/>
      <c r="DM881" s="4"/>
      <c r="DN881" s="4"/>
      <c r="DO881" s="4"/>
      <c r="DP881" s="4"/>
      <c r="DQ881" s="4"/>
      <c r="DR881" s="4"/>
      <c r="DS881" s="4"/>
    </row>
    <row r="882">
      <c r="A882" s="9">
        <f>IFERROR(__xludf.DUMMYFUNCTION("""COMPUTED_VALUE"""),45704.0)</f>
        <v>45704</v>
      </c>
      <c r="B882" s="6" t="str">
        <f>IFERROR(__xludf.DUMMYFUNCTION("""COMPUTED_VALUE"""),"Car Maintenance")</f>
        <v>Car Maintenance</v>
      </c>
      <c r="C882" s="7">
        <f>IFERROR(__xludf.DUMMYFUNCTION("""COMPUTED_VALUE"""),6000.0)</f>
        <v>6000</v>
      </c>
      <c r="D882" s="6" t="str">
        <f>IFERROR(__xludf.DUMMYFUNCTION("""COMPUTED_VALUE"""),"Car Expenses")</f>
        <v>Car Expenses</v>
      </c>
      <c r="E882" s="6" t="str">
        <f>IFERROR(__xludf.DUMMYFUNCTION("""COMPUTED_VALUE"""),"Virtual Wallet")</f>
        <v>Virtual Wallet</v>
      </c>
      <c r="F882" s="6" t="s">
        <v>9</v>
      </c>
      <c r="G882" s="8" t="str">
        <f t="shared" si="1"/>
        <v>202502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  <c r="CD882" s="4"/>
      <c r="CE882" s="4"/>
      <c r="CF882" s="4"/>
      <c r="CG882" s="4"/>
      <c r="CH882" s="4"/>
      <c r="CI882" s="4"/>
      <c r="CJ882" s="4"/>
      <c r="CK882" s="4"/>
      <c r="CL882" s="4"/>
      <c r="CM882" s="4"/>
      <c r="CN882" s="4"/>
      <c r="CO882" s="4"/>
      <c r="CP882" s="4"/>
      <c r="CQ882" s="4"/>
      <c r="CR882" s="4"/>
      <c r="CS882" s="4"/>
      <c r="CT882" s="4"/>
      <c r="CU882" s="4"/>
      <c r="CV882" s="4"/>
      <c r="CW882" s="4"/>
      <c r="CX882" s="4"/>
      <c r="CY882" s="4"/>
      <c r="CZ882" s="4"/>
      <c r="DA882" s="4"/>
      <c r="DB882" s="4"/>
      <c r="DC882" s="4"/>
      <c r="DD882" s="4"/>
      <c r="DE882" s="4"/>
      <c r="DF882" s="4"/>
      <c r="DG882" s="4"/>
      <c r="DH882" s="4"/>
      <c r="DI882" s="4"/>
      <c r="DJ882" s="4"/>
      <c r="DK882" s="4"/>
      <c r="DL882" s="4"/>
      <c r="DM882" s="4"/>
      <c r="DN882" s="4"/>
      <c r="DO882" s="4"/>
      <c r="DP882" s="4"/>
      <c r="DQ882" s="4"/>
      <c r="DR882" s="4"/>
      <c r="DS882" s="4"/>
    </row>
    <row r="883">
      <c r="A883" s="9">
        <f>IFERROR(__xludf.DUMMYFUNCTION("""COMPUTED_VALUE"""),45704.0)</f>
        <v>45704</v>
      </c>
      <c r="B883" s="6" t="str">
        <f>IFERROR(__xludf.DUMMYFUNCTION("""COMPUTED_VALUE"""),"Restaurant")</f>
        <v>Restaurant</v>
      </c>
      <c r="C883" s="7">
        <f>IFERROR(__xludf.DUMMYFUNCTION("""COMPUTED_VALUE"""),2400.0)</f>
        <v>2400</v>
      </c>
      <c r="D883" s="6" t="str">
        <f>IFERROR(__xludf.DUMMYFUNCTION("""COMPUTED_VALUE"""),"Restaurant / Café")</f>
        <v>Restaurant / Café</v>
      </c>
      <c r="E883" s="6" t="str">
        <f>IFERROR(__xludf.DUMMYFUNCTION("""COMPUTED_VALUE"""),"Virtual Wallet")</f>
        <v>Virtual Wallet</v>
      </c>
      <c r="F883" s="6" t="s">
        <v>14</v>
      </c>
      <c r="G883" s="8" t="str">
        <f t="shared" si="1"/>
        <v>202502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  <c r="CD883" s="4"/>
      <c r="CE883" s="4"/>
      <c r="CF883" s="4"/>
      <c r="CG883" s="4"/>
      <c r="CH883" s="4"/>
      <c r="CI883" s="4"/>
      <c r="CJ883" s="4"/>
      <c r="CK883" s="4"/>
      <c r="CL883" s="4"/>
      <c r="CM883" s="4"/>
      <c r="CN883" s="4"/>
      <c r="CO883" s="4"/>
      <c r="CP883" s="4"/>
      <c r="CQ883" s="4"/>
      <c r="CR883" s="4"/>
      <c r="CS883" s="4"/>
      <c r="CT883" s="4"/>
      <c r="CU883" s="4"/>
      <c r="CV883" s="4"/>
      <c r="CW883" s="4"/>
      <c r="CX883" s="4"/>
      <c r="CY883" s="4"/>
      <c r="CZ883" s="4"/>
      <c r="DA883" s="4"/>
      <c r="DB883" s="4"/>
      <c r="DC883" s="4"/>
      <c r="DD883" s="4"/>
      <c r="DE883" s="4"/>
      <c r="DF883" s="4"/>
      <c r="DG883" s="4"/>
      <c r="DH883" s="4"/>
      <c r="DI883" s="4"/>
      <c r="DJ883" s="4"/>
      <c r="DK883" s="4"/>
      <c r="DL883" s="4"/>
      <c r="DM883" s="4"/>
      <c r="DN883" s="4"/>
      <c r="DO883" s="4"/>
      <c r="DP883" s="4"/>
      <c r="DQ883" s="4"/>
      <c r="DR883" s="4"/>
      <c r="DS883" s="4"/>
    </row>
    <row r="884">
      <c r="A884" s="9">
        <f>IFERROR(__xludf.DUMMYFUNCTION("""COMPUTED_VALUE"""),45705.0)</f>
        <v>45705</v>
      </c>
      <c r="B884" s="6" t="str">
        <f>IFERROR(__xludf.DUMMYFUNCTION("""COMPUTED_VALUE"""),"Streaming Services")</f>
        <v>Streaming Services</v>
      </c>
      <c r="C884" s="7">
        <f>IFERROR(__xludf.DUMMYFUNCTION("""COMPUTED_VALUE"""),4838.0)</f>
        <v>4838</v>
      </c>
      <c r="D884" s="6" t="str">
        <f>IFERROR(__xludf.DUMMYFUNCTION("""COMPUTED_VALUE"""),"Streaming Services")</f>
        <v>Streaming Services</v>
      </c>
      <c r="E884" s="6" t="str">
        <f>IFERROR(__xludf.DUMMYFUNCTION("""COMPUTED_VALUE"""),"Credit Card")</f>
        <v>Credit Card</v>
      </c>
      <c r="F884" s="6" t="s">
        <v>12</v>
      </c>
      <c r="G884" s="8" t="str">
        <f t="shared" si="1"/>
        <v>202502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  <c r="CD884" s="4"/>
      <c r="CE884" s="4"/>
      <c r="CF884" s="4"/>
      <c r="CG884" s="4"/>
      <c r="CH884" s="4"/>
      <c r="CI884" s="4"/>
      <c r="CJ884" s="4"/>
      <c r="CK884" s="4"/>
      <c r="CL884" s="4"/>
      <c r="CM884" s="4"/>
      <c r="CN884" s="4"/>
      <c r="CO884" s="4"/>
      <c r="CP884" s="4"/>
      <c r="CQ884" s="4"/>
      <c r="CR884" s="4"/>
      <c r="CS884" s="4"/>
      <c r="CT884" s="4"/>
      <c r="CU884" s="4"/>
      <c r="CV884" s="4"/>
      <c r="CW884" s="4"/>
      <c r="CX884" s="4"/>
      <c r="CY884" s="4"/>
      <c r="CZ884" s="4"/>
      <c r="DA884" s="4"/>
      <c r="DB884" s="4"/>
      <c r="DC884" s="4"/>
      <c r="DD884" s="4"/>
      <c r="DE884" s="4"/>
      <c r="DF884" s="4"/>
      <c r="DG884" s="4"/>
      <c r="DH884" s="4"/>
      <c r="DI884" s="4"/>
      <c r="DJ884" s="4"/>
      <c r="DK884" s="4"/>
      <c r="DL884" s="4"/>
      <c r="DM884" s="4"/>
      <c r="DN884" s="4"/>
      <c r="DO884" s="4"/>
      <c r="DP884" s="4"/>
      <c r="DQ884" s="4"/>
      <c r="DR884" s="4"/>
      <c r="DS884" s="4"/>
    </row>
    <row r="885">
      <c r="A885" s="9">
        <f>IFERROR(__xludf.DUMMYFUNCTION("""COMPUTED_VALUE"""),45705.0)</f>
        <v>45705</v>
      </c>
      <c r="B885" s="6" t="str">
        <f>IFERROR(__xludf.DUMMYFUNCTION("""COMPUTED_VALUE"""),"Recreation")</f>
        <v>Recreation</v>
      </c>
      <c r="C885" s="7">
        <f>IFERROR(__xludf.DUMMYFUNCTION("""COMPUTED_VALUE"""),8300.0)</f>
        <v>8300</v>
      </c>
      <c r="D885" s="6" t="str">
        <f>IFERROR(__xludf.DUMMYFUNCTION("""COMPUTED_VALUE"""),"Lunch Out")</f>
        <v>Lunch Out</v>
      </c>
      <c r="E885" s="6" t="str">
        <f>IFERROR(__xludf.DUMMYFUNCTION("""COMPUTED_VALUE"""),"Virtual Wallet")</f>
        <v>Virtual Wallet</v>
      </c>
      <c r="F885" s="6" t="s">
        <v>14</v>
      </c>
      <c r="G885" s="8" t="str">
        <f t="shared" si="1"/>
        <v>202502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  <c r="CD885" s="4"/>
      <c r="CE885" s="4"/>
      <c r="CF885" s="4"/>
      <c r="CG885" s="4"/>
      <c r="CH885" s="4"/>
      <c r="CI885" s="4"/>
      <c r="CJ885" s="4"/>
      <c r="CK885" s="4"/>
      <c r="CL885" s="4"/>
      <c r="CM885" s="4"/>
      <c r="CN885" s="4"/>
      <c r="CO885" s="4"/>
      <c r="CP885" s="4"/>
      <c r="CQ885" s="4"/>
      <c r="CR885" s="4"/>
      <c r="CS885" s="4"/>
      <c r="CT885" s="4"/>
      <c r="CU885" s="4"/>
      <c r="CV885" s="4"/>
      <c r="CW885" s="4"/>
      <c r="CX885" s="4"/>
      <c r="CY885" s="4"/>
      <c r="CZ885" s="4"/>
      <c r="DA885" s="4"/>
      <c r="DB885" s="4"/>
      <c r="DC885" s="4"/>
      <c r="DD885" s="4"/>
      <c r="DE885" s="4"/>
      <c r="DF885" s="4"/>
      <c r="DG885" s="4"/>
      <c r="DH885" s="4"/>
      <c r="DI885" s="4"/>
      <c r="DJ885" s="4"/>
      <c r="DK885" s="4"/>
      <c r="DL885" s="4"/>
      <c r="DM885" s="4"/>
      <c r="DN885" s="4"/>
      <c r="DO885" s="4"/>
      <c r="DP885" s="4"/>
      <c r="DQ885" s="4"/>
      <c r="DR885" s="4"/>
      <c r="DS885" s="4"/>
    </row>
    <row r="886">
      <c r="A886" s="9">
        <f>IFERROR(__xludf.DUMMYFUNCTION("""COMPUTED_VALUE"""),45705.0)</f>
        <v>45705</v>
      </c>
      <c r="B886" s="6" t="str">
        <f>IFERROR(__xludf.DUMMYFUNCTION("""COMPUTED_VALUE"""),"Car Expenses")</f>
        <v>Car Expenses</v>
      </c>
      <c r="C886" s="7">
        <f>IFERROR(__xludf.DUMMYFUNCTION("""COMPUTED_VALUE"""),1600.0)</f>
        <v>1600</v>
      </c>
      <c r="D886" s="6" t="str">
        <f>IFERROR(__xludf.DUMMYFUNCTION("""COMPUTED_VALUE"""),"Car Expenses")</f>
        <v>Car Expenses</v>
      </c>
      <c r="E886" s="6" t="str">
        <f>IFERROR(__xludf.DUMMYFUNCTION("""COMPUTED_VALUE"""),"Virtual Wallet")</f>
        <v>Virtual Wallet</v>
      </c>
      <c r="F886" s="6" t="s">
        <v>9</v>
      </c>
      <c r="G886" s="8" t="str">
        <f t="shared" si="1"/>
        <v>202502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  <c r="CD886" s="4"/>
      <c r="CE886" s="4"/>
      <c r="CF886" s="4"/>
      <c r="CG886" s="4"/>
      <c r="CH886" s="4"/>
      <c r="CI886" s="4"/>
      <c r="CJ886" s="4"/>
      <c r="CK886" s="4"/>
      <c r="CL886" s="4"/>
      <c r="CM886" s="4"/>
      <c r="CN886" s="4"/>
      <c r="CO886" s="4"/>
      <c r="CP886" s="4"/>
      <c r="CQ886" s="4"/>
      <c r="CR886" s="4"/>
      <c r="CS886" s="4"/>
      <c r="CT886" s="4"/>
      <c r="CU886" s="4"/>
      <c r="CV886" s="4"/>
      <c r="CW886" s="4"/>
      <c r="CX886" s="4"/>
      <c r="CY886" s="4"/>
      <c r="CZ886" s="4"/>
      <c r="DA886" s="4"/>
      <c r="DB886" s="4"/>
      <c r="DC886" s="4"/>
      <c r="DD886" s="4"/>
      <c r="DE886" s="4"/>
      <c r="DF886" s="4"/>
      <c r="DG886" s="4"/>
      <c r="DH886" s="4"/>
      <c r="DI886" s="4"/>
      <c r="DJ886" s="4"/>
      <c r="DK886" s="4"/>
      <c r="DL886" s="4"/>
      <c r="DM886" s="4"/>
      <c r="DN886" s="4"/>
      <c r="DO886" s="4"/>
      <c r="DP886" s="4"/>
      <c r="DQ886" s="4"/>
      <c r="DR886" s="4"/>
      <c r="DS886" s="4"/>
    </row>
    <row r="887">
      <c r="A887" s="9">
        <f>IFERROR(__xludf.DUMMYFUNCTION("""COMPUTED_VALUE"""),45706.0)</f>
        <v>45706</v>
      </c>
      <c r="B887" s="6" t="str">
        <f>IFERROR(__xludf.DUMMYFUNCTION("""COMPUTED_VALUE"""),"Car Insurance")</f>
        <v>Car Insurance</v>
      </c>
      <c r="C887" s="7">
        <f>IFERROR(__xludf.DUMMYFUNCTION("""COMPUTED_VALUE"""),31519.0)</f>
        <v>31519</v>
      </c>
      <c r="D887" s="6" t="str">
        <f>IFERROR(__xludf.DUMMYFUNCTION("""COMPUTED_VALUE"""),"Car Expenses")</f>
        <v>Car Expenses</v>
      </c>
      <c r="E887" s="6" t="str">
        <f>IFERROR(__xludf.DUMMYFUNCTION("""COMPUTED_VALUE"""),"Credit Card")</f>
        <v>Credit Card</v>
      </c>
      <c r="F887" s="6" t="s">
        <v>9</v>
      </c>
      <c r="G887" s="8" t="str">
        <f t="shared" si="1"/>
        <v>202502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  <c r="CD887" s="4"/>
      <c r="CE887" s="4"/>
      <c r="CF887" s="4"/>
      <c r="CG887" s="4"/>
      <c r="CH887" s="4"/>
      <c r="CI887" s="4"/>
      <c r="CJ887" s="4"/>
      <c r="CK887" s="4"/>
      <c r="CL887" s="4"/>
      <c r="CM887" s="4"/>
      <c r="CN887" s="4"/>
      <c r="CO887" s="4"/>
      <c r="CP887" s="4"/>
      <c r="CQ887" s="4"/>
      <c r="CR887" s="4"/>
      <c r="CS887" s="4"/>
      <c r="CT887" s="4"/>
      <c r="CU887" s="4"/>
      <c r="CV887" s="4"/>
      <c r="CW887" s="4"/>
      <c r="CX887" s="4"/>
      <c r="CY887" s="4"/>
      <c r="CZ887" s="4"/>
      <c r="DA887" s="4"/>
      <c r="DB887" s="4"/>
      <c r="DC887" s="4"/>
      <c r="DD887" s="4"/>
      <c r="DE887" s="4"/>
      <c r="DF887" s="4"/>
      <c r="DG887" s="4"/>
      <c r="DH887" s="4"/>
      <c r="DI887" s="4"/>
      <c r="DJ887" s="4"/>
      <c r="DK887" s="4"/>
      <c r="DL887" s="4"/>
      <c r="DM887" s="4"/>
      <c r="DN887" s="4"/>
      <c r="DO887" s="4"/>
      <c r="DP887" s="4"/>
      <c r="DQ887" s="4"/>
      <c r="DR887" s="4"/>
      <c r="DS887" s="4"/>
    </row>
    <row r="888">
      <c r="A888" s="9">
        <f>IFERROR(__xludf.DUMMYFUNCTION("""COMPUTED_VALUE"""),45706.0)</f>
        <v>45706</v>
      </c>
      <c r="B888" s="6" t="str">
        <f>IFERROR(__xludf.DUMMYFUNCTION("""COMPUTED_VALUE"""),"Restaurant")</f>
        <v>Restaurant</v>
      </c>
      <c r="C888" s="7">
        <f>IFERROR(__xludf.DUMMYFUNCTION("""COMPUTED_VALUE"""),5300.0)</f>
        <v>5300</v>
      </c>
      <c r="D888" s="6" t="str">
        <f>IFERROR(__xludf.DUMMYFUNCTION("""COMPUTED_VALUE"""),"Restaurant / Café")</f>
        <v>Restaurant / Café</v>
      </c>
      <c r="E888" s="6" t="str">
        <f>IFERROR(__xludf.DUMMYFUNCTION("""COMPUTED_VALUE"""),"Virtual Wallet")</f>
        <v>Virtual Wallet</v>
      </c>
      <c r="F888" s="6" t="s">
        <v>14</v>
      </c>
      <c r="G888" s="8" t="str">
        <f t="shared" si="1"/>
        <v>202502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  <c r="CD888" s="4"/>
      <c r="CE888" s="4"/>
      <c r="CF888" s="4"/>
      <c r="CG888" s="4"/>
      <c r="CH888" s="4"/>
      <c r="CI888" s="4"/>
      <c r="CJ888" s="4"/>
      <c r="CK888" s="4"/>
      <c r="CL888" s="4"/>
      <c r="CM888" s="4"/>
      <c r="CN888" s="4"/>
      <c r="CO888" s="4"/>
      <c r="CP888" s="4"/>
      <c r="CQ888" s="4"/>
      <c r="CR888" s="4"/>
      <c r="CS888" s="4"/>
      <c r="CT888" s="4"/>
      <c r="CU888" s="4"/>
      <c r="CV888" s="4"/>
      <c r="CW888" s="4"/>
      <c r="CX888" s="4"/>
      <c r="CY888" s="4"/>
      <c r="CZ888" s="4"/>
      <c r="DA888" s="4"/>
      <c r="DB888" s="4"/>
      <c r="DC888" s="4"/>
      <c r="DD888" s="4"/>
      <c r="DE888" s="4"/>
      <c r="DF888" s="4"/>
      <c r="DG888" s="4"/>
      <c r="DH888" s="4"/>
      <c r="DI888" s="4"/>
      <c r="DJ888" s="4"/>
      <c r="DK888" s="4"/>
      <c r="DL888" s="4"/>
      <c r="DM888" s="4"/>
      <c r="DN888" s="4"/>
      <c r="DO888" s="4"/>
      <c r="DP888" s="4"/>
      <c r="DQ888" s="4"/>
      <c r="DR888" s="4"/>
      <c r="DS888" s="4"/>
    </row>
    <row r="889">
      <c r="A889" s="9">
        <f>IFERROR(__xludf.DUMMYFUNCTION("""COMPUTED_VALUE"""),45706.0)</f>
        <v>45706</v>
      </c>
      <c r="B889" s="6" t="str">
        <f>IFERROR(__xludf.DUMMYFUNCTION("""COMPUTED_VALUE"""),"Restaurant")</f>
        <v>Restaurant</v>
      </c>
      <c r="C889" s="7">
        <f>IFERROR(__xludf.DUMMYFUNCTION("""COMPUTED_VALUE"""),5300.0)</f>
        <v>5300</v>
      </c>
      <c r="D889" s="6" t="str">
        <f>IFERROR(__xludf.DUMMYFUNCTION("""COMPUTED_VALUE"""),"Restaurant / Café")</f>
        <v>Restaurant / Café</v>
      </c>
      <c r="E889" s="6" t="str">
        <f>IFERROR(__xludf.DUMMYFUNCTION("""COMPUTED_VALUE"""),"Virtual Wallet")</f>
        <v>Virtual Wallet</v>
      </c>
      <c r="F889" s="6" t="s">
        <v>14</v>
      </c>
      <c r="G889" s="8" t="str">
        <f t="shared" si="1"/>
        <v>202502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  <c r="CD889" s="4"/>
      <c r="CE889" s="4"/>
      <c r="CF889" s="4"/>
      <c r="CG889" s="4"/>
      <c r="CH889" s="4"/>
      <c r="CI889" s="4"/>
      <c r="CJ889" s="4"/>
      <c r="CK889" s="4"/>
      <c r="CL889" s="4"/>
      <c r="CM889" s="4"/>
      <c r="CN889" s="4"/>
      <c r="CO889" s="4"/>
      <c r="CP889" s="4"/>
      <c r="CQ889" s="4"/>
      <c r="CR889" s="4"/>
      <c r="CS889" s="4"/>
      <c r="CT889" s="4"/>
      <c r="CU889" s="4"/>
      <c r="CV889" s="4"/>
      <c r="CW889" s="4"/>
      <c r="CX889" s="4"/>
      <c r="CY889" s="4"/>
      <c r="CZ889" s="4"/>
      <c r="DA889" s="4"/>
      <c r="DB889" s="4"/>
      <c r="DC889" s="4"/>
      <c r="DD889" s="4"/>
      <c r="DE889" s="4"/>
      <c r="DF889" s="4"/>
      <c r="DG889" s="4"/>
      <c r="DH889" s="4"/>
      <c r="DI889" s="4"/>
      <c r="DJ889" s="4"/>
      <c r="DK889" s="4"/>
      <c r="DL889" s="4"/>
      <c r="DM889" s="4"/>
      <c r="DN889" s="4"/>
      <c r="DO889" s="4"/>
      <c r="DP889" s="4"/>
      <c r="DQ889" s="4"/>
      <c r="DR889" s="4"/>
      <c r="DS889" s="4"/>
    </row>
    <row r="890">
      <c r="A890" s="9">
        <f>IFERROR(__xludf.DUMMYFUNCTION("""COMPUTED_VALUE"""),45707.0)</f>
        <v>45707</v>
      </c>
      <c r="B890" s="6" t="str">
        <f>IFERROR(__xludf.DUMMYFUNCTION("""COMPUTED_VALUE"""),"Streaming Services")</f>
        <v>Streaming Services</v>
      </c>
      <c r="C890" s="7">
        <f>IFERROR(__xludf.DUMMYFUNCTION("""COMPUTED_VALUE"""),6777.0)</f>
        <v>6777</v>
      </c>
      <c r="D890" s="6" t="str">
        <f>IFERROR(__xludf.DUMMYFUNCTION("""COMPUTED_VALUE"""),"Streaming Services")</f>
        <v>Streaming Services</v>
      </c>
      <c r="E890" s="6" t="str">
        <f>IFERROR(__xludf.DUMMYFUNCTION("""COMPUTED_VALUE"""),"Credit Card")</f>
        <v>Credit Card</v>
      </c>
      <c r="F890" s="6" t="s">
        <v>12</v>
      </c>
      <c r="G890" s="8" t="str">
        <f t="shared" si="1"/>
        <v>202502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  <c r="CD890" s="4"/>
      <c r="CE890" s="4"/>
      <c r="CF890" s="4"/>
      <c r="CG890" s="4"/>
      <c r="CH890" s="4"/>
      <c r="CI890" s="4"/>
      <c r="CJ890" s="4"/>
      <c r="CK890" s="4"/>
      <c r="CL890" s="4"/>
      <c r="CM890" s="4"/>
      <c r="CN890" s="4"/>
      <c r="CO890" s="4"/>
      <c r="CP890" s="4"/>
      <c r="CQ890" s="4"/>
      <c r="CR890" s="4"/>
      <c r="CS890" s="4"/>
      <c r="CT890" s="4"/>
      <c r="CU890" s="4"/>
      <c r="CV890" s="4"/>
      <c r="CW890" s="4"/>
      <c r="CX890" s="4"/>
      <c r="CY890" s="4"/>
      <c r="CZ890" s="4"/>
      <c r="DA890" s="4"/>
      <c r="DB890" s="4"/>
      <c r="DC890" s="4"/>
      <c r="DD890" s="4"/>
      <c r="DE890" s="4"/>
      <c r="DF890" s="4"/>
      <c r="DG890" s="4"/>
      <c r="DH890" s="4"/>
      <c r="DI890" s="4"/>
      <c r="DJ890" s="4"/>
      <c r="DK890" s="4"/>
      <c r="DL890" s="4"/>
      <c r="DM890" s="4"/>
      <c r="DN890" s="4"/>
      <c r="DO890" s="4"/>
      <c r="DP890" s="4"/>
      <c r="DQ890" s="4"/>
      <c r="DR890" s="4"/>
      <c r="DS890" s="4"/>
    </row>
    <row r="891">
      <c r="A891" s="9">
        <f>IFERROR(__xludf.DUMMYFUNCTION("""COMPUTED_VALUE"""),45708.0)</f>
        <v>45708</v>
      </c>
      <c r="B891" s="6" t="str">
        <f>IFERROR(__xludf.DUMMYFUNCTION("""COMPUTED_VALUE"""),"Pharmacy")</f>
        <v>Pharmacy</v>
      </c>
      <c r="C891" s="7">
        <f>IFERROR(__xludf.DUMMYFUNCTION("""COMPUTED_VALUE"""),10392.0)</f>
        <v>10392</v>
      </c>
      <c r="D891" s="6" t="str">
        <f>IFERROR(__xludf.DUMMYFUNCTION("""COMPUTED_VALUE"""),"Personal Care")</f>
        <v>Personal Care</v>
      </c>
      <c r="E891" s="6" t="str">
        <f>IFERROR(__xludf.DUMMYFUNCTION("""COMPUTED_VALUE"""),"Credit Card")</f>
        <v>Credit Card</v>
      </c>
      <c r="F891" s="6" t="s">
        <v>16</v>
      </c>
      <c r="G891" s="8" t="str">
        <f t="shared" si="1"/>
        <v>202502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  <c r="CD891" s="4"/>
      <c r="CE891" s="4"/>
      <c r="CF891" s="4"/>
      <c r="CG891" s="4"/>
      <c r="CH891" s="4"/>
      <c r="CI891" s="4"/>
      <c r="CJ891" s="4"/>
      <c r="CK891" s="4"/>
      <c r="CL891" s="4"/>
      <c r="CM891" s="4"/>
      <c r="CN891" s="4"/>
      <c r="CO891" s="4"/>
      <c r="CP891" s="4"/>
      <c r="CQ891" s="4"/>
      <c r="CR891" s="4"/>
      <c r="CS891" s="4"/>
      <c r="CT891" s="4"/>
      <c r="CU891" s="4"/>
      <c r="CV891" s="4"/>
      <c r="CW891" s="4"/>
      <c r="CX891" s="4"/>
      <c r="CY891" s="4"/>
      <c r="CZ891" s="4"/>
      <c r="DA891" s="4"/>
      <c r="DB891" s="4"/>
      <c r="DC891" s="4"/>
      <c r="DD891" s="4"/>
      <c r="DE891" s="4"/>
      <c r="DF891" s="4"/>
      <c r="DG891" s="4"/>
      <c r="DH891" s="4"/>
      <c r="DI891" s="4"/>
      <c r="DJ891" s="4"/>
      <c r="DK891" s="4"/>
      <c r="DL891" s="4"/>
      <c r="DM891" s="4"/>
      <c r="DN891" s="4"/>
      <c r="DO891" s="4"/>
      <c r="DP891" s="4"/>
      <c r="DQ891" s="4"/>
      <c r="DR891" s="4"/>
      <c r="DS891" s="4"/>
    </row>
    <row r="892">
      <c r="A892" s="9">
        <f>IFERROR(__xludf.DUMMYFUNCTION("""COMPUTED_VALUE"""),45708.0)</f>
        <v>45708</v>
      </c>
      <c r="B892" s="6" t="str">
        <f>IFERROR(__xludf.DUMMYFUNCTION("""COMPUTED_VALUE"""),"Electricity Bill (Edesur)")</f>
        <v>Electricity Bill (Edesur)</v>
      </c>
      <c r="C892" s="7">
        <f>IFERROR(__xludf.DUMMYFUNCTION("""COMPUTED_VALUE"""),9298.0)</f>
        <v>9298</v>
      </c>
      <c r="D892" s="6" t="str">
        <f>IFERROR(__xludf.DUMMYFUNCTION("""COMPUTED_VALUE"""),"Basic Services")</f>
        <v>Basic Services</v>
      </c>
      <c r="E892" s="6" t="str">
        <f>IFERROR(__xludf.DUMMYFUNCTION("""COMPUTED_VALUE"""),"Split Payment")</f>
        <v>Split Payment</v>
      </c>
      <c r="F892" s="6" t="s">
        <v>13</v>
      </c>
      <c r="G892" s="8" t="str">
        <f t="shared" si="1"/>
        <v>202502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  <c r="CD892" s="4"/>
      <c r="CE892" s="4"/>
      <c r="CF892" s="4"/>
      <c r="CG892" s="4"/>
      <c r="CH892" s="4"/>
      <c r="CI892" s="4"/>
      <c r="CJ892" s="4"/>
      <c r="CK892" s="4"/>
      <c r="CL892" s="4"/>
      <c r="CM892" s="4"/>
      <c r="CN892" s="4"/>
      <c r="CO892" s="4"/>
      <c r="CP892" s="4"/>
      <c r="CQ892" s="4"/>
      <c r="CR892" s="4"/>
      <c r="CS892" s="4"/>
      <c r="CT892" s="4"/>
      <c r="CU892" s="4"/>
      <c r="CV892" s="4"/>
      <c r="CW892" s="4"/>
      <c r="CX892" s="4"/>
      <c r="CY892" s="4"/>
      <c r="CZ892" s="4"/>
      <c r="DA892" s="4"/>
      <c r="DB892" s="4"/>
      <c r="DC892" s="4"/>
      <c r="DD892" s="4"/>
      <c r="DE892" s="4"/>
      <c r="DF892" s="4"/>
      <c r="DG892" s="4"/>
      <c r="DH892" s="4"/>
      <c r="DI892" s="4"/>
      <c r="DJ892" s="4"/>
      <c r="DK892" s="4"/>
      <c r="DL892" s="4"/>
      <c r="DM892" s="4"/>
      <c r="DN892" s="4"/>
      <c r="DO892" s="4"/>
      <c r="DP892" s="4"/>
      <c r="DQ892" s="4"/>
      <c r="DR892" s="4"/>
      <c r="DS892" s="4"/>
    </row>
    <row r="893">
      <c r="A893" s="9">
        <f>IFERROR(__xludf.DUMMYFUNCTION("""COMPUTED_VALUE"""),45708.0)</f>
        <v>45708</v>
      </c>
      <c r="B893" s="6" t="str">
        <f>IFERROR(__xludf.DUMMYFUNCTION("""COMPUTED_VALUE"""),"Restaurant")</f>
        <v>Restaurant</v>
      </c>
      <c r="C893" s="7">
        <f>IFERROR(__xludf.DUMMYFUNCTION("""COMPUTED_VALUE"""),5900.0)</f>
        <v>5900</v>
      </c>
      <c r="D893" s="6" t="str">
        <f>IFERROR(__xludf.DUMMYFUNCTION("""COMPUTED_VALUE"""),"Restaurant / Café")</f>
        <v>Restaurant / Café</v>
      </c>
      <c r="E893" s="6" t="str">
        <f>IFERROR(__xludf.DUMMYFUNCTION("""COMPUTED_VALUE"""),"Virtual Wallet")</f>
        <v>Virtual Wallet</v>
      </c>
      <c r="F893" s="6" t="s">
        <v>14</v>
      </c>
      <c r="G893" s="8" t="str">
        <f t="shared" si="1"/>
        <v>202502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  <c r="CD893" s="4"/>
      <c r="CE893" s="4"/>
      <c r="CF893" s="4"/>
      <c r="CG893" s="4"/>
      <c r="CH893" s="4"/>
      <c r="CI893" s="4"/>
      <c r="CJ893" s="4"/>
      <c r="CK893" s="4"/>
      <c r="CL893" s="4"/>
      <c r="CM893" s="4"/>
      <c r="CN893" s="4"/>
      <c r="CO893" s="4"/>
      <c r="CP893" s="4"/>
      <c r="CQ893" s="4"/>
      <c r="CR893" s="4"/>
      <c r="CS893" s="4"/>
      <c r="CT893" s="4"/>
      <c r="CU893" s="4"/>
      <c r="CV893" s="4"/>
      <c r="CW893" s="4"/>
      <c r="CX893" s="4"/>
      <c r="CY893" s="4"/>
      <c r="CZ893" s="4"/>
      <c r="DA893" s="4"/>
      <c r="DB893" s="4"/>
      <c r="DC893" s="4"/>
      <c r="DD893" s="4"/>
      <c r="DE893" s="4"/>
      <c r="DF893" s="4"/>
      <c r="DG893" s="4"/>
      <c r="DH893" s="4"/>
      <c r="DI893" s="4"/>
      <c r="DJ893" s="4"/>
      <c r="DK893" s="4"/>
      <c r="DL893" s="4"/>
      <c r="DM893" s="4"/>
      <c r="DN893" s="4"/>
      <c r="DO893" s="4"/>
      <c r="DP893" s="4"/>
      <c r="DQ893" s="4"/>
      <c r="DR893" s="4"/>
      <c r="DS893" s="4"/>
    </row>
    <row r="894">
      <c r="A894" s="9">
        <f>IFERROR(__xludf.DUMMYFUNCTION("""COMPUTED_VALUE"""),45709.0)</f>
        <v>45709</v>
      </c>
      <c r="B894" s="6" t="str">
        <f>IFERROR(__xludf.DUMMYFUNCTION("""COMPUTED_VALUE"""),"Gift")</f>
        <v>Gift</v>
      </c>
      <c r="C894" s="7">
        <f>IFERROR(__xludf.DUMMYFUNCTION("""COMPUTED_VALUE"""),11666.7)</f>
        <v>11666.7</v>
      </c>
      <c r="D894" s="6" t="str">
        <f>IFERROR(__xludf.DUMMYFUNCTION("""COMPUTED_VALUE"""),"Gifts")</f>
        <v>Gifts</v>
      </c>
      <c r="E894" s="6" t="str">
        <f>IFERROR(__xludf.DUMMYFUNCTION("""COMPUTED_VALUE"""),"Credit Card")</f>
        <v>Credit Card</v>
      </c>
      <c r="F894" s="6"/>
      <c r="G894" s="8" t="str">
        <f t="shared" si="1"/>
        <v>202502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  <c r="CD894" s="4"/>
      <c r="CE894" s="4"/>
      <c r="CF894" s="4"/>
      <c r="CG894" s="4"/>
      <c r="CH894" s="4"/>
      <c r="CI894" s="4"/>
      <c r="CJ894" s="4"/>
      <c r="CK894" s="4"/>
      <c r="CL894" s="4"/>
      <c r="CM894" s="4"/>
      <c r="CN894" s="4"/>
      <c r="CO894" s="4"/>
      <c r="CP894" s="4"/>
      <c r="CQ894" s="4"/>
      <c r="CR894" s="4"/>
      <c r="CS894" s="4"/>
      <c r="CT894" s="4"/>
      <c r="CU894" s="4"/>
      <c r="CV894" s="4"/>
      <c r="CW894" s="4"/>
      <c r="CX894" s="4"/>
      <c r="CY894" s="4"/>
      <c r="CZ894" s="4"/>
      <c r="DA894" s="4"/>
      <c r="DB894" s="4"/>
      <c r="DC894" s="4"/>
      <c r="DD894" s="4"/>
      <c r="DE894" s="4"/>
      <c r="DF894" s="4"/>
      <c r="DG894" s="4"/>
      <c r="DH894" s="4"/>
      <c r="DI894" s="4"/>
      <c r="DJ894" s="4"/>
      <c r="DK894" s="4"/>
      <c r="DL894" s="4"/>
      <c r="DM894" s="4"/>
      <c r="DN894" s="4"/>
      <c r="DO894" s="4"/>
      <c r="DP894" s="4"/>
      <c r="DQ894" s="4"/>
      <c r="DR894" s="4"/>
      <c r="DS894" s="4"/>
    </row>
    <row r="895">
      <c r="A895" s="9">
        <f>IFERROR(__xludf.DUMMYFUNCTION("""COMPUTED_VALUE"""),45709.0)</f>
        <v>45709</v>
      </c>
      <c r="B895" s="6" t="str">
        <f>IFERROR(__xludf.DUMMYFUNCTION("""COMPUTED_VALUE"""),"Gift")</f>
        <v>Gift</v>
      </c>
      <c r="C895" s="7">
        <f>IFERROR(__xludf.DUMMYFUNCTION("""COMPUTED_VALUE"""),11330.0)</f>
        <v>11330</v>
      </c>
      <c r="D895" s="6" t="str">
        <f>IFERROR(__xludf.DUMMYFUNCTION("""COMPUTED_VALUE"""),"Gifts")</f>
        <v>Gifts</v>
      </c>
      <c r="E895" s="6" t="str">
        <f>IFERROR(__xludf.DUMMYFUNCTION("""COMPUTED_VALUE"""),"Credit Card")</f>
        <v>Credit Card</v>
      </c>
      <c r="F895" s="6"/>
      <c r="G895" s="8" t="str">
        <f t="shared" si="1"/>
        <v>202502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  <c r="CD895" s="4"/>
      <c r="CE895" s="4"/>
      <c r="CF895" s="4"/>
      <c r="CG895" s="4"/>
      <c r="CH895" s="4"/>
      <c r="CI895" s="4"/>
      <c r="CJ895" s="4"/>
      <c r="CK895" s="4"/>
      <c r="CL895" s="4"/>
      <c r="CM895" s="4"/>
      <c r="CN895" s="4"/>
      <c r="CO895" s="4"/>
      <c r="CP895" s="4"/>
      <c r="CQ895" s="4"/>
      <c r="CR895" s="4"/>
      <c r="CS895" s="4"/>
      <c r="CT895" s="4"/>
      <c r="CU895" s="4"/>
      <c r="CV895" s="4"/>
      <c r="CW895" s="4"/>
      <c r="CX895" s="4"/>
      <c r="CY895" s="4"/>
      <c r="CZ895" s="4"/>
      <c r="DA895" s="4"/>
      <c r="DB895" s="4"/>
      <c r="DC895" s="4"/>
      <c r="DD895" s="4"/>
      <c r="DE895" s="4"/>
      <c r="DF895" s="4"/>
      <c r="DG895" s="4"/>
      <c r="DH895" s="4"/>
      <c r="DI895" s="4"/>
      <c r="DJ895" s="4"/>
      <c r="DK895" s="4"/>
      <c r="DL895" s="4"/>
      <c r="DM895" s="4"/>
      <c r="DN895" s="4"/>
      <c r="DO895" s="4"/>
      <c r="DP895" s="4"/>
      <c r="DQ895" s="4"/>
      <c r="DR895" s="4"/>
      <c r="DS895" s="4"/>
    </row>
    <row r="896">
      <c r="A896" s="9">
        <f>IFERROR(__xludf.DUMMYFUNCTION("""COMPUTED_VALUE"""),45709.0)</f>
        <v>45709</v>
      </c>
      <c r="B896" s="6" t="str">
        <f>IFERROR(__xludf.DUMMYFUNCTION("""COMPUTED_VALUE"""),"Gift")</f>
        <v>Gift</v>
      </c>
      <c r="C896" s="7">
        <f>IFERROR(__xludf.DUMMYFUNCTION("""COMPUTED_VALUE"""),8166.68)</f>
        <v>8166.68</v>
      </c>
      <c r="D896" s="6" t="str">
        <f>IFERROR(__xludf.DUMMYFUNCTION("""COMPUTED_VALUE"""),"Gifts")</f>
        <v>Gifts</v>
      </c>
      <c r="E896" s="6" t="str">
        <f>IFERROR(__xludf.DUMMYFUNCTION("""COMPUTED_VALUE"""),"Credit Card")</f>
        <v>Credit Card</v>
      </c>
      <c r="F896" s="6"/>
      <c r="G896" s="8" t="str">
        <f t="shared" si="1"/>
        <v>202502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  <c r="CD896" s="4"/>
      <c r="CE896" s="4"/>
      <c r="CF896" s="4"/>
      <c r="CG896" s="4"/>
      <c r="CH896" s="4"/>
      <c r="CI896" s="4"/>
      <c r="CJ896" s="4"/>
      <c r="CK896" s="4"/>
      <c r="CL896" s="4"/>
      <c r="CM896" s="4"/>
      <c r="CN896" s="4"/>
      <c r="CO896" s="4"/>
      <c r="CP896" s="4"/>
      <c r="CQ896" s="4"/>
      <c r="CR896" s="4"/>
      <c r="CS896" s="4"/>
      <c r="CT896" s="4"/>
      <c r="CU896" s="4"/>
      <c r="CV896" s="4"/>
      <c r="CW896" s="4"/>
      <c r="CX896" s="4"/>
      <c r="CY896" s="4"/>
      <c r="CZ896" s="4"/>
      <c r="DA896" s="4"/>
      <c r="DB896" s="4"/>
      <c r="DC896" s="4"/>
      <c r="DD896" s="4"/>
      <c r="DE896" s="4"/>
      <c r="DF896" s="4"/>
      <c r="DG896" s="4"/>
      <c r="DH896" s="4"/>
      <c r="DI896" s="4"/>
      <c r="DJ896" s="4"/>
      <c r="DK896" s="4"/>
      <c r="DL896" s="4"/>
      <c r="DM896" s="4"/>
      <c r="DN896" s="4"/>
      <c r="DO896" s="4"/>
      <c r="DP896" s="4"/>
      <c r="DQ896" s="4"/>
      <c r="DR896" s="4"/>
      <c r="DS896" s="4"/>
    </row>
    <row r="897">
      <c r="A897" s="9">
        <f>IFERROR(__xludf.DUMMYFUNCTION("""COMPUTED_VALUE"""),45709.0)</f>
        <v>45709</v>
      </c>
      <c r="B897" s="6" t="str">
        <f>IFERROR(__xludf.DUMMYFUNCTION("""COMPUTED_VALUE"""),"Gift")</f>
        <v>Gift</v>
      </c>
      <c r="C897" s="7">
        <f>IFERROR(__xludf.DUMMYFUNCTION("""COMPUTED_VALUE"""),15665.34)</f>
        <v>15665.34</v>
      </c>
      <c r="D897" s="6" t="str">
        <f>IFERROR(__xludf.DUMMYFUNCTION("""COMPUTED_VALUE"""),"Gifts")</f>
        <v>Gifts</v>
      </c>
      <c r="E897" s="6" t="str">
        <f>IFERROR(__xludf.DUMMYFUNCTION("""COMPUTED_VALUE"""),"Credit Card")</f>
        <v>Credit Card</v>
      </c>
      <c r="F897" s="6"/>
      <c r="G897" s="8" t="str">
        <f t="shared" si="1"/>
        <v>202502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  <c r="CD897" s="4"/>
      <c r="CE897" s="4"/>
      <c r="CF897" s="4"/>
      <c r="CG897" s="4"/>
      <c r="CH897" s="4"/>
      <c r="CI897" s="4"/>
      <c r="CJ897" s="4"/>
      <c r="CK897" s="4"/>
      <c r="CL897" s="4"/>
      <c r="CM897" s="4"/>
      <c r="CN897" s="4"/>
      <c r="CO897" s="4"/>
      <c r="CP897" s="4"/>
      <c r="CQ897" s="4"/>
      <c r="CR897" s="4"/>
      <c r="CS897" s="4"/>
      <c r="CT897" s="4"/>
      <c r="CU897" s="4"/>
      <c r="CV897" s="4"/>
      <c r="CW897" s="4"/>
      <c r="CX897" s="4"/>
      <c r="CY897" s="4"/>
      <c r="CZ897" s="4"/>
      <c r="DA897" s="4"/>
      <c r="DB897" s="4"/>
      <c r="DC897" s="4"/>
      <c r="DD897" s="4"/>
      <c r="DE897" s="4"/>
      <c r="DF897" s="4"/>
      <c r="DG897" s="4"/>
      <c r="DH897" s="4"/>
      <c r="DI897" s="4"/>
      <c r="DJ897" s="4"/>
      <c r="DK897" s="4"/>
      <c r="DL897" s="4"/>
      <c r="DM897" s="4"/>
      <c r="DN897" s="4"/>
      <c r="DO897" s="4"/>
      <c r="DP897" s="4"/>
      <c r="DQ897" s="4"/>
      <c r="DR897" s="4"/>
      <c r="DS897" s="4"/>
    </row>
    <row r="898">
      <c r="A898" s="9">
        <f>IFERROR(__xludf.DUMMYFUNCTION("""COMPUTED_VALUE"""),45709.0)</f>
        <v>45709</v>
      </c>
      <c r="B898" s="6" t="str">
        <f>IFERROR(__xludf.DUMMYFUNCTION("""COMPUTED_VALUE"""),"Cab/Uber")</f>
        <v>Cab/Uber</v>
      </c>
      <c r="C898" s="7">
        <f>IFERROR(__xludf.DUMMYFUNCTION("""COMPUTED_VALUE"""),3100.0)</f>
        <v>3100</v>
      </c>
      <c r="D898" s="6" t="str">
        <f>IFERROR(__xludf.DUMMYFUNCTION("""COMPUTED_VALUE"""),"Transportation")</f>
        <v>Transportation</v>
      </c>
      <c r="E898" s="6" t="str">
        <f>IFERROR(__xludf.DUMMYFUNCTION("""COMPUTED_VALUE"""),"Virtual Wallet")</f>
        <v>Virtual Wallet</v>
      </c>
      <c r="F898" s="6" t="s">
        <v>9</v>
      </c>
      <c r="G898" s="8" t="str">
        <f t="shared" si="1"/>
        <v>202502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  <c r="CD898" s="4"/>
      <c r="CE898" s="4"/>
      <c r="CF898" s="4"/>
      <c r="CG898" s="4"/>
      <c r="CH898" s="4"/>
      <c r="CI898" s="4"/>
      <c r="CJ898" s="4"/>
      <c r="CK898" s="4"/>
      <c r="CL898" s="4"/>
      <c r="CM898" s="4"/>
      <c r="CN898" s="4"/>
      <c r="CO898" s="4"/>
      <c r="CP898" s="4"/>
      <c r="CQ898" s="4"/>
      <c r="CR898" s="4"/>
      <c r="CS898" s="4"/>
      <c r="CT898" s="4"/>
      <c r="CU898" s="4"/>
      <c r="CV898" s="4"/>
      <c r="CW898" s="4"/>
      <c r="CX898" s="4"/>
      <c r="CY898" s="4"/>
      <c r="CZ898" s="4"/>
      <c r="DA898" s="4"/>
      <c r="DB898" s="4"/>
      <c r="DC898" s="4"/>
      <c r="DD898" s="4"/>
      <c r="DE898" s="4"/>
      <c r="DF898" s="4"/>
      <c r="DG898" s="4"/>
      <c r="DH898" s="4"/>
      <c r="DI898" s="4"/>
      <c r="DJ898" s="4"/>
      <c r="DK898" s="4"/>
      <c r="DL898" s="4"/>
      <c r="DM898" s="4"/>
      <c r="DN898" s="4"/>
      <c r="DO898" s="4"/>
      <c r="DP898" s="4"/>
      <c r="DQ898" s="4"/>
      <c r="DR898" s="4"/>
      <c r="DS898" s="4"/>
    </row>
    <row r="899">
      <c r="A899" s="9">
        <f>IFERROR(__xludf.DUMMYFUNCTION("""COMPUTED_VALUE"""),45709.0)</f>
        <v>45709</v>
      </c>
      <c r="B899" s="6" t="str">
        <f>IFERROR(__xludf.DUMMYFUNCTION("""COMPUTED_VALUE"""),"Restaurant")</f>
        <v>Restaurant</v>
      </c>
      <c r="C899" s="7">
        <f>IFERROR(__xludf.DUMMYFUNCTION("""COMPUTED_VALUE"""),6050.0)</f>
        <v>6050</v>
      </c>
      <c r="D899" s="6" t="str">
        <f>IFERROR(__xludf.DUMMYFUNCTION("""COMPUTED_VALUE"""),"Restaurant / Café")</f>
        <v>Restaurant / Café</v>
      </c>
      <c r="E899" s="6" t="str">
        <f>IFERROR(__xludf.DUMMYFUNCTION("""COMPUTED_VALUE"""),"Virtual Wallet")</f>
        <v>Virtual Wallet</v>
      </c>
      <c r="F899" s="6" t="s">
        <v>14</v>
      </c>
      <c r="G899" s="8" t="str">
        <f t="shared" si="1"/>
        <v>202502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  <c r="CD899" s="4"/>
      <c r="CE899" s="4"/>
      <c r="CF899" s="4"/>
      <c r="CG899" s="4"/>
      <c r="CH899" s="4"/>
      <c r="CI899" s="4"/>
      <c r="CJ899" s="4"/>
      <c r="CK899" s="4"/>
      <c r="CL899" s="4"/>
      <c r="CM899" s="4"/>
      <c r="CN899" s="4"/>
      <c r="CO899" s="4"/>
      <c r="CP899" s="4"/>
      <c r="CQ899" s="4"/>
      <c r="CR899" s="4"/>
      <c r="CS899" s="4"/>
      <c r="CT899" s="4"/>
      <c r="CU899" s="4"/>
      <c r="CV899" s="4"/>
      <c r="CW899" s="4"/>
      <c r="CX899" s="4"/>
      <c r="CY899" s="4"/>
      <c r="CZ899" s="4"/>
      <c r="DA899" s="4"/>
      <c r="DB899" s="4"/>
      <c r="DC899" s="4"/>
      <c r="DD899" s="4"/>
      <c r="DE899" s="4"/>
      <c r="DF899" s="4"/>
      <c r="DG899" s="4"/>
      <c r="DH899" s="4"/>
      <c r="DI899" s="4"/>
      <c r="DJ899" s="4"/>
      <c r="DK899" s="4"/>
      <c r="DL899" s="4"/>
      <c r="DM899" s="4"/>
      <c r="DN899" s="4"/>
      <c r="DO899" s="4"/>
      <c r="DP899" s="4"/>
      <c r="DQ899" s="4"/>
      <c r="DR899" s="4"/>
      <c r="DS899" s="4"/>
    </row>
    <row r="900">
      <c r="A900" s="9">
        <f>IFERROR(__xludf.DUMMYFUNCTION("""COMPUTED_VALUE"""),45710.0)</f>
        <v>45710</v>
      </c>
      <c r="B900" s="6" t="str">
        <f>IFERROR(__xludf.DUMMYFUNCTION("""COMPUTED_VALUE"""),"Appliances")</f>
        <v>Appliances</v>
      </c>
      <c r="C900" s="7">
        <f>IFERROR(__xludf.DUMMYFUNCTION("""COMPUTED_VALUE"""),2361.0)</f>
        <v>2361</v>
      </c>
      <c r="D900" s="6" t="str">
        <f>IFERROR(__xludf.DUMMYFUNCTION("""COMPUTED_VALUE"""),"Home Goods &amp; Utilities")</f>
        <v>Home Goods &amp; Utilities</v>
      </c>
      <c r="E900" s="6" t="str">
        <f>IFERROR(__xludf.DUMMYFUNCTION("""COMPUTED_VALUE"""),"Credit Card")</f>
        <v>Credit Card</v>
      </c>
      <c r="F900" s="6" t="s">
        <v>8</v>
      </c>
      <c r="G900" s="8" t="str">
        <f t="shared" si="1"/>
        <v>202502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  <c r="CD900" s="4"/>
      <c r="CE900" s="4"/>
      <c r="CF900" s="4"/>
      <c r="CG900" s="4"/>
      <c r="CH900" s="4"/>
      <c r="CI900" s="4"/>
      <c r="CJ900" s="4"/>
      <c r="CK900" s="4"/>
      <c r="CL900" s="4"/>
      <c r="CM900" s="4"/>
      <c r="CN900" s="4"/>
      <c r="CO900" s="4"/>
      <c r="CP900" s="4"/>
      <c r="CQ900" s="4"/>
      <c r="CR900" s="4"/>
      <c r="CS900" s="4"/>
      <c r="CT900" s="4"/>
      <c r="CU900" s="4"/>
      <c r="CV900" s="4"/>
      <c r="CW900" s="4"/>
      <c r="CX900" s="4"/>
      <c r="CY900" s="4"/>
      <c r="CZ900" s="4"/>
      <c r="DA900" s="4"/>
      <c r="DB900" s="4"/>
      <c r="DC900" s="4"/>
      <c r="DD900" s="4"/>
      <c r="DE900" s="4"/>
      <c r="DF900" s="4"/>
      <c r="DG900" s="4"/>
      <c r="DH900" s="4"/>
      <c r="DI900" s="4"/>
      <c r="DJ900" s="4"/>
      <c r="DK900" s="4"/>
      <c r="DL900" s="4"/>
      <c r="DM900" s="4"/>
      <c r="DN900" s="4"/>
      <c r="DO900" s="4"/>
      <c r="DP900" s="4"/>
      <c r="DQ900" s="4"/>
      <c r="DR900" s="4"/>
      <c r="DS900" s="4"/>
    </row>
    <row r="901">
      <c r="A901" s="9">
        <f>IFERROR(__xludf.DUMMYFUNCTION("""COMPUTED_VALUE"""),45710.0)</f>
        <v>45710</v>
      </c>
      <c r="B901" s="6" t="str">
        <f>IFERROR(__xludf.DUMMYFUNCTION("""COMPUTED_VALUE"""),"Groceries")</f>
        <v>Groceries</v>
      </c>
      <c r="C901" s="7">
        <f>IFERROR(__xludf.DUMMYFUNCTION("""COMPUTED_VALUE"""),10378.0)</f>
        <v>10378</v>
      </c>
      <c r="D901" s="6" t="str">
        <f>IFERROR(__xludf.DUMMYFUNCTION("""COMPUTED_VALUE"""),"Groceries")</f>
        <v>Groceries</v>
      </c>
      <c r="E901" s="6" t="str">
        <f>IFERROR(__xludf.DUMMYFUNCTION("""COMPUTED_VALUE"""),"Split Payment")</f>
        <v>Split Payment</v>
      </c>
      <c r="F901" s="6" t="s">
        <v>7</v>
      </c>
      <c r="G901" s="8" t="str">
        <f t="shared" si="1"/>
        <v>202502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  <c r="CD901" s="4"/>
      <c r="CE901" s="4"/>
      <c r="CF901" s="4"/>
      <c r="CG901" s="4"/>
      <c r="CH901" s="4"/>
      <c r="CI901" s="4"/>
      <c r="CJ901" s="4"/>
      <c r="CK901" s="4"/>
      <c r="CL901" s="4"/>
      <c r="CM901" s="4"/>
      <c r="CN901" s="4"/>
      <c r="CO901" s="4"/>
      <c r="CP901" s="4"/>
      <c r="CQ901" s="4"/>
      <c r="CR901" s="4"/>
      <c r="CS901" s="4"/>
      <c r="CT901" s="4"/>
      <c r="CU901" s="4"/>
      <c r="CV901" s="4"/>
      <c r="CW901" s="4"/>
      <c r="CX901" s="4"/>
      <c r="CY901" s="4"/>
      <c r="CZ901" s="4"/>
      <c r="DA901" s="4"/>
      <c r="DB901" s="4"/>
      <c r="DC901" s="4"/>
      <c r="DD901" s="4"/>
      <c r="DE901" s="4"/>
      <c r="DF901" s="4"/>
      <c r="DG901" s="4"/>
      <c r="DH901" s="4"/>
      <c r="DI901" s="4"/>
      <c r="DJ901" s="4"/>
      <c r="DK901" s="4"/>
      <c r="DL901" s="4"/>
      <c r="DM901" s="4"/>
      <c r="DN901" s="4"/>
      <c r="DO901" s="4"/>
      <c r="DP901" s="4"/>
      <c r="DQ901" s="4"/>
      <c r="DR901" s="4"/>
      <c r="DS901" s="4"/>
    </row>
    <row r="902">
      <c r="A902" s="9">
        <f>IFERROR(__xludf.DUMMYFUNCTION("""COMPUTED_VALUE"""),45710.0)</f>
        <v>45710</v>
      </c>
      <c r="B902" s="6" t="str">
        <f>IFERROR(__xludf.DUMMYFUNCTION("""COMPUTED_VALUE"""),"Restaurant")</f>
        <v>Restaurant</v>
      </c>
      <c r="C902" s="7">
        <f>IFERROR(__xludf.DUMMYFUNCTION("""COMPUTED_VALUE"""),4800.0)</f>
        <v>4800</v>
      </c>
      <c r="D902" s="6" t="str">
        <f>IFERROR(__xludf.DUMMYFUNCTION("""COMPUTED_VALUE"""),"Restaurant / Café")</f>
        <v>Restaurant / Café</v>
      </c>
      <c r="E902" s="6" t="str">
        <f>IFERROR(__xludf.DUMMYFUNCTION("""COMPUTED_VALUE"""),"Virtual Wallet")</f>
        <v>Virtual Wallet</v>
      </c>
      <c r="F902" s="6" t="s">
        <v>14</v>
      </c>
      <c r="G902" s="8" t="str">
        <f t="shared" si="1"/>
        <v>202502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  <c r="CD902" s="4"/>
      <c r="CE902" s="4"/>
      <c r="CF902" s="4"/>
      <c r="CG902" s="4"/>
      <c r="CH902" s="4"/>
      <c r="CI902" s="4"/>
      <c r="CJ902" s="4"/>
      <c r="CK902" s="4"/>
      <c r="CL902" s="4"/>
      <c r="CM902" s="4"/>
      <c r="CN902" s="4"/>
      <c r="CO902" s="4"/>
      <c r="CP902" s="4"/>
      <c r="CQ902" s="4"/>
      <c r="CR902" s="4"/>
      <c r="CS902" s="4"/>
      <c r="CT902" s="4"/>
      <c r="CU902" s="4"/>
      <c r="CV902" s="4"/>
      <c r="CW902" s="4"/>
      <c r="CX902" s="4"/>
      <c r="CY902" s="4"/>
      <c r="CZ902" s="4"/>
      <c r="DA902" s="4"/>
      <c r="DB902" s="4"/>
      <c r="DC902" s="4"/>
      <c r="DD902" s="4"/>
      <c r="DE902" s="4"/>
      <c r="DF902" s="4"/>
      <c r="DG902" s="4"/>
      <c r="DH902" s="4"/>
      <c r="DI902" s="4"/>
      <c r="DJ902" s="4"/>
      <c r="DK902" s="4"/>
      <c r="DL902" s="4"/>
      <c r="DM902" s="4"/>
      <c r="DN902" s="4"/>
      <c r="DO902" s="4"/>
      <c r="DP902" s="4"/>
      <c r="DQ902" s="4"/>
      <c r="DR902" s="4"/>
      <c r="DS902" s="4"/>
    </row>
    <row r="903">
      <c r="A903" s="9">
        <f>IFERROR(__xludf.DUMMYFUNCTION("""COMPUTED_VALUE"""),45711.0)</f>
        <v>45711</v>
      </c>
      <c r="B903" s="6" t="str">
        <f>IFERROR(__xludf.DUMMYFUNCTION("""COMPUTED_VALUE"""),"Appliances")</f>
        <v>Appliances</v>
      </c>
      <c r="C903" s="7">
        <f>IFERROR(__xludf.DUMMYFUNCTION("""COMPUTED_VALUE"""),13889.0)</f>
        <v>13889</v>
      </c>
      <c r="D903" s="6" t="str">
        <f>IFERROR(__xludf.DUMMYFUNCTION("""COMPUTED_VALUE"""),"Home Goods &amp; Utilities")</f>
        <v>Home Goods &amp; Utilities</v>
      </c>
      <c r="E903" s="6" t="str">
        <f>IFERROR(__xludf.DUMMYFUNCTION("""COMPUTED_VALUE"""),"Credit Card")</f>
        <v>Credit Card</v>
      </c>
      <c r="F903" s="6" t="s">
        <v>8</v>
      </c>
      <c r="G903" s="8" t="str">
        <f t="shared" si="1"/>
        <v>202502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  <c r="CD903" s="4"/>
      <c r="CE903" s="4"/>
      <c r="CF903" s="4"/>
      <c r="CG903" s="4"/>
      <c r="CH903" s="4"/>
      <c r="CI903" s="4"/>
      <c r="CJ903" s="4"/>
      <c r="CK903" s="4"/>
      <c r="CL903" s="4"/>
      <c r="CM903" s="4"/>
      <c r="CN903" s="4"/>
      <c r="CO903" s="4"/>
      <c r="CP903" s="4"/>
      <c r="CQ903" s="4"/>
      <c r="CR903" s="4"/>
      <c r="CS903" s="4"/>
      <c r="CT903" s="4"/>
      <c r="CU903" s="4"/>
      <c r="CV903" s="4"/>
      <c r="CW903" s="4"/>
      <c r="CX903" s="4"/>
      <c r="CY903" s="4"/>
      <c r="CZ903" s="4"/>
      <c r="DA903" s="4"/>
      <c r="DB903" s="4"/>
      <c r="DC903" s="4"/>
      <c r="DD903" s="4"/>
      <c r="DE903" s="4"/>
      <c r="DF903" s="4"/>
      <c r="DG903" s="4"/>
      <c r="DH903" s="4"/>
      <c r="DI903" s="4"/>
      <c r="DJ903" s="4"/>
      <c r="DK903" s="4"/>
      <c r="DL903" s="4"/>
      <c r="DM903" s="4"/>
      <c r="DN903" s="4"/>
      <c r="DO903" s="4"/>
      <c r="DP903" s="4"/>
      <c r="DQ903" s="4"/>
      <c r="DR903" s="4"/>
      <c r="DS903" s="4"/>
    </row>
    <row r="904">
      <c r="A904" s="9">
        <f>IFERROR(__xludf.DUMMYFUNCTION("""COMPUTED_VALUE"""),45711.0)</f>
        <v>45711</v>
      </c>
      <c r="B904" s="6" t="str">
        <f>IFERROR(__xludf.DUMMYFUNCTION("""COMPUTED_VALUE"""),"Clothing")</f>
        <v>Clothing</v>
      </c>
      <c r="C904" s="7">
        <f>IFERROR(__xludf.DUMMYFUNCTION("""COMPUTED_VALUE"""),6000.0)</f>
        <v>6000</v>
      </c>
      <c r="D904" s="6" t="str">
        <f>IFERROR(__xludf.DUMMYFUNCTION("""COMPUTED_VALUE"""),"Clothing")</f>
        <v>Clothing</v>
      </c>
      <c r="E904" s="6" t="str">
        <f>IFERROR(__xludf.DUMMYFUNCTION("""COMPUTED_VALUE"""),"Virtual Wallet")</f>
        <v>Virtual Wallet</v>
      </c>
      <c r="F904" s="6" t="s">
        <v>10</v>
      </c>
      <c r="G904" s="8" t="str">
        <f t="shared" si="1"/>
        <v>202502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  <c r="CD904" s="4"/>
      <c r="CE904" s="4"/>
      <c r="CF904" s="4"/>
      <c r="CG904" s="4"/>
      <c r="CH904" s="4"/>
      <c r="CI904" s="4"/>
      <c r="CJ904" s="4"/>
      <c r="CK904" s="4"/>
      <c r="CL904" s="4"/>
      <c r="CM904" s="4"/>
      <c r="CN904" s="4"/>
      <c r="CO904" s="4"/>
      <c r="CP904" s="4"/>
      <c r="CQ904" s="4"/>
      <c r="CR904" s="4"/>
      <c r="CS904" s="4"/>
      <c r="CT904" s="4"/>
      <c r="CU904" s="4"/>
      <c r="CV904" s="4"/>
      <c r="CW904" s="4"/>
      <c r="CX904" s="4"/>
      <c r="CY904" s="4"/>
      <c r="CZ904" s="4"/>
      <c r="DA904" s="4"/>
      <c r="DB904" s="4"/>
      <c r="DC904" s="4"/>
      <c r="DD904" s="4"/>
      <c r="DE904" s="4"/>
      <c r="DF904" s="4"/>
      <c r="DG904" s="4"/>
      <c r="DH904" s="4"/>
      <c r="DI904" s="4"/>
      <c r="DJ904" s="4"/>
      <c r="DK904" s="4"/>
      <c r="DL904" s="4"/>
      <c r="DM904" s="4"/>
      <c r="DN904" s="4"/>
      <c r="DO904" s="4"/>
      <c r="DP904" s="4"/>
      <c r="DQ904" s="4"/>
      <c r="DR904" s="4"/>
      <c r="DS904" s="4"/>
    </row>
    <row r="905">
      <c r="A905" s="9">
        <f>IFERROR(__xludf.DUMMYFUNCTION("""COMPUTED_VALUE"""),45711.0)</f>
        <v>45711</v>
      </c>
      <c r="B905" s="6" t="str">
        <f>IFERROR(__xludf.DUMMYFUNCTION("""COMPUTED_VALUE"""),"Restaurant")</f>
        <v>Restaurant</v>
      </c>
      <c r="C905" s="7">
        <f>IFERROR(__xludf.DUMMYFUNCTION("""COMPUTED_VALUE"""),11979.0)</f>
        <v>11979</v>
      </c>
      <c r="D905" s="6" t="str">
        <f>IFERROR(__xludf.DUMMYFUNCTION("""COMPUTED_VALUE"""),"Restaurant / Café")</f>
        <v>Restaurant / Café</v>
      </c>
      <c r="E905" s="6" t="str">
        <f>IFERROR(__xludf.DUMMYFUNCTION("""COMPUTED_VALUE"""),"Credit Card")</f>
        <v>Credit Card</v>
      </c>
      <c r="F905" s="6" t="s">
        <v>14</v>
      </c>
      <c r="G905" s="8" t="str">
        <f t="shared" si="1"/>
        <v>202502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  <c r="CD905" s="4"/>
      <c r="CE905" s="4"/>
      <c r="CF905" s="4"/>
      <c r="CG905" s="4"/>
      <c r="CH905" s="4"/>
      <c r="CI905" s="4"/>
      <c r="CJ905" s="4"/>
      <c r="CK905" s="4"/>
      <c r="CL905" s="4"/>
      <c r="CM905" s="4"/>
      <c r="CN905" s="4"/>
      <c r="CO905" s="4"/>
      <c r="CP905" s="4"/>
      <c r="CQ905" s="4"/>
      <c r="CR905" s="4"/>
      <c r="CS905" s="4"/>
      <c r="CT905" s="4"/>
      <c r="CU905" s="4"/>
      <c r="CV905" s="4"/>
      <c r="CW905" s="4"/>
      <c r="CX905" s="4"/>
      <c r="CY905" s="4"/>
      <c r="CZ905" s="4"/>
      <c r="DA905" s="4"/>
      <c r="DB905" s="4"/>
      <c r="DC905" s="4"/>
      <c r="DD905" s="4"/>
      <c r="DE905" s="4"/>
      <c r="DF905" s="4"/>
      <c r="DG905" s="4"/>
      <c r="DH905" s="4"/>
      <c r="DI905" s="4"/>
      <c r="DJ905" s="4"/>
      <c r="DK905" s="4"/>
      <c r="DL905" s="4"/>
      <c r="DM905" s="4"/>
      <c r="DN905" s="4"/>
      <c r="DO905" s="4"/>
      <c r="DP905" s="4"/>
      <c r="DQ905" s="4"/>
      <c r="DR905" s="4"/>
      <c r="DS905" s="4"/>
    </row>
    <row r="906">
      <c r="A906" s="9">
        <f>IFERROR(__xludf.DUMMYFUNCTION("""COMPUTED_VALUE"""),45712.0)</f>
        <v>45712</v>
      </c>
      <c r="B906" s="6" t="str">
        <f>IFERROR(__xludf.DUMMYFUNCTION("""COMPUTED_VALUE"""),"Education")</f>
        <v>Education</v>
      </c>
      <c r="C906" s="7">
        <f>IFERROR(__xludf.DUMMYFUNCTION("""COMPUTED_VALUE"""),20000.0)</f>
        <v>20000</v>
      </c>
      <c r="D906" s="6" t="str">
        <f>IFERROR(__xludf.DUMMYFUNCTION("""COMPUTED_VALUE"""),"Education")</f>
        <v>Education</v>
      </c>
      <c r="E906" s="6" t="str">
        <f>IFERROR(__xludf.DUMMYFUNCTION("""COMPUTED_VALUE"""),"Credit Card")</f>
        <v>Credit Card</v>
      </c>
      <c r="F906" s="6" t="s">
        <v>11</v>
      </c>
      <c r="G906" s="8" t="str">
        <f t="shared" si="1"/>
        <v>202502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  <c r="CD906" s="4"/>
      <c r="CE906" s="4"/>
      <c r="CF906" s="4"/>
      <c r="CG906" s="4"/>
      <c r="CH906" s="4"/>
      <c r="CI906" s="4"/>
      <c r="CJ906" s="4"/>
      <c r="CK906" s="4"/>
      <c r="CL906" s="4"/>
      <c r="CM906" s="4"/>
      <c r="CN906" s="4"/>
      <c r="CO906" s="4"/>
      <c r="CP906" s="4"/>
      <c r="CQ906" s="4"/>
      <c r="CR906" s="4"/>
      <c r="CS906" s="4"/>
      <c r="CT906" s="4"/>
      <c r="CU906" s="4"/>
      <c r="CV906" s="4"/>
      <c r="CW906" s="4"/>
      <c r="CX906" s="4"/>
      <c r="CY906" s="4"/>
      <c r="CZ906" s="4"/>
      <c r="DA906" s="4"/>
      <c r="DB906" s="4"/>
      <c r="DC906" s="4"/>
      <c r="DD906" s="4"/>
      <c r="DE906" s="4"/>
      <c r="DF906" s="4"/>
      <c r="DG906" s="4"/>
      <c r="DH906" s="4"/>
      <c r="DI906" s="4"/>
      <c r="DJ906" s="4"/>
      <c r="DK906" s="4"/>
      <c r="DL906" s="4"/>
      <c r="DM906" s="4"/>
      <c r="DN906" s="4"/>
      <c r="DO906" s="4"/>
      <c r="DP906" s="4"/>
      <c r="DQ906" s="4"/>
      <c r="DR906" s="4"/>
      <c r="DS906" s="4"/>
    </row>
    <row r="907">
      <c r="A907" s="9">
        <f>IFERROR(__xludf.DUMMYFUNCTION("""COMPUTED_VALUE"""),45712.0)</f>
        <v>45712</v>
      </c>
      <c r="B907" s="6" t="str">
        <f>IFERROR(__xludf.DUMMYFUNCTION("""COMPUTED_VALUE"""),"Pets")</f>
        <v>Pets</v>
      </c>
      <c r="C907" s="7">
        <f>IFERROR(__xludf.DUMMYFUNCTION("""COMPUTED_VALUE"""),17780.0)</f>
        <v>17780</v>
      </c>
      <c r="D907" s="6" t="str">
        <f>IFERROR(__xludf.DUMMYFUNCTION("""COMPUTED_VALUE"""),"Pets")</f>
        <v>Pets</v>
      </c>
      <c r="E907" s="6" t="str">
        <f>IFERROR(__xludf.DUMMYFUNCTION("""COMPUTED_VALUE"""),"Split Payment")</f>
        <v>Split Payment</v>
      </c>
      <c r="F907" s="6" t="s">
        <v>7</v>
      </c>
      <c r="G907" s="8" t="str">
        <f t="shared" si="1"/>
        <v>202502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  <c r="CD907" s="4"/>
      <c r="CE907" s="4"/>
      <c r="CF907" s="4"/>
      <c r="CG907" s="4"/>
      <c r="CH907" s="4"/>
      <c r="CI907" s="4"/>
      <c r="CJ907" s="4"/>
      <c r="CK907" s="4"/>
      <c r="CL907" s="4"/>
      <c r="CM907" s="4"/>
      <c r="CN907" s="4"/>
      <c r="CO907" s="4"/>
      <c r="CP907" s="4"/>
      <c r="CQ907" s="4"/>
      <c r="CR907" s="4"/>
      <c r="CS907" s="4"/>
      <c r="CT907" s="4"/>
      <c r="CU907" s="4"/>
      <c r="CV907" s="4"/>
      <c r="CW907" s="4"/>
      <c r="CX907" s="4"/>
      <c r="CY907" s="4"/>
      <c r="CZ907" s="4"/>
      <c r="DA907" s="4"/>
      <c r="DB907" s="4"/>
      <c r="DC907" s="4"/>
      <c r="DD907" s="4"/>
      <c r="DE907" s="4"/>
      <c r="DF907" s="4"/>
      <c r="DG907" s="4"/>
      <c r="DH907" s="4"/>
      <c r="DI907" s="4"/>
      <c r="DJ907" s="4"/>
      <c r="DK907" s="4"/>
      <c r="DL907" s="4"/>
      <c r="DM907" s="4"/>
      <c r="DN907" s="4"/>
      <c r="DO907" s="4"/>
      <c r="DP907" s="4"/>
      <c r="DQ907" s="4"/>
      <c r="DR907" s="4"/>
      <c r="DS907" s="4"/>
    </row>
    <row r="908">
      <c r="A908" s="9">
        <f>IFERROR(__xludf.DUMMYFUNCTION("""COMPUTED_VALUE"""),45712.0)</f>
        <v>45712</v>
      </c>
      <c r="B908" s="6" t="str">
        <f>IFERROR(__xludf.DUMMYFUNCTION("""COMPUTED_VALUE"""),"Gasoline")</f>
        <v>Gasoline</v>
      </c>
      <c r="C908" s="7">
        <f>IFERROR(__xludf.DUMMYFUNCTION("""COMPUTED_VALUE"""),15000.0)</f>
        <v>15000</v>
      </c>
      <c r="D908" s="6" t="str">
        <f>IFERROR(__xludf.DUMMYFUNCTION("""COMPUTED_VALUE"""),"Car Expenses")</f>
        <v>Car Expenses</v>
      </c>
      <c r="E908" s="6" t="str">
        <f>IFERROR(__xludf.DUMMYFUNCTION("""COMPUTED_VALUE"""),"Virtual Wallet")</f>
        <v>Virtual Wallet</v>
      </c>
      <c r="F908" s="6" t="s">
        <v>9</v>
      </c>
      <c r="G908" s="8" t="str">
        <f t="shared" si="1"/>
        <v>202502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  <c r="CD908" s="4"/>
      <c r="CE908" s="4"/>
      <c r="CF908" s="4"/>
      <c r="CG908" s="4"/>
      <c r="CH908" s="4"/>
      <c r="CI908" s="4"/>
      <c r="CJ908" s="4"/>
      <c r="CK908" s="4"/>
      <c r="CL908" s="4"/>
      <c r="CM908" s="4"/>
      <c r="CN908" s="4"/>
      <c r="CO908" s="4"/>
      <c r="CP908" s="4"/>
      <c r="CQ908" s="4"/>
      <c r="CR908" s="4"/>
      <c r="CS908" s="4"/>
      <c r="CT908" s="4"/>
      <c r="CU908" s="4"/>
      <c r="CV908" s="4"/>
      <c r="CW908" s="4"/>
      <c r="CX908" s="4"/>
      <c r="CY908" s="4"/>
      <c r="CZ908" s="4"/>
      <c r="DA908" s="4"/>
      <c r="DB908" s="4"/>
      <c r="DC908" s="4"/>
      <c r="DD908" s="4"/>
      <c r="DE908" s="4"/>
      <c r="DF908" s="4"/>
      <c r="DG908" s="4"/>
      <c r="DH908" s="4"/>
      <c r="DI908" s="4"/>
      <c r="DJ908" s="4"/>
      <c r="DK908" s="4"/>
      <c r="DL908" s="4"/>
      <c r="DM908" s="4"/>
      <c r="DN908" s="4"/>
      <c r="DO908" s="4"/>
      <c r="DP908" s="4"/>
      <c r="DQ908" s="4"/>
      <c r="DR908" s="4"/>
      <c r="DS908" s="4"/>
    </row>
    <row r="909">
      <c r="A909" s="9">
        <f>IFERROR(__xludf.DUMMYFUNCTION("""COMPUTED_VALUE"""),45712.0)</f>
        <v>45712</v>
      </c>
      <c r="B909" s="6" t="str">
        <f>IFERROR(__xludf.DUMMYFUNCTION("""COMPUTED_VALUE"""),"Groceries")</f>
        <v>Groceries</v>
      </c>
      <c r="C909" s="7">
        <f>IFERROR(__xludf.DUMMYFUNCTION("""COMPUTED_VALUE"""),6277.0)</f>
        <v>6277</v>
      </c>
      <c r="D909" s="6" t="str">
        <f>IFERROR(__xludf.DUMMYFUNCTION("""COMPUTED_VALUE"""),"Groceries")</f>
        <v>Groceries</v>
      </c>
      <c r="E909" s="6" t="str">
        <f>IFERROR(__xludf.DUMMYFUNCTION("""COMPUTED_VALUE"""),"Split Payment")</f>
        <v>Split Payment</v>
      </c>
      <c r="F909" s="6" t="s">
        <v>7</v>
      </c>
      <c r="G909" s="8" t="str">
        <f t="shared" si="1"/>
        <v>202502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  <c r="CD909" s="4"/>
      <c r="CE909" s="4"/>
      <c r="CF909" s="4"/>
      <c r="CG909" s="4"/>
      <c r="CH909" s="4"/>
      <c r="CI909" s="4"/>
      <c r="CJ909" s="4"/>
      <c r="CK909" s="4"/>
      <c r="CL909" s="4"/>
      <c r="CM909" s="4"/>
      <c r="CN909" s="4"/>
      <c r="CO909" s="4"/>
      <c r="CP909" s="4"/>
      <c r="CQ909" s="4"/>
      <c r="CR909" s="4"/>
      <c r="CS909" s="4"/>
      <c r="CT909" s="4"/>
      <c r="CU909" s="4"/>
      <c r="CV909" s="4"/>
      <c r="CW909" s="4"/>
      <c r="CX909" s="4"/>
      <c r="CY909" s="4"/>
      <c r="CZ909" s="4"/>
      <c r="DA909" s="4"/>
      <c r="DB909" s="4"/>
      <c r="DC909" s="4"/>
      <c r="DD909" s="4"/>
      <c r="DE909" s="4"/>
      <c r="DF909" s="4"/>
      <c r="DG909" s="4"/>
      <c r="DH909" s="4"/>
      <c r="DI909" s="4"/>
      <c r="DJ909" s="4"/>
      <c r="DK909" s="4"/>
      <c r="DL909" s="4"/>
      <c r="DM909" s="4"/>
      <c r="DN909" s="4"/>
      <c r="DO909" s="4"/>
      <c r="DP909" s="4"/>
      <c r="DQ909" s="4"/>
      <c r="DR909" s="4"/>
      <c r="DS909" s="4"/>
    </row>
    <row r="910">
      <c r="A910" s="9">
        <f>IFERROR(__xludf.DUMMYFUNCTION("""COMPUTED_VALUE"""),45713.0)</f>
        <v>45713</v>
      </c>
      <c r="B910" s="6" t="str">
        <f>IFERROR(__xludf.DUMMYFUNCTION("""COMPUTED_VALUE"""),"Streaming Services")</f>
        <v>Streaming Services</v>
      </c>
      <c r="C910" s="7">
        <f>IFERROR(__xludf.DUMMYFUNCTION("""COMPUTED_VALUE"""),5299.0)</f>
        <v>5299</v>
      </c>
      <c r="D910" s="6" t="str">
        <f>IFERROR(__xludf.DUMMYFUNCTION("""COMPUTED_VALUE"""),"Streaming Services")</f>
        <v>Streaming Services</v>
      </c>
      <c r="E910" s="6" t="str">
        <f>IFERROR(__xludf.DUMMYFUNCTION("""COMPUTED_VALUE"""),"Credit Card")</f>
        <v>Credit Card</v>
      </c>
      <c r="F910" s="6" t="s">
        <v>12</v>
      </c>
      <c r="G910" s="8" t="str">
        <f t="shared" si="1"/>
        <v>202502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  <c r="CD910" s="4"/>
      <c r="CE910" s="4"/>
      <c r="CF910" s="4"/>
      <c r="CG910" s="4"/>
      <c r="CH910" s="4"/>
      <c r="CI910" s="4"/>
      <c r="CJ910" s="4"/>
      <c r="CK910" s="4"/>
      <c r="CL910" s="4"/>
      <c r="CM910" s="4"/>
      <c r="CN910" s="4"/>
      <c r="CO910" s="4"/>
      <c r="CP910" s="4"/>
      <c r="CQ910" s="4"/>
      <c r="CR910" s="4"/>
      <c r="CS910" s="4"/>
      <c r="CT910" s="4"/>
      <c r="CU910" s="4"/>
      <c r="CV910" s="4"/>
      <c r="CW910" s="4"/>
      <c r="CX910" s="4"/>
      <c r="CY910" s="4"/>
      <c r="CZ910" s="4"/>
      <c r="DA910" s="4"/>
      <c r="DB910" s="4"/>
      <c r="DC910" s="4"/>
      <c r="DD910" s="4"/>
      <c r="DE910" s="4"/>
      <c r="DF910" s="4"/>
      <c r="DG910" s="4"/>
      <c r="DH910" s="4"/>
      <c r="DI910" s="4"/>
      <c r="DJ910" s="4"/>
      <c r="DK910" s="4"/>
      <c r="DL910" s="4"/>
      <c r="DM910" s="4"/>
      <c r="DN910" s="4"/>
      <c r="DO910" s="4"/>
      <c r="DP910" s="4"/>
      <c r="DQ910" s="4"/>
      <c r="DR910" s="4"/>
      <c r="DS910" s="4"/>
    </row>
    <row r="911">
      <c r="A911" s="9">
        <f>IFERROR(__xludf.DUMMYFUNCTION("""COMPUTED_VALUE"""),45713.0)</f>
        <v>45713</v>
      </c>
      <c r="B911" s="6" t="str">
        <f>IFERROR(__xludf.DUMMYFUNCTION("""COMPUTED_VALUE"""),"Restaurant")</f>
        <v>Restaurant</v>
      </c>
      <c r="C911" s="7">
        <f>IFERROR(__xludf.DUMMYFUNCTION("""COMPUTED_VALUE"""),9250.0)</f>
        <v>9250</v>
      </c>
      <c r="D911" s="6" t="str">
        <f>IFERROR(__xludf.DUMMYFUNCTION("""COMPUTED_VALUE"""),"Restaurant / Café")</f>
        <v>Restaurant / Café</v>
      </c>
      <c r="E911" s="6" t="str">
        <f>IFERROR(__xludf.DUMMYFUNCTION("""COMPUTED_VALUE"""),"Virtual Wallet")</f>
        <v>Virtual Wallet</v>
      </c>
      <c r="F911" s="6" t="s">
        <v>14</v>
      </c>
      <c r="G911" s="8" t="str">
        <f t="shared" si="1"/>
        <v>202502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  <c r="CD911" s="4"/>
      <c r="CE911" s="4"/>
      <c r="CF911" s="4"/>
      <c r="CG911" s="4"/>
      <c r="CH911" s="4"/>
      <c r="CI911" s="4"/>
      <c r="CJ911" s="4"/>
      <c r="CK911" s="4"/>
      <c r="CL911" s="4"/>
      <c r="CM911" s="4"/>
      <c r="CN911" s="4"/>
      <c r="CO911" s="4"/>
      <c r="CP911" s="4"/>
      <c r="CQ911" s="4"/>
      <c r="CR911" s="4"/>
      <c r="CS911" s="4"/>
      <c r="CT911" s="4"/>
      <c r="CU911" s="4"/>
      <c r="CV911" s="4"/>
      <c r="CW911" s="4"/>
      <c r="CX911" s="4"/>
      <c r="CY911" s="4"/>
      <c r="CZ911" s="4"/>
      <c r="DA911" s="4"/>
      <c r="DB911" s="4"/>
      <c r="DC911" s="4"/>
      <c r="DD911" s="4"/>
      <c r="DE911" s="4"/>
      <c r="DF911" s="4"/>
      <c r="DG911" s="4"/>
      <c r="DH911" s="4"/>
      <c r="DI911" s="4"/>
      <c r="DJ911" s="4"/>
      <c r="DK911" s="4"/>
      <c r="DL911" s="4"/>
      <c r="DM911" s="4"/>
      <c r="DN911" s="4"/>
      <c r="DO911" s="4"/>
      <c r="DP911" s="4"/>
      <c r="DQ911" s="4"/>
      <c r="DR911" s="4"/>
      <c r="DS911" s="4"/>
    </row>
    <row r="912">
      <c r="A912" s="9">
        <f>IFERROR(__xludf.DUMMYFUNCTION("""COMPUTED_VALUE"""),45714.0)</f>
        <v>45714</v>
      </c>
      <c r="B912" s="6" t="str">
        <f>IFERROR(__xludf.DUMMYFUNCTION("""COMPUTED_VALUE"""),"Groceries")</f>
        <v>Groceries</v>
      </c>
      <c r="C912" s="7">
        <f>IFERROR(__xludf.DUMMYFUNCTION("""COMPUTED_VALUE"""),1350.0)</f>
        <v>1350</v>
      </c>
      <c r="D912" s="6" t="str">
        <f>IFERROR(__xludf.DUMMYFUNCTION("""COMPUTED_VALUE"""),"Groceries")</f>
        <v>Groceries</v>
      </c>
      <c r="E912" s="6" t="str">
        <f>IFERROR(__xludf.DUMMYFUNCTION("""COMPUTED_VALUE"""),"Split Payment")</f>
        <v>Split Payment</v>
      </c>
      <c r="F912" s="6" t="s">
        <v>7</v>
      </c>
      <c r="G912" s="8" t="str">
        <f t="shared" si="1"/>
        <v>202502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  <c r="CD912" s="4"/>
      <c r="CE912" s="4"/>
      <c r="CF912" s="4"/>
      <c r="CG912" s="4"/>
      <c r="CH912" s="4"/>
      <c r="CI912" s="4"/>
      <c r="CJ912" s="4"/>
      <c r="CK912" s="4"/>
      <c r="CL912" s="4"/>
      <c r="CM912" s="4"/>
      <c r="CN912" s="4"/>
      <c r="CO912" s="4"/>
      <c r="CP912" s="4"/>
      <c r="CQ912" s="4"/>
      <c r="CR912" s="4"/>
      <c r="CS912" s="4"/>
      <c r="CT912" s="4"/>
      <c r="CU912" s="4"/>
      <c r="CV912" s="4"/>
      <c r="CW912" s="4"/>
      <c r="CX912" s="4"/>
      <c r="CY912" s="4"/>
      <c r="CZ912" s="4"/>
      <c r="DA912" s="4"/>
      <c r="DB912" s="4"/>
      <c r="DC912" s="4"/>
      <c r="DD912" s="4"/>
      <c r="DE912" s="4"/>
      <c r="DF912" s="4"/>
      <c r="DG912" s="4"/>
      <c r="DH912" s="4"/>
      <c r="DI912" s="4"/>
      <c r="DJ912" s="4"/>
      <c r="DK912" s="4"/>
      <c r="DL912" s="4"/>
      <c r="DM912" s="4"/>
      <c r="DN912" s="4"/>
      <c r="DO912" s="4"/>
      <c r="DP912" s="4"/>
      <c r="DQ912" s="4"/>
      <c r="DR912" s="4"/>
      <c r="DS912" s="4"/>
    </row>
    <row r="913">
      <c r="A913" s="9">
        <f>IFERROR(__xludf.DUMMYFUNCTION("""COMPUTED_VALUE"""),45716.0)</f>
        <v>45716</v>
      </c>
      <c r="B913" s="6" t="str">
        <f>IFERROR(__xludf.DUMMYFUNCTION("""COMPUTED_VALUE"""),"Education")</f>
        <v>Education</v>
      </c>
      <c r="C913" s="7">
        <f>IFERROR(__xludf.DUMMYFUNCTION("""COMPUTED_VALUE"""),3000.0)</f>
        <v>3000</v>
      </c>
      <c r="D913" s="6" t="str">
        <f>IFERROR(__xludf.DUMMYFUNCTION("""COMPUTED_VALUE"""),"Education")</f>
        <v>Education</v>
      </c>
      <c r="E913" s="6" t="str">
        <f>IFERROR(__xludf.DUMMYFUNCTION("""COMPUTED_VALUE"""),"Credit Card")</f>
        <v>Credit Card</v>
      </c>
      <c r="F913" s="6" t="s">
        <v>11</v>
      </c>
      <c r="G913" s="8" t="str">
        <f t="shared" si="1"/>
        <v>202502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  <c r="CD913" s="4"/>
      <c r="CE913" s="4"/>
      <c r="CF913" s="4"/>
      <c r="CG913" s="4"/>
      <c r="CH913" s="4"/>
      <c r="CI913" s="4"/>
      <c r="CJ913" s="4"/>
      <c r="CK913" s="4"/>
      <c r="CL913" s="4"/>
      <c r="CM913" s="4"/>
      <c r="CN913" s="4"/>
      <c r="CO913" s="4"/>
      <c r="CP913" s="4"/>
      <c r="CQ913" s="4"/>
      <c r="CR913" s="4"/>
      <c r="CS913" s="4"/>
      <c r="CT913" s="4"/>
      <c r="CU913" s="4"/>
      <c r="CV913" s="4"/>
      <c r="CW913" s="4"/>
      <c r="CX913" s="4"/>
      <c r="CY913" s="4"/>
      <c r="CZ913" s="4"/>
      <c r="DA913" s="4"/>
      <c r="DB913" s="4"/>
      <c r="DC913" s="4"/>
      <c r="DD913" s="4"/>
      <c r="DE913" s="4"/>
      <c r="DF913" s="4"/>
      <c r="DG913" s="4"/>
      <c r="DH913" s="4"/>
      <c r="DI913" s="4"/>
      <c r="DJ913" s="4"/>
      <c r="DK913" s="4"/>
      <c r="DL913" s="4"/>
      <c r="DM913" s="4"/>
      <c r="DN913" s="4"/>
      <c r="DO913" s="4"/>
      <c r="DP913" s="4"/>
      <c r="DQ913" s="4"/>
      <c r="DR913" s="4"/>
      <c r="DS913" s="4"/>
    </row>
    <row r="914">
      <c r="A914" s="9">
        <f>IFERROR(__xludf.DUMMYFUNCTION("""COMPUTED_VALUE"""),45716.0)</f>
        <v>45716</v>
      </c>
      <c r="B914" s="6" t="str">
        <f>IFERROR(__xludf.DUMMYFUNCTION("""COMPUTED_VALUE"""),"Car Maintenance")</f>
        <v>Car Maintenance</v>
      </c>
      <c r="C914" s="7">
        <f>IFERROR(__xludf.DUMMYFUNCTION("""COMPUTED_VALUE"""),16208.33)</f>
        <v>16208.33</v>
      </c>
      <c r="D914" s="6" t="str">
        <f>IFERROR(__xludf.DUMMYFUNCTION("""COMPUTED_VALUE"""),"Car Expenses")</f>
        <v>Car Expenses</v>
      </c>
      <c r="E914" s="6" t="str">
        <f>IFERROR(__xludf.DUMMYFUNCTION("""COMPUTED_VALUE"""),"Credit Card")</f>
        <v>Credit Card</v>
      </c>
      <c r="F914" s="6" t="s">
        <v>9</v>
      </c>
      <c r="G914" s="8" t="str">
        <f t="shared" si="1"/>
        <v>202502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  <c r="CD914" s="4"/>
      <c r="CE914" s="4"/>
      <c r="CF914" s="4"/>
      <c r="CG914" s="4"/>
      <c r="CH914" s="4"/>
      <c r="CI914" s="4"/>
      <c r="CJ914" s="4"/>
      <c r="CK914" s="4"/>
      <c r="CL914" s="4"/>
      <c r="CM914" s="4"/>
      <c r="CN914" s="4"/>
      <c r="CO914" s="4"/>
      <c r="CP914" s="4"/>
      <c r="CQ914" s="4"/>
      <c r="CR914" s="4"/>
      <c r="CS914" s="4"/>
      <c r="CT914" s="4"/>
      <c r="CU914" s="4"/>
      <c r="CV914" s="4"/>
      <c r="CW914" s="4"/>
      <c r="CX914" s="4"/>
      <c r="CY914" s="4"/>
      <c r="CZ914" s="4"/>
      <c r="DA914" s="4"/>
      <c r="DB914" s="4"/>
      <c r="DC914" s="4"/>
      <c r="DD914" s="4"/>
      <c r="DE914" s="4"/>
      <c r="DF914" s="4"/>
      <c r="DG914" s="4"/>
      <c r="DH914" s="4"/>
      <c r="DI914" s="4"/>
      <c r="DJ914" s="4"/>
      <c r="DK914" s="4"/>
      <c r="DL914" s="4"/>
      <c r="DM914" s="4"/>
      <c r="DN914" s="4"/>
      <c r="DO914" s="4"/>
      <c r="DP914" s="4"/>
      <c r="DQ914" s="4"/>
      <c r="DR914" s="4"/>
      <c r="DS914" s="4"/>
    </row>
    <row r="915">
      <c r="A915" s="9">
        <f>IFERROR(__xludf.DUMMYFUNCTION("""COMPUTED_VALUE"""),45716.0)</f>
        <v>45716</v>
      </c>
      <c r="B915" s="6" t="str">
        <f>IFERROR(__xludf.DUMMYFUNCTION("""COMPUTED_VALUE"""),"Internet Services")</f>
        <v>Internet Services</v>
      </c>
      <c r="C915" s="7">
        <f>IFERROR(__xludf.DUMMYFUNCTION("""COMPUTED_VALUE"""),8375.0)</f>
        <v>8375</v>
      </c>
      <c r="D915" s="6" t="str">
        <f>IFERROR(__xludf.DUMMYFUNCTION("""COMPUTED_VALUE"""),"Basic Services")</f>
        <v>Basic Services</v>
      </c>
      <c r="E915" s="6" t="str">
        <f>IFERROR(__xludf.DUMMYFUNCTION("""COMPUTED_VALUE"""),"Credit Card")</f>
        <v>Credit Card</v>
      </c>
      <c r="F915" s="6" t="s">
        <v>13</v>
      </c>
      <c r="G915" s="8" t="str">
        <f t="shared" si="1"/>
        <v>202502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  <c r="CD915" s="4"/>
      <c r="CE915" s="4"/>
      <c r="CF915" s="4"/>
      <c r="CG915" s="4"/>
      <c r="CH915" s="4"/>
      <c r="CI915" s="4"/>
      <c r="CJ915" s="4"/>
      <c r="CK915" s="4"/>
      <c r="CL915" s="4"/>
      <c r="CM915" s="4"/>
      <c r="CN915" s="4"/>
      <c r="CO915" s="4"/>
      <c r="CP915" s="4"/>
      <c r="CQ915" s="4"/>
      <c r="CR915" s="4"/>
      <c r="CS915" s="4"/>
      <c r="CT915" s="4"/>
      <c r="CU915" s="4"/>
      <c r="CV915" s="4"/>
      <c r="CW915" s="4"/>
      <c r="CX915" s="4"/>
      <c r="CY915" s="4"/>
      <c r="CZ915" s="4"/>
      <c r="DA915" s="4"/>
      <c r="DB915" s="4"/>
      <c r="DC915" s="4"/>
      <c r="DD915" s="4"/>
      <c r="DE915" s="4"/>
      <c r="DF915" s="4"/>
      <c r="DG915" s="4"/>
      <c r="DH915" s="4"/>
      <c r="DI915" s="4"/>
      <c r="DJ915" s="4"/>
      <c r="DK915" s="4"/>
      <c r="DL915" s="4"/>
      <c r="DM915" s="4"/>
      <c r="DN915" s="4"/>
      <c r="DO915" s="4"/>
      <c r="DP915" s="4"/>
      <c r="DQ915" s="4"/>
      <c r="DR915" s="4"/>
      <c r="DS915" s="4"/>
    </row>
    <row r="916">
      <c r="A916" s="9">
        <f>IFERROR(__xludf.DUMMYFUNCTION("""COMPUTED_VALUE"""),45716.0)</f>
        <v>45716</v>
      </c>
      <c r="B916" s="6" t="str">
        <f>IFERROR(__xludf.DUMMYFUNCTION("""COMPUTED_VALUE"""),"Restaurant")</f>
        <v>Restaurant</v>
      </c>
      <c r="C916" s="7">
        <f>IFERROR(__xludf.DUMMYFUNCTION("""COMPUTED_VALUE"""),19300.0)</f>
        <v>19300</v>
      </c>
      <c r="D916" s="6" t="str">
        <f>IFERROR(__xludf.DUMMYFUNCTION("""COMPUTED_VALUE"""),"Restaurant / Café")</f>
        <v>Restaurant / Café</v>
      </c>
      <c r="E916" s="6" t="str">
        <f>IFERROR(__xludf.DUMMYFUNCTION("""COMPUTED_VALUE"""),"Credit Card")</f>
        <v>Credit Card</v>
      </c>
      <c r="F916" s="6" t="s">
        <v>14</v>
      </c>
      <c r="G916" s="8" t="str">
        <f t="shared" si="1"/>
        <v>202502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  <c r="CD916" s="4"/>
      <c r="CE916" s="4"/>
      <c r="CF916" s="4"/>
      <c r="CG916" s="4"/>
      <c r="CH916" s="4"/>
      <c r="CI916" s="4"/>
      <c r="CJ916" s="4"/>
      <c r="CK916" s="4"/>
      <c r="CL916" s="4"/>
      <c r="CM916" s="4"/>
      <c r="CN916" s="4"/>
      <c r="CO916" s="4"/>
      <c r="CP916" s="4"/>
      <c r="CQ916" s="4"/>
      <c r="CR916" s="4"/>
      <c r="CS916" s="4"/>
      <c r="CT916" s="4"/>
      <c r="CU916" s="4"/>
      <c r="CV916" s="4"/>
      <c r="CW916" s="4"/>
      <c r="CX916" s="4"/>
      <c r="CY916" s="4"/>
      <c r="CZ916" s="4"/>
      <c r="DA916" s="4"/>
      <c r="DB916" s="4"/>
      <c r="DC916" s="4"/>
      <c r="DD916" s="4"/>
      <c r="DE916" s="4"/>
      <c r="DF916" s="4"/>
      <c r="DG916" s="4"/>
      <c r="DH916" s="4"/>
      <c r="DI916" s="4"/>
      <c r="DJ916" s="4"/>
      <c r="DK916" s="4"/>
      <c r="DL916" s="4"/>
      <c r="DM916" s="4"/>
      <c r="DN916" s="4"/>
      <c r="DO916" s="4"/>
      <c r="DP916" s="4"/>
      <c r="DQ916" s="4"/>
      <c r="DR916" s="4"/>
      <c r="DS916" s="4"/>
    </row>
    <row r="917">
      <c r="A917" s="9">
        <f>IFERROR(__xludf.DUMMYFUNCTION("""COMPUTED_VALUE"""),45744.0)</f>
        <v>45744</v>
      </c>
      <c r="B917" s="6" t="str">
        <f>IFERROR(__xludf.DUMMYFUNCTION("""COMPUTED_VALUE"""),"Groceries")</f>
        <v>Groceries</v>
      </c>
      <c r="C917" s="7">
        <f>IFERROR(__xludf.DUMMYFUNCTION("""COMPUTED_VALUE"""),2150.0)</f>
        <v>2150</v>
      </c>
      <c r="D917" s="6" t="str">
        <f>IFERROR(__xludf.DUMMYFUNCTION("""COMPUTED_VALUE"""),"Groceries")</f>
        <v>Groceries</v>
      </c>
      <c r="E917" s="6" t="str">
        <f>IFERROR(__xludf.DUMMYFUNCTION("""COMPUTED_VALUE"""),"Virtual Wallet")</f>
        <v>Virtual Wallet</v>
      </c>
      <c r="F917" s="6" t="s">
        <v>7</v>
      </c>
      <c r="G917" s="8" t="str">
        <f t="shared" si="1"/>
        <v>202503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  <c r="CD917" s="4"/>
      <c r="CE917" s="4"/>
      <c r="CF917" s="4"/>
      <c r="CG917" s="4"/>
      <c r="CH917" s="4"/>
      <c r="CI917" s="4"/>
      <c r="CJ917" s="4"/>
      <c r="CK917" s="4"/>
      <c r="CL917" s="4"/>
      <c r="CM917" s="4"/>
      <c r="CN917" s="4"/>
      <c r="CO917" s="4"/>
      <c r="CP917" s="4"/>
      <c r="CQ917" s="4"/>
      <c r="CR917" s="4"/>
      <c r="CS917" s="4"/>
      <c r="CT917" s="4"/>
      <c r="CU917" s="4"/>
      <c r="CV917" s="4"/>
      <c r="CW917" s="4"/>
      <c r="CX917" s="4"/>
      <c r="CY917" s="4"/>
      <c r="CZ917" s="4"/>
      <c r="DA917" s="4"/>
      <c r="DB917" s="4"/>
      <c r="DC917" s="4"/>
      <c r="DD917" s="4"/>
      <c r="DE917" s="4"/>
      <c r="DF917" s="4"/>
      <c r="DG917" s="4"/>
      <c r="DH917" s="4"/>
      <c r="DI917" s="4"/>
      <c r="DJ917" s="4"/>
      <c r="DK917" s="4"/>
      <c r="DL917" s="4"/>
      <c r="DM917" s="4"/>
      <c r="DN917" s="4"/>
      <c r="DO917" s="4"/>
      <c r="DP917" s="4"/>
      <c r="DQ917" s="4"/>
      <c r="DR917" s="4"/>
      <c r="DS917" s="4"/>
    </row>
    <row r="918">
      <c r="A918" s="9">
        <f>IFERROR(__xludf.DUMMYFUNCTION("""COMPUTED_VALUE"""),45744.0)</f>
        <v>45744</v>
      </c>
      <c r="B918" s="6" t="str">
        <f>IFERROR(__xludf.DUMMYFUNCTION("""COMPUTED_VALUE"""),"Water Bill (AySA)")</f>
        <v>Water Bill (AySA)</v>
      </c>
      <c r="C918" s="7">
        <f>IFERROR(__xludf.DUMMYFUNCTION("""COMPUTED_VALUE"""),13423.0)</f>
        <v>13423</v>
      </c>
      <c r="D918" s="6" t="str">
        <f>IFERROR(__xludf.DUMMYFUNCTION("""COMPUTED_VALUE"""),"Basic Services")</f>
        <v>Basic Services</v>
      </c>
      <c r="E918" s="6" t="str">
        <f>IFERROR(__xludf.DUMMYFUNCTION("""COMPUTED_VALUE"""),"Split Payment")</f>
        <v>Split Payment</v>
      </c>
      <c r="F918" s="6" t="s">
        <v>13</v>
      </c>
      <c r="G918" s="8" t="str">
        <f t="shared" si="1"/>
        <v>202503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  <c r="CD918" s="4"/>
      <c r="CE918" s="4"/>
      <c r="CF918" s="4"/>
      <c r="CG918" s="4"/>
      <c r="CH918" s="4"/>
      <c r="CI918" s="4"/>
      <c r="CJ918" s="4"/>
      <c r="CK918" s="4"/>
      <c r="CL918" s="4"/>
      <c r="CM918" s="4"/>
      <c r="CN918" s="4"/>
      <c r="CO918" s="4"/>
      <c r="CP918" s="4"/>
      <c r="CQ918" s="4"/>
      <c r="CR918" s="4"/>
      <c r="CS918" s="4"/>
      <c r="CT918" s="4"/>
      <c r="CU918" s="4"/>
      <c r="CV918" s="4"/>
      <c r="CW918" s="4"/>
      <c r="CX918" s="4"/>
      <c r="CY918" s="4"/>
      <c r="CZ918" s="4"/>
      <c r="DA918" s="4"/>
      <c r="DB918" s="4"/>
      <c r="DC918" s="4"/>
      <c r="DD918" s="4"/>
      <c r="DE918" s="4"/>
      <c r="DF918" s="4"/>
      <c r="DG918" s="4"/>
      <c r="DH918" s="4"/>
      <c r="DI918" s="4"/>
      <c r="DJ918" s="4"/>
      <c r="DK918" s="4"/>
      <c r="DL918" s="4"/>
      <c r="DM918" s="4"/>
      <c r="DN918" s="4"/>
      <c r="DO918" s="4"/>
      <c r="DP918" s="4"/>
      <c r="DQ918" s="4"/>
      <c r="DR918" s="4"/>
      <c r="DS918" s="4"/>
    </row>
    <row r="919">
      <c r="A919" s="9">
        <f>IFERROR(__xludf.DUMMYFUNCTION("""COMPUTED_VALUE"""),45717.0)</f>
        <v>45717</v>
      </c>
      <c r="B919" s="6" t="str">
        <f>IFERROR(__xludf.DUMMYFUNCTION("""COMPUTED_VALUE"""),"Home Goods")</f>
        <v>Home Goods</v>
      </c>
      <c r="C919" s="7">
        <f>IFERROR(__xludf.DUMMYFUNCTION("""COMPUTED_VALUE"""),2754.5)</f>
        <v>2754.5</v>
      </c>
      <c r="D919" s="6" t="str">
        <f>IFERROR(__xludf.DUMMYFUNCTION("""COMPUTED_VALUE"""),"Home Goods &amp; Utilities")</f>
        <v>Home Goods &amp; Utilities</v>
      </c>
      <c r="E919" s="6" t="str">
        <f>IFERROR(__xludf.DUMMYFUNCTION("""COMPUTED_VALUE"""),"Split Payment")</f>
        <v>Split Payment</v>
      </c>
      <c r="F919" s="6" t="s">
        <v>8</v>
      </c>
      <c r="G919" s="8" t="str">
        <f t="shared" si="1"/>
        <v>202503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  <c r="CD919" s="4"/>
      <c r="CE919" s="4"/>
      <c r="CF919" s="4"/>
      <c r="CG919" s="4"/>
      <c r="CH919" s="4"/>
      <c r="CI919" s="4"/>
      <c r="CJ919" s="4"/>
      <c r="CK919" s="4"/>
      <c r="CL919" s="4"/>
      <c r="CM919" s="4"/>
      <c r="CN919" s="4"/>
      <c r="CO919" s="4"/>
      <c r="CP919" s="4"/>
      <c r="CQ919" s="4"/>
      <c r="CR919" s="4"/>
      <c r="CS919" s="4"/>
      <c r="CT919" s="4"/>
      <c r="CU919" s="4"/>
      <c r="CV919" s="4"/>
      <c r="CW919" s="4"/>
      <c r="CX919" s="4"/>
      <c r="CY919" s="4"/>
      <c r="CZ919" s="4"/>
      <c r="DA919" s="4"/>
      <c r="DB919" s="4"/>
      <c r="DC919" s="4"/>
      <c r="DD919" s="4"/>
      <c r="DE919" s="4"/>
      <c r="DF919" s="4"/>
      <c r="DG919" s="4"/>
      <c r="DH919" s="4"/>
      <c r="DI919" s="4"/>
      <c r="DJ919" s="4"/>
      <c r="DK919" s="4"/>
      <c r="DL919" s="4"/>
      <c r="DM919" s="4"/>
      <c r="DN919" s="4"/>
      <c r="DO919" s="4"/>
      <c r="DP919" s="4"/>
      <c r="DQ919" s="4"/>
      <c r="DR919" s="4"/>
      <c r="DS919" s="4"/>
    </row>
    <row r="920">
      <c r="A920" s="9">
        <f>IFERROR(__xludf.DUMMYFUNCTION("""COMPUTED_VALUE"""),45717.0)</f>
        <v>45717</v>
      </c>
      <c r="B920" s="6" t="str">
        <f>IFERROR(__xludf.DUMMYFUNCTION("""COMPUTED_VALUE"""),"Donation")</f>
        <v>Donation</v>
      </c>
      <c r="C920" s="7">
        <f>IFERROR(__xludf.DUMMYFUNCTION("""COMPUTED_VALUE"""),5000.0)</f>
        <v>5000</v>
      </c>
      <c r="D920" s="6" t="str">
        <f>IFERROR(__xludf.DUMMYFUNCTION("""COMPUTED_VALUE"""),"Donation")</f>
        <v>Donation</v>
      </c>
      <c r="E920" s="6" t="str">
        <f>IFERROR(__xludf.DUMMYFUNCTION("""COMPUTED_VALUE"""),"Virtual Wallet")</f>
        <v>Virtual Wallet</v>
      </c>
      <c r="F920" s="6"/>
      <c r="G920" s="8" t="str">
        <f t="shared" si="1"/>
        <v>202503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  <c r="CD920" s="4"/>
      <c r="CE920" s="4"/>
      <c r="CF920" s="4"/>
      <c r="CG920" s="4"/>
      <c r="CH920" s="4"/>
      <c r="CI920" s="4"/>
      <c r="CJ920" s="4"/>
      <c r="CK920" s="4"/>
      <c r="CL920" s="4"/>
      <c r="CM920" s="4"/>
      <c r="CN920" s="4"/>
      <c r="CO920" s="4"/>
      <c r="CP920" s="4"/>
      <c r="CQ920" s="4"/>
      <c r="CR920" s="4"/>
      <c r="CS920" s="4"/>
      <c r="CT920" s="4"/>
      <c r="CU920" s="4"/>
      <c r="CV920" s="4"/>
      <c r="CW920" s="4"/>
      <c r="CX920" s="4"/>
      <c r="CY920" s="4"/>
      <c r="CZ920" s="4"/>
      <c r="DA920" s="4"/>
      <c r="DB920" s="4"/>
      <c r="DC920" s="4"/>
      <c r="DD920" s="4"/>
      <c r="DE920" s="4"/>
      <c r="DF920" s="4"/>
      <c r="DG920" s="4"/>
      <c r="DH920" s="4"/>
      <c r="DI920" s="4"/>
      <c r="DJ920" s="4"/>
      <c r="DK920" s="4"/>
      <c r="DL920" s="4"/>
      <c r="DM920" s="4"/>
      <c r="DN920" s="4"/>
      <c r="DO920" s="4"/>
      <c r="DP920" s="4"/>
      <c r="DQ920" s="4"/>
      <c r="DR920" s="4"/>
      <c r="DS920" s="4"/>
    </row>
    <row r="921">
      <c r="A921" s="9">
        <f>IFERROR(__xludf.DUMMYFUNCTION("""COMPUTED_VALUE"""),45717.0)</f>
        <v>45717</v>
      </c>
      <c r="B921" s="6" t="str">
        <f>IFERROR(__xludf.DUMMYFUNCTION("""COMPUTED_VALUE"""),"Gift")</f>
        <v>Gift</v>
      </c>
      <c r="C921" s="7">
        <f>IFERROR(__xludf.DUMMYFUNCTION("""COMPUTED_VALUE"""),25000.0)</f>
        <v>25000</v>
      </c>
      <c r="D921" s="6" t="str">
        <f>IFERROR(__xludf.DUMMYFUNCTION("""COMPUTED_VALUE"""),"Gifts")</f>
        <v>Gifts</v>
      </c>
      <c r="E921" s="6" t="str">
        <f>IFERROR(__xludf.DUMMYFUNCTION("""COMPUTED_VALUE"""),"Debit Card")</f>
        <v>Debit Card</v>
      </c>
      <c r="F921" s="6"/>
      <c r="G921" s="8" t="str">
        <f t="shared" si="1"/>
        <v>202503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  <c r="CD921" s="4"/>
      <c r="CE921" s="4"/>
      <c r="CF921" s="4"/>
      <c r="CG921" s="4"/>
      <c r="CH921" s="4"/>
      <c r="CI921" s="4"/>
      <c r="CJ921" s="4"/>
      <c r="CK921" s="4"/>
      <c r="CL921" s="4"/>
      <c r="CM921" s="4"/>
      <c r="CN921" s="4"/>
      <c r="CO921" s="4"/>
      <c r="CP921" s="4"/>
      <c r="CQ921" s="4"/>
      <c r="CR921" s="4"/>
      <c r="CS921" s="4"/>
      <c r="CT921" s="4"/>
      <c r="CU921" s="4"/>
      <c r="CV921" s="4"/>
      <c r="CW921" s="4"/>
      <c r="CX921" s="4"/>
      <c r="CY921" s="4"/>
      <c r="CZ921" s="4"/>
      <c r="DA921" s="4"/>
      <c r="DB921" s="4"/>
      <c r="DC921" s="4"/>
      <c r="DD921" s="4"/>
      <c r="DE921" s="4"/>
      <c r="DF921" s="4"/>
      <c r="DG921" s="4"/>
      <c r="DH921" s="4"/>
      <c r="DI921" s="4"/>
      <c r="DJ921" s="4"/>
      <c r="DK921" s="4"/>
      <c r="DL921" s="4"/>
      <c r="DM921" s="4"/>
      <c r="DN921" s="4"/>
      <c r="DO921" s="4"/>
      <c r="DP921" s="4"/>
      <c r="DQ921" s="4"/>
      <c r="DR921" s="4"/>
      <c r="DS921" s="4"/>
    </row>
    <row r="922">
      <c r="A922" s="9">
        <f>IFERROR(__xludf.DUMMYFUNCTION("""COMPUTED_VALUE"""),45717.0)</f>
        <v>45717</v>
      </c>
      <c r="B922" s="6" t="str">
        <f>IFERROR(__xludf.DUMMYFUNCTION("""COMPUTED_VALUE"""),"Groceries")</f>
        <v>Groceries</v>
      </c>
      <c r="C922" s="7">
        <f>IFERROR(__xludf.DUMMYFUNCTION("""COMPUTED_VALUE"""),9915.0)</f>
        <v>9915</v>
      </c>
      <c r="D922" s="6" t="str">
        <f>IFERROR(__xludf.DUMMYFUNCTION("""COMPUTED_VALUE"""),"Groceries")</f>
        <v>Groceries</v>
      </c>
      <c r="E922" s="6" t="str">
        <f>IFERROR(__xludf.DUMMYFUNCTION("""COMPUTED_VALUE"""),"Virtual Wallet")</f>
        <v>Virtual Wallet</v>
      </c>
      <c r="F922" s="6" t="s">
        <v>7</v>
      </c>
      <c r="G922" s="8" t="str">
        <f t="shared" si="1"/>
        <v>202503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  <c r="CD922" s="4"/>
      <c r="CE922" s="4"/>
      <c r="CF922" s="4"/>
      <c r="CG922" s="4"/>
      <c r="CH922" s="4"/>
      <c r="CI922" s="4"/>
      <c r="CJ922" s="4"/>
      <c r="CK922" s="4"/>
      <c r="CL922" s="4"/>
      <c r="CM922" s="4"/>
      <c r="CN922" s="4"/>
      <c r="CO922" s="4"/>
      <c r="CP922" s="4"/>
      <c r="CQ922" s="4"/>
      <c r="CR922" s="4"/>
      <c r="CS922" s="4"/>
      <c r="CT922" s="4"/>
      <c r="CU922" s="4"/>
      <c r="CV922" s="4"/>
      <c r="CW922" s="4"/>
      <c r="CX922" s="4"/>
      <c r="CY922" s="4"/>
      <c r="CZ922" s="4"/>
      <c r="DA922" s="4"/>
      <c r="DB922" s="4"/>
      <c r="DC922" s="4"/>
      <c r="DD922" s="4"/>
      <c r="DE922" s="4"/>
      <c r="DF922" s="4"/>
      <c r="DG922" s="4"/>
      <c r="DH922" s="4"/>
      <c r="DI922" s="4"/>
      <c r="DJ922" s="4"/>
      <c r="DK922" s="4"/>
      <c r="DL922" s="4"/>
      <c r="DM922" s="4"/>
      <c r="DN922" s="4"/>
      <c r="DO922" s="4"/>
      <c r="DP922" s="4"/>
      <c r="DQ922" s="4"/>
      <c r="DR922" s="4"/>
      <c r="DS922" s="4"/>
    </row>
    <row r="923">
      <c r="A923" s="9">
        <f>IFERROR(__xludf.DUMMYFUNCTION("""COMPUTED_VALUE"""),45717.0)</f>
        <v>45717</v>
      </c>
      <c r="B923" s="6" t="str">
        <f>IFERROR(__xludf.DUMMYFUNCTION("""COMPUTED_VALUE"""),"Home Goods")</f>
        <v>Home Goods</v>
      </c>
      <c r="C923" s="7">
        <f>IFERROR(__xludf.DUMMYFUNCTION("""COMPUTED_VALUE"""),6000.0)</f>
        <v>6000</v>
      </c>
      <c r="D923" s="6" t="str">
        <f>IFERROR(__xludf.DUMMYFUNCTION("""COMPUTED_VALUE"""),"Home Goods &amp; Utilities")</f>
        <v>Home Goods &amp; Utilities</v>
      </c>
      <c r="E923" s="6" t="str">
        <f>IFERROR(__xludf.DUMMYFUNCTION("""COMPUTED_VALUE"""),"Virtual Wallet")</f>
        <v>Virtual Wallet</v>
      </c>
      <c r="F923" s="6" t="s">
        <v>8</v>
      </c>
      <c r="G923" s="8" t="str">
        <f t="shared" si="1"/>
        <v>202503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  <c r="CD923" s="4"/>
      <c r="CE923" s="4"/>
      <c r="CF923" s="4"/>
      <c r="CG923" s="4"/>
      <c r="CH923" s="4"/>
      <c r="CI923" s="4"/>
      <c r="CJ923" s="4"/>
      <c r="CK923" s="4"/>
      <c r="CL923" s="4"/>
      <c r="CM923" s="4"/>
      <c r="CN923" s="4"/>
      <c r="CO923" s="4"/>
      <c r="CP923" s="4"/>
      <c r="CQ923" s="4"/>
      <c r="CR923" s="4"/>
      <c r="CS923" s="4"/>
      <c r="CT923" s="4"/>
      <c r="CU923" s="4"/>
      <c r="CV923" s="4"/>
      <c r="CW923" s="4"/>
      <c r="CX923" s="4"/>
      <c r="CY923" s="4"/>
      <c r="CZ923" s="4"/>
      <c r="DA923" s="4"/>
      <c r="DB923" s="4"/>
      <c r="DC923" s="4"/>
      <c r="DD923" s="4"/>
      <c r="DE923" s="4"/>
      <c r="DF923" s="4"/>
      <c r="DG923" s="4"/>
      <c r="DH923" s="4"/>
      <c r="DI923" s="4"/>
      <c r="DJ923" s="4"/>
      <c r="DK923" s="4"/>
      <c r="DL923" s="4"/>
      <c r="DM923" s="4"/>
      <c r="DN923" s="4"/>
      <c r="DO923" s="4"/>
      <c r="DP923" s="4"/>
      <c r="DQ923" s="4"/>
      <c r="DR923" s="4"/>
      <c r="DS923" s="4"/>
    </row>
    <row r="924">
      <c r="A924" s="9">
        <f>IFERROR(__xludf.DUMMYFUNCTION("""COMPUTED_VALUE"""),45717.0)</f>
        <v>45717</v>
      </c>
      <c r="B924" s="6" t="str">
        <f>IFERROR(__xludf.DUMMYFUNCTION("""COMPUTED_VALUE"""),"Personal Care")</f>
        <v>Personal Care</v>
      </c>
      <c r="C924" s="7">
        <f>IFERROR(__xludf.DUMMYFUNCTION("""COMPUTED_VALUE"""),6800.0)</f>
        <v>6800</v>
      </c>
      <c r="D924" s="6" t="str">
        <f>IFERROR(__xludf.DUMMYFUNCTION("""COMPUTED_VALUE"""),"Personal Care")</f>
        <v>Personal Care</v>
      </c>
      <c r="E924" s="6" t="str">
        <f>IFERROR(__xludf.DUMMYFUNCTION("""COMPUTED_VALUE"""),"Virtual Wallet")</f>
        <v>Virtual Wallet</v>
      </c>
      <c r="F924" s="6" t="s">
        <v>16</v>
      </c>
      <c r="G924" s="8" t="str">
        <f t="shared" si="1"/>
        <v>202503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  <c r="CD924" s="4"/>
      <c r="CE924" s="4"/>
      <c r="CF924" s="4"/>
      <c r="CG924" s="4"/>
      <c r="CH924" s="4"/>
      <c r="CI924" s="4"/>
      <c r="CJ924" s="4"/>
      <c r="CK924" s="4"/>
      <c r="CL924" s="4"/>
      <c r="CM924" s="4"/>
      <c r="CN924" s="4"/>
      <c r="CO924" s="4"/>
      <c r="CP924" s="4"/>
      <c r="CQ924" s="4"/>
      <c r="CR924" s="4"/>
      <c r="CS924" s="4"/>
      <c r="CT924" s="4"/>
      <c r="CU924" s="4"/>
      <c r="CV924" s="4"/>
      <c r="CW924" s="4"/>
      <c r="CX924" s="4"/>
      <c r="CY924" s="4"/>
      <c r="CZ924" s="4"/>
      <c r="DA924" s="4"/>
      <c r="DB924" s="4"/>
      <c r="DC924" s="4"/>
      <c r="DD924" s="4"/>
      <c r="DE924" s="4"/>
      <c r="DF924" s="4"/>
      <c r="DG924" s="4"/>
      <c r="DH924" s="4"/>
      <c r="DI924" s="4"/>
      <c r="DJ924" s="4"/>
      <c r="DK924" s="4"/>
      <c r="DL924" s="4"/>
      <c r="DM924" s="4"/>
      <c r="DN924" s="4"/>
      <c r="DO924" s="4"/>
      <c r="DP924" s="4"/>
      <c r="DQ924" s="4"/>
      <c r="DR924" s="4"/>
      <c r="DS924" s="4"/>
    </row>
    <row r="925">
      <c r="A925" s="9">
        <f>IFERROR(__xludf.DUMMYFUNCTION("""COMPUTED_VALUE"""),45717.0)</f>
        <v>45717</v>
      </c>
      <c r="B925" s="6" t="str">
        <f>IFERROR(__xludf.DUMMYFUNCTION("""COMPUTED_VALUE"""),"Pets")</f>
        <v>Pets</v>
      </c>
      <c r="C925" s="7">
        <f>IFERROR(__xludf.DUMMYFUNCTION("""COMPUTED_VALUE"""),1600.0)</f>
        <v>1600</v>
      </c>
      <c r="D925" s="6" t="str">
        <f>IFERROR(__xludf.DUMMYFUNCTION("""COMPUTED_VALUE"""),"Pets")</f>
        <v>Pets</v>
      </c>
      <c r="E925" s="6" t="str">
        <f>IFERROR(__xludf.DUMMYFUNCTION("""COMPUTED_VALUE"""),"Virtual Wallet")</f>
        <v>Virtual Wallet</v>
      </c>
      <c r="F925" s="6" t="s">
        <v>7</v>
      </c>
      <c r="G925" s="8" t="str">
        <f t="shared" si="1"/>
        <v>202503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  <c r="CD925" s="4"/>
      <c r="CE925" s="4"/>
      <c r="CF925" s="4"/>
      <c r="CG925" s="4"/>
      <c r="CH925" s="4"/>
      <c r="CI925" s="4"/>
      <c r="CJ925" s="4"/>
      <c r="CK925" s="4"/>
      <c r="CL925" s="4"/>
      <c r="CM925" s="4"/>
      <c r="CN925" s="4"/>
      <c r="CO925" s="4"/>
      <c r="CP925" s="4"/>
      <c r="CQ925" s="4"/>
      <c r="CR925" s="4"/>
      <c r="CS925" s="4"/>
      <c r="CT925" s="4"/>
      <c r="CU925" s="4"/>
      <c r="CV925" s="4"/>
      <c r="CW925" s="4"/>
      <c r="CX925" s="4"/>
      <c r="CY925" s="4"/>
      <c r="CZ925" s="4"/>
      <c r="DA925" s="4"/>
      <c r="DB925" s="4"/>
      <c r="DC925" s="4"/>
      <c r="DD925" s="4"/>
      <c r="DE925" s="4"/>
      <c r="DF925" s="4"/>
      <c r="DG925" s="4"/>
      <c r="DH925" s="4"/>
      <c r="DI925" s="4"/>
      <c r="DJ925" s="4"/>
      <c r="DK925" s="4"/>
      <c r="DL925" s="4"/>
      <c r="DM925" s="4"/>
      <c r="DN925" s="4"/>
      <c r="DO925" s="4"/>
      <c r="DP925" s="4"/>
      <c r="DQ925" s="4"/>
      <c r="DR925" s="4"/>
      <c r="DS925" s="4"/>
    </row>
    <row r="926">
      <c r="A926" s="9">
        <f>IFERROR(__xludf.DUMMYFUNCTION("""COMPUTED_VALUE"""),45717.0)</f>
        <v>45717</v>
      </c>
      <c r="B926" s="6" t="str">
        <f>IFERROR(__xludf.DUMMYFUNCTION("""COMPUTED_VALUE"""),"Pets")</f>
        <v>Pets</v>
      </c>
      <c r="C926" s="7">
        <f>IFERROR(__xludf.DUMMYFUNCTION("""COMPUTED_VALUE"""),3000.0)</f>
        <v>3000</v>
      </c>
      <c r="D926" s="6" t="str">
        <f>IFERROR(__xludf.DUMMYFUNCTION("""COMPUTED_VALUE"""),"Pets")</f>
        <v>Pets</v>
      </c>
      <c r="E926" s="6" t="str">
        <f>IFERROR(__xludf.DUMMYFUNCTION("""COMPUTED_VALUE"""),"Virtual Wallet")</f>
        <v>Virtual Wallet</v>
      </c>
      <c r="F926" s="6" t="s">
        <v>7</v>
      </c>
      <c r="G926" s="8" t="str">
        <f t="shared" si="1"/>
        <v>202503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  <c r="CD926" s="4"/>
      <c r="CE926" s="4"/>
      <c r="CF926" s="4"/>
      <c r="CG926" s="4"/>
      <c r="CH926" s="4"/>
      <c r="CI926" s="4"/>
      <c r="CJ926" s="4"/>
      <c r="CK926" s="4"/>
      <c r="CL926" s="4"/>
      <c r="CM926" s="4"/>
      <c r="CN926" s="4"/>
      <c r="CO926" s="4"/>
      <c r="CP926" s="4"/>
      <c r="CQ926" s="4"/>
      <c r="CR926" s="4"/>
      <c r="CS926" s="4"/>
      <c r="CT926" s="4"/>
      <c r="CU926" s="4"/>
      <c r="CV926" s="4"/>
      <c r="CW926" s="4"/>
      <c r="CX926" s="4"/>
      <c r="CY926" s="4"/>
      <c r="CZ926" s="4"/>
      <c r="DA926" s="4"/>
      <c r="DB926" s="4"/>
      <c r="DC926" s="4"/>
      <c r="DD926" s="4"/>
      <c r="DE926" s="4"/>
      <c r="DF926" s="4"/>
      <c r="DG926" s="4"/>
      <c r="DH926" s="4"/>
      <c r="DI926" s="4"/>
      <c r="DJ926" s="4"/>
      <c r="DK926" s="4"/>
      <c r="DL926" s="4"/>
      <c r="DM926" s="4"/>
      <c r="DN926" s="4"/>
      <c r="DO926" s="4"/>
      <c r="DP926" s="4"/>
      <c r="DQ926" s="4"/>
      <c r="DR926" s="4"/>
      <c r="DS926" s="4"/>
    </row>
    <row r="927">
      <c r="A927" s="9">
        <f>IFERROR(__xludf.DUMMYFUNCTION("""COMPUTED_VALUE"""),45717.0)</f>
        <v>45717</v>
      </c>
      <c r="B927" s="6" t="str">
        <f>IFERROR(__xludf.DUMMYFUNCTION("""COMPUTED_VALUE"""),"Restaurant")</f>
        <v>Restaurant</v>
      </c>
      <c r="C927" s="7">
        <f>IFERROR(__xludf.DUMMYFUNCTION("""COMPUTED_VALUE"""),82.0)</f>
        <v>82</v>
      </c>
      <c r="D927" s="6" t="str">
        <f>IFERROR(__xludf.DUMMYFUNCTION("""COMPUTED_VALUE"""),"Restaurant / Café")</f>
        <v>Restaurant / Café</v>
      </c>
      <c r="E927" s="6" t="str">
        <f>IFERROR(__xludf.DUMMYFUNCTION("""COMPUTED_VALUE"""),"Virtual Wallet")</f>
        <v>Virtual Wallet</v>
      </c>
      <c r="F927" s="6" t="s">
        <v>14</v>
      </c>
      <c r="G927" s="8" t="str">
        <f t="shared" si="1"/>
        <v>202503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  <c r="CD927" s="4"/>
      <c r="CE927" s="4"/>
      <c r="CF927" s="4"/>
      <c r="CG927" s="4"/>
      <c r="CH927" s="4"/>
      <c r="CI927" s="4"/>
      <c r="CJ927" s="4"/>
      <c r="CK927" s="4"/>
      <c r="CL927" s="4"/>
      <c r="CM927" s="4"/>
      <c r="CN927" s="4"/>
      <c r="CO927" s="4"/>
      <c r="CP927" s="4"/>
      <c r="CQ927" s="4"/>
      <c r="CR927" s="4"/>
      <c r="CS927" s="4"/>
      <c r="CT927" s="4"/>
      <c r="CU927" s="4"/>
      <c r="CV927" s="4"/>
      <c r="CW927" s="4"/>
      <c r="CX927" s="4"/>
      <c r="CY927" s="4"/>
      <c r="CZ927" s="4"/>
      <c r="DA927" s="4"/>
      <c r="DB927" s="4"/>
      <c r="DC927" s="4"/>
      <c r="DD927" s="4"/>
      <c r="DE927" s="4"/>
      <c r="DF927" s="4"/>
      <c r="DG927" s="4"/>
      <c r="DH927" s="4"/>
      <c r="DI927" s="4"/>
      <c r="DJ927" s="4"/>
      <c r="DK927" s="4"/>
      <c r="DL927" s="4"/>
      <c r="DM927" s="4"/>
      <c r="DN927" s="4"/>
      <c r="DO927" s="4"/>
      <c r="DP927" s="4"/>
      <c r="DQ927" s="4"/>
      <c r="DR927" s="4"/>
      <c r="DS927" s="4"/>
    </row>
    <row r="928">
      <c r="A928" s="9">
        <f>IFERROR(__xludf.DUMMYFUNCTION("""COMPUTED_VALUE"""),45718.0)</f>
        <v>45718</v>
      </c>
      <c r="B928" s="6" t="str">
        <f>IFERROR(__xludf.DUMMYFUNCTION("""COMPUTED_VALUE"""),"Groceries")</f>
        <v>Groceries</v>
      </c>
      <c r="C928" s="7">
        <f>IFERROR(__xludf.DUMMYFUNCTION("""COMPUTED_VALUE"""),48.0)</f>
        <v>48</v>
      </c>
      <c r="D928" s="6" t="str">
        <f>IFERROR(__xludf.DUMMYFUNCTION("""COMPUTED_VALUE"""),"Restaurant / Café")</f>
        <v>Restaurant / Café</v>
      </c>
      <c r="E928" s="6" t="str">
        <f>IFERROR(__xludf.DUMMYFUNCTION("""COMPUTED_VALUE"""),"Virtual Wallet")</f>
        <v>Virtual Wallet</v>
      </c>
      <c r="F928" s="6" t="s">
        <v>14</v>
      </c>
      <c r="G928" s="8" t="str">
        <f t="shared" si="1"/>
        <v>202503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  <c r="CD928" s="4"/>
      <c r="CE928" s="4"/>
      <c r="CF928" s="4"/>
      <c r="CG928" s="4"/>
      <c r="CH928" s="4"/>
      <c r="CI928" s="4"/>
      <c r="CJ928" s="4"/>
      <c r="CK928" s="4"/>
      <c r="CL928" s="4"/>
      <c r="CM928" s="4"/>
      <c r="CN928" s="4"/>
      <c r="CO928" s="4"/>
      <c r="CP928" s="4"/>
      <c r="CQ928" s="4"/>
      <c r="CR928" s="4"/>
      <c r="CS928" s="4"/>
      <c r="CT928" s="4"/>
      <c r="CU928" s="4"/>
      <c r="CV928" s="4"/>
      <c r="CW928" s="4"/>
      <c r="CX928" s="4"/>
      <c r="CY928" s="4"/>
      <c r="CZ928" s="4"/>
      <c r="DA928" s="4"/>
      <c r="DB928" s="4"/>
      <c r="DC928" s="4"/>
      <c r="DD928" s="4"/>
      <c r="DE928" s="4"/>
      <c r="DF928" s="4"/>
      <c r="DG928" s="4"/>
      <c r="DH928" s="4"/>
      <c r="DI928" s="4"/>
      <c r="DJ928" s="4"/>
      <c r="DK928" s="4"/>
      <c r="DL928" s="4"/>
      <c r="DM928" s="4"/>
      <c r="DN928" s="4"/>
      <c r="DO928" s="4"/>
      <c r="DP928" s="4"/>
      <c r="DQ928" s="4"/>
      <c r="DR928" s="4"/>
      <c r="DS928" s="4"/>
    </row>
    <row r="929">
      <c r="A929" s="9">
        <f>IFERROR(__xludf.DUMMYFUNCTION("""COMPUTED_VALUE"""),45718.0)</f>
        <v>45718</v>
      </c>
      <c r="B929" s="6" t="str">
        <f>IFERROR(__xludf.DUMMYFUNCTION("""COMPUTED_VALUE"""),"Streaming Services")</f>
        <v>Streaming Services</v>
      </c>
      <c r="C929" s="7">
        <f>IFERROR(__xludf.DUMMYFUNCTION("""COMPUTED_VALUE"""),2491.0)</f>
        <v>2491</v>
      </c>
      <c r="D929" s="6" t="str">
        <f>IFERROR(__xludf.DUMMYFUNCTION("""COMPUTED_VALUE"""),"Streaming Services")</f>
        <v>Streaming Services</v>
      </c>
      <c r="E929" s="6" t="str">
        <f>IFERROR(__xludf.DUMMYFUNCTION("""COMPUTED_VALUE"""),"Credit Card")</f>
        <v>Credit Card</v>
      </c>
      <c r="F929" s="6" t="s">
        <v>12</v>
      </c>
      <c r="G929" s="8" t="str">
        <f t="shared" si="1"/>
        <v>202503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  <c r="CD929" s="4"/>
      <c r="CE929" s="4"/>
      <c r="CF929" s="4"/>
      <c r="CG929" s="4"/>
      <c r="CH929" s="4"/>
      <c r="CI929" s="4"/>
      <c r="CJ929" s="4"/>
      <c r="CK929" s="4"/>
      <c r="CL929" s="4"/>
      <c r="CM929" s="4"/>
      <c r="CN929" s="4"/>
      <c r="CO929" s="4"/>
      <c r="CP929" s="4"/>
      <c r="CQ929" s="4"/>
      <c r="CR929" s="4"/>
      <c r="CS929" s="4"/>
      <c r="CT929" s="4"/>
      <c r="CU929" s="4"/>
      <c r="CV929" s="4"/>
      <c r="CW929" s="4"/>
      <c r="CX929" s="4"/>
      <c r="CY929" s="4"/>
      <c r="CZ929" s="4"/>
      <c r="DA929" s="4"/>
      <c r="DB929" s="4"/>
      <c r="DC929" s="4"/>
      <c r="DD929" s="4"/>
      <c r="DE929" s="4"/>
      <c r="DF929" s="4"/>
      <c r="DG929" s="4"/>
      <c r="DH929" s="4"/>
      <c r="DI929" s="4"/>
      <c r="DJ929" s="4"/>
      <c r="DK929" s="4"/>
      <c r="DL929" s="4"/>
      <c r="DM929" s="4"/>
      <c r="DN929" s="4"/>
      <c r="DO929" s="4"/>
      <c r="DP929" s="4"/>
      <c r="DQ929" s="4"/>
      <c r="DR929" s="4"/>
      <c r="DS929" s="4"/>
    </row>
    <row r="930">
      <c r="A930" s="9">
        <f>IFERROR(__xludf.DUMMYFUNCTION("""COMPUTED_VALUE"""),45719.0)</f>
        <v>45719</v>
      </c>
      <c r="B930" s="6" t="str">
        <f>IFERROR(__xludf.DUMMYFUNCTION("""COMPUTED_VALUE"""),"Event")</f>
        <v>Event</v>
      </c>
      <c r="C930" s="7">
        <f>IFERROR(__xludf.DUMMYFUNCTION("""COMPUTED_VALUE"""),11900.0)</f>
        <v>11900</v>
      </c>
      <c r="D930" s="6" t="str">
        <f>IFERROR(__xludf.DUMMYFUNCTION("""COMPUTED_VALUE"""),"Recreation")</f>
        <v>Recreation</v>
      </c>
      <c r="E930" s="6" t="str">
        <f>IFERROR(__xludf.DUMMYFUNCTION("""COMPUTED_VALUE"""),"Credit Card")</f>
        <v>Credit Card</v>
      </c>
      <c r="F930" s="6" t="s">
        <v>12</v>
      </c>
      <c r="G930" s="8" t="str">
        <f t="shared" si="1"/>
        <v>202503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  <c r="CD930" s="4"/>
      <c r="CE930" s="4"/>
      <c r="CF930" s="4"/>
      <c r="CG930" s="4"/>
      <c r="CH930" s="4"/>
      <c r="CI930" s="4"/>
      <c r="CJ930" s="4"/>
      <c r="CK930" s="4"/>
      <c r="CL930" s="4"/>
      <c r="CM930" s="4"/>
      <c r="CN930" s="4"/>
      <c r="CO930" s="4"/>
      <c r="CP930" s="4"/>
      <c r="CQ930" s="4"/>
      <c r="CR930" s="4"/>
      <c r="CS930" s="4"/>
      <c r="CT930" s="4"/>
      <c r="CU930" s="4"/>
      <c r="CV930" s="4"/>
      <c r="CW930" s="4"/>
      <c r="CX930" s="4"/>
      <c r="CY930" s="4"/>
      <c r="CZ930" s="4"/>
      <c r="DA930" s="4"/>
      <c r="DB930" s="4"/>
      <c r="DC930" s="4"/>
      <c r="DD930" s="4"/>
      <c r="DE930" s="4"/>
      <c r="DF930" s="4"/>
      <c r="DG930" s="4"/>
      <c r="DH930" s="4"/>
      <c r="DI930" s="4"/>
      <c r="DJ930" s="4"/>
      <c r="DK930" s="4"/>
      <c r="DL930" s="4"/>
      <c r="DM930" s="4"/>
      <c r="DN930" s="4"/>
      <c r="DO930" s="4"/>
      <c r="DP930" s="4"/>
      <c r="DQ930" s="4"/>
      <c r="DR930" s="4"/>
      <c r="DS930" s="4"/>
    </row>
    <row r="931">
      <c r="A931" s="9">
        <f>IFERROR(__xludf.DUMMYFUNCTION("""COMPUTED_VALUE"""),45719.0)</f>
        <v>45719</v>
      </c>
      <c r="B931" s="6" t="str">
        <f>IFERROR(__xludf.DUMMYFUNCTION("""COMPUTED_VALUE"""),"Streaming Services")</f>
        <v>Streaming Services</v>
      </c>
      <c r="C931" s="7">
        <f>IFERROR(__xludf.DUMMYFUNCTION("""COMPUTED_VALUE"""),7549.0)</f>
        <v>7549</v>
      </c>
      <c r="D931" s="6" t="str">
        <f>IFERROR(__xludf.DUMMYFUNCTION("""COMPUTED_VALUE"""),"Streaming Services")</f>
        <v>Streaming Services</v>
      </c>
      <c r="E931" s="6" t="str">
        <f>IFERROR(__xludf.DUMMYFUNCTION("""COMPUTED_VALUE"""),"Credit Card")</f>
        <v>Credit Card</v>
      </c>
      <c r="F931" s="6" t="s">
        <v>12</v>
      </c>
      <c r="G931" s="8" t="str">
        <f t="shared" si="1"/>
        <v>202503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  <c r="CD931" s="4"/>
      <c r="CE931" s="4"/>
      <c r="CF931" s="4"/>
      <c r="CG931" s="4"/>
      <c r="CH931" s="4"/>
      <c r="CI931" s="4"/>
      <c r="CJ931" s="4"/>
      <c r="CK931" s="4"/>
      <c r="CL931" s="4"/>
      <c r="CM931" s="4"/>
      <c r="CN931" s="4"/>
      <c r="CO931" s="4"/>
      <c r="CP931" s="4"/>
      <c r="CQ931" s="4"/>
      <c r="CR931" s="4"/>
      <c r="CS931" s="4"/>
      <c r="CT931" s="4"/>
      <c r="CU931" s="4"/>
      <c r="CV931" s="4"/>
      <c r="CW931" s="4"/>
      <c r="CX931" s="4"/>
      <c r="CY931" s="4"/>
      <c r="CZ931" s="4"/>
      <c r="DA931" s="4"/>
      <c r="DB931" s="4"/>
      <c r="DC931" s="4"/>
      <c r="DD931" s="4"/>
      <c r="DE931" s="4"/>
      <c r="DF931" s="4"/>
      <c r="DG931" s="4"/>
      <c r="DH931" s="4"/>
      <c r="DI931" s="4"/>
      <c r="DJ931" s="4"/>
      <c r="DK931" s="4"/>
      <c r="DL931" s="4"/>
      <c r="DM931" s="4"/>
      <c r="DN931" s="4"/>
      <c r="DO931" s="4"/>
      <c r="DP931" s="4"/>
      <c r="DQ931" s="4"/>
      <c r="DR931" s="4"/>
      <c r="DS931" s="4"/>
    </row>
    <row r="932">
      <c r="A932" s="9">
        <f>IFERROR(__xludf.DUMMYFUNCTION("""COMPUTED_VALUE"""),45720.0)</f>
        <v>45720</v>
      </c>
      <c r="B932" s="6" t="str">
        <f>IFERROR(__xludf.DUMMYFUNCTION("""COMPUTED_VALUE"""),"Clothing")</f>
        <v>Clothing</v>
      </c>
      <c r="C932" s="7">
        <f>IFERROR(__xludf.DUMMYFUNCTION("""COMPUTED_VALUE"""),33993.0)</f>
        <v>33993</v>
      </c>
      <c r="D932" s="6" t="str">
        <f>IFERROR(__xludf.DUMMYFUNCTION("""COMPUTED_VALUE"""),"Clothing")</f>
        <v>Clothing</v>
      </c>
      <c r="E932" s="6" t="str">
        <f>IFERROR(__xludf.DUMMYFUNCTION("""COMPUTED_VALUE"""),"Credit Card")</f>
        <v>Credit Card</v>
      </c>
      <c r="F932" s="6" t="s">
        <v>10</v>
      </c>
      <c r="G932" s="8" t="str">
        <f t="shared" si="1"/>
        <v>202503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  <c r="CD932" s="4"/>
      <c r="CE932" s="4"/>
      <c r="CF932" s="4"/>
      <c r="CG932" s="4"/>
      <c r="CH932" s="4"/>
      <c r="CI932" s="4"/>
      <c r="CJ932" s="4"/>
      <c r="CK932" s="4"/>
      <c r="CL932" s="4"/>
      <c r="CM932" s="4"/>
      <c r="CN932" s="4"/>
      <c r="CO932" s="4"/>
      <c r="CP932" s="4"/>
      <c r="CQ932" s="4"/>
      <c r="CR932" s="4"/>
      <c r="CS932" s="4"/>
      <c r="CT932" s="4"/>
      <c r="CU932" s="4"/>
      <c r="CV932" s="4"/>
      <c r="CW932" s="4"/>
      <c r="CX932" s="4"/>
      <c r="CY932" s="4"/>
      <c r="CZ932" s="4"/>
      <c r="DA932" s="4"/>
      <c r="DB932" s="4"/>
      <c r="DC932" s="4"/>
      <c r="DD932" s="4"/>
      <c r="DE932" s="4"/>
      <c r="DF932" s="4"/>
      <c r="DG932" s="4"/>
      <c r="DH932" s="4"/>
      <c r="DI932" s="4"/>
      <c r="DJ932" s="4"/>
      <c r="DK932" s="4"/>
      <c r="DL932" s="4"/>
      <c r="DM932" s="4"/>
      <c r="DN932" s="4"/>
      <c r="DO932" s="4"/>
      <c r="DP932" s="4"/>
      <c r="DQ932" s="4"/>
      <c r="DR932" s="4"/>
      <c r="DS932" s="4"/>
    </row>
    <row r="933">
      <c r="A933" s="9">
        <f>IFERROR(__xludf.DUMMYFUNCTION("""COMPUTED_VALUE"""),45720.0)</f>
        <v>45720</v>
      </c>
      <c r="B933" s="6" t="str">
        <f>IFERROR(__xludf.DUMMYFUNCTION("""COMPUTED_VALUE"""),"Clothing")</f>
        <v>Clothing</v>
      </c>
      <c r="C933" s="7">
        <f>IFERROR(__xludf.DUMMYFUNCTION("""COMPUTED_VALUE"""),8500.0)</f>
        <v>8500</v>
      </c>
      <c r="D933" s="6" t="str">
        <f>IFERROR(__xludf.DUMMYFUNCTION("""COMPUTED_VALUE"""),"Clothing")</f>
        <v>Clothing</v>
      </c>
      <c r="E933" s="6" t="str">
        <f>IFERROR(__xludf.DUMMYFUNCTION("""COMPUTED_VALUE"""),"Credit Card")</f>
        <v>Credit Card</v>
      </c>
      <c r="F933" s="6" t="s">
        <v>10</v>
      </c>
      <c r="G933" s="8" t="str">
        <f t="shared" si="1"/>
        <v>202503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  <c r="CD933" s="4"/>
      <c r="CE933" s="4"/>
      <c r="CF933" s="4"/>
      <c r="CG933" s="4"/>
      <c r="CH933" s="4"/>
      <c r="CI933" s="4"/>
      <c r="CJ933" s="4"/>
      <c r="CK933" s="4"/>
      <c r="CL933" s="4"/>
      <c r="CM933" s="4"/>
      <c r="CN933" s="4"/>
      <c r="CO933" s="4"/>
      <c r="CP933" s="4"/>
      <c r="CQ933" s="4"/>
      <c r="CR933" s="4"/>
      <c r="CS933" s="4"/>
      <c r="CT933" s="4"/>
      <c r="CU933" s="4"/>
      <c r="CV933" s="4"/>
      <c r="CW933" s="4"/>
      <c r="CX933" s="4"/>
      <c r="CY933" s="4"/>
      <c r="CZ933" s="4"/>
      <c r="DA933" s="4"/>
      <c r="DB933" s="4"/>
      <c r="DC933" s="4"/>
      <c r="DD933" s="4"/>
      <c r="DE933" s="4"/>
      <c r="DF933" s="4"/>
      <c r="DG933" s="4"/>
      <c r="DH933" s="4"/>
      <c r="DI933" s="4"/>
      <c r="DJ933" s="4"/>
      <c r="DK933" s="4"/>
      <c r="DL933" s="4"/>
      <c r="DM933" s="4"/>
      <c r="DN933" s="4"/>
      <c r="DO933" s="4"/>
      <c r="DP933" s="4"/>
      <c r="DQ933" s="4"/>
      <c r="DR933" s="4"/>
      <c r="DS933" s="4"/>
    </row>
    <row r="934">
      <c r="A934" s="9">
        <f>IFERROR(__xludf.DUMMYFUNCTION("""COMPUTED_VALUE"""),45720.0)</f>
        <v>45720</v>
      </c>
      <c r="B934" s="6" t="str">
        <f>IFERROR(__xludf.DUMMYFUNCTION("""COMPUTED_VALUE"""),"Clothing")</f>
        <v>Clothing</v>
      </c>
      <c r="C934" s="7">
        <f>IFERROR(__xludf.DUMMYFUNCTION("""COMPUTED_VALUE"""),11650.0)</f>
        <v>11650</v>
      </c>
      <c r="D934" s="6" t="str">
        <f>IFERROR(__xludf.DUMMYFUNCTION("""COMPUTED_VALUE"""),"Clothing")</f>
        <v>Clothing</v>
      </c>
      <c r="E934" s="6" t="str">
        <f>IFERROR(__xludf.DUMMYFUNCTION("""COMPUTED_VALUE"""),"Credit Card")</f>
        <v>Credit Card</v>
      </c>
      <c r="F934" s="6" t="s">
        <v>10</v>
      </c>
      <c r="G934" s="8" t="str">
        <f t="shared" si="1"/>
        <v>202503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  <c r="CD934" s="4"/>
      <c r="CE934" s="4"/>
      <c r="CF934" s="4"/>
      <c r="CG934" s="4"/>
      <c r="CH934" s="4"/>
      <c r="CI934" s="4"/>
      <c r="CJ934" s="4"/>
      <c r="CK934" s="4"/>
      <c r="CL934" s="4"/>
      <c r="CM934" s="4"/>
      <c r="CN934" s="4"/>
      <c r="CO934" s="4"/>
      <c r="CP934" s="4"/>
      <c r="CQ934" s="4"/>
      <c r="CR934" s="4"/>
      <c r="CS934" s="4"/>
      <c r="CT934" s="4"/>
      <c r="CU934" s="4"/>
      <c r="CV934" s="4"/>
      <c r="CW934" s="4"/>
      <c r="CX934" s="4"/>
      <c r="CY934" s="4"/>
      <c r="CZ934" s="4"/>
      <c r="DA934" s="4"/>
      <c r="DB934" s="4"/>
      <c r="DC934" s="4"/>
      <c r="DD934" s="4"/>
      <c r="DE934" s="4"/>
      <c r="DF934" s="4"/>
      <c r="DG934" s="4"/>
      <c r="DH934" s="4"/>
      <c r="DI934" s="4"/>
      <c r="DJ934" s="4"/>
      <c r="DK934" s="4"/>
      <c r="DL934" s="4"/>
      <c r="DM934" s="4"/>
      <c r="DN934" s="4"/>
      <c r="DO934" s="4"/>
      <c r="DP934" s="4"/>
      <c r="DQ934" s="4"/>
      <c r="DR934" s="4"/>
      <c r="DS934" s="4"/>
    </row>
    <row r="935">
      <c r="A935" s="9">
        <f>IFERROR(__xludf.DUMMYFUNCTION("""COMPUTED_VALUE"""),45720.0)</f>
        <v>45720</v>
      </c>
      <c r="B935" s="6" t="str">
        <f>IFERROR(__xludf.DUMMYFUNCTION("""COMPUTED_VALUE"""),"Clothing")</f>
        <v>Clothing</v>
      </c>
      <c r="C935" s="7">
        <f>IFERROR(__xludf.DUMMYFUNCTION("""COMPUTED_VALUE"""),13333.0)</f>
        <v>13333</v>
      </c>
      <c r="D935" s="6" t="str">
        <f>IFERROR(__xludf.DUMMYFUNCTION("""COMPUTED_VALUE"""),"Clothing")</f>
        <v>Clothing</v>
      </c>
      <c r="E935" s="6" t="str">
        <f>IFERROR(__xludf.DUMMYFUNCTION("""COMPUTED_VALUE"""),"Credit Card")</f>
        <v>Credit Card</v>
      </c>
      <c r="F935" s="6" t="s">
        <v>10</v>
      </c>
      <c r="G935" s="8" t="str">
        <f t="shared" si="1"/>
        <v>202503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  <c r="CD935" s="4"/>
      <c r="CE935" s="4"/>
      <c r="CF935" s="4"/>
      <c r="CG935" s="4"/>
      <c r="CH935" s="4"/>
      <c r="CI935" s="4"/>
      <c r="CJ935" s="4"/>
      <c r="CK935" s="4"/>
      <c r="CL935" s="4"/>
      <c r="CM935" s="4"/>
      <c r="CN935" s="4"/>
      <c r="CO935" s="4"/>
      <c r="CP935" s="4"/>
      <c r="CQ935" s="4"/>
      <c r="CR935" s="4"/>
      <c r="CS935" s="4"/>
      <c r="CT935" s="4"/>
      <c r="CU935" s="4"/>
      <c r="CV935" s="4"/>
      <c r="CW935" s="4"/>
      <c r="CX935" s="4"/>
      <c r="CY935" s="4"/>
      <c r="CZ935" s="4"/>
      <c r="DA935" s="4"/>
      <c r="DB935" s="4"/>
      <c r="DC935" s="4"/>
      <c r="DD935" s="4"/>
      <c r="DE935" s="4"/>
      <c r="DF935" s="4"/>
      <c r="DG935" s="4"/>
      <c r="DH935" s="4"/>
      <c r="DI935" s="4"/>
      <c r="DJ935" s="4"/>
      <c r="DK935" s="4"/>
      <c r="DL935" s="4"/>
      <c r="DM935" s="4"/>
      <c r="DN935" s="4"/>
      <c r="DO935" s="4"/>
      <c r="DP935" s="4"/>
      <c r="DQ935" s="4"/>
      <c r="DR935" s="4"/>
      <c r="DS935" s="4"/>
    </row>
    <row r="936">
      <c r="A936" s="9">
        <f>IFERROR(__xludf.DUMMYFUNCTION("""COMPUTED_VALUE"""),45720.0)</f>
        <v>45720</v>
      </c>
      <c r="B936" s="6" t="str">
        <f>IFERROR(__xludf.DUMMYFUNCTION("""COMPUTED_VALUE"""),"Groceries")</f>
        <v>Groceries</v>
      </c>
      <c r="C936" s="7">
        <f>IFERROR(__xludf.DUMMYFUNCTION("""COMPUTED_VALUE"""),75.0)</f>
        <v>75</v>
      </c>
      <c r="D936" s="6" t="str">
        <f>IFERROR(__xludf.DUMMYFUNCTION("""COMPUTED_VALUE"""),"Restaurant / Café")</f>
        <v>Restaurant / Café</v>
      </c>
      <c r="E936" s="6" t="str">
        <f>IFERROR(__xludf.DUMMYFUNCTION("""COMPUTED_VALUE"""),"Virtual Wallet")</f>
        <v>Virtual Wallet</v>
      </c>
      <c r="F936" s="6" t="s">
        <v>14</v>
      </c>
      <c r="G936" s="8" t="str">
        <f t="shared" si="1"/>
        <v>202503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  <c r="CD936" s="4"/>
      <c r="CE936" s="4"/>
      <c r="CF936" s="4"/>
      <c r="CG936" s="4"/>
      <c r="CH936" s="4"/>
      <c r="CI936" s="4"/>
      <c r="CJ936" s="4"/>
      <c r="CK936" s="4"/>
      <c r="CL936" s="4"/>
      <c r="CM936" s="4"/>
      <c r="CN936" s="4"/>
      <c r="CO936" s="4"/>
      <c r="CP936" s="4"/>
      <c r="CQ936" s="4"/>
      <c r="CR936" s="4"/>
      <c r="CS936" s="4"/>
      <c r="CT936" s="4"/>
      <c r="CU936" s="4"/>
      <c r="CV936" s="4"/>
      <c r="CW936" s="4"/>
      <c r="CX936" s="4"/>
      <c r="CY936" s="4"/>
      <c r="CZ936" s="4"/>
      <c r="DA936" s="4"/>
      <c r="DB936" s="4"/>
      <c r="DC936" s="4"/>
      <c r="DD936" s="4"/>
      <c r="DE936" s="4"/>
      <c r="DF936" s="4"/>
      <c r="DG936" s="4"/>
      <c r="DH936" s="4"/>
      <c r="DI936" s="4"/>
      <c r="DJ936" s="4"/>
      <c r="DK936" s="4"/>
      <c r="DL936" s="4"/>
      <c r="DM936" s="4"/>
      <c r="DN936" s="4"/>
      <c r="DO936" s="4"/>
      <c r="DP936" s="4"/>
      <c r="DQ936" s="4"/>
      <c r="DR936" s="4"/>
      <c r="DS936" s="4"/>
    </row>
    <row r="937">
      <c r="A937" s="9">
        <f>IFERROR(__xludf.DUMMYFUNCTION("""COMPUTED_VALUE"""),45720.0)</f>
        <v>45720</v>
      </c>
      <c r="B937" s="6" t="str">
        <f>IFERROR(__xludf.DUMMYFUNCTION("""COMPUTED_VALUE"""),"Mobile Plan")</f>
        <v>Mobile Plan</v>
      </c>
      <c r="C937" s="7">
        <f>IFERROR(__xludf.DUMMYFUNCTION("""COMPUTED_VALUE"""),9500.0)</f>
        <v>9500</v>
      </c>
      <c r="D937" s="6" t="str">
        <f>IFERROR(__xludf.DUMMYFUNCTION("""COMPUTED_VALUE"""),"Basic Services")</f>
        <v>Basic Services</v>
      </c>
      <c r="E937" s="6" t="str">
        <f>IFERROR(__xludf.DUMMYFUNCTION("""COMPUTED_VALUE"""),"Virtual Wallet")</f>
        <v>Virtual Wallet</v>
      </c>
      <c r="F937" s="6" t="s">
        <v>13</v>
      </c>
      <c r="G937" s="8" t="str">
        <f t="shared" si="1"/>
        <v>202503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  <c r="CD937" s="4"/>
      <c r="CE937" s="4"/>
      <c r="CF937" s="4"/>
      <c r="CG937" s="4"/>
      <c r="CH937" s="4"/>
      <c r="CI937" s="4"/>
      <c r="CJ937" s="4"/>
      <c r="CK937" s="4"/>
      <c r="CL937" s="4"/>
      <c r="CM937" s="4"/>
      <c r="CN937" s="4"/>
      <c r="CO937" s="4"/>
      <c r="CP937" s="4"/>
      <c r="CQ937" s="4"/>
      <c r="CR937" s="4"/>
      <c r="CS937" s="4"/>
      <c r="CT937" s="4"/>
      <c r="CU937" s="4"/>
      <c r="CV937" s="4"/>
      <c r="CW937" s="4"/>
      <c r="CX937" s="4"/>
      <c r="CY937" s="4"/>
      <c r="CZ937" s="4"/>
      <c r="DA937" s="4"/>
      <c r="DB937" s="4"/>
      <c r="DC937" s="4"/>
      <c r="DD937" s="4"/>
      <c r="DE937" s="4"/>
      <c r="DF937" s="4"/>
      <c r="DG937" s="4"/>
      <c r="DH937" s="4"/>
      <c r="DI937" s="4"/>
      <c r="DJ937" s="4"/>
      <c r="DK937" s="4"/>
      <c r="DL937" s="4"/>
      <c r="DM937" s="4"/>
      <c r="DN937" s="4"/>
      <c r="DO937" s="4"/>
      <c r="DP937" s="4"/>
      <c r="DQ937" s="4"/>
      <c r="DR937" s="4"/>
      <c r="DS937" s="4"/>
    </row>
    <row r="938">
      <c r="A938" s="9">
        <f>IFERROR(__xludf.DUMMYFUNCTION("""COMPUTED_VALUE"""),45721.0)</f>
        <v>45721</v>
      </c>
      <c r="B938" s="6" t="str">
        <f>IFERROR(__xludf.DUMMYFUNCTION("""COMPUTED_VALUE"""),"Home Goods")</f>
        <v>Home Goods</v>
      </c>
      <c r="C938" s="7">
        <f>IFERROR(__xludf.DUMMYFUNCTION("""COMPUTED_VALUE"""),5500.0)</f>
        <v>5500</v>
      </c>
      <c r="D938" s="6" t="str">
        <f>IFERROR(__xludf.DUMMYFUNCTION("""COMPUTED_VALUE"""),"Home Goods &amp; Utilities")</f>
        <v>Home Goods &amp; Utilities</v>
      </c>
      <c r="E938" s="6" t="str">
        <f>IFERROR(__xludf.DUMMYFUNCTION("""COMPUTED_VALUE"""),"Split Payment")</f>
        <v>Split Payment</v>
      </c>
      <c r="F938" s="6" t="s">
        <v>8</v>
      </c>
      <c r="G938" s="8" t="str">
        <f t="shared" si="1"/>
        <v>202503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  <c r="CD938" s="4"/>
      <c r="CE938" s="4"/>
      <c r="CF938" s="4"/>
      <c r="CG938" s="4"/>
      <c r="CH938" s="4"/>
      <c r="CI938" s="4"/>
      <c r="CJ938" s="4"/>
      <c r="CK938" s="4"/>
      <c r="CL938" s="4"/>
      <c r="CM938" s="4"/>
      <c r="CN938" s="4"/>
      <c r="CO938" s="4"/>
      <c r="CP938" s="4"/>
      <c r="CQ938" s="4"/>
      <c r="CR938" s="4"/>
      <c r="CS938" s="4"/>
      <c r="CT938" s="4"/>
      <c r="CU938" s="4"/>
      <c r="CV938" s="4"/>
      <c r="CW938" s="4"/>
      <c r="CX938" s="4"/>
      <c r="CY938" s="4"/>
      <c r="CZ938" s="4"/>
      <c r="DA938" s="4"/>
      <c r="DB938" s="4"/>
      <c r="DC938" s="4"/>
      <c r="DD938" s="4"/>
      <c r="DE938" s="4"/>
      <c r="DF938" s="4"/>
      <c r="DG938" s="4"/>
      <c r="DH938" s="4"/>
      <c r="DI938" s="4"/>
      <c r="DJ938" s="4"/>
      <c r="DK938" s="4"/>
      <c r="DL938" s="4"/>
      <c r="DM938" s="4"/>
      <c r="DN938" s="4"/>
      <c r="DO938" s="4"/>
      <c r="DP938" s="4"/>
      <c r="DQ938" s="4"/>
      <c r="DR938" s="4"/>
      <c r="DS938" s="4"/>
    </row>
    <row r="939">
      <c r="A939" s="9">
        <f>IFERROR(__xludf.DUMMYFUNCTION("""COMPUTED_VALUE"""),45721.0)</f>
        <v>45721</v>
      </c>
      <c r="B939" s="6" t="str">
        <f>IFERROR(__xludf.DUMMYFUNCTION("""COMPUTED_VALUE"""),"Groceries")</f>
        <v>Groceries</v>
      </c>
      <c r="C939" s="7">
        <f>IFERROR(__xludf.DUMMYFUNCTION("""COMPUTED_VALUE"""),5750.0)</f>
        <v>5750</v>
      </c>
      <c r="D939" s="6" t="str">
        <f>IFERROR(__xludf.DUMMYFUNCTION("""COMPUTED_VALUE"""),"Groceries")</f>
        <v>Groceries</v>
      </c>
      <c r="E939" s="6" t="str">
        <f>IFERROR(__xludf.DUMMYFUNCTION("""COMPUTED_VALUE"""),"Virtual Wallet")</f>
        <v>Virtual Wallet</v>
      </c>
      <c r="F939" s="6" t="s">
        <v>7</v>
      </c>
      <c r="G939" s="8" t="str">
        <f t="shared" si="1"/>
        <v>202503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  <c r="CD939" s="4"/>
      <c r="CE939" s="4"/>
      <c r="CF939" s="4"/>
      <c r="CG939" s="4"/>
      <c r="CH939" s="4"/>
      <c r="CI939" s="4"/>
      <c r="CJ939" s="4"/>
      <c r="CK939" s="4"/>
      <c r="CL939" s="4"/>
      <c r="CM939" s="4"/>
      <c r="CN939" s="4"/>
      <c r="CO939" s="4"/>
      <c r="CP939" s="4"/>
      <c r="CQ939" s="4"/>
      <c r="CR939" s="4"/>
      <c r="CS939" s="4"/>
      <c r="CT939" s="4"/>
      <c r="CU939" s="4"/>
      <c r="CV939" s="4"/>
      <c r="CW939" s="4"/>
      <c r="CX939" s="4"/>
      <c r="CY939" s="4"/>
      <c r="CZ939" s="4"/>
      <c r="DA939" s="4"/>
      <c r="DB939" s="4"/>
      <c r="DC939" s="4"/>
      <c r="DD939" s="4"/>
      <c r="DE939" s="4"/>
      <c r="DF939" s="4"/>
      <c r="DG939" s="4"/>
      <c r="DH939" s="4"/>
      <c r="DI939" s="4"/>
      <c r="DJ939" s="4"/>
      <c r="DK939" s="4"/>
      <c r="DL939" s="4"/>
      <c r="DM939" s="4"/>
      <c r="DN939" s="4"/>
      <c r="DO939" s="4"/>
      <c r="DP939" s="4"/>
      <c r="DQ939" s="4"/>
      <c r="DR939" s="4"/>
      <c r="DS939" s="4"/>
    </row>
    <row r="940">
      <c r="A940" s="9">
        <f>IFERROR(__xludf.DUMMYFUNCTION("""COMPUTED_VALUE"""),45721.0)</f>
        <v>45721</v>
      </c>
      <c r="B940" s="6" t="str">
        <f>IFERROR(__xludf.DUMMYFUNCTION("""COMPUTED_VALUE"""),"Groceries")</f>
        <v>Groceries</v>
      </c>
      <c r="C940" s="7">
        <f>IFERROR(__xludf.DUMMYFUNCTION("""COMPUTED_VALUE"""),45.0)</f>
        <v>45</v>
      </c>
      <c r="D940" s="6" t="str">
        <f>IFERROR(__xludf.DUMMYFUNCTION("""COMPUTED_VALUE"""),"Lunch Out")</f>
        <v>Lunch Out</v>
      </c>
      <c r="E940" s="6" t="str">
        <f>IFERROR(__xludf.DUMMYFUNCTION("""COMPUTED_VALUE"""),"Virtual Wallet")</f>
        <v>Virtual Wallet</v>
      </c>
      <c r="F940" s="6" t="s">
        <v>14</v>
      </c>
      <c r="G940" s="8" t="str">
        <f t="shared" si="1"/>
        <v>202503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  <c r="CD940" s="4"/>
      <c r="CE940" s="4"/>
      <c r="CF940" s="4"/>
      <c r="CG940" s="4"/>
      <c r="CH940" s="4"/>
      <c r="CI940" s="4"/>
      <c r="CJ940" s="4"/>
      <c r="CK940" s="4"/>
      <c r="CL940" s="4"/>
      <c r="CM940" s="4"/>
      <c r="CN940" s="4"/>
      <c r="CO940" s="4"/>
      <c r="CP940" s="4"/>
      <c r="CQ940" s="4"/>
      <c r="CR940" s="4"/>
      <c r="CS940" s="4"/>
      <c r="CT940" s="4"/>
      <c r="CU940" s="4"/>
      <c r="CV940" s="4"/>
      <c r="CW940" s="4"/>
      <c r="CX940" s="4"/>
      <c r="CY940" s="4"/>
      <c r="CZ940" s="4"/>
      <c r="DA940" s="4"/>
      <c r="DB940" s="4"/>
      <c r="DC940" s="4"/>
      <c r="DD940" s="4"/>
      <c r="DE940" s="4"/>
      <c r="DF940" s="4"/>
      <c r="DG940" s="4"/>
      <c r="DH940" s="4"/>
      <c r="DI940" s="4"/>
      <c r="DJ940" s="4"/>
      <c r="DK940" s="4"/>
      <c r="DL940" s="4"/>
      <c r="DM940" s="4"/>
      <c r="DN940" s="4"/>
      <c r="DO940" s="4"/>
      <c r="DP940" s="4"/>
      <c r="DQ940" s="4"/>
      <c r="DR940" s="4"/>
      <c r="DS940" s="4"/>
    </row>
    <row r="941">
      <c r="A941" s="9">
        <f>IFERROR(__xludf.DUMMYFUNCTION("""COMPUTED_VALUE"""),45722.0)</f>
        <v>45722</v>
      </c>
      <c r="B941" s="6" t="str">
        <f>IFERROR(__xludf.DUMMYFUNCTION("""COMPUTED_VALUE"""),"Groceries")</f>
        <v>Groceries</v>
      </c>
      <c r="C941" s="7">
        <f>IFERROR(__xludf.DUMMYFUNCTION("""COMPUTED_VALUE"""),30.0)</f>
        <v>30</v>
      </c>
      <c r="D941" s="6" t="str">
        <f>IFERROR(__xludf.DUMMYFUNCTION("""COMPUTED_VALUE"""),"Groceries")</f>
        <v>Groceries</v>
      </c>
      <c r="E941" s="6" t="str">
        <f>IFERROR(__xludf.DUMMYFUNCTION("""COMPUTED_VALUE"""),"Virtual Wallet")</f>
        <v>Virtual Wallet</v>
      </c>
      <c r="F941" s="6" t="s">
        <v>7</v>
      </c>
      <c r="G941" s="8" t="str">
        <f t="shared" si="1"/>
        <v>202503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  <c r="CD941" s="4"/>
      <c r="CE941" s="4"/>
      <c r="CF941" s="4"/>
      <c r="CG941" s="4"/>
      <c r="CH941" s="4"/>
      <c r="CI941" s="4"/>
      <c r="CJ941" s="4"/>
      <c r="CK941" s="4"/>
      <c r="CL941" s="4"/>
      <c r="CM941" s="4"/>
      <c r="CN941" s="4"/>
      <c r="CO941" s="4"/>
      <c r="CP941" s="4"/>
      <c r="CQ941" s="4"/>
      <c r="CR941" s="4"/>
      <c r="CS941" s="4"/>
      <c r="CT941" s="4"/>
      <c r="CU941" s="4"/>
      <c r="CV941" s="4"/>
      <c r="CW941" s="4"/>
      <c r="CX941" s="4"/>
      <c r="CY941" s="4"/>
      <c r="CZ941" s="4"/>
      <c r="DA941" s="4"/>
      <c r="DB941" s="4"/>
      <c r="DC941" s="4"/>
      <c r="DD941" s="4"/>
      <c r="DE941" s="4"/>
      <c r="DF941" s="4"/>
      <c r="DG941" s="4"/>
      <c r="DH941" s="4"/>
      <c r="DI941" s="4"/>
      <c r="DJ941" s="4"/>
      <c r="DK941" s="4"/>
      <c r="DL941" s="4"/>
      <c r="DM941" s="4"/>
      <c r="DN941" s="4"/>
      <c r="DO941" s="4"/>
      <c r="DP941" s="4"/>
      <c r="DQ941" s="4"/>
      <c r="DR941" s="4"/>
      <c r="DS941" s="4"/>
    </row>
    <row r="942">
      <c r="A942" s="9">
        <f>IFERROR(__xludf.DUMMYFUNCTION("""COMPUTED_VALUE"""),45723.0)</f>
        <v>45723</v>
      </c>
      <c r="B942" s="6" t="str">
        <f>IFERROR(__xludf.DUMMYFUNCTION("""COMPUTED_VALUE"""),"Groceries")</f>
        <v>Groceries</v>
      </c>
      <c r="C942" s="7">
        <f>IFERROR(__xludf.DUMMYFUNCTION("""COMPUTED_VALUE"""),45.0)</f>
        <v>45</v>
      </c>
      <c r="D942" s="6" t="str">
        <f>IFERROR(__xludf.DUMMYFUNCTION("""COMPUTED_VALUE"""),"Lunch Out")</f>
        <v>Lunch Out</v>
      </c>
      <c r="E942" s="6" t="str">
        <f>IFERROR(__xludf.DUMMYFUNCTION("""COMPUTED_VALUE"""),"Virtual Wallet")</f>
        <v>Virtual Wallet</v>
      </c>
      <c r="F942" s="6" t="s">
        <v>14</v>
      </c>
      <c r="G942" s="8" t="str">
        <f t="shared" si="1"/>
        <v>202503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  <c r="CD942" s="4"/>
      <c r="CE942" s="4"/>
      <c r="CF942" s="4"/>
      <c r="CG942" s="4"/>
      <c r="CH942" s="4"/>
      <c r="CI942" s="4"/>
      <c r="CJ942" s="4"/>
      <c r="CK942" s="4"/>
      <c r="CL942" s="4"/>
      <c r="CM942" s="4"/>
      <c r="CN942" s="4"/>
      <c r="CO942" s="4"/>
      <c r="CP942" s="4"/>
      <c r="CQ942" s="4"/>
      <c r="CR942" s="4"/>
      <c r="CS942" s="4"/>
      <c r="CT942" s="4"/>
      <c r="CU942" s="4"/>
      <c r="CV942" s="4"/>
      <c r="CW942" s="4"/>
      <c r="CX942" s="4"/>
      <c r="CY942" s="4"/>
      <c r="CZ942" s="4"/>
      <c r="DA942" s="4"/>
      <c r="DB942" s="4"/>
      <c r="DC942" s="4"/>
      <c r="DD942" s="4"/>
      <c r="DE942" s="4"/>
      <c r="DF942" s="4"/>
      <c r="DG942" s="4"/>
      <c r="DH942" s="4"/>
      <c r="DI942" s="4"/>
      <c r="DJ942" s="4"/>
      <c r="DK942" s="4"/>
      <c r="DL942" s="4"/>
      <c r="DM942" s="4"/>
      <c r="DN942" s="4"/>
      <c r="DO942" s="4"/>
      <c r="DP942" s="4"/>
      <c r="DQ942" s="4"/>
      <c r="DR942" s="4"/>
      <c r="DS942" s="4"/>
    </row>
    <row r="943">
      <c r="A943" s="9">
        <f>IFERROR(__xludf.DUMMYFUNCTION("""COMPUTED_VALUE"""),45723.0)</f>
        <v>45723</v>
      </c>
      <c r="B943" s="6" t="str">
        <f>IFERROR(__xludf.DUMMYFUNCTION("""COMPUTED_VALUE"""),"Restaurant")</f>
        <v>Restaurant</v>
      </c>
      <c r="C943" s="7">
        <f>IFERROR(__xludf.DUMMYFUNCTION("""COMPUTED_VALUE"""),12941.0)</f>
        <v>12941</v>
      </c>
      <c r="D943" s="6" t="str">
        <f>IFERROR(__xludf.DUMMYFUNCTION("""COMPUTED_VALUE"""),"Restaurant / Café")</f>
        <v>Restaurant / Café</v>
      </c>
      <c r="E943" s="6" t="str">
        <f>IFERROR(__xludf.DUMMYFUNCTION("""COMPUTED_VALUE"""),"Virtual Wallet")</f>
        <v>Virtual Wallet</v>
      </c>
      <c r="F943" s="6" t="s">
        <v>14</v>
      </c>
      <c r="G943" s="8" t="str">
        <f t="shared" si="1"/>
        <v>202503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  <c r="CD943" s="4"/>
      <c r="CE943" s="4"/>
      <c r="CF943" s="4"/>
      <c r="CG943" s="4"/>
      <c r="CH943" s="4"/>
      <c r="CI943" s="4"/>
      <c r="CJ943" s="4"/>
      <c r="CK943" s="4"/>
      <c r="CL943" s="4"/>
      <c r="CM943" s="4"/>
      <c r="CN943" s="4"/>
      <c r="CO943" s="4"/>
      <c r="CP943" s="4"/>
      <c r="CQ943" s="4"/>
      <c r="CR943" s="4"/>
      <c r="CS943" s="4"/>
      <c r="CT943" s="4"/>
      <c r="CU943" s="4"/>
      <c r="CV943" s="4"/>
      <c r="CW943" s="4"/>
      <c r="CX943" s="4"/>
      <c r="CY943" s="4"/>
      <c r="CZ943" s="4"/>
      <c r="DA943" s="4"/>
      <c r="DB943" s="4"/>
      <c r="DC943" s="4"/>
      <c r="DD943" s="4"/>
      <c r="DE943" s="4"/>
      <c r="DF943" s="4"/>
      <c r="DG943" s="4"/>
      <c r="DH943" s="4"/>
      <c r="DI943" s="4"/>
      <c r="DJ943" s="4"/>
      <c r="DK943" s="4"/>
      <c r="DL943" s="4"/>
      <c r="DM943" s="4"/>
      <c r="DN943" s="4"/>
      <c r="DO943" s="4"/>
      <c r="DP943" s="4"/>
      <c r="DQ943" s="4"/>
      <c r="DR943" s="4"/>
      <c r="DS943" s="4"/>
    </row>
    <row r="944">
      <c r="A944" s="9">
        <f>IFERROR(__xludf.DUMMYFUNCTION("""COMPUTED_VALUE"""),45724.0)</f>
        <v>45724</v>
      </c>
      <c r="B944" s="6" t="str">
        <f>IFERROR(__xludf.DUMMYFUNCTION("""COMPUTED_VALUE"""),"Cab/Uber")</f>
        <v>Cab/Uber</v>
      </c>
      <c r="C944" s="7">
        <f>IFERROR(__xludf.DUMMYFUNCTION("""COMPUTED_VALUE"""),6200.0)</f>
        <v>6200</v>
      </c>
      <c r="D944" s="6" t="str">
        <f>IFERROR(__xludf.DUMMYFUNCTION("""COMPUTED_VALUE"""),"Transportation")</f>
        <v>Transportation</v>
      </c>
      <c r="E944" s="6" t="str">
        <f>IFERROR(__xludf.DUMMYFUNCTION("""COMPUTED_VALUE"""),"Virtual Wallet")</f>
        <v>Virtual Wallet</v>
      </c>
      <c r="F944" s="6" t="s">
        <v>9</v>
      </c>
      <c r="G944" s="8" t="str">
        <f t="shared" si="1"/>
        <v>202503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  <c r="CD944" s="4"/>
      <c r="CE944" s="4"/>
      <c r="CF944" s="4"/>
      <c r="CG944" s="4"/>
      <c r="CH944" s="4"/>
      <c r="CI944" s="4"/>
      <c r="CJ944" s="4"/>
      <c r="CK944" s="4"/>
      <c r="CL944" s="4"/>
      <c r="CM944" s="4"/>
      <c r="CN944" s="4"/>
      <c r="CO944" s="4"/>
      <c r="CP944" s="4"/>
      <c r="CQ944" s="4"/>
      <c r="CR944" s="4"/>
      <c r="CS944" s="4"/>
      <c r="CT944" s="4"/>
      <c r="CU944" s="4"/>
      <c r="CV944" s="4"/>
      <c r="CW944" s="4"/>
      <c r="CX944" s="4"/>
      <c r="CY944" s="4"/>
      <c r="CZ944" s="4"/>
      <c r="DA944" s="4"/>
      <c r="DB944" s="4"/>
      <c r="DC944" s="4"/>
      <c r="DD944" s="4"/>
      <c r="DE944" s="4"/>
      <c r="DF944" s="4"/>
      <c r="DG944" s="4"/>
      <c r="DH944" s="4"/>
      <c r="DI944" s="4"/>
      <c r="DJ944" s="4"/>
      <c r="DK944" s="4"/>
      <c r="DL944" s="4"/>
      <c r="DM944" s="4"/>
      <c r="DN944" s="4"/>
      <c r="DO944" s="4"/>
      <c r="DP944" s="4"/>
      <c r="DQ944" s="4"/>
      <c r="DR944" s="4"/>
      <c r="DS944" s="4"/>
    </row>
    <row r="945">
      <c r="A945" s="9">
        <f>IFERROR(__xludf.DUMMYFUNCTION("""COMPUTED_VALUE"""),45724.0)</f>
        <v>45724</v>
      </c>
      <c r="B945" s="6" t="str">
        <f>IFERROR(__xludf.DUMMYFUNCTION("""COMPUTED_VALUE"""),"Rent &amp; Building Expenses")</f>
        <v>Rent &amp; Building Expenses</v>
      </c>
      <c r="C945" s="7">
        <f>IFERROR(__xludf.DUMMYFUNCTION("""COMPUTED_VALUE"""),353000.0)</f>
        <v>353000</v>
      </c>
      <c r="D945" s="6" t="str">
        <f>IFERROR(__xludf.DUMMYFUNCTION("""COMPUTED_VALUE"""),"Rent &amp; Utilities")</f>
        <v>Rent &amp; Utilities</v>
      </c>
      <c r="E945" s="6" t="str">
        <f>IFERROR(__xludf.DUMMYFUNCTION("""COMPUTED_VALUE"""),"Virtual Wallet")</f>
        <v>Virtual Wallet</v>
      </c>
      <c r="F945" s="6" t="s">
        <v>13</v>
      </c>
      <c r="G945" s="8" t="str">
        <f t="shared" si="1"/>
        <v>202503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  <c r="CD945" s="4"/>
      <c r="CE945" s="4"/>
      <c r="CF945" s="4"/>
      <c r="CG945" s="4"/>
      <c r="CH945" s="4"/>
      <c r="CI945" s="4"/>
      <c r="CJ945" s="4"/>
      <c r="CK945" s="4"/>
      <c r="CL945" s="4"/>
      <c r="CM945" s="4"/>
      <c r="CN945" s="4"/>
      <c r="CO945" s="4"/>
      <c r="CP945" s="4"/>
      <c r="CQ945" s="4"/>
      <c r="CR945" s="4"/>
      <c r="CS945" s="4"/>
      <c r="CT945" s="4"/>
      <c r="CU945" s="4"/>
      <c r="CV945" s="4"/>
      <c r="CW945" s="4"/>
      <c r="CX945" s="4"/>
      <c r="CY945" s="4"/>
      <c r="CZ945" s="4"/>
      <c r="DA945" s="4"/>
      <c r="DB945" s="4"/>
      <c r="DC945" s="4"/>
      <c r="DD945" s="4"/>
      <c r="DE945" s="4"/>
      <c r="DF945" s="4"/>
      <c r="DG945" s="4"/>
      <c r="DH945" s="4"/>
      <c r="DI945" s="4"/>
      <c r="DJ945" s="4"/>
      <c r="DK945" s="4"/>
      <c r="DL945" s="4"/>
      <c r="DM945" s="4"/>
      <c r="DN945" s="4"/>
      <c r="DO945" s="4"/>
      <c r="DP945" s="4"/>
      <c r="DQ945" s="4"/>
      <c r="DR945" s="4"/>
      <c r="DS945" s="4"/>
    </row>
    <row r="946">
      <c r="A946" s="9">
        <f>IFERROR(__xludf.DUMMYFUNCTION("""COMPUTED_VALUE"""),45724.0)</f>
        <v>45724</v>
      </c>
      <c r="B946" s="6" t="str">
        <f>IFERROR(__xludf.DUMMYFUNCTION("""COMPUTED_VALUE"""),"Restaurant")</f>
        <v>Restaurant</v>
      </c>
      <c r="C946" s="7">
        <f>IFERROR(__xludf.DUMMYFUNCTION("""COMPUTED_VALUE"""),10300.0)</f>
        <v>10300</v>
      </c>
      <c r="D946" s="6" t="str">
        <f>IFERROR(__xludf.DUMMYFUNCTION("""COMPUTED_VALUE"""),"Restaurant / Café")</f>
        <v>Restaurant / Café</v>
      </c>
      <c r="E946" s="6" t="str">
        <f>IFERROR(__xludf.DUMMYFUNCTION("""COMPUTED_VALUE"""),"Virtual Wallet")</f>
        <v>Virtual Wallet</v>
      </c>
      <c r="F946" s="6" t="s">
        <v>14</v>
      </c>
      <c r="G946" s="8" t="str">
        <f t="shared" si="1"/>
        <v>202503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  <c r="CD946" s="4"/>
      <c r="CE946" s="4"/>
      <c r="CF946" s="4"/>
      <c r="CG946" s="4"/>
      <c r="CH946" s="4"/>
      <c r="CI946" s="4"/>
      <c r="CJ946" s="4"/>
      <c r="CK946" s="4"/>
      <c r="CL946" s="4"/>
      <c r="CM946" s="4"/>
      <c r="CN946" s="4"/>
      <c r="CO946" s="4"/>
      <c r="CP946" s="4"/>
      <c r="CQ946" s="4"/>
      <c r="CR946" s="4"/>
      <c r="CS946" s="4"/>
      <c r="CT946" s="4"/>
      <c r="CU946" s="4"/>
      <c r="CV946" s="4"/>
      <c r="CW946" s="4"/>
      <c r="CX946" s="4"/>
      <c r="CY946" s="4"/>
      <c r="CZ946" s="4"/>
      <c r="DA946" s="4"/>
      <c r="DB946" s="4"/>
      <c r="DC946" s="4"/>
      <c r="DD946" s="4"/>
      <c r="DE946" s="4"/>
      <c r="DF946" s="4"/>
      <c r="DG946" s="4"/>
      <c r="DH946" s="4"/>
      <c r="DI946" s="4"/>
      <c r="DJ946" s="4"/>
      <c r="DK946" s="4"/>
      <c r="DL946" s="4"/>
      <c r="DM946" s="4"/>
      <c r="DN946" s="4"/>
      <c r="DO946" s="4"/>
      <c r="DP946" s="4"/>
      <c r="DQ946" s="4"/>
      <c r="DR946" s="4"/>
      <c r="DS946" s="4"/>
    </row>
    <row r="947">
      <c r="A947" s="9">
        <f>IFERROR(__xludf.DUMMYFUNCTION("""COMPUTED_VALUE"""),45724.0)</f>
        <v>45724</v>
      </c>
      <c r="B947" s="6" t="str">
        <f>IFERROR(__xludf.DUMMYFUNCTION("""COMPUTED_VALUE"""),"Restaurant")</f>
        <v>Restaurant</v>
      </c>
      <c r="C947" s="7">
        <f>IFERROR(__xludf.DUMMYFUNCTION("""COMPUTED_VALUE"""),48.0)</f>
        <v>48</v>
      </c>
      <c r="D947" s="6" t="str">
        <f>IFERROR(__xludf.DUMMYFUNCTION("""COMPUTED_VALUE"""),"Restaurant / Café")</f>
        <v>Restaurant / Café</v>
      </c>
      <c r="E947" s="6" t="str">
        <f>IFERROR(__xludf.DUMMYFUNCTION("""COMPUTED_VALUE"""),"Virtual Wallet")</f>
        <v>Virtual Wallet</v>
      </c>
      <c r="F947" s="6" t="s">
        <v>14</v>
      </c>
      <c r="G947" s="8" t="str">
        <f t="shared" si="1"/>
        <v>202503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  <c r="CD947" s="4"/>
      <c r="CE947" s="4"/>
      <c r="CF947" s="4"/>
      <c r="CG947" s="4"/>
      <c r="CH947" s="4"/>
      <c r="CI947" s="4"/>
      <c r="CJ947" s="4"/>
      <c r="CK947" s="4"/>
      <c r="CL947" s="4"/>
      <c r="CM947" s="4"/>
      <c r="CN947" s="4"/>
      <c r="CO947" s="4"/>
      <c r="CP947" s="4"/>
      <c r="CQ947" s="4"/>
      <c r="CR947" s="4"/>
      <c r="CS947" s="4"/>
      <c r="CT947" s="4"/>
      <c r="CU947" s="4"/>
      <c r="CV947" s="4"/>
      <c r="CW947" s="4"/>
      <c r="CX947" s="4"/>
      <c r="CY947" s="4"/>
      <c r="CZ947" s="4"/>
      <c r="DA947" s="4"/>
      <c r="DB947" s="4"/>
      <c r="DC947" s="4"/>
      <c r="DD947" s="4"/>
      <c r="DE947" s="4"/>
      <c r="DF947" s="4"/>
      <c r="DG947" s="4"/>
      <c r="DH947" s="4"/>
      <c r="DI947" s="4"/>
      <c r="DJ947" s="4"/>
      <c r="DK947" s="4"/>
      <c r="DL947" s="4"/>
      <c r="DM947" s="4"/>
      <c r="DN947" s="4"/>
      <c r="DO947" s="4"/>
      <c r="DP947" s="4"/>
      <c r="DQ947" s="4"/>
      <c r="DR947" s="4"/>
      <c r="DS947" s="4"/>
    </row>
    <row r="948">
      <c r="A948" s="9">
        <f>IFERROR(__xludf.DUMMYFUNCTION("""COMPUTED_VALUE"""),45724.0)</f>
        <v>45724</v>
      </c>
      <c r="B948" s="6" t="str">
        <f>IFERROR(__xludf.DUMMYFUNCTION("""COMPUTED_VALUE"""),"Sports")</f>
        <v>Sports</v>
      </c>
      <c r="C948" s="7">
        <f>IFERROR(__xludf.DUMMYFUNCTION("""COMPUTED_VALUE"""),7700.0)</f>
        <v>7700</v>
      </c>
      <c r="D948" s="6" t="str">
        <f>IFERROR(__xludf.DUMMYFUNCTION("""COMPUTED_VALUE"""),"Sports")</f>
        <v>Sports</v>
      </c>
      <c r="E948" s="6" t="str">
        <f>IFERROR(__xludf.DUMMYFUNCTION("""COMPUTED_VALUE"""),"Virtual Wallet")</f>
        <v>Virtual Wallet</v>
      </c>
      <c r="F948" s="6" t="s">
        <v>12</v>
      </c>
      <c r="G948" s="8" t="str">
        <f t="shared" si="1"/>
        <v>202503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  <c r="CD948" s="4"/>
      <c r="CE948" s="4"/>
      <c r="CF948" s="4"/>
      <c r="CG948" s="4"/>
      <c r="CH948" s="4"/>
      <c r="CI948" s="4"/>
      <c r="CJ948" s="4"/>
      <c r="CK948" s="4"/>
      <c r="CL948" s="4"/>
      <c r="CM948" s="4"/>
      <c r="CN948" s="4"/>
      <c r="CO948" s="4"/>
      <c r="CP948" s="4"/>
      <c r="CQ948" s="4"/>
      <c r="CR948" s="4"/>
      <c r="CS948" s="4"/>
      <c r="CT948" s="4"/>
      <c r="CU948" s="4"/>
      <c r="CV948" s="4"/>
      <c r="CW948" s="4"/>
      <c r="CX948" s="4"/>
      <c r="CY948" s="4"/>
      <c r="CZ948" s="4"/>
      <c r="DA948" s="4"/>
      <c r="DB948" s="4"/>
      <c r="DC948" s="4"/>
      <c r="DD948" s="4"/>
      <c r="DE948" s="4"/>
      <c r="DF948" s="4"/>
      <c r="DG948" s="4"/>
      <c r="DH948" s="4"/>
      <c r="DI948" s="4"/>
      <c r="DJ948" s="4"/>
      <c r="DK948" s="4"/>
      <c r="DL948" s="4"/>
      <c r="DM948" s="4"/>
      <c r="DN948" s="4"/>
      <c r="DO948" s="4"/>
      <c r="DP948" s="4"/>
      <c r="DQ948" s="4"/>
      <c r="DR948" s="4"/>
      <c r="DS948" s="4"/>
    </row>
    <row r="949">
      <c r="A949" s="9">
        <f>IFERROR(__xludf.DUMMYFUNCTION("""COMPUTED_VALUE"""),45725.0)</f>
        <v>45725</v>
      </c>
      <c r="B949" s="6" t="str">
        <f>IFERROR(__xludf.DUMMYFUNCTION("""COMPUTED_VALUE"""),"Gas Bill (Metrogas)")</f>
        <v>Gas Bill (Metrogas)</v>
      </c>
      <c r="C949" s="7">
        <f>IFERROR(__xludf.DUMMYFUNCTION("""COMPUTED_VALUE"""),5158.0)</f>
        <v>5158</v>
      </c>
      <c r="D949" s="6" t="str">
        <f>IFERROR(__xludf.DUMMYFUNCTION("""COMPUTED_VALUE"""),"Basic Services")</f>
        <v>Basic Services</v>
      </c>
      <c r="E949" s="6" t="str">
        <f>IFERROR(__xludf.DUMMYFUNCTION("""COMPUTED_VALUE"""),"Split Payment")</f>
        <v>Split Payment</v>
      </c>
      <c r="F949" s="6" t="s">
        <v>13</v>
      </c>
      <c r="G949" s="8" t="str">
        <f t="shared" si="1"/>
        <v>202503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  <c r="CD949" s="4"/>
      <c r="CE949" s="4"/>
      <c r="CF949" s="4"/>
      <c r="CG949" s="4"/>
      <c r="CH949" s="4"/>
      <c r="CI949" s="4"/>
      <c r="CJ949" s="4"/>
      <c r="CK949" s="4"/>
      <c r="CL949" s="4"/>
      <c r="CM949" s="4"/>
      <c r="CN949" s="4"/>
      <c r="CO949" s="4"/>
      <c r="CP949" s="4"/>
      <c r="CQ949" s="4"/>
      <c r="CR949" s="4"/>
      <c r="CS949" s="4"/>
      <c r="CT949" s="4"/>
      <c r="CU949" s="4"/>
      <c r="CV949" s="4"/>
      <c r="CW949" s="4"/>
      <c r="CX949" s="4"/>
      <c r="CY949" s="4"/>
      <c r="CZ949" s="4"/>
      <c r="DA949" s="4"/>
      <c r="DB949" s="4"/>
      <c r="DC949" s="4"/>
      <c r="DD949" s="4"/>
      <c r="DE949" s="4"/>
      <c r="DF949" s="4"/>
      <c r="DG949" s="4"/>
      <c r="DH949" s="4"/>
      <c r="DI949" s="4"/>
      <c r="DJ949" s="4"/>
      <c r="DK949" s="4"/>
      <c r="DL949" s="4"/>
      <c r="DM949" s="4"/>
      <c r="DN949" s="4"/>
      <c r="DO949" s="4"/>
      <c r="DP949" s="4"/>
      <c r="DQ949" s="4"/>
      <c r="DR949" s="4"/>
      <c r="DS949" s="4"/>
    </row>
    <row r="950">
      <c r="A950" s="9">
        <f>IFERROR(__xludf.DUMMYFUNCTION("""COMPUTED_VALUE"""),45725.0)</f>
        <v>45725</v>
      </c>
      <c r="B950" s="6" t="str">
        <f>IFERROR(__xludf.DUMMYFUNCTION("""COMPUTED_VALUE"""),"Home Goods")</f>
        <v>Home Goods</v>
      </c>
      <c r="C950" s="7">
        <f>IFERROR(__xludf.DUMMYFUNCTION("""COMPUTED_VALUE"""),1250.0)</f>
        <v>1250</v>
      </c>
      <c r="D950" s="6" t="str">
        <f>IFERROR(__xludf.DUMMYFUNCTION("""COMPUTED_VALUE"""),"Home Goods &amp; Utilities")</f>
        <v>Home Goods &amp; Utilities</v>
      </c>
      <c r="E950" s="6" t="str">
        <f>IFERROR(__xludf.DUMMYFUNCTION("""COMPUTED_VALUE"""),"Virtual Wallet")</f>
        <v>Virtual Wallet</v>
      </c>
      <c r="F950" s="6" t="s">
        <v>8</v>
      </c>
      <c r="G950" s="8" t="str">
        <f t="shared" si="1"/>
        <v>202503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  <c r="CD950" s="4"/>
      <c r="CE950" s="4"/>
      <c r="CF950" s="4"/>
      <c r="CG950" s="4"/>
      <c r="CH950" s="4"/>
      <c r="CI950" s="4"/>
      <c r="CJ950" s="4"/>
      <c r="CK950" s="4"/>
      <c r="CL950" s="4"/>
      <c r="CM950" s="4"/>
      <c r="CN950" s="4"/>
      <c r="CO950" s="4"/>
      <c r="CP950" s="4"/>
      <c r="CQ950" s="4"/>
      <c r="CR950" s="4"/>
      <c r="CS950" s="4"/>
      <c r="CT950" s="4"/>
      <c r="CU950" s="4"/>
      <c r="CV950" s="4"/>
      <c r="CW950" s="4"/>
      <c r="CX950" s="4"/>
      <c r="CY950" s="4"/>
      <c r="CZ950" s="4"/>
      <c r="DA950" s="4"/>
      <c r="DB950" s="4"/>
      <c r="DC950" s="4"/>
      <c r="DD950" s="4"/>
      <c r="DE950" s="4"/>
      <c r="DF950" s="4"/>
      <c r="DG950" s="4"/>
      <c r="DH950" s="4"/>
      <c r="DI950" s="4"/>
      <c r="DJ950" s="4"/>
      <c r="DK950" s="4"/>
      <c r="DL950" s="4"/>
      <c r="DM950" s="4"/>
      <c r="DN950" s="4"/>
      <c r="DO950" s="4"/>
      <c r="DP950" s="4"/>
      <c r="DQ950" s="4"/>
      <c r="DR950" s="4"/>
      <c r="DS950" s="4"/>
    </row>
    <row r="951">
      <c r="A951" s="9">
        <f>IFERROR(__xludf.DUMMYFUNCTION("""COMPUTED_VALUE"""),45725.0)</f>
        <v>45725</v>
      </c>
      <c r="B951" s="6" t="str">
        <f>IFERROR(__xludf.DUMMYFUNCTION("""COMPUTED_VALUE"""),"Home Goods")</f>
        <v>Home Goods</v>
      </c>
      <c r="C951" s="7">
        <f>IFERROR(__xludf.DUMMYFUNCTION("""COMPUTED_VALUE"""),2500.0)</f>
        <v>2500</v>
      </c>
      <c r="D951" s="6" t="str">
        <f>IFERROR(__xludf.DUMMYFUNCTION("""COMPUTED_VALUE"""),"Home Goods &amp; Utilities")</f>
        <v>Home Goods &amp; Utilities</v>
      </c>
      <c r="E951" s="6" t="str">
        <f>IFERROR(__xludf.DUMMYFUNCTION("""COMPUTED_VALUE"""),"Virtual Wallet")</f>
        <v>Virtual Wallet</v>
      </c>
      <c r="F951" s="6" t="s">
        <v>8</v>
      </c>
      <c r="G951" s="8" t="str">
        <f t="shared" si="1"/>
        <v>202503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  <c r="CD951" s="4"/>
      <c r="CE951" s="4"/>
      <c r="CF951" s="4"/>
      <c r="CG951" s="4"/>
      <c r="CH951" s="4"/>
      <c r="CI951" s="4"/>
      <c r="CJ951" s="4"/>
      <c r="CK951" s="4"/>
      <c r="CL951" s="4"/>
      <c r="CM951" s="4"/>
      <c r="CN951" s="4"/>
      <c r="CO951" s="4"/>
      <c r="CP951" s="4"/>
      <c r="CQ951" s="4"/>
      <c r="CR951" s="4"/>
      <c r="CS951" s="4"/>
      <c r="CT951" s="4"/>
      <c r="CU951" s="4"/>
      <c r="CV951" s="4"/>
      <c r="CW951" s="4"/>
      <c r="CX951" s="4"/>
      <c r="CY951" s="4"/>
      <c r="CZ951" s="4"/>
      <c r="DA951" s="4"/>
      <c r="DB951" s="4"/>
      <c r="DC951" s="4"/>
      <c r="DD951" s="4"/>
      <c r="DE951" s="4"/>
      <c r="DF951" s="4"/>
      <c r="DG951" s="4"/>
      <c r="DH951" s="4"/>
      <c r="DI951" s="4"/>
      <c r="DJ951" s="4"/>
      <c r="DK951" s="4"/>
      <c r="DL951" s="4"/>
      <c r="DM951" s="4"/>
      <c r="DN951" s="4"/>
      <c r="DO951" s="4"/>
      <c r="DP951" s="4"/>
      <c r="DQ951" s="4"/>
      <c r="DR951" s="4"/>
      <c r="DS951" s="4"/>
    </row>
    <row r="952">
      <c r="A952" s="9">
        <f>IFERROR(__xludf.DUMMYFUNCTION("""COMPUTED_VALUE"""),45725.0)</f>
        <v>45725</v>
      </c>
      <c r="B952" s="6" t="str">
        <f>IFERROR(__xludf.DUMMYFUNCTION("""COMPUTED_VALUE"""),"Municipal Tax (Agip)")</f>
        <v>Municipal Tax (Agip)</v>
      </c>
      <c r="C952" s="7">
        <f>IFERROR(__xludf.DUMMYFUNCTION("""COMPUTED_VALUE"""),7661.0)</f>
        <v>7661</v>
      </c>
      <c r="D952" s="6" t="str">
        <f>IFERROR(__xludf.DUMMYFUNCTION("""COMPUTED_VALUE"""),"Basic Services")</f>
        <v>Basic Services</v>
      </c>
      <c r="E952" s="6" t="str">
        <f>IFERROR(__xludf.DUMMYFUNCTION("""COMPUTED_VALUE"""),"Split Payment")</f>
        <v>Split Payment</v>
      </c>
      <c r="F952" s="6" t="s">
        <v>13</v>
      </c>
      <c r="G952" s="8" t="str">
        <f t="shared" si="1"/>
        <v>202503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  <c r="CD952" s="4"/>
      <c r="CE952" s="4"/>
      <c r="CF952" s="4"/>
      <c r="CG952" s="4"/>
      <c r="CH952" s="4"/>
      <c r="CI952" s="4"/>
      <c r="CJ952" s="4"/>
      <c r="CK952" s="4"/>
      <c r="CL952" s="4"/>
      <c r="CM952" s="4"/>
      <c r="CN952" s="4"/>
      <c r="CO952" s="4"/>
      <c r="CP952" s="4"/>
      <c r="CQ952" s="4"/>
      <c r="CR952" s="4"/>
      <c r="CS952" s="4"/>
      <c r="CT952" s="4"/>
      <c r="CU952" s="4"/>
      <c r="CV952" s="4"/>
      <c r="CW952" s="4"/>
      <c r="CX952" s="4"/>
      <c r="CY952" s="4"/>
      <c r="CZ952" s="4"/>
      <c r="DA952" s="4"/>
      <c r="DB952" s="4"/>
      <c r="DC952" s="4"/>
      <c r="DD952" s="4"/>
      <c r="DE952" s="4"/>
      <c r="DF952" s="4"/>
      <c r="DG952" s="4"/>
      <c r="DH952" s="4"/>
      <c r="DI952" s="4"/>
      <c r="DJ952" s="4"/>
      <c r="DK952" s="4"/>
      <c r="DL952" s="4"/>
      <c r="DM952" s="4"/>
      <c r="DN952" s="4"/>
      <c r="DO952" s="4"/>
      <c r="DP952" s="4"/>
      <c r="DQ952" s="4"/>
      <c r="DR952" s="4"/>
      <c r="DS952" s="4"/>
    </row>
    <row r="953">
      <c r="A953" s="9">
        <f>IFERROR(__xludf.DUMMYFUNCTION("""COMPUTED_VALUE"""),45725.0)</f>
        <v>45725</v>
      </c>
      <c r="B953" s="6" t="str">
        <f>IFERROR(__xludf.DUMMYFUNCTION("""COMPUTED_VALUE"""),"Personal Care")</f>
        <v>Personal Care</v>
      </c>
      <c r="C953" s="7">
        <f>IFERROR(__xludf.DUMMYFUNCTION("""COMPUTED_VALUE"""),2000.0)</f>
        <v>2000</v>
      </c>
      <c r="D953" s="6" t="str">
        <f>IFERROR(__xludf.DUMMYFUNCTION("""COMPUTED_VALUE"""),"Personal Care")</f>
        <v>Personal Care</v>
      </c>
      <c r="E953" s="6" t="str">
        <f>IFERROR(__xludf.DUMMYFUNCTION("""COMPUTED_VALUE"""),"Virtual Wallet")</f>
        <v>Virtual Wallet</v>
      </c>
      <c r="F953" s="6" t="s">
        <v>16</v>
      </c>
      <c r="G953" s="8" t="str">
        <f t="shared" si="1"/>
        <v>202503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  <c r="CD953" s="4"/>
      <c r="CE953" s="4"/>
      <c r="CF953" s="4"/>
      <c r="CG953" s="4"/>
      <c r="CH953" s="4"/>
      <c r="CI953" s="4"/>
      <c r="CJ953" s="4"/>
      <c r="CK953" s="4"/>
      <c r="CL953" s="4"/>
      <c r="CM953" s="4"/>
      <c r="CN953" s="4"/>
      <c r="CO953" s="4"/>
      <c r="CP953" s="4"/>
      <c r="CQ953" s="4"/>
      <c r="CR953" s="4"/>
      <c r="CS953" s="4"/>
      <c r="CT953" s="4"/>
      <c r="CU953" s="4"/>
      <c r="CV953" s="4"/>
      <c r="CW953" s="4"/>
      <c r="CX953" s="4"/>
      <c r="CY953" s="4"/>
      <c r="CZ953" s="4"/>
      <c r="DA953" s="4"/>
      <c r="DB953" s="4"/>
      <c r="DC953" s="4"/>
      <c r="DD953" s="4"/>
      <c r="DE953" s="4"/>
      <c r="DF953" s="4"/>
      <c r="DG953" s="4"/>
      <c r="DH953" s="4"/>
      <c r="DI953" s="4"/>
      <c r="DJ953" s="4"/>
      <c r="DK953" s="4"/>
      <c r="DL953" s="4"/>
      <c r="DM953" s="4"/>
      <c r="DN953" s="4"/>
      <c r="DO953" s="4"/>
      <c r="DP953" s="4"/>
      <c r="DQ953" s="4"/>
      <c r="DR953" s="4"/>
      <c r="DS953" s="4"/>
    </row>
    <row r="954">
      <c r="A954" s="9">
        <f>IFERROR(__xludf.DUMMYFUNCTION("""COMPUTED_VALUE"""),45725.0)</f>
        <v>45725</v>
      </c>
      <c r="B954" s="6" t="str">
        <f>IFERROR(__xludf.DUMMYFUNCTION("""COMPUTED_VALUE"""),"Pets")</f>
        <v>Pets</v>
      </c>
      <c r="C954" s="7">
        <f>IFERROR(__xludf.DUMMYFUNCTION("""COMPUTED_VALUE"""),600.0)</f>
        <v>600</v>
      </c>
      <c r="D954" s="6" t="str">
        <f>IFERROR(__xludf.DUMMYFUNCTION("""COMPUTED_VALUE"""),"Pets")</f>
        <v>Pets</v>
      </c>
      <c r="E954" s="6" t="str">
        <f>IFERROR(__xludf.DUMMYFUNCTION("""COMPUTED_VALUE"""),"Virtual Wallet")</f>
        <v>Virtual Wallet</v>
      </c>
      <c r="F954" s="6" t="s">
        <v>7</v>
      </c>
      <c r="G954" s="8" t="str">
        <f t="shared" si="1"/>
        <v>202503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  <c r="CD954" s="4"/>
      <c r="CE954" s="4"/>
      <c r="CF954" s="4"/>
      <c r="CG954" s="4"/>
      <c r="CH954" s="4"/>
      <c r="CI954" s="4"/>
      <c r="CJ954" s="4"/>
      <c r="CK954" s="4"/>
      <c r="CL954" s="4"/>
      <c r="CM954" s="4"/>
      <c r="CN954" s="4"/>
      <c r="CO954" s="4"/>
      <c r="CP954" s="4"/>
      <c r="CQ954" s="4"/>
      <c r="CR954" s="4"/>
      <c r="CS954" s="4"/>
      <c r="CT954" s="4"/>
      <c r="CU954" s="4"/>
      <c r="CV954" s="4"/>
      <c r="CW954" s="4"/>
      <c r="CX954" s="4"/>
      <c r="CY954" s="4"/>
      <c r="CZ954" s="4"/>
      <c r="DA954" s="4"/>
      <c r="DB954" s="4"/>
      <c r="DC954" s="4"/>
      <c r="DD954" s="4"/>
      <c r="DE954" s="4"/>
      <c r="DF954" s="4"/>
      <c r="DG954" s="4"/>
      <c r="DH954" s="4"/>
      <c r="DI954" s="4"/>
      <c r="DJ954" s="4"/>
      <c r="DK954" s="4"/>
      <c r="DL954" s="4"/>
      <c r="DM954" s="4"/>
      <c r="DN954" s="4"/>
      <c r="DO954" s="4"/>
      <c r="DP954" s="4"/>
      <c r="DQ954" s="4"/>
      <c r="DR954" s="4"/>
      <c r="DS954" s="4"/>
    </row>
    <row r="955">
      <c r="A955" s="9">
        <f>IFERROR(__xludf.DUMMYFUNCTION("""COMPUTED_VALUE"""),45726.0)</f>
        <v>45726</v>
      </c>
      <c r="B955" s="6" t="str">
        <f>IFERROR(__xludf.DUMMYFUNCTION("""COMPUTED_VALUE"""),"Clothing")</f>
        <v>Clothing</v>
      </c>
      <c r="C955" s="7">
        <f>IFERROR(__xludf.DUMMYFUNCTION("""COMPUTED_VALUE"""),19651.0)</f>
        <v>19651</v>
      </c>
      <c r="D955" s="6" t="str">
        <f>IFERROR(__xludf.DUMMYFUNCTION("""COMPUTED_VALUE"""),"Clothing")</f>
        <v>Clothing</v>
      </c>
      <c r="E955" s="6" t="str">
        <f>IFERROR(__xludf.DUMMYFUNCTION("""COMPUTED_VALUE"""),"Credit Card")</f>
        <v>Credit Card</v>
      </c>
      <c r="F955" s="6" t="s">
        <v>10</v>
      </c>
      <c r="G955" s="8" t="str">
        <f t="shared" si="1"/>
        <v>202503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  <c r="CD955" s="4"/>
      <c r="CE955" s="4"/>
      <c r="CF955" s="4"/>
      <c r="CG955" s="4"/>
      <c r="CH955" s="4"/>
      <c r="CI955" s="4"/>
      <c r="CJ955" s="4"/>
      <c r="CK955" s="4"/>
      <c r="CL955" s="4"/>
      <c r="CM955" s="4"/>
      <c r="CN955" s="4"/>
      <c r="CO955" s="4"/>
      <c r="CP955" s="4"/>
      <c r="CQ955" s="4"/>
      <c r="CR955" s="4"/>
      <c r="CS955" s="4"/>
      <c r="CT955" s="4"/>
      <c r="CU955" s="4"/>
      <c r="CV955" s="4"/>
      <c r="CW955" s="4"/>
      <c r="CX955" s="4"/>
      <c r="CY955" s="4"/>
      <c r="CZ955" s="4"/>
      <c r="DA955" s="4"/>
      <c r="DB955" s="4"/>
      <c r="DC955" s="4"/>
      <c r="DD955" s="4"/>
      <c r="DE955" s="4"/>
      <c r="DF955" s="4"/>
      <c r="DG955" s="4"/>
      <c r="DH955" s="4"/>
      <c r="DI955" s="4"/>
      <c r="DJ955" s="4"/>
      <c r="DK955" s="4"/>
      <c r="DL955" s="4"/>
      <c r="DM955" s="4"/>
      <c r="DN955" s="4"/>
      <c r="DO955" s="4"/>
      <c r="DP955" s="4"/>
      <c r="DQ955" s="4"/>
      <c r="DR955" s="4"/>
      <c r="DS955" s="4"/>
    </row>
    <row r="956">
      <c r="A956" s="9">
        <f>IFERROR(__xludf.DUMMYFUNCTION("""COMPUTED_VALUE"""),45727.0)</f>
        <v>45727</v>
      </c>
      <c r="B956" s="6" t="str">
        <f>IFERROR(__xludf.DUMMYFUNCTION("""COMPUTED_VALUE"""),"Gift")</f>
        <v>Gift</v>
      </c>
      <c r="C956" s="7">
        <f>IFERROR(__xludf.DUMMYFUNCTION("""COMPUTED_VALUE"""),6033.0)</f>
        <v>6033</v>
      </c>
      <c r="D956" s="6" t="str">
        <f>IFERROR(__xludf.DUMMYFUNCTION("""COMPUTED_VALUE"""),"Gifts")</f>
        <v>Gifts</v>
      </c>
      <c r="E956" s="6" t="str">
        <f>IFERROR(__xludf.DUMMYFUNCTION("""COMPUTED_VALUE"""),"Credit Card")</f>
        <v>Credit Card</v>
      </c>
      <c r="F956" s="6"/>
      <c r="G956" s="8" t="str">
        <f t="shared" si="1"/>
        <v>202503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  <c r="CD956" s="4"/>
      <c r="CE956" s="4"/>
      <c r="CF956" s="4"/>
      <c r="CG956" s="4"/>
      <c r="CH956" s="4"/>
      <c r="CI956" s="4"/>
      <c r="CJ956" s="4"/>
      <c r="CK956" s="4"/>
      <c r="CL956" s="4"/>
      <c r="CM956" s="4"/>
      <c r="CN956" s="4"/>
      <c r="CO956" s="4"/>
      <c r="CP956" s="4"/>
      <c r="CQ956" s="4"/>
      <c r="CR956" s="4"/>
      <c r="CS956" s="4"/>
      <c r="CT956" s="4"/>
      <c r="CU956" s="4"/>
      <c r="CV956" s="4"/>
      <c r="CW956" s="4"/>
      <c r="CX956" s="4"/>
      <c r="CY956" s="4"/>
      <c r="CZ956" s="4"/>
      <c r="DA956" s="4"/>
      <c r="DB956" s="4"/>
      <c r="DC956" s="4"/>
      <c r="DD956" s="4"/>
      <c r="DE956" s="4"/>
      <c r="DF956" s="4"/>
      <c r="DG956" s="4"/>
      <c r="DH956" s="4"/>
      <c r="DI956" s="4"/>
      <c r="DJ956" s="4"/>
      <c r="DK956" s="4"/>
      <c r="DL956" s="4"/>
      <c r="DM956" s="4"/>
      <c r="DN956" s="4"/>
      <c r="DO956" s="4"/>
      <c r="DP956" s="4"/>
      <c r="DQ956" s="4"/>
      <c r="DR956" s="4"/>
      <c r="DS956" s="4"/>
    </row>
    <row r="957">
      <c r="A957" s="9">
        <f>IFERROR(__xludf.DUMMYFUNCTION("""COMPUTED_VALUE"""),45727.0)</f>
        <v>45727</v>
      </c>
      <c r="B957" s="6" t="str">
        <f>IFERROR(__xludf.DUMMYFUNCTION("""COMPUTED_VALUE"""),"Restaurant")</f>
        <v>Restaurant</v>
      </c>
      <c r="C957" s="7">
        <f>IFERROR(__xludf.DUMMYFUNCTION("""COMPUTED_VALUE"""),35.0)</f>
        <v>35</v>
      </c>
      <c r="D957" s="6" t="str">
        <f>IFERROR(__xludf.DUMMYFUNCTION("""COMPUTED_VALUE"""),"Restaurant / Café")</f>
        <v>Restaurant / Café</v>
      </c>
      <c r="E957" s="6" t="str">
        <f>IFERROR(__xludf.DUMMYFUNCTION("""COMPUTED_VALUE"""),"Virtual Wallet")</f>
        <v>Virtual Wallet</v>
      </c>
      <c r="F957" s="6" t="s">
        <v>14</v>
      </c>
      <c r="G957" s="8" t="str">
        <f t="shared" si="1"/>
        <v>202503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  <c r="CD957" s="4"/>
      <c r="CE957" s="4"/>
      <c r="CF957" s="4"/>
      <c r="CG957" s="4"/>
      <c r="CH957" s="4"/>
      <c r="CI957" s="4"/>
      <c r="CJ957" s="4"/>
      <c r="CK957" s="4"/>
      <c r="CL957" s="4"/>
      <c r="CM957" s="4"/>
      <c r="CN957" s="4"/>
      <c r="CO957" s="4"/>
      <c r="CP957" s="4"/>
      <c r="CQ957" s="4"/>
      <c r="CR957" s="4"/>
      <c r="CS957" s="4"/>
      <c r="CT957" s="4"/>
      <c r="CU957" s="4"/>
      <c r="CV957" s="4"/>
      <c r="CW957" s="4"/>
      <c r="CX957" s="4"/>
      <c r="CY957" s="4"/>
      <c r="CZ957" s="4"/>
      <c r="DA957" s="4"/>
      <c r="DB957" s="4"/>
      <c r="DC957" s="4"/>
      <c r="DD957" s="4"/>
      <c r="DE957" s="4"/>
      <c r="DF957" s="4"/>
      <c r="DG957" s="4"/>
      <c r="DH957" s="4"/>
      <c r="DI957" s="4"/>
      <c r="DJ957" s="4"/>
      <c r="DK957" s="4"/>
      <c r="DL957" s="4"/>
      <c r="DM957" s="4"/>
      <c r="DN957" s="4"/>
      <c r="DO957" s="4"/>
      <c r="DP957" s="4"/>
      <c r="DQ957" s="4"/>
      <c r="DR957" s="4"/>
      <c r="DS957" s="4"/>
    </row>
    <row r="958">
      <c r="A958" s="9">
        <f>IFERROR(__xludf.DUMMYFUNCTION("""COMPUTED_VALUE"""),45728.0)</f>
        <v>45728</v>
      </c>
      <c r="B958" s="6" t="str">
        <f>IFERROR(__xludf.DUMMYFUNCTION("""COMPUTED_VALUE"""),"Groceries")</f>
        <v>Groceries</v>
      </c>
      <c r="C958" s="7">
        <f>IFERROR(__xludf.DUMMYFUNCTION("""COMPUTED_VALUE"""),25.0)</f>
        <v>25</v>
      </c>
      <c r="D958" s="6" t="str">
        <f>IFERROR(__xludf.DUMMYFUNCTION("""COMPUTED_VALUE"""),"Restaurant / Café")</f>
        <v>Restaurant / Café</v>
      </c>
      <c r="E958" s="6" t="str">
        <f>IFERROR(__xludf.DUMMYFUNCTION("""COMPUTED_VALUE"""),"Virtual Wallet")</f>
        <v>Virtual Wallet</v>
      </c>
      <c r="F958" s="6" t="s">
        <v>14</v>
      </c>
      <c r="G958" s="8" t="str">
        <f t="shared" si="1"/>
        <v>202503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  <c r="CD958" s="4"/>
      <c r="CE958" s="4"/>
      <c r="CF958" s="4"/>
      <c r="CG958" s="4"/>
      <c r="CH958" s="4"/>
      <c r="CI958" s="4"/>
      <c r="CJ958" s="4"/>
      <c r="CK958" s="4"/>
      <c r="CL958" s="4"/>
      <c r="CM958" s="4"/>
      <c r="CN958" s="4"/>
      <c r="CO958" s="4"/>
      <c r="CP958" s="4"/>
      <c r="CQ958" s="4"/>
      <c r="CR958" s="4"/>
      <c r="CS958" s="4"/>
      <c r="CT958" s="4"/>
      <c r="CU958" s="4"/>
      <c r="CV958" s="4"/>
      <c r="CW958" s="4"/>
      <c r="CX958" s="4"/>
      <c r="CY958" s="4"/>
      <c r="CZ958" s="4"/>
      <c r="DA958" s="4"/>
      <c r="DB958" s="4"/>
      <c r="DC958" s="4"/>
      <c r="DD958" s="4"/>
      <c r="DE958" s="4"/>
      <c r="DF958" s="4"/>
      <c r="DG958" s="4"/>
      <c r="DH958" s="4"/>
      <c r="DI958" s="4"/>
      <c r="DJ958" s="4"/>
      <c r="DK958" s="4"/>
      <c r="DL958" s="4"/>
      <c r="DM958" s="4"/>
      <c r="DN958" s="4"/>
      <c r="DO958" s="4"/>
      <c r="DP958" s="4"/>
      <c r="DQ958" s="4"/>
      <c r="DR958" s="4"/>
      <c r="DS958" s="4"/>
    </row>
    <row r="959">
      <c r="A959" s="9">
        <f>IFERROR(__xludf.DUMMYFUNCTION("""COMPUTED_VALUE"""),45728.0)</f>
        <v>45728</v>
      </c>
      <c r="B959" s="6" t="str">
        <f>IFERROR(__xludf.DUMMYFUNCTION("""COMPUTED_VALUE"""),"Groceries")</f>
        <v>Groceries</v>
      </c>
      <c r="C959" s="7">
        <f>IFERROR(__xludf.DUMMYFUNCTION("""COMPUTED_VALUE"""),167.0)</f>
        <v>167</v>
      </c>
      <c r="D959" s="6" t="str">
        <f>IFERROR(__xludf.DUMMYFUNCTION("""COMPUTED_VALUE"""),"Groceries")</f>
        <v>Groceries</v>
      </c>
      <c r="E959" s="6" t="str">
        <f>IFERROR(__xludf.DUMMYFUNCTION("""COMPUTED_VALUE"""),"Virtual Wallet")</f>
        <v>Virtual Wallet</v>
      </c>
      <c r="F959" s="6" t="s">
        <v>7</v>
      </c>
      <c r="G959" s="8" t="str">
        <f t="shared" si="1"/>
        <v>202503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  <c r="CD959" s="4"/>
      <c r="CE959" s="4"/>
      <c r="CF959" s="4"/>
      <c r="CG959" s="4"/>
      <c r="CH959" s="4"/>
      <c r="CI959" s="4"/>
      <c r="CJ959" s="4"/>
      <c r="CK959" s="4"/>
      <c r="CL959" s="4"/>
      <c r="CM959" s="4"/>
      <c r="CN959" s="4"/>
      <c r="CO959" s="4"/>
      <c r="CP959" s="4"/>
      <c r="CQ959" s="4"/>
      <c r="CR959" s="4"/>
      <c r="CS959" s="4"/>
      <c r="CT959" s="4"/>
      <c r="CU959" s="4"/>
      <c r="CV959" s="4"/>
      <c r="CW959" s="4"/>
      <c r="CX959" s="4"/>
      <c r="CY959" s="4"/>
      <c r="CZ959" s="4"/>
      <c r="DA959" s="4"/>
      <c r="DB959" s="4"/>
      <c r="DC959" s="4"/>
      <c r="DD959" s="4"/>
      <c r="DE959" s="4"/>
      <c r="DF959" s="4"/>
      <c r="DG959" s="4"/>
      <c r="DH959" s="4"/>
      <c r="DI959" s="4"/>
      <c r="DJ959" s="4"/>
      <c r="DK959" s="4"/>
      <c r="DL959" s="4"/>
      <c r="DM959" s="4"/>
      <c r="DN959" s="4"/>
      <c r="DO959" s="4"/>
      <c r="DP959" s="4"/>
      <c r="DQ959" s="4"/>
      <c r="DR959" s="4"/>
      <c r="DS959" s="4"/>
    </row>
    <row r="960">
      <c r="A960" s="9">
        <f>IFERROR(__xludf.DUMMYFUNCTION("""COMPUTED_VALUE"""),45728.0)</f>
        <v>45728</v>
      </c>
      <c r="B960" s="6" t="str">
        <f>IFERROR(__xludf.DUMMYFUNCTION("""COMPUTED_VALUE"""),"Pharmacy")</f>
        <v>Pharmacy</v>
      </c>
      <c r="C960" s="7">
        <f>IFERROR(__xludf.DUMMYFUNCTION("""COMPUTED_VALUE"""),8618.0)</f>
        <v>8618</v>
      </c>
      <c r="D960" s="6" t="str">
        <f>IFERROR(__xludf.DUMMYFUNCTION("""COMPUTED_VALUE"""),"Healthcare")</f>
        <v>Healthcare</v>
      </c>
      <c r="E960" s="6" t="str">
        <f>IFERROR(__xludf.DUMMYFUNCTION("""COMPUTED_VALUE"""),"Virtual Wallet")</f>
        <v>Virtual Wallet</v>
      </c>
      <c r="F960" s="6" t="s">
        <v>15</v>
      </c>
      <c r="G960" s="8" t="str">
        <f t="shared" si="1"/>
        <v>202503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  <c r="CD960" s="4"/>
      <c r="CE960" s="4"/>
      <c r="CF960" s="4"/>
      <c r="CG960" s="4"/>
      <c r="CH960" s="4"/>
      <c r="CI960" s="4"/>
      <c r="CJ960" s="4"/>
      <c r="CK960" s="4"/>
      <c r="CL960" s="4"/>
      <c r="CM960" s="4"/>
      <c r="CN960" s="4"/>
      <c r="CO960" s="4"/>
      <c r="CP960" s="4"/>
      <c r="CQ960" s="4"/>
      <c r="CR960" s="4"/>
      <c r="CS960" s="4"/>
      <c r="CT960" s="4"/>
      <c r="CU960" s="4"/>
      <c r="CV960" s="4"/>
      <c r="CW960" s="4"/>
      <c r="CX960" s="4"/>
      <c r="CY960" s="4"/>
      <c r="CZ960" s="4"/>
      <c r="DA960" s="4"/>
      <c r="DB960" s="4"/>
      <c r="DC960" s="4"/>
      <c r="DD960" s="4"/>
      <c r="DE960" s="4"/>
      <c r="DF960" s="4"/>
      <c r="DG960" s="4"/>
      <c r="DH960" s="4"/>
      <c r="DI960" s="4"/>
      <c r="DJ960" s="4"/>
      <c r="DK960" s="4"/>
      <c r="DL960" s="4"/>
      <c r="DM960" s="4"/>
      <c r="DN960" s="4"/>
      <c r="DO960" s="4"/>
      <c r="DP960" s="4"/>
      <c r="DQ960" s="4"/>
      <c r="DR960" s="4"/>
      <c r="DS960" s="4"/>
    </row>
    <row r="961">
      <c r="A961" s="9">
        <f>IFERROR(__xludf.DUMMYFUNCTION("""COMPUTED_VALUE"""),45728.0)</f>
        <v>45728</v>
      </c>
      <c r="B961" s="6" t="str">
        <f>IFERROR(__xludf.DUMMYFUNCTION("""COMPUTED_VALUE"""),"Restaurant")</f>
        <v>Restaurant</v>
      </c>
      <c r="C961" s="7">
        <f>IFERROR(__xludf.DUMMYFUNCTION("""COMPUTED_VALUE"""),3500.0)</f>
        <v>3500</v>
      </c>
      <c r="D961" s="6" t="str">
        <f>IFERROR(__xludf.DUMMYFUNCTION("""COMPUTED_VALUE"""),"Restaurant / Café")</f>
        <v>Restaurant / Café</v>
      </c>
      <c r="E961" s="6" t="str">
        <f>IFERROR(__xludf.DUMMYFUNCTION("""COMPUTED_VALUE"""),"Virtual Wallet")</f>
        <v>Virtual Wallet</v>
      </c>
      <c r="F961" s="6" t="s">
        <v>14</v>
      </c>
      <c r="G961" s="8" t="str">
        <f t="shared" si="1"/>
        <v>202503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  <c r="CD961" s="4"/>
      <c r="CE961" s="4"/>
      <c r="CF961" s="4"/>
      <c r="CG961" s="4"/>
      <c r="CH961" s="4"/>
      <c r="CI961" s="4"/>
      <c r="CJ961" s="4"/>
      <c r="CK961" s="4"/>
      <c r="CL961" s="4"/>
      <c r="CM961" s="4"/>
      <c r="CN961" s="4"/>
      <c r="CO961" s="4"/>
      <c r="CP961" s="4"/>
      <c r="CQ961" s="4"/>
      <c r="CR961" s="4"/>
      <c r="CS961" s="4"/>
      <c r="CT961" s="4"/>
      <c r="CU961" s="4"/>
      <c r="CV961" s="4"/>
      <c r="CW961" s="4"/>
      <c r="CX961" s="4"/>
      <c r="CY961" s="4"/>
      <c r="CZ961" s="4"/>
      <c r="DA961" s="4"/>
      <c r="DB961" s="4"/>
      <c r="DC961" s="4"/>
      <c r="DD961" s="4"/>
      <c r="DE961" s="4"/>
      <c r="DF961" s="4"/>
      <c r="DG961" s="4"/>
      <c r="DH961" s="4"/>
      <c r="DI961" s="4"/>
      <c r="DJ961" s="4"/>
      <c r="DK961" s="4"/>
      <c r="DL961" s="4"/>
      <c r="DM961" s="4"/>
      <c r="DN961" s="4"/>
      <c r="DO961" s="4"/>
      <c r="DP961" s="4"/>
      <c r="DQ961" s="4"/>
      <c r="DR961" s="4"/>
      <c r="DS961" s="4"/>
    </row>
    <row r="962">
      <c r="A962" s="9">
        <f>IFERROR(__xludf.DUMMYFUNCTION("""COMPUTED_VALUE"""),45729.0)</f>
        <v>45729</v>
      </c>
      <c r="B962" s="6" t="str">
        <f>IFERROR(__xludf.DUMMYFUNCTION("""COMPUTED_VALUE"""),"Groceries")</f>
        <v>Groceries</v>
      </c>
      <c r="C962" s="7">
        <f>IFERROR(__xludf.DUMMYFUNCTION("""COMPUTED_VALUE"""),45.0)</f>
        <v>45</v>
      </c>
      <c r="D962" s="6" t="str">
        <f>IFERROR(__xludf.DUMMYFUNCTION("""COMPUTED_VALUE"""),"Lunch Out")</f>
        <v>Lunch Out</v>
      </c>
      <c r="E962" s="6" t="str">
        <f>IFERROR(__xludf.DUMMYFUNCTION("""COMPUTED_VALUE"""),"Virtual Wallet")</f>
        <v>Virtual Wallet</v>
      </c>
      <c r="F962" s="6" t="s">
        <v>14</v>
      </c>
      <c r="G962" s="8" t="str">
        <f t="shared" si="1"/>
        <v>202503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  <c r="CD962" s="4"/>
      <c r="CE962" s="4"/>
      <c r="CF962" s="4"/>
      <c r="CG962" s="4"/>
      <c r="CH962" s="4"/>
      <c r="CI962" s="4"/>
      <c r="CJ962" s="4"/>
      <c r="CK962" s="4"/>
      <c r="CL962" s="4"/>
      <c r="CM962" s="4"/>
      <c r="CN962" s="4"/>
      <c r="CO962" s="4"/>
      <c r="CP962" s="4"/>
      <c r="CQ962" s="4"/>
      <c r="CR962" s="4"/>
      <c r="CS962" s="4"/>
      <c r="CT962" s="4"/>
      <c r="CU962" s="4"/>
      <c r="CV962" s="4"/>
      <c r="CW962" s="4"/>
      <c r="CX962" s="4"/>
      <c r="CY962" s="4"/>
      <c r="CZ962" s="4"/>
      <c r="DA962" s="4"/>
      <c r="DB962" s="4"/>
      <c r="DC962" s="4"/>
      <c r="DD962" s="4"/>
      <c r="DE962" s="4"/>
      <c r="DF962" s="4"/>
      <c r="DG962" s="4"/>
      <c r="DH962" s="4"/>
      <c r="DI962" s="4"/>
      <c r="DJ962" s="4"/>
      <c r="DK962" s="4"/>
      <c r="DL962" s="4"/>
      <c r="DM962" s="4"/>
      <c r="DN962" s="4"/>
      <c r="DO962" s="4"/>
      <c r="DP962" s="4"/>
      <c r="DQ962" s="4"/>
      <c r="DR962" s="4"/>
      <c r="DS962" s="4"/>
    </row>
    <row r="963">
      <c r="A963" s="9">
        <f>IFERROR(__xludf.DUMMYFUNCTION("""COMPUTED_VALUE"""),45729.0)</f>
        <v>45729</v>
      </c>
      <c r="B963" s="6" t="str">
        <f>IFERROR(__xludf.DUMMYFUNCTION("""COMPUTED_VALUE"""),"Restaurant")</f>
        <v>Restaurant</v>
      </c>
      <c r="C963" s="7">
        <f>IFERROR(__xludf.DUMMYFUNCTION("""COMPUTED_VALUE"""),35.0)</f>
        <v>35</v>
      </c>
      <c r="D963" s="6" t="str">
        <f>IFERROR(__xludf.DUMMYFUNCTION("""COMPUTED_VALUE"""),"Restaurant / Café")</f>
        <v>Restaurant / Café</v>
      </c>
      <c r="E963" s="6" t="str">
        <f>IFERROR(__xludf.DUMMYFUNCTION("""COMPUTED_VALUE"""),"Virtual Wallet")</f>
        <v>Virtual Wallet</v>
      </c>
      <c r="F963" s="6" t="s">
        <v>14</v>
      </c>
      <c r="G963" s="8" t="str">
        <f t="shared" si="1"/>
        <v>202503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  <c r="CD963" s="4"/>
      <c r="CE963" s="4"/>
      <c r="CF963" s="4"/>
      <c r="CG963" s="4"/>
      <c r="CH963" s="4"/>
      <c r="CI963" s="4"/>
      <c r="CJ963" s="4"/>
      <c r="CK963" s="4"/>
      <c r="CL963" s="4"/>
      <c r="CM963" s="4"/>
      <c r="CN963" s="4"/>
      <c r="CO963" s="4"/>
      <c r="CP963" s="4"/>
      <c r="CQ963" s="4"/>
      <c r="CR963" s="4"/>
      <c r="CS963" s="4"/>
      <c r="CT963" s="4"/>
      <c r="CU963" s="4"/>
      <c r="CV963" s="4"/>
      <c r="CW963" s="4"/>
      <c r="CX963" s="4"/>
      <c r="CY963" s="4"/>
      <c r="CZ963" s="4"/>
      <c r="DA963" s="4"/>
      <c r="DB963" s="4"/>
      <c r="DC963" s="4"/>
      <c r="DD963" s="4"/>
      <c r="DE963" s="4"/>
      <c r="DF963" s="4"/>
      <c r="DG963" s="4"/>
      <c r="DH963" s="4"/>
      <c r="DI963" s="4"/>
      <c r="DJ963" s="4"/>
      <c r="DK963" s="4"/>
      <c r="DL963" s="4"/>
      <c r="DM963" s="4"/>
      <c r="DN963" s="4"/>
      <c r="DO963" s="4"/>
      <c r="DP963" s="4"/>
      <c r="DQ963" s="4"/>
      <c r="DR963" s="4"/>
      <c r="DS963" s="4"/>
    </row>
    <row r="964">
      <c r="A964" s="9">
        <f>IFERROR(__xludf.DUMMYFUNCTION("""COMPUTED_VALUE"""),45730.0)</f>
        <v>45730</v>
      </c>
      <c r="B964" s="6" t="str">
        <f>IFERROR(__xludf.DUMMYFUNCTION("""COMPUTED_VALUE"""),"Lunch Out")</f>
        <v>Lunch Out</v>
      </c>
      <c r="C964" s="7">
        <f>IFERROR(__xludf.DUMMYFUNCTION("""COMPUTED_VALUE"""),4650.0)</f>
        <v>4650</v>
      </c>
      <c r="D964" s="6" t="str">
        <f>IFERROR(__xludf.DUMMYFUNCTION("""COMPUTED_VALUE"""),"Lunch Out")</f>
        <v>Lunch Out</v>
      </c>
      <c r="E964" s="6" t="str">
        <f>IFERROR(__xludf.DUMMYFUNCTION("""COMPUTED_VALUE"""),"Virtual Wallet")</f>
        <v>Virtual Wallet</v>
      </c>
      <c r="F964" s="6" t="s">
        <v>14</v>
      </c>
      <c r="G964" s="8" t="str">
        <f t="shared" si="1"/>
        <v>202503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  <c r="CD964" s="4"/>
      <c r="CE964" s="4"/>
      <c r="CF964" s="4"/>
      <c r="CG964" s="4"/>
      <c r="CH964" s="4"/>
      <c r="CI964" s="4"/>
      <c r="CJ964" s="4"/>
      <c r="CK964" s="4"/>
      <c r="CL964" s="4"/>
      <c r="CM964" s="4"/>
      <c r="CN964" s="4"/>
      <c r="CO964" s="4"/>
      <c r="CP964" s="4"/>
      <c r="CQ964" s="4"/>
      <c r="CR964" s="4"/>
      <c r="CS964" s="4"/>
      <c r="CT964" s="4"/>
      <c r="CU964" s="4"/>
      <c r="CV964" s="4"/>
      <c r="CW964" s="4"/>
      <c r="CX964" s="4"/>
      <c r="CY964" s="4"/>
      <c r="CZ964" s="4"/>
      <c r="DA964" s="4"/>
      <c r="DB964" s="4"/>
      <c r="DC964" s="4"/>
      <c r="DD964" s="4"/>
      <c r="DE964" s="4"/>
      <c r="DF964" s="4"/>
      <c r="DG964" s="4"/>
      <c r="DH964" s="4"/>
      <c r="DI964" s="4"/>
      <c r="DJ964" s="4"/>
      <c r="DK964" s="4"/>
      <c r="DL964" s="4"/>
      <c r="DM964" s="4"/>
      <c r="DN964" s="4"/>
      <c r="DO964" s="4"/>
      <c r="DP964" s="4"/>
      <c r="DQ964" s="4"/>
      <c r="DR964" s="4"/>
      <c r="DS964" s="4"/>
    </row>
    <row r="965">
      <c r="A965" s="9">
        <f>IFERROR(__xludf.DUMMYFUNCTION("""COMPUTED_VALUE"""),45730.0)</f>
        <v>45730</v>
      </c>
      <c r="B965" s="6" t="str">
        <f>IFERROR(__xludf.DUMMYFUNCTION("""COMPUTED_VALUE"""),"Pets")</f>
        <v>Pets</v>
      </c>
      <c r="C965" s="7">
        <f>IFERROR(__xludf.DUMMYFUNCTION("""COMPUTED_VALUE"""),1800.0)</f>
        <v>1800</v>
      </c>
      <c r="D965" s="6" t="str">
        <f>IFERROR(__xludf.DUMMYFUNCTION("""COMPUTED_VALUE"""),"Pets")</f>
        <v>Pets</v>
      </c>
      <c r="E965" s="6" t="str">
        <f>IFERROR(__xludf.DUMMYFUNCTION("""COMPUTED_VALUE"""),"Virtual Wallet")</f>
        <v>Virtual Wallet</v>
      </c>
      <c r="F965" s="6" t="s">
        <v>7</v>
      </c>
      <c r="G965" s="8" t="str">
        <f t="shared" si="1"/>
        <v>202503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  <c r="CD965" s="4"/>
      <c r="CE965" s="4"/>
      <c r="CF965" s="4"/>
      <c r="CG965" s="4"/>
      <c r="CH965" s="4"/>
      <c r="CI965" s="4"/>
      <c r="CJ965" s="4"/>
      <c r="CK965" s="4"/>
      <c r="CL965" s="4"/>
      <c r="CM965" s="4"/>
      <c r="CN965" s="4"/>
      <c r="CO965" s="4"/>
      <c r="CP965" s="4"/>
      <c r="CQ965" s="4"/>
      <c r="CR965" s="4"/>
      <c r="CS965" s="4"/>
      <c r="CT965" s="4"/>
      <c r="CU965" s="4"/>
      <c r="CV965" s="4"/>
      <c r="CW965" s="4"/>
      <c r="CX965" s="4"/>
      <c r="CY965" s="4"/>
      <c r="CZ965" s="4"/>
      <c r="DA965" s="4"/>
      <c r="DB965" s="4"/>
      <c r="DC965" s="4"/>
      <c r="DD965" s="4"/>
      <c r="DE965" s="4"/>
      <c r="DF965" s="4"/>
      <c r="DG965" s="4"/>
      <c r="DH965" s="4"/>
      <c r="DI965" s="4"/>
      <c r="DJ965" s="4"/>
      <c r="DK965" s="4"/>
      <c r="DL965" s="4"/>
      <c r="DM965" s="4"/>
      <c r="DN965" s="4"/>
      <c r="DO965" s="4"/>
      <c r="DP965" s="4"/>
      <c r="DQ965" s="4"/>
      <c r="DR965" s="4"/>
      <c r="DS965" s="4"/>
    </row>
    <row r="966">
      <c r="A966" s="9">
        <f>IFERROR(__xludf.DUMMYFUNCTION("""COMPUTED_VALUE"""),45730.0)</f>
        <v>45730</v>
      </c>
      <c r="B966" s="6" t="str">
        <f>IFERROR(__xludf.DUMMYFUNCTION("""COMPUTED_VALUE"""),"Restaurant")</f>
        <v>Restaurant</v>
      </c>
      <c r="C966" s="7">
        <f>IFERROR(__xludf.DUMMYFUNCTION("""COMPUTED_VALUE"""),27700.0)</f>
        <v>27700</v>
      </c>
      <c r="D966" s="6" t="str">
        <f>IFERROR(__xludf.DUMMYFUNCTION("""COMPUTED_VALUE"""),"Restaurant / Café")</f>
        <v>Restaurant / Café</v>
      </c>
      <c r="E966" s="6" t="str">
        <f>IFERROR(__xludf.DUMMYFUNCTION("""COMPUTED_VALUE"""),"Virtual Wallet")</f>
        <v>Virtual Wallet</v>
      </c>
      <c r="F966" s="6" t="s">
        <v>14</v>
      </c>
      <c r="G966" s="8" t="str">
        <f t="shared" si="1"/>
        <v>202503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  <c r="CD966" s="4"/>
      <c r="CE966" s="4"/>
      <c r="CF966" s="4"/>
      <c r="CG966" s="4"/>
      <c r="CH966" s="4"/>
      <c r="CI966" s="4"/>
      <c r="CJ966" s="4"/>
      <c r="CK966" s="4"/>
      <c r="CL966" s="4"/>
      <c r="CM966" s="4"/>
      <c r="CN966" s="4"/>
      <c r="CO966" s="4"/>
      <c r="CP966" s="4"/>
      <c r="CQ966" s="4"/>
      <c r="CR966" s="4"/>
      <c r="CS966" s="4"/>
      <c r="CT966" s="4"/>
      <c r="CU966" s="4"/>
      <c r="CV966" s="4"/>
      <c r="CW966" s="4"/>
      <c r="CX966" s="4"/>
      <c r="CY966" s="4"/>
      <c r="CZ966" s="4"/>
      <c r="DA966" s="4"/>
      <c r="DB966" s="4"/>
      <c r="DC966" s="4"/>
      <c r="DD966" s="4"/>
      <c r="DE966" s="4"/>
      <c r="DF966" s="4"/>
      <c r="DG966" s="4"/>
      <c r="DH966" s="4"/>
      <c r="DI966" s="4"/>
      <c r="DJ966" s="4"/>
      <c r="DK966" s="4"/>
      <c r="DL966" s="4"/>
      <c r="DM966" s="4"/>
      <c r="DN966" s="4"/>
      <c r="DO966" s="4"/>
      <c r="DP966" s="4"/>
      <c r="DQ966" s="4"/>
      <c r="DR966" s="4"/>
      <c r="DS966" s="4"/>
    </row>
    <row r="967">
      <c r="A967" s="9">
        <f>IFERROR(__xludf.DUMMYFUNCTION("""COMPUTED_VALUE"""),45731.0)</f>
        <v>45731</v>
      </c>
      <c r="B967" s="6" t="str">
        <f>IFERROR(__xludf.DUMMYFUNCTION("""COMPUTED_VALUE"""),"Home Goods")</f>
        <v>Home Goods</v>
      </c>
      <c r="C967" s="7">
        <f>IFERROR(__xludf.DUMMYFUNCTION("""COMPUTED_VALUE"""),2101.0)</f>
        <v>2101</v>
      </c>
      <c r="D967" s="6" t="str">
        <f>IFERROR(__xludf.DUMMYFUNCTION("""COMPUTED_VALUE"""),"Home Goods &amp; Utilities")</f>
        <v>Home Goods &amp; Utilities</v>
      </c>
      <c r="E967" s="6" t="str">
        <f>IFERROR(__xludf.DUMMYFUNCTION("""COMPUTED_VALUE"""),"Split Payment")</f>
        <v>Split Payment</v>
      </c>
      <c r="F967" s="6" t="s">
        <v>8</v>
      </c>
      <c r="G967" s="8" t="str">
        <f t="shared" si="1"/>
        <v>202503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  <c r="CD967" s="4"/>
      <c r="CE967" s="4"/>
      <c r="CF967" s="4"/>
      <c r="CG967" s="4"/>
      <c r="CH967" s="4"/>
      <c r="CI967" s="4"/>
      <c r="CJ967" s="4"/>
      <c r="CK967" s="4"/>
      <c r="CL967" s="4"/>
      <c r="CM967" s="4"/>
      <c r="CN967" s="4"/>
      <c r="CO967" s="4"/>
      <c r="CP967" s="4"/>
      <c r="CQ967" s="4"/>
      <c r="CR967" s="4"/>
      <c r="CS967" s="4"/>
      <c r="CT967" s="4"/>
      <c r="CU967" s="4"/>
      <c r="CV967" s="4"/>
      <c r="CW967" s="4"/>
      <c r="CX967" s="4"/>
      <c r="CY967" s="4"/>
      <c r="CZ967" s="4"/>
      <c r="DA967" s="4"/>
      <c r="DB967" s="4"/>
      <c r="DC967" s="4"/>
      <c r="DD967" s="4"/>
      <c r="DE967" s="4"/>
      <c r="DF967" s="4"/>
      <c r="DG967" s="4"/>
      <c r="DH967" s="4"/>
      <c r="DI967" s="4"/>
      <c r="DJ967" s="4"/>
      <c r="DK967" s="4"/>
      <c r="DL967" s="4"/>
      <c r="DM967" s="4"/>
      <c r="DN967" s="4"/>
      <c r="DO967" s="4"/>
      <c r="DP967" s="4"/>
      <c r="DQ967" s="4"/>
      <c r="DR967" s="4"/>
      <c r="DS967" s="4"/>
    </row>
    <row r="968">
      <c r="A968" s="9">
        <f>IFERROR(__xludf.DUMMYFUNCTION("""COMPUTED_VALUE"""),45731.0)</f>
        <v>45731</v>
      </c>
      <c r="B968" s="6" t="str">
        <f>IFERROR(__xludf.DUMMYFUNCTION("""COMPUTED_VALUE"""),"Appliances")</f>
        <v>Appliances</v>
      </c>
      <c r="C968" s="7">
        <f>IFERROR(__xludf.DUMMYFUNCTION("""COMPUTED_VALUE"""),5965.0)</f>
        <v>5965</v>
      </c>
      <c r="D968" s="6" t="str">
        <f>IFERROR(__xludf.DUMMYFUNCTION("""COMPUTED_VALUE"""),"Home Goods &amp; Utilities")</f>
        <v>Home Goods &amp; Utilities</v>
      </c>
      <c r="E968" s="6" t="str">
        <f>IFERROR(__xludf.DUMMYFUNCTION("""COMPUTED_VALUE"""),"Credit Card")</f>
        <v>Credit Card</v>
      </c>
      <c r="F968" s="6" t="s">
        <v>8</v>
      </c>
      <c r="G968" s="8" t="str">
        <f t="shared" si="1"/>
        <v>202503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  <c r="CD968" s="4"/>
      <c r="CE968" s="4"/>
      <c r="CF968" s="4"/>
      <c r="CG968" s="4"/>
      <c r="CH968" s="4"/>
      <c r="CI968" s="4"/>
      <c r="CJ968" s="4"/>
      <c r="CK968" s="4"/>
      <c r="CL968" s="4"/>
      <c r="CM968" s="4"/>
      <c r="CN968" s="4"/>
      <c r="CO968" s="4"/>
      <c r="CP968" s="4"/>
      <c r="CQ968" s="4"/>
      <c r="CR968" s="4"/>
      <c r="CS968" s="4"/>
      <c r="CT968" s="4"/>
      <c r="CU968" s="4"/>
      <c r="CV968" s="4"/>
      <c r="CW968" s="4"/>
      <c r="CX968" s="4"/>
      <c r="CY968" s="4"/>
      <c r="CZ968" s="4"/>
      <c r="DA968" s="4"/>
      <c r="DB968" s="4"/>
      <c r="DC968" s="4"/>
      <c r="DD968" s="4"/>
      <c r="DE968" s="4"/>
      <c r="DF968" s="4"/>
      <c r="DG968" s="4"/>
      <c r="DH968" s="4"/>
      <c r="DI968" s="4"/>
      <c r="DJ968" s="4"/>
      <c r="DK968" s="4"/>
      <c r="DL968" s="4"/>
      <c r="DM968" s="4"/>
      <c r="DN968" s="4"/>
      <c r="DO968" s="4"/>
      <c r="DP968" s="4"/>
      <c r="DQ968" s="4"/>
      <c r="DR968" s="4"/>
      <c r="DS968" s="4"/>
    </row>
    <row r="969">
      <c r="A969" s="9">
        <f>IFERROR(__xludf.DUMMYFUNCTION("""COMPUTED_VALUE"""),45731.0)</f>
        <v>45731</v>
      </c>
      <c r="B969" s="6" t="str">
        <f>IFERROR(__xludf.DUMMYFUNCTION("""COMPUTED_VALUE"""),"Cab/Uber")</f>
        <v>Cab/Uber</v>
      </c>
      <c r="C969" s="7">
        <f>IFERROR(__xludf.DUMMYFUNCTION("""COMPUTED_VALUE"""),3000.0)</f>
        <v>3000</v>
      </c>
      <c r="D969" s="6" t="str">
        <f>IFERROR(__xludf.DUMMYFUNCTION("""COMPUTED_VALUE"""),"Transportation")</f>
        <v>Transportation</v>
      </c>
      <c r="E969" s="6" t="str">
        <f>IFERROR(__xludf.DUMMYFUNCTION("""COMPUTED_VALUE"""),"Virtual Wallet")</f>
        <v>Virtual Wallet</v>
      </c>
      <c r="F969" s="6" t="s">
        <v>9</v>
      </c>
      <c r="G969" s="8" t="str">
        <f t="shared" si="1"/>
        <v>202503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  <c r="CD969" s="4"/>
      <c r="CE969" s="4"/>
      <c r="CF969" s="4"/>
      <c r="CG969" s="4"/>
      <c r="CH969" s="4"/>
      <c r="CI969" s="4"/>
      <c r="CJ969" s="4"/>
      <c r="CK969" s="4"/>
      <c r="CL969" s="4"/>
      <c r="CM969" s="4"/>
      <c r="CN969" s="4"/>
      <c r="CO969" s="4"/>
      <c r="CP969" s="4"/>
      <c r="CQ969" s="4"/>
      <c r="CR969" s="4"/>
      <c r="CS969" s="4"/>
      <c r="CT969" s="4"/>
      <c r="CU969" s="4"/>
      <c r="CV969" s="4"/>
      <c r="CW969" s="4"/>
      <c r="CX969" s="4"/>
      <c r="CY969" s="4"/>
      <c r="CZ969" s="4"/>
      <c r="DA969" s="4"/>
      <c r="DB969" s="4"/>
      <c r="DC969" s="4"/>
      <c r="DD969" s="4"/>
      <c r="DE969" s="4"/>
      <c r="DF969" s="4"/>
      <c r="DG969" s="4"/>
      <c r="DH969" s="4"/>
      <c r="DI969" s="4"/>
      <c r="DJ969" s="4"/>
      <c r="DK969" s="4"/>
      <c r="DL969" s="4"/>
      <c r="DM969" s="4"/>
      <c r="DN969" s="4"/>
      <c r="DO969" s="4"/>
      <c r="DP969" s="4"/>
      <c r="DQ969" s="4"/>
      <c r="DR969" s="4"/>
      <c r="DS969" s="4"/>
    </row>
    <row r="970">
      <c r="A970" s="9">
        <f>IFERROR(__xludf.DUMMYFUNCTION("""COMPUTED_VALUE"""),45731.0)</f>
        <v>45731</v>
      </c>
      <c r="B970" s="6" t="str">
        <f>IFERROR(__xludf.DUMMYFUNCTION("""COMPUTED_VALUE"""),"Groceries")</f>
        <v>Groceries</v>
      </c>
      <c r="C970" s="7">
        <f>IFERROR(__xludf.DUMMYFUNCTION("""COMPUTED_VALUE"""),4350.0)</f>
        <v>4350</v>
      </c>
      <c r="D970" s="6" t="str">
        <f>IFERROR(__xludf.DUMMYFUNCTION("""COMPUTED_VALUE"""),"Groceries")</f>
        <v>Groceries</v>
      </c>
      <c r="E970" s="6" t="str">
        <f>IFERROR(__xludf.DUMMYFUNCTION("""COMPUTED_VALUE"""),"Split Payment")</f>
        <v>Split Payment</v>
      </c>
      <c r="F970" s="6" t="s">
        <v>7</v>
      </c>
      <c r="G970" s="8" t="str">
        <f t="shared" si="1"/>
        <v>202503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  <c r="CD970" s="4"/>
      <c r="CE970" s="4"/>
      <c r="CF970" s="4"/>
      <c r="CG970" s="4"/>
      <c r="CH970" s="4"/>
      <c r="CI970" s="4"/>
      <c r="CJ970" s="4"/>
      <c r="CK970" s="4"/>
      <c r="CL970" s="4"/>
      <c r="CM970" s="4"/>
      <c r="CN970" s="4"/>
      <c r="CO970" s="4"/>
      <c r="CP970" s="4"/>
      <c r="CQ970" s="4"/>
      <c r="CR970" s="4"/>
      <c r="CS970" s="4"/>
      <c r="CT970" s="4"/>
      <c r="CU970" s="4"/>
      <c r="CV970" s="4"/>
      <c r="CW970" s="4"/>
      <c r="CX970" s="4"/>
      <c r="CY970" s="4"/>
      <c r="CZ970" s="4"/>
      <c r="DA970" s="4"/>
      <c r="DB970" s="4"/>
      <c r="DC970" s="4"/>
      <c r="DD970" s="4"/>
      <c r="DE970" s="4"/>
      <c r="DF970" s="4"/>
      <c r="DG970" s="4"/>
      <c r="DH970" s="4"/>
      <c r="DI970" s="4"/>
      <c r="DJ970" s="4"/>
      <c r="DK970" s="4"/>
      <c r="DL970" s="4"/>
      <c r="DM970" s="4"/>
      <c r="DN970" s="4"/>
      <c r="DO970" s="4"/>
      <c r="DP970" s="4"/>
      <c r="DQ970" s="4"/>
      <c r="DR970" s="4"/>
      <c r="DS970" s="4"/>
    </row>
    <row r="971">
      <c r="A971" s="9">
        <f>IFERROR(__xludf.DUMMYFUNCTION("""COMPUTED_VALUE"""),45731.0)</f>
        <v>45731</v>
      </c>
      <c r="B971" s="6" t="str">
        <f>IFERROR(__xludf.DUMMYFUNCTION("""COMPUTED_VALUE"""),"Groceries")</f>
        <v>Groceries</v>
      </c>
      <c r="C971" s="7">
        <f>IFERROR(__xludf.DUMMYFUNCTION("""COMPUTED_VALUE"""),2500.0)</f>
        <v>2500</v>
      </c>
      <c r="D971" s="6" t="str">
        <f>IFERROR(__xludf.DUMMYFUNCTION("""COMPUTED_VALUE"""),"Groceries")</f>
        <v>Groceries</v>
      </c>
      <c r="E971" s="6" t="str">
        <f>IFERROR(__xludf.DUMMYFUNCTION("""COMPUTED_VALUE"""),"Split Payment")</f>
        <v>Split Payment</v>
      </c>
      <c r="F971" s="6" t="s">
        <v>7</v>
      </c>
      <c r="G971" s="8" t="str">
        <f t="shared" si="1"/>
        <v>202503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  <c r="CD971" s="4"/>
      <c r="CE971" s="4"/>
      <c r="CF971" s="4"/>
      <c r="CG971" s="4"/>
      <c r="CH971" s="4"/>
      <c r="CI971" s="4"/>
      <c r="CJ971" s="4"/>
      <c r="CK971" s="4"/>
      <c r="CL971" s="4"/>
      <c r="CM971" s="4"/>
      <c r="CN971" s="4"/>
      <c r="CO971" s="4"/>
      <c r="CP971" s="4"/>
      <c r="CQ971" s="4"/>
      <c r="CR971" s="4"/>
      <c r="CS971" s="4"/>
      <c r="CT971" s="4"/>
      <c r="CU971" s="4"/>
      <c r="CV971" s="4"/>
      <c r="CW971" s="4"/>
      <c r="CX971" s="4"/>
      <c r="CY971" s="4"/>
      <c r="CZ971" s="4"/>
      <c r="DA971" s="4"/>
      <c r="DB971" s="4"/>
      <c r="DC971" s="4"/>
      <c r="DD971" s="4"/>
      <c r="DE971" s="4"/>
      <c r="DF971" s="4"/>
      <c r="DG971" s="4"/>
      <c r="DH971" s="4"/>
      <c r="DI971" s="4"/>
      <c r="DJ971" s="4"/>
      <c r="DK971" s="4"/>
      <c r="DL971" s="4"/>
      <c r="DM971" s="4"/>
      <c r="DN971" s="4"/>
      <c r="DO971" s="4"/>
      <c r="DP971" s="4"/>
      <c r="DQ971" s="4"/>
      <c r="DR971" s="4"/>
      <c r="DS971" s="4"/>
    </row>
    <row r="972">
      <c r="A972" s="9">
        <f>IFERROR(__xludf.DUMMYFUNCTION("""COMPUTED_VALUE"""),45731.0)</f>
        <v>45731</v>
      </c>
      <c r="B972" s="6" t="str">
        <f>IFERROR(__xludf.DUMMYFUNCTION("""COMPUTED_VALUE"""),"Groceries")</f>
        <v>Groceries</v>
      </c>
      <c r="C972" s="7">
        <f>IFERROR(__xludf.DUMMYFUNCTION("""COMPUTED_VALUE"""),2800.0)</f>
        <v>2800</v>
      </c>
      <c r="D972" s="6" t="str">
        <f>IFERROR(__xludf.DUMMYFUNCTION("""COMPUTED_VALUE"""),"Groceries")</f>
        <v>Groceries</v>
      </c>
      <c r="E972" s="6" t="str">
        <f>IFERROR(__xludf.DUMMYFUNCTION("""COMPUTED_VALUE"""),"Virtual Wallet")</f>
        <v>Virtual Wallet</v>
      </c>
      <c r="F972" s="6" t="s">
        <v>7</v>
      </c>
      <c r="G972" s="8" t="str">
        <f t="shared" si="1"/>
        <v>202503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  <c r="CD972" s="4"/>
      <c r="CE972" s="4"/>
      <c r="CF972" s="4"/>
      <c r="CG972" s="4"/>
      <c r="CH972" s="4"/>
      <c r="CI972" s="4"/>
      <c r="CJ972" s="4"/>
      <c r="CK972" s="4"/>
      <c r="CL972" s="4"/>
      <c r="CM972" s="4"/>
      <c r="CN972" s="4"/>
      <c r="CO972" s="4"/>
      <c r="CP972" s="4"/>
      <c r="CQ972" s="4"/>
      <c r="CR972" s="4"/>
      <c r="CS972" s="4"/>
      <c r="CT972" s="4"/>
      <c r="CU972" s="4"/>
      <c r="CV972" s="4"/>
      <c r="CW972" s="4"/>
      <c r="CX972" s="4"/>
      <c r="CY972" s="4"/>
      <c r="CZ972" s="4"/>
      <c r="DA972" s="4"/>
      <c r="DB972" s="4"/>
      <c r="DC972" s="4"/>
      <c r="DD972" s="4"/>
      <c r="DE972" s="4"/>
      <c r="DF972" s="4"/>
      <c r="DG972" s="4"/>
      <c r="DH972" s="4"/>
      <c r="DI972" s="4"/>
      <c r="DJ972" s="4"/>
      <c r="DK972" s="4"/>
      <c r="DL972" s="4"/>
      <c r="DM972" s="4"/>
      <c r="DN972" s="4"/>
      <c r="DO972" s="4"/>
      <c r="DP972" s="4"/>
      <c r="DQ972" s="4"/>
      <c r="DR972" s="4"/>
      <c r="DS972" s="4"/>
    </row>
    <row r="973">
      <c r="A973" s="9">
        <f>IFERROR(__xludf.DUMMYFUNCTION("""COMPUTED_VALUE"""),45731.0)</f>
        <v>45731</v>
      </c>
      <c r="B973" s="6" t="str">
        <f>IFERROR(__xludf.DUMMYFUNCTION("""COMPUTED_VALUE"""),"Restaurant")</f>
        <v>Restaurant</v>
      </c>
      <c r="C973" s="7">
        <f>IFERROR(__xludf.DUMMYFUNCTION("""COMPUTED_VALUE"""),78.0)</f>
        <v>78</v>
      </c>
      <c r="D973" s="6" t="str">
        <f>IFERROR(__xludf.DUMMYFUNCTION("""COMPUTED_VALUE"""),"Restaurant / Café")</f>
        <v>Restaurant / Café</v>
      </c>
      <c r="E973" s="6" t="str">
        <f>IFERROR(__xludf.DUMMYFUNCTION("""COMPUTED_VALUE"""),"Virtual Wallet")</f>
        <v>Virtual Wallet</v>
      </c>
      <c r="F973" s="6" t="s">
        <v>14</v>
      </c>
      <c r="G973" s="8" t="str">
        <f t="shared" si="1"/>
        <v>202503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  <c r="CD973" s="4"/>
      <c r="CE973" s="4"/>
      <c r="CF973" s="4"/>
      <c r="CG973" s="4"/>
      <c r="CH973" s="4"/>
      <c r="CI973" s="4"/>
      <c r="CJ973" s="4"/>
      <c r="CK973" s="4"/>
      <c r="CL973" s="4"/>
      <c r="CM973" s="4"/>
      <c r="CN973" s="4"/>
      <c r="CO973" s="4"/>
      <c r="CP973" s="4"/>
      <c r="CQ973" s="4"/>
      <c r="CR973" s="4"/>
      <c r="CS973" s="4"/>
      <c r="CT973" s="4"/>
      <c r="CU973" s="4"/>
      <c r="CV973" s="4"/>
      <c r="CW973" s="4"/>
      <c r="CX973" s="4"/>
      <c r="CY973" s="4"/>
      <c r="CZ973" s="4"/>
      <c r="DA973" s="4"/>
      <c r="DB973" s="4"/>
      <c r="DC973" s="4"/>
      <c r="DD973" s="4"/>
      <c r="DE973" s="4"/>
      <c r="DF973" s="4"/>
      <c r="DG973" s="4"/>
      <c r="DH973" s="4"/>
      <c r="DI973" s="4"/>
      <c r="DJ973" s="4"/>
      <c r="DK973" s="4"/>
      <c r="DL973" s="4"/>
      <c r="DM973" s="4"/>
      <c r="DN973" s="4"/>
      <c r="DO973" s="4"/>
      <c r="DP973" s="4"/>
      <c r="DQ973" s="4"/>
      <c r="DR973" s="4"/>
      <c r="DS973" s="4"/>
    </row>
    <row r="974">
      <c r="A974" s="9">
        <f>IFERROR(__xludf.DUMMYFUNCTION("""COMPUTED_VALUE"""),45731.0)</f>
        <v>45731</v>
      </c>
      <c r="B974" s="6" t="str">
        <f>IFERROR(__xludf.DUMMYFUNCTION("""COMPUTED_VALUE"""),"Restaurant")</f>
        <v>Restaurant</v>
      </c>
      <c r="C974" s="7">
        <f>IFERROR(__xludf.DUMMYFUNCTION("""COMPUTED_VALUE"""),16.0)</f>
        <v>16</v>
      </c>
      <c r="D974" s="6" t="str">
        <f>IFERROR(__xludf.DUMMYFUNCTION("""COMPUTED_VALUE"""),"Restaurant / Café")</f>
        <v>Restaurant / Café</v>
      </c>
      <c r="E974" s="6" t="str">
        <f>IFERROR(__xludf.DUMMYFUNCTION("""COMPUTED_VALUE"""),"Virtual Wallet")</f>
        <v>Virtual Wallet</v>
      </c>
      <c r="F974" s="6" t="s">
        <v>14</v>
      </c>
      <c r="G974" s="8" t="str">
        <f t="shared" si="1"/>
        <v>202503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  <c r="CD974" s="4"/>
      <c r="CE974" s="4"/>
      <c r="CF974" s="4"/>
      <c r="CG974" s="4"/>
      <c r="CH974" s="4"/>
      <c r="CI974" s="4"/>
      <c r="CJ974" s="4"/>
      <c r="CK974" s="4"/>
      <c r="CL974" s="4"/>
      <c r="CM974" s="4"/>
      <c r="CN974" s="4"/>
      <c r="CO974" s="4"/>
      <c r="CP974" s="4"/>
      <c r="CQ974" s="4"/>
      <c r="CR974" s="4"/>
      <c r="CS974" s="4"/>
      <c r="CT974" s="4"/>
      <c r="CU974" s="4"/>
      <c r="CV974" s="4"/>
      <c r="CW974" s="4"/>
      <c r="CX974" s="4"/>
      <c r="CY974" s="4"/>
      <c r="CZ974" s="4"/>
      <c r="DA974" s="4"/>
      <c r="DB974" s="4"/>
      <c r="DC974" s="4"/>
      <c r="DD974" s="4"/>
      <c r="DE974" s="4"/>
      <c r="DF974" s="4"/>
      <c r="DG974" s="4"/>
      <c r="DH974" s="4"/>
      <c r="DI974" s="4"/>
      <c r="DJ974" s="4"/>
      <c r="DK974" s="4"/>
      <c r="DL974" s="4"/>
      <c r="DM974" s="4"/>
      <c r="DN974" s="4"/>
      <c r="DO974" s="4"/>
      <c r="DP974" s="4"/>
      <c r="DQ974" s="4"/>
      <c r="DR974" s="4"/>
      <c r="DS974" s="4"/>
    </row>
    <row r="975">
      <c r="A975" s="9">
        <f>IFERROR(__xludf.DUMMYFUNCTION("""COMPUTED_VALUE"""),45732.0)</f>
        <v>45732</v>
      </c>
      <c r="B975" s="6" t="str">
        <f>IFERROR(__xludf.DUMMYFUNCTION("""COMPUTED_VALUE"""),"Gasoline")</f>
        <v>Gasoline</v>
      </c>
      <c r="C975" s="7">
        <f>IFERROR(__xludf.DUMMYFUNCTION("""COMPUTED_VALUE"""),10000.0)</f>
        <v>10000</v>
      </c>
      <c r="D975" s="6" t="str">
        <f>IFERROR(__xludf.DUMMYFUNCTION("""COMPUTED_VALUE"""),"Car Expenses")</f>
        <v>Car Expenses</v>
      </c>
      <c r="E975" s="6" t="str">
        <f>IFERROR(__xludf.DUMMYFUNCTION("""COMPUTED_VALUE"""),"Split Payment")</f>
        <v>Split Payment</v>
      </c>
      <c r="F975" s="6" t="s">
        <v>9</v>
      </c>
      <c r="G975" s="8" t="str">
        <f t="shared" si="1"/>
        <v>202503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  <c r="CD975" s="4"/>
      <c r="CE975" s="4"/>
      <c r="CF975" s="4"/>
      <c r="CG975" s="4"/>
      <c r="CH975" s="4"/>
      <c r="CI975" s="4"/>
      <c r="CJ975" s="4"/>
      <c r="CK975" s="4"/>
      <c r="CL975" s="4"/>
      <c r="CM975" s="4"/>
      <c r="CN975" s="4"/>
      <c r="CO975" s="4"/>
      <c r="CP975" s="4"/>
      <c r="CQ975" s="4"/>
      <c r="CR975" s="4"/>
      <c r="CS975" s="4"/>
      <c r="CT975" s="4"/>
      <c r="CU975" s="4"/>
      <c r="CV975" s="4"/>
      <c r="CW975" s="4"/>
      <c r="CX975" s="4"/>
      <c r="CY975" s="4"/>
      <c r="CZ975" s="4"/>
      <c r="DA975" s="4"/>
      <c r="DB975" s="4"/>
      <c r="DC975" s="4"/>
      <c r="DD975" s="4"/>
      <c r="DE975" s="4"/>
      <c r="DF975" s="4"/>
      <c r="DG975" s="4"/>
      <c r="DH975" s="4"/>
      <c r="DI975" s="4"/>
      <c r="DJ975" s="4"/>
      <c r="DK975" s="4"/>
      <c r="DL975" s="4"/>
      <c r="DM975" s="4"/>
      <c r="DN975" s="4"/>
      <c r="DO975" s="4"/>
      <c r="DP975" s="4"/>
      <c r="DQ975" s="4"/>
      <c r="DR975" s="4"/>
      <c r="DS975" s="4"/>
    </row>
    <row r="976">
      <c r="A976" s="9">
        <f>IFERROR(__xludf.DUMMYFUNCTION("""COMPUTED_VALUE"""),45733.0)</f>
        <v>45733</v>
      </c>
      <c r="B976" s="6" t="str">
        <f>IFERROR(__xludf.DUMMYFUNCTION("""COMPUTED_VALUE"""),"Streaming Services")</f>
        <v>Streaming Services</v>
      </c>
      <c r="C976" s="7">
        <f>IFERROR(__xludf.DUMMYFUNCTION("""COMPUTED_VALUE"""),6291.0)</f>
        <v>6291</v>
      </c>
      <c r="D976" s="6" t="str">
        <f>IFERROR(__xludf.DUMMYFUNCTION("""COMPUTED_VALUE"""),"Streaming Services")</f>
        <v>Streaming Services</v>
      </c>
      <c r="E976" s="6" t="str">
        <f>IFERROR(__xludf.DUMMYFUNCTION("""COMPUTED_VALUE"""),"Credit Card")</f>
        <v>Credit Card</v>
      </c>
      <c r="F976" s="6" t="s">
        <v>12</v>
      </c>
      <c r="G976" s="8" t="str">
        <f t="shared" si="1"/>
        <v>202503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  <c r="CD976" s="4"/>
      <c r="CE976" s="4"/>
      <c r="CF976" s="4"/>
      <c r="CG976" s="4"/>
      <c r="CH976" s="4"/>
      <c r="CI976" s="4"/>
      <c r="CJ976" s="4"/>
      <c r="CK976" s="4"/>
      <c r="CL976" s="4"/>
      <c r="CM976" s="4"/>
      <c r="CN976" s="4"/>
      <c r="CO976" s="4"/>
      <c r="CP976" s="4"/>
      <c r="CQ976" s="4"/>
      <c r="CR976" s="4"/>
      <c r="CS976" s="4"/>
      <c r="CT976" s="4"/>
      <c r="CU976" s="4"/>
      <c r="CV976" s="4"/>
      <c r="CW976" s="4"/>
      <c r="CX976" s="4"/>
      <c r="CY976" s="4"/>
      <c r="CZ976" s="4"/>
      <c r="DA976" s="4"/>
      <c r="DB976" s="4"/>
      <c r="DC976" s="4"/>
      <c r="DD976" s="4"/>
      <c r="DE976" s="4"/>
      <c r="DF976" s="4"/>
      <c r="DG976" s="4"/>
      <c r="DH976" s="4"/>
      <c r="DI976" s="4"/>
      <c r="DJ976" s="4"/>
      <c r="DK976" s="4"/>
      <c r="DL976" s="4"/>
      <c r="DM976" s="4"/>
      <c r="DN976" s="4"/>
      <c r="DO976" s="4"/>
      <c r="DP976" s="4"/>
      <c r="DQ976" s="4"/>
      <c r="DR976" s="4"/>
      <c r="DS976" s="4"/>
    </row>
    <row r="977">
      <c r="A977" s="9">
        <f>IFERROR(__xludf.DUMMYFUNCTION("""COMPUTED_VALUE"""),45733.0)</f>
        <v>45733</v>
      </c>
      <c r="B977" s="6" t="str">
        <f>IFERROR(__xludf.DUMMYFUNCTION("""COMPUTED_VALUE"""),"Doctor Visit")</f>
        <v>Doctor Visit</v>
      </c>
      <c r="C977" s="7">
        <f>IFERROR(__xludf.DUMMYFUNCTION("""COMPUTED_VALUE"""),6500.0)</f>
        <v>6500</v>
      </c>
      <c r="D977" s="6" t="str">
        <f>IFERROR(__xludf.DUMMYFUNCTION("""COMPUTED_VALUE"""),"Healthcare")</f>
        <v>Healthcare</v>
      </c>
      <c r="E977" s="6" t="str">
        <f>IFERROR(__xludf.DUMMYFUNCTION("""COMPUTED_VALUE"""),"Virtual Wallet")</f>
        <v>Virtual Wallet</v>
      </c>
      <c r="F977" s="6" t="s">
        <v>15</v>
      </c>
      <c r="G977" s="8" t="str">
        <f t="shared" si="1"/>
        <v>202503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  <c r="CD977" s="4"/>
      <c r="CE977" s="4"/>
      <c r="CF977" s="4"/>
      <c r="CG977" s="4"/>
      <c r="CH977" s="4"/>
      <c r="CI977" s="4"/>
      <c r="CJ977" s="4"/>
      <c r="CK977" s="4"/>
      <c r="CL977" s="4"/>
      <c r="CM977" s="4"/>
      <c r="CN977" s="4"/>
      <c r="CO977" s="4"/>
      <c r="CP977" s="4"/>
      <c r="CQ977" s="4"/>
      <c r="CR977" s="4"/>
      <c r="CS977" s="4"/>
      <c r="CT977" s="4"/>
      <c r="CU977" s="4"/>
      <c r="CV977" s="4"/>
      <c r="CW977" s="4"/>
      <c r="CX977" s="4"/>
      <c r="CY977" s="4"/>
      <c r="CZ977" s="4"/>
      <c r="DA977" s="4"/>
      <c r="DB977" s="4"/>
      <c r="DC977" s="4"/>
      <c r="DD977" s="4"/>
      <c r="DE977" s="4"/>
      <c r="DF977" s="4"/>
      <c r="DG977" s="4"/>
      <c r="DH977" s="4"/>
      <c r="DI977" s="4"/>
      <c r="DJ977" s="4"/>
      <c r="DK977" s="4"/>
      <c r="DL977" s="4"/>
      <c r="DM977" s="4"/>
      <c r="DN977" s="4"/>
      <c r="DO977" s="4"/>
      <c r="DP977" s="4"/>
      <c r="DQ977" s="4"/>
      <c r="DR977" s="4"/>
      <c r="DS977" s="4"/>
    </row>
    <row r="978">
      <c r="A978" s="9">
        <f>IFERROR(__xludf.DUMMYFUNCTION("""COMPUTED_VALUE"""),45733.0)</f>
        <v>45733</v>
      </c>
      <c r="B978" s="6" t="str">
        <f>IFERROR(__xludf.DUMMYFUNCTION("""COMPUTED_VALUE"""),"Groceries")</f>
        <v>Groceries</v>
      </c>
      <c r="C978" s="7">
        <f>IFERROR(__xludf.DUMMYFUNCTION("""COMPUTED_VALUE"""),60.0)</f>
        <v>60</v>
      </c>
      <c r="D978" s="6" t="str">
        <f>IFERROR(__xludf.DUMMYFUNCTION("""COMPUTED_VALUE"""),"Restaurant / Café")</f>
        <v>Restaurant / Café</v>
      </c>
      <c r="E978" s="6" t="str">
        <f>IFERROR(__xludf.DUMMYFUNCTION("""COMPUTED_VALUE"""),"Virtual Wallet")</f>
        <v>Virtual Wallet</v>
      </c>
      <c r="F978" s="6" t="s">
        <v>14</v>
      </c>
      <c r="G978" s="8" t="str">
        <f t="shared" si="1"/>
        <v>202503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  <c r="CD978" s="4"/>
      <c r="CE978" s="4"/>
      <c r="CF978" s="4"/>
      <c r="CG978" s="4"/>
      <c r="CH978" s="4"/>
      <c r="CI978" s="4"/>
      <c r="CJ978" s="4"/>
      <c r="CK978" s="4"/>
      <c r="CL978" s="4"/>
      <c r="CM978" s="4"/>
      <c r="CN978" s="4"/>
      <c r="CO978" s="4"/>
      <c r="CP978" s="4"/>
      <c r="CQ978" s="4"/>
      <c r="CR978" s="4"/>
      <c r="CS978" s="4"/>
      <c r="CT978" s="4"/>
      <c r="CU978" s="4"/>
      <c r="CV978" s="4"/>
      <c r="CW978" s="4"/>
      <c r="CX978" s="4"/>
      <c r="CY978" s="4"/>
      <c r="CZ978" s="4"/>
      <c r="DA978" s="4"/>
      <c r="DB978" s="4"/>
      <c r="DC978" s="4"/>
      <c r="DD978" s="4"/>
      <c r="DE978" s="4"/>
      <c r="DF978" s="4"/>
      <c r="DG978" s="4"/>
      <c r="DH978" s="4"/>
      <c r="DI978" s="4"/>
      <c r="DJ978" s="4"/>
      <c r="DK978" s="4"/>
      <c r="DL978" s="4"/>
      <c r="DM978" s="4"/>
      <c r="DN978" s="4"/>
      <c r="DO978" s="4"/>
      <c r="DP978" s="4"/>
      <c r="DQ978" s="4"/>
      <c r="DR978" s="4"/>
      <c r="DS978" s="4"/>
    </row>
    <row r="979">
      <c r="A979" s="9">
        <f>IFERROR(__xludf.DUMMYFUNCTION("""COMPUTED_VALUE"""),45734.0)</f>
        <v>45734</v>
      </c>
      <c r="B979" s="6" t="str">
        <f>IFERROR(__xludf.DUMMYFUNCTION("""COMPUTED_VALUE"""),"Car Insurance")</f>
        <v>Car Insurance</v>
      </c>
      <c r="C979" s="7">
        <f>IFERROR(__xludf.DUMMYFUNCTION("""COMPUTED_VALUE"""),31519.0)</f>
        <v>31519</v>
      </c>
      <c r="D979" s="6" t="str">
        <f>IFERROR(__xludf.DUMMYFUNCTION("""COMPUTED_VALUE"""),"Car Expenses")</f>
        <v>Car Expenses</v>
      </c>
      <c r="E979" s="6" t="str">
        <f>IFERROR(__xludf.DUMMYFUNCTION("""COMPUTED_VALUE"""),"Credit Card")</f>
        <v>Credit Card</v>
      </c>
      <c r="F979" s="6" t="s">
        <v>9</v>
      </c>
      <c r="G979" s="8" t="str">
        <f t="shared" si="1"/>
        <v>202503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  <c r="CD979" s="4"/>
      <c r="CE979" s="4"/>
      <c r="CF979" s="4"/>
      <c r="CG979" s="4"/>
      <c r="CH979" s="4"/>
      <c r="CI979" s="4"/>
      <c r="CJ979" s="4"/>
      <c r="CK979" s="4"/>
      <c r="CL979" s="4"/>
      <c r="CM979" s="4"/>
      <c r="CN979" s="4"/>
      <c r="CO979" s="4"/>
      <c r="CP979" s="4"/>
      <c r="CQ979" s="4"/>
      <c r="CR979" s="4"/>
      <c r="CS979" s="4"/>
      <c r="CT979" s="4"/>
      <c r="CU979" s="4"/>
      <c r="CV979" s="4"/>
      <c r="CW979" s="4"/>
      <c r="CX979" s="4"/>
      <c r="CY979" s="4"/>
      <c r="CZ979" s="4"/>
      <c r="DA979" s="4"/>
      <c r="DB979" s="4"/>
      <c r="DC979" s="4"/>
      <c r="DD979" s="4"/>
      <c r="DE979" s="4"/>
      <c r="DF979" s="4"/>
      <c r="DG979" s="4"/>
      <c r="DH979" s="4"/>
      <c r="DI979" s="4"/>
      <c r="DJ979" s="4"/>
      <c r="DK979" s="4"/>
      <c r="DL979" s="4"/>
      <c r="DM979" s="4"/>
      <c r="DN979" s="4"/>
      <c r="DO979" s="4"/>
      <c r="DP979" s="4"/>
      <c r="DQ979" s="4"/>
      <c r="DR979" s="4"/>
      <c r="DS979" s="4"/>
    </row>
    <row r="980">
      <c r="A980" s="9">
        <f>IFERROR(__xludf.DUMMYFUNCTION("""COMPUTED_VALUE"""),45734.0)</f>
        <v>45734</v>
      </c>
      <c r="B980" s="6" t="str">
        <f>IFERROR(__xludf.DUMMYFUNCTION("""COMPUTED_VALUE"""),"Groceries")</f>
        <v>Groceries</v>
      </c>
      <c r="C980" s="7">
        <f>IFERROR(__xludf.DUMMYFUNCTION("""COMPUTED_VALUE"""),45.0)</f>
        <v>45</v>
      </c>
      <c r="D980" s="6" t="str">
        <f>IFERROR(__xludf.DUMMYFUNCTION("""COMPUTED_VALUE"""),"Restaurant / Café")</f>
        <v>Restaurant / Café</v>
      </c>
      <c r="E980" s="6" t="str">
        <f>IFERROR(__xludf.DUMMYFUNCTION("""COMPUTED_VALUE"""),"Virtual Wallet")</f>
        <v>Virtual Wallet</v>
      </c>
      <c r="F980" s="6" t="s">
        <v>14</v>
      </c>
      <c r="G980" s="8" t="str">
        <f t="shared" si="1"/>
        <v>202503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  <c r="CD980" s="4"/>
      <c r="CE980" s="4"/>
      <c r="CF980" s="4"/>
      <c r="CG980" s="4"/>
      <c r="CH980" s="4"/>
      <c r="CI980" s="4"/>
      <c r="CJ980" s="4"/>
      <c r="CK980" s="4"/>
      <c r="CL980" s="4"/>
      <c r="CM980" s="4"/>
      <c r="CN980" s="4"/>
      <c r="CO980" s="4"/>
      <c r="CP980" s="4"/>
      <c r="CQ980" s="4"/>
      <c r="CR980" s="4"/>
      <c r="CS980" s="4"/>
      <c r="CT980" s="4"/>
      <c r="CU980" s="4"/>
      <c r="CV980" s="4"/>
      <c r="CW980" s="4"/>
      <c r="CX980" s="4"/>
      <c r="CY980" s="4"/>
      <c r="CZ980" s="4"/>
      <c r="DA980" s="4"/>
      <c r="DB980" s="4"/>
      <c r="DC980" s="4"/>
      <c r="DD980" s="4"/>
      <c r="DE980" s="4"/>
      <c r="DF980" s="4"/>
      <c r="DG980" s="4"/>
      <c r="DH980" s="4"/>
      <c r="DI980" s="4"/>
      <c r="DJ980" s="4"/>
      <c r="DK980" s="4"/>
      <c r="DL980" s="4"/>
      <c r="DM980" s="4"/>
      <c r="DN980" s="4"/>
      <c r="DO980" s="4"/>
      <c r="DP980" s="4"/>
      <c r="DQ980" s="4"/>
      <c r="DR980" s="4"/>
      <c r="DS980" s="4"/>
    </row>
    <row r="981">
      <c r="A981" s="9">
        <f>IFERROR(__xludf.DUMMYFUNCTION("""COMPUTED_VALUE"""),45734.0)</f>
        <v>45734</v>
      </c>
      <c r="B981" s="6" t="str">
        <f>IFERROR(__xludf.DUMMYFUNCTION("""COMPUTED_VALUE"""),"Pets")</f>
        <v>Pets</v>
      </c>
      <c r="C981" s="7">
        <f>IFERROR(__xludf.DUMMYFUNCTION("""COMPUTED_VALUE"""),28000.0)</f>
        <v>28000</v>
      </c>
      <c r="D981" s="6" t="str">
        <f>IFERROR(__xludf.DUMMYFUNCTION("""COMPUTED_VALUE"""),"Pets")</f>
        <v>Pets</v>
      </c>
      <c r="E981" s="6" t="str">
        <f>IFERROR(__xludf.DUMMYFUNCTION("""COMPUTED_VALUE"""),"Virtual Wallet")</f>
        <v>Virtual Wallet</v>
      </c>
      <c r="F981" s="6" t="s">
        <v>7</v>
      </c>
      <c r="G981" s="8" t="str">
        <f t="shared" si="1"/>
        <v>202503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  <c r="CD981" s="4"/>
      <c r="CE981" s="4"/>
      <c r="CF981" s="4"/>
      <c r="CG981" s="4"/>
      <c r="CH981" s="4"/>
      <c r="CI981" s="4"/>
      <c r="CJ981" s="4"/>
      <c r="CK981" s="4"/>
      <c r="CL981" s="4"/>
      <c r="CM981" s="4"/>
      <c r="CN981" s="4"/>
      <c r="CO981" s="4"/>
      <c r="CP981" s="4"/>
      <c r="CQ981" s="4"/>
      <c r="CR981" s="4"/>
      <c r="CS981" s="4"/>
      <c r="CT981" s="4"/>
      <c r="CU981" s="4"/>
      <c r="CV981" s="4"/>
      <c r="CW981" s="4"/>
      <c r="CX981" s="4"/>
      <c r="CY981" s="4"/>
      <c r="CZ981" s="4"/>
      <c r="DA981" s="4"/>
      <c r="DB981" s="4"/>
      <c r="DC981" s="4"/>
      <c r="DD981" s="4"/>
      <c r="DE981" s="4"/>
      <c r="DF981" s="4"/>
      <c r="DG981" s="4"/>
      <c r="DH981" s="4"/>
      <c r="DI981" s="4"/>
      <c r="DJ981" s="4"/>
      <c r="DK981" s="4"/>
      <c r="DL981" s="4"/>
      <c r="DM981" s="4"/>
      <c r="DN981" s="4"/>
      <c r="DO981" s="4"/>
      <c r="DP981" s="4"/>
      <c r="DQ981" s="4"/>
      <c r="DR981" s="4"/>
      <c r="DS981" s="4"/>
    </row>
    <row r="982">
      <c r="A982" s="9">
        <f>IFERROR(__xludf.DUMMYFUNCTION("""COMPUTED_VALUE"""),45734.0)</f>
        <v>45734</v>
      </c>
      <c r="B982" s="6" t="str">
        <f>IFERROR(__xludf.DUMMYFUNCTION("""COMPUTED_VALUE"""),"Restaurant")</f>
        <v>Restaurant</v>
      </c>
      <c r="C982" s="7">
        <f>IFERROR(__xludf.DUMMYFUNCTION("""COMPUTED_VALUE"""),9495.0)</f>
        <v>9495</v>
      </c>
      <c r="D982" s="6" t="str">
        <f>IFERROR(__xludf.DUMMYFUNCTION("""COMPUTED_VALUE"""),"Restaurant / Café")</f>
        <v>Restaurant / Café</v>
      </c>
      <c r="E982" s="6" t="str">
        <f>IFERROR(__xludf.DUMMYFUNCTION("""COMPUTED_VALUE"""),"Virtual Wallet")</f>
        <v>Virtual Wallet</v>
      </c>
      <c r="F982" s="6" t="s">
        <v>14</v>
      </c>
      <c r="G982" s="8" t="str">
        <f t="shared" si="1"/>
        <v>202503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  <c r="CD982" s="4"/>
      <c r="CE982" s="4"/>
      <c r="CF982" s="4"/>
      <c r="CG982" s="4"/>
      <c r="CH982" s="4"/>
      <c r="CI982" s="4"/>
      <c r="CJ982" s="4"/>
      <c r="CK982" s="4"/>
      <c r="CL982" s="4"/>
      <c r="CM982" s="4"/>
      <c r="CN982" s="4"/>
      <c r="CO982" s="4"/>
      <c r="CP982" s="4"/>
      <c r="CQ982" s="4"/>
      <c r="CR982" s="4"/>
      <c r="CS982" s="4"/>
      <c r="CT982" s="4"/>
      <c r="CU982" s="4"/>
      <c r="CV982" s="4"/>
      <c r="CW982" s="4"/>
      <c r="CX982" s="4"/>
      <c r="CY982" s="4"/>
      <c r="CZ982" s="4"/>
      <c r="DA982" s="4"/>
      <c r="DB982" s="4"/>
      <c r="DC982" s="4"/>
      <c r="DD982" s="4"/>
      <c r="DE982" s="4"/>
      <c r="DF982" s="4"/>
      <c r="DG982" s="4"/>
      <c r="DH982" s="4"/>
      <c r="DI982" s="4"/>
      <c r="DJ982" s="4"/>
      <c r="DK982" s="4"/>
      <c r="DL982" s="4"/>
      <c r="DM982" s="4"/>
      <c r="DN982" s="4"/>
      <c r="DO982" s="4"/>
      <c r="DP982" s="4"/>
      <c r="DQ982" s="4"/>
      <c r="DR982" s="4"/>
      <c r="DS982" s="4"/>
    </row>
    <row r="983">
      <c r="A983" s="9">
        <f>IFERROR(__xludf.DUMMYFUNCTION("""COMPUTED_VALUE"""),45735.0)</f>
        <v>45735</v>
      </c>
      <c r="B983" s="6" t="str">
        <f>IFERROR(__xludf.DUMMYFUNCTION("""COMPUTED_VALUE"""),"Streaming Services")</f>
        <v>Streaming Services</v>
      </c>
      <c r="C983" s="7">
        <f>IFERROR(__xludf.DUMMYFUNCTION("""COMPUTED_VALUE"""),6777.0)</f>
        <v>6777</v>
      </c>
      <c r="D983" s="6" t="str">
        <f>IFERROR(__xludf.DUMMYFUNCTION("""COMPUTED_VALUE"""),"Streaming Services")</f>
        <v>Streaming Services</v>
      </c>
      <c r="E983" s="6" t="str">
        <f>IFERROR(__xludf.DUMMYFUNCTION("""COMPUTED_VALUE"""),"Credit Card")</f>
        <v>Credit Card</v>
      </c>
      <c r="F983" s="6" t="s">
        <v>12</v>
      </c>
      <c r="G983" s="8" t="str">
        <f t="shared" si="1"/>
        <v>202503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  <c r="CD983" s="4"/>
      <c r="CE983" s="4"/>
      <c r="CF983" s="4"/>
      <c r="CG983" s="4"/>
      <c r="CH983" s="4"/>
      <c r="CI983" s="4"/>
      <c r="CJ983" s="4"/>
      <c r="CK983" s="4"/>
      <c r="CL983" s="4"/>
      <c r="CM983" s="4"/>
      <c r="CN983" s="4"/>
      <c r="CO983" s="4"/>
      <c r="CP983" s="4"/>
      <c r="CQ983" s="4"/>
      <c r="CR983" s="4"/>
      <c r="CS983" s="4"/>
      <c r="CT983" s="4"/>
      <c r="CU983" s="4"/>
      <c r="CV983" s="4"/>
      <c r="CW983" s="4"/>
      <c r="CX983" s="4"/>
      <c r="CY983" s="4"/>
      <c r="CZ983" s="4"/>
      <c r="DA983" s="4"/>
      <c r="DB983" s="4"/>
      <c r="DC983" s="4"/>
      <c r="DD983" s="4"/>
      <c r="DE983" s="4"/>
      <c r="DF983" s="4"/>
      <c r="DG983" s="4"/>
      <c r="DH983" s="4"/>
      <c r="DI983" s="4"/>
      <c r="DJ983" s="4"/>
      <c r="DK983" s="4"/>
      <c r="DL983" s="4"/>
      <c r="DM983" s="4"/>
      <c r="DN983" s="4"/>
      <c r="DO983" s="4"/>
      <c r="DP983" s="4"/>
      <c r="DQ983" s="4"/>
      <c r="DR983" s="4"/>
      <c r="DS983" s="4"/>
    </row>
    <row r="984">
      <c r="A984" s="9">
        <f>IFERROR(__xludf.DUMMYFUNCTION("""COMPUTED_VALUE"""),45736.0)</f>
        <v>45736</v>
      </c>
      <c r="B984" s="6" t="str">
        <f>IFERROR(__xludf.DUMMYFUNCTION("""COMPUTED_VALUE"""),"Restaurant")</f>
        <v>Restaurant</v>
      </c>
      <c r="C984" s="7">
        <f>IFERROR(__xludf.DUMMYFUNCTION("""COMPUTED_VALUE"""),9750.0)</f>
        <v>9750</v>
      </c>
      <c r="D984" s="6" t="str">
        <f>IFERROR(__xludf.DUMMYFUNCTION("""COMPUTED_VALUE"""),"Restaurant / Café")</f>
        <v>Restaurant / Café</v>
      </c>
      <c r="E984" s="6" t="str">
        <f>IFERROR(__xludf.DUMMYFUNCTION("""COMPUTED_VALUE"""),"Virtual Wallet")</f>
        <v>Virtual Wallet</v>
      </c>
      <c r="F984" s="6" t="s">
        <v>14</v>
      </c>
      <c r="G984" s="8" t="str">
        <f t="shared" si="1"/>
        <v>202503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  <c r="CD984" s="4"/>
      <c r="CE984" s="4"/>
      <c r="CF984" s="4"/>
      <c r="CG984" s="4"/>
      <c r="CH984" s="4"/>
      <c r="CI984" s="4"/>
      <c r="CJ984" s="4"/>
      <c r="CK984" s="4"/>
      <c r="CL984" s="4"/>
      <c r="CM984" s="4"/>
      <c r="CN984" s="4"/>
      <c r="CO984" s="4"/>
      <c r="CP984" s="4"/>
      <c r="CQ984" s="4"/>
      <c r="CR984" s="4"/>
      <c r="CS984" s="4"/>
      <c r="CT984" s="4"/>
      <c r="CU984" s="4"/>
      <c r="CV984" s="4"/>
      <c r="CW984" s="4"/>
      <c r="CX984" s="4"/>
      <c r="CY984" s="4"/>
      <c r="CZ984" s="4"/>
      <c r="DA984" s="4"/>
      <c r="DB984" s="4"/>
      <c r="DC984" s="4"/>
      <c r="DD984" s="4"/>
      <c r="DE984" s="4"/>
      <c r="DF984" s="4"/>
      <c r="DG984" s="4"/>
      <c r="DH984" s="4"/>
      <c r="DI984" s="4"/>
      <c r="DJ984" s="4"/>
      <c r="DK984" s="4"/>
      <c r="DL984" s="4"/>
      <c r="DM984" s="4"/>
      <c r="DN984" s="4"/>
      <c r="DO984" s="4"/>
      <c r="DP984" s="4"/>
      <c r="DQ984" s="4"/>
      <c r="DR984" s="4"/>
      <c r="DS984" s="4"/>
    </row>
    <row r="985">
      <c r="A985" s="9">
        <f>IFERROR(__xludf.DUMMYFUNCTION("""COMPUTED_VALUE"""),45736.0)</f>
        <v>45736</v>
      </c>
      <c r="B985" s="6" t="str">
        <f>IFERROR(__xludf.DUMMYFUNCTION("""COMPUTED_VALUE"""),"Restaurant")</f>
        <v>Restaurant</v>
      </c>
      <c r="C985" s="7">
        <f>IFERROR(__xludf.DUMMYFUNCTION("""COMPUTED_VALUE"""),6700.0)</f>
        <v>6700</v>
      </c>
      <c r="D985" s="6" t="str">
        <f>IFERROR(__xludf.DUMMYFUNCTION("""COMPUTED_VALUE"""),"Restaurant / Café")</f>
        <v>Restaurant / Café</v>
      </c>
      <c r="E985" s="6" t="str">
        <f>IFERROR(__xludf.DUMMYFUNCTION("""COMPUTED_VALUE"""),"Virtual Wallet")</f>
        <v>Virtual Wallet</v>
      </c>
      <c r="F985" s="6" t="s">
        <v>14</v>
      </c>
      <c r="G985" s="8" t="str">
        <f t="shared" si="1"/>
        <v>202503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  <c r="CD985" s="4"/>
      <c r="CE985" s="4"/>
      <c r="CF985" s="4"/>
      <c r="CG985" s="4"/>
      <c r="CH985" s="4"/>
      <c r="CI985" s="4"/>
      <c r="CJ985" s="4"/>
      <c r="CK985" s="4"/>
      <c r="CL985" s="4"/>
      <c r="CM985" s="4"/>
      <c r="CN985" s="4"/>
      <c r="CO985" s="4"/>
      <c r="CP985" s="4"/>
      <c r="CQ985" s="4"/>
      <c r="CR985" s="4"/>
      <c r="CS985" s="4"/>
      <c r="CT985" s="4"/>
      <c r="CU985" s="4"/>
      <c r="CV985" s="4"/>
      <c r="CW985" s="4"/>
      <c r="CX985" s="4"/>
      <c r="CY985" s="4"/>
      <c r="CZ985" s="4"/>
      <c r="DA985" s="4"/>
      <c r="DB985" s="4"/>
      <c r="DC985" s="4"/>
      <c r="DD985" s="4"/>
      <c r="DE985" s="4"/>
      <c r="DF985" s="4"/>
      <c r="DG985" s="4"/>
      <c r="DH985" s="4"/>
      <c r="DI985" s="4"/>
      <c r="DJ985" s="4"/>
      <c r="DK985" s="4"/>
      <c r="DL985" s="4"/>
      <c r="DM985" s="4"/>
      <c r="DN985" s="4"/>
      <c r="DO985" s="4"/>
      <c r="DP985" s="4"/>
      <c r="DQ985" s="4"/>
      <c r="DR985" s="4"/>
      <c r="DS985" s="4"/>
    </row>
    <row r="986">
      <c r="A986" s="9">
        <f>IFERROR(__xludf.DUMMYFUNCTION("""COMPUTED_VALUE"""),45736.0)</f>
        <v>45736</v>
      </c>
      <c r="B986" s="6" t="str">
        <f>IFERROR(__xludf.DUMMYFUNCTION("""COMPUTED_VALUE"""),"Sports")</f>
        <v>Sports</v>
      </c>
      <c r="C986" s="7">
        <f>IFERROR(__xludf.DUMMYFUNCTION("""COMPUTED_VALUE"""),69000.0)</f>
        <v>69000</v>
      </c>
      <c r="D986" s="6" t="str">
        <f>IFERROR(__xludf.DUMMYFUNCTION("""COMPUTED_VALUE"""),"Sports")</f>
        <v>Sports</v>
      </c>
      <c r="E986" s="6" t="str">
        <f>IFERROR(__xludf.DUMMYFUNCTION("""COMPUTED_VALUE"""),"Virtual Wallet")</f>
        <v>Virtual Wallet</v>
      </c>
      <c r="F986" s="6" t="s">
        <v>12</v>
      </c>
      <c r="G986" s="8" t="str">
        <f t="shared" si="1"/>
        <v>202503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  <c r="CD986" s="4"/>
      <c r="CE986" s="4"/>
      <c r="CF986" s="4"/>
      <c r="CG986" s="4"/>
      <c r="CH986" s="4"/>
      <c r="CI986" s="4"/>
      <c r="CJ986" s="4"/>
      <c r="CK986" s="4"/>
      <c r="CL986" s="4"/>
      <c r="CM986" s="4"/>
      <c r="CN986" s="4"/>
      <c r="CO986" s="4"/>
      <c r="CP986" s="4"/>
      <c r="CQ986" s="4"/>
      <c r="CR986" s="4"/>
      <c r="CS986" s="4"/>
      <c r="CT986" s="4"/>
      <c r="CU986" s="4"/>
      <c r="CV986" s="4"/>
      <c r="CW986" s="4"/>
      <c r="CX986" s="4"/>
      <c r="CY986" s="4"/>
      <c r="CZ986" s="4"/>
      <c r="DA986" s="4"/>
      <c r="DB986" s="4"/>
      <c r="DC986" s="4"/>
      <c r="DD986" s="4"/>
      <c r="DE986" s="4"/>
      <c r="DF986" s="4"/>
      <c r="DG986" s="4"/>
      <c r="DH986" s="4"/>
      <c r="DI986" s="4"/>
      <c r="DJ986" s="4"/>
      <c r="DK986" s="4"/>
      <c r="DL986" s="4"/>
      <c r="DM986" s="4"/>
      <c r="DN986" s="4"/>
      <c r="DO986" s="4"/>
      <c r="DP986" s="4"/>
      <c r="DQ986" s="4"/>
      <c r="DR986" s="4"/>
      <c r="DS986" s="4"/>
    </row>
    <row r="987">
      <c r="A987" s="9">
        <f>IFERROR(__xludf.DUMMYFUNCTION("""COMPUTED_VALUE"""),45737.0)</f>
        <v>45737</v>
      </c>
      <c r="B987" s="6" t="str">
        <f>IFERROR(__xludf.DUMMYFUNCTION("""COMPUTED_VALUE"""),"Gift")</f>
        <v>Gift</v>
      </c>
      <c r="C987" s="7">
        <f>IFERROR(__xludf.DUMMYFUNCTION("""COMPUTED_VALUE"""),15665.34)</f>
        <v>15665.34</v>
      </c>
      <c r="D987" s="6" t="str">
        <f>IFERROR(__xludf.DUMMYFUNCTION("""COMPUTED_VALUE"""),"Gifts")</f>
        <v>Gifts</v>
      </c>
      <c r="E987" s="6" t="str">
        <f>IFERROR(__xludf.DUMMYFUNCTION("""COMPUTED_VALUE"""),"Credit Card")</f>
        <v>Credit Card</v>
      </c>
      <c r="F987" s="6"/>
      <c r="G987" s="8" t="str">
        <f t="shared" si="1"/>
        <v>202503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  <c r="CD987" s="4"/>
      <c r="CE987" s="4"/>
      <c r="CF987" s="4"/>
      <c r="CG987" s="4"/>
      <c r="CH987" s="4"/>
      <c r="CI987" s="4"/>
      <c r="CJ987" s="4"/>
      <c r="CK987" s="4"/>
      <c r="CL987" s="4"/>
      <c r="CM987" s="4"/>
      <c r="CN987" s="4"/>
      <c r="CO987" s="4"/>
      <c r="CP987" s="4"/>
      <c r="CQ987" s="4"/>
      <c r="CR987" s="4"/>
      <c r="CS987" s="4"/>
      <c r="CT987" s="4"/>
      <c r="CU987" s="4"/>
      <c r="CV987" s="4"/>
      <c r="CW987" s="4"/>
      <c r="CX987" s="4"/>
      <c r="CY987" s="4"/>
      <c r="CZ987" s="4"/>
      <c r="DA987" s="4"/>
      <c r="DB987" s="4"/>
      <c r="DC987" s="4"/>
      <c r="DD987" s="4"/>
      <c r="DE987" s="4"/>
      <c r="DF987" s="4"/>
      <c r="DG987" s="4"/>
      <c r="DH987" s="4"/>
      <c r="DI987" s="4"/>
      <c r="DJ987" s="4"/>
      <c r="DK987" s="4"/>
      <c r="DL987" s="4"/>
      <c r="DM987" s="4"/>
      <c r="DN987" s="4"/>
      <c r="DO987" s="4"/>
      <c r="DP987" s="4"/>
      <c r="DQ987" s="4"/>
      <c r="DR987" s="4"/>
      <c r="DS987" s="4"/>
    </row>
    <row r="988">
      <c r="A988" s="9">
        <f>IFERROR(__xludf.DUMMYFUNCTION("""COMPUTED_VALUE"""),45737.0)</f>
        <v>45737</v>
      </c>
      <c r="B988" s="6" t="str">
        <f>IFERROR(__xludf.DUMMYFUNCTION("""COMPUTED_VALUE"""),"Gift")</f>
        <v>Gift</v>
      </c>
      <c r="C988" s="7">
        <f>IFERROR(__xludf.DUMMYFUNCTION("""COMPUTED_VALUE"""),11330.0)</f>
        <v>11330</v>
      </c>
      <c r="D988" s="6" t="str">
        <f>IFERROR(__xludf.DUMMYFUNCTION("""COMPUTED_VALUE"""),"Gifts")</f>
        <v>Gifts</v>
      </c>
      <c r="E988" s="6" t="str">
        <f>IFERROR(__xludf.DUMMYFUNCTION("""COMPUTED_VALUE"""),"Credit Card")</f>
        <v>Credit Card</v>
      </c>
      <c r="F988" s="6"/>
      <c r="G988" s="8" t="str">
        <f t="shared" si="1"/>
        <v>202503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  <c r="CD988" s="4"/>
      <c r="CE988" s="4"/>
      <c r="CF988" s="4"/>
      <c r="CG988" s="4"/>
      <c r="CH988" s="4"/>
      <c r="CI988" s="4"/>
      <c r="CJ988" s="4"/>
      <c r="CK988" s="4"/>
      <c r="CL988" s="4"/>
      <c r="CM988" s="4"/>
      <c r="CN988" s="4"/>
      <c r="CO988" s="4"/>
      <c r="CP988" s="4"/>
      <c r="CQ988" s="4"/>
      <c r="CR988" s="4"/>
      <c r="CS988" s="4"/>
      <c r="CT988" s="4"/>
      <c r="CU988" s="4"/>
      <c r="CV988" s="4"/>
      <c r="CW988" s="4"/>
      <c r="CX988" s="4"/>
      <c r="CY988" s="4"/>
      <c r="CZ988" s="4"/>
      <c r="DA988" s="4"/>
      <c r="DB988" s="4"/>
      <c r="DC988" s="4"/>
      <c r="DD988" s="4"/>
      <c r="DE988" s="4"/>
      <c r="DF988" s="4"/>
      <c r="DG988" s="4"/>
      <c r="DH988" s="4"/>
      <c r="DI988" s="4"/>
      <c r="DJ988" s="4"/>
      <c r="DK988" s="4"/>
      <c r="DL988" s="4"/>
      <c r="DM988" s="4"/>
      <c r="DN988" s="4"/>
      <c r="DO988" s="4"/>
      <c r="DP988" s="4"/>
      <c r="DQ988" s="4"/>
      <c r="DR988" s="4"/>
      <c r="DS988" s="4"/>
    </row>
    <row r="989">
      <c r="A989" s="9">
        <f>IFERROR(__xludf.DUMMYFUNCTION("""COMPUTED_VALUE"""),45737.0)</f>
        <v>45737</v>
      </c>
      <c r="B989" s="6" t="str">
        <f>IFERROR(__xludf.DUMMYFUNCTION("""COMPUTED_VALUE"""),"Gift")</f>
        <v>Gift</v>
      </c>
      <c r="C989" s="7">
        <f>IFERROR(__xludf.DUMMYFUNCTION("""COMPUTED_VALUE"""),11666.7)</f>
        <v>11666.7</v>
      </c>
      <c r="D989" s="6" t="str">
        <f>IFERROR(__xludf.DUMMYFUNCTION("""COMPUTED_VALUE"""),"Gifts")</f>
        <v>Gifts</v>
      </c>
      <c r="E989" s="6" t="str">
        <f>IFERROR(__xludf.DUMMYFUNCTION("""COMPUTED_VALUE"""),"Credit Card")</f>
        <v>Credit Card</v>
      </c>
      <c r="F989" s="6"/>
      <c r="G989" s="8" t="str">
        <f t="shared" si="1"/>
        <v>202503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  <c r="CD989" s="4"/>
      <c r="CE989" s="4"/>
      <c r="CF989" s="4"/>
      <c r="CG989" s="4"/>
      <c r="CH989" s="4"/>
      <c r="CI989" s="4"/>
      <c r="CJ989" s="4"/>
      <c r="CK989" s="4"/>
      <c r="CL989" s="4"/>
      <c r="CM989" s="4"/>
      <c r="CN989" s="4"/>
      <c r="CO989" s="4"/>
      <c r="CP989" s="4"/>
      <c r="CQ989" s="4"/>
      <c r="CR989" s="4"/>
      <c r="CS989" s="4"/>
      <c r="CT989" s="4"/>
      <c r="CU989" s="4"/>
      <c r="CV989" s="4"/>
      <c r="CW989" s="4"/>
      <c r="CX989" s="4"/>
      <c r="CY989" s="4"/>
      <c r="CZ989" s="4"/>
      <c r="DA989" s="4"/>
      <c r="DB989" s="4"/>
      <c r="DC989" s="4"/>
      <c r="DD989" s="4"/>
      <c r="DE989" s="4"/>
      <c r="DF989" s="4"/>
      <c r="DG989" s="4"/>
      <c r="DH989" s="4"/>
      <c r="DI989" s="4"/>
      <c r="DJ989" s="4"/>
      <c r="DK989" s="4"/>
      <c r="DL989" s="4"/>
      <c r="DM989" s="4"/>
      <c r="DN989" s="4"/>
      <c r="DO989" s="4"/>
      <c r="DP989" s="4"/>
      <c r="DQ989" s="4"/>
      <c r="DR989" s="4"/>
      <c r="DS989" s="4"/>
    </row>
    <row r="990">
      <c r="A990" s="9">
        <f>IFERROR(__xludf.DUMMYFUNCTION("""COMPUTED_VALUE"""),45737.0)</f>
        <v>45737</v>
      </c>
      <c r="B990" s="6" t="str">
        <f>IFERROR(__xludf.DUMMYFUNCTION("""COMPUTED_VALUE"""),"Gift")</f>
        <v>Gift</v>
      </c>
      <c r="C990" s="7">
        <f>IFERROR(__xludf.DUMMYFUNCTION("""COMPUTED_VALUE"""),8166.68)</f>
        <v>8166.68</v>
      </c>
      <c r="D990" s="6" t="str">
        <f>IFERROR(__xludf.DUMMYFUNCTION("""COMPUTED_VALUE"""),"Gifts")</f>
        <v>Gifts</v>
      </c>
      <c r="E990" s="6" t="str">
        <f>IFERROR(__xludf.DUMMYFUNCTION("""COMPUTED_VALUE"""),"Credit Card")</f>
        <v>Credit Card</v>
      </c>
      <c r="F990" s="6"/>
      <c r="G990" s="8" t="str">
        <f t="shared" si="1"/>
        <v>202503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  <c r="CD990" s="4"/>
      <c r="CE990" s="4"/>
      <c r="CF990" s="4"/>
      <c r="CG990" s="4"/>
      <c r="CH990" s="4"/>
      <c r="CI990" s="4"/>
      <c r="CJ990" s="4"/>
      <c r="CK990" s="4"/>
      <c r="CL990" s="4"/>
      <c r="CM990" s="4"/>
      <c r="CN990" s="4"/>
      <c r="CO990" s="4"/>
      <c r="CP990" s="4"/>
      <c r="CQ990" s="4"/>
      <c r="CR990" s="4"/>
      <c r="CS990" s="4"/>
      <c r="CT990" s="4"/>
      <c r="CU990" s="4"/>
      <c r="CV990" s="4"/>
      <c r="CW990" s="4"/>
      <c r="CX990" s="4"/>
      <c r="CY990" s="4"/>
      <c r="CZ990" s="4"/>
      <c r="DA990" s="4"/>
      <c r="DB990" s="4"/>
      <c r="DC990" s="4"/>
      <c r="DD990" s="4"/>
      <c r="DE990" s="4"/>
      <c r="DF990" s="4"/>
      <c r="DG990" s="4"/>
      <c r="DH990" s="4"/>
      <c r="DI990" s="4"/>
      <c r="DJ990" s="4"/>
      <c r="DK990" s="4"/>
      <c r="DL990" s="4"/>
      <c r="DM990" s="4"/>
      <c r="DN990" s="4"/>
      <c r="DO990" s="4"/>
      <c r="DP990" s="4"/>
      <c r="DQ990" s="4"/>
      <c r="DR990" s="4"/>
      <c r="DS990" s="4"/>
    </row>
    <row r="991">
      <c r="A991" s="9">
        <f>IFERROR(__xludf.DUMMYFUNCTION("""COMPUTED_VALUE"""),45737.0)</f>
        <v>45737</v>
      </c>
      <c r="B991" s="6" t="str">
        <f>IFERROR(__xludf.DUMMYFUNCTION("""COMPUTED_VALUE"""),"Groceries")</f>
        <v>Groceries</v>
      </c>
      <c r="C991" s="7">
        <f>IFERROR(__xludf.DUMMYFUNCTION("""COMPUTED_VALUE"""),7800.0)</f>
        <v>7800</v>
      </c>
      <c r="D991" s="6" t="str">
        <f>IFERROR(__xludf.DUMMYFUNCTION("""COMPUTED_VALUE"""),"Groceries")</f>
        <v>Groceries</v>
      </c>
      <c r="E991" s="6" t="str">
        <f>IFERROR(__xludf.DUMMYFUNCTION("""COMPUTED_VALUE"""),"Split Payment")</f>
        <v>Split Payment</v>
      </c>
      <c r="F991" s="6" t="s">
        <v>7</v>
      </c>
      <c r="G991" s="8" t="str">
        <f t="shared" si="1"/>
        <v>202503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  <c r="CD991" s="4"/>
      <c r="CE991" s="4"/>
      <c r="CF991" s="4"/>
      <c r="CG991" s="4"/>
      <c r="CH991" s="4"/>
      <c r="CI991" s="4"/>
      <c r="CJ991" s="4"/>
      <c r="CK991" s="4"/>
      <c r="CL991" s="4"/>
      <c r="CM991" s="4"/>
      <c r="CN991" s="4"/>
      <c r="CO991" s="4"/>
      <c r="CP991" s="4"/>
      <c r="CQ991" s="4"/>
      <c r="CR991" s="4"/>
      <c r="CS991" s="4"/>
      <c r="CT991" s="4"/>
      <c r="CU991" s="4"/>
      <c r="CV991" s="4"/>
      <c r="CW991" s="4"/>
      <c r="CX991" s="4"/>
      <c r="CY991" s="4"/>
      <c r="CZ991" s="4"/>
      <c r="DA991" s="4"/>
      <c r="DB991" s="4"/>
      <c r="DC991" s="4"/>
      <c r="DD991" s="4"/>
      <c r="DE991" s="4"/>
      <c r="DF991" s="4"/>
      <c r="DG991" s="4"/>
      <c r="DH991" s="4"/>
      <c r="DI991" s="4"/>
      <c r="DJ991" s="4"/>
      <c r="DK991" s="4"/>
      <c r="DL991" s="4"/>
      <c r="DM991" s="4"/>
      <c r="DN991" s="4"/>
      <c r="DO991" s="4"/>
      <c r="DP991" s="4"/>
      <c r="DQ991" s="4"/>
      <c r="DR991" s="4"/>
      <c r="DS991" s="4"/>
    </row>
    <row r="992">
      <c r="A992" s="9">
        <f>IFERROR(__xludf.DUMMYFUNCTION("""COMPUTED_VALUE"""),45737.0)</f>
        <v>45737</v>
      </c>
      <c r="B992" s="6" t="str">
        <f>IFERROR(__xludf.DUMMYFUNCTION("""COMPUTED_VALUE"""),"Groceries")</f>
        <v>Groceries</v>
      </c>
      <c r="C992" s="7">
        <f>IFERROR(__xludf.DUMMYFUNCTION("""COMPUTED_VALUE"""),55.0)</f>
        <v>55</v>
      </c>
      <c r="D992" s="6" t="str">
        <f>IFERROR(__xludf.DUMMYFUNCTION("""COMPUTED_VALUE"""),"Restaurant / Café")</f>
        <v>Restaurant / Café</v>
      </c>
      <c r="E992" s="6" t="str">
        <f>IFERROR(__xludf.DUMMYFUNCTION("""COMPUTED_VALUE"""),"Virtual Wallet")</f>
        <v>Virtual Wallet</v>
      </c>
      <c r="F992" s="6" t="s">
        <v>14</v>
      </c>
      <c r="G992" s="8" t="str">
        <f t="shared" si="1"/>
        <v>202503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  <c r="CD992" s="4"/>
      <c r="CE992" s="4"/>
      <c r="CF992" s="4"/>
      <c r="CG992" s="4"/>
      <c r="CH992" s="4"/>
      <c r="CI992" s="4"/>
      <c r="CJ992" s="4"/>
      <c r="CK992" s="4"/>
      <c r="CL992" s="4"/>
      <c r="CM992" s="4"/>
      <c r="CN992" s="4"/>
      <c r="CO992" s="4"/>
      <c r="CP992" s="4"/>
      <c r="CQ992" s="4"/>
      <c r="CR992" s="4"/>
      <c r="CS992" s="4"/>
      <c r="CT992" s="4"/>
      <c r="CU992" s="4"/>
      <c r="CV992" s="4"/>
      <c r="CW992" s="4"/>
      <c r="CX992" s="4"/>
      <c r="CY992" s="4"/>
      <c r="CZ992" s="4"/>
      <c r="DA992" s="4"/>
      <c r="DB992" s="4"/>
      <c r="DC992" s="4"/>
      <c r="DD992" s="4"/>
      <c r="DE992" s="4"/>
      <c r="DF992" s="4"/>
      <c r="DG992" s="4"/>
      <c r="DH992" s="4"/>
      <c r="DI992" s="4"/>
      <c r="DJ992" s="4"/>
      <c r="DK992" s="4"/>
      <c r="DL992" s="4"/>
      <c r="DM992" s="4"/>
      <c r="DN992" s="4"/>
      <c r="DO992" s="4"/>
      <c r="DP992" s="4"/>
      <c r="DQ992" s="4"/>
      <c r="DR992" s="4"/>
      <c r="DS992" s="4"/>
    </row>
    <row r="993">
      <c r="A993" s="9">
        <f>IFERROR(__xludf.DUMMYFUNCTION("""COMPUTED_VALUE"""),45737.0)</f>
        <v>45737</v>
      </c>
      <c r="B993" s="6" t="str">
        <f>IFERROR(__xludf.DUMMYFUNCTION("""COMPUTED_VALUE"""),"Medical Tests")</f>
        <v>Medical Tests</v>
      </c>
      <c r="C993" s="7">
        <f>IFERROR(__xludf.DUMMYFUNCTION("""COMPUTED_VALUE"""),100000.0)</f>
        <v>100000</v>
      </c>
      <c r="D993" s="6" t="str">
        <f>IFERROR(__xludf.DUMMYFUNCTION("""COMPUTED_VALUE"""),"Healthcare")</f>
        <v>Healthcare</v>
      </c>
      <c r="E993" s="6" t="str">
        <f>IFERROR(__xludf.DUMMYFUNCTION("""COMPUTED_VALUE"""),"Credit Card")</f>
        <v>Credit Card</v>
      </c>
      <c r="F993" s="6" t="s">
        <v>15</v>
      </c>
      <c r="G993" s="8" t="str">
        <f t="shared" si="1"/>
        <v>202503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  <c r="CD993" s="4"/>
      <c r="CE993" s="4"/>
      <c r="CF993" s="4"/>
      <c r="CG993" s="4"/>
      <c r="CH993" s="4"/>
      <c r="CI993" s="4"/>
      <c r="CJ993" s="4"/>
      <c r="CK993" s="4"/>
      <c r="CL993" s="4"/>
      <c r="CM993" s="4"/>
      <c r="CN993" s="4"/>
      <c r="CO993" s="4"/>
      <c r="CP993" s="4"/>
      <c r="CQ993" s="4"/>
      <c r="CR993" s="4"/>
      <c r="CS993" s="4"/>
      <c r="CT993" s="4"/>
      <c r="CU993" s="4"/>
      <c r="CV993" s="4"/>
      <c r="CW993" s="4"/>
      <c r="CX993" s="4"/>
      <c r="CY993" s="4"/>
      <c r="CZ993" s="4"/>
      <c r="DA993" s="4"/>
      <c r="DB993" s="4"/>
      <c r="DC993" s="4"/>
      <c r="DD993" s="4"/>
      <c r="DE993" s="4"/>
      <c r="DF993" s="4"/>
      <c r="DG993" s="4"/>
      <c r="DH993" s="4"/>
      <c r="DI993" s="4"/>
      <c r="DJ993" s="4"/>
      <c r="DK993" s="4"/>
      <c r="DL993" s="4"/>
      <c r="DM993" s="4"/>
      <c r="DN993" s="4"/>
      <c r="DO993" s="4"/>
      <c r="DP993" s="4"/>
      <c r="DQ993" s="4"/>
      <c r="DR993" s="4"/>
      <c r="DS993" s="4"/>
    </row>
    <row r="994">
      <c r="A994" s="9">
        <f>IFERROR(__xludf.DUMMYFUNCTION("""COMPUTED_VALUE"""),45737.0)</f>
        <v>45737</v>
      </c>
      <c r="B994" s="6" t="str">
        <f>IFERROR(__xludf.DUMMYFUNCTION("""COMPUTED_VALUE"""),"Pets")</f>
        <v>Pets</v>
      </c>
      <c r="C994" s="7">
        <f>IFERROR(__xludf.DUMMYFUNCTION("""COMPUTED_VALUE"""),2405.0)</f>
        <v>2405</v>
      </c>
      <c r="D994" s="6" t="str">
        <f>IFERROR(__xludf.DUMMYFUNCTION("""COMPUTED_VALUE"""),"Pets")</f>
        <v>Pets</v>
      </c>
      <c r="E994" s="6" t="str">
        <f>IFERROR(__xludf.DUMMYFUNCTION("""COMPUTED_VALUE"""),"Virtual Wallet")</f>
        <v>Virtual Wallet</v>
      </c>
      <c r="F994" s="6" t="s">
        <v>7</v>
      </c>
      <c r="G994" s="8" t="str">
        <f t="shared" si="1"/>
        <v>202503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  <c r="CD994" s="4"/>
      <c r="CE994" s="4"/>
      <c r="CF994" s="4"/>
      <c r="CG994" s="4"/>
      <c r="CH994" s="4"/>
      <c r="CI994" s="4"/>
      <c r="CJ994" s="4"/>
      <c r="CK994" s="4"/>
      <c r="CL994" s="4"/>
      <c r="CM994" s="4"/>
      <c r="CN994" s="4"/>
      <c r="CO994" s="4"/>
      <c r="CP994" s="4"/>
      <c r="CQ994" s="4"/>
      <c r="CR994" s="4"/>
      <c r="CS994" s="4"/>
      <c r="CT994" s="4"/>
      <c r="CU994" s="4"/>
      <c r="CV994" s="4"/>
      <c r="CW994" s="4"/>
      <c r="CX994" s="4"/>
      <c r="CY994" s="4"/>
      <c r="CZ994" s="4"/>
      <c r="DA994" s="4"/>
      <c r="DB994" s="4"/>
      <c r="DC994" s="4"/>
      <c r="DD994" s="4"/>
      <c r="DE994" s="4"/>
      <c r="DF994" s="4"/>
      <c r="DG994" s="4"/>
      <c r="DH994" s="4"/>
      <c r="DI994" s="4"/>
      <c r="DJ994" s="4"/>
      <c r="DK994" s="4"/>
      <c r="DL994" s="4"/>
      <c r="DM994" s="4"/>
      <c r="DN994" s="4"/>
      <c r="DO994" s="4"/>
      <c r="DP994" s="4"/>
      <c r="DQ994" s="4"/>
      <c r="DR994" s="4"/>
      <c r="DS994" s="4"/>
    </row>
    <row r="995">
      <c r="A995" s="9">
        <f>IFERROR(__xludf.DUMMYFUNCTION("""COMPUTED_VALUE"""),45738.0)</f>
        <v>45738</v>
      </c>
      <c r="B995" s="6" t="str">
        <f>IFERROR(__xludf.DUMMYFUNCTION("""COMPUTED_VALUE"""),"Appliances")</f>
        <v>Appliances</v>
      </c>
      <c r="C995" s="7">
        <f>IFERROR(__xludf.DUMMYFUNCTION("""COMPUTED_VALUE"""),2361.0)</f>
        <v>2361</v>
      </c>
      <c r="D995" s="6" t="str">
        <f>IFERROR(__xludf.DUMMYFUNCTION("""COMPUTED_VALUE"""),"Home Goods &amp; Utilities")</f>
        <v>Home Goods &amp; Utilities</v>
      </c>
      <c r="E995" s="6" t="str">
        <f>IFERROR(__xludf.DUMMYFUNCTION("""COMPUTED_VALUE"""),"Credit Card")</f>
        <v>Credit Card</v>
      </c>
      <c r="F995" s="6" t="s">
        <v>8</v>
      </c>
      <c r="G995" s="8" t="str">
        <f t="shared" si="1"/>
        <v>202503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  <c r="CD995" s="4"/>
      <c r="CE995" s="4"/>
      <c r="CF995" s="4"/>
      <c r="CG995" s="4"/>
      <c r="CH995" s="4"/>
      <c r="CI995" s="4"/>
      <c r="CJ995" s="4"/>
      <c r="CK995" s="4"/>
      <c r="CL995" s="4"/>
      <c r="CM995" s="4"/>
      <c r="CN995" s="4"/>
      <c r="CO995" s="4"/>
      <c r="CP995" s="4"/>
      <c r="CQ995" s="4"/>
      <c r="CR995" s="4"/>
      <c r="CS995" s="4"/>
      <c r="CT995" s="4"/>
      <c r="CU995" s="4"/>
      <c r="CV995" s="4"/>
      <c r="CW995" s="4"/>
      <c r="CX995" s="4"/>
      <c r="CY995" s="4"/>
      <c r="CZ995" s="4"/>
      <c r="DA995" s="4"/>
      <c r="DB995" s="4"/>
      <c r="DC995" s="4"/>
      <c r="DD995" s="4"/>
      <c r="DE995" s="4"/>
      <c r="DF995" s="4"/>
      <c r="DG995" s="4"/>
      <c r="DH995" s="4"/>
      <c r="DI995" s="4"/>
      <c r="DJ995" s="4"/>
      <c r="DK995" s="4"/>
      <c r="DL995" s="4"/>
      <c r="DM995" s="4"/>
      <c r="DN995" s="4"/>
      <c r="DO995" s="4"/>
      <c r="DP995" s="4"/>
      <c r="DQ995" s="4"/>
      <c r="DR995" s="4"/>
      <c r="DS995" s="4"/>
    </row>
    <row r="996">
      <c r="A996" s="9">
        <f>IFERROR(__xludf.DUMMYFUNCTION("""COMPUTED_VALUE"""),45738.0)</f>
        <v>45738</v>
      </c>
      <c r="B996" s="6" t="str">
        <f>IFERROR(__xludf.DUMMYFUNCTION("""COMPUTED_VALUE"""),"Cab/Uber")</f>
        <v>Cab/Uber</v>
      </c>
      <c r="C996" s="7">
        <f>IFERROR(__xludf.DUMMYFUNCTION("""COMPUTED_VALUE"""),4490.0)</f>
        <v>4490</v>
      </c>
      <c r="D996" s="6" t="str">
        <f>IFERROR(__xludf.DUMMYFUNCTION("""COMPUTED_VALUE"""),"Transportation")</f>
        <v>Transportation</v>
      </c>
      <c r="E996" s="6" t="str">
        <f>IFERROR(__xludf.DUMMYFUNCTION("""COMPUTED_VALUE"""),"Virtual Wallet")</f>
        <v>Virtual Wallet</v>
      </c>
      <c r="F996" s="6" t="s">
        <v>9</v>
      </c>
      <c r="G996" s="8" t="str">
        <f t="shared" si="1"/>
        <v>202503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  <c r="CD996" s="4"/>
      <c r="CE996" s="4"/>
      <c r="CF996" s="4"/>
      <c r="CG996" s="4"/>
      <c r="CH996" s="4"/>
      <c r="CI996" s="4"/>
      <c r="CJ996" s="4"/>
      <c r="CK996" s="4"/>
      <c r="CL996" s="4"/>
      <c r="CM996" s="4"/>
      <c r="CN996" s="4"/>
      <c r="CO996" s="4"/>
      <c r="CP996" s="4"/>
      <c r="CQ996" s="4"/>
      <c r="CR996" s="4"/>
      <c r="CS996" s="4"/>
      <c r="CT996" s="4"/>
      <c r="CU996" s="4"/>
      <c r="CV996" s="4"/>
      <c r="CW996" s="4"/>
      <c r="CX996" s="4"/>
      <c r="CY996" s="4"/>
      <c r="CZ996" s="4"/>
      <c r="DA996" s="4"/>
      <c r="DB996" s="4"/>
      <c r="DC996" s="4"/>
      <c r="DD996" s="4"/>
      <c r="DE996" s="4"/>
      <c r="DF996" s="4"/>
      <c r="DG996" s="4"/>
      <c r="DH996" s="4"/>
      <c r="DI996" s="4"/>
      <c r="DJ996" s="4"/>
      <c r="DK996" s="4"/>
      <c r="DL996" s="4"/>
      <c r="DM996" s="4"/>
      <c r="DN996" s="4"/>
      <c r="DO996" s="4"/>
      <c r="DP996" s="4"/>
      <c r="DQ996" s="4"/>
      <c r="DR996" s="4"/>
      <c r="DS996" s="4"/>
    </row>
    <row r="997">
      <c r="A997" s="9">
        <f>IFERROR(__xludf.DUMMYFUNCTION("""COMPUTED_VALUE"""),45738.0)</f>
        <v>45738</v>
      </c>
      <c r="B997" s="6" t="str">
        <f>IFERROR(__xludf.DUMMYFUNCTION("""COMPUTED_VALUE"""),"Electricity Bill (Edesur)")</f>
        <v>Electricity Bill (Edesur)</v>
      </c>
      <c r="C997" s="7">
        <f>IFERROR(__xludf.DUMMYFUNCTION("""COMPUTED_VALUE"""),13284.0)</f>
        <v>13284</v>
      </c>
      <c r="D997" s="6" t="str">
        <f>IFERROR(__xludf.DUMMYFUNCTION("""COMPUTED_VALUE"""),"Basic Services")</f>
        <v>Basic Services</v>
      </c>
      <c r="E997" s="6" t="str">
        <f>IFERROR(__xludf.DUMMYFUNCTION("""COMPUTED_VALUE"""),"Split Payment")</f>
        <v>Split Payment</v>
      </c>
      <c r="F997" s="6" t="s">
        <v>13</v>
      </c>
      <c r="G997" s="8" t="str">
        <f t="shared" si="1"/>
        <v>202503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  <c r="CD997" s="4"/>
      <c r="CE997" s="4"/>
      <c r="CF997" s="4"/>
      <c r="CG997" s="4"/>
      <c r="CH997" s="4"/>
      <c r="CI997" s="4"/>
      <c r="CJ997" s="4"/>
      <c r="CK997" s="4"/>
      <c r="CL997" s="4"/>
      <c r="CM997" s="4"/>
      <c r="CN997" s="4"/>
      <c r="CO997" s="4"/>
      <c r="CP997" s="4"/>
      <c r="CQ997" s="4"/>
      <c r="CR997" s="4"/>
      <c r="CS997" s="4"/>
      <c r="CT997" s="4"/>
      <c r="CU997" s="4"/>
      <c r="CV997" s="4"/>
      <c r="CW997" s="4"/>
      <c r="CX997" s="4"/>
      <c r="CY997" s="4"/>
      <c r="CZ997" s="4"/>
      <c r="DA997" s="4"/>
      <c r="DB997" s="4"/>
      <c r="DC997" s="4"/>
      <c r="DD997" s="4"/>
      <c r="DE997" s="4"/>
      <c r="DF997" s="4"/>
      <c r="DG997" s="4"/>
      <c r="DH997" s="4"/>
      <c r="DI997" s="4"/>
      <c r="DJ997" s="4"/>
      <c r="DK997" s="4"/>
      <c r="DL997" s="4"/>
      <c r="DM997" s="4"/>
      <c r="DN997" s="4"/>
      <c r="DO997" s="4"/>
      <c r="DP997" s="4"/>
      <c r="DQ997" s="4"/>
      <c r="DR997" s="4"/>
      <c r="DS997" s="4"/>
    </row>
    <row r="998">
      <c r="A998" s="9">
        <f>IFERROR(__xludf.DUMMYFUNCTION("""COMPUTED_VALUE"""),45738.0)</f>
        <v>45738</v>
      </c>
      <c r="B998" s="6" t="str">
        <f>IFERROR(__xludf.DUMMYFUNCTION("""COMPUTED_VALUE"""),"Groceries")</f>
        <v>Groceries</v>
      </c>
      <c r="C998" s="7">
        <f>IFERROR(__xludf.DUMMYFUNCTION("""COMPUTED_VALUE"""),2100.0)</f>
        <v>2100</v>
      </c>
      <c r="D998" s="6" t="str">
        <f>IFERROR(__xludf.DUMMYFUNCTION("""COMPUTED_VALUE"""),"Groceries")</f>
        <v>Groceries</v>
      </c>
      <c r="E998" s="6" t="str">
        <f>IFERROR(__xludf.DUMMYFUNCTION("""COMPUTED_VALUE"""),"Split Payment")</f>
        <v>Split Payment</v>
      </c>
      <c r="F998" s="6" t="s">
        <v>7</v>
      </c>
      <c r="G998" s="8" t="str">
        <f t="shared" si="1"/>
        <v>202503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  <c r="CD998" s="4"/>
      <c r="CE998" s="4"/>
      <c r="CF998" s="4"/>
      <c r="CG998" s="4"/>
      <c r="CH998" s="4"/>
      <c r="CI998" s="4"/>
      <c r="CJ998" s="4"/>
      <c r="CK998" s="4"/>
      <c r="CL998" s="4"/>
      <c r="CM998" s="4"/>
      <c r="CN998" s="4"/>
      <c r="CO998" s="4"/>
      <c r="CP998" s="4"/>
      <c r="CQ998" s="4"/>
      <c r="CR998" s="4"/>
      <c r="CS998" s="4"/>
      <c r="CT998" s="4"/>
      <c r="CU998" s="4"/>
      <c r="CV998" s="4"/>
      <c r="CW998" s="4"/>
      <c r="CX998" s="4"/>
      <c r="CY998" s="4"/>
      <c r="CZ998" s="4"/>
      <c r="DA998" s="4"/>
      <c r="DB998" s="4"/>
      <c r="DC998" s="4"/>
      <c r="DD998" s="4"/>
      <c r="DE998" s="4"/>
      <c r="DF998" s="4"/>
      <c r="DG998" s="4"/>
      <c r="DH998" s="4"/>
      <c r="DI998" s="4"/>
      <c r="DJ998" s="4"/>
      <c r="DK998" s="4"/>
      <c r="DL998" s="4"/>
      <c r="DM998" s="4"/>
      <c r="DN998" s="4"/>
      <c r="DO998" s="4"/>
      <c r="DP998" s="4"/>
      <c r="DQ998" s="4"/>
      <c r="DR998" s="4"/>
      <c r="DS998" s="4"/>
    </row>
    <row r="999">
      <c r="A999" s="9">
        <f>IFERROR(__xludf.DUMMYFUNCTION("""COMPUTED_VALUE"""),45738.0)</f>
        <v>45738</v>
      </c>
      <c r="B999" s="6" t="str">
        <f>IFERROR(__xludf.DUMMYFUNCTION("""COMPUTED_VALUE"""),"Groceries")</f>
        <v>Groceries</v>
      </c>
      <c r="C999" s="7">
        <f>IFERROR(__xludf.DUMMYFUNCTION("""COMPUTED_VALUE"""),31200.0)</f>
        <v>31200</v>
      </c>
      <c r="D999" s="6" t="str">
        <f>IFERROR(__xludf.DUMMYFUNCTION("""COMPUTED_VALUE"""),"Groceries")</f>
        <v>Groceries</v>
      </c>
      <c r="E999" s="6" t="str">
        <f>IFERROR(__xludf.DUMMYFUNCTION("""COMPUTED_VALUE"""),"Split Payment")</f>
        <v>Split Payment</v>
      </c>
      <c r="F999" s="6" t="s">
        <v>7</v>
      </c>
      <c r="G999" s="8" t="str">
        <f t="shared" si="1"/>
        <v>202503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  <c r="CD999" s="4"/>
      <c r="CE999" s="4"/>
      <c r="CF999" s="4"/>
      <c r="CG999" s="4"/>
      <c r="CH999" s="4"/>
      <c r="CI999" s="4"/>
      <c r="CJ999" s="4"/>
      <c r="CK999" s="4"/>
      <c r="CL999" s="4"/>
      <c r="CM999" s="4"/>
      <c r="CN999" s="4"/>
      <c r="CO999" s="4"/>
      <c r="CP999" s="4"/>
      <c r="CQ999" s="4"/>
      <c r="CR999" s="4"/>
      <c r="CS999" s="4"/>
      <c r="CT999" s="4"/>
      <c r="CU999" s="4"/>
      <c r="CV999" s="4"/>
      <c r="CW999" s="4"/>
      <c r="CX999" s="4"/>
      <c r="CY999" s="4"/>
      <c r="CZ999" s="4"/>
      <c r="DA999" s="4"/>
      <c r="DB999" s="4"/>
      <c r="DC999" s="4"/>
      <c r="DD999" s="4"/>
      <c r="DE999" s="4"/>
      <c r="DF999" s="4"/>
      <c r="DG999" s="4"/>
      <c r="DH999" s="4"/>
      <c r="DI999" s="4"/>
      <c r="DJ999" s="4"/>
      <c r="DK999" s="4"/>
      <c r="DL999" s="4"/>
      <c r="DM999" s="4"/>
      <c r="DN999" s="4"/>
      <c r="DO999" s="4"/>
      <c r="DP999" s="4"/>
      <c r="DQ999" s="4"/>
      <c r="DR999" s="4"/>
      <c r="DS999" s="4"/>
    </row>
    <row r="1000">
      <c r="A1000" s="9">
        <f>IFERROR(__xludf.DUMMYFUNCTION("""COMPUTED_VALUE"""),45738.0)</f>
        <v>45738</v>
      </c>
      <c r="B1000" s="6" t="str">
        <f>IFERROR(__xludf.DUMMYFUNCTION("""COMPUTED_VALUE"""),"Home Goods")</f>
        <v>Home Goods</v>
      </c>
      <c r="C1000" s="7">
        <f>IFERROR(__xludf.DUMMYFUNCTION("""COMPUTED_VALUE"""),6850.0)</f>
        <v>6850</v>
      </c>
      <c r="D1000" s="6" t="str">
        <f>IFERROR(__xludf.DUMMYFUNCTION("""COMPUTED_VALUE"""),"Home Goods &amp; Utilities")</f>
        <v>Home Goods &amp; Utilities</v>
      </c>
      <c r="E1000" s="6" t="str">
        <f>IFERROR(__xludf.DUMMYFUNCTION("""COMPUTED_VALUE"""),"Credit Card")</f>
        <v>Credit Card</v>
      </c>
      <c r="F1000" s="6" t="s">
        <v>8</v>
      </c>
      <c r="G1000" s="8" t="str">
        <f t="shared" si="1"/>
        <v>202503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4"/>
      <c r="BW1000" s="4"/>
      <c r="BX1000" s="4"/>
      <c r="BY1000" s="4"/>
      <c r="BZ1000" s="4"/>
      <c r="CA1000" s="4"/>
      <c r="CB1000" s="4"/>
      <c r="CC1000" s="4"/>
      <c r="CD1000" s="4"/>
      <c r="CE1000" s="4"/>
      <c r="CF1000" s="4"/>
      <c r="CG1000" s="4"/>
      <c r="CH1000" s="4"/>
      <c r="CI1000" s="4"/>
      <c r="CJ1000" s="4"/>
      <c r="CK1000" s="4"/>
      <c r="CL1000" s="4"/>
      <c r="CM1000" s="4"/>
      <c r="CN1000" s="4"/>
      <c r="CO1000" s="4"/>
      <c r="CP1000" s="4"/>
      <c r="CQ1000" s="4"/>
      <c r="CR1000" s="4"/>
      <c r="CS1000" s="4"/>
      <c r="CT1000" s="4"/>
      <c r="CU1000" s="4"/>
      <c r="CV1000" s="4"/>
      <c r="CW1000" s="4"/>
      <c r="CX1000" s="4"/>
      <c r="CY1000" s="4"/>
      <c r="CZ1000" s="4"/>
      <c r="DA1000" s="4"/>
      <c r="DB1000" s="4"/>
      <c r="DC1000" s="4"/>
      <c r="DD1000" s="4"/>
      <c r="DE1000" s="4"/>
      <c r="DF1000" s="4"/>
      <c r="DG1000" s="4"/>
      <c r="DH1000" s="4"/>
      <c r="DI1000" s="4"/>
      <c r="DJ1000" s="4"/>
      <c r="DK1000" s="4"/>
      <c r="DL1000" s="4"/>
      <c r="DM1000" s="4"/>
      <c r="DN1000" s="4"/>
      <c r="DO1000" s="4"/>
      <c r="DP1000" s="4"/>
      <c r="DQ1000" s="4"/>
      <c r="DR1000" s="4"/>
      <c r="DS1000" s="4"/>
    </row>
    <row r="1001">
      <c r="A1001" s="9">
        <f>IFERROR(__xludf.DUMMYFUNCTION("""COMPUTED_VALUE"""),45738.0)</f>
        <v>45738</v>
      </c>
      <c r="B1001" s="6" t="str">
        <f>IFERROR(__xludf.DUMMYFUNCTION("""COMPUTED_VALUE"""),"Pets")</f>
        <v>Pets</v>
      </c>
      <c r="C1001" s="7">
        <f>IFERROR(__xludf.DUMMYFUNCTION("""COMPUTED_VALUE"""),19000.0)</f>
        <v>19000</v>
      </c>
      <c r="D1001" s="6" t="str">
        <f>IFERROR(__xludf.DUMMYFUNCTION("""COMPUTED_VALUE"""),"Pets")</f>
        <v>Pets</v>
      </c>
      <c r="E1001" s="6" t="str">
        <f>IFERROR(__xludf.DUMMYFUNCTION("""COMPUTED_VALUE"""),"Split Payment")</f>
        <v>Split Payment</v>
      </c>
      <c r="F1001" s="6" t="s">
        <v>7</v>
      </c>
      <c r="G1001" s="8" t="str">
        <f t="shared" si="1"/>
        <v>202503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  <c r="BQ1001" s="4"/>
      <c r="BR1001" s="4"/>
      <c r="BS1001" s="4"/>
      <c r="BT1001" s="4"/>
      <c r="BU1001" s="4"/>
      <c r="BV1001" s="4"/>
      <c r="BW1001" s="4"/>
      <c r="BX1001" s="4"/>
      <c r="BY1001" s="4"/>
      <c r="BZ1001" s="4"/>
      <c r="CA1001" s="4"/>
      <c r="CB1001" s="4"/>
      <c r="CC1001" s="4"/>
      <c r="CD1001" s="4"/>
      <c r="CE1001" s="4"/>
      <c r="CF1001" s="4"/>
      <c r="CG1001" s="4"/>
      <c r="CH1001" s="4"/>
      <c r="CI1001" s="4"/>
      <c r="CJ1001" s="4"/>
      <c r="CK1001" s="4"/>
      <c r="CL1001" s="4"/>
      <c r="CM1001" s="4"/>
      <c r="CN1001" s="4"/>
      <c r="CO1001" s="4"/>
      <c r="CP1001" s="4"/>
      <c r="CQ1001" s="4"/>
      <c r="CR1001" s="4"/>
      <c r="CS1001" s="4"/>
      <c r="CT1001" s="4"/>
      <c r="CU1001" s="4"/>
      <c r="CV1001" s="4"/>
      <c r="CW1001" s="4"/>
      <c r="CX1001" s="4"/>
      <c r="CY1001" s="4"/>
      <c r="CZ1001" s="4"/>
      <c r="DA1001" s="4"/>
      <c r="DB1001" s="4"/>
      <c r="DC1001" s="4"/>
      <c r="DD1001" s="4"/>
      <c r="DE1001" s="4"/>
      <c r="DF1001" s="4"/>
      <c r="DG1001" s="4"/>
      <c r="DH1001" s="4"/>
      <c r="DI1001" s="4"/>
      <c r="DJ1001" s="4"/>
      <c r="DK1001" s="4"/>
      <c r="DL1001" s="4"/>
      <c r="DM1001" s="4"/>
      <c r="DN1001" s="4"/>
      <c r="DO1001" s="4"/>
      <c r="DP1001" s="4"/>
      <c r="DQ1001" s="4"/>
      <c r="DR1001" s="4"/>
      <c r="DS1001" s="4"/>
    </row>
    <row r="1002">
      <c r="A1002" s="9">
        <f>IFERROR(__xludf.DUMMYFUNCTION("""COMPUTED_VALUE"""),45738.0)</f>
        <v>45738</v>
      </c>
      <c r="B1002" s="6" t="str">
        <f>IFERROR(__xludf.DUMMYFUNCTION("""COMPUTED_VALUE"""),"Pets")</f>
        <v>Pets</v>
      </c>
      <c r="C1002" s="7">
        <f>IFERROR(__xludf.DUMMYFUNCTION("""COMPUTED_VALUE"""),1800.0)</f>
        <v>1800</v>
      </c>
      <c r="D1002" s="6" t="str">
        <f>IFERROR(__xludf.DUMMYFUNCTION("""COMPUTED_VALUE"""),"Pets")</f>
        <v>Pets</v>
      </c>
      <c r="E1002" s="6" t="str">
        <f>IFERROR(__xludf.DUMMYFUNCTION("""COMPUTED_VALUE"""),"Virtual Wallet")</f>
        <v>Virtual Wallet</v>
      </c>
      <c r="F1002" s="6" t="s">
        <v>7</v>
      </c>
      <c r="G1002" s="8" t="str">
        <f t="shared" si="1"/>
        <v>202503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  <c r="BQ1002" s="4"/>
      <c r="BR1002" s="4"/>
      <c r="BS1002" s="4"/>
      <c r="BT1002" s="4"/>
      <c r="BU1002" s="4"/>
      <c r="BV1002" s="4"/>
      <c r="BW1002" s="4"/>
      <c r="BX1002" s="4"/>
      <c r="BY1002" s="4"/>
      <c r="BZ1002" s="4"/>
      <c r="CA1002" s="4"/>
      <c r="CB1002" s="4"/>
      <c r="CC1002" s="4"/>
      <c r="CD1002" s="4"/>
      <c r="CE1002" s="4"/>
      <c r="CF1002" s="4"/>
      <c r="CG1002" s="4"/>
      <c r="CH1002" s="4"/>
      <c r="CI1002" s="4"/>
      <c r="CJ1002" s="4"/>
      <c r="CK1002" s="4"/>
      <c r="CL1002" s="4"/>
      <c r="CM1002" s="4"/>
      <c r="CN1002" s="4"/>
      <c r="CO1002" s="4"/>
      <c r="CP1002" s="4"/>
      <c r="CQ1002" s="4"/>
      <c r="CR1002" s="4"/>
      <c r="CS1002" s="4"/>
      <c r="CT1002" s="4"/>
      <c r="CU1002" s="4"/>
      <c r="CV1002" s="4"/>
      <c r="CW1002" s="4"/>
      <c r="CX1002" s="4"/>
      <c r="CY1002" s="4"/>
      <c r="CZ1002" s="4"/>
      <c r="DA1002" s="4"/>
      <c r="DB1002" s="4"/>
      <c r="DC1002" s="4"/>
      <c r="DD1002" s="4"/>
      <c r="DE1002" s="4"/>
      <c r="DF1002" s="4"/>
      <c r="DG1002" s="4"/>
      <c r="DH1002" s="4"/>
      <c r="DI1002" s="4"/>
      <c r="DJ1002" s="4"/>
      <c r="DK1002" s="4"/>
      <c r="DL1002" s="4"/>
      <c r="DM1002" s="4"/>
      <c r="DN1002" s="4"/>
      <c r="DO1002" s="4"/>
      <c r="DP1002" s="4"/>
      <c r="DQ1002" s="4"/>
      <c r="DR1002" s="4"/>
      <c r="DS1002" s="4"/>
    </row>
    <row r="1003">
      <c r="A1003" s="9">
        <f>IFERROR(__xludf.DUMMYFUNCTION("""COMPUTED_VALUE"""),45738.0)</f>
        <v>45738</v>
      </c>
      <c r="B1003" s="6" t="str">
        <f>IFERROR(__xludf.DUMMYFUNCTION("""COMPUTED_VALUE"""),"Restaurant")</f>
        <v>Restaurant</v>
      </c>
      <c r="C1003" s="7">
        <f>IFERROR(__xludf.DUMMYFUNCTION("""COMPUTED_VALUE"""),4000.0)</f>
        <v>4000</v>
      </c>
      <c r="D1003" s="6" t="str">
        <f>IFERROR(__xludf.DUMMYFUNCTION("""COMPUTED_VALUE"""),"Groceries")</f>
        <v>Groceries</v>
      </c>
      <c r="E1003" s="6" t="str">
        <f>IFERROR(__xludf.DUMMYFUNCTION("""COMPUTED_VALUE"""),"Virtual Wallet")</f>
        <v>Virtual Wallet</v>
      </c>
      <c r="F1003" s="6" t="s">
        <v>7</v>
      </c>
      <c r="G1003" s="8" t="str">
        <f t="shared" si="1"/>
        <v>202503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  <c r="BQ1003" s="4"/>
      <c r="BR1003" s="4"/>
      <c r="BS1003" s="4"/>
      <c r="BT1003" s="4"/>
      <c r="BU1003" s="4"/>
      <c r="BV1003" s="4"/>
      <c r="BW1003" s="4"/>
      <c r="BX1003" s="4"/>
      <c r="BY1003" s="4"/>
      <c r="BZ1003" s="4"/>
      <c r="CA1003" s="4"/>
      <c r="CB1003" s="4"/>
      <c r="CC1003" s="4"/>
      <c r="CD1003" s="4"/>
      <c r="CE1003" s="4"/>
      <c r="CF1003" s="4"/>
      <c r="CG1003" s="4"/>
      <c r="CH1003" s="4"/>
      <c r="CI1003" s="4"/>
      <c r="CJ1003" s="4"/>
      <c r="CK1003" s="4"/>
      <c r="CL1003" s="4"/>
      <c r="CM1003" s="4"/>
      <c r="CN1003" s="4"/>
      <c r="CO1003" s="4"/>
      <c r="CP1003" s="4"/>
      <c r="CQ1003" s="4"/>
      <c r="CR1003" s="4"/>
      <c r="CS1003" s="4"/>
      <c r="CT1003" s="4"/>
      <c r="CU1003" s="4"/>
      <c r="CV1003" s="4"/>
      <c r="CW1003" s="4"/>
      <c r="CX1003" s="4"/>
      <c r="CY1003" s="4"/>
      <c r="CZ1003" s="4"/>
      <c r="DA1003" s="4"/>
      <c r="DB1003" s="4"/>
      <c r="DC1003" s="4"/>
      <c r="DD1003" s="4"/>
      <c r="DE1003" s="4"/>
      <c r="DF1003" s="4"/>
      <c r="DG1003" s="4"/>
      <c r="DH1003" s="4"/>
      <c r="DI1003" s="4"/>
      <c r="DJ1003" s="4"/>
      <c r="DK1003" s="4"/>
      <c r="DL1003" s="4"/>
      <c r="DM1003" s="4"/>
      <c r="DN1003" s="4"/>
      <c r="DO1003" s="4"/>
      <c r="DP1003" s="4"/>
      <c r="DQ1003" s="4"/>
      <c r="DR1003" s="4"/>
      <c r="DS1003" s="4"/>
    </row>
    <row r="1004">
      <c r="A1004" s="9">
        <f>IFERROR(__xludf.DUMMYFUNCTION("""COMPUTED_VALUE"""),45738.0)</f>
        <v>45738</v>
      </c>
      <c r="B1004" s="6" t="str">
        <f>IFERROR(__xludf.DUMMYFUNCTION("""COMPUTED_VALUE"""),"Water Bill (AySA)")</f>
        <v>Water Bill (AySA)</v>
      </c>
      <c r="C1004" s="7">
        <f>IFERROR(__xludf.DUMMYFUNCTION("""COMPUTED_VALUE"""),6997.0)</f>
        <v>6997</v>
      </c>
      <c r="D1004" s="6" t="str">
        <f>IFERROR(__xludf.DUMMYFUNCTION("""COMPUTED_VALUE"""),"Basic Services")</f>
        <v>Basic Services</v>
      </c>
      <c r="E1004" s="6" t="str">
        <f>IFERROR(__xludf.DUMMYFUNCTION("""COMPUTED_VALUE"""),"Split Payment")</f>
        <v>Split Payment</v>
      </c>
      <c r="F1004" s="6" t="s">
        <v>13</v>
      </c>
      <c r="G1004" s="8" t="str">
        <f t="shared" si="1"/>
        <v>202503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  <c r="BQ1004" s="4"/>
      <c r="BR1004" s="4"/>
      <c r="BS1004" s="4"/>
      <c r="BT1004" s="4"/>
      <c r="BU1004" s="4"/>
      <c r="BV1004" s="4"/>
      <c r="BW1004" s="4"/>
      <c r="BX1004" s="4"/>
      <c r="BY1004" s="4"/>
      <c r="BZ1004" s="4"/>
      <c r="CA1004" s="4"/>
      <c r="CB1004" s="4"/>
      <c r="CC1004" s="4"/>
      <c r="CD1004" s="4"/>
      <c r="CE1004" s="4"/>
      <c r="CF1004" s="4"/>
      <c r="CG1004" s="4"/>
      <c r="CH1004" s="4"/>
      <c r="CI1004" s="4"/>
      <c r="CJ1004" s="4"/>
      <c r="CK1004" s="4"/>
      <c r="CL1004" s="4"/>
      <c r="CM1004" s="4"/>
      <c r="CN1004" s="4"/>
      <c r="CO1004" s="4"/>
      <c r="CP1004" s="4"/>
      <c r="CQ1004" s="4"/>
      <c r="CR1004" s="4"/>
      <c r="CS1004" s="4"/>
      <c r="CT1004" s="4"/>
      <c r="CU1004" s="4"/>
      <c r="CV1004" s="4"/>
      <c r="CW1004" s="4"/>
      <c r="CX1004" s="4"/>
      <c r="CY1004" s="4"/>
      <c r="CZ1004" s="4"/>
      <c r="DA1004" s="4"/>
      <c r="DB1004" s="4"/>
      <c r="DC1004" s="4"/>
      <c r="DD1004" s="4"/>
      <c r="DE1004" s="4"/>
      <c r="DF1004" s="4"/>
      <c r="DG1004" s="4"/>
      <c r="DH1004" s="4"/>
      <c r="DI1004" s="4"/>
      <c r="DJ1004" s="4"/>
      <c r="DK1004" s="4"/>
      <c r="DL1004" s="4"/>
      <c r="DM1004" s="4"/>
      <c r="DN1004" s="4"/>
      <c r="DO1004" s="4"/>
      <c r="DP1004" s="4"/>
      <c r="DQ1004" s="4"/>
      <c r="DR1004" s="4"/>
      <c r="DS1004" s="4"/>
    </row>
    <row r="1005">
      <c r="A1005" s="9">
        <f>IFERROR(__xludf.DUMMYFUNCTION("""COMPUTED_VALUE"""),45739.0)</f>
        <v>45739</v>
      </c>
      <c r="B1005" s="6" t="str">
        <f>IFERROR(__xludf.DUMMYFUNCTION("""COMPUTED_VALUE"""),"Appliances")</f>
        <v>Appliances</v>
      </c>
      <c r="C1005" s="7">
        <f>IFERROR(__xludf.DUMMYFUNCTION("""COMPUTED_VALUE"""),13889.0)</f>
        <v>13889</v>
      </c>
      <c r="D1005" s="6" t="str">
        <f>IFERROR(__xludf.DUMMYFUNCTION("""COMPUTED_VALUE"""),"Home Goods &amp; Utilities")</f>
        <v>Home Goods &amp; Utilities</v>
      </c>
      <c r="E1005" s="6" t="str">
        <f>IFERROR(__xludf.DUMMYFUNCTION("""COMPUTED_VALUE"""),"Credit Card")</f>
        <v>Credit Card</v>
      </c>
      <c r="F1005" s="6" t="s">
        <v>8</v>
      </c>
      <c r="G1005" s="8" t="str">
        <f t="shared" si="1"/>
        <v>202503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  <c r="BQ1005" s="4"/>
      <c r="BR1005" s="4"/>
      <c r="BS1005" s="4"/>
      <c r="BT1005" s="4"/>
      <c r="BU1005" s="4"/>
      <c r="BV1005" s="4"/>
      <c r="BW1005" s="4"/>
      <c r="BX1005" s="4"/>
      <c r="BY1005" s="4"/>
      <c r="BZ1005" s="4"/>
      <c r="CA1005" s="4"/>
      <c r="CB1005" s="4"/>
      <c r="CC1005" s="4"/>
      <c r="CD1005" s="4"/>
      <c r="CE1005" s="4"/>
      <c r="CF1005" s="4"/>
      <c r="CG1005" s="4"/>
      <c r="CH1005" s="4"/>
      <c r="CI1005" s="4"/>
      <c r="CJ1005" s="4"/>
      <c r="CK1005" s="4"/>
      <c r="CL1005" s="4"/>
      <c r="CM1005" s="4"/>
      <c r="CN1005" s="4"/>
      <c r="CO1005" s="4"/>
      <c r="CP1005" s="4"/>
      <c r="CQ1005" s="4"/>
      <c r="CR1005" s="4"/>
      <c r="CS1005" s="4"/>
      <c r="CT1005" s="4"/>
      <c r="CU1005" s="4"/>
      <c r="CV1005" s="4"/>
      <c r="CW1005" s="4"/>
      <c r="CX1005" s="4"/>
      <c r="CY1005" s="4"/>
      <c r="CZ1005" s="4"/>
      <c r="DA1005" s="4"/>
      <c r="DB1005" s="4"/>
      <c r="DC1005" s="4"/>
      <c r="DD1005" s="4"/>
      <c r="DE1005" s="4"/>
      <c r="DF1005" s="4"/>
      <c r="DG1005" s="4"/>
      <c r="DH1005" s="4"/>
      <c r="DI1005" s="4"/>
      <c r="DJ1005" s="4"/>
      <c r="DK1005" s="4"/>
      <c r="DL1005" s="4"/>
      <c r="DM1005" s="4"/>
      <c r="DN1005" s="4"/>
      <c r="DO1005" s="4"/>
      <c r="DP1005" s="4"/>
      <c r="DQ1005" s="4"/>
      <c r="DR1005" s="4"/>
      <c r="DS1005" s="4"/>
    </row>
    <row r="1006">
      <c r="A1006" s="9">
        <f>IFERROR(__xludf.DUMMYFUNCTION("""COMPUTED_VALUE"""),45739.0)</f>
        <v>45739</v>
      </c>
      <c r="B1006" s="6" t="str">
        <f>IFERROR(__xludf.DUMMYFUNCTION("""COMPUTED_VALUE"""),"Cab/Uber")</f>
        <v>Cab/Uber</v>
      </c>
      <c r="C1006" s="7">
        <f>IFERROR(__xludf.DUMMYFUNCTION("""COMPUTED_VALUE"""),6440.0)</f>
        <v>6440</v>
      </c>
      <c r="D1006" s="6" t="str">
        <f>IFERROR(__xludf.DUMMYFUNCTION("""COMPUTED_VALUE"""),"Transportation")</f>
        <v>Transportation</v>
      </c>
      <c r="E1006" s="6" t="str">
        <f>IFERROR(__xludf.DUMMYFUNCTION("""COMPUTED_VALUE"""),"Virtual Wallet")</f>
        <v>Virtual Wallet</v>
      </c>
      <c r="F1006" s="6" t="s">
        <v>9</v>
      </c>
      <c r="G1006" s="8" t="str">
        <f t="shared" si="1"/>
        <v>202503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  <c r="BQ1006" s="4"/>
      <c r="BR1006" s="4"/>
      <c r="BS1006" s="4"/>
      <c r="BT1006" s="4"/>
      <c r="BU1006" s="4"/>
      <c r="BV1006" s="4"/>
      <c r="BW1006" s="4"/>
      <c r="BX1006" s="4"/>
      <c r="BY1006" s="4"/>
      <c r="BZ1006" s="4"/>
      <c r="CA1006" s="4"/>
      <c r="CB1006" s="4"/>
      <c r="CC1006" s="4"/>
      <c r="CD1006" s="4"/>
      <c r="CE1006" s="4"/>
      <c r="CF1006" s="4"/>
      <c r="CG1006" s="4"/>
      <c r="CH1006" s="4"/>
      <c r="CI1006" s="4"/>
      <c r="CJ1006" s="4"/>
      <c r="CK1006" s="4"/>
      <c r="CL1006" s="4"/>
      <c r="CM1006" s="4"/>
      <c r="CN1006" s="4"/>
      <c r="CO1006" s="4"/>
      <c r="CP1006" s="4"/>
      <c r="CQ1006" s="4"/>
      <c r="CR1006" s="4"/>
      <c r="CS1006" s="4"/>
      <c r="CT1006" s="4"/>
      <c r="CU1006" s="4"/>
      <c r="CV1006" s="4"/>
      <c r="CW1006" s="4"/>
      <c r="CX1006" s="4"/>
      <c r="CY1006" s="4"/>
      <c r="CZ1006" s="4"/>
      <c r="DA1006" s="4"/>
      <c r="DB1006" s="4"/>
      <c r="DC1006" s="4"/>
      <c r="DD1006" s="4"/>
      <c r="DE1006" s="4"/>
      <c r="DF1006" s="4"/>
      <c r="DG1006" s="4"/>
      <c r="DH1006" s="4"/>
      <c r="DI1006" s="4"/>
      <c r="DJ1006" s="4"/>
      <c r="DK1006" s="4"/>
      <c r="DL1006" s="4"/>
      <c r="DM1006" s="4"/>
      <c r="DN1006" s="4"/>
      <c r="DO1006" s="4"/>
      <c r="DP1006" s="4"/>
      <c r="DQ1006" s="4"/>
      <c r="DR1006" s="4"/>
      <c r="DS1006" s="4"/>
    </row>
    <row r="1007">
      <c r="A1007" s="9">
        <f>IFERROR(__xludf.DUMMYFUNCTION("""COMPUTED_VALUE"""),45739.0)</f>
        <v>45739</v>
      </c>
      <c r="B1007" s="6" t="str">
        <f>IFERROR(__xludf.DUMMYFUNCTION("""COMPUTED_VALUE"""),"Restaurant")</f>
        <v>Restaurant</v>
      </c>
      <c r="C1007" s="7">
        <f>IFERROR(__xludf.DUMMYFUNCTION("""COMPUTED_VALUE"""),11600.0)</f>
        <v>11600</v>
      </c>
      <c r="D1007" s="6" t="str">
        <f>IFERROR(__xludf.DUMMYFUNCTION("""COMPUTED_VALUE"""),"Restaurant / Café")</f>
        <v>Restaurant / Café</v>
      </c>
      <c r="E1007" s="6" t="str">
        <f>IFERROR(__xludf.DUMMYFUNCTION("""COMPUTED_VALUE"""),"Virtual Wallet")</f>
        <v>Virtual Wallet</v>
      </c>
      <c r="F1007" s="6" t="s">
        <v>14</v>
      </c>
      <c r="G1007" s="8" t="str">
        <f t="shared" si="1"/>
        <v>202503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  <c r="BQ1007" s="4"/>
      <c r="BR1007" s="4"/>
      <c r="BS1007" s="4"/>
      <c r="BT1007" s="4"/>
      <c r="BU1007" s="4"/>
      <c r="BV1007" s="4"/>
      <c r="BW1007" s="4"/>
      <c r="BX1007" s="4"/>
      <c r="BY1007" s="4"/>
      <c r="BZ1007" s="4"/>
      <c r="CA1007" s="4"/>
      <c r="CB1007" s="4"/>
      <c r="CC1007" s="4"/>
      <c r="CD1007" s="4"/>
      <c r="CE1007" s="4"/>
      <c r="CF1007" s="4"/>
      <c r="CG1007" s="4"/>
      <c r="CH1007" s="4"/>
      <c r="CI1007" s="4"/>
      <c r="CJ1007" s="4"/>
      <c r="CK1007" s="4"/>
      <c r="CL1007" s="4"/>
      <c r="CM1007" s="4"/>
      <c r="CN1007" s="4"/>
      <c r="CO1007" s="4"/>
      <c r="CP1007" s="4"/>
      <c r="CQ1007" s="4"/>
      <c r="CR1007" s="4"/>
      <c r="CS1007" s="4"/>
      <c r="CT1007" s="4"/>
      <c r="CU1007" s="4"/>
      <c r="CV1007" s="4"/>
      <c r="CW1007" s="4"/>
      <c r="CX1007" s="4"/>
      <c r="CY1007" s="4"/>
      <c r="CZ1007" s="4"/>
      <c r="DA1007" s="4"/>
      <c r="DB1007" s="4"/>
      <c r="DC1007" s="4"/>
      <c r="DD1007" s="4"/>
      <c r="DE1007" s="4"/>
      <c r="DF1007" s="4"/>
      <c r="DG1007" s="4"/>
      <c r="DH1007" s="4"/>
      <c r="DI1007" s="4"/>
      <c r="DJ1007" s="4"/>
      <c r="DK1007" s="4"/>
      <c r="DL1007" s="4"/>
      <c r="DM1007" s="4"/>
      <c r="DN1007" s="4"/>
      <c r="DO1007" s="4"/>
      <c r="DP1007" s="4"/>
      <c r="DQ1007" s="4"/>
      <c r="DR1007" s="4"/>
      <c r="DS1007" s="4"/>
    </row>
    <row r="1008">
      <c r="A1008" s="9">
        <f>IFERROR(__xludf.DUMMYFUNCTION("""COMPUTED_VALUE"""),45740.0)</f>
        <v>45740</v>
      </c>
      <c r="B1008" s="6" t="str">
        <f>IFERROR(__xludf.DUMMYFUNCTION("""COMPUTED_VALUE"""),"Education")</f>
        <v>Education</v>
      </c>
      <c r="C1008" s="7">
        <f>IFERROR(__xludf.DUMMYFUNCTION("""COMPUTED_VALUE"""),20000.0)</f>
        <v>20000</v>
      </c>
      <c r="D1008" s="6" t="str">
        <f>IFERROR(__xludf.DUMMYFUNCTION("""COMPUTED_VALUE"""),"Education")</f>
        <v>Education</v>
      </c>
      <c r="E1008" s="6" t="str">
        <f>IFERROR(__xludf.DUMMYFUNCTION("""COMPUTED_VALUE"""),"Credit Card")</f>
        <v>Credit Card</v>
      </c>
      <c r="F1008" s="6" t="s">
        <v>11</v>
      </c>
      <c r="G1008" s="8" t="str">
        <f t="shared" si="1"/>
        <v>202503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  <c r="BQ1008" s="4"/>
      <c r="BR1008" s="4"/>
      <c r="BS1008" s="4"/>
      <c r="BT1008" s="4"/>
      <c r="BU1008" s="4"/>
      <c r="BV1008" s="4"/>
      <c r="BW1008" s="4"/>
      <c r="BX1008" s="4"/>
      <c r="BY1008" s="4"/>
      <c r="BZ1008" s="4"/>
      <c r="CA1008" s="4"/>
      <c r="CB1008" s="4"/>
      <c r="CC1008" s="4"/>
      <c r="CD1008" s="4"/>
      <c r="CE1008" s="4"/>
      <c r="CF1008" s="4"/>
      <c r="CG1008" s="4"/>
      <c r="CH1008" s="4"/>
      <c r="CI1008" s="4"/>
      <c r="CJ1008" s="4"/>
      <c r="CK1008" s="4"/>
      <c r="CL1008" s="4"/>
      <c r="CM1008" s="4"/>
      <c r="CN1008" s="4"/>
      <c r="CO1008" s="4"/>
      <c r="CP1008" s="4"/>
      <c r="CQ1008" s="4"/>
      <c r="CR1008" s="4"/>
      <c r="CS1008" s="4"/>
      <c r="CT1008" s="4"/>
      <c r="CU1008" s="4"/>
      <c r="CV1008" s="4"/>
      <c r="CW1008" s="4"/>
      <c r="CX1008" s="4"/>
      <c r="CY1008" s="4"/>
      <c r="CZ1008" s="4"/>
      <c r="DA1008" s="4"/>
      <c r="DB1008" s="4"/>
      <c r="DC1008" s="4"/>
      <c r="DD1008" s="4"/>
      <c r="DE1008" s="4"/>
      <c r="DF1008" s="4"/>
      <c r="DG1008" s="4"/>
      <c r="DH1008" s="4"/>
      <c r="DI1008" s="4"/>
      <c r="DJ1008" s="4"/>
      <c r="DK1008" s="4"/>
      <c r="DL1008" s="4"/>
      <c r="DM1008" s="4"/>
      <c r="DN1008" s="4"/>
      <c r="DO1008" s="4"/>
      <c r="DP1008" s="4"/>
      <c r="DQ1008" s="4"/>
      <c r="DR1008" s="4"/>
      <c r="DS1008" s="4"/>
    </row>
    <row r="1009">
      <c r="A1009" s="9">
        <f>IFERROR(__xludf.DUMMYFUNCTION("""COMPUTED_VALUE"""),45740.0)</f>
        <v>45740</v>
      </c>
      <c r="B1009" s="6" t="str">
        <f>IFERROR(__xludf.DUMMYFUNCTION("""COMPUTED_VALUE"""),"Groceries")</f>
        <v>Groceries</v>
      </c>
      <c r="C1009" s="7">
        <f>IFERROR(__xludf.DUMMYFUNCTION("""COMPUTED_VALUE"""),213.0)</f>
        <v>213</v>
      </c>
      <c r="D1009" s="6" t="str">
        <f>IFERROR(__xludf.DUMMYFUNCTION("""COMPUTED_VALUE"""),"Groceries")</f>
        <v>Groceries</v>
      </c>
      <c r="E1009" s="6" t="str">
        <f>IFERROR(__xludf.DUMMYFUNCTION("""COMPUTED_VALUE"""),"Virtual Wallet")</f>
        <v>Virtual Wallet</v>
      </c>
      <c r="F1009" s="6" t="s">
        <v>7</v>
      </c>
      <c r="G1009" s="8" t="str">
        <f t="shared" si="1"/>
        <v>202503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  <c r="BQ1009" s="4"/>
      <c r="BR1009" s="4"/>
      <c r="BS1009" s="4"/>
      <c r="BT1009" s="4"/>
      <c r="BU1009" s="4"/>
      <c r="BV1009" s="4"/>
      <c r="BW1009" s="4"/>
      <c r="BX1009" s="4"/>
      <c r="BY1009" s="4"/>
      <c r="BZ1009" s="4"/>
      <c r="CA1009" s="4"/>
      <c r="CB1009" s="4"/>
      <c r="CC1009" s="4"/>
      <c r="CD1009" s="4"/>
      <c r="CE1009" s="4"/>
      <c r="CF1009" s="4"/>
      <c r="CG1009" s="4"/>
      <c r="CH1009" s="4"/>
      <c r="CI1009" s="4"/>
      <c r="CJ1009" s="4"/>
      <c r="CK1009" s="4"/>
      <c r="CL1009" s="4"/>
      <c r="CM1009" s="4"/>
      <c r="CN1009" s="4"/>
      <c r="CO1009" s="4"/>
      <c r="CP1009" s="4"/>
      <c r="CQ1009" s="4"/>
      <c r="CR1009" s="4"/>
      <c r="CS1009" s="4"/>
      <c r="CT1009" s="4"/>
      <c r="CU1009" s="4"/>
      <c r="CV1009" s="4"/>
      <c r="CW1009" s="4"/>
      <c r="CX1009" s="4"/>
      <c r="CY1009" s="4"/>
      <c r="CZ1009" s="4"/>
      <c r="DA1009" s="4"/>
      <c r="DB1009" s="4"/>
      <c r="DC1009" s="4"/>
      <c r="DD1009" s="4"/>
      <c r="DE1009" s="4"/>
      <c r="DF1009" s="4"/>
      <c r="DG1009" s="4"/>
      <c r="DH1009" s="4"/>
      <c r="DI1009" s="4"/>
      <c r="DJ1009" s="4"/>
      <c r="DK1009" s="4"/>
      <c r="DL1009" s="4"/>
      <c r="DM1009" s="4"/>
      <c r="DN1009" s="4"/>
      <c r="DO1009" s="4"/>
      <c r="DP1009" s="4"/>
      <c r="DQ1009" s="4"/>
      <c r="DR1009" s="4"/>
      <c r="DS1009" s="4"/>
    </row>
    <row r="1010">
      <c r="A1010" s="9">
        <f>IFERROR(__xludf.DUMMYFUNCTION("""COMPUTED_VALUE"""),45740.0)</f>
        <v>45740</v>
      </c>
      <c r="B1010" s="6" t="str">
        <f>IFERROR(__xludf.DUMMYFUNCTION("""COMPUTED_VALUE"""),"Restaurant")</f>
        <v>Restaurant</v>
      </c>
      <c r="C1010" s="7">
        <f>IFERROR(__xludf.DUMMYFUNCTION("""COMPUTED_VALUE"""),3603.0)</f>
        <v>3603</v>
      </c>
      <c r="D1010" s="6" t="str">
        <f>IFERROR(__xludf.DUMMYFUNCTION("""COMPUTED_VALUE"""),"Restaurant / Café")</f>
        <v>Restaurant / Café</v>
      </c>
      <c r="E1010" s="6" t="str">
        <f>IFERROR(__xludf.DUMMYFUNCTION("""COMPUTED_VALUE"""),"Virtual Wallet")</f>
        <v>Virtual Wallet</v>
      </c>
      <c r="F1010" s="6" t="s">
        <v>14</v>
      </c>
      <c r="G1010" s="8" t="str">
        <f t="shared" si="1"/>
        <v>202503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  <c r="BQ1010" s="4"/>
      <c r="BR1010" s="4"/>
      <c r="BS1010" s="4"/>
      <c r="BT1010" s="4"/>
      <c r="BU1010" s="4"/>
      <c r="BV1010" s="4"/>
      <c r="BW1010" s="4"/>
      <c r="BX1010" s="4"/>
      <c r="BY1010" s="4"/>
      <c r="BZ1010" s="4"/>
      <c r="CA1010" s="4"/>
      <c r="CB1010" s="4"/>
      <c r="CC1010" s="4"/>
      <c r="CD1010" s="4"/>
      <c r="CE1010" s="4"/>
      <c r="CF1010" s="4"/>
      <c r="CG1010" s="4"/>
      <c r="CH1010" s="4"/>
      <c r="CI1010" s="4"/>
      <c r="CJ1010" s="4"/>
      <c r="CK1010" s="4"/>
      <c r="CL1010" s="4"/>
      <c r="CM1010" s="4"/>
      <c r="CN1010" s="4"/>
      <c r="CO1010" s="4"/>
      <c r="CP1010" s="4"/>
      <c r="CQ1010" s="4"/>
      <c r="CR1010" s="4"/>
      <c r="CS1010" s="4"/>
      <c r="CT1010" s="4"/>
      <c r="CU1010" s="4"/>
      <c r="CV1010" s="4"/>
      <c r="CW1010" s="4"/>
      <c r="CX1010" s="4"/>
      <c r="CY1010" s="4"/>
      <c r="CZ1010" s="4"/>
      <c r="DA1010" s="4"/>
      <c r="DB1010" s="4"/>
      <c r="DC1010" s="4"/>
      <c r="DD1010" s="4"/>
      <c r="DE1010" s="4"/>
      <c r="DF1010" s="4"/>
      <c r="DG1010" s="4"/>
      <c r="DH1010" s="4"/>
      <c r="DI1010" s="4"/>
      <c r="DJ1010" s="4"/>
      <c r="DK1010" s="4"/>
      <c r="DL1010" s="4"/>
      <c r="DM1010" s="4"/>
      <c r="DN1010" s="4"/>
      <c r="DO1010" s="4"/>
      <c r="DP1010" s="4"/>
      <c r="DQ1010" s="4"/>
      <c r="DR1010" s="4"/>
      <c r="DS1010" s="4"/>
    </row>
    <row r="1011">
      <c r="A1011" s="9">
        <f>IFERROR(__xludf.DUMMYFUNCTION("""COMPUTED_VALUE"""),45741.0)</f>
        <v>45741</v>
      </c>
      <c r="B1011" s="6" t="str">
        <f>IFERROR(__xludf.DUMMYFUNCTION("""COMPUTED_VALUE"""),"Streaming Services")</f>
        <v>Streaming Services</v>
      </c>
      <c r="C1011" s="7">
        <f>IFERROR(__xludf.DUMMYFUNCTION("""COMPUTED_VALUE"""),5299.0)</f>
        <v>5299</v>
      </c>
      <c r="D1011" s="6" t="str">
        <f>IFERROR(__xludf.DUMMYFUNCTION("""COMPUTED_VALUE"""),"Streaming Services")</f>
        <v>Streaming Services</v>
      </c>
      <c r="E1011" s="6" t="str">
        <f>IFERROR(__xludf.DUMMYFUNCTION("""COMPUTED_VALUE"""),"Credit Card")</f>
        <v>Credit Card</v>
      </c>
      <c r="F1011" s="6" t="s">
        <v>12</v>
      </c>
      <c r="G1011" s="8" t="str">
        <f t="shared" si="1"/>
        <v>202503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  <c r="BQ1011" s="4"/>
      <c r="BR1011" s="4"/>
      <c r="BS1011" s="4"/>
      <c r="BT1011" s="4"/>
      <c r="BU1011" s="4"/>
      <c r="BV1011" s="4"/>
      <c r="BW1011" s="4"/>
      <c r="BX1011" s="4"/>
      <c r="BY1011" s="4"/>
      <c r="BZ1011" s="4"/>
      <c r="CA1011" s="4"/>
      <c r="CB1011" s="4"/>
      <c r="CC1011" s="4"/>
      <c r="CD1011" s="4"/>
      <c r="CE1011" s="4"/>
      <c r="CF1011" s="4"/>
      <c r="CG1011" s="4"/>
      <c r="CH1011" s="4"/>
      <c r="CI1011" s="4"/>
      <c r="CJ1011" s="4"/>
      <c r="CK1011" s="4"/>
      <c r="CL1011" s="4"/>
      <c r="CM1011" s="4"/>
      <c r="CN1011" s="4"/>
      <c r="CO1011" s="4"/>
      <c r="CP1011" s="4"/>
      <c r="CQ1011" s="4"/>
      <c r="CR1011" s="4"/>
      <c r="CS1011" s="4"/>
      <c r="CT1011" s="4"/>
      <c r="CU1011" s="4"/>
      <c r="CV1011" s="4"/>
      <c r="CW1011" s="4"/>
      <c r="CX1011" s="4"/>
      <c r="CY1011" s="4"/>
      <c r="CZ1011" s="4"/>
      <c r="DA1011" s="4"/>
      <c r="DB1011" s="4"/>
      <c r="DC1011" s="4"/>
      <c r="DD1011" s="4"/>
      <c r="DE1011" s="4"/>
      <c r="DF1011" s="4"/>
      <c r="DG1011" s="4"/>
      <c r="DH1011" s="4"/>
      <c r="DI1011" s="4"/>
      <c r="DJ1011" s="4"/>
      <c r="DK1011" s="4"/>
      <c r="DL1011" s="4"/>
      <c r="DM1011" s="4"/>
      <c r="DN1011" s="4"/>
      <c r="DO1011" s="4"/>
      <c r="DP1011" s="4"/>
      <c r="DQ1011" s="4"/>
      <c r="DR1011" s="4"/>
      <c r="DS1011" s="4"/>
    </row>
    <row r="1012">
      <c r="A1012" s="9">
        <f>IFERROR(__xludf.DUMMYFUNCTION("""COMPUTED_VALUE"""),45741.0)</f>
        <v>45741</v>
      </c>
      <c r="B1012" s="6" t="str">
        <f>IFERROR(__xludf.DUMMYFUNCTION("""COMPUTED_VALUE"""),"Groceries")</f>
        <v>Groceries</v>
      </c>
      <c r="C1012" s="7">
        <f>IFERROR(__xludf.DUMMYFUNCTION("""COMPUTED_VALUE"""),4850.0)</f>
        <v>4850</v>
      </c>
      <c r="D1012" s="6" t="str">
        <f>IFERROR(__xludf.DUMMYFUNCTION("""COMPUTED_VALUE"""),"Groceries")</f>
        <v>Groceries</v>
      </c>
      <c r="E1012" s="6" t="str">
        <f>IFERROR(__xludf.DUMMYFUNCTION("""COMPUTED_VALUE"""),"Virtual Wallet")</f>
        <v>Virtual Wallet</v>
      </c>
      <c r="F1012" s="6" t="s">
        <v>7</v>
      </c>
      <c r="G1012" s="8" t="str">
        <f t="shared" si="1"/>
        <v>202503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  <c r="BQ1012" s="4"/>
      <c r="BR1012" s="4"/>
      <c r="BS1012" s="4"/>
      <c r="BT1012" s="4"/>
      <c r="BU1012" s="4"/>
      <c r="BV1012" s="4"/>
      <c r="BW1012" s="4"/>
      <c r="BX1012" s="4"/>
      <c r="BY1012" s="4"/>
      <c r="BZ1012" s="4"/>
      <c r="CA1012" s="4"/>
      <c r="CB1012" s="4"/>
      <c r="CC1012" s="4"/>
      <c r="CD1012" s="4"/>
      <c r="CE1012" s="4"/>
      <c r="CF1012" s="4"/>
      <c r="CG1012" s="4"/>
      <c r="CH1012" s="4"/>
      <c r="CI1012" s="4"/>
      <c r="CJ1012" s="4"/>
      <c r="CK1012" s="4"/>
      <c r="CL1012" s="4"/>
      <c r="CM1012" s="4"/>
      <c r="CN1012" s="4"/>
      <c r="CO1012" s="4"/>
      <c r="CP1012" s="4"/>
      <c r="CQ1012" s="4"/>
      <c r="CR1012" s="4"/>
      <c r="CS1012" s="4"/>
      <c r="CT1012" s="4"/>
      <c r="CU1012" s="4"/>
      <c r="CV1012" s="4"/>
      <c r="CW1012" s="4"/>
      <c r="CX1012" s="4"/>
      <c r="CY1012" s="4"/>
      <c r="CZ1012" s="4"/>
      <c r="DA1012" s="4"/>
      <c r="DB1012" s="4"/>
      <c r="DC1012" s="4"/>
      <c r="DD1012" s="4"/>
      <c r="DE1012" s="4"/>
      <c r="DF1012" s="4"/>
      <c r="DG1012" s="4"/>
      <c r="DH1012" s="4"/>
      <c r="DI1012" s="4"/>
      <c r="DJ1012" s="4"/>
      <c r="DK1012" s="4"/>
      <c r="DL1012" s="4"/>
      <c r="DM1012" s="4"/>
      <c r="DN1012" s="4"/>
      <c r="DO1012" s="4"/>
      <c r="DP1012" s="4"/>
      <c r="DQ1012" s="4"/>
      <c r="DR1012" s="4"/>
      <c r="DS1012" s="4"/>
    </row>
    <row r="1013">
      <c r="A1013" s="9">
        <f>IFERROR(__xludf.DUMMYFUNCTION("""COMPUTED_VALUE"""),45741.0)</f>
        <v>45741</v>
      </c>
      <c r="B1013" s="6" t="str">
        <f>IFERROR(__xludf.DUMMYFUNCTION("""COMPUTED_VALUE"""),"Pets")</f>
        <v>Pets</v>
      </c>
      <c r="C1013" s="7">
        <f>IFERROR(__xludf.DUMMYFUNCTION("""COMPUTED_VALUE"""),19000.0)</f>
        <v>19000</v>
      </c>
      <c r="D1013" s="6" t="str">
        <f>IFERROR(__xludf.DUMMYFUNCTION("""COMPUTED_VALUE"""),"Pets")</f>
        <v>Pets</v>
      </c>
      <c r="E1013" s="6" t="str">
        <f>IFERROR(__xludf.DUMMYFUNCTION("""COMPUTED_VALUE"""),"Virtual Wallet")</f>
        <v>Virtual Wallet</v>
      </c>
      <c r="F1013" s="6" t="s">
        <v>7</v>
      </c>
      <c r="G1013" s="8" t="str">
        <f t="shared" si="1"/>
        <v>202503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  <c r="AT1013" s="4"/>
      <c r="AU1013" s="4"/>
      <c r="AV1013" s="4"/>
      <c r="AW1013" s="4"/>
      <c r="AX1013" s="4"/>
      <c r="AY1013" s="4"/>
      <c r="AZ1013" s="4"/>
      <c r="BA1013" s="4"/>
      <c r="BB1013" s="4"/>
      <c r="BC1013" s="4"/>
      <c r="BD1013" s="4"/>
      <c r="BE1013" s="4"/>
      <c r="BF1013" s="4"/>
      <c r="BG1013" s="4"/>
      <c r="BH1013" s="4"/>
      <c r="BI1013" s="4"/>
      <c r="BJ1013" s="4"/>
      <c r="BK1013" s="4"/>
      <c r="BL1013" s="4"/>
      <c r="BM1013" s="4"/>
      <c r="BN1013" s="4"/>
      <c r="BO1013" s="4"/>
      <c r="BP1013" s="4"/>
      <c r="BQ1013" s="4"/>
      <c r="BR1013" s="4"/>
      <c r="BS1013" s="4"/>
      <c r="BT1013" s="4"/>
      <c r="BU1013" s="4"/>
      <c r="BV1013" s="4"/>
      <c r="BW1013" s="4"/>
      <c r="BX1013" s="4"/>
      <c r="BY1013" s="4"/>
      <c r="BZ1013" s="4"/>
      <c r="CA1013" s="4"/>
      <c r="CB1013" s="4"/>
      <c r="CC1013" s="4"/>
      <c r="CD1013" s="4"/>
      <c r="CE1013" s="4"/>
      <c r="CF1013" s="4"/>
      <c r="CG1013" s="4"/>
      <c r="CH1013" s="4"/>
      <c r="CI1013" s="4"/>
      <c r="CJ1013" s="4"/>
      <c r="CK1013" s="4"/>
      <c r="CL1013" s="4"/>
      <c r="CM1013" s="4"/>
      <c r="CN1013" s="4"/>
      <c r="CO1013" s="4"/>
      <c r="CP1013" s="4"/>
      <c r="CQ1013" s="4"/>
      <c r="CR1013" s="4"/>
      <c r="CS1013" s="4"/>
      <c r="CT1013" s="4"/>
      <c r="CU1013" s="4"/>
      <c r="CV1013" s="4"/>
      <c r="CW1013" s="4"/>
      <c r="CX1013" s="4"/>
      <c r="CY1013" s="4"/>
      <c r="CZ1013" s="4"/>
      <c r="DA1013" s="4"/>
      <c r="DB1013" s="4"/>
      <c r="DC1013" s="4"/>
      <c r="DD1013" s="4"/>
      <c r="DE1013" s="4"/>
      <c r="DF1013" s="4"/>
      <c r="DG1013" s="4"/>
      <c r="DH1013" s="4"/>
      <c r="DI1013" s="4"/>
      <c r="DJ1013" s="4"/>
      <c r="DK1013" s="4"/>
      <c r="DL1013" s="4"/>
      <c r="DM1013" s="4"/>
      <c r="DN1013" s="4"/>
      <c r="DO1013" s="4"/>
      <c r="DP1013" s="4"/>
      <c r="DQ1013" s="4"/>
      <c r="DR1013" s="4"/>
      <c r="DS1013" s="4"/>
    </row>
    <row r="1014">
      <c r="A1014" s="9">
        <f>IFERROR(__xludf.DUMMYFUNCTION("""COMPUTED_VALUE"""),45742.0)</f>
        <v>45742</v>
      </c>
      <c r="B1014" s="6" t="str">
        <f>IFERROR(__xludf.DUMMYFUNCTION("""COMPUTED_VALUE"""),"Restaurant")</f>
        <v>Restaurant</v>
      </c>
      <c r="C1014" s="7">
        <f>IFERROR(__xludf.DUMMYFUNCTION("""COMPUTED_VALUE"""),2000.0)</f>
        <v>2000</v>
      </c>
      <c r="D1014" s="6" t="str">
        <f>IFERROR(__xludf.DUMMYFUNCTION("""COMPUTED_VALUE"""),"Restaurant / Café")</f>
        <v>Restaurant / Café</v>
      </c>
      <c r="E1014" s="6" t="str">
        <f>IFERROR(__xludf.DUMMYFUNCTION("""COMPUTED_VALUE"""),"Virtual Wallet")</f>
        <v>Virtual Wallet</v>
      </c>
      <c r="F1014" s="6" t="s">
        <v>14</v>
      </c>
      <c r="G1014" s="8" t="str">
        <f t="shared" si="1"/>
        <v>202503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  <c r="AT1014" s="4"/>
      <c r="AU1014" s="4"/>
      <c r="AV1014" s="4"/>
      <c r="AW1014" s="4"/>
      <c r="AX1014" s="4"/>
      <c r="AY1014" s="4"/>
      <c r="AZ1014" s="4"/>
      <c r="BA1014" s="4"/>
      <c r="BB1014" s="4"/>
      <c r="BC1014" s="4"/>
      <c r="BD1014" s="4"/>
      <c r="BE1014" s="4"/>
      <c r="BF1014" s="4"/>
      <c r="BG1014" s="4"/>
      <c r="BH1014" s="4"/>
      <c r="BI1014" s="4"/>
      <c r="BJ1014" s="4"/>
      <c r="BK1014" s="4"/>
      <c r="BL1014" s="4"/>
      <c r="BM1014" s="4"/>
      <c r="BN1014" s="4"/>
      <c r="BO1014" s="4"/>
      <c r="BP1014" s="4"/>
      <c r="BQ1014" s="4"/>
      <c r="BR1014" s="4"/>
      <c r="BS1014" s="4"/>
      <c r="BT1014" s="4"/>
      <c r="BU1014" s="4"/>
      <c r="BV1014" s="4"/>
      <c r="BW1014" s="4"/>
      <c r="BX1014" s="4"/>
      <c r="BY1014" s="4"/>
      <c r="BZ1014" s="4"/>
      <c r="CA1014" s="4"/>
      <c r="CB1014" s="4"/>
      <c r="CC1014" s="4"/>
      <c r="CD1014" s="4"/>
      <c r="CE1014" s="4"/>
      <c r="CF1014" s="4"/>
      <c r="CG1014" s="4"/>
      <c r="CH1014" s="4"/>
      <c r="CI1014" s="4"/>
      <c r="CJ1014" s="4"/>
      <c r="CK1014" s="4"/>
      <c r="CL1014" s="4"/>
      <c r="CM1014" s="4"/>
      <c r="CN1014" s="4"/>
      <c r="CO1014" s="4"/>
      <c r="CP1014" s="4"/>
      <c r="CQ1014" s="4"/>
      <c r="CR1014" s="4"/>
      <c r="CS1014" s="4"/>
      <c r="CT1014" s="4"/>
      <c r="CU1014" s="4"/>
      <c r="CV1014" s="4"/>
      <c r="CW1014" s="4"/>
      <c r="CX1014" s="4"/>
      <c r="CY1014" s="4"/>
      <c r="CZ1014" s="4"/>
      <c r="DA1014" s="4"/>
      <c r="DB1014" s="4"/>
      <c r="DC1014" s="4"/>
      <c r="DD1014" s="4"/>
      <c r="DE1014" s="4"/>
      <c r="DF1014" s="4"/>
      <c r="DG1014" s="4"/>
      <c r="DH1014" s="4"/>
      <c r="DI1014" s="4"/>
      <c r="DJ1014" s="4"/>
      <c r="DK1014" s="4"/>
      <c r="DL1014" s="4"/>
      <c r="DM1014" s="4"/>
      <c r="DN1014" s="4"/>
      <c r="DO1014" s="4"/>
      <c r="DP1014" s="4"/>
      <c r="DQ1014" s="4"/>
      <c r="DR1014" s="4"/>
      <c r="DS1014" s="4"/>
    </row>
    <row r="1015">
      <c r="A1015" s="9">
        <f>IFERROR(__xludf.DUMMYFUNCTION("""COMPUTED_VALUE"""),45742.0)</f>
        <v>45742</v>
      </c>
      <c r="B1015" s="6" t="str">
        <f>IFERROR(__xludf.DUMMYFUNCTION("""COMPUTED_VALUE"""),"Restaurant")</f>
        <v>Restaurant</v>
      </c>
      <c r="C1015" s="7">
        <f>IFERROR(__xludf.DUMMYFUNCTION("""COMPUTED_VALUE"""),4600.0)</f>
        <v>4600</v>
      </c>
      <c r="D1015" s="6" t="str">
        <f>IFERROR(__xludf.DUMMYFUNCTION("""COMPUTED_VALUE"""),"Restaurant / Café")</f>
        <v>Restaurant / Café</v>
      </c>
      <c r="E1015" s="6" t="str">
        <f>IFERROR(__xludf.DUMMYFUNCTION("""COMPUTED_VALUE"""),"Virtual Wallet")</f>
        <v>Virtual Wallet</v>
      </c>
      <c r="F1015" s="6" t="s">
        <v>14</v>
      </c>
      <c r="G1015" s="8" t="str">
        <f t="shared" si="1"/>
        <v>202503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  <c r="AT1015" s="4"/>
      <c r="AU1015" s="4"/>
      <c r="AV1015" s="4"/>
      <c r="AW1015" s="4"/>
      <c r="AX1015" s="4"/>
      <c r="AY1015" s="4"/>
      <c r="AZ1015" s="4"/>
      <c r="BA1015" s="4"/>
      <c r="BB1015" s="4"/>
      <c r="BC1015" s="4"/>
      <c r="BD1015" s="4"/>
      <c r="BE1015" s="4"/>
      <c r="BF1015" s="4"/>
      <c r="BG1015" s="4"/>
      <c r="BH1015" s="4"/>
      <c r="BI1015" s="4"/>
      <c r="BJ1015" s="4"/>
      <c r="BK1015" s="4"/>
      <c r="BL1015" s="4"/>
      <c r="BM1015" s="4"/>
      <c r="BN1015" s="4"/>
      <c r="BO1015" s="4"/>
      <c r="BP1015" s="4"/>
      <c r="BQ1015" s="4"/>
      <c r="BR1015" s="4"/>
      <c r="BS1015" s="4"/>
      <c r="BT1015" s="4"/>
      <c r="BU1015" s="4"/>
      <c r="BV1015" s="4"/>
      <c r="BW1015" s="4"/>
      <c r="BX1015" s="4"/>
      <c r="BY1015" s="4"/>
      <c r="BZ1015" s="4"/>
      <c r="CA1015" s="4"/>
      <c r="CB1015" s="4"/>
      <c r="CC1015" s="4"/>
      <c r="CD1015" s="4"/>
      <c r="CE1015" s="4"/>
      <c r="CF1015" s="4"/>
      <c r="CG1015" s="4"/>
      <c r="CH1015" s="4"/>
      <c r="CI1015" s="4"/>
      <c r="CJ1015" s="4"/>
      <c r="CK1015" s="4"/>
      <c r="CL1015" s="4"/>
      <c r="CM1015" s="4"/>
      <c r="CN1015" s="4"/>
      <c r="CO1015" s="4"/>
      <c r="CP1015" s="4"/>
      <c r="CQ1015" s="4"/>
      <c r="CR1015" s="4"/>
      <c r="CS1015" s="4"/>
      <c r="CT1015" s="4"/>
      <c r="CU1015" s="4"/>
      <c r="CV1015" s="4"/>
      <c r="CW1015" s="4"/>
      <c r="CX1015" s="4"/>
      <c r="CY1015" s="4"/>
      <c r="CZ1015" s="4"/>
      <c r="DA1015" s="4"/>
      <c r="DB1015" s="4"/>
      <c r="DC1015" s="4"/>
      <c r="DD1015" s="4"/>
      <c r="DE1015" s="4"/>
      <c r="DF1015" s="4"/>
      <c r="DG1015" s="4"/>
      <c r="DH1015" s="4"/>
      <c r="DI1015" s="4"/>
      <c r="DJ1015" s="4"/>
      <c r="DK1015" s="4"/>
      <c r="DL1015" s="4"/>
      <c r="DM1015" s="4"/>
      <c r="DN1015" s="4"/>
      <c r="DO1015" s="4"/>
      <c r="DP1015" s="4"/>
      <c r="DQ1015" s="4"/>
      <c r="DR1015" s="4"/>
      <c r="DS1015" s="4"/>
    </row>
    <row r="1016">
      <c r="A1016" s="9">
        <f>IFERROR(__xludf.DUMMYFUNCTION("""COMPUTED_VALUE"""),45743.0)</f>
        <v>45743</v>
      </c>
      <c r="B1016" s="6" t="str">
        <f>IFERROR(__xludf.DUMMYFUNCTION("""COMPUTED_VALUE"""),"Groceries")</f>
        <v>Groceries</v>
      </c>
      <c r="C1016" s="7">
        <f>IFERROR(__xludf.DUMMYFUNCTION("""COMPUTED_VALUE"""),4600.0)</f>
        <v>4600</v>
      </c>
      <c r="D1016" s="6" t="str">
        <f>IFERROR(__xludf.DUMMYFUNCTION("""COMPUTED_VALUE"""),"Restaurant / Café")</f>
        <v>Restaurant / Café</v>
      </c>
      <c r="E1016" s="6" t="str">
        <f>IFERROR(__xludf.DUMMYFUNCTION("""COMPUTED_VALUE"""),"Virtual Wallet")</f>
        <v>Virtual Wallet</v>
      </c>
      <c r="F1016" s="6" t="s">
        <v>14</v>
      </c>
      <c r="G1016" s="8" t="str">
        <f t="shared" si="1"/>
        <v>202503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  <c r="AT1016" s="4"/>
      <c r="AU1016" s="4"/>
      <c r="AV1016" s="4"/>
      <c r="AW1016" s="4"/>
      <c r="AX1016" s="4"/>
      <c r="AY1016" s="4"/>
      <c r="AZ1016" s="4"/>
      <c r="BA1016" s="4"/>
      <c r="BB1016" s="4"/>
      <c r="BC1016" s="4"/>
      <c r="BD1016" s="4"/>
      <c r="BE1016" s="4"/>
      <c r="BF1016" s="4"/>
      <c r="BG1016" s="4"/>
      <c r="BH1016" s="4"/>
      <c r="BI1016" s="4"/>
      <c r="BJ1016" s="4"/>
      <c r="BK1016" s="4"/>
      <c r="BL1016" s="4"/>
      <c r="BM1016" s="4"/>
      <c r="BN1016" s="4"/>
      <c r="BO1016" s="4"/>
      <c r="BP1016" s="4"/>
      <c r="BQ1016" s="4"/>
      <c r="BR1016" s="4"/>
      <c r="BS1016" s="4"/>
      <c r="BT1016" s="4"/>
      <c r="BU1016" s="4"/>
      <c r="BV1016" s="4"/>
      <c r="BW1016" s="4"/>
      <c r="BX1016" s="4"/>
      <c r="BY1016" s="4"/>
      <c r="BZ1016" s="4"/>
      <c r="CA1016" s="4"/>
      <c r="CB1016" s="4"/>
      <c r="CC1016" s="4"/>
      <c r="CD1016" s="4"/>
      <c r="CE1016" s="4"/>
      <c r="CF1016" s="4"/>
      <c r="CG1016" s="4"/>
      <c r="CH1016" s="4"/>
      <c r="CI1016" s="4"/>
      <c r="CJ1016" s="4"/>
      <c r="CK1016" s="4"/>
      <c r="CL1016" s="4"/>
      <c r="CM1016" s="4"/>
      <c r="CN1016" s="4"/>
      <c r="CO1016" s="4"/>
      <c r="CP1016" s="4"/>
      <c r="CQ1016" s="4"/>
      <c r="CR1016" s="4"/>
      <c r="CS1016" s="4"/>
      <c r="CT1016" s="4"/>
      <c r="CU1016" s="4"/>
      <c r="CV1016" s="4"/>
      <c r="CW1016" s="4"/>
      <c r="CX1016" s="4"/>
      <c r="CY1016" s="4"/>
      <c r="CZ1016" s="4"/>
      <c r="DA1016" s="4"/>
      <c r="DB1016" s="4"/>
      <c r="DC1016" s="4"/>
      <c r="DD1016" s="4"/>
      <c r="DE1016" s="4"/>
      <c r="DF1016" s="4"/>
      <c r="DG1016" s="4"/>
      <c r="DH1016" s="4"/>
      <c r="DI1016" s="4"/>
      <c r="DJ1016" s="4"/>
      <c r="DK1016" s="4"/>
      <c r="DL1016" s="4"/>
      <c r="DM1016" s="4"/>
      <c r="DN1016" s="4"/>
      <c r="DO1016" s="4"/>
      <c r="DP1016" s="4"/>
      <c r="DQ1016" s="4"/>
      <c r="DR1016" s="4"/>
      <c r="DS1016" s="4"/>
    </row>
    <row r="1017">
      <c r="A1017" s="9">
        <f>IFERROR(__xludf.DUMMYFUNCTION("""COMPUTED_VALUE"""),45744.0)</f>
        <v>45744</v>
      </c>
      <c r="B1017" s="6" t="str">
        <f>IFERROR(__xludf.DUMMYFUNCTION("""COMPUTED_VALUE"""),"Restaurant")</f>
        <v>Restaurant</v>
      </c>
      <c r="C1017" s="7">
        <f>IFERROR(__xludf.DUMMYFUNCTION("""COMPUTED_VALUE"""),16000.0)</f>
        <v>16000</v>
      </c>
      <c r="D1017" s="6" t="str">
        <f>IFERROR(__xludf.DUMMYFUNCTION("""COMPUTED_VALUE"""),"Restaurant / Café")</f>
        <v>Restaurant / Café</v>
      </c>
      <c r="E1017" s="6" t="str">
        <f>IFERROR(__xludf.DUMMYFUNCTION("""COMPUTED_VALUE"""),"Debit Card")</f>
        <v>Debit Card</v>
      </c>
      <c r="F1017" s="6" t="s">
        <v>14</v>
      </c>
      <c r="G1017" s="8" t="str">
        <f t="shared" si="1"/>
        <v>202503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  <c r="AT1017" s="4"/>
      <c r="AU1017" s="4"/>
      <c r="AV1017" s="4"/>
      <c r="AW1017" s="4"/>
      <c r="AX1017" s="4"/>
      <c r="AY1017" s="4"/>
      <c r="AZ1017" s="4"/>
      <c r="BA1017" s="4"/>
      <c r="BB1017" s="4"/>
      <c r="BC1017" s="4"/>
      <c r="BD1017" s="4"/>
      <c r="BE1017" s="4"/>
      <c r="BF1017" s="4"/>
      <c r="BG1017" s="4"/>
      <c r="BH1017" s="4"/>
      <c r="BI1017" s="4"/>
      <c r="BJ1017" s="4"/>
      <c r="BK1017" s="4"/>
      <c r="BL1017" s="4"/>
      <c r="BM1017" s="4"/>
      <c r="BN1017" s="4"/>
      <c r="BO1017" s="4"/>
      <c r="BP1017" s="4"/>
      <c r="BQ1017" s="4"/>
      <c r="BR1017" s="4"/>
      <c r="BS1017" s="4"/>
      <c r="BT1017" s="4"/>
      <c r="BU1017" s="4"/>
      <c r="BV1017" s="4"/>
      <c r="BW1017" s="4"/>
      <c r="BX1017" s="4"/>
      <c r="BY1017" s="4"/>
      <c r="BZ1017" s="4"/>
      <c r="CA1017" s="4"/>
      <c r="CB1017" s="4"/>
      <c r="CC1017" s="4"/>
      <c r="CD1017" s="4"/>
      <c r="CE1017" s="4"/>
      <c r="CF1017" s="4"/>
      <c r="CG1017" s="4"/>
      <c r="CH1017" s="4"/>
      <c r="CI1017" s="4"/>
      <c r="CJ1017" s="4"/>
      <c r="CK1017" s="4"/>
      <c r="CL1017" s="4"/>
      <c r="CM1017" s="4"/>
      <c r="CN1017" s="4"/>
      <c r="CO1017" s="4"/>
      <c r="CP1017" s="4"/>
      <c r="CQ1017" s="4"/>
      <c r="CR1017" s="4"/>
      <c r="CS1017" s="4"/>
      <c r="CT1017" s="4"/>
      <c r="CU1017" s="4"/>
      <c r="CV1017" s="4"/>
      <c r="CW1017" s="4"/>
      <c r="CX1017" s="4"/>
      <c r="CY1017" s="4"/>
      <c r="CZ1017" s="4"/>
      <c r="DA1017" s="4"/>
      <c r="DB1017" s="4"/>
      <c r="DC1017" s="4"/>
      <c r="DD1017" s="4"/>
      <c r="DE1017" s="4"/>
      <c r="DF1017" s="4"/>
      <c r="DG1017" s="4"/>
      <c r="DH1017" s="4"/>
      <c r="DI1017" s="4"/>
      <c r="DJ1017" s="4"/>
      <c r="DK1017" s="4"/>
      <c r="DL1017" s="4"/>
      <c r="DM1017" s="4"/>
      <c r="DN1017" s="4"/>
      <c r="DO1017" s="4"/>
      <c r="DP1017" s="4"/>
      <c r="DQ1017" s="4"/>
      <c r="DR1017" s="4"/>
      <c r="DS1017" s="4"/>
    </row>
    <row r="1018">
      <c r="A1018" s="9">
        <f>IFERROR(__xludf.DUMMYFUNCTION("""COMPUTED_VALUE"""),45744.0)</f>
        <v>45744</v>
      </c>
      <c r="B1018" s="6" t="str">
        <f>IFERROR(__xludf.DUMMYFUNCTION("""COMPUTED_VALUE"""),"Education")</f>
        <v>Education</v>
      </c>
      <c r="C1018" s="7">
        <f>IFERROR(__xludf.DUMMYFUNCTION("""COMPUTED_VALUE"""),3000.0)</f>
        <v>3000</v>
      </c>
      <c r="D1018" s="6" t="str">
        <f>IFERROR(__xludf.DUMMYFUNCTION("""COMPUTED_VALUE"""),"Education")</f>
        <v>Education</v>
      </c>
      <c r="E1018" s="6" t="str">
        <f>IFERROR(__xludf.DUMMYFUNCTION("""COMPUTED_VALUE"""),"Credit Card")</f>
        <v>Credit Card</v>
      </c>
      <c r="F1018" s="6" t="s">
        <v>11</v>
      </c>
      <c r="G1018" s="8" t="str">
        <f t="shared" si="1"/>
        <v>202503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  <c r="AT1018" s="4"/>
      <c r="AU1018" s="4"/>
      <c r="AV1018" s="4"/>
      <c r="AW1018" s="4"/>
      <c r="AX1018" s="4"/>
      <c r="AY1018" s="4"/>
      <c r="AZ1018" s="4"/>
      <c r="BA1018" s="4"/>
      <c r="BB1018" s="4"/>
      <c r="BC1018" s="4"/>
      <c r="BD1018" s="4"/>
      <c r="BE1018" s="4"/>
      <c r="BF1018" s="4"/>
      <c r="BG1018" s="4"/>
      <c r="BH1018" s="4"/>
      <c r="BI1018" s="4"/>
      <c r="BJ1018" s="4"/>
      <c r="BK1018" s="4"/>
      <c r="BL1018" s="4"/>
      <c r="BM1018" s="4"/>
      <c r="BN1018" s="4"/>
      <c r="BO1018" s="4"/>
      <c r="BP1018" s="4"/>
      <c r="BQ1018" s="4"/>
      <c r="BR1018" s="4"/>
      <c r="BS1018" s="4"/>
      <c r="BT1018" s="4"/>
      <c r="BU1018" s="4"/>
      <c r="BV1018" s="4"/>
      <c r="BW1018" s="4"/>
      <c r="BX1018" s="4"/>
      <c r="BY1018" s="4"/>
      <c r="BZ1018" s="4"/>
      <c r="CA1018" s="4"/>
      <c r="CB1018" s="4"/>
      <c r="CC1018" s="4"/>
      <c r="CD1018" s="4"/>
      <c r="CE1018" s="4"/>
      <c r="CF1018" s="4"/>
      <c r="CG1018" s="4"/>
      <c r="CH1018" s="4"/>
      <c r="CI1018" s="4"/>
      <c r="CJ1018" s="4"/>
      <c r="CK1018" s="4"/>
      <c r="CL1018" s="4"/>
      <c r="CM1018" s="4"/>
      <c r="CN1018" s="4"/>
      <c r="CO1018" s="4"/>
      <c r="CP1018" s="4"/>
      <c r="CQ1018" s="4"/>
      <c r="CR1018" s="4"/>
      <c r="CS1018" s="4"/>
      <c r="CT1018" s="4"/>
      <c r="CU1018" s="4"/>
      <c r="CV1018" s="4"/>
      <c r="CW1018" s="4"/>
      <c r="CX1018" s="4"/>
      <c r="CY1018" s="4"/>
      <c r="CZ1018" s="4"/>
      <c r="DA1018" s="4"/>
      <c r="DB1018" s="4"/>
      <c r="DC1018" s="4"/>
      <c r="DD1018" s="4"/>
      <c r="DE1018" s="4"/>
      <c r="DF1018" s="4"/>
      <c r="DG1018" s="4"/>
      <c r="DH1018" s="4"/>
      <c r="DI1018" s="4"/>
      <c r="DJ1018" s="4"/>
      <c r="DK1018" s="4"/>
      <c r="DL1018" s="4"/>
      <c r="DM1018" s="4"/>
      <c r="DN1018" s="4"/>
      <c r="DO1018" s="4"/>
      <c r="DP1018" s="4"/>
      <c r="DQ1018" s="4"/>
      <c r="DR1018" s="4"/>
      <c r="DS1018" s="4"/>
    </row>
    <row r="1019">
      <c r="A1019" s="9">
        <f>IFERROR(__xludf.DUMMYFUNCTION("""COMPUTED_VALUE"""),45744.0)</f>
        <v>45744</v>
      </c>
      <c r="B1019" s="6" t="str">
        <f>IFERROR(__xludf.DUMMYFUNCTION("""COMPUTED_VALUE"""),"Groceries")</f>
        <v>Groceries</v>
      </c>
      <c r="C1019" s="7">
        <f>IFERROR(__xludf.DUMMYFUNCTION("""COMPUTED_VALUE"""),9650.0)</f>
        <v>9650</v>
      </c>
      <c r="D1019" s="6" t="str">
        <f>IFERROR(__xludf.DUMMYFUNCTION("""COMPUTED_VALUE"""),"Groceries")</f>
        <v>Groceries</v>
      </c>
      <c r="E1019" s="6" t="str">
        <f>IFERROR(__xludf.DUMMYFUNCTION("""COMPUTED_VALUE"""),"Split Payment")</f>
        <v>Split Payment</v>
      </c>
      <c r="F1019" s="6" t="s">
        <v>7</v>
      </c>
      <c r="G1019" s="8" t="str">
        <f t="shared" si="1"/>
        <v>202503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  <c r="AT1019" s="4"/>
      <c r="AU1019" s="4"/>
      <c r="AV1019" s="4"/>
      <c r="AW1019" s="4"/>
      <c r="AX1019" s="4"/>
      <c r="AY1019" s="4"/>
      <c r="AZ1019" s="4"/>
      <c r="BA1019" s="4"/>
      <c r="BB1019" s="4"/>
      <c r="BC1019" s="4"/>
      <c r="BD1019" s="4"/>
      <c r="BE1019" s="4"/>
      <c r="BF1019" s="4"/>
      <c r="BG1019" s="4"/>
      <c r="BH1019" s="4"/>
      <c r="BI1019" s="4"/>
      <c r="BJ1019" s="4"/>
      <c r="BK1019" s="4"/>
      <c r="BL1019" s="4"/>
      <c r="BM1019" s="4"/>
      <c r="BN1019" s="4"/>
      <c r="BO1019" s="4"/>
      <c r="BP1019" s="4"/>
      <c r="BQ1019" s="4"/>
      <c r="BR1019" s="4"/>
      <c r="BS1019" s="4"/>
      <c r="BT1019" s="4"/>
      <c r="BU1019" s="4"/>
      <c r="BV1019" s="4"/>
      <c r="BW1019" s="4"/>
      <c r="BX1019" s="4"/>
      <c r="BY1019" s="4"/>
      <c r="BZ1019" s="4"/>
      <c r="CA1019" s="4"/>
      <c r="CB1019" s="4"/>
      <c r="CC1019" s="4"/>
      <c r="CD1019" s="4"/>
      <c r="CE1019" s="4"/>
      <c r="CF1019" s="4"/>
      <c r="CG1019" s="4"/>
      <c r="CH1019" s="4"/>
      <c r="CI1019" s="4"/>
      <c r="CJ1019" s="4"/>
      <c r="CK1019" s="4"/>
      <c r="CL1019" s="4"/>
      <c r="CM1019" s="4"/>
      <c r="CN1019" s="4"/>
      <c r="CO1019" s="4"/>
      <c r="CP1019" s="4"/>
      <c r="CQ1019" s="4"/>
      <c r="CR1019" s="4"/>
      <c r="CS1019" s="4"/>
      <c r="CT1019" s="4"/>
      <c r="CU1019" s="4"/>
      <c r="CV1019" s="4"/>
      <c r="CW1019" s="4"/>
      <c r="CX1019" s="4"/>
      <c r="CY1019" s="4"/>
      <c r="CZ1019" s="4"/>
      <c r="DA1019" s="4"/>
      <c r="DB1019" s="4"/>
      <c r="DC1019" s="4"/>
      <c r="DD1019" s="4"/>
      <c r="DE1019" s="4"/>
      <c r="DF1019" s="4"/>
      <c r="DG1019" s="4"/>
      <c r="DH1019" s="4"/>
      <c r="DI1019" s="4"/>
      <c r="DJ1019" s="4"/>
      <c r="DK1019" s="4"/>
      <c r="DL1019" s="4"/>
      <c r="DM1019" s="4"/>
      <c r="DN1019" s="4"/>
      <c r="DO1019" s="4"/>
      <c r="DP1019" s="4"/>
      <c r="DQ1019" s="4"/>
      <c r="DR1019" s="4"/>
      <c r="DS1019" s="4"/>
    </row>
    <row r="1020">
      <c r="A1020" s="9">
        <f>IFERROR(__xludf.DUMMYFUNCTION("""COMPUTED_VALUE"""),45744.0)</f>
        <v>45744</v>
      </c>
      <c r="B1020" s="6" t="str">
        <f>IFERROR(__xludf.DUMMYFUNCTION("""COMPUTED_VALUE"""),"Internet Services")</f>
        <v>Internet Services</v>
      </c>
      <c r="C1020" s="7">
        <f>IFERROR(__xludf.DUMMYFUNCTION("""COMPUTED_VALUE"""),33375.0)</f>
        <v>33375</v>
      </c>
      <c r="D1020" s="6" t="str">
        <f>IFERROR(__xludf.DUMMYFUNCTION("""COMPUTED_VALUE"""),"Basic Services")</f>
        <v>Basic Services</v>
      </c>
      <c r="E1020" s="6" t="str">
        <f>IFERROR(__xludf.DUMMYFUNCTION("""COMPUTED_VALUE"""),"Credit Card")</f>
        <v>Credit Card</v>
      </c>
      <c r="F1020" s="6" t="s">
        <v>13</v>
      </c>
      <c r="G1020" s="8" t="str">
        <f t="shared" si="1"/>
        <v>202503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  <c r="AT1020" s="4"/>
      <c r="AU1020" s="4"/>
      <c r="AV1020" s="4"/>
      <c r="AW1020" s="4"/>
      <c r="AX1020" s="4"/>
      <c r="AY1020" s="4"/>
      <c r="AZ1020" s="4"/>
      <c r="BA1020" s="4"/>
      <c r="BB1020" s="4"/>
      <c r="BC1020" s="4"/>
      <c r="BD1020" s="4"/>
      <c r="BE1020" s="4"/>
      <c r="BF1020" s="4"/>
      <c r="BG1020" s="4"/>
      <c r="BH1020" s="4"/>
      <c r="BI1020" s="4"/>
      <c r="BJ1020" s="4"/>
      <c r="BK1020" s="4"/>
      <c r="BL1020" s="4"/>
      <c r="BM1020" s="4"/>
      <c r="BN1020" s="4"/>
      <c r="BO1020" s="4"/>
      <c r="BP1020" s="4"/>
      <c r="BQ1020" s="4"/>
      <c r="BR1020" s="4"/>
      <c r="BS1020" s="4"/>
      <c r="BT1020" s="4"/>
      <c r="BU1020" s="4"/>
      <c r="BV1020" s="4"/>
      <c r="BW1020" s="4"/>
      <c r="BX1020" s="4"/>
      <c r="BY1020" s="4"/>
      <c r="BZ1020" s="4"/>
      <c r="CA1020" s="4"/>
      <c r="CB1020" s="4"/>
      <c r="CC1020" s="4"/>
      <c r="CD1020" s="4"/>
      <c r="CE1020" s="4"/>
      <c r="CF1020" s="4"/>
      <c r="CG1020" s="4"/>
      <c r="CH1020" s="4"/>
      <c r="CI1020" s="4"/>
      <c r="CJ1020" s="4"/>
      <c r="CK1020" s="4"/>
      <c r="CL1020" s="4"/>
      <c r="CM1020" s="4"/>
      <c r="CN1020" s="4"/>
      <c r="CO1020" s="4"/>
      <c r="CP1020" s="4"/>
      <c r="CQ1020" s="4"/>
      <c r="CR1020" s="4"/>
      <c r="CS1020" s="4"/>
      <c r="CT1020" s="4"/>
      <c r="CU1020" s="4"/>
      <c r="CV1020" s="4"/>
      <c r="CW1020" s="4"/>
      <c r="CX1020" s="4"/>
      <c r="CY1020" s="4"/>
      <c r="CZ1020" s="4"/>
      <c r="DA1020" s="4"/>
      <c r="DB1020" s="4"/>
      <c r="DC1020" s="4"/>
      <c r="DD1020" s="4"/>
      <c r="DE1020" s="4"/>
      <c r="DF1020" s="4"/>
      <c r="DG1020" s="4"/>
      <c r="DH1020" s="4"/>
      <c r="DI1020" s="4"/>
      <c r="DJ1020" s="4"/>
      <c r="DK1020" s="4"/>
      <c r="DL1020" s="4"/>
      <c r="DM1020" s="4"/>
      <c r="DN1020" s="4"/>
      <c r="DO1020" s="4"/>
      <c r="DP1020" s="4"/>
      <c r="DQ1020" s="4"/>
      <c r="DR1020" s="4"/>
      <c r="DS1020" s="4"/>
    </row>
    <row r="1021">
      <c r="A1021" s="9">
        <f>IFERROR(__xludf.DUMMYFUNCTION("""COMPUTED_VALUE"""),45744.0)</f>
        <v>45744</v>
      </c>
      <c r="B1021" s="6" t="str">
        <f>IFERROR(__xludf.DUMMYFUNCTION("""COMPUTED_VALUE"""),"Pets")</f>
        <v>Pets</v>
      </c>
      <c r="C1021" s="7">
        <f>IFERROR(__xludf.DUMMYFUNCTION("""COMPUTED_VALUE"""),17500.0)</f>
        <v>17500</v>
      </c>
      <c r="D1021" s="6" t="str">
        <f>IFERROR(__xludf.DUMMYFUNCTION("""COMPUTED_VALUE"""),"Pets")</f>
        <v>Pets</v>
      </c>
      <c r="E1021" s="6" t="str">
        <f>IFERROR(__xludf.DUMMYFUNCTION("""COMPUTED_VALUE"""),"Split Payment")</f>
        <v>Split Payment</v>
      </c>
      <c r="F1021" s="6" t="s">
        <v>7</v>
      </c>
      <c r="G1021" s="8" t="str">
        <f t="shared" si="1"/>
        <v>202503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  <c r="AT1021" s="4"/>
      <c r="AU1021" s="4"/>
      <c r="AV1021" s="4"/>
      <c r="AW1021" s="4"/>
      <c r="AX1021" s="4"/>
      <c r="AY1021" s="4"/>
      <c r="AZ1021" s="4"/>
      <c r="BA1021" s="4"/>
      <c r="BB1021" s="4"/>
      <c r="BC1021" s="4"/>
      <c r="BD1021" s="4"/>
      <c r="BE1021" s="4"/>
      <c r="BF1021" s="4"/>
      <c r="BG1021" s="4"/>
      <c r="BH1021" s="4"/>
      <c r="BI1021" s="4"/>
      <c r="BJ1021" s="4"/>
      <c r="BK1021" s="4"/>
      <c r="BL1021" s="4"/>
      <c r="BM1021" s="4"/>
      <c r="BN1021" s="4"/>
      <c r="BO1021" s="4"/>
      <c r="BP1021" s="4"/>
      <c r="BQ1021" s="4"/>
      <c r="BR1021" s="4"/>
      <c r="BS1021" s="4"/>
      <c r="BT1021" s="4"/>
      <c r="BU1021" s="4"/>
      <c r="BV1021" s="4"/>
      <c r="BW1021" s="4"/>
      <c r="BX1021" s="4"/>
      <c r="BY1021" s="4"/>
      <c r="BZ1021" s="4"/>
      <c r="CA1021" s="4"/>
      <c r="CB1021" s="4"/>
      <c r="CC1021" s="4"/>
      <c r="CD1021" s="4"/>
      <c r="CE1021" s="4"/>
      <c r="CF1021" s="4"/>
      <c r="CG1021" s="4"/>
      <c r="CH1021" s="4"/>
      <c r="CI1021" s="4"/>
      <c r="CJ1021" s="4"/>
      <c r="CK1021" s="4"/>
      <c r="CL1021" s="4"/>
      <c r="CM1021" s="4"/>
      <c r="CN1021" s="4"/>
      <c r="CO1021" s="4"/>
      <c r="CP1021" s="4"/>
      <c r="CQ1021" s="4"/>
      <c r="CR1021" s="4"/>
      <c r="CS1021" s="4"/>
      <c r="CT1021" s="4"/>
      <c r="CU1021" s="4"/>
      <c r="CV1021" s="4"/>
      <c r="CW1021" s="4"/>
      <c r="CX1021" s="4"/>
      <c r="CY1021" s="4"/>
      <c r="CZ1021" s="4"/>
      <c r="DA1021" s="4"/>
      <c r="DB1021" s="4"/>
      <c r="DC1021" s="4"/>
      <c r="DD1021" s="4"/>
      <c r="DE1021" s="4"/>
      <c r="DF1021" s="4"/>
      <c r="DG1021" s="4"/>
      <c r="DH1021" s="4"/>
      <c r="DI1021" s="4"/>
      <c r="DJ1021" s="4"/>
      <c r="DK1021" s="4"/>
      <c r="DL1021" s="4"/>
      <c r="DM1021" s="4"/>
      <c r="DN1021" s="4"/>
      <c r="DO1021" s="4"/>
      <c r="DP1021" s="4"/>
      <c r="DQ1021" s="4"/>
      <c r="DR1021" s="4"/>
      <c r="DS1021" s="4"/>
    </row>
    <row r="1022">
      <c r="A1022" s="9">
        <f>IFERROR(__xludf.DUMMYFUNCTION("""COMPUTED_VALUE"""),45744.0)</f>
        <v>45744</v>
      </c>
      <c r="B1022" s="6" t="str">
        <f>IFERROR(__xludf.DUMMYFUNCTION("""COMPUTED_VALUE"""),"Pets")</f>
        <v>Pets</v>
      </c>
      <c r="C1022" s="7">
        <f>IFERROR(__xludf.DUMMYFUNCTION("""COMPUTED_VALUE"""),24000.0)</f>
        <v>24000</v>
      </c>
      <c r="D1022" s="6" t="str">
        <f>IFERROR(__xludf.DUMMYFUNCTION("""COMPUTED_VALUE"""),"Pets")</f>
        <v>Pets</v>
      </c>
      <c r="E1022" s="6" t="str">
        <f>IFERROR(__xludf.DUMMYFUNCTION("""COMPUTED_VALUE"""),"Virtual Wallet")</f>
        <v>Virtual Wallet</v>
      </c>
      <c r="F1022" s="6" t="s">
        <v>7</v>
      </c>
      <c r="G1022" s="8" t="str">
        <f t="shared" si="1"/>
        <v>202503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  <c r="AT1022" s="4"/>
      <c r="AU1022" s="4"/>
      <c r="AV1022" s="4"/>
      <c r="AW1022" s="4"/>
      <c r="AX1022" s="4"/>
      <c r="AY1022" s="4"/>
      <c r="AZ1022" s="4"/>
      <c r="BA1022" s="4"/>
      <c r="BB1022" s="4"/>
      <c r="BC1022" s="4"/>
      <c r="BD1022" s="4"/>
      <c r="BE1022" s="4"/>
      <c r="BF1022" s="4"/>
      <c r="BG1022" s="4"/>
      <c r="BH1022" s="4"/>
      <c r="BI1022" s="4"/>
      <c r="BJ1022" s="4"/>
      <c r="BK1022" s="4"/>
      <c r="BL1022" s="4"/>
      <c r="BM1022" s="4"/>
      <c r="BN1022" s="4"/>
      <c r="BO1022" s="4"/>
      <c r="BP1022" s="4"/>
      <c r="BQ1022" s="4"/>
      <c r="BR1022" s="4"/>
      <c r="BS1022" s="4"/>
      <c r="BT1022" s="4"/>
      <c r="BU1022" s="4"/>
      <c r="BV1022" s="4"/>
      <c r="BW1022" s="4"/>
      <c r="BX1022" s="4"/>
      <c r="BY1022" s="4"/>
      <c r="BZ1022" s="4"/>
      <c r="CA1022" s="4"/>
      <c r="CB1022" s="4"/>
      <c r="CC1022" s="4"/>
      <c r="CD1022" s="4"/>
      <c r="CE1022" s="4"/>
      <c r="CF1022" s="4"/>
      <c r="CG1022" s="4"/>
      <c r="CH1022" s="4"/>
      <c r="CI1022" s="4"/>
      <c r="CJ1022" s="4"/>
      <c r="CK1022" s="4"/>
      <c r="CL1022" s="4"/>
      <c r="CM1022" s="4"/>
      <c r="CN1022" s="4"/>
      <c r="CO1022" s="4"/>
      <c r="CP1022" s="4"/>
      <c r="CQ1022" s="4"/>
      <c r="CR1022" s="4"/>
      <c r="CS1022" s="4"/>
      <c r="CT1022" s="4"/>
      <c r="CU1022" s="4"/>
      <c r="CV1022" s="4"/>
      <c r="CW1022" s="4"/>
      <c r="CX1022" s="4"/>
      <c r="CY1022" s="4"/>
      <c r="CZ1022" s="4"/>
      <c r="DA1022" s="4"/>
      <c r="DB1022" s="4"/>
      <c r="DC1022" s="4"/>
      <c r="DD1022" s="4"/>
      <c r="DE1022" s="4"/>
      <c r="DF1022" s="4"/>
      <c r="DG1022" s="4"/>
      <c r="DH1022" s="4"/>
      <c r="DI1022" s="4"/>
      <c r="DJ1022" s="4"/>
      <c r="DK1022" s="4"/>
      <c r="DL1022" s="4"/>
      <c r="DM1022" s="4"/>
      <c r="DN1022" s="4"/>
      <c r="DO1022" s="4"/>
      <c r="DP1022" s="4"/>
      <c r="DQ1022" s="4"/>
      <c r="DR1022" s="4"/>
      <c r="DS1022" s="4"/>
    </row>
    <row r="1023">
      <c r="A1023" s="9">
        <f>IFERROR(__xludf.DUMMYFUNCTION("""COMPUTED_VALUE"""),45745.0)</f>
        <v>45745</v>
      </c>
      <c r="B1023" s="6" t="str">
        <f>IFERROR(__xludf.DUMMYFUNCTION("""COMPUTED_VALUE"""),"Groceries")</f>
        <v>Groceries</v>
      </c>
      <c r="C1023" s="7">
        <f>IFERROR(__xludf.DUMMYFUNCTION("""COMPUTED_VALUE"""),7406.0)</f>
        <v>7406</v>
      </c>
      <c r="D1023" s="6" t="str">
        <f>IFERROR(__xludf.DUMMYFUNCTION("""COMPUTED_VALUE"""),"Groceries")</f>
        <v>Groceries</v>
      </c>
      <c r="E1023" s="6" t="str">
        <f>IFERROR(__xludf.DUMMYFUNCTION("""COMPUTED_VALUE"""),"Split Payment")</f>
        <v>Split Payment</v>
      </c>
      <c r="F1023" s="6" t="s">
        <v>7</v>
      </c>
      <c r="G1023" s="8" t="str">
        <f t="shared" si="1"/>
        <v>202503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  <c r="AT1023" s="4"/>
      <c r="AU1023" s="4"/>
      <c r="AV1023" s="4"/>
      <c r="AW1023" s="4"/>
      <c r="AX1023" s="4"/>
      <c r="AY1023" s="4"/>
      <c r="AZ1023" s="4"/>
      <c r="BA1023" s="4"/>
      <c r="BB1023" s="4"/>
      <c r="BC1023" s="4"/>
      <c r="BD1023" s="4"/>
      <c r="BE1023" s="4"/>
      <c r="BF1023" s="4"/>
      <c r="BG1023" s="4"/>
      <c r="BH1023" s="4"/>
      <c r="BI1023" s="4"/>
      <c r="BJ1023" s="4"/>
      <c r="BK1023" s="4"/>
      <c r="BL1023" s="4"/>
      <c r="BM1023" s="4"/>
      <c r="BN1023" s="4"/>
      <c r="BO1023" s="4"/>
      <c r="BP1023" s="4"/>
      <c r="BQ1023" s="4"/>
      <c r="BR1023" s="4"/>
      <c r="BS1023" s="4"/>
      <c r="BT1023" s="4"/>
      <c r="BU1023" s="4"/>
      <c r="BV1023" s="4"/>
      <c r="BW1023" s="4"/>
      <c r="BX1023" s="4"/>
      <c r="BY1023" s="4"/>
      <c r="BZ1023" s="4"/>
      <c r="CA1023" s="4"/>
      <c r="CB1023" s="4"/>
      <c r="CC1023" s="4"/>
      <c r="CD1023" s="4"/>
      <c r="CE1023" s="4"/>
      <c r="CF1023" s="4"/>
      <c r="CG1023" s="4"/>
      <c r="CH1023" s="4"/>
      <c r="CI1023" s="4"/>
      <c r="CJ1023" s="4"/>
      <c r="CK1023" s="4"/>
      <c r="CL1023" s="4"/>
      <c r="CM1023" s="4"/>
      <c r="CN1023" s="4"/>
      <c r="CO1023" s="4"/>
      <c r="CP1023" s="4"/>
      <c r="CQ1023" s="4"/>
      <c r="CR1023" s="4"/>
      <c r="CS1023" s="4"/>
      <c r="CT1023" s="4"/>
      <c r="CU1023" s="4"/>
      <c r="CV1023" s="4"/>
      <c r="CW1023" s="4"/>
      <c r="CX1023" s="4"/>
      <c r="CY1023" s="4"/>
      <c r="CZ1023" s="4"/>
      <c r="DA1023" s="4"/>
      <c r="DB1023" s="4"/>
      <c r="DC1023" s="4"/>
      <c r="DD1023" s="4"/>
      <c r="DE1023" s="4"/>
      <c r="DF1023" s="4"/>
      <c r="DG1023" s="4"/>
      <c r="DH1023" s="4"/>
      <c r="DI1023" s="4"/>
      <c r="DJ1023" s="4"/>
      <c r="DK1023" s="4"/>
      <c r="DL1023" s="4"/>
      <c r="DM1023" s="4"/>
      <c r="DN1023" s="4"/>
      <c r="DO1023" s="4"/>
      <c r="DP1023" s="4"/>
      <c r="DQ1023" s="4"/>
      <c r="DR1023" s="4"/>
      <c r="DS1023" s="4"/>
    </row>
    <row r="1024">
      <c r="A1024" s="9">
        <f>IFERROR(__xludf.DUMMYFUNCTION("""COMPUTED_VALUE"""),45745.0)</f>
        <v>45745</v>
      </c>
      <c r="B1024" s="6" t="str">
        <f>IFERROR(__xludf.DUMMYFUNCTION("""COMPUTED_VALUE"""),"Groceries")</f>
        <v>Groceries</v>
      </c>
      <c r="C1024" s="7">
        <f>IFERROR(__xludf.DUMMYFUNCTION("""COMPUTED_VALUE"""),7406.0)</f>
        <v>7406</v>
      </c>
      <c r="D1024" s="6" t="str">
        <f>IFERROR(__xludf.DUMMYFUNCTION("""COMPUTED_VALUE"""),"Groceries")</f>
        <v>Groceries</v>
      </c>
      <c r="E1024" s="6" t="str">
        <f>IFERROR(__xludf.DUMMYFUNCTION("""COMPUTED_VALUE"""),"Virtual Wallet")</f>
        <v>Virtual Wallet</v>
      </c>
      <c r="F1024" s="6" t="s">
        <v>7</v>
      </c>
      <c r="G1024" s="8" t="str">
        <f t="shared" si="1"/>
        <v>202503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  <c r="AT1024" s="4"/>
      <c r="AU1024" s="4"/>
      <c r="AV1024" s="4"/>
      <c r="AW1024" s="4"/>
      <c r="AX1024" s="4"/>
      <c r="AY1024" s="4"/>
      <c r="AZ1024" s="4"/>
      <c r="BA1024" s="4"/>
      <c r="BB1024" s="4"/>
      <c r="BC1024" s="4"/>
      <c r="BD1024" s="4"/>
      <c r="BE1024" s="4"/>
      <c r="BF1024" s="4"/>
      <c r="BG1024" s="4"/>
      <c r="BH1024" s="4"/>
      <c r="BI1024" s="4"/>
      <c r="BJ1024" s="4"/>
      <c r="BK1024" s="4"/>
      <c r="BL1024" s="4"/>
      <c r="BM1024" s="4"/>
      <c r="BN1024" s="4"/>
      <c r="BO1024" s="4"/>
      <c r="BP1024" s="4"/>
      <c r="BQ1024" s="4"/>
      <c r="BR1024" s="4"/>
      <c r="BS1024" s="4"/>
      <c r="BT1024" s="4"/>
      <c r="BU1024" s="4"/>
      <c r="BV1024" s="4"/>
      <c r="BW1024" s="4"/>
      <c r="BX1024" s="4"/>
      <c r="BY1024" s="4"/>
      <c r="BZ1024" s="4"/>
      <c r="CA1024" s="4"/>
      <c r="CB1024" s="4"/>
      <c r="CC1024" s="4"/>
      <c r="CD1024" s="4"/>
      <c r="CE1024" s="4"/>
      <c r="CF1024" s="4"/>
      <c r="CG1024" s="4"/>
      <c r="CH1024" s="4"/>
      <c r="CI1024" s="4"/>
      <c r="CJ1024" s="4"/>
      <c r="CK1024" s="4"/>
      <c r="CL1024" s="4"/>
      <c r="CM1024" s="4"/>
      <c r="CN1024" s="4"/>
      <c r="CO1024" s="4"/>
      <c r="CP1024" s="4"/>
      <c r="CQ1024" s="4"/>
      <c r="CR1024" s="4"/>
      <c r="CS1024" s="4"/>
      <c r="CT1024" s="4"/>
      <c r="CU1024" s="4"/>
      <c r="CV1024" s="4"/>
      <c r="CW1024" s="4"/>
      <c r="CX1024" s="4"/>
      <c r="CY1024" s="4"/>
      <c r="CZ1024" s="4"/>
      <c r="DA1024" s="4"/>
      <c r="DB1024" s="4"/>
      <c r="DC1024" s="4"/>
      <c r="DD1024" s="4"/>
      <c r="DE1024" s="4"/>
      <c r="DF1024" s="4"/>
      <c r="DG1024" s="4"/>
      <c r="DH1024" s="4"/>
      <c r="DI1024" s="4"/>
      <c r="DJ1024" s="4"/>
      <c r="DK1024" s="4"/>
      <c r="DL1024" s="4"/>
      <c r="DM1024" s="4"/>
      <c r="DN1024" s="4"/>
      <c r="DO1024" s="4"/>
      <c r="DP1024" s="4"/>
      <c r="DQ1024" s="4"/>
      <c r="DR1024" s="4"/>
      <c r="DS1024" s="4"/>
    </row>
    <row r="1025">
      <c r="A1025" s="9">
        <f>IFERROR(__xludf.DUMMYFUNCTION("""COMPUTED_VALUE"""),45745.0)</f>
        <v>45745</v>
      </c>
      <c r="B1025" s="6" t="str">
        <f>IFERROR(__xludf.DUMMYFUNCTION("""COMPUTED_VALUE"""),"Groceries")</f>
        <v>Groceries</v>
      </c>
      <c r="C1025" s="7">
        <f>IFERROR(__xludf.DUMMYFUNCTION("""COMPUTED_VALUE"""),5000.0)</f>
        <v>5000</v>
      </c>
      <c r="D1025" s="6" t="str">
        <f>IFERROR(__xludf.DUMMYFUNCTION("""COMPUTED_VALUE"""),"Groceries")</f>
        <v>Groceries</v>
      </c>
      <c r="E1025" s="6" t="str">
        <f>IFERROR(__xludf.DUMMYFUNCTION("""COMPUTED_VALUE"""),"Virtual Wallet")</f>
        <v>Virtual Wallet</v>
      </c>
      <c r="F1025" s="6" t="s">
        <v>7</v>
      </c>
      <c r="G1025" s="8" t="str">
        <f t="shared" si="1"/>
        <v>202503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  <c r="AT1025" s="4"/>
      <c r="AU1025" s="4"/>
      <c r="AV1025" s="4"/>
      <c r="AW1025" s="4"/>
      <c r="AX1025" s="4"/>
      <c r="AY1025" s="4"/>
      <c r="AZ1025" s="4"/>
      <c r="BA1025" s="4"/>
      <c r="BB1025" s="4"/>
      <c r="BC1025" s="4"/>
      <c r="BD1025" s="4"/>
      <c r="BE1025" s="4"/>
      <c r="BF1025" s="4"/>
      <c r="BG1025" s="4"/>
      <c r="BH1025" s="4"/>
      <c r="BI1025" s="4"/>
      <c r="BJ1025" s="4"/>
      <c r="BK1025" s="4"/>
      <c r="BL1025" s="4"/>
      <c r="BM1025" s="4"/>
      <c r="BN1025" s="4"/>
      <c r="BO1025" s="4"/>
      <c r="BP1025" s="4"/>
      <c r="BQ1025" s="4"/>
      <c r="BR1025" s="4"/>
      <c r="BS1025" s="4"/>
      <c r="BT1025" s="4"/>
      <c r="BU1025" s="4"/>
      <c r="BV1025" s="4"/>
      <c r="BW1025" s="4"/>
      <c r="BX1025" s="4"/>
      <c r="BY1025" s="4"/>
      <c r="BZ1025" s="4"/>
      <c r="CA1025" s="4"/>
      <c r="CB1025" s="4"/>
      <c r="CC1025" s="4"/>
      <c r="CD1025" s="4"/>
      <c r="CE1025" s="4"/>
      <c r="CF1025" s="4"/>
      <c r="CG1025" s="4"/>
      <c r="CH1025" s="4"/>
      <c r="CI1025" s="4"/>
      <c r="CJ1025" s="4"/>
      <c r="CK1025" s="4"/>
      <c r="CL1025" s="4"/>
      <c r="CM1025" s="4"/>
      <c r="CN1025" s="4"/>
      <c r="CO1025" s="4"/>
      <c r="CP1025" s="4"/>
      <c r="CQ1025" s="4"/>
      <c r="CR1025" s="4"/>
      <c r="CS1025" s="4"/>
      <c r="CT1025" s="4"/>
      <c r="CU1025" s="4"/>
      <c r="CV1025" s="4"/>
      <c r="CW1025" s="4"/>
      <c r="CX1025" s="4"/>
      <c r="CY1025" s="4"/>
      <c r="CZ1025" s="4"/>
      <c r="DA1025" s="4"/>
      <c r="DB1025" s="4"/>
      <c r="DC1025" s="4"/>
      <c r="DD1025" s="4"/>
      <c r="DE1025" s="4"/>
      <c r="DF1025" s="4"/>
      <c r="DG1025" s="4"/>
      <c r="DH1025" s="4"/>
      <c r="DI1025" s="4"/>
      <c r="DJ1025" s="4"/>
      <c r="DK1025" s="4"/>
      <c r="DL1025" s="4"/>
      <c r="DM1025" s="4"/>
      <c r="DN1025" s="4"/>
      <c r="DO1025" s="4"/>
      <c r="DP1025" s="4"/>
      <c r="DQ1025" s="4"/>
      <c r="DR1025" s="4"/>
      <c r="DS1025" s="4"/>
    </row>
    <row r="1026">
      <c r="A1026" s="9">
        <f>IFERROR(__xludf.DUMMYFUNCTION("""COMPUTED_VALUE"""),45745.0)</f>
        <v>45745</v>
      </c>
      <c r="B1026" s="6" t="str">
        <f>IFERROR(__xludf.DUMMYFUNCTION("""COMPUTED_VALUE"""),"Groceries")</f>
        <v>Groceries</v>
      </c>
      <c r="C1026" s="7">
        <f>IFERROR(__xludf.DUMMYFUNCTION("""COMPUTED_VALUE"""),1320.0)</f>
        <v>1320</v>
      </c>
      <c r="D1026" s="6" t="str">
        <f>IFERROR(__xludf.DUMMYFUNCTION("""COMPUTED_VALUE"""),"Groceries")</f>
        <v>Groceries</v>
      </c>
      <c r="E1026" s="6" t="str">
        <f>IFERROR(__xludf.DUMMYFUNCTION("""COMPUTED_VALUE"""),"Virtual Wallet")</f>
        <v>Virtual Wallet</v>
      </c>
      <c r="F1026" s="6" t="s">
        <v>7</v>
      </c>
      <c r="G1026" s="8" t="str">
        <f t="shared" si="1"/>
        <v>202503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  <c r="AT1026" s="4"/>
      <c r="AU1026" s="4"/>
      <c r="AV1026" s="4"/>
      <c r="AW1026" s="4"/>
      <c r="AX1026" s="4"/>
      <c r="AY1026" s="4"/>
      <c r="AZ1026" s="4"/>
      <c r="BA1026" s="4"/>
      <c r="BB1026" s="4"/>
      <c r="BC1026" s="4"/>
      <c r="BD1026" s="4"/>
      <c r="BE1026" s="4"/>
      <c r="BF1026" s="4"/>
      <c r="BG1026" s="4"/>
      <c r="BH1026" s="4"/>
      <c r="BI1026" s="4"/>
      <c r="BJ1026" s="4"/>
      <c r="BK1026" s="4"/>
      <c r="BL1026" s="4"/>
      <c r="BM1026" s="4"/>
      <c r="BN1026" s="4"/>
      <c r="BO1026" s="4"/>
      <c r="BP1026" s="4"/>
      <c r="BQ1026" s="4"/>
      <c r="BR1026" s="4"/>
      <c r="BS1026" s="4"/>
      <c r="BT1026" s="4"/>
      <c r="BU1026" s="4"/>
      <c r="BV1026" s="4"/>
      <c r="BW1026" s="4"/>
      <c r="BX1026" s="4"/>
      <c r="BY1026" s="4"/>
      <c r="BZ1026" s="4"/>
      <c r="CA1026" s="4"/>
      <c r="CB1026" s="4"/>
      <c r="CC1026" s="4"/>
      <c r="CD1026" s="4"/>
      <c r="CE1026" s="4"/>
      <c r="CF1026" s="4"/>
      <c r="CG1026" s="4"/>
      <c r="CH1026" s="4"/>
      <c r="CI1026" s="4"/>
      <c r="CJ1026" s="4"/>
      <c r="CK1026" s="4"/>
      <c r="CL1026" s="4"/>
      <c r="CM1026" s="4"/>
      <c r="CN1026" s="4"/>
      <c r="CO1026" s="4"/>
      <c r="CP1026" s="4"/>
      <c r="CQ1026" s="4"/>
      <c r="CR1026" s="4"/>
      <c r="CS1026" s="4"/>
      <c r="CT1026" s="4"/>
      <c r="CU1026" s="4"/>
      <c r="CV1026" s="4"/>
      <c r="CW1026" s="4"/>
      <c r="CX1026" s="4"/>
      <c r="CY1026" s="4"/>
      <c r="CZ1026" s="4"/>
      <c r="DA1026" s="4"/>
      <c r="DB1026" s="4"/>
      <c r="DC1026" s="4"/>
      <c r="DD1026" s="4"/>
      <c r="DE1026" s="4"/>
      <c r="DF1026" s="4"/>
      <c r="DG1026" s="4"/>
      <c r="DH1026" s="4"/>
      <c r="DI1026" s="4"/>
      <c r="DJ1026" s="4"/>
      <c r="DK1026" s="4"/>
      <c r="DL1026" s="4"/>
      <c r="DM1026" s="4"/>
      <c r="DN1026" s="4"/>
      <c r="DO1026" s="4"/>
      <c r="DP1026" s="4"/>
      <c r="DQ1026" s="4"/>
      <c r="DR1026" s="4"/>
      <c r="DS1026" s="4"/>
    </row>
    <row r="1027">
      <c r="A1027" s="9">
        <f>IFERROR(__xludf.DUMMYFUNCTION("""COMPUTED_VALUE"""),45745.0)</f>
        <v>45745</v>
      </c>
      <c r="B1027" s="6" t="str">
        <f>IFERROR(__xludf.DUMMYFUNCTION("""COMPUTED_VALUE"""),"Groceries")</f>
        <v>Groceries</v>
      </c>
      <c r="C1027" s="7">
        <f>IFERROR(__xludf.DUMMYFUNCTION("""COMPUTED_VALUE"""),27500.0)</f>
        <v>27500</v>
      </c>
      <c r="D1027" s="6" t="str">
        <f>IFERROR(__xludf.DUMMYFUNCTION("""COMPUTED_VALUE"""),"Groceries")</f>
        <v>Groceries</v>
      </c>
      <c r="E1027" s="6" t="str">
        <f>IFERROR(__xludf.DUMMYFUNCTION("""COMPUTED_VALUE"""),"Virtual Wallet")</f>
        <v>Virtual Wallet</v>
      </c>
      <c r="F1027" s="6" t="s">
        <v>7</v>
      </c>
      <c r="G1027" s="8" t="str">
        <f t="shared" si="1"/>
        <v>202503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  <c r="AT1027" s="4"/>
      <c r="AU1027" s="4"/>
      <c r="AV1027" s="4"/>
      <c r="AW1027" s="4"/>
      <c r="AX1027" s="4"/>
      <c r="AY1027" s="4"/>
      <c r="AZ1027" s="4"/>
      <c r="BA1027" s="4"/>
      <c r="BB1027" s="4"/>
      <c r="BC1027" s="4"/>
      <c r="BD1027" s="4"/>
      <c r="BE1027" s="4"/>
      <c r="BF1027" s="4"/>
      <c r="BG1027" s="4"/>
      <c r="BH1027" s="4"/>
      <c r="BI1027" s="4"/>
      <c r="BJ1027" s="4"/>
      <c r="BK1027" s="4"/>
      <c r="BL1027" s="4"/>
      <c r="BM1027" s="4"/>
      <c r="BN1027" s="4"/>
      <c r="BO1027" s="4"/>
      <c r="BP1027" s="4"/>
      <c r="BQ1027" s="4"/>
      <c r="BR1027" s="4"/>
      <c r="BS1027" s="4"/>
      <c r="BT1027" s="4"/>
      <c r="BU1027" s="4"/>
      <c r="BV1027" s="4"/>
      <c r="BW1027" s="4"/>
      <c r="BX1027" s="4"/>
      <c r="BY1027" s="4"/>
      <c r="BZ1027" s="4"/>
      <c r="CA1027" s="4"/>
      <c r="CB1027" s="4"/>
      <c r="CC1027" s="4"/>
      <c r="CD1027" s="4"/>
      <c r="CE1027" s="4"/>
      <c r="CF1027" s="4"/>
      <c r="CG1027" s="4"/>
      <c r="CH1027" s="4"/>
      <c r="CI1027" s="4"/>
      <c r="CJ1027" s="4"/>
      <c r="CK1027" s="4"/>
      <c r="CL1027" s="4"/>
      <c r="CM1027" s="4"/>
      <c r="CN1027" s="4"/>
      <c r="CO1027" s="4"/>
      <c r="CP1027" s="4"/>
      <c r="CQ1027" s="4"/>
      <c r="CR1027" s="4"/>
      <c r="CS1027" s="4"/>
      <c r="CT1027" s="4"/>
      <c r="CU1027" s="4"/>
      <c r="CV1027" s="4"/>
      <c r="CW1027" s="4"/>
      <c r="CX1027" s="4"/>
      <c r="CY1027" s="4"/>
      <c r="CZ1027" s="4"/>
      <c r="DA1027" s="4"/>
      <c r="DB1027" s="4"/>
      <c r="DC1027" s="4"/>
      <c r="DD1027" s="4"/>
      <c r="DE1027" s="4"/>
      <c r="DF1027" s="4"/>
      <c r="DG1027" s="4"/>
      <c r="DH1027" s="4"/>
      <c r="DI1027" s="4"/>
      <c r="DJ1027" s="4"/>
      <c r="DK1027" s="4"/>
      <c r="DL1027" s="4"/>
      <c r="DM1027" s="4"/>
      <c r="DN1027" s="4"/>
      <c r="DO1027" s="4"/>
      <c r="DP1027" s="4"/>
      <c r="DQ1027" s="4"/>
      <c r="DR1027" s="4"/>
      <c r="DS1027" s="4"/>
    </row>
    <row r="1028">
      <c r="A1028" s="9">
        <f>IFERROR(__xludf.DUMMYFUNCTION("""COMPUTED_VALUE"""),45745.0)</f>
        <v>45745</v>
      </c>
      <c r="B1028" s="6" t="str">
        <f>IFERROR(__xludf.DUMMYFUNCTION("""COMPUTED_VALUE"""),"Home Goods")</f>
        <v>Home Goods</v>
      </c>
      <c r="C1028" s="7">
        <f>IFERROR(__xludf.DUMMYFUNCTION("""COMPUTED_VALUE"""),3000.0)</f>
        <v>3000</v>
      </c>
      <c r="D1028" s="6" t="str">
        <f>IFERROR(__xludf.DUMMYFUNCTION("""COMPUTED_VALUE"""),"Home Goods &amp; Utilities")</f>
        <v>Home Goods &amp; Utilities</v>
      </c>
      <c r="E1028" s="6" t="str">
        <f>IFERROR(__xludf.DUMMYFUNCTION("""COMPUTED_VALUE"""),"Virtual Wallet")</f>
        <v>Virtual Wallet</v>
      </c>
      <c r="F1028" s="6" t="s">
        <v>8</v>
      </c>
      <c r="G1028" s="8" t="str">
        <f t="shared" si="1"/>
        <v>202503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  <c r="AT1028" s="4"/>
      <c r="AU1028" s="4"/>
      <c r="AV1028" s="4"/>
      <c r="AW1028" s="4"/>
      <c r="AX1028" s="4"/>
      <c r="AY1028" s="4"/>
      <c r="AZ1028" s="4"/>
      <c r="BA1028" s="4"/>
      <c r="BB1028" s="4"/>
      <c r="BC1028" s="4"/>
      <c r="BD1028" s="4"/>
      <c r="BE1028" s="4"/>
      <c r="BF1028" s="4"/>
      <c r="BG1028" s="4"/>
      <c r="BH1028" s="4"/>
      <c r="BI1028" s="4"/>
      <c r="BJ1028" s="4"/>
      <c r="BK1028" s="4"/>
      <c r="BL1028" s="4"/>
      <c r="BM1028" s="4"/>
      <c r="BN1028" s="4"/>
      <c r="BO1028" s="4"/>
      <c r="BP1028" s="4"/>
      <c r="BQ1028" s="4"/>
      <c r="BR1028" s="4"/>
      <c r="BS1028" s="4"/>
      <c r="BT1028" s="4"/>
      <c r="BU1028" s="4"/>
      <c r="BV1028" s="4"/>
      <c r="BW1028" s="4"/>
      <c r="BX1028" s="4"/>
      <c r="BY1028" s="4"/>
      <c r="BZ1028" s="4"/>
      <c r="CA1028" s="4"/>
      <c r="CB1028" s="4"/>
      <c r="CC1028" s="4"/>
      <c r="CD1028" s="4"/>
      <c r="CE1028" s="4"/>
      <c r="CF1028" s="4"/>
      <c r="CG1028" s="4"/>
      <c r="CH1028" s="4"/>
      <c r="CI1028" s="4"/>
      <c r="CJ1028" s="4"/>
      <c r="CK1028" s="4"/>
      <c r="CL1028" s="4"/>
      <c r="CM1028" s="4"/>
      <c r="CN1028" s="4"/>
      <c r="CO1028" s="4"/>
      <c r="CP1028" s="4"/>
      <c r="CQ1028" s="4"/>
      <c r="CR1028" s="4"/>
      <c r="CS1028" s="4"/>
      <c r="CT1028" s="4"/>
      <c r="CU1028" s="4"/>
      <c r="CV1028" s="4"/>
      <c r="CW1028" s="4"/>
      <c r="CX1028" s="4"/>
      <c r="CY1028" s="4"/>
      <c r="CZ1028" s="4"/>
      <c r="DA1028" s="4"/>
      <c r="DB1028" s="4"/>
      <c r="DC1028" s="4"/>
      <c r="DD1028" s="4"/>
      <c r="DE1028" s="4"/>
      <c r="DF1028" s="4"/>
      <c r="DG1028" s="4"/>
      <c r="DH1028" s="4"/>
      <c r="DI1028" s="4"/>
      <c r="DJ1028" s="4"/>
      <c r="DK1028" s="4"/>
      <c r="DL1028" s="4"/>
      <c r="DM1028" s="4"/>
      <c r="DN1028" s="4"/>
      <c r="DO1028" s="4"/>
      <c r="DP1028" s="4"/>
      <c r="DQ1028" s="4"/>
      <c r="DR1028" s="4"/>
      <c r="DS1028" s="4"/>
    </row>
    <row r="1029">
      <c r="A1029" s="9">
        <f>IFERROR(__xludf.DUMMYFUNCTION("""COMPUTED_VALUE"""),45745.0)</f>
        <v>45745</v>
      </c>
      <c r="B1029" s="6" t="str">
        <f>IFERROR(__xludf.DUMMYFUNCTION("""COMPUTED_VALUE"""),"Pets")</f>
        <v>Pets</v>
      </c>
      <c r="C1029" s="7">
        <f>IFERROR(__xludf.DUMMYFUNCTION("""COMPUTED_VALUE"""),5750.0)</f>
        <v>5750</v>
      </c>
      <c r="D1029" s="6" t="str">
        <f>IFERROR(__xludf.DUMMYFUNCTION("""COMPUTED_VALUE"""),"Pets")</f>
        <v>Pets</v>
      </c>
      <c r="E1029" s="6" t="str">
        <f>IFERROR(__xludf.DUMMYFUNCTION("""COMPUTED_VALUE"""),"Virtual Wallet")</f>
        <v>Virtual Wallet</v>
      </c>
      <c r="F1029" s="6" t="s">
        <v>7</v>
      </c>
      <c r="G1029" s="8" t="str">
        <f t="shared" si="1"/>
        <v>202503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  <c r="AT1029" s="4"/>
      <c r="AU1029" s="4"/>
      <c r="AV1029" s="4"/>
      <c r="AW1029" s="4"/>
      <c r="AX1029" s="4"/>
      <c r="AY1029" s="4"/>
      <c r="AZ1029" s="4"/>
      <c r="BA1029" s="4"/>
      <c r="BB1029" s="4"/>
      <c r="BC1029" s="4"/>
      <c r="BD1029" s="4"/>
      <c r="BE1029" s="4"/>
      <c r="BF1029" s="4"/>
      <c r="BG1029" s="4"/>
      <c r="BH1029" s="4"/>
      <c r="BI1029" s="4"/>
      <c r="BJ1029" s="4"/>
      <c r="BK1029" s="4"/>
      <c r="BL1029" s="4"/>
      <c r="BM1029" s="4"/>
      <c r="BN1029" s="4"/>
      <c r="BO1029" s="4"/>
      <c r="BP1029" s="4"/>
      <c r="BQ1029" s="4"/>
      <c r="BR1029" s="4"/>
      <c r="BS1029" s="4"/>
      <c r="BT1029" s="4"/>
      <c r="BU1029" s="4"/>
      <c r="BV1029" s="4"/>
      <c r="BW1029" s="4"/>
      <c r="BX1029" s="4"/>
      <c r="BY1029" s="4"/>
      <c r="BZ1029" s="4"/>
      <c r="CA1029" s="4"/>
      <c r="CB1029" s="4"/>
      <c r="CC1029" s="4"/>
      <c r="CD1029" s="4"/>
      <c r="CE1029" s="4"/>
      <c r="CF1029" s="4"/>
      <c r="CG1029" s="4"/>
      <c r="CH1029" s="4"/>
      <c r="CI1029" s="4"/>
      <c r="CJ1029" s="4"/>
      <c r="CK1029" s="4"/>
      <c r="CL1029" s="4"/>
      <c r="CM1029" s="4"/>
      <c r="CN1029" s="4"/>
      <c r="CO1029" s="4"/>
      <c r="CP1029" s="4"/>
      <c r="CQ1029" s="4"/>
      <c r="CR1029" s="4"/>
      <c r="CS1029" s="4"/>
      <c r="CT1029" s="4"/>
      <c r="CU1029" s="4"/>
      <c r="CV1029" s="4"/>
      <c r="CW1029" s="4"/>
      <c r="CX1029" s="4"/>
      <c r="CY1029" s="4"/>
      <c r="CZ1029" s="4"/>
      <c r="DA1029" s="4"/>
      <c r="DB1029" s="4"/>
      <c r="DC1029" s="4"/>
      <c r="DD1029" s="4"/>
      <c r="DE1029" s="4"/>
      <c r="DF1029" s="4"/>
      <c r="DG1029" s="4"/>
      <c r="DH1029" s="4"/>
      <c r="DI1029" s="4"/>
      <c r="DJ1029" s="4"/>
      <c r="DK1029" s="4"/>
      <c r="DL1029" s="4"/>
      <c r="DM1029" s="4"/>
      <c r="DN1029" s="4"/>
      <c r="DO1029" s="4"/>
      <c r="DP1029" s="4"/>
      <c r="DQ1029" s="4"/>
      <c r="DR1029" s="4"/>
      <c r="DS1029" s="4"/>
    </row>
    <row r="1030">
      <c r="A1030" s="9">
        <f>IFERROR(__xludf.DUMMYFUNCTION("""COMPUTED_VALUE"""),45745.0)</f>
        <v>45745</v>
      </c>
      <c r="B1030" s="6" t="str">
        <f>IFERROR(__xludf.DUMMYFUNCTION("""COMPUTED_VALUE"""),"Pets")</f>
        <v>Pets</v>
      </c>
      <c r="C1030" s="7">
        <f>IFERROR(__xludf.DUMMYFUNCTION("""COMPUTED_VALUE"""),800.0)</f>
        <v>800</v>
      </c>
      <c r="D1030" s="6" t="str">
        <f>IFERROR(__xludf.DUMMYFUNCTION("""COMPUTED_VALUE"""),"Pets")</f>
        <v>Pets</v>
      </c>
      <c r="E1030" s="6" t="str">
        <f>IFERROR(__xludf.DUMMYFUNCTION("""COMPUTED_VALUE"""),"Virtual Wallet")</f>
        <v>Virtual Wallet</v>
      </c>
      <c r="F1030" s="6" t="s">
        <v>7</v>
      </c>
      <c r="G1030" s="8" t="str">
        <f t="shared" si="1"/>
        <v>202503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  <c r="AT1030" s="4"/>
      <c r="AU1030" s="4"/>
      <c r="AV1030" s="4"/>
      <c r="AW1030" s="4"/>
      <c r="AX1030" s="4"/>
      <c r="AY1030" s="4"/>
      <c r="AZ1030" s="4"/>
      <c r="BA1030" s="4"/>
      <c r="BB1030" s="4"/>
      <c r="BC1030" s="4"/>
      <c r="BD1030" s="4"/>
      <c r="BE1030" s="4"/>
      <c r="BF1030" s="4"/>
      <c r="BG1030" s="4"/>
      <c r="BH1030" s="4"/>
      <c r="BI1030" s="4"/>
      <c r="BJ1030" s="4"/>
      <c r="BK1030" s="4"/>
      <c r="BL1030" s="4"/>
      <c r="BM1030" s="4"/>
      <c r="BN1030" s="4"/>
      <c r="BO1030" s="4"/>
      <c r="BP1030" s="4"/>
      <c r="BQ1030" s="4"/>
      <c r="BR1030" s="4"/>
      <c r="BS1030" s="4"/>
      <c r="BT1030" s="4"/>
      <c r="BU1030" s="4"/>
      <c r="BV1030" s="4"/>
      <c r="BW1030" s="4"/>
      <c r="BX1030" s="4"/>
      <c r="BY1030" s="4"/>
      <c r="BZ1030" s="4"/>
      <c r="CA1030" s="4"/>
      <c r="CB1030" s="4"/>
      <c r="CC1030" s="4"/>
      <c r="CD1030" s="4"/>
      <c r="CE1030" s="4"/>
      <c r="CF1030" s="4"/>
      <c r="CG1030" s="4"/>
      <c r="CH1030" s="4"/>
      <c r="CI1030" s="4"/>
      <c r="CJ1030" s="4"/>
      <c r="CK1030" s="4"/>
      <c r="CL1030" s="4"/>
      <c r="CM1030" s="4"/>
      <c r="CN1030" s="4"/>
      <c r="CO1030" s="4"/>
      <c r="CP1030" s="4"/>
      <c r="CQ1030" s="4"/>
      <c r="CR1030" s="4"/>
      <c r="CS1030" s="4"/>
      <c r="CT1030" s="4"/>
      <c r="CU1030" s="4"/>
      <c r="CV1030" s="4"/>
      <c r="CW1030" s="4"/>
      <c r="CX1030" s="4"/>
      <c r="CY1030" s="4"/>
      <c r="CZ1030" s="4"/>
      <c r="DA1030" s="4"/>
      <c r="DB1030" s="4"/>
      <c r="DC1030" s="4"/>
      <c r="DD1030" s="4"/>
      <c r="DE1030" s="4"/>
      <c r="DF1030" s="4"/>
      <c r="DG1030" s="4"/>
      <c r="DH1030" s="4"/>
      <c r="DI1030" s="4"/>
      <c r="DJ1030" s="4"/>
      <c r="DK1030" s="4"/>
      <c r="DL1030" s="4"/>
      <c r="DM1030" s="4"/>
      <c r="DN1030" s="4"/>
      <c r="DO1030" s="4"/>
      <c r="DP1030" s="4"/>
      <c r="DQ1030" s="4"/>
      <c r="DR1030" s="4"/>
      <c r="DS1030" s="4"/>
    </row>
    <row r="1031">
      <c r="A1031" s="9">
        <f>IFERROR(__xludf.DUMMYFUNCTION("""COMPUTED_VALUE"""),45746.0)</f>
        <v>45746</v>
      </c>
      <c r="B1031" s="6" t="str">
        <f>IFERROR(__xludf.DUMMYFUNCTION("""COMPUTED_VALUE"""),"Gasoline")</f>
        <v>Gasoline</v>
      </c>
      <c r="C1031" s="7">
        <f>IFERROR(__xludf.DUMMYFUNCTION("""COMPUTED_VALUE"""),10000.0)</f>
        <v>10000</v>
      </c>
      <c r="D1031" s="6" t="str">
        <f>IFERROR(__xludf.DUMMYFUNCTION("""COMPUTED_VALUE"""),"Car Expenses")</f>
        <v>Car Expenses</v>
      </c>
      <c r="E1031" s="6" t="str">
        <f>IFERROR(__xludf.DUMMYFUNCTION("""COMPUTED_VALUE"""),"Split Payment")</f>
        <v>Split Payment</v>
      </c>
      <c r="F1031" s="6" t="s">
        <v>9</v>
      </c>
      <c r="G1031" s="8" t="str">
        <f t="shared" si="1"/>
        <v>202503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  <c r="AT1031" s="4"/>
      <c r="AU1031" s="4"/>
      <c r="AV1031" s="4"/>
      <c r="AW1031" s="4"/>
      <c r="AX1031" s="4"/>
      <c r="AY1031" s="4"/>
      <c r="AZ1031" s="4"/>
      <c r="BA1031" s="4"/>
      <c r="BB1031" s="4"/>
      <c r="BC1031" s="4"/>
      <c r="BD1031" s="4"/>
      <c r="BE1031" s="4"/>
      <c r="BF1031" s="4"/>
      <c r="BG1031" s="4"/>
      <c r="BH1031" s="4"/>
      <c r="BI1031" s="4"/>
      <c r="BJ1031" s="4"/>
      <c r="BK1031" s="4"/>
      <c r="BL1031" s="4"/>
      <c r="BM1031" s="4"/>
      <c r="BN1031" s="4"/>
      <c r="BO1031" s="4"/>
      <c r="BP1031" s="4"/>
      <c r="BQ1031" s="4"/>
      <c r="BR1031" s="4"/>
      <c r="BS1031" s="4"/>
      <c r="BT1031" s="4"/>
      <c r="BU1031" s="4"/>
      <c r="BV1031" s="4"/>
      <c r="BW1031" s="4"/>
      <c r="BX1031" s="4"/>
      <c r="BY1031" s="4"/>
      <c r="BZ1031" s="4"/>
      <c r="CA1031" s="4"/>
      <c r="CB1031" s="4"/>
      <c r="CC1031" s="4"/>
      <c r="CD1031" s="4"/>
      <c r="CE1031" s="4"/>
      <c r="CF1031" s="4"/>
      <c r="CG1031" s="4"/>
      <c r="CH1031" s="4"/>
      <c r="CI1031" s="4"/>
      <c r="CJ1031" s="4"/>
      <c r="CK1031" s="4"/>
      <c r="CL1031" s="4"/>
      <c r="CM1031" s="4"/>
      <c r="CN1031" s="4"/>
      <c r="CO1031" s="4"/>
      <c r="CP1031" s="4"/>
      <c r="CQ1031" s="4"/>
      <c r="CR1031" s="4"/>
      <c r="CS1031" s="4"/>
      <c r="CT1031" s="4"/>
      <c r="CU1031" s="4"/>
      <c r="CV1031" s="4"/>
      <c r="CW1031" s="4"/>
      <c r="CX1031" s="4"/>
      <c r="CY1031" s="4"/>
      <c r="CZ1031" s="4"/>
      <c r="DA1031" s="4"/>
      <c r="DB1031" s="4"/>
      <c r="DC1031" s="4"/>
      <c r="DD1031" s="4"/>
      <c r="DE1031" s="4"/>
      <c r="DF1031" s="4"/>
      <c r="DG1031" s="4"/>
      <c r="DH1031" s="4"/>
      <c r="DI1031" s="4"/>
      <c r="DJ1031" s="4"/>
      <c r="DK1031" s="4"/>
      <c r="DL1031" s="4"/>
      <c r="DM1031" s="4"/>
      <c r="DN1031" s="4"/>
      <c r="DO1031" s="4"/>
      <c r="DP1031" s="4"/>
      <c r="DQ1031" s="4"/>
      <c r="DR1031" s="4"/>
      <c r="DS1031" s="4"/>
    </row>
    <row r="1032">
      <c r="A1032" s="9">
        <f>IFERROR(__xludf.DUMMYFUNCTION("""COMPUTED_VALUE"""),45746.0)</f>
        <v>45746</v>
      </c>
      <c r="B1032" s="6" t="str">
        <f>IFERROR(__xludf.DUMMYFUNCTION("""COMPUTED_VALUE"""),"Groceries")</f>
        <v>Groceries</v>
      </c>
      <c r="C1032" s="7">
        <f>IFERROR(__xludf.DUMMYFUNCTION("""COMPUTED_VALUE"""),1800.0)</f>
        <v>1800</v>
      </c>
      <c r="D1032" s="6" t="str">
        <f>IFERROR(__xludf.DUMMYFUNCTION("""COMPUTED_VALUE"""),"Groceries")</f>
        <v>Groceries</v>
      </c>
      <c r="E1032" s="6" t="str">
        <f>IFERROR(__xludf.DUMMYFUNCTION("""COMPUTED_VALUE"""),"Split Payment")</f>
        <v>Split Payment</v>
      </c>
      <c r="F1032" s="6" t="s">
        <v>7</v>
      </c>
      <c r="G1032" s="8" t="str">
        <f t="shared" si="1"/>
        <v>202503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  <c r="AT1032" s="4"/>
      <c r="AU1032" s="4"/>
      <c r="AV1032" s="4"/>
      <c r="AW1032" s="4"/>
      <c r="AX1032" s="4"/>
      <c r="AY1032" s="4"/>
      <c r="AZ1032" s="4"/>
      <c r="BA1032" s="4"/>
      <c r="BB1032" s="4"/>
      <c r="BC1032" s="4"/>
      <c r="BD1032" s="4"/>
      <c r="BE1032" s="4"/>
      <c r="BF1032" s="4"/>
      <c r="BG1032" s="4"/>
      <c r="BH1032" s="4"/>
      <c r="BI1032" s="4"/>
      <c r="BJ1032" s="4"/>
      <c r="BK1032" s="4"/>
      <c r="BL1032" s="4"/>
      <c r="BM1032" s="4"/>
      <c r="BN1032" s="4"/>
      <c r="BO1032" s="4"/>
      <c r="BP1032" s="4"/>
      <c r="BQ1032" s="4"/>
      <c r="BR1032" s="4"/>
      <c r="BS1032" s="4"/>
      <c r="BT1032" s="4"/>
      <c r="BU1032" s="4"/>
      <c r="BV1032" s="4"/>
      <c r="BW1032" s="4"/>
      <c r="BX1032" s="4"/>
      <c r="BY1032" s="4"/>
      <c r="BZ1032" s="4"/>
      <c r="CA1032" s="4"/>
      <c r="CB1032" s="4"/>
      <c r="CC1032" s="4"/>
      <c r="CD1032" s="4"/>
      <c r="CE1032" s="4"/>
      <c r="CF1032" s="4"/>
      <c r="CG1032" s="4"/>
      <c r="CH1032" s="4"/>
      <c r="CI1032" s="4"/>
      <c r="CJ1032" s="4"/>
      <c r="CK1032" s="4"/>
      <c r="CL1032" s="4"/>
      <c r="CM1032" s="4"/>
      <c r="CN1032" s="4"/>
      <c r="CO1032" s="4"/>
      <c r="CP1032" s="4"/>
      <c r="CQ1032" s="4"/>
      <c r="CR1032" s="4"/>
      <c r="CS1032" s="4"/>
      <c r="CT1032" s="4"/>
      <c r="CU1032" s="4"/>
      <c r="CV1032" s="4"/>
      <c r="CW1032" s="4"/>
      <c r="CX1032" s="4"/>
      <c r="CY1032" s="4"/>
      <c r="CZ1032" s="4"/>
      <c r="DA1032" s="4"/>
      <c r="DB1032" s="4"/>
      <c r="DC1032" s="4"/>
      <c r="DD1032" s="4"/>
      <c r="DE1032" s="4"/>
      <c r="DF1032" s="4"/>
      <c r="DG1032" s="4"/>
      <c r="DH1032" s="4"/>
      <c r="DI1032" s="4"/>
      <c r="DJ1032" s="4"/>
      <c r="DK1032" s="4"/>
      <c r="DL1032" s="4"/>
      <c r="DM1032" s="4"/>
      <c r="DN1032" s="4"/>
      <c r="DO1032" s="4"/>
      <c r="DP1032" s="4"/>
      <c r="DQ1032" s="4"/>
      <c r="DR1032" s="4"/>
      <c r="DS1032" s="4"/>
    </row>
    <row r="1033">
      <c r="A1033" s="9">
        <f>IFERROR(__xludf.DUMMYFUNCTION("""COMPUTED_VALUE"""),45746.0)</f>
        <v>45746</v>
      </c>
      <c r="B1033" s="6" t="str">
        <f>IFERROR(__xludf.DUMMYFUNCTION("""COMPUTED_VALUE"""),"Home Goods")</f>
        <v>Home Goods</v>
      </c>
      <c r="C1033" s="7">
        <f>IFERROR(__xludf.DUMMYFUNCTION("""COMPUTED_VALUE"""),1500.0)</f>
        <v>1500</v>
      </c>
      <c r="D1033" s="6" t="str">
        <f>IFERROR(__xludf.DUMMYFUNCTION("""COMPUTED_VALUE"""),"Home Goods &amp; Utilities")</f>
        <v>Home Goods &amp; Utilities</v>
      </c>
      <c r="E1033" s="6" t="str">
        <f>IFERROR(__xludf.DUMMYFUNCTION("""COMPUTED_VALUE"""),"Split Payment")</f>
        <v>Split Payment</v>
      </c>
      <c r="F1033" s="6" t="s">
        <v>8</v>
      </c>
      <c r="G1033" s="8" t="str">
        <f t="shared" si="1"/>
        <v>202503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  <c r="AT1033" s="4"/>
      <c r="AU1033" s="4"/>
      <c r="AV1033" s="4"/>
      <c r="AW1033" s="4"/>
      <c r="AX1033" s="4"/>
      <c r="AY1033" s="4"/>
      <c r="AZ1033" s="4"/>
      <c r="BA1033" s="4"/>
      <c r="BB1033" s="4"/>
      <c r="BC1033" s="4"/>
      <c r="BD1033" s="4"/>
      <c r="BE1033" s="4"/>
      <c r="BF1033" s="4"/>
      <c r="BG1033" s="4"/>
      <c r="BH1033" s="4"/>
      <c r="BI1033" s="4"/>
      <c r="BJ1033" s="4"/>
      <c r="BK1033" s="4"/>
      <c r="BL1033" s="4"/>
      <c r="BM1033" s="4"/>
      <c r="BN1033" s="4"/>
      <c r="BO1033" s="4"/>
      <c r="BP1033" s="4"/>
      <c r="BQ1033" s="4"/>
      <c r="BR1033" s="4"/>
      <c r="BS1033" s="4"/>
      <c r="BT1033" s="4"/>
      <c r="BU1033" s="4"/>
      <c r="BV1033" s="4"/>
      <c r="BW1033" s="4"/>
      <c r="BX1033" s="4"/>
      <c r="BY1033" s="4"/>
      <c r="BZ1033" s="4"/>
      <c r="CA1033" s="4"/>
      <c r="CB1033" s="4"/>
      <c r="CC1033" s="4"/>
      <c r="CD1033" s="4"/>
      <c r="CE1033" s="4"/>
      <c r="CF1033" s="4"/>
      <c r="CG1033" s="4"/>
      <c r="CH1033" s="4"/>
      <c r="CI1033" s="4"/>
      <c r="CJ1033" s="4"/>
      <c r="CK1033" s="4"/>
      <c r="CL1033" s="4"/>
      <c r="CM1033" s="4"/>
      <c r="CN1033" s="4"/>
      <c r="CO1033" s="4"/>
      <c r="CP1033" s="4"/>
      <c r="CQ1033" s="4"/>
      <c r="CR1033" s="4"/>
      <c r="CS1033" s="4"/>
      <c r="CT1033" s="4"/>
      <c r="CU1033" s="4"/>
      <c r="CV1033" s="4"/>
      <c r="CW1033" s="4"/>
      <c r="CX1033" s="4"/>
      <c r="CY1033" s="4"/>
      <c r="CZ1033" s="4"/>
      <c r="DA1033" s="4"/>
      <c r="DB1033" s="4"/>
      <c r="DC1033" s="4"/>
      <c r="DD1033" s="4"/>
      <c r="DE1033" s="4"/>
      <c r="DF1033" s="4"/>
      <c r="DG1033" s="4"/>
      <c r="DH1033" s="4"/>
      <c r="DI1033" s="4"/>
      <c r="DJ1033" s="4"/>
      <c r="DK1033" s="4"/>
      <c r="DL1033" s="4"/>
      <c r="DM1033" s="4"/>
      <c r="DN1033" s="4"/>
      <c r="DO1033" s="4"/>
      <c r="DP1033" s="4"/>
      <c r="DQ1033" s="4"/>
      <c r="DR1033" s="4"/>
      <c r="DS1033" s="4"/>
    </row>
    <row r="1034">
      <c r="A1034" s="9">
        <f>IFERROR(__xludf.DUMMYFUNCTION("""COMPUTED_VALUE"""),45746.0)</f>
        <v>45746</v>
      </c>
      <c r="B1034" s="6" t="str">
        <f>IFERROR(__xludf.DUMMYFUNCTION("""COMPUTED_VALUE"""),"Pets")</f>
        <v>Pets</v>
      </c>
      <c r="C1034" s="7">
        <f>IFERROR(__xludf.DUMMYFUNCTION("""COMPUTED_VALUE"""),3000.0)</f>
        <v>3000</v>
      </c>
      <c r="D1034" s="6" t="str">
        <f>IFERROR(__xludf.DUMMYFUNCTION("""COMPUTED_VALUE"""),"Pets")</f>
        <v>Pets</v>
      </c>
      <c r="E1034" s="6" t="str">
        <f>IFERROR(__xludf.DUMMYFUNCTION("""COMPUTED_VALUE"""),"Virtual Wallet")</f>
        <v>Virtual Wallet</v>
      </c>
      <c r="F1034" s="6" t="s">
        <v>7</v>
      </c>
      <c r="G1034" s="8" t="str">
        <f t="shared" si="1"/>
        <v>202503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  <c r="AT1034" s="4"/>
      <c r="AU1034" s="4"/>
      <c r="AV1034" s="4"/>
      <c r="AW1034" s="4"/>
      <c r="AX1034" s="4"/>
      <c r="AY1034" s="4"/>
      <c r="AZ1034" s="4"/>
      <c r="BA1034" s="4"/>
      <c r="BB1034" s="4"/>
      <c r="BC1034" s="4"/>
      <c r="BD1034" s="4"/>
      <c r="BE1034" s="4"/>
      <c r="BF1034" s="4"/>
      <c r="BG1034" s="4"/>
      <c r="BH1034" s="4"/>
      <c r="BI1034" s="4"/>
      <c r="BJ1034" s="4"/>
      <c r="BK1034" s="4"/>
      <c r="BL1034" s="4"/>
      <c r="BM1034" s="4"/>
      <c r="BN1034" s="4"/>
      <c r="BO1034" s="4"/>
      <c r="BP1034" s="4"/>
      <c r="BQ1034" s="4"/>
      <c r="BR1034" s="4"/>
      <c r="BS1034" s="4"/>
      <c r="BT1034" s="4"/>
      <c r="BU1034" s="4"/>
      <c r="BV1034" s="4"/>
      <c r="BW1034" s="4"/>
      <c r="BX1034" s="4"/>
      <c r="BY1034" s="4"/>
      <c r="BZ1034" s="4"/>
      <c r="CA1034" s="4"/>
      <c r="CB1034" s="4"/>
      <c r="CC1034" s="4"/>
      <c r="CD1034" s="4"/>
      <c r="CE1034" s="4"/>
      <c r="CF1034" s="4"/>
      <c r="CG1034" s="4"/>
      <c r="CH1034" s="4"/>
      <c r="CI1034" s="4"/>
      <c r="CJ1034" s="4"/>
      <c r="CK1034" s="4"/>
      <c r="CL1034" s="4"/>
      <c r="CM1034" s="4"/>
      <c r="CN1034" s="4"/>
      <c r="CO1034" s="4"/>
      <c r="CP1034" s="4"/>
      <c r="CQ1034" s="4"/>
      <c r="CR1034" s="4"/>
      <c r="CS1034" s="4"/>
      <c r="CT1034" s="4"/>
      <c r="CU1034" s="4"/>
      <c r="CV1034" s="4"/>
      <c r="CW1034" s="4"/>
      <c r="CX1034" s="4"/>
      <c r="CY1034" s="4"/>
      <c r="CZ1034" s="4"/>
      <c r="DA1034" s="4"/>
      <c r="DB1034" s="4"/>
      <c r="DC1034" s="4"/>
      <c r="DD1034" s="4"/>
      <c r="DE1034" s="4"/>
      <c r="DF1034" s="4"/>
      <c r="DG1034" s="4"/>
      <c r="DH1034" s="4"/>
      <c r="DI1034" s="4"/>
      <c r="DJ1034" s="4"/>
      <c r="DK1034" s="4"/>
      <c r="DL1034" s="4"/>
      <c r="DM1034" s="4"/>
      <c r="DN1034" s="4"/>
      <c r="DO1034" s="4"/>
      <c r="DP1034" s="4"/>
      <c r="DQ1034" s="4"/>
      <c r="DR1034" s="4"/>
      <c r="DS1034" s="4"/>
    </row>
    <row r="1035">
      <c r="A1035" s="9">
        <f>IFERROR(__xludf.DUMMYFUNCTION("""COMPUTED_VALUE"""),45746.0)</f>
        <v>45746</v>
      </c>
      <c r="B1035" s="6" t="str">
        <f>IFERROR(__xludf.DUMMYFUNCTION("""COMPUTED_VALUE"""),"Pets")</f>
        <v>Pets</v>
      </c>
      <c r="C1035" s="7">
        <f>IFERROR(__xludf.DUMMYFUNCTION("""COMPUTED_VALUE"""),8500.0)</f>
        <v>8500</v>
      </c>
      <c r="D1035" s="6" t="str">
        <f>IFERROR(__xludf.DUMMYFUNCTION("""COMPUTED_VALUE"""),"Pets")</f>
        <v>Pets</v>
      </c>
      <c r="E1035" s="6" t="str">
        <f>IFERROR(__xludf.DUMMYFUNCTION("""COMPUTED_VALUE"""),"Virtual Wallet")</f>
        <v>Virtual Wallet</v>
      </c>
      <c r="F1035" s="6" t="s">
        <v>7</v>
      </c>
      <c r="G1035" s="8" t="str">
        <f t="shared" si="1"/>
        <v>202503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  <c r="AT1035" s="4"/>
      <c r="AU1035" s="4"/>
      <c r="AV1035" s="4"/>
      <c r="AW1035" s="4"/>
      <c r="AX1035" s="4"/>
      <c r="AY1035" s="4"/>
      <c r="AZ1035" s="4"/>
      <c r="BA1035" s="4"/>
      <c r="BB1035" s="4"/>
      <c r="BC1035" s="4"/>
      <c r="BD1035" s="4"/>
      <c r="BE1035" s="4"/>
      <c r="BF1035" s="4"/>
      <c r="BG1035" s="4"/>
      <c r="BH1035" s="4"/>
      <c r="BI1035" s="4"/>
      <c r="BJ1035" s="4"/>
      <c r="BK1035" s="4"/>
      <c r="BL1035" s="4"/>
      <c r="BM1035" s="4"/>
      <c r="BN1035" s="4"/>
      <c r="BO1035" s="4"/>
      <c r="BP1035" s="4"/>
      <c r="BQ1035" s="4"/>
      <c r="BR1035" s="4"/>
      <c r="BS1035" s="4"/>
      <c r="BT1035" s="4"/>
      <c r="BU1035" s="4"/>
      <c r="BV1035" s="4"/>
      <c r="BW1035" s="4"/>
      <c r="BX1035" s="4"/>
      <c r="BY1035" s="4"/>
      <c r="BZ1035" s="4"/>
      <c r="CA1035" s="4"/>
      <c r="CB1035" s="4"/>
      <c r="CC1035" s="4"/>
      <c r="CD1035" s="4"/>
      <c r="CE1035" s="4"/>
      <c r="CF1035" s="4"/>
      <c r="CG1035" s="4"/>
      <c r="CH1035" s="4"/>
      <c r="CI1035" s="4"/>
      <c r="CJ1035" s="4"/>
      <c r="CK1035" s="4"/>
      <c r="CL1035" s="4"/>
      <c r="CM1035" s="4"/>
      <c r="CN1035" s="4"/>
      <c r="CO1035" s="4"/>
      <c r="CP1035" s="4"/>
      <c r="CQ1035" s="4"/>
      <c r="CR1035" s="4"/>
      <c r="CS1035" s="4"/>
      <c r="CT1035" s="4"/>
      <c r="CU1035" s="4"/>
      <c r="CV1035" s="4"/>
      <c r="CW1035" s="4"/>
      <c r="CX1035" s="4"/>
      <c r="CY1035" s="4"/>
      <c r="CZ1035" s="4"/>
      <c r="DA1035" s="4"/>
      <c r="DB1035" s="4"/>
      <c r="DC1035" s="4"/>
      <c r="DD1035" s="4"/>
      <c r="DE1035" s="4"/>
      <c r="DF1035" s="4"/>
      <c r="DG1035" s="4"/>
      <c r="DH1035" s="4"/>
      <c r="DI1035" s="4"/>
      <c r="DJ1035" s="4"/>
      <c r="DK1035" s="4"/>
      <c r="DL1035" s="4"/>
      <c r="DM1035" s="4"/>
      <c r="DN1035" s="4"/>
      <c r="DO1035" s="4"/>
      <c r="DP1035" s="4"/>
      <c r="DQ1035" s="4"/>
      <c r="DR1035" s="4"/>
      <c r="DS1035" s="4"/>
    </row>
    <row r="1036">
      <c r="A1036" s="9">
        <f>IFERROR(__xludf.DUMMYFUNCTION("""COMPUTED_VALUE"""),45748.0)</f>
        <v>45748</v>
      </c>
      <c r="B1036" s="6" t="str">
        <f>IFERROR(__xludf.DUMMYFUNCTION("""COMPUTED_VALUE"""),"Cab/Uber")</f>
        <v>Cab/Uber</v>
      </c>
      <c r="C1036" s="7">
        <f>IFERROR(__xludf.DUMMYFUNCTION("""COMPUTED_VALUE"""),3000.0)</f>
        <v>3000</v>
      </c>
      <c r="D1036" s="6" t="str">
        <f>IFERROR(__xludf.DUMMYFUNCTION("""COMPUTED_VALUE"""),"Transportation")</f>
        <v>Transportation</v>
      </c>
      <c r="E1036" s="6" t="str">
        <f>IFERROR(__xludf.DUMMYFUNCTION("""COMPUTED_VALUE"""),"Virtual Wallet")</f>
        <v>Virtual Wallet</v>
      </c>
      <c r="F1036" s="6" t="s">
        <v>9</v>
      </c>
      <c r="G1036" s="8" t="str">
        <f t="shared" si="1"/>
        <v>202504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  <c r="AT1036" s="4"/>
      <c r="AU1036" s="4"/>
      <c r="AV1036" s="4"/>
      <c r="AW1036" s="4"/>
      <c r="AX1036" s="4"/>
      <c r="AY1036" s="4"/>
      <c r="AZ1036" s="4"/>
      <c r="BA1036" s="4"/>
      <c r="BB1036" s="4"/>
      <c r="BC1036" s="4"/>
      <c r="BD1036" s="4"/>
      <c r="BE1036" s="4"/>
      <c r="BF1036" s="4"/>
      <c r="BG1036" s="4"/>
      <c r="BH1036" s="4"/>
      <c r="BI1036" s="4"/>
      <c r="BJ1036" s="4"/>
      <c r="BK1036" s="4"/>
      <c r="BL1036" s="4"/>
      <c r="BM1036" s="4"/>
      <c r="BN1036" s="4"/>
      <c r="BO1036" s="4"/>
      <c r="BP1036" s="4"/>
      <c r="BQ1036" s="4"/>
      <c r="BR1036" s="4"/>
      <c r="BS1036" s="4"/>
      <c r="BT1036" s="4"/>
      <c r="BU1036" s="4"/>
      <c r="BV1036" s="4"/>
      <c r="BW1036" s="4"/>
      <c r="BX1036" s="4"/>
      <c r="BY1036" s="4"/>
      <c r="BZ1036" s="4"/>
      <c r="CA1036" s="4"/>
      <c r="CB1036" s="4"/>
      <c r="CC1036" s="4"/>
      <c r="CD1036" s="4"/>
      <c r="CE1036" s="4"/>
      <c r="CF1036" s="4"/>
      <c r="CG1036" s="4"/>
      <c r="CH1036" s="4"/>
      <c r="CI1036" s="4"/>
      <c r="CJ1036" s="4"/>
      <c r="CK1036" s="4"/>
      <c r="CL1036" s="4"/>
      <c r="CM1036" s="4"/>
      <c r="CN1036" s="4"/>
      <c r="CO1036" s="4"/>
      <c r="CP1036" s="4"/>
      <c r="CQ1036" s="4"/>
      <c r="CR1036" s="4"/>
      <c r="CS1036" s="4"/>
      <c r="CT1036" s="4"/>
      <c r="CU1036" s="4"/>
      <c r="CV1036" s="4"/>
      <c r="CW1036" s="4"/>
      <c r="CX1036" s="4"/>
      <c r="CY1036" s="4"/>
      <c r="CZ1036" s="4"/>
      <c r="DA1036" s="4"/>
      <c r="DB1036" s="4"/>
      <c r="DC1036" s="4"/>
      <c r="DD1036" s="4"/>
      <c r="DE1036" s="4"/>
      <c r="DF1036" s="4"/>
      <c r="DG1036" s="4"/>
      <c r="DH1036" s="4"/>
      <c r="DI1036" s="4"/>
      <c r="DJ1036" s="4"/>
      <c r="DK1036" s="4"/>
      <c r="DL1036" s="4"/>
      <c r="DM1036" s="4"/>
      <c r="DN1036" s="4"/>
      <c r="DO1036" s="4"/>
      <c r="DP1036" s="4"/>
      <c r="DQ1036" s="4"/>
      <c r="DR1036" s="4"/>
      <c r="DS1036" s="4"/>
    </row>
    <row r="1037">
      <c r="A1037" s="9">
        <f>IFERROR(__xludf.DUMMYFUNCTION("""COMPUTED_VALUE"""),45748.0)</f>
        <v>45748</v>
      </c>
      <c r="B1037" s="6" t="str">
        <f>IFERROR(__xludf.DUMMYFUNCTION("""COMPUTED_VALUE"""),"Groceries")</f>
        <v>Groceries</v>
      </c>
      <c r="C1037" s="7">
        <f>IFERROR(__xludf.DUMMYFUNCTION("""COMPUTED_VALUE"""),45.0)</f>
        <v>45</v>
      </c>
      <c r="D1037" s="6" t="str">
        <f>IFERROR(__xludf.DUMMYFUNCTION("""COMPUTED_VALUE"""),"Lunch Out")</f>
        <v>Lunch Out</v>
      </c>
      <c r="E1037" s="6" t="str">
        <f>IFERROR(__xludf.DUMMYFUNCTION("""COMPUTED_VALUE"""),"Virtual Wallet")</f>
        <v>Virtual Wallet</v>
      </c>
      <c r="F1037" s="6" t="s">
        <v>14</v>
      </c>
      <c r="G1037" s="8" t="str">
        <f t="shared" si="1"/>
        <v>202504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  <c r="AT1037" s="4"/>
      <c r="AU1037" s="4"/>
      <c r="AV1037" s="4"/>
      <c r="AW1037" s="4"/>
      <c r="AX1037" s="4"/>
      <c r="AY1037" s="4"/>
      <c r="AZ1037" s="4"/>
      <c r="BA1037" s="4"/>
      <c r="BB1037" s="4"/>
      <c r="BC1037" s="4"/>
      <c r="BD1037" s="4"/>
      <c r="BE1037" s="4"/>
      <c r="BF1037" s="4"/>
      <c r="BG1037" s="4"/>
      <c r="BH1037" s="4"/>
      <c r="BI1037" s="4"/>
      <c r="BJ1037" s="4"/>
      <c r="BK1037" s="4"/>
      <c r="BL1037" s="4"/>
      <c r="BM1037" s="4"/>
      <c r="BN1037" s="4"/>
      <c r="BO1037" s="4"/>
      <c r="BP1037" s="4"/>
      <c r="BQ1037" s="4"/>
      <c r="BR1037" s="4"/>
      <c r="BS1037" s="4"/>
      <c r="BT1037" s="4"/>
      <c r="BU1037" s="4"/>
      <c r="BV1037" s="4"/>
      <c r="BW1037" s="4"/>
      <c r="BX1037" s="4"/>
      <c r="BY1037" s="4"/>
      <c r="BZ1037" s="4"/>
      <c r="CA1037" s="4"/>
      <c r="CB1037" s="4"/>
      <c r="CC1037" s="4"/>
      <c r="CD1037" s="4"/>
      <c r="CE1037" s="4"/>
      <c r="CF1037" s="4"/>
      <c r="CG1037" s="4"/>
      <c r="CH1037" s="4"/>
      <c r="CI1037" s="4"/>
      <c r="CJ1037" s="4"/>
      <c r="CK1037" s="4"/>
      <c r="CL1037" s="4"/>
      <c r="CM1037" s="4"/>
      <c r="CN1037" s="4"/>
      <c r="CO1037" s="4"/>
      <c r="CP1037" s="4"/>
      <c r="CQ1037" s="4"/>
      <c r="CR1037" s="4"/>
      <c r="CS1037" s="4"/>
      <c r="CT1037" s="4"/>
      <c r="CU1037" s="4"/>
      <c r="CV1037" s="4"/>
      <c r="CW1037" s="4"/>
      <c r="CX1037" s="4"/>
      <c r="CY1037" s="4"/>
      <c r="CZ1037" s="4"/>
      <c r="DA1037" s="4"/>
      <c r="DB1037" s="4"/>
      <c r="DC1037" s="4"/>
      <c r="DD1037" s="4"/>
      <c r="DE1037" s="4"/>
      <c r="DF1037" s="4"/>
      <c r="DG1037" s="4"/>
      <c r="DH1037" s="4"/>
      <c r="DI1037" s="4"/>
      <c r="DJ1037" s="4"/>
      <c r="DK1037" s="4"/>
      <c r="DL1037" s="4"/>
      <c r="DM1037" s="4"/>
      <c r="DN1037" s="4"/>
      <c r="DO1037" s="4"/>
      <c r="DP1037" s="4"/>
      <c r="DQ1037" s="4"/>
      <c r="DR1037" s="4"/>
      <c r="DS1037" s="4"/>
    </row>
    <row r="1038">
      <c r="A1038" s="9">
        <f>IFERROR(__xludf.DUMMYFUNCTION("""COMPUTED_VALUE"""),45748.0)</f>
        <v>45748</v>
      </c>
      <c r="B1038" s="6" t="str">
        <f>IFERROR(__xludf.DUMMYFUNCTION("""COMPUTED_VALUE"""),"Mobile Plan")</f>
        <v>Mobile Plan</v>
      </c>
      <c r="C1038" s="7">
        <f>IFERROR(__xludf.DUMMYFUNCTION("""COMPUTED_VALUE"""),9500.0)</f>
        <v>9500</v>
      </c>
      <c r="D1038" s="6" t="str">
        <f>IFERROR(__xludf.DUMMYFUNCTION("""COMPUTED_VALUE"""),"Basic Services")</f>
        <v>Basic Services</v>
      </c>
      <c r="E1038" s="6" t="str">
        <f>IFERROR(__xludf.DUMMYFUNCTION("""COMPUTED_VALUE"""),"Virtual Wallet")</f>
        <v>Virtual Wallet</v>
      </c>
      <c r="F1038" s="6" t="s">
        <v>13</v>
      </c>
      <c r="G1038" s="8" t="str">
        <f t="shared" si="1"/>
        <v>202504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  <c r="AT1038" s="4"/>
      <c r="AU1038" s="4"/>
      <c r="AV1038" s="4"/>
      <c r="AW1038" s="4"/>
      <c r="AX1038" s="4"/>
      <c r="AY1038" s="4"/>
      <c r="AZ1038" s="4"/>
      <c r="BA1038" s="4"/>
      <c r="BB1038" s="4"/>
      <c r="BC1038" s="4"/>
      <c r="BD1038" s="4"/>
      <c r="BE1038" s="4"/>
      <c r="BF1038" s="4"/>
      <c r="BG1038" s="4"/>
      <c r="BH1038" s="4"/>
      <c r="BI1038" s="4"/>
      <c r="BJ1038" s="4"/>
      <c r="BK1038" s="4"/>
      <c r="BL1038" s="4"/>
      <c r="BM1038" s="4"/>
      <c r="BN1038" s="4"/>
      <c r="BO1038" s="4"/>
      <c r="BP1038" s="4"/>
      <c r="BQ1038" s="4"/>
      <c r="BR1038" s="4"/>
      <c r="BS1038" s="4"/>
      <c r="BT1038" s="4"/>
      <c r="BU1038" s="4"/>
      <c r="BV1038" s="4"/>
      <c r="BW1038" s="4"/>
      <c r="BX1038" s="4"/>
      <c r="BY1038" s="4"/>
      <c r="BZ1038" s="4"/>
      <c r="CA1038" s="4"/>
      <c r="CB1038" s="4"/>
      <c r="CC1038" s="4"/>
      <c r="CD1038" s="4"/>
      <c r="CE1038" s="4"/>
      <c r="CF1038" s="4"/>
      <c r="CG1038" s="4"/>
      <c r="CH1038" s="4"/>
      <c r="CI1038" s="4"/>
      <c r="CJ1038" s="4"/>
      <c r="CK1038" s="4"/>
      <c r="CL1038" s="4"/>
      <c r="CM1038" s="4"/>
      <c r="CN1038" s="4"/>
      <c r="CO1038" s="4"/>
      <c r="CP1038" s="4"/>
      <c r="CQ1038" s="4"/>
      <c r="CR1038" s="4"/>
      <c r="CS1038" s="4"/>
      <c r="CT1038" s="4"/>
      <c r="CU1038" s="4"/>
      <c r="CV1038" s="4"/>
      <c r="CW1038" s="4"/>
      <c r="CX1038" s="4"/>
      <c r="CY1038" s="4"/>
      <c r="CZ1038" s="4"/>
      <c r="DA1038" s="4"/>
      <c r="DB1038" s="4"/>
      <c r="DC1038" s="4"/>
      <c r="DD1038" s="4"/>
      <c r="DE1038" s="4"/>
      <c r="DF1038" s="4"/>
      <c r="DG1038" s="4"/>
      <c r="DH1038" s="4"/>
      <c r="DI1038" s="4"/>
      <c r="DJ1038" s="4"/>
      <c r="DK1038" s="4"/>
      <c r="DL1038" s="4"/>
      <c r="DM1038" s="4"/>
      <c r="DN1038" s="4"/>
      <c r="DO1038" s="4"/>
      <c r="DP1038" s="4"/>
      <c r="DQ1038" s="4"/>
      <c r="DR1038" s="4"/>
      <c r="DS1038" s="4"/>
    </row>
    <row r="1039">
      <c r="A1039" s="9">
        <f>IFERROR(__xludf.DUMMYFUNCTION("""COMPUTED_VALUE"""),45748.0)</f>
        <v>45748</v>
      </c>
      <c r="B1039" s="6" t="str">
        <f>IFERROR(__xludf.DUMMYFUNCTION("""COMPUTED_VALUE"""),"Pets")</f>
        <v>Pets</v>
      </c>
      <c r="C1039" s="7">
        <f>IFERROR(__xludf.DUMMYFUNCTION("""COMPUTED_VALUE"""),3151.0)</f>
        <v>3151</v>
      </c>
      <c r="D1039" s="6" t="str">
        <f>IFERROR(__xludf.DUMMYFUNCTION("""COMPUTED_VALUE"""),"Pets")</f>
        <v>Pets</v>
      </c>
      <c r="E1039" s="6" t="str">
        <f>IFERROR(__xludf.DUMMYFUNCTION("""COMPUTED_VALUE"""),"Virtual Wallet")</f>
        <v>Virtual Wallet</v>
      </c>
      <c r="F1039" s="6" t="s">
        <v>7</v>
      </c>
      <c r="G1039" s="8" t="str">
        <f t="shared" si="1"/>
        <v>202504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  <c r="AT1039" s="4"/>
      <c r="AU1039" s="4"/>
      <c r="AV1039" s="4"/>
      <c r="AW1039" s="4"/>
      <c r="AX1039" s="4"/>
      <c r="AY1039" s="4"/>
      <c r="AZ1039" s="4"/>
      <c r="BA1039" s="4"/>
      <c r="BB1039" s="4"/>
      <c r="BC1039" s="4"/>
      <c r="BD1039" s="4"/>
      <c r="BE1039" s="4"/>
      <c r="BF1039" s="4"/>
      <c r="BG1039" s="4"/>
      <c r="BH1039" s="4"/>
      <c r="BI1039" s="4"/>
      <c r="BJ1039" s="4"/>
      <c r="BK1039" s="4"/>
      <c r="BL1039" s="4"/>
      <c r="BM1039" s="4"/>
      <c r="BN1039" s="4"/>
      <c r="BO1039" s="4"/>
      <c r="BP1039" s="4"/>
      <c r="BQ1039" s="4"/>
      <c r="BR1039" s="4"/>
      <c r="BS1039" s="4"/>
      <c r="BT1039" s="4"/>
      <c r="BU1039" s="4"/>
      <c r="BV1039" s="4"/>
      <c r="BW1039" s="4"/>
      <c r="BX1039" s="4"/>
      <c r="BY1039" s="4"/>
      <c r="BZ1039" s="4"/>
      <c r="CA1039" s="4"/>
      <c r="CB1039" s="4"/>
      <c r="CC1039" s="4"/>
      <c r="CD1039" s="4"/>
      <c r="CE1039" s="4"/>
      <c r="CF1039" s="4"/>
      <c r="CG1039" s="4"/>
      <c r="CH1039" s="4"/>
      <c r="CI1039" s="4"/>
      <c r="CJ1039" s="4"/>
      <c r="CK1039" s="4"/>
      <c r="CL1039" s="4"/>
      <c r="CM1039" s="4"/>
      <c r="CN1039" s="4"/>
      <c r="CO1039" s="4"/>
      <c r="CP1039" s="4"/>
      <c r="CQ1039" s="4"/>
      <c r="CR1039" s="4"/>
      <c r="CS1039" s="4"/>
      <c r="CT1039" s="4"/>
      <c r="CU1039" s="4"/>
      <c r="CV1039" s="4"/>
      <c r="CW1039" s="4"/>
      <c r="CX1039" s="4"/>
      <c r="CY1039" s="4"/>
      <c r="CZ1039" s="4"/>
      <c r="DA1039" s="4"/>
      <c r="DB1039" s="4"/>
      <c r="DC1039" s="4"/>
      <c r="DD1039" s="4"/>
      <c r="DE1039" s="4"/>
      <c r="DF1039" s="4"/>
      <c r="DG1039" s="4"/>
      <c r="DH1039" s="4"/>
      <c r="DI1039" s="4"/>
      <c r="DJ1039" s="4"/>
      <c r="DK1039" s="4"/>
      <c r="DL1039" s="4"/>
      <c r="DM1039" s="4"/>
      <c r="DN1039" s="4"/>
      <c r="DO1039" s="4"/>
      <c r="DP1039" s="4"/>
      <c r="DQ1039" s="4"/>
      <c r="DR1039" s="4"/>
      <c r="DS1039" s="4"/>
    </row>
    <row r="1040">
      <c r="A1040" s="9">
        <f>IFERROR(__xludf.DUMMYFUNCTION("""COMPUTED_VALUE"""),45748.0)</f>
        <v>45748</v>
      </c>
      <c r="B1040" s="6" t="str">
        <f>IFERROR(__xludf.DUMMYFUNCTION("""COMPUTED_VALUE"""),"Restaurant")</f>
        <v>Restaurant</v>
      </c>
      <c r="C1040" s="7">
        <f>IFERROR(__xludf.DUMMYFUNCTION("""COMPUTED_VALUE"""),10351.0)</f>
        <v>10351</v>
      </c>
      <c r="D1040" s="6" t="str">
        <f>IFERROR(__xludf.DUMMYFUNCTION("""COMPUTED_VALUE"""),"Restaurant / Café")</f>
        <v>Restaurant / Café</v>
      </c>
      <c r="E1040" s="6" t="str">
        <f>IFERROR(__xludf.DUMMYFUNCTION("""COMPUTED_VALUE"""),"Virtual Wallet")</f>
        <v>Virtual Wallet</v>
      </c>
      <c r="F1040" s="6" t="s">
        <v>14</v>
      </c>
      <c r="G1040" s="8" t="str">
        <f t="shared" si="1"/>
        <v>202504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  <c r="AT1040" s="4"/>
      <c r="AU1040" s="4"/>
      <c r="AV1040" s="4"/>
      <c r="AW1040" s="4"/>
      <c r="AX1040" s="4"/>
      <c r="AY1040" s="4"/>
      <c r="AZ1040" s="4"/>
      <c r="BA1040" s="4"/>
      <c r="BB1040" s="4"/>
      <c r="BC1040" s="4"/>
      <c r="BD1040" s="4"/>
      <c r="BE1040" s="4"/>
      <c r="BF1040" s="4"/>
      <c r="BG1040" s="4"/>
      <c r="BH1040" s="4"/>
      <c r="BI1040" s="4"/>
      <c r="BJ1040" s="4"/>
      <c r="BK1040" s="4"/>
      <c r="BL1040" s="4"/>
      <c r="BM1040" s="4"/>
      <c r="BN1040" s="4"/>
      <c r="BO1040" s="4"/>
      <c r="BP1040" s="4"/>
      <c r="BQ1040" s="4"/>
      <c r="BR1040" s="4"/>
      <c r="BS1040" s="4"/>
      <c r="BT1040" s="4"/>
      <c r="BU1040" s="4"/>
      <c r="BV1040" s="4"/>
      <c r="BW1040" s="4"/>
      <c r="BX1040" s="4"/>
      <c r="BY1040" s="4"/>
      <c r="BZ1040" s="4"/>
      <c r="CA1040" s="4"/>
      <c r="CB1040" s="4"/>
      <c r="CC1040" s="4"/>
      <c r="CD1040" s="4"/>
      <c r="CE1040" s="4"/>
      <c r="CF1040" s="4"/>
      <c r="CG1040" s="4"/>
      <c r="CH1040" s="4"/>
      <c r="CI1040" s="4"/>
      <c r="CJ1040" s="4"/>
      <c r="CK1040" s="4"/>
      <c r="CL1040" s="4"/>
      <c r="CM1040" s="4"/>
      <c r="CN1040" s="4"/>
      <c r="CO1040" s="4"/>
      <c r="CP1040" s="4"/>
      <c r="CQ1040" s="4"/>
      <c r="CR1040" s="4"/>
      <c r="CS1040" s="4"/>
      <c r="CT1040" s="4"/>
      <c r="CU1040" s="4"/>
      <c r="CV1040" s="4"/>
      <c r="CW1040" s="4"/>
      <c r="CX1040" s="4"/>
      <c r="CY1040" s="4"/>
      <c r="CZ1040" s="4"/>
      <c r="DA1040" s="4"/>
      <c r="DB1040" s="4"/>
      <c r="DC1040" s="4"/>
      <c r="DD1040" s="4"/>
      <c r="DE1040" s="4"/>
      <c r="DF1040" s="4"/>
      <c r="DG1040" s="4"/>
      <c r="DH1040" s="4"/>
      <c r="DI1040" s="4"/>
      <c r="DJ1040" s="4"/>
      <c r="DK1040" s="4"/>
      <c r="DL1040" s="4"/>
      <c r="DM1040" s="4"/>
      <c r="DN1040" s="4"/>
      <c r="DO1040" s="4"/>
      <c r="DP1040" s="4"/>
      <c r="DQ1040" s="4"/>
      <c r="DR1040" s="4"/>
      <c r="DS1040" s="4"/>
    </row>
    <row r="1041">
      <c r="A1041" s="9">
        <f>IFERROR(__xludf.DUMMYFUNCTION("""COMPUTED_VALUE"""),45749.0)</f>
        <v>45749</v>
      </c>
      <c r="B1041" s="6" t="str">
        <f>IFERROR(__xludf.DUMMYFUNCTION("""COMPUTED_VALUE"""),"Groceries")</f>
        <v>Groceries</v>
      </c>
      <c r="C1041" s="7">
        <f>IFERROR(__xludf.DUMMYFUNCTION("""COMPUTED_VALUE"""),5222.0)</f>
        <v>5222</v>
      </c>
      <c r="D1041" s="6" t="str">
        <f>IFERROR(__xludf.DUMMYFUNCTION("""COMPUTED_VALUE"""),"Groceries")</f>
        <v>Groceries</v>
      </c>
      <c r="E1041" s="6" t="str">
        <f>IFERROR(__xludf.DUMMYFUNCTION("""COMPUTED_VALUE"""),"Split Payment")</f>
        <v>Split Payment</v>
      </c>
      <c r="F1041" s="6" t="s">
        <v>7</v>
      </c>
      <c r="G1041" s="8" t="str">
        <f t="shared" si="1"/>
        <v>202504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  <c r="AT1041" s="4"/>
      <c r="AU1041" s="4"/>
      <c r="AV1041" s="4"/>
      <c r="AW1041" s="4"/>
      <c r="AX1041" s="4"/>
      <c r="AY1041" s="4"/>
      <c r="AZ1041" s="4"/>
      <c r="BA1041" s="4"/>
      <c r="BB1041" s="4"/>
      <c r="BC1041" s="4"/>
      <c r="BD1041" s="4"/>
      <c r="BE1041" s="4"/>
      <c r="BF1041" s="4"/>
      <c r="BG1041" s="4"/>
      <c r="BH1041" s="4"/>
      <c r="BI1041" s="4"/>
      <c r="BJ1041" s="4"/>
      <c r="BK1041" s="4"/>
      <c r="BL1041" s="4"/>
      <c r="BM1041" s="4"/>
      <c r="BN1041" s="4"/>
      <c r="BO1041" s="4"/>
      <c r="BP1041" s="4"/>
      <c r="BQ1041" s="4"/>
      <c r="BR1041" s="4"/>
      <c r="BS1041" s="4"/>
      <c r="BT1041" s="4"/>
      <c r="BU1041" s="4"/>
      <c r="BV1041" s="4"/>
      <c r="BW1041" s="4"/>
      <c r="BX1041" s="4"/>
      <c r="BY1041" s="4"/>
      <c r="BZ1041" s="4"/>
      <c r="CA1041" s="4"/>
      <c r="CB1041" s="4"/>
      <c r="CC1041" s="4"/>
      <c r="CD1041" s="4"/>
      <c r="CE1041" s="4"/>
      <c r="CF1041" s="4"/>
      <c r="CG1041" s="4"/>
      <c r="CH1041" s="4"/>
      <c r="CI1041" s="4"/>
      <c r="CJ1041" s="4"/>
      <c r="CK1041" s="4"/>
      <c r="CL1041" s="4"/>
      <c r="CM1041" s="4"/>
      <c r="CN1041" s="4"/>
      <c r="CO1041" s="4"/>
      <c r="CP1041" s="4"/>
      <c r="CQ1041" s="4"/>
      <c r="CR1041" s="4"/>
      <c r="CS1041" s="4"/>
      <c r="CT1041" s="4"/>
      <c r="CU1041" s="4"/>
      <c r="CV1041" s="4"/>
      <c r="CW1041" s="4"/>
      <c r="CX1041" s="4"/>
      <c r="CY1041" s="4"/>
      <c r="CZ1041" s="4"/>
      <c r="DA1041" s="4"/>
      <c r="DB1041" s="4"/>
      <c r="DC1041" s="4"/>
      <c r="DD1041" s="4"/>
      <c r="DE1041" s="4"/>
      <c r="DF1041" s="4"/>
      <c r="DG1041" s="4"/>
      <c r="DH1041" s="4"/>
      <c r="DI1041" s="4"/>
      <c r="DJ1041" s="4"/>
      <c r="DK1041" s="4"/>
      <c r="DL1041" s="4"/>
      <c r="DM1041" s="4"/>
      <c r="DN1041" s="4"/>
      <c r="DO1041" s="4"/>
      <c r="DP1041" s="4"/>
      <c r="DQ1041" s="4"/>
      <c r="DR1041" s="4"/>
      <c r="DS1041" s="4"/>
    </row>
    <row r="1042">
      <c r="A1042" s="9">
        <f>IFERROR(__xludf.DUMMYFUNCTION("""COMPUTED_VALUE"""),45749.0)</f>
        <v>45749</v>
      </c>
      <c r="B1042" s="6" t="str">
        <f>IFERROR(__xludf.DUMMYFUNCTION("""COMPUTED_VALUE"""),"Restaurant")</f>
        <v>Restaurant</v>
      </c>
      <c r="C1042" s="7">
        <f>IFERROR(__xludf.DUMMYFUNCTION("""COMPUTED_VALUE"""),5750.0)</f>
        <v>5750</v>
      </c>
      <c r="D1042" s="6" t="str">
        <f>IFERROR(__xludf.DUMMYFUNCTION("""COMPUTED_VALUE"""),"Restaurant / Café")</f>
        <v>Restaurant / Café</v>
      </c>
      <c r="E1042" s="6" t="str">
        <f>IFERROR(__xludf.DUMMYFUNCTION("""COMPUTED_VALUE"""),"Virtual Wallet")</f>
        <v>Virtual Wallet</v>
      </c>
      <c r="F1042" s="6" t="s">
        <v>14</v>
      </c>
      <c r="G1042" s="8" t="str">
        <f t="shared" si="1"/>
        <v>202504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  <c r="AT1042" s="4"/>
      <c r="AU1042" s="4"/>
      <c r="AV1042" s="4"/>
      <c r="AW1042" s="4"/>
      <c r="AX1042" s="4"/>
      <c r="AY1042" s="4"/>
      <c r="AZ1042" s="4"/>
      <c r="BA1042" s="4"/>
      <c r="BB1042" s="4"/>
      <c r="BC1042" s="4"/>
      <c r="BD1042" s="4"/>
      <c r="BE1042" s="4"/>
      <c r="BF1042" s="4"/>
      <c r="BG1042" s="4"/>
      <c r="BH1042" s="4"/>
      <c r="BI1042" s="4"/>
      <c r="BJ1042" s="4"/>
      <c r="BK1042" s="4"/>
      <c r="BL1042" s="4"/>
      <c r="BM1042" s="4"/>
      <c r="BN1042" s="4"/>
      <c r="BO1042" s="4"/>
      <c r="BP1042" s="4"/>
      <c r="BQ1042" s="4"/>
      <c r="BR1042" s="4"/>
      <c r="BS1042" s="4"/>
      <c r="BT1042" s="4"/>
      <c r="BU1042" s="4"/>
      <c r="BV1042" s="4"/>
      <c r="BW1042" s="4"/>
      <c r="BX1042" s="4"/>
      <c r="BY1042" s="4"/>
      <c r="BZ1042" s="4"/>
      <c r="CA1042" s="4"/>
      <c r="CB1042" s="4"/>
      <c r="CC1042" s="4"/>
      <c r="CD1042" s="4"/>
      <c r="CE1042" s="4"/>
      <c r="CF1042" s="4"/>
      <c r="CG1042" s="4"/>
      <c r="CH1042" s="4"/>
      <c r="CI1042" s="4"/>
      <c r="CJ1042" s="4"/>
      <c r="CK1042" s="4"/>
      <c r="CL1042" s="4"/>
      <c r="CM1042" s="4"/>
      <c r="CN1042" s="4"/>
      <c r="CO1042" s="4"/>
      <c r="CP1042" s="4"/>
      <c r="CQ1042" s="4"/>
      <c r="CR1042" s="4"/>
      <c r="CS1042" s="4"/>
      <c r="CT1042" s="4"/>
      <c r="CU1042" s="4"/>
      <c r="CV1042" s="4"/>
      <c r="CW1042" s="4"/>
      <c r="CX1042" s="4"/>
      <c r="CY1042" s="4"/>
      <c r="CZ1042" s="4"/>
      <c r="DA1042" s="4"/>
      <c r="DB1042" s="4"/>
      <c r="DC1042" s="4"/>
      <c r="DD1042" s="4"/>
      <c r="DE1042" s="4"/>
      <c r="DF1042" s="4"/>
      <c r="DG1042" s="4"/>
      <c r="DH1042" s="4"/>
      <c r="DI1042" s="4"/>
      <c r="DJ1042" s="4"/>
      <c r="DK1042" s="4"/>
      <c r="DL1042" s="4"/>
      <c r="DM1042" s="4"/>
      <c r="DN1042" s="4"/>
      <c r="DO1042" s="4"/>
      <c r="DP1042" s="4"/>
      <c r="DQ1042" s="4"/>
      <c r="DR1042" s="4"/>
      <c r="DS1042" s="4"/>
    </row>
    <row r="1043">
      <c r="A1043" s="9">
        <f>IFERROR(__xludf.DUMMYFUNCTION("""COMPUTED_VALUE"""),45750.0)</f>
        <v>45750</v>
      </c>
      <c r="B1043" s="6" t="str">
        <f>IFERROR(__xludf.DUMMYFUNCTION("""COMPUTED_VALUE"""),"Streaming Services")</f>
        <v>Streaming Services</v>
      </c>
      <c r="C1043" s="7">
        <f>IFERROR(__xludf.DUMMYFUNCTION("""COMPUTED_VALUE"""),7549.0)</f>
        <v>7549</v>
      </c>
      <c r="D1043" s="6" t="str">
        <f>IFERROR(__xludf.DUMMYFUNCTION("""COMPUTED_VALUE"""),"Streaming Services")</f>
        <v>Streaming Services</v>
      </c>
      <c r="E1043" s="6" t="str">
        <f>IFERROR(__xludf.DUMMYFUNCTION("""COMPUTED_VALUE"""),"Credit Card")</f>
        <v>Credit Card</v>
      </c>
      <c r="F1043" s="6" t="s">
        <v>12</v>
      </c>
      <c r="G1043" s="8" t="str">
        <f t="shared" si="1"/>
        <v>202504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  <c r="AT1043" s="4"/>
      <c r="AU1043" s="4"/>
      <c r="AV1043" s="4"/>
      <c r="AW1043" s="4"/>
      <c r="AX1043" s="4"/>
      <c r="AY1043" s="4"/>
      <c r="AZ1043" s="4"/>
      <c r="BA1043" s="4"/>
      <c r="BB1043" s="4"/>
      <c r="BC1043" s="4"/>
      <c r="BD1043" s="4"/>
      <c r="BE1043" s="4"/>
      <c r="BF1043" s="4"/>
      <c r="BG1043" s="4"/>
      <c r="BH1043" s="4"/>
      <c r="BI1043" s="4"/>
      <c r="BJ1043" s="4"/>
      <c r="BK1043" s="4"/>
      <c r="BL1043" s="4"/>
      <c r="BM1043" s="4"/>
      <c r="BN1043" s="4"/>
      <c r="BO1043" s="4"/>
      <c r="BP1043" s="4"/>
      <c r="BQ1043" s="4"/>
      <c r="BR1043" s="4"/>
      <c r="BS1043" s="4"/>
      <c r="BT1043" s="4"/>
      <c r="BU1043" s="4"/>
      <c r="BV1043" s="4"/>
      <c r="BW1043" s="4"/>
      <c r="BX1043" s="4"/>
      <c r="BY1043" s="4"/>
      <c r="BZ1043" s="4"/>
      <c r="CA1043" s="4"/>
      <c r="CB1043" s="4"/>
      <c r="CC1043" s="4"/>
      <c r="CD1043" s="4"/>
      <c r="CE1043" s="4"/>
      <c r="CF1043" s="4"/>
      <c r="CG1043" s="4"/>
      <c r="CH1043" s="4"/>
      <c r="CI1043" s="4"/>
      <c r="CJ1043" s="4"/>
      <c r="CK1043" s="4"/>
      <c r="CL1043" s="4"/>
      <c r="CM1043" s="4"/>
      <c r="CN1043" s="4"/>
      <c r="CO1043" s="4"/>
      <c r="CP1043" s="4"/>
      <c r="CQ1043" s="4"/>
      <c r="CR1043" s="4"/>
      <c r="CS1043" s="4"/>
      <c r="CT1043" s="4"/>
      <c r="CU1043" s="4"/>
      <c r="CV1043" s="4"/>
      <c r="CW1043" s="4"/>
      <c r="CX1043" s="4"/>
      <c r="CY1043" s="4"/>
      <c r="CZ1043" s="4"/>
      <c r="DA1043" s="4"/>
      <c r="DB1043" s="4"/>
      <c r="DC1043" s="4"/>
      <c r="DD1043" s="4"/>
      <c r="DE1043" s="4"/>
      <c r="DF1043" s="4"/>
      <c r="DG1043" s="4"/>
      <c r="DH1043" s="4"/>
      <c r="DI1043" s="4"/>
      <c r="DJ1043" s="4"/>
      <c r="DK1043" s="4"/>
      <c r="DL1043" s="4"/>
      <c r="DM1043" s="4"/>
      <c r="DN1043" s="4"/>
      <c r="DO1043" s="4"/>
      <c r="DP1043" s="4"/>
      <c r="DQ1043" s="4"/>
      <c r="DR1043" s="4"/>
      <c r="DS1043" s="4"/>
    </row>
    <row r="1044">
      <c r="A1044" s="9">
        <f>IFERROR(__xludf.DUMMYFUNCTION("""COMPUTED_VALUE"""),45750.0)</f>
        <v>45750</v>
      </c>
      <c r="B1044" s="6" t="str">
        <f>IFERROR(__xludf.DUMMYFUNCTION("""COMPUTED_VALUE"""),"Internet Services")</f>
        <v>Internet Services</v>
      </c>
      <c r="C1044" s="7">
        <f>IFERROR(__xludf.DUMMYFUNCTION("""COMPUTED_VALUE"""),33375.0)</f>
        <v>33375</v>
      </c>
      <c r="D1044" s="6" t="str">
        <f>IFERROR(__xludf.DUMMYFUNCTION("""COMPUTED_VALUE"""),"Basic Services")</f>
        <v>Basic Services</v>
      </c>
      <c r="E1044" s="6" t="str">
        <f>IFERROR(__xludf.DUMMYFUNCTION("""COMPUTED_VALUE"""),"Credit Card")</f>
        <v>Credit Card</v>
      </c>
      <c r="F1044" s="6" t="s">
        <v>13</v>
      </c>
      <c r="G1044" s="8" t="str">
        <f t="shared" si="1"/>
        <v>202504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  <c r="AT1044" s="4"/>
      <c r="AU1044" s="4"/>
      <c r="AV1044" s="4"/>
      <c r="AW1044" s="4"/>
      <c r="AX1044" s="4"/>
      <c r="AY1044" s="4"/>
      <c r="AZ1044" s="4"/>
      <c r="BA1044" s="4"/>
      <c r="BB1044" s="4"/>
      <c r="BC1044" s="4"/>
      <c r="BD1044" s="4"/>
      <c r="BE1044" s="4"/>
      <c r="BF1044" s="4"/>
      <c r="BG1044" s="4"/>
      <c r="BH1044" s="4"/>
      <c r="BI1044" s="4"/>
      <c r="BJ1044" s="4"/>
      <c r="BK1044" s="4"/>
      <c r="BL1044" s="4"/>
      <c r="BM1044" s="4"/>
      <c r="BN1044" s="4"/>
      <c r="BO1044" s="4"/>
      <c r="BP1044" s="4"/>
      <c r="BQ1044" s="4"/>
      <c r="BR1044" s="4"/>
      <c r="BS1044" s="4"/>
      <c r="BT1044" s="4"/>
      <c r="BU1044" s="4"/>
      <c r="BV1044" s="4"/>
      <c r="BW1044" s="4"/>
      <c r="BX1044" s="4"/>
      <c r="BY1044" s="4"/>
      <c r="BZ1044" s="4"/>
      <c r="CA1044" s="4"/>
      <c r="CB1044" s="4"/>
      <c r="CC1044" s="4"/>
      <c r="CD1044" s="4"/>
      <c r="CE1044" s="4"/>
      <c r="CF1044" s="4"/>
      <c r="CG1044" s="4"/>
      <c r="CH1044" s="4"/>
      <c r="CI1044" s="4"/>
      <c r="CJ1044" s="4"/>
      <c r="CK1044" s="4"/>
      <c r="CL1044" s="4"/>
      <c r="CM1044" s="4"/>
      <c r="CN1044" s="4"/>
      <c r="CO1044" s="4"/>
      <c r="CP1044" s="4"/>
      <c r="CQ1044" s="4"/>
      <c r="CR1044" s="4"/>
      <c r="CS1044" s="4"/>
      <c r="CT1044" s="4"/>
      <c r="CU1044" s="4"/>
      <c r="CV1044" s="4"/>
      <c r="CW1044" s="4"/>
      <c r="CX1044" s="4"/>
      <c r="CY1044" s="4"/>
      <c r="CZ1044" s="4"/>
      <c r="DA1044" s="4"/>
      <c r="DB1044" s="4"/>
      <c r="DC1044" s="4"/>
      <c r="DD1044" s="4"/>
      <c r="DE1044" s="4"/>
      <c r="DF1044" s="4"/>
      <c r="DG1044" s="4"/>
      <c r="DH1044" s="4"/>
      <c r="DI1044" s="4"/>
      <c r="DJ1044" s="4"/>
      <c r="DK1044" s="4"/>
      <c r="DL1044" s="4"/>
      <c r="DM1044" s="4"/>
      <c r="DN1044" s="4"/>
      <c r="DO1044" s="4"/>
      <c r="DP1044" s="4"/>
      <c r="DQ1044" s="4"/>
      <c r="DR1044" s="4"/>
      <c r="DS1044" s="4"/>
    </row>
    <row r="1045">
      <c r="A1045" s="9">
        <f>IFERROR(__xludf.DUMMYFUNCTION("""COMPUTED_VALUE"""),45751.0)</f>
        <v>45751</v>
      </c>
      <c r="B1045" s="6" t="str">
        <f>IFERROR(__xludf.DUMMYFUNCTION("""COMPUTED_VALUE"""),"Clothing")</f>
        <v>Clothing</v>
      </c>
      <c r="C1045" s="7">
        <f>IFERROR(__xludf.DUMMYFUNCTION("""COMPUTED_VALUE"""),33993.0)</f>
        <v>33993</v>
      </c>
      <c r="D1045" s="6" t="str">
        <f>IFERROR(__xludf.DUMMYFUNCTION("""COMPUTED_VALUE"""),"Clothing")</f>
        <v>Clothing</v>
      </c>
      <c r="E1045" s="6" t="str">
        <f>IFERROR(__xludf.DUMMYFUNCTION("""COMPUTED_VALUE"""),"Credit Card")</f>
        <v>Credit Card</v>
      </c>
      <c r="F1045" s="6" t="s">
        <v>10</v>
      </c>
      <c r="G1045" s="8" t="str">
        <f t="shared" si="1"/>
        <v>202504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  <c r="AT1045" s="4"/>
      <c r="AU1045" s="4"/>
      <c r="AV1045" s="4"/>
      <c r="AW1045" s="4"/>
      <c r="AX1045" s="4"/>
      <c r="AY1045" s="4"/>
      <c r="AZ1045" s="4"/>
      <c r="BA1045" s="4"/>
      <c r="BB1045" s="4"/>
      <c r="BC1045" s="4"/>
      <c r="BD1045" s="4"/>
      <c r="BE1045" s="4"/>
      <c r="BF1045" s="4"/>
      <c r="BG1045" s="4"/>
      <c r="BH1045" s="4"/>
      <c r="BI1045" s="4"/>
      <c r="BJ1045" s="4"/>
      <c r="BK1045" s="4"/>
      <c r="BL1045" s="4"/>
      <c r="BM1045" s="4"/>
      <c r="BN1045" s="4"/>
      <c r="BO1045" s="4"/>
      <c r="BP1045" s="4"/>
      <c r="BQ1045" s="4"/>
      <c r="BR1045" s="4"/>
      <c r="BS1045" s="4"/>
      <c r="BT1045" s="4"/>
      <c r="BU1045" s="4"/>
      <c r="BV1045" s="4"/>
      <c r="BW1045" s="4"/>
      <c r="BX1045" s="4"/>
      <c r="BY1045" s="4"/>
      <c r="BZ1045" s="4"/>
      <c r="CA1045" s="4"/>
      <c r="CB1045" s="4"/>
      <c r="CC1045" s="4"/>
      <c r="CD1045" s="4"/>
      <c r="CE1045" s="4"/>
      <c r="CF1045" s="4"/>
      <c r="CG1045" s="4"/>
      <c r="CH1045" s="4"/>
      <c r="CI1045" s="4"/>
      <c r="CJ1045" s="4"/>
      <c r="CK1045" s="4"/>
      <c r="CL1045" s="4"/>
      <c r="CM1045" s="4"/>
      <c r="CN1045" s="4"/>
      <c r="CO1045" s="4"/>
      <c r="CP1045" s="4"/>
      <c r="CQ1045" s="4"/>
      <c r="CR1045" s="4"/>
      <c r="CS1045" s="4"/>
      <c r="CT1045" s="4"/>
      <c r="CU1045" s="4"/>
      <c r="CV1045" s="4"/>
      <c r="CW1045" s="4"/>
      <c r="CX1045" s="4"/>
      <c r="CY1045" s="4"/>
      <c r="CZ1045" s="4"/>
      <c r="DA1045" s="4"/>
      <c r="DB1045" s="4"/>
      <c r="DC1045" s="4"/>
      <c r="DD1045" s="4"/>
      <c r="DE1045" s="4"/>
      <c r="DF1045" s="4"/>
      <c r="DG1045" s="4"/>
      <c r="DH1045" s="4"/>
      <c r="DI1045" s="4"/>
      <c r="DJ1045" s="4"/>
      <c r="DK1045" s="4"/>
      <c r="DL1045" s="4"/>
      <c r="DM1045" s="4"/>
      <c r="DN1045" s="4"/>
      <c r="DO1045" s="4"/>
      <c r="DP1045" s="4"/>
      <c r="DQ1045" s="4"/>
      <c r="DR1045" s="4"/>
      <c r="DS1045" s="4"/>
    </row>
    <row r="1046">
      <c r="A1046" s="9">
        <f>IFERROR(__xludf.DUMMYFUNCTION("""COMPUTED_VALUE"""),45751.0)</f>
        <v>45751</v>
      </c>
      <c r="B1046" s="6" t="str">
        <f>IFERROR(__xludf.DUMMYFUNCTION("""COMPUTED_VALUE"""),"Clothing")</f>
        <v>Clothing</v>
      </c>
      <c r="C1046" s="7">
        <f>IFERROR(__xludf.DUMMYFUNCTION("""COMPUTED_VALUE"""),13333.0)</f>
        <v>13333</v>
      </c>
      <c r="D1046" s="6" t="str">
        <f>IFERROR(__xludf.DUMMYFUNCTION("""COMPUTED_VALUE"""),"Clothing")</f>
        <v>Clothing</v>
      </c>
      <c r="E1046" s="6" t="str">
        <f>IFERROR(__xludf.DUMMYFUNCTION("""COMPUTED_VALUE"""),"Credit Card")</f>
        <v>Credit Card</v>
      </c>
      <c r="F1046" s="6" t="s">
        <v>10</v>
      </c>
      <c r="G1046" s="8" t="str">
        <f t="shared" si="1"/>
        <v>202504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  <c r="AT1046" s="4"/>
      <c r="AU1046" s="4"/>
      <c r="AV1046" s="4"/>
      <c r="AW1046" s="4"/>
      <c r="AX1046" s="4"/>
      <c r="AY1046" s="4"/>
      <c r="AZ1046" s="4"/>
      <c r="BA1046" s="4"/>
      <c r="BB1046" s="4"/>
      <c r="BC1046" s="4"/>
      <c r="BD1046" s="4"/>
      <c r="BE1046" s="4"/>
      <c r="BF1046" s="4"/>
      <c r="BG1046" s="4"/>
      <c r="BH1046" s="4"/>
      <c r="BI1046" s="4"/>
      <c r="BJ1046" s="4"/>
      <c r="BK1046" s="4"/>
      <c r="BL1046" s="4"/>
      <c r="BM1046" s="4"/>
      <c r="BN1046" s="4"/>
      <c r="BO1046" s="4"/>
      <c r="BP1046" s="4"/>
      <c r="BQ1046" s="4"/>
      <c r="BR1046" s="4"/>
      <c r="BS1046" s="4"/>
      <c r="BT1046" s="4"/>
      <c r="BU1046" s="4"/>
      <c r="BV1046" s="4"/>
      <c r="BW1046" s="4"/>
      <c r="BX1046" s="4"/>
      <c r="BY1046" s="4"/>
      <c r="BZ1046" s="4"/>
      <c r="CA1046" s="4"/>
      <c r="CB1046" s="4"/>
      <c r="CC1046" s="4"/>
      <c r="CD1046" s="4"/>
      <c r="CE1046" s="4"/>
      <c r="CF1046" s="4"/>
      <c r="CG1046" s="4"/>
      <c r="CH1046" s="4"/>
      <c r="CI1046" s="4"/>
      <c r="CJ1046" s="4"/>
      <c r="CK1046" s="4"/>
      <c r="CL1046" s="4"/>
      <c r="CM1046" s="4"/>
      <c r="CN1046" s="4"/>
      <c r="CO1046" s="4"/>
      <c r="CP1046" s="4"/>
      <c r="CQ1046" s="4"/>
      <c r="CR1046" s="4"/>
      <c r="CS1046" s="4"/>
      <c r="CT1046" s="4"/>
      <c r="CU1046" s="4"/>
      <c r="CV1046" s="4"/>
      <c r="CW1046" s="4"/>
      <c r="CX1046" s="4"/>
      <c r="CY1046" s="4"/>
      <c r="CZ1046" s="4"/>
      <c r="DA1046" s="4"/>
      <c r="DB1046" s="4"/>
      <c r="DC1046" s="4"/>
      <c r="DD1046" s="4"/>
      <c r="DE1046" s="4"/>
      <c r="DF1046" s="4"/>
      <c r="DG1046" s="4"/>
      <c r="DH1046" s="4"/>
      <c r="DI1046" s="4"/>
      <c r="DJ1046" s="4"/>
      <c r="DK1046" s="4"/>
      <c r="DL1046" s="4"/>
      <c r="DM1046" s="4"/>
      <c r="DN1046" s="4"/>
      <c r="DO1046" s="4"/>
      <c r="DP1046" s="4"/>
      <c r="DQ1046" s="4"/>
      <c r="DR1046" s="4"/>
      <c r="DS1046" s="4"/>
    </row>
    <row r="1047">
      <c r="A1047" s="9">
        <f>IFERROR(__xludf.DUMMYFUNCTION("""COMPUTED_VALUE"""),45751.0)</f>
        <v>45751</v>
      </c>
      <c r="B1047" s="6" t="str">
        <f>IFERROR(__xludf.DUMMYFUNCTION("""COMPUTED_VALUE"""),"Clothing")</f>
        <v>Clothing</v>
      </c>
      <c r="C1047" s="7">
        <f>IFERROR(__xludf.DUMMYFUNCTION("""COMPUTED_VALUE"""),11650.0)</f>
        <v>11650</v>
      </c>
      <c r="D1047" s="6" t="str">
        <f>IFERROR(__xludf.DUMMYFUNCTION("""COMPUTED_VALUE"""),"Clothing")</f>
        <v>Clothing</v>
      </c>
      <c r="E1047" s="6" t="str">
        <f>IFERROR(__xludf.DUMMYFUNCTION("""COMPUTED_VALUE"""),"Credit Card")</f>
        <v>Credit Card</v>
      </c>
      <c r="F1047" s="6" t="s">
        <v>10</v>
      </c>
      <c r="G1047" s="8" t="str">
        <f t="shared" si="1"/>
        <v>202504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  <c r="AT1047" s="4"/>
      <c r="AU1047" s="4"/>
      <c r="AV1047" s="4"/>
      <c r="AW1047" s="4"/>
      <c r="AX1047" s="4"/>
      <c r="AY1047" s="4"/>
      <c r="AZ1047" s="4"/>
      <c r="BA1047" s="4"/>
      <c r="BB1047" s="4"/>
      <c r="BC1047" s="4"/>
      <c r="BD1047" s="4"/>
      <c r="BE1047" s="4"/>
      <c r="BF1047" s="4"/>
      <c r="BG1047" s="4"/>
      <c r="BH1047" s="4"/>
      <c r="BI1047" s="4"/>
      <c r="BJ1047" s="4"/>
      <c r="BK1047" s="4"/>
      <c r="BL1047" s="4"/>
      <c r="BM1047" s="4"/>
      <c r="BN1047" s="4"/>
      <c r="BO1047" s="4"/>
      <c r="BP1047" s="4"/>
      <c r="BQ1047" s="4"/>
      <c r="BR1047" s="4"/>
      <c r="BS1047" s="4"/>
      <c r="BT1047" s="4"/>
      <c r="BU1047" s="4"/>
      <c r="BV1047" s="4"/>
      <c r="BW1047" s="4"/>
      <c r="BX1047" s="4"/>
      <c r="BY1047" s="4"/>
      <c r="BZ1047" s="4"/>
      <c r="CA1047" s="4"/>
      <c r="CB1047" s="4"/>
      <c r="CC1047" s="4"/>
      <c r="CD1047" s="4"/>
      <c r="CE1047" s="4"/>
      <c r="CF1047" s="4"/>
      <c r="CG1047" s="4"/>
      <c r="CH1047" s="4"/>
      <c r="CI1047" s="4"/>
      <c r="CJ1047" s="4"/>
      <c r="CK1047" s="4"/>
      <c r="CL1047" s="4"/>
      <c r="CM1047" s="4"/>
      <c r="CN1047" s="4"/>
      <c r="CO1047" s="4"/>
      <c r="CP1047" s="4"/>
      <c r="CQ1047" s="4"/>
      <c r="CR1047" s="4"/>
      <c r="CS1047" s="4"/>
      <c r="CT1047" s="4"/>
      <c r="CU1047" s="4"/>
      <c r="CV1047" s="4"/>
      <c r="CW1047" s="4"/>
      <c r="CX1047" s="4"/>
      <c r="CY1047" s="4"/>
      <c r="CZ1047" s="4"/>
      <c r="DA1047" s="4"/>
      <c r="DB1047" s="4"/>
      <c r="DC1047" s="4"/>
      <c r="DD1047" s="4"/>
      <c r="DE1047" s="4"/>
      <c r="DF1047" s="4"/>
      <c r="DG1047" s="4"/>
      <c r="DH1047" s="4"/>
      <c r="DI1047" s="4"/>
      <c r="DJ1047" s="4"/>
      <c r="DK1047" s="4"/>
      <c r="DL1047" s="4"/>
      <c r="DM1047" s="4"/>
      <c r="DN1047" s="4"/>
      <c r="DO1047" s="4"/>
      <c r="DP1047" s="4"/>
      <c r="DQ1047" s="4"/>
      <c r="DR1047" s="4"/>
      <c r="DS1047" s="4"/>
    </row>
    <row r="1048">
      <c r="A1048" s="9">
        <f>IFERROR(__xludf.DUMMYFUNCTION("""COMPUTED_VALUE"""),45751.0)</f>
        <v>45751</v>
      </c>
      <c r="B1048" s="6" t="str">
        <f>IFERROR(__xludf.DUMMYFUNCTION("""COMPUTED_VALUE"""),"Clothing")</f>
        <v>Clothing</v>
      </c>
      <c r="C1048" s="7">
        <f>IFERROR(__xludf.DUMMYFUNCTION("""COMPUTED_VALUE"""),8500.0)</f>
        <v>8500</v>
      </c>
      <c r="D1048" s="6" t="str">
        <f>IFERROR(__xludf.DUMMYFUNCTION("""COMPUTED_VALUE"""),"Clothing")</f>
        <v>Clothing</v>
      </c>
      <c r="E1048" s="6" t="str">
        <f>IFERROR(__xludf.DUMMYFUNCTION("""COMPUTED_VALUE"""),"Credit Card")</f>
        <v>Credit Card</v>
      </c>
      <c r="F1048" s="6" t="s">
        <v>10</v>
      </c>
      <c r="G1048" s="8" t="str">
        <f t="shared" si="1"/>
        <v>202504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  <c r="AT1048" s="4"/>
      <c r="AU1048" s="4"/>
      <c r="AV1048" s="4"/>
      <c r="AW1048" s="4"/>
      <c r="AX1048" s="4"/>
      <c r="AY1048" s="4"/>
      <c r="AZ1048" s="4"/>
      <c r="BA1048" s="4"/>
      <c r="BB1048" s="4"/>
      <c r="BC1048" s="4"/>
      <c r="BD1048" s="4"/>
      <c r="BE1048" s="4"/>
      <c r="BF1048" s="4"/>
      <c r="BG1048" s="4"/>
      <c r="BH1048" s="4"/>
      <c r="BI1048" s="4"/>
      <c r="BJ1048" s="4"/>
      <c r="BK1048" s="4"/>
      <c r="BL1048" s="4"/>
      <c r="BM1048" s="4"/>
      <c r="BN1048" s="4"/>
      <c r="BO1048" s="4"/>
      <c r="BP1048" s="4"/>
      <c r="BQ1048" s="4"/>
      <c r="BR1048" s="4"/>
      <c r="BS1048" s="4"/>
      <c r="BT1048" s="4"/>
      <c r="BU1048" s="4"/>
      <c r="BV1048" s="4"/>
      <c r="BW1048" s="4"/>
      <c r="BX1048" s="4"/>
      <c r="BY1048" s="4"/>
      <c r="BZ1048" s="4"/>
      <c r="CA1048" s="4"/>
      <c r="CB1048" s="4"/>
      <c r="CC1048" s="4"/>
      <c r="CD1048" s="4"/>
      <c r="CE1048" s="4"/>
      <c r="CF1048" s="4"/>
      <c r="CG1048" s="4"/>
      <c r="CH1048" s="4"/>
      <c r="CI1048" s="4"/>
      <c r="CJ1048" s="4"/>
      <c r="CK1048" s="4"/>
      <c r="CL1048" s="4"/>
      <c r="CM1048" s="4"/>
      <c r="CN1048" s="4"/>
      <c r="CO1048" s="4"/>
      <c r="CP1048" s="4"/>
      <c r="CQ1048" s="4"/>
      <c r="CR1048" s="4"/>
      <c r="CS1048" s="4"/>
      <c r="CT1048" s="4"/>
      <c r="CU1048" s="4"/>
      <c r="CV1048" s="4"/>
      <c r="CW1048" s="4"/>
      <c r="CX1048" s="4"/>
      <c r="CY1048" s="4"/>
      <c r="CZ1048" s="4"/>
      <c r="DA1048" s="4"/>
      <c r="DB1048" s="4"/>
      <c r="DC1048" s="4"/>
      <c r="DD1048" s="4"/>
      <c r="DE1048" s="4"/>
      <c r="DF1048" s="4"/>
      <c r="DG1048" s="4"/>
      <c r="DH1048" s="4"/>
      <c r="DI1048" s="4"/>
      <c r="DJ1048" s="4"/>
      <c r="DK1048" s="4"/>
      <c r="DL1048" s="4"/>
      <c r="DM1048" s="4"/>
      <c r="DN1048" s="4"/>
      <c r="DO1048" s="4"/>
      <c r="DP1048" s="4"/>
      <c r="DQ1048" s="4"/>
      <c r="DR1048" s="4"/>
      <c r="DS1048" s="4"/>
    </row>
    <row r="1049">
      <c r="A1049" s="9">
        <f>IFERROR(__xludf.DUMMYFUNCTION("""COMPUTED_VALUE"""),45751.0)</f>
        <v>45751</v>
      </c>
      <c r="B1049" s="6" t="str">
        <f>IFERROR(__xludf.DUMMYFUNCTION("""COMPUTED_VALUE"""),"Pharmacy")</f>
        <v>Pharmacy</v>
      </c>
      <c r="C1049" s="7">
        <f>IFERROR(__xludf.DUMMYFUNCTION("""COMPUTED_VALUE"""),2500.0)</f>
        <v>2500</v>
      </c>
      <c r="D1049" s="6" t="str">
        <f>IFERROR(__xludf.DUMMYFUNCTION("""COMPUTED_VALUE"""),"Healthcare")</f>
        <v>Healthcare</v>
      </c>
      <c r="E1049" s="6" t="str">
        <f>IFERROR(__xludf.DUMMYFUNCTION("""COMPUTED_VALUE"""),"Split Payment")</f>
        <v>Split Payment</v>
      </c>
      <c r="F1049" s="6" t="s">
        <v>15</v>
      </c>
      <c r="G1049" s="8" t="str">
        <f t="shared" si="1"/>
        <v>202504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  <c r="AT1049" s="4"/>
      <c r="AU1049" s="4"/>
      <c r="AV1049" s="4"/>
      <c r="AW1049" s="4"/>
      <c r="AX1049" s="4"/>
      <c r="AY1049" s="4"/>
      <c r="AZ1049" s="4"/>
      <c r="BA1049" s="4"/>
      <c r="BB1049" s="4"/>
      <c r="BC1049" s="4"/>
      <c r="BD1049" s="4"/>
      <c r="BE1049" s="4"/>
      <c r="BF1049" s="4"/>
      <c r="BG1049" s="4"/>
      <c r="BH1049" s="4"/>
      <c r="BI1049" s="4"/>
      <c r="BJ1049" s="4"/>
      <c r="BK1049" s="4"/>
      <c r="BL1049" s="4"/>
      <c r="BM1049" s="4"/>
      <c r="BN1049" s="4"/>
      <c r="BO1049" s="4"/>
      <c r="BP1049" s="4"/>
      <c r="BQ1049" s="4"/>
      <c r="BR1049" s="4"/>
      <c r="BS1049" s="4"/>
      <c r="BT1049" s="4"/>
      <c r="BU1049" s="4"/>
      <c r="BV1049" s="4"/>
      <c r="BW1049" s="4"/>
      <c r="BX1049" s="4"/>
      <c r="BY1049" s="4"/>
      <c r="BZ1049" s="4"/>
      <c r="CA1049" s="4"/>
      <c r="CB1049" s="4"/>
      <c r="CC1049" s="4"/>
      <c r="CD1049" s="4"/>
      <c r="CE1049" s="4"/>
      <c r="CF1049" s="4"/>
      <c r="CG1049" s="4"/>
      <c r="CH1049" s="4"/>
      <c r="CI1049" s="4"/>
      <c r="CJ1049" s="4"/>
      <c r="CK1049" s="4"/>
      <c r="CL1049" s="4"/>
      <c r="CM1049" s="4"/>
      <c r="CN1049" s="4"/>
      <c r="CO1049" s="4"/>
      <c r="CP1049" s="4"/>
      <c r="CQ1049" s="4"/>
      <c r="CR1049" s="4"/>
      <c r="CS1049" s="4"/>
      <c r="CT1049" s="4"/>
      <c r="CU1049" s="4"/>
      <c r="CV1049" s="4"/>
      <c r="CW1049" s="4"/>
      <c r="CX1049" s="4"/>
      <c r="CY1049" s="4"/>
      <c r="CZ1049" s="4"/>
      <c r="DA1049" s="4"/>
      <c r="DB1049" s="4"/>
      <c r="DC1049" s="4"/>
      <c r="DD1049" s="4"/>
      <c r="DE1049" s="4"/>
      <c r="DF1049" s="4"/>
      <c r="DG1049" s="4"/>
      <c r="DH1049" s="4"/>
      <c r="DI1049" s="4"/>
      <c r="DJ1049" s="4"/>
      <c r="DK1049" s="4"/>
      <c r="DL1049" s="4"/>
      <c r="DM1049" s="4"/>
      <c r="DN1049" s="4"/>
      <c r="DO1049" s="4"/>
      <c r="DP1049" s="4"/>
      <c r="DQ1049" s="4"/>
      <c r="DR1049" s="4"/>
      <c r="DS1049" s="4"/>
    </row>
    <row r="1050">
      <c r="A1050" s="9">
        <f>IFERROR(__xludf.DUMMYFUNCTION("""COMPUTED_VALUE"""),45752.0)</f>
        <v>45752</v>
      </c>
      <c r="B1050" s="6" t="str">
        <f>IFERROR(__xludf.DUMMYFUNCTION("""COMPUTED_VALUE"""),"Home Goods")</f>
        <v>Home Goods</v>
      </c>
      <c r="C1050" s="7">
        <f>IFERROR(__xludf.DUMMYFUNCTION("""COMPUTED_VALUE"""),5500.0)</f>
        <v>5500</v>
      </c>
      <c r="D1050" s="6" t="str">
        <f>IFERROR(__xludf.DUMMYFUNCTION("""COMPUTED_VALUE"""),"Home Goods &amp; Utilities")</f>
        <v>Home Goods &amp; Utilities</v>
      </c>
      <c r="E1050" s="6" t="str">
        <f>IFERROR(__xludf.DUMMYFUNCTION("""COMPUTED_VALUE"""),"Split Payment")</f>
        <v>Split Payment</v>
      </c>
      <c r="F1050" s="6" t="s">
        <v>8</v>
      </c>
      <c r="G1050" s="8" t="str">
        <f t="shared" si="1"/>
        <v>202504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  <c r="AT1050" s="4"/>
      <c r="AU1050" s="4"/>
      <c r="AV1050" s="4"/>
      <c r="AW1050" s="4"/>
      <c r="AX1050" s="4"/>
      <c r="AY1050" s="4"/>
      <c r="AZ1050" s="4"/>
      <c r="BA1050" s="4"/>
      <c r="BB1050" s="4"/>
      <c r="BC1050" s="4"/>
      <c r="BD1050" s="4"/>
      <c r="BE1050" s="4"/>
      <c r="BF1050" s="4"/>
      <c r="BG1050" s="4"/>
      <c r="BH1050" s="4"/>
      <c r="BI1050" s="4"/>
      <c r="BJ1050" s="4"/>
      <c r="BK1050" s="4"/>
      <c r="BL1050" s="4"/>
      <c r="BM1050" s="4"/>
      <c r="BN1050" s="4"/>
      <c r="BO1050" s="4"/>
      <c r="BP1050" s="4"/>
      <c r="BQ1050" s="4"/>
      <c r="BR1050" s="4"/>
      <c r="BS1050" s="4"/>
      <c r="BT1050" s="4"/>
      <c r="BU1050" s="4"/>
      <c r="BV1050" s="4"/>
      <c r="BW1050" s="4"/>
      <c r="BX1050" s="4"/>
      <c r="BY1050" s="4"/>
      <c r="BZ1050" s="4"/>
      <c r="CA1050" s="4"/>
      <c r="CB1050" s="4"/>
      <c r="CC1050" s="4"/>
      <c r="CD1050" s="4"/>
      <c r="CE1050" s="4"/>
      <c r="CF1050" s="4"/>
      <c r="CG1050" s="4"/>
      <c r="CH1050" s="4"/>
      <c r="CI1050" s="4"/>
      <c r="CJ1050" s="4"/>
      <c r="CK1050" s="4"/>
      <c r="CL1050" s="4"/>
      <c r="CM1050" s="4"/>
      <c r="CN1050" s="4"/>
      <c r="CO1050" s="4"/>
      <c r="CP1050" s="4"/>
      <c r="CQ1050" s="4"/>
      <c r="CR1050" s="4"/>
      <c r="CS1050" s="4"/>
      <c r="CT1050" s="4"/>
      <c r="CU1050" s="4"/>
      <c r="CV1050" s="4"/>
      <c r="CW1050" s="4"/>
      <c r="CX1050" s="4"/>
      <c r="CY1050" s="4"/>
      <c r="CZ1050" s="4"/>
      <c r="DA1050" s="4"/>
      <c r="DB1050" s="4"/>
      <c r="DC1050" s="4"/>
      <c r="DD1050" s="4"/>
      <c r="DE1050" s="4"/>
      <c r="DF1050" s="4"/>
      <c r="DG1050" s="4"/>
      <c r="DH1050" s="4"/>
      <c r="DI1050" s="4"/>
      <c r="DJ1050" s="4"/>
      <c r="DK1050" s="4"/>
      <c r="DL1050" s="4"/>
      <c r="DM1050" s="4"/>
      <c r="DN1050" s="4"/>
      <c r="DO1050" s="4"/>
      <c r="DP1050" s="4"/>
      <c r="DQ1050" s="4"/>
      <c r="DR1050" s="4"/>
      <c r="DS1050" s="4"/>
    </row>
    <row r="1051">
      <c r="A1051" s="9">
        <f>IFERROR(__xludf.DUMMYFUNCTION("""COMPUTED_VALUE"""),45752.0)</f>
        <v>45752</v>
      </c>
      <c r="B1051" s="6" t="str">
        <f>IFERROR(__xludf.DUMMYFUNCTION("""COMPUTED_VALUE"""),"Gas Bill (Metrogas)")</f>
        <v>Gas Bill (Metrogas)</v>
      </c>
      <c r="C1051" s="7">
        <f>IFERROR(__xludf.DUMMYFUNCTION("""COMPUTED_VALUE"""),5134.0)</f>
        <v>5134</v>
      </c>
      <c r="D1051" s="6" t="str">
        <f>IFERROR(__xludf.DUMMYFUNCTION("""COMPUTED_VALUE"""),"Basic Services")</f>
        <v>Basic Services</v>
      </c>
      <c r="E1051" s="6" t="str">
        <f>IFERROR(__xludf.DUMMYFUNCTION("""COMPUTED_VALUE"""),"Split Payment")</f>
        <v>Split Payment</v>
      </c>
      <c r="F1051" s="6" t="s">
        <v>13</v>
      </c>
      <c r="G1051" s="8" t="str">
        <f t="shared" si="1"/>
        <v>202504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  <c r="AT1051" s="4"/>
      <c r="AU1051" s="4"/>
      <c r="AV1051" s="4"/>
      <c r="AW1051" s="4"/>
      <c r="AX1051" s="4"/>
      <c r="AY1051" s="4"/>
      <c r="AZ1051" s="4"/>
      <c r="BA1051" s="4"/>
      <c r="BB1051" s="4"/>
      <c r="BC1051" s="4"/>
      <c r="BD1051" s="4"/>
      <c r="BE1051" s="4"/>
      <c r="BF1051" s="4"/>
      <c r="BG1051" s="4"/>
      <c r="BH1051" s="4"/>
      <c r="BI1051" s="4"/>
      <c r="BJ1051" s="4"/>
      <c r="BK1051" s="4"/>
      <c r="BL1051" s="4"/>
      <c r="BM1051" s="4"/>
      <c r="BN1051" s="4"/>
      <c r="BO1051" s="4"/>
      <c r="BP1051" s="4"/>
      <c r="BQ1051" s="4"/>
      <c r="BR1051" s="4"/>
      <c r="BS1051" s="4"/>
      <c r="BT1051" s="4"/>
      <c r="BU1051" s="4"/>
      <c r="BV1051" s="4"/>
      <c r="BW1051" s="4"/>
      <c r="BX1051" s="4"/>
      <c r="BY1051" s="4"/>
      <c r="BZ1051" s="4"/>
      <c r="CA1051" s="4"/>
      <c r="CB1051" s="4"/>
      <c r="CC1051" s="4"/>
      <c r="CD1051" s="4"/>
      <c r="CE1051" s="4"/>
      <c r="CF1051" s="4"/>
      <c r="CG1051" s="4"/>
      <c r="CH1051" s="4"/>
      <c r="CI1051" s="4"/>
      <c r="CJ1051" s="4"/>
      <c r="CK1051" s="4"/>
      <c r="CL1051" s="4"/>
      <c r="CM1051" s="4"/>
      <c r="CN1051" s="4"/>
      <c r="CO1051" s="4"/>
      <c r="CP1051" s="4"/>
      <c r="CQ1051" s="4"/>
      <c r="CR1051" s="4"/>
      <c r="CS1051" s="4"/>
      <c r="CT1051" s="4"/>
      <c r="CU1051" s="4"/>
      <c r="CV1051" s="4"/>
      <c r="CW1051" s="4"/>
      <c r="CX1051" s="4"/>
      <c r="CY1051" s="4"/>
      <c r="CZ1051" s="4"/>
      <c r="DA1051" s="4"/>
      <c r="DB1051" s="4"/>
      <c r="DC1051" s="4"/>
      <c r="DD1051" s="4"/>
      <c r="DE1051" s="4"/>
      <c r="DF1051" s="4"/>
      <c r="DG1051" s="4"/>
      <c r="DH1051" s="4"/>
      <c r="DI1051" s="4"/>
      <c r="DJ1051" s="4"/>
      <c r="DK1051" s="4"/>
      <c r="DL1051" s="4"/>
      <c r="DM1051" s="4"/>
      <c r="DN1051" s="4"/>
      <c r="DO1051" s="4"/>
      <c r="DP1051" s="4"/>
      <c r="DQ1051" s="4"/>
      <c r="DR1051" s="4"/>
      <c r="DS1051" s="4"/>
    </row>
    <row r="1052">
      <c r="A1052" s="9">
        <f>IFERROR(__xludf.DUMMYFUNCTION("""COMPUTED_VALUE"""),45752.0)</f>
        <v>45752</v>
      </c>
      <c r="B1052" s="6" t="str">
        <f>IFERROR(__xludf.DUMMYFUNCTION("""COMPUTED_VALUE"""),"Groceries")</f>
        <v>Groceries</v>
      </c>
      <c r="C1052" s="7">
        <f>IFERROR(__xludf.DUMMYFUNCTION("""COMPUTED_VALUE"""),73831.0)</f>
        <v>73831</v>
      </c>
      <c r="D1052" s="6" t="str">
        <f>IFERROR(__xludf.DUMMYFUNCTION("""COMPUTED_VALUE"""),"Groceries")</f>
        <v>Groceries</v>
      </c>
      <c r="E1052" s="6" t="str">
        <f>IFERROR(__xludf.DUMMYFUNCTION("""COMPUTED_VALUE"""),"Split Payment")</f>
        <v>Split Payment</v>
      </c>
      <c r="F1052" s="6" t="s">
        <v>7</v>
      </c>
      <c r="G1052" s="8" t="str">
        <f t="shared" si="1"/>
        <v>202504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  <c r="AT1052" s="4"/>
      <c r="AU1052" s="4"/>
      <c r="AV1052" s="4"/>
      <c r="AW1052" s="4"/>
      <c r="AX1052" s="4"/>
      <c r="AY1052" s="4"/>
      <c r="AZ1052" s="4"/>
      <c r="BA1052" s="4"/>
      <c r="BB1052" s="4"/>
      <c r="BC1052" s="4"/>
      <c r="BD1052" s="4"/>
      <c r="BE1052" s="4"/>
      <c r="BF1052" s="4"/>
      <c r="BG1052" s="4"/>
      <c r="BH1052" s="4"/>
      <c r="BI1052" s="4"/>
      <c r="BJ1052" s="4"/>
      <c r="BK1052" s="4"/>
      <c r="BL1052" s="4"/>
      <c r="BM1052" s="4"/>
      <c r="BN1052" s="4"/>
      <c r="BO1052" s="4"/>
      <c r="BP1052" s="4"/>
      <c r="BQ1052" s="4"/>
      <c r="BR1052" s="4"/>
      <c r="BS1052" s="4"/>
      <c r="BT1052" s="4"/>
      <c r="BU1052" s="4"/>
      <c r="BV1052" s="4"/>
      <c r="BW1052" s="4"/>
      <c r="BX1052" s="4"/>
      <c r="BY1052" s="4"/>
      <c r="BZ1052" s="4"/>
      <c r="CA1052" s="4"/>
      <c r="CB1052" s="4"/>
      <c r="CC1052" s="4"/>
      <c r="CD1052" s="4"/>
      <c r="CE1052" s="4"/>
      <c r="CF1052" s="4"/>
      <c r="CG1052" s="4"/>
      <c r="CH1052" s="4"/>
      <c r="CI1052" s="4"/>
      <c r="CJ1052" s="4"/>
      <c r="CK1052" s="4"/>
      <c r="CL1052" s="4"/>
      <c r="CM1052" s="4"/>
      <c r="CN1052" s="4"/>
      <c r="CO1052" s="4"/>
      <c r="CP1052" s="4"/>
      <c r="CQ1052" s="4"/>
      <c r="CR1052" s="4"/>
      <c r="CS1052" s="4"/>
      <c r="CT1052" s="4"/>
      <c r="CU1052" s="4"/>
      <c r="CV1052" s="4"/>
      <c r="CW1052" s="4"/>
      <c r="CX1052" s="4"/>
      <c r="CY1052" s="4"/>
      <c r="CZ1052" s="4"/>
      <c r="DA1052" s="4"/>
      <c r="DB1052" s="4"/>
      <c r="DC1052" s="4"/>
      <c r="DD1052" s="4"/>
      <c r="DE1052" s="4"/>
      <c r="DF1052" s="4"/>
      <c r="DG1052" s="4"/>
      <c r="DH1052" s="4"/>
      <c r="DI1052" s="4"/>
      <c r="DJ1052" s="4"/>
      <c r="DK1052" s="4"/>
      <c r="DL1052" s="4"/>
      <c r="DM1052" s="4"/>
      <c r="DN1052" s="4"/>
      <c r="DO1052" s="4"/>
      <c r="DP1052" s="4"/>
      <c r="DQ1052" s="4"/>
      <c r="DR1052" s="4"/>
      <c r="DS1052" s="4"/>
    </row>
    <row r="1053">
      <c r="A1053" s="9">
        <f>IFERROR(__xludf.DUMMYFUNCTION("""COMPUTED_VALUE"""),45752.0)</f>
        <v>45752</v>
      </c>
      <c r="B1053" s="6" t="str">
        <f>IFERROR(__xludf.DUMMYFUNCTION("""COMPUTED_VALUE"""),"Home Goods")</f>
        <v>Home Goods</v>
      </c>
      <c r="C1053" s="7">
        <f>IFERROR(__xludf.DUMMYFUNCTION("""COMPUTED_VALUE"""),4400.0)</f>
        <v>4400</v>
      </c>
      <c r="D1053" s="6" t="str">
        <f>IFERROR(__xludf.DUMMYFUNCTION("""COMPUTED_VALUE"""),"Home Goods &amp; Utilities")</f>
        <v>Home Goods &amp; Utilities</v>
      </c>
      <c r="E1053" s="6" t="str">
        <f>IFERROR(__xludf.DUMMYFUNCTION("""COMPUTED_VALUE"""),"Split Payment")</f>
        <v>Split Payment</v>
      </c>
      <c r="F1053" s="6" t="s">
        <v>8</v>
      </c>
      <c r="G1053" s="8" t="str">
        <f t="shared" si="1"/>
        <v>202504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  <c r="AT1053" s="4"/>
      <c r="AU1053" s="4"/>
      <c r="AV1053" s="4"/>
      <c r="AW1053" s="4"/>
      <c r="AX1053" s="4"/>
      <c r="AY1053" s="4"/>
      <c r="AZ1053" s="4"/>
      <c r="BA1053" s="4"/>
      <c r="BB1053" s="4"/>
      <c r="BC1053" s="4"/>
      <c r="BD1053" s="4"/>
      <c r="BE1053" s="4"/>
      <c r="BF1053" s="4"/>
      <c r="BG1053" s="4"/>
      <c r="BH1053" s="4"/>
      <c r="BI1053" s="4"/>
      <c r="BJ1053" s="4"/>
      <c r="BK1053" s="4"/>
      <c r="BL1053" s="4"/>
      <c r="BM1053" s="4"/>
      <c r="BN1053" s="4"/>
      <c r="BO1053" s="4"/>
      <c r="BP1053" s="4"/>
      <c r="BQ1053" s="4"/>
      <c r="BR1053" s="4"/>
      <c r="BS1053" s="4"/>
      <c r="BT1053" s="4"/>
      <c r="BU1053" s="4"/>
      <c r="BV1053" s="4"/>
      <c r="BW1053" s="4"/>
      <c r="BX1053" s="4"/>
      <c r="BY1053" s="4"/>
      <c r="BZ1053" s="4"/>
      <c r="CA1053" s="4"/>
      <c r="CB1053" s="4"/>
      <c r="CC1053" s="4"/>
      <c r="CD1053" s="4"/>
      <c r="CE1053" s="4"/>
      <c r="CF1053" s="4"/>
      <c r="CG1053" s="4"/>
      <c r="CH1053" s="4"/>
      <c r="CI1053" s="4"/>
      <c r="CJ1053" s="4"/>
      <c r="CK1053" s="4"/>
      <c r="CL1053" s="4"/>
      <c r="CM1053" s="4"/>
      <c r="CN1053" s="4"/>
      <c r="CO1053" s="4"/>
      <c r="CP1053" s="4"/>
      <c r="CQ1053" s="4"/>
      <c r="CR1053" s="4"/>
      <c r="CS1053" s="4"/>
      <c r="CT1053" s="4"/>
      <c r="CU1053" s="4"/>
      <c r="CV1053" s="4"/>
      <c r="CW1053" s="4"/>
      <c r="CX1053" s="4"/>
      <c r="CY1053" s="4"/>
      <c r="CZ1053" s="4"/>
      <c r="DA1053" s="4"/>
      <c r="DB1053" s="4"/>
      <c r="DC1053" s="4"/>
      <c r="DD1053" s="4"/>
      <c r="DE1053" s="4"/>
      <c r="DF1053" s="4"/>
      <c r="DG1053" s="4"/>
      <c r="DH1053" s="4"/>
      <c r="DI1053" s="4"/>
      <c r="DJ1053" s="4"/>
      <c r="DK1053" s="4"/>
      <c r="DL1053" s="4"/>
      <c r="DM1053" s="4"/>
      <c r="DN1053" s="4"/>
      <c r="DO1053" s="4"/>
      <c r="DP1053" s="4"/>
      <c r="DQ1053" s="4"/>
      <c r="DR1053" s="4"/>
      <c r="DS1053" s="4"/>
    </row>
    <row r="1054">
      <c r="A1054" s="9">
        <f>IFERROR(__xludf.DUMMYFUNCTION("""COMPUTED_VALUE"""),45752.0)</f>
        <v>45752</v>
      </c>
      <c r="B1054" s="6" t="str">
        <f>IFERROR(__xludf.DUMMYFUNCTION("""COMPUTED_VALUE"""),"Municipal Tax (Agip)")</f>
        <v>Municipal Tax (Agip)</v>
      </c>
      <c r="C1054" s="7">
        <f>IFERROR(__xludf.DUMMYFUNCTION("""COMPUTED_VALUE"""),9194.0)</f>
        <v>9194</v>
      </c>
      <c r="D1054" s="6" t="str">
        <f>IFERROR(__xludf.DUMMYFUNCTION("""COMPUTED_VALUE"""),"Basic Services")</f>
        <v>Basic Services</v>
      </c>
      <c r="E1054" s="6" t="str">
        <f>IFERROR(__xludf.DUMMYFUNCTION("""COMPUTED_VALUE"""),"Split Payment")</f>
        <v>Split Payment</v>
      </c>
      <c r="F1054" s="6" t="s">
        <v>13</v>
      </c>
      <c r="G1054" s="8" t="str">
        <f t="shared" si="1"/>
        <v>202504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  <c r="AT1054" s="4"/>
      <c r="AU1054" s="4"/>
      <c r="AV1054" s="4"/>
      <c r="AW1054" s="4"/>
      <c r="AX1054" s="4"/>
      <c r="AY1054" s="4"/>
      <c r="AZ1054" s="4"/>
      <c r="BA1054" s="4"/>
      <c r="BB1054" s="4"/>
      <c r="BC1054" s="4"/>
      <c r="BD1054" s="4"/>
      <c r="BE1054" s="4"/>
      <c r="BF1054" s="4"/>
      <c r="BG1054" s="4"/>
      <c r="BH1054" s="4"/>
      <c r="BI1054" s="4"/>
      <c r="BJ1054" s="4"/>
      <c r="BK1054" s="4"/>
      <c r="BL1054" s="4"/>
      <c r="BM1054" s="4"/>
      <c r="BN1054" s="4"/>
      <c r="BO1054" s="4"/>
      <c r="BP1054" s="4"/>
      <c r="BQ1054" s="4"/>
      <c r="BR1054" s="4"/>
      <c r="BS1054" s="4"/>
      <c r="BT1054" s="4"/>
      <c r="BU1054" s="4"/>
      <c r="BV1054" s="4"/>
      <c r="BW1054" s="4"/>
      <c r="BX1054" s="4"/>
      <c r="BY1054" s="4"/>
      <c r="BZ1054" s="4"/>
      <c r="CA1054" s="4"/>
      <c r="CB1054" s="4"/>
      <c r="CC1054" s="4"/>
      <c r="CD1054" s="4"/>
      <c r="CE1054" s="4"/>
      <c r="CF1054" s="4"/>
      <c r="CG1054" s="4"/>
      <c r="CH1054" s="4"/>
      <c r="CI1054" s="4"/>
      <c r="CJ1054" s="4"/>
      <c r="CK1054" s="4"/>
      <c r="CL1054" s="4"/>
      <c r="CM1054" s="4"/>
      <c r="CN1054" s="4"/>
      <c r="CO1054" s="4"/>
      <c r="CP1054" s="4"/>
      <c r="CQ1054" s="4"/>
      <c r="CR1054" s="4"/>
      <c r="CS1054" s="4"/>
      <c r="CT1054" s="4"/>
      <c r="CU1054" s="4"/>
      <c r="CV1054" s="4"/>
      <c r="CW1054" s="4"/>
      <c r="CX1054" s="4"/>
      <c r="CY1054" s="4"/>
      <c r="CZ1054" s="4"/>
      <c r="DA1054" s="4"/>
      <c r="DB1054" s="4"/>
      <c r="DC1054" s="4"/>
      <c r="DD1054" s="4"/>
      <c r="DE1054" s="4"/>
      <c r="DF1054" s="4"/>
      <c r="DG1054" s="4"/>
      <c r="DH1054" s="4"/>
      <c r="DI1054" s="4"/>
      <c r="DJ1054" s="4"/>
      <c r="DK1054" s="4"/>
      <c r="DL1054" s="4"/>
      <c r="DM1054" s="4"/>
      <c r="DN1054" s="4"/>
      <c r="DO1054" s="4"/>
      <c r="DP1054" s="4"/>
      <c r="DQ1054" s="4"/>
      <c r="DR1054" s="4"/>
      <c r="DS1054" s="4"/>
    </row>
    <row r="1055">
      <c r="A1055" s="9">
        <f>IFERROR(__xludf.DUMMYFUNCTION("""COMPUTED_VALUE"""),45753.0)</f>
        <v>45753</v>
      </c>
      <c r="B1055" s="6" t="str">
        <f>IFERROR(__xludf.DUMMYFUNCTION("""COMPUTED_VALUE"""),"Groceries")</f>
        <v>Groceries</v>
      </c>
      <c r="C1055" s="7">
        <f>IFERROR(__xludf.DUMMYFUNCTION("""COMPUTED_VALUE"""),37350.0)</f>
        <v>37350</v>
      </c>
      <c r="D1055" s="6" t="str">
        <f>IFERROR(__xludf.DUMMYFUNCTION("""COMPUTED_VALUE"""),"Groceries")</f>
        <v>Groceries</v>
      </c>
      <c r="E1055" s="6" t="str">
        <f>IFERROR(__xludf.DUMMYFUNCTION("""COMPUTED_VALUE"""),"Virtual Wallet")</f>
        <v>Virtual Wallet</v>
      </c>
      <c r="F1055" s="6" t="s">
        <v>7</v>
      </c>
      <c r="G1055" s="8" t="str">
        <f t="shared" si="1"/>
        <v>202504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  <c r="AT1055" s="4"/>
      <c r="AU1055" s="4"/>
      <c r="AV1055" s="4"/>
      <c r="AW1055" s="4"/>
      <c r="AX1055" s="4"/>
      <c r="AY1055" s="4"/>
      <c r="AZ1055" s="4"/>
      <c r="BA1055" s="4"/>
      <c r="BB1055" s="4"/>
      <c r="BC1055" s="4"/>
      <c r="BD1055" s="4"/>
      <c r="BE1055" s="4"/>
      <c r="BF1055" s="4"/>
      <c r="BG1055" s="4"/>
      <c r="BH1055" s="4"/>
      <c r="BI1055" s="4"/>
      <c r="BJ1055" s="4"/>
      <c r="BK1055" s="4"/>
      <c r="BL1055" s="4"/>
      <c r="BM1055" s="4"/>
      <c r="BN1055" s="4"/>
      <c r="BO1055" s="4"/>
      <c r="BP1055" s="4"/>
      <c r="BQ1055" s="4"/>
      <c r="BR1055" s="4"/>
      <c r="BS1055" s="4"/>
      <c r="BT1055" s="4"/>
      <c r="BU1055" s="4"/>
      <c r="BV1055" s="4"/>
      <c r="BW1055" s="4"/>
      <c r="BX1055" s="4"/>
      <c r="BY1055" s="4"/>
      <c r="BZ1055" s="4"/>
      <c r="CA1055" s="4"/>
      <c r="CB1055" s="4"/>
      <c r="CC1055" s="4"/>
      <c r="CD1055" s="4"/>
      <c r="CE1055" s="4"/>
      <c r="CF1055" s="4"/>
      <c r="CG1055" s="4"/>
      <c r="CH1055" s="4"/>
      <c r="CI1055" s="4"/>
      <c r="CJ1055" s="4"/>
      <c r="CK1055" s="4"/>
      <c r="CL1055" s="4"/>
      <c r="CM1055" s="4"/>
      <c r="CN1055" s="4"/>
      <c r="CO1055" s="4"/>
      <c r="CP1055" s="4"/>
      <c r="CQ1055" s="4"/>
      <c r="CR1055" s="4"/>
      <c r="CS1055" s="4"/>
      <c r="CT1055" s="4"/>
      <c r="CU1055" s="4"/>
      <c r="CV1055" s="4"/>
      <c r="CW1055" s="4"/>
      <c r="CX1055" s="4"/>
      <c r="CY1055" s="4"/>
      <c r="CZ1055" s="4"/>
      <c r="DA1055" s="4"/>
      <c r="DB1055" s="4"/>
      <c r="DC1055" s="4"/>
      <c r="DD1055" s="4"/>
      <c r="DE1055" s="4"/>
      <c r="DF1055" s="4"/>
      <c r="DG1055" s="4"/>
      <c r="DH1055" s="4"/>
      <c r="DI1055" s="4"/>
      <c r="DJ1055" s="4"/>
      <c r="DK1055" s="4"/>
      <c r="DL1055" s="4"/>
      <c r="DM1055" s="4"/>
      <c r="DN1055" s="4"/>
      <c r="DO1055" s="4"/>
      <c r="DP1055" s="4"/>
      <c r="DQ1055" s="4"/>
      <c r="DR1055" s="4"/>
      <c r="DS1055" s="4"/>
    </row>
    <row r="1056">
      <c r="A1056" s="9">
        <f>IFERROR(__xludf.DUMMYFUNCTION("""COMPUTED_VALUE"""),45753.0)</f>
        <v>45753</v>
      </c>
      <c r="B1056" s="6" t="str">
        <f>IFERROR(__xludf.DUMMYFUNCTION("""COMPUTED_VALUE"""),"Car Maintenance")</f>
        <v>Car Maintenance</v>
      </c>
      <c r="C1056" s="7">
        <f>IFERROR(__xludf.DUMMYFUNCTION("""COMPUTED_VALUE"""),7250.0)</f>
        <v>7250</v>
      </c>
      <c r="D1056" s="6" t="str">
        <f>IFERROR(__xludf.DUMMYFUNCTION("""COMPUTED_VALUE"""),"Car Expenses")</f>
        <v>Car Expenses</v>
      </c>
      <c r="E1056" s="6" t="str">
        <f>IFERROR(__xludf.DUMMYFUNCTION("""COMPUTED_VALUE"""),"Virtual Wallet")</f>
        <v>Virtual Wallet</v>
      </c>
      <c r="F1056" s="6" t="s">
        <v>9</v>
      </c>
      <c r="G1056" s="8" t="str">
        <f t="shared" si="1"/>
        <v>202504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  <c r="AT1056" s="4"/>
      <c r="AU1056" s="4"/>
      <c r="AV1056" s="4"/>
      <c r="AW1056" s="4"/>
      <c r="AX1056" s="4"/>
      <c r="AY1056" s="4"/>
      <c r="AZ1056" s="4"/>
      <c r="BA1056" s="4"/>
      <c r="BB1056" s="4"/>
      <c r="BC1056" s="4"/>
      <c r="BD1056" s="4"/>
      <c r="BE1056" s="4"/>
      <c r="BF1056" s="4"/>
      <c r="BG1056" s="4"/>
      <c r="BH1056" s="4"/>
      <c r="BI1056" s="4"/>
      <c r="BJ1056" s="4"/>
      <c r="BK1056" s="4"/>
      <c r="BL1056" s="4"/>
      <c r="BM1056" s="4"/>
      <c r="BN1056" s="4"/>
      <c r="BO1056" s="4"/>
      <c r="BP1056" s="4"/>
      <c r="BQ1056" s="4"/>
      <c r="BR1056" s="4"/>
      <c r="BS1056" s="4"/>
      <c r="BT1056" s="4"/>
      <c r="BU1056" s="4"/>
      <c r="BV1056" s="4"/>
      <c r="BW1056" s="4"/>
      <c r="BX1056" s="4"/>
      <c r="BY1056" s="4"/>
      <c r="BZ1056" s="4"/>
      <c r="CA1056" s="4"/>
      <c r="CB1056" s="4"/>
      <c r="CC1056" s="4"/>
      <c r="CD1056" s="4"/>
      <c r="CE1056" s="4"/>
      <c r="CF1056" s="4"/>
      <c r="CG1056" s="4"/>
      <c r="CH1056" s="4"/>
      <c r="CI1056" s="4"/>
      <c r="CJ1056" s="4"/>
      <c r="CK1056" s="4"/>
      <c r="CL1056" s="4"/>
      <c r="CM1056" s="4"/>
      <c r="CN1056" s="4"/>
      <c r="CO1056" s="4"/>
      <c r="CP1056" s="4"/>
      <c r="CQ1056" s="4"/>
      <c r="CR1056" s="4"/>
      <c r="CS1056" s="4"/>
      <c r="CT1056" s="4"/>
      <c r="CU1056" s="4"/>
      <c r="CV1056" s="4"/>
      <c r="CW1056" s="4"/>
      <c r="CX1056" s="4"/>
      <c r="CY1056" s="4"/>
      <c r="CZ1056" s="4"/>
      <c r="DA1056" s="4"/>
      <c r="DB1056" s="4"/>
      <c r="DC1056" s="4"/>
      <c r="DD1056" s="4"/>
      <c r="DE1056" s="4"/>
      <c r="DF1056" s="4"/>
      <c r="DG1056" s="4"/>
      <c r="DH1056" s="4"/>
      <c r="DI1056" s="4"/>
      <c r="DJ1056" s="4"/>
      <c r="DK1056" s="4"/>
      <c r="DL1056" s="4"/>
      <c r="DM1056" s="4"/>
      <c r="DN1056" s="4"/>
      <c r="DO1056" s="4"/>
      <c r="DP1056" s="4"/>
      <c r="DQ1056" s="4"/>
      <c r="DR1056" s="4"/>
      <c r="DS1056" s="4"/>
    </row>
    <row r="1057">
      <c r="A1057" s="9">
        <f>IFERROR(__xludf.DUMMYFUNCTION("""COMPUTED_VALUE"""),45753.0)</f>
        <v>45753</v>
      </c>
      <c r="B1057" s="6" t="str">
        <f>IFERROR(__xludf.DUMMYFUNCTION("""COMPUTED_VALUE"""),"Restaurant")</f>
        <v>Restaurant</v>
      </c>
      <c r="C1057" s="7">
        <f>IFERROR(__xludf.DUMMYFUNCTION("""COMPUTED_VALUE"""),1218.0)</f>
        <v>1218</v>
      </c>
      <c r="D1057" s="6" t="str">
        <f>IFERROR(__xludf.DUMMYFUNCTION("""COMPUTED_VALUE"""),"Restaurant / Café")</f>
        <v>Restaurant / Café</v>
      </c>
      <c r="E1057" s="6" t="str">
        <f>IFERROR(__xludf.DUMMYFUNCTION("""COMPUTED_VALUE"""),"Virtual Wallet")</f>
        <v>Virtual Wallet</v>
      </c>
      <c r="F1057" s="6" t="s">
        <v>14</v>
      </c>
      <c r="G1057" s="8" t="str">
        <f t="shared" si="1"/>
        <v>202504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  <c r="AT1057" s="4"/>
      <c r="AU1057" s="4"/>
      <c r="AV1057" s="4"/>
      <c r="AW1057" s="4"/>
      <c r="AX1057" s="4"/>
      <c r="AY1057" s="4"/>
      <c r="AZ1057" s="4"/>
      <c r="BA1057" s="4"/>
      <c r="BB1057" s="4"/>
      <c r="BC1057" s="4"/>
      <c r="BD1057" s="4"/>
      <c r="BE1057" s="4"/>
      <c r="BF1057" s="4"/>
      <c r="BG1057" s="4"/>
      <c r="BH1057" s="4"/>
      <c r="BI1057" s="4"/>
      <c r="BJ1057" s="4"/>
      <c r="BK1057" s="4"/>
      <c r="BL1057" s="4"/>
      <c r="BM1057" s="4"/>
      <c r="BN1057" s="4"/>
      <c r="BO1057" s="4"/>
      <c r="BP1057" s="4"/>
      <c r="BQ1057" s="4"/>
      <c r="BR1057" s="4"/>
      <c r="BS1057" s="4"/>
      <c r="BT1057" s="4"/>
      <c r="BU1057" s="4"/>
      <c r="BV1057" s="4"/>
      <c r="BW1057" s="4"/>
      <c r="BX1057" s="4"/>
      <c r="BY1057" s="4"/>
      <c r="BZ1057" s="4"/>
      <c r="CA1057" s="4"/>
      <c r="CB1057" s="4"/>
      <c r="CC1057" s="4"/>
      <c r="CD1057" s="4"/>
      <c r="CE1057" s="4"/>
      <c r="CF1057" s="4"/>
      <c r="CG1057" s="4"/>
      <c r="CH1057" s="4"/>
      <c r="CI1057" s="4"/>
      <c r="CJ1057" s="4"/>
      <c r="CK1057" s="4"/>
      <c r="CL1057" s="4"/>
      <c r="CM1057" s="4"/>
      <c r="CN1057" s="4"/>
      <c r="CO1057" s="4"/>
      <c r="CP1057" s="4"/>
      <c r="CQ1057" s="4"/>
      <c r="CR1057" s="4"/>
      <c r="CS1057" s="4"/>
      <c r="CT1057" s="4"/>
      <c r="CU1057" s="4"/>
      <c r="CV1057" s="4"/>
      <c r="CW1057" s="4"/>
      <c r="CX1057" s="4"/>
      <c r="CY1057" s="4"/>
      <c r="CZ1057" s="4"/>
      <c r="DA1057" s="4"/>
      <c r="DB1057" s="4"/>
      <c r="DC1057" s="4"/>
      <c r="DD1057" s="4"/>
      <c r="DE1057" s="4"/>
      <c r="DF1057" s="4"/>
      <c r="DG1057" s="4"/>
      <c r="DH1057" s="4"/>
      <c r="DI1057" s="4"/>
      <c r="DJ1057" s="4"/>
      <c r="DK1057" s="4"/>
      <c r="DL1057" s="4"/>
      <c r="DM1057" s="4"/>
      <c r="DN1057" s="4"/>
      <c r="DO1057" s="4"/>
      <c r="DP1057" s="4"/>
      <c r="DQ1057" s="4"/>
      <c r="DR1057" s="4"/>
      <c r="DS1057" s="4"/>
    </row>
    <row r="1058">
      <c r="A1058" s="9">
        <f>IFERROR(__xludf.DUMMYFUNCTION("""COMPUTED_VALUE"""),45754.0)</f>
        <v>45754</v>
      </c>
      <c r="B1058" s="6" t="str">
        <f>IFERROR(__xludf.DUMMYFUNCTION("""COMPUTED_VALUE"""),"Doctor Visit")</f>
        <v>Doctor Visit</v>
      </c>
      <c r="C1058" s="7">
        <f>IFERROR(__xludf.DUMMYFUNCTION("""COMPUTED_VALUE"""),7000.0)</f>
        <v>7000</v>
      </c>
      <c r="D1058" s="6" t="str">
        <f>IFERROR(__xludf.DUMMYFUNCTION("""COMPUTED_VALUE"""),"Healthcare")</f>
        <v>Healthcare</v>
      </c>
      <c r="E1058" s="6" t="str">
        <f>IFERROR(__xludf.DUMMYFUNCTION("""COMPUTED_VALUE"""),"Virtual Wallet")</f>
        <v>Virtual Wallet</v>
      </c>
      <c r="F1058" s="6" t="s">
        <v>15</v>
      </c>
      <c r="G1058" s="8" t="str">
        <f t="shared" si="1"/>
        <v>202504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  <c r="AT1058" s="4"/>
      <c r="AU1058" s="4"/>
      <c r="AV1058" s="4"/>
      <c r="AW1058" s="4"/>
      <c r="AX1058" s="4"/>
      <c r="AY1058" s="4"/>
      <c r="AZ1058" s="4"/>
      <c r="BA1058" s="4"/>
      <c r="BB1058" s="4"/>
      <c r="BC1058" s="4"/>
      <c r="BD1058" s="4"/>
      <c r="BE1058" s="4"/>
      <c r="BF1058" s="4"/>
      <c r="BG1058" s="4"/>
      <c r="BH1058" s="4"/>
      <c r="BI1058" s="4"/>
      <c r="BJ1058" s="4"/>
      <c r="BK1058" s="4"/>
      <c r="BL1058" s="4"/>
      <c r="BM1058" s="4"/>
      <c r="BN1058" s="4"/>
      <c r="BO1058" s="4"/>
      <c r="BP1058" s="4"/>
      <c r="BQ1058" s="4"/>
      <c r="BR1058" s="4"/>
      <c r="BS1058" s="4"/>
      <c r="BT1058" s="4"/>
      <c r="BU1058" s="4"/>
      <c r="BV1058" s="4"/>
      <c r="BW1058" s="4"/>
      <c r="BX1058" s="4"/>
      <c r="BY1058" s="4"/>
      <c r="BZ1058" s="4"/>
      <c r="CA1058" s="4"/>
      <c r="CB1058" s="4"/>
      <c r="CC1058" s="4"/>
      <c r="CD1058" s="4"/>
      <c r="CE1058" s="4"/>
      <c r="CF1058" s="4"/>
      <c r="CG1058" s="4"/>
      <c r="CH1058" s="4"/>
      <c r="CI1058" s="4"/>
      <c r="CJ1058" s="4"/>
      <c r="CK1058" s="4"/>
      <c r="CL1058" s="4"/>
      <c r="CM1058" s="4"/>
      <c r="CN1058" s="4"/>
      <c r="CO1058" s="4"/>
      <c r="CP1058" s="4"/>
      <c r="CQ1058" s="4"/>
      <c r="CR1058" s="4"/>
      <c r="CS1058" s="4"/>
      <c r="CT1058" s="4"/>
      <c r="CU1058" s="4"/>
      <c r="CV1058" s="4"/>
      <c r="CW1058" s="4"/>
      <c r="CX1058" s="4"/>
      <c r="CY1058" s="4"/>
      <c r="CZ1058" s="4"/>
      <c r="DA1058" s="4"/>
      <c r="DB1058" s="4"/>
      <c r="DC1058" s="4"/>
      <c r="DD1058" s="4"/>
      <c r="DE1058" s="4"/>
      <c r="DF1058" s="4"/>
      <c r="DG1058" s="4"/>
      <c r="DH1058" s="4"/>
      <c r="DI1058" s="4"/>
      <c r="DJ1058" s="4"/>
      <c r="DK1058" s="4"/>
      <c r="DL1058" s="4"/>
      <c r="DM1058" s="4"/>
      <c r="DN1058" s="4"/>
      <c r="DO1058" s="4"/>
      <c r="DP1058" s="4"/>
      <c r="DQ1058" s="4"/>
      <c r="DR1058" s="4"/>
      <c r="DS1058" s="4"/>
    </row>
    <row r="1059">
      <c r="A1059" s="9">
        <f>IFERROR(__xludf.DUMMYFUNCTION("""COMPUTED_VALUE"""),45754.0)</f>
        <v>45754</v>
      </c>
      <c r="B1059" s="6" t="str">
        <f>IFERROR(__xludf.DUMMYFUNCTION("""COMPUTED_VALUE"""),"Donation")</f>
        <v>Donation</v>
      </c>
      <c r="C1059" s="7">
        <f>IFERROR(__xludf.DUMMYFUNCTION("""COMPUTED_VALUE"""),5000.0)</f>
        <v>5000</v>
      </c>
      <c r="D1059" s="6" t="str">
        <f>IFERROR(__xludf.DUMMYFUNCTION("""COMPUTED_VALUE"""),"Donation")</f>
        <v>Donation</v>
      </c>
      <c r="E1059" s="6" t="str">
        <f>IFERROR(__xludf.DUMMYFUNCTION("""COMPUTED_VALUE"""),"Virtual Wallet")</f>
        <v>Virtual Wallet</v>
      </c>
      <c r="F1059" s="6"/>
      <c r="G1059" s="8" t="str">
        <f t="shared" si="1"/>
        <v>202504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  <c r="AT1059" s="4"/>
      <c r="AU1059" s="4"/>
      <c r="AV1059" s="4"/>
      <c r="AW1059" s="4"/>
      <c r="AX1059" s="4"/>
      <c r="AY1059" s="4"/>
      <c r="AZ1059" s="4"/>
      <c r="BA1059" s="4"/>
      <c r="BB1059" s="4"/>
      <c r="BC1059" s="4"/>
      <c r="BD1059" s="4"/>
      <c r="BE1059" s="4"/>
      <c r="BF1059" s="4"/>
      <c r="BG1059" s="4"/>
      <c r="BH1059" s="4"/>
      <c r="BI1059" s="4"/>
      <c r="BJ1059" s="4"/>
      <c r="BK1059" s="4"/>
      <c r="BL1059" s="4"/>
      <c r="BM1059" s="4"/>
      <c r="BN1059" s="4"/>
      <c r="BO1059" s="4"/>
      <c r="BP1059" s="4"/>
      <c r="BQ1059" s="4"/>
      <c r="BR1059" s="4"/>
      <c r="BS1059" s="4"/>
      <c r="BT1059" s="4"/>
      <c r="BU1059" s="4"/>
      <c r="BV1059" s="4"/>
      <c r="BW1059" s="4"/>
      <c r="BX1059" s="4"/>
      <c r="BY1059" s="4"/>
      <c r="BZ1059" s="4"/>
      <c r="CA1059" s="4"/>
      <c r="CB1059" s="4"/>
      <c r="CC1059" s="4"/>
      <c r="CD1059" s="4"/>
      <c r="CE1059" s="4"/>
      <c r="CF1059" s="4"/>
      <c r="CG1059" s="4"/>
      <c r="CH1059" s="4"/>
      <c r="CI1059" s="4"/>
      <c r="CJ1059" s="4"/>
      <c r="CK1059" s="4"/>
      <c r="CL1059" s="4"/>
      <c r="CM1059" s="4"/>
      <c r="CN1059" s="4"/>
      <c r="CO1059" s="4"/>
      <c r="CP1059" s="4"/>
      <c r="CQ1059" s="4"/>
      <c r="CR1059" s="4"/>
      <c r="CS1059" s="4"/>
      <c r="CT1059" s="4"/>
      <c r="CU1059" s="4"/>
      <c r="CV1059" s="4"/>
      <c r="CW1059" s="4"/>
      <c r="CX1059" s="4"/>
      <c r="CY1059" s="4"/>
      <c r="CZ1059" s="4"/>
      <c r="DA1059" s="4"/>
      <c r="DB1059" s="4"/>
      <c r="DC1059" s="4"/>
      <c r="DD1059" s="4"/>
      <c r="DE1059" s="4"/>
      <c r="DF1059" s="4"/>
      <c r="DG1059" s="4"/>
      <c r="DH1059" s="4"/>
      <c r="DI1059" s="4"/>
      <c r="DJ1059" s="4"/>
      <c r="DK1059" s="4"/>
      <c r="DL1059" s="4"/>
      <c r="DM1059" s="4"/>
      <c r="DN1059" s="4"/>
      <c r="DO1059" s="4"/>
      <c r="DP1059" s="4"/>
      <c r="DQ1059" s="4"/>
      <c r="DR1059" s="4"/>
      <c r="DS1059" s="4"/>
    </row>
    <row r="1060">
      <c r="A1060" s="9">
        <f>IFERROR(__xludf.DUMMYFUNCTION("""COMPUTED_VALUE"""),45754.0)</f>
        <v>45754</v>
      </c>
      <c r="B1060" s="6" t="str">
        <f>IFERROR(__xludf.DUMMYFUNCTION("""COMPUTED_VALUE"""),"Groceries")</f>
        <v>Groceries</v>
      </c>
      <c r="C1060" s="7">
        <f>IFERROR(__xludf.DUMMYFUNCTION("""COMPUTED_VALUE"""),4498.0)</f>
        <v>4498</v>
      </c>
      <c r="D1060" s="6" t="str">
        <f>IFERROR(__xludf.DUMMYFUNCTION("""COMPUTED_VALUE"""),"Groceries")</f>
        <v>Groceries</v>
      </c>
      <c r="E1060" s="6" t="str">
        <f>IFERROR(__xludf.DUMMYFUNCTION("""COMPUTED_VALUE"""),"Virtual Wallet")</f>
        <v>Virtual Wallet</v>
      </c>
      <c r="F1060" s="6" t="s">
        <v>7</v>
      </c>
      <c r="G1060" s="8" t="str">
        <f t="shared" si="1"/>
        <v>202504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  <c r="AT1060" s="4"/>
      <c r="AU1060" s="4"/>
      <c r="AV1060" s="4"/>
      <c r="AW1060" s="4"/>
      <c r="AX1060" s="4"/>
      <c r="AY1060" s="4"/>
      <c r="AZ1060" s="4"/>
      <c r="BA1060" s="4"/>
      <c r="BB1060" s="4"/>
      <c r="BC1060" s="4"/>
      <c r="BD1060" s="4"/>
      <c r="BE1060" s="4"/>
      <c r="BF1060" s="4"/>
      <c r="BG1060" s="4"/>
      <c r="BH1060" s="4"/>
      <c r="BI1060" s="4"/>
      <c r="BJ1060" s="4"/>
      <c r="BK1060" s="4"/>
      <c r="BL1060" s="4"/>
      <c r="BM1060" s="4"/>
      <c r="BN1060" s="4"/>
      <c r="BO1060" s="4"/>
      <c r="BP1060" s="4"/>
      <c r="BQ1060" s="4"/>
      <c r="BR1060" s="4"/>
      <c r="BS1060" s="4"/>
      <c r="BT1060" s="4"/>
      <c r="BU1060" s="4"/>
      <c r="BV1060" s="4"/>
      <c r="BW1060" s="4"/>
      <c r="BX1060" s="4"/>
      <c r="BY1060" s="4"/>
      <c r="BZ1060" s="4"/>
      <c r="CA1060" s="4"/>
      <c r="CB1060" s="4"/>
      <c r="CC1060" s="4"/>
      <c r="CD1060" s="4"/>
      <c r="CE1060" s="4"/>
      <c r="CF1060" s="4"/>
      <c r="CG1060" s="4"/>
      <c r="CH1060" s="4"/>
      <c r="CI1060" s="4"/>
      <c r="CJ1060" s="4"/>
      <c r="CK1060" s="4"/>
      <c r="CL1060" s="4"/>
      <c r="CM1060" s="4"/>
      <c r="CN1060" s="4"/>
      <c r="CO1060" s="4"/>
      <c r="CP1060" s="4"/>
      <c r="CQ1060" s="4"/>
      <c r="CR1060" s="4"/>
      <c r="CS1060" s="4"/>
      <c r="CT1060" s="4"/>
      <c r="CU1060" s="4"/>
      <c r="CV1060" s="4"/>
      <c r="CW1060" s="4"/>
      <c r="CX1060" s="4"/>
      <c r="CY1060" s="4"/>
      <c r="CZ1060" s="4"/>
      <c r="DA1060" s="4"/>
      <c r="DB1060" s="4"/>
      <c r="DC1060" s="4"/>
      <c r="DD1060" s="4"/>
      <c r="DE1060" s="4"/>
      <c r="DF1060" s="4"/>
      <c r="DG1060" s="4"/>
      <c r="DH1060" s="4"/>
      <c r="DI1060" s="4"/>
      <c r="DJ1060" s="4"/>
      <c r="DK1060" s="4"/>
      <c r="DL1060" s="4"/>
      <c r="DM1060" s="4"/>
      <c r="DN1060" s="4"/>
      <c r="DO1060" s="4"/>
      <c r="DP1060" s="4"/>
      <c r="DQ1060" s="4"/>
      <c r="DR1060" s="4"/>
      <c r="DS1060" s="4"/>
    </row>
    <row r="1061">
      <c r="A1061" s="9">
        <f>IFERROR(__xludf.DUMMYFUNCTION("""COMPUTED_VALUE"""),45754.0)</f>
        <v>45754</v>
      </c>
      <c r="B1061" s="6" t="str">
        <f>IFERROR(__xludf.DUMMYFUNCTION("""COMPUTED_VALUE"""),"Pets")</f>
        <v>Pets</v>
      </c>
      <c r="C1061" s="7">
        <f>IFERROR(__xludf.DUMMYFUNCTION("""COMPUTED_VALUE"""),61000.0)</f>
        <v>61000</v>
      </c>
      <c r="D1061" s="6" t="str">
        <f>IFERROR(__xludf.DUMMYFUNCTION("""COMPUTED_VALUE"""),"Pets")</f>
        <v>Pets</v>
      </c>
      <c r="E1061" s="6" t="str">
        <f>IFERROR(__xludf.DUMMYFUNCTION("""COMPUTED_VALUE"""),"Virtual Wallet")</f>
        <v>Virtual Wallet</v>
      </c>
      <c r="F1061" s="6" t="s">
        <v>7</v>
      </c>
      <c r="G1061" s="8" t="str">
        <f t="shared" si="1"/>
        <v>202504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  <c r="AT1061" s="4"/>
      <c r="AU1061" s="4"/>
      <c r="AV1061" s="4"/>
      <c r="AW1061" s="4"/>
      <c r="AX1061" s="4"/>
      <c r="AY1061" s="4"/>
      <c r="AZ1061" s="4"/>
      <c r="BA1061" s="4"/>
      <c r="BB1061" s="4"/>
      <c r="BC1061" s="4"/>
      <c r="BD1061" s="4"/>
      <c r="BE1061" s="4"/>
      <c r="BF1061" s="4"/>
      <c r="BG1061" s="4"/>
      <c r="BH1061" s="4"/>
      <c r="BI1061" s="4"/>
      <c r="BJ1061" s="4"/>
      <c r="BK1061" s="4"/>
      <c r="BL1061" s="4"/>
      <c r="BM1061" s="4"/>
      <c r="BN1061" s="4"/>
      <c r="BO1061" s="4"/>
      <c r="BP1061" s="4"/>
      <c r="BQ1061" s="4"/>
      <c r="BR1061" s="4"/>
      <c r="BS1061" s="4"/>
      <c r="BT1061" s="4"/>
      <c r="BU1061" s="4"/>
      <c r="BV1061" s="4"/>
      <c r="BW1061" s="4"/>
      <c r="BX1061" s="4"/>
      <c r="BY1061" s="4"/>
      <c r="BZ1061" s="4"/>
      <c r="CA1061" s="4"/>
      <c r="CB1061" s="4"/>
      <c r="CC1061" s="4"/>
      <c r="CD1061" s="4"/>
      <c r="CE1061" s="4"/>
      <c r="CF1061" s="4"/>
      <c r="CG1061" s="4"/>
      <c r="CH1061" s="4"/>
      <c r="CI1061" s="4"/>
      <c r="CJ1061" s="4"/>
      <c r="CK1061" s="4"/>
      <c r="CL1061" s="4"/>
      <c r="CM1061" s="4"/>
      <c r="CN1061" s="4"/>
      <c r="CO1061" s="4"/>
      <c r="CP1061" s="4"/>
      <c r="CQ1061" s="4"/>
      <c r="CR1061" s="4"/>
      <c r="CS1061" s="4"/>
      <c r="CT1061" s="4"/>
      <c r="CU1061" s="4"/>
      <c r="CV1061" s="4"/>
      <c r="CW1061" s="4"/>
      <c r="CX1061" s="4"/>
      <c r="CY1061" s="4"/>
      <c r="CZ1061" s="4"/>
      <c r="DA1061" s="4"/>
      <c r="DB1061" s="4"/>
      <c r="DC1061" s="4"/>
      <c r="DD1061" s="4"/>
      <c r="DE1061" s="4"/>
      <c r="DF1061" s="4"/>
      <c r="DG1061" s="4"/>
      <c r="DH1061" s="4"/>
      <c r="DI1061" s="4"/>
      <c r="DJ1061" s="4"/>
      <c r="DK1061" s="4"/>
      <c r="DL1061" s="4"/>
      <c r="DM1061" s="4"/>
      <c r="DN1061" s="4"/>
      <c r="DO1061" s="4"/>
      <c r="DP1061" s="4"/>
      <c r="DQ1061" s="4"/>
      <c r="DR1061" s="4"/>
      <c r="DS1061" s="4"/>
    </row>
    <row r="1062">
      <c r="A1062" s="9">
        <f>IFERROR(__xludf.DUMMYFUNCTION("""COMPUTED_VALUE"""),45754.0)</f>
        <v>45754</v>
      </c>
      <c r="B1062" s="6" t="str">
        <f>IFERROR(__xludf.DUMMYFUNCTION("""COMPUTED_VALUE"""),"Pharmacy")</f>
        <v>Pharmacy</v>
      </c>
      <c r="C1062" s="7">
        <f>IFERROR(__xludf.DUMMYFUNCTION("""COMPUTED_VALUE"""),4000.0)</f>
        <v>4000</v>
      </c>
      <c r="D1062" s="6" t="str">
        <f>IFERROR(__xludf.DUMMYFUNCTION("""COMPUTED_VALUE"""),"Healthcare")</f>
        <v>Healthcare</v>
      </c>
      <c r="E1062" s="6" t="str">
        <f>IFERROR(__xludf.DUMMYFUNCTION("""COMPUTED_VALUE"""),"Virtual Wallet")</f>
        <v>Virtual Wallet</v>
      </c>
      <c r="F1062" s="6" t="s">
        <v>15</v>
      </c>
      <c r="G1062" s="8" t="str">
        <f t="shared" si="1"/>
        <v>202504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  <c r="AT1062" s="4"/>
      <c r="AU1062" s="4"/>
      <c r="AV1062" s="4"/>
      <c r="AW1062" s="4"/>
      <c r="AX1062" s="4"/>
      <c r="AY1062" s="4"/>
      <c r="AZ1062" s="4"/>
      <c r="BA1062" s="4"/>
      <c r="BB1062" s="4"/>
      <c r="BC1062" s="4"/>
      <c r="BD1062" s="4"/>
      <c r="BE1062" s="4"/>
      <c r="BF1062" s="4"/>
      <c r="BG1062" s="4"/>
      <c r="BH1062" s="4"/>
      <c r="BI1062" s="4"/>
      <c r="BJ1062" s="4"/>
      <c r="BK1062" s="4"/>
      <c r="BL1062" s="4"/>
      <c r="BM1062" s="4"/>
      <c r="BN1062" s="4"/>
      <c r="BO1062" s="4"/>
      <c r="BP1062" s="4"/>
      <c r="BQ1062" s="4"/>
      <c r="BR1062" s="4"/>
      <c r="BS1062" s="4"/>
      <c r="BT1062" s="4"/>
      <c r="BU1062" s="4"/>
      <c r="BV1062" s="4"/>
      <c r="BW1062" s="4"/>
      <c r="BX1062" s="4"/>
      <c r="BY1062" s="4"/>
      <c r="BZ1062" s="4"/>
      <c r="CA1062" s="4"/>
      <c r="CB1062" s="4"/>
      <c r="CC1062" s="4"/>
      <c r="CD1062" s="4"/>
      <c r="CE1062" s="4"/>
      <c r="CF1062" s="4"/>
      <c r="CG1062" s="4"/>
      <c r="CH1062" s="4"/>
      <c r="CI1062" s="4"/>
      <c r="CJ1062" s="4"/>
      <c r="CK1062" s="4"/>
      <c r="CL1062" s="4"/>
      <c r="CM1062" s="4"/>
      <c r="CN1062" s="4"/>
      <c r="CO1062" s="4"/>
      <c r="CP1062" s="4"/>
      <c r="CQ1062" s="4"/>
      <c r="CR1062" s="4"/>
      <c r="CS1062" s="4"/>
      <c r="CT1062" s="4"/>
      <c r="CU1062" s="4"/>
      <c r="CV1062" s="4"/>
      <c r="CW1062" s="4"/>
      <c r="CX1062" s="4"/>
      <c r="CY1062" s="4"/>
      <c r="CZ1062" s="4"/>
      <c r="DA1062" s="4"/>
      <c r="DB1062" s="4"/>
      <c r="DC1062" s="4"/>
      <c r="DD1062" s="4"/>
      <c r="DE1062" s="4"/>
      <c r="DF1062" s="4"/>
      <c r="DG1062" s="4"/>
      <c r="DH1062" s="4"/>
      <c r="DI1062" s="4"/>
      <c r="DJ1062" s="4"/>
      <c r="DK1062" s="4"/>
      <c r="DL1062" s="4"/>
      <c r="DM1062" s="4"/>
      <c r="DN1062" s="4"/>
      <c r="DO1062" s="4"/>
      <c r="DP1062" s="4"/>
      <c r="DQ1062" s="4"/>
      <c r="DR1062" s="4"/>
      <c r="DS1062" s="4"/>
    </row>
    <row r="1063">
      <c r="A1063" s="9">
        <f>IFERROR(__xludf.DUMMYFUNCTION("""COMPUTED_VALUE"""),45754.0)</f>
        <v>45754</v>
      </c>
      <c r="B1063" s="6" t="str">
        <f>IFERROR(__xludf.DUMMYFUNCTION("""COMPUTED_VALUE"""),"Rent &amp; Building Expenses")</f>
        <v>Rent &amp; Building Expenses</v>
      </c>
      <c r="C1063" s="7">
        <f>IFERROR(__xludf.DUMMYFUNCTION("""COMPUTED_VALUE"""),354000.0)</f>
        <v>354000</v>
      </c>
      <c r="D1063" s="6" t="str">
        <f>IFERROR(__xludf.DUMMYFUNCTION("""COMPUTED_VALUE"""),"Rent &amp; Utilities")</f>
        <v>Rent &amp; Utilities</v>
      </c>
      <c r="E1063" s="6" t="str">
        <f>IFERROR(__xludf.DUMMYFUNCTION("""COMPUTED_VALUE"""),"Virtual Wallet")</f>
        <v>Virtual Wallet</v>
      </c>
      <c r="F1063" s="6" t="s">
        <v>13</v>
      </c>
      <c r="G1063" s="8" t="str">
        <f t="shared" si="1"/>
        <v>202504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  <c r="AT1063" s="4"/>
      <c r="AU1063" s="4"/>
      <c r="AV1063" s="4"/>
      <c r="AW1063" s="4"/>
      <c r="AX1063" s="4"/>
      <c r="AY1063" s="4"/>
      <c r="AZ1063" s="4"/>
      <c r="BA1063" s="4"/>
      <c r="BB1063" s="4"/>
      <c r="BC1063" s="4"/>
      <c r="BD1063" s="4"/>
      <c r="BE1063" s="4"/>
      <c r="BF1063" s="4"/>
      <c r="BG1063" s="4"/>
      <c r="BH1063" s="4"/>
      <c r="BI1063" s="4"/>
      <c r="BJ1063" s="4"/>
      <c r="BK1063" s="4"/>
      <c r="BL1063" s="4"/>
      <c r="BM1063" s="4"/>
      <c r="BN1063" s="4"/>
      <c r="BO1063" s="4"/>
      <c r="BP1063" s="4"/>
      <c r="BQ1063" s="4"/>
      <c r="BR1063" s="4"/>
      <c r="BS1063" s="4"/>
      <c r="BT1063" s="4"/>
      <c r="BU1063" s="4"/>
      <c r="BV1063" s="4"/>
      <c r="BW1063" s="4"/>
      <c r="BX1063" s="4"/>
      <c r="BY1063" s="4"/>
      <c r="BZ1063" s="4"/>
      <c r="CA1063" s="4"/>
      <c r="CB1063" s="4"/>
      <c r="CC1063" s="4"/>
      <c r="CD1063" s="4"/>
      <c r="CE1063" s="4"/>
      <c r="CF1063" s="4"/>
      <c r="CG1063" s="4"/>
      <c r="CH1063" s="4"/>
      <c r="CI1063" s="4"/>
      <c r="CJ1063" s="4"/>
      <c r="CK1063" s="4"/>
      <c r="CL1063" s="4"/>
      <c r="CM1063" s="4"/>
      <c r="CN1063" s="4"/>
      <c r="CO1063" s="4"/>
      <c r="CP1063" s="4"/>
      <c r="CQ1063" s="4"/>
      <c r="CR1063" s="4"/>
      <c r="CS1063" s="4"/>
      <c r="CT1063" s="4"/>
      <c r="CU1063" s="4"/>
      <c r="CV1063" s="4"/>
      <c r="CW1063" s="4"/>
      <c r="CX1063" s="4"/>
      <c r="CY1063" s="4"/>
      <c r="CZ1063" s="4"/>
      <c r="DA1063" s="4"/>
      <c r="DB1063" s="4"/>
      <c r="DC1063" s="4"/>
      <c r="DD1063" s="4"/>
      <c r="DE1063" s="4"/>
      <c r="DF1063" s="4"/>
      <c r="DG1063" s="4"/>
      <c r="DH1063" s="4"/>
      <c r="DI1063" s="4"/>
      <c r="DJ1063" s="4"/>
      <c r="DK1063" s="4"/>
      <c r="DL1063" s="4"/>
      <c r="DM1063" s="4"/>
      <c r="DN1063" s="4"/>
      <c r="DO1063" s="4"/>
      <c r="DP1063" s="4"/>
      <c r="DQ1063" s="4"/>
      <c r="DR1063" s="4"/>
      <c r="DS1063" s="4"/>
    </row>
    <row r="1064">
      <c r="A1064" s="9">
        <f>IFERROR(__xludf.DUMMYFUNCTION("""COMPUTED_VALUE"""),45755.0)</f>
        <v>45755</v>
      </c>
      <c r="B1064" s="6" t="str">
        <f>IFERROR(__xludf.DUMMYFUNCTION("""COMPUTED_VALUE"""),"Groceries")</f>
        <v>Groceries</v>
      </c>
      <c r="C1064" s="7">
        <f>IFERROR(__xludf.DUMMYFUNCTION("""COMPUTED_VALUE"""),28.0)</f>
        <v>28</v>
      </c>
      <c r="D1064" s="6" t="str">
        <f>IFERROR(__xludf.DUMMYFUNCTION("""COMPUTED_VALUE"""),"Lunch Out")</f>
        <v>Lunch Out</v>
      </c>
      <c r="E1064" s="6" t="str">
        <f>IFERROR(__xludf.DUMMYFUNCTION("""COMPUTED_VALUE"""),"Virtual Wallet")</f>
        <v>Virtual Wallet</v>
      </c>
      <c r="F1064" s="6" t="s">
        <v>14</v>
      </c>
      <c r="G1064" s="8" t="str">
        <f t="shared" si="1"/>
        <v>202504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  <c r="AT1064" s="4"/>
      <c r="AU1064" s="4"/>
      <c r="AV1064" s="4"/>
      <c r="AW1064" s="4"/>
      <c r="AX1064" s="4"/>
      <c r="AY1064" s="4"/>
      <c r="AZ1064" s="4"/>
      <c r="BA1064" s="4"/>
      <c r="BB1064" s="4"/>
      <c r="BC1064" s="4"/>
      <c r="BD1064" s="4"/>
      <c r="BE1064" s="4"/>
      <c r="BF1064" s="4"/>
      <c r="BG1064" s="4"/>
      <c r="BH1064" s="4"/>
      <c r="BI1064" s="4"/>
      <c r="BJ1064" s="4"/>
      <c r="BK1064" s="4"/>
      <c r="BL1064" s="4"/>
      <c r="BM1064" s="4"/>
      <c r="BN1064" s="4"/>
      <c r="BO1064" s="4"/>
      <c r="BP1064" s="4"/>
      <c r="BQ1064" s="4"/>
      <c r="BR1064" s="4"/>
      <c r="BS1064" s="4"/>
      <c r="BT1064" s="4"/>
      <c r="BU1064" s="4"/>
      <c r="BV1064" s="4"/>
      <c r="BW1064" s="4"/>
      <c r="BX1064" s="4"/>
      <c r="BY1064" s="4"/>
      <c r="BZ1064" s="4"/>
      <c r="CA1064" s="4"/>
      <c r="CB1064" s="4"/>
      <c r="CC1064" s="4"/>
      <c r="CD1064" s="4"/>
      <c r="CE1064" s="4"/>
      <c r="CF1064" s="4"/>
      <c r="CG1064" s="4"/>
      <c r="CH1064" s="4"/>
      <c r="CI1064" s="4"/>
      <c r="CJ1064" s="4"/>
      <c r="CK1064" s="4"/>
      <c r="CL1064" s="4"/>
      <c r="CM1064" s="4"/>
      <c r="CN1064" s="4"/>
      <c r="CO1064" s="4"/>
      <c r="CP1064" s="4"/>
      <c r="CQ1064" s="4"/>
      <c r="CR1064" s="4"/>
      <c r="CS1064" s="4"/>
      <c r="CT1064" s="4"/>
      <c r="CU1064" s="4"/>
      <c r="CV1064" s="4"/>
      <c r="CW1064" s="4"/>
      <c r="CX1064" s="4"/>
      <c r="CY1064" s="4"/>
      <c r="CZ1064" s="4"/>
      <c r="DA1064" s="4"/>
      <c r="DB1064" s="4"/>
      <c r="DC1064" s="4"/>
      <c r="DD1064" s="4"/>
      <c r="DE1064" s="4"/>
      <c r="DF1064" s="4"/>
      <c r="DG1064" s="4"/>
      <c r="DH1064" s="4"/>
      <c r="DI1064" s="4"/>
      <c r="DJ1064" s="4"/>
      <c r="DK1064" s="4"/>
      <c r="DL1064" s="4"/>
      <c r="DM1064" s="4"/>
      <c r="DN1064" s="4"/>
      <c r="DO1064" s="4"/>
      <c r="DP1064" s="4"/>
      <c r="DQ1064" s="4"/>
      <c r="DR1064" s="4"/>
      <c r="DS1064" s="4"/>
    </row>
    <row r="1065">
      <c r="A1065" s="9">
        <f>IFERROR(__xludf.DUMMYFUNCTION("""COMPUTED_VALUE"""),45755.0)</f>
        <v>45755</v>
      </c>
      <c r="B1065" s="6" t="str">
        <f>IFERROR(__xludf.DUMMYFUNCTION("""COMPUTED_VALUE"""),"Groceries")</f>
        <v>Groceries</v>
      </c>
      <c r="C1065" s="7">
        <f>IFERROR(__xludf.DUMMYFUNCTION("""COMPUTED_VALUE"""),4000.0)</f>
        <v>4000</v>
      </c>
      <c r="D1065" s="6" t="str">
        <f>IFERROR(__xludf.DUMMYFUNCTION("""COMPUTED_VALUE"""),"Groceries")</f>
        <v>Groceries</v>
      </c>
      <c r="E1065" s="6" t="str">
        <f>IFERROR(__xludf.DUMMYFUNCTION("""COMPUTED_VALUE"""),"Virtual Wallet")</f>
        <v>Virtual Wallet</v>
      </c>
      <c r="F1065" s="6" t="s">
        <v>7</v>
      </c>
      <c r="G1065" s="8" t="str">
        <f t="shared" si="1"/>
        <v>202504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  <c r="AT1065" s="4"/>
      <c r="AU1065" s="4"/>
      <c r="AV1065" s="4"/>
      <c r="AW1065" s="4"/>
      <c r="AX1065" s="4"/>
      <c r="AY1065" s="4"/>
      <c r="AZ1065" s="4"/>
      <c r="BA1065" s="4"/>
      <c r="BB1065" s="4"/>
      <c r="BC1065" s="4"/>
      <c r="BD1065" s="4"/>
      <c r="BE1065" s="4"/>
      <c r="BF1065" s="4"/>
      <c r="BG1065" s="4"/>
      <c r="BH1065" s="4"/>
      <c r="BI1065" s="4"/>
      <c r="BJ1065" s="4"/>
      <c r="BK1065" s="4"/>
      <c r="BL1065" s="4"/>
      <c r="BM1065" s="4"/>
      <c r="BN1065" s="4"/>
      <c r="BO1065" s="4"/>
      <c r="BP1065" s="4"/>
      <c r="BQ1065" s="4"/>
      <c r="BR1065" s="4"/>
      <c r="BS1065" s="4"/>
      <c r="BT1065" s="4"/>
      <c r="BU1065" s="4"/>
      <c r="BV1065" s="4"/>
      <c r="BW1065" s="4"/>
      <c r="BX1065" s="4"/>
      <c r="BY1065" s="4"/>
      <c r="BZ1065" s="4"/>
      <c r="CA1065" s="4"/>
      <c r="CB1065" s="4"/>
      <c r="CC1065" s="4"/>
      <c r="CD1065" s="4"/>
      <c r="CE1065" s="4"/>
      <c r="CF1065" s="4"/>
      <c r="CG1065" s="4"/>
      <c r="CH1065" s="4"/>
      <c r="CI1065" s="4"/>
      <c r="CJ1065" s="4"/>
      <c r="CK1065" s="4"/>
      <c r="CL1065" s="4"/>
      <c r="CM1065" s="4"/>
      <c r="CN1065" s="4"/>
      <c r="CO1065" s="4"/>
      <c r="CP1065" s="4"/>
      <c r="CQ1065" s="4"/>
      <c r="CR1065" s="4"/>
      <c r="CS1065" s="4"/>
      <c r="CT1065" s="4"/>
      <c r="CU1065" s="4"/>
      <c r="CV1065" s="4"/>
      <c r="CW1065" s="4"/>
      <c r="CX1065" s="4"/>
      <c r="CY1065" s="4"/>
      <c r="CZ1065" s="4"/>
      <c r="DA1065" s="4"/>
      <c r="DB1065" s="4"/>
      <c r="DC1065" s="4"/>
      <c r="DD1065" s="4"/>
      <c r="DE1065" s="4"/>
      <c r="DF1065" s="4"/>
      <c r="DG1065" s="4"/>
      <c r="DH1065" s="4"/>
      <c r="DI1065" s="4"/>
      <c r="DJ1065" s="4"/>
      <c r="DK1065" s="4"/>
      <c r="DL1065" s="4"/>
      <c r="DM1065" s="4"/>
      <c r="DN1065" s="4"/>
      <c r="DO1065" s="4"/>
      <c r="DP1065" s="4"/>
      <c r="DQ1065" s="4"/>
      <c r="DR1065" s="4"/>
      <c r="DS1065" s="4"/>
    </row>
    <row r="1066">
      <c r="A1066" s="9">
        <f>IFERROR(__xludf.DUMMYFUNCTION("""COMPUTED_VALUE"""),45755.0)</f>
        <v>45755</v>
      </c>
      <c r="B1066" s="6" t="str">
        <f>IFERROR(__xludf.DUMMYFUNCTION("""COMPUTED_VALUE"""),"Pets")</f>
        <v>Pets</v>
      </c>
      <c r="C1066" s="7">
        <f>IFERROR(__xludf.DUMMYFUNCTION("""COMPUTED_VALUE"""),2500.0)</f>
        <v>2500</v>
      </c>
      <c r="D1066" s="6" t="str">
        <f>IFERROR(__xludf.DUMMYFUNCTION("""COMPUTED_VALUE"""),"Pets")</f>
        <v>Pets</v>
      </c>
      <c r="E1066" s="6" t="str">
        <f>IFERROR(__xludf.DUMMYFUNCTION("""COMPUTED_VALUE"""),"Split Payment")</f>
        <v>Split Payment</v>
      </c>
      <c r="F1066" s="6" t="s">
        <v>7</v>
      </c>
      <c r="G1066" s="8" t="str">
        <f t="shared" si="1"/>
        <v>202504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  <c r="AT1066" s="4"/>
      <c r="AU1066" s="4"/>
      <c r="AV1066" s="4"/>
      <c r="AW1066" s="4"/>
      <c r="AX1066" s="4"/>
      <c r="AY1066" s="4"/>
      <c r="AZ1066" s="4"/>
      <c r="BA1066" s="4"/>
      <c r="BB1066" s="4"/>
      <c r="BC1066" s="4"/>
      <c r="BD1066" s="4"/>
      <c r="BE1066" s="4"/>
      <c r="BF1066" s="4"/>
      <c r="BG1066" s="4"/>
      <c r="BH1066" s="4"/>
      <c r="BI1066" s="4"/>
      <c r="BJ1066" s="4"/>
      <c r="BK1066" s="4"/>
      <c r="BL1066" s="4"/>
      <c r="BM1066" s="4"/>
      <c r="BN1066" s="4"/>
      <c r="BO1066" s="4"/>
      <c r="BP1066" s="4"/>
      <c r="BQ1066" s="4"/>
      <c r="BR1066" s="4"/>
      <c r="BS1066" s="4"/>
      <c r="BT1066" s="4"/>
      <c r="BU1066" s="4"/>
      <c r="BV1066" s="4"/>
      <c r="BW1066" s="4"/>
      <c r="BX1066" s="4"/>
      <c r="BY1066" s="4"/>
      <c r="BZ1066" s="4"/>
      <c r="CA1066" s="4"/>
      <c r="CB1066" s="4"/>
      <c r="CC1066" s="4"/>
      <c r="CD1066" s="4"/>
      <c r="CE1066" s="4"/>
      <c r="CF1066" s="4"/>
      <c r="CG1066" s="4"/>
      <c r="CH1066" s="4"/>
      <c r="CI1066" s="4"/>
      <c r="CJ1066" s="4"/>
      <c r="CK1066" s="4"/>
      <c r="CL1066" s="4"/>
      <c r="CM1066" s="4"/>
      <c r="CN1066" s="4"/>
      <c r="CO1066" s="4"/>
      <c r="CP1066" s="4"/>
      <c r="CQ1066" s="4"/>
      <c r="CR1066" s="4"/>
      <c r="CS1066" s="4"/>
      <c r="CT1066" s="4"/>
      <c r="CU1066" s="4"/>
      <c r="CV1066" s="4"/>
      <c r="CW1066" s="4"/>
      <c r="CX1066" s="4"/>
      <c r="CY1066" s="4"/>
      <c r="CZ1066" s="4"/>
      <c r="DA1066" s="4"/>
      <c r="DB1066" s="4"/>
      <c r="DC1066" s="4"/>
      <c r="DD1066" s="4"/>
      <c r="DE1066" s="4"/>
      <c r="DF1066" s="4"/>
      <c r="DG1066" s="4"/>
      <c r="DH1066" s="4"/>
      <c r="DI1066" s="4"/>
      <c r="DJ1066" s="4"/>
      <c r="DK1066" s="4"/>
      <c r="DL1066" s="4"/>
      <c r="DM1066" s="4"/>
      <c r="DN1066" s="4"/>
      <c r="DO1066" s="4"/>
      <c r="DP1066" s="4"/>
      <c r="DQ1066" s="4"/>
      <c r="DR1066" s="4"/>
      <c r="DS1066" s="4"/>
    </row>
    <row r="1067">
      <c r="A1067" s="9">
        <f>IFERROR(__xludf.DUMMYFUNCTION("""COMPUTED_VALUE"""),45756.0)</f>
        <v>45756</v>
      </c>
      <c r="B1067" s="6" t="str">
        <f>IFERROR(__xludf.DUMMYFUNCTION("""COMPUTED_VALUE"""),"Groceries")</f>
        <v>Groceries</v>
      </c>
      <c r="C1067" s="7">
        <f>IFERROR(__xludf.DUMMYFUNCTION("""COMPUTED_VALUE"""),34.0)</f>
        <v>34</v>
      </c>
      <c r="D1067" s="6" t="str">
        <f>IFERROR(__xludf.DUMMYFUNCTION("""COMPUTED_VALUE"""),"Lunch Out")</f>
        <v>Lunch Out</v>
      </c>
      <c r="E1067" s="6" t="str">
        <f>IFERROR(__xludf.DUMMYFUNCTION("""COMPUTED_VALUE"""),"Virtual Wallet")</f>
        <v>Virtual Wallet</v>
      </c>
      <c r="F1067" s="6" t="s">
        <v>14</v>
      </c>
      <c r="G1067" s="8" t="str">
        <f t="shared" si="1"/>
        <v>202504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  <c r="AT1067" s="4"/>
      <c r="AU1067" s="4"/>
      <c r="AV1067" s="4"/>
      <c r="AW1067" s="4"/>
      <c r="AX1067" s="4"/>
      <c r="AY1067" s="4"/>
      <c r="AZ1067" s="4"/>
      <c r="BA1067" s="4"/>
      <c r="BB1067" s="4"/>
      <c r="BC1067" s="4"/>
      <c r="BD1067" s="4"/>
      <c r="BE1067" s="4"/>
      <c r="BF1067" s="4"/>
      <c r="BG1067" s="4"/>
      <c r="BH1067" s="4"/>
      <c r="BI1067" s="4"/>
      <c r="BJ1067" s="4"/>
      <c r="BK1067" s="4"/>
      <c r="BL1067" s="4"/>
      <c r="BM1067" s="4"/>
      <c r="BN1067" s="4"/>
      <c r="BO1067" s="4"/>
      <c r="BP1067" s="4"/>
      <c r="BQ1067" s="4"/>
      <c r="BR1067" s="4"/>
      <c r="BS1067" s="4"/>
      <c r="BT1067" s="4"/>
      <c r="BU1067" s="4"/>
      <c r="BV1067" s="4"/>
      <c r="BW1067" s="4"/>
      <c r="BX1067" s="4"/>
      <c r="BY1067" s="4"/>
      <c r="BZ1067" s="4"/>
      <c r="CA1067" s="4"/>
      <c r="CB1067" s="4"/>
      <c r="CC1067" s="4"/>
      <c r="CD1067" s="4"/>
      <c r="CE1067" s="4"/>
      <c r="CF1067" s="4"/>
      <c r="CG1067" s="4"/>
      <c r="CH1067" s="4"/>
      <c r="CI1067" s="4"/>
      <c r="CJ1067" s="4"/>
      <c r="CK1067" s="4"/>
      <c r="CL1067" s="4"/>
      <c r="CM1067" s="4"/>
      <c r="CN1067" s="4"/>
      <c r="CO1067" s="4"/>
      <c r="CP1067" s="4"/>
      <c r="CQ1067" s="4"/>
      <c r="CR1067" s="4"/>
      <c r="CS1067" s="4"/>
      <c r="CT1067" s="4"/>
      <c r="CU1067" s="4"/>
      <c r="CV1067" s="4"/>
      <c r="CW1067" s="4"/>
      <c r="CX1067" s="4"/>
      <c r="CY1067" s="4"/>
      <c r="CZ1067" s="4"/>
      <c r="DA1067" s="4"/>
      <c r="DB1067" s="4"/>
      <c r="DC1067" s="4"/>
      <c r="DD1067" s="4"/>
      <c r="DE1067" s="4"/>
      <c r="DF1067" s="4"/>
      <c r="DG1067" s="4"/>
      <c r="DH1067" s="4"/>
      <c r="DI1067" s="4"/>
      <c r="DJ1067" s="4"/>
      <c r="DK1067" s="4"/>
      <c r="DL1067" s="4"/>
      <c r="DM1067" s="4"/>
      <c r="DN1067" s="4"/>
      <c r="DO1067" s="4"/>
      <c r="DP1067" s="4"/>
      <c r="DQ1067" s="4"/>
      <c r="DR1067" s="4"/>
      <c r="DS1067" s="4"/>
    </row>
    <row r="1068">
      <c r="A1068" s="9">
        <f>IFERROR(__xludf.DUMMYFUNCTION("""COMPUTED_VALUE"""),45756.0)</f>
        <v>45756</v>
      </c>
      <c r="B1068" s="6" t="str">
        <f>IFERROR(__xludf.DUMMYFUNCTION("""COMPUTED_VALUE"""),"Streaming Services")</f>
        <v>Streaming Services</v>
      </c>
      <c r="C1068" s="7">
        <f>IFERROR(__xludf.DUMMYFUNCTION("""COMPUTED_VALUE"""),2491.0)</f>
        <v>2491</v>
      </c>
      <c r="D1068" s="6" t="str">
        <f>IFERROR(__xludf.DUMMYFUNCTION("""COMPUTED_VALUE"""),"Streaming Services")</f>
        <v>Streaming Services</v>
      </c>
      <c r="E1068" s="6" t="str">
        <f>IFERROR(__xludf.DUMMYFUNCTION("""COMPUTED_VALUE"""),"Credit Card")</f>
        <v>Credit Card</v>
      </c>
      <c r="F1068" s="6" t="s">
        <v>12</v>
      </c>
      <c r="G1068" s="8" t="str">
        <f t="shared" si="1"/>
        <v>202504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  <c r="AT1068" s="4"/>
      <c r="AU1068" s="4"/>
      <c r="AV1068" s="4"/>
      <c r="AW1068" s="4"/>
      <c r="AX1068" s="4"/>
      <c r="AY1068" s="4"/>
      <c r="AZ1068" s="4"/>
      <c r="BA1068" s="4"/>
      <c r="BB1068" s="4"/>
      <c r="BC1068" s="4"/>
      <c r="BD1068" s="4"/>
      <c r="BE1068" s="4"/>
      <c r="BF1068" s="4"/>
      <c r="BG1068" s="4"/>
      <c r="BH1068" s="4"/>
      <c r="BI1068" s="4"/>
      <c r="BJ1068" s="4"/>
      <c r="BK1068" s="4"/>
      <c r="BL1068" s="4"/>
      <c r="BM1068" s="4"/>
      <c r="BN1068" s="4"/>
      <c r="BO1068" s="4"/>
      <c r="BP1068" s="4"/>
      <c r="BQ1068" s="4"/>
      <c r="BR1068" s="4"/>
      <c r="BS1068" s="4"/>
      <c r="BT1068" s="4"/>
      <c r="BU1068" s="4"/>
      <c r="BV1068" s="4"/>
      <c r="BW1068" s="4"/>
      <c r="BX1068" s="4"/>
      <c r="BY1068" s="4"/>
      <c r="BZ1068" s="4"/>
      <c r="CA1068" s="4"/>
      <c r="CB1068" s="4"/>
      <c r="CC1068" s="4"/>
      <c r="CD1068" s="4"/>
      <c r="CE1068" s="4"/>
      <c r="CF1068" s="4"/>
      <c r="CG1068" s="4"/>
      <c r="CH1068" s="4"/>
      <c r="CI1068" s="4"/>
      <c r="CJ1068" s="4"/>
      <c r="CK1068" s="4"/>
      <c r="CL1068" s="4"/>
      <c r="CM1068" s="4"/>
      <c r="CN1068" s="4"/>
      <c r="CO1068" s="4"/>
      <c r="CP1068" s="4"/>
      <c r="CQ1068" s="4"/>
      <c r="CR1068" s="4"/>
      <c r="CS1068" s="4"/>
      <c r="CT1068" s="4"/>
      <c r="CU1068" s="4"/>
      <c r="CV1068" s="4"/>
      <c r="CW1068" s="4"/>
      <c r="CX1068" s="4"/>
      <c r="CY1068" s="4"/>
      <c r="CZ1068" s="4"/>
      <c r="DA1068" s="4"/>
      <c r="DB1068" s="4"/>
      <c r="DC1068" s="4"/>
      <c r="DD1068" s="4"/>
      <c r="DE1068" s="4"/>
      <c r="DF1068" s="4"/>
      <c r="DG1068" s="4"/>
      <c r="DH1068" s="4"/>
      <c r="DI1068" s="4"/>
      <c r="DJ1068" s="4"/>
      <c r="DK1068" s="4"/>
      <c r="DL1068" s="4"/>
      <c r="DM1068" s="4"/>
      <c r="DN1068" s="4"/>
      <c r="DO1068" s="4"/>
      <c r="DP1068" s="4"/>
      <c r="DQ1068" s="4"/>
      <c r="DR1068" s="4"/>
      <c r="DS1068" s="4"/>
    </row>
    <row r="1069">
      <c r="A1069" s="9">
        <f>IFERROR(__xludf.DUMMYFUNCTION("""COMPUTED_VALUE"""),45757.0)</f>
        <v>45757</v>
      </c>
      <c r="B1069" s="6" t="str">
        <f>IFERROR(__xludf.DUMMYFUNCTION("""COMPUTED_VALUE"""),"Clothing")</f>
        <v>Clothing</v>
      </c>
      <c r="C1069" s="7">
        <f>IFERROR(__xludf.DUMMYFUNCTION("""COMPUTED_VALUE"""),19651.0)</f>
        <v>19651</v>
      </c>
      <c r="D1069" s="6" t="str">
        <f>IFERROR(__xludf.DUMMYFUNCTION("""COMPUTED_VALUE"""),"Clothing")</f>
        <v>Clothing</v>
      </c>
      <c r="E1069" s="6" t="str">
        <f>IFERROR(__xludf.DUMMYFUNCTION("""COMPUTED_VALUE"""),"Credit Card")</f>
        <v>Credit Card</v>
      </c>
      <c r="F1069" s="6" t="s">
        <v>10</v>
      </c>
      <c r="G1069" s="8" t="str">
        <f t="shared" si="1"/>
        <v>202504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4"/>
      <c r="AS1069" s="4"/>
      <c r="AT1069" s="4"/>
      <c r="AU1069" s="4"/>
      <c r="AV1069" s="4"/>
      <c r="AW1069" s="4"/>
      <c r="AX1069" s="4"/>
      <c r="AY1069" s="4"/>
      <c r="AZ1069" s="4"/>
      <c r="BA1069" s="4"/>
      <c r="BB1069" s="4"/>
      <c r="BC1069" s="4"/>
      <c r="BD1069" s="4"/>
      <c r="BE1069" s="4"/>
      <c r="BF1069" s="4"/>
      <c r="BG1069" s="4"/>
      <c r="BH1069" s="4"/>
      <c r="BI1069" s="4"/>
      <c r="BJ1069" s="4"/>
      <c r="BK1069" s="4"/>
      <c r="BL1069" s="4"/>
      <c r="BM1069" s="4"/>
      <c r="BN1069" s="4"/>
      <c r="BO1069" s="4"/>
      <c r="BP1069" s="4"/>
      <c r="BQ1069" s="4"/>
      <c r="BR1069" s="4"/>
      <c r="BS1069" s="4"/>
      <c r="BT1069" s="4"/>
      <c r="BU1069" s="4"/>
      <c r="BV1069" s="4"/>
      <c r="BW1069" s="4"/>
      <c r="BX1069" s="4"/>
      <c r="BY1069" s="4"/>
      <c r="BZ1069" s="4"/>
      <c r="CA1069" s="4"/>
      <c r="CB1069" s="4"/>
      <c r="CC1069" s="4"/>
      <c r="CD1069" s="4"/>
      <c r="CE1069" s="4"/>
      <c r="CF1069" s="4"/>
      <c r="CG1069" s="4"/>
      <c r="CH1069" s="4"/>
      <c r="CI1069" s="4"/>
      <c r="CJ1069" s="4"/>
      <c r="CK1069" s="4"/>
      <c r="CL1069" s="4"/>
      <c r="CM1069" s="4"/>
      <c r="CN1069" s="4"/>
      <c r="CO1069" s="4"/>
      <c r="CP1069" s="4"/>
      <c r="CQ1069" s="4"/>
      <c r="CR1069" s="4"/>
      <c r="CS1069" s="4"/>
      <c r="CT1069" s="4"/>
      <c r="CU1069" s="4"/>
      <c r="CV1069" s="4"/>
      <c r="CW1069" s="4"/>
      <c r="CX1069" s="4"/>
      <c r="CY1069" s="4"/>
      <c r="CZ1069" s="4"/>
      <c r="DA1069" s="4"/>
      <c r="DB1069" s="4"/>
      <c r="DC1069" s="4"/>
      <c r="DD1069" s="4"/>
      <c r="DE1069" s="4"/>
      <c r="DF1069" s="4"/>
      <c r="DG1069" s="4"/>
      <c r="DH1069" s="4"/>
      <c r="DI1069" s="4"/>
      <c r="DJ1069" s="4"/>
      <c r="DK1069" s="4"/>
      <c r="DL1069" s="4"/>
      <c r="DM1069" s="4"/>
      <c r="DN1069" s="4"/>
      <c r="DO1069" s="4"/>
      <c r="DP1069" s="4"/>
      <c r="DQ1069" s="4"/>
      <c r="DR1069" s="4"/>
      <c r="DS1069" s="4"/>
    </row>
    <row r="1070">
      <c r="A1070" s="9">
        <f>IFERROR(__xludf.DUMMYFUNCTION("""COMPUTED_VALUE"""),45757.0)</f>
        <v>45757</v>
      </c>
      <c r="B1070" s="6" t="str">
        <f>IFERROR(__xludf.DUMMYFUNCTION("""COMPUTED_VALUE"""),"Restaurant")</f>
        <v>Restaurant</v>
      </c>
      <c r="C1070" s="7">
        <f>IFERROR(__xludf.DUMMYFUNCTION("""COMPUTED_VALUE"""),4830.0)</f>
        <v>4830</v>
      </c>
      <c r="D1070" s="6" t="str">
        <f>IFERROR(__xludf.DUMMYFUNCTION("""COMPUTED_VALUE"""),"Lunch Out")</f>
        <v>Lunch Out</v>
      </c>
      <c r="E1070" s="6" t="str">
        <f>IFERROR(__xludf.DUMMYFUNCTION("""COMPUTED_VALUE"""),"Virtual Wallet")</f>
        <v>Virtual Wallet</v>
      </c>
      <c r="F1070" s="6" t="s">
        <v>14</v>
      </c>
      <c r="G1070" s="8" t="str">
        <f t="shared" si="1"/>
        <v>202504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4"/>
      <c r="AS1070" s="4"/>
      <c r="AT1070" s="4"/>
      <c r="AU1070" s="4"/>
      <c r="AV1070" s="4"/>
      <c r="AW1070" s="4"/>
      <c r="AX1070" s="4"/>
      <c r="AY1070" s="4"/>
      <c r="AZ1070" s="4"/>
      <c r="BA1070" s="4"/>
      <c r="BB1070" s="4"/>
      <c r="BC1070" s="4"/>
      <c r="BD1070" s="4"/>
      <c r="BE1070" s="4"/>
      <c r="BF1070" s="4"/>
      <c r="BG1070" s="4"/>
      <c r="BH1070" s="4"/>
      <c r="BI1070" s="4"/>
      <c r="BJ1070" s="4"/>
      <c r="BK1070" s="4"/>
      <c r="BL1070" s="4"/>
      <c r="BM1070" s="4"/>
      <c r="BN1070" s="4"/>
      <c r="BO1070" s="4"/>
      <c r="BP1070" s="4"/>
      <c r="BQ1070" s="4"/>
      <c r="BR1070" s="4"/>
      <c r="BS1070" s="4"/>
      <c r="BT1070" s="4"/>
      <c r="BU1070" s="4"/>
      <c r="BV1070" s="4"/>
      <c r="BW1070" s="4"/>
      <c r="BX1070" s="4"/>
      <c r="BY1070" s="4"/>
      <c r="BZ1070" s="4"/>
      <c r="CA1070" s="4"/>
      <c r="CB1070" s="4"/>
      <c r="CC1070" s="4"/>
      <c r="CD1070" s="4"/>
      <c r="CE1070" s="4"/>
      <c r="CF1070" s="4"/>
      <c r="CG1070" s="4"/>
      <c r="CH1070" s="4"/>
      <c r="CI1070" s="4"/>
      <c r="CJ1070" s="4"/>
      <c r="CK1070" s="4"/>
      <c r="CL1070" s="4"/>
      <c r="CM1070" s="4"/>
      <c r="CN1070" s="4"/>
      <c r="CO1070" s="4"/>
      <c r="CP1070" s="4"/>
      <c r="CQ1070" s="4"/>
      <c r="CR1070" s="4"/>
      <c r="CS1070" s="4"/>
      <c r="CT1070" s="4"/>
      <c r="CU1070" s="4"/>
      <c r="CV1070" s="4"/>
      <c r="CW1070" s="4"/>
      <c r="CX1070" s="4"/>
      <c r="CY1070" s="4"/>
      <c r="CZ1070" s="4"/>
      <c r="DA1070" s="4"/>
      <c r="DB1070" s="4"/>
      <c r="DC1070" s="4"/>
      <c r="DD1070" s="4"/>
      <c r="DE1070" s="4"/>
      <c r="DF1070" s="4"/>
      <c r="DG1070" s="4"/>
      <c r="DH1070" s="4"/>
      <c r="DI1070" s="4"/>
      <c r="DJ1070" s="4"/>
      <c r="DK1070" s="4"/>
      <c r="DL1070" s="4"/>
      <c r="DM1070" s="4"/>
      <c r="DN1070" s="4"/>
      <c r="DO1070" s="4"/>
      <c r="DP1070" s="4"/>
      <c r="DQ1070" s="4"/>
      <c r="DR1070" s="4"/>
      <c r="DS1070" s="4"/>
    </row>
    <row r="1071">
      <c r="A1071" s="9">
        <f>IFERROR(__xludf.DUMMYFUNCTION("""COMPUTED_VALUE"""),45758.0)</f>
        <v>45758</v>
      </c>
      <c r="B1071" s="6" t="str">
        <f>IFERROR(__xludf.DUMMYFUNCTION("""COMPUTED_VALUE"""),"Delivery")</f>
        <v>Delivery</v>
      </c>
      <c r="C1071" s="7">
        <f>IFERROR(__xludf.DUMMYFUNCTION("""COMPUTED_VALUE"""),12589.0)</f>
        <v>12589</v>
      </c>
      <c r="D1071" s="6" t="str">
        <f>IFERROR(__xludf.DUMMYFUNCTION("""COMPUTED_VALUE"""),"Restaurant / Café")</f>
        <v>Restaurant / Café</v>
      </c>
      <c r="E1071" s="6" t="str">
        <f>IFERROR(__xludf.DUMMYFUNCTION("""COMPUTED_VALUE"""),"Credit Card")</f>
        <v>Credit Card</v>
      </c>
      <c r="F1071" s="6" t="s">
        <v>14</v>
      </c>
      <c r="G1071" s="8" t="str">
        <f t="shared" si="1"/>
        <v>202504</v>
      </c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4"/>
      <c r="AS1071" s="4"/>
      <c r="AT1071" s="4"/>
      <c r="AU1071" s="4"/>
      <c r="AV1071" s="4"/>
      <c r="AW1071" s="4"/>
      <c r="AX1071" s="4"/>
      <c r="AY1071" s="4"/>
      <c r="AZ1071" s="4"/>
      <c r="BA1071" s="4"/>
      <c r="BB1071" s="4"/>
      <c r="BC1071" s="4"/>
      <c r="BD1071" s="4"/>
      <c r="BE1071" s="4"/>
      <c r="BF1071" s="4"/>
      <c r="BG1071" s="4"/>
      <c r="BH1071" s="4"/>
      <c r="BI1071" s="4"/>
      <c r="BJ1071" s="4"/>
      <c r="BK1071" s="4"/>
      <c r="BL1071" s="4"/>
      <c r="BM1071" s="4"/>
      <c r="BN1071" s="4"/>
      <c r="BO1071" s="4"/>
      <c r="BP1071" s="4"/>
      <c r="BQ1071" s="4"/>
      <c r="BR1071" s="4"/>
      <c r="BS1071" s="4"/>
      <c r="BT1071" s="4"/>
      <c r="BU1071" s="4"/>
      <c r="BV1071" s="4"/>
      <c r="BW1071" s="4"/>
      <c r="BX1071" s="4"/>
      <c r="BY1071" s="4"/>
      <c r="BZ1071" s="4"/>
      <c r="CA1071" s="4"/>
      <c r="CB1071" s="4"/>
      <c r="CC1071" s="4"/>
      <c r="CD1071" s="4"/>
      <c r="CE1071" s="4"/>
      <c r="CF1071" s="4"/>
      <c r="CG1071" s="4"/>
      <c r="CH1071" s="4"/>
      <c r="CI1071" s="4"/>
      <c r="CJ1071" s="4"/>
      <c r="CK1071" s="4"/>
      <c r="CL1071" s="4"/>
      <c r="CM1071" s="4"/>
      <c r="CN1071" s="4"/>
      <c r="CO1071" s="4"/>
      <c r="CP1071" s="4"/>
      <c r="CQ1071" s="4"/>
      <c r="CR1071" s="4"/>
      <c r="CS1071" s="4"/>
      <c r="CT1071" s="4"/>
      <c r="CU1071" s="4"/>
      <c r="CV1071" s="4"/>
      <c r="CW1071" s="4"/>
      <c r="CX1071" s="4"/>
      <c r="CY1071" s="4"/>
      <c r="CZ1071" s="4"/>
      <c r="DA1071" s="4"/>
      <c r="DB1071" s="4"/>
      <c r="DC1071" s="4"/>
      <c r="DD1071" s="4"/>
      <c r="DE1071" s="4"/>
      <c r="DF1071" s="4"/>
      <c r="DG1071" s="4"/>
      <c r="DH1071" s="4"/>
      <c r="DI1071" s="4"/>
      <c r="DJ1071" s="4"/>
      <c r="DK1071" s="4"/>
      <c r="DL1071" s="4"/>
      <c r="DM1071" s="4"/>
      <c r="DN1071" s="4"/>
      <c r="DO1071" s="4"/>
      <c r="DP1071" s="4"/>
      <c r="DQ1071" s="4"/>
      <c r="DR1071" s="4"/>
      <c r="DS1071" s="4"/>
    </row>
    <row r="1072">
      <c r="A1072" s="9">
        <f>IFERROR(__xludf.DUMMYFUNCTION("""COMPUTED_VALUE"""),45758.0)</f>
        <v>45758</v>
      </c>
      <c r="B1072" s="6" t="str">
        <f>IFERROR(__xludf.DUMMYFUNCTION("""COMPUTED_VALUE"""),"Donation")</f>
        <v>Donation</v>
      </c>
      <c r="C1072" s="7">
        <f>IFERROR(__xludf.DUMMYFUNCTION("""COMPUTED_VALUE"""),2000.0)</f>
        <v>2000</v>
      </c>
      <c r="D1072" s="6" t="str">
        <f>IFERROR(__xludf.DUMMYFUNCTION("""COMPUTED_VALUE"""),"Donation")</f>
        <v>Donation</v>
      </c>
      <c r="E1072" s="6" t="str">
        <f>IFERROR(__xludf.DUMMYFUNCTION("""COMPUTED_VALUE"""),"Virtual Wallet")</f>
        <v>Virtual Wallet</v>
      </c>
      <c r="F1072" s="6"/>
      <c r="G1072" s="8" t="str">
        <f t="shared" si="1"/>
        <v>202504</v>
      </c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4"/>
      <c r="AS1072" s="4"/>
      <c r="AT1072" s="4"/>
      <c r="AU1072" s="4"/>
      <c r="AV1072" s="4"/>
      <c r="AW1072" s="4"/>
      <c r="AX1072" s="4"/>
      <c r="AY1072" s="4"/>
      <c r="AZ1072" s="4"/>
      <c r="BA1072" s="4"/>
      <c r="BB1072" s="4"/>
      <c r="BC1072" s="4"/>
      <c r="BD1072" s="4"/>
      <c r="BE1072" s="4"/>
      <c r="BF1072" s="4"/>
      <c r="BG1072" s="4"/>
      <c r="BH1072" s="4"/>
      <c r="BI1072" s="4"/>
      <c r="BJ1072" s="4"/>
      <c r="BK1072" s="4"/>
      <c r="BL1072" s="4"/>
      <c r="BM1072" s="4"/>
      <c r="BN1072" s="4"/>
      <c r="BO1072" s="4"/>
      <c r="BP1072" s="4"/>
      <c r="BQ1072" s="4"/>
      <c r="BR1072" s="4"/>
      <c r="BS1072" s="4"/>
      <c r="BT1072" s="4"/>
      <c r="BU1072" s="4"/>
      <c r="BV1072" s="4"/>
      <c r="BW1072" s="4"/>
      <c r="BX1072" s="4"/>
      <c r="BY1072" s="4"/>
      <c r="BZ1072" s="4"/>
      <c r="CA1072" s="4"/>
      <c r="CB1072" s="4"/>
      <c r="CC1072" s="4"/>
      <c r="CD1072" s="4"/>
      <c r="CE1072" s="4"/>
      <c r="CF1072" s="4"/>
      <c r="CG1072" s="4"/>
      <c r="CH1072" s="4"/>
      <c r="CI1072" s="4"/>
      <c r="CJ1072" s="4"/>
      <c r="CK1072" s="4"/>
      <c r="CL1072" s="4"/>
      <c r="CM1072" s="4"/>
      <c r="CN1072" s="4"/>
      <c r="CO1072" s="4"/>
      <c r="CP1072" s="4"/>
      <c r="CQ1072" s="4"/>
      <c r="CR1072" s="4"/>
      <c r="CS1072" s="4"/>
      <c r="CT1072" s="4"/>
      <c r="CU1072" s="4"/>
      <c r="CV1072" s="4"/>
      <c r="CW1072" s="4"/>
      <c r="CX1072" s="4"/>
      <c r="CY1072" s="4"/>
      <c r="CZ1072" s="4"/>
      <c r="DA1072" s="4"/>
      <c r="DB1072" s="4"/>
      <c r="DC1072" s="4"/>
      <c r="DD1072" s="4"/>
      <c r="DE1072" s="4"/>
      <c r="DF1072" s="4"/>
      <c r="DG1072" s="4"/>
      <c r="DH1072" s="4"/>
      <c r="DI1072" s="4"/>
      <c r="DJ1072" s="4"/>
      <c r="DK1072" s="4"/>
      <c r="DL1072" s="4"/>
      <c r="DM1072" s="4"/>
      <c r="DN1072" s="4"/>
      <c r="DO1072" s="4"/>
      <c r="DP1072" s="4"/>
      <c r="DQ1072" s="4"/>
      <c r="DR1072" s="4"/>
      <c r="DS1072" s="4"/>
    </row>
    <row r="1073">
      <c r="A1073" s="9">
        <f>IFERROR(__xludf.DUMMYFUNCTION("""COMPUTED_VALUE"""),45758.0)</f>
        <v>45758</v>
      </c>
      <c r="B1073" s="6" t="str">
        <f>IFERROR(__xludf.DUMMYFUNCTION("""COMPUTED_VALUE"""),"Groceries")</f>
        <v>Groceries</v>
      </c>
      <c r="C1073" s="7">
        <f>IFERROR(__xludf.DUMMYFUNCTION("""COMPUTED_VALUE"""),2500.0)</f>
        <v>2500</v>
      </c>
      <c r="D1073" s="6" t="str">
        <f>IFERROR(__xludf.DUMMYFUNCTION("""COMPUTED_VALUE"""),"Restaurant / Café")</f>
        <v>Restaurant / Café</v>
      </c>
      <c r="E1073" s="6" t="str">
        <f>IFERROR(__xludf.DUMMYFUNCTION("""COMPUTED_VALUE"""),"Virtual Wallet")</f>
        <v>Virtual Wallet</v>
      </c>
      <c r="F1073" s="6" t="s">
        <v>14</v>
      </c>
      <c r="G1073" s="8" t="str">
        <f t="shared" si="1"/>
        <v>202504</v>
      </c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4"/>
      <c r="AS1073" s="4"/>
      <c r="AT1073" s="4"/>
      <c r="AU1073" s="4"/>
      <c r="AV1073" s="4"/>
      <c r="AW1073" s="4"/>
      <c r="AX1073" s="4"/>
      <c r="AY1073" s="4"/>
      <c r="AZ1073" s="4"/>
      <c r="BA1073" s="4"/>
      <c r="BB1073" s="4"/>
      <c r="BC1073" s="4"/>
      <c r="BD1073" s="4"/>
      <c r="BE1073" s="4"/>
      <c r="BF1073" s="4"/>
      <c r="BG1073" s="4"/>
      <c r="BH1073" s="4"/>
      <c r="BI1073" s="4"/>
      <c r="BJ1073" s="4"/>
      <c r="BK1073" s="4"/>
      <c r="BL1073" s="4"/>
      <c r="BM1073" s="4"/>
      <c r="BN1073" s="4"/>
      <c r="BO1073" s="4"/>
      <c r="BP1073" s="4"/>
      <c r="BQ1073" s="4"/>
      <c r="BR1073" s="4"/>
      <c r="BS1073" s="4"/>
      <c r="BT1073" s="4"/>
      <c r="BU1073" s="4"/>
      <c r="BV1073" s="4"/>
      <c r="BW1073" s="4"/>
      <c r="BX1073" s="4"/>
      <c r="BY1073" s="4"/>
      <c r="BZ1073" s="4"/>
      <c r="CA1073" s="4"/>
      <c r="CB1073" s="4"/>
      <c r="CC1073" s="4"/>
      <c r="CD1073" s="4"/>
      <c r="CE1073" s="4"/>
      <c r="CF1073" s="4"/>
      <c r="CG1073" s="4"/>
      <c r="CH1073" s="4"/>
      <c r="CI1073" s="4"/>
      <c r="CJ1073" s="4"/>
      <c r="CK1073" s="4"/>
      <c r="CL1073" s="4"/>
      <c r="CM1073" s="4"/>
      <c r="CN1073" s="4"/>
      <c r="CO1073" s="4"/>
      <c r="CP1073" s="4"/>
      <c r="CQ1073" s="4"/>
      <c r="CR1073" s="4"/>
      <c r="CS1073" s="4"/>
      <c r="CT1073" s="4"/>
      <c r="CU1073" s="4"/>
      <c r="CV1073" s="4"/>
      <c r="CW1073" s="4"/>
      <c r="CX1073" s="4"/>
      <c r="CY1073" s="4"/>
      <c r="CZ1073" s="4"/>
      <c r="DA1073" s="4"/>
      <c r="DB1073" s="4"/>
      <c r="DC1073" s="4"/>
      <c r="DD1073" s="4"/>
      <c r="DE1073" s="4"/>
      <c r="DF1073" s="4"/>
      <c r="DG1073" s="4"/>
      <c r="DH1073" s="4"/>
      <c r="DI1073" s="4"/>
      <c r="DJ1073" s="4"/>
      <c r="DK1073" s="4"/>
      <c r="DL1073" s="4"/>
      <c r="DM1073" s="4"/>
      <c r="DN1073" s="4"/>
      <c r="DO1073" s="4"/>
      <c r="DP1073" s="4"/>
      <c r="DQ1073" s="4"/>
      <c r="DR1073" s="4"/>
      <c r="DS1073" s="4"/>
    </row>
    <row r="1074">
      <c r="A1074" s="9">
        <f>IFERROR(__xludf.DUMMYFUNCTION("""COMPUTED_VALUE"""),45758.0)</f>
        <v>45758</v>
      </c>
      <c r="B1074" s="6" t="str">
        <f>IFERROR(__xludf.DUMMYFUNCTION("""COMPUTED_VALUE"""),"Restaurant")</f>
        <v>Restaurant</v>
      </c>
      <c r="C1074" s="7">
        <f>IFERROR(__xludf.DUMMYFUNCTION("""COMPUTED_VALUE"""),2710.0)</f>
        <v>2710</v>
      </c>
      <c r="D1074" s="6" t="str">
        <f>IFERROR(__xludf.DUMMYFUNCTION("""COMPUTED_VALUE"""),"Restaurant / Café")</f>
        <v>Restaurant / Café</v>
      </c>
      <c r="E1074" s="6" t="str">
        <f>IFERROR(__xludf.DUMMYFUNCTION("""COMPUTED_VALUE"""),"Virtual Wallet")</f>
        <v>Virtual Wallet</v>
      </c>
      <c r="F1074" s="6" t="s">
        <v>14</v>
      </c>
      <c r="G1074" s="8" t="str">
        <f t="shared" si="1"/>
        <v>202504</v>
      </c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4"/>
      <c r="AS1074" s="4"/>
      <c r="AT1074" s="4"/>
      <c r="AU1074" s="4"/>
      <c r="AV1074" s="4"/>
      <c r="AW1074" s="4"/>
      <c r="AX1074" s="4"/>
      <c r="AY1074" s="4"/>
      <c r="AZ1074" s="4"/>
      <c r="BA1074" s="4"/>
      <c r="BB1074" s="4"/>
      <c r="BC1074" s="4"/>
      <c r="BD1074" s="4"/>
      <c r="BE1074" s="4"/>
      <c r="BF1074" s="4"/>
      <c r="BG1074" s="4"/>
      <c r="BH1074" s="4"/>
      <c r="BI1074" s="4"/>
      <c r="BJ1074" s="4"/>
      <c r="BK1074" s="4"/>
      <c r="BL1074" s="4"/>
      <c r="BM1074" s="4"/>
      <c r="BN1074" s="4"/>
      <c r="BO1074" s="4"/>
      <c r="BP1074" s="4"/>
      <c r="BQ1074" s="4"/>
      <c r="BR1074" s="4"/>
      <c r="BS1074" s="4"/>
      <c r="BT1074" s="4"/>
      <c r="BU1074" s="4"/>
      <c r="BV1074" s="4"/>
      <c r="BW1074" s="4"/>
      <c r="BX1074" s="4"/>
      <c r="BY1074" s="4"/>
      <c r="BZ1074" s="4"/>
      <c r="CA1074" s="4"/>
      <c r="CB1074" s="4"/>
      <c r="CC1074" s="4"/>
      <c r="CD1074" s="4"/>
      <c r="CE1074" s="4"/>
      <c r="CF1074" s="4"/>
      <c r="CG1074" s="4"/>
      <c r="CH1074" s="4"/>
      <c r="CI1074" s="4"/>
      <c r="CJ1074" s="4"/>
      <c r="CK1074" s="4"/>
      <c r="CL1074" s="4"/>
      <c r="CM1074" s="4"/>
      <c r="CN1074" s="4"/>
      <c r="CO1074" s="4"/>
      <c r="CP1074" s="4"/>
      <c r="CQ1074" s="4"/>
      <c r="CR1074" s="4"/>
      <c r="CS1074" s="4"/>
      <c r="CT1074" s="4"/>
      <c r="CU1074" s="4"/>
      <c r="CV1074" s="4"/>
      <c r="CW1074" s="4"/>
      <c r="CX1074" s="4"/>
      <c r="CY1074" s="4"/>
      <c r="CZ1074" s="4"/>
      <c r="DA1074" s="4"/>
      <c r="DB1074" s="4"/>
      <c r="DC1074" s="4"/>
      <c r="DD1074" s="4"/>
      <c r="DE1074" s="4"/>
      <c r="DF1074" s="4"/>
      <c r="DG1074" s="4"/>
      <c r="DH1074" s="4"/>
      <c r="DI1074" s="4"/>
      <c r="DJ1074" s="4"/>
      <c r="DK1074" s="4"/>
      <c r="DL1074" s="4"/>
      <c r="DM1074" s="4"/>
      <c r="DN1074" s="4"/>
      <c r="DO1074" s="4"/>
      <c r="DP1074" s="4"/>
      <c r="DQ1074" s="4"/>
      <c r="DR1074" s="4"/>
      <c r="DS1074" s="4"/>
    </row>
    <row r="1075">
      <c r="A1075" s="9">
        <f>IFERROR(__xludf.DUMMYFUNCTION("""COMPUTED_VALUE"""),45759.0)</f>
        <v>45759</v>
      </c>
      <c r="B1075" s="6" t="str">
        <f>IFERROR(__xludf.DUMMYFUNCTION("""COMPUTED_VALUE"""),"Groceries")</f>
        <v>Groceries</v>
      </c>
      <c r="C1075" s="7">
        <f>IFERROR(__xludf.DUMMYFUNCTION("""COMPUTED_VALUE"""),7540.0)</f>
        <v>7540</v>
      </c>
      <c r="D1075" s="6" t="str">
        <f>IFERROR(__xludf.DUMMYFUNCTION("""COMPUTED_VALUE"""),"Groceries")</f>
        <v>Groceries</v>
      </c>
      <c r="E1075" s="6" t="str">
        <f>IFERROR(__xludf.DUMMYFUNCTION("""COMPUTED_VALUE"""),"Split Payment")</f>
        <v>Split Payment</v>
      </c>
      <c r="F1075" s="6" t="s">
        <v>7</v>
      </c>
      <c r="G1075" s="8" t="str">
        <f t="shared" si="1"/>
        <v>202504</v>
      </c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4"/>
      <c r="AS1075" s="4"/>
      <c r="AT1075" s="4"/>
      <c r="AU1075" s="4"/>
      <c r="AV1075" s="4"/>
      <c r="AW1075" s="4"/>
      <c r="AX1075" s="4"/>
      <c r="AY1075" s="4"/>
      <c r="AZ1075" s="4"/>
      <c r="BA1075" s="4"/>
      <c r="BB1075" s="4"/>
      <c r="BC1075" s="4"/>
      <c r="BD1075" s="4"/>
      <c r="BE1075" s="4"/>
      <c r="BF1075" s="4"/>
      <c r="BG1075" s="4"/>
      <c r="BH1075" s="4"/>
      <c r="BI1075" s="4"/>
      <c r="BJ1075" s="4"/>
      <c r="BK1075" s="4"/>
      <c r="BL1075" s="4"/>
      <c r="BM1075" s="4"/>
      <c r="BN1075" s="4"/>
      <c r="BO1075" s="4"/>
      <c r="BP1075" s="4"/>
      <c r="BQ1075" s="4"/>
      <c r="BR1075" s="4"/>
      <c r="BS1075" s="4"/>
      <c r="BT1075" s="4"/>
      <c r="BU1075" s="4"/>
      <c r="BV1075" s="4"/>
      <c r="BW1075" s="4"/>
      <c r="BX1075" s="4"/>
      <c r="BY1075" s="4"/>
      <c r="BZ1075" s="4"/>
      <c r="CA1075" s="4"/>
      <c r="CB1075" s="4"/>
      <c r="CC1075" s="4"/>
      <c r="CD1075" s="4"/>
      <c r="CE1075" s="4"/>
      <c r="CF1075" s="4"/>
      <c r="CG1075" s="4"/>
      <c r="CH1075" s="4"/>
      <c r="CI1075" s="4"/>
      <c r="CJ1075" s="4"/>
      <c r="CK1075" s="4"/>
      <c r="CL1075" s="4"/>
      <c r="CM1075" s="4"/>
      <c r="CN1075" s="4"/>
      <c r="CO1075" s="4"/>
      <c r="CP1075" s="4"/>
      <c r="CQ1075" s="4"/>
      <c r="CR1075" s="4"/>
      <c r="CS1075" s="4"/>
      <c r="CT1075" s="4"/>
      <c r="CU1075" s="4"/>
      <c r="CV1075" s="4"/>
      <c r="CW1075" s="4"/>
      <c r="CX1075" s="4"/>
      <c r="CY1075" s="4"/>
      <c r="CZ1075" s="4"/>
      <c r="DA1075" s="4"/>
      <c r="DB1075" s="4"/>
      <c r="DC1075" s="4"/>
      <c r="DD1075" s="4"/>
      <c r="DE1075" s="4"/>
      <c r="DF1075" s="4"/>
      <c r="DG1075" s="4"/>
      <c r="DH1075" s="4"/>
      <c r="DI1075" s="4"/>
      <c r="DJ1075" s="4"/>
      <c r="DK1075" s="4"/>
      <c r="DL1075" s="4"/>
      <c r="DM1075" s="4"/>
      <c r="DN1075" s="4"/>
      <c r="DO1075" s="4"/>
      <c r="DP1075" s="4"/>
      <c r="DQ1075" s="4"/>
      <c r="DR1075" s="4"/>
      <c r="DS1075" s="4"/>
    </row>
    <row r="1076">
      <c r="A1076" s="9">
        <f>IFERROR(__xludf.DUMMYFUNCTION("""COMPUTED_VALUE"""),45759.0)</f>
        <v>45759</v>
      </c>
      <c r="B1076" s="6" t="str">
        <f>IFERROR(__xludf.DUMMYFUNCTION("""COMPUTED_VALUE"""),"Groceries")</f>
        <v>Groceries</v>
      </c>
      <c r="C1076" s="7">
        <f>IFERROR(__xludf.DUMMYFUNCTION("""COMPUTED_VALUE"""),150000.0)</f>
        <v>150000</v>
      </c>
      <c r="D1076" s="6" t="str">
        <f>IFERROR(__xludf.DUMMYFUNCTION("""COMPUTED_VALUE"""),"Clothing")</f>
        <v>Clothing</v>
      </c>
      <c r="E1076" s="6" t="str">
        <f>IFERROR(__xludf.DUMMYFUNCTION("""COMPUTED_VALUE"""),"Cash")</f>
        <v>Cash</v>
      </c>
      <c r="F1076" s="6" t="s">
        <v>10</v>
      </c>
      <c r="G1076" s="8" t="str">
        <f t="shared" si="1"/>
        <v>202504</v>
      </c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4"/>
      <c r="AS1076" s="4"/>
      <c r="AT1076" s="4"/>
      <c r="AU1076" s="4"/>
      <c r="AV1076" s="4"/>
      <c r="AW1076" s="4"/>
      <c r="AX1076" s="4"/>
      <c r="AY1076" s="4"/>
      <c r="AZ1076" s="4"/>
      <c r="BA1076" s="4"/>
      <c r="BB1076" s="4"/>
      <c r="BC1076" s="4"/>
      <c r="BD1076" s="4"/>
      <c r="BE1076" s="4"/>
      <c r="BF1076" s="4"/>
      <c r="BG1076" s="4"/>
      <c r="BH1076" s="4"/>
      <c r="BI1076" s="4"/>
      <c r="BJ1076" s="4"/>
      <c r="BK1076" s="4"/>
      <c r="BL1076" s="4"/>
      <c r="BM1076" s="4"/>
      <c r="BN1076" s="4"/>
      <c r="BO1076" s="4"/>
      <c r="BP1076" s="4"/>
      <c r="BQ1076" s="4"/>
      <c r="BR1076" s="4"/>
      <c r="BS1076" s="4"/>
      <c r="BT1076" s="4"/>
      <c r="BU1076" s="4"/>
      <c r="BV1076" s="4"/>
      <c r="BW1076" s="4"/>
      <c r="BX1076" s="4"/>
      <c r="BY1076" s="4"/>
      <c r="BZ1076" s="4"/>
      <c r="CA1076" s="4"/>
      <c r="CB1076" s="4"/>
      <c r="CC1076" s="4"/>
      <c r="CD1076" s="4"/>
      <c r="CE1076" s="4"/>
      <c r="CF1076" s="4"/>
      <c r="CG1076" s="4"/>
      <c r="CH1076" s="4"/>
      <c r="CI1076" s="4"/>
      <c r="CJ1076" s="4"/>
      <c r="CK1076" s="4"/>
      <c r="CL1076" s="4"/>
      <c r="CM1076" s="4"/>
      <c r="CN1076" s="4"/>
      <c r="CO1076" s="4"/>
      <c r="CP1076" s="4"/>
      <c r="CQ1076" s="4"/>
      <c r="CR1076" s="4"/>
      <c r="CS1076" s="4"/>
      <c r="CT1076" s="4"/>
      <c r="CU1076" s="4"/>
      <c r="CV1076" s="4"/>
      <c r="CW1076" s="4"/>
      <c r="CX1076" s="4"/>
      <c r="CY1076" s="4"/>
      <c r="CZ1076" s="4"/>
      <c r="DA1076" s="4"/>
      <c r="DB1076" s="4"/>
      <c r="DC1076" s="4"/>
      <c r="DD1076" s="4"/>
      <c r="DE1076" s="4"/>
      <c r="DF1076" s="4"/>
      <c r="DG1076" s="4"/>
      <c r="DH1076" s="4"/>
      <c r="DI1076" s="4"/>
      <c r="DJ1076" s="4"/>
      <c r="DK1076" s="4"/>
      <c r="DL1076" s="4"/>
      <c r="DM1076" s="4"/>
      <c r="DN1076" s="4"/>
      <c r="DO1076" s="4"/>
      <c r="DP1076" s="4"/>
      <c r="DQ1076" s="4"/>
      <c r="DR1076" s="4"/>
      <c r="DS1076" s="4"/>
    </row>
    <row r="1077">
      <c r="A1077" s="9">
        <f>IFERROR(__xludf.DUMMYFUNCTION("""COMPUTED_VALUE"""),45759.0)</f>
        <v>45759</v>
      </c>
      <c r="B1077" s="6" t="str">
        <f>IFERROR(__xludf.DUMMYFUNCTION("""COMPUTED_VALUE"""),"Restaurant")</f>
        <v>Restaurant</v>
      </c>
      <c r="C1077" s="7">
        <f>IFERROR(__xludf.DUMMYFUNCTION("""COMPUTED_VALUE"""),11800.0)</f>
        <v>11800</v>
      </c>
      <c r="D1077" s="6" t="str">
        <f>IFERROR(__xludf.DUMMYFUNCTION("""COMPUTED_VALUE"""),"Restaurant / Café")</f>
        <v>Restaurant / Café</v>
      </c>
      <c r="E1077" s="6" t="str">
        <f>IFERROR(__xludf.DUMMYFUNCTION("""COMPUTED_VALUE"""),"Virtual Wallet")</f>
        <v>Virtual Wallet</v>
      </c>
      <c r="F1077" s="6" t="s">
        <v>14</v>
      </c>
      <c r="G1077" s="8" t="str">
        <f t="shared" si="1"/>
        <v>202504</v>
      </c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4"/>
      <c r="AS1077" s="4"/>
      <c r="AT1077" s="4"/>
      <c r="AU1077" s="4"/>
      <c r="AV1077" s="4"/>
      <c r="AW1077" s="4"/>
      <c r="AX1077" s="4"/>
      <c r="AY1077" s="4"/>
      <c r="AZ1077" s="4"/>
      <c r="BA1077" s="4"/>
      <c r="BB1077" s="4"/>
      <c r="BC1077" s="4"/>
      <c r="BD1077" s="4"/>
      <c r="BE1077" s="4"/>
      <c r="BF1077" s="4"/>
      <c r="BG1077" s="4"/>
      <c r="BH1077" s="4"/>
      <c r="BI1077" s="4"/>
      <c r="BJ1077" s="4"/>
      <c r="BK1077" s="4"/>
      <c r="BL1077" s="4"/>
      <c r="BM1077" s="4"/>
      <c r="BN1077" s="4"/>
      <c r="BO1077" s="4"/>
      <c r="BP1077" s="4"/>
      <c r="BQ1077" s="4"/>
      <c r="BR1077" s="4"/>
      <c r="BS1077" s="4"/>
      <c r="BT1077" s="4"/>
      <c r="BU1077" s="4"/>
      <c r="BV1077" s="4"/>
      <c r="BW1077" s="4"/>
      <c r="BX1077" s="4"/>
      <c r="BY1077" s="4"/>
      <c r="BZ1077" s="4"/>
      <c r="CA1077" s="4"/>
      <c r="CB1077" s="4"/>
      <c r="CC1077" s="4"/>
      <c r="CD1077" s="4"/>
      <c r="CE1077" s="4"/>
      <c r="CF1077" s="4"/>
      <c r="CG1077" s="4"/>
      <c r="CH1077" s="4"/>
      <c r="CI1077" s="4"/>
      <c r="CJ1077" s="4"/>
      <c r="CK1077" s="4"/>
      <c r="CL1077" s="4"/>
      <c r="CM1077" s="4"/>
      <c r="CN1077" s="4"/>
      <c r="CO1077" s="4"/>
      <c r="CP1077" s="4"/>
      <c r="CQ1077" s="4"/>
      <c r="CR1077" s="4"/>
      <c r="CS1077" s="4"/>
      <c r="CT1077" s="4"/>
      <c r="CU1077" s="4"/>
      <c r="CV1077" s="4"/>
      <c r="CW1077" s="4"/>
      <c r="CX1077" s="4"/>
      <c r="CY1077" s="4"/>
      <c r="CZ1077" s="4"/>
      <c r="DA1077" s="4"/>
      <c r="DB1077" s="4"/>
      <c r="DC1077" s="4"/>
      <c r="DD1077" s="4"/>
      <c r="DE1077" s="4"/>
      <c r="DF1077" s="4"/>
      <c r="DG1077" s="4"/>
      <c r="DH1077" s="4"/>
      <c r="DI1077" s="4"/>
      <c r="DJ1077" s="4"/>
      <c r="DK1077" s="4"/>
      <c r="DL1077" s="4"/>
      <c r="DM1077" s="4"/>
      <c r="DN1077" s="4"/>
      <c r="DO1077" s="4"/>
      <c r="DP1077" s="4"/>
      <c r="DQ1077" s="4"/>
      <c r="DR1077" s="4"/>
      <c r="DS1077" s="4"/>
    </row>
    <row r="1078">
      <c r="A1078" s="9">
        <f>IFERROR(__xludf.DUMMYFUNCTION("""COMPUTED_VALUE"""),45760.0)</f>
        <v>45760</v>
      </c>
      <c r="B1078" s="6" t="str">
        <f>IFERROR(__xludf.DUMMYFUNCTION("""COMPUTED_VALUE"""),"Groceries")</f>
        <v>Groceries</v>
      </c>
      <c r="C1078" s="7">
        <f>IFERROR(__xludf.DUMMYFUNCTION("""COMPUTED_VALUE"""),2400.0)</f>
        <v>2400</v>
      </c>
      <c r="D1078" s="6" t="str">
        <f>IFERROR(__xludf.DUMMYFUNCTION("""COMPUTED_VALUE"""),"Groceries")</f>
        <v>Groceries</v>
      </c>
      <c r="E1078" s="6" t="str">
        <f>IFERROR(__xludf.DUMMYFUNCTION("""COMPUTED_VALUE"""),"Split Payment")</f>
        <v>Split Payment</v>
      </c>
      <c r="F1078" s="6" t="s">
        <v>7</v>
      </c>
      <c r="G1078" s="8" t="str">
        <f t="shared" si="1"/>
        <v>202504</v>
      </c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4"/>
      <c r="AS1078" s="4"/>
      <c r="AT1078" s="4"/>
      <c r="AU1078" s="4"/>
      <c r="AV1078" s="4"/>
      <c r="AW1078" s="4"/>
      <c r="AX1078" s="4"/>
      <c r="AY1078" s="4"/>
      <c r="AZ1078" s="4"/>
      <c r="BA1078" s="4"/>
      <c r="BB1078" s="4"/>
      <c r="BC1078" s="4"/>
      <c r="BD1078" s="4"/>
      <c r="BE1078" s="4"/>
      <c r="BF1078" s="4"/>
      <c r="BG1078" s="4"/>
      <c r="BH1078" s="4"/>
      <c r="BI1078" s="4"/>
      <c r="BJ1078" s="4"/>
      <c r="BK1078" s="4"/>
      <c r="BL1078" s="4"/>
      <c r="BM1078" s="4"/>
      <c r="BN1078" s="4"/>
      <c r="BO1078" s="4"/>
      <c r="BP1078" s="4"/>
      <c r="BQ1078" s="4"/>
      <c r="BR1078" s="4"/>
      <c r="BS1078" s="4"/>
      <c r="BT1078" s="4"/>
      <c r="BU1078" s="4"/>
      <c r="BV1078" s="4"/>
      <c r="BW1078" s="4"/>
      <c r="BX1078" s="4"/>
      <c r="BY1078" s="4"/>
      <c r="BZ1078" s="4"/>
      <c r="CA1078" s="4"/>
      <c r="CB1078" s="4"/>
      <c r="CC1078" s="4"/>
      <c r="CD1078" s="4"/>
      <c r="CE1078" s="4"/>
      <c r="CF1078" s="4"/>
      <c r="CG1078" s="4"/>
      <c r="CH1078" s="4"/>
      <c r="CI1078" s="4"/>
      <c r="CJ1078" s="4"/>
      <c r="CK1078" s="4"/>
      <c r="CL1078" s="4"/>
      <c r="CM1078" s="4"/>
      <c r="CN1078" s="4"/>
      <c r="CO1078" s="4"/>
      <c r="CP1078" s="4"/>
      <c r="CQ1078" s="4"/>
      <c r="CR1078" s="4"/>
      <c r="CS1078" s="4"/>
      <c r="CT1078" s="4"/>
      <c r="CU1078" s="4"/>
      <c r="CV1078" s="4"/>
      <c r="CW1078" s="4"/>
      <c r="CX1078" s="4"/>
      <c r="CY1078" s="4"/>
      <c r="CZ1078" s="4"/>
      <c r="DA1078" s="4"/>
      <c r="DB1078" s="4"/>
      <c r="DC1078" s="4"/>
      <c r="DD1078" s="4"/>
      <c r="DE1078" s="4"/>
      <c r="DF1078" s="4"/>
      <c r="DG1078" s="4"/>
      <c r="DH1078" s="4"/>
      <c r="DI1078" s="4"/>
      <c r="DJ1078" s="4"/>
      <c r="DK1078" s="4"/>
      <c r="DL1078" s="4"/>
      <c r="DM1078" s="4"/>
      <c r="DN1078" s="4"/>
      <c r="DO1078" s="4"/>
      <c r="DP1078" s="4"/>
      <c r="DQ1078" s="4"/>
      <c r="DR1078" s="4"/>
      <c r="DS1078" s="4"/>
    </row>
    <row r="1079">
      <c r="A1079" s="9">
        <f>IFERROR(__xludf.DUMMYFUNCTION("""COMPUTED_VALUE"""),45760.0)</f>
        <v>45760</v>
      </c>
      <c r="B1079" s="6" t="str">
        <f>IFERROR(__xludf.DUMMYFUNCTION("""COMPUTED_VALUE"""),"Groceries")</f>
        <v>Groceries</v>
      </c>
      <c r="C1079" s="7">
        <f>IFERROR(__xludf.DUMMYFUNCTION("""COMPUTED_VALUE"""),2200.0)</f>
        <v>2200</v>
      </c>
      <c r="D1079" s="6" t="str">
        <f>IFERROR(__xludf.DUMMYFUNCTION("""COMPUTED_VALUE"""),"Groceries")</f>
        <v>Groceries</v>
      </c>
      <c r="E1079" s="6" t="str">
        <f>IFERROR(__xludf.DUMMYFUNCTION("""COMPUTED_VALUE"""),"Virtual Wallet")</f>
        <v>Virtual Wallet</v>
      </c>
      <c r="F1079" s="6" t="s">
        <v>7</v>
      </c>
      <c r="G1079" s="8" t="str">
        <f t="shared" si="1"/>
        <v>202504</v>
      </c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4"/>
      <c r="AS1079" s="4"/>
      <c r="AT1079" s="4"/>
      <c r="AU1079" s="4"/>
      <c r="AV1079" s="4"/>
      <c r="AW1079" s="4"/>
      <c r="AX1079" s="4"/>
      <c r="AY1079" s="4"/>
      <c r="AZ1079" s="4"/>
      <c r="BA1079" s="4"/>
      <c r="BB1079" s="4"/>
      <c r="BC1079" s="4"/>
      <c r="BD1079" s="4"/>
      <c r="BE1079" s="4"/>
      <c r="BF1079" s="4"/>
      <c r="BG1079" s="4"/>
      <c r="BH1079" s="4"/>
      <c r="BI1079" s="4"/>
      <c r="BJ1079" s="4"/>
      <c r="BK1079" s="4"/>
      <c r="BL1079" s="4"/>
      <c r="BM1079" s="4"/>
      <c r="BN1079" s="4"/>
      <c r="BO1079" s="4"/>
      <c r="BP1079" s="4"/>
      <c r="BQ1079" s="4"/>
      <c r="BR1079" s="4"/>
      <c r="BS1079" s="4"/>
      <c r="BT1079" s="4"/>
      <c r="BU1079" s="4"/>
      <c r="BV1079" s="4"/>
      <c r="BW1079" s="4"/>
      <c r="BX1079" s="4"/>
      <c r="BY1079" s="4"/>
      <c r="BZ1079" s="4"/>
      <c r="CA1079" s="4"/>
      <c r="CB1079" s="4"/>
      <c r="CC1079" s="4"/>
      <c r="CD1079" s="4"/>
      <c r="CE1079" s="4"/>
      <c r="CF1079" s="4"/>
      <c r="CG1079" s="4"/>
      <c r="CH1079" s="4"/>
      <c r="CI1079" s="4"/>
      <c r="CJ1079" s="4"/>
      <c r="CK1079" s="4"/>
      <c r="CL1079" s="4"/>
      <c r="CM1079" s="4"/>
      <c r="CN1079" s="4"/>
      <c r="CO1079" s="4"/>
      <c r="CP1079" s="4"/>
      <c r="CQ1079" s="4"/>
      <c r="CR1079" s="4"/>
      <c r="CS1079" s="4"/>
      <c r="CT1079" s="4"/>
      <c r="CU1079" s="4"/>
      <c r="CV1079" s="4"/>
      <c r="CW1079" s="4"/>
      <c r="CX1079" s="4"/>
      <c r="CY1079" s="4"/>
      <c r="CZ1079" s="4"/>
      <c r="DA1079" s="4"/>
      <c r="DB1079" s="4"/>
      <c r="DC1079" s="4"/>
      <c r="DD1079" s="4"/>
      <c r="DE1079" s="4"/>
      <c r="DF1079" s="4"/>
      <c r="DG1079" s="4"/>
      <c r="DH1079" s="4"/>
      <c r="DI1079" s="4"/>
      <c r="DJ1079" s="4"/>
      <c r="DK1079" s="4"/>
      <c r="DL1079" s="4"/>
      <c r="DM1079" s="4"/>
      <c r="DN1079" s="4"/>
      <c r="DO1079" s="4"/>
      <c r="DP1079" s="4"/>
      <c r="DQ1079" s="4"/>
      <c r="DR1079" s="4"/>
      <c r="DS1079" s="4"/>
    </row>
    <row r="1080">
      <c r="A1080" s="9">
        <f>IFERROR(__xludf.DUMMYFUNCTION("""COMPUTED_VALUE"""),45760.0)</f>
        <v>45760</v>
      </c>
      <c r="B1080" s="6" t="str">
        <f>IFERROR(__xludf.DUMMYFUNCTION("""COMPUTED_VALUE"""),"Pets")</f>
        <v>Pets</v>
      </c>
      <c r="C1080" s="7">
        <f>IFERROR(__xludf.DUMMYFUNCTION("""COMPUTED_VALUE"""),1200.0)</f>
        <v>1200</v>
      </c>
      <c r="D1080" s="6" t="str">
        <f>IFERROR(__xludf.DUMMYFUNCTION("""COMPUTED_VALUE"""),"Pets")</f>
        <v>Pets</v>
      </c>
      <c r="E1080" s="6" t="str">
        <f>IFERROR(__xludf.DUMMYFUNCTION("""COMPUTED_VALUE"""),"Split Payment")</f>
        <v>Split Payment</v>
      </c>
      <c r="F1080" s="6" t="s">
        <v>7</v>
      </c>
      <c r="G1080" s="8" t="str">
        <f t="shared" si="1"/>
        <v>202504</v>
      </c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  <c r="AT1080" s="4"/>
      <c r="AU1080" s="4"/>
      <c r="AV1080" s="4"/>
      <c r="AW1080" s="4"/>
      <c r="AX1080" s="4"/>
      <c r="AY1080" s="4"/>
      <c r="AZ1080" s="4"/>
      <c r="BA1080" s="4"/>
      <c r="BB1080" s="4"/>
      <c r="BC1080" s="4"/>
      <c r="BD1080" s="4"/>
      <c r="BE1080" s="4"/>
      <c r="BF1080" s="4"/>
      <c r="BG1080" s="4"/>
      <c r="BH1080" s="4"/>
      <c r="BI1080" s="4"/>
      <c r="BJ1080" s="4"/>
      <c r="BK1080" s="4"/>
      <c r="BL1080" s="4"/>
      <c r="BM1080" s="4"/>
      <c r="BN1080" s="4"/>
      <c r="BO1080" s="4"/>
      <c r="BP1080" s="4"/>
      <c r="BQ1080" s="4"/>
      <c r="BR1080" s="4"/>
      <c r="BS1080" s="4"/>
      <c r="BT1080" s="4"/>
      <c r="BU1080" s="4"/>
      <c r="BV1080" s="4"/>
      <c r="BW1080" s="4"/>
      <c r="BX1080" s="4"/>
      <c r="BY1080" s="4"/>
      <c r="BZ1080" s="4"/>
      <c r="CA1080" s="4"/>
      <c r="CB1080" s="4"/>
      <c r="CC1080" s="4"/>
      <c r="CD1080" s="4"/>
      <c r="CE1080" s="4"/>
      <c r="CF1080" s="4"/>
      <c r="CG1080" s="4"/>
      <c r="CH1080" s="4"/>
      <c r="CI1080" s="4"/>
      <c r="CJ1080" s="4"/>
      <c r="CK1080" s="4"/>
      <c r="CL1080" s="4"/>
      <c r="CM1080" s="4"/>
      <c r="CN1080" s="4"/>
      <c r="CO1080" s="4"/>
      <c r="CP1080" s="4"/>
      <c r="CQ1080" s="4"/>
      <c r="CR1080" s="4"/>
      <c r="CS1080" s="4"/>
      <c r="CT1080" s="4"/>
      <c r="CU1080" s="4"/>
      <c r="CV1080" s="4"/>
      <c r="CW1080" s="4"/>
      <c r="CX1080" s="4"/>
      <c r="CY1080" s="4"/>
      <c r="CZ1080" s="4"/>
      <c r="DA1080" s="4"/>
      <c r="DB1080" s="4"/>
      <c r="DC1080" s="4"/>
      <c r="DD1080" s="4"/>
      <c r="DE1080" s="4"/>
      <c r="DF1080" s="4"/>
      <c r="DG1080" s="4"/>
      <c r="DH1080" s="4"/>
      <c r="DI1080" s="4"/>
      <c r="DJ1080" s="4"/>
      <c r="DK1080" s="4"/>
      <c r="DL1080" s="4"/>
      <c r="DM1080" s="4"/>
      <c r="DN1080" s="4"/>
      <c r="DO1080" s="4"/>
      <c r="DP1080" s="4"/>
      <c r="DQ1080" s="4"/>
      <c r="DR1080" s="4"/>
      <c r="DS1080" s="4"/>
    </row>
    <row r="1081">
      <c r="A1081" s="9">
        <f>IFERROR(__xludf.DUMMYFUNCTION("""COMPUTED_VALUE"""),45761.0)</f>
        <v>45761</v>
      </c>
      <c r="B1081" s="6" t="str">
        <f>IFERROR(__xludf.DUMMYFUNCTION("""COMPUTED_VALUE"""),"Education")</f>
        <v>Education</v>
      </c>
      <c r="C1081" s="7">
        <f>IFERROR(__xludf.DUMMYFUNCTION("""COMPUTED_VALUE"""),899.0)</f>
        <v>899</v>
      </c>
      <c r="D1081" s="6" t="str">
        <f>IFERROR(__xludf.DUMMYFUNCTION("""COMPUTED_VALUE"""),"Education")</f>
        <v>Education</v>
      </c>
      <c r="E1081" s="6" t="str">
        <f>IFERROR(__xludf.DUMMYFUNCTION("""COMPUTED_VALUE"""),"Credit Card")</f>
        <v>Credit Card</v>
      </c>
      <c r="F1081" s="6" t="s">
        <v>11</v>
      </c>
      <c r="G1081" s="8" t="str">
        <f t="shared" si="1"/>
        <v>202504</v>
      </c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  <c r="AT1081" s="4"/>
      <c r="AU1081" s="4"/>
      <c r="AV1081" s="4"/>
      <c r="AW1081" s="4"/>
      <c r="AX1081" s="4"/>
      <c r="AY1081" s="4"/>
      <c r="AZ1081" s="4"/>
      <c r="BA1081" s="4"/>
      <c r="BB1081" s="4"/>
      <c r="BC1081" s="4"/>
      <c r="BD1081" s="4"/>
      <c r="BE1081" s="4"/>
      <c r="BF1081" s="4"/>
      <c r="BG1081" s="4"/>
      <c r="BH1081" s="4"/>
      <c r="BI1081" s="4"/>
      <c r="BJ1081" s="4"/>
      <c r="BK1081" s="4"/>
      <c r="BL1081" s="4"/>
      <c r="BM1081" s="4"/>
      <c r="BN1081" s="4"/>
      <c r="BO1081" s="4"/>
      <c r="BP1081" s="4"/>
      <c r="BQ1081" s="4"/>
      <c r="BR1081" s="4"/>
      <c r="BS1081" s="4"/>
      <c r="BT1081" s="4"/>
      <c r="BU1081" s="4"/>
      <c r="BV1081" s="4"/>
      <c r="BW1081" s="4"/>
      <c r="BX1081" s="4"/>
      <c r="BY1081" s="4"/>
      <c r="BZ1081" s="4"/>
      <c r="CA1081" s="4"/>
      <c r="CB1081" s="4"/>
      <c r="CC1081" s="4"/>
      <c r="CD1081" s="4"/>
      <c r="CE1081" s="4"/>
      <c r="CF1081" s="4"/>
      <c r="CG1081" s="4"/>
      <c r="CH1081" s="4"/>
      <c r="CI1081" s="4"/>
      <c r="CJ1081" s="4"/>
      <c r="CK1081" s="4"/>
      <c r="CL1081" s="4"/>
      <c r="CM1081" s="4"/>
      <c r="CN1081" s="4"/>
      <c r="CO1081" s="4"/>
      <c r="CP1081" s="4"/>
      <c r="CQ1081" s="4"/>
      <c r="CR1081" s="4"/>
      <c r="CS1081" s="4"/>
      <c r="CT1081" s="4"/>
      <c r="CU1081" s="4"/>
      <c r="CV1081" s="4"/>
      <c r="CW1081" s="4"/>
      <c r="CX1081" s="4"/>
      <c r="CY1081" s="4"/>
      <c r="CZ1081" s="4"/>
      <c r="DA1081" s="4"/>
      <c r="DB1081" s="4"/>
      <c r="DC1081" s="4"/>
      <c r="DD1081" s="4"/>
      <c r="DE1081" s="4"/>
      <c r="DF1081" s="4"/>
      <c r="DG1081" s="4"/>
      <c r="DH1081" s="4"/>
      <c r="DI1081" s="4"/>
      <c r="DJ1081" s="4"/>
      <c r="DK1081" s="4"/>
      <c r="DL1081" s="4"/>
      <c r="DM1081" s="4"/>
      <c r="DN1081" s="4"/>
      <c r="DO1081" s="4"/>
      <c r="DP1081" s="4"/>
      <c r="DQ1081" s="4"/>
      <c r="DR1081" s="4"/>
      <c r="DS1081" s="4"/>
    </row>
    <row r="1082">
      <c r="A1082" s="9">
        <f>IFERROR(__xludf.DUMMYFUNCTION("""COMPUTED_VALUE"""),45761.0)</f>
        <v>45761</v>
      </c>
      <c r="B1082" s="6" t="str">
        <f>IFERROR(__xludf.DUMMYFUNCTION("""COMPUTED_VALUE"""),"Groceries")</f>
        <v>Groceries</v>
      </c>
      <c r="C1082" s="7">
        <f>IFERROR(__xludf.DUMMYFUNCTION("""COMPUTED_VALUE"""),2000.0)</f>
        <v>2000</v>
      </c>
      <c r="D1082" s="6" t="str">
        <f>IFERROR(__xludf.DUMMYFUNCTION("""COMPUTED_VALUE"""),"Restaurant / Café")</f>
        <v>Restaurant / Café</v>
      </c>
      <c r="E1082" s="6" t="str">
        <f>IFERROR(__xludf.DUMMYFUNCTION("""COMPUTED_VALUE"""),"Virtual Wallet")</f>
        <v>Virtual Wallet</v>
      </c>
      <c r="F1082" s="6" t="s">
        <v>14</v>
      </c>
      <c r="G1082" s="8" t="str">
        <f t="shared" si="1"/>
        <v>202504</v>
      </c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4"/>
      <c r="AS1082" s="4"/>
      <c r="AT1082" s="4"/>
      <c r="AU1082" s="4"/>
      <c r="AV1082" s="4"/>
      <c r="AW1082" s="4"/>
      <c r="AX1082" s="4"/>
      <c r="AY1082" s="4"/>
      <c r="AZ1082" s="4"/>
      <c r="BA1082" s="4"/>
      <c r="BB1082" s="4"/>
      <c r="BC1082" s="4"/>
      <c r="BD1082" s="4"/>
      <c r="BE1082" s="4"/>
      <c r="BF1082" s="4"/>
      <c r="BG1082" s="4"/>
      <c r="BH1082" s="4"/>
      <c r="BI1082" s="4"/>
      <c r="BJ1082" s="4"/>
      <c r="BK1082" s="4"/>
      <c r="BL1082" s="4"/>
      <c r="BM1082" s="4"/>
      <c r="BN1082" s="4"/>
      <c r="BO1082" s="4"/>
      <c r="BP1082" s="4"/>
      <c r="BQ1082" s="4"/>
      <c r="BR1082" s="4"/>
      <c r="BS1082" s="4"/>
      <c r="BT1082" s="4"/>
      <c r="BU1082" s="4"/>
      <c r="BV1082" s="4"/>
      <c r="BW1082" s="4"/>
      <c r="BX1082" s="4"/>
      <c r="BY1082" s="4"/>
      <c r="BZ1082" s="4"/>
      <c r="CA1082" s="4"/>
      <c r="CB1082" s="4"/>
      <c r="CC1082" s="4"/>
      <c r="CD1082" s="4"/>
      <c r="CE1082" s="4"/>
      <c r="CF1082" s="4"/>
      <c r="CG1082" s="4"/>
      <c r="CH1082" s="4"/>
      <c r="CI1082" s="4"/>
      <c r="CJ1082" s="4"/>
      <c r="CK1082" s="4"/>
      <c r="CL1082" s="4"/>
      <c r="CM1082" s="4"/>
      <c r="CN1082" s="4"/>
      <c r="CO1082" s="4"/>
      <c r="CP1082" s="4"/>
      <c r="CQ1082" s="4"/>
      <c r="CR1082" s="4"/>
      <c r="CS1082" s="4"/>
      <c r="CT1082" s="4"/>
      <c r="CU1082" s="4"/>
      <c r="CV1082" s="4"/>
      <c r="CW1082" s="4"/>
      <c r="CX1082" s="4"/>
      <c r="CY1082" s="4"/>
      <c r="CZ1082" s="4"/>
      <c r="DA1082" s="4"/>
      <c r="DB1082" s="4"/>
      <c r="DC1082" s="4"/>
      <c r="DD1082" s="4"/>
      <c r="DE1082" s="4"/>
      <c r="DF1082" s="4"/>
      <c r="DG1082" s="4"/>
      <c r="DH1082" s="4"/>
      <c r="DI1082" s="4"/>
      <c r="DJ1082" s="4"/>
      <c r="DK1082" s="4"/>
      <c r="DL1082" s="4"/>
      <c r="DM1082" s="4"/>
      <c r="DN1082" s="4"/>
      <c r="DO1082" s="4"/>
      <c r="DP1082" s="4"/>
      <c r="DQ1082" s="4"/>
      <c r="DR1082" s="4"/>
      <c r="DS1082" s="4"/>
    </row>
    <row r="1083">
      <c r="A1083" s="9">
        <f>IFERROR(__xludf.DUMMYFUNCTION("""COMPUTED_VALUE"""),45762.0)</f>
        <v>45762</v>
      </c>
      <c r="B1083" s="6" t="str">
        <f>IFERROR(__xludf.DUMMYFUNCTION("""COMPUTED_VALUE"""),"Home Goods")</f>
        <v>Home Goods</v>
      </c>
      <c r="C1083" s="7">
        <f>IFERROR(__xludf.DUMMYFUNCTION("""COMPUTED_VALUE"""),2101.0)</f>
        <v>2101</v>
      </c>
      <c r="D1083" s="6" t="str">
        <f>IFERROR(__xludf.DUMMYFUNCTION("""COMPUTED_VALUE"""),"Home Goods &amp; Utilities")</f>
        <v>Home Goods &amp; Utilities</v>
      </c>
      <c r="E1083" s="6" t="str">
        <f>IFERROR(__xludf.DUMMYFUNCTION("""COMPUTED_VALUE"""),"Split Payment")</f>
        <v>Split Payment</v>
      </c>
      <c r="F1083" s="6" t="s">
        <v>8</v>
      </c>
      <c r="G1083" s="8" t="str">
        <f t="shared" si="1"/>
        <v>202504</v>
      </c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4"/>
      <c r="AS1083" s="4"/>
      <c r="AT1083" s="4"/>
      <c r="AU1083" s="4"/>
      <c r="AV1083" s="4"/>
      <c r="AW1083" s="4"/>
      <c r="AX1083" s="4"/>
      <c r="AY1083" s="4"/>
      <c r="AZ1083" s="4"/>
      <c r="BA1083" s="4"/>
      <c r="BB1083" s="4"/>
      <c r="BC1083" s="4"/>
      <c r="BD1083" s="4"/>
      <c r="BE1083" s="4"/>
      <c r="BF1083" s="4"/>
      <c r="BG1083" s="4"/>
      <c r="BH1083" s="4"/>
      <c r="BI1083" s="4"/>
      <c r="BJ1083" s="4"/>
      <c r="BK1083" s="4"/>
      <c r="BL1083" s="4"/>
      <c r="BM1083" s="4"/>
      <c r="BN1083" s="4"/>
      <c r="BO1083" s="4"/>
      <c r="BP1083" s="4"/>
      <c r="BQ1083" s="4"/>
      <c r="BR1083" s="4"/>
      <c r="BS1083" s="4"/>
      <c r="BT1083" s="4"/>
      <c r="BU1083" s="4"/>
      <c r="BV1083" s="4"/>
      <c r="BW1083" s="4"/>
      <c r="BX1083" s="4"/>
      <c r="BY1083" s="4"/>
      <c r="BZ1083" s="4"/>
      <c r="CA1083" s="4"/>
      <c r="CB1083" s="4"/>
      <c r="CC1083" s="4"/>
      <c r="CD1083" s="4"/>
      <c r="CE1083" s="4"/>
      <c r="CF1083" s="4"/>
      <c r="CG1083" s="4"/>
      <c r="CH1083" s="4"/>
      <c r="CI1083" s="4"/>
      <c r="CJ1083" s="4"/>
      <c r="CK1083" s="4"/>
      <c r="CL1083" s="4"/>
      <c r="CM1083" s="4"/>
      <c r="CN1083" s="4"/>
      <c r="CO1083" s="4"/>
      <c r="CP1083" s="4"/>
      <c r="CQ1083" s="4"/>
      <c r="CR1083" s="4"/>
      <c r="CS1083" s="4"/>
      <c r="CT1083" s="4"/>
      <c r="CU1083" s="4"/>
      <c r="CV1083" s="4"/>
      <c r="CW1083" s="4"/>
      <c r="CX1083" s="4"/>
      <c r="CY1083" s="4"/>
      <c r="CZ1083" s="4"/>
      <c r="DA1083" s="4"/>
      <c r="DB1083" s="4"/>
      <c r="DC1083" s="4"/>
      <c r="DD1083" s="4"/>
      <c r="DE1083" s="4"/>
      <c r="DF1083" s="4"/>
      <c r="DG1083" s="4"/>
      <c r="DH1083" s="4"/>
      <c r="DI1083" s="4"/>
      <c r="DJ1083" s="4"/>
      <c r="DK1083" s="4"/>
      <c r="DL1083" s="4"/>
      <c r="DM1083" s="4"/>
      <c r="DN1083" s="4"/>
      <c r="DO1083" s="4"/>
      <c r="DP1083" s="4"/>
      <c r="DQ1083" s="4"/>
      <c r="DR1083" s="4"/>
      <c r="DS1083" s="4"/>
    </row>
    <row r="1084">
      <c r="A1084" s="9">
        <f>IFERROR(__xludf.DUMMYFUNCTION("""COMPUTED_VALUE"""),45762.0)</f>
        <v>45762</v>
      </c>
      <c r="B1084" s="6" t="str">
        <f>IFERROR(__xludf.DUMMYFUNCTION("""COMPUTED_VALUE"""),"Gift")</f>
        <v>Gift</v>
      </c>
      <c r="C1084" s="7">
        <f>IFERROR(__xludf.DUMMYFUNCTION("""COMPUTED_VALUE"""),6033.0)</f>
        <v>6033</v>
      </c>
      <c r="D1084" s="6" t="str">
        <f>IFERROR(__xludf.DUMMYFUNCTION("""COMPUTED_VALUE"""),"Gifts")</f>
        <v>Gifts</v>
      </c>
      <c r="E1084" s="6" t="str">
        <f>IFERROR(__xludf.DUMMYFUNCTION("""COMPUTED_VALUE"""),"Credit Card")</f>
        <v>Credit Card</v>
      </c>
      <c r="F1084" s="6"/>
      <c r="G1084" s="8" t="str">
        <f t="shared" si="1"/>
        <v>202504</v>
      </c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4"/>
      <c r="AS1084" s="4"/>
      <c r="AT1084" s="4"/>
      <c r="AU1084" s="4"/>
      <c r="AV1084" s="4"/>
      <c r="AW1084" s="4"/>
      <c r="AX1084" s="4"/>
      <c r="AY1084" s="4"/>
      <c r="AZ1084" s="4"/>
      <c r="BA1084" s="4"/>
      <c r="BB1084" s="4"/>
      <c r="BC1084" s="4"/>
      <c r="BD1084" s="4"/>
      <c r="BE1084" s="4"/>
      <c r="BF1084" s="4"/>
      <c r="BG1084" s="4"/>
      <c r="BH1084" s="4"/>
      <c r="BI1084" s="4"/>
      <c r="BJ1084" s="4"/>
      <c r="BK1084" s="4"/>
      <c r="BL1084" s="4"/>
      <c r="BM1084" s="4"/>
      <c r="BN1084" s="4"/>
      <c r="BO1084" s="4"/>
      <c r="BP1084" s="4"/>
      <c r="BQ1084" s="4"/>
      <c r="BR1084" s="4"/>
      <c r="BS1084" s="4"/>
      <c r="BT1084" s="4"/>
      <c r="BU1084" s="4"/>
      <c r="BV1084" s="4"/>
      <c r="BW1084" s="4"/>
      <c r="BX1084" s="4"/>
      <c r="BY1084" s="4"/>
      <c r="BZ1084" s="4"/>
      <c r="CA1084" s="4"/>
      <c r="CB1084" s="4"/>
      <c r="CC1084" s="4"/>
      <c r="CD1084" s="4"/>
      <c r="CE1084" s="4"/>
      <c r="CF1084" s="4"/>
      <c r="CG1084" s="4"/>
      <c r="CH1084" s="4"/>
      <c r="CI1084" s="4"/>
      <c r="CJ1084" s="4"/>
      <c r="CK1084" s="4"/>
      <c r="CL1084" s="4"/>
      <c r="CM1084" s="4"/>
      <c r="CN1084" s="4"/>
      <c r="CO1084" s="4"/>
      <c r="CP1084" s="4"/>
      <c r="CQ1084" s="4"/>
      <c r="CR1084" s="4"/>
      <c r="CS1084" s="4"/>
      <c r="CT1084" s="4"/>
      <c r="CU1084" s="4"/>
      <c r="CV1084" s="4"/>
      <c r="CW1084" s="4"/>
      <c r="CX1084" s="4"/>
      <c r="CY1084" s="4"/>
      <c r="CZ1084" s="4"/>
      <c r="DA1084" s="4"/>
      <c r="DB1084" s="4"/>
      <c r="DC1084" s="4"/>
      <c r="DD1084" s="4"/>
      <c r="DE1084" s="4"/>
      <c r="DF1084" s="4"/>
      <c r="DG1084" s="4"/>
      <c r="DH1084" s="4"/>
      <c r="DI1084" s="4"/>
      <c r="DJ1084" s="4"/>
      <c r="DK1084" s="4"/>
      <c r="DL1084" s="4"/>
      <c r="DM1084" s="4"/>
      <c r="DN1084" s="4"/>
      <c r="DO1084" s="4"/>
      <c r="DP1084" s="4"/>
      <c r="DQ1084" s="4"/>
      <c r="DR1084" s="4"/>
      <c r="DS1084" s="4"/>
    </row>
    <row r="1085">
      <c r="A1085" s="9">
        <f>IFERROR(__xludf.DUMMYFUNCTION("""COMPUTED_VALUE"""),45762.0)</f>
        <v>45762</v>
      </c>
      <c r="B1085" s="6" t="str">
        <f>IFERROR(__xludf.DUMMYFUNCTION("""COMPUTED_VALUE"""),"Appliances")</f>
        <v>Appliances</v>
      </c>
      <c r="C1085" s="7">
        <f>IFERROR(__xludf.DUMMYFUNCTION("""COMPUTED_VALUE"""),5965.0)</f>
        <v>5965</v>
      </c>
      <c r="D1085" s="6" t="str">
        <f>IFERROR(__xludf.DUMMYFUNCTION("""COMPUTED_VALUE"""),"Home Goods &amp; Utilities")</f>
        <v>Home Goods &amp; Utilities</v>
      </c>
      <c r="E1085" s="6" t="str">
        <f>IFERROR(__xludf.DUMMYFUNCTION("""COMPUTED_VALUE"""),"Credit Card")</f>
        <v>Credit Card</v>
      </c>
      <c r="F1085" s="6" t="s">
        <v>8</v>
      </c>
      <c r="G1085" s="8" t="str">
        <f t="shared" si="1"/>
        <v>202504</v>
      </c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4"/>
      <c r="AS1085" s="4"/>
      <c r="AT1085" s="4"/>
      <c r="AU1085" s="4"/>
      <c r="AV1085" s="4"/>
      <c r="AW1085" s="4"/>
      <c r="AX1085" s="4"/>
      <c r="AY1085" s="4"/>
      <c r="AZ1085" s="4"/>
      <c r="BA1085" s="4"/>
      <c r="BB1085" s="4"/>
      <c r="BC1085" s="4"/>
      <c r="BD1085" s="4"/>
      <c r="BE1085" s="4"/>
      <c r="BF1085" s="4"/>
      <c r="BG1085" s="4"/>
      <c r="BH1085" s="4"/>
      <c r="BI1085" s="4"/>
      <c r="BJ1085" s="4"/>
      <c r="BK1085" s="4"/>
      <c r="BL1085" s="4"/>
      <c r="BM1085" s="4"/>
      <c r="BN1085" s="4"/>
      <c r="BO1085" s="4"/>
      <c r="BP1085" s="4"/>
      <c r="BQ1085" s="4"/>
      <c r="BR1085" s="4"/>
      <c r="BS1085" s="4"/>
      <c r="BT1085" s="4"/>
      <c r="BU1085" s="4"/>
      <c r="BV1085" s="4"/>
      <c r="BW1085" s="4"/>
      <c r="BX1085" s="4"/>
      <c r="BY1085" s="4"/>
      <c r="BZ1085" s="4"/>
      <c r="CA1085" s="4"/>
      <c r="CB1085" s="4"/>
      <c r="CC1085" s="4"/>
      <c r="CD1085" s="4"/>
      <c r="CE1085" s="4"/>
      <c r="CF1085" s="4"/>
      <c r="CG1085" s="4"/>
      <c r="CH1085" s="4"/>
      <c r="CI1085" s="4"/>
      <c r="CJ1085" s="4"/>
      <c r="CK1085" s="4"/>
      <c r="CL1085" s="4"/>
      <c r="CM1085" s="4"/>
      <c r="CN1085" s="4"/>
      <c r="CO1085" s="4"/>
      <c r="CP1085" s="4"/>
      <c r="CQ1085" s="4"/>
      <c r="CR1085" s="4"/>
      <c r="CS1085" s="4"/>
      <c r="CT1085" s="4"/>
      <c r="CU1085" s="4"/>
      <c r="CV1085" s="4"/>
      <c r="CW1085" s="4"/>
      <c r="CX1085" s="4"/>
      <c r="CY1085" s="4"/>
      <c r="CZ1085" s="4"/>
      <c r="DA1085" s="4"/>
      <c r="DB1085" s="4"/>
      <c r="DC1085" s="4"/>
      <c r="DD1085" s="4"/>
      <c r="DE1085" s="4"/>
      <c r="DF1085" s="4"/>
      <c r="DG1085" s="4"/>
      <c r="DH1085" s="4"/>
      <c r="DI1085" s="4"/>
      <c r="DJ1085" s="4"/>
      <c r="DK1085" s="4"/>
      <c r="DL1085" s="4"/>
      <c r="DM1085" s="4"/>
      <c r="DN1085" s="4"/>
      <c r="DO1085" s="4"/>
      <c r="DP1085" s="4"/>
      <c r="DQ1085" s="4"/>
      <c r="DR1085" s="4"/>
      <c r="DS1085" s="4"/>
    </row>
    <row r="1086">
      <c r="A1086" s="9">
        <f>IFERROR(__xludf.DUMMYFUNCTION("""COMPUTED_VALUE"""),45762.0)</f>
        <v>45762</v>
      </c>
      <c r="B1086" s="6" t="str">
        <f>IFERROR(__xludf.DUMMYFUNCTION("""COMPUTED_VALUE"""),"Groceries")</f>
        <v>Groceries</v>
      </c>
      <c r="C1086" s="7">
        <f>IFERROR(__xludf.DUMMYFUNCTION("""COMPUTED_VALUE"""),4500.0)</f>
        <v>4500</v>
      </c>
      <c r="D1086" s="6" t="str">
        <f>IFERROR(__xludf.DUMMYFUNCTION("""COMPUTED_VALUE"""),"Groceries")</f>
        <v>Groceries</v>
      </c>
      <c r="E1086" s="6" t="str">
        <f>IFERROR(__xludf.DUMMYFUNCTION("""COMPUTED_VALUE"""),"Virtual Wallet")</f>
        <v>Virtual Wallet</v>
      </c>
      <c r="F1086" s="6" t="s">
        <v>7</v>
      </c>
      <c r="G1086" s="8" t="str">
        <f t="shared" si="1"/>
        <v>202504</v>
      </c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4"/>
      <c r="AS1086" s="4"/>
      <c r="AT1086" s="4"/>
      <c r="AU1086" s="4"/>
      <c r="AV1086" s="4"/>
      <c r="AW1086" s="4"/>
      <c r="AX1086" s="4"/>
      <c r="AY1086" s="4"/>
      <c r="AZ1086" s="4"/>
      <c r="BA1086" s="4"/>
      <c r="BB1086" s="4"/>
      <c r="BC1086" s="4"/>
      <c r="BD1086" s="4"/>
      <c r="BE1086" s="4"/>
      <c r="BF1086" s="4"/>
      <c r="BG1086" s="4"/>
      <c r="BH1086" s="4"/>
      <c r="BI1086" s="4"/>
      <c r="BJ1086" s="4"/>
      <c r="BK1086" s="4"/>
      <c r="BL1086" s="4"/>
      <c r="BM1086" s="4"/>
      <c r="BN1086" s="4"/>
      <c r="BO1086" s="4"/>
      <c r="BP1086" s="4"/>
      <c r="BQ1086" s="4"/>
      <c r="BR1086" s="4"/>
      <c r="BS1086" s="4"/>
      <c r="BT1086" s="4"/>
      <c r="BU1086" s="4"/>
      <c r="BV1086" s="4"/>
      <c r="BW1086" s="4"/>
      <c r="BX1086" s="4"/>
      <c r="BY1086" s="4"/>
      <c r="BZ1086" s="4"/>
      <c r="CA1086" s="4"/>
      <c r="CB1086" s="4"/>
      <c r="CC1086" s="4"/>
      <c r="CD1086" s="4"/>
      <c r="CE1086" s="4"/>
      <c r="CF1086" s="4"/>
      <c r="CG1086" s="4"/>
      <c r="CH1086" s="4"/>
      <c r="CI1086" s="4"/>
      <c r="CJ1086" s="4"/>
      <c r="CK1086" s="4"/>
      <c r="CL1086" s="4"/>
      <c r="CM1086" s="4"/>
      <c r="CN1086" s="4"/>
      <c r="CO1086" s="4"/>
      <c r="CP1086" s="4"/>
      <c r="CQ1086" s="4"/>
      <c r="CR1086" s="4"/>
      <c r="CS1086" s="4"/>
      <c r="CT1086" s="4"/>
      <c r="CU1086" s="4"/>
      <c r="CV1086" s="4"/>
      <c r="CW1086" s="4"/>
      <c r="CX1086" s="4"/>
      <c r="CY1086" s="4"/>
      <c r="CZ1086" s="4"/>
      <c r="DA1086" s="4"/>
      <c r="DB1086" s="4"/>
      <c r="DC1086" s="4"/>
      <c r="DD1086" s="4"/>
      <c r="DE1086" s="4"/>
      <c r="DF1086" s="4"/>
      <c r="DG1086" s="4"/>
      <c r="DH1086" s="4"/>
      <c r="DI1086" s="4"/>
      <c r="DJ1086" s="4"/>
      <c r="DK1086" s="4"/>
      <c r="DL1086" s="4"/>
      <c r="DM1086" s="4"/>
      <c r="DN1086" s="4"/>
      <c r="DO1086" s="4"/>
      <c r="DP1086" s="4"/>
      <c r="DQ1086" s="4"/>
      <c r="DR1086" s="4"/>
      <c r="DS1086" s="4"/>
    </row>
    <row r="1087">
      <c r="A1087" s="9">
        <f>IFERROR(__xludf.DUMMYFUNCTION("""COMPUTED_VALUE"""),45762.0)</f>
        <v>45762</v>
      </c>
      <c r="B1087" s="6" t="str">
        <f>IFERROR(__xludf.DUMMYFUNCTION("""COMPUTED_VALUE"""),"Groceries")</f>
        <v>Groceries</v>
      </c>
      <c r="C1087" s="7">
        <f>IFERROR(__xludf.DUMMYFUNCTION("""COMPUTED_VALUE"""),6800.0)</f>
        <v>6800</v>
      </c>
      <c r="D1087" s="6" t="str">
        <f>IFERROR(__xludf.DUMMYFUNCTION("""COMPUTED_VALUE"""),"Lunch Out")</f>
        <v>Lunch Out</v>
      </c>
      <c r="E1087" s="6" t="str">
        <f>IFERROR(__xludf.DUMMYFUNCTION("""COMPUTED_VALUE"""),"Virtual Wallet")</f>
        <v>Virtual Wallet</v>
      </c>
      <c r="F1087" s="6" t="s">
        <v>14</v>
      </c>
      <c r="G1087" s="8" t="str">
        <f t="shared" si="1"/>
        <v>202504</v>
      </c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4"/>
      <c r="AS1087" s="4"/>
      <c r="AT1087" s="4"/>
      <c r="AU1087" s="4"/>
      <c r="AV1087" s="4"/>
      <c r="AW1087" s="4"/>
      <c r="AX1087" s="4"/>
      <c r="AY1087" s="4"/>
      <c r="AZ1087" s="4"/>
      <c r="BA1087" s="4"/>
      <c r="BB1087" s="4"/>
      <c r="BC1087" s="4"/>
      <c r="BD1087" s="4"/>
      <c r="BE1087" s="4"/>
      <c r="BF1087" s="4"/>
      <c r="BG1087" s="4"/>
      <c r="BH1087" s="4"/>
      <c r="BI1087" s="4"/>
      <c r="BJ1087" s="4"/>
      <c r="BK1087" s="4"/>
      <c r="BL1087" s="4"/>
      <c r="BM1087" s="4"/>
      <c r="BN1087" s="4"/>
      <c r="BO1087" s="4"/>
      <c r="BP1087" s="4"/>
      <c r="BQ1087" s="4"/>
      <c r="BR1087" s="4"/>
      <c r="BS1087" s="4"/>
      <c r="BT1087" s="4"/>
      <c r="BU1087" s="4"/>
      <c r="BV1087" s="4"/>
      <c r="BW1087" s="4"/>
      <c r="BX1087" s="4"/>
      <c r="BY1087" s="4"/>
      <c r="BZ1087" s="4"/>
      <c r="CA1087" s="4"/>
      <c r="CB1087" s="4"/>
      <c r="CC1087" s="4"/>
      <c r="CD1087" s="4"/>
      <c r="CE1087" s="4"/>
      <c r="CF1087" s="4"/>
      <c r="CG1087" s="4"/>
      <c r="CH1087" s="4"/>
      <c r="CI1087" s="4"/>
      <c r="CJ1087" s="4"/>
      <c r="CK1087" s="4"/>
      <c r="CL1087" s="4"/>
      <c r="CM1087" s="4"/>
      <c r="CN1087" s="4"/>
      <c r="CO1087" s="4"/>
      <c r="CP1087" s="4"/>
      <c r="CQ1087" s="4"/>
      <c r="CR1087" s="4"/>
      <c r="CS1087" s="4"/>
      <c r="CT1087" s="4"/>
      <c r="CU1087" s="4"/>
      <c r="CV1087" s="4"/>
      <c r="CW1087" s="4"/>
      <c r="CX1087" s="4"/>
      <c r="CY1087" s="4"/>
      <c r="CZ1087" s="4"/>
      <c r="DA1087" s="4"/>
      <c r="DB1087" s="4"/>
      <c r="DC1087" s="4"/>
      <c r="DD1087" s="4"/>
      <c r="DE1087" s="4"/>
      <c r="DF1087" s="4"/>
      <c r="DG1087" s="4"/>
      <c r="DH1087" s="4"/>
      <c r="DI1087" s="4"/>
      <c r="DJ1087" s="4"/>
      <c r="DK1087" s="4"/>
      <c r="DL1087" s="4"/>
      <c r="DM1087" s="4"/>
      <c r="DN1087" s="4"/>
      <c r="DO1087" s="4"/>
      <c r="DP1087" s="4"/>
      <c r="DQ1087" s="4"/>
      <c r="DR1087" s="4"/>
      <c r="DS1087" s="4"/>
    </row>
    <row r="1088">
      <c r="A1088" s="9">
        <f>IFERROR(__xludf.DUMMYFUNCTION("""COMPUTED_VALUE"""),45762.0)</f>
        <v>45762</v>
      </c>
      <c r="B1088" s="6" t="str">
        <f>IFERROR(__xludf.DUMMYFUNCTION("""COMPUTED_VALUE"""),"Groceries")</f>
        <v>Groceries</v>
      </c>
      <c r="C1088" s="7">
        <f>IFERROR(__xludf.DUMMYFUNCTION("""COMPUTED_VALUE"""),4500.0)</f>
        <v>4500</v>
      </c>
      <c r="D1088" s="6" t="str">
        <f>IFERROR(__xludf.DUMMYFUNCTION("""COMPUTED_VALUE"""),"Groceries")</f>
        <v>Groceries</v>
      </c>
      <c r="E1088" s="6" t="str">
        <f>IFERROR(__xludf.DUMMYFUNCTION("""COMPUTED_VALUE"""),"Virtual Wallet")</f>
        <v>Virtual Wallet</v>
      </c>
      <c r="F1088" s="6" t="s">
        <v>7</v>
      </c>
      <c r="G1088" s="8" t="str">
        <f t="shared" si="1"/>
        <v>202504</v>
      </c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4"/>
      <c r="AS1088" s="4"/>
      <c r="AT1088" s="4"/>
      <c r="AU1088" s="4"/>
      <c r="AV1088" s="4"/>
      <c r="AW1088" s="4"/>
      <c r="AX1088" s="4"/>
      <c r="AY1088" s="4"/>
      <c r="AZ1088" s="4"/>
      <c r="BA1088" s="4"/>
      <c r="BB1088" s="4"/>
      <c r="BC1088" s="4"/>
      <c r="BD1088" s="4"/>
      <c r="BE1088" s="4"/>
      <c r="BF1088" s="4"/>
      <c r="BG1088" s="4"/>
      <c r="BH1088" s="4"/>
      <c r="BI1088" s="4"/>
      <c r="BJ1088" s="4"/>
      <c r="BK1088" s="4"/>
      <c r="BL1088" s="4"/>
      <c r="BM1088" s="4"/>
      <c r="BN1088" s="4"/>
      <c r="BO1088" s="4"/>
      <c r="BP1088" s="4"/>
      <c r="BQ1088" s="4"/>
      <c r="BR1088" s="4"/>
      <c r="BS1088" s="4"/>
      <c r="BT1088" s="4"/>
      <c r="BU1088" s="4"/>
      <c r="BV1088" s="4"/>
      <c r="BW1088" s="4"/>
      <c r="BX1088" s="4"/>
      <c r="BY1088" s="4"/>
      <c r="BZ1088" s="4"/>
      <c r="CA1088" s="4"/>
      <c r="CB1088" s="4"/>
      <c r="CC1088" s="4"/>
      <c r="CD1088" s="4"/>
      <c r="CE1088" s="4"/>
      <c r="CF1088" s="4"/>
      <c r="CG1088" s="4"/>
      <c r="CH1088" s="4"/>
      <c r="CI1088" s="4"/>
      <c r="CJ1088" s="4"/>
      <c r="CK1088" s="4"/>
      <c r="CL1088" s="4"/>
      <c r="CM1088" s="4"/>
      <c r="CN1088" s="4"/>
      <c r="CO1088" s="4"/>
      <c r="CP1088" s="4"/>
      <c r="CQ1088" s="4"/>
      <c r="CR1088" s="4"/>
      <c r="CS1088" s="4"/>
      <c r="CT1088" s="4"/>
      <c r="CU1088" s="4"/>
      <c r="CV1088" s="4"/>
      <c r="CW1088" s="4"/>
      <c r="CX1088" s="4"/>
      <c r="CY1088" s="4"/>
      <c r="CZ1088" s="4"/>
      <c r="DA1088" s="4"/>
      <c r="DB1088" s="4"/>
      <c r="DC1088" s="4"/>
      <c r="DD1088" s="4"/>
      <c r="DE1088" s="4"/>
      <c r="DF1088" s="4"/>
      <c r="DG1088" s="4"/>
      <c r="DH1088" s="4"/>
      <c r="DI1088" s="4"/>
      <c r="DJ1088" s="4"/>
      <c r="DK1088" s="4"/>
      <c r="DL1088" s="4"/>
      <c r="DM1088" s="4"/>
      <c r="DN1088" s="4"/>
      <c r="DO1088" s="4"/>
      <c r="DP1088" s="4"/>
      <c r="DQ1088" s="4"/>
      <c r="DR1088" s="4"/>
      <c r="DS1088" s="4"/>
    </row>
    <row r="1089">
      <c r="A1089" s="9">
        <f>IFERROR(__xludf.DUMMYFUNCTION("""COMPUTED_VALUE"""),45763.0)</f>
        <v>45763</v>
      </c>
      <c r="B1089" s="6" t="str">
        <f>IFERROR(__xludf.DUMMYFUNCTION("""COMPUTED_VALUE"""),"Home Goods")</f>
        <v>Home Goods</v>
      </c>
      <c r="C1089" s="7">
        <f>IFERROR(__xludf.DUMMYFUNCTION("""COMPUTED_VALUE"""),60492.0)</f>
        <v>60492</v>
      </c>
      <c r="D1089" s="6" t="str">
        <f>IFERROR(__xludf.DUMMYFUNCTION("""COMPUTED_VALUE"""),"Home Goods &amp; Utilities")</f>
        <v>Home Goods &amp; Utilities</v>
      </c>
      <c r="E1089" s="6" t="str">
        <f>IFERROR(__xludf.DUMMYFUNCTION("""COMPUTED_VALUE"""),"Credit Card")</f>
        <v>Credit Card</v>
      </c>
      <c r="F1089" s="6" t="s">
        <v>8</v>
      </c>
      <c r="G1089" s="8" t="str">
        <f t="shared" si="1"/>
        <v>202504</v>
      </c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4"/>
      <c r="AS1089" s="4"/>
      <c r="AT1089" s="4"/>
      <c r="AU1089" s="4"/>
      <c r="AV1089" s="4"/>
      <c r="AW1089" s="4"/>
      <c r="AX1089" s="4"/>
      <c r="AY1089" s="4"/>
      <c r="AZ1089" s="4"/>
      <c r="BA1089" s="4"/>
      <c r="BB1089" s="4"/>
      <c r="BC1089" s="4"/>
      <c r="BD1089" s="4"/>
      <c r="BE1089" s="4"/>
      <c r="BF1089" s="4"/>
      <c r="BG1089" s="4"/>
      <c r="BH1089" s="4"/>
      <c r="BI1089" s="4"/>
      <c r="BJ1089" s="4"/>
      <c r="BK1089" s="4"/>
      <c r="BL1089" s="4"/>
      <c r="BM1089" s="4"/>
      <c r="BN1089" s="4"/>
      <c r="BO1089" s="4"/>
      <c r="BP1089" s="4"/>
      <c r="BQ1089" s="4"/>
      <c r="BR1089" s="4"/>
      <c r="BS1089" s="4"/>
      <c r="BT1089" s="4"/>
      <c r="BU1089" s="4"/>
      <c r="BV1089" s="4"/>
      <c r="BW1089" s="4"/>
      <c r="BX1089" s="4"/>
      <c r="BY1089" s="4"/>
      <c r="BZ1089" s="4"/>
      <c r="CA1089" s="4"/>
      <c r="CB1089" s="4"/>
      <c r="CC1089" s="4"/>
      <c r="CD1089" s="4"/>
      <c r="CE1089" s="4"/>
      <c r="CF1089" s="4"/>
      <c r="CG1089" s="4"/>
      <c r="CH1089" s="4"/>
      <c r="CI1089" s="4"/>
      <c r="CJ1089" s="4"/>
      <c r="CK1089" s="4"/>
      <c r="CL1089" s="4"/>
      <c r="CM1089" s="4"/>
      <c r="CN1089" s="4"/>
      <c r="CO1089" s="4"/>
      <c r="CP1089" s="4"/>
      <c r="CQ1089" s="4"/>
      <c r="CR1089" s="4"/>
      <c r="CS1089" s="4"/>
      <c r="CT1089" s="4"/>
      <c r="CU1089" s="4"/>
      <c r="CV1089" s="4"/>
      <c r="CW1089" s="4"/>
      <c r="CX1089" s="4"/>
      <c r="CY1089" s="4"/>
      <c r="CZ1089" s="4"/>
      <c r="DA1089" s="4"/>
      <c r="DB1089" s="4"/>
      <c r="DC1089" s="4"/>
      <c r="DD1089" s="4"/>
      <c r="DE1089" s="4"/>
      <c r="DF1089" s="4"/>
      <c r="DG1089" s="4"/>
      <c r="DH1089" s="4"/>
      <c r="DI1089" s="4"/>
      <c r="DJ1089" s="4"/>
      <c r="DK1089" s="4"/>
      <c r="DL1089" s="4"/>
      <c r="DM1089" s="4"/>
      <c r="DN1089" s="4"/>
      <c r="DO1089" s="4"/>
      <c r="DP1089" s="4"/>
      <c r="DQ1089" s="4"/>
      <c r="DR1089" s="4"/>
      <c r="DS1089" s="4"/>
    </row>
    <row r="1090">
      <c r="A1090" s="9">
        <f>IFERROR(__xludf.DUMMYFUNCTION("""COMPUTED_VALUE"""),45763.0)</f>
        <v>45763</v>
      </c>
      <c r="B1090" s="6" t="str">
        <f>IFERROR(__xludf.DUMMYFUNCTION("""COMPUTED_VALUE"""),"Home Goods")</f>
        <v>Home Goods</v>
      </c>
      <c r="C1090" s="7">
        <f>IFERROR(__xludf.DUMMYFUNCTION("""COMPUTED_VALUE"""),3833.0)</f>
        <v>3833</v>
      </c>
      <c r="D1090" s="6" t="str">
        <f>IFERROR(__xludf.DUMMYFUNCTION("""COMPUTED_VALUE"""),"Home Goods &amp; Utilities")</f>
        <v>Home Goods &amp; Utilities</v>
      </c>
      <c r="E1090" s="6" t="str">
        <f>IFERROR(__xludf.DUMMYFUNCTION("""COMPUTED_VALUE"""),"Credit Card")</f>
        <v>Credit Card</v>
      </c>
      <c r="F1090" s="6" t="s">
        <v>8</v>
      </c>
      <c r="G1090" s="8" t="str">
        <f t="shared" si="1"/>
        <v>202504</v>
      </c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4"/>
      <c r="AS1090" s="4"/>
      <c r="AT1090" s="4"/>
      <c r="AU1090" s="4"/>
      <c r="AV1090" s="4"/>
      <c r="AW1090" s="4"/>
      <c r="AX1090" s="4"/>
      <c r="AY1090" s="4"/>
      <c r="AZ1090" s="4"/>
      <c r="BA1090" s="4"/>
      <c r="BB1090" s="4"/>
      <c r="BC1090" s="4"/>
      <c r="BD1090" s="4"/>
      <c r="BE1090" s="4"/>
      <c r="BF1090" s="4"/>
      <c r="BG1090" s="4"/>
      <c r="BH1090" s="4"/>
      <c r="BI1090" s="4"/>
      <c r="BJ1090" s="4"/>
      <c r="BK1090" s="4"/>
      <c r="BL1090" s="4"/>
      <c r="BM1090" s="4"/>
      <c r="BN1090" s="4"/>
      <c r="BO1090" s="4"/>
      <c r="BP1090" s="4"/>
      <c r="BQ1090" s="4"/>
      <c r="BR1090" s="4"/>
      <c r="BS1090" s="4"/>
      <c r="BT1090" s="4"/>
      <c r="BU1090" s="4"/>
      <c r="BV1090" s="4"/>
      <c r="BW1090" s="4"/>
      <c r="BX1090" s="4"/>
      <c r="BY1090" s="4"/>
      <c r="BZ1090" s="4"/>
      <c r="CA1090" s="4"/>
      <c r="CB1090" s="4"/>
      <c r="CC1090" s="4"/>
      <c r="CD1090" s="4"/>
      <c r="CE1090" s="4"/>
      <c r="CF1090" s="4"/>
      <c r="CG1090" s="4"/>
      <c r="CH1090" s="4"/>
      <c r="CI1090" s="4"/>
      <c r="CJ1090" s="4"/>
      <c r="CK1090" s="4"/>
      <c r="CL1090" s="4"/>
      <c r="CM1090" s="4"/>
      <c r="CN1090" s="4"/>
      <c r="CO1090" s="4"/>
      <c r="CP1090" s="4"/>
      <c r="CQ1090" s="4"/>
      <c r="CR1090" s="4"/>
      <c r="CS1090" s="4"/>
      <c r="CT1090" s="4"/>
      <c r="CU1090" s="4"/>
      <c r="CV1090" s="4"/>
      <c r="CW1090" s="4"/>
      <c r="CX1090" s="4"/>
      <c r="CY1090" s="4"/>
      <c r="CZ1090" s="4"/>
      <c r="DA1090" s="4"/>
      <c r="DB1090" s="4"/>
      <c r="DC1090" s="4"/>
      <c r="DD1090" s="4"/>
      <c r="DE1090" s="4"/>
      <c r="DF1090" s="4"/>
      <c r="DG1090" s="4"/>
      <c r="DH1090" s="4"/>
      <c r="DI1090" s="4"/>
      <c r="DJ1090" s="4"/>
      <c r="DK1090" s="4"/>
      <c r="DL1090" s="4"/>
      <c r="DM1090" s="4"/>
      <c r="DN1090" s="4"/>
      <c r="DO1090" s="4"/>
      <c r="DP1090" s="4"/>
      <c r="DQ1090" s="4"/>
      <c r="DR1090" s="4"/>
      <c r="DS1090" s="4"/>
    </row>
    <row r="1091">
      <c r="A1091" s="9">
        <f>IFERROR(__xludf.DUMMYFUNCTION("""COMPUTED_VALUE"""),45764.0)</f>
        <v>45764</v>
      </c>
      <c r="B1091" s="6" t="str">
        <f>IFERROR(__xludf.DUMMYFUNCTION("""COMPUTED_VALUE"""),"Clothing")</f>
        <v>Clothing</v>
      </c>
      <c r="C1091" s="7">
        <f>IFERROR(__xludf.DUMMYFUNCTION("""COMPUTED_VALUE"""),40950.0)</f>
        <v>40950</v>
      </c>
      <c r="D1091" s="6" t="str">
        <f>IFERROR(__xludf.DUMMYFUNCTION("""COMPUTED_VALUE"""),"Clothing")</f>
        <v>Clothing</v>
      </c>
      <c r="E1091" s="6" t="str">
        <f>IFERROR(__xludf.DUMMYFUNCTION("""COMPUTED_VALUE"""),"Credit Card")</f>
        <v>Credit Card</v>
      </c>
      <c r="F1091" s="6" t="s">
        <v>10</v>
      </c>
      <c r="G1091" s="8" t="str">
        <f t="shared" si="1"/>
        <v>202504</v>
      </c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4"/>
      <c r="AS1091" s="4"/>
      <c r="AT1091" s="4"/>
      <c r="AU1091" s="4"/>
      <c r="AV1091" s="4"/>
      <c r="AW1091" s="4"/>
      <c r="AX1091" s="4"/>
      <c r="AY1091" s="4"/>
      <c r="AZ1091" s="4"/>
      <c r="BA1091" s="4"/>
      <c r="BB1091" s="4"/>
      <c r="BC1091" s="4"/>
      <c r="BD1091" s="4"/>
      <c r="BE1091" s="4"/>
      <c r="BF1091" s="4"/>
      <c r="BG1091" s="4"/>
      <c r="BH1091" s="4"/>
      <c r="BI1091" s="4"/>
      <c r="BJ1091" s="4"/>
      <c r="BK1091" s="4"/>
      <c r="BL1091" s="4"/>
      <c r="BM1091" s="4"/>
      <c r="BN1091" s="4"/>
      <c r="BO1091" s="4"/>
      <c r="BP1091" s="4"/>
      <c r="BQ1091" s="4"/>
      <c r="BR1091" s="4"/>
      <c r="BS1091" s="4"/>
      <c r="BT1091" s="4"/>
      <c r="BU1091" s="4"/>
      <c r="BV1091" s="4"/>
      <c r="BW1091" s="4"/>
      <c r="BX1091" s="4"/>
      <c r="BY1091" s="4"/>
      <c r="BZ1091" s="4"/>
      <c r="CA1091" s="4"/>
      <c r="CB1091" s="4"/>
      <c r="CC1091" s="4"/>
      <c r="CD1091" s="4"/>
      <c r="CE1091" s="4"/>
      <c r="CF1091" s="4"/>
      <c r="CG1091" s="4"/>
      <c r="CH1091" s="4"/>
      <c r="CI1091" s="4"/>
      <c r="CJ1091" s="4"/>
      <c r="CK1091" s="4"/>
      <c r="CL1091" s="4"/>
      <c r="CM1091" s="4"/>
      <c r="CN1091" s="4"/>
      <c r="CO1091" s="4"/>
      <c r="CP1091" s="4"/>
      <c r="CQ1091" s="4"/>
      <c r="CR1091" s="4"/>
      <c r="CS1091" s="4"/>
      <c r="CT1091" s="4"/>
      <c r="CU1091" s="4"/>
      <c r="CV1091" s="4"/>
      <c r="CW1091" s="4"/>
      <c r="CX1091" s="4"/>
      <c r="CY1091" s="4"/>
      <c r="CZ1091" s="4"/>
      <c r="DA1091" s="4"/>
      <c r="DB1091" s="4"/>
      <c r="DC1091" s="4"/>
      <c r="DD1091" s="4"/>
      <c r="DE1091" s="4"/>
      <c r="DF1091" s="4"/>
      <c r="DG1091" s="4"/>
      <c r="DH1091" s="4"/>
      <c r="DI1091" s="4"/>
      <c r="DJ1091" s="4"/>
      <c r="DK1091" s="4"/>
      <c r="DL1091" s="4"/>
      <c r="DM1091" s="4"/>
      <c r="DN1091" s="4"/>
      <c r="DO1091" s="4"/>
      <c r="DP1091" s="4"/>
      <c r="DQ1091" s="4"/>
      <c r="DR1091" s="4"/>
      <c r="DS1091" s="4"/>
    </row>
    <row r="1092">
      <c r="A1092" s="9">
        <f>IFERROR(__xludf.DUMMYFUNCTION("""COMPUTED_VALUE"""),45764.0)</f>
        <v>45764</v>
      </c>
      <c r="B1092" s="6" t="str">
        <f>IFERROR(__xludf.DUMMYFUNCTION("""COMPUTED_VALUE"""),"Clothing")</f>
        <v>Clothing</v>
      </c>
      <c r="C1092" s="7">
        <f>IFERROR(__xludf.DUMMYFUNCTION("""COMPUTED_VALUE"""),38037.0)</f>
        <v>38037</v>
      </c>
      <c r="D1092" s="6" t="str">
        <f>IFERROR(__xludf.DUMMYFUNCTION("""COMPUTED_VALUE"""),"Clothing")</f>
        <v>Clothing</v>
      </c>
      <c r="E1092" s="6" t="str">
        <f>IFERROR(__xludf.DUMMYFUNCTION("""COMPUTED_VALUE"""),"Credit Card")</f>
        <v>Credit Card</v>
      </c>
      <c r="F1092" s="6" t="s">
        <v>10</v>
      </c>
      <c r="G1092" s="8" t="str">
        <f t="shared" si="1"/>
        <v>202504</v>
      </c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4"/>
      <c r="AS1092" s="4"/>
      <c r="AT1092" s="4"/>
      <c r="AU1092" s="4"/>
      <c r="AV1092" s="4"/>
      <c r="AW1092" s="4"/>
      <c r="AX1092" s="4"/>
      <c r="AY1092" s="4"/>
      <c r="AZ1092" s="4"/>
      <c r="BA1092" s="4"/>
      <c r="BB1092" s="4"/>
      <c r="BC1092" s="4"/>
      <c r="BD1092" s="4"/>
      <c r="BE1092" s="4"/>
      <c r="BF1092" s="4"/>
      <c r="BG1092" s="4"/>
      <c r="BH1092" s="4"/>
      <c r="BI1092" s="4"/>
      <c r="BJ1092" s="4"/>
      <c r="BK1092" s="4"/>
      <c r="BL1092" s="4"/>
      <c r="BM1092" s="4"/>
      <c r="BN1092" s="4"/>
      <c r="BO1092" s="4"/>
      <c r="BP1092" s="4"/>
      <c r="BQ1092" s="4"/>
      <c r="BR1092" s="4"/>
      <c r="BS1092" s="4"/>
      <c r="BT1092" s="4"/>
      <c r="BU1092" s="4"/>
      <c r="BV1092" s="4"/>
      <c r="BW1092" s="4"/>
      <c r="BX1092" s="4"/>
      <c r="BY1092" s="4"/>
      <c r="BZ1092" s="4"/>
      <c r="CA1092" s="4"/>
      <c r="CB1092" s="4"/>
      <c r="CC1092" s="4"/>
      <c r="CD1092" s="4"/>
      <c r="CE1092" s="4"/>
      <c r="CF1092" s="4"/>
      <c r="CG1092" s="4"/>
      <c r="CH1092" s="4"/>
      <c r="CI1092" s="4"/>
      <c r="CJ1092" s="4"/>
      <c r="CK1092" s="4"/>
      <c r="CL1092" s="4"/>
      <c r="CM1092" s="4"/>
      <c r="CN1092" s="4"/>
      <c r="CO1092" s="4"/>
      <c r="CP1092" s="4"/>
      <c r="CQ1092" s="4"/>
      <c r="CR1092" s="4"/>
      <c r="CS1092" s="4"/>
      <c r="CT1092" s="4"/>
      <c r="CU1092" s="4"/>
      <c r="CV1092" s="4"/>
      <c r="CW1092" s="4"/>
      <c r="CX1092" s="4"/>
      <c r="CY1092" s="4"/>
      <c r="CZ1092" s="4"/>
      <c r="DA1092" s="4"/>
      <c r="DB1092" s="4"/>
      <c r="DC1092" s="4"/>
      <c r="DD1092" s="4"/>
      <c r="DE1092" s="4"/>
      <c r="DF1092" s="4"/>
      <c r="DG1092" s="4"/>
      <c r="DH1092" s="4"/>
      <c r="DI1092" s="4"/>
      <c r="DJ1092" s="4"/>
      <c r="DK1092" s="4"/>
      <c r="DL1092" s="4"/>
      <c r="DM1092" s="4"/>
      <c r="DN1092" s="4"/>
      <c r="DO1092" s="4"/>
      <c r="DP1092" s="4"/>
      <c r="DQ1092" s="4"/>
      <c r="DR1092" s="4"/>
      <c r="DS1092" s="4"/>
    </row>
    <row r="1093">
      <c r="A1093" s="9">
        <f>IFERROR(__xludf.DUMMYFUNCTION("""COMPUTED_VALUE"""),45764.0)</f>
        <v>45764</v>
      </c>
      <c r="B1093" s="6" t="str">
        <f>IFERROR(__xludf.DUMMYFUNCTION("""COMPUTED_VALUE"""),"Gasoline")</f>
        <v>Gasoline</v>
      </c>
      <c r="C1093" s="7">
        <f>IFERROR(__xludf.DUMMYFUNCTION("""COMPUTED_VALUE"""),10000.0)</f>
        <v>10000</v>
      </c>
      <c r="D1093" s="6" t="str">
        <f>IFERROR(__xludf.DUMMYFUNCTION("""COMPUTED_VALUE"""),"Car Expenses")</f>
        <v>Car Expenses</v>
      </c>
      <c r="E1093" s="6" t="str">
        <f>IFERROR(__xludf.DUMMYFUNCTION("""COMPUTED_VALUE"""),"Virtual Wallet")</f>
        <v>Virtual Wallet</v>
      </c>
      <c r="F1093" s="6" t="s">
        <v>9</v>
      </c>
      <c r="G1093" s="8" t="str">
        <f t="shared" si="1"/>
        <v>202504</v>
      </c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4"/>
      <c r="AS1093" s="4"/>
      <c r="AT1093" s="4"/>
      <c r="AU1093" s="4"/>
      <c r="AV1093" s="4"/>
      <c r="AW1093" s="4"/>
      <c r="AX1093" s="4"/>
      <c r="AY1093" s="4"/>
      <c r="AZ1093" s="4"/>
      <c r="BA1093" s="4"/>
      <c r="BB1093" s="4"/>
      <c r="BC1093" s="4"/>
      <c r="BD1093" s="4"/>
      <c r="BE1093" s="4"/>
      <c r="BF1093" s="4"/>
      <c r="BG1093" s="4"/>
      <c r="BH1093" s="4"/>
      <c r="BI1093" s="4"/>
      <c r="BJ1093" s="4"/>
      <c r="BK1093" s="4"/>
      <c r="BL1093" s="4"/>
      <c r="BM1093" s="4"/>
      <c r="BN1093" s="4"/>
      <c r="BO1093" s="4"/>
      <c r="BP1093" s="4"/>
      <c r="BQ1093" s="4"/>
      <c r="BR1093" s="4"/>
      <c r="BS1093" s="4"/>
      <c r="BT1093" s="4"/>
      <c r="BU1093" s="4"/>
      <c r="BV1093" s="4"/>
      <c r="BW1093" s="4"/>
      <c r="BX1093" s="4"/>
      <c r="BY1093" s="4"/>
      <c r="BZ1093" s="4"/>
      <c r="CA1093" s="4"/>
      <c r="CB1093" s="4"/>
      <c r="CC1093" s="4"/>
      <c r="CD1093" s="4"/>
      <c r="CE1093" s="4"/>
      <c r="CF1093" s="4"/>
      <c r="CG1093" s="4"/>
      <c r="CH1093" s="4"/>
      <c r="CI1093" s="4"/>
      <c r="CJ1093" s="4"/>
      <c r="CK1093" s="4"/>
      <c r="CL1093" s="4"/>
      <c r="CM1093" s="4"/>
      <c r="CN1093" s="4"/>
      <c r="CO1093" s="4"/>
      <c r="CP1093" s="4"/>
      <c r="CQ1093" s="4"/>
      <c r="CR1093" s="4"/>
      <c r="CS1093" s="4"/>
      <c r="CT1093" s="4"/>
      <c r="CU1093" s="4"/>
      <c r="CV1093" s="4"/>
      <c r="CW1093" s="4"/>
      <c r="CX1093" s="4"/>
      <c r="CY1093" s="4"/>
      <c r="CZ1093" s="4"/>
      <c r="DA1093" s="4"/>
      <c r="DB1093" s="4"/>
      <c r="DC1093" s="4"/>
      <c r="DD1093" s="4"/>
      <c r="DE1093" s="4"/>
      <c r="DF1093" s="4"/>
      <c r="DG1093" s="4"/>
      <c r="DH1093" s="4"/>
      <c r="DI1093" s="4"/>
      <c r="DJ1093" s="4"/>
      <c r="DK1093" s="4"/>
      <c r="DL1093" s="4"/>
      <c r="DM1093" s="4"/>
      <c r="DN1093" s="4"/>
      <c r="DO1093" s="4"/>
      <c r="DP1093" s="4"/>
      <c r="DQ1093" s="4"/>
      <c r="DR1093" s="4"/>
      <c r="DS1093" s="4"/>
    </row>
    <row r="1094">
      <c r="A1094" s="9">
        <f>IFERROR(__xludf.DUMMYFUNCTION("""COMPUTED_VALUE"""),45764.0)</f>
        <v>45764</v>
      </c>
      <c r="B1094" s="6" t="str">
        <f>IFERROR(__xludf.DUMMYFUNCTION("""COMPUTED_VALUE"""),"Groceries")</f>
        <v>Groceries</v>
      </c>
      <c r="C1094" s="7">
        <f>IFERROR(__xludf.DUMMYFUNCTION("""COMPUTED_VALUE"""),7500.0)</f>
        <v>7500</v>
      </c>
      <c r="D1094" s="6" t="str">
        <f>IFERROR(__xludf.DUMMYFUNCTION("""COMPUTED_VALUE"""),"Restaurant / Café")</f>
        <v>Restaurant / Café</v>
      </c>
      <c r="E1094" s="6" t="str">
        <f>IFERROR(__xludf.DUMMYFUNCTION("""COMPUTED_VALUE"""),"Virtual Wallet")</f>
        <v>Virtual Wallet</v>
      </c>
      <c r="F1094" s="6" t="s">
        <v>14</v>
      </c>
      <c r="G1094" s="8" t="str">
        <f t="shared" si="1"/>
        <v>202504</v>
      </c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4"/>
      <c r="AS1094" s="4"/>
      <c r="AT1094" s="4"/>
      <c r="AU1094" s="4"/>
      <c r="AV1094" s="4"/>
      <c r="AW1094" s="4"/>
      <c r="AX1094" s="4"/>
      <c r="AY1094" s="4"/>
      <c r="AZ1094" s="4"/>
      <c r="BA1094" s="4"/>
      <c r="BB1094" s="4"/>
      <c r="BC1094" s="4"/>
      <c r="BD1094" s="4"/>
      <c r="BE1094" s="4"/>
      <c r="BF1094" s="4"/>
      <c r="BG1094" s="4"/>
      <c r="BH1094" s="4"/>
      <c r="BI1094" s="4"/>
      <c r="BJ1094" s="4"/>
      <c r="BK1094" s="4"/>
      <c r="BL1094" s="4"/>
      <c r="BM1094" s="4"/>
      <c r="BN1094" s="4"/>
      <c r="BO1094" s="4"/>
      <c r="BP1094" s="4"/>
      <c r="BQ1094" s="4"/>
      <c r="BR1094" s="4"/>
      <c r="BS1094" s="4"/>
      <c r="BT1094" s="4"/>
      <c r="BU1094" s="4"/>
      <c r="BV1094" s="4"/>
      <c r="BW1094" s="4"/>
      <c r="BX1094" s="4"/>
      <c r="BY1094" s="4"/>
      <c r="BZ1094" s="4"/>
      <c r="CA1094" s="4"/>
      <c r="CB1094" s="4"/>
      <c r="CC1094" s="4"/>
      <c r="CD1094" s="4"/>
      <c r="CE1094" s="4"/>
      <c r="CF1094" s="4"/>
      <c r="CG1094" s="4"/>
      <c r="CH1094" s="4"/>
      <c r="CI1094" s="4"/>
      <c r="CJ1094" s="4"/>
      <c r="CK1094" s="4"/>
      <c r="CL1094" s="4"/>
      <c r="CM1094" s="4"/>
      <c r="CN1094" s="4"/>
      <c r="CO1094" s="4"/>
      <c r="CP1094" s="4"/>
      <c r="CQ1094" s="4"/>
      <c r="CR1094" s="4"/>
      <c r="CS1094" s="4"/>
      <c r="CT1094" s="4"/>
      <c r="CU1094" s="4"/>
      <c r="CV1094" s="4"/>
      <c r="CW1094" s="4"/>
      <c r="CX1094" s="4"/>
      <c r="CY1094" s="4"/>
      <c r="CZ1094" s="4"/>
      <c r="DA1094" s="4"/>
      <c r="DB1094" s="4"/>
      <c r="DC1094" s="4"/>
      <c r="DD1094" s="4"/>
      <c r="DE1094" s="4"/>
      <c r="DF1094" s="4"/>
      <c r="DG1094" s="4"/>
      <c r="DH1094" s="4"/>
      <c r="DI1094" s="4"/>
      <c r="DJ1094" s="4"/>
      <c r="DK1094" s="4"/>
      <c r="DL1094" s="4"/>
      <c r="DM1094" s="4"/>
      <c r="DN1094" s="4"/>
      <c r="DO1094" s="4"/>
      <c r="DP1094" s="4"/>
      <c r="DQ1094" s="4"/>
      <c r="DR1094" s="4"/>
      <c r="DS1094" s="4"/>
    </row>
    <row r="1095">
      <c r="A1095" s="9">
        <f>IFERROR(__xludf.DUMMYFUNCTION("""COMPUTED_VALUE"""),45764.0)</f>
        <v>45764</v>
      </c>
      <c r="B1095" s="6" t="str">
        <f>IFERROR(__xludf.DUMMYFUNCTION("""COMPUTED_VALUE"""),"Home Goods")</f>
        <v>Home Goods</v>
      </c>
      <c r="C1095" s="7">
        <f>IFERROR(__xludf.DUMMYFUNCTION("""COMPUTED_VALUE"""),11370.0)</f>
        <v>11370</v>
      </c>
      <c r="D1095" s="6" t="str">
        <f>IFERROR(__xludf.DUMMYFUNCTION("""COMPUTED_VALUE"""),"Home Goods &amp; Utilities")</f>
        <v>Home Goods &amp; Utilities</v>
      </c>
      <c r="E1095" s="6" t="str">
        <f>IFERROR(__xludf.DUMMYFUNCTION("""COMPUTED_VALUE"""),"Virtual Wallet")</f>
        <v>Virtual Wallet</v>
      </c>
      <c r="F1095" s="6" t="s">
        <v>8</v>
      </c>
      <c r="G1095" s="8" t="str">
        <f t="shared" si="1"/>
        <v>202504</v>
      </c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4"/>
      <c r="AS1095" s="4"/>
      <c r="AT1095" s="4"/>
      <c r="AU1095" s="4"/>
      <c r="AV1095" s="4"/>
      <c r="AW1095" s="4"/>
      <c r="AX1095" s="4"/>
      <c r="AY1095" s="4"/>
      <c r="AZ1095" s="4"/>
      <c r="BA1095" s="4"/>
      <c r="BB1095" s="4"/>
      <c r="BC1095" s="4"/>
      <c r="BD1095" s="4"/>
      <c r="BE1095" s="4"/>
      <c r="BF1095" s="4"/>
      <c r="BG1095" s="4"/>
      <c r="BH1095" s="4"/>
      <c r="BI1095" s="4"/>
      <c r="BJ1095" s="4"/>
      <c r="BK1095" s="4"/>
      <c r="BL1095" s="4"/>
      <c r="BM1095" s="4"/>
      <c r="BN1095" s="4"/>
      <c r="BO1095" s="4"/>
      <c r="BP1095" s="4"/>
      <c r="BQ1095" s="4"/>
      <c r="BR1095" s="4"/>
      <c r="BS1095" s="4"/>
      <c r="BT1095" s="4"/>
      <c r="BU1095" s="4"/>
      <c r="BV1095" s="4"/>
      <c r="BW1095" s="4"/>
      <c r="BX1095" s="4"/>
      <c r="BY1095" s="4"/>
      <c r="BZ1095" s="4"/>
      <c r="CA1095" s="4"/>
      <c r="CB1095" s="4"/>
      <c r="CC1095" s="4"/>
      <c r="CD1095" s="4"/>
      <c r="CE1095" s="4"/>
      <c r="CF1095" s="4"/>
      <c r="CG1095" s="4"/>
      <c r="CH1095" s="4"/>
      <c r="CI1095" s="4"/>
      <c r="CJ1095" s="4"/>
      <c r="CK1095" s="4"/>
      <c r="CL1095" s="4"/>
      <c r="CM1095" s="4"/>
      <c r="CN1095" s="4"/>
      <c r="CO1095" s="4"/>
      <c r="CP1095" s="4"/>
      <c r="CQ1095" s="4"/>
      <c r="CR1095" s="4"/>
      <c r="CS1095" s="4"/>
      <c r="CT1095" s="4"/>
      <c r="CU1095" s="4"/>
      <c r="CV1095" s="4"/>
      <c r="CW1095" s="4"/>
      <c r="CX1095" s="4"/>
      <c r="CY1095" s="4"/>
      <c r="CZ1095" s="4"/>
      <c r="DA1095" s="4"/>
      <c r="DB1095" s="4"/>
      <c r="DC1095" s="4"/>
      <c r="DD1095" s="4"/>
      <c r="DE1095" s="4"/>
      <c r="DF1095" s="4"/>
      <c r="DG1095" s="4"/>
      <c r="DH1095" s="4"/>
      <c r="DI1095" s="4"/>
      <c r="DJ1095" s="4"/>
      <c r="DK1095" s="4"/>
      <c r="DL1095" s="4"/>
      <c r="DM1095" s="4"/>
      <c r="DN1095" s="4"/>
      <c r="DO1095" s="4"/>
      <c r="DP1095" s="4"/>
      <c r="DQ1095" s="4"/>
      <c r="DR1095" s="4"/>
      <c r="DS1095" s="4"/>
    </row>
    <row r="1096">
      <c r="A1096" s="9">
        <f>IFERROR(__xludf.DUMMYFUNCTION("""COMPUTED_VALUE"""),45764.0)</f>
        <v>45764</v>
      </c>
      <c r="B1096" s="6" t="str">
        <f>IFERROR(__xludf.DUMMYFUNCTION("""COMPUTED_VALUE"""),"Pets")</f>
        <v>Pets</v>
      </c>
      <c r="C1096" s="7">
        <f>IFERROR(__xludf.DUMMYFUNCTION("""COMPUTED_VALUE"""),16250.0)</f>
        <v>16250</v>
      </c>
      <c r="D1096" s="6" t="str">
        <f>IFERROR(__xludf.DUMMYFUNCTION("""COMPUTED_VALUE"""),"Pets")</f>
        <v>Pets</v>
      </c>
      <c r="E1096" s="6" t="str">
        <f>IFERROR(__xludf.DUMMYFUNCTION("""COMPUTED_VALUE"""),"Virtual Wallet")</f>
        <v>Virtual Wallet</v>
      </c>
      <c r="F1096" s="6" t="s">
        <v>7</v>
      </c>
      <c r="G1096" s="8" t="str">
        <f t="shared" si="1"/>
        <v>202504</v>
      </c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  <c r="AM1096" s="4"/>
      <c r="AN1096" s="4"/>
      <c r="AO1096" s="4"/>
      <c r="AP1096" s="4"/>
      <c r="AQ1096" s="4"/>
      <c r="AR1096" s="4"/>
      <c r="AS1096" s="4"/>
      <c r="AT1096" s="4"/>
      <c r="AU1096" s="4"/>
      <c r="AV1096" s="4"/>
      <c r="AW1096" s="4"/>
      <c r="AX1096" s="4"/>
      <c r="AY1096" s="4"/>
      <c r="AZ1096" s="4"/>
      <c r="BA1096" s="4"/>
      <c r="BB1096" s="4"/>
      <c r="BC1096" s="4"/>
      <c r="BD1096" s="4"/>
      <c r="BE1096" s="4"/>
      <c r="BF1096" s="4"/>
      <c r="BG1096" s="4"/>
      <c r="BH1096" s="4"/>
      <c r="BI1096" s="4"/>
      <c r="BJ1096" s="4"/>
      <c r="BK1096" s="4"/>
      <c r="BL1096" s="4"/>
      <c r="BM1096" s="4"/>
      <c r="BN1096" s="4"/>
      <c r="BO1096" s="4"/>
      <c r="BP1096" s="4"/>
      <c r="BQ1096" s="4"/>
      <c r="BR1096" s="4"/>
      <c r="BS1096" s="4"/>
      <c r="BT1096" s="4"/>
      <c r="BU1096" s="4"/>
      <c r="BV1096" s="4"/>
      <c r="BW1096" s="4"/>
      <c r="BX1096" s="4"/>
      <c r="BY1096" s="4"/>
      <c r="BZ1096" s="4"/>
      <c r="CA1096" s="4"/>
      <c r="CB1096" s="4"/>
      <c r="CC1096" s="4"/>
      <c r="CD1096" s="4"/>
      <c r="CE1096" s="4"/>
      <c r="CF1096" s="4"/>
      <c r="CG1096" s="4"/>
      <c r="CH1096" s="4"/>
      <c r="CI1096" s="4"/>
      <c r="CJ1096" s="4"/>
      <c r="CK1096" s="4"/>
      <c r="CL1096" s="4"/>
      <c r="CM1096" s="4"/>
      <c r="CN1096" s="4"/>
      <c r="CO1096" s="4"/>
      <c r="CP1096" s="4"/>
      <c r="CQ1096" s="4"/>
      <c r="CR1096" s="4"/>
      <c r="CS1096" s="4"/>
      <c r="CT1096" s="4"/>
      <c r="CU1096" s="4"/>
      <c r="CV1096" s="4"/>
      <c r="CW1096" s="4"/>
      <c r="CX1096" s="4"/>
      <c r="CY1096" s="4"/>
      <c r="CZ1096" s="4"/>
      <c r="DA1096" s="4"/>
      <c r="DB1096" s="4"/>
      <c r="DC1096" s="4"/>
      <c r="DD1096" s="4"/>
      <c r="DE1096" s="4"/>
      <c r="DF1096" s="4"/>
      <c r="DG1096" s="4"/>
      <c r="DH1096" s="4"/>
      <c r="DI1096" s="4"/>
      <c r="DJ1096" s="4"/>
      <c r="DK1096" s="4"/>
      <c r="DL1096" s="4"/>
      <c r="DM1096" s="4"/>
      <c r="DN1096" s="4"/>
      <c r="DO1096" s="4"/>
      <c r="DP1096" s="4"/>
      <c r="DQ1096" s="4"/>
      <c r="DR1096" s="4"/>
      <c r="DS1096" s="4"/>
    </row>
    <row r="1097">
      <c r="A1097" s="9">
        <f>IFERROR(__xludf.DUMMYFUNCTION("""COMPUTED_VALUE"""),45764.0)</f>
        <v>45764</v>
      </c>
      <c r="B1097" s="6" t="str">
        <f>IFERROR(__xludf.DUMMYFUNCTION("""COMPUTED_VALUE"""),"Restaurant")</f>
        <v>Restaurant</v>
      </c>
      <c r="C1097" s="7">
        <f>IFERROR(__xludf.DUMMYFUNCTION("""COMPUTED_VALUE"""),15000.0)</f>
        <v>15000</v>
      </c>
      <c r="D1097" s="6" t="str">
        <f>IFERROR(__xludf.DUMMYFUNCTION("""COMPUTED_VALUE"""),"Restaurant / Café")</f>
        <v>Restaurant / Café</v>
      </c>
      <c r="E1097" s="6" t="str">
        <f>IFERROR(__xludf.DUMMYFUNCTION("""COMPUTED_VALUE"""),"Virtual Wallet")</f>
        <v>Virtual Wallet</v>
      </c>
      <c r="F1097" s="6" t="s">
        <v>14</v>
      </c>
      <c r="G1097" s="8" t="str">
        <f t="shared" si="1"/>
        <v>202504</v>
      </c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  <c r="AH1097" s="4"/>
      <c r="AI1097" s="4"/>
      <c r="AJ1097" s="4"/>
      <c r="AK1097" s="4"/>
      <c r="AL1097" s="4"/>
      <c r="AM1097" s="4"/>
      <c r="AN1097" s="4"/>
      <c r="AO1097" s="4"/>
      <c r="AP1097" s="4"/>
      <c r="AQ1097" s="4"/>
      <c r="AR1097" s="4"/>
      <c r="AS1097" s="4"/>
      <c r="AT1097" s="4"/>
      <c r="AU1097" s="4"/>
      <c r="AV1097" s="4"/>
      <c r="AW1097" s="4"/>
      <c r="AX1097" s="4"/>
      <c r="AY1097" s="4"/>
      <c r="AZ1097" s="4"/>
      <c r="BA1097" s="4"/>
      <c r="BB1097" s="4"/>
      <c r="BC1097" s="4"/>
      <c r="BD1097" s="4"/>
      <c r="BE1097" s="4"/>
      <c r="BF1097" s="4"/>
      <c r="BG1097" s="4"/>
      <c r="BH1097" s="4"/>
      <c r="BI1097" s="4"/>
      <c r="BJ1097" s="4"/>
      <c r="BK1097" s="4"/>
      <c r="BL1097" s="4"/>
      <c r="BM1097" s="4"/>
      <c r="BN1097" s="4"/>
      <c r="BO1097" s="4"/>
      <c r="BP1097" s="4"/>
      <c r="BQ1097" s="4"/>
      <c r="BR1097" s="4"/>
      <c r="BS1097" s="4"/>
      <c r="BT1097" s="4"/>
      <c r="BU1097" s="4"/>
      <c r="BV1097" s="4"/>
      <c r="BW1097" s="4"/>
      <c r="BX1097" s="4"/>
      <c r="BY1097" s="4"/>
      <c r="BZ1097" s="4"/>
      <c r="CA1097" s="4"/>
      <c r="CB1097" s="4"/>
      <c r="CC1097" s="4"/>
      <c r="CD1097" s="4"/>
      <c r="CE1097" s="4"/>
      <c r="CF1097" s="4"/>
      <c r="CG1097" s="4"/>
      <c r="CH1097" s="4"/>
      <c r="CI1097" s="4"/>
      <c r="CJ1097" s="4"/>
      <c r="CK1097" s="4"/>
      <c r="CL1097" s="4"/>
      <c r="CM1097" s="4"/>
      <c r="CN1097" s="4"/>
      <c r="CO1097" s="4"/>
      <c r="CP1097" s="4"/>
      <c r="CQ1097" s="4"/>
      <c r="CR1097" s="4"/>
      <c r="CS1097" s="4"/>
      <c r="CT1097" s="4"/>
      <c r="CU1097" s="4"/>
      <c r="CV1097" s="4"/>
      <c r="CW1097" s="4"/>
      <c r="CX1097" s="4"/>
      <c r="CY1097" s="4"/>
      <c r="CZ1097" s="4"/>
      <c r="DA1097" s="4"/>
      <c r="DB1097" s="4"/>
      <c r="DC1097" s="4"/>
      <c r="DD1097" s="4"/>
      <c r="DE1097" s="4"/>
      <c r="DF1097" s="4"/>
      <c r="DG1097" s="4"/>
      <c r="DH1097" s="4"/>
      <c r="DI1097" s="4"/>
      <c r="DJ1097" s="4"/>
      <c r="DK1097" s="4"/>
      <c r="DL1097" s="4"/>
      <c r="DM1097" s="4"/>
      <c r="DN1097" s="4"/>
      <c r="DO1097" s="4"/>
      <c r="DP1097" s="4"/>
      <c r="DQ1097" s="4"/>
      <c r="DR1097" s="4"/>
      <c r="DS1097" s="4"/>
    </row>
    <row r="1098">
      <c r="A1098" s="9">
        <f>IFERROR(__xludf.DUMMYFUNCTION("""COMPUTED_VALUE"""),45764.0)</f>
        <v>45764</v>
      </c>
      <c r="B1098" s="6" t="str">
        <f>IFERROR(__xludf.DUMMYFUNCTION("""COMPUTED_VALUE"""),"Restaurant")</f>
        <v>Restaurant</v>
      </c>
      <c r="C1098" s="7">
        <f>IFERROR(__xludf.DUMMYFUNCTION("""COMPUTED_VALUE"""),7500.0)</f>
        <v>7500</v>
      </c>
      <c r="D1098" s="6" t="str">
        <f>IFERROR(__xludf.DUMMYFUNCTION("""COMPUTED_VALUE"""),"Restaurant / Café")</f>
        <v>Restaurant / Café</v>
      </c>
      <c r="E1098" s="6" t="str">
        <f>IFERROR(__xludf.DUMMYFUNCTION("""COMPUTED_VALUE"""),"Virtual Wallet")</f>
        <v>Virtual Wallet</v>
      </c>
      <c r="F1098" s="6" t="s">
        <v>14</v>
      </c>
      <c r="G1098" s="8" t="str">
        <f t="shared" si="1"/>
        <v>202504</v>
      </c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  <c r="AN1098" s="4"/>
      <c r="AO1098" s="4"/>
      <c r="AP1098" s="4"/>
      <c r="AQ1098" s="4"/>
      <c r="AR1098" s="4"/>
      <c r="AS1098" s="4"/>
      <c r="AT1098" s="4"/>
      <c r="AU1098" s="4"/>
      <c r="AV1098" s="4"/>
      <c r="AW1098" s="4"/>
      <c r="AX1098" s="4"/>
      <c r="AY1098" s="4"/>
      <c r="AZ1098" s="4"/>
      <c r="BA1098" s="4"/>
      <c r="BB1098" s="4"/>
      <c r="BC1098" s="4"/>
      <c r="BD1098" s="4"/>
      <c r="BE1098" s="4"/>
      <c r="BF1098" s="4"/>
      <c r="BG1098" s="4"/>
      <c r="BH1098" s="4"/>
      <c r="BI1098" s="4"/>
      <c r="BJ1098" s="4"/>
      <c r="BK1098" s="4"/>
      <c r="BL1098" s="4"/>
      <c r="BM1098" s="4"/>
      <c r="BN1098" s="4"/>
      <c r="BO1098" s="4"/>
      <c r="BP1098" s="4"/>
      <c r="BQ1098" s="4"/>
      <c r="BR1098" s="4"/>
      <c r="BS1098" s="4"/>
      <c r="BT1098" s="4"/>
      <c r="BU1098" s="4"/>
      <c r="BV1098" s="4"/>
      <c r="BW1098" s="4"/>
      <c r="BX1098" s="4"/>
      <c r="BY1098" s="4"/>
      <c r="BZ1098" s="4"/>
      <c r="CA1098" s="4"/>
      <c r="CB1098" s="4"/>
      <c r="CC1098" s="4"/>
      <c r="CD1098" s="4"/>
      <c r="CE1098" s="4"/>
      <c r="CF1098" s="4"/>
      <c r="CG1098" s="4"/>
      <c r="CH1098" s="4"/>
      <c r="CI1098" s="4"/>
      <c r="CJ1098" s="4"/>
      <c r="CK1098" s="4"/>
      <c r="CL1098" s="4"/>
      <c r="CM1098" s="4"/>
      <c r="CN1098" s="4"/>
      <c r="CO1098" s="4"/>
      <c r="CP1098" s="4"/>
      <c r="CQ1098" s="4"/>
      <c r="CR1098" s="4"/>
      <c r="CS1098" s="4"/>
      <c r="CT1098" s="4"/>
      <c r="CU1098" s="4"/>
      <c r="CV1098" s="4"/>
      <c r="CW1098" s="4"/>
      <c r="CX1098" s="4"/>
      <c r="CY1098" s="4"/>
      <c r="CZ1098" s="4"/>
      <c r="DA1098" s="4"/>
      <c r="DB1098" s="4"/>
      <c r="DC1098" s="4"/>
      <c r="DD1098" s="4"/>
      <c r="DE1098" s="4"/>
      <c r="DF1098" s="4"/>
      <c r="DG1098" s="4"/>
      <c r="DH1098" s="4"/>
      <c r="DI1098" s="4"/>
      <c r="DJ1098" s="4"/>
      <c r="DK1098" s="4"/>
      <c r="DL1098" s="4"/>
      <c r="DM1098" s="4"/>
      <c r="DN1098" s="4"/>
      <c r="DO1098" s="4"/>
      <c r="DP1098" s="4"/>
      <c r="DQ1098" s="4"/>
      <c r="DR1098" s="4"/>
      <c r="DS1098" s="4"/>
    </row>
    <row r="1099">
      <c r="A1099" s="9">
        <f>IFERROR(__xludf.DUMMYFUNCTION("""COMPUTED_VALUE"""),45764.0)</f>
        <v>45764</v>
      </c>
      <c r="B1099" s="6" t="str">
        <f>IFERROR(__xludf.DUMMYFUNCTION("""COMPUTED_VALUE"""),"Stationery / Books")</f>
        <v>Stationery / Books</v>
      </c>
      <c r="C1099" s="7">
        <f>IFERROR(__xludf.DUMMYFUNCTION("""COMPUTED_VALUE"""),9600.0)</f>
        <v>9600</v>
      </c>
      <c r="D1099" s="6" t="str">
        <f>IFERROR(__xludf.DUMMYFUNCTION("""COMPUTED_VALUE"""),"Recreation")</f>
        <v>Recreation</v>
      </c>
      <c r="E1099" s="6" t="str">
        <f>IFERROR(__xludf.DUMMYFUNCTION("""COMPUTED_VALUE"""),"Virtual Wallet")</f>
        <v>Virtual Wallet</v>
      </c>
      <c r="F1099" s="6" t="s">
        <v>12</v>
      </c>
      <c r="G1099" s="8" t="str">
        <f t="shared" si="1"/>
        <v>202504</v>
      </c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  <c r="AM1099" s="4"/>
      <c r="AN1099" s="4"/>
      <c r="AO1099" s="4"/>
      <c r="AP1099" s="4"/>
      <c r="AQ1099" s="4"/>
      <c r="AR1099" s="4"/>
      <c r="AS1099" s="4"/>
      <c r="AT1099" s="4"/>
      <c r="AU1099" s="4"/>
      <c r="AV1099" s="4"/>
      <c r="AW1099" s="4"/>
      <c r="AX1099" s="4"/>
      <c r="AY1099" s="4"/>
      <c r="AZ1099" s="4"/>
      <c r="BA1099" s="4"/>
      <c r="BB1099" s="4"/>
      <c r="BC1099" s="4"/>
      <c r="BD1099" s="4"/>
      <c r="BE1099" s="4"/>
      <c r="BF1099" s="4"/>
      <c r="BG1099" s="4"/>
      <c r="BH1099" s="4"/>
      <c r="BI1099" s="4"/>
      <c r="BJ1099" s="4"/>
      <c r="BK1099" s="4"/>
      <c r="BL1099" s="4"/>
      <c r="BM1099" s="4"/>
      <c r="BN1099" s="4"/>
      <c r="BO1099" s="4"/>
      <c r="BP1099" s="4"/>
      <c r="BQ1099" s="4"/>
      <c r="BR1099" s="4"/>
      <c r="BS1099" s="4"/>
      <c r="BT1099" s="4"/>
      <c r="BU1099" s="4"/>
      <c r="BV1099" s="4"/>
      <c r="BW1099" s="4"/>
      <c r="BX1099" s="4"/>
      <c r="BY1099" s="4"/>
      <c r="BZ1099" s="4"/>
      <c r="CA1099" s="4"/>
      <c r="CB1099" s="4"/>
      <c r="CC1099" s="4"/>
      <c r="CD1099" s="4"/>
      <c r="CE1099" s="4"/>
      <c r="CF1099" s="4"/>
      <c r="CG1099" s="4"/>
      <c r="CH1099" s="4"/>
      <c r="CI1099" s="4"/>
      <c r="CJ1099" s="4"/>
      <c r="CK1099" s="4"/>
      <c r="CL1099" s="4"/>
      <c r="CM1099" s="4"/>
      <c r="CN1099" s="4"/>
      <c r="CO1099" s="4"/>
      <c r="CP1099" s="4"/>
      <c r="CQ1099" s="4"/>
      <c r="CR1099" s="4"/>
      <c r="CS1099" s="4"/>
      <c r="CT1099" s="4"/>
      <c r="CU1099" s="4"/>
      <c r="CV1099" s="4"/>
      <c r="CW1099" s="4"/>
      <c r="CX1099" s="4"/>
      <c r="CY1099" s="4"/>
      <c r="CZ1099" s="4"/>
      <c r="DA1099" s="4"/>
      <c r="DB1099" s="4"/>
      <c r="DC1099" s="4"/>
      <c r="DD1099" s="4"/>
      <c r="DE1099" s="4"/>
      <c r="DF1099" s="4"/>
      <c r="DG1099" s="4"/>
      <c r="DH1099" s="4"/>
      <c r="DI1099" s="4"/>
      <c r="DJ1099" s="4"/>
      <c r="DK1099" s="4"/>
      <c r="DL1099" s="4"/>
      <c r="DM1099" s="4"/>
      <c r="DN1099" s="4"/>
      <c r="DO1099" s="4"/>
      <c r="DP1099" s="4"/>
      <c r="DQ1099" s="4"/>
      <c r="DR1099" s="4"/>
      <c r="DS1099" s="4"/>
    </row>
    <row r="1100">
      <c r="A1100" s="9">
        <f>IFERROR(__xludf.DUMMYFUNCTION("""COMPUTED_VALUE"""),45765.0)</f>
        <v>45765</v>
      </c>
      <c r="B1100" s="6" t="str">
        <f>IFERROR(__xludf.DUMMYFUNCTION("""COMPUTED_VALUE"""),"Car Insurance")</f>
        <v>Car Insurance</v>
      </c>
      <c r="C1100" s="7">
        <f>IFERROR(__xludf.DUMMYFUNCTION("""COMPUTED_VALUE"""),38366.0)</f>
        <v>38366</v>
      </c>
      <c r="D1100" s="6" t="str">
        <f>IFERROR(__xludf.DUMMYFUNCTION("""COMPUTED_VALUE"""),"Car Expenses")</f>
        <v>Car Expenses</v>
      </c>
      <c r="E1100" s="6" t="str">
        <f>IFERROR(__xludf.DUMMYFUNCTION("""COMPUTED_VALUE"""),"Credit Card")</f>
        <v>Credit Card</v>
      </c>
      <c r="F1100" s="6" t="s">
        <v>9</v>
      </c>
      <c r="G1100" s="8" t="str">
        <f t="shared" si="1"/>
        <v>202504</v>
      </c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  <c r="AM1100" s="4"/>
      <c r="AN1100" s="4"/>
      <c r="AO1100" s="4"/>
      <c r="AP1100" s="4"/>
      <c r="AQ1100" s="4"/>
      <c r="AR1100" s="4"/>
      <c r="AS1100" s="4"/>
      <c r="AT1100" s="4"/>
      <c r="AU1100" s="4"/>
      <c r="AV1100" s="4"/>
      <c r="AW1100" s="4"/>
      <c r="AX1100" s="4"/>
      <c r="AY1100" s="4"/>
      <c r="AZ1100" s="4"/>
      <c r="BA1100" s="4"/>
      <c r="BB1100" s="4"/>
      <c r="BC1100" s="4"/>
      <c r="BD1100" s="4"/>
      <c r="BE1100" s="4"/>
      <c r="BF1100" s="4"/>
      <c r="BG1100" s="4"/>
      <c r="BH1100" s="4"/>
      <c r="BI1100" s="4"/>
      <c r="BJ1100" s="4"/>
      <c r="BK1100" s="4"/>
      <c r="BL1100" s="4"/>
      <c r="BM1100" s="4"/>
      <c r="BN1100" s="4"/>
      <c r="BO1100" s="4"/>
      <c r="BP1100" s="4"/>
      <c r="BQ1100" s="4"/>
      <c r="BR1100" s="4"/>
      <c r="BS1100" s="4"/>
      <c r="BT1100" s="4"/>
      <c r="BU1100" s="4"/>
      <c r="BV1100" s="4"/>
      <c r="BW1100" s="4"/>
      <c r="BX1100" s="4"/>
      <c r="BY1100" s="4"/>
      <c r="BZ1100" s="4"/>
      <c r="CA1100" s="4"/>
      <c r="CB1100" s="4"/>
      <c r="CC1100" s="4"/>
      <c r="CD1100" s="4"/>
      <c r="CE1100" s="4"/>
      <c r="CF1100" s="4"/>
      <c r="CG1100" s="4"/>
      <c r="CH1100" s="4"/>
      <c r="CI1100" s="4"/>
      <c r="CJ1100" s="4"/>
      <c r="CK1100" s="4"/>
      <c r="CL1100" s="4"/>
      <c r="CM1100" s="4"/>
      <c r="CN1100" s="4"/>
      <c r="CO1100" s="4"/>
      <c r="CP1100" s="4"/>
      <c r="CQ1100" s="4"/>
      <c r="CR1100" s="4"/>
      <c r="CS1100" s="4"/>
      <c r="CT1100" s="4"/>
      <c r="CU1100" s="4"/>
      <c r="CV1100" s="4"/>
      <c r="CW1100" s="4"/>
      <c r="CX1100" s="4"/>
      <c r="CY1100" s="4"/>
      <c r="CZ1100" s="4"/>
      <c r="DA1100" s="4"/>
      <c r="DB1100" s="4"/>
      <c r="DC1100" s="4"/>
      <c r="DD1100" s="4"/>
      <c r="DE1100" s="4"/>
      <c r="DF1100" s="4"/>
      <c r="DG1100" s="4"/>
      <c r="DH1100" s="4"/>
      <c r="DI1100" s="4"/>
      <c r="DJ1100" s="4"/>
      <c r="DK1100" s="4"/>
      <c r="DL1100" s="4"/>
      <c r="DM1100" s="4"/>
      <c r="DN1100" s="4"/>
      <c r="DO1100" s="4"/>
      <c r="DP1100" s="4"/>
      <c r="DQ1100" s="4"/>
      <c r="DR1100" s="4"/>
      <c r="DS1100" s="4"/>
    </row>
    <row r="1101">
      <c r="A1101" s="9">
        <f>IFERROR(__xludf.DUMMYFUNCTION("""COMPUTED_VALUE"""),45765.0)</f>
        <v>45765</v>
      </c>
      <c r="B1101" s="6" t="str">
        <f>IFERROR(__xludf.DUMMYFUNCTION("""COMPUTED_VALUE"""),"Groceries")</f>
        <v>Groceries</v>
      </c>
      <c r="C1101" s="7">
        <f>IFERROR(__xludf.DUMMYFUNCTION("""COMPUTED_VALUE"""),4250.0)</f>
        <v>4250</v>
      </c>
      <c r="D1101" s="6" t="str">
        <f>IFERROR(__xludf.DUMMYFUNCTION("""COMPUTED_VALUE"""),"Groceries")</f>
        <v>Groceries</v>
      </c>
      <c r="E1101" s="6" t="str">
        <f>IFERROR(__xludf.DUMMYFUNCTION("""COMPUTED_VALUE"""),"Split Payment")</f>
        <v>Split Payment</v>
      </c>
      <c r="F1101" s="6" t="s">
        <v>7</v>
      </c>
      <c r="G1101" s="8" t="str">
        <f t="shared" si="1"/>
        <v>202504</v>
      </c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  <c r="AM1101" s="4"/>
      <c r="AN1101" s="4"/>
      <c r="AO1101" s="4"/>
      <c r="AP1101" s="4"/>
      <c r="AQ1101" s="4"/>
      <c r="AR1101" s="4"/>
      <c r="AS1101" s="4"/>
      <c r="AT1101" s="4"/>
      <c r="AU1101" s="4"/>
      <c r="AV1101" s="4"/>
      <c r="AW1101" s="4"/>
      <c r="AX1101" s="4"/>
      <c r="AY1101" s="4"/>
      <c r="AZ1101" s="4"/>
      <c r="BA1101" s="4"/>
      <c r="BB1101" s="4"/>
      <c r="BC1101" s="4"/>
      <c r="BD1101" s="4"/>
      <c r="BE1101" s="4"/>
      <c r="BF1101" s="4"/>
      <c r="BG1101" s="4"/>
      <c r="BH1101" s="4"/>
      <c r="BI1101" s="4"/>
      <c r="BJ1101" s="4"/>
      <c r="BK1101" s="4"/>
      <c r="BL1101" s="4"/>
      <c r="BM1101" s="4"/>
      <c r="BN1101" s="4"/>
      <c r="BO1101" s="4"/>
      <c r="BP1101" s="4"/>
      <c r="BQ1101" s="4"/>
      <c r="BR1101" s="4"/>
      <c r="BS1101" s="4"/>
      <c r="BT1101" s="4"/>
      <c r="BU1101" s="4"/>
      <c r="BV1101" s="4"/>
      <c r="BW1101" s="4"/>
      <c r="BX1101" s="4"/>
      <c r="BY1101" s="4"/>
      <c r="BZ1101" s="4"/>
      <c r="CA1101" s="4"/>
      <c r="CB1101" s="4"/>
      <c r="CC1101" s="4"/>
      <c r="CD1101" s="4"/>
      <c r="CE1101" s="4"/>
      <c r="CF1101" s="4"/>
      <c r="CG1101" s="4"/>
      <c r="CH1101" s="4"/>
      <c r="CI1101" s="4"/>
      <c r="CJ1101" s="4"/>
      <c r="CK1101" s="4"/>
      <c r="CL1101" s="4"/>
      <c r="CM1101" s="4"/>
      <c r="CN1101" s="4"/>
      <c r="CO1101" s="4"/>
      <c r="CP1101" s="4"/>
      <c r="CQ1101" s="4"/>
      <c r="CR1101" s="4"/>
      <c r="CS1101" s="4"/>
      <c r="CT1101" s="4"/>
      <c r="CU1101" s="4"/>
      <c r="CV1101" s="4"/>
      <c r="CW1101" s="4"/>
      <c r="CX1101" s="4"/>
      <c r="CY1101" s="4"/>
      <c r="CZ1101" s="4"/>
      <c r="DA1101" s="4"/>
      <c r="DB1101" s="4"/>
      <c r="DC1101" s="4"/>
      <c r="DD1101" s="4"/>
      <c r="DE1101" s="4"/>
      <c r="DF1101" s="4"/>
      <c r="DG1101" s="4"/>
      <c r="DH1101" s="4"/>
      <c r="DI1101" s="4"/>
      <c r="DJ1101" s="4"/>
      <c r="DK1101" s="4"/>
      <c r="DL1101" s="4"/>
      <c r="DM1101" s="4"/>
      <c r="DN1101" s="4"/>
      <c r="DO1101" s="4"/>
      <c r="DP1101" s="4"/>
      <c r="DQ1101" s="4"/>
      <c r="DR1101" s="4"/>
      <c r="DS1101" s="4"/>
    </row>
    <row r="1102">
      <c r="A1102" s="9">
        <f>IFERROR(__xludf.DUMMYFUNCTION("""COMPUTED_VALUE"""),45765.0)</f>
        <v>45765</v>
      </c>
      <c r="B1102" s="6" t="str">
        <f>IFERROR(__xludf.DUMMYFUNCTION("""COMPUTED_VALUE"""),"Groceries")</f>
        <v>Groceries</v>
      </c>
      <c r="C1102" s="7">
        <f>IFERROR(__xludf.DUMMYFUNCTION("""COMPUTED_VALUE"""),1000.0)</f>
        <v>1000</v>
      </c>
      <c r="D1102" s="6" t="str">
        <f>IFERROR(__xludf.DUMMYFUNCTION("""COMPUTED_VALUE"""),"Groceries")</f>
        <v>Groceries</v>
      </c>
      <c r="E1102" s="6" t="str">
        <f>IFERROR(__xludf.DUMMYFUNCTION("""COMPUTED_VALUE"""),"Split Payment")</f>
        <v>Split Payment</v>
      </c>
      <c r="F1102" s="6" t="s">
        <v>7</v>
      </c>
      <c r="G1102" s="8" t="str">
        <f t="shared" si="1"/>
        <v>202504</v>
      </c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  <c r="AN1102" s="4"/>
      <c r="AO1102" s="4"/>
      <c r="AP1102" s="4"/>
      <c r="AQ1102" s="4"/>
      <c r="AR1102" s="4"/>
      <c r="AS1102" s="4"/>
      <c r="AT1102" s="4"/>
      <c r="AU1102" s="4"/>
      <c r="AV1102" s="4"/>
      <c r="AW1102" s="4"/>
      <c r="AX1102" s="4"/>
      <c r="AY1102" s="4"/>
      <c r="AZ1102" s="4"/>
      <c r="BA1102" s="4"/>
      <c r="BB1102" s="4"/>
      <c r="BC1102" s="4"/>
      <c r="BD1102" s="4"/>
      <c r="BE1102" s="4"/>
      <c r="BF1102" s="4"/>
      <c r="BG1102" s="4"/>
      <c r="BH1102" s="4"/>
      <c r="BI1102" s="4"/>
      <c r="BJ1102" s="4"/>
      <c r="BK1102" s="4"/>
      <c r="BL1102" s="4"/>
      <c r="BM1102" s="4"/>
      <c r="BN1102" s="4"/>
      <c r="BO1102" s="4"/>
      <c r="BP1102" s="4"/>
      <c r="BQ1102" s="4"/>
      <c r="BR1102" s="4"/>
      <c r="BS1102" s="4"/>
      <c r="BT1102" s="4"/>
      <c r="BU1102" s="4"/>
      <c r="BV1102" s="4"/>
      <c r="BW1102" s="4"/>
      <c r="BX1102" s="4"/>
      <c r="BY1102" s="4"/>
      <c r="BZ1102" s="4"/>
      <c r="CA1102" s="4"/>
      <c r="CB1102" s="4"/>
      <c r="CC1102" s="4"/>
      <c r="CD1102" s="4"/>
      <c r="CE1102" s="4"/>
      <c r="CF1102" s="4"/>
      <c r="CG1102" s="4"/>
      <c r="CH1102" s="4"/>
      <c r="CI1102" s="4"/>
      <c r="CJ1102" s="4"/>
      <c r="CK1102" s="4"/>
      <c r="CL1102" s="4"/>
      <c r="CM1102" s="4"/>
      <c r="CN1102" s="4"/>
      <c r="CO1102" s="4"/>
      <c r="CP1102" s="4"/>
      <c r="CQ1102" s="4"/>
      <c r="CR1102" s="4"/>
      <c r="CS1102" s="4"/>
      <c r="CT1102" s="4"/>
      <c r="CU1102" s="4"/>
      <c r="CV1102" s="4"/>
      <c r="CW1102" s="4"/>
      <c r="CX1102" s="4"/>
      <c r="CY1102" s="4"/>
      <c r="CZ1102" s="4"/>
      <c r="DA1102" s="4"/>
      <c r="DB1102" s="4"/>
      <c r="DC1102" s="4"/>
      <c r="DD1102" s="4"/>
      <c r="DE1102" s="4"/>
      <c r="DF1102" s="4"/>
      <c r="DG1102" s="4"/>
      <c r="DH1102" s="4"/>
      <c r="DI1102" s="4"/>
      <c r="DJ1102" s="4"/>
      <c r="DK1102" s="4"/>
      <c r="DL1102" s="4"/>
      <c r="DM1102" s="4"/>
      <c r="DN1102" s="4"/>
      <c r="DO1102" s="4"/>
      <c r="DP1102" s="4"/>
      <c r="DQ1102" s="4"/>
      <c r="DR1102" s="4"/>
      <c r="DS1102" s="4"/>
    </row>
    <row r="1103">
      <c r="A1103" s="9">
        <f>IFERROR(__xludf.DUMMYFUNCTION("""COMPUTED_VALUE"""),45766.0)</f>
        <v>45766</v>
      </c>
      <c r="B1103" s="6" t="str">
        <f>IFERROR(__xludf.DUMMYFUNCTION("""COMPUTED_VALUE"""),"Cab/Uber")</f>
        <v>Cab/Uber</v>
      </c>
      <c r="C1103" s="7">
        <f>IFERROR(__xludf.DUMMYFUNCTION("""COMPUTED_VALUE"""),2000.0)</f>
        <v>2000</v>
      </c>
      <c r="D1103" s="6" t="str">
        <f>IFERROR(__xludf.DUMMYFUNCTION("""COMPUTED_VALUE"""),"Transportation")</f>
        <v>Transportation</v>
      </c>
      <c r="E1103" s="6" t="str">
        <f>IFERROR(__xludf.DUMMYFUNCTION("""COMPUTED_VALUE"""),"Virtual Wallet")</f>
        <v>Virtual Wallet</v>
      </c>
      <c r="F1103" s="6" t="s">
        <v>9</v>
      </c>
      <c r="G1103" s="8" t="str">
        <f t="shared" si="1"/>
        <v>202504</v>
      </c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  <c r="AN1103" s="4"/>
      <c r="AO1103" s="4"/>
      <c r="AP1103" s="4"/>
      <c r="AQ1103" s="4"/>
      <c r="AR1103" s="4"/>
      <c r="AS1103" s="4"/>
      <c r="AT1103" s="4"/>
      <c r="AU1103" s="4"/>
      <c r="AV1103" s="4"/>
      <c r="AW1103" s="4"/>
      <c r="AX1103" s="4"/>
      <c r="AY1103" s="4"/>
      <c r="AZ1103" s="4"/>
      <c r="BA1103" s="4"/>
      <c r="BB1103" s="4"/>
      <c r="BC1103" s="4"/>
      <c r="BD1103" s="4"/>
      <c r="BE1103" s="4"/>
      <c r="BF1103" s="4"/>
      <c r="BG1103" s="4"/>
      <c r="BH1103" s="4"/>
      <c r="BI1103" s="4"/>
      <c r="BJ1103" s="4"/>
      <c r="BK1103" s="4"/>
      <c r="BL1103" s="4"/>
      <c r="BM1103" s="4"/>
      <c r="BN1103" s="4"/>
      <c r="BO1103" s="4"/>
      <c r="BP1103" s="4"/>
      <c r="BQ1103" s="4"/>
      <c r="BR1103" s="4"/>
      <c r="BS1103" s="4"/>
      <c r="BT1103" s="4"/>
      <c r="BU1103" s="4"/>
      <c r="BV1103" s="4"/>
      <c r="BW1103" s="4"/>
      <c r="BX1103" s="4"/>
      <c r="BY1103" s="4"/>
      <c r="BZ1103" s="4"/>
      <c r="CA1103" s="4"/>
      <c r="CB1103" s="4"/>
      <c r="CC1103" s="4"/>
      <c r="CD1103" s="4"/>
      <c r="CE1103" s="4"/>
      <c r="CF1103" s="4"/>
      <c r="CG1103" s="4"/>
      <c r="CH1103" s="4"/>
      <c r="CI1103" s="4"/>
      <c r="CJ1103" s="4"/>
      <c r="CK1103" s="4"/>
      <c r="CL1103" s="4"/>
      <c r="CM1103" s="4"/>
      <c r="CN1103" s="4"/>
      <c r="CO1103" s="4"/>
      <c r="CP1103" s="4"/>
      <c r="CQ1103" s="4"/>
      <c r="CR1103" s="4"/>
      <c r="CS1103" s="4"/>
      <c r="CT1103" s="4"/>
      <c r="CU1103" s="4"/>
      <c r="CV1103" s="4"/>
      <c r="CW1103" s="4"/>
      <c r="CX1103" s="4"/>
      <c r="CY1103" s="4"/>
      <c r="CZ1103" s="4"/>
      <c r="DA1103" s="4"/>
      <c r="DB1103" s="4"/>
      <c r="DC1103" s="4"/>
      <c r="DD1103" s="4"/>
      <c r="DE1103" s="4"/>
      <c r="DF1103" s="4"/>
      <c r="DG1103" s="4"/>
      <c r="DH1103" s="4"/>
      <c r="DI1103" s="4"/>
      <c r="DJ1103" s="4"/>
      <c r="DK1103" s="4"/>
      <c r="DL1103" s="4"/>
      <c r="DM1103" s="4"/>
      <c r="DN1103" s="4"/>
      <c r="DO1103" s="4"/>
      <c r="DP1103" s="4"/>
      <c r="DQ1103" s="4"/>
      <c r="DR1103" s="4"/>
      <c r="DS1103" s="4"/>
    </row>
    <row r="1104">
      <c r="A1104" s="9">
        <f>IFERROR(__xludf.DUMMYFUNCTION("""COMPUTED_VALUE"""),45766.0)</f>
        <v>45766</v>
      </c>
      <c r="B1104" s="6" t="str">
        <f>IFERROR(__xludf.DUMMYFUNCTION("""COMPUTED_VALUE"""),"Home Goods")</f>
        <v>Home Goods</v>
      </c>
      <c r="C1104" s="7">
        <f>IFERROR(__xludf.DUMMYFUNCTION("""COMPUTED_VALUE"""),7100.0)</f>
        <v>7100</v>
      </c>
      <c r="D1104" s="6" t="str">
        <f>IFERROR(__xludf.DUMMYFUNCTION("""COMPUTED_VALUE"""),"Home Goods &amp; Utilities")</f>
        <v>Home Goods &amp; Utilities</v>
      </c>
      <c r="E1104" s="6" t="str">
        <f>IFERROR(__xludf.DUMMYFUNCTION("""COMPUTED_VALUE"""),"Virtual Wallet")</f>
        <v>Virtual Wallet</v>
      </c>
      <c r="F1104" s="6" t="s">
        <v>8</v>
      </c>
      <c r="G1104" s="8" t="str">
        <f t="shared" si="1"/>
        <v>202504</v>
      </c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  <c r="AM1104" s="4"/>
      <c r="AN1104" s="4"/>
      <c r="AO1104" s="4"/>
      <c r="AP1104" s="4"/>
      <c r="AQ1104" s="4"/>
      <c r="AR1104" s="4"/>
      <c r="AS1104" s="4"/>
      <c r="AT1104" s="4"/>
      <c r="AU1104" s="4"/>
      <c r="AV1104" s="4"/>
      <c r="AW1104" s="4"/>
      <c r="AX1104" s="4"/>
      <c r="AY1104" s="4"/>
      <c r="AZ1104" s="4"/>
      <c r="BA1104" s="4"/>
      <c r="BB1104" s="4"/>
      <c r="BC1104" s="4"/>
      <c r="BD1104" s="4"/>
      <c r="BE1104" s="4"/>
      <c r="BF1104" s="4"/>
      <c r="BG1104" s="4"/>
      <c r="BH1104" s="4"/>
      <c r="BI1104" s="4"/>
      <c r="BJ1104" s="4"/>
      <c r="BK1104" s="4"/>
      <c r="BL1104" s="4"/>
      <c r="BM1104" s="4"/>
      <c r="BN1104" s="4"/>
      <c r="BO1104" s="4"/>
      <c r="BP1104" s="4"/>
      <c r="BQ1104" s="4"/>
      <c r="BR1104" s="4"/>
      <c r="BS1104" s="4"/>
      <c r="BT1104" s="4"/>
      <c r="BU1104" s="4"/>
      <c r="BV1104" s="4"/>
      <c r="BW1104" s="4"/>
      <c r="BX1104" s="4"/>
      <c r="BY1104" s="4"/>
      <c r="BZ1104" s="4"/>
      <c r="CA1104" s="4"/>
      <c r="CB1104" s="4"/>
      <c r="CC1104" s="4"/>
      <c r="CD1104" s="4"/>
      <c r="CE1104" s="4"/>
      <c r="CF1104" s="4"/>
      <c r="CG1104" s="4"/>
      <c r="CH1104" s="4"/>
      <c r="CI1104" s="4"/>
      <c r="CJ1104" s="4"/>
      <c r="CK1104" s="4"/>
      <c r="CL1104" s="4"/>
      <c r="CM1104" s="4"/>
      <c r="CN1104" s="4"/>
      <c r="CO1104" s="4"/>
      <c r="CP1104" s="4"/>
      <c r="CQ1104" s="4"/>
      <c r="CR1104" s="4"/>
      <c r="CS1104" s="4"/>
      <c r="CT1104" s="4"/>
      <c r="CU1104" s="4"/>
      <c r="CV1104" s="4"/>
      <c r="CW1104" s="4"/>
      <c r="CX1104" s="4"/>
      <c r="CY1104" s="4"/>
      <c r="CZ1104" s="4"/>
      <c r="DA1104" s="4"/>
      <c r="DB1104" s="4"/>
      <c r="DC1104" s="4"/>
      <c r="DD1104" s="4"/>
      <c r="DE1104" s="4"/>
      <c r="DF1104" s="4"/>
      <c r="DG1104" s="4"/>
      <c r="DH1104" s="4"/>
      <c r="DI1104" s="4"/>
      <c r="DJ1104" s="4"/>
      <c r="DK1104" s="4"/>
      <c r="DL1104" s="4"/>
      <c r="DM1104" s="4"/>
      <c r="DN1104" s="4"/>
      <c r="DO1104" s="4"/>
      <c r="DP1104" s="4"/>
      <c r="DQ1104" s="4"/>
      <c r="DR1104" s="4"/>
      <c r="DS1104" s="4"/>
    </row>
    <row r="1105">
      <c r="A1105" s="9">
        <f>IFERROR(__xludf.DUMMYFUNCTION("""COMPUTED_VALUE"""),45766.0)</f>
        <v>45766</v>
      </c>
      <c r="B1105" s="6" t="str">
        <f>IFERROR(__xludf.DUMMYFUNCTION("""COMPUTED_VALUE"""),"Restaurant")</f>
        <v>Restaurant</v>
      </c>
      <c r="C1105" s="7">
        <f>IFERROR(__xludf.DUMMYFUNCTION("""COMPUTED_VALUE"""),15800.0)</f>
        <v>15800</v>
      </c>
      <c r="D1105" s="6" t="str">
        <f>IFERROR(__xludf.DUMMYFUNCTION("""COMPUTED_VALUE"""),"Restaurant / Café")</f>
        <v>Restaurant / Café</v>
      </c>
      <c r="E1105" s="6" t="str">
        <f>IFERROR(__xludf.DUMMYFUNCTION("""COMPUTED_VALUE"""),"Virtual Wallet")</f>
        <v>Virtual Wallet</v>
      </c>
      <c r="F1105" s="6" t="s">
        <v>14</v>
      </c>
      <c r="G1105" s="8" t="str">
        <f t="shared" si="1"/>
        <v>202504</v>
      </c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  <c r="AN1105" s="4"/>
      <c r="AO1105" s="4"/>
      <c r="AP1105" s="4"/>
      <c r="AQ1105" s="4"/>
      <c r="AR1105" s="4"/>
      <c r="AS1105" s="4"/>
      <c r="AT1105" s="4"/>
      <c r="AU1105" s="4"/>
      <c r="AV1105" s="4"/>
      <c r="AW1105" s="4"/>
      <c r="AX1105" s="4"/>
      <c r="AY1105" s="4"/>
      <c r="AZ1105" s="4"/>
      <c r="BA1105" s="4"/>
      <c r="BB1105" s="4"/>
      <c r="BC1105" s="4"/>
      <c r="BD1105" s="4"/>
      <c r="BE1105" s="4"/>
      <c r="BF1105" s="4"/>
      <c r="BG1105" s="4"/>
      <c r="BH1105" s="4"/>
      <c r="BI1105" s="4"/>
      <c r="BJ1105" s="4"/>
      <c r="BK1105" s="4"/>
      <c r="BL1105" s="4"/>
      <c r="BM1105" s="4"/>
      <c r="BN1105" s="4"/>
      <c r="BO1105" s="4"/>
      <c r="BP1105" s="4"/>
      <c r="BQ1105" s="4"/>
      <c r="BR1105" s="4"/>
      <c r="BS1105" s="4"/>
      <c r="BT1105" s="4"/>
      <c r="BU1105" s="4"/>
      <c r="BV1105" s="4"/>
      <c r="BW1105" s="4"/>
      <c r="BX1105" s="4"/>
      <c r="BY1105" s="4"/>
      <c r="BZ1105" s="4"/>
      <c r="CA1105" s="4"/>
      <c r="CB1105" s="4"/>
      <c r="CC1105" s="4"/>
      <c r="CD1105" s="4"/>
      <c r="CE1105" s="4"/>
      <c r="CF1105" s="4"/>
      <c r="CG1105" s="4"/>
      <c r="CH1105" s="4"/>
      <c r="CI1105" s="4"/>
      <c r="CJ1105" s="4"/>
      <c r="CK1105" s="4"/>
      <c r="CL1105" s="4"/>
      <c r="CM1105" s="4"/>
      <c r="CN1105" s="4"/>
      <c r="CO1105" s="4"/>
      <c r="CP1105" s="4"/>
      <c r="CQ1105" s="4"/>
      <c r="CR1105" s="4"/>
      <c r="CS1105" s="4"/>
      <c r="CT1105" s="4"/>
      <c r="CU1105" s="4"/>
      <c r="CV1105" s="4"/>
      <c r="CW1105" s="4"/>
      <c r="CX1105" s="4"/>
      <c r="CY1105" s="4"/>
      <c r="CZ1105" s="4"/>
      <c r="DA1105" s="4"/>
      <c r="DB1105" s="4"/>
      <c r="DC1105" s="4"/>
      <c r="DD1105" s="4"/>
      <c r="DE1105" s="4"/>
      <c r="DF1105" s="4"/>
      <c r="DG1105" s="4"/>
      <c r="DH1105" s="4"/>
      <c r="DI1105" s="4"/>
      <c r="DJ1105" s="4"/>
      <c r="DK1105" s="4"/>
      <c r="DL1105" s="4"/>
      <c r="DM1105" s="4"/>
      <c r="DN1105" s="4"/>
      <c r="DO1105" s="4"/>
      <c r="DP1105" s="4"/>
      <c r="DQ1105" s="4"/>
      <c r="DR1105" s="4"/>
      <c r="DS1105" s="4"/>
    </row>
    <row r="1106">
      <c r="A1106" s="9">
        <f>IFERROR(__xludf.DUMMYFUNCTION("""COMPUTED_VALUE"""),45766.0)</f>
        <v>45766</v>
      </c>
      <c r="B1106" s="6" t="str">
        <f>IFERROR(__xludf.DUMMYFUNCTION("""COMPUTED_VALUE"""),"Restaurant")</f>
        <v>Restaurant</v>
      </c>
      <c r="C1106" s="7">
        <f>IFERROR(__xludf.DUMMYFUNCTION("""COMPUTED_VALUE"""),14450.0)</f>
        <v>14450</v>
      </c>
      <c r="D1106" s="6" t="str">
        <f>IFERROR(__xludf.DUMMYFUNCTION("""COMPUTED_VALUE"""),"Restaurant / Café")</f>
        <v>Restaurant / Café</v>
      </c>
      <c r="E1106" s="6" t="str">
        <f>IFERROR(__xludf.DUMMYFUNCTION("""COMPUTED_VALUE"""),"Split Payment")</f>
        <v>Split Payment</v>
      </c>
      <c r="F1106" s="6" t="s">
        <v>14</v>
      </c>
      <c r="G1106" s="8" t="str">
        <f t="shared" si="1"/>
        <v>202504</v>
      </c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  <c r="AN1106" s="4"/>
      <c r="AO1106" s="4"/>
      <c r="AP1106" s="4"/>
      <c r="AQ1106" s="4"/>
      <c r="AR1106" s="4"/>
      <c r="AS1106" s="4"/>
      <c r="AT1106" s="4"/>
      <c r="AU1106" s="4"/>
      <c r="AV1106" s="4"/>
      <c r="AW1106" s="4"/>
      <c r="AX1106" s="4"/>
      <c r="AY1106" s="4"/>
      <c r="AZ1106" s="4"/>
      <c r="BA1106" s="4"/>
      <c r="BB1106" s="4"/>
      <c r="BC1106" s="4"/>
      <c r="BD1106" s="4"/>
      <c r="BE1106" s="4"/>
      <c r="BF1106" s="4"/>
      <c r="BG1106" s="4"/>
      <c r="BH1106" s="4"/>
      <c r="BI1106" s="4"/>
      <c r="BJ1106" s="4"/>
      <c r="BK1106" s="4"/>
      <c r="BL1106" s="4"/>
      <c r="BM1106" s="4"/>
      <c r="BN1106" s="4"/>
      <c r="BO1106" s="4"/>
      <c r="BP1106" s="4"/>
      <c r="BQ1106" s="4"/>
      <c r="BR1106" s="4"/>
      <c r="BS1106" s="4"/>
      <c r="BT1106" s="4"/>
      <c r="BU1106" s="4"/>
      <c r="BV1106" s="4"/>
      <c r="BW1106" s="4"/>
      <c r="BX1106" s="4"/>
      <c r="BY1106" s="4"/>
      <c r="BZ1106" s="4"/>
      <c r="CA1106" s="4"/>
      <c r="CB1106" s="4"/>
      <c r="CC1106" s="4"/>
      <c r="CD1106" s="4"/>
      <c r="CE1106" s="4"/>
      <c r="CF1106" s="4"/>
      <c r="CG1106" s="4"/>
      <c r="CH1106" s="4"/>
      <c r="CI1106" s="4"/>
      <c r="CJ1106" s="4"/>
      <c r="CK1106" s="4"/>
      <c r="CL1106" s="4"/>
      <c r="CM1106" s="4"/>
      <c r="CN1106" s="4"/>
      <c r="CO1106" s="4"/>
      <c r="CP1106" s="4"/>
      <c r="CQ1106" s="4"/>
      <c r="CR1106" s="4"/>
      <c r="CS1106" s="4"/>
      <c r="CT1106" s="4"/>
      <c r="CU1106" s="4"/>
      <c r="CV1106" s="4"/>
      <c r="CW1106" s="4"/>
      <c r="CX1106" s="4"/>
      <c r="CY1106" s="4"/>
      <c r="CZ1106" s="4"/>
      <c r="DA1106" s="4"/>
      <c r="DB1106" s="4"/>
      <c r="DC1106" s="4"/>
      <c r="DD1106" s="4"/>
      <c r="DE1106" s="4"/>
      <c r="DF1106" s="4"/>
      <c r="DG1106" s="4"/>
      <c r="DH1106" s="4"/>
      <c r="DI1106" s="4"/>
      <c r="DJ1106" s="4"/>
      <c r="DK1106" s="4"/>
      <c r="DL1106" s="4"/>
      <c r="DM1106" s="4"/>
      <c r="DN1106" s="4"/>
      <c r="DO1106" s="4"/>
      <c r="DP1106" s="4"/>
      <c r="DQ1106" s="4"/>
      <c r="DR1106" s="4"/>
      <c r="DS1106" s="4"/>
    </row>
    <row r="1107">
      <c r="A1107" s="9">
        <f>IFERROR(__xludf.DUMMYFUNCTION("""COMPUTED_VALUE"""),45766.0)</f>
        <v>45766</v>
      </c>
      <c r="B1107" s="6" t="str">
        <f>IFERROR(__xludf.DUMMYFUNCTION("""COMPUTED_VALUE"""),"Restaurant")</f>
        <v>Restaurant</v>
      </c>
      <c r="C1107" s="7">
        <f>IFERROR(__xludf.DUMMYFUNCTION("""COMPUTED_VALUE"""),4300.0)</f>
        <v>4300</v>
      </c>
      <c r="D1107" s="6" t="str">
        <f>IFERROR(__xludf.DUMMYFUNCTION("""COMPUTED_VALUE"""),"Groceries")</f>
        <v>Groceries</v>
      </c>
      <c r="E1107" s="6" t="str">
        <f>IFERROR(__xludf.DUMMYFUNCTION("""COMPUTED_VALUE"""),"Virtual Wallet")</f>
        <v>Virtual Wallet</v>
      </c>
      <c r="F1107" s="6" t="s">
        <v>7</v>
      </c>
      <c r="G1107" s="8" t="str">
        <f t="shared" si="1"/>
        <v>202504</v>
      </c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  <c r="AN1107" s="4"/>
      <c r="AO1107" s="4"/>
      <c r="AP1107" s="4"/>
      <c r="AQ1107" s="4"/>
      <c r="AR1107" s="4"/>
      <c r="AS1107" s="4"/>
      <c r="AT1107" s="4"/>
      <c r="AU1107" s="4"/>
      <c r="AV1107" s="4"/>
      <c r="AW1107" s="4"/>
      <c r="AX1107" s="4"/>
      <c r="AY1107" s="4"/>
      <c r="AZ1107" s="4"/>
      <c r="BA1107" s="4"/>
      <c r="BB1107" s="4"/>
      <c r="BC1107" s="4"/>
      <c r="BD1107" s="4"/>
      <c r="BE1107" s="4"/>
      <c r="BF1107" s="4"/>
      <c r="BG1107" s="4"/>
      <c r="BH1107" s="4"/>
      <c r="BI1107" s="4"/>
      <c r="BJ1107" s="4"/>
      <c r="BK1107" s="4"/>
      <c r="BL1107" s="4"/>
      <c r="BM1107" s="4"/>
      <c r="BN1107" s="4"/>
      <c r="BO1107" s="4"/>
      <c r="BP1107" s="4"/>
      <c r="BQ1107" s="4"/>
      <c r="BR1107" s="4"/>
      <c r="BS1107" s="4"/>
      <c r="BT1107" s="4"/>
      <c r="BU1107" s="4"/>
      <c r="BV1107" s="4"/>
      <c r="BW1107" s="4"/>
      <c r="BX1107" s="4"/>
      <c r="BY1107" s="4"/>
      <c r="BZ1107" s="4"/>
      <c r="CA1107" s="4"/>
      <c r="CB1107" s="4"/>
      <c r="CC1107" s="4"/>
      <c r="CD1107" s="4"/>
      <c r="CE1107" s="4"/>
      <c r="CF1107" s="4"/>
      <c r="CG1107" s="4"/>
      <c r="CH1107" s="4"/>
      <c r="CI1107" s="4"/>
      <c r="CJ1107" s="4"/>
      <c r="CK1107" s="4"/>
      <c r="CL1107" s="4"/>
      <c r="CM1107" s="4"/>
      <c r="CN1107" s="4"/>
      <c r="CO1107" s="4"/>
      <c r="CP1107" s="4"/>
      <c r="CQ1107" s="4"/>
      <c r="CR1107" s="4"/>
      <c r="CS1107" s="4"/>
      <c r="CT1107" s="4"/>
      <c r="CU1107" s="4"/>
      <c r="CV1107" s="4"/>
      <c r="CW1107" s="4"/>
      <c r="CX1107" s="4"/>
      <c r="CY1107" s="4"/>
      <c r="CZ1107" s="4"/>
      <c r="DA1107" s="4"/>
      <c r="DB1107" s="4"/>
      <c r="DC1107" s="4"/>
      <c r="DD1107" s="4"/>
      <c r="DE1107" s="4"/>
      <c r="DF1107" s="4"/>
      <c r="DG1107" s="4"/>
      <c r="DH1107" s="4"/>
      <c r="DI1107" s="4"/>
      <c r="DJ1107" s="4"/>
      <c r="DK1107" s="4"/>
      <c r="DL1107" s="4"/>
      <c r="DM1107" s="4"/>
      <c r="DN1107" s="4"/>
      <c r="DO1107" s="4"/>
      <c r="DP1107" s="4"/>
      <c r="DQ1107" s="4"/>
      <c r="DR1107" s="4"/>
      <c r="DS1107" s="4"/>
    </row>
    <row r="1108">
      <c r="A1108" s="9">
        <f>IFERROR(__xludf.DUMMYFUNCTION("""COMPUTED_VALUE"""),45767.0)</f>
        <v>45767</v>
      </c>
      <c r="B1108" s="6" t="str">
        <f>IFERROR(__xludf.DUMMYFUNCTION("""COMPUTED_VALUE"""),"Restaurant")</f>
        <v>Restaurant</v>
      </c>
      <c r="C1108" s="7">
        <f>IFERROR(__xludf.DUMMYFUNCTION("""COMPUTED_VALUE"""),1800.0)</f>
        <v>1800</v>
      </c>
      <c r="D1108" s="6" t="str">
        <f>IFERROR(__xludf.DUMMYFUNCTION("""COMPUTED_VALUE"""),"Restaurant / Café")</f>
        <v>Restaurant / Café</v>
      </c>
      <c r="E1108" s="6" t="str">
        <f>IFERROR(__xludf.DUMMYFUNCTION("""COMPUTED_VALUE"""),"Virtual Wallet")</f>
        <v>Virtual Wallet</v>
      </c>
      <c r="F1108" s="6" t="s">
        <v>14</v>
      </c>
      <c r="G1108" s="8" t="str">
        <f t="shared" si="1"/>
        <v>202504</v>
      </c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  <c r="AN1108" s="4"/>
      <c r="AO1108" s="4"/>
      <c r="AP1108" s="4"/>
      <c r="AQ1108" s="4"/>
      <c r="AR1108" s="4"/>
      <c r="AS1108" s="4"/>
      <c r="AT1108" s="4"/>
      <c r="AU1108" s="4"/>
      <c r="AV1108" s="4"/>
      <c r="AW1108" s="4"/>
      <c r="AX1108" s="4"/>
      <c r="AY1108" s="4"/>
      <c r="AZ1108" s="4"/>
      <c r="BA1108" s="4"/>
      <c r="BB1108" s="4"/>
      <c r="BC1108" s="4"/>
      <c r="BD1108" s="4"/>
      <c r="BE1108" s="4"/>
      <c r="BF1108" s="4"/>
      <c r="BG1108" s="4"/>
      <c r="BH1108" s="4"/>
      <c r="BI1108" s="4"/>
      <c r="BJ1108" s="4"/>
      <c r="BK1108" s="4"/>
      <c r="BL1108" s="4"/>
      <c r="BM1108" s="4"/>
      <c r="BN1108" s="4"/>
      <c r="BO1108" s="4"/>
      <c r="BP1108" s="4"/>
      <c r="BQ1108" s="4"/>
      <c r="BR1108" s="4"/>
      <c r="BS1108" s="4"/>
      <c r="BT1108" s="4"/>
      <c r="BU1108" s="4"/>
      <c r="BV1108" s="4"/>
      <c r="BW1108" s="4"/>
      <c r="BX1108" s="4"/>
      <c r="BY1108" s="4"/>
      <c r="BZ1108" s="4"/>
      <c r="CA1108" s="4"/>
      <c r="CB1108" s="4"/>
      <c r="CC1108" s="4"/>
      <c r="CD1108" s="4"/>
      <c r="CE1108" s="4"/>
      <c r="CF1108" s="4"/>
      <c r="CG1108" s="4"/>
      <c r="CH1108" s="4"/>
      <c r="CI1108" s="4"/>
      <c r="CJ1108" s="4"/>
      <c r="CK1108" s="4"/>
      <c r="CL1108" s="4"/>
      <c r="CM1108" s="4"/>
      <c r="CN1108" s="4"/>
      <c r="CO1108" s="4"/>
      <c r="CP1108" s="4"/>
      <c r="CQ1108" s="4"/>
      <c r="CR1108" s="4"/>
      <c r="CS1108" s="4"/>
      <c r="CT1108" s="4"/>
      <c r="CU1108" s="4"/>
      <c r="CV1108" s="4"/>
      <c r="CW1108" s="4"/>
      <c r="CX1108" s="4"/>
      <c r="CY1108" s="4"/>
      <c r="CZ1108" s="4"/>
      <c r="DA1108" s="4"/>
      <c r="DB1108" s="4"/>
      <c r="DC1108" s="4"/>
      <c r="DD1108" s="4"/>
      <c r="DE1108" s="4"/>
      <c r="DF1108" s="4"/>
      <c r="DG1108" s="4"/>
      <c r="DH1108" s="4"/>
      <c r="DI1108" s="4"/>
      <c r="DJ1108" s="4"/>
      <c r="DK1108" s="4"/>
      <c r="DL1108" s="4"/>
      <c r="DM1108" s="4"/>
      <c r="DN1108" s="4"/>
      <c r="DO1108" s="4"/>
      <c r="DP1108" s="4"/>
      <c r="DQ1108" s="4"/>
      <c r="DR1108" s="4"/>
      <c r="DS1108" s="4"/>
    </row>
    <row r="1109">
      <c r="A1109" s="9">
        <f>IFERROR(__xludf.DUMMYFUNCTION("""COMPUTED_VALUE"""),45767.0)</f>
        <v>45767</v>
      </c>
      <c r="B1109" s="6" t="str">
        <f>IFERROR(__xludf.DUMMYFUNCTION("""COMPUTED_VALUE"""),"Streaming Services")</f>
        <v>Streaming Services</v>
      </c>
      <c r="C1109" s="7">
        <f>IFERROR(__xludf.DUMMYFUNCTION("""COMPUTED_VALUE"""),6777.0)</f>
        <v>6777</v>
      </c>
      <c r="D1109" s="6" t="str">
        <f>IFERROR(__xludf.DUMMYFUNCTION("""COMPUTED_VALUE"""),"Streaming Services")</f>
        <v>Streaming Services</v>
      </c>
      <c r="E1109" s="6" t="str">
        <f>IFERROR(__xludf.DUMMYFUNCTION("""COMPUTED_VALUE"""),"Credit Card")</f>
        <v>Credit Card</v>
      </c>
      <c r="F1109" s="6" t="s">
        <v>12</v>
      </c>
      <c r="G1109" s="8" t="str">
        <f t="shared" si="1"/>
        <v>202504</v>
      </c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  <c r="AN1109" s="4"/>
      <c r="AO1109" s="4"/>
      <c r="AP1109" s="4"/>
      <c r="AQ1109" s="4"/>
      <c r="AR1109" s="4"/>
      <c r="AS1109" s="4"/>
      <c r="AT1109" s="4"/>
      <c r="AU1109" s="4"/>
      <c r="AV1109" s="4"/>
      <c r="AW1109" s="4"/>
      <c r="AX1109" s="4"/>
      <c r="AY1109" s="4"/>
      <c r="AZ1109" s="4"/>
      <c r="BA1109" s="4"/>
      <c r="BB1109" s="4"/>
      <c r="BC1109" s="4"/>
      <c r="BD1109" s="4"/>
      <c r="BE1109" s="4"/>
      <c r="BF1109" s="4"/>
      <c r="BG1109" s="4"/>
      <c r="BH1109" s="4"/>
      <c r="BI1109" s="4"/>
      <c r="BJ1109" s="4"/>
      <c r="BK1109" s="4"/>
      <c r="BL1109" s="4"/>
      <c r="BM1109" s="4"/>
      <c r="BN1109" s="4"/>
      <c r="BO1109" s="4"/>
      <c r="BP1109" s="4"/>
      <c r="BQ1109" s="4"/>
      <c r="BR1109" s="4"/>
      <c r="BS1109" s="4"/>
      <c r="BT1109" s="4"/>
      <c r="BU1109" s="4"/>
      <c r="BV1109" s="4"/>
      <c r="BW1109" s="4"/>
      <c r="BX1109" s="4"/>
      <c r="BY1109" s="4"/>
      <c r="BZ1109" s="4"/>
      <c r="CA1109" s="4"/>
      <c r="CB1109" s="4"/>
      <c r="CC1109" s="4"/>
      <c r="CD1109" s="4"/>
      <c r="CE1109" s="4"/>
      <c r="CF1109" s="4"/>
      <c r="CG1109" s="4"/>
      <c r="CH1109" s="4"/>
      <c r="CI1109" s="4"/>
      <c r="CJ1109" s="4"/>
      <c r="CK1109" s="4"/>
      <c r="CL1109" s="4"/>
      <c r="CM1109" s="4"/>
      <c r="CN1109" s="4"/>
      <c r="CO1109" s="4"/>
      <c r="CP1109" s="4"/>
      <c r="CQ1109" s="4"/>
      <c r="CR1109" s="4"/>
      <c r="CS1109" s="4"/>
      <c r="CT1109" s="4"/>
      <c r="CU1109" s="4"/>
      <c r="CV1109" s="4"/>
      <c r="CW1109" s="4"/>
      <c r="CX1109" s="4"/>
      <c r="CY1109" s="4"/>
      <c r="CZ1109" s="4"/>
      <c r="DA1109" s="4"/>
      <c r="DB1109" s="4"/>
      <c r="DC1109" s="4"/>
      <c r="DD1109" s="4"/>
      <c r="DE1109" s="4"/>
      <c r="DF1109" s="4"/>
      <c r="DG1109" s="4"/>
      <c r="DH1109" s="4"/>
      <c r="DI1109" s="4"/>
      <c r="DJ1109" s="4"/>
      <c r="DK1109" s="4"/>
      <c r="DL1109" s="4"/>
      <c r="DM1109" s="4"/>
      <c r="DN1109" s="4"/>
      <c r="DO1109" s="4"/>
      <c r="DP1109" s="4"/>
      <c r="DQ1109" s="4"/>
      <c r="DR1109" s="4"/>
      <c r="DS1109" s="4"/>
    </row>
    <row r="1110">
      <c r="A1110" s="9">
        <f>IFERROR(__xludf.DUMMYFUNCTION("""COMPUTED_VALUE"""),45768.0)</f>
        <v>45768</v>
      </c>
      <c r="B1110" s="6" t="str">
        <f>IFERROR(__xludf.DUMMYFUNCTION("""COMPUTED_VALUE"""),"Gift")</f>
        <v>Gift</v>
      </c>
      <c r="C1110" s="7">
        <f>IFERROR(__xludf.DUMMYFUNCTION("""COMPUTED_VALUE"""),11666.7)</f>
        <v>11666.7</v>
      </c>
      <c r="D1110" s="6" t="str">
        <f>IFERROR(__xludf.DUMMYFUNCTION("""COMPUTED_VALUE"""),"Gifts")</f>
        <v>Gifts</v>
      </c>
      <c r="E1110" s="6" t="str">
        <f>IFERROR(__xludf.DUMMYFUNCTION("""COMPUTED_VALUE"""),"Credit Card")</f>
        <v>Credit Card</v>
      </c>
      <c r="F1110" s="6"/>
      <c r="G1110" s="8" t="str">
        <f t="shared" si="1"/>
        <v>202504</v>
      </c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  <c r="AM1110" s="4"/>
      <c r="AN1110" s="4"/>
      <c r="AO1110" s="4"/>
      <c r="AP1110" s="4"/>
      <c r="AQ1110" s="4"/>
      <c r="AR1110" s="4"/>
      <c r="AS1110" s="4"/>
      <c r="AT1110" s="4"/>
      <c r="AU1110" s="4"/>
      <c r="AV1110" s="4"/>
      <c r="AW1110" s="4"/>
      <c r="AX1110" s="4"/>
      <c r="AY1110" s="4"/>
      <c r="AZ1110" s="4"/>
      <c r="BA1110" s="4"/>
      <c r="BB1110" s="4"/>
      <c r="BC1110" s="4"/>
      <c r="BD1110" s="4"/>
      <c r="BE1110" s="4"/>
      <c r="BF1110" s="4"/>
      <c r="BG1110" s="4"/>
      <c r="BH1110" s="4"/>
      <c r="BI1110" s="4"/>
      <c r="BJ1110" s="4"/>
      <c r="BK1110" s="4"/>
      <c r="BL1110" s="4"/>
      <c r="BM1110" s="4"/>
      <c r="BN1110" s="4"/>
      <c r="BO1110" s="4"/>
      <c r="BP1110" s="4"/>
      <c r="BQ1110" s="4"/>
      <c r="BR1110" s="4"/>
      <c r="BS1110" s="4"/>
      <c r="BT1110" s="4"/>
      <c r="BU1110" s="4"/>
      <c r="BV1110" s="4"/>
      <c r="BW1110" s="4"/>
      <c r="BX1110" s="4"/>
      <c r="BY1110" s="4"/>
      <c r="BZ1110" s="4"/>
      <c r="CA1110" s="4"/>
      <c r="CB1110" s="4"/>
      <c r="CC1110" s="4"/>
      <c r="CD1110" s="4"/>
      <c r="CE1110" s="4"/>
      <c r="CF1110" s="4"/>
      <c r="CG1110" s="4"/>
      <c r="CH1110" s="4"/>
      <c r="CI1110" s="4"/>
      <c r="CJ1110" s="4"/>
      <c r="CK1110" s="4"/>
      <c r="CL1110" s="4"/>
      <c r="CM1110" s="4"/>
      <c r="CN1110" s="4"/>
      <c r="CO1110" s="4"/>
      <c r="CP1110" s="4"/>
      <c r="CQ1110" s="4"/>
      <c r="CR1110" s="4"/>
      <c r="CS1110" s="4"/>
      <c r="CT1110" s="4"/>
      <c r="CU1110" s="4"/>
      <c r="CV1110" s="4"/>
      <c r="CW1110" s="4"/>
      <c r="CX1110" s="4"/>
      <c r="CY1110" s="4"/>
      <c r="CZ1110" s="4"/>
      <c r="DA1110" s="4"/>
      <c r="DB1110" s="4"/>
      <c r="DC1110" s="4"/>
      <c r="DD1110" s="4"/>
      <c r="DE1110" s="4"/>
      <c r="DF1110" s="4"/>
      <c r="DG1110" s="4"/>
      <c r="DH1110" s="4"/>
      <c r="DI1110" s="4"/>
      <c r="DJ1110" s="4"/>
      <c r="DK1110" s="4"/>
      <c r="DL1110" s="4"/>
      <c r="DM1110" s="4"/>
      <c r="DN1110" s="4"/>
      <c r="DO1110" s="4"/>
      <c r="DP1110" s="4"/>
      <c r="DQ1110" s="4"/>
      <c r="DR1110" s="4"/>
      <c r="DS1110" s="4"/>
    </row>
    <row r="1111">
      <c r="A1111" s="9">
        <f>IFERROR(__xludf.DUMMYFUNCTION("""COMPUTED_VALUE"""),45768.0)</f>
        <v>45768</v>
      </c>
      <c r="B1111" s="6" t="str">
        <f>IFERROR(__xludf.DUMMYFUNCTION("""COMPUTED_VALUE"""),"Streaming Services")</f>
        <v>Streaming Services</v>
      </c>
      <c r="C1111" s="7">
        <f>IFERROR(__xludf.DUMMYFUNCTION("""COMPUTED_VALUE"""),6777.0)</f>
        <v>6777</v>
      </c>
      <c r="D1111" s="6" t="str">
        <f>IFERROR(__xludf.DUMMYFUNCTION("""COMPUTED_VALUE"""),"Streaming Services")</f>
        <v>Streaming Services</v>
      </c>
      <c r="E1111" s="6" t="str">
        <f>IFERROR(__xludf.DUMMYFUNCTION("""COMPUTED_VALUE"""),"Credit Card")</f>
        <v>Credit Card</v>
      </c>
      <c r="F1111" s="6" t="s">
        <v>12</v>
      </c>
      <c r="G1111" s="8" t="str">
        <f t="shared" si="1"/>
        <v>202504</v>
      </c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  <c r="AG1111" s="4"/>
      <c r="AH1111" s="4"/>
      <c r="AI1111" s="4"/>
      <c r="AJ1111" s="4"/>
      <c r="AK1111" s="4"/>
      <c r="AL1111" s="4"/>
      <c r="AM1111" s="4"/>
      <c r="AN1111" s="4"/>
      <c r="AO1111" s="4"/>
      <c r="AP1111" s="4"/>
      <c r="AQ1111" s="4"/>
      <c r="AR1111" s="4"/>
      <c r="AS1111" s="4"/>
      <c r="AT1111" s="4"/>
      <c r="AU1111" s="4"/>
      <c r="AV1111" s="4"/>
      <c r="AW1111" s="4"/>
      <c r="AX1111" s="4"/>
      <c r="AY1111" s="4"/>
      <c r="AZ1111" s="4"/>
      <c r="BA1111" s="4"/>
      <c r="BB1111" s="4"/>
      <c r="BC1111" s="4"/>
      <c r="BD1111" s="4"/>
      <c r="BE1111" s="4"/>
      <c r="BF1111" s="4"/>
      <c r="BG1111" s="4"/>
      <c r="BH1111" s="4"/>
      <c r="BI1111" s="4"/>
      <c r="BJ1111" s="4"/>
      <c r="BK1111" s="4"/>
      <c r="BL1111" s="4"/>
      <c r="BM1111" s="4"/>
      <c r="BN1111" s="4"/>
      <c r="BO1111" s="4"/>
      <c r="BP1111" s="4"/>
      <c r="BQ1111" s="4"/>
      <c r="BR1111" s="4"/>
      <c r="BS1111" s="4"/>
      <c r="BT1111" s="4"/>
      <c r="BU1111" s="4"/>
      <c r="BV1111" s="4"/>
      <c r="BW1111" s="4"/>
      <c r="BX1111" s="4"/>
      <c r="BY1111" s="4"/>
      <c r="BZ1111" s="4"/>
      <c r="CA1111" s="4"/>
      <c r="CB1111" s="4"/>
      <c r="CC1111" s="4"/>
      <c r="CD1111" s="4"/>
      <c r="CE1111" s="4"/>
      <c r="CF1111" s="4"/>
      <c r="CG1111" s="4"/>
      <c r="CH1111" s="4"/>
      <c r="CI1111" s="4"/>
      <c r="CJ1111" s="4"/>
      <c r="CK1111" s="4"/>
      <c r="CL1111" s="4"/>
      <c r="CM1111" s="4"/>
      <c r="CN1111" s="4"/>
      <c r="CO1111" s="4"/>
      <c r="CP1111" s="4"/>
      <c r="CQ1111" s="4"/>
      <c r="CR1111" s="4"/>
      <c r="CS1111" s="4"/>
      <c r="CT1111" s="4"/>
      <c r="CU1111" s="4"/>
      <c r="CV1111" s="4"/>
      <c r="CW1111" s="4"/>
      <c r="CX1111" s="4"/>
      <c r="CY1111" s="4"/>
      <c r="CZ1111" s="4"/>
      <c r="DA1111" s="4"/>
      <c r="DB1111" s="4"/>
      <c r="DC1111" s="4"/>
      <c r="DD1111" s="4"/>
      <c r="DE1111" s="4"/>
      <c r="DF1111" s="4"/>
      <c r="DG1111" s="4"/>
      <c r="DH1111" s="4"/>
      <c r="DI1111" s="4"/>
      <c r="DJ1111" s="4"/>
      <c r="DK1111" s="4"/>
      <c r="DL1111" s="4"/>
      <c r="DM1111" s="4"/>
      <c r="DN1111" s="4"/>
      <c r="DO1111" s="4"/>
      <c r="DP1111" s="4"/>
      <c r="DQ1111" s="4"/>
      <c r="DR1111" s="4"/>
      <c r="DS1111" s="4"/>
    </row>
    <row r="1112">
      <c r="A1112" s="9">
        <f>IFERROR(__xludf.DUMMYFUNCTION("""COMPUTED_VALUE"""),45768.0)</f>
        <v>45768</v>
      </c>
      <c r="B1112" s="6" t="str">
        <f>IFERROR(__xludf.DUMMYFUNCTION("""COMPUTED_VALUE"""),"Doctor Visit")</f>
        <v>Doctor Visit</v>
      </c>
      <c r="C1112" s="7">
        <f>IFERROR(__xludf.DUMMYFUNCTION("""COMPUTED_VALUE"""),7000.0)</f>
        <v>7000</v>
      </c>
      <c r="D1112" s="6" t="str">
        <f>IFERROR(__xludf.DUMMYFUNCTION("""COMPUTED_VALUE"""),"Healthcare")</f>
        <v>Healthcare</v>
      </c>
      <c r="E1112" s="6" t="str">
        <f>IFERROR(__xludf.DUMMYFUNCTION("""COMPUTED_VALUE"""),"Virtual Wallet")</f>
        <v>Virtual Wallet</v>
      </c>
      <c r="F1112" s="6" t="s">
        <v>15</v>
      </c>
      <c r="G1112" s="8" t="str">
        <f t="shared" si="1"/>
        <v>202504</v>
      </c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  <c r="AM1112" s="4"/>
      <c r="AN1112" s="4"/>
      <c r="AO1112" s="4"/>
      <c r="AP1112" s="4"/>
      <c r="AQ1112" s="4"/>
      <c r="AR1112" s="4"/>
      <c r="AS1112" s="4"/>
      <c r="AT1112" s="4"/>
      <c r="AU1112" s="4"/>
      <c r="AV1112" s="4"/>
      <c r="AW1112" s="4"/>
      <c r="AX1112" s="4"/>
      <c r="AY1112" s="4"/>
      <c r="AZ1112" s="4"/>
      <c r="BA1112" s="4"/>
      <c r="BB1112" s="4"/>
      <c r="BC1112" s="4"/>
      <c r="BD1112" s="4"/>
      <c r="BE1112" s="4"/>
      <c r="BF1112" s="4"/>
      <c r="BG1112" s="4"/>
      <c r="BH1112" s="4"/>
      <c r="BI1112" s="4"/>
      <c r="BJ1112" s="4"/>
      <c r="BK1112" s="4"/>
      <c r="BL1112" s="4"/>
      <c r="BM1112" s="4"/>
      <c r="BN1112" s="4"/>
      <c r="BO1112" s="4"/>
      <c r="BP1112" s="4"/>
      <c r="BQ1112" s="4"/>
      <c r="BR1112" s="4"/>
      <c r="BS1112" s="4"/>
      <c r="BT1112" s="4"/>
      <c r="BU1112" s="4"/>
      <c r="BV1112" s="4"/>
      <c r="BW1112" s="4"/>
      <c r="BX1112" s="4"/>
      <c r="BY1112" s="4"/>
      <c r="BZ1112" s="4"/>
      <c r="CA1112" s="4"/>
      <c r="CB1112" s="4"/>
      <c r="CC1112" s="4"/>
      <c r="CD1112" s="4"/>
      <c r="CE1112" s="4"/>
      <c r="CF1112" s="4"/>
      <c r="CG1112" s="4"/>
      <c r="CH1112" s="4"/>
      <c r="CI1112" s="4"/>
      <c r="CJ1112" s="4"/>
      <c r="CK1112" s="4"/>
      <c r="CL1112" s="4"/>
      <c r="CM1112" s="4"/>
      <c r="CN1112" s="4"/>
      <c r="CO1112" s="4"/>
      <c r="CP1112" s="4"/>
      <c r="CQ1112" s="4"/>
      <c r="CR1112" s="4"/>
      <c r="CS1112" s="4"/>
      <c r="CT1112" s="4"/>
      <c r="CU1112" s="4"/>
      <c r="CV1112" s="4"/>
      <c r="CW1112" s="4"/>
      <c r="CX1112" s="4"/>
      <c r="CY1112" s="4"/>
      <c r="CZ1112" s="4"/>
      <c r="DA1112" s="4"/>
      <c r="DB1112" s="4"/>
      <c r="DC1112" s="4"/>
      <c r="DD1112" s="4"/>
      <c r="DE1112" s="4"/>
      <c r="DF1112" s="4"/>
      <c r="DG1112" s="4"/>
      <c r="DH1112" s="4"/>
      <c r="DI1112" s="4"/>
      <c r="DJ1112" s="4"/>
      <c r="DK1112" s="4"/>
      <c r="DL1112" s="4"/>
      <c r="DM1112" s="4"/>
      <c r="DN1112" s="4"/>
      <c r="DO1112" s="4"/>
      <c r="DP1112" s="4"/>
      <c r="DQ1112" s="4"/>
      <c r="DR1112" s="4"/>
      <c r="DS1112" s="4"/>
    </row>
    <row r="1113">
      <c r="A1113" s="9">
        <f>IFERROR(__xludf.DUMMYFUNCTION("""COMPUTED_VALUE"""),45768.0)</f>
        <v>45768</v>
      </c>
      <c r="B1113" s="6" t="str">
        <f>IFERROR(__xludf.DUMMYFUNCTION("""COMPUTED_VALUE"""),"Groceries")</f>
        <v>Groceries</v>
      </c>
      <c r="C1113" s="7">
        <f>IFERROR(__xludf.DUMMYFUNCTION("""COMPUTED_VALUE"""),4400.0)</f>
        <v>4400</v>
      </c>
      <c r="D1113" s="6" t="str">
        <f>IFERROR(__xludf.DUMMYFUNCTION("""COMPUTED_VALUE"""),"Groceries")</f>
        <v>Groceries</v>
      </c>
      <c r="E1113" s="6" t="str">
        <f>IFERROR(__xludf.DUMMYFUNCTION("""COMPUTED_VALUE"""),"Virtual Wallet")</f>
        <v>Virtual Wallet</v>
      </c>
      <c r="F1113" s="6" t="s">
        <v>7</v>
      </c>
      <c r="G1113" s="8" t="str">
        <f t="shared" si="1"/>
        <v>202504</v>
      </c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  <c r="AM1113" s="4"/>
      <c r="AN1113" s="4"/>
      <c r="AO1113" s="4"/>
      <c r="AP1113" s="4"/>
      <c r="AQ1113" s="4"/>
      <c r="AR1113" s="4"/>
      <c r="AS1113" s="4"/>
      <c r="AT1113" s="4"/>
      <c r="AU1113" s="4"/>
      <c r="AV1113" s="4"/>
      <c r="AW1113" s="4"/>
      <c r="AX1113" s="4"/>
      <c r="AY1113" s="4"/>
      <c r="AZ1113" s="4"/>
      <c r="BA1113" s="4"/>
      <c r="BB1113" s="4"/>
      <c r="BC1113" s="4"/>
      <c r="BD1113" s="4"/>
      <c r="BE1113" s="4"/>
      <c r="BF1113" s="4"/>
      <c r="BG1113" s="4"/>
      <c r="BH1113" s="4"/>
      <c r="BI1113" s="4"/>
      <c r="BJ1113" s="4"/>
      <c r="BK1113" s="4"/>
      <c r="BL1113" s="4"/>
      <c r="BM1113" s="4"/>
      <c r="BN1113" s="4"/>
      <c r="BO1113" s="4"/>
      <c r="BP1113" s="4"/>
      <c r="BQ1113" s="4"/>
      <c r="BR1113" s="4"/>
      <c r="BS1113" s="4"/>
      <c r="BT1113" s="4"/>
      <c r="BU1113" s="4"/>
      <c r="BV1113" s="4"/>
      <c r="BW1113" s="4"/>
      <c r="BX1113" s="4"/>
      <c r="BY1113" s="4"/>
      <c r="BZ1113" s="4"/>
      <c r="CA1113" s="4"/>
      <c r="CB1113" s="4"/>
      <c r="CC1113" s="4"/>
      <c r="CD1113" s="4"/>
      <c r="CE1113" s="4"/>
      <c r="CF1113" s="4"/>
      <c r="CG1113" s="4"/>
      <c r="CH1113" s="4"/>
      <c r="CI1113" s="4"/>
      <c r="CJ1113" s="4"/>
      <c r="CK1113" s="4"/>
      <c r="CL1113" s="4"/>
      <c r="CM1113" s="4"/>
      <c r="CN1113" s="4"/>
      <c r="CO1113" s="4"/>
      <c r="CP1113" s="4"/>
      <c r="CQ1113" s="4"/>
      <c r="CR1113" s="4"/>
      <c r="CS1113" s="4"/>
      <c r="CT1113" s="4"/>
      <c r="CU1113" s="4"/>
      <c r="CV1113" s="4"/>
      <c r="CW1113" s="4"/>
      <c r="CX1113" s="4"/>
      <c r="CY1113" s="4"/>
      <c r="CZ1113" s="4"/>
      <c r="DA1113" s="4"/>
      <c r="DB1113" s="4"/>
      <c r="DC1113" s="4"/>
      <c r="DD1113" s="4"/>
      <c r="DE1113" s="4"/>
      <c r="DF1113" s="4"/>
      <c r="DG1113" s="4"/>
      <c r="DH1113" s="4"/>
      <c r="DI1113" s="4"/>
      <c r="DJ1113" s="4"/>
      <c r="DK1113" s="4"/>
      <c r="DL1113" s="4"/>
      <c r="DM1113" s="4"/>
      <c r="DN1113" s="4"/>
      <c r="DO1113" s="4"/>
      <c r="DP1113" s="4"/>
      <c r="DQ1113" s="4"/>
      <c r="DR1113" s="4"/>
      <c r="DS1113" s="4"/>
    </row>
    <row r="1114">
      <c r="A1114" s="9">
        <f>IFERROR(__xludf.DUMMYFUNCTION("""COMPUTED_VALUE"""),45768.0)</f>
        <v>45768</v>
      </c>
      <c r="B1114" s="6" t="str">
        <f>IFERROR(__xludf.DUMMYFUNCTION("""COMPUTED_VALUE"""),"Groceries")</f>
        <v>Groceries</v>
      </c>
      <c r="C1114" s="7">
        <f>IFERROR(__xludf.DUMMYFUNCTION("""COMPUTED_VALUE"""),4000.0)</f>
        <v>4000</v>
      </c>
      <c r="D1114" s="6" t="str">
        <f>IFERROR(__xludf.DUMMYFUNCTION("""COMPUTED_VALUE"""),"Groceries")</f>
        <v>Groceries</v>
      </c>
      <c r="E1114" s="6" t="str">
        <f>IFERROR(__xludf.DUMMYFUNCTION("""COMPUTED_VALUE"""),"Virtual Wallet")</f>
        <v>Virtual Wallet</v>
      </c>
      <c r="F1114" s="6" t="s">
        <v>7</v>
      </c>
      <c r="G1114" s="8" t="str">
        <f t="shared" si="1"/>
        <v>202504</v>
      </c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  <c r="AM1114" s="4"/>
      <c r="AN1114" s="4"/>
      <c r="AO1114" s="4"/>
      <c r="AP1114" s="4"/>
      <c r="AQ1114" s="4"/>
      <c r="AR1114" s="4"/>
      <c r="AS1114" s="4"/>
      <c r="AT1114" s="4"/>
      <c r="AU1114" s="4"/>
      <c r="AV1114" s="4"/>
      <c r="AW1114" s="4"/>
      <c r="AX1114" s="4"/>
      <c r="AY1114" s="4"/>
      <c r="AZ1114" s="4"/>
      <c r="BA1114" s="4"/>
      <c r="BB1114" s="4"/>
      <c r="BC1114" s="4"/>
      <c r="BD1114" s="4"/>
      <c r="BE1114" s="4"/>
      <c r="BF1114" s="4"/>
      <c r="BG1114" s="4"/>
      <c r="BH1114" s="4"/>
      <c r="BI1114" s="4"/>
      <c r="BJ1114" s="4"/>
      <c r="BK1114" s="4"/>
      <c r="BL1114" s="4"/>
      <c r="BM1114" s="4"/>
      <c r="BN1114" s="4"/>
      <c r="BO1114" s="4"/>
      <c r="BP1114" s="4"/>
      <c r="BQ1114" s="4"/>
      <c r="BR1114" s="4"/>
      <c r="BS1114" s="4"/>
      <c r="BT1114" s="4"/>
      <c r="BU1114" s="4"/>
      <c r="BV1114" s="4"/>
      <c r="BW1114" s="4"/>
      <c r="BX1114" s="4"/>
      <c r="BY1114" s="4"/>
      <c r="BZ1114" s="4"/>
      <c r="CA1114" s="4"/>
      <c r="CB1114" s="4"/>
      <c r="CC1114" s="4"/>
      <c r="CD1114" s="4"/>
      <c r="CE1114" s="4"/>
      <c r="CF1114" s="4"/>
      <c r="CG1114" s="4"/>
      <c r="CH1114" s="4"/>
      <c r="CI1114" s="4"/>
      <c r="CJ1114" s="4"/>
      <c r="CK1114" s="4"/>
      <c r="CL1114" s="4"/>
      <c r="CM1114" s="4"/>
      <c r="CN1114" s="4"/>
      <c r="CO1114" s="4"/>
      <c r="CP1114" s="4"/>
      <c r="CQ1114" s="4"/>
      <c r="CR1114" s="4"/>
      <c r="CS1114" s="4"/>
      <c r="CT1114" s="4"/>
      <c r="CU1114" s="4"/>
      <c r="CV1114" s="4"/>
      <c r="CW1114" s="4"/>
      <c r="CX1114" s="4"/>
      <c r="CY1114" s="4"/>
      <c r="CZ1114" s="4"/>
      <c r="DA1114" s="4"/>
      <c r="DB1114" s="4"/>
      <c r="DC1114" s="4"/>
      <c r="DD1114" s="4"/>
      <c r="DE1114" s="4"/>
      <c r="DF1114" s="4"/>
      <c r="DG1114" s="4"/>
      <c r="DH1114" s="4"/>
      <c r="DI1114" s="4"/>
      <c r="DJ1114" s="4"/>
      <c r="DK1114" s="4"/>
      <c r="DL1114" s="4"/>
      <c r="DM1114" s="4"/>
      <c r="DN1114" s="4"/>
      <c r="DO1114" s="4"/>
      <c r="DP1114" s="4"/>
      <c r="DQ1114" s="4"/>
      <c r="DR1114" s="4"/>
      <c r="DS1114" s="4"/>
    </row>
    <row r="1115">
      <c r="A1115" s="9">
        <f>IFERROR(__xludf.DUMMYFUNCTION("""COMPUTED_VALUE"""),45769.0)</f>
        <v>45769</v>
      </c>
      <c r="B1115" s="6" t="str">
        <f>IFERROR(__xludf.DUMMYFUNCTION("""COMPUTED_VALUE"""),"Appliances")</f>
        <v>Appliances</v>
      </c>
      <c r="C1115" s="7">
        <f>IFERROR(__xludf.DUMMYFUNCTION("""COMPUTED_VALUE"""),2361.0)</f>
        <v>2361</v>
      </c>
      <c r="D1115" s="6" t="str">
        <f>IFERROR(__xludf.DUMMYFUNCTION("""COMPUTED_VALUE"""),"Home Goods &amp; Utilities")</f>
        <v>Home Goods &amp; Utilities</v>
      </c>
      <c r="E1115" s="6" t="str">
        <f>IFERROR(__xludf.DUMMYFUNCTION("""COMPUTED_VALUE"""),"Credit Card")</f>
        <v>Credit Card</v>
      </c>
      <c r="F1115" s="6" t="s">
        <v>8</v>
      </c>
      <c r="G1115" s="8" t="str">
        <f t="shared" si="1"/>
        <v>202504</v>
      </c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  <c r="AM1115" s="4"/>
      <c r="AN1115" s="4"/>
      <c r="AO1115" s="4"/>
      <c r="AP1115" s="4"/>
      <c r="AQ1115" s="4"/>
      <c r="AR1115" s="4"/>
      <c r="AS1115" s="4"/>
      <c r="AT1115" s="4"/>
      <c r="AU1115" s="4"/>
      <c r="AV1115" s="4"/>
      <c r="AW1115" s="4"/>
      <c r="AX1115" s="4"/>
      <c r="AY1115" s="4"/>
      <c r="AZ1115" s="4"/>
      <c r="BA1115" s="4"/>
      <c r="BB1115" s="4"/>
      <c r="BC1115" s="4"/>
      <c r="BD1115" s="4"/>
      <c r="BE1115" s="4"/>
      <c r="BF1115" s="4"/>
      <c r="BG1115" s="4"/>
      <c r="BH1115" s="4"/>
      <c r="BI1115" s="4"/>
      <c r="BJ1115" s="4"/>
      <c r="BK1115" s="4"/>
      <c r="BL1115" s="4"/>
      <c r="BM1115" s="4"/>
      <c r="BN1115" s="4"/>
      <c r="BO1115" s="4"/>
      <c r="BP1115" s="4"/>
      <c r="BQ1115" s="4"/>
      <c r="BR1115" s="4"/>
      <c r="BS1115" s="4"/>
      <c r="BT1115" s="4"/>
      <c r="BU1115" s="4"/>
      <c r="BV1115" s="4"/>
      <c r="BW1115" s="4"/>
      <c r="BX1115" s="4"/>
      <c r="BY1115" s="4"/>
      <c r="BZ1115" s="4"/>
      <c r="CA1115" s="4"/>
      <c r="CB1115" s="4"/>
      <c r="CC1115" s="4"/>
      <c r="CD1115" s="4"/>
      <c r="CE1115" s="4"/>
      <c r="CF1115" s="4"/>
      <c r="CG1115" s="4"/>
      <c r="CH1115" s="4"/>
      <c r="CI1115" s="4"/>
      <c r="CJ1115" s="4"/>
      <c r="CK1115" s="4"/>
      <c r="CL1115" s="4"/>
      <c r="CM1115" s="4"/>
      <c r="CN1115" s="4"/>
      <c r="CO1115" s="4"/>
      <c r="CP1115" s="4"/>
      <c r="CQ1115" s="4"/>
      <c r="CR1115" s="4"/>
      <c r="CS1115" s="4"/>
      <c r="CT1115" s="4"/>
      <c r="CU1115" s="4"/>
      <c r="CV1115" s="4"/>
      <c r="CW1115" s="4"/>
      <c r="CX1115" s="4"/>
      <c r="CY1115" s="4"/>
      <c r="CZ1115" s="4"/>
      <c r="DA1115" s="4"/>
      <c r="DB1115" s="4"/>
      <c r="DC1115" s="4"/>
      <c r="DD1115" s="4"/>
      <c r="DE1115" s="4"/>
      <c r="DF1115" s="4"/>
      <c r="DG1115" s="4"/>
      <c r="DH1115" s="4"/>
      <c r="DI1115" s="4"/>
      <c r="DJ1115" s="4"/>
      <c r="DK1115" s="4"/>
      <c r="DL1115" s="4"/>
      <c r="DM1115" s="4"/>
      <c r="DN1115" s="4"/>
      <c r="DO1115" s="4"/>
      <c r="DP1115" s="4"/>
      <c r="DQ1115" s="4"/>
      <c r="DR1115" s="4"/>
      <c r="DS1115" s="4"/>
    </row>
    <row r="1116">
      <c r="A1116" s="9">
        <f>IFERROR(__xludf.DUMMYFUNCTION("""COMPUTED_VALUE"""),45769.0)</f>
        <v>45769</v>
      </c>
      <c r="B1116" s="6" t="str">
        <f>IFERROR(__xludf.DUMMYFUNCTION("""COMPUTED_VALUE"""),"Pets")</f>
        <v>Pets</v>
      </c>
      <c r="C1116" s="7">
        <f>IFERROR(__xludf.DUMMYFUNCTION("""COMPUTED_VALUE"""),6850.0)</f>
        <v>6850</v>
      </c>
      <c r="D1116" s="6" t="str">
        <f>IFERROR(__xludf.DUMMYFUNCTION("""COMPUTED_VALUE"""),"Home Goods &amp; Utilities")</f>
        <v>Home Goods &amp; Utilities</v>
      </c>
      <c r="E1116" s="6" t="str">
        <f>IFERROR(__xludf.DUMMYFUNCTION("""COMPUTED_VALUE"""),"Credit Card")</f>
        <v>Credit Card</v>
      </c>
      <c r="F1116" s="6" t="s">
        <v>8</v>
      </c>
      <c r="G1116" s="8" t="str">
        <f t="shared" si="1"/>
        <v>202504</v>
      </c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  <c r="AM1116" s="4"/>
      <c r="AN1116" s="4"/>
      <c r="AO1116" s="4"/>
      <c r="AP1116" s="4"/>
      <c r="AQ1116" s="4"/>
      <c r="AR1116" s="4"/>
      <c r="AS1116" s="4"/>
      <c r="AT1116" s="4"/>
      <c r="AU1116" s="4"/>
      <c r="AV1116" s="4"/>
      <c r="AW1116" s="4"/>
      <c r="AX1116" s="4"/>
      <c r="AY1116" s="4"/>
      <c r="AZ1116" s="4"/>
      <c r="BA1116" s="4"/>
      <c r="BB1116" s="4"/>
      <c r="BC1116" s="4"/>
      <c r="BD1116" s="4"/>
      <c r="BE1116" s="4"/>
      <c r="BF1116" s="4"/>
      <c r="BG1116" s="4"/>
      <c r="BH1116" s="4"/>
      <c r="BI1116" s="4"/>
      <c r="BJ1116" s="4"/>
      <c r="BK1116" s="4"/>
      <c r="BL1116" s="4"/>
      <c r="BM1116" s="4"/>
      <c r="BN1116" s="4"/>
      <c r="BO1116" s="4"/>
      <c r="BP1116" s="4"/>
      <c r="BQ1116" s="4"/>
      <c r="BR1116" s="4"/>
      <c r="BS1116" s="4"/>
      <c r="BT1116" s="4"/>
      <c r="BU1116" s="4"/>
      <c r="BV1116" s="4"/>
      <c r="BW1116" s="4"/>
      <c r="BX1116" s="4"/>
      <c r="BY1116" s="4"/>
      <c r="BZ1116" s="4"/>
      <c r="CA1116" s="4"/>
      <c r="CB1116" s="4"/>
      <c r="CC1116" s="4"/>
      <c r="CD1116" s="4"/>
      <c r="CE1116" s="4"/>
      <c r="CF1116" s="4"/>
      <c r="CG1116" s="4"/>
      <c r="CH1116" s="4"/>
      <c r="CI1116" s="4"/>
      <c r="CJ1116" s="4"/>
      <c r="CK1116" s="4"/>
      <c r="CL1116" s="4"/>
      <c r="CM1116" s="4"/>
      <c r="CN1116" s="4"/>
      <c r="CO1116" s="4"/>
      <c r="CP1116" s="4"/>
      <c r="CQ1116" s="4"/>
      <c r="CR1116" s="4"/>
      <c r="CS1116" s="4"/>
      <c r="CT1116" s="4"/>
      <c r="CU1116" s="4"/>
      <c r="CV1116" s="4"/>
      <c r="CW1116" s="4"/>
      <c r="CX1116" s="4"/>
      <c r="CY1116" s="4"/>
      <c r="CZ1116" s="4"/>
      <c r="DA1116" s="4"/>
      <c r="DB1116" s="4"/>
      <c r="DC1116" s="4"/>
      <c r="DD1116" s="4"/>
      <c r="DE1116" s="4"/>
      <c r="DF1116" s="4"/>
      <c r="DG1116" s="4"/>
      <c r="DH1116" s="4"/>
      <c r="DI1116" s="4"/>
      <c r="DJ1116" s="4"/>
      <c r="DK1116" s="4"/>
      <c r="DL1116" s="4"/>
      <c r="DM1116" s="4"/>
      <c r="DN1116" s="4"/>
      <c r="DO1116" s="4"/>
      <c r="DP1116" s="4"/>
      <c r="DQ1116" s="4"/>
      <c r="DR1116" s="4"/>
      <c r="DS1116" s="4"/>
    </row>
    <row r="1117">
      <c r="A1117" s="9">
        <f>IFERROR(__xludf.DUMMYFUNCTION("""COMPUTED_VALUE"""),45769.0)</f>
        <v>45769</v>
      </c>
      <c r="B1117" s="6" t="str">
        <f>IFERROR(__xludf.DUMMYFUNCTION("""COMPUTED_VALUE"""),"Pets")</f>
        <v>Pets</v>
      </c>
      <c r="C1117" s="7">
        <f>IFERROR(__xludf.DUMMYFUNCTION("""COMPUTED_VALUE"""),203000.0)</f>
        <v>203000</v>
      </c>
      <c r="D1117" s="6" t="str">
        <f>IFERROR(__xludf.DUMMYFUNCTION("""COMPUTED_VALUE"""),"Pets")</f>
        <v>Pets</v>
      </c>
      <c r="E1117" s="6" t="str">
        <f>IFERROR(__xludf.DUMMYFUNCTION("""COMPUTED_VALUE"""),"Virtual Wallet")</f>
        <v>Virtual Wallet</v>
      </c>
      <c r="F1117" s="6" t="s">
        <v>7</v>
      </c>
      <c r="G1117" s="8" t="str">
        <f t="shared" si="1"/>
        <v>202504</v>
      </c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  <c r="AM1117" s="4"/>
      <c r="AN1117" s="4"/>
      <c r="AO1117" s="4"/>
      <c r="AP1117" s="4"/>
      <c r="AQ1117" s="4"/>
      <c r="AR1117" s="4"/>
      <c r="AS1117" s="4"/>
      <c r="AT1117" s="4"/>
      <c r="AU1117" s="4"/>
      <c r="AV1117" s="4"/>
      <c r="AW1117" s="4"/>
      <c r="AX1117" s="4"/>
      <c r="AY1117" s="4"/>
      <c r="AZ1117" s="4"/>
      <c r="BA1117" s="4"/>
      <c r="BB1117" s="4"/>
      <c r="BC1117" s="4"/>
      <c r="BD1117" s="4"/>
      <c r="BE1117" s="4"/>
      <c r="BF1117" s="4"/>
      <c r="BG1117" s="4"/>
      <c r="BH1117" s="4"/>
      <c r="BI1117" s="4"/>
      <c r="BJ1117" s="4"/>
      <c r="BK1117" s="4"/>
      <c r="BL1117" s="4"/>
      <c r="BM1117" s="4"/>
      <c r="BN1117" s="4"/>
      <c r="BO1117" s="4"/>
      <c r="BP1117" s="4"/>
      <c r="BQ1117" s="4"/>
      <c r="BR1117" s="4"/>
      <c r="BS1117" s="4"/>
      <c r="BT1117" s="4"/>
      <c r="BU1117" s="4"/>
      <c r="BV1117" s="4"/>
      <c r="BW1117" s="4"/>
      <c r="BX1117" s="4"/>
      <c r="BY1117" s="4"/>
      <c r="BZ1117" s="4"/>
      <c r="CA1117" s="4"/>
      <c r="CB1117" s="4"/>
      <c r="CC1117" s="4"/>
      <c r="CD1117" s="4"/>
      <c r="CE1117" s="4"/>
      <c r="CF1117" s="4"/>
      <c r="CG1117" s="4"/>
      <c r="CH1117" s="4"/>
      <c r="CI1117" s="4"/>
      <c r="CJ1117" s="4"/>
      <c r="CK1117" s="4"/>
      <c r="CL1117" s="4"/>
      <c r="CM1117" s="4"/>
      <c r="CN1117" s="4"/>
      <c r="CO1117" s="4"/>
      <c r="CP1117" s="4"/>
      <c r="CQ1117" s="4"/>
      <c r="CR1117" s="4"/>
      <c r="CS1117" s="4"/>
      <c r="CT1117" s="4"/>
      <c r="CU1117" s="4"/>
      <c r="CV1117" s="4"/>
      <c r="CW1117" s="4"/>
      <c r="CX1117" s="4"/>
      <c r="CY1117" s="4"/>
      <c r="CZ1117" s="4"/>
      <c r="DA1117" s="4"/>
      <c r="DB1117" s="4"/>
      <c r="DC1117" s="4"/>
      <c r="DD1117" s="4"/>
      <c r="DE1117" s="4"/>
      <c r="DF1117" s="4"/>
      <c r="DG1117" s="4"/>
      <c r="DH1117" s="4"/>
      <c r="DI1117" s="4"/>
      <c r="DJ1117" s="4"/>
      <c r="DK1117" s="4"/>
      <c r="DL1117" s="4"/>
      <c r="DM1117" s="4"/>
      <c r="DN1117" s="4"/>
      <c r="DO1117" s="4"/>
      <c r="DP1117" s="4"/>
      <c r="DQ1117" s="4"/>
      <c r="DR1117" s="4"/>
      <c r="DS1117" s="4"/>
    </row>
    <row r="1118">
      <c r="A1118" s="9">
        <f>IFERROR(__xludf.DUMMYFUNCTION("""COMPUTED_VALUE"""),45769.0)</f>
        <v>45769</v>
      </c>
      <c r="B1118" s="6" t="str">
        <f>IFERROR(__xludf.DUMMYFUNCTION("""COMPUTED_VALUE"""),"Restaurant")</f>
        <v>Restaurant</v>
      </c>
      <c r="C1118" s="7">
        <f>IFERROR(__xludf.DUMMYFUNCTION("""COMPUTED_VALUE"""),4400.0)</f>
        <v>4400</v>
      </c>
      <c r="D1118" s="6" t="str">
        <f>IFERROR(__xludf.DUMMYFUNCTION("""COMPUTED_VALUE"""),"Restaurant / Café")</f>
        <v>Restaurant / Café</v>
      </c>
      <c r="E1118" s="6" t="str">
        <f>IFERROR(__xludf.DUMMYFUNCTION("""COMPUTED_VALUE"""),"Virtual Wallet")</f>
        <v>Virtual Wallet</v>
      </c>
      <c r="F1118" s="6" t="s">
        <v>14</v>
      </c>
      <c r="G1118" s="8" t="str">
        <f t="shared" si="1"/>
        <v>202504</v>
      </c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  <c r="AM1118" s="4"/>
      <c r="AN1118" s="4"/>
      <c r="AO1118" s="4"/>
      <c r="AP1118" s="4"/>
      <c r="AQ1118" s="4"/>
      <c r="AR1118" s="4"/>
      <c r="AS1118" s="4"/>
      <c r="AT1118" s="4"/>
      <c r="AU1118" s="4"/>
      <c r="AV1118" s="4"/>
      <c r="AW1118" s="4"/>
      <c r="AX1118" s="4"/>
      <c r="AY1118" s="4"/>
      <c r="AZ1118" s="4"/>
      <c r="BA1118" s="4"/>
      <c r="BB1118" s="4"/>
      <c r="BC1118" s="4"/>
      <c r="BD1118" s="4"/>
      <c r="BE1118" s="4"/>
      <c r="BF1118" s="4"/>
      <c r="BG1118" s="4"/>
      <c r="BH1118" s="4"/>
      <c r="BI1118" s="4"/>
      <c r="BJ1118" s="4"/>
      <c r="BK1118" s="4"/>
      <c r="BL1118" s="4"/>
      <c r="BM1118" s="4"/>
      <c r="BN1118" s="4"/>
      <c r="BO1118" s="4"/>
      <c r="BP1118" s="4"/>
      <c r="BQ1118" s="4"/>
      <c r="BR1118" s="4"/>
      <c r="BS1118" s="4"/>
      <c r="BT1118" s="4"/>
      <c r="BU1118" s="4"/>
      <c r="BV1118" s="4"/>
      <c r="BW1118" s="4"/>
      <c r="BX1118" s="4"/>
      <c r="BY1118" s="4"/>
      <c r="BZ1118" s="4"/>
      <c r="CA1118" s="4"/>
      <c r="CB1118" s="4"/>
      <c r="CC1118" s="4"/>
      <c r="CD1118" s="4"/>
      <c r="CE1118" s="4"/>
      <c r="CF1118" s="4"/>
      <c r="CG1118" s="4"/>
      <c r="CH1118" s="4"/>
      <c r="CI1118" s="4"/>
      <c r="CJ1118" s="4"/>
      <c r="CK1118" s="4"/>
      <c r="CL1118" s="4"/>
      <c r="CM1118" s="4"/>
      <c r="CN1118" s="4"/>
      <c r="CO1118" s="4"/>
      <c r="CP1118" s="4"/>
      <c r="CQ1118" s="4"/>
      <c r="CR1118" s="4"/>
      <c r="CS1118" s="4"/>
      <c r="CT1118" s="4"/>
      <c r="CU1118" s="4"/>
      <c r="CV1118" s="4"/>
      <c r="CW1118" s="4"/>
      <c r="CX1118" s="4"/>
      <c r="CY1118" s="4"/>
      <c r="CZ1118" s="4"/>
      <c r="DA1118" s="4"/>
      <c r="DB1118" s="4"/>
      <c r="DC1118" s="4"/>
      <c r="DD1118" s="4"/>
      <c r="DE1118" s="4"/>
      <c r="DF1118" s="4"/>
      <c r="DG1118" s="4"/>
      <c r="DH1118" s="4"/>
      <c r="DI1118" s="4"/>
      <c r="DJ1118" s="4"/>
      <c r="DK1118" s="4"/>
      <c r="DL1118" s="4"/>
      <c r="DM1118" s="4"/>
      <c r="DN1118" s="4"/>
      <c r="DO1118" s="4"/>
      <c r="DP1118" s="4"/>
      <c r="DQ1118" s="4"/>
      <c r="DR1118" s="4"/>
      <c r="DS1118" s="4"/>
    </row>
    <row r="1119">
      <c r="A1119" s="9">
        <f>IFERROR(__xludf.DUMMYFUNCTION("""COMPUTED_VALUE"""),45770.0)</f>
        <v>45770</v>
      </c>
      <c r="B1119" s="6" t="str">
        <f>IFERROR(__xludf.DUMMYFUNCTION("""COMPUTED_VALUE"""),"Appliances")</f>
        <v>Appliances</v>
      </c>
      <c r="C1119" s="7">
        <f>IFERROR(__xludf.DUMMYFUNCTION("""COMPUTED_VALUE"""),13889.0)</f>
        <v>13889</v>
      </c>
      <c r="D1119" s="6" t="str">
        <f>IFERROR(__xludf.DUMMYFUNCTION("""COMPUTED_VALUE"""),"Home Goods &amp; Utilities")</f>
        <v>Home Goods &amp; Utilities</v>
      </c>
      <c r="E1119" s="6" t="str">
        <f>IFERROR(__xludf.DUMMYFUNCTION("""COMPUTED_VALUE"""),"Credit Card")</f>
        <v>Credit Card</v>
      </c>
      <c r="F1119" s="6" t="s">
        <v>8</v>
      </c>
      <c r="G1119" s="8" t="str">
        <f t="shared" si="1"/>
        <v>202504</v>
      </c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  <c r="AM1119" s="4"/>
      <c r="AN1119" s="4"/>
      <c r="AO1119" s="4"/>
      <c r="AP1119" s="4"/>
      <c r="AQ1119" s="4"/>
      <c r="AR1119" s="4"/>
      <c r="AS1119" s="4"/>
      <c r="AT1119" s="4"/>
      <c r="AU1119" s="4"/>
      <c r="AV1119" s="4"/>
      <c r="AW1119" s="4"/>
      <c r="AX1119" s="4"/>
      <c r="AY1119" s="4"/>
      <c r="AZ1119" s="4"/>
      <c r="BA1119" s="4"/>
      <c r="BB1119" s="4"/>
      <c r="BC1119" s="4"/>
      <c r="BD1119" s="4"/>
      <c r="BE1119" s="4"/>
      <c r="BF1119" s="4"/>
      <c r="BG1119" s="4"/>
      <c r="BH1119" s="4"/>
      <c r="BI1119" s="4"/>
      <c r="BJ1119" s="4"/>
      <c r="BK1119" s="4"/>
      <c r="BL1119" s="4"/>
      <c r="BM1119" s="4"/>
      <c r="BN1119" s="4"/>
      <c r="BO1119" s="4"/>
      <c r="BP1119" s="4"/>
      <c r="BQ1119" s="4"/>
      <c r="BR1119" s="4"/>
      <c r="BS1119" s="4"/>
      <c r="BT1119" s="4"/>
      <c r="BU1119" s="4"/>
      <c r="BV1119" s="4"/>
      <c r="BW1119" s="4"/>
      <c r="BX1119" s="4"/>
      <c r="BY1119" s="4"/>
      <c r="BZ1119" s="4"/>
      <c r="CA1119" s="4"/>
      <c r="CB1119" s="4"/>
      <c r="CC1119" s="4"/>
      <c r="CD1119" s="4"/>
      <c r="CE1119" s="4"/>
      <c r="CF1119" s="4"/>
      <c r="CG1119" s="4"/>
      <c r="CH1119" s="4"/>
      <c r="CI1119" s="4"/>
      <c r="CJ1119" s="4"/>
      <c r="CK1119" s="4"/>
      <c r="CL1119" s="4"/>
      <c r="CM1119" s="4"/>
      <c r="CN1119" s="4"/>
      <c r="CO1119" s="4"/>
      <c r="CP1119" s="4"/>
      <c r="CQ1119" s="4"/>
      <c r="CR1119" s="4"/>
      <c r="CS1119" s="4"/>
      <c r="CT1119" s="4"/>
      <c r="CU1119" s="4"/>
      <c r="CV1119" s="4"/>
      <c r="CW1119" s="4"/>
      <c r="CX1119" s="4"/>
      <c r="CY1119" s="4"/>
      <c r="CZ1119" s="4"/>
      <c r="DA1119" s="4"/>
      <c r="DB1119" s="4"/>
      <c r="DC1119" s="4"/>
      <c r="DD1119" s="4"/>
      <c r="DE1119" s="4"/>
      <c r="DF1119" s="4"/>
      <c r="DG1119" s="4"/>
      <c r="DH1119" s="4"/>
      <c r="DI1119" s="4"/>
      <c r="DJ1119" s="4"/>
      <c r="DK1119" s="4"/>
      <c r="DL1119" s="4"/>
      <c r="DM1119" s="4"/>
      <c r="DN1119" s="4"/>
      <c r="DO1119" s="4"/>
      <c r="DP1119" s="4"/>
      <c r="DQ1119" s="4"/>
      <c r="DR1119" s="4"/>
      <c r="DS1119" s="4"/>
    </row>
    <row r="1120">
      <c r="A1120" s="9">
        <f>IFERROR(__xludf.DUMMYFUNCTION("""COMPUTED_VALUE"""),45770.0)</f>
        <v>45770</v>
      </c>
      <c r="B1120" s="6" t="str">
        <f>IFERROR(__xludf.DUMMYFUNCTION("""COMPUTED_VALUE"""),"Groceries")</f>
        <v>Groceries</v>
      </c>
      <c r="C1120" s="7">
        <f>IFERROR(__xludf.DUMMYFUNCTION("""COMPUTED_VALUE"""),5000.0)</f>
        <v>5000</v>
      </c>
      <c r="D1120" s="6" t="str">
        <f>IFERROR(__xludf.DUMMYFUNCTION("""COMPUTED_VALUE"""),"Lunch Out")</f>
        <v>Lunch Out</v>
      </c>
      <c r="E1120" s="6" t="str">
        <f>IFERROR(__xludf.DUMMYFUNCTION("""COMPUTED_VALUE"""),"Virtual Wallet")</f>
        <v>Virtual Wallet</v>
      </c>
      <c r="F1120" s="6" t="s">
        <v>14</v>
      </c>
      <c r="G1120" s="8" t="str">
        <f t="shared" si="1"/>
        <v>202504</v>
      </c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  <c r="AM1120" s="4"/>
      <c r="AN1120" s="4"/>
      <c r="AO1120" s="4"/>
      <c r="AP1120" s="4"/>
      <c r="AQ1120" s="4"/>
      <c r="AR1120" s="4"/>
      <c r="AS1120" s="4"/>
      <c r="AT1120" s="4"/>
      <c r="AU1120" s="4"/>
      <c r="AV1120" s="4"/>
      <c r="AW1120" s="4"/>
      <c r="AX1120" s="4"/>
      <c r="AY1120" s="4"/>
      <c r="AZ1120" s="4"/>
      <c r="BA1120" s="4"/>
      <c r="BB1120" s="4"/>
      <c r="BC1120" s="4"/>
      <c r="BD1120" s="4"/>
      <c r="BE1120" s="4"/>
      <c r="BF1120" s="4"/>
      <c r="BG1120" s="4"/>
      <c r="BH1120" s="4"/>
      <c r="BI1120" s="4"/>
      <c r="BJ1120" s="4"/>
      <c r="BK1120" s="4"/>
      <c r="BL1120" s="4"/>
      <c r="BM1120" s="4"/>
      <c r="BN1120" s="4"/>
      <c r="BO1120" s="4"/>
      <c r="BP1120" s="4"/>
      <c r="BQ1120" s="4"/>
      <c r="BR1120" s="4"/>
      <c r="BS1120" s="4"/>
      <c r="BT1120" s="4"/>
      <c r="BU1120" s="4"/>
      <c r="BV1120" s="4"/>
      <c r="BW1120" s="4"/>
      <c r="BX1120" s="4"/>
      <c r="BY1120" s="4"/>
      <c r="BZ1120" s="4"/>
      <c r="CA1120" s="4"/>
      <c r="CB1120" s="4"/>
      <c r="CC1120" s="4"/>
      <c r="CD1120" s="4"/>
      <c r="CE1120" s="4"/>
      <c r="CF1120" s="4"/>
      <c r="CG1120" s="4"/>
      <c r="CH1120" s="4"/>
      <c r="CI1120" s="4"/>
      <c r="CJ1120" s="4"/>
      <c r="CK1120" s="4"/>
      <c r="CL1120" s="4"/>
      <c r="CM1120" s="4"/>
      <c r="CN1120" s="4"/>
      <c r="CO1120" s="4"/>
      <c r="CP1120" s="4"/>
      <c r="CQ1120" s="4"/>
      <c r="CR1120" s="4"/>
      <c r="CS1120" s="4"/>
      <c r="CT1120" s="4"/>
      <c r="CU1120" s="4"/>
      <c r="CV1120" s="4"/>
      <c r="CW1120" s="4"/>
      <c r="CX1120" s="4"/>
      <c r="CY1120" s="4"/>
      <c r="CZ1120" s="4"/>
      <c r="DA1120" s="4"/>
      <c r="DB1120" s="4"/>
      <c r="DC1120" s="4"/>
      <c r="DD1120" s="4"/>
      <c r="DE1120" s="4"/>
      <c r="DF1120" s="4"/>
      <c r="DG1120" s="4"/>
      <c r="DH1120" s="4"/>
      <c r="DI1120" s="4"/>
      <c r="DJ1120" s="4"/>
      <c r="DK1120" s="4"/>
      <c r="DL1120" s="4"/>
      <c r="DM1120" s="4"/>
      <c r="DN1120" s="4"/>
      <c r="DO1120" s="4"/>
      <c r="DP1120" s="4"/>
      <c r="DQ1120" s="4"/>
      <c r="DR1120" s="4"/>
      <c r="DS1120" s="4"/>
    </row>
    <row r="1121">
      <c r="A1121" s="9">
        <f>IFERROR(__xludf.DUMMYFUNCTION("""COMPUTED_VALUE"""),45771.0)</f>
        <v>45771</v>
      </c>
      <c r="B1121" s="6" t="str">
        <f>IFERROR(__xludf.DUMMYFUNCTION("""COMPUTED_VALUE"""),"Education")</f>
        <v>Education</v>
      </c>
      <c r="C1121" s="7">
        <f>IFERROR(__xludf.DUMMYFUNCTION("""COMPUTED_VALUE"""),20000.0)</f>
        <v>20000</v>
      </c>
      <c r="D1121" s="6" t="str">
        <f>IFERROR(__xludf.DUMMYFUNCTION("""COMPUTED_VALUE"""),"Education")</f>
        <v>Education</v>
      </c>
      <c r="E1121" s="6" t="str">
        <f>IFERROR(__xludf.DUMMYFUNCTION("""COMPUTED_VALUE"""),"Credit Card")</f>
        <v>Credit Card</v>
      </c>
      <c r="F1121" s="6" t="s">
        <v>11</v>
      </c>
      <c r="G1121" s="8" t="str">
        <f t="shared" si="1"/>
        <v>202504</v>
      </c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  <c r="AM1121" s="4"/>
      <c r="AN1121" s="4"/>
      <c r="AO1121" s="4"/>
      <c r="AP1121" s="4"/>
      <c r="AQ1121" s="4"/>
      <c r="AR1121" s="4"/>
      <c r="AS1121" s="4"/>
      <c r="AT1121" s="4"/>
      <c r="AU1121" s="4"/>
      <c r="AV1121" s="4"/>
      <c r="AW1121" s="4"/>
      <c r="AX1121" s="4"/>
      <c r="AY1121" s="4"/>
      <c r="AZ1121" s="4"/>
      <c r="BA1121" s="4"/>
      <c r="BB1121" s="4"/>
      <c r="BC1121" s="4"/>
      <c r="BD1121" s="4"/>
      <c r="BE1121" s="4"/>
      <c r="BF1121" s="4"/>
      <c r="BG1121" s="4"/>
      <c r="BH1121" s="4"/>
      <c r="BI1121" s="4"/>
      <c r="BJ1121" s="4"/>
      <c r="BK1121" s="4"/>
      <c r="BL1121" s="4"/>
      <c r="BM1121" s="4"/>
      <c r="BN1121" s="4"/>
      <c r="BO1121" s="4"/>
      <c r="BP1121" s="4"/>
      <c r="BQ1121" s="4"/>
      <c r="BR1121" s="4"/>
      <c r="BS1121" s="4"/>
      <c r="BT1121" s="4"/>
      <c r="BU1121" s="4"/>
      <c r="BV1121" s="4"/>
      <c r="BW1121" s="4"/>
      <c r="BX1121" s="4"/>
      <c r="BY1121" s="4"/>
      <c r="BZ1121" s="4"/>
      <c r="CA1121" s="4"/>
      <c r="CB1121" s="4"/>
      <c r="CC1121" s="4"/>
      <c r="CD1121" s="4"/>
      <c r="CE1121" s="4"/>
      <c r="CF1121" s="4"/>
      <c r="CG1121" s="4"/>
      <c r="CH1121" s="4"/>
      <c r="CI1121" s="4"/>
      <c r="CJ1121" s="4"/>
      <c r="CK1121" s="4"/>
      <c r="CL1121" s="4"/>
      <c r="CM1121" s="4"/>
      <c r="CN1121" s="4"/>
      <c r="CO1121" s="4"/>
      <c r="CP1121" s="4"/>
      <c r="CQ1121" s="4"/>
      <c r="CR1121" s="4"/>
      <c r="CS1121" s="4"/>
      <c r="CT1121" s="4"/>
      <c r="CU1121" s="4"/>
      <c r="CV1121" s="4"/>
      <c r="CW1121" s="4"/>
      <c r="CX1121" s="4"/>
      <c r="CY1121" s="4"/>
      <c r="CZ1121" s="4"/>
      <c r="DA1121" s="4"/>
      <c r="DB1121" s="4"/>
      <c r="DC1121" s="4"/>
      <c r="DD1121" s="4"/>
      <c r="DE1121" s="4"/>
      <c r="DF1121" s="4"/>
      <c r="DG1121" s="4"/>
      <c r="DH1121" s="4"/>
      <c r="DI1121" s="4"/>
      <c r="DJ1121" s="4"/>
      <c r="DK1121" s="4"/>
      <c r="DL1121" s="4"/>
      <c r="DM1121" s="4"/>
      <c r="DN1121" s="4"/>
      <c r="DO1121" s="4"/>
      <c r="DP1121" s="4"/>
      <c r="DQ1121" s="4"/>
      <c r="DR1121" s="4"/>
      <c r="DS1121" s="4"/>
    </row>
    <row r="1122">
      <c r="A1122" s="9">
        <f>IFERROR(__xludf.DUMMYFUNCTION("""COMPUTED_VALUE"""),45771.0)</f>
        <v>45771</v>
      </c>
      <c r="B1122" s="6" t="str">
        <f>IFERROR(__xludf.DUMMYFUNCTION("""COMPUTED_VALUE"""),"Groceries")</f>
        <v>Groceries</v>
      </c>
      <c r="C1122" s="7">
        <f>IFERROR(__xludf.DUMMYFUNCTION("""COMPUTED_VALUE"""),9474.0)</f>
        <v>9474</v>
      </c>
      <c r="D1122" s="6" t="str">
        <f>IFERROR(__xludf.DUMMYFUNCTION("""COMPUTED_VALUE"""),"Groceries")</f>
        <v>Groceries</v>
      </c>
      <c r="E1122" s="6" t="str">
        <f>IFERROR(__xludf.DUMMYFUNCTION("""COMPUTED_VALUE"""),"Split Payment")</f>
        <v>Split Payment</v>
      </c>
      <c r="F1122" s="6" t="s">
        <v>7</v>
      </c>
      <c r="G1122" s="8" t="str">
        <f t="shared" si="1"/>
        <v>202504</v>
      </c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  <c r="AH1122" s="4"/>
      <c r="AI1122" s="4"/>
      <c r="AJ1122" s="4"/>
      <c r="AK1122" s="4"/>
      <c r="AL1122" s="4"/>
      <c r="AM1122" s="4"/>
      <c r="AN1122" s="4"/>
      <c r="AO1122" s="4"/>
      <c r="AP1122" s="4"/>
      <c r="AQ1122" s="4"/>
      <c r="AR1122" s="4"/>
      <c r="AS1122" s="4"/>
      <c r="AT1122" s="4"/>
      <c r="AU1122" s="4"/>
      <c r="AV1122" s="4"/>
      <c r="AW1122" s="4"/>
      <c r="AX1122" s="4"/>
      <c r="AY1122" s="4"/>
      <c r="AZ1122" s="4"/>
      <c r="BA1122" s="4"/>
      <c r="BB1122" s="4"/>
      <c r="BC1122" s="4"/>
      <c r="BD1122" s="4"/>
      <c r="BE1122" s="4"/>
      <c r="BF1122" s="4"/>
      <c r="BG1122" s="4"/>
      <c r="BH1122" s="4"/>
      <c r="BI1122" s="4"/>
      <c r="BJ1122" s="4"/>
      <c r="BK1122" s="4"/>
      <c r="BL1122" s="4"/>
      <c r="BM1122" s="4"/>
      <c r="BN1122" s="4"/>
      <c r="BO1122" s="4"/>
      <c r="BP1122" s="4"/>
      <c r="BQ1122" s="4"/>
      <c r="BR1122" s="4"/>
      <c r="BS1122" s="4"/>
      <c r="BT1122" s="4"/>
      <c r="BU1122" s="4"/>
      <c r="BV1122" s="4"/>
      <c r="BW1122" s="4"/>
      <c r="BX1122" s="4"/>
      <c r="BY1122" s="4"/>
      <c r="BZ1122" s="4"/>
      <c r="CA1122" s="4"/>
      <c r="CB1122" s="4"/>
      <c r="CC1122" s="4"/>
      <c r="CD1122" s="4"/>
      <c r="CE1122" s="4"/>
      <c r="CF1122" s="4"/>
      <c r="CG1122" s="4"/>
      <c r="CH1122" s="4"/>
      <c r="CI1122" s="4"/>
      <c r="CJ1122" s="4"/>
      <c r="CK1122" s="4"/>
      <c r="CL1122" s="4"/>
      <c r="CM1122" s="4"/>
      <c r="CN1122" s="4"/>
      <c r="CO1122" s="4"/>
      <c r="CP1122" s="4"/>
      <c r="CQ1122" s="4"/>
      <c r="CR1122" s="4"/>
      <c r="CS1122" s="4"/>
      <c r="CT1122" s="4"/>
      <c r="CU1122" s="4"/>
      <c r="CV1122" s="4"/>
      <c r="CW1122" s="4"/>
      <c r="CX1122" s="4"/>
      <c r="CY1122" s="4"/>
      <c r="CZ1122" s="4"/>
      <c r="DA1122" s="4"/>
      <c r="DB1122" s="4"/>
      <c r="DC1122" s="4"/>
      <c r="DD1122" s="4"/>
      <c r="DE1122" s="4"/>
      <c r="DF1122" s="4"/>
      <c r="DG1122" s="4"/>
      <c r="DH1122" s="4"/>
      <c r="DI1122" s="4"/>
      <c r="DJ1122" s="4"/>
      <c r="DK1122" s="4"/>
      <c r="DL1122" s="4"/>
      <c r="DM1122" s="4"/>
      <c r="DN1122" s="4"/>
      <c r="DO1122" s="4"/>
      <c r="DP1122" s="4"/>
      <c r="DQ1122" s="4"/>
      <c r="DR1122" s="4"/>
      <c r="DS1122" s="4"/>
    </row>
    <row r="1123">
      <c r="A1123" s="9">
        <f>IFERROR(__xludf.DUMMYFUNCTION("""COMPUTED_VALUE"""),45771.0)</f>
        <v>45771</v>
      </c>
      <c r="B1123" s="6" t="str">
        <f>IFERROR(__xludf.DUMMYFUNCTION("""COMPUTED_VALUE"""),"Pets")</f>
        <v>Pets</v>
      </c>
      <c r="C1123" s="7">
        <f>IFERROR(__xludf.DUMMYFUNCTION("""COMPUTED_VALUE"""),19500.0)</f>
        <v>19500</v>
      </c>
      <c r="D1123" s="6" t="str">
        <f>IFERROR(__xludf.DUMMYFUNCTION("""COMPUTED_VALUE"""),"Pets")</f>
        <v>Pets</v>
      </c>
      <c r="E1123" s="6" t="str">
        <f>IFERROR(__xludf.DUMMYFUNCTION("""COMPUTED_VALUE"""),"Split Payment")</f>
        <v>Split Payment</v>
      </c>
      <c r="F1123" s="6" t="s">
        <v>7</v>
      </c>
      <c r="G1123" s="8" t="str">
        <f t="shared" si="1"/>
        <v>202504</v>
      </c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  <c r="AM1123" s="4"/>
      <c r="AN1123" s="4"/>
      <c r="AO1123" s="4"/>
      <c r="AP1123" s="4"/>
      <c r="AQ1123" s="4"/>
      <c r="AR1123" s="4"/>
      <c r="AS1123" s="4"/>
      <c r="AT1123" s="4"/>
      <c r="AU1123" s="4"/>
      <c r="AV1123" s="4"/>
      <c r="AW1123" s="4"/>
      <c r="AX1123" s="4"/>
      <c r="AY1123" s="4"/>
      <c r="AZ1123" s="4"/>
      <c r="BA1123" s="4"/>
      <c r="BB1123" s="4"/>
      <c r="BC1123" s="4"/>
      <c r="BD1123" s="4"/>
      <c r="BE1123" s="4"/>
      <c r="BF1123" s="4"/>
      <c r="BG1123" s="4"/>
      <c r="BH1123" s="4"/>
      <c r="BI1123" s="4"/>
      <c r="BJ1123" s="4"/>
      <c r="BK1123" s="4"/>
      <c r="BL1123" s="4"/>
      <c r="BM1123" s="4"/>
      <c r="BN1123" s="4"/>
      <c r="BO1123" s="4"/>
      <c r="BP1123" s="4"/>
      <c r="BQ1123" s="4"/>
      <c r="BR1123" s="4"/>
      <c r="BS1123" s="4"/>
      <c r="BT1123" s="4"/>
      <c r="BU1123" s="4"/>
      <c r="BV1123" s="4"/>
      <c r="BW1123" s="4"/>
      <c r="BX1123" s="4"/>
      <c r="BY1123" s="4"/>
      <c r="BZ1123" s="4"/>
      <c r="CA1123" s="4"/>
      <c r="CB1123" s="4"/>
      <c r="CC1123" s="4"/>
      <c r="CD1123" s="4"/>
      <c r="CE1123" s="4"/>
      <c r="CF1123" s="4"/>
      <c r="CG1123" s="4"/>
      <c r="CH1123" s="4"/>
      <c r="CI1123" s="4"/>
      <c r="CJ1123" s="4"/>
      <c r="CK1123" s="4"/>
      <c r="CL1123" s="4"/>
      <c r="CM1123" s="4"/>
      <c r="CN1123" s="4"/>
      <c r="CO1123" s="4"/>
      <c r="CP1123" s="4"/>
      <c r="CQ1123" s="4"/>
      <c r="CR1123" s="4"/>
      <c r="CS1123" s="4"/>
      <c r="CT1123" s="4"/>
      <c r="CU1123" s="4"/>
      <c r="CV1123" s="4"/>
      <c r="CW1123" s="4"/>
      <c r="CX1123" s="4"/>
      <c r="CY1123" s="4"/>
      <c r="CZ1123" s="4"/>
      <c r="DA1123" s="4"/>
      <c r="DB1123" s="4"/>
      <c r="DC1123" s="4"/>
      <c r="DD1123" s="4"/>
      <c r="DE1123" s="4"/>
      <c r="DF1123" s="4"/>
      <c r="DG1123" s="4"/>
      <c r="DH1123" s="4"/>
      <c r="DI1123" s="4"/>
      <c r="DJ1123" s="4"/>
      <c r="DK1123" s="4"/>
      <c r="DL1123" s="4"/>
      <c r="DM1123" s="4"/>
      <c r="DN1123" s="4"/>
      <c r="DO1123" s="4"/>
      <c r="DP1123" s="4"/>
      <c r="DQ1123" s="4"/>
      <c r="DR1123" s="4"/>
      <c r="DS1123" s="4"/>
    </row>
    <row r="1124">
      <c r="A1124" s="9">
        <f>IFERROR(__xludf.DUMMYFUNCTION("""COMPUTED_VALUE"""),45771.0)</f>
        <v>45771</v>
      </c>
      <c r="B1124" s="6" t="str">
        <f>IFERROR(__xludf.DUMMYFUNCTION("""COMPUTED_VALUE"""),"Restaurant")</f>
        <v>Restaurant</v>
      </c>
      <c r="C1124" s="7">
        <f>IFERROR(__xludf.DUMMYFUNCTION("""COMPUTED_VALUE"""),12400.0)</f>
        <v>12400</v>
      </c>
      <c r="D1124" s="6" t="str">
        <f>IFERROR(__xludf.DUMMYFUNCTION("""COMPUTED_VALUE"""),"Restaurant / Café")</f>
        <v>Restaurant / Café</v>
      </c>
      <c r="E1124" s="6" t="str">
        <f>IFERROR(__xludf.DUMMYFUNCTION("""COMPUTED_VALUE"""),"Virtual Wallet")</f>
        <v>Virtual Wallet</v>
      </c>
      <c r="F1124" s="6" t="s">
        <v>14</v>
      </c>
      <c r="G1124" s="8" t="str">
        <f t="shared" si="1"/>
        <v>202504</v>
      </c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  <c r="AN1124" s="4"/>
      <c r="AO1124" s="4"/>
      <c r="AP1124" s="4"/>
      <c r="AQ1124" s="4"/>
      <c r="AR1124" s="4"/>
      <c r="AS1124" s="4"/>
      <c r="AT1124" s="4"/>
      <c r="AU1124" s="4"/>
      <c r="AV1124" s="4"/>
      <c r="AW1124" s="4"/>
      <c r="AX1124" s="4"/>
      <c r="AY1124" s="4"/>
      <c r="AZ1124" s="4"/>
      <c r="BA1124" s="4"/>
      <c r="BB1124" s="4"/>
      <c r="BC1124" s="4"/>
      <c r="BD1124" s="4"/>
      <c r="BE1124" s="4"/>
      <c r="BF1124" s="4"/>
      <c r="BG1124" s="4"/>
      <c r="BH1124" s="4"/>
      <c r="BI1124" s="4"/>
      <c r="BJ1124" s="4"/>
      <c r="BK1124" s="4"/>
      <c r="BL1124" s="4"/>
      <c r="BM1124" s="4"/>
      <c r="BN1124" s="4"/>
      <c r="BO1124" s="4"/>
      <c r="BP1124" s="4"/>
      <c r="BQ1124" s="4"/>
      <c r="BR1124" s="4"/>
      <c r="BS1124" s="4"/>
      <c r="BT1124" s="4"/>
      <c r="BU1124" s="4"/>
      <c r="BV1124" s="4"/>
      <c r="BW1124" s="4"/>
      <c r="BX1124" s="4"/>
      <c r="BY1124" s="4"/>
      <c r="BZ1124" s="4"/>
      <c r="CA1124" s="4"/>
      <c r="CB1124" s="4"/>
      <c r="CC1124" s="4"/>
      <c r="CD1124" s="4"/>
      <c r="CE1124" s="4"/>
      <c r="CF1124" s="4"/>
      <c r="CG1124" s="4"/>
      <c r="CH1124" s="4"/>
      <c r="CI1124" s="4"/>
      <c r="CJ1124" s="4"/>
      <c r="CK1124" s="4"/>
      <c r="CL1124" s="4"/>
      <c r="CM1124" s="4"/>
      <c r="CN1124" s="4"/>
      <c r="CO1124" s="4"/>
      <c r="CP1124" s="4"/>
      <c r="CQ1124" s="4"/>
      <c r="CR1124" s="4"/>
      <c r="CS1124" s="4"/>
      <c r="CT1124" s="4"/>
      <c r="CU1124" s="4"/>
      <c r="CV1124" s="4"/>
      <c r="CW1124" s="4"/>
      <c r="CX1124" s="4"/>
      <c r="CY1124" s="4"/>
      <c r="CZ1124" s="4"/>
      <c r="DA1124" s="4"/>
      <c r="DB1124" s="4"/>
      <c r="DC1124" s="4"/>
      <c r="DD1124" s="4"/>
      <c r="DE1124" s="4"/>
      <c r="DF1124" s="4"/>
      <c r="DG1124" s="4"/>
      <c r="DH1124" s="4"/>
      <c r="DI1124" s="4"/>
      <c r="DJ1124" s="4"/>
      <c r="DK1124" s="4"/>
      <c r="DL1124" s="4"/>
      <c r="DM1124" s="4"/>
      <c r="DN1124" s="4"/>
      <c r="DO1124" s="4"/>
      <c r="DP1124" s="4"/>
      <c r="DQ1124" s="4"/>
      <c r="DR1124" s="4"/>
      <c r="DS1124" s="4"/>
    </row>
    <row r="1125">
      <c r="A1125" s="9">
        <f>IFERROR(__xludf.DUMMYFUNCTION("""COMPUTED_VALUE"""),45772.0)</f>
        <v>45772</v>
      </c>
      <c r="B1125" s="6" t="str">
        <f>IFERROR(__xludf.DUMMYFUNCTION("""COMPUTED_VALUE"""),"Streaming Services")</f>
        <v>Streaming Services</v>
      </c>
      <c r="C1125" s="7">
        <f>IFERROR(__xludf.DUMMYFUNCTION("""COMPUTED_VALUE"""),10699.0)</f>
        <v>10699</v>
      </c>
      <c r="D1125" s="6" t="str">
        <f>IFERROR(__xludf.DUMMYFUNCTION("""COMPUTED_VALUE"""),"Streaming Services")</f>
        <v>Streaming Services</v>
      </c>
      <c r="E1125" s="6" t="str">
        <f>IFERROR(__xludf.DUMMYFUNCTION("""COMPUTED_VALUE"""),"Credit Card")</f>
        <v>Credit Card</v>
      </c>
      <c r="F1125" s="6" t="s">
        <v>12</v>
      </c>
      <c r="G1125" s="8" t="str">
        <f t="shared" si="1"/>
        <v>202504</v>
      </c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  <c r="AM1125" s="4"/>
      <c r="AN1125" s="4"/>
      <c r="AO1125" s="4"/>
      <c r="AP1125" s="4"/>
      <c r="AQ1125" s="4"/>
      <c r="AR1125" s="4"/>
      <c r="AS1125" s="4"/>
      <c r="AT1125" s="4"/>
      <c r="AU1125" s="4"/>
      <c r="AV1125" s="4"/>
      <c r="AW1125" s="4"/>
      <c r="AX1125" s="4"/>
      <c r="AY1125" s="4"/>
      <c r="AZ1125" s="4"/>
      <c r="BA1125" s="4"/>
      <c r="BB1125" s="4"/>
      <c r="BC1125" s="4"/>
      <c r="BD1125" s="4"/>
      <c r="BE1125" s="4"/>
      <c r="BF1125" s="4"/>
      <c r="BG1125" s="4"/>
      <c r="BH1125" s="4"/>
      <c r="BI1125" s="4"/>
      <c r="BJ1125" s="4"/>
      <c r="BK1125" s="4"/>
      <c r="BL1125" s="4"/>
      <c r="BM1125" s="4"/>
      <c r="BN1125" s="4"/>
      <c r="BO1125" s="4"/>
      <c r="BP1125" s="4"/>
      <c r="BQ1125" s="4"/>
      <c r="BR1125" s="4"/>
      <c r="BS1125" s="4"/>
      <c r="BT1125" s="4"/>
      <c r="BU1125" s="4"/>
      <c r="BV1125" s="4"/>
      <c r="BW1125" s="4"/>
      <c r="BX1125" s="4"/>
      <c r="BY1125" s="4"/>
      <c r="BZ1125" s="4"/>
      <c r="CA1125" s="4"/>
      <c r="CB1125" s="4"/>
      <c r="CC1125" s="4"/>
      <c r="CD1125" s="4"/>
      <c r="CE1125" s="4"/>
      <c r="CF1125" s="4"/>
      <c r="CG1125" s="4"/>
      <c r="CH1125" s="4"/>
      <c r="CI1125" s="4"/>
      <c r="CJ1125" s="4"/>
      <c r="CK1125" s="4"/>
      <c r="CL1125" s="4"/>
      <c r="CM1125" s="4"/>
      <c r="CN1125" s="4"/>
      <c r="CO1125" s="4"/>
      <c r="CP1125" s="4"/>
      <c r="CQ1125" s="4"/>
      <c r="CR1125" s="4"/>
      <c r="CS1125" s="4"/>
      <c r="CT1125" s="4"/>
      <c r="CU1125" s="4"/>
      <c r="CV1125" s="4"/>
      <c r="CW1125" s="4"/>
      <c r="CX1125" s="4"/>
      <c r="CY1125" s="4"/>
      <c r="CZ1125" s="4"/>
      <c r="DA1125" s="4"/>
      <c r="DB1125" s="4"/>
      <c r="DC1125" s="4"/>
      <c r="DD1125" s="4"/>
      <c r="DE1125" s="4"/>
      <c r="DF1125" s="4"/>
      <c r="DG1125" s="4"/>
      <c r="DH1125" s="4"/>
      <c r="DI1125" s="4"/>
      <c r="DJ1125" s="4"/>
      <c r="DK1125" s="4"/>
      <c r="DL1125" s="4"/>
      <c r="DM1125" s="4"/>
      <c r="DN1125" s="4"/>
      <c r="DO1125" s="4"/>
      <c r="DP1125" s="4"/>
      <c r="DQ1125" s="4"/>
      <c r="DR1125" s="4"/>
      <c r="DS1125" s="4"/>
    </row>
    <row r="1126">
      <c r="A1126" s="9">
        <f>IFERROR(__xludf.DUMMYFUNCTION("""COMPUTED_VALUE"""),45772.0)</f>
        <v>45772</v>
      </c>
      <c r="B1126" s="6" t="str">
        <f>IFERROR(__xludf.DUMMYFUNCTION("""COMPUTED_VALUE"""),"Electricity Bill (Edesur)")</f>
        <v>Electricity Bill (Edesur)</v>
      </c>
      <c r="C1126" s="7">
        <f>IFERROR(__xludf.DUMMYFUNCTION("""COMPUTED_VALUE"""),16247.0)</f>
        <v>16247</v>
      </c>
      <c r="D1126" s="6" t="str">
        <f>IFERROR(__xludf.DUMMYFUNCTION("""COMPUTED_VALUE"""),"Basic Services")</f>
        <v>Basic Services</v>
      </c>
      <c r="E1126" s="6" t="str">
        <f>IFERROR(__xludf.DUMMYFUNCTION("""COMPUTED_VALUE"""),"Split Payment")</f>
        <v>Split Payment</v>
      </c>
      <c r="F1126" s="6" t="s">
        <v>13</v>
      </c>
      <c r="G1126" s="8" t="str">
        <f t="shared" si="1"/>
        <v>202504</v>
      </c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  <c r="AM1126" s="4"/>
      <c r="AN1126" s="4"/>
      <c r="AO1126" s="4"/>
      <c r="AP1126" s="4"/>
      <c r="AQ1126" s="4"/>
      <c r="AR1126" s="4"/>
      <c r="AS1126" s="4"/>
      <c r="AT1126" s="4"/>
      <c r="AU1126" s="4"/>
      <c r="AV1126" s="4"/>
      <c r="AW1126" s="4"/>
      <c r="AX1126" s="4"/>
      <c r="AY1126" s="4"/>
      <c r="AZ1126" s="4"/>
      <c r="BA1126" s="4"/>
      <c r="BB1126" s="4"/>
      <c r="BC1126" s="4"/>
      <c r="BD1126" s="4"/>
      <c r="BE1126" s="4"/>
      <c r="BF1126" s="4"/>
      <c r="BG1126" s="4"/>
      <c r="BH1126" s="4"/>
      <c r="BI1126" s="4"/>
      <c r="BJ1126" s="4"/>
      <c r="BK1126" s="4"/>
      <c r="BL1126" s="4"/>
      <c r="BM1126" s="4"/>
      <c r="BN1126" s="4"/>
      <c r="BO1126" s="4"/>
      <c r="BP1126" s="4"/>
      <c r="BQ1126" s="4"/>
      <c r="BR1126" s="4"/>
      <c r="BS1126" s="4"/>
      <c r="BT1126" s="4"/>
      <c r="BU1126" s="4"/>
      <c r="BV1126" s="4"/>
      <c r="BW1126" s="4"/>
      <c r="BX1126" s="4"/>
      <c r="BY1126" s="4"/>
      <c r="BZ1126" s="4"/>
      <c r="CA1126" s="4"/>
      <c r="CB1126" s="4"/>
      <c r="CC1126" s="4"/>
      <c r="CD1126" s="4"/>
      <c r="CE1126" s="4"/>
      <c r="CF1126" s="4"/>
      <c r="CG1126" s="4"/>
      <c r="CH1126" s="4"/>
      <c r="CI1126" s="4"/>
      <c r="CJ1126" s="4"/>
      <c r="CK1126" s="4"/>
      <c r="CL1126" s="4"/>
      <c r="CM1126" s="4"/>
      <c r="CN1126" s="4"/>
      <c r="CO1126" s="4"/>
      <c r="CP1126" s="4"/>
      <c r="CQ1126" s="4"/>
      <c r="CR1126" s="4"/>
      <c r="CS1126" s="4"/>
      <c r="CT1126" s="4"/>
      <c r="CU1126" s="4"/>
      <c r="CV1126" s="4"/>
      <c r="CW1126" s="4"/>
      <c r="CX1126" s="4"/>
      <c r="CY1126" s="4"/>
      <c r="CZ1126" s="4"/>
      <c r="DA1126" s="4"/>
      <c r="DB1126" s="4"/>
      <c r="DC1126" s="4"/>
      <c r="DD1126" s="4"/>
      <c r="DE1126" s="4"/>
      <c r="DF1126" s="4"/>
      <c r="DG1126" s="4"/>
      <c r="DH1126" s="4"/>
      <c r="DI1126" s="4"/>
      <c r="DJ1126" s="4"/>
      <c r="DK1126" s="4"/>
      <c r="DL1126" s="4"/>
      <c r="DM1126" s="4"/>
      <c r="DN1126" s="4"/>
      <c r="DO1126" s="4"/>
      <c r="DP1126" s="4"/>
      <c r="DQ1126" s="4"/>
      <c r="DR1126" s="4"/>
      <c r="DS1126" s="4"/>
    </row>
    <row r="1127">
      <c r="A1127" s="9">
        <f>IFERROR(__xludf.DUMMYFUNCTION("""COMPUTED_VALUE"""),45772.0)</f>
        <v>45772</v>
      </c>
      <c r="B1127" s="6" t="str">
        <f>IFERROR(__xludf.DUMMYFUNCTION("""COMPUTED_VALUE"""),"Groceries")</f>
        <v>Groceries</v>
      </c>
      <c r="C1127" s="7">
        <f>IFERROR(__xludf.DUMMYFUNCTION("""COMPUTED_VALUE"""),15535.0)</f>
        <v>15535</v>
      </c>
      <c r="D1127" s="6" t="str">
        <f>IFERROR(__xludf.DUMMYFUNCTION("""COMPUTED_VALUE"""),"Groceries")</f>
        <v>Groceries</v>
      </c>
      <c r="E1127" s="6" t="str">
        <f>IFERROR(__xludf.DUMMYFUNCTION("""COMPUTED_VALUE"""),"Split Payment")</f>
        <v>Split Payment</v>
      </c>
      <c r="F1127" s="6" t="s">
        <v>7</v>
      </c>
      <c r="G1127" s="8" t="str">
        <f t="shared" si="1"/>
        <v>202504</v>
      </c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  <c r="AM1127" s="4"/>
      <c r="AN1127" s="4"/>
      <c r="AO1127" s="4"/>
      <c r="AP1127" s="4"/>
      <c r="AQ1127" s="4"/>
      <c r="AR1127" s="4"/>
      <c r="AS1127" s="4"/>
      <c r="AT1127" s="4"/>
      <c r="AU1127" s="4"/>
      <c r="AV1127" s="4"/>
      <c r="AW1127" s="4"/>
      <c r="AX1127" s="4"/>
      <c r="AY1127" s="4"/>
      <c r="AZ1127" s="4"/>
      <c r="BA1127" s="4"/>
      <c r="BB1127" s="4"/>
      <c r="BC1127" s="4"/>
      <c r="BD1127" s="4"/>
      <c r="BE1127" s="4"/>
      <c r="BF1127" s="4"/>
      <c r="BG1127" s="4"/>
      <c r="BH1127" s="4"/>
      <c r="BI1127" s="4"/>
      <c r="BJ1127" s="4"/>
      <c r="BK1127" s="4"/>
      <c r="BL1127" s="4"/>
      <c r="BM1127" s="4"/>
      <c r="BN1127" s="4"/>
      <c r="BO1127" s="4"/>
      <c r="BP1127" s="4"/>
      <c r="BQ1127" s="4"/>
      <c r="BR1127" s="4"/>
      <c r="BS1127" s="4"/>
      <c r="BT1127" s="4"/>
      <c r="BU1127" s="4"/>
      <c r="BV1127" s="4"/>
      <c r="BW1127" s="4"/>
      <c r="BX1127" s="4"/>
      <c r="BY1127" s="4"/>
      <c r="BZ1127" s="4"/>
      <c r="CA1127" s="4"/>
      <c r="CB1127" s="4"/>
      <c r="CC1127" s="4"/>
      <c r="CD1127" s="4"/>
      <c r="CE1127" s="4"/>
      <c r="CF1127" s="4"/>
      <c r="CG1127" s="4"/>
      <c r="CH1127" s="4"/>
      <c r="CI1127" s="4"/>
      <c r="CJ1127" s="4"/>
      <c r="CK1127" s="4"/>
      <c r="CL1127" s="4"/>
      <c r="CM1127" s="4"/>
      <c r="CN1127" s="4"/>
      <c r="CO1127" s="4"/>
      <c r="CP1127" s="4"/>
      <c r="CQ1127" s="4"/>
      <c r="CR1127" s="4"/>
      <c r="CS1127" s="4"/>
      <c r="CT1127" s="4"/>
      <c r="CU1127" s="4"/>
      <c r="CV1127" s="4"/>
      <c r="CW1127" s="4"/>
      <c r="CX1127" s="4"/>
      <c r="CY1127" s="4"/>
      <c r="CZ1127" s="4"/>
      <c r="DA1127" s="4"/>
      <c r="DB1127" s="4"/>
      <c r="DC1127" s="4"/>
      <c r="DD1127" s="4"/>
      <c r="DE1127" s="4"/>
      <c r="DF1127" s="4"/>
      <c r="DG1127" s="4"/>
      <c r="DH1127" s="4"/>
      <c r="DI1127" s="4"/>
      <c r="DJ1127" s="4"/>
      <c r="DK1127" s="4"/>
      <c r="DL1127" s="4"/>
      <c r="DM1127" s="4"/>
      <c r="DN1127" s="4"/>
      <c r="DO1127" s="4"/>
      <c r="DP1127" s="4"/>
      <c r="DQ1127" s="4"/>
      <c r="DR1127" s="4"/>
      <c r="DS1127" s="4"/>
    </row>
    <row r="1128">
      <c r="A1128" s="9">
        <f>IFERROR(__xludf.DUMMYFUNCTION("""COMPUTED_VALUE"""),45772.0)</f>
        <v>45772</v>
      </c>
      <c r="B1128" s="6" t="str">
        <f>IFERROR(__xludf.DUMMYFUNCTION("""COMPUTED_VALUE"""),"Groceries")</f>
        <v>Groceries</v>
      </c>
      <c r="C1128" s="7">
        <f>IFERROR(__xludf.DUMMYFUNCTION("""COMPUTED_VALUE"""),1250.0)</f>
        <v>1250</v>
      </c>
      <c r="D1128" s="6" t="str">
        <f>IFERROR(__xludf.DUMMYFUNCTION("""COMPUTED_VALUE"""),"Groceries")</f>
        <v>Groceries</v>
      </c>
      <c r="E1128" s="6" t="str">
        <f>IFERROR(__xludf.DUMMYFUNCTION("""COMPUTED_VALUE"""),"Split Payment")</f>
        <v>Split Payment</v>
      </c>
      <c r="F1128" s="6" t="s">
        <v>7</v>
      </c>
      <c r="G1128" s="8" t="str">
        <f t="shared" si="1"/>
        <v>202504</v>
      </c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  <c r="AM1128" s="4"/>
      <c r="AN1128" s="4"/>
      <c r="AO1128" s="4"/>
      <c r="AP1128" s="4"/>
      <c r="AQ1128" s="4"/>
      <c r="AR1128" s="4"/>
      <c r="AS1128" s="4"/>
      <c r="AT1128" s="4"/>
      <c r="AU1128" s="4"/>
      <c r="AV1128" s="4"/>
      <c r="AW1128" s="4"/>
      <c r="AX1128" s="4"/>
      <c r="AY1128" s="4"/>
      <c r="AZ1128" s="4"/>
      <c r="BA1128" s="4"/>
      <c r="BB1128" s="4"/>
      <c r="BC1128" s="4"/>
      <c r="BD1128" s="4"/>
      <c r="BE1128" s="4"/>
      <c r="BF1128" s="4"/>
      <c r="BG1128" s="4"/>
      <c r="BH1128" s="4"/>
      <c r="BI1128" s="4"/>
      <c r="BJ1128" s="4"/>
      <c r="BK1128" s="4"/>
      <c r="BL1128" s="4"/>
      <c r="BM1128" s="4"/>
      <c r="BN1128" s="4"/>
      <c r="BO1128" s="4"/>
      <c r="BP1128" s="4"/>
      <c r="BQ1128" s="4"/>
      <c r="BR1128" s="4"/>
      <c r="BS1128" s="4"/>
      <c r="BT1128" s="4"/>
      <c r="BU1128" s="4"/>
      <c r="BV1128" s="4"/>
      <c r="BW1128" s="4"/>
      <c r="BX1128" s="4"/>
      <c r="BY1128" s="4"/>
      <c r="BZ1128" s="4"/>
      <c r="CA1128" s="4"/>
      <c r="CB1128" s="4"/>
      <c r="CC1128" s="4"/>
      <c r="CD1128" s="4"/>
      <c r="CE1128" s="4"/>
      <c r="CF1128" s="4"/>
      <c r="CG1128" s="4"/>
      <c r="CH1128" s="4"/>
      <c r="CI1128" s="4"/>
      <c r="CJ1128" s="4"/>
      <c r="CK1128" s="4"/>
      <c r="CL1128" s="4"/>
      <c r="CM1128" s="4"/>
      <c r="CN1128" s="4"/>
      <c r="CO1128" s="4"/>
      <c r="CP1128" s="4"/>
      <c r="CQ1128" s="4"/>
      <c r="CR1128" s="4"/>
      <c r="CS1128" s="4"/>
      <c r="CT1128" s="4"/>
      <c r="CU1128" s="4"/>
      <c r="CV1128" s="4"/>
      <c r="CW1128" s="4"/>
      <c r="CX1128" s="4"/>
      <c r="CY1128" s="4"/>
      <c r="CZ1128" s="4"/>
      <c r="DA1128" s="4"/>
      <c r="DB1128" s="4"/>
      <c r="DC1128" s="4"/>
      <c r="DD1128" s="4"/>
      <c r="DE1128" s="4"/>
      <c r="DF1128" s="4"/>
      <c r="DG1128" s="4"/>
      <c r="DH1128" s="4"/>
      <c r="DI1128" s="4"/>
      <c r="DJ1128" s="4"/>
      <c r="DK1128" s="4"/>
      <c r="DL1128" s="4"/>
      <c r="DM1128" s="4"/>
      <c r="DN1128" s="4"/>
      <c r="DO1128" s="4"/>
      <c r="DP1128" s="4"/>
      <c r="DQ1128" s="4"/>
      <c r="DR1128" s="4"/>
      <c r="DS1128" s="4"/>
    </row>
    <row r="1129">
      <c r="A1129" s="9">
        <f>IFERROR(__xludf.DUMMYFUNCTION("""COMPUTED_VALUE"""),45772.0)</f>
        <v>45772</v>
      </c>
      <c r="B1129" s="6" t="str">
        <f>IFERROR(__xludf.DUMMYFUNCTION("""COMPUTED_VALUE"""),"Restaurant")</f>
        <v>Restaurant</v>
      </c>
      <c r="C1129" s="7">
        <f>IFERROR(__xludf.DUMMYFUNCTION("""COMPUTED_VALUE"""),5000.0)</f>
        <v>5000</v>
      </c>
      <c r="D1129" s="6" t="str">
        <f>IFERROR(__xludf.DUMMYFUNCTION("""COMPUTED_VALUE"""),"Lunch Out")</f>
        <v>Lunch Out</v>
      </c>
      <c r="E1129" s="6" t="str">
        <f>IFERROR(__xludf.DUMMYFUNCTION("""COMPUTED_VALUE"""),"Virtual Wallet")</f>
        <v>Virtual Wallet</v>
      </c>
      <c r="F1129" s="6" t="s">
        <v>14</v>
      </c>
      <c r="G1129" s="8" t="str">
        <f t="shared" si="1"/>
        <v>202504</v>
      </c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  <c r="AH1129" s="4"/>
      <c r="AI1129" s="4"/>
      <c r="AJ1129" s="4"/>
      <c r="AK1129" s="4"/>
      <c r="AL1129" s="4"/>
      <c r="AM1129" s="4"/>
      <c r="AN1129" s="4"/>
      <c r="AO1129" s="4"/>
      <c r="AP1129" s="4"/>
      <c r="AQ1129" s="4"/>
      <c r="AR1129" s="4"/>
      <c r="AS1129" s="4"/>
      <c r="AT1129" s="4"/>
      <c r="AU1129" s="4"/>
      <c r="AV1129" s="4"/>
      <c r="AW1129" s="4"/>
      <c r="AX1129" s="4"/>
      <c r="AY1129" s="4"/>
      <c r="AZ1129" s="4"/>
      <c r="BA1129" s="4"/>
      <c r="BB1129" s="4"/>
      <c r="BC1129" s="4"/>
      <c r="BD1129" s="4"/>
      <c r="BE1129" s="4"/>
      <c r="BF1129" s="4"/>
      <c r="BG1129" s="4"/>
      <c r="BH1129" s="4"/>
      <c r="BI1129" s="4"/>
      <c r="BJ1129" s="4"/>
      <c r="BK1129" s="4"/>
      <c r="BL1129" s="4"/>
      <c r="BM1129" s="4"/>
      <c r="BN1129" s="4"/>
      <c r="BO1129" s="4"/>
      <c r="BP1129" s="4"/>
      <c r="BQ1129" s="4"/>
      <c r="BR1129" s="4"/>
      <c r="BS1129" s="4"/>
      <c r="BT1129" s="4"/>
      <c r="BU1129" s="4"/>
      <c r="BV1129" s="4"/>
      <c r="BW1129" s="4"/>
      <c r="BX1129" s="4"/>
      <c r="BY1129" s="4"/>
      <c r="BZ1129" s="4"/>
      <c r="CA1129" s="4"/>
      <c r="CB1129" s="4"/>
      <c r="CC1129" s="4"/>
      <c r="CD1129" s="4"/>
      <c r="CE1129" s="4"/>
      <c r="CF1129" s="4"/>
      <c r="CG1129" s="4"/>
      <c r="CH1129" s="4"/>
      <c r="CI1129" s="4"/>
      <c r="CJ1129" s="4"/>
      <c r="CK1129" s="4"/>
      <c r="CL1129" s="4"/>
      <c r="CM1129" s="4"/>
      <c r="CN1129" s="4"/>
      <c r="CO1129" s="4"/>
      <c r="CP1129" s="4"/>
      <c r="CQ1129" s="4"/>
      <c r="CR1129" s="4"/>
      <c r="CS1129" s="4"/>
      <c r="CT1129" s="4"/>
      <c r="CU1129" s="4"/>
      <c r="CV1129" s="4"/>
      <c r="CW1129" s="4"/>
      <c r="CX1129" s="4"/>
      <c r="CY1129" s="4"/>
      <c r="CZ1129" s="4"/>
      <c r="DA1129" s="4"/>
      <c r="DB1129" s="4"/>
      <c r="DC1129" s="4"/>
      <c r="DD1129" s="4"/>
      <c r="DE1129" s="4"/>
      <c r="DF1129" s="4"/>
      <c r="DG1129" s="4"/>
      <c r="DH1129" s="4"/>
      <c r="DI1129" s="4"/>
      <c r="DJ1129" s="4"/>
      <c r="DK1129" s="4"/>
      <c r="DL1129" s="4"/>
      <c r="DM1129" s="4"/>
      <c r="DN1129" s="4"/>
      <c r="DO1129" s="4"/>
      <c r="DP1129" s="4"/>
      <c r="DQ1129" s="4"/>
      <c r="DR1129" s="4"/>
      <c r="DS1129" s="4"/>
    </row>
    <row r="1130">
      <c r="A1130" s="9">
        <f>IFERROR(__xludf.DUMMYFUNCTION("""COMPUTED_VALUE"""),45773.0)</f>
        <v>45773</v>
      </c>
      <c r="B1130" s="6" t="str">
        <f>IFERROR(__xludf.DUMMYFUNCTION("""COMPUTED_VALUE"""),"Groceries")</f>
        <v>Groceries</v>
      </c>
      <c r="C1130" s="7">
        <f>IFERROR(__xludf.DUMMYFUNCTION("""COMPUTED_VALUE"""),6949.0)</f>
        <v>6949</v>
      </c>
      <c r="D1130" s="6" t="str">
        <f>IFERROR(__xludf.DUMMYFUNCTION("""COMPUTED_VALUE"""),"Groceries")</f>
        <v>Groceries</v>
      </c>
      <c r="E1130" s="6" t="str">
        <f>IFERROR(__xludf.DUMMYFUNCTION("""COMPUTED_VALUE"""),"Virtual Wallet")</f>
        <v>Virtual Wallet</v>
      </c>
      <c r="F1130" s="6" t="s">
        <v>7</v>
      </c>
      <c r="G1130" s="8" t="str">
        <f t="shared" si="1"/>
        <v>202504</v>
      </c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  <c r="AN1130" s="4"/>
      <c r="AO1130" s="4"/>
      <c r="AP1130" s="4"/>
      <c r="AQ1130" s="4"/>
      <c r="AR1130" s="4"/>
      <c r="AS1130" s="4"/>
      <c r="AT1130" s="4"/>
      <c r="AU1130" s="4"/>
      <c r="AV1130" s="4"/>
      <c r="AW1130" s="4"/>
      <c r="AX1130" s="4"/>
      <c r="AY1130" s="4"/>
      <c r="AZ1130" s="4"/>
      <c r="BA1130" s="4"/>
      <c r="BB1130" s="4"/>
      <c r="BC1130" s="4"/>
      <c r="BD1130" s="4"/>
      <c r="BE1130" s="4"/>
      <c r="BF1130" s="4"/>
      <c r="BG1130" s="4"/>
      <c r="BH1130" s="4"/>
      <c r="BI1130" s="4"/>
      <c r="BJ1130" s="4"/>
      <c r="BK1130" s="4"/>
      <c r="BL1130" s="4"/>
      <c r="BM1130" s="4"/>
      <c r="BN1130" s="4"/>
      <c r="BO1130" s="4"/>
      <c r="BP1130" s="4"/>
      <c r="BQ1130" s="4"/>
      <c r="BR1130" s="4"/>
      <c r="BS1130" s="4"/>
      <c r="BT1130" s="4"/>
      <c r="BU1130" s="4"/>
      <c r="BV1130" s="4"/>
      <c r="BW1130" s="4"/>
      <c r="BX1130" s="4"/>
      <c r="BY1130" s="4"/>
      <c r="BZ1130" s="4"/>
      <c r="CA1130" s="4"/>
      <c r="CB1130" s="4"/>
      <c r="CC1130" s="4"/>
      <c r="CD1130" s="4"/>
      <c r="CE1130" s="4"/>
      <c r="CF1130" s="4"/>
      <c r="CG1130" s="4"/>
      <c r="CH1130" s="4"/>
      <c r="CI1130" s="4"/>
      <c r="CJ1130" s="4"/>
      <c r="CK1130" s="4"/>
      <c r="CL1130" s="4"/>
      <c r="CM1130" s="4"/>
      <c r="CN1130" s="4"/>
      <c r="CO1130" s="4"/>
      <c r="CP1130" s="4"/>
      <c r="CQ1130" s="4"/>
      <c r="CR1130" s="4"/>
      <c r="CS1130" s="4"/>
      <c r="CT1130" s="4"/>
      <c r="CU1130" s="4"/>
      <c r="CV1130" s="4"/>
      <c r="CW1130" s="4"/>
      <c r="CX1130" s="4"/>
      <c r="CY1130" s="4"/>
      <c r="CZ1130" s="4"/>
      <c r="DA1130" s="4"/>
      <c r="DB1130" s="4"/>
      <c r="DC1130" s="4"/>
      <c r="DD1130" s="4"/>
      <c r="DE1130" s="4"/>
      <c r="DF1130" s="4"/>
      <c r="DG1130" s="4"/>
      <c r="DH1130" s="4"/>
      <c r="DI1130" s="4"/>
      <c r="DJ1130" s="4"/>
      <c r="DK1130" s="4"/>
      <c r="DL1130" s="4"/>
      <c r="DM1130" s="4"/>
      <c r="DN1130" s="4"/>
      <c r="DO1130" s="4"/>
      <c r="DP1130" s="4"/>
      <c r="DQ1130" s="4"/>
      <c r="DR1130" s="4"/>
      <c r="DS1130" s="4"/>
    </row>
    <row r="1131">
      <c r="A1131" s="9">
        <f>IFERROR(__xludf.DUMMYFUNCTION("""COMPUTED_VALUE"""),45773.0)</f>
        <v>45773</v>
      </c>
      <c r="B1131" s="6" t="str">
        <f>IFERROR(__xludf.DUMMYFUNCTION("""COMPUTED_VALUE"""),"Groceries")</f>
        <v>Groceries</v>
      </c>
      <c r="C1131" s="7">
        <f>IFERROR(__xludf.DUMMYFUNCTION("""COMPUTED_VALUE"""),3500.0)</f>
        <v>3500</v>
      </c>
      <c r="D1131" s="6" t="str">
        <f>IFERROR(__xludf.DUMMYFUNCTION("""COMPUTED_VALUE"""),"Groceries")</f>
        <v>Groceries</v>
      </c>
      <c r="E1131" s="6" t="str">
        <f>IFERROR(__xludf.DUMMYFUNCTION("""COMPUTED_VALUE"""),"Virtual Wallet")</f>
        <v>Virtual Wallet</v>
      </c>
      <c r="F1131" s="6" t="s">
        <v>7</v>
      </c>
      <c r="G1131" s="8" t="str">
        <f t="shared" si="1"/>
        <v>202504</v>
      </c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  <c r="AM1131" s="4"/>
      <c r="AN1131" s="4"/>
      <c r="AO1131" s="4"/>
      <c r="AP1131" s="4"/>
      <c r="AQ1131" s="4"/>
      <c r="AR1131" s="4"/>
      <c r="AS1131" s="4"/>
      <c r="AT1131" s="4"/>
      <c r="AU1131" s="4"/>
      <c r="AV1131" s="4"/>
      <c r="AW1131" s="4"/>
      <c r="AX1131" s="4"/>
      <c r="AY1131" s="4"/>
      <c r="AZ1131" s="4"/>
      <c r="BA1131" s="4"/>
      <c r="BB1131" s="4"/>
      <c r="BC1131" s="4"/>
      <c r="BD1131" s="4"/>
      <c r="BE1131" s="4"/>
      <c r="BF1131" s="4"/>
      <c r="BG1131" s="4"/>
      <c r="BH1131" s="4"/>
      <c r="BI1131" s="4"/>
      <c r="BJ1131" s="4"/>
      <c r="BK1131" s="4"/>
      <c r="BL1131" s="4"/>
      <c r="BM1131" s="4"/>
      <c r="BN1131" s="4"/>
      <c r="BO1131" s="4"/>
      <c r="BP1131" s="4"/>
      <c r="BQ1131" s="4"/>
      <c r="BR1131" s="4"/>
      <c r="BS1131" s="4"/>
      <c r="BT1131" s="4"/>
      <c r="BU1131" s="4"/>
      <c r="BV1131" s="4"/>
      <c r="BW1131" s="4"/>
      <c r="BX1131" s="4"/>
      <c r="BY1131" s="4"/>
      <c r="BZ1131" s="4"/>
      <c r="CA1131" s="4"/>
      <c r="CB1131" s="4"/>
      <c r="CC1131" s="4"/>
      <c r="CD1131" s="4"/>
      <c r="CE1131" s="4"/>
      <c r="CF1131" s="4"/>
      <c r="CG1131" s="4"/>
      <c r="CH1131" s="4"/>
      <c r="CI1131" s="4"/>
      <c r="CJ1131" s="4"/>
      <c r="CK1131" s="4"/>
      <c r="CL1131" s="4"/>
      <c r="CM1131" s="4"/>
      <c r="CN1131" s="4"/>
      <c r="CO1131" s="4"/>
      <c r="CP1131" s="4"/>
      <c r="CQ1131" s="4"/>
      <c r="CR1131" s="4"/>
      <c r="CS1131" s="4"/>
      <c r="CT1131" s="4"/>
      <c r="CU1131" s="4"/>
      <c r="CV1131" s="4"/>
      <c r="CW1131" s="4"/>
      <c r="CX1131" s="4"/>
      <c r="CY1131" s="4"/>
      <c r="CZ1131" s="4"/>
      <c r="DA1131" s="4"/>
      <c r="DB1131" s="4"/>
      <c r="DC1131" s="4"/>
      <c r="DD1131" s="4"/>
      <c r="DE1131" s="4"/>
      <c r="DF1131" s="4"/>
      <c r="DG1131" s="4"/>
      <c r="DH1131" s="4"/>
      <c r="DI1131" s="4"/>
      <c r="DJ1131" s="4"/>
      <c r="DK1131" s="4"/>
      <c r="DL1131" s="4"/>
      <c r="DM1131" s="4"/>
      <c r="DN1131" s="4"/>
      <c r="DO1131" s="4"/>
      <c r="DP1131" s="4"/>
      <c r="DQ1131" s="4"/>
      <c r="DR1131" s="4"/>
      <c r="DS1131" s="4"/>
    </row>
    <row r="1132">
      <c r="A1132" s="9">
        <f>IFERROR(__xludf.DUMMYFUNCTION("""COMPUTED_VALUE"""),45773.0)</f>
        <v>45773</v>
      </c>
      <c r="B1132" s="6" t="str">
        <f>IFERROR(__xludf.DUMMYFUNCTION("""COMPUTED_VALUE"""),"Groceries")</f>
        <v>Groceries</v>
      </c>
      <c r="C1132" s="7">
        <f>IFERROR(__xludf.DUMMYFUNCTION("""COMPUTED_VALUE"""),7100.0)</f>
        <v>7100</v>
      </c>
      <c r="D1132" s="6" t="str">
        <f>IFERROR(__xludf.DUMMYFUNCTION("""COMPUTED_VALUE"""),"Groceries")</f>
        <v>Groceries</v>
      </c>
      <c r="E1132" s="6" t="str">
        <f>IFERROR(__xludf.DUMMYFUNCTION("""COMPUTED_VALUE"""),"Virtual Wallet")</f>
        <v>Virtual Wallet</v>
      </c>
      <c r="F1132" s="6" t="s">
        <v>7</v>
      </c>
      <c r="G1132" s="8" t="str">
        <f t="shared" si="1"/>
        <v>202504</v>
      </c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  <c r="AM1132" s="4"/>
      <c r="AN1132" s="4"/>
      <c r="AO1132" s="4"/>
      <c r="AP1132" s="4"/>
      <c r="AQ1132" s="4"/>
      <c r="AR1132" s="4"/>
      <c r="AS1132" s="4"/>
      <c r="AT1132" s="4"/>
      <c r="AU1132" s="4"/>
      <c r="AV1132" s="4"/>
      <c r="AW1132" s="4"/>
      <c r="AX1132" s="4"/>
      <c r="AY1132" s="4"/>
      <c r="AZ1132" s="4"/>
      <c r="BA1132" s="4"/>
      <c r="BB1132" s="4"/>
      <c r="BC1132" s="4"/>
      <c r="BD1132" s="4"/>
      <c r="BE1132" s="4"/>
      <c r="BF1132" s="4"/>
      <c r="BG1132" s="4"/>
      <c r="BH1132" s="4"/>
      <c r="BI1132" s="4"/>
      <c r="BJ1132" s="4"/>
      <c r="BK1132" s="4"/>
      <c r="BL1132" s="4"/>
      <c r="BM1132" s="4"/>
      <c r="BN1132" s="4"/>
      <c r="BO1132" s="4"/>
      <c r="BP1132" s="4"/>
      <c r="BQ1132" s="4"/>
      <c r="BR1132" s="4"/>
      <c r="BS1132" s="4"/>
      <c r="BT1132" s="4"/>
      <c r="BU1132" s="4"/>
      <c r="BV1132" s="4"/>
      <c r="BW1132" s="4"/>
      <c r="BX1132" s="4"/>
      <c r="BY1132" s="4"/>
      <c r="BZ1132" s="4"/>
      <c r="CA1132" s="4"/>
      <c r="CB1132" s="4"/>
      <c r="CC1132" s="4"/>
      <c r="CD1132" s="4"/>
      <c r="CE1132" s="4"/>
      <c r="CF1132" s="4"/>
      <c r="CG1132" s="4"/>
      <c r="CH1132" s="4"/>
      <c r="CI1132" s="4"/>
      <c r="CJ1132" s="4"/>
      <c r="CK1132" s="4"/>
      <c r="CL1132" s="4"/>
      <c r="CM1132" s="4"/>
      <c r="CN1132" s="4"/>
      <c r="CO1132" s="4"/>
      <c r="CP1132" s="4"/>
      <c r="CQ1132" s="4"/>
      <c r="CR1132" s="4"/>
      <c r="CS1132" s="4"/>
      <c r="CT1132" s="4"/>
      <c r="CU1132" s="4"/>
      <c r="CV1132" s="4"/>
      <c r="CW1132" s="4"/>
      <c r="CX1132" s="4"/>
      <c r="CY1132" s="4"/>
      <c r="CZ1132" s="4"/>
      <c r="DA1132" s="4"/>
      <c r="DB1132" s="4"/>
      <c r="DC1132" s="4"/>
      <c r="DD1132" s="4"/>
      <c r="DE1132" s="4"/>
      <c r="DF1132" s="4"/>
      <c r="DG1132" s="4"/>
      <c r="DH1132" s="4"/>
      <c r="DI1132" s="4"/>
      <c r="DJ1132" s="4"/>
      <c r="DK1132" s="4"/>
      <c r="DL1132" s="4"/>
      <c r="DM1132" s="4"/>
      <c r="DN1132" s="4"/>
      <c r="DO1132" s="4"/>
      <c r="DP1132" s="4"/>
      <c r="DQ1132" s="4"/>
      <c r="DR1132" s="4"/>
      <c r="DS1132" s="4"/>
    </row>
    <row r="1133">
      <c r="A1133" s="9">
        <f>IFERROR(__xludf.DUMMYFUNCTION("""COMPUTED_VALUE"""),45773.0)</f>
        <v>45773</v>
      </c>
      <c r="B1133" s="6" t="str">
        <f>IFERROR(__xludf.DUMMYFUNCTION("""COMPUTED_VALUE"""),"Groceries")</f>
        <v>Groceries</v>
      </c>
      <c r="C1133" s="7">
        <f>IFERROR(__xludf.DUMMYFUNCTION("""COMPUTED_VALUE"""),2350.0)</f>
        <v>2350</v>
      </c>
      <c r="D1133" s="6" t="str">
        <f>IFERROR(__xludf.DUMMYFUNCTION("""COMPUTED_VALUE"""),"Groceries")</f>
        <v>Groceries</v>
      </c>
      <c r="E1133" s="6" t="str">
        <f>IFERROR(__xludf.DUMMYFUNCTION("""COMPUTED_VALUE"""),"Split Payment")</f>
        <v>Split Payment</v>
      </c>
      <c r="F1133" s="6" t="s">
        <v>7</v>
      </c>
      <c r="G1133" s="8" t="str">
        <f t="shared" si="1"/>
        <v>202504</v>
      </c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  <c r="AM1133" s="4"/>
      <c r="AN1133" s="4"/>
      <c r="AO1133" s="4"/>
      <c r="AP1133" s="4"/>
      <c r="AQ1133" s="4"/>
      <c r="AR1133" s="4"/>
      <c r="AS1133" s="4"/>
      <c r="AT1133" s="4"/>
      <c r="AU1133" s="4"/>
      <c r="AV1133" s="4"/>
      <c r="AW1133" s="4"/>
      <c r="AX1133" s="4"/>
      <c r="AY1133" s="4"/>
      <c r="AZ1133" s="4"/>
      <c r="BA1133" s="4"/>
      <c r="BB1133" s="4"/>
      <c r="BC1133" s="4"/>
      <c r="BD1133" s="4"/>
      <c r="BE1133" s="4"/>
      <c r="BF1133" s="4"/>
      <c r="BG1133" s="4"/>
      <c r="BH1133" s="4"/>
      <c r="BI1133" s="4"/>
      <c r="BJ1133" s="4"/>
      <c r="BK1133" s="4"/>
      <c r="BL1133" s="4"/>
      <c r="BM1133" s="4"/>
      <c r="BN1133" s="4"/>
      <c r="BO1133" s="4"/>
      <c r="BP1133" s="4"/>
      <c r="BQ1133" s="4"/>
      <c r="BR1133" s="4"/>
      <c r="BS1133" s="4"/>
      <c r="BT1133" s="4"/>
      <c r="BU1133" s="4"/>
      <c r="BV1133" s="4"/>
      <c r="BW1133" s="4"/>
      <c r="BX1133" s="4"/>
      <c r="BY1133" s="4"/>
      <c r="BZ1133" s="4"/>
      <c r="CA1133" s="4"/>
      <c r="CB1133" s="4"/>
      <c r="CC1133" s="4"/>
      <c r="CD1133" s="4"/>
      <c r="CE1133" s="4"/>
      <c r="CF1133" s="4"/>
      <c r="CG1133" s="4"/>
      <c r="CH1133" s="4"/>
      <c r="CI1133" s="4"/>
      <c r="CJ1133" s="4"/>
      <c r="CK1133" s="4"/>
      <c r="CL1133" s="4"/>
      <c r="CM1133" s="4"/>
      <c r="CN1133" s="4"/>
      <c r="CO1133" s="4"/>
      <c r="CP1133" s="4"/>
      <c r="CQ1133" s="4"/>
      <c r="CR1133" s="4"/>
      <c r="CS1133" s="4"/>
      <c r="CT1133" s="4"/>
      <c r="CU1133" s="4"/>
      <c r="CV1133" s="4"/>
      <c r="CW1133" s="4"/>
      <c r="CX1133" s="4"/>
      <c r="CY1133" s="4"/>
      <c r="CZ1133" s="4"/>
      <c r="DA1133" s="4"/>
      <c r="DB1133" s="4"/>
      <c r="DC1133" s="4"/>
      <c r="DD1133" s="4"/>
      <c r="DE1133" s="4"/>
      <c r="DF1133" s="4"/>
      <c r="DG1133" s="4"/>
      <c r="DH1133" s="4"/>
      <c r="DI1133" s="4"/>
      <c r="DJ1133" s="4"/>
      <c r="DK1133" s="4"/>
      <c r="DL1133" s="4"/>
      <c r="DM1133" s="4"/>
      <c r="DN1133" s="4"/>
      <c r="DO1133" s="4"/>
      <c r="DP1133" s="4"/>
      <c r="DQ1133" s="4"/>
      <c r="DR1133" s="4"/>
      <c r="DS1133" s="4"/>
    </row>
    <row r="1134">
      <c r="A1134" s="9">
        <f>IFERROR(__xludf.DUMMYFUNCTION("""COMPUTED_VALUE"""),45773.0)</f>
        <v>45773</v>
      </c>
      <c r="B1134" s="6" t="str">
        <f>IFERROR(__xludf.DUMMYFUNCTION("""COMPUTED_VALUE"""),"Pets")</f>
        <v>Pets</v>
      </c>
      <c r="C1134" s="7">
        <f>IFERROR(__xludf.DUMMYFUNCTION("""COMPUTED_VALUE"""),23000.0)</f>
        <v>23000</v>
      </c>
      <c r="D1134" s="6" t="str">
        <f>IFERROR(__xludf.DUMMYFUNCTION("""COMPUTED_VALUE"""),"Pets")</f>
        <v>Pets</v>
      </c>
      <c r="E1134" s="6" t="str">
        <f>IFERROR(__xludf.DUMMYFUNCTION("""COMPUTED_VALUE"""),"Virtual Wallet")</f>
        <v>Virtual Wallet</v>
      </c>
      <c r="F1134" s="6" t="s">
        <v>7</v>
      </c>
      <c r="G1134" s="8" t="str">
        <f t="shared" si="1"/>
        <v>202504</v>
      </c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  <c r="AG1134" s="4"/>
      <c r="AH1134" s="4"/>
      <c r="AI1134" s="4"/>
      <c r="AJ1134" s="4"/>
      <c r="AK1134" s="4"/>
      <c r="AL1134" s="4"/>
      <c r="AM1134" s="4"/>
      <c r="AN1134" s="4"/>
      <c r="AO1134" s="4"/>
      <c r="AP1134" s="4"/>
      <c r="AQ1134" s="4"/>
      <c r="AR1134" s="4"/>
      <c r="AS1134" s="4"/>
      <c r="AT1134" s="4"/>
      <c r="AU1134" s="4"/>
      <c r="AV1134" s="4"/>
      <c r="AW1134" s="4"/>
      <c r="AX1134" s="4"/>
      <c r="AY1134" s="4"/>
      <c r="AZ1134" s="4"/>
      <c r="BA1134" s="4"/>
      <c r="BB1134" s="4"/>
      <c r="BC1134" s="4"/>
      <c r="BD1134" s="4"/>
      <c r="BE1134" s="4"/>
      <c r="BF1134" s="4"/>
      <c r="BG1134" s="4"/>
      <c r="BH1134" s="4"/>
      <c r="BI1134" s="4"/>
      <c r="BJ1134" s="4"/>
      <c r="BK1134" s="4"/>
      <c r="BL1134" s="4"/>
      <c r="BM1134" s="4"/>
      <c r="BN1134" s="4"/>
      <c r="BO1134" s="4"/>
      <c r="BP1134" s="4"/>
      <c r="BQ1134" s="4"/>
      <c r="BR1134" s="4"/>
      <c r="BS1134" s="4"/>
      <c r="BT1134" s="4"/>
      <c r="BU1134" s="4"/>
      <c r="BV1134" s="4"/>
      <c r="BW1134" s="4"/>
      <c r="BX1134" s="4"/>
      <c r="BY1134" s="4"/>
      <c r="BZ1134" s="4"/>
      <c r="CA1134" s="4"/>
      <c r="CB1134" s="4"/>
      <c r="CC1134" s="4"/>
      <c r="CD1134" s="4"/>
      <c r="CE1134" s="4"/>
      <c r="CF1134" s="4"/>
      <c r="CG1134" s="4"/>
      <c r="CH1134" s="4"/>
      <c r="CI1134" s="4"/>
      <c r="CJ1134" s="4"/>
      <c r="CK1134" s="4"/>
      <c r="CL1134" s="4"/>
      <c r="CM1134" s="4"/>
      <c r="CN1134" s="4"/>
      <c r="CO1134" s="4"/>
      <c r="CP1134" s="4"/>
      <c r="CQ1134" s="4"/>
      <c r="CR1134" s="4"/>
      <c r="CS1134" s="4"/>
      <c r="CT1134" s="4"/>
      <c r="CU1134" s="4"/>
      <c r="CV1134" s="4"/>
      <c r="CW1134" s="4"/>
      <c r="CX1134" s="4"/>
      <c r="CY1134" s="4"/>
      <c r="CZ1134" s="4"/>
      <c r="DA1134" s="4"/>
      <c r="DB1134" s="4"/>
      <c r="DC1134" s="4"/>
      <c r="DD1134" s="4"/>
      <c r="DE1134" s="4"/>
      <c r="DF1134" s="4"/>
      <c r="DG1134" s="4"/>
      <c r="DH1134" s="4"/>
      <c r="DI1134" s="4"/>
      <c r="DJ1134" s="4"/>
      <c r="DK1134" s="4"/>
      <c r="DL1134" s="4"/>
      <c r="DM1134" s="4"/>
      <c r="DN1134" s="4"/>
      <c r="DO1134" s="4"/>
      <c r="DP1134" s="4"/>
      <c r="DQ1134" s="4"/>
      <c r="DR1134" s="4"/>
      <c r="DS1134" s="4"/>
    </row>
    <row r="1135">
      <c r="A1135" s="9">
        <f>IFERROR(__xludf.DUMMYFUNCTION("""COMPUTED_VALUE"""),45773.0)</f>
        <v>45773</v>
      </c>
      <c r="B1135" s="6" t="str">
        <f>IFERROR(__xludf.DUMMYFUNCTION("""COMPUTED_VALUE"""),"Pets")</f>
        <v>Pets</v>
      </c>
      <c r="C1135" s="7">
        <f>IFERROR(__xludf.DUMMYFUNCTION("""COMPUTED_VALUE"""),1650.0)</f>
        <v>1650</v>
      </c>
      <c r="D1135" s="6" t="str">
        <f>IFERROR(__xludf.DUMMYFUNCTION("""COMPUTED_VALUE"""),"Pets")</f>
        <v>Pets</v>
      </c>
      <c r="E1135" s="6" t="str">
        <f>IFERROR(__xludf.DUMMYFUNCTION("""COMPUTED_VALUE"""),"Split Payment")</f>
        <v>Split Payment</v>
      </c>
      <c r="F1135" s="6" t="s">
        <v>7</v>
      </c>
      <c r="G1135" s="8" t="str">
        <f t="shared" si="1"/>
        <v>202504</v>
      </c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  <c r="AM1135" s="4"/>
      <c r="AN1135" s="4"/>
      <c r="AO1135" s="4"/>
      <c r="AP1135" s="4"/>
      <c r="AQ1135" s="4"/>
      <c r="AR1135" s="4"/>
      <c r="AS1135" s="4"/>
      <c r="AT1135" s="4"/>
      <c r="AU1135" s="4"/>
      <c r="AV1135" s="4"/>
      <c r="AW1135" s="4"/>
      <c r="AX1135" s="4"/>
      <c r="AY1135" s="4"/>
      <c r="AZ1135" s="4"/>
      <c r="BA1135" s="4"/>
      <c r="BB1135" s="4"/>
      <c r="BC1135" s="4"/>
      <c r="BD1135" s="4"/>
      <c r="BE1135" s="4"/>
      <c r="BF1135" s="4"/>
      <c r="BG1135" s="4"/>
      <c r="BH1135" s="4"/>
      <c r="BI1135" s="4"/>
      <c r="BJ1135" s="4"/>
      <c r="BK1135" s="4"/>
      <c r="BL1135" s="4"/>
      <c r="BM1135" s="4"/>
      <c r="BN1135" s="4"/>
      <c r="BO1135" s="4"/>
      <c r="BP1135" s="4"/>
      <c r="BQ1135" s="4"/>
      <c r="BR1135" s="4"/>
      <c r="BS1135" s="4"/>
      <c r="BT1135" s="4"/>
      <c r="BU1135" s="4"/>
      <c r="BV1135" s="4"/>
      <c r="BW1135" s="4"/>
      <c r="BX1135" s="4"/>
      <c r="BY1135" s="4"/>
      <c r="BZ1135" s="4"/>
      <c r="CA1135" s="4"/>
      <c r="CB1135" s="4"/>
      <c r="CC1135" s="4"/>
      <c r="CD1135" s="4"/>
      <c r="CE1135" s="4"/>
      <c r="CF1135" s="4"/>
      <c r="CG1135" s="4"/>
      <c r="CH1135" s="4"/>
      <c r="CI1135" s="4"/>
      <c r="CJ1135" s="4"/>
      <c r="CK1135" s="4"/>
      <c r="CL1135" s="4"/>
      <c r="CM1135" s="4"/>
      <c r="CN1135" s="4"/>
      <c r="CO1135" s="4"/>
      <c r="CP1135" s="4"/>
      <c r="CQ1135" s="4"/>
      <c r="CR1135" s="4"/>
      <c r="CS1135" s="4"/>
      <c r="CT1135" s="4"/>
      <c r="CU1135" s="4"/>
      <c r="CV1135" s="4"/>
      <c r="CW1135" s="4"/>
      <c r="CX1135" s="4"/>
      <c r="CY1135" s="4"/>
      <c r="CZ1135" s="4"/>
      <c r="DA1135" s="4"/>
      <c r="DB1135" s="4"/>
      <c r="DC1135" s="4"/>
      <c r="DD1135" s="4"/>
      <c r="DE1135" s="4"/>
      <c r="DF1135" s="4"/>
      <c r="DG1135" s="4"/>
      <c r="DH1135" s="4"/>
      <c r="DI1135" s="4"/>
      <c r="DJ1135" s="4"/>
      <c r="DK1135" s="4"/>
      <c r="DL1135" s="4"/>
      <c r="DM1135" s="4"/>
      <c r="DN1135" s="4"/>
      <c r="DO1135" s="4"/>
      <c r="DP1135" s="4"/>
      <c r="DQ1135" s="4"/>
      <c r="DR1135" s="4"/>
      <c r="DS1135" s="4"/>
    </row>
    <row r="1136">
      <c r="A1136" s="9">
        <f>IFERROR(__xludf.DUMMYFUNCTION("""COMPUTED_VALUE"""),45773.0)</f>
        <v>45773</v>
      </c>
      <c r="B1136" s="6" t="str">
        <f>IFERROR(__xludf.DUMMYFUNCTION("""COMPUTED_VALUE"""),"Water Bill (AySA)")</f>
        <v>Water Bill (AySA)</v>
      </c>
      <c r="C1136" s="7">
        <f>IFERROR(__xludf.DUMMYFUNCTION("""COMPUTED_VALUE"""),13536.0)</f>
        <v>13536</v>
      </c>
      <c r="D1136" s="6" t="str">
        <f>IFERROR(__xludf.DUMMYFUNCTION("""COMPUTED_VALUE"""),"Basic Services")</f>
        <v>Basic Services</v>
      </c>
      <c r="E1136" s="6" t="str">
        <f>IFERROR(__xludf.DUMMYFUNCTION("""COMPUTED_VALUE"""),"Split Payment")</f>
        <v>Split Payment</v>
      </c>
      <c r="F1136" s="6" t="s">
        <v>13</v>
      </c>
      <c r="G1136" s="8" t="str">
        <f t="shared" si="1"/>
        <v>202504</v>
      </c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  <c r="AM1136" s="4"/>
      <c r="AN1136" s="4"/>
      <c r="AO1136" s="4"/>
      <c r="AP1136" s="4"/>
      <c r="AQ1136" s="4"/>
      <c r="AR1136" s="4"/>
      <c r="AS1136" s="4"/>
      <c r="AT1136" s="4"/>
      <c r="AU1136" s="4"/>
      <c r="AV1136" s="4"/>
      <c r="AW1136" s="4"/>
      <c r="AX1136" s="4"/>
      <c r="AY1136" s="4"/>
      <c r="AZ1136" s="4"/>
      <c r="BA1136" s="4"/>
      <c r="BB1136" s="4"/>
      <c r="BC1136" s="4"/>
      <c r="BD1136" s="4"/>
      <c r="BE1136" s="4"/>
      <c r="BF1136" s="4"/>
      <c r="BG1136" s="4"/>
      <c r="BH1136" s="4"/>
      <c r="BI1136" s="4"/>
      <c r="BJ1136" s="4"/>
      <c r="BK1136" s="4"/>
      <c r="BL1136" s="4"/>
      <c r="BM1136" s="4"/>
      <c r="BN1136" s="4"/>
      <c r="BO1136" s="4"/>
      <c r="BP1136" s="4"/>
      <c r="BQ1136" s="4"/>
      <c r="BR1136" s="4"/>
      <c r="BS1136" s="4"/>
      <c r="BT1136" s="4"/>
      <c r="BU1136" s="4"/>
      <c r="BV1136" s="4"/>
      <c r="BW1136" s="4"/>
      <c r="BX1136" s="4"/>
      <c r="BY1136" s="4"/>
      <c r="BZ1136" s="4"/>
      <c r="CA1136" s="4"/>
      <c r="CB1136" s="4"/>
      <c r="CC1136" s="4"/>
      <c r="CD1136" s="4"/>
      <c r="CE1136" s="4"/>
      <c r="CF1136" s="4"/>
      <c r="CG1136" s="4"/>
      <c r="CH1136" s="4"/>
      <c r="CI1136" s="4"/>
      <c r="CJ1136" s="4"/>
      <c r="CK1136" s="4"/>
      <c r="CL1136" s="4"/>
      <c r="CM1136" s="4"/>
      <c r="CN1136" s="4"/>
      <c r="CO1136" s="4"/>
      <c r="CP1136" s="4"/>
      <c r="CQ1136" s="4"/>
      <c r="CR1136" s="4"/>
      <c r="CS1136" s="4"/>
      <c r="CT1136" s="4"/>
      <c r="CU1136" s="4"/>
      <c r="CV1136" s="4"/>
      <c r="CW1136" s="4"/>
      <c r="CX1136" s="4"/>
      <c r="CY1136" s="4"/>
      <c r="CZ1136" s="4"/>
      <c r="DA1136" s="4"/>
      <c r="DB1136" s="4"/>
      <c r="DC1136" s="4"/>
      <c r="DD1136" s="4"/>
      <c r="DE1136" s="4"/>
      <c r="DF1136" s="4"/>
      <c r="DG1136" s="4"/>
      <c r="DH1136" s="4"/>
      <c r="DI1136" s="4"/>
      <c r="DJ1136" s="4"/>
      <c r="DK1136" s="4"/>
      <c r="DL1136" s="4"/>
      <c r="DM1136" s="4"/>
      <c r="DN1136" s="4"/>
      <c r="DO1136" s="4"/>
      <c r="DP1136" s="4"/>
      <c r="DQ1136" s="4"/>
      <c r="DR1136" s="4"/>
      <c r="DS1136" s="4"/>
    </row>
    <row r="1137">
      <c r="A1137" s="9">
        <f>IFERROR(__xludf.DUMMYFUNCTION("""COMPUTED_VALUE"""),45775.0)</f>
        <v>45775</v>
      </c>
      <c r="B1137" s="6" t="str">
        <f>IFERROR(__xludf.DUMMYFUNCTION("""COMPUTED_VALUE"""),"Education")</f>
        <v>Education</v>
      </c>
      <c r="C1137" s="7">
        <f>IFERROR(__xludf.DUMMYFUNCTION("""COMPUTED_VALUE"""),3000.0)</f>
        <v>3000</v>
      </c>
      <c r="D1137" s="6" t="str">
        <f>IFERROR(__xludf.DUMMYFUNCTION("""COMPUTED_VALUE"""),"Education")</f>
        <v>Education</v>
      </c>
      <c r="E1137" s="6" t="str">
        <f>IFERROR(__xludf.DUMMYFUNCTION("""COMPUTED_VALUE"""),"Credit Card")</f>
        <v>Credit Card</v>
      </c>
      <c r="F1137" s="6" t="s">
        <v>11</v>
      </c>
      <c r="G1137" s="8" t="str">
        <f t="shared" si="1"/>
        <v>202504</v>
      </c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  <c r="AM1137" s="4"/>
      <c r="AN1137" s="4"/>
      <c r="AO1137" s="4"/>
      <c r="AP1137" s="4"/>
      <c r="AQ1137" s="4"/>
      <c r="AR1137" s="4"/>
      <c r="AS1137" s="4"/>
      <c r="AT1137" s="4"/>
      <c r="AU1137" s="4"/>
      <c r="AV1137" s="4"/>
      <c r="AW1137" s="4"/>
      <c r="AX1137" s="4"/>
      <c r="AY1137" s="4"/>
      <c r="AZ1137" s="4"/>
      <c r="BA1137" s="4"/>
      <c r="BB1137" s="4"/>
      <c r="BC1137" s="4"/>
      <c r="BD1137" s="4"/>
      <c r="BE1137" s="4"/>
      <c r="BF1137" s="4"/>
      <c r="BG1137" s="4"/>
      <c r="BH1137" s="4"/>
      <c r="BI1137" s="4"/>
      <c r="BJ1137" s="4"/>
      <c r="BK1137" s="4"/>
      <c r="BL1137" s="4"/>
      <c r="BM1137" s="4"/>
      <c r="BN1137" s="4"/>
      <c r="BO1137" s="4"/>
      <c r="BP1137" s="4"/>
      <c r="BQ1137" s="4"/>
      <c r="BR1137" s="4"/>
      <c r="BS1137" s="4"/>
      <c r="BT1137" s="4"/>
      <c r="BU1137" s="4"/>
      <c r="BV1137" s="4"/>
      <c r="BW1137" s="4"/>
      <c r="BX1137" s="4"/>
      <c r="BY1137" s="4"/>
      <c r="BZ1137" s="4"/>
      <c r="CA1137" s="4"/>
      <c r="CB1137" s="4"/>
      <c r="CC1137" s="4"/>
      <c r="CD1137" s="4"/>
      <c r="CE1137" s="4"/>
      <c r="CF1137" s="4"/>
      <c r="CG1137" s="4"/>
      <c r="CH1137" s="4"/>
      <c r="CI1137" s="4"/>
      <c r="CJ1137" s="4"/>
      <c r="CK1137" s="4"/>
      <c r="CL1137" s="4"/>
      <c r="CM1137" s="4"/>
      <c r="CN1137" s="4"/>
      <c r="CO1137" s="4"/>
      <c r="CP1137" s="4"/>
      <c r="CQ1137" s="4"/>
      <c r="CR1137" s="4"/>
      <c r="CS1137" s="4"/>
      <c r="CT1137" s="4"/>
      <c r="CU1137" s="4"/>
      <c r="CV1137" s="4"/>
      <c r="CW1137" s="4"/>
      <c r="CX1137" s="4"/>
      <c r="CY1137" s="4"/>
      <c r="CZ1137" s="4"/>
      <c r="DA1137" s="4"/>
      <c r="DB1137" s="4"/>
      <c r="DC1137" s="4"/>
      <c r="DD1137" s="4"/>
      <c r="DE1137" s="4"/>
      <c r="DF1137" s="4"/>
      <c r="DG1137" s="4"/>
      <c r="DH1137" s="4"/>
      <c r="DI1137" s="4"/>
      <c r="DJ1137" s="4"/>
      <c r="DK1137" s="4"/>
      <c r="DL1137" s="4"/>
      <c r="DM1137" s="4"/>
      <c r="DN1137" s="4"/>
      <c r="DO1137" s="4"/>
      <c r="DP1137" s="4"/>
      <c r="DQ1137" s="4"/>
      <c r="DR1137" s="4"/>
      <c r="DS1137" s="4"/>
    </row>
    <row r="1138">
      <c r="A1138" s="9">
        <f>IFERROR(__xludf.DUMMYFUNCTION("""COMPUTED_VALUE"""),45775.0)</f>
        <v>45775</v>
      </c>
      <c r="B1138" s="6" t="str">
        <f>IFERROR(__xludf.DUMMYFUNCTION("""COMPUTED_VALUE"""),"Sports")</f>
        <v>Sports</v>
      </c>
      <c r="C1138" s="7">
        <f>IFERROR(__xludf.DUMMYFUNCTION("""COMPUTED_VALUE"""),24000.0)</f>
        <v>24000</v>
      </c>
      <c r="D1138" s="6" t="str">
        <f>IFERROR(__xludf.DUMMYFUNCTION("""COMPUTED_VALUE"""),"Sports")</f>
        <v>Sports</v>
      </c>
      <c r="E1138" s="6" t="str">
        <f>IFERROR(__xludf.DUMMYFUNCTION("""COMPUTED_VALUE"""),"Virtual Wallet")</f>
        <v>Virtual Wallet</v>
      </c>
      <c r="F1138" s="6" t="s">
        <v>12</v>
      </c>
      <c r="G1138" s="8" t="str">
        <f t="shared" si="1"/>
        <v>202504</v>
      </c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  <c r="AM1138" s="4"/>
      <c r="AN1138" s="4"/>
      <c r="AO1138" s="4"/>
      <c r="AP1138" s="4"/>
      <c r="AQ1138" s="4"/>
      <c r="AR1138" s="4"/>
      <c r="AS1138" s="4"/>
      <c r="AT1138" s="4"/>
      <c r="AU1138" s="4"/>
      <c r="AV1138" s="4"/>
      <c r="AW1138" s="4"/>
      <c r="AX1138" s="4"/>
      <c r="AY1138" s="4"/>
      <c r="AZ1138" s="4"/>
      <c r="BA1138" s="4"/>
      <c r="BB1138" s="4"/>
      <c r="BC1138" s="4"/>
      <c r="BD1138" s="4"/>
      <c r="BE1138" s="4"/>
      <c r="BF1138" s="4"/>
      <c r="BG1138" s="4"/>
      <c r="BH1138" s="4"/>
      <c r="BI1138" s="4"/>
      <c r="BJ1138" s="4"/>
      <c r="BK1138" s="4"/>
      <c r="BL1138" s="4"/>
      <c r="BM1138" s="4"/>
      <c r="BN1138" s="4"/>
      <c r="BO1138" s="4"/>
      <c r="BP1138" s="4"/>
      <c r="BQ1138" s="4"/>
      <c r="BR1138" s="4"/>
      <c r="BS1138" s="4"/>
      <c r="BT1138" s="4"/>
      <c r="BU1138" s="4"/>
      <c r="BV1138" s="4"/>
      <c r="BW1138" s="4"/>
      <c r="BX1138" s="4"/>
      <c r="BY1138" s="4"/>
      <c r="BZ1138" s="4"/>
      <c r="CA1138" s="4"/>
      <c r="CB1138" s="4"/>
      <c r="CC1138" s="4"/>
      <c r="CD1138" s="4"/>
      <c r="CE1138" s="4"/>
      <c r="CF1138" s="4"/>
      <c r="CG1138" s="4"/>
      <c r="CH1138" s="4"/>
      <c r="CI1138" s="4"/>
      <c r="CJ1138" s="4"/>
      <c r="CK1138" s="4"/>
      <c r="CL1138" s="4"/>
      <c r="CM1138" s="4"/>
      <c r="CN1138" s="4"/>
      <c r="CO1138" s="4"/>
      <c r="CP1138" s="4"/>
      <c r="CQ1138" s="4"/>
      <c r="CR1138" s="4"/>
      <c r="CS1138" s="4"/>
      <c r="CT1138" s="4"/>
      <c r="CU1138" s="4"/>
      <c r="CV1138" s="4"/>
      <c r="CW1138" s="4"/>
      <c r="CX1138" s="4"/>
      <c r="CY1138" s="4"/>
      <c r="CZ1138" s="4"/>
      <c r="DA1138" s="4"/>
      <c r="DB1138" s="4"/>
      <c r="DC1138" s="4"/>
      <c r="DD1138" s="4"/>
      <c r="DE1138" s="4"/>
      <c r="DF1138" s="4"/>
      <c r="DG1138" s="4"/>
      <c r="DH1138" s="4"/>
      <c r="DI1138" s="4"/>
      <c r="DJ1138" s="4"/>
      <c r="DK1138" s="4"/>
      <c r="DL1138" s="4"/>
      <c r="DM1138" s="4"/>
      <c r="DN1138" s="4"/>
      <c r="DO1138" s="4"/>
      <c r="DP1138" s="4"/>
      <c r="DQ1138" s="4"/>
      <c r="DR1138" s="4"/>
      <c r="DS1138" s="4"/>
    </row>
    <row r="1139">
      <c r="A1139" s="9">
        <f>IFERROR(__xludf.DUMMYFUNCTION("""COMPUTED_VALUE"""),45776.0)</f>
        <v>45776</v>
      </c>
      <c r="B1139" s="6" t="str">
        <f>IFERROR(__xludf.DUMMYFUNCTION("""COMPUTED_VALUE"""),"Pets")</f>
        <v>Pets</v>
      </c>
      <c r="C1139" s="7">
        <f>IFERROR(__xludf.DUMMYFUNCTION("""COMPUTED_VALUE"""),26150.0)</f>
        <v>26150</v>
      </c>
      <c r="D1139" s="6" t="str">
        <f>IFERROR(__xludf.DUMMYFUNCTION("""COMPUTED_VALUE"""),"Pets")</f>
        <v>Pets</v>
      </c>
      <c r="E1139" s="6" t="str">
        <f>IFERROR(__xludf.DUMMYFUNCTION("""COMPUTED_VALUE"""),"Credit Card")</f>
        <v>Credit Card</v>
      </c>
      <c r="F1139" s="6" t="s">
        <v>7</v>
      </c>
      <c r="G1139" s="8" t="str">
        <f t="shared" si="1"/>
        <v>202504</v>
      </c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  <c r="AM1139" s="4"/>
      <c r="AN1139" s="4"/>
      <c r="AO1139" s="4"/>
      <c r="AP1139" s="4"/>
      <c r="AQ1139" s="4"/>
      <c r="AR1139" s="4"/>
      <c r="AS1139" s="4"/>
      <c r="AT1139" s="4"/>
      <c r="AU1139" s="4"/>
      <c r="AV1139" s="4"/>
      <c r="AW1139" s="4"/>
      <c r="AX1139" s="4"/>
      <c r="AY1139" s="4"/>
      <c r="AZ1139" s="4"/>
      <c r="BA1139" s="4"/>
      <c r="BB1139" s="4"/>
      <c r="BC1139" s="4"/>
      <c r="BD1139" s="4"/>
      <c r="BE1139" s="4"/>
      <c r="BF1139" s="4"/>
      <c r="BG1139" s="4"/>
      <c r="BH1139" s="4"/>
      <c r="BI1139" s="4"/>
      <c r="BJ1139" s="4"/>
      <c r="BK1139" s="4"/>
      <c r="BL1139" s="4"/>
      <c r="BM1139" s="4"/>
      <c r="BN1139" s="4"/>
      <c r="BO1139" s="4"/>
      <c r="BP1139" s="4"/>
      <c r="BQ1139" s="4"/>
      <c r="BR1139" s="4"/>
      <c r="BS1139" s="4"/>
      <c r="BT1139" s="4"/>
      <c r="BU1139" s="4"/>
      <c r="BV1139" s="4"/>
      <c r="BW1139" s="4"/>
      <c r="BX1139" s="4"/>
      <c r="BY1139" s="4"/>
      <c r="BZ1139" s="4"/>
      <c r="CA1139" s="4"/>
      <c r="CB1139" s="4"/>
      <c r="CC1139" s="4"/>
      <c r="CD1139" s="4"/>
      <c r="CE1139" s="4"/>
      <c r="CF1139" s="4"/>
      <c r="CG1139" s="4"/>
      <c r="CH1139" s="4"/>
      <c r="CI1139" s="4"/>
      <c r="CJ1139" s="4"/>
      <c r="CK1139" s="4"/>
      <c r="CL1139" s="4"/>
      <c r="CM1139" s="4"/>
      <c r="CN1139" s="4"/>
      <c r="CO1139" s="4"/>
      <c r="CP1139" s="4"/>
      <c r="CQ1139" s="4"/>
      <c r="CR1139" s="4"/>
      <c r="CS1139" s="4"/>
      <c r="CT1139" s="4"/>
      <c r="CU1139" s="4"/>
      <c r="CV1139" s="4"/>
      <c r="CW1139" s="4"/>
      <c r="CX1139" s="4"/>
      <c r="CY1139" s="4"/>
      <c r="CZ1139" s="4"/>
      <c r="DA1139" s="4"/>
      <c r="DB1139" s="4"/>
      <c r="DC1139" s="4"/>
      <c r="DD1139" s="4"/>
      <c r="DE1139" s="4"/>
      <c r="DF1139" s="4"/>
      <c r="DG1139" s="4"/>
      <c r="DH1139" s="4"/>
      <c r="DI1139" s="4"/>
      <c r="DJ1139" s="4"/>
      <c r="DK1139" s="4"/>
      <c r="DL1139" s="4"/>
      <c r="DM1139" s="4"/>
      <c r="DN1139" s="4"/>
      <c r="DO1139" s="4"/>
      <c r="DP1139" s="4"/>
      <c r="DQ1139" s="4"/>
      <c r="DR1139" s="4"/>
      <c r="DS1139" s="4"/>
    </row>
    <row r="1140">
      <c r="A1140" s="9">
        <f>IFERROR(__xludf.DUMMYFUNCTION("""COMPUTED_VALUE"""),45777.0)</f>
        <v>45777</v>
      </c>
      <c r="B1140" s="6" t="str">
        <f>IFERROR(__xludf.DUMMYFUNCTION("""COMPUTED_VALUE"""),"Rent &amp; Building Expenses")</f>
        <v>Rent &amp; Building Expenses</v>
      </c>
      <c r="C1140" s="7">
        <f>IFERROR(__xludf.DUMMYFUNCTION("""COMPUTED_VALUE"""),30000.0)</f>
        <v>30000</v>
      </c>
      <c r="D1140" s="6" t="str">
        <f>IFERROR(__xludf.DUMMYFUNCTION("""COMPUTED_VALUE"""),"Rent &amp; Utilities")</f>
        <v>Rent &amp; Utilities</v>
      </c>
      <c r="E1140" s="6" t="str">
        <f>IFERROR(__xludf.DUMMYFUNCTION("""COMPUTED_VALUE"""),"Virtual Wallet")</f>
        <v>Virtual Wallet</v>
      </c>
      <c r="F1140" s="6" t="s">
        <v>13</v>
      </c>
      <c r="G1140" s="8" t="str">
        <f t="shared" si="1"/>
        <v>202504</v>
      </c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  <c r="AM1140" s="4"/>
      <c r="AN1140" s="4"/>
      <c r="AO1140" s="4"/>
      <c r="AP1140" s="4"/>
      <c r="AQ1140" s="4"/>
      <c r="AR1140" s="4"/>
      <c r="AS1140" s="4"/>
      <c r="AT1140" s="4"/>
      <c r="AU1140" s="4"/>
      <c r="AV1140" s="4"/>
      <c r="AW1140" s="4"/>
      <c r="AX1140" s="4"/>
      <c r="AY1140" s="4"/>
      <c r="AZ1140" s="4"/>
      <c r="BA1140" s="4"/>
      <c r="BB1140" s="4"/>
      <c r="BC1140" s="4"/>
      <c r="BD1140" s="4"/>
      <c r="BE1140" s="4"/>
      <c r="BF1140" s="4"/>
      <c r="BG1140" s="4"/>
      <c r="BH1140" s="4"/>
      <c r="BI1140" s="4"/>
      <c r="BJ1140" s="4"/>
      <c r="BK1140" s="4"/>
      <c r="BL1140" s="4"/>
      <c r="BM1140" s="4"/>
      <c r="BN1140" s="4"/>
      <c r="BO1140" s="4"/>
      <c r="BP1140" s="4"/>
      <c r="BQ1140" s="4"/>
      <c r="BR1140" s="4"/>
      <c r="BS1140" s="4"/>
      <c r="BT1140" s="4"/>
      <c r="BU1140" s="4"/>
      <c r="BV1140" s="4"/>
      <c r="BW1140" s="4"/>
      <c r="BX1140" s="4"/>
      <c r="BY1140" s="4"/>
      <c r="BZ1140" s="4"/>
      <c r="CA1140" s="4"/>
      <c r="CB1140" s="4"/>
      <c r="CC1140" s="4"/>
      <c r="CD1140" s="4"/>
      <c r="CE1140" s="4"/>
      <c r="CF1140" s="4"/>
      <c r="CG1140" s="4"/>
      <c r="CH1140" s="4"/>
      <c r="CI1140" s="4"/>
      <c r="CJ1140" s="4"/>
      <c r="CK1140" s="4"/>
      <c r="CL1140" s="4"/>
      <c r="CM1140" s="4"/>
      <c r="CN1140" s="4"/>
      <c r="CO1140" s="4"/>
      <c r="CP1140" s="4"/>
      <c r="CQ1140" s="4"/>
      <c r="CR1140" s="4"/>
      <c r="CS1140" s="4"/>
      <c r="CT1140" s="4"/>
      <c r="CU1140" s="4"/>
      <c r="CV1140" s="4"/>
      <c r="CW1140" s="4"/>
      <c r="CX1140" s="4"/>
      <c r="CY1140" s="4"/>
      <c r="CZ1140" s="4"/>
      <c r="DA1140" s="4"/>
      <c r="DB1140" s="4"/>
      <c r="DC1140" s="4"/>
      <c r="DD1140" s="4"/>
      <c r="DE1140" s="4"/>
      <c r="DF1140" s="4"/>
      <c r="DG1140" s="4"/>
      <c r="DH1140" s="4"/>
      <c r="DI1140" s="4"/>
      <c r="DJ1140" s="4"/>
      <c r="DK1140" s="4"/>
      <c r="DL1140" s="4"/>
      <c r="DM1140" s="4"/>
      <c r="DN1140" s="4"/>
      <c r="DO1140" s="4"/>
      <c r="DP1140" s="4"/>
      <c r="DQ1140" s="4"/>
      <c r="DR1140" s="4"/>
      <c r="DS1140" s="4"/>
    </row>
    <row r="1141">
      <c r="A1141" s="9">
        <f>IFERROR(__xludf.DUMMYFUNCTION("""COMPUTED_VALUE"""),45778.0)</f>
        <v>45778</v>
      </c>
      <c r="B1141" s="6" t="str">
        <f>IFERROR(__xludf.DUMMYFUNCTION("""COMPUTED_VALUE"""),"Groceries")</f>
        <v>Groceries</v>
      </c>
      <c r="C1141" s="7">
        <f>IFERROR(__xludf.DUMMYFUNCTION("""COMPUTED_VALUE"""),2900.0)</f>
        <v>2900</v>
      </c>
      <c r="D1141" s="6" t="str">
        <f>IFERROR(__xludf.DUMMYFUNCTION("""COMPUTED_VALUE"""),"Groceries")</f>
        <v>Groceries</v>
      </c>
      <c r="E1141" s="6" t="str">
        <f>IFERROR(__xludf.DUMMYFUNCTION("""COMPUTED_VALUE"""),"Split Payment")</f>
        <v>Split Payment</v>
      </c>
      <c r="F1141" s="6" t="s">
        <v>7</v>
      </c>
      <c r="G1141" s="8" t="str">
        <f t="shared" si="1"/>
        <v>202505</v>
      </c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  <c r="AM1141" s="4"/>
      <c r="AN1141" s="4"/>
      <c r="AO1141" s="4"/>
      <c r="AP1141" s="4"/>
      <c r="AQ1141" s="4"/>
      <c r="AR1141" s="4"/>
      <c r="AS1141" s="4"/>
      <c r="AT1141" s="4"/>
      <c r="AU1141" s="4"/>
      <c r="AV1141" s="4"/>
      <c r="AW1141" s="4"/>
      <c r="AX1141" s="4"/>
      <c r="AY1141" s="4"/>
      <c r="AZ1141" s="4"/>
      <c r="BA1141" s="4"/>
      <c r="BB1141" s="4"/>
      <c r="BC1141" s="4"/>
      <c r="BD1141" s="4"/>
      <c r="BE1141" s="4"/>
      <c r="BF1141" s="4"/>
      <c r="BG1141" s="4"/>
      <c r="BH1141" s="4"/>
      <c r="BI1141" s="4"/>
      <c r="BJ1141" s="4"/>
      <c r="BK1141" s="4"/>
      <c r="BL1141" s="4"/>
      <c r="BM1141" s="4"/>
      <c r="BN1141" s="4"/>
      <c r="BO1141" s="4"/>
      <c r="BP1141" s="4"/>
      <c r="BQ1141" s="4"/>
      <c r="BR1141" s="4"/>
      <c r="BS1141" s="4"/>
      <c r="BT1141" s="4"/>
      <c r="BU1141" s="4"/>
      <c r="BV1141" s="4"/>
      <c r="BW1141" s="4"/>
      <c r="BX1141" s="4"/>
      <c r="BY1141" s="4"/>
      <c r="BZ1141" s="4"/>
      <c r="CA1141" s="4"/>
      <c r="CB1141" s="4"/>
      <c r="CC1141" s="4"/>
      <c r="CD1141" s="4"/>
      <c r="CE1141" s="4"/>
      <c r="CF1141" s="4"/>
      <c r="CG1141" s="4"/>
      <c r="CH1141" s="4"/>
      <c r="CI1141" s="4"/>
      <c r="CJ1141" s="4"/>
      <c r="CK1141" s="4"/>
      <c r="CL1141" s="4"/>
      <c r="CM1141" s="4"/>
      <c r="CN1141" s="4"/>
      <c r="CO1141" s="4"/>
      <c r="CP1141" s="4"/>
      <c r="CQ1141" s="4"/>
      <c r="CR1141" s="4"/>
      <c r="CS1141" s="4"/>
      <c r="CT1141" s="4"/>
      <c r="CU1141" s="4"/>
      <c r="CV1141" s="4"/>
      <c r="CW1141" s="4"/>
      <c r="CX1141" s="4"/>
      <c r="CY1141" s="4"/>
      <c r="CZ1141" s="4"/>
      <c r="DA1141" s="4"/>
      <c r="DB1141" s="4"/>
      <c r="DC1141" s="4"/>
      <c r="DD1141" s="4"/>
      <c r="DE1141" s="4"/>
      <c r="DF1141" s="4"/>
      <c r="DG1141" s="4"/>
      <c r="DH1141" s="4"/>
      <c r="DI1141" s="4"/>
      <c r="DJ1141" s="4"/>
      <c r="DK1141" s="4"/>
      <c r="DL1141" s="4"/>
      <c r="DM1141" s="4"/>
      <c r="DN1141" s="4"/>
      <c r="DO1141" s="4"/>
      <c r="DP1141" s="4"/>
      <c r="DQ1141" s="4"/>
      <c r="DR1141" s="4"/>
      <c r="DS1141" s="4"/>
    </row>
    <row r="1142">
      <c r="A1142" s="9">
        <f>IFERROR(__xludf.DUMMYFUNCTION("""COMPUTED_VALUE"""),45778.0)</f>
        <v>45778</v>
      </c>
      <c r="B1142" s="6" t="str">
        <f>IFERROR(__xludf.DUMMYFUNCTION("""COMPUTED_VALUE"""),"Restaurant")</f>
        <v>Restaurant</v>
      </c>
      <c r="C1142" s="7">
        <f>IFERROR(__xludf.DUMMYFUNCTION("""COMPUTED_VALUE"""),10450.0)</f>
        <v>10450</v>
      </c>
      <c r="D1142" s="6" t="str">
        <f>IFERROR(__xludf.DUMMYFUNCTION("""COMPUTED_VALUE"""),"Restaurant / Café")</f>
        <v>Restaurant / Café</v>
      </c>
      <c r="E1142" s="6" t="str">
        <f>IFERROR(__xludf.DUMMYFUNCTION("""COMPUTED_VALUE"""),"Virtual Wallet")</f>
        <v>Virtual Wallet</v>
      </c>
      <c r="F1142" s="6" t="s">
        <v>14</v>
      </c>
      <c r="G1142" s="8" t="str">
        <f t="shared" si="1"/>
        <v>202505</v>
      </c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  <c r="AM1142" s="4"/>
      <c r="AN1142" s="4"/>
      <c r="AO1142" s="4"/>
      <c r="AP1142" s="4"/>
      <c r="AQ1142" s="4"/>
      <c r="AR1142" s="4"/>
      <c r="AS1142" s="4"/>
      <c r="AT1142" s="4"/>
      <c r="AU1142" s="4"/>
      <c r="AV1142" s="4"/>
      <c r="AW1142" s="4"/>
      <c r="AX1142" s="4"/>
      <c r="AY1142" s="4"/>
      <c r="AZ1142" s="4"/>
      <c r="BA1142" s="4"/>
      <c r="BB1142" s="4"/>
      <c r="BC1142" s="4"/>
      <c r="BD1142" s="4"/>
      <c r="BE1142" s="4"/>
      <c r="BF1142" s="4"/>
      <c r="BG1142" s="4"/>
      <c r="BH1142" s="4"/>
      <c r="BI1142" s="4"/>
      <c r="BJ1142" s="4"/>
      <c r="BK1142" s="4"/>
      <c r="BL1142" s="4"/>
      <c r="BM1142" s="4"/>
      <c r="BN1142" s="4"/>
      <c r="BO1142" s="4"/>
      <c r="BP1142" s="4"/>
      <c r="BQ1142" s="4"/>
      <c r="BR1142" s="4"/>
      <c r="BS1142" s="4"/>
      <c r="BT1142" s="4"/>
      <c r="BU1142" s="4"/>
      <c r="BV1142" s="4"/>
      <c r="BW1142" s="4"/>
      <c r="BX1142" s="4"/>
      <c r="BY1142" s="4"/>
      <c r="BZ1142" s="4"/>
      <c r="CA1142" s="4"/>
      <c r="CB1142" s="4"/>
      <c r="CC1142" s="4"/>
      <c r="CD1142" s="4"/>
      <c r="CE1142" s="4"/>
      <c r="CF1142" s="4"/>
      <c r="CG1142" s="4"/>
      <c r="CH1142" s="4"/>
      <c r="CI1142" s="4"/>
      <c r="CJ1142" s="4"/>
      <c r="CK1142" s="4"/>
      <c r="CL1142" s="4"/>
      <c r="CM1142" s="4"/>
      <c r="CN1142" s="4"/>
      <c r="CO1142" s="4"/>
      <c r="CP1142" s="4"/>
      <c r="CQ1142" s="4"/>
      <c r="CR1142" s="4"/>
      <c r="CS1142" s="4"/>
      <c r="CT1142" s="4"/>
      <c r="CU1142" s="4"/>
      <c r="CV1142" s="4"/>
      <c r="CW1142" s="4"/>
      <c r="CX1142" s="4"/>
      <c r="CY1142" s="4"/>
      <c r="CZ1142" s="4"/>
      <c r="DA1142" s="4"/>
      <c r="DB1142" s="4"/>
      <c r="DC1142" s="4"/>
      <c r="DD1142" s="4"/>
      <c r="DE1142" s="4"/>
      <c r="DF1142" s="4"/>
      <c r="DG1142" s="4"/>
      <c r="DH1142" s="4"/>
      <c r="DI1142" s="4"/>
      <c r="DJ1142" s="4"/>
      <c r="DK1142" s="4"/>
      <c r="DL1142" s="4"/>
      <c r="DM1142" s="4"/>
      <c r="DN1142" s="4"/>
      <c r="DO1142" s="4"/>
      <c r="DP1142" s="4"/>
      <c r="DQ1142" s="4"/>
      <c r="DR1142" s="4"/>
      <c r="DS1142" s="4"/>
    </row>
    <row r="1143">
      <c r="A1143" s="9">
        <f>IFERROR(__xludf.DUMMYFUNCTION("""COMPUTED_VALUE"""),45778.0)</f>
        <v>45778</v>
      </c>
      <c r="B1143" s="6" t="str">
        <f>IFERROR(__xludf.DUMMYFUNCTION("""COMPUTED_VALUE"""),"Sports")</f>
        <v>Sports</v>
      </c>
      <c r="C1143" s="7">
        <f>IFERROR(__xludf.DUMMYFUNCTION("""COMPUTED_VALUE"""),69000.0)</f>
        <v>69000</v>
      </c>
      <c r="D1143" s="6" t="str">
        <f>IFERROR(__xludf.DUMMYFUNCTION("""COMPUTED_VALUE"""),"Sports")</f>
        <v>Sports</v>
      </c>
      <c r="E1143" s="6" t="str">
        <f>IFERROR(__xludf.DUMMYFUNCTION("""COMPUTED_VALUE"""),"Cash")</f>
        <v>Cash</v>
      </c>
      <c r="F1143" s="6" t="s">
        <v>12</v>
      </c>
      <c r="G1143" s="8" t="str">
        <f t="shared" si="1"/>
        <v>202505</v>
      </c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  <c r="AH1143" s="4"/>
      <c r="AI1143" s="4"/>
      <c r="AJ1143" s="4"/>
      <c r="AK1143" s="4"/>
      <c r="AL1143" s="4"/>
      <c r="AM1143" s="4"/>
      <c r="AN1143" s="4"/>
      <c r="AO1143" s="4"/>
      <c r="AP1143" s="4"/>
      <c r="AQ1143" s="4"/>
      <c r="AR1143" s="4"/>
      <c r="AS1143" s="4"/>
      <c r="AT1143" s="4"/>
      <c r="AU1143" s="4"/>
      <c r="AV1143" s="4"/>
      <c r="AW1143" s="4"/>
      <c r="AX1143" s="4"/>
      <c r="AY1143" s="4"/>
      <c r="AZ1143" s="4"/>
      <c r="BA1143" s="4"/>
      <c r="BB1143" s="4"/>
      <c r="BC1143" s="4"/>
      <c r="BD1143" s="4"/>
      <c r="BE1143" s="4"/>
      <c r="BF1143" s="4"/>
      <c r="BG1143" s="4"/>
      <c r="BH1143" s="4"/>
      <c r="BI1143" s="4"/>
      <c r="BJ1143" s="4"/>
      <c r="BK1143" s="4"/>
      <c r="BL1143" s="4"/>
      <c r="BM1143" s="4"/>
      <c r="BN1143" s="4"/>
      <c r="BO1143" s="4"/>
      <c r="BP1143" s="4"/>
      <c r="BQ1143" s="4"/>
      <c r="BR1143" s="4"/>
      <c r="BS1143" s="4"/>
      <c r="BT1143" s="4"/>
      <c r="BU1143" s="4"/>
      <c r="BV1143" s="4"/>
      <c r="BW1143" s="4"/>
      <c r="BX1143" s="4"/>
      <c r="BY1143" s="4"/>
      <c r="BZ1143" s="4"/>
      <c r="CA1143" s="4"/>
      <c r="CB1143" s="4"/>
      <c r="CC1143" s="4"/>
      <c r="CD1143" s="4"/>
      <c r="CE1143" s="4"/>
      <c r="CF1143" s="4"/>
      <c r="CG1143" s="4"/>
      <c r="CH1143" s="4"/>
      <c r="CI1143" s="4"/>
      <c r="CJ1143" s="4"/>
      <c r="CK1143" s="4"/>
      <c r="CL1143" s="4"/>
      <c r="CM1143" s="4"/>
      <c r="CN1143" s="4"/>
      <c r="CO1143" s="4"/>
      <c r="CP1143" s="4"/>
      <c r="CQ1143" s="4"/>
      <c r="CR1143" s="4"/>
      <c r="CS1143" s="4"/>
      <c r="CT1143" s="4"/>
      <c r="CU1143" s="4"/>
      <c r="CV1143" s="4"/>
      <c r="CW1143" s="4"/>
      <c r="CX1143" s="4"/>
      <c r="CY1143" s="4"/>
      <c r="CZ1143" s="4"/>
      <c r="DA1143" s="4"/>
      <c r="DB1143" s="4"/>
      <c r="DC1143" s="4"/>
      <c r="DD1143" s="4"/>
      <c r="DE1143" s="4"/>
      <c r="DF1143" s="4"/>
      <c r="DG1143" s="4"/>
      <c r="DH1143" s="4"/>
      <c r="DI1143" s="4"/>
      <c r="DJ1143" s="4"/>
      <c r="DK1143" s="4"/>
      <c r="DL1143" s="4"/>
      <c r="DM1143" s="4"/>
      <c r="DN1143" s="4"/>
      <c r="DO1143" s="4"/>
      <c r="DP1143" s="4"/>
      <c r="DQ1143" s="4"/>
      <c r="DR1143" s="4"/>
      <c r="DS1143" s="4"/>
    </row>
    <row r="1144">
      <c r="A1144" s="9">
        <f>IFERROR(__xludf.DUMMYFUNCTION("""COMPUTED_VALUE"""),45779.0)</f>
        <v>45779</v>
      </c>
      <c r="B1144" s="6" t="str">
        <f>IFERROR(__xludf.DUMMYFUNCTION("""COMPUTED_VALUE"""),"Groceries")</f>
        <v>Groceries</v>
      </c>
      <c r="C1144" s="7">
        <f>IFERROR(__xludf.DUMMYFUNCTION("""COMPUTED_VALUE"""),1998.0)</f>
        <v>1998</v>
      </c>
      <c r="D1144" s="6" t="str">
        <f>IFERROR(__xludf.DUMMYFUNCTION("""COMPUTED_VALUE"""),"Groceries")</f>
        <v>Groceries</v>
      </c>
      <c r="E1144" s="6" t="str">
        <f>IFERROR(__xludf.DUMMYFUNCTION("""COMPUTED_VALUE"""),"Virtual Wallet")</f>
        <v>Virtual Wallet</v>
      </c>
      <c r="F1144" s="6" t="s">
        <v>7</v>
      </c>
      <c r="G1144" s="8" t="str">
        <f t="shared" si="1"/>
        <v>202505</v>
      </c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  <c r="AM1144" s="4"/>
      <c r="AN1144" s="4"/>
      <c r="AO1144" s="4"/>
      <c r="AP1144" s="4"/>
      <c r="AQ1144" s="4"/>
      <c r="AR1144" s="4"/>
      <c r="AS1144" s="4"/>
      <c r="AT1144" s="4"/>
      <c r="AU1144" s="4"/>
      <c r="AV1144" s="4"/>
      <c r="AW1144" s="4"/>
      <c r="AX1144" s="4"/>
      <c r="AY1144" s="4"/>
      <c r="AZ1144" s="4"/>
      <c r="BA1144" s="4"/>
      <c r="BB1144" s="4"/>
      <c r="BC1144" s="4"/>
      <c r="BD1144" s="4"/>
      <c r="BE1144" s="4"/>
      <c r="BF1144" s="4"/>
      <c r="BG1144" s="4"/>
      <c r="BH1144" s="4"/>
      <c r="BI1144" s="4"/>
      <c r="BJ1144" s="4"/>
      <c r="BK1144" s="4"/>
      <c r="BL1144" s="4"/>
      <c r="BM1144" s="4"/>
      <c r="BN1144" s="4"/>
      <c r="BO1144" s="4"/>
      <c r="BP1144" s="4"/>
      <c r="BQ1144" s="4"/>
      <c r="BR1144" s="4"/>
      <c r="BS1144" s="4"/>
      <c r="BT1144" s="4"/>
      <c r="BU1144" s="4"/>
      <c r="BV1144" s="4"/>
      <c r="BW1144" s="4"/>
      <c r="BX1144" s="4"/>
      <c r="BY1144" s="4"/>
      <c r="BZ1144" s="4"/>
      <c r="CA1144" s="4"/>
      <c r="CB1144" s="4"/>
      <c r="CC1144" s="4"/>
      <c r="CD1144" s="4"/>
      <c r="CE1144" s="4"/>
      <c r="CF1144" s="4"/>
      <c r="CG1144" s="4"/>
      <c r="CH1144" s="4"/>
      <c r="CI1144" s="4"/>
      <c r="CJ1144" s="4"/>
      <c r="CK1144" s="4"/>
      <c r="CL1144" s="4"/>
      <c r="CM1144" s="4"/>
      <c r="CN1144" s="4"/>
      <c r="CO1144" s="4"/>
      <c r="CP1144" s="4"/>
      <c r="CQ1144" s="4"/>
      <c r="CR1144" s="4"/>
      <c r="CS1144" s="4"/>
      <c r="CT1144" s="4"/>
      <c r="CU1144" s="4"/>
      <c r="CV1144" s="4"/>
      <c r="CW1144" s="4"/>
      <c r="CX1144" s="4"/>
      <c r="CY1144" s="4"/>
      <c r="CZ1144" s="4"/>
      <c r="DA1144" s="4"/>
      <c r="DB1144" s="4"/>
      <c r="DC1144" s="4"/>
      <c r="DD1144" s="4"/>
      <c r="DE1144" s="4"/>
      <c r="DF1144" s="4"/>
      <c r="DG1144" s="4"/>
      <c r="DH1144" s="4"/>
      <c r="DI1144" s="4"/>
      <c r="DJ1144" s="4"/>
      <c r="DK1144" s="4"/>
      <c r="DL1144" s="4"/>
      <c r="DM1144" s="4"/>
      <c r="DN1144" s="4"/>
      <c r="DO1144" s="4"/>
      <c r="DP1144" s="4"/>
      <c r="DQ1144" s="4"/>
      <c r="DR1144" s="4"/>
      <c r="DS1144" s="4"/>
    </row>
    <row r="1145">
      <c r="A1145" s="9">
        <f>IFERROR(__xludf.DUMMYFUNCTION("""COMPUTED_VALUE"""),45779.0)</f>
        <v>45779</v>
      </c>
      <c r="B1145" s="6" t="str">
        <f>IFERROR(__xludf.DUMMYFUNCTION("""COMPUTED_VALUE"""),"Groceries")</f>
        <v>Groceries</v>
      </c>
      <c r="C1145" s="7">
        <f>IFERROR(__xludf.DUMMYFUNCTION("""COMPUTED_VALUE"""),5600.0)</f>
        <v>5600</v>
      </c>
      <c r="D1145" s="6" t="str">
        <f>IFERROR(__xludf.DUMMYFUNCTION("""COMPUTED_VALUE"""),"Restaurant / Café")</f>
        <v>Restaurant / Café</v>
      </c>
      <c r="E1145" s="6" t="str">
        <f>IFERROR(__xludf.DUMMYFUNCTION("""COMPUTED_VALUE"""),"Virtual Wallet")</f>
        <v>Virtual Wallet</v>
      </c>
      <c r="F1145" s="6" t="s">
        <v>14</v>
      </c>
      <c r="G1145" s="8" t="str">
        <f t="shared" si="1"/>
        <v>202505</v>
      </c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  <c r="AM1145" s="4"/>
      <c r="AN1145" s="4"/>
      <c r="AO1145" s="4"/>
      <c r="AP1145" s="4"/>
      <c r="AQ1145" s="4"/>
      <c r="AR1145" s="4"/>
      <c r="AS1145" s="4"/>
      <c r="AT1145" s="4"/>
      <c r="AU1145" s="4"/>
      <c r="AV1145" s="4"/>
      <c r="AW1145" s="4"/>
      <c r="AX1145" s="4"/>
      <c r="AY1145" s="4"/>
      <c r="AZ1145" s="4"/>
      <c r="BA1145" s="4"/>
      <c r="BB1145" s="4"/>
      <c r="BC1145" s="4"/>
      <c r="BD1145" s="4"/>
      <c r="BE1145" s="4"/>
      <c r="BF1145" s="4"/>
      <c r="BG1145" s="4"/>
      <c r="BH1145" s="4"/>
      <c r="BI1145" s="4"/>
      <c r="BJ1145" s="4"/>
      <c r="BK1145" s="4"/>
      <c r="BL1145" s="4"/>
      <c r="BM1145" s="4"/>
      <c r="BN1145" s="4"/>
      <c r="BO1145" s="4"/>
      <c r="BP1145" s="4"/>
      <c r="BQ1145" s="4"/>
      <c r="BR1145" s="4"/>
      <c r="BS1145" s="4"/>
      <c r="BT1145" s="4"/>
      <c r="BU1145" s="4"/>
      <c r="BV1145" s="4"/>
      <c r="BW1145" s="4"/>
      <c r="BX1145" s="4"/>
      <c r="BY1145" s="4"/>
      <c r="BZ1145" s="4"/>
      <c r="CA1145" s="4"/>
      <c r="CB1145" s="4"/>
      <c r="CC1145" s="4"/>
      <c r="CD1145" s="4"/>
      <c r="CE1145" s="4"/>
      <c r="CF1145" s="4"/>
      <c r="CG1145" s="4"/>
      <c r="CH1145" s="4"/>
      <c r="CI1145" s="4"/>
      <c r="CJ1145" s="4"/>
      <c r="CK1145" s="4"/>
      <c r="CL1145" s="4"/>
      <c r="CM1145" s="4"/>
      <c r="CN1145" s="4"/>
      <c r="CO1145" s="4"/>
      <c r="CP1145" s="4"/>
      <c r="CQ1145" s="4"/>
      <c r="CR1145" s="4"/>
      <c r="CS1145" s="4"/>
      <c r="CT1145" s="4"/>
      <c r="CU1145" s="4"/>
      <c r="CV1145" s="4"/>
      <c r="CW1145" s="4"/>
      <c r="CX1145" s="4"/>
      <c r="CY1145" s="4"/>
      <c r="CZ1145" s="4"/>
      <c r="DA1145" s="4"/>
      <c r="DB1145" s="4"/>
      <c r="DC1145" s="4"/>
      <c r="DD1145" s="4"/>
      <c r="DE1145" s="4"/>
      <c r="DF1145" s="4"/>
      <c r="DG1145" s="4"/>
      <c r="DH1145" s="4"/>
      <c r="DI1145" s="4"/>
      <c r="DJ1145" s="4"/>
      <c r="DK1145" s="4"/>
      <c r="DL1145" s="4"/>
      <c r="DM1145" s="4"/>
      <c r="DN1145" s="4"/>
      <c r="DO1145" s="4"/>
      <c r="DP1145" s="4"/>
      <c r="DQ1145" s="4"/>
      <c r="DR1145" s="4"/>
      <c r="DS1145" s="4"/>
    </row>
    <row r="1146">
      <c r="A1146" s="9">
        <f>IFERROR(__xludf.DUMMYFUNCTION("""COMPUTED_VALUE"""),45779.0)</f>
        <v>45779</v>
      </c>
      <c r="B1146" s="6" t="str">
        <f>IFERROR(__xludf.DUMMYFUNCTION("""COMPUTED_VALUE"""),"Groceries")</f>
        <v>Groceries</v>
      </c>
      <c r="C1146" s="7">
        <f>IFERROR(__xludf.DUMMYFUNCTION("""COMPUTED_VALUE"""),10689.0)</f>
        <v>10689</v>
      </c>
      <c r="D1146" s="6" t="str">
        <f>IFERROR(__xludf.DUMMYFUNCTION("""COMPUTED_VALUE"""),"Groceries")</f>
        <v>Groceries</v>
      </c>
      <c r="E1146" s="6" t="str">
        <f>IFERROR(__xludf.DUMMYFUNCTION("""COMPUTED_VALUE"""),"Virtual Wallet")</f>
        <v>Virtual Wallet</v>
      </c>
      <c r="F1146" s="6" t="s">
        <v>7</v>
      </c>
      <c r="G1146" s="8" t="str">
        <f t="shared" si="1"/>
        <v>202505</v>
      </c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  <c r="AH1146" s="4"/>
      <c r="AI1146" s="4"/>
      <c r="AJ1146" s="4"/>
      <c r="AK1146" s="4"/>
      <c r="AL1146" s="4"/>
      <c r="AM1146" s="4"/>
      <c r="AN1146" s="4"/>
      <c r="AO1146" s="4"/>
      <c r="AP1146" s="4"/>
      <c r="AQ1146" s="4"/>
      <c r="AR1146" s="4"/>
      <c r="AS1146" s="4"/>
      <c r="AT1146" s="4"/>
      <c r="AU1146" s="4"/>
      <c r="AV1146" s="4"/>
      <c r="AW1146" s="4"/>
      <c r="AX1146" s="4"/>
      <c r="AY1146" s="4"/>
      <c r="AZ1146" s="4"/>
      <c r="BA1146" s="4"/>
      <c r="BB1146" s="4"/>
      <c r="BC1146" s="4"/>
      <c r="BD1146" s="4"/>
      <c r="BE1146" s="4"/>
      <c r="BF1146" s="4"/>
      <c r="BG1146" s="4"/>
      <c r="BH1146" s="4"/>
      <c r="BI1146" s="4"/>
      <c r="BJ1146" s="4"/>
      <c r="BK1146" s="4"/>
      <c r="BL1146" s="4"/>
      <c r="BM1146" s="4"/>
      <c r="BN1146" s="4"/>
      <c r="BO1146" s="4"/>
      <c r="BP1146" s="4"/>
      <c r="BQ1146" s="4"/>
      <c r="BR1146" s="4"/>
      <c r="BS1146" s="4"/>
      <c r="BT1146" s="4"/>
      <c r="BU1146" s="4"/>
      <c r="BV1146" s="4"/>
      <c r="BW1146" s="4"/>
      <c r="BX1146" s="4"/>
      <c r="BY1146" s="4"/>
      <c r="BZ1146" s="4"/>
      <c r="CA1146" s="4"/>
      <c r="CB1146" s="4"/>
      <c r="CC1146" s="4"/>
      <c r="CD1146" s="4"/>
      <c r="CE1146" s="4"/>
      <c r="CF1146" s="4"/>
      <c r="CG1146" s="4"/>
      <c r="CH1146" s="4"/>
      <c r="CI1146" s="4"/>
      <c r="CJ1146" s="4"/>
      <c r="CK1146" s="4"/>
      <c r="CL1146" s="4"/>
      <c r="CM1146" s="4"/>
      <c r="CN1146" s="4"/>
      <c r="CO1146" s="4"/>
      <c r="CP1146" s="4"/>
      <c r="CQ1146" s="4"/>
      <c r="CR1146" s="4"/>
      <c r="CS1146" s="4"/>
      <c r="CT1146" s="4"/>
      <c r="CU1146" s="4"/>
      <c r="CV1146" s="4"/>
      <c r="CW1146" s="4"/>
      <c r="CX1146" s="4"/>
      <c r="CY1146" s="4"/>
      <c r="CZ1146" s="4"/>
      <c r="DA1146" s="4"/>
      <c r="DB1146" s="4"/>
      <c r="DC1146" s="4"/>
      <c r="DD1146" s="4"/>
      <c r="DE1146" s="4"/>
      <c r="DF1146" s="4"/>
      <c r="DG1146" s="4"/>
      <c r="DH1146" s="4"/>
      <c r="DI1146" s="4"/>
      <c r="DJ1146" s="4"/>
      <c r="DK1146" s="4"/>
      <c r="DL1146" s="4"/>
      <c r="DM1146" s="4"/>
      <c r="DN1146" s="4"/>
      <c r="DO1146" s="4"/>
      <c r="DP1146" s="4"/>
      <c r="DQ1146" s="4"/>
      <c r="DR1146" s="4"/>
      <c r="DS1146" s="4"/>
    </row>
    <row r="1147">
      <c r="A1147" s="9">
        <f>IFERROR(__xludf.DUMMYFUNCTION("""COMPUTED_VALUE"""),45779.0)</f>
        <v>45779</v>
      </c>
      <c r="B1147" s="6" t="str">
        <f>IFERROR(__xludf.DUMMYFUNCTION("""COMPUTED_VALUE"""),"Home Goods")</f>
        <v>Home Goods</v>
      </c>
      <c r="C1147" s="7">
        <f>IFERROR(__xludf.DUMMYFUNCTION("""COMPUTED_VALUE"""),1650.0)</f>
        <v>1650</v>
      </c>
      <c r="D1147" s="6" t="str">
        <f>IFERROR(__xludf.DUMMYFUNCTION("""COMPUTED_VALUE"""),"Home Goods &amp; Utilities")</f>
        <v>Home Goods &amp; Utilities</v>
      </c>
      <c r="E1147" s="6" t="str">
        <f>IFERROR(__xludf.DUMMYFUNCTION("""COMPUTED_VALUE"""),"Virtual Wallet")</f>
        <v>Virtual Wallet</v>
      </c>
      <c r="F1147" s="6" t="s">
        <v>8</v>
      </c>
      <c r="G1147" s="8" t="str">
        <f t="shared" si="1"/>
        <v>202505</v>
      </c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  <c r="AM1147" s="4"/>
      <c r="AN1147" s="4"/>
      <c r="AO1147" s="4"/>
      <c r="AP1147" s="4"/>
      <c r="AQ1147" s="4"/>
      <c r="AR1147" s="4"/>
      <c r="AS1147" s="4"/>
      <c r="AT1147" s="4"/>
      <c r="AU1147" s="4"/>
      <c r="AV1147" s="4"/>
      <c r="AW1147" s="4"/>
      <c r="AX1147" s="4"/>
      <c r="AY1147" s="4"/>
      <c r="AZ1147" s="4"/>
      <c r="BA1147" s="4"/>
      <c r="BB1147" s="4"/>
      <c r="BC1147" s="4"/>
      <c r="BD1147" s="4"/>
      <c r="BE1147" s="4"/>
      <c r="BF1147" s="4"/>
      <c r="BG1147" s="4"/>
      <c r="BH1147" s="4"/>
      <c r="BI1147" s="4"/>
      <c r="BJ1147" s="4"/>
      <c r="BK1147" s="4"/>
      <c r="BL1147" s="4"/>
      <c r="BM1147" s="4"/>
      <c r="BN1147" s="4"/>
      <c r="BO1147" s="4"/>
      <c r="BP1147" s="4"/>
      <c r="BQ1147" s="4"/>
      <c r="BR1147" s="4"/>
      <c r="BS1147" s="4"/>
      <c r="BT1147" s="4"/>
      <c r="BU1147" s="4"/>
      <c r="BV1147" s="4"/>
      <c r="BW1147" s="4"/>
      <c r="BX1147" s="4"/>
      <c r="BY1147" s="4"/>
      <c r="BZ1147" s="4"/>
      <c r="CA1147" s="4"/>
      <c r="CB1147" s="4"/>
      <c r="CC1147" s="4"/>
      <c r="CD1147" s="4"/>
      <c r="CE1147" s="4"/>
      <c r="CF1147" s="4"/>
      <c r="CG1147" s="4"/>
      <c r="CH1147" s="4"/>
      <c r="CI1147" s="4"/>
      <c r="CJ1147" s="4"/>
      <c r="CK1147" s="4"/>
      <c r="CL1147" s="4"/>
      <c r="CM1147" s="4"/>
      <c r="CN1147" s="4"/>
      <c r="CO1147" s="4"/>
      <c r="CP1147" s="4"/>
      <c r="CQ1147" s="4"/>
      <c r="CR1147" s="4"/>
      <c r="CS1147" s="4"/>
      <c r="CT1147" s="4"/>
      <c r="CU1147" s="4"/>
      <c r="CV1147" s="4"/>
      <c r="CW1147" s="4"/>
      <c r="CX1147" s="4"/>
      <c r="CY1147" s="4"/>
      <c r="CZ1147" s="4"/>
      <c r="DA1147" s="4"/>
      <c r="DB1147" s="4"/>
      <c r="DC1147" s="4"/>
      <c r="DD1147" s="4"/>
      <c r="DE1147" s="4"/>
      <c r="DF1147" s="4"/>
      <c r="DG1147" s="4"/>
      <c r="DH1147" s="4"/>
      <c r="DI1147" s="4"/>
      <c r="DJ1147" s="4"/>
      <c r="DK1147" s="4"/>
      <c r="DL1147" s="4"/>
      <c r="DM1147" s="4"/>
      <c r="DN1147" s="4"/>
      <c r="DO1147" s="4"/>
      <c r="DP1147" s="4"/>
      <c r="DQ1147" s="4"/>
      <c r="DR1147" s="4"/>
      <c r="DS1147" s="4"/>
    </row>
    <row r="1148">
      <c r="A1148" s="9">
        <f>IFERROR(__xludf.DUMMYFUNCTION("""COMPUTED_VALUE"""),45779.0)</f>
        <v>45779</v>
      </c>
      <c r="B1148" s="6" t="str">
        <f>IFERROR(__xludf.DUMMYFUNCTION("""COMPUTED_VALUE"""),"Recreation")</f>
        <v>Recreation</v>
      </c>
      <c r="C1148" s="7">
        <f>IFERROR(__xludf.DUMMYFUNCTION("""COMPUTED_VALUE"""),10000.0)</f>
        <v>10000</v>
      </c>
      <c r="D1148" s="6" t="str">
        <f>IFERROR(__xludf.DUMMYFUNCTION("""COMPUTED_VALUE"""),"Recreation")</f>
        <v>Recreation</v>
      </c>
      <c r="E1148" s="6" t="str">
        <f>IFERROR(__xludf.DUMMYFUNCTION("""COMPUTED_VALUE"""),"Virtual Wallet")</f>
        <v>Virtual Wallet</v>
      </c>
      <c r="F1148" s="6" t="s">
        <v>12</v>
      </c>
      <c r="G1148" s="8" t="str">
        <f t="shared" si="1"/>
        <v>202505</v>
      </c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  <c r="AM1148" s="4"/>
      <c r="AN1148" s="4"/>
      <c r="AO1148" s="4"/>
      <c r="AP1148" s="4"/>
      <c r="AQ1148" s="4"/>
      <c r="AR1148" s="4"/>
      <c r="AS1148" s="4"/>
      <c r="AT1148" s="4"/>
      <c r="AU1148" s="4"/>
      <c r="AV1148" s="4"/>
      <c r="AW1148" s="4"/>
      <c r="AX1148" s="4"/>
      <c r="AY1148" s="4"/>
      <c r="AZ1148" s="4"/>
      <c r="BA1148" s="4"/>
      <c r="BB1148" s="4"/>
      <c r="BC1148" s="4"/>
      <c r="BD1148" s="4"/>
      <c r="BE1148" s="4"/>
      <c r="BF1148" s="4"/>
      <c r="BG1148" s="4"/>
      <c r="BH1148" s="4"/>
      <c r="BI1148" s="4"/>
      <c r="BJ1148" s="4"/>
      <c r="BK1148" s="4"/>
      <c r="BL1148" s="4"/>
      <c r="BM1148" s="4"/>
      <c r="BN1148" s="4"/>
      <c r="BO1148" s="4"/>
      <c r="BP1148" s="4"/>
      <c r="BQ1148" s="4"/>
      <c r="BR1148" s="4"/>
      <c r="BS1148" s="4"/>
      <c r="BT1148" s="4"/>
      <c r="BU1148" s="4"/>
      <c r="BV1148" s="4"/>
      <c r="BW1148" s="4"/>
      <c r="BX1148" s="4"/>
      <c r="BY1148" s="4"/>
      <c r="BZ1148" s="4"/>
      <c r="CA1148" s="4"/>
      <c r="CB1148" s="4"/>
      <c r="CC1148" s="4"/>
      <c r="CD1148" s="4"/>
      <c r="CE1148" s="4"/>
      <c r="CF1148" s="4"/>
      <c r="CG1148" s="4"/>
      <c r="CH1148" s="4"/>
      <c r="CI1148" s="4"/>
      <c r="CJ1148" s="4"/>
      <c r="CK1148" s="4"/>
      <c r="CL1148" s="4"/>
      <c r="CM1148" s="4"/>
      <c r="CN1148" s="4"/>
      <c r="CO1148" s="4"/>
      <c r="CP1148" s="4"/>
      <c r="CQ1148" s="4"/>
      <c r="CR1148" s="4"/>
      <c r="CS1148" s="4"/>
      <c r="CT1148" s="4"/>
      <c r="CU1148" s="4"/>
      <c r="CV1148" s="4"/>
      <c r="CW1148" s="4"/>
      <c r="CX1148" s="4"/>
      <c r="CY1148" s="4"/>
      <c r="CZ1148" s="4"/>
      <c r="DA1148" s="4"/>
      <c r="DB1148" s="4"/>
      <c r="DC1148" s="4"/>
      <c r="DD1148" s="4"/>
      <c r="DE1148" s="4"/>
      <c r="DF1148" s="4"/>
      <c r="DG1148" s="4"/>
      <c r="DH1148" s="4"/>
      <c r="DI1148" s="4"/>
      <c r="DJ1148" s="4"/>
      <c r="DK1148" s="4"/>
      <c r="DL1148" s="4"/>
      <c r="DM1148" s="4"/>
      <c r="DN1148" s="4"/>
      <c r="DO1148" s="4"/>
      <c r="DP1148" s="4"/>
      <c r="DQ1148" s="4"/>
      <c r="DR1148" s="4"/>
      <c r="DS1148" s="4"/>
    </row>
    <row r="1149">
      <c r="A1149" s="9">
        <f>IFERROR(__xludf.DUMMYFUNCTION("""COMPUTED_VALUE"""),45779.0)</f>
        <v>45779</v>
      </c>
      <c r="B1149" s="6" t="str">
        <f>IFERROR(__xludf.DUMMYFUNCTION("""COMPUTED_VALUE"""),"Recreation")</f>
        <v>Recreation</v>
      </c>
      <c r="C1149" s="7">
        <f>IFERROR(__xludf.DUMMYFUNCTION("""COMPUTED_VALUE"""),11000.0)</f>
        <v>11000</v>
      </c>
      <c r="D1149" s="6" t="str">
        <f>IFERROR(__xludf.DUMMYFUNCTION("""COMPUTED_VALUE"""),"Personal Care")</f>
        <v>Personal Care</v>
      </c>
      <c r="E1149" s="6" t="str">
        <f>IFERROR(__xludf.DUMMYFUNCTION("""COMPUTED_VALUE"""),"Virtual Wallet")</f>
        <v>Virtual Wallet</v>
      </c>
      <c r="F1149" s="6" t="s">
        <v>16</v>
      </c>
      <c r="G1149" s="8" t="str">
        <f t="shared" si="1"/>
        <v>202505</v>
      </c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  <c r="AM1149" s="4"/>
      <c r="AN1149" s="4"/>
      <c r="AO1149" s="4"/>
      <c r="AP1149" s="4"/>
      <c r="AQ1149" s="4"/>
      <c r="AR1149" s="4"/>
      <c r="AS1149" s="4"/>
      <c r="AT1149" s="4"/>
      <c r="AU1149" s="4"/>
      <c r="AV1149" s="4"/>
      <c r="AW1149" s="4"/>
      <c r="AX1149" s="4"/>
      <c r="AY1149" s="4"/>
      <c r="AZ1149" s="4"/>
      <c r="BA1149" s="4"/>
      <c r="BB1149" s="4"/>
      <c r="BC1149" s="4"/>
      <c r="BD1149" s="4"/>
      <c r="BE1149" s="4"/>
      <c r="BF1149" s="4"/>
      <c r="BG1149" s="4"/>
      <c r="BH1149" s="4"/>
      <c r="BI1149" s="4"/>
      <c r="BJ1149" s="4"/>
      <c r="BK1149" s="4"/>
      <c r="BL1149" s="4"/>
      <c r="BM1149" s="4"/>
      <c r="BN1149" s="4"/>
      <c r="BO1149" s="4"/>
      <c r="BP1149" s="4"/>
      <c r="BQ1149" s="4"/>
      <c r="BR1149" s="4"/>
      <c r="BS1149" s="4"/>
      <c r="BT1149" s="4"/>
      <c r="BU1149" s="4"/>
      <c r="BV1149" s="4"/>
      <c r="BW1149" s="4"/>
      <c r="BX1149" s="4"/>
      <c r="BY1149" s="4"/>
      <c r="BZ1149" s="4"/>
      <c r="CA1149" s="4"/>
      <c r="CB1149" s="4"/>
      <c r="CC1149" s="4"/>
      <c r="CD1149" s="4"/>
      <c r="CE1149" s="4"/>
      <c r="CF1149" s="4"/>
      <c r="CG1149" s="4"/>
      <c r="CH1149" s="4"/>
      <c r="CI1149" s="4"/>
      <c r="CJ1149" s="4"/>
      <c r="CK1149" s="4"/>
      <c r="CL1149" s="4"/>
      <c r="CM1149" s="4"/>
      <c r="CN1149" s="4"/>
      <c r="CO1149" s="4"/>
      <c r="CP1149" s="4"/>
      <c r="CQ1149" s="4"/>
      <c r="CR1149" s="4"/>
      <c r="CS1149" s="4"/>
      <c r="CT1149" s="4"/>
      <c r="CU1149" s="4"/>
      <c r="CV1149" s="4"/>
      <c r="CW1149" s="4"/>
      <c r="CX1149" s="4"/>
      <c r="CY1149" s="4"/>
      <c r="CZ1149" s="4"/>
      <c r="DA1149" s="4"/>
      <c r="DB1149" s="4"/>
      <c r="DC1149" s="4"/>
      <c r="DD1149" s="4"/>
      <c r="DE1149" s="4"/>
      <c r="DF1149" s="4"/>
      <c r="DG1149" s="4"/>
      <c r="DH1149" s="4"/>
      <c r="DI1149" s="4"/>
      <c r="DJ1149" s="4"/>
      <c r="DK1149" s="4"/>
      <c r="DL1149" s="4"/>
      <c r="DM1149" s="4"/>
      <c r="DN1149" s="4"/>
      <c r="DO1149" s="4"/>
      <c r="DP1149" s="4"/>
      <c r="DQ1149" s="4"/>
      <c r="DR1149" s="4"/>
      <c r="DS1149" s="4"/>
    </row>
    <row r="1150">
      <c r="A1150" s="9">
        <f>IFERROR(__xludf.DUMMYFUNCTION("""COMPUTED_VALUE"""),45780.0)</f>
        <v>45780</v>
      </c>
      <c r="B1150" s="6" t="str">
        <f>IFERROR(__xludf.DUMMYFUNCTION("""COMPUTED_VALUE"""),"Internet Services")</f>
        <v>Internet Services</v>
      </c>
      <c r="C1150" s="7">
        <f>IFERROR(__xludf.DUMMYFUNCTION("""COMPUTED_VALUE"""),36946.0)</f>
        <v>36946</v>
      </c>
      <c r="D1150" s="6" t="str">
        <f>IFERROR(__xludf.DUMMYFUNCTION("""COMPUTED_VALUE"""),"Basic Services")</f>
        <v>Basic Services</v>
      </c>
      <c r="E1150" s="6" t="str">
        <f>IFERROR(__xludf.DUMMYFUNCTION("""COMPUTED_VALUE"""),"Credit Card")</f>
        <v>Credit Card</v>
      </c>
      <c r="F1150" s="6" t="s">
        <v>13</v>
      </c>
      <c r="G1150" s="8" t="str">
        <f t="shared" si="1"/>
        <v>202505</v>
      </c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  <c r="AM1150" s="4"/>
      <c r="AN1150" s="4"/>
      <c r="AO1150" s="4"/>
      <c r="AP1150" s="4"/>
      <c r="AQ1150" s="4"/>
      <c r="AR1150" s="4"/>
      <c r="AS1150" s="4"/>
      <c r="AT1150" s="4"/>
      <c r="AU1150" s="4"/>
      <c r="AV1150" s="4"/>
      <c r="AW1150" s="4"/>
      <c r="AX1150" s="4"/>
      <c r="AY1150" s="4"/>
      <c r="AZ1150" s="4"/>
      <c r="BA1150" s="4"/>
      <c r="BB1150" s="4"/>
      <c r="BC1150" s="4"/>
      <c r="BD1150" s="4"/>
      <c r="BE1150" s="4"/>
      <c r="BF1150" s="4"/>
      <c r="BG1150" s="4"/>
      <c r="BH1150" s="4"/>
      <c r="BI1150" s="4"/>
      <c r="BJ1150" s="4"/>
      <c r="BK1150" s="4"/>
      <c r="BL1150" s="4"/>
      <c r="BM1150" s="4"/>
      <c r="BN1150" s="4"/>
      <c r="BO1150" s="4"/>
      <c r="BP1150" s="4"/>
      <c r="BQ1150" s="4"/>
      <c r="BR1150" s="4"/>
      <c r="BS1150" s="4"/>
      <c r="BT1150" s="4"/>
      <c r="BU1150" s="4"/>
      <c r="BV1150" s="4"/>
      <c r="BW1150" s="4"/>
      <c r="BX1150" s="4"/>
      <c r="BY1150" s="4"/>
      <c r="BZ1150" s="4"/>
      <c r="CA1150" s="4"/>
      <c r="CB1150" s="4"/>
      <c r="CC1150" s="4"/>
      <c r="CD1150" s="4"/>
      <c r="CE1150" s="4"/>
      <c r="CF1150" s="4"/>
      <c r="CG1150" s="4"/>
      <c r="CH1150" s="4"/>
      <c r="CI1150" s="4"/>
      <c r="CJ1150" s="4"/>
      <c r="CK1150" s="4"/>
      <c r="CL1150" s="4"/>
      <c r="CM1150" s="4"/>
      <c r="CN1150" s="4"/>
      <c r="CO1150" s="4"/>
      <c r="CP1150" s="4"/>
      <c r="CQ1150" s="4"/>
      <c r="CR1150" s="4"/>
      <c r="CS1150" s="4"/>
      <c r="CT1150" s="4"/>
      <c r="CU1150" s="4"/>
      <c r="CV1150" s="4"/>
      <c r="CW1150" s="4"/>
      <c r="CX1150" s="4"/>
      <c r="CY1150" s="4"/>
      <c r="CZ1150" s="4"/>
      <c r="DA1150" s="4"/>
      <c r="DB1150" s="4"/>
      <c r="DC1150" s="4"/>
      <c r="DD1150" s="4"/>
      <c r="DE1150" s="4"/>
      <c r="DF1150" s="4"/>
      <c r="DG1150" s="4"/>
      <c r="DH1150" s="4"/>
      <c r="DI1150" s="4"/>
      <c r="DJ1150" s="4"/>
      <c r="DK1150" s="4"/>
      <c r="DL1150" s="4"/>
      <c r="DM1150" s="4"/>
      <c r="DN1150" s="4"/>
      <c r="DO1150" s="4"/>
      <c r="DP1150" s="4"/>
      <c r="DQ1150" s="4"/>
      <c r="DR1150" s="4"/>
      <c r="DS1150" s="4"/>
    </row>
    <row r="1151">
      <c r="A1151" s="9">
        <f>IFERROR(__xludf.DUMMYFUNCTION("""COMPUTED_VALUE"""),45780.0)</f>
        <v>45780</v>
      </c>
      <c r="B1151" s="6" t="str">
        <f>IFERROR(__xludf.DUMMYFUNCTION("""COMPUTED_VALUE"""),"Restaurant")</f>
        <v>Restaurant</v>
      </c>
      <c r="C1151" s="7">
        <f>IFERROR(__xludf.DUMMYFUNCTION("""COMPUTED_VALUE"""),19950.0)</f>
        <v>19950</v>
      </c>
      <c r="D1151" s="6" t="str">
        <f>IFERROR(__xludf.DUMMYFUNCTION("""COMPUTED_VALUE"""),"Restaurant / Café")</f>
        <v>Restaurant / Café</v>
      </c>
      <c r="E1151" s="6" t="str">
        <f>IFERROR(__xludf.DUMMYFUNCTION("""COMPUTED_VALUE"""),"Virtual Wallet")</f>
        <v>Virtual Wallet</v>
      </c>
      <c r="F1151" s="6" t="s">
        <v>14</v>
      </c>
      <c r="G1151" s="8" t="str">
        <f t="shared" si="1"/>
        <v>202505</v>
      </c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  <c r="AH1151" s="4"/>
      <c r="AI1151" s="4"/>
      <c r="AJ1151" s="4"/>
      <c r="AK1151" s="4"/>
      <c r="AL1151" s="4"/>
      <c r="AM1151" s="4"/>
      <c r="AN1151" s="4"/>
      <c r="AO1151" s="4"/>
      <c r="AP1151" s="4"/>
      <c r="AQ1151" s="4"/>
      <c r="AR1151" s="4"/>
      <c r="AS1151" s="4"/>
      <c r="AT1151" s="4"/>
      <c r="AU1151" s="4"/>
      <c r="AV1151" s="4"/>
      <c r="AW1151" s="4"/>
      <c r="AX1151" s="4"/>
      <c r="AY1151" s="4"/>
      <c r="AZ1151" s="4"/>
      <c r="BA1151" s="4"/>
      <c r="BB1151" s="4"/>
      <c r="BC1151" s="4"/>
      <c r="BD1151" s="4"/>
      <c r="BE1151" s="4"/>
      <c r="BF1151" s="4"/>
      <c r="BG1151" s="4"/>
      <c r="BH1151" s="4"/>
      <c r="BI1151" s="4"/>
      <c r="BJ1151" s="4"/>
      <c r="BK1151" s="4"/>
      <c r="BL1151" s="4"/>
      <c r="BM1151" s="4"/>
      <c r="BN1151" s="4"/>
      <c r="BO1151" s="4"/>
      <c r="BP1151" s="4"/>
      <c r="BQ1151" s="4"/>
      <c r="BR1151" s="4"/>
      <c r="BS1151" s="4"/>
      <c r="BT1151" s="4"/>
      <c r="BU1151" s="4"/>
      <c r="BV1151" s="4"/>
      <c r="BW1151" s="4"/>
      <c r="BX1151" s="4"/>
      <c r="BY1151" s="4"/>
      <c r="BZ1151" s="4"/>
      <c r="CA1151" s="4"/>
      <c r="CB1151" s="4"/>
      <c r="CC1151" s="4"/>
      <c r="CD1151" s="4"/>
      <c r="CE1151" s="4"/>
      <c r="CF1151" s="4"/>
      <c r="CG1151" s="4"/>
      <c r="CH1151" s="4"/>
      <c r="CI1151" s="4"/>
      <c r="CJ1151" s="4"/>
      <c r="CK1151" s="4"/>
      <c r="CL1151" s="4"/>
      <c r="CM1151" s="4"/>
      <c r="CN1151" s="4"/>
      <c r="CO1151" s="4"/>
      <c r="CP1151" s="4"/>
      <c r="CQ1151" s="4"/>
      <c r="CR1151" s="4"/>
      <c r="CS1151" s="4"/>
      <c r="CT1151" s="4"/>
      <c r="CU1151" s="4"/>
      <c r="CV1151" s="4"/>
      <c r="CW1151" s="4"/>
      <c r="CX1151" s="4"/>
      <c r="CY1151" s="4"/>
      <c r="CZ1151" s="4"/>
      <c r="DA1151" s="4"/>
      <c r="DB1151" s="4"/>
      <c r="DC1151" s="4"/>
      <c r="DD1151" s="4"/>
      <c r="DE1151" s="4"/>
      <c r="DF1151" s="4"/>
      <c r="DG1151" s="4"/>
      <c r="DH1151" s="4"/>
      <c r="DI1151" s="4"/>
      <c r="DJ1151" s="4"/>
      <c r="DK1151" s="4"/>
      <c r="DL1151" s="4"/>
      <c r="DM1151" s="4"/>
      <c r="DN1151" s="4"/>
      <c r="DO1151" s="4"/>
      <c r="DP1151" s="4"/>
      <c r="DQ1151" s="4"/>
      <c r="DR1151" s="4"/>
      <c r="DS1151" s="4"/>
    </row>
    <row r="1152">
      <c r="A1152" s="9">
        <f>IFERROR(__xludf.DUMMYFUNCTION("""COMPUTED_VALUE"""),45780.0)</f>
        <v>45780</v>
      </c>
      <c r="B1152" s="6" t="str">
        <f>IFERROR(__xludf.DUMMYFUNCTION("""COMPUTED_VALUE"""),"Restaurant")</f>
        <v>Restaurant</v>
      </c>
      <c r="C1152" s="7">
        <f>IFERROR(__xludf.DUMMYFUNCTION("""COMPUTED_VALUE"""),2500.0)</f>
        <v>2500</v>
      </c>
      <c r="D1152" s="6" t="str">
        <f>IFERROR(__xludf.DUMMYFUNCTION("""COMPUTED_VALUE"""),"Restaurant / Café")</f>
        <v>Restaurant / Café</v>
      </c>
      <c r="E1152" s="6" t="str">
        <f>IFERROR(__xludf.DUMMYFUNCTION("""COMPUTED_VALUE"""),"Virtual Wallet")</f>
        <v>Virtual Wallet</v>
      </c>
      <c r="F1152" s="6" t="s">
        <v>14</v>
      </c>
      <c r="G1152" s="8" t="str">
        <f t="shared" si="1"/>
        <v>202505</v>
      </c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  <c r="AM1152" s="4"/>
      <c r="AN1152" s="4"/>
      <c r="AO1152" s="4"/>
      <c r="AP1152" s="4"/>
      <c r="AQ1152" s="4"/>
      <c r="AR1152" s="4"/>
      <c r="AS1152" s="4"/>
      <c r="AT1152" s="4"/>
      <c r="AU1152" s="4"/>
      <c r="AV1152" s="4"/>
      <c r="AW1152" s="4"/>
      <c r="AX1152" s="4"/>
      <c r="AY1152" s="4"/>
      <c r="AZ1152" s="4"/>
      <c r="BA1152" s="4"/>
      <c r="BB1152" s="4"/>
      <c r="BC1152" s="4"/>
      <c r="BD1152" s="4"/>
      <c r="BE1152" s="4"/>
      <c r="BF1152" s="4"/>
      <c r="BG1152" s="4"/>
      <c r="BH1152" s="4"/>
      <c r="BI1152" s="4"/>
      <c r="BJ1152" s="4"/>
      <c r="BK1152" s="4"/>
      <c r="BL1152" s="4"/>
      <c r="BM1152" s="4"/>
      <c r="BN1152" s="4"/>
      <c r="BO1152" s="4"/>
      <c r="BP1152" s="4"/>
      <c r="BQ1152" s="4"/>
      <c r="BR1152" s="4"/>
      <c r="BS1152" s="4"/>
      <c r="BT1152" s="4"/>
      <c r="BU1152" s="4"/>
      <c r="BV1152" s="4"/>
      <c r="BW1152" s="4"/>
      <c r="BX1152" s="4"/>
      <c r="BY1152" s="4"/>
      <c r="BZ1152" s="4"/>
      <c r="CA1152" s="4"/>
      <c r="CB1152" s="4"/>
      <c r="CC1152" s="4"/>
      <c r="CD1152" s="4"/>
      <c r="CE1152" s="4"/>
      <c r="CF1152" s="4"/>
      <c r="CG1152" s="4"/>
      <c r="CH1152" s="4"/>
      <c r="CI1152" s="4"/>
      <c r="CJ1152" s="4"/>
      <c r="CK1152" s="4"/>
      <c r="CL1152" s="4"/>
      <c r="CM1152" s="4"/>
      <c r="CN1152" s="4"/>
      <c r="CO1152" s="4"/>
      <c r="CP1152" s="4"/>
      <c r="CQ1152" s="4"/>
      <c r="CR1152" s="4"/>
      <c r="CS1152" s="4"/>
      <c r="CT1152" s="4"/>
      <c r="CU1152" s="4"/>
      <c r="CV1152" s="4"/>
      <c r="CW1152" s="4"/>
      <c r="CX1152" s="4"/>
      <c r="CY1152" s="4"/>
      <c r="CZ1152" s="4"/>
      <c r="DA1152" s="4"/>
      <c r="DB1152" s="4"/>
      <c r="DC1152" s="4"/>
      <c r="DD1152" s="4"/>
      <c r="DE1152" s="4"/>
      <c r="DF1152" s="4"/>
      <c r="DG1152" s="4"/>
      <c r="DH1152" s="4"/>
      <c r="DI1152" s="4"/>
      <c r="DJ1152" s="4"/>
      <c r="DK1152" s="4"/>
      <c r="DL1152" s="4"/>
      <c r="DM1152" s="4"/>
      <c r="DN1152" s="4"/>
      <c r="DO1152" s="4"/>
      <c r="DP1152" s="4"/>
      <c r="DQ1152" s="4"/>
      <c r="DR1152" s="4"/>
      <c r="DS1152" s="4"/>
    </row>
    <row r="1153">
      <c r="A1153" s="9">
        <f>IFERROR(__xludf.DUMMYFUNCTION("""COMPUTED_VALUE"""),45780.0)</f>
        <v>45780</v>
      </c>
      <c r="B1153" s="6" t="str">
        <f>IFERROR(__xludf.DUMMYFUNCTION("""COMPUTED_VALUE"""),"Streaming Services")</f>
        <v>Streaming Services</v>
      </c>
      <c r="C1153" s="7">
        <f>IFERROR(__xludf.DUMMYFUNCTION("""COMPUTED_VALUE"""),7549.0)</f>
        <v>7549</v>
      </c>
      <c r="D1153" s="6" t="str">
        <f>IFERROR(__xludf.DUMMYFUNCTION("""COMPUTED_VALUE"""),"Streaming Services")</f>
        <v>Streaming Services</v>
      </c>
      <c r="E1153" s="6" t="str">
        <f>IFERROR(__xludf.DUMMYFUNCTION("""COMPUTED_VALUE"""),"Credit Card")</f>
        <v>Credit Card</v>
      </c>
      <c r="F1153" s="6" t="s">
        <v>12</v>
      </c>
      <c r="G1153" s="8" t="str">
        <f t="shared" si="1"/>
        <v>202505</v>
      </c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  <c r="AM1153" s="4"/>
      <c r="AN1153" s="4"/>
      <c r="AO1153" s="4"/>
      <c r="AP1153" s="4"/>
      <c r="AQ1153" s="4"/>
      <c r="AR1153" s="4"/>
      <c r="AS1153" s="4"/>
      <c r="AT1153" s="4"/>
      <c r="AU1153" s="4"/>
      <c r="AV1153" s="4"/>
      <c r="AW1153" s="4"/>
      <c r="AX1153" s="4"/>
      <c r="AY1153" s="4"/>
      <c r="AZ1153" s="4"/>
      <c r="BA1153" s="4"/>
      <c r="BB1153" s="4"/>
      <c r="BC1153" s="4"/>
      <c r="BD1153" s="4"/>
      <c r="BE1153" s="4"/>
      <c r="BF1153" s="4"/>
      <c r="BG1153" s="4"/>
      <c r="BH1153" s="4"/>
      <c r="BI1153" s="4"/>
      <c r="BJ1153" s="4"/>
      <c r="BK1153" s="4"/>
      <c r="BL1153" s="4"/>
      <c r="BM1153" s="4"/>
      <c r="BN1153" s="4"/>
      <c r="BO1153" s="4"/>
      <c r="BP1153" s="4"/>
      <c r="BQ1153" s="4"/>
      <c r="BR1153" s="4"/>
      <c r="BS1153" s="4"/>
      <c r="BT1153" s="4"/>
      <c r="BU1153" s="4"/>
      <c r="BV1153" s="4"/>
      <c r="BW1153" s="4"/>
      <c r="BX1153" s="4"/>
      <c r="BY1153" s="4"/>
      <c r="BZ1153" s="4"/>
      <c r="CA1153" s="4"/>
      <c r="CB1153" s="4"/>
      <c r="CC1153" s="4"/>
      <c r="CD1153" s="4"/>
      <c r="CE1153" s="4"/>
      <c r="CF1153" s="4"/>
      <c r="CG1153" s="4"/>
      <c r="CH1153" s="4"/>
      <c r="CI1153" s="4"/>
      <c r="CJ1153" s="4"/>
      <c r="CK1153" s="4"/>
      <c r="CL1153" s="4"/>
      <c r="CM1153" s="4"/>
      <c r="CN1153" s="4"/>
      <c r="CO1153" s="4"/>
      <c r="CP1153" s="4"/>
      <c r="CQ1153" s="4"/>
      <c r="CR1153" s="4"/>
      <c r="CS1153" s="4"/>
      <c r="CT1153" s="4"/>
      <c r="CU1153" s="4"/>
      <c r="CV1153" s="4"/>
      <c r="CW1153" s="4"/>
      <c r="CX1153" s="4"/>
      <c r="CY1153" s="4"/>
      <c r="CZ1153" s="4"/>
      <c r="DA1153" s="4"/>
      <c r="DB1153" s="4"/>
      <c r="DC1153" s="4"/>
      <c r="DD1153" s="4"/>
      <c r="DE1153" s="4"/>
      <c r="DF1153" s="4"/>
      <c r="DG1153" s="4"/>
      <c r="DH1153" s="4"/>
      <c r="DI1153" s="4"/>
      <c r="DJ1153" s="4"/>
      <c r="DK1153" s="4"/>
      <c r="DL1153" s="4"/>
      <c r="DM1153" s="4"/>
      <c r="DN1153" s="4"/>
      <c r="DO1153" s="4"/>
      <c r="DP1153" s="4"/>
      <c r="DQ1153" s="4"/>
      <c r="DR1153" s="4"/>
      <c r="DS1153" s="4"/>
    </row>
    <row r="1154">
      <c r="A1154" s="9">
        <f>IFERROR(__xludf.DUMMYFUNCTION("""COMPUTED_VALUE"""),45781.0)</f>
        <v>45781</v>
      </c>
      <c r="B1154" s="6" t="str">
        <f>IFERROR(__xludf.DUMMYFUNCTION("""COMPUTED_VALUE"""),"Clothing")</f>
        <v>Clothing</v>
      </c>
      <c r="C1154" s="7">
        <f>IFERROR(__xludf.DUMMYFUNCTION("""COMPUTED_VALUE"""),8500.0)</f>
        <v>8500</v>
      </c>
      <c r="D1154" s="6" t="str">
        <f>IFERROR(__xludf.DUMMYFUNCTION("""COMPUTED_VALUE"""),"Clothing")</f>
        <v>Clothing</v>
      </c>
      <c r="E1154" s="6" t="str">
        <f>IFERROR(__xludf.DUMMYFUNCTION("""COMPUTED_VALUE"""),"Credit Card")</f>
        <v>Credit Card</v>
      </c>
      <c r="F1154" s="6" t="s">
        <v>10</v>
      </c>
      <c r="G1154" s="8" t="str">
        <f t="shared" si="1"/>
        <v>202505</v>
      </c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  <c r="AM1154" s="4"/>
      <c r="AN1154" s="4"/>
      <c r="AO1154" s="4"/>
      <c r="AP1154" s="4"/>
      <c r="AQ1154" s="4"/>
      <c r="AR1154" s="4"/>
      <c r="AS1154" s="4"/>
      <c r="AT1154" s="4"/>
      <c r="AU1154" s="4"/>
      <c r="AV1154" s="4"/>
      <c r="AW1154" s="4"/>
      <c r="AX1154" s="4"/>
      <c r="AY1154" s="4"/>
      <c r="AZ1154" s="4"/>
      <c r="BA1154" s="4"/>
      <c r="BB1154" s="4"/>
      <c r="BC1154" s="4"/>
      <c r="BD1154" s="4"/>
      <c r="BE1154" s="4"/>
      <c r="BF1154" s="4"/>
      <c r="BG1154" s="4"/>
      <c r="BH1154" s="4"/>
      <c r="BI1154" s="4"/>
      <c r="BJ1154" s="4"/>
      <c r="BK1154" s="4"/>
      <c r="BL1154" s="4"/>
      <c r="BM1154" s="4"/>
      <c r="BN1154" s="4"/>
      <c r="BO1154" s="4"/>
      <c r="BP1154" s="4"/>
      <c r="BQ1154" s="4"/>
      <c r="BR1154" s="4"/>
      <c r="BS1154" s="4"/>
      <c r="BT1154" s="4"/>
      <c r="BU1154" s="4"/>
      <c r="BV1154" s="4"/>
      <c r="BW1154" s="4"/>
      <c r="BX1154" s="4"/>
      <c r="BY1154" s="4"/>
      <c r="BZ1154" s="4"/>
      <c r="CA1154" s="4"/>
      <c r="CB1154" s="4"/>
      <c r="CC1154" s="4"/>
      <c r="CD1154" s="4"/>
      <c r="CE1154" s="4"/>
      <c r="CF1154" s="4"/>
      <c r="CG1154" s="4"/>
      <c r="CH1154" s="4"/>
      <c r="CI1154" s="4"/>
      <c r="CJ1154" s="4"/>
      <c r="CK1154" s="4"/>
      <c r="CL1154" s="4"/>
      <c r="CM1154" s="4"/>
      <c r="CN1154" s="4"/>
      <c r="CO1154" s="4"/>
      <c r="CP1154" s="4"/>
      <c r="CQ1154" s="4"/>
      <c r="CR1154" s="4"/>
      <c r="CS1154" s="4"/>
      <c r="CT1154" s="4"/>
      <c r="CU1154" s="4"/>
      <c r="CV1154" s="4"/>
      <c r="CW1154" s="4"/>
      <c r="CX1154" s="4"/>
      <c r="CY1154" s="4"/>
      <c r="CZ1154" s="4"/>
      <c r="DA1154" s="4"/>
      <c r="DB1154" s="4"/>
      <c r="DC1154" s="4"/>
      <c r="DD1154" s="4"/>
      <c r="DE1154" s="4"/>
      <c r="DF1154" s="4"/>
      <c r="DG1154" s="4"/>
      <c r="DH1154" s="4"/>
      <c r="DI1154" s="4"/>
      <c r="DJ1154" s="4"/>
      <c r="DK1154" s="4"/>
      <c r="DL1154" s="4"/>
      <c r="DM1154" s="4"/>
      <c r="DN1154" s="4"/>
      <c r="DO1154" s="4"/>
      <c r="DP1154" s="4"/>
      <c r="DQ1154" s="4"/>
      <c r="DR1154" s="4"/>
      <c r="DS1154" s="4"/>
    </row>
    <row r="1155">
      <c r="A1155" s="9">
        <f>IFERROR(__xludf.DUMMYFUNCTION("""COMPUTED_VALUE"""),45781.0)</f>
        <v>45781</v>
      </c>
      <c r="B1155" s="6" t="str">
        <f>IFERROR(__xludf.DUMMYFUNCTION("""COMPUTED_VALUE"""),"Clothing")</f>
        <v>Clothing</v>
      </c>
      <c r="C1155" s="7">
        <f>IFERROR(__xludf.DUMMYFUNCTION("""COMPUTED_VALUE"""),11650.0)</f>
        <v>11650</v>
      </c>
      <c r="D1155" s="6" t="str">
        <f>IFERROR(__xludf.DUMMYFUNCTION("""COMPUTED_VALUE"""),"Clothing")</f>
        <v>Clothing</v>
      </c>
      <c r="E1155" s="6" t="str">
        <f>IFERROR(__xludf.DUMMYFUNCTION("""COMPUTED_VALUE"""),"Credit Card")</f>
        <v>Credit Card</v>
      </c>
      <c r="F1155" s="6" t="s">
        <v>10</v>
      </c>
      <c r="G1155" s="8" t="str">
        <f t="shared" si="1"/>
        <v>202505</v>
      </c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  <c r="AM1155" s="4"/>
      <c r="AN1155" s="4"/>
      <c r="AO1155" s="4"/>
      <c r="AP1155" s="4"/>
      <c r="AQ1155" s="4"/>
      <c r="AR1155" s="4"/>
      <c r="AS1155" s="4"/>
      <c r="AT1155" s="4"/>
      <c r="AU1155" s="4"/>
      <c r="AV1155" s="4"/>
      <c r="AW1155" s="4"/>
      <c r="AX1155" s="4"/>
      <c r="AY1155" s="4"/>
      <c r="AZ1155" s="4"/>
      <c r="BA1155" s="4"/>
      <c r="BB1155" s="4"/>
      <c r="BC1155" s="4"/>
      <c r="BD1155" s="4"/>
      <c r="BE1155" s="4"/>
      <c r="BF1155" s="4"/>
      <c r="BG1155" s="4"/>
      <c r="BH1155" s="4"/>
      <c r="BI1155" s="4"/>
      <c r="BJ1155" s="4"/>
      <c r="BK1155" s="4"/>
      <c r="BL1155" s="4"/>
      <c r="BM1155" s="4"/>
      <c r="BN1155" s="4"/>
      <c r="BO1155" s="4"/>
      <c r="BP1155" s="4"/>
      <c r="BQ1155" s="4"/>
      <c r="BR1155" s="4"/>
      <c r="BS1155" s="4"/>
      <c r="BT1155" s="4"/>
      <c r="BU1155" s="4"/>
      <c r="BV1155" s="4"/>
      <c r="BW1155" s="4"/>
      <c r="BX1155" s="4"/>
      <c r="BY1155" s="4"/>
      <c r="BZ1155" s="4"/>
      <c r="CA1155" s="4"/>
      <c r="CB1155" s="4"/>
      <c r="CC1155" s="4"/>
      <c r="CD1155" s="4"/>
      <c r="CE1155" s="4"/>
      <c r="CF1155" s="4"/>
      <c r="CG1155" s="4"/>
      <c r="CH1155" s="4"/>
      <c r="CI1155" s="4"/>
      <c r="CJ1155" s="4"/>
      <c r="CK1155" s="4"/>
      <c r="CL1155" s="4"/>
      <c r="CM1155" s="4"/>
      <c r="CN1155" s="4"/>
      <c r="CO1155" s="4"/>
      <c r="CP1155" s="4"/>
      <c r="CQ1155" s="4"/>
      <c r="CR1155" s="4"/>
      <c r="CS1155" s="4"/>
      <c r="CT1155" s="4"/>
      <c r="CU1155" s="4"/>
      <c r="CV1155" s="4"/>
      <c r="CW1155" s="4"/>
      <c r="CX1155" s="4"/>
      <c r="CY1155" s="4"/>
      <c r="CZ1155" s="4"/>
      <c r="DA1155" s="4"/>
      <c r="DB1155" s="4"/>
      <c r="DC1155" s="4"/>
      <c r="DD1155" s="4"/>
      <c r="DE1155" s="4"/>
      <c r="DF1155" s="4"/>
      <c r="DG1155" s="4"/>
      <c r="DH1155" s="4"/>
      <c r="DI1155" s="4"/>
      <c r="DJ1155" s="4"/>
      <c r="DK1155" s="4"/>
      <c r="DL1155" s="4"/>
      <c r="DM1155" s="4"/>
      <c r="DN1155" s="4"/>
      <c r="DO1155" s="4"/>
      <c r="DP1155" s="4"/>
      <c r="DQ1155" s="4"/>
      <c r="DR1155" s="4"/>
      <c r="DS1155" s="4"/>
    </row>
    <row r="1156">
      <c r="A1156" s="9">
        <f>IFERROR(__xludf.DUMMYFUNCTION("""COMPUTED_VALUE"""),45781.0)</f>
        <v>45781</v>
      </c>
      <c r="B1156" s="6" t="str">
        <f>IFERROR(__xludf.DUMMYFUNCTION("""COMPUTED_VALUE"""),"Clothing")</f>
        <v>Clothing</v>
      </c>
      <c r="C1156" s="7">
        <f>IFERROR(__xludf.DUMMYFUNCTION("""COMPUTED_VALUE"""),13333.0)</f>
        <v>13333</v>
      </c>
      <c r="D1156" s="6" t="str">
        <f>IFERROR(__xludf.DUMMYFUNCTION("""COMPUTED_VALUE"""),"Clothing")</f>
        <v>Clothing</v>
      </c>
      <c r="E1156" s="6" t="str">
        <f>IFERROR(__xludf.DUMMYFUNCTION("""COMPUTED_VALUE"""),"Credit Card")</f>
        <v>Credit Card</v>
      </c>
      <c r="F1156" s="6" t="s">
        <v>10</v>
      </c>
      <c r="G1156" s="8" t="str">
        <f t="shared" si="1"/>
        <v>202505</v>
      </c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  <c r="AG1156" s="4"/>
      <c r="AH1156" s="4"/>
      <c r="AI1156" s="4"/>
      <c r="AJ1156" s="4"/>
      <c r="AK1156" s="4"/>
      <c r="AL1156" s="4"/>
      <c r="AM1156" s="4"/>
      <c r="AN1156" s="4"/>
      <c r="AO1156" s="4"/>
      <c r="AP1156" s="4"/>
      <c r="AQ1156" s="4"/>
      <c r="AR1156" s="4"/>
      <c r="AS1156" s="4"/>
      <c r="AT1156" s="4"/>
      <c r="AU1156" s="4"/>
      <c r="AV1156" s="4"/>
      <c r="AW1156" s="4"/>
      <c r="AX1156" s="4"/>
      <c r="AY1156" s="4"/>
      <c r="AZ1156" s="4"/>
      <c r="BA1156" s="4"/>
      <c r="BB1156" s="4"/>
      <c r="BC1156" s="4"/>
      <c r="BD1156" s="4"/>
      <c r="BE1156" s="4"/>
      <c r="BF1156" s="4"/>
      <c r="BG1156" s="4"/>
      <c r="BH1156" s="4"/>
      <c r="BI1156" s="4"/>
      <c r="BJ1156" s="4"/>
      <c r="BK1156" s="4"/>
      <c r="BL1156" s="4"/>
      <c r="BM1156" s="4"/>
      <c r="BN1156" s="4"/>
      <c r="BO1156" s="4"/>
      <c r="BP1156" s="4"/>
      <c r="BQ1156" s="4"/>
      <c r="BR1156" s="4"/>
      <c r="BS1156" s="4"/>
      <c r="BT1156" s="4"/>
      <c r="BU1156" s="4"/>
      <c r="BV1156" s="4"/>
      <c r="BW1156" s="4"/>
      <c r="BX1156" s="4"/>
      <c r="BY1156" s="4"/>
      <c r="BZ1156" s="4"/>
      <c r="CA1156" s="4"/>
      <c r="CB1156" s="4"/>
      <c r="CC1156" s="4"/>
      <c r="CD1156" s="4"/>
      <c r="CE1156" s="4"/>
      <c r="CF1156" s="4"/>
      <c r="CG1156" s="4"/>
      <c r="CH1156" s="4"/>
      <c r="CI1156" s="4"/>
      <c r="CJ1156" s="4"/>
      <c r="CK1156" s="4"/>
      <c r="CL1156" s="4"/>
      <c r="CM1156" s="4"/>
      <c r="CN1156" s="4"/>
      <c r="CO1156" s="4"/>
      <c r="CP1156" s="4"/>
      <c r="CQ1156" s="4"/>
      <c r="CR1156" s="4"/>
      <c r="CS1156" s="4"/>
      <c r="CT1156" s="4"/>
      <c r="CU1156" s="4"/>
      <c r="CV1156" s="4"/>
      <c r="CW1156" s="4"/>
      <c r="CX1156" s="4"/>
      <c r="CY1156" s="4"/>
      <c r="CZ1156" s="4"/>
      <c r="DA1156" s="4"/>
      <c r="DB1156" s="4"/>
      <c r="DC1156" s="4"/>
      <c r="DD1156" s="4"/>
      <c r="DE1156" s="4"/>
      <c r="DF1156" s="4"/>
      <c r="DG1156" s="4"/>
      <c r="DH1156" s="4"/>
      <c r="DI1156" s="4"/>
      <c r="DJ1156" s="4"/>
      <c r="DK1156" s="4"/>
      <c r="DL1156" s="4"/>
      <c r="DM1156" s="4"/>
      <c r="DN1156" s="4"/>
      <c r="DO1156" s="4"/>
      <c r="DP1156" s="4"/>
      <c r="DQ1156" s="4"/>
      <c r="DR1156" s="4"/>
      <c r="DS1156" s="4"/>
    </row>
    <row r="1157">
      <c r="A1157" s="9">
        <f>IFERROR(__xludf.DUMMYFUNCTION("""COMPUTED_VALUE"""),45782.0)</f>
        <v>45782</v>
      </c>
      <c r="B1157" s="6" t="str">
        <f>IFERROR(__xludf.DUMMYFUNCTION("""COMPUTED_VALUE"""),"Home Goods")</f>
        <v>Home Goods</v>
      </c>
      <c r="C1157" s="7">
        <f>IFERROR(__xludf.DUMMYFUNCTION("""COMPUTED_VALUE"""),5500.0)</f>
        <v>5500</v>
      </c>
      <c r="D1157" s="6" t="str">
        <f>IFERROR(__xludf.DUMMYFUNCTION("""COMPUTED_VALUE"""),"Home Goods &amp; Utilities")</f>
        <v>Home Goods &amp; Utilities</v>
      </c>
      <c r="E1157" s="6" t="str">
        <f>IFERROR(__xludf.DUMMYFUNCTION("""COMPUTED_VALUE"""),"Split Payment")</f>
        <v>Split Payment</v>
      </c>
      <c r="F1157" s="6" t="s">
        <v>8</v>
      </c>
      <c r="G1157" s="8" t="str">
        <f t="shared" si="1"/>
        <v>202505</v>
      </c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  <c r="AM1157" s="4"/>
      <c r="AN1157" s="4"/>
      <c r="AO1157" s="4"/>
      <c r="AP1157" s="4"/>
      <c r="AQ1157" s="4"/>
      <c r="AR1157" s="4"/>
      <c r="AS1157" s="4"/>
      <c r="AT1157" s="4"/>
      <c r="AU1157" s="4"/>
      <c r="AV1157" s="4"/>
      <c r="AW1157" s="4"/>
      <c r="AX1157" s="4"/>
      <c r="AY1157" s="4"/>
      <c r="AZ1157" s="4"/>
      <c r="BA1157" s="4"/>
      <c r="BB1157" s="4"/>
      <c r="BC1157" s="4"/>
      <c r="BD1157" s="4"/>
      <c r="BE1157" s="4"/>
      <c r="BF1157" s="4"/>
      <c r="BG1157" s="4"/>
      <c r="BH1157" s="4"/>
      <c r="BI1157" s="4"/>
      <c r="BJ1157" s="4"/>
      <c r="BK1157" s="4"/>
      <c r="BL1157" s="4"/>
      <c r="BM1157" s="4"/>
      <c r="BN1157" s="4"/>
      <c r="BO1157" s="4"/>
      <c r="BP1157" s="4"/>
      <c r="BQ1157" s="4"/>
      <c r="BR1157" s="4"/>
      <c r="BS1157" s="4"/>
      <c r="BT1157" s="4"/>
      <c r="BU1157" s="4"/>
      <c r="BV1157" s="4"/>
      <c r="BW1157" s="4"/>
      <c r="BX1157" s="4"/>
      <c r="BY1157" s="4"/>
      <c r="BZ1157" s="4"/>
      <c r="CA1157" s="4"/>
      <c r="CB1157" s="4"/>
      <c r="CC1157" s="4"/>
      <c r="CD1157" s="4"/>
      <c r="CE1157" s="4"/>
      <c r="CF1157" s="4"/>
      <c r="CG1157" s="4"/>
      <c r="CH1157" s="4"/>
      <c r="CI1157" s="4"/>
      <c r="CJ1157" s="4"/>
      <c r="CK1157" s="4"/>
      <c r="CL1157" s="4"/>
      <c r="CM1157" s="4"/>
      <c r="CN1157" s="4"/>
      <c r="CO1157" s="4"/>
      <c r="CP1157" s="4"/>
      <c r="CQ1157" s="4"/>
      <c r="CR1157" s="4"/>
      <c r="CS1157" s="4"/>
      <c r="CT1157" s="4"/>
      <c r="CU1157" s="4"/>
      <c r="CV1157" s="4"/>
      <c r="CW1157" s="4"/>
      <c r="CX1157" s="4"/>
      <c r="CY1157" s="4"/>
      <c r="CZ1157" s="4"/>
      <c r="DA1157" s="4"/>
      <c r="DB1157" s="4"/>
      <c r="DC1157" s="4"/>
      <c r="DD1157" s="4"/>
      <c r="DE1157" s="4"/>
      <c r="DF1157" s="4"/>
      <c r="DG1157" s="4"/>
      <c r="DH1157" s="4"/>
      <c r="DI1157" s="4"/>
      <c r="DJ1157" s="4"/>
      <c r="DK1157" s="4"/>
      <c r="DL1157" s="4"/>
      <c r="DM1157" s="4"/>
      <c r="DN1157" s="4"/>
      <c r="DO1157" s="4"/>
      <c r="DP1157" s="4"/>
      <c r="DQ1157" s="4"/>
      <c r="DR1157" s="4"/>
      <c r="DS1157" s="4"/>
    </row>
    <row r="1158">
      <c r="A1158" s="9">
        <f>IFERROR(__xludf.DUMMYFUNCTION("""COMPUTED_VALUE"""),45782.0)</f>
        <v>45782</v>
      </c>
      <c r="B1158" s="6" t="str">
        <f>IFERROR(__xludf.DUMMYFUNCTION("""COMPUTED_VALUE"""),"Doctor Visit")</f>
        <v>Doctor Visit</v>
      </c>
      <c r="C1158" s="7">
        <f>IFERROR(__xludf.DUMMYFUNCTION("""COMPUTED_VALUE"""),7000.0)</f>
        <v>7000</v>
      </c>
      <c r="D1158" s="6" t="str">
        <f>IFERROR(__xludf.DUMMYFUNCTION("""COMPUTED_VALUE"""),"Healthcare")</f>
        <v>Healthcare</v>
      </c>
      <c r="E1158" s="6" t="str">
        <f>IFERROR(__xludf.DUMMYFUNCTION("""COMPUTED_VALUE"""),"Bank Transfer")</f>
        <v>Bank Transfer</v>
      </c>
      <c r="F1158" s="6" t="s">
        <v>15</v>
      </c>
      <c r="G1158" s="8" t="str">
        <f t="shared" si="1"/>
        <v>202505</v>
      </c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  <c r="AN1158" s="4"/>
      <c r="AO1158" s="4"/>
      <c r="AP1158" s="4"/>
      <c r="AQ1158" s="4"/>
      <c r="AR1158" s="4"/>
      <c r="AS1158" s="4"/>
      <c r="AT1158" s="4"/>
      <c r="AU1158" s="4"/>
      <c r="AV1158" s="4"/>
      <c r="AW1158" s="4"/>
      <c r="AX1158" s="4"/>
      <c r="AY1158" s="4"/>
      <c r="AZ1158" s="4"/>
      <c r="BA1158" s="4"/>
      <c r="BB1158" s="4"/>
      <c r="BC1158" s="4"/>
      <c r="BD1158" s="4"/>
      <c r="BE1158" s="4"/>
      <c r="BF1158" s="4"/>
      <c r="BG1158" s="4"/>
      <c r="BH1158" s="4"/>
      <c r="BI1158" s="4"/>
      <c r="BJ1158" s="4"/>
      <c r="BK1158" s="4"/>
      <c r="BL1158" s="4"/>
      <c r="BM1158" s="4"/>
      <c r="BN1158" s="4"/>
      <c r="BO1158" s="4"/>
      <c r="BP1158" s="4"/>
      <c r="BQ1158" s="4"/>
      <c r="BR1158" s="4"/>
      <c r="BS1158" s="4"/>
      <c r="BT1158" s="4"/>
      <c r="BU1158" s="4"/>
      <c r="BV1158" s="4"/>
      <c r="BW1158" s="4"/>
      <c r="BX1158" s="4"/>
      <c r="BY1158" s="4"/>
      <c r="BZ1158" s="4"/>
      <c r="CA1158" s="4"/>
      <c r="CB1158" s="4"/>
      <c r="CC1158" s="4"/>
      <c r="CD1158" s="4"/>
      <c r="CE1158" s="4"/>
      <c r="CF1158" s="4"/>
      <c r="CG1158" s="4"/>
      <c r="CH1158" s="4"/>
      <c r="CI1158" s="4"/>
      <c r="CJ1158" s="4"/>
      <c r="CK1158" s="4"/>
      <c r="CL1158" s="4"/>
      <c r="CM1158" s="4"/>
      <c r="CN1158" s="4"/>
      <c r="CO1158" s="4"/>
      <c r="CP1158" s="4"/>
      <c r="CQ1158" s="4"/>
      <c r="CR1158" s="4"/>
      <c r="CS1158" s="4"/>
      <c r="CT1158" s="4"/>
      <c r="CU1158" s="4"/>
      <c r="CV1158" s="4"/>
      <c r="CW1158" s="4"/>
      <c r="CX1158" s="4"/>
      <c r="CY1158" s="4"/>
      <c r="CZ1158" s="4"/>
      <c r="DA1158" s="4"/>
      <c r="DB1158" s="4"/>
      <c r="DC1158" s="4"/>
      <c r="DD1158" s="4"/>
      <c r="DE1158" s="4"/>
      <c r="DF1158" s="4"/>
      <c r="DG1158" s="4"/>
      <c r="DH1158" s="4"/>
      <c r="DI1158" s="4"/>
      <c r="DJ1158" s="4"/>
      <c r="DK1158" s="4"/>
      <c r="DL1158" s="4"/>
      <c r="DM1158" s="4"/>
      <c r="DN1158" s="4"/>
      <c r="DO1158" s="4"/>
      <c r="DP1158" s="4"/>
      <c r="DQ1158" s="4"/>
      <c r="DR1158" s="4"/>
      <c r="DS1158" s="4"/>
    </row>
    <row r="1159">
      <c r="A1159" s="9">
        <f>IFERROR(__xludf.DUMMYFUNCTION("""COMPUTED_VALUE"""),45782.0)</f>
        <v>45782</v>
      </c>
      <c r="B1159" s="6" t="str">
        <f>IFERROR(__xludf.DUMMYFUNCTION("""COMPUTED_VALUE"""),"Gas Bill (Metrogas)")</f>
        <v>Gas Bill (Metrogas)</v>
      </c>
      <c r="C1159" s="7">
        <f>IFERROR(__xludf.DUMMYFUNCTION("""COMPUTED_VALUE"""),5193.0)</f>
        <v>5193</v>
      </c>
      <c r="D1159" s="6" t="str">
        <f>IFERROR(__xludf.DUMMYFUNCTION("""COMPUTED_VALUE"""),"Basic Services")</f>
        <v>Basic Services</v>
      </c>
      <c r="E1159" s="6" t="str">
        <f>IFERROR(__xludf.DUMMYFUNCTION("""COMPUTED_VALUE"""),"Split Payment")</f>
        <v>Split Payment</v>
      </c>
      <c r="F1159" s="6" t="s">
        <v>13</v>
      </c>
      <c r="G1159" s="8" t="str">
        <f t="shared" si="1"/>
        <v>202505</v>
      </c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  <c r="AM1159" s="4"/>
      <c r="AN1159" s="4"/>
      <c r="AO1159" s="4"/>
      <c r="AP1159" s="4"/>
      <c r="AQ1159" s="4"/>
      <c r="AR1159" s="4"/>
      <c r="AS1159" s="4"/>
      <c r="AT1159" s="4"/>
      <c r="AU1159" s="4"/>
      <c r="AV1159" s="4"/>
      <c r="AW1159" s="4"/>
      <c r="AX1159" s="4"/>
      <c r="AY1159" s="4"/>
      <c r="AZ1159" s="4"/>
      <c r="BA1159" s="4"/>
      <c r="BB1159" s="4"/>
      <c r="BC1159" s="4"/>
      <c r="BD1159" s="4"/>
      <c r="BE1159" s="4"/>
      <c r="BF1159" s="4"/>
      <c r="BG1159" s="4"/>
      <c r="BH1159" s="4"/>
      <c r="BI1159" s="4"/>
      <c r="BJ1159" s="4"/>
      <c r="BK1159" s="4"/>
      <c r="BL1159" s="4"/>
      <c r="BM1159" s="4"/>
      <c r="BN1159" s="4"/>
      <c r="BO1159" s="4"/>
      <c r="BP1159" s="4"/>
      <c r="BQ1159" s="4"/>
      <c r="BR1159" s="4"/>
      <c r="BS1159" s="4"/>
      <c r="BT1159" s="4"/>
      <c r="BU1159" s="4"/>
      <c r="BV1159" s="4"/>
      <c r="BW1159" s="4"/>
      <c r="BX1159" s="4"/>
      <c r="BY1159" s="4"/>
      <c r="BZ1159" s="4"/>
      <c r="CA1159" s="4"/>
      <c r="CB1159" s="4"/>
      <c r="CC1159" s="4"/>
      <c r="CD1159" s="4"/>
      <c r="CE1159" s="4"/>
      <c r="CF1159" s="4"/>
      <c r="CG1159" s="4"/>
      <c r="CH1159" s="4"/>
      <c r="CI1159" s="4"/>
      <c r="CJ1159" s="4"/>
      <c r="CK1159" s="4"/>
      <c r="CL1159" s="4"/>
      <c r="CM1159" s="4"/>
      <c r="CN1159" s="4"/>
      <c r="CO1159" s="4"/>
      <c r="CP1159" s="4"/>
      <c r="CQ1159" s="4"/>
      <c r="CR1159" s="4"/>
      <c r="CS1159" s="4"/>
      <c r="CT1159" s="4"/>
      <c r="CU1159" s="4"/>
      <c r="CV1159" s="4"/>
      <c r="CW1159" s="4"/>
      <c r="CX1159" s="4"/>
      <c r="CY1159" s="4"/>
      <c r="CZ1159" s="4"/>
      <c r="DA1159" s="4"/>
      <c r="DB1159" s="4"/>
      <c r="DC1159" s="4"/>
      <c r="DD1159" s="4"/>
      <c r="DE1159" s="4"/>
      <c r="DF1159" s="4"/>
      <c r="DG1159" s="4"/>
      <c r="DH1159" s="4"/>
      <c r="DI1159" s="4"/>
      <c r="DJ1159" s="4"/>
      <c r="DK1159" s="4"/>
      <c r="DL1159" s="4"/>
      <c r="DM1159" s="4"/>
      <c r="DN1159" s="4"/>
      <c r="DO1159" s="4"/>
      <c r="DP1159" s="4"/>
      <c r="DQ1159" s="4"/>
      <c r="DR1159" s="4"/>
      <c r="DS1159" s="4"/>
    </row>
    <row r="1160">
      <c r="A1160" s="9">
        <f>IFERROR(__xludf.DUMMYFUNCTION("""COMPUTED_VALUE"""),45782.0)</f>
        <v>45782</v>
      </c>
      <c r="B1160" s="6" t="str">
        <f>IFERROR(__xludf.DUMMYFUNCTION("""COMPUTED_VALUE"""),"Gasoline")</f>
        <v>Gasoline</v>
      </c>
      <c r="C1160" s="7">
        <f>IFERROR(__xludf.DUMMYFUNCTION("""COMPUTED_VALUE"""),10000.0)</f>
        <v>10000</v>
      </c>
      <c r="D1160" s="6" t="str">
        <f>IFERROR(__xludf.DUMMYFUNCTION("""COMPUTED_VALUE"""),"Car Expenses")</f>
        <v>Car Expenses</v>
      </c>
      <c r="E1160" s="6" t="str">
        <f>IFERROR(__xludf.DUMMYFUNCTION("""COMPUTED_VALUE"""),"Virtual Wallet")</f>
        <v>Virtual Wallet</v>
      </c>
      <c r="F1160" s="6" t="s">
        <v>9</v>
      </c>
      <c r="G1160" s="8" t="str">
        <f t="shared" si="1"/>
        <v>202505</v>
      </c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  <c r="AM1160" s="4"/>
      <c r="AN1160" s="4"/>
      <c r="AO1160" s="4"/>
      <c r="AP1160" s="4"/>
      <c r="AQ1160" s="4"/>
      <c r="AR1160" s="4"/>
      <c r="AS1160" s="4"/>
      <c r="AT1160" s="4"/>
      <c r="AU1160" s="4"/>
      <c r="AV1160" s="4"/>
      <c r="AW1160" s="4"/>
      <c r="AX1160" s="4"/>
      <c r="AY1160" s="4"/>
      <c r="AZ1160" s="4"/>
      <c r="BA1160" s="4"/>
      <c r="BB1160" s="4"/>
      <c r="BC1160" s="4"/>
      <c r="BD1160" s="4"/>
      <c r="BE1160" s="4"/>
      <c r="BF1160" s="4"/>
      <c r="BG1160" s="4"/>
      <c r="BH1160" s="4"/>
      <c r="BI1160" s="4"/>
      <c r="BJ1160" s="4"/>
      <c r="BK1160" s="4"/>
      <c r="BL1160" s="4"/>
      <c r="BM1160" s="4"/>
      <c r="BN1160" s="4"/>
      <c r="BO1160" s="4"/>
      <c r="BP1160" s="4"/>
      <c r="BQ1160" s="4"/>
      <c r="BR1160" s="4"/>
      <c r="BS1160" s="4"/>
      <c r="BT1160" s="4"/>
      <c r="BU1160" s="4"/>
      <c r="BV1160" s="4"/>
      <c r="BW1160" s="4"/>
      <c r="BX1160" s="4"/>
      <c r="BY1160" s="4"/>
      <c r="BZ1160" s="4"/>
      <c r="CA1160" s="4"/>
      <c r="CB1160" s="4"/>
      <c r="CC1160" s="4"/>
      <c r="CD1160" s="4"/>
      <c r="CE1160" s="4"/>
      <c r="CF1160" s="4"/>
      <c r="CG1160" s="4"/>
      <c r="CH1160" s="4"/>
      <c r="CI1160" s="4"/>
      <c r="CJ1160" s="4"/>
      <c r="CK1160" s="4"/>
      <c r="CL1160" s="4"/>
      <c r="CM1160" s="4"/>
      <c r="CN1160" s="4"/>
      <c r="CO1160" s="4"/>
      <c r="CP1160" s="4"/>
      <c r="CQ1160" s="4"/>
      <c r="CR1160" s="4"/>
      <c r="CS1160" s="4"/>
      <c r="CT1160" s="4"/>
      <c r="CU1160" s="4"/>
      <c r="CV1160" s="4"/>
      <c r="CW1160" s="4"/>
      <c r="CX1160" s="4"/>
      <c r="CY1160" s="4"/>
      <c r="CZ1160" s="4"/>
      <c r="DA1160" s="4"/>
      <c r="DB1160" s="4"/>
      <c r="DC1160" s="4"/>
      <c r="DD1160" s="4"/>
      <c r="DE1160" s="4"/>
      <c r="DF1160" s="4"/>
      <c r="DG1160" s="4"/>
      <c r="DH1160" s="4"/>
      <c r="DI1160" s="4"/>
      <c r="DJ1160" s="4"/>
      <c r="DK1160" s="4"/>
      <c r="DL1160" s="4"/>
      <c r="DM1160" s="4"/>
      <c r="DN1160" s="4"/>
      <c r="DO1160" s="4"/>
      <c r="DP1160" s="4"/>
      <c r="DQ1160" s="4"/>
      <c r="DR1160" s="4"/>
      <c r="DS1160" s="4"/>
    </row>
    <row r="1161">
      <c r="A1161" s="9">
        <f>IFERROR(__xludf.DUMMYFUNCTION("""COMPUTED_VALUE"""),45782.0)</f>
        <v>45782</v>
      </c>
      <c r="B1161" s="6" t="str">
        <f>IFERROR(__xludf.DUMMYFUNCTION("""COMPUTED_VALUE"""),"Gift")</f>
        <v>Gift</v>
      </c>
      <c r="C1161" s="7">
        <f>IFERROR(__xludf.DUMMYFUNCTION("""COMPUTED_VALUE"""),46125.0)</f>
        <v>46125</v>
      </c>
      <c r="D1161" s="6" t="str">
        <f>IFERROR(__xludf.DUMMYFUNCTION("""COMPUTED_VALUE"""),"Gifts")</f>
        <v>Gifts</v>
      </c>
      <c r="E1161" s="6" t="str">
        <f>IFERROR(__xludf.DUMMYFUNCTION("""COMPUTED_VALUE"""),"Virtual Wallet")</f>
        <v>Virtual Wallet</v>
      </c>
      <c r="F1161" s="6"/>
      <c r="G1161" s="8" t="str">
        <f t="shared" si="1"/>
        <v>202505</v>
      </c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  <c r="AG1161" s="4"/>
      <c r="AH1161" s="4"/>
      <c r="AI1161" s="4"/>
      <c r="AJ1161" s="4"/>
      <c r="AK1161" s="4"/>
      <c r="AL1161" s="4"/>
      <c r="AM1161" s="4"/>
      <c r="AN1161" s="4"/>
      <c r="AO1161" s="4"/>
      <c r="AP1161" s="4"/>
      <c r="AQ1161" s="4"/>
      <c r="AR1161" s="4"/>
      <c r="AS1161" s="4"/>
      <c r="AT1161" s="4"/>
      <c r="AU1161" s="4"/>
      <c r="AV1161" s="4"/>
      <c r="AW1161" s="4"/>
      <c r="AX1161" s="4"/>
      <c r="AY1161" s="4"/>
      <c r="AZ1161" s="4"/>
      <c r="BA1161" s="4"/>
      <c r="BB1161" s="4"/>
      <c r="BC1161" s="4"/>
      <c r="BD1161" s="4"/>
      <c r="BE1161" s="4"/>
      <c r="BF1161" s="4"/>
      <c r="BG1161" s="4"/>
      <c r="BH1161" s="4"/>
      <c r="BI1161" s="4"/>
      <c r="BJ1161" s="4"/>
      <c r="BK1161" s="4"/>
      <c r="BL1161" s="4"/>
      <c r="BM1161" s="4"/>
      <c r="BN1161" s="4"/>
      <c r="BO1161" s="4"/>
      <c r="BP1161" s="4"/>
      <c r="BQ1161" s="4"/>
      <c r="BR1161" s="4"/>
      <c r="BS1161" s="4"/>
      <c r="BT1161" s="4"/>
      <c r="BU1161" s="4"/>
      <c r="BV1161" s="4"/>
      <c r="BW1161" s="4"/>
      <c r="BX1161" s="4"/>
      <c r="BY1161" s="4"/>
      <c r="BZ1161" s="4"/>
      <c r="CA1161" s="4"/>
      <c r="CB1161" s="4"/>
      <c r="CC1161" s="4"/>
      <c r="CD1161" s="4"/>
      <c r="CE1161" s="4"/>
      <c r="CF1161" s="4"/>
      <c r="CG1161" s="4"/>
      <c r="CH1161" s="4"/>
      <c r="CI1161" s="4"/>
      <c r="CJ1161" s="4"/>
      <c r="CK1161" s="4"/>
      <c r="CL1161" s="4"/>
      <c r="CM1161" s="4"/>
      <c r="CN1161" s="4"/>
      <c r="CO1161" s="4"/>
      <c r="CP1161" s="4"/>
      <c r="CQ1161" s="4"/>
      <c r="CR1161" s="4"/>
      <c r="CS1161" s="4"/>
      <c r="CT1161" s="4"/>
      <c r="CU1161" s="4"/>
      <c r="CV1161" s="4"/>
      <c r="CW1161" s="4"/>
      <c r="CX1161" s="4"/>
      <c r="CY1161" s="4"/>
      <c r="CZ1161" s="4"/>
      <c r="DA1161" s="4"/>
      <c r="DB1161" s="4"/>
      <c r="DC1161" s="4"/>
      <c r="DD1161" s="4"/>
      <c r="DE1161" s="4"/>
      <c r="DF1161" s="4"/>
      <c r="DG1161" s="4"/>
      <c r="DH1161" s="4"/>
      <c r="DI1161" s="4"/>
      <c r="DJ1161" s="4"/>
      <c r="DK1161" s="4"/>
      <c r="DL1161" s="4"/>
      <c r="DM1161" s="4"/>
      <c r="DN1161" s="4"/>
      <c r="DO1161" s="4"/>
      <c r="DP1161" s="4"/>
      <c r="DQ1161" s="4"/>
      <c r="DR1161" s="4"/>
      <c r="DS1161" s="4"/>
    </row>
    <row r="1162">
      <c r="A1162" s="9">
        <f>IFERROR(__xludf.DUMMYFUNCTION("""COMPUTED_VALUE"""),45782.0)</f>
        <v>45782</v>
      </c>
      <c r="B1162" s="6" t="str">
        <f>IFERROR(__xludf.DUMMYFUNCTION("""COMPUTED_VALUE"""),"Groceries")</f>
        <v>Groceries</v>
      </c>
      <c r="C1162" s="7">
        <f>IFERROR(__xludf.DUMMYFUNCTION("""COMPUTED_VALUE"""),13050.0)</f>
        <v>13050</v>
      </c>
      <c r="D1162" s="6" t="str">
        <f>IFERROR(__xludf.DUMMYFUNCTION("""COMPUTED_VALUE"""),"Groceries")</f>
        <v>Groceries</v>
      </c>
      <c r="E1162" s="6" t="str">
        <f>IFERROR(__xludf.DUMMYFUNCTION("""COMPUTED_VALUE"""),"Virtual Wallet")</f>
        <v>Virtual Wallet</v>
      </c>
      <c r="F1162" s="6" t="s">
        <v>7</v>
      </c>
      <c r="G1162" s="8" t="str">
        <f t="shared" si="1"/>
        <v>202505</v>
      </c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  <c r="AG1162" s="4"/>
      <c r="AH1162" s="4"/>
      <c r="AI1162" s="4"/>
      <c r="AJ1162" s="4"/>
      <c r="AK1162" s="4"/>
      <c r="AL1162" s="4"/>
      <c r="AM1162" s="4"/>
      <c r="AN1162" s="4"/>
      <c r="AO1162" s="4"/>
      <c r="AP1162" s="4"/>
      <c r="AQ1162" s="4"/>
      <c r="AR1162" s="4"/>
      <c r="AS1162" s="4"/>
      <c r="AT1162" s="4"/>
      <c r="AU1162" s="4"/>
      <c r="AV1162" s="4"/>
      <c r="AW1162" s="4"/>
      <c r="AX1162" s="4"/>
      <c r="AY1162" s="4"/>
      <c r="AZ1162" s="4"/>
      <c r="BA1162" s="4"/>
      <c r="BB1162" s="4"/>
      <c r="BC1162" s="4"/>
      <c r="BD1162" s="4"/>
      <c r="BE1162" s="4"/>
      <c r="BF1162" s="4"/>
      <c r="BG1162" s="4"/>
      <c r="BH1162" s="4"/>
      <c r="BI1162" s="4"/>
      <c r="BJ1162" s="4"/>
      <c r="BK1162" s="4"/>
      <c r="BL1162" s="4"/>
      <c r="BM1162" s="4"/>
      <c r="BN1162" s="4"/>
      <c r="BO1162" s="4"/>
      <c r="BP1162" s="4"/>
      <c r="BQ1162" s="4"/>
      <c r="BR1162" s="4"/>
      <c r="BS1162" s="4"/>
      <c r="BT1162" s="4"/>
      <c r="BU1162" s="4"/>
      <c r="BV1162" s="4"/>
      <c r="BW1162" s="4"/>
      <c r="BX1162" s="4"/>
      <c r="BY1162" s="4"/>
      <c r="BZ1162" s="4"/>
      <c r="CA1162" s="4"/>
      <c r="CB1162" s="4"/>
      <c r="CC1162" s="4"/>
      <c r="CD1162" s="4"/>
      <c r="CE1162" s="4"/>
      <c r="CF1162" s="4"/>
      <c r="CG1162" s="4"/>
      <c r="CH1162" s="4"/>
      <c r="CI1162" s="4"/>
      <c r="CJ1162" s="4"/>
      <c r="CK1162" s="4"/>
      <c r="CL1162" s="4"/>
      <c r="CM1162" s="4"/>
      <c r="CN1162" s="4"/>
      <c r="CO1162" s="4"/>
      <c r="CP1162" s="4"/>
      <c r="CQ1162" s="4"/>
      <c r="CR1162" s="4"/>
      <c r="CS1162" s="4"/>
      <c r="CT1162" s="4"/>
      <c r="CU1162" s="4"/>
      <c r="CV1162" s="4"/>
      <c r="CW1162" s="4"/>
      <c r="CX1162" s="4"/>
      <c r="CY1162" s="4"/>
      <c r="CZ1162" s="4"/>
      <c r="DA1162" s="4"/>
      <c r="DB1162" s="4"/>
      <c r="DC1162" s="4"/>
      <c r="DD1162" s="4"/>
      <c r="DE1162" s="4"/>
      <c r="DF1162" s="4"/>
      <c r="DG1162" s="4"/>
      <c r="DH1162" s="4"/>
      <c r="DI1162" s="4"/>
      <c r="DJ1162" s="4"/>
      <c r="DK1162" s="4"/>
      <c r="DL1162" s="4"/>
      <c r="DM1162" s="4"/>
      <c r="DN1162" s="4"/>
      <c r="DO1162" s="4"/>
      <c r="DP1162" s="4"/>
      <c r="DQ1162" s="4"/>
      <c r="DR1162" s="4"/>
      <c r="DS1162" s="4"/>
    </row>
    <row r="1163">
      <c r="A1163" s="9">
        <f>IFERROR(__xludf.DUMMYFUNCTION("""COMPUTED_VALUE"""),45782.0)</f>
        <v>45782</v>
      </c>
      <c r="B1163" s="6" t="str">
        <f>IFERROR(__xludf.DUMMYFUNCTION("""COMPUTED_VALUE"""),"Home Goods")</f>
        <v>Home Goods</v>
      </c>
      <c r="C1163" s="7">
        <f>IFERROR(__xludf.DUMMYFUNCTION("""COMPUTED_VALUE"""),16000.0)</f>
        <v>16000</v>
      </c>
      <c r="D1163" s="6" t="str">
        <f>IFERROR(__xludf.DUMMYFUNCTION("""COMPUTED_VALUE"""),"Home Goods &amp; Utilities")</f>
        <v>Home Goods &amp; Utilities</v>
      </c>
      <c r="E1163" s="6" t="str">
        <f>IFERROR(__xludf.DUMMYFUNCTION("""COMPUTED_VALUE"""),"Virtual Wallet")</f>
        <v>Virtual Wallet</v>
      </c>
      <c r="F1163" s="6" t="s">
        <v>8</v>
      </c>
      <c r="G1163" s="8" t="str">
        <f t="shared" si="1"/>
        <v>202505</v>
      </c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  <c r="AH1163" s="4"/>
      <c r="AI1163" s="4"/>
      <c r="AJ1163" s="4"/>
      <c r="AK1163" s="4"/>
      <c r="AL1163" s="4"/>
      <c r="AM1163" s="4"/>
      <c r="AN1163" s="4"/>
      <c r="AO1163" s="4"/>
      <c r="AP1163" s="4"/>
      <c r="AQ1163" s="4"/>
      <c r="AR1163" s="4"/>
      <c r="AS1163" s="4"/>
      <c r="AT1163" s="4"/>
      <c r="AU1163" s="4"/>
      <c r="AV1163" s="4"/>
      <c r="AW1163" s="4"/>
      <c r="AX1163" s="4"/>
      <c r="AY1163" s="4"/>
      <c r="AZ1163" s="4"/>
      <c r="BA1163" s="4"/>
      <c r="BB1163" s="4"/>
      <c r="BC1163" s="4"/>
      <c r="BD1163" s="4"/>
      <c r="BE1163" s="4"/>
      <c r="BF1163" s="4"/>
      <c r="BG1163" s="4"/>
      <c r="BH1163" s="4"/>
      <c r="BI1163" s="4"/>
      <c r="BJ1163" s="4"/>
      <c r="BK1163" s="4"/>
      <c r="BL1163" s="4"/>
      <c r="BM1163" s="4"/>
      <c r="BN1163" s="4"/>
      <c r="BO1163" s="4"/>
      <c r="BP1163" s="4"/>
      <c r="BQ1163" s="4"/>
      <c r="BR1163" s="4"/>
      <c r="BS1163" s="4"/>
      <c r="BT1163" s="4"/>
      <c r="BU1163" s="4"/>
      <c r="BV1163" s="4"/>
      <c r="BW1163" s="4"/>
      <c r="BX1163" s="4"/>
      <c r="BY1163" s="4"/>
      <c r="BZ1163" s="4"/>
      <c r="CA1163" s="4"/>
      <c r="CB1163" s="4"/>
      <c r="CC1163" s="4"/>
      <c r="CD1163" s="4"/>
      <c r="CE1163" s="4"/>
      <c r="CF1163" s="4"/>
      <c r="CG1163" s="4"/>
      <c r="CH1163" s="4"/>
      <c r="CI1163" s="4"/>
      <c r="CJ1163" s="4"/>
      <c r="CK1163" s="4"/>
      <c r="CL1163" s="4"/>
      <c r="CM1163" s="4"/>
      <c r="CN1163" s="4"/>
      <c r="CO1163" s="4"/>
      <c r="CP1163" s="4"/>
      <c r="CQ1163" s="4"/>
      <c r="CR1163" s="4"/>
      <c r="CS1163" s="4"/>
      <c r="CT1163" s="4"/>
      <c r="CU1163" s="4"/>
      <c r="CV1163" s="4"/>
      <c r="CW1163" s="4"/>
      <c r="CX1163" s="4"/>
      <c r="CY1163" s="4"/>
      <c r="CZ1163" s="4"/>
      <c r="DA1163" s="4"/>
      <c r="DB1163" s="4"/>
      <c r="DC1163" s="4"/>
      <c r="DD1163" s="4"/>
      <c r="DE1163" s="4"/>
      <c r="DF1163" s="4"/>
      <c r="DG1163" s="4"/>
      <c r="DH1163" s="4"/>
      <c r="DI1163" s="4"/>
      <c r="DJ1163" s="4"/>
      <c r="DK1163" s="4"/>
      <c r="DL1163" s="4"/>
      <c r="DM1163" s="4"/>
      <c r="DN1163" s="4"/>
      <c r="DO1163" s="4"/>
      <c r="DP1163" s="4"/>
      <c r="DQ1163" s="4"/>
      <c r="DR1163" s="4"/>
      <c r="DS1163" s="4"/>
    </row>
    <row r="1164">
      <c r="A1164" s="9">
        <f>IFERROR(__xludf.DUMMYFUNCTION("""COMPUTED_VALUE"""),45783.0)</f>
        <v>45783</v>
      </c>
      <c r="B1164" s="6" t="str">
        <f>IFERROR(__xludf.DUMMYFUNCTION("""COMPUTED_VALUE"""),"Gift")</f>
        <v>Gift</v>
      </c>
      <c r="C1164" s="7">
        <f>IFERROR(__xludf.DUMMYFUNCTION("""COMPUTED_VALUE"""),35000.0)</f>
        <v>35000</v>
      </c>
      <c r="D1164" s="6" t="str">
        <f>IFERROR(__xludf.DUMMYFUNCTION("""COMPUTED_VALUE"""),"Gifts")</f>
        <v>Gifts</v>
      </c>
      <c r="E1164" s="6" t="str">
        <f>IFERROR(__xludf.DUMMYFUNCTION("""COMPUTED_VALUE"""),"Cash")</f>
        <v>Cash</v>
      </c>
      <c r="F1164" s="6"/>
      <c r="G1164" s="8" t="str">
        <f t="shared" si="1"/>
        <v>202505</v>
      </c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  <c r="AG1164" s="4"/>
      <c r="AH1164" s="4"/>
      <c r="AI1164" s="4"/>
      <c r="AJ1164" s="4"/>
      <c r="AK1164" s="4"/>
      <c r="AL1164" s="4"/>
      <c r="AM1164" s="4"/>
      <c r="AN1164" s="4"/>
      <c r="AO1164" s="4"/>
      <c r="AP1164" s="4"/>
      <c r="AQ1164" s="4"/>
      <c r="AR1164" s="4"/>
      <c r="AS1164" s="4"/>
      <c r="AT1164" s="4"/>
      <c r="AU1164" s="4"/>
      <c r="AV1164" s="4"/>
      <c r="AW1164" s="4"/>
      <c r="AX1164" s="4"/>
      <c r="AY1164" s="4"/>
      <c r="AZ1164" s="4"/>
      <c r="BA1164" s="4"/>
      <c r="BB1164" s="4"/>
      <c r="BC1164" s="4"/>
      <c r="BD1164" s="4"/>
      <c r="BE1164" s="4"/>
      <c r="BF1164" s="4"/>
      <c r="BG1164" s="4"/>
      <c r="BH1164" s="4"/>
      <c r="BI1164" s="4"/>
      <c r="BJ1164" s="4"/>
      <c r="BK1164" s="4"/>
      <c r="BL1164" s="4"/>
      <c r="BM1164" s="4"/>
      <c r="BN1164" s="4"/>
      <c r="BO1164" s="4"/>
      <c r="BP1164" s="4"/>
      <c r="BQ1164" s="4"/>
      <c r="BR1164" s="4"/>
      <c r="BS1164" s="4"/>
      <c r="BT1164" s="4"/>
      <c r="BU1164" s="4"/>
      <c r="BV1164" s="4"/>
      <c r="BW1164" s="4"/>
      <c r="BX1164" s="4"/>
      <c r="BY1164" s="4"/>
      <c r="BZ1164" s="4"/>
      <c r="CA1164" s="4"/>
      <c r="CB1164" s="4"/>
      <c r="CC1164" s="4"/>
      <c r="CD1164" s="4"/>
      <c r="CE1164" s="4"/>
      <c r="CF1164" s="4"/>
      <c r="CG1164" s="4"/>
      <c r="CH1164" s="4"/>
      <c r="CI1164" s="4"/>
      <c r="CJ1164" s="4"/>
      <c r="CK1164" s="4"/>
      <c r="CL1164" s="4"/>
      <c r="CM1164" s="4"/>
      <c r="CN1164" s="4"/>
      <c r="CO1164" s="4"/>
      <c r="CP1164" s="4"/>
      <c r="CQ1164" s="4"/>
      <c r="CR1164" s="4"/>
      <c r="CS1164" s="4"/>
      <c r="CT1164" s="4"/>
      <c r="CU1164" s="4"/>
      <c r="CV1164" s="4"/>
      <c r="CW1164" s="4"/>
      <c r="CX1164" s="4"/>
      <c r="CY1164" s="4"/>
      <c r="CZ1164" s="4"/>
      <c r="DA1164" s="4"/>
      <c r="DB1164" s="4"/>
      <c r="DC1164" s="4"/>
      <c r="DD1164" s="4"/>
      <c r="DE1164" s="4"/>
      <c r="DF1164" s="4"/>
      <c r="DG1164" s="4"/>
      <c r="DH1164" s="4"/>
      <c r="DI1164" s="4"/>
      <c r="DJ1164" s="4"/>
      <c r="DK1164" s="4"/>
      <c r="DL1164" s="4"/>
      <c r="DM1164" s="4"/>
      <c r="DN1164" s="4"/>
      <c r="DO1164" s="4"/>
      <c r="DP1164" s="4"/>
      <c r="DQ1164" s="4"/>
      <c r="DR1164" s="4"/>
      <c r="DS1164" s="4"/>
    </row>
    <row r="1165">
      <c r="A1165" s="9">
        <f>IFERROR(__xludf.DUMMYFUNCTION("""COMPUTED_VALUE"""),45784.0)</f>
        <v>45784</v>
      </c>
      <c r="B1165" s="6" t="str">
        <f>IFERROR(__xludf.DUMMYFUNCTION("""COMPUTED_VALUE"""),"Groceries")</f>
        <v>Groceries</v>
      </c>
      <c r="C1165" s="7">
        <f>IFERROR(__xludf.DUMMYFUNCTION("""COMPUTED_VALUE"""),845.0)</f>
        <v>845</v>
      </c>
      <c r="D1165" s="6" t="str">
        <f>IFERROR(__xludf.DUMMYFUNCTION("""COMPUTED_VALUE"""),"Groceries")</f>
        <v>Groceries</v>
      </c>
      <c r="E1165" s="6" t="str">
        <f>IFERROR(__xludf.DUMMYFUNCTION("""COMPUTED_VALUE"""),"Virtual Wallet")</f>
        <v>Virtual Wallet</v>
      </c>
      <c r="F1165" s="6" t="s">
        <v>7</v>
      </c>
      <c r="G1165" s="8" t="str">
        <f t="shared" si="1"/>
        <v>202505</v>
      </c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  <c r="AG1165" s="4"/>
      <c r="AH1165" s="4"/>
      <c r="AI1165" s="4"/>
      <c r="AJ1165" s="4"/>
      <c r="AK1165" s="4"/>
      <c r="AL1165" s="4"/>
      <c r="AM1165" s="4"/>
      <c r="AN1165" s="4"/>
      <c r="AO1165" s="4"/>
      <c r="AP1165" s="4"/>
      <c r="AQ1165" s="4"/>
      <c r="AR1165" s="4"/>
      <c r="AS1165" s="4"/>
      <c r="AT1165" s="4"/>
      <c r="AU1165" s="4"/>
      <c r="AV1165" s="4"/>
      <c r="AW1165" s="4"/>
      <c r="AX1165" s="4"/>
      <c r="AY1165" s="4"/>
      <c r="AZ1165" s="4"/>
      <c r="BA1165" s="4"/>
      <c r="BB1165" s="4"/>
      <c r="BC1165" s="4"/>
      <c r="BD1165" s="4"/>
      <c r="BE1165" s="4"/>
      <c r="BF1165" s="4"/>
      <c r="BG1165" s="4"/>
      <c r="BH1165" s="4"/>
      <c r="BI1165" s="4"/>
      <c r="BJ1165" s="4"/>
      <c r="BK1165" s="4"/>
      <c r="BL1165" s="4"/>
      <c r="BM1165" s="4"/>
      <c r="BN1165" s="4"/>
      <c r="BO1165" s="4"/>
      <c r="BP1165" s="4"/>
      <c r="BQ1165" s="4"/>
      <c r="BR1165" s="4"/>
      <c r="BS1165" s="4"/>
      <c r="BT1165" s="4"/>
      <c r="BU1165" s="4"/>
      <c r="BV1165" s="4"/>
      <c r="BW1165" s="4"/>
      <c r="BX1165" s="4"/>
      <c r="BY1165" s="4"/>
      <c r="BZ1165" s="4"/>
      <c r="CA1165" s="4"/>
      <c r="CB1165" s="4"/>
      <c r="CC1165" s="4"/>
      <c r="CD1165" s="4"/>
      <c r="CE1165" s="4"/>
      <c r="CF1165" s="4"/>
      <c r="CG1165" s="4"/>
      <c r="CH1165" s="4"/>
      <c r="CI1165" s="4"/>
      <c r="CJ1165" s="4"/>
      <c r="CK1165" s="4"/>
      <c r="CL1165" s="4"/>
      <c r="CM1165" s="4"/>
      <c r="CN1165" s="4"/>
      <c r="CO1165" s="4"/>
      <c r="CP1165" s="4"/>
      <c r="CQ1165" s="4"/>
      <c r="CR1165" s="4"/>
      <c r="CS1165" s="4"/>
      <c r="CT1165" s="4"/>
      <c r="CU1165" s="4"/>
      <c r="CV1165" s="4"/>
      <c r="CW1165" s="4"/>
      <c r="CX1165" s="4"/>
      <c r="CY1165" s="4"/>
      <c r="CZ1165" s="4"/>
      <c r="DA1165" s="4"/>
      <c r="DB1165" s="4"/>
      <c r="DC1165" s="4"/>
      <c r="DD1165" s="4"/>
      <c r="DE1165" s="4"/>
      <c r="DF1165" s="4"/>
      <c r="DG1165" s="4"/>
      <c r="DH1165" s="4"/>
      <c r="DI1165" s="4"/>
      <c r="DJ1165" s="4"/>
      <c r="DK1165" s="4"/>
      <c r="DL1165" s="4"/>
      <c r="DM1165" s="4"/>
      <c r="DN1165" s="4"/>
      <c r="DO1165" s="4"/>
      <c r="DP1165" s="4"/>
      <c r="DQ1165" s="4"/>
      <c r="DR1165" s="4"/>
      <c r="DS1165" s="4"/>
    </row>
    <row r="1166">
      <c r="A1166" s="9">
        <f>IFERROR(__xludf.DUMMYFUNCTION("""COMPUTED_VALUE"""),45784.0)</f>
        <v>45784</v>
      </c>
      <c r="B1166" s="6" t="str">
        <f>IFERROR(__xludf.DUMMYFUNCTION("""COMPUTED_VALUE"""),"Mobile Plan")</f>
        <v>Mobile Plan</v>
      </c>
      <c r="C1166" s="7">
        <f>IFERROR(__xludf.DUMMYFUNCTION("""COMPUTED_VALUE"""),9500.0)</f>
        <v>9500</v>
      </c>
      <c r="D1166" s="6" t="str">
        <f>IFERROR(__xludf.DUMMYFUNCTION("""COMPUTED_VALUE"""),"Basic Services")</f>
        <v>Basic Services</v>
      </c>
      <c r="E1166" s="6" t="str">
        <f>IFERROR(__xludf.DUMMYFUNCTION("""COMPUTED_VALUE"""),"Virtual Wallet")</f>
        <v>Virtual Wallet</v>
      </c>
      <c r="F1166" s="6" t="s">
        <v>13</v>
      </c>
      <c r="G1166" s="8" t="str">
        <f t="shared" si="1"/>
        <v>202505</v>
      </c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  <c r="AG1166" s="4"/>
      <c r="AH1166" s="4"/>
      <c r="AI1166" s="4"/>
      <c r="AJ1166" s="4"/>
      <c r="AK1166" s="4"/>
      <c r="AL1166" s="4"/>
      <c r="AM1166" s="4"/>
      <c r="AN1166" s="4"/>
      <c r="AO1166" s="4"/>
      <c r="AP1166" s="4"/>
      <c r="AQ1166" s="4"/>
      <c r="AR1166" s="4"/>
      <c r="AS1166" s="4"/>
      <c r="AT1166" s="4"/>
      <c r="AU1166" s="4"/>
      <c r="AV1166" s="4"/>
      <c r="AW1166" s="4"/>
      <c r="AX1166" s="4"/>
      <c r="AY1166" s="4"/>
      <c r="AZ1166" s="4"/>
      <c r="BA1166" s="4"/>
      <c r="BB1166" s="4"/>
      <c r="BC1166" s="4"/>
      <c r="BD1166" s="4"/>
      <c r="BE1166" s="4"/>
      <c r="BF1166" s="4"/>
      <c r="BG1166" s="4"/>
      <c r="BH1166" s="4"/>
      <c r="BI1166" s="4"/>
      <c r="BJ1166" s="4"/>
      <c r="BK1166" s="4"/>
      <c r="BL1166" s="4"/>
      <c r="BM1166" s="4"/>
      <c r="BN1166" s="4"/>
      <c r="BO1166" s="4"/>
      <c r="BP1166" s="4"/>
      <c r="BQ1166" s="4"/>
      <c r="BR1166" s="4"/>
      <c r="BS1166" s="4"/>
      <c r="BT1166" s="4"/>
      <c r="BU1166" s="4"/>
      <c r="BV1166" s="4"/>
      <c r="BW1166" s="4"/>
      <c r="BX1166" s="4"/>
      <c r="BY1166" s="4"/>
      <c r="BZ1166" s="4"/>
      <c r="CA1166" s="4"/>
      <c r="CB1166" s="4"/>
      <c r="CC1166" s="4"/>
      <c r="CD1166" s="4"/>
      <c r="CE1166" s="4"/>
      <c r="CF1166" s="4"/>
      <c r="CG1166" s="4"/>
      <c r="CH1166" s="4"/>
      <c r="CI1166" s="4"/>
      <c r="CJ1166" s="4"/>
      <c r="CK1166" s="4"/>
      <c r="CL1166" s="4"/>
      <c r="CM1166" s="4"/>
      <c r="CN1166" s="4"/>
      <c r="CO1166" s="4"/>
      <c r="CP1166" s="4"/>
      <c r="CQ1166" s="4"/>
      <c r="CR1166" s="4"/>
      <c r="CS1166" s="4"/>
      <c r="CT1166" s="4"/>
      <c r="CU1166" s="4"/>
      <c r="CV1166" s="4"/>
      <c r="CW1166" s="4"/>
      <c r="CX1166" s="4"/>
      <c r="CY1166" s="4"/>
      <c r="CZ1166" s="4"/>
      <c r="DA1166" s="4"/>
      <c r="DB1166" s="4"/>
      <c r="DC1166" s="4"/>
      <c r="DD1166" s="4"/>
      <c r="DE1166" s="4"/>
      <c r="DF1166" s="4"/>
      <c r="DG1166" s="4"/>
      <c r="DH1166" s="4"/>
      <c r="DI1166" s="4"/>
      <c r="DJ1166" s="4"/>
      <c r="DK1166" s="4"/>
      <c r="DL1166" s="4"/>
      <c r="DM1166" s="4"/>
      <c r="DN1166" s="4"/>
      <c r="DO1166" s="4"/>
      <c r="DP1166" s="4"/>
      <c r="DQ1166" s="4"/>
      <c r="DR1166" s="4"/>
      <c r="DS1166" s="4"/>
    </row>
    <row r="1167">
      <c r="A1167" s="9">
        <f>IFERROR(__xludf.DUMMYFUNCTION("""COMPUTED_VALUE"""),45784.0)</f>
        <v>45784</v>
      </c>
      <c r="B1167" s="6" t="str">
        <f>IFERROR(__xludf.DUMMYFUNCTION("""COMPUTED_VALUE"""),"Municipal Tax (Agip)")</f>
        <v>Municipal Tax (Agip)</v>
      </c>
      <c r="C1167" s="7">
        <f>IFERROR(__xludf.DUMMYFUNCTION("""COMPUTED_VALUE"""),9194.0)</f>
        <v>9194</v>
      </c>
      <c r="D1167" s="6" t="str">
        <f>IFERROR(__xludf.DUMMYFUNCTION("""COMPUTED_VALUE"""),"Basic Services")</f>
        <v>Basic Services</v>
      </c>
      <c r="E1167" s="6" t="str">
        <f>IFERROR(__xludf.DUMMYFUNCTION("""COMPUTED_VALUE"""),"Split Payment")</f>
        <v>Split Payment</v>
      </c>
      <c r="F1167" s="6" t="s">
        <v>13</v>
      </c>
      <c r="G1167" s="8" t="str">
        <f t="shared" si="1"/>
        <v>202505</v>
      </c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  <c r="AH1167" s="4"/>
      <c r="AI1167" s="4"/>
      <c r="AJ1167" s="4"/>
      <c r="AK1167" s="4"/>
      <c r="AL1167" s="4"/>
      <c r="AM1167" s="4"/>
      <c r="AN1167" s="4"/>
      <c r="AO1167" s="4"/>
      <c r="AP1167" s="4"/>
      <c r="AQ1167" s="4"/>
      <c r="AR1167" s="4"/>
      <c r="AS1167" s="4"/>
      <c r="AT1167" s="4"/>
      <c r="AU1167" s="4"/>
      <c r="AV1167" s="4"/>
      <c r="AW1167" s="4"/>
      <c r="AX1167" s="4"/>
      <c r="AY1167" s="4"/>
      <c r="AZ1167" s="4"/>
      <c r="BA1167" s="4"/>
      <c r="BB1167" s="4"/>
      <c r="BC1167" s="4"/>
      <c r="BD1167" s="4"/>
      <c r="BE1167" s="4"/>
      <c r="BF1167" s="4"/>
      <c r="BG1167" s="4"/>
      <c r="BH1167" s="4"/>
      <c r="BI1167" s="4"/>
      <c r="BJ1167" s="4"/>
      <c r="BK1167" s="4"/>
      <c r="BL1167" s="4"/>
      <c r="BM1167" s="4"/>
      <c r="BN1167" s="4"/>
      <c r="BO1167" s="4"/>
      <c r="BP1167" s="4"/>
      <c r="BQ1167" s="4"/>
      <c r="BR1167" s="4"/>
      <c r="BS1167" s="4"/>
      <c r="BT1167" s="4"/>
      <c r="BU1167" s="4"/>
      <c r="BV1167" s="4"/>
      <c r="BW1167" s="4"/>
      <c r="BX1167" s="4"/>
      <c r="BY1167" s="4"/>
      <c r="BZ1167" s="4"/>
      <c r="CA1167" s="4"/>
      <c r="CB1167" s="4"/>
      <c r="CC1167" s="4"/>
      <c r="CD1167" s="4"/>
      <c r="CE1167" s="4"/>
      <c r="CF1167" s="4"/>
      <c r="CG1167" s="4"/>
      <c r="CH1167" s="4"/>
      <c r="CI1167" s="4"/>
      <c r="CJ1167" s="4"/>
      <c r="CK1167" s="4"/>
      <c r="CL1167" s="4"/>
      <c r="CM1167" s="4"/>
      <c r="CN1167" s="4"/>
      <c r="CO1167" s="4"/>
      <c r="CP1167" s="4"/>
      <c r="CQ1167" s="4"/>
      <c r="CR1167" s="4"/>
      <c r="CS1167" s="4"/>
      <c r="CT1167" s="4"/>
      <c r="CU1167" s="4"/>
      <c r="CV1167" s="4"/>
      <c r="CW1167" s="4"/>
      <c r="CX1167" s="4"/>
      <c r="CY1167" s="4"/>
      <c r="CZ1167" s="4"/>
      <c r="DA1167" s="4"/>
      <c r="DB1167" s="4"/>
      <c r="DC1167" s="4"/>
      <c r="DD1167" s="4"/>
      <c r="DE1167" s="4"/>
      <c r="DF1167" s="4"/>
      <c r="DG1167" s="4"/>
      <c r="DH1167" s="4"/>
      <c r="DI1167" s="4"/>
      <c r="DJ1167" s="4"/>
      <c r="DK1167" s="4"/>
      <c r="DL1167" s="4"/>
      <c r="DM1167" s="4"/>
      <c r="DN1167" s="4"/>
      <c r="DO1167" s="4"/>
      <c r="DP1167" s="4"/>
      <c r="DQ1167" s="4"/>
      <c r="DR1167" s="4"/>
      <c r="DS1167" s="4"/>
    </row>
    <row r="1168">
      <c r="A1168" s="9">
        <f>IFERROR(__xludf.DUMMYFUNCTION("""COMPUTED_VALUE"""),45785.0)</f>
        <v>45785</v>
      </c>
      <c r="B1168" s="6" t="str">
        <f>IFERROR(__xludf.DUMMYFUNCTION("""COMPUTED_VALUE"""),"Groceries")</f>
        <v>Groceries</v>
      </c>
      <c r="C1168" s="7">
        <f>IFERROR(__xludf.DUMMYFUNCTION("""COMPUTED_VALUE"""),77869.0)</f>
        <v>77869</v>
      </c>
      <c r="D1168" s="6" t="str">
        <f>IFERROR(__xludf.DUMMYFUNCTION("""COMPUTED_VALUE"""),"Groceries")</f>
        <v>Groceries</v>
      </c>
      <c r="E1168" s="6" t="str">
        <f>IFERROR(__xludf.DUMMYFUNCTION("""COMPUTED_VALUE"""),"Split Payment")</f>
        <v>Split Payment</v>
      </c>
      <c r="F1168" s="6" t="s">
        <v>7</v>
      </c>
      <c r="G1168" s="8" t="str">
        <f t="shared" si="1"/>
        <v>202505</v>
      </c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  <c r="AG1168" s="4"/>
      <c r="AH1168" s="4"/>
      <c r="AI1168" s="4"/>
      <c r="AJ1168" s="4"/>
      <c r="AK1168" s="4"/>
      <c r="AL1168" s="4"/>
      <c r="AM1168" s="4"/>
      <c r="AN1168" s="4"/>
      <c r="AO1168" s="4"/>
      <c r="AP1168" s="4"/>
      <c r="AQ1168" s="4"/>
      <c r="AR1168" s="4"/>
      <c r="AS1168" s="4"/>
      <c r="AT1168" s="4"/>
      <c r="AU1168" s="4"/>
      <c r="AV1168" s="4"/>
      <c r="AW1168" s="4"/>
      <c r="AX1168" s="4"/>
      <c r="AY1168" s="4"/>
      <c r="AZ1168" s="4"/>
      <c r="BA1168" s="4"/>
      <c r="BB1168" s="4"/>
      <c r="BC1168" s="4"/>
      <c r="BD1168" s="4"/>
      <c r="BE1168" s="4"/>
      <c r="BF1168" s="4"/>
      <c r="BG1168" s="4"/>
      <c r="BH1168" s="4"/>
      <c r="BI1168" s="4"/>
      <c r="BJ1168" s="4"/>
      <c r="BK1168" s="4"/>
      <c r="BL1168" s="4"/>
      <c r="BM1168" s="4"/>
      <c r="BN1168" s="4"/>
      <c r="BO1168" s="4"/>
      <c r="BP1168" s="4"/>
      <c r="BQ1168" s="4"/>
      <c r="BR1168" s="4"/>
      <c r="BS1168" s="4"/>
      <c r="BT1168" s="4"/>
      <c r="BU1168" s="4"/>
      <c r="BV1168" s="4"/>
      <c r="BW1168" s="4"/>
      <c r="BX1168" s="4"/>
      <c r="BY1168" s="4"/>
      <c r="BZ1168" s="4"/>
      <c r="CA1168" s="4"/>
      <c r="CB1168" s="4"/>
      <c r="CC1168" s="4"/>
      <c r="CD1168" s="4"/>
      <c r="CE1168" s="4"/>
      <c r="CF1168" s="4"/>
      <c r="CG1168" s="4"/>
      <c r="CH1168" s="4"/>
      <c r="CI1168" s="4"/>
      <c r="CJ1168" s="4"/>
      <c r="CK1168" s="4"/>
      <c r="CL1168" s="4"/>
      <c r="CM1168" s="4"/>
      <c r="CN1168" s="4"/>
      <c r="CO1168" s="4"/>
      <c r="CP1168" s="4"/>
      <c r="CQ1168" s="4"/>
      <c r="CR1168" s="4"/>
      <c r="CS1168" s="4"/>
      <c r="CT1168" s="4"/>
      <c r="CU1168" s="4"/>
      <c r="CV1168" s="4"/>
      <c r="CW1168" s="4"/>
      <c r="CX1168" s="4"/>
      <c r="CY1168" s="4"/>
      <c r="CZ1168" s="4"/>
      <c r="DA1168" s="4"/>
      <c r="DB1168" s="4"/>
      <c r="DC1168" s="4"/>
      <c r="DD1168" s="4"/>
      <c r="DE1168" s="4"/>
      <c r="DF1168" s="4"/>
      <c r="DG1168" s="4"/>
      <c r="DH1168" s="4"/>
      <c r="DI1168" s="4"/>
      <c r="DJ1168" s="4"/>
      <c r="DK1168" s="4"/>
      <c r="DL1168" s="4"/>
      <c r="DM1168" s="4"/>
      <c r="DN1168" s="4"/>
      <c r="DO1168" s="4"/>
      <c r="DP1168" s="4"/>
      <c r="DQ1168" s="4"/>
      <c r="DR1168" s="4"/>
      <c r="DS1168" s="4"/>
    </row>
    <row r="1169">
      <c r="A1169" s="9">
        <f>IFERROR(__xludf.DUMMYFUNCTION("""COMPUTED_VALUE"""),45785.0)</f>
        <v>45785</v>
      </c>
      <c r="B1169" s="6" t="str">
        <f>IFERROR(__xludf.DUMMYFUNCTION("""COMPUTED_VALUE"""),"Groceries")</f>
        <v>Groceries</v>
      </c>
      <c r="C1169" s="7">
        <f>IFERROR(__xludf.DUMMYFUNCTION("""COMPUTED_VALUE"""),5000.0)</f>
        <v>5000</v>
      </c>
      <c r="D1169" s="6" t="str">
        <f>IFERROR(__xludf.DUMMYFUNCTION("""COMPUTED_VALUE"""),"Lunch Out")</f>
        <v>Lunch Out</v>
      </c>
      <c r="E1169" s="6" t="str">
        <f>IFERROR(__xludf.DUMMYFUNCTION("""COMPUTED_VALUE"""),"Virtual Wallet")</f>
        <v>Virtual Wallet</v>
      </c>
      <c r="F1169" s="6" t="s">
        <v>14</v>
      </c>
      <c r="G1169" s="8" t="str">
        <f t="shared" si="1"/>
        <v>202505</v>
      </c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  <c r="AN1169" s="4"/>
      <c r="AO1169" s="4"/>
      <c r="AP1169" s="4"/>
      <c r="AQ1169" s="4"/>
      <c r="AR1169" s="4"/>
      <c r="AS1169" s="4"/>
      <c r="AT1169" s="4"/>
      <c r="AU1169" s="4"/>
      <c r="AV1169" s="4"/>
      <c r="AW1169" s="4"/>
      <c r="AX1169" s="4"/>
      <c r="AY1169" s="4"/>
      <c r="AZ1169" s="4"/>
      <c r="BA1169" s="4"/>
      <c r="BB1169" s="4"/>
      <c r="BC1169" s="4"/>
      <c r="BD1169" s="4"/>
      <c r="BE1169" s="4"/>
      <c r="BF1169" s="4"/>
      <c r="BG1169" s="4"/>
      <c r="BH1169" s="4"/>
      <c r="BI1169" s="4"/>
      <c r="BJ1169" s="4"/>
      <c r="BK1169" s="4"/>
      <c r="BL1169" s="4"/>
      <c r="BM1169" s="4"/>
      <c r="BN1169" s="4"/>
      <c r="BO1169" s="4"/>
      <c r="BP1169" s="4"/>
      <c r="BQ1169" s="4"/>
      <c r="BR1169" s="4"/>
      <c r="BS1169" s="4"/>
      <c r="BT1169" s="4"/>
      <c r="BU1169" s="4"/>
      <c r="BV1169" s="4"/>
      <c r="BW1169" s="4"/>
      <c r="BX1169" s="4"/>
      <c r="BY1169" s="4"/>
      <c r="BZ1169" s="4"/>
      <c r="CA1169" s="4"/>
      <c r="CB1169" s="4"/>
      <c r="CC1169" s="4"/>
      <c r="CD1169" s="4"/>
      <c r="CE1169" s="4"/>
      <c r="CF1169" s="4"/>
      <c r="CG1169" s="4"/>
      <c r="CH1169" s="4"/>
      <c r="CI1169" s="4"/>
      <c r="CJ1169" s="4"/>
      <c r="CK1169" s="4"/>
      <c r="CL1169" s="4"/>
      <c r="CM1169" s="4"/>
      <c r="CN1169" s="4"/>
      <c r="CO1169" s="4"/>
      <c r="CP1169" s="4"/>
      <c r="CQ1169" s="4"/>
      <c r="CR1169" s="4"/>
      <c r="CS1169" s="4"/>
      <c r="CT1169" s="4"/>
      <c r="CU1169" s="4"/>
      <c r="CV1169" s="4"/>
      <c r="CW1169" s="4"/>
      <c r="CX1169" s="4"/>
      <c r="CY1169" s="4"/>
      <c r="CZ1169" s="4"/>
      <c r="DA1169" s="4"/>
      <c r="DB1169" s="4"/>
      <c r="DC1169" s="4"/>
      <c r="DD1169" s="4"/>
      <c r="DE1169" s="4"/>
      <c r="DF1169" s="4"/>
      <c r="DG1169" s="4"/>
      <c r="DH1169" s="4"/>
      <c r="DI1169" s="4"/>
      <c r="DJ1169" s="4"/>
      <c r="DK1169" s="4"/>
      <c r="DL1169" s="4"/>
      <c r="DM1169" s="4"/>
      <c r="DN1169" s="4"/>
      <c r="DO1169" s="4"/>
      <c r="DP1169" s="4"/>
      <c r="DQ1169" s="4"/>
      <c r="DR1169" s="4"/>
      <c r="DS1169" s="4"/>
    </row>
    <row r="1170">
      <c r="A1170" s="9">
        <f>IFERROR(__xludf.DUMMYFUNCTION("""COMPUTED_VALUE"""),45785.0)</f>
        <v>45785</v>
      </c>
      <c r="B1170" s="6" t="str">
        <f>IFERROR(__xludf.DUMMYFUNCTION("""COMPUTED_VALUE"""),"Rent &amp; Building Expenses")</f>
        <v>Rent &amp; Building Expenses</v>
      </c>
      <c r="C1170" s="7">
        <f>IFERROR(__xludf.DUMMYFUNCTION("""COMPUTED_VALUE"""),641991.0)</f>
        <v>641991</v>
      </c>
      <c r="D1170" s="6" t="str">
        <f>IFERROR(__xludf.DUMMYFUNCTION("""COMPUTED_VALUE"""),"Rent &amp; Utilities")</f>
        <v>Rent &amp; Utilities</v>
      </c>
      <c r="E1170" s="6" t="str">
        <f>IFERROR(__xludf.DUMMYFUNCTION("""COMPUTED_VALUE"""),"Virtual Wallet")</f>
        <v>Virtual Wallet</v>
      </c>
      <c r="F1170" s="6" t="s">
        <v>13</v>
      </c>
      <c r="G1170" s="8" t="str">
        <f t="shared" si="1"/>
        <v>202505</v>
      </c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  <c r="AM1170" s="4"/>
      <c r="AN1170" s="4"/>
      <c r="AO1170" s="4"/>
      <c r="AP1170" s="4"/>
      <c r="AQ1170" s="4"/>
      <c r="AR1170" s="4"/>
      <c r="AS1170" s="4"/>
      <c r="AT1170" s="4"/>
      <c r="AU1170" s="4"/>
      <c r="AV1170" s="4"/>
      <c r="AW1170" s="4"/>
      <c r="AX1170" s="4"/>
      <c r="AY1170" s="4"/>
      <c r="AZ1170" s="4"/>
      <c r="BA1170" s="4"/>
      <c r="BB1170" s="4"/>
      <c r="BC1170" s="4"/>
      <c r="BD1170" s="4"/>
      <c r="BE1170" s="4"/>
      <c r="BF1170" s="4"/>
      <c r="BG1170" s="4"/>
      <c r="BH1170" s="4"/>
      <c r="BI1170" s="4"/>
      <c r="BJ1170" s="4"/>
      <c r="BK1170" s="4"/>
      <c r="BL1170" s="4"/>
      <c r="BM1170" s="4"/>
      <c r="BN1170" s="4"/>
      <c r="BO1170" s="4"/>
      <c r="BP1170" s="4"/>
      <c r="BQ1170" s="4"/>
      <c r="BR1170" s="4"/>
      <c r="BS1170" s="4"/>
      <c r="BT1170" s="4"/>
      <c r="BU1170" s="4"/>
      <c r="BV1170" s="4"/>
      <c r="BW1170" s="4"/>
      <c r="BX1170" s="4"/>
      <c r="BY1170" s="4"/>
      <c r="BZ1170" s="4"/>
      <c r="CA1170" s="4"/>
      <c r="CB1170" s="4"/>
      <c r="CC1170" s="4"/>
      <c r="CD1170" s="4"/>
      <c r="CE1170" s="4"/>
      <c r="CF1170" s="4"/>
      <c r="CG1170" s="4"/>
      <c r="CH1170" s="4"/>
      <c r="CI1170" s="4"/>
      <c r="CJ1170" s="4"/>
      <c r="CK1170" s="4"/>
      <c r="CL1170" s="4"/>
      <c r="CM1170" s="4"/>
      <c r="CN1170" s="4"/>
      <c r="CO1170" s="4"/>
      <c r="CP1170" s="4"/>
      <c r="CQ1170" s="4"/>
      <c r="CR1170" s="4"/>
      <c r="CS1170" s="4"/>
      <c r="CT1170" s="4"/>
      <c r="CU1170" s="4"/>
      <c r="CV1170" s="4"/>
      <c r="CW1170" s="4"/>
      <c r="CX1170" s="4"/>
      <c r="CY1170" s="4"/>
      <c r="CZ1170" s="4"/>
      <c r="DA1170" s="4"/>
      <c r="DB1170" s="4"/>
      <c r="DC1170" s="4"/>
      <c r="DD1170" s="4"/>
      <c r="DE1170" s="4"/>
      <c r="DF1170" s="4"/>
      <c r="DG1170" s="4"/>
      <c r="DH1170" s="4"/>
      <c r="DI1170" s="4"/>
      <c r="DJ1170" s="4"/>
      <c r="DK1170" s="4"/>
      <c r="DL1170" s="4"/>
      <c r="DM1170" s="4"/>
      <c r="DN1170" s="4"/>
      <c r="DO1170" s="4"/>
      <c r="DP1170" s="4"/>
      <c r="DQ1170" s="4"/>
      <c r="DR1170" s="4"/>
      <c r="DS1170" s="4"/>
    </row>
    <row r="1171">
      <c r="A1171" s="9">
        <f>IFERROR(__xludf.DUMMYFUNCTION("""COMPUTED_VALUE"""),45786.0)</f>
        <v>45786</v>
      </c>
      <c r="B1171" s="6" t="str">
        <f>IFERROR(__xludf.DUMMYFUNCTION("""COMPUTED_VALUE"""),"Groceries")</f>
        <v>Groceries</v>
      </c>
      <c r="C1171" s="7">
        <f>IFERROR(__xludf.DUMMYFUNCTION("""COMPUTED_VALUE"""),1800.0)</f>
        <v>1800</v>
      </c>
      <c r="D1171" s="6" t="str">
        <f>IFERROR(__xludf.DUMMYFUNCTION("""COMPUTED_VALUE"""),"Groceries")</f>
        <v>Groceries</v>
      </c>
      <c r="E1171" s="6" t="str">
        <f>IFERROR(__xludf.DUMMYFUNCTION("""COMPUTED_VALUE"""),"Virtual Wallet")</f>
        <v>Virtual Wallet</v>
      </c>
      <c r="F1171" s="6" t="s">
        <v>7</v>
      </c>
      <c r="G1171" s="8" t="str">
        <f t="shared" si="1"/>
        <v>202505</v>
      </c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  <c r="AH1171" s="4"/>
      <c r="AI1171" s="4"/>
      <c r="AJ1171" s="4"/>
      <c r="AK1171" s="4"/>
      <c r="AL1171" s="4"/>
      <c r="AM1171" s="4"/>
      <c r="AN1171" s="4"/>
      <c r="AO1171" s="4"/>
      <c r="AP1171" s="4"/>
      <c r="AQ1171" s="4"/>
      <c r="AR1171" s="4"/>
      <c r="AS1171" s="4"/>
      <c r="AT1171" s="4"/>
      <c r="AU1171" s="4"/>
      <c r="AV1171" s="4"/>
      <c r="AW1171" s="4"/>
      <c r="AX1171" s="4"/>
      <c r="AY1171" s="4"/>
      <c r="AZ1171" s="4"/>
      <c r="BA1171" s="4"/>
      <c r="BB1171" s="4"/>
      <c r="BC1171" s="4"/>
      <c r="BD1171" s="4"/>
      <c r="BE1171" s="4"/>
      <c r="BF1171" s="4"/>
      <c r="BG1171" s="4"/>
      <c r="BH1171" s="4"/>
      <c r="BI1171" s="4"/>
      <c r="BJ1171" s="4"/>
      <c r="BK1171" s="4"/>
      <c r="BL1171" s="4"/>
      <c r="BM1171" s="4"/>
      <c r="BN1171" s="4"/>
      <c r="BO1171" s="4"/>
      <c r="BP1171" s="4"/>
      <c r="BQ1171" s="4"/>
      <c r="BR1171" s="4"/>
      <c r="BS1171" s="4"/>
      <c r="BT1171" s="4"/>
      <c r="BU1171" s="4"/>
      <c r="BV1171" s="4"/>
      <c r="BW1171" s="4"/>
      <c r="BX1171" s="4"/>
      <c r="BY1171" s="4"/>
      <c r="BZ1171" s="4"/>
      <c r="CA1171" s="4"/>
      <c r="CB1171" s="4"/>
      <c r="CC1171" s="4"/>
      <c r="CD1171" s="4"/>
      <c r="CE1171" s="4"/>
      <c r="CF1171" s="4"/>
      <c r="CG1171" s="4"/>
      <c r="CH1171" s="4"/>
      <c r="CI1171" s="4"/>
      <c r="CJ1171" s="4"/>
      <c r="CK1171" s="4"/>
      <c r="CL1171" s="4"/>
      <c r="CM1171" s="4"/>
      <c r="CN1171" s="4"/>
      <c r="CO1171" s="4"/>
      <c r="CP1171" s="4"/>
      <c r="CQ1171" s="4"/>
      <c r="CR1171" s="4"/>
      <c r="CS1171" s="4"/>
      <c r="CT1171" s="4"/>
      <c r="CU1171" s="4"/>
      <c r="CV1171" s="4"/>
      <c r="CW1171" s="4"/>
      <c r="CX1171" s="4"/>
      <c r="CY1171" s="4"/>
      <c r="CZ1171" s="4"/>
      <c r="DA1171" s="4"/>
      <c r="DB1171" s="4"/>
      <c r="DC1171" s="4"/>
      <c r="DD1171" s="4"/>
      <c r="DE1171" s="4"/>
      <c r="DF1171" s="4"/>
      <c r="DG1171" s="4"/>
      <c r="DH1171" s="4"/>
      <c r="DI1171" s="4"/>
      <c r="DJ1171" s="4"/>
      <c r="DK1171" s="4"/>
      <c r="DL1171" s="4"/>
      <c r="DM1171" s="4"/>
      <c r="DN1171" s="4"/>
      <c r="DO1171" s="4"/>
      <c r="DP1171" s="4"/>
      <c r="DQ1171" s="4"/>
      <c r="DR1171" s="4"/>
      <c r="DS1171" s="4"/>
    </row>
    <row r="1172">
      <c r="A1172" s="9">
        <f>IFERROR(__xludf.DUMMYFUNCTION("""COMPUTED_VALUE"""),45786.0)</f>
        <v>45786</v>
      </c>
      <c r="B1172" s="6" t="str">
        <f>IFERROR(__xludf.DUMMYFUNCTION("""COMPUTED_VALUE"""),"Restaurant")</f>
        <v>Restaurant</v>
      </c>
      <c r="C1172" s="7">
        <f>IFERROR(__xludf.DUMMYFUNCTION("""COMPUTED_VALUE"""),5000.0)</f>
        <v>5000</v>
      </c>
      <c r="D1172" s="6" t="str">
        <f>IFERROR(__xludf.DUMMYFUNCTION("""COMPUTED_VALUE"""),"Restaurant / Café")</f>
        <v>Restaurant / Café</v>
      </c>
      <c r="E1172" s="6" t="str">
        <f>IFERROR(__xludf.DUMMYFUNCTION("""COMPUTED_VALUE"""),"Virtual Wallet")</f>
        <v>Virtual Wallet</v>
      </c>
      <c r="F1172" s="6" t="s">
        <v>14</v>
      </c>
      <c r="G1172" s="8" t="str">
        <f t="shared" si="1"/>
        <v>202505</v>
      </c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/>
      <c r="AK1172" s="4"/>
      <c r="AL1172" s="4"/>
      <c r="AM1172" s="4"/>
      <c r="AN1172" s="4"/>
      <c r="AO1172" s="4"/>
      <c r="AP1172" s="4"/>
      <c r="AQ1172" s="4"/>
      <c r="AR1172" s="4"/>
      <c r="AS1172" s="4"/>
      <c r="AT1172" s="4"/>
      <c r="AU1172" s="4"/>
      <c r="AV1172" s="4"/>
      <c r="AW1172" s="4"/>
      <c r="AX1172" s="4"/>
      <c r="AY1172" s="4"/>
      <c r="AZ1172" s="4"/>
      <c r="BA1172" s="4"/>
      <c r="BB1172" s="4"/>
      <c r="BC1172" s="4"/>
      <c r="BD1172" s="4"/>
      <c r="BE1172" s="4"/>
      <c r="BF1172" s="4"/>
      <c r="BG1172" s="4"/>
      <c r="BH1172" s="4"/>
      <c r="BI1172" s="4"/>
      <c r="BJ1172" s="4"/>
      <c r="BK1172" s="4"/>
      <c r="BL1172" s="4"/>
      <c r="BM1172" s="4"/>
      <c r="BN1172" s="4"/>
      <c r="BO1172" s="4"/>
      <c r="BP1172" s="4"/>
      <c r="BQ1172" s="4"/>
      <c r="BR1172" s="4"/>
      <c r="BS1172" s="4"/>
      <c r="BT1172" s="4"/>
      <c r="BU1172" s="4"/>
      <c r="BV1172" s="4"/>
      <c r="BW1172" s="4"/>
      <c r="BX1172" s="4"/>
      <c r="BY1172" s="4"/>
      <c r="BZ1172" s="4"/>
      <c r="CA1172" s="4"/>
      <c r="CB1172" s="4"/>
      <c r="CC1172" s="4"/>
      <c r="CD1172" s="4"/>
      <c r="CE1172" s="4"/>
      <c r="CF1172" s="4"/>
      <c r="CG1172" s="4"/>
      <c r="CH1172" s="4"/>
      <c r="CI1172" s="4"/>
      <c r="CJ1172" s="4"/>
      <c r="CK1172" s="4"/>
      <c r="CL1172" s="4"/>
      <c r="CM1172" s="4"/>
      <c r="CN1172" s="4"/>
      <c r="CO1172" s="4"/>
      <c r="CP1172" s="4"/>
      <c r="CQ1172" s="4"/>
      <c r="CR1172" s="4"/>
      <c r="CS1172" s="4"/>
      <c r="CT1172" s="4"/>
      <c r="CU1172" s="4"/>
      <c r="CV1172" s="4"/>
      <c r="CW1172" s="4"/>
      <c r="CX1172" s="4"/>
      <c r="CY1172" s="4"/>
      <c r="CZ1172" s="4"/>
      <c r="DA1172" s="4"/>
      <c r="DB1172" s="4"/>
      <c r="DC1172" s="4"/>
      <c r="DD1172" s="4"/>
      <c r="DE1172" s="4"/>
      <c r="DF1172" s="4"/>
      <c r="DG1172" s="4"/>
      <c r="DH1172" s="4"/>
      <c r="DI1172" s="4"/>
      <c r="DJ1172" s="4"/>
      <c r="DK1172" s="4"/>
      <c r="DL1172" s="4"/>
      <c r="DM1172" s="4"/>
      <c r="DN1172" s="4"/>
      <c r="DO1172" s="4"/>
      <c r="DP1172" s="4"/>
      <c r="DQ1172" s="4"/>
      <c r="DR1172" s="4"/>
      <c r="DS1172" s="4"/>
    </row>
    <row r="1173">
      <c r="A1173" s="9">
        <f>IFERROR(__xludf.DUMMYFUNCTION("""COMPUTED_VALUE"""),45786.0)</f>
        <v>45786</v>
      </c>
      <c r="B1173" s="6" t="str">
        <f>IFERROR(__xludf.DUMMYFUNCTION("""COMPUTED_VALUE"""),"Streaming Services")</f>
        <v>Streaming Services</v>
      </c>
      <c r="C1173" s="7">
        <f>IFERROR(__xludf.DUMMYFUNCTION("""COMPUTED_VALUE"""),2491.0)</f>
        <v>2491</v>
      </c>
      <c r="D1173" s="6" t="str">
        <f>IFERROR(__xludf.DUMMYFUNCTION("""COMPUTED_VALUE"""),"Streaming Services")</f>
        <v>Streaming Services</v>
      </c>
      <c r="E1173" s="6" t="str">
        <f>IFERROR(__xludf.DUMMYFUNCTION("""COMPUTED_VALUE"""),"Credit Card")</f>
        <v>Credit Card</v>
      </c>
      <c r="F1173" s="6" t="s">
        <v>12</v>
      </c>
      <c r="G1173" s="8" t="str">
        <f t="shared" si="1"/>
        <v>202505</v>
      </c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  <c r="AH1173" s="4"/>
      <c r="AI1173" s="4"/>
      <c r="AJ1173" s="4"/>
      <c r="AK1173" s="4"/>
      <c r="AL1173" s="4"/>
      <c r="AM1173" s="4"/>
      <c r="AN1173" s="4"/>
      <c r="AO1173" s="4"/>
      <c r="AP1173" s="4"/>
      <c r="AQ1173" s="4"/>
      <c r="AR1173" s="4"/>
      <c r="AS1173" s="4"/>
      <c r="AT1173" s="4"/>
      <c r="AU1173" s="4"/>
      <c r="AV1173" s="4"/>
      <c r="AW1173" s="4"/>
      <c r="AX1173" s="4"/>
      <c r="AY1173" s="4"/>
      <c r="AZ1173" s="4"/>
      <c r="BA1173" s="4"/>
      <c r="BB1173" s="4"/>
      <c r="BC1173" s="4"/>
      <c r="BD1173" s="4"/>
      <c r="BE1173" s="4"/>
      <c r="BF1173" s="4"/>
      <c r="BG1173" s="4"/>
      <c r="BH1173" s="4"/>
      <c r="BI1173" s="4"/>
      <c r="BJ1173" s="4"/>
      <c r="BK1173" s="4"/>
      <c r="BL1173" s="4"/>
      <c r="BM1173" s="4"/>
      <c r="BN1173" s="4"/>
      <c r="BO1173" s="4"/>
      <c r="BP1173" s="4"/>
      <c r="BQ1173" s="4"/>
      <c r="BR1173" s="4"/>
      <c r="BS1173" s="4"/>
      <c r="BT1173" s="4"/>
      <c r="BU1173" s="4"/>
      <c r="BV1173" s="4"/>
      <c r="BW1173" s="4"/>
      <c r="BX1173" s="4"/>
      <c r="BY1173" s="4"/>
      <c r="BZ1173" s="4"/>
      <c r="CA1173" s="4"/>
      <c r="CB1173" s="4"/>
      <c r="CC1173" s="4"/>
      <c r="CD1173" s="4"/>
      <c r="CE1173" s="4"/>
      <c r="CF1173" s="4"/>
      <c r="CG1173" s="4"/>
      <c r="CH1173" s="4"/>
      <c r="CI1173" s="4"/>
      <c r="CJ1173" s="4"/>
      <c r="CK1173" s="4"/>
      <c r="CL1173" s="4"/>
      <c r="CM1173" s="4"/>
      <c r="CN1173" s="4"/>
      <c r="CO1173" s="4"/>
      <c r="CP1173" s="4"/>
      <c r="CQ1173" s="4"/>
      <c r="CR1173" s="4"/>
      <c r="CS1173" s="4"/>
      <c r="CT1173" s="4"/>
      <c r="CU1173" s="4"/>
      <c r="CV1173" s="4"/>
      <c r="CW1173" s="4"/>
      <c r="CX1173" s="4"/>
      <c r="CY1173" s="4"/>
      <c r="CZ1173" s="4"/>
      <c r="DA1173" s="4"/>
      <c r="DB1173" s="4"/>
      <c r="DC1173" s="4"/>
      <c r="DD1173" s="4"/>
      <c r="DE1173" s="4"/>
      <c r="DF1173" s="4"/>
      <c r="DG1173" s="4"/>
      <c r="DH1173" s="4"/>
      <c r="DI1173" s="4"/>
      <c r="DJ1173" s="4"/>
      <c r="DK1173" s="4"/>
      <c r="DL1173" s="4"/>
      <c r="DM1173" s="4"/>
      <c r="DN1173" s="4"/>
      <c r="DO1173" s="4"/>
      <c r="DP1173" s="4"/>
      <c r="DQ1173" s="4"/>
      <c r="DR1173" s="4"/>
      <c r="DS1173" s="4"/>
    </row>
    <row r="1174">
      <c r="A1174" s="9">
        <f>IFERROR(__xludf.DUMMYFUNCTION("""COMPUTED_VALUE"""),45787.0)</f>
        <v>45787</v>
      </c>
      <c r="B1174" s="6" t="str">
        <f>IFERROR(__xludf.DUMMYFUNCTION("""COMPUTED_VALUE"""),"Clothing")</f>
        <v>Clothing</v>
      </c>
      <c r="C1174" s="7">
        <f>IFERROR(__xludf.DUMMYFUNCTION("""COMPUTED_VALUE"""),19651.0)</f>
        <v>19651</v>
      </c>
      <c r="D1174" s="6" t="str">
        <f>IFERROR(__xludf.DUMMYFUNCTION("""COMPUTED_VALUE"""),"Clothing")</f>
        <v>Clothing</v>
      </c>
      <c r="E1174" s="6" t="str">
        <f>IFERROR(__xludf.DUMMYFUNCTION("""COMPUTED_VALUE"""),"Credit Card")</f>
        <v>Credit Card</v>
      </c>
      <c r="F1174" s="6" t="s">
        <v>10</v>
      </c>
      <c r="G1174" s="8" t="str">
        <f t="shared" si="1"/>
        <v>202505</v>
      </c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  <c r="AG1174" s="4"/>
      <c r="AH1174" s="4"/>
      <c r="AI1174" s="4"/>
      <c r="AJ1174" s="4"/>
      <c r="AK1174" s="4"/>
      <c r="AL1174" s="4"/>
      <c r="AM1174" s="4"/>
      <c r="AN1174" s="4"/>
      <c r="AO1174" s="4"/>
      <c r="AP1174" s="4"/>
      <c r="AQ1174" s="4"/>
      <c r="AR1174" s="4"/>
      <c r="AS1174" s="4"/>
      <c r="AT1174" s="4"/>
      <c r="AU1174" s="4"/>
      <c r="AV1174" s="4"/>
      <c r="AW1174" s="4"/>
      <c r="AX1174" s="4"/>
      <c r="AY1174" s="4"/>
      <c r="AZ1174" s="4"/>
      <c r="BA1174" s="4"/>
      <c r="BB1174" s="4"/>
      <c r="BC1174" s="4"/>
      <c r="BD1174" s="4"/>
      <c r="BE1174" s="4"/>
      <c r="BF1174" s="4"/>
      <c r="BG1174" s="4"/>
      <c r="BH1174" s="4"/>
      <c r="BI1174" s="4"/>
      <c r="BJ1174" s="4"/>
      <c r="BK1174" s="4"/>
      <c r="BL1174" s="4"/>
      <c r="BM1174" s="4"/>
      <c r="BN1174" s="4"/>
      <c r="BO1174" s="4"/>
      <c r="BP1174" s="4"/>
      <c r="BQ1174" s="4"/>
      <c r="BR1174" s="4"/>
      <c r="BS1174" s="4"/>
      <c r="BT1174" s="4"/>
      <c r="BU1174" s="4"/>
      <c r="BV1174" s="4"/>
      <c r="BW1174" s="4"/>
      <c r="BX1174" s="4"/>
      <c r="BY1174" s="4"/>
      <c r="BZ1174" s="4"/>
      <c r="CA1174" s="4"/>
      <c r="CB1174" s="4"/>
      <c r="CC1174" s="4"/>
      <c r="CD1174" s="4"/>
      <c r="CE1174" s="4"/>
      <c r="CF1174" s="4"/>
      <c r="CG1174" s="4"/>
      <c r="CH1174" s="4"/>
      <c r="CI1174" s="4"/>
      <c r="CJ1174" s="4"/>
      <c r="CK1174" s="4"/>
      <c r="CL1174" s="4"/>
      <c r="CM1174" s="4"/>
      <c r="CN1174" s="4"/>
      <c r="CO1174" s="4"/>
      <c r="CP1174" s="4"/>
      <c r="CQ1174" s="4"/>
      <c r="CR1174" s="4"/>
      <c r="CS1174" s="4"/>
      <c r="CT1174" s="4"/>
      <c r="CU1174" s="4"/>
      <c r="CV1174" s="4"/>
      <c r="CW1174" s="4"/>
      <c r="CX1174" s="4"/>
      <c r="CY1174" s="4"/>
      <c r="CZ1174" s="4"/>
      <c r="DA1174" s="4"/>
      <c r="DB1174" s="4"/>
      <c r="DC1174" s="4"/>
      <c r="DD1174" s="4"/>
      <c r="DE1174" s="4"/>
      <c r="DF1174" s="4"/>
      <c r="DG1174" s="4"/>
      <c r="DH1174" s="4"/>
      <c r="DI1174" s="4"/>
      <c r="DJ1174" s="4"/>
      <c r="DK1174" s="4"/>
      <c r="DL1174" s="4"/>
      <c r="DM1174" s="4"/>
      <c r="DN1174" s="4"/>
      <c r="DO1174" s="4"/>
      <c r="DP1174" s="4"/>
      <c r="DQ1174" s="4"/>
      <c r="DR1174" s="4"/>
      <c r="DS1174" s="4"/>
    </row>
    <row r="1175">
      <c r="A1175" s="9">
        <f>IFERROR(__xludf.DUMMYFUNCTION("""COMPUTED_VALUE"""),45787.0)</f>
        <v>45787</v>
      </c>
      <c r="B1175" s="6" t="str">
        <f>IFERROR(__xludf.DUMMYFUNCTION("""COMPUTED_VALUE"""),"Groceries")</f>
        <v>Groceries</v>
      </c>
      <c r="C1175" s="7">
        <f>IFERROR(__xludf.DUMMYFUNCTION("""COMPUTED_VALUE"""),2800.0)</f>
        <v>2800</v>
      </c>
      <c r="D1175" s="6" t="str">
        <f>IFERROR(__xludf.DUMMYFUNCTION("""COMPUTED_VALUE"""),"Groceries")</f>
        <v>Groceries</v>
      </c>
      <c r="E1175" s="6" t="str">
        <f>IFERROR(__xludf.DUMMYFUNCTION("""COMPUTED_VALUE"""),"Split Payment")</f>
        <v>Split Payment</v>
      </c>
      <c r="F1175" s="6" t="s">
        <v>7</v>
      </c>
      <c r="G1175" s="8" t="str">
        <f t="shared" si="1"/>
        <v>202505</v>
      </c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  <c r="AM1175" s="4"/>
      <c r="AN1175" s="4"/>
      <c r="AO1175" s="4"/>
      <c r="AP1175" s="4"/>
      <c r="AQ1175" s="4"/>
      <c r="AR1175" s="4"/>
      <c r="AS1175" s="4"/>
      <c r="AT1175" s="4"/>
      <c r="AU1175" s="4"/>
      <c r="AV1175" s="4"/>
      <c r="AW1175" s="4"/>
      <c r="AX1175" s="4"/>
      <c r="AY1175" s="4"/>
      <c r="AZ1175" s="4"/>
      <c r="BA1175" s="4"/>
      <c r="BB1175" s="4"/>
      <c r="BC1175" s="4"/>
      <c r="BD1175" s="4"/>
      <c r="BE1175" s="4"/>
      <c r="BF1175" s="4"/>
      <c r="BG1175" s="4"/>
      <c r="BH1175" s="4"/>
      <c r="BI1175" s="4"/>
      <c r="BJ1175" s="4"/>
      <c r="BK1175" s="4"/>
      <c r="BL1175" s="4"/>
      <c r="BM1175" s="4"/>
      <c r="BN1175" s="4"/>
      <c r="BO1175" s="4"/>
      <c r="BP1175" s="4"/>
      <c r="BQ1175" s="4"/>
      <c r="BR1175" s="4"/>
      <c r="BS1175" s="4"/>
      <c r="BT1175" s="4"/>
      <c r="BU1175" s="4"/>
      <c r="BV1175" s="4"/>
      <c r="BW1175" s="4"/>
      <c r="BX1175" s="4"/>
      <c r="BY1175" s="4"/>
      <c r="BZ1175" s="4"/>
      <c r="CA1175" s="4"/>
      <c r="CB1175" s="4"/>
      <c r="CC1175" s="4"/>
      <c r="CD1175" s="4"/>
      <c r="CE1175" s="4"/>
      <c r="CF1175" s="4"/>
      <c r="CG1175" s="4"/>
      <c r="CH1175" s="4"/>
      <c r="CI1175" s="4"/>
      <c r="CJ1175" s="4"/>
      <c r="CK1175" s="4"/>
      <c r="CL1175" s="4"/>
      <c r="CM1175" s="4"/>
      <c r="CN1175" s="4"/>
      <c r="CO1175" s="4"/>
      <c r="CP1175" s="4"/>
      <c r="CQ1175" s="4"/>
      <c r="CR1175" s="4"/>
      <c r="CS1175" s="4"/>
      <c r="CT1175" s="4"/>
      <c r="CU1175" s="4"/>
      <c r="CV1175" s="4"/>
      <c r="CW1175" s="4"/>
      <c r="CX1175" s="4"/>
      <c r="CY1175" s="4"/>
      <c r="CZ1175" s="4"/>
      <c r="DA1175" s="4"/>
      <c r="DB1175" s="4"/>
      <c r="DC1175" s="4"/>
      <c r="DD1175" s="4"/>
      <c r="DE1175" s="4"/>
      <c r="DF1175" s="4"/>
      <c r="DG1175" s="4"/>
      <c r="DH1175" s="4"/>
      <c r="DI1175" s="4"/>
      <c r="DJ1175" s="4"/>
      <c r="DK1175" s="4"/>
      <c r="DL1175" s="4"/>
      <c r="DM1175" s="4"/>
      <c r="DN1175" s="4"/>
      <c r="DO1175" s="4"/>
      <c r="DP1175" s="4"/>
      <c r="DQ1175" s="4"/>
      <c r="DR1175" s="4"/>
      <c r="DS1175" s="4"/>
    </row>
    <row r="1176">
      <c r="A1176" s="9">
        <f>IFERROR(__xludf.DUMMYFUNCTION("""COMPUTED_VALUE"""),45787.0)</f>
        <v>45787</v>
      </c>
      <c r="B1176" s="6" t="str">
        <f>IFERROR(__xludf.DUMMYFUNCTION("""COMPUTED_VALUE"""),"Groceries")</f>
        <v>Groceries</v>
      </c>
      <c r="C1176" s="7">
        <f>IFERROR(__xludf.DUMMYFUNCTION("""COMPUTED_VALUE"""),1500.0)</f>
        <v>1500</v>
      </c>
      <c r="D1176" s="6" t="str">
        <f>IFERROR(__xludf.DUMMYFUNCTION("""COMPUTED_VALUE"""),"Restaurant / Café")</f>
        <v>Restaurant / Café</v>
      </c>
      <c r="E1176" s="6" t="str">
        <f>IFERROR(__xludf.DUMMYFUNCTION("""COMPUTED_VALUE"""),"Virtual Wallet")</f>
        <v>Virtual Wallet</v>
      </c>
      <c r="F1176" s="6" t="s">
        <v>14</v>
      </c>
      <c r="G1176" s="8" t="str">
        <f t="shared" si="1"/>
        <v>202505</v>
      </c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  <c r="AM1176" s="4"/>
      <c r="AN1176" s="4"/>
      <c r="AO1176" s="4"/>
      <c r="AP1176" s="4"/>
      <c r="AQ1176" s="4"/>
      <c r="AR1176" s="4"/>
      <c r="AS1176" s="4"/>
      <c r="AT1176" s="4"/>
      <c r="AU1176" s="4"/>
      <c r="AV1176" s="4"/>
      <c r="AW1176" s="4"/>
      <c r="AX1176" s="4"/>
      <c r="AY1176" s="4"/>
      <c r="AZ1176" s="4"/>
      <c r="BA1176" s="4"/>
      <c r="BB1176" s="4"/>
      <c r="BC1176" s="4"/>
      <c r="BD1176" s="4"/>
      <c r="BE1176" s="4"/>
      <c r="BF1176" s="4"/>
      <c r="BG1176" s="4"/>
      <c r="BH1176" s="4"/>
      <c r="BI1176" s="4"/>
      <c r="BJ1176" s="4"/>
      <c r="BK1176" s="4"/>
      <c r="BL1176" s="4"/>
      <c r="BM1176" s="4"/>
      <c r="BN1176" s="4"/>
      <c r="BO1176" s="4"/>
      <c r="BP1176" s="4"/>
      <c r="BQ1176" s="4"/>
      <c r="BR1176" s="4"/>
      <c r="BS1176" s="4"/>
      <c r="BT1176" s="4"/>
      <c r="BU1176" s="4"/>
      <c r="BV1176" s="4"/>
      <c r="BW1176" s="4"/>
      <c r="BX1176" s="4"/>
      <c r="BY1176" s="4"/>
      <c r="BZ1176" s="4"/>
      <c r="CA1176" s="4"/>
      <c r="CB1176" s="4"/>
      <c r="CC1176" s="4"/>
      <c r="CD1176" s="4"/>
      <c r="CE1176" s="4"/>
      <c r="CF1176" s="4"/>
      <c r="CG1176" s="4"/>
      <c r="CH1176" s="4"/>
      <c r="CI1176" s="4"/>
      <c r="CJ1176" s="4"/>
      <c r="CK1176" s="4"/>
      <c r="CL1176" s="4"/>
      <c r="CM1176" s="4"/>
      <c r="CN1176" s="4"/>
      <c r="CO1176" s="4"/>
      <c r="CP1176" s="4"/>
      <c r="CQ1176" s="4"/>
      <c r="CR1176" s="4"/>
      <c r="CS1176" s="4"/>
      <c r="CT1176" s="4"/>
      <c r="CU1176" s="4"/>
      <c r="CV1176" s="4"/>
      <c r="CW1176" s="4"/>
      <c r="CX1176" s="4"/>
      <c r="CY1176" s="4"/>
      <c r="CZ1176" s="4"/>
      <c r="DA1176" s="4"/>
      <c r="DB1176" s="4"/>
      <c r="DC1176" s="4"/>
      <c r="DD1176" s="4"/>
      <c r="DE1176" s="4"/>
      <c r="DF1176" s="4"/>
      <c r="DG1176" s="4"/>
      <c r="DH1176" s="4"/>
      <c r="DI1176" s="4"/>
      <c r="DJ1176" s="4"/>
      <c r="DK1176" s="4"/>
      <c r="DL1176" s="4"/>
      <c r="DM1176" s="4"/>
      <c r="DN1176" s="4"/>
      <c r="DO1176" s="4"/>
      <c r="DP1176" s="4"/>
      <c r="DQ1176" s="4"/>
      <c r="DR1176" s="4"/>
      <c r="DS1176" s="4"/>
    </row>
    <row r="1177">
      <c r="A1177" s="9">
        <f>IFERROR(__xludf.DUMMYFUNCTION("""COMPUTED_VALUE"""),45787.0)</f>
        <v>45787</v>
      </c>
      <c r="B1177" s="6" t="str">
        <f>IFERROR(__xludf.DUMMYFUNCTION("""COMPUTED_VALUE"""),"Water Bill (AySA)")</f>
        <v>Water Bill (AySA)</v>
      </c>
      <c r="C1177" s="7">
        <f>IFERROR(__xludf.DUMMYFUNCTION("""COMPUTED_VALUE"""),13442.0)</f>
        <v>13442</v>
      </c>
      <c r="D1177" s="6" t="str">
        <f>IFERROR(__xludf.DUMMYFUNCTION("""COMPUTED_VALUE"""),"Basic Services")</f>
        <v>Basic Services</v>
      </c>
      <c r="E1177" s="6" t="str">
        <f>IFERROR(__xludf.DUMMYFUNCTION("""COMPUTED_VALUE"""),"Split Payment")</f>
        <v>Split Payment</v>
      </c>
      <c r="F1177" s="6" t="s">
        <v>13</v>
      </c>
      <c r="G1177" s="8" t="str">
        <f t="shared" si="1"/>
        <v>202505</v>
      </c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  <c r="AM1177" s="4"/>
      <c r="AN1177" s="4"/>
      <c r="AO1177" s="4"/>
      <c r="AP1177" s="4"/>
      <c r="AQ1177" s="4"/>
      <c r="AR1177" s="4"/>
      <c r="AS1177" s="4"/>
      <c r="AT1177" s="4"/>
      <c r="AU1177" s="4"/>
      <c r="AV1177" s="4"/>
      <c r="AW1177" s="4"/>
      <c r="AX1177" s="4"/>
      <c r="AY1177" s="4"/>
      <c r="AZ1177" s="4"/>
      <c r="BA1177" s="4"/>
      <c r="BB1177" s="4"/>
      <c r="BC1177" s="4"/>
      <c r="BD1177" s="4"/>
      <c r="BE1177" s="4"/>
      <c r="BF1177" s="4"/>
      <c r="BG1177" s="4"/>
      <c r="BH1177" s="4"/>
      <c r="BI1177" s="4"/>
      <c r="BJ1177" s="4"/>
      <c r="BK1177" s="4"/>
      <c r="BL1177" s="4"/>
      <c r="BM1177" s="4"/>
      <c r="BN1177" s="4"/>
      <c r="BO1177" s="4"/>
      <c r="BP1177" s="4"/>
      <c r="BQ1177" s="4"/>
      <c r="BR1177" s="4"/>
      <c r="BS1177" s="4"/>
      <c r="BT1177" s="4"/>
      <c r="BU1177" s="4"/>
      <c r="BV1177" s="4"/>
      <c r="BW1177" s="4"/>
      <c r="BX1177" s="4"/>
      <c r="BY1177" s="4"/>
      <c r="BZ1177" s="4"/>
      <c r="CA1177" s="4"/>
      <c r="CB1177" s="4"/>
      <c r="CC1177" s="4"/>
      <c r="CD1177" s="4"/>
      <c r="CE1177" s="4"/>
      <c r="CF1177" s="4"/>
      <c r="CG1177" s="4"/>
      <c r="CH1177" s="4"/>
      <c r="CI1177" s="4"/>
      <c r="CJ1177" s="4"/>
      <c r="CK1177" s="4"/>
      <c r="CL1177" s="4"/>
      <c r="CM1177" s="4"/>
      <c r="CN1177" s="4"/>
      <c r="CO1177" s="4"/>
      <c r="CP1177" s="4"/>
      <c r="CQ1177" s="4"/>
      <c r="CR1177" s="4"/>
      <c r="CS1177" s="4"/>
      <c r="CT1177" s="4"/>
      <c r="CU1177" s="4"/>
      <c r="CV1177" s="4"/>
      <c r="CW1177" s="4"/>
      <c r="CX1177" s="4"/>
      <c r="CY1177" s="4"/>
      <c r="CZ1177" s="4"/>
      <c r="DA1177" s="4"/>
      <c r="DB1177" s="4"/>
      <c r="DC1177" s="4"/>
      <c r="DD1177" s="4"/>
      <c r="DE1177" s="4"/>
      <c r="DF1177" s="4"/>
      <c r="DG1177" s="4"/>
      <c r="DH1177" s="4"/>
      <c r="DI1177" s="4"/>
      <c r="DJ1177" s="4"/>
      <c r="DK1177" s="4"/>
      <c r="DL1177" s="4"/>
      <c r="DM1177" s="4"/>
      <c r="DN1177" s="4"/>
      <c r="DO1177" s="4"/>
      <c r="DP1177" s="4"/>
      <c r="DQ1177" s="4"/>
      <c r="DR1177" s="4"/>
      <c r="DS1177" s="4"/>
    </row>
    <row r="1178">
      <c r="A1178" s="9">
        <f>IFERROR(__xludf.DUMMYFUNCTION("""COMPUTED_VALUE"""),45788.0)</f>
        <v>45788</v>
      </c>
      <c r="B1178" s="6" t="str">
        <f>IFERROR(__xludf.DUMMYFUNCTION("""COMPUTED_VALUE"""),"Gift")</f>
        <v>Gift</v>
      </c>
      <c r="C1178" s="7">
        <f>IFERROR(__xludf.DUMMYFUNCTION("""COMPUTED_VALUE"""),6033.0)</f>
        <v>6033</v>
      </c>
      <c r="D1178" s="6" t="str">
        <f>IFERROR(__xludf.DUMMYFUNCTION("""COMPUTED_VALUE"""),"Gifts")</f>
        <v>Gifts</v>
      </c>
      <c r="E1178" s="6" t="str">
        <f>IFERROR(__xludf.DUMMYFUNCTION("""COMPUTED_VALUE"""),"Credit Card")</f>
        <v>Credit Card</v>
      </c>
      <c r="F1178" s="6"/>
      <c r="G1178" s="8" t="str">
        <f t="shared" si="1"/>
        <v>202505</v>
      </c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  <c r="AM1178" s="4"/>
      <c r="AN1178" s="4"/>
      <c r="AO1178" s="4"/>
      <c r="AP1178" s="4"/>
      <c r="AQ1178" s="4"/>
      <c r="AR1178" s="4"/>
      <c r="AS1178" s="4"/>
      <c r="AT1178" s="4"/>
      <c r="AU1178" s="4"/>
      <c r="AV1178" s="4"/>
      <c r="AW1178" s="4"/>
      <c r="AX1178" s="4"/>
      <c r="AY1178" s="4"/>
      <c r="AZ1178" s="4"/>
      <c r="BA1178" s="4"/>
      <c r="BB1178" s="4"/>
      <c r="BC1178" s="4"/>
      <c r="BD1178" s="4"/>
      <c r="BE1178" s="4"/>
      <c r="BF1178" s="4"/>
      <c r="BG1178" s="4"/>
      <c r="BH1178" s="4"/>
      <c r="BI1178" s="4"/>
      <c r="BJ1178" s="4"/>
      <c r="BK1178" s="4"/>
      <c r="BL1178" s="4"/>
      <c r="BM1178" s="4"/>
      <c r="BN1178" s="4"/>
      <c r="BO1178" s="4"/>
      <c r="BP1178" s="4"/>
      <c r="BQ1178" s="4"/>
      <c r="BR1178" s="4"/>
      <c r="BS1178" s="4"/>
      <c r="BT1178" s="4"/>
      <c r="BU1178" s="4"/>
      <c r="BV1178" s="4"/>
      <c r="BW1178" s="4"/>
      <c r="BX1178" s="4"/>
      <c r="BY1178" s="4"/>
      <c r="BZ1178" s="4"/>
      <c r="CA1178" s="4"/>
      <c r="CB1178" s="4"/>
      <c r="CC1178" s="4"/>
      <c r="CD1178" s="4"/>
      <c r="CE1178" s="4"/>
      <c r="CF1178" s="4"/>
      <c r="CG1178" s="4"/>
      <c r="CH1178" s="4"/>
      <c r="CI1178" s="4"/>
      <c r="CJ1178" s="4"/>
      <c r="CK1178" s="4"/>
      <c r="CL1178" s="4"/>
      <c r="CM1178" s="4"/>
      <c r="CN1178" s="4"/>
      <c r="CO1178" s="4"/>
      <c r="CP1178" s="4"/>
      <c r="CQ1178" s="4"/>
      <c r="CR1178" s="4"/>
      <c r="CS1178" s="4"/>
      <c r="CT1178" s="4"/>
      <c r="CU1178" s="4"/>
      <c r="CV1178" s="4"/>
      <c r="CW1178" s="4"/>
      <c r="CX1178" s="4"/>
      <c r="CY1178" s="4"/>
      <c r="CZ1178" s="4"/>
      <c r="DA1178" s="4"/>
      <c r="DB1178" s="4"/>
      <c r="DC1178" s="4"/>
      <c r="DD1178" s="4"/>
      <c r="DE1178" s="4"/>
      <c r="DF1178" s="4"/>
      <c r="DG1178" s="4"/>
      <c r="DH1178" s="4"/>
      <c r="DI1178" s="4"/>
      <c r="DJ1178" s="4"/>
      <c r="DK1178" s="4"/>
      <c r="DL1178" s="4"/>
      <c r="DM1178" s="4"/>
      <c r="DN1178" s="4"/>
      <c r="DO1178" s="4"/>
      <c r="DP1178" s="4"/>
      <c r="DQ1178" s="4"/>
      <c r="DR1178" s="4"/>
      <c r="DS1178" s="4"/>
    </row>
    <row r="1179">
      <c r="A1179" s="9">
        <f>IFERROR(__xludf.DUMMYFUNCTION("""COMPUTED_VALUE"""),45788.0)</f>
        <v>45788</v>
      </c>
      <c r="B1179" s="6" t="str">
        <f>IFERROR(__xludf.DUMMYFUNCTION("""COMPUTED_VALUE"""),"Home Goods")</f>
        <v>Home Goods</v>
      </c>
      <c r="C1179" s="7">
        <f>IFERROR(__xludf.DUMMYFUNCTION("""COMPUTED_VALUE"""),2750.0)</f>
        <v>2750</v>
      </c>
      <c r="D1179" s="6" t="str">
        <f>IFERROR(__xludf.DUMMYFUNCTION("""COMPUTED_VALUE"""),"Home Goods &amp; Utilities")</f>
        <v>Home Goods &amp; Utilities</v>
      </c>
      <c r="E1179" s="6" t="str">
        <f>IFERROR(__xludf.DUMMYFUNCTION("""COMPUTED_VALUE"""),"Virtual Wallet")</f>
        <v>Virtual Wallet</v>
      </c>
      <c r="F1179" s="6" t="s">
        <v>8</v>
      </c>
      <c r="G1179" s="8" t="str">
        <f t="shared" si="1"/>
        <v>202505</v>
      </c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  <c r="AM1179" s="4"/>
      <c r="AN1179" s="4"/>
      <c r="AO1179" s="4"/>
      <c r="AP1179" s="4"/>
      <c r="AQ1179" s="4"/>
      <c r="AR1179" s="4"/>
      <c r="AS1179" s="4"/>
      <c r="AT1179" s="4"/>
      <c r="AU1179" s="4"/>
      <c r="AV1179" s="4"/>
      <c r="AW1179" s="4"/>
      <c r="AX1179" s="4"/>
      <c r="AY1179" s="4"/>
      <c r="AZ1179" s="4"/>
      <c r="BA1179" s="4"/>
      <c r="BB1179" s="4"/>
      <c r="BC1179" s="4"/>
      <c r="BD1179" s="4"/>
      <c r="BE1179" s="4"/>
      <c r="BF1179" s="4"/>
      <c r="BG1179" s="4"/>
      <c r="BH1179" s="4"/>
      <c r="BI1179" s="4"/>
      <c r="BJ1179" s="4"/>
      <c r="BK1179" s="4"/>
      <c r="BL1179" s="4"/>
      <c r="BM1179" s="4"/>
      <c r="BN1179" s="4"/>
      <c r="BO1179" s="4"/>
      <c r="BP1179" s="4"/>
      <c r="BQ1179" s="4"/>
      <c r="BR1179" s="4"/>
      <c r="BS1179" s="4"/>
      <c r="BT1179" s="4"/>
      <c r="BU1179" s="4"/>
      <c r="BV1179" s="4"/>
      <c r="BW1179" s="4"/>
      <c r="BX1179" s="4"/>
      <c r="BY1179" s="4"/>
      <c r="BZ1179" s="4"/>
      <c r="CA1179" s="4"/>
      <c r="CB1179" s="4"/>
      <c r="CC1179" s="4"/>
      <c r="CD1179" s="4"/>
      <c r="CE1179" s="4"/>
      <c r="CF1179" s="4"/>
      <c r="CG1179" s="4"/>
      <c r="CH1179" s="4"/>
      <c r="CI1179" s="4"/>
      <c r="CJ1179" s="4"/>
      <c r="CK1179" s="4"/>
      <c r="CL1179" s="4"/>
      <c r="CM1179" s="4"/>
      <c r="CN1179" s="4"/>
      <c r="CO1179" s="4"/>
      <c r="CP1179" s="4"/>
      <c r="CQ1179" s="4"/>
      <c r="CR1179" s="4"/>
      <c r="CS1179" s="4"/>
      <c r="CT1179" s="4"/>
      <c r="CU1179" s="4"/>
      <c r="CV1179" s="4"/>
      <c r="CW1179" s="4"/>
      <c r="CX1179" s="4"/>
      <c r="CY1179" s="4"/>
      <c r="CZ1179" s="4"/>
      <c r="DA1179" s="4"/>
      <c r="DB1179" s="4"/>
      <c r="DC1179" s="4"/>
      <c r="DD1179" s="4"/>
      <c r="DE1179" s="4"/>
      <c r="DF1179" s="4"/>
      <c r="DG1179" s="4"/>
      <c r="DH1179" s="4"/>
      <c r="DI1179" s="4"/>
      <c r="DJ1179" s="4"/>
      <c r="DK1179" s="4"/>
      <c r="DL1179" s="4"/>
      <c r="DM1179" s="4"/>
      <c r="DN1179" s="4"/>
      <c r="DO1179" s="4"/>
      <c r="DP1179" s="4"/>
      <c r="DQ1179" s="4"/>
      <c r="DR1179" s="4"/>
      <c r="DS1179" s="4"/>
    </row>
    <row r="1180">
      <c r="A1180" s="9">
        <f>IFERROR(__xludf.DUMMYFUNCTION("""COMPUTED_VALUE"""),45789.0)</f>
        <v>45789</v>
      </c>
      <c r="B1180" s="6" t="str">
        <f>IFERROR(__xludf.DUMMYFUNCTION("""COMPUTED_VALUE"""),"Donation")</f>
        <v>Donation</v>
      </c>
      <c r="C1180" s="7">
        <f>IFERROR(__xludf.DUMMYFUNCTION("""COMPUTED_VALUE"""),5000.0)</f>
        <v>5000</v>
      </c>
      <c r="D1180" s="6" t="str">
        <f>IFERROR(__xludf.DUMMYFUNCTION("""COMPUTED_VALUE"""),"Donation")</f>
        <v>Donation</v>
      </c>
      <c r="E1180" s="6" t="str">
        <f>IFERROR(__xludf.DUMMYFUNCTION("""COMPUTED_VALUE"""),"Virtual Wallet")</f>
        <v>Virtual Wallet</v>
      </c>
      <c r="F1180" s="6"/>
      <c r="G1180" s="8" t="str">
        <f t="shared" si="1"/>
        <v>202505</v>
      </c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  <c r="AM1180" s="4"/>
      <c r="AN1180" s="4"/>
      <c r="AO1180" s="4"/>
      <c r="AP1180" s="4"/>
      <c r="AQ1180" s="4"/>
      <c r="AR1180" s="4"/>
      <c r="AS1180" s="4"/>
      <c r="AT1180" s="4"/>
      <c r="AU1180" s="4"/>
      <c r="AV1180" s="4"/>
      <c r="AW1180" s="4"/>
      <c r="AX1180" s="4"/>
      <c r="AY1180" s="4"/>
      <c r="AZ1180" s="4"/>
      <c r="BA1180" s="4"/>
      <c r="BB1180" s="4"/>
      <c r="BC1180" s="4"/>
      <c r="BD1180" s="4"/>
      <c r="BE1180" s="4"/>
      <c r="BF1180" s="4"/>
      <c r="BG1180" s="4"/>
      <c r="BH1180" s="4"/>
      <c r="BI1180" s="4"/>
      <c r="BJ1180" s="4"/>
      <c r="BK1180" s="4"/>
      <c r="BL1180" s="4"/>
      <c r="BM1180" s="4"/>
      <c r="BN1180" s="4"/>
      <c r="BO1180" s="4"/>
      <c r="BP1180" s="4"/>
      <c r="BQ1180" s="4"/>
      <c r="BR1180" s="4"/>
      <c r="BS1180" s="4"/>
      <c r="BT1180" s="4"/>
      <c r="BU1180" s="4"/>
      <c r="BV1180" s="4"/>
      <c r="BW1180" s="4"/>
      <c r="BX1180" s="4"/>
      <c r="BY1180" s="4"/>
      <c r="BZ1180" s="4"/>
      <c r="CA1180" s="4"/>
      <c r="CB1180" s="4"/>
      <c r="CC1180" s="4"/>
      <c r="CD1180" s="4"/>
      <c r="CE1180" s="4"/>
      <c r="CF1180" s="4"/>
      <c r="CG1180" s="4"/>
      <c r="CH1180" s="4"/>
      <c r="CI1180" s="4"/>
      <c r="CJ1180" s="4"/>
      <c r="CK1180" s="4"/>
      <c r="CL1180" s="4"/>
      <c r="CM1180" s="4"/>
      <c r="CN1180" s="4"/>
      <c r="CO1180" s="4"/>
      <c r="CP1180" s="4"/>
      <c r="CQ1180" s="4"/>
      <c r="CR1180" s="4"/>
      <c r="CS1180" s="4"/>
      <c r="CT1180" s="4"/>
      <c r="CU1180" s="4"/>
      <c r="CV1180" s="4"/>
      <c r="CW1180" s="4"/>
      <c r="CX1180" s="4"/>
      <c r="CY1180" s="4"/>
      <c r="CZ1180" s="4"/>
      <c r="DA1180" s="4"/>
      <c r="DB1180" s="4"/>
      <c r="DC1180" s="4"/>
      <c r="DD1180" s="4"/>
      <c r="DE1180" s="4"/>
      <c r="DF1180" s="4"/>
      <c r="DG1180" s="4"/>
      <c r="DH1180" s="4"/>
      <c r="DI1180" s="4"/>
      <c r="DJ1180" s="4"/>
      <c r="DK1180" s="4"/>
      <c r="DL1180" s="4"/>
      <c r="DM1180" s="4"/>
      <c r="DN1180" s="4"/>
      <c r="DO1180" s="4"/>
      <c r="DP1180" s="4"/>
      <c r="DQ1180" s="4"/>
      <c r="DR1180" s="4"/>
      <c r="DS1180" s="4"/>
    </row>
    <row r="1181">
      <c r="A1181" s="9">
        <f>IFERROR(__xludf.DUMMYFUNCTION("""COMPUTED_VALUE"""),45789.0)</f>
        <v>45789</v>
      </c>
      <c r="B1181" s="6" t="str">
        <f>IFERROR(__xludf.DUMMYFUNCTION("""COMPUTED_VALUE"""),"Groceries")</f>
        <v>Groceries</v>
      </c>
      <c r="C1181" s="7">
        <f>IFERROR(__xludf.DUMMYFUNCTION("""COMPUTED_VALUE"""),2800.0)</f>
        <v>2800</v>
      </c>
      <c r="D1181" s="6" t="str">
        <f>IFERROR(__xludf.DUMMYFUNCTION("""COMPUTED_VALUE"""),"Groceries")</f>
        <v>Groceries</v>
      </c>
      <c r="E1181" s="6" t="str">
        <f>IFERROR(__xludf.DUMMYFUNCTION("""COMPUTED_VALUE"""),"Virtual Wallet")</f>
        <v>Virtual Wallet</v>
      </c>
      <c r="F1181" s="6" t="s">
        <v>7</v>
      </c>
      <c r="G1181" s="8" t="str">
        <f t="shared" si="1"/>
        <v>202505</v>
      </c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  <c r="AM1181" s="4"/>
      <c r="AN1181" s="4"/>
      <c r="AO1181" s="4"/>
      <c r="AP1181" s="4"/>
      <c r="AQ1181" s="4"/>
      <c r="AR1181" s="4"/>
      <c r="AS1181" s="4"/>
      <c r="AT1181" s="4"/>
      <c r="AU1181" s="4"/>
      <c r="AV1181" s="4"/>
      <c r="AW1181" s="4"/>
      <c r="AX1181" s="4"/>
      <c r="AY1181" s="4"/>
      <c r="AZ1181" s="4"/>
      <c r="BA1181" s="4"/>
      <c r="BB1181" s="4"/>
      <c r="BC1181" s="4"/>
      <c r="BD1181" s="4"/>
      <c r="BE1181" s="4"/>
      <c r="BF1181" s="4"/>
      <c r="BG1181" s="4"/>
      <c r="BH1181" s="4"/>
      <c r="BI1181" s="4"/>
      <c r="BJ1181" s="4"/>
      <c r="BK1181" s="4"/>
      <c r="BL1181" s="4"/>
      <c r="BM1181" s="4"/>
      <c r="BN1181" s="4"/>
      <c r="BO1181" s="4"/>
      <c r="BP1181" s="4"/>
      <c r="BQ1181" s="4"/>
      <c r="BR1181" s="4"/>
      <c r="BS1181" s="4"/>
      <c r="BT1181" s="4"/>
      <c r="BU1181" s="4"/>
      <c r="BV1181" s="4"/>
      <c r="BW1181" s="4"/>
      <c r="BX1181" s="4"/>
      <c r="BY1181" s="4"/>
      <c r="BZ1181" s="4"/>
      <c r="CA1181" s="4"/>
      <c r="CB1181" s="4"/>
      <c r="CC1181" s="4"/>
      <c r="CD1181" s="4"/>
      <c r="CE1181" s="4"/>
      <c r="CF1181" s="4"/>
      <c r="CG1181" s="4"/>
      <c r="CH1181" s="4"/>
      <c r="CI1181" s="4"/>
      <c r="CJ1181" s="4"/>
      <c r="CK1181" s="4"/>
      <c r="CL1181" s="4"/>
      <c r="CM1181" s="4"/>
      <c r="CN1181" s="4"/>
      <c r="CO1181" s="4"/>
      <c r="CP1181" s="4"/>
      <c r="CQ1181" s="4"/>
      <c r="CR1181" s="4"/>
      <c r="CS1181" s="4"/>
      <c r="CT1181" s="4"/>
      <c r="CU1181" s="4"/>
      <c r="CV1181" s="4"/>
      <c r="CW1181" s="4"/>
      <c r="CX1181" s="4"/>
      <c r="CY1181" s="4"/>
      <c r="CZ1181" s="4"/>
      <c r="DA1181" s="4"/>
      <c r="DB1181" s="4"/>
      <c r="DC1181" s="4"/>
      <c r="DD1181" s="4"/>
      <c r="DE1181" s="4"/>
      <c r="DF1181" s="4"/>
      <c r="DG1181" s="4"/>
      <c r="DH1181" s="4"/>
      <c r="DI1181" s="4"/>
      <c r="DJ1181" s="4"/>
      <c r="DK1181" s="4"/>
      <c r="DL1181" s="4"/>
      <c r="DM1181" s="4"/>
      <c r="DN1181" s="4"/>
      <c r="DO1181" s="4"/>
      <c r="DP1181" s="4"/>
      <c r="DQ1181" s="4"/>
      <c r="DR1181" s="4"/>
      <c r="DS1181" s="4"/>
    </row>
    <row r="1182">
      <c r="A1182" s="9">
        <f>IFERROR(__xludf.DUMMYFUNCTION("""COMPUTED_VALUE"""),45789.0)</f>
        <v>45789</v>
      </c>
      <c r="B1182" s="6" t="str">
        <f>IFERROR(__xludf.DUMMYFUNCTION("""COMPUTED_VALUE"""),"Groceries")</f>
        <v>Groceries</v>
      </c>
      <c r="C1182" s="7">
        <f>IFERROR(__xludf.DUMMYFUNCTION("""COMPUTED_VALUE"""),3195.0)</f>
        <v>3195</v>
      </c>
      <c r="D1182" s="6" t="str">
        <f>IFERROR(__xludf.DUMMYFUNCTION("""COMPUTED_VALUE"""),"Groceries")</f>
        <v>Groceries</v>
      </c>
      <c r="E1182" s="6" t="str">
        <f>IFERROR(__xludf.DUMMYFUNCTION("""COMPUTED_VALUE"""),"Virtual Wallet")</f>
        <v>Virtual Wallet</v>
      </c>
      <c r="F1182" s="6" t="s">
        <v>7</v>
      </c>
      <c r="G1182" s="8" t="str">
        <f t="shared" si="1"/>
        <v>202505</v>
      </c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  <c r="AM1182" s="4"/>
      <c r="AN1182" s="4"/>
      <c r="AO1182" s="4"/>
      <c r="AP1182" s="4"/>
      <c r="AQ1182" s="4"/>
      <c r="AR1182" s="4"/>
      <c r="AS1182" s="4"/>
      <c r="AT1182" s="4"/>
      <c r="AU1182" s="4"/>
      <c r="AV1182" s="4"/>
      <c r="AW1182" s="4"/>
      <c r="AX1182" s="4"/>
      <c r="AY1182" s="4"/>
      <c r="AZ1182" s="4"/>
      <c r="BA1182" s="4"/>
      <c r="BB1182" s="4"/>
      <c r="BC1182" s="4"/>
      <c r="BD1182" s="4"/>
      <c r="BE1182" s="4"/>
      <c r="BF1182" s="4"/>
      <c r="BG1182" s="4"/>
      <c r="BH1182" s="4"/>
      <c r="BI1182" s="4"/>
      <c r="BJ1182" s="4"/>
      <c r="BK1182" s="4"/>
      <c r="BL1182" s="4"/>
      <c r="BM1182" s="4"/>
      <c r="BN1182" s="4"/>
      <c r="BO1182" s="4"/>
      <c r="BP1182" s="4"/>
      <c r="BQ1182" s="4"/>
      <c r="BR1182" s="4"/>
      <c r="BS1182" s="4"/>
      <c r="BT1182" s="4"/>
      <c r="BU1182" s="4"/>
      <c r="BV1182" s="4"/>
      <c r="BW1182" s="4"/>
      <c r="BX1182" s="4"/>
      <c r="BY1182" s="4"/>
      <c r="BZ1182" s="4"/>
      <c r="CA1182" s="4"/>
      <c r="CB1182" s="4"/>
      <c r="CC1182" s="4"/>
      <c r="CD1182" s="4"/>
      <c r="CE1182" s="4"/>
      <c r="CF1182" s="4"/>
      <c r="CG1182" s="4"/>
      <c r="CH1182" s="4"/>
      <c r="CI1182" s="4"/>
      <c r="CJ1182" s="4"/>
      <c r="CK1182" s="4"/>
      <c r="CL1182" s="4"/>
      <c r="CM1182" s="4"/>
      <c r="CN1182" s="4"/>
      <c r="CO1182" s="4"/>
      <c r="CP1182" s="4"/>
      <c r="CQ1182" s="4"/>
      <c r="CR1182" s="4"/>
      <c r="CS1182" s="4"/>
      <c r="CT1182" s="4"/>
      <c r="CU1182" s="4"/>
      <c r="CV1182" s="4"/>
      <c r="CW1182" s="4"/>
      <c r="CX1182" s="4"/>
      <c r="CY1182" s="4"/>
      <c r="CZ1182" s="4"/>
      <c r="DA1182" s="4"/>
      <c r="DB1182" s="4"/>
      <c r="DC1182" s="4"/>
      <c r="DD1182" s="4"/>
      <c r="DE1182" s="4"/>
      <c r="DF1182" s="4"/>
      <c r="DG1182" s="4"/>
      <c r="DH1182" s="4"/>
      <c r="DI1182" s="4"/>
      <c r="DJ1182" s="4"/>
      <c r="DK1182" s="4"/>
      <c r="DL1182" s="4"/>
      <c r="DM1182" s="4"/>
      <c r="DN1182" s="4"/>
      <c r="DO1182" s="4"/>
      <c r="DP1182" s="4"/>
      <c r="DQ1182" s="4"/>
      <c r="DR1182" s="4"/>
      <c r="DS1182" s="4"/>
    </row>
    <row r="1183">
      <c r="A1183" s="9">
        <f>IFERROR(__xludf.DUMMYFUNCTION("""COMPUTED_VALUE"""),45789.0)</f>
        <v>45789</v>
      </c>
      <c r="B1183" s="6" t="str">
        <f>IFERROR(__xludf.DUMMYFUNCTION("""COMPUTED_VALUE"""),"Groceries")</f>
        <v>Groceries</v>
      </c>
      <c r="C1183" s="7">
        <f>IFERROR(__xludf.DUMMYFUNCTION("""COMPUTED_VALUE"""),4000.0)</f>
        <v>4000</v>
      </c>
      <c r="D1183" s="6" t="str">
        <f>IFERROR(__xludf.DUMMYFUNCTION("""COMPUTED_VALUE"""),"Groceries")</f>
        <v>Groceries</v>
      </c>
      <c r="E1183" s="6" t="str">
        <f>IFERROR(__xludf.DUMMYFUNCTION("""COMPUTED_VALUE"""),"Virtual Wallet")</f>
        <v>Virtual Wallet</v>
      </c>
      <c r="F1183" s="6" t="s">
        <v>7</v>
      </c>
      <c r="G1183" s="8" t="str">
        <f t="shared" si="1"/>
        <v>202505</v>
      </c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  <c r="AM1183" s="4"/>
      <c r="AN1183" s="4"/>
      <c r="AO1183" s="4"/>
      <c r="AP1183" s="4"/>
      <c r="AQ1183" s="4"/>
      <c r="AR1183" s="4"/>
      <c r="AS1183" s="4"/>
      <c r="AT1183" s="4"/>
      <c r="AU1183" s="4"/>
      <c r="AV1183" s="4"/>
      <c r="AW1183" s="4"/>
      <c r="AX1183" s="4"/>
      <c r="AY1183" s="4"/>
      <c r="AZ1183" s="4"/>
      <c r="BA1183" s="4"/>
      <c r="BB1183" s="4"/>
      <c r="BC1183" s="4"/>
      <c r="BD1183" s="4"/>
      <c r="BE1183" s="4"/>
      <c r="BF1183" s="4"/>
      <c r="BG1183" s="4"/>
      <c r="BH1183" s="4"/>
      <c r="BI1183" s="4"/>
      <c r="BJ1183" s="4"/>
      <c r="BK1183" s="4"/>
      <c r="BL1183" s="4"/>
      <c r="BM1183" s="4"/>
      <c r="BN1183" s="4"/>
      <c r="BO1183" s="4"/>
      <c r="BP1183" s="4"/>
      <c r="BQ1183" s="4"/>
      <c r="BR1183" s="4"/>
      <c r="BS1183" s="4"/>
      <c r="BT1183" s="4"/>
      <c r="BU1183" s="4"/>
      <c r="BV1183" s="4"/>
      <c r="BW1183" s="4"/>
      <c r="BX1183" s="4"/>
      <c r="BY1183" s="4"/>
      <c r="BZ1183" s="4"/>
      <c r="CA1183" s="4"/>
      <c r="CB1183" s="4"/>
      <c r="CC1183" s="4"/>
      <c r="CD1183" s="4"/>
      <c r="CE1183" s="4"/>
      <c r="CF1183" s="4"/>
      <c r="CG1183" s="4"/>
      <c r="CH1183" s="4"/>
      <c r="CI1183" s="4"/>
      <c r="CJ1183" s="4"/>
      <c r="CK1183" s="4"/>
      <c r="CL1183" s="4"/>
      <c r="CM1183" s="4"/>
      <c r="CN1183" s="4"/>
      <c r="CO1183" s="4"/>
      <c r="CP1183" s="4"/>
      <c r="CQ1183" s="4"/>
      <c r="CR1183" s="4"/>
      <c r="CS1183" s="4"/>
      <c r="CT1183" s="4"/>
      <c r="CU1183" s="4"/>
      <c r="CV1183" s="4"/>
      <c r="CW1183" s="4"/>
      <c r="CX1183" s="4"/>
      <c r="CY1183" s="4"/>
      <c r="CZ1183" s="4"/>
      <c r="DA1183" s="4"/>
      <c r="DB1183" s="4"/>
      <c r="DC1183" s="4"/>
      <c r="DD1183" s="4"/>
      <c r="DE1183" s="4"/>
      <c r="DF1183" s="4"/>
      <c r="DG1183" s="4"/>
      <c r="DH1183" s="4"/>
      <c r="DI1183" s="4"/>
      <c r="DJ1183" s="4"/>
      <c r="DK1183" s="4"/>
      <c r="DL1183" s="4"/>
      <c r="DM1183" s="4"/>
      <c r="DN1183" s="4"/>
      <c r="DO1183" s="4"/>
      <c r="DP1183" s="4"/>
      <c r="DQ1183" s="4"/>
      <c r="DR1183" s="4"/>
      <c r="DS1183" s="4"/>
    </row>
    <row r="1184">
      <c r="A1184" s="9">
        <f>IFERROR(__xludf.DUMMYFUNCTION("""COMPUTED_VALUE"""),45789.0)</f>
        <v>45789</v>
      </c>
      <c r="B1184" s="6" t="str">
        <f>IFERROR(__xludf.DUMMYFUNCTION("""COMPUTED_VALUE"""),"Pets")</f>
        <v>Pets</v>
      </c>
      <c r="C1184" s="7">
        <f>IFERROR(__xludf.DUMMYFUNCTION("""COMPUTED_VALUE"""),30000.0)</f>
        <v>30000</v>
      </c>
      <c r="D1184" s="6" t="str">
        <f>IFERROR(__xludf.DUMMYFUNCTION("""COMPUTED_VALUE"""),"Pets")</f>
        <v>Pets</v>
      </c>
      <c r="E1184" s="6" t="str">
        <f>IFERROR(__xludf.DUMMYFUNCTION("""COMPUTED_VALUE"""),"Virtual Wallet")</f>
        <v>Virtual Wallet</v>
      </c>
      <c r="F1184" s="6" t="s">
        <v>7</v>
      </c>
      <c r="G1184" s="8" t="str">
        <f t="shared" si="1"/>
        <v>202505</v>
      </c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  <c r="AM1184" s="4"/>
      <c r="AN1184" s="4"/>
      <c r="AO1184" s="4"/>
      <c r="AP1184" s="4"/>
      <c r="AQ1184" s="4"/>
      <c r="AR1184" s="4"/>
      <c r="AS1184" s="4"/>
      <c r="AT1184" s="4"/>
      <c r="AU1184" s="4"/>
      <c r="AV1184" s="4"/>
      <c r="AW1184" s="4"/>
      <c r="AX1184" s="4"/>
      <c r="AY1184" s="4"/>
      <c r="AZ1184" s="4"/>
      <c r="BA1184" s="4"/>
      <c r="BB1184" s="4"/>
      <c r="BC1184" s="4"/>
      <c r="BD1184" s="4"/>
      <c r="BE1184" s="4"/>
      <c r="BF1184" s="4"/>
      <c r="BG1184" s="4"/>
      <c r="BH1184" s="4"/>
      <c r="BI1184" s="4"/>
      <c r="BJ1184" s="4"/>
      <c r="BK1184" s="4"/>
      <c r="BL1184" s="4"/>
      <c r="BM1184" s="4"/>
      <c r="BN1184" s="4"/>
      <c r="BO1184" s="4"/>
      <c r="BP1184" s="4"/>
      <c r="BQ1184" s="4"/>
      <c r="BR1184" s="4"/>
      <c r="BS1184" s="4"/>
      <c r="BT1184" s="4"/>
      <c r="BU1184" s="4"/>
      <c r="BV1184" s="4"/>
      <c r="BW1184" s="4"/>
      <c r="BX1184" s="4"/>
      <c r="BY1184" s="4"/>
      <c r="BZ1184" s="4"/>
      <c r="CA1184" s="4"/>
      <c r="CB1184" s="4"/>
      <c r="CC1184" s="4"/>
      <c r="CD1184" s="4"/>
      <c r="CE1184" s="4"/>
      <c r="CF1184" s="4"/>
      <c r="CG1184" s="4"/>
      <c r="CH1184" s="4"/>
      <c r="CI1184" s="4"/>
      <c r="CJ1184" s="4"/>
      <c r="CK1184" s="4"/>
      <c r="CL1184" s="4"/>
      <c r="CM1184" s="4"/>
      <c r="CN1184" s="4"/>
      <c r="CO1184" s="4"/>
      <c r="CP1184" s="4"/>
      <c r="CQ1184" s="4"/>
      <c r="CR1184" s="4"/>
      <c r="CS1184" s="4"/>
      <c r="CT1184" s="4"/>
      <c r="CU1184" s="4"/>
      <c r="CV1184" s="4"/>
      <c r="CW1184" s="4"/>
      <c r="CX1184" s="4"/>
      <c r="CY1184" s="4"/>
      <c r="CZ1184" s="4"/>
      <c r="DA1184" s="4"/>
      <c r="DB1184" s="4"/>
      <c r="DC1184" s="4"/>
      <c r="DD1184" s="4"/>
      <c r="DE1184" s="4"/>
      <c r="DF1184" s="4"/>
      <c r="DG1184" s="4"/>
      <c r="DH1184" s="4"/>
      <c r="DI1184" s="4"/>
      <c r="DJ1184" s="4"/>
      <c r="DK1184" s="4"/>
      <c r="DL1184" s="4"/>
      <c r="DM1184" s="4"/>
      <c r="DN1184" s="4"/>
      <c r="DO1184" s="4"/>
      <c r="DP1184" s="4"/>
      <c r="DQ1184" s="4"/>
      <c r="DR1184" s="4"/>
      <c r="DS1184" s="4"/>
    </row>
    <row r="1185">
      <c r="A1185" s="9">
        <f>IFERROR(__xludf.DUMMYFUNCTION("""COMPUTED_VALUE"""),45790.0)</f>
        <v>45790</v>
      </c>
      <c r="B1185" s="6" t="str">
        <f>IFERROR(__xludf.DUMMYFUNCTION("""COMPUTED_VALUE"""),"Electricity Bill (Edesur)")</f>
        <v>Electricity Bill (Edesur)</v>
      </c>
      <c r="C1185" s="7">
        <f>IFERROR(__xludf.DUMMYFUNCTION("""COMPUTED_VALUE"""),17343.0)</f>
        <v>17343</v>
      </c>
      <c r="D1185" s="6" t="str">
        <f>IFERROR(__xludf.DUMMYFUNCTION("""COMPUTED_VALUE"""),"Basic Services")</f>
        <v>Basic Services</v>
      </c>
      <c r="E1185" s="6" t="str">
        <f>IFERROR(__xludf.DUMMYFUNCTION("""COMPUTED_VALUE"""),"Split Payment")</f>
        <v>Split Payment</v>
      </c>
      <c r="F1185" s="6" t="s">
        <v>13</v>
      </c>
      <c r="G1185" s="8" t="str">
        <f t="shared" si="1"/>
        <v>202505</v>
      </c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  <c r="AM1185" s="4"/>
      <c r="AN1185" s="4"/>
      <c r="AO1185" s="4"/>
      <c r="AP1185" s="4"/>
      <c r="AQ1185" s="4"/>
      <c r="AR1185" s="4"/>
      <c r="AS1185" s="4"/>
      <c r="AT1185" s="4"/>
      <c r="AU1185" s="4"/>
      <c r="AV1185" s="4"/>
      <c r="AW1185" s="4"/>
      <c r="AX1185" s="4"/>
      <c r="AY1185" s="4"/>
      <c r="AZ1185" s="4"/>
      <c r="BA1185" s="4"/>
      <c r="BB1185" s="4"/>
      <c r="BC1185" s="4"/>
      <c r="BD1185" s="4"/>
      <c r="BE1185" s="4"/>
      <c r="BF1185" s="4"/>
      <c r="BG1185" s="4"/>
      <c r="BH1185" s="4"/>
      <c r="BI1185" s="4"/>
      <c r="BJ1185" s="4"/>
      <c r="BK1185" s="4"/>
      <c r="BL1185" s="4"/>
      <c r="BM1185" s="4"/>
      <c r="BN1185" s="4"/>
      <c r="BO1185" s="4"/>
      <c r="BP1185" s="4"/>
      <c r="BQ1185" s="4"/>
      <c r="BR1185" s="4"/>
      <c r="BS1185" s="4"/>
      <c r="BT1185" s="4"/>
      <c r="BU1185" s="4"/>
      <c r="BV1185" s="4"/>
      <c r="BW1185" s="4"/>
      <c r="BX1185" s="4"/>
      <c r="BY1185" s="4"/>
      <c r="BZ1185" s="4"/>
      <c r="CA1185" s="4"/>
      <c r="CB1185" s="4"/>
      <c r="CC1185" s="4"/>
      <c r="CD1185" s="4"/>
      <c r="CE1185" s="4"/>
      <c r="CF1185" s="4"/>
      <c r="CG1185" s="4"/>
      <c r="CH1185" s="4"/>
      <c r="CI1185" s="4"/>
      <c r="CJ1185" s="4"/>
      <c r="CK1185" s="4"/>
      <c r="CL1185" s="4"/>
      <c r="CM1185" s="4"/>
      <c r="CN1185" s="4"/>
      <c r="CO1185" s="4"/>
      <c r="CP1185" s="4"/>
      <c r="CQ1185" s="4"/>
      <c r="CR1185" s="4"/>
      <c r="CS1185" s="4"/>
      <c r="CT1185" s="4"/>
      <c r="CU1185" s="4"/>
      <c r="CV1185" s="4"/>
      <c r="CW1185" s="4"/>
      <c r="CX1185" s="4"/>
      <c r="CY1185" s="4"/>
      <c r="CZ1185" s="4"/>
      <c r="DA1185" s="4"/>
      <c r="DB1185" s="4"/>
      <c r="DC1185" s="4"/>
      <c r="DD1185" s="4"/>
      <c r="DE1185" s="4"/>
      <c r="DF1185" s="4"/>
      <c r="DG1185" s="4"/>
      <c r="DH1185" s="4"/>
      <c r="DI1185" s="4"/>
      <c r="DJ1185" s="4"/>
      <c r="DK1185" s="4"/>
      <c r="DL1185" s="4"/>
      <c r="DM1185" s="4"/>
      <c r="DN1185" s="4"/>
      <c r="DO1185" s="4"/>
      <c r="DP1185" s="4"/>
      <c r="DQ1185" s="4"/>
      <c r="DR1185" s="4"/>
      <c r="DS1185" s="4"/>
    </row>
    <row r="1186">
      <c r="A1186" s="9">
        <f>IFERROR(__xludf.DUMMYFUNCTION("""COMPUTED_VALUE"""),45790.0)</f>
        <v>45790</v>
      </c>
      <c r="B1186" s="6" t="str">
        <f>IFERROR(__xludf.DUMMYFUNCTION("""COMPUTED_VALUE"""),"Restaurant")</f>
        <v>Restaurant</v>
      </c>
      <c r="C1186" s="7">
        <f>IFERROR(__xludf.DUMMYFUNCTION("""COMPUTED_VALUE"""),8926.0)</f>
        <v>8926</v>
      </c>
      <c r="D1186" s="6" t="str">
        <f>IFERROR(__xludf.DUMMYFUNCTION("""COMPUTED_VALUE"""),"Restaurant / Café")</f>
        <v>Restaurant / Café</v>
      </c>
      <c r="E1186" s="6" t="str">
        <f>IFERROR(__xludf.DUMMYFUNCTION("""COMPUTED_VALUE"""),"Virtual Wallet")</f>
        <v>Virtual Wallet</v>
      </c>
      <c r="F1186" s="6" t="s">
        <v>14</v>
      </c>
      <c r="G1186" s="8" t="str">
        <f t="shared" si="1"/>
        <v>202505</v>
      </c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  <c r="AH1186" s="4"/>
      <c r="AI1186" s="4"/>
      <c r="AJ1186" s="4"/>
      <c r="AK1186" s="4"/>
      <c r="AL1186" s="4"/>
      <c r="AM1186" s="4"/>
      <c r="AN1186" s="4"/>
      <c r="AO1186" s="4"/>
      <c r="AP1186" s="4"/>
      <c r="AQ1186" s="4"/>
      <c r="AR1186" s="4"/>
      <c r="AS1186" s="4"/>
      <c r="AT1186" s="4"/>
      <c r="AU1186" s="4"/>
      <c r="AV1186" s="4"/>
      <c r="AW1186" s="4"/>
      <c r="AX1186" s="4"/>
      <c r="AY1186" s="4"/>
      <c r="AZ1186" s="4"/>
      <c r="BA1186" s="4"/>
      <c r="BB1186" s="4"/>
      <c r="BC1186" s="4"/>
      <c r="BD1186" s="4"/>
      <c r="BE1186" s="4"/>
      <c r="BF1186" s="4"/>
      <c r="BG1186" s="4"/>
      <c r="BH1186" s="4"/>
      <c r="BI1186" s="4"/>
      <c r="BJ1186" s="4"/>
      <c r="BK1186" s="4"/>
      <c r="BL1186" s="4"/>
      <c r="BM1186" s="4"/>
      <c r="BN1186" s="4"/>
      <c r="BO1186" s="4"/>
      <c r="BP1186" s="4"/>
      <c r="BQ1186" s="4"/>
      <c r="BR1186" s="4"/>
      <c r="BS1186" s="4"/>
      <c r="BT1186" s="4"/>
      <c r="BU1186" s="4"/>
      <c r="BV1186" s="4"/>
      <c r="BW1186" s="4"/>
      <c r="BX1186" s="4"/>
      <c r="BY1186" s="4"/>
      <c r="BZ1186" s="4"/>
      <c r="CA1186" s="4"/>
      <c r="CB1186" s="4"/>
      <c r="CC1186" s="4"/>
      <c r="CD1186" s="4"/>
      <c r="CE1186" s="4"/>
      <c r="CF1186" s="4"/>
      <c r="CG1186" s="4"/>
      <c r="CH1186" s="4"/>
      <c r="CI1186" s="4"/>
      <c r="CJ1186" s="4"/>
      <c r="CK1186" s="4"/>
      <c r="CL1186" s="4"/>
      <c r="CM1186" s="4"/>
      <c r="CN1186" s="4"/>
      <c r="CO1186" s="4"/>
      <c r="CP1186" s="4"/>
      <c r="CQ1186" s="4"/>
      <c r="CR1186" s="4"/>
      <c r="CS1186" s="4"/>
      <c r="CT1186" s="4"/>
      <c r="CU1186" s="4"/>
      <c r="CV1186" s="4"/>
      <c r="CW1186" s="4"/>
      <c r="CX1186" s="4"/>
      <c r="CY1186" s="4"/>
      <c r="CZ1186" s="4"/>
      <c r="DA1186" s="4"/>
      <c r="DB1186" s="4"/>
      <c r="DC1186" s="4"/>
      <c r="DD1186" s="4"/>
      <c r="DE1186" s="4"/>
      <c r="DF1186" s="4"/>
      <c r="DG1186" s="4"/>
      <c r="DH1186" s="4"/>
      <c r="DI1186" s="4"/>
      <c r="DJ1186" s="4"/>
      <c r="DK1186" s="4"/>
      <c r="DL1186" s="4"/>
      <c r="DM1186" s="4"/>
      <c r="DN1186" s="4"/>
      <c r="DO1186" s="4"/>
      <c r="DP1186" s="4"/>
      <c r="DQ1186" s="4"/>
      <c r="DR1186" s="4"/>
      <c r="DS1186" s="4"/>
    </row>
    <row r="1187">
      <c r="A1187" s="9">
        <f>IFERROR(__xludf.DUMMYFUNCTION("""COMPUTED_VALUE"""),45791.0)</f>
        <v>45791</v>
      </c>
      <c r="B1187" s="6" t="str">
        <f>IFERROR(__xludf.DUMMYFUNCTION("""COMPUTED_VALUE"""),"Education")</f>
        <v>Education</v>
      </c>
      <c r="C1187" s="7">
        <f>IFERROR(__xludf.DUMMYFUNCTION("""COMPUTED_VALUE"""),890.0)</f>
        <v>890</v>
      </c>
      <c r="D1187" s="6" t="str">
        <f>IFERROR(__xludf.DUMMYFUNCTION("""COMPUTED_VALUE"""),"Education")</f>
        <v>Education</v>
      </c>
      <c r="E1187" s="6" t="str">
        <f>IFERROR(__xludf.DUMMYFUNCTION("""COMPUTED_VALUE"""),"Credit Card")</f>
        <v>Credit Card</v>
      </c>
      <c r="F1187" s="6" t="s">
        <v>11</v>
      </c>
      <c r="G1187" s="8" t="str">
        <f t="shared" si="1"/>
        <v>202505</v>
      </c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  <c r="AG1187" s="4"/>
      <c r="AH1187" s="4"/>
      <c r="AI1187" s="4"/>
      <c r="AJ1187" s="4"/>
      <c r="AK1187" s="4"/>
      <c r="AL1187" s="4"/>
      <c r="AM1187" s="4"/>
      <c r="AN1187" s="4"/>
      <c r="AO1187" s="4"/>
      <c r="AP1187" s="4"/>
      <c r="AQ1187" s="4"/>
      <c r="AR1187" s="4"/>
      <c r="AS1187" s="4"/>
      <c r="AT1187" s="4"/>
      <c r="AU1187" s="4"/>
      <c r="AV1187" s="4"/>
      <c r="AW1187" s="4"/>
      <c r="AX1187" s="4"/>
      <c r="AY1187" s="4"/>
      <c r="AZ1187" s="4"/>
      <c r="BA1187" s="4"/>
      <c r="BB1187" s="4"/>
      <c r="BC1187" s="4"/>
      <c r="BD1187" s="4"/>
      <c r="BE1187" s="4"/>
      <c r="BF1187" s="4"/>
      <c r="BG1187" s="4"/>
      <c r="BH1187" s="4"/>
      <c r="BI1187" s="4"/>
      <c r="BJ1187" s="4"/>
      <c r="BK1187" s="4"/>
      <c r="BL1187" s="4"/>
      <c r="BM1187" s="4"/>
      <c r="BN1187" s="4"/>
      <c r="BO1187" s="4"/>
      <c r="BP1187" s="4"/>
      <c r="BQ1187" s="4"/>
      <c r="BR1187" s="4"/>
      <c r="BS1187" s="4"/>
      <c r="BT1187" s="4"/>
      <c r="BU1187" s="4"/>
      <c r="BV1187" s="4"/>
      <c r="BW1187" s="4"/>
      <c r="BX1187" s="4"/>
      <c r="BY1187" s="4"/>
      <c r="BZ1187" s="4"/>
      <c r="CA1187" s="4"/>
      <c r="CB1187" s="4"/>
      <c r="CC1187" s="4"/>
      <c r="CD1187" s="4"/>
      <c r="CE1187" s="4"/>
      <c r="CF1187" s="4"/>
      <c r="CG1187" s="4"/>
      <c r="CH1187" s="4"/>
      <c r="CI1187" s="4"/>
      <c r="CJ1187" s="4"/>
      <c r="CK1187" s="4"/>
      <c r="CL1187" s="4"/>
      <c r="CM1187" s="4"/>
      <c r="CN1187" s="4"/>
      <c r="CO1187" s="4"/>
      <c r="CP1187" s="4"/>
      <c r="CQ1187" s="4"/>
      <c r="CR1187" s="4"/>
      <c r="CS1187" s="4"/>
      <c r="CT1187" s="4"/>
      <c r="CU1187" s="4"/>
      <c r="CV1187" s="4"/>
      <c r="CW1187" s="4"/>
      <c r="CX1187" s="4"/>
      <c r="CY1187" s="4"/>
      <c r="CZ1187" s="4"/>
      <c r="DA1187" s="4"/>
      <c r="DB1187" s="4"/>
      <c r="DC1187" s="4"/>
      <c r="DD1187" s="4"/>
      <c r="DE1187" s="4"/>
      <c r="DF1187" s="4"/>
      <c r="DG1187" s="4"/>
      <c r="DH1187" s="4"/>
      <c r="DI1187" s="4"/>
      <c r="DJ1187" s="4"/>
      <c r="DK1187" s="4"/>
      <c r="DL1187" s="4"/>
      <c r="DM1187" s="4"/>
      <c r="DN1187" s="4"/>
      <c r="DO1187" s="4"/>
      <c r="DP1187" s="4"/>
      <c r="DQ1187" s="4"/>
      <c r="DR1187" s="4"/>
      <c r="DS1187" s="4"/>
    </row>
    <row r="1188">
      <c r="A1188" s="9">
        <f>IFERROR(__xludf.DUMMYFUNCTION("""COMPUTED_VALUE"""),45791.0)</f>
        <v>45791</v>
      </c>
      <c r="B1188" s="6" t="str">
        <f>IFERROR(__xludf.DUMMYFUNCTION("""COMPUTED_VALUE"""),"Groceries")</f>
        <v>Groceries</v>
      </c>
      <c r="C1188" s="7">
        <f>IFERROR(__xludf.DUMMYFUNCTION("""COMPUTED_VALUE"""),4800.0)</f>
        <v>4800</v>
      </c>
      <c r="D1188" s="6" t="str">
        <f>IFERROR(__xludf.DUMMYFUNCTION("""COMPUTED_VALUE"""),"Groceries")</f>
        <v>Groceries</v>
      </c>
      <c r="E1188" s="6" t="str">
        <f>IFERROR(__xludf.DUMMYFUNCTION("""COMPUTED_VALUE"""),"Virtual Wallet")</f>
        <v>Virtual Wallet</v>
      </c>
      <c r="F1188" s="6" t="s">
        <v>7</v>
      </c>
      <c r="G1188" s="8" t="str">
        <f t="shared" si="1"/>
        <v>202505</v>
      </c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  <c r="AG1188" s="4"/>
      <c r="AH1188" s="4"/>
      <c r="AI1188" s="4"/>
      <c r="AJ1188" s="4"/>
      <c r="AK1188" s="4"/>
      <c r="AL1188" s="4"/>
      <c r="AM1188" s="4"/>
      <c r="AN1188" s="4"/>
      <c r="AO1188" s="4"/>
      <c r="AP1188" s="4"/>
      <c r="AQ1188" s="4"/>
      <c r="AR1188" s="4"/>
      <c r="AS1188" s="4"/>
      <c r="AT1188" s="4"/>
      <c r="AU1188" s="4"/>
      <c r="AV1188" s="4"/>
      <c r="AW1188" s="4"/>
      <c r="AX1188" s="4"/>
      <c r="AY1188" s="4"/>
      <c r="AZ1188" s="4"/>
      <c r="BA1188" s="4"/>
      <c r="BB1188" s="4"/>
      <c r="BC1188" s="4"/>
      <c r="BD1188" s="4"/>
      <c r="BE1188" s="4"/>
      <c r="BF1188" s="4"/>
      <c r="BG1188" s="4"/>
      <c r="BH1188" s="4"/>
      <c r="BI1188" s="4"/>
      <c r="BJ1188" s="4"/>
      <c r="BK1188" s="4"/>
      <c r="BL1188" s="4"/>
      <c r="BM1188" s="4"/>
      <c r="BN1188" s="4"/>
      <c r="BO1188" s="4"/>
      <c r="BP1188" s="4"/>
      <c r="BQ1188" s="4"/>
      <c r="BR1188" s="4"/>
      <c r="BS1188" s="4"/>
      <c r="BT1188" s="4"/>
      <c r="BU1188" s="4"/>
      <c r="BV1188" s="4"/>
      <c r="BW1188" s="4"/>
      <c r="BX1188" s="4"/>
      <c r="BY1188" s="4"/>
      <c r="BZ1188" s="4"/>
      <c r="CA1188" s="4"/>
      <c r="CB1188" s="4"/>
      <c r="CC1188" s="4"/>
      <c r="CD1188" s="4"/>
      <c r="CE1188" s="4"/>
      <c r="CF1188" s="4"/>
      <c r="CG1188" s="4"/>
      <c r="CH1188" s="4"/>
      <c r="CI1188" s="4"/>
      <c r="CJ1188" s="4"/>
      <c r="CK1188" s="4"/>
      <c r="CL1188" s="4"/>
      <c r="CM1188" s="4"/>
      <c r="CN1188" s="4"/>
      <c r="CO1188" s="4"/>
      <c r="CP1188" s="4"/>
      <c r="CQ1188" s="4"/>
      <c r="CR1188" s="4"/>
      <c r="CS1188" s="4"/>
      <c r="CT1188" s="4"/>
      <c r="CU1188" s="4"/>
      <c r="CV1188" s="4"/>
      <c r="CW1188" s="4"/>
      <c r="CX1188" s="4"/>
      <c r="CY1188" s="4"/>
      <c r="CZ1188" s="4"/>
      <c r="DA1188" s="4"/>
      <c r="DB1188" s="4"/>
      <c r="DC1188" s="4"/>
      <c r="DD1188" s="4"/>
      <c r="DE1188" s="4"/>
      <c r="DF1188" s="4"/>
      <c r="DG1188" s="4"/>
      <c r="DH1188" s="4"/>
      <c r="DI1188" s="4"/>
      <c r="DJ1188" s="4"/>
      <c r="DK1188" s="4"/>
      <c r="DL1188" s="4"/>
      <c r="DM1188" s="4"/>
      <c r="DN1188" s="4"/>
      <c r="DO1188" s="4"/>
      <c r="DP1188" s="4"/>
      <c r="DQ1188" s="4"/>
      <c r="DR1188" s="4"/>
      <c r="DS1188" s="4"/>
    </row>
    <row r="1189">
      <c r="A1189" s="9">
        <f>IFERROR(__xludf.DUMMYFUNCTION("""COMPUTED_VALUE"""),45791.0)</f>
        <v>45791</v>
      </c>
      <c r="B1189" s="6" t="str">
        <f>IFERROR(__xludf.DUMMYFUNCTION("""COMPUTED_VALUE"""),"Groceries")</f>
        <v>Groceries</v>
      </c>
      <c r="C1189" s="7">
        <f>IFERROR(__xludf.DUMMYFUNCTION("""COMPUTED_VALUE"""),6080.0)</f>
        <v>6080</v>
      </c>
      <c r="D1189" s="6" t="str">
        <f>IFERROR(__xludf.DUMMYFUNCTION("""COMPUTED_VALUE"""),"Groceries")</f>
        <v>Groceries</v>
      </c>
      <c r="E1189" s="6" t="str">
        <f>IFERROR(__xludf.DUMMYFUNCTION("""COMPUTED_VALUE"""),"Virtual Wallet")</f>
        <v>Virtual Wallet</v>
      </c>
      <c r="F1189" s="6" t="s">
        <v>7</v>
      </c>
      <c r="G1189" s="8" t="str">
        <f t="shared" si="1"/>
        <v>202505</v>
      </c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  <c r="AG1189" s="4"/>
      <c r="AH1189" s="4"/>
      <c r="AI1189" s="4"/>
      <c r="AJ1189" s="4"/>
      <c r="AK1189" s="4"/>
      <c r="AL1189" s="4"/>
      <c r="AM1189" s="4"/>
      <c r="AN1189" s="4"/>
      <c r="AO1189" s="4"/>
      <c r="AP1189" s="4"/>
      <c r="AQ1189" s="4"/>
      <c r="AR1189" s="4"/>
      <c r="AS1189" s="4"/>
      <c r="AT1189" s="4"/>
      <c r="AU1189" s="4"/>
      <c r="AV1189" s="4"/>
      <c r="AW1189" s="4"/>
      <c r="AX1189" s="4"/>
      <c r="AY1189" s="4"/>
      <c r="AZ1189" s="4"/>
      <c r="BA1189" s="4"/>
      <c r="BB1189" s="4"/>
      <c r="BC1189" s="4"/>
      <c r="BD1189" s="4"/>
      <c r="BE1189" s="4"/>
      <c r="BF1189" s="4"/>
      <c r="BG1189" s="4"/>
      <c r="BH1189" s="4"/>
      <c r="BI1189" s="4"/>
      <c r="BJ1189" s="4"/>
      <c r="BK1189" s="4"/>
      <c r="BL1189" s="4"/>
      <c r="BM1189" s="4"/>
      <c r="BN1189" s="4"/>
      <c r="BO1189" s="4"/>
      <c r="BP1189" s="4"/>
      <c r="BQ1189" s="4"/>
      <c r="BR1189" s="4"/>
      <c r="BS1189" s="4"/>
      <c r="BT1189" s="4"/>
      <c r="BU1189" s="4"/>
      <c r="BV1189" s="4"/>
      <c r="BW1189" s="4"/>
      <c r="BX1189" s="4"/>
      <c r="BY1189" s="4"/>
      <c r="BZ1189" s="4"/>
      <c r="CA1189" s="4"/>
      <c r="CB1189" s="4"/>
      <c r="CC1189" s="4"/>
      <c r="CD1189" s="4"/>
      <c r="CE1189" s="4"/>
      <c r="CF1189" s="4"/>
      <c r="CG1189" s="4"/>
      <c r="CH1189" s="4"/>
      <c r="CI1189" s="4"/>
      <c r="CJ1189" s="4"/>
      <c r="CK1189" s="4"/>
      <c r="CL1189" s="4"/>
      <c r="CM1189" s="4"/>
      <c r="CN1189" s="4"/>
      <c r="CO1189" s="4"/>
      <c r="CP1189" s="4"/>
      <c r="CQ1189" s="4"/>
      <c r="CR1189" s="4"/>
      <c r="CS1189" s="4"/>
      <c r="CT1189" s="4"/>
      <c r="CU1189" s="4"/>
      <c r="CV1189" s="4"/>
      <c r="CW1189" s="4"/>
      <c r="CX1189" s="4"/>
      <c r="CY1189" s="4"/>
      <c r="CZ1189" s="4"/>
      <c r="DA1189" s="4"/>
      <c r="DB1189" s="4"/>
      <c r="DC1189" s="4"/>
      <c r="DD1189" s="4"/>
      <c r="DE1189" s="4"/>
      <c r="DF1189" s="4"/>
      <c r="DG1189" s="4"/>
      <c r="DH1189" s="4"/>
      <c r="DI1189" s="4"/>
      <c r="DJ1189" s="4"/>
      <c r="DK1189" s="4"/>
      <c r="DL1189" s="4"/>
      <c r="DM1189" s="4"/>
      <c r="DN1189" s="4"/>
      <c r="DO1189" s="4"/>
      <c r="DP1189" s="4"/>
      <c r="DQ1189" s="4"/>
      <c r="DR1189" s="4"/>
      <c r="DS1189" s="4"/>
    </row>
    <row r="1190">
      <c r="A1190" s="9">
        <f>IFERROR(__xludf.DUMMYFUNCTION("""COMPUTED_VALUE"""),45792.0)</f>
        <v>45792</v>
      </c>
      <c r="B1190" s="6" t="str">
        <f>IFERROR(__xludf.DUMMYFUNCTION("""COMPUTED_VALUE"""),"Home Goods")</f>
        <v>Home Goods</v>
      </c>
      <c r="C1190" s="7">
        <f>IFERROR(__xludf.DUMMYFUNCTION("""COMPUTED_VALUE"""),2101.0)</f>
        <v>2101</v>
      </c>
      <c r="D1190" s="6" t="str">
        <f>IFERROR(__xludf.DUMMYFUNCTION("""COMPUTED_VALUE"""),"Home Goods &amp; Utilities")</f>
        <v>Home Goods &amp; Utilities</v>
      </c>
      <c r="E1190" s="6" t="str">
        <f>IFERROR(__xludf.DUMMYFUNCTION("""COMPUTED_VALUE"""),"Split Payment")</f>
        <v>Split Payment</v>
      </c>
      <c r="F1190" s="6" t="s">
        <v>8</v>
      </c>
      <c r="G1190" s="8" t="str">
        <f t="shared" si="1"/>
        <v>202505</v>
      </c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  <c r="AH1190" s="4"/>
      <c r="AI1190" s="4"/>
      <c r="AJ1190" s="4"/>
      <c r="AK1190" s="4"/>
      <c r="AL1190" s="4"/>
      <c r="AM1190" s="4"/>
      <c r="AN1190" s="4"/>
      <c r="AO1190" s="4"/>
      <c r="AP1190" s="4"/>
      <c r="AQ1190" s="4"/>
      <c r="AR1190" s="4"/>
      <c r="AS1190" s="4"/>
      <c r="AT1190" s="4"/>
      <c r="AU1190" s="4"/>
      <c r="AV1190" s="4"/>
      <c r="AW1190" s="4"/>
      <c r="AX1190" s="4"/>
      <c r="AY1190" s="4"/>
      <c r="AZ1190" s="4"/>
      <c r="BA1190" s="4"/>
      <c r="BB1190" s="4"/>
      <c r="BC1190" s="4"/>
      <c r="BD1190" s="4"/>
      <c r="BE1190" s="4"/>
      <c r="BF1190" s="4"/>
      <c r="BG1190" s="4"/>
      <c r="BH1190" s="4"/>
      <c r="BI1190" s="4"/>
      <c r="BJ1190" s="4"/>
      <c r="BK1190" s="4"/>
      <c r="BL1190" s="4"/>
      <c r="BM1190" s="4"/>
      <c r="BN1190" s="4"/>
      <c r="BO1190" s="4"/>
      <c r="BP1190" s="4"/>
      <c r="BQ1190" s="4"/>
      <c r="BR1190" s="4"/>
      <c r="BS1190" s="4"/>
      <c r="BT1190" s="4"/>
      <c r="BU1190" s="4"/>
      <c r="BV1190" s="4"/>
      <c r="BW1190" s="4"/>
      <c r="BX1190" s="4"/>
      <c r="BY1190" s="4"/>
      <c r="BZ1190" s="4"/>
      <c r="CA1190" s="4"/>
      <c r="CB1190" s="4"/>
      <c r="CC1190" s="4"/>
      <c r="CD1190" s="4"/>
      <c r="CE1190" s="4"/>
      <c r="CF1190" s="4"/>
      <c r="CG1190" s="4"/>
      <c r="CH1190" s="4"/>
      <c r="CI1190" s="4"/>
      <c r="CJ1190" s="4"/>
      <c r="CK1190" s="4"/>
      <c r="CL1190" s="4"/>
      <c r="CM1190" s="4"/>
      <c r="CN1190" s="4"/>
      <c r="CO1190" s="4"/>
      <c r="CP1190" s="4"/>
      <c r="CQ1190" s="4"/>
      <c r="CR1190" s="4"/>
      <c r="CS1190" s="4"/>
      <c r="CT1190" s="4"/>
      <c r="CU1190" s="4"/>
      <c r="CV1190" s="4"/>
      <c r="CW1190" s="4"/>
      <c r="CX1190" s="4"/>
      <c r="CY1190" s="4"/>
      <c r="CZ1190" s="4"/>
      <c r="DA1190" s="4"/>
      <c r="DB1190" s="4"/>
      <c r="DC1190" s="4"/>
      <c r="DD1190" s="4"/>
      <c r="DE1190" s="4"/>
      <c r="DF1190" s="4"/>
      <c r="DG1190" s="4"/>
      <c r="DH1190" s="4"/>
      <c r="DI1190" s="4"/>
      <c r="DJ1190" s="4"/>
      <c r="DK1190" s="4"/>
      <c r="DL1190" s="4"/>
      <c r="DM1190" s="4"/>
      <c r="DN1190" s="4"/>
      <c r="DO1190" s="4"/>
      <c r="DP1190" s="4"/>
      <c r="DQ1190" s="4"/>
      <c r="DR1190" s="4"/>
      <c r="DS1190" s="4"/>
    </row>
    <row r="1191">
      <c r="A1191" s="9">
        <f>IFERROR(__xludf.DUMMYFUNCTION("""COMPUTED_VALUE"""),45792.0)</f>
        <v>45792</v>
      </c>
      <c r="B1191" s="6" t="str">
        <f>IFERROR(__xludf.DUMMYFUNCTION("""COMPUTED_VALUE"""),"Restaurant")</f>
        <v>Restaurant</v>
      </c>
      <c r="C1191" s="7">
        <f>IFERROR(__xludf.DUMMYFUNCTION("""COMPUTED_VALUE"""),5965.0)</f>
        <v>5965</v>
      </c>
      <c r="D1191" s="6" t="str">
        <f>IFERROR(__xludf.DUMMYFUNCTION("""COMPUTED_VALUE"""),"Home Goods &amp; Utilities")</f>
        <v>Home Goods &amp; Utilities</v>
      </c>
      <c r="E1191" s="6" t="str">
        <f>IFERROR(__xludf.DUMMYFUNCTION("""COMPUTED_VALUE"""),"Credit Card")</f>
        <v>Credit Card</v>
      </c>
      <c r="F1191" s="6" t="s">
        <v>8</v>
      </c>
      <c r="G1191" s="8" t="str">
        <f t="shared" si="1"/>
        <v>202505</v>
      </c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  <c r="AH1191" s="4"/>
      <c r="AI1191" s="4"/>
      <c r="AJ1191" s="4"/>
      <c r="AK1191" s="4"/>
      <c r="AL1191" s="4"/>
      <c r="AM1191" s="4"/>
      <c r="AN1191" s="4"/>
      <c r="AO1191" s="4"/>
      <c r="AP1191" s="4"/>
      <c r="AQ1191" s="4"/>
      <c r="AR1191" s="4"/>
      <c r="AS1191" s="4"/>
      <c r="AT1191" s="4"/>
      <c r="AU1191" s="4"/>
      <c r="AV1191" s="4"/>
      <c r="AW1191" s="4"/>
      <c r="AX1191" s="4"/>
      <c r="AY1191" s="4"/>
      <c r="AZ1191" s="4"/>
      <c r="BA1191" s="4"/>
      <c r="BB1191" s="4"/>
      <c r="BC1191" s="4"/>
      <c r="BD1191" s="4"/>
      <c r="BE1191" s="4"/>
      <c r="BF1191" s="4"/>
      <c r="BG1191" s="4"/>
      <c r="BH1191" s="4"/>
      <c r="BI1191" s="4"/>
      <c r="BJ1191" s="4"/>
      <c r="BK1191" s="4"/>
      <c r="BL1191" s="4"/>
      <c r="BM1191" s="4"/>
      <c r="BN1191" s="4"/>
      <c r="BO1191" s="4"/>
      <c r="BP1191" s="4"/>
      <c r="BQ1191" s="4"/>
      <c r="BR1191" s="4"/>
      <c r="BS1191" s="4"/>
      <c r="BT1191" s="4"/>
      <c r="BU1191" s="4"/>
      <c r="BV1191" s="4"/>
      <c r="BW1191" s="4"/>
      <c r="BX1191" s="4"/>
      <c r="BY1191" s="4"/>
      <c r="BZ1191" s="4"/>
      <c r="CA1191" s="4"/>
      <c r="CB1191" s="4"/>
      <c r="CC1191" s="4"/>
      <c r="CD1191" s="4"/>
      <c r="CE1191" s="4"/>
      <c r="CF1191" s="4"/>
      <c r="CG1191" s="4"/>
      <c r="CH1191" s="4"/>
      <c r="CI1191" s="4"/>
      <c r="CJ1191" s="4"/>
      <c r="CK1191" s="4"/>
      <c r="CL1191" s="4"/>
      <c r="CM1191" s="4"/>
      <c r="CN1191" s="4"/>
      <c r="CO1191" s="4"/>
      <c r="CP1191" s="4"/>
      <c r="CQ1191" s="4"/>
      <c r="CR1191" s="4"/>
      <c r="CS1191" s="4"/>
      <c r="CT1191" s="4"/>
      <c r="CU1191" s="4"/>
      <c r="CV1191" s="4"/>
      <c r="CW1191" s="4"/>
      <c r="CX1191" s="4"/>
      <c r="CY1191" s="4"/>
      <c r="CZ1191" s="4"/>
      <c r="DA1191" s="4"/>
      <c r="DB1191" s="4"/>
      <c r="DC1191" s="4"/>
      <c r="DD1191" s="4"/>
      <c r="DE1191" s="4"/>
      <c r="DF1191" s="4"/>
      <c r="DG1191" s="4"/>
      <c r="DH1191" s="4"/>
      <c r="DI1191" s="4"/>
      <c r="DJ1191" s="4"/>
      <c r="DK1191" s="4"/>
      <c r="DL1191" s="4"/>
      <c r="DM1191" s="4"/>
      <c r="DN1191" s="4"/>
      <c r="DO1191" s="4"/>
      <c r="DP1191" s="4"/>
      <c r="DQ1191" s="4"/>
      <c r="DR1191" s="4"/>
      <c r="DS1191" s="4"/>
    </row>
    <row r="1192">
      <c r="A1192" s="9">
        <f>IFERROR(__xludf.DUMMYFUNCTION("""COMPUTED_VALUE"""),45792.0)</f>
        <v>45792</v>
      </c>
      <c r="B1192" s="6" t="str">
        <f>IFERROR(__xludf.DUMMYFUNCTION("""COMPUTED_VALUE"""),"Gasoline")</f>
        <v>Gasoline</v>
      </c>
      <c r="C1192" s="7">
        <f>IFERROR(__xludf.DUMMYFUNCTION("""COMPUTED_VALUE"""),10000.0)</f>
        <v>10000</v>
      </c>
      <c r="D1192" s="6" t="str">
        <f>IFERROR(__xludf.DUMMYFUNCTION("""COMPUTED_VALUE"""),"Car Expenses")</f>
        <v>Car Expenses</v>
      </c>
      <c r="E1192" s="6" t="str">
        <f>IFERROR(__xludf.DUMMYFUNCTION("""COMPUTED_VALUE"""),"Virtual Wallet")</f>
        <v>Virtual Wallet</v>
      </c>
      <c r="F1192" s="6" t="s">
        <v>9</v>
      </c>
      <c r="G1192" s="8" t="str">
        <f t="shared" si="1"/>
        <v>202505</v>
      </c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  <c r="AH1192" s="4"/>
      <c r="AI1192" s="4"/>
      <c r="AJ1192" s="4"/>
      <c r="AK1192" s="4"/>
      <c r="AL1192" s="4"/>
      <c r="AM1192" s="4"/>
      <c r="AN1192" s="4"/>
      <c r="AO1192" s="4"/>
      <c r="AP1192" s="4"/>
      <c r="AQ1192" s="4"/>
      <c r="AR1192" s="4"/>
      <c r="AS1192" s="4"/>
      <c r="AT1192" s="4"/>
      <c r="AU1192" s="4"/>
      <c r="AV1192" s="4"/>
      <c r="AW1192" s="4"/>
      <c r="AX1192" s="4"/>
      <c r="AY1192" s="4"/>
      <c r="AZ1192" s="4"/>
      <c r="BA1192" s="4"/>
      <c r="BB1192" s="4"/>
      <c r="BC1192" s="4"/>
      <c r="BD1192" s="4"/>
      <c r="BE1192" s="4"/>
      <c r="BF1192" s="4"/>
      <c r="BG1192" s="4"/>
      <c r="BH1192" s="4"/>
      <c r="BI1192" s="4"/>
      <c r="BJ1192" s="4"/>
      <c r="BK1192" s="4"/>
      <c r="BL1192" s="4"/>
      <c r="BM1192" s="4"/>
      <c r="BN1192" s="4"/>
      <c r="BO1192" s="4"/>
      <c r="BP1192" s="4"/>
      <c r="BQ1192" s="4"/>
      <c r="BR1192" s="4"/>
      <c r="BS1192" s="4"/>
      <c r="BT1192" s="4"/>
      <c r="BU1192" s="4"/>
      <c r="BV1192" s="4"/>
      <c r="BW1192" s="4"/>
      <c r="BX1192" s="4"/>
      <c r="BY1192" s="4"/>
      <c r="BZ1192" s="4"/>
      <c r="CA1192" s="4"/>
      <c r="CB1192" s="4"/>
      <c r="CC1192" s="4"/>
      <c r="CD1192" s="4"/>
      <c r="CE1192" s="4"/>
      <c r="CF1192" s="4"/>
      <c r="CG1192" s="4"/>
      <c r="CH1192" s="4"/>
      <c r="CI1192" s="4"/>
      <c r="CJ1192" s="4"/>
      <c r="CK1192" s="4"/>
      <c r="CL1192" s="4"/>
      <c r="CM1192" s="4"/>
      <c r="CN1192" s="4"/>
      <c r="CO1192" s="4"/>
      <c r="CP1192" s="4"/>
      <c r="CQ1192" s="4"/>
      <c r="CR1192" s="4"/>
      <c r="CS1192" s="4"/>
      <c r="CT1192" s="4"/>
      <c r="CU1192" s="4"/>
      <c r="CV1192" s="4"/>
      <c r="CW1192" s="4"/>
      <c r="CX1192" s="4"/>
      <c r="CY1192" s="4"/>
      <c r="CZ1192" s="4"/>
      <c r="DA1192" s="4"/>
      <c r="DB1192" s="4"/>
      <c r="DC1192" s="4"/>
      <c r="DD1192" s="4"/>
      <c r="DE1192" s="4"/>
      <c r="DF1192" s="4"/>
      <c r="DG1192" s="4"/>
      <c r="DH1192" s="4"/>
      <c r="DI1192" s="4"/>
      <c r="DJ1192" s="4"/>
      <c r="DK1192" s="4"/>
      <c r="DL1192" s="4"/>
      <c r="DM1192" s="4"/>
      <c r="DN1192" s="4"/>
      <c r="DO1192" s="4"/>
      <c r="DP1192" s="4"/>
      <c r="DQ1192" s="4"/>
      <c r="DR1192" s="4"/>
      <c r="DS1192" s="4"/>
    </row>
    <row r="1193">
      <c r="A1193" s="9">
        <f>IFERROR(__xludf.DUMMYFUNCTION("""COMPUTED_VALUE"""),45793.0)</f>
        <v>45793</v>
      </c>
      <c r="B1193" s="6" t="str">
        <f>IFERROR(__xludf.DUMMYFUNCTION("""COMPUTED_VALUE"""),"Groceries")</f>
        <v>Groceries</v>
      </c>
      <c r="C1193" s="7">
        <f>IFERROR(__xludf.DUMMYFUNCTION("""COMPUTED_VALUE"""),3485.0)</f>
        <v>3485</v>
      </c>
      <c r="D1193" s="6" t="str">
        <f>IFERROR(__xludf.DUMMYFUNCTION("""COMPUTED_VALUE"""),"Groceries")</f>
        <v>Groceries</v>
      </c>
      <c r="E1193" s="6" t="str">
        <f>IFERROR(__xludf.DUMMYFUNCTION("""COMPUTED_VALUE"""),"Virtual Wallet")</f>
        <v>Virtual Wallet</v>
      </c>
      <c r="F1193" s="6" t="s">
        <v>7</v>
      </c>
      <c r="G1193" s="8" t="str">
        <f t="shared" si="1"/>
        <v>202505</v>
      </c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  <c r="AH1193" s="4"/>
      <c r="AI1193" s="4"/>
      <c r="AJ1193" s="4"/>
      <c r="AK1193" s="4"/>
      <c r="AL1193" s="4"/>
      <c r="AM1193" s="4"/>
      <c r="AN1193" s="4"/>
      <c r="AO1193" s="4"/>
      <c r="AP1193" s="4"/>
      <c r="AQ1193" s="4"/>
      <c r="AR1193" s="4"/>
      <c r="AS1193" s="4"/>
      <c r="AT1193" s="4"/>
      <c r="AU1193" s="4"/>
      <c r="AV1193" s="4"/>
      <c r="AW1193" s="4"/>
      <c r="AX1193" s="4"/>
      <c r="AY1193" s="4"/>
      <c r="AZ1193" s="4"/>
      <c r="BA1193" s="4"/>
      <c r="BB1193" s="4"/>
      <c r="BC1193" s="4"/>
      <c r="BD1193" s="4"/>
      <c r="BE1193" s="4"/>
      <c r="BF1193" s="4"/>
      <c r="BG1193" s="4"/>
      <c r="BH1193" s="4"/>
      <c r="BI1193" s="4"/>
      <c r="BJ1193" s="4"/>
      <c r="BK1193" s="4"/>
      <c r="BL1193" s="4"/>
      <c r="BM1193" s="4"/>
      <c r="BN1193" s="4"/>
      <c r="BO1193" s="4"/>
      <c r="BP1193" s="4"/>
      <c r="BQ1193" s="4"/>
      <c r="BR1193" s="4"/>
      <c r="BS1193" s="4"/>
      <c r="BT1193" s="4"/>
      <c r="BU1193" s="4"/>
      <c r="BV1193" s="4"/>
      <c r="BW1193" s="4"/>
      <c r="BX1193" s="4"/>
      <c r="BY1193" s="4"/>
      <c r="BZ1193" s="4"/>
      <c r="CA1193" s="4"/>
      <c r="CB1193" s="4"/>
      <c r="CC1193" s="4"/>
      <c r="CD1193" s="4"/>
      <c r="CE1193" s="4"/>
      <c r="CF1193" s="4"/>
      <c r="CG1193" s="4"/>
      <c r="CH1193" s="4"/>
      <c r="CI1193" s="4"/>
      <c r="CJ1193" s="4"/>
      <c r="CK1193" s="4"/>
      <c r="CL1193" s="4"/>
      <c r="CM1193" s="4"/>
      <c r="CN1193" s="4"/>
      <c r="CO1193" s="4"/>
      <c r="CP1193" s="4"/>
      <c r="CQ1193" s="4"/>
      <c r="CR1193" s="4"/>
      <c r="CS1193" s="4"/>
      <c r="CT1193" s="4"/>
      <c r="CU1193" s="4"/>
      <c r="CV1193" s="4"/>
      <c r="CW1193" s="4"/>
      <c r="CX1193" s="4"/>
      <c r="CY1193" s="4"/>
      <c r="CZ1193" s="4"/>
      <c r="DA1193" s="4"/>
      <c r="DB1193" s="4"/>
      <c r="DC1193" s="4"/>
      <c r="DD1193" s="4"/>
      <c r="DE1193" s="4"/>
      <c r="DF1193" s="4"/>
      <c r="DG1193" s="4"/>
      <c r="DH1193" s="4"/>
      <c r="DI1193" s="4"/>
      <c r="DJ1193" s="4"/>
      <c r="DK1193" s="4"/>
      <c r="DL1193" s="4"/>
      <c r="DM1193" s="4"/>
      <c r="DN1193" s="4"/>
      <c r="DO1193" s="4"/>
      <c r="DP1193" s="4"/>
      <c r="DQ1193" s="4"/>
      <c r="DR1193" s="4"/>
      <c r="DS1193" s="4"/>
    </row>
    <row r="1194">
      <c r="A1194" s="9">
        <f>IFERROR(__xludf.DUMMYFUNCTION("""COMPUTED_VALUE"""),45793.0)</f>
        <v>45793</v>
      </c>
      <c r="B1194" s="6" t="str">
        <f>IFERROR(__xludf.DUMMYFUNCTION("""COMPUTED_VALUE"""),"Pharmacy")</f>
        <v>Pharmacy</v>
      </c>
      <c r="C1194" s="7">
        <f>IFERROR(__xludf.DUMMYFUNCTION("""COMPUTED_VALUE"""),20000.0)</f>
        <v>20000</v>
      </c>
      <c r="D1194" s="6" t="str">
        <f>IFERROR(__xludf.DUMMYFUNCTION("""COMPUTED_VALUE"""),"Personal Care")</f>
        <v>Personal Care</v>
      </c>
      <c r="E1194" s="6" t="str">
        <f>IFERROR(__xludf.DUMMYFUNCTION("""COMPUTED_VALUE"""),"Virtual Wallet")</f>
        <v>Virtual Wallet</v>
      </c>
      <c r="F1194" s="6" t="s">
        <v>16</v>
      </c>
      <c r="G1194" s="8" t="str">
        <f t="shared" si="1"/>
        <v>202505</v>
      </c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  <c r="AH1194" s="4"/>
      <c r="AI1194" s="4"/>
      <c r="AJ1194" s="4"/>
      <c r="AK1194" s="4"/>
      <c r="AL1194" s="4"/>
      <c r="AM1194" s="4"/>
      <c r="AN1194" s="4"/>
      <c r="AO1194" s="4"/>
      <c r="AP1194" s="4"/>
      <c r="AQ1194" s="4"/>
      <c r="AR1194" s="4"/>
      <c r="AS1194" s="4"/>
      <c r="AT1194" s="4"/>
      <c r="AU1194" s="4"/>
      <c r="AV1194" s="4"/>
      <c r="AW1194" s="4"/>
      <c r="AX1194" s="4"/>
      <c r="AY1194" s="4"/>
      <c r="AZ1194" s="4"/>
      <c r="BA1194" s="4"/>
      <c r="BB1194" s="4"/>
      <c r="BC1194" s="4"/>
      <c r="BD1194" s="4"/>
      <c r="BE1194" s="4"/>
      <c r="BF1194" s="4"/>
      <c r="BG1194" s="4"/>
      <c r="BH1194" s="4"/>
      <c r="BI1194" s="4"/>
      <c r="BJ1194" s="4"/>
      <c r="BK1194" s="4"/>
      <c r="BL1194" s="4"/>
      <c r="BM1194" s="4"/>
      <c r="BN1194" s="4"/>
      <c r="BO1194" s="4"/>
      <c r="BP1194" s="4"/>
      <c r="BQ1194" s="4"/>
      <c r="BR1194" s="4"/>
      <c r="BS1194" s="4"/>
      <c r="BT1194" s="4"/>
      <c r="BU1194" s="4"/>
      <c r="BV1194" s="4"/>
      <c r="BW1194" s="4"/>
      <c r="BX1194" s="4"/>
      <c r="BY1194" s="4"/>
      <c r="BZ1194" s="4"/>
      <c r="CA1194" s="4"/>
      <c r="CB1194" s="4"/>
      <c r="CC1194" s="4"/>
      <c r="CD1194" s="4"/>
      <c r="CE1194" s="4"/>
      <c r="CF1194" s="4"/>
      <c r="CG1194" s="4"/>
      <c r="CH1194" s="4"/>
      <c r="CI1194" s="4"/>
      <c r="CJ1194" s="4"/>
      <c r="CK1194" s="4"/>
      <c r="CL1194" s="4"/>
      <c r="CM1194" s="4"/>
      <c r="CN1194" s="4"/>
      <c r="CO1194" s="4"/>
      <c r="CP1194" s="4"/>
      <c r="CQ1194" s="4"/>
      <c r="CR1194" s="4"/>
      <c r="CS1194" s="4"/>
      <c r="CT1194" s="4"/>
      <c r="CU1194" s="4"/>
      <c r="CV1194" s="4"/>
      <c r="CW1194" s="4"/>
      <c r="CX1194" s="4"/>
      <c r="CY1194" s="4"/>
      <c r="CZ1194" s="4"/>
      <c r="DA1194" s="4"/>
      <c r="DB1194" s="4"/>
      <c r="DC1194" s="4"/>
      <c r="DD1194" s="4"/>
      <c r="DE1194" s="4"/>
      <c r="DF1194" s="4"/>
      <c r="DG1194" s="4"/>
      <c r="DH1194" s="4"/>
      <c r="DI1194" s="4"/>
      <c r="DJ1194" s="4"/>
      <c r="DK1194" s="4"/>
      <c r="DL1194" s="4"/>
      <c r="DM1194" s="4"/>
      <c r="DN1194" s="4"/>
      <c r="DO1194" s="4"/>
      <c r="DP1194" s="4"/>
      <c r="DQ1194" s="4"/>
      <c r="DR1194" s="4"/>
      <c r="DS1194" s="4"/>
    </row>
    <row r="1195">
      <c r="A1195" s="9">
        <f>IFERROR(__xludf.DUMMYFUNCTION("""COMPUTED_VALUE"""),45793.0)</f>
        <v>45793</v>
      </c>
      <c r="B1195" s="6" t="str">
        <f>IFERROR(__xludf.DUMMYFUNCTION("""COMPUTED_VALUE"""),"Pharmacy")</f>
        <v>Pharmacy</v>
      </c>
      <c r="C1195" s="7">
        <f>IFERROR(__xludf.DUMMYFUNCTION("""COMPUTED_VALUE"""),21000.0)</f>
        <v>21000</v>
      </c>
      <c r="D1195" s="6" t="str">
        <f>IFERROR(__xludf.DUMMYFUNCTION("""COMPUTED_VALUE"""),"Gifts")</f>
        <v>Gifts</v>
      </c>
      <c r="E1195" s="6" t="str">
        <f>IFERROR(__xludf.DUMMYFUNCTION("""COMPUTED_VALUE"""),"Virtual Wallet")</f>
        <v>Virtual Wallet</v>
      </c>
      <c r="F1195" s="6"/>
      <c r="G1195" s="8" t="str">
        <f t="shared" si="1"/>
        <v>202505</v>
      </c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  <c r="AG1195" s="4"/>
      <c r="AH1195" s="4"/>
      <c r="AI1195" s="4"/>
      <c r="AJ1195" s="4"/>
      <c r="AK1195" s="4"/>
      <c r="AL1195" s="4"/>
      <c r="AM1195" s="4"/>
      <c r="AN1195" s="4"/>
      <c r="AO1195" s="4"/>
      <c r="AP1195" s="4"/>
      <c r="AQ1195" s="4"/>
      <c r="AR1195" s="4"/>
      <c r="AS1195" s="4"/>
      <c r="AT1195" s="4"/>
      <c r="AU1195" s="4"/>
      <c r="AV1195" s="4"/>
      <c r="AW1195" s="4"/>
      <c r="AX1195" s="4"/>
      <c r="AY1195" s="4"/>
      <c r="AZ1195" s="4"/>
      <c r="BA1195" s="4"/>
      <c r="BB1195" s="4"/>
      <c r="BC1195" s="4"/>
      <c r="BD1195" s="4"/>
      <c r="BE1195" s="4"/>
      <c r="BF1195" s="4"/>
      <c r="BG1195" s="4"/>
      <c r="BH1195" s="4"/>
      <c r="BI1195" s="4"/>
      <c r="BJ1195" s="4"/>
      <c r="BK1195" s="4"/>
      <c r="BL1195" s="4"/>
      <c r="BM1195" s="4"/>
      <c r="BN1195" s="4"/>
      <c r="BO1195" s="4"/>
      <c r="BP1195" s="4"/>
      <c r="BQ1195" s="4"/>
      <c r="BR1195" s="4"/>
      <c r="BS1195" s="4"/>
      <c r="BT1195" s="4"/>
      <c r="BU1195" s="4"/>
      <c r="BV1195" s="4"/>
      <c r="BW1195" s="4"/>
      <c r="BX1195" s="4"/>
      <c r="BY1195" s="4"/>
      <c r="BZ1195" s="4"/>
      <c r="CA1195" s="4"/>
      <c r="CB1195" s="4"/>
      <c r="CC1195" s="4"/>
      <c r="CD1195" s="4"/>
      <c r="CE1195" s="4"/>
      <c r="CF1195" s="4"/>
      <c r="CG1195" s="4"/>
      <c r="CH1195" s="4"/>
      <c r="CI1195" s="4"/>
      <c r="CJ1195" s="4"/>
      <c r="CK1195" s="4"/>
      <c r="CL1195" s="4"/>
      <c r="CM1195" s="4"/>
      <c r="CN1195" s="4"/>
      <c r="CO1195" s="4"/>
      <c r="CP1195" s="4"/>
      <c r="CQ1195" s="4"/>
      <c r="CR1195" s="4"/>
      <c r="CS1195" s="4"/>
      <c r="CT1195" s="4"/>
      <c r="CU1195" s="4"/>
      <c r="CV1195" s="4"/>
      <c r="CW1195" s="4"/>
      <c r="CX1195" s="4"/>
      <c r="CY1195" s="4"/>
      <c r="CZ1195" s="4"/>
      <c r="DA1195" s="4"/>
      <c r="DB1195" s="4"/>
      <c r="DC1195" s="4"/>
      <c r="DD1195" s="4"/>
      <c r="DE1195" s="4"/>
      <c r="DF1195" s="4"/>
      <c r="DG1195" s="4"/>
      <c r="DH1195" s="4"/>
      <c r="DI1195" s="4"/>
      <c r="DJ1195" s="4"/>
      <c r="DK1195" s="4"/>
      <c r="DL1195" s="4"/>
      <c r="DM1195" s="4"/>
      <c r="DN1195" s="4"/>
      <c r="DO1195" s="4"/>
      <c r="DP1195" s="4"/>
      <c r="DQ1195" s="4"/>
      <c r="DR1195" s="4"/>
      <c r="DS1195" s="4"/>
    </row>
    <row r="1196">
      <c r="A1196" s="9">
        <f>IFERROR(__xludf.DUMMYFUNCTION("""COMPUTED_VALUE"""),45794.0)</f>
        <v>45794</v>
      </c>
      <c r="B1196" s="6" t="str">
        <f>IFERROR(__xludf.DUMMYFUNCTION("""COMPUTED_VALUE"""),"Clothing")</f>
        <v>Clothing</v>
      </c>
      <c r="C1196" s="7">
        <f>IFERROR(__xludf.DUMMYFUNCTION("""COMPUTED_VALUE"""),40950.0)</f>
        <v>40950</v>
      </c>
      <c r="D1196" s="6" t="str">
        <f>IFERROR(__xludf.DUMMYFUNCTION("""COMPUTED_VALUE"""),"Clothing")</f>
        <v>Clothing</v>
      </c>
      <c r="E1196" s="6" t="str">
        <f>IFERROR(__xludf.DUMMYFUNCTION("""COMPUTED_VALUE"""),"Credit Card")</f>
        <v>Credit Card</v>
      </c>
      <c r="F1196" s="6" t="s">
        <v>10</v>
      </c>
      <c r="G1196" s="8" t="str">
        <f t="shared" si="1"/>
        <v>202505</v>
      </c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  <c r="AG1196" s="4"/>
      <c r="AH1196" s="4"/>
      <c r="AI1196" s="4"/>
      <c r="AJ1196" s="4"/>
      <c r="AK1196" s="4"/>
      <c r="AL1196" s="4"/>
      <c r="AM1196" s="4"/>
      <c r="AN1196" s="4"/>
      <c r="AO1196" s="4"/>
      <c r="AP1196" s="4"/>
      <c r="AQ1196" s="4"/>
      <c r="AR1196" s="4"/>
      <c r="AS1196" s="4"/>
      <c r="AT1196" s="4"/>
      <c r="AU1196" s="4"/>
      <c r="AV1196" s="4"/>
      <c r="AW1196" s="4"/>
      <c r="AX1196" s="4"/>
      <c r="AY1196" s="4"/>
      <c r="AZ1196" s="4"/>
      <c r="BA1196" s="4"/>
      <c r="BB1196" s="4"/>
      <c r="BC1196" s="4"/>
      <c r="BD1196" s="4"/>
      <c r="BE1196" s="4"/>
      <c r="BF1196" s="4"/>
      <c r="BG1196" s="4"/>
      <c r="BH1196" s="4"/>
      <c r="BI1196" s="4"/>
      <c r="BJ1196" s="4"/>
      <c r="BK1196" s="4"/>
      <c r="BL1196" s="4"/>
      <c r="BM1196" s="4"/>
      <c r="BN1196" s="4"/>
      <c r="BO1196" s="4"/>
      <c r="BP1196" s="4"/>
      <c r="BQ1196" s="4"/>
      <c r="BR1196" s="4"/>
      <c r="BS1196" s="4"/>
      <c r="BT1196" s="4"/>
      <c r="BU1196" s="4"/>
      <c r="BV1196" s="4"/>
      <c r="BW1196" s="4"/>
      <c r="BX1196" s="4"/>
      <c r="BY1196" s="4"/>
      <c r="BZ1196" s="4"/>
      <c r="CA1196" s="4"/>
      <c r="CB1196" s="4"/>
      <c r="CC1196" s="4"/>
      <c r="CD1196" s="4"/>
      <c r="CE1196" s="4"/>
      <c r="CF1196" s="4"/>
      <c r="CG1196" s="4"/>
      <c r="CH1196" s="4"/>
      <c r="CI1196" s="4"/>
      <c r="CJ1196" s="4"/>
      <c r="CK1196" s="4"/>
      <c r="CL1196" s="4"/>
      <c r="CM1196" s="4"/>
      <c r="CN1196" s="4"/>
      <c r="CO1196" s="4"/>
      <c r="CP1196" s="4"/>
      <c r="CQ1196" s="4"/>
      <c r="CR1196" s="4"/>
      <c r="CS1196" s="4"/>
      <c r="CT1196" s="4"/>
      <c r="CU1196" s="4"/>
      <c r="CV1196" s="4"/>
      <c r="CW1196" s="4"/>
      <c r="CX1196" s="4"/>
      <c r="CY1196" s="4"/>
      <c r="CZ1196" s="4"/>
      <c r="DA1196" s="4"/>
      <c r="DB1196" s="4"/>
      <c r="DC1196" s="4"/>
      <c r="DD1196" s="4"/>
      <c r="DE1196" s="4"/>
      <c r="DF1196" s="4"/>
      <c r="DG1196" s="4"/>
      <c r="DH1196" s="4"/>
      <c r="DI1196" s="4"/>
      <c r="DJ1196" s="4"/>
      <c r="DK1196" s="4"/>
      <c r="DL1196" s="4"/>
      <c r="DM1196" s="4"/>
      <c r="DN1196" s="4"/>
      <c r="DO1196" s="4"/>
      <c r="DP1196" s="4"/>
      <c r="DQ1196" s="4"/>
      <c r="DR1196" s="4"/>
      <c r="DS1196" s="4"/>
    </row>
    <row r="1197">
      <c r="A1197" s="9">
        <f>IFERROR(__xludf.DUMMYFUNCTION("""COMPUTED_VALUE"""),45794.0)</f>
        <v>45794</v>
      </c>
      <c r="B1197" s="6" t="str">
        <f>IFERROR(__xludf.DUMMYFUNCTION("""COMPUTED_VALUE"""),"Clothing")</f>
        <v>Clothing</v>
      </c>
      <c r="C1197" s="7">
        <f>IFERROR(__xludf.DUMMYFUNCTION("""COMPUTED_VALUE"""),38037.0)</f>
        <v>38037</v>
      </c>
      <c r="D1197" s="6" t="str">
        <f>IFERROR(__xludf.DUMMYFUNCTION("""COMPUTED_VALUE"""),"Clothing")</f>
        <v>Clothing</v>
      </c>
      <c r="E1197" s="6" t="str">
        <f>IFERROR(__xludf.DUMMYFUNCTION("""COMPUTED_VALUE"""),"Credit Card")</f>
        <v>Credit Card</v>
      </c>
      <c r="F1197" s="6" t="s">
        <v>10</v>
      </c>
      <c r="G1197" s="8" t="str">
        <f t="shared" si="1"/>
        <v>202505</v>
      </c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  <c r="AH1197" s="4"/>
      <c r="AI1197" s="4"/>
      <c r="AJ1197" s="4"/>
      <c r="AK1197" s="4"/>
      <c r="AL1197" s="4"/>
      <c r="AM1197" s="4"/>
      <c r="AN1197" s="4"/>
      <c r="AO1197" s="4"/>
      <c r="AP1197" s="4"/>
      <c r="AQ1197" s="4"/>
      <c r="AR1197" s="4"/>
      <c r="AS1197" s="4"/>
      <c r="AT1197" s="4"/>
      <c r="AU1197" s="4"/>
      <c r="AV1197" s="4"/>
      <c r="AW1197" s="4"/>
      <c r="AX1197" s="4"/>
      <c r="AY1197" s="4"/>
      <c r="AZ1197" s="4"/>
      <c r="BA1197" s="4"/>
      <c r="BB1197" s="4"/>
      <c r="BC1197" s="4"/>
      <c r="BD1197" s="4"/>
      <c r="BE1197" s="4"/>
      <c r="BF1197" s="4"/>
      <c r="BG1197" s="4"/>
      <c r="BH1197" s="4"/>
      <c r="BI1197" s="4"/>
      <c r="BJ1197" s="4"/>
      <c r="BK1197" s="4"/>
      <c r="BL1197" s="4"/>
      <c r="BM1197" s="4"/>
      <c r="BN1197" s="4"/>
      <c r="BO1197" s="4"/>
      <c r="BP1197" s="4"/>
      <c r="BQ1197" s="4"/>
      <c r="BR1197" s="4"/>
      <c r="BS1197" s="4"/>
      <c r="BT1197" s="4"/>
      <c r="BU1197" s="4"/>
      <c r="BV1197" s="4"/>
      <c r="BW1197" s="4"/>
      <c r="BX1197" s="4"/>
      <c r="BY1197" s="4"/>
      <c r="BZ1197" s="4"/>
      <c r="CA1197" s="4"/>
      <c r="CB1197" s="4"/>
      <c r="CC1197" s="4"/>
      <c r="CD1197" s="4"/>
      <c r="CE1197" s="4"/>
      <c r="CF1197" s="4"/>
      <c r="CG1197" s="4"/>
      <c r="CH1197" s="4"/>
      <c r="CI1197" s="4"/>
      <c r="CJ1197" s="4"/>
      <c r="CK1197" s="4"/>
      <c r="CL1197" s="4"/>
      <c r="CM1197" s="4"/>
      <c r="CN1197" s="4"/>
      <c r="CO1197" s="4"/>
      <c r="CP1197" s="4"/>
      <c r="CQ1197" s="4"/>
      <c r="CR1197" s="4"/>
      <c r="CS1197" s="4"/>
      <c r="CT1197" s="4"/>
      <c r="CU1197" s="4"/>
      <c r="CV1197" s="4"/>
      <c r="CW1197" s="4"/>
      <c r="CX1197" s="4"/>
      <c r="CY1197" s="4"/>
      <c r="CZ1197" s="4"/>
      <c r="DA1197" s="4"/>
      <c r="DB1197" s="4"/>
      <c r="DC1197" s="4"/>
      <c r="DD1197" s="4"/>
      <c r="DE1197" s="4"/>
      <c r="DF1197" s="4"/>
      <c r="DG1197" s="4"/>
      <c r="DH1197" s="4"/>
      <c r="DI1197" s="4"/>
      <c r="DJ1197" s="4"/>
      <c r="DK1197" s="4"/>
      <c r="DL1197" s="4"/>
      <c r="DM1197" s="4"/>
      <c r="DN1197" s="4"/>
      <c r="DO1197" s="4"/>
      <c r="DP1197" s="4"/>
      <c r="DQ1197" s="4"/>
      <c r="DR1197" s="4"/>
      <c r="DS1197" s="4"/>
    </row>
    <row r="1198">
      <c r="A1198" s="9">
        <f>IFERROR(__xludf.DUMMYFUNCTION("""COMPUTED_VALUE"""),45794.0)</f>
        <v>45794</v>
      </c>
      <c r="B1198" s="6" t="str">
        <f>IFERROR(__xludf.DUMMYFUNCTION("""COMPUTED_VALUE"""),"Groceries")</f>
        <v>Groceries</v>
      </c>
      <c r="C1198" s="7">
        <f>IFERROR(__xludf.DUMMYFUNCTION("""COMPUTED_VALUE"""),7895.0)</f>
        <v>7895</v>
      </c>
      <c r="D1198" s="6" t="str">
        <f>IFERROR(__xludf.DUMMYFUNCTION("""COMPUTED_VALUE"""),"Groceries")</f>
        <v>Groceries</v>
      </c>
      <c r="E1198" s="6" t="str">
        <f>IFERROR(__xludf.DUMMYFUNCTION("""COMPUTED_VALUE"""),"Virtual Wallet")</f>
        <v>Virtual Wallet</v>
      </c>
      <c r="F1198" s="6" t="s">
        <v>7</v>
      </c>
      <c r="G1198" s="8" t="str">
        <f t="shared" si="1"/>
        <v>202505</v>
      </c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  <c r="AG1198" s="4"/>
      <c r="AH1198" s="4"/>
      <c r="AI1198" s="4"/>
      <c r="AJ1198" s="4"/>
      <c r="AK1198" s="4"/>
      <c r="AL1198" s="4"/>
      <c r="AM1198" s="4"/>
      <c r="AN1198" s="4"/>
      <c r="AO1198" s="4"/>
      <c r="AP1198" s="4"/>
      <c r="AQ1198" s="4"/>
      <c r="AR1198" s="4"/>
      <c r="AS1198" s="4"/>
      <c r="AT1198" s="4"/>
      <c r="AU1198" s="4"/>
      <c r="AV1198" s="4"/>
      <c r="AW1198" s="4"/>
      <c r="AX1198" s="4"/>
      <c r="AY1198" s="4"/>
      <c r="AZ1198" s="4"/>
      <c r="BA1198" s="4"/>
      <c r="BB1198" s="4"/>
      <c r="BC1198" s="4"/>
      <c r="BD1198" s="4"/>
      <c r="BE1198" s="4"/>
      <c r="BF1198" s="4"/>
      <c r="BG1198" s="4"/>
      <c r="BH1198" s="4"/>
      <c r="BI1198" s="4"/>
      <c r="BJ1198" s="4"/>
      <c r="BK1198" s="4"/>
      <c r="BL1198" s="4"/>
      <c r="BM1198" s="4"/>
      <c r="BN1198" s="4"/>
      <c r="BO1198" s="4"/>
      <c r="BP1198" s="4"/>
      <c r="BQ1198" s="4"/>
      <c r="BR1198" s="4"/>
      <c r="BS1198" s="4"/>
      <c r="BT1198" s="4"/>
      <c r="BU1198" s="4"/>
      <c r="BV1198" s="4"/>
      <c r="BW1198" s="4"/>
      <c r="BX1198" s="4"/>
      <c r="BY1198" s="4"/>
      <c r="BZ1198" s="4"/>
      <c r="CA1198" s="4"/>
      <c r="CB1198" s="4"/>
      <c r="CC1198" s="4"/>
      <c r="CD1198" s="4"/>
      <c r="CE1198" s="4"/>
      <c r="CF1198" s="4"/>
      <c r="CG1198" s="4"/>
      <c r="CH1198" s="4"/>
      <c r="CI1198" s="4"/>
      <c r="CJ1198" s="4"/>
      <c r="CK1198" s="4"/>
      <c r="CL1198" s="4"/>
      <c r="CM1198" s="4"/>
      <c r="CN1198" s="4"/>
      <c r="CO1198" s="4"/>
      <c r="CP1198" s="4"/>
      <c r="CQ1198" s="4"/>
      <c r="CR1198" s="4"/>
      <c r="CS1198" s="4"/>
      <c r="CT1198" s="4"/>
      <c r="CU1198" s="4"/>
      <c r="CV1198" s="4"/>
      <c r="CW1198" s="4"/>
      <c r="CX1198" s="4"/>
      <c r="CY1198" s="4"/>
      <c r="CZ1198" s="4"/>
      <c r="DA1198" s="4"/>
      <c r="DB1198" s="4"/>
      <c r="DC1198" s="4"/>
      <c r="DD1198" s="4"/>
      <c r="DE1198" s="4"/>
      <c r="DF1198" s="4"/>
      <c r="DG1198" s="4"/>
      <c r="DH1198" s="4"/>
      <c r="DI1198" s="4"/>
      <c r="DJ1198" s="4"/>
      <c r="DK1198" s="4"/>
      <c r="DL1198" s="4"/>
      <c r="DM1198" s="4"/>
      <c r="DN1198" s="4"/>
      <c r="DO1198" s="4"/>
      <c r="DP1198" s="4"/>
      <c r="DQ1198" s="4"/>
      <c r="DR1198" s="4"/>
      <c r="DS1198" s="4"/>
    </row>
    <row r="1199">
      <c r="A1199" s="9">
        <f>IFERROR(__xludf.DUMMYFUNCTION("""COMPUTED_VALUE"""),45794.0)</f>
        <v>45794</v>
      </c>
      <c r="B1199" s="6" t="str">
        <f>IFERROR(__xludf.DUMMYFUNCTION("""COMPUTED_VALUE"""),"Groceries")</f>
        <v>Groceries</v>
      </c>
      <c r="C1199" s="7">
        <f>IFERROR(__xludf.DUMMYFUNCTION("""COMPUTED_VALUE"""),26550.0)</f>
        <v>26550</v>
      </c>
      <c r="D1199" s="6" t="str">
        <f>IFERROR(__xludf.DUMMYFUNCTION("""COMPUTED_VALUE"""),"Groceries")</f>
        <v>Groceries</v>
      </c>
      <c r="E1199" s="6" t="str">
        <f>IFERROR(__xludf.DUMMYFUNCTION("""COMPUTED_VALUE"""),"Virtual Wallet")</f>
        <v>Virtual Wallet</v>
      </c>
      <c r="F1199" s="6" t="s">
        <v>7</v>
      </c>
      <c r="G1199" s="8" t="str">
        <f t="shared" si="1"/>
        <v>202505</v>
      </c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  <c r="AG1199" s="4"/>
      <c r="AH1199" s="4"/>
      <c r="AI1199" s="4"/>
      <c r="AJ1199" s="4"/>
      <c r="AK1199" s="4"/>
      <c r="AL1199" s="4"/>
      <c r="AM1199" s="4"/>
      <c r="AN1199" s="4"/>
      <c r="AO1199" s="4"/>
      <c r="AP1199" s="4"/>
      <c r="AQ1199" s="4"/>
      <c r="AR1199" s="4"/>
      <c r="AS1199" s="4"/>
      <c r="AT1199" s="4"/>
      <c r="AU1199" s="4"/>
      <c r="AV1199" s="4"/>
      <c r="AW1199" s="4"/>
      <c r="AX1199" s="4"/>
      <c r="AY1199" s="4"/>
      <c r="AZ1199" s="4"/>
      <c r="BA1199" s="4"/>
      <c r="BB1199" s="4"/>
      <c r="BC1199" s="4"/>
      <c r="BD1199" s="4"/>
      <c r="BE1199" s="4"/>
      <c r="BF1199" s="4"/>
      <c r="BG1199" s="4"/>
      <c r="BH1199" s="4"/>
      <c r="BI1199" s="4"/>
      <c r="BJ1199" s="4"/>
      <c r="BK1199" s="4"/>
      <c r="BL1199" s="4"/>
      <c r="BM1199" s="4"/>
      <c r="BN1199" s="4"/>
      <c r="BO1199" s="4"/>
      <c r="BP1199" s="4"/>
      <c r="BQ1199" s="4"/>
      <c r="BR1199" s="4"/>
      <c r="BS1199" s="4"/>
      <c r="BT1199" s="4"/>
      <c r="BU1199" s="4"/>
      <c r="BV1199" s="4"/>
      <c r="BW1199" s="4"/>
      <c r="BX1199" s="4"/>
      <c r="BY1199" s="4"/>
      <c r="BZ1199" s="4"/>
      <c r="CA1199" s="4"/>
      <c r="CB1199" s="4"/>
      <c r="CC1199" s="4"/>
      <c r="CD1199" s="4"/>
      <c r="CE1199" s="4"/>
      <c r="CF1199" s="4"/>
      <c r="CG1199" s="4"/>
      <c r="CH1199" s="4"/>
      <c r="CI1199" s="4"/>
      <c r="CJ1199" s="4"/>
      <c r="CK1199" s="4"/>
      <c r="CL1199" s="4"/>
      <c r="CM1199" s="4"/>
      <c r="CN1199" s="4"/>
      <c r="CO1199" s="4"/>
      <c r="CP1199" s="4"/>
      <c r="CQ1199" s="4"/>
      <c r="CR1199" s="4"/>
      <c r="CS1199" s="4"/>
      <c r="CT1199" s="4"/>
      <c r="CU1199" s="4"/>
      <c r="CV1199" s="4"/>
      <c r="CW1199" s="4"/>
      <c r="CX1199" s="4"/>
      <c r="CY1199" s="4"/>
      <c r="CZ1199" s="4"/>
      <c r="DA1199" s="4"/>
      <c r="DB1199" s="4"/>
      <c r="DC1199" s="4"/>
      <c r="DD1199" s="4"/>
      <c r="DE1199" s="4"/>
      <c r="DF1199" s="4"/>
      <c r="DG1199" s="4"/>
      <c r="DH1199" s="4"/>
      <c r="DI1199" s="4"/>
      <c r="DJ1199" s="4"/>
      <c r="DK1199" s="4"/>
      <c r="DL1199" s="4"/>
      <c r="DM1199" s="4"/>
      <c r="DN1199" s="4"/>
      <c r="DO1199" s="4"/>
      <c r="DP1199" s="4"/>
      <c r="DQ1199" s="4"/>
      <c r="DR1199" s="4"/>
      <c r="DS1199" s="4"/>
    </row>
    <row r="1200">
      <c r="A1200" s="9">
        <f>IFERROR(__xludf.DUMMYFUNCTION("""COMPUTED_VALUE"""),45794.0)</f>
        <v>45794</v>
      </c>
      <c r="B1200" s="6" t="str">
        <f>IFERROR(__xludf.DUMMYFUNCTION("""COMPUTED_VALUE"""),"Home Goods")</f>
        <v>Home Goods</v>
      </c>
      <c r="C1200" s="7">
        <f>IFERROR(__xludf.DUMMYFUNCTION("""COMPUTED_VALUE"""),5200.0)</f>
        <v>5200</v>
      </c>
      <c r="D1200" s="6" t="str">
        <f>IFERROR(__xludf.DUMMYFUNCTION("""COMPUTED_VALUE"""),"Home Goods &amp; Utilities")</f>
        <v>Home Goods &amp; Utilities</v>
      </c>
      <c r="E1200" s="6" t="str">
        <f>IFERROR(__xludf.DUMMYFUNCTION("""COMPUTED_VALUE"""),"Split Payment")</f>
        <v>Split Payment</v>
      </c>
      <c r="F1200" s="6" t="s">
        <v>8</v>
      </c>
      <c r="G1200" s="8" t="str">
        <f t="shared" si="1"/>
        <v>202505</v>
      </c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  <c r="AG1200" s="4"/>
      <c r="AH1200" s="4"/>
      <c r="AI1200" s="4"/>
      <c r="AJ1200" s="4"/>
      <c r="AK1200" s="4"/>
      <c r="AL1200" s="4"/>
      <c r="AM1200" s="4"/>
      <c r="AN1200" s="4"/>
      <c r="AO1200" s="4"/>
      <c r="AP1200" s="4"/>
      <c r="AQ1200" s="4"/>
      <c r="AR1200" s="4"/>
      <c r="AS1200" s="4"/>
      <c r="AT1200" s="4"/>
      <c r="AU1200" s="4"/>
      <c r="AV1200" s="4"/>
      <c r="AW1200" s="4"/>
      <c r="AX1200" s="4"/>
      <c r="AY1200" s="4"/>
      <c r="AZ1200" s="4"/>
      <c r="BA1200" s="4"/>
      <c r="BB1200" s="4"/>
      <c r="BC1200" s="4"/>
      <c r="BD1200" s="4"/>
      <c r="BE1200" s="4"/>
      <c r="BF1200" s="4"/>
      <c r="BG1200" s="4"/>
      <c r="BH1200" s="4"/>
      <c r="BI1200" s="4"/>
      <c r="BJ1200" s="4"/>
      <c r="BK1200" s="4"/>
      <c r="BL1200" s="4"/>
      <c r="BM1200" s="4"/>
      <c r="BN1200" s="4"/>
      <c r="BO1200" s="4"/>
      <c r="BP1200" s="4"/>
      <c r="BQ1200" s="4"/>
      <c r="BR1200" s="4"/>
      <c r="BS1200" s="4"/>
      <c r="BT1200" s="4"/>
      <c r="BU1200" s="4"/>
      <c r="BV1200" s="4"/>
      <c r="BW1200" s="4"/>
      <c r="BX1200" s="4"/>
      <c r="BY1200" s="4"/>
      <c r="BZ1200" s="4"/>
      <c r="CA1200" s="4"/>
      <c r="CB1200" s="4"/>
      <c r="CC1200" s="4"/>
      <c r="CD1200" s="4"/>
      <c r="CE1200" s="4"/>
      <c r="CF1200" s="4"/>
      <c r="CG1200" s="4"/>
      <c r="CH1200" s="4"/>
      <c r="CI1200" s="4"/>
      <c r="CJ1200" s="4"/>
      <c r="CK1200" s="4"/>
      <c r="CL1200" s="4"/>
      <c r="CM1200" s="4"/>
      <c r="CN1200" s="4"/>
      <c r="CO1200" s="4"/>
      <c r="CP1200" s="4"/>
      <c r="CQ1200" s="4"/>
      <c r="CR1200" s="4"/>
      <c r="CS1200" s="4"/>
      <c r="CT1200" s="4"/>
      <c r="CU1200" s="4"/>
      <c r="CV1200" s="4"/>
      <c r="CW1200" s="4"/>
      <c r="CX1200" s="4"/>
      <c r="CY1200" s="4"/>
      <c r="CZ1200" s="4"/>
      <c r="DA1200" s="4"/>
      <c r="DB1200" s="4"/>
      <c r="DC1200" s="4"/>
      <c r="DD1200" s="4"/>
      <c r="DE1200" s="4"/>
      <c r="DF1200" s="4"/>
      <c r="DG1200" s="4"/>
      <c r="DH1200" s="4"/>
      <c r="DI1200" s="4"/>
      <c r="DJ1200" s="4"/>
      <c r="DK1200" s="4"/>
      <c r="DL1200" s="4"/>
      <c r="DM1200" s="4"/>
      <c r="DN1200" s="4"/>
      <c r="DO1200" s="4"/>
      <c r="DP1200" s="4"/>
      <c r="DQ1200" s="4"/>
      <c r="DR1200" s="4"/>
      <c r="DS1200" s="4"/>
    </row>
    <row r="1201">
      <c r="A1201" s="9">
        <f>IFERROR(__xludf.DUMMYFUNCTION("""COMPUTED_VALUE"""),45795.0)</f>
        <v>45795</v>
      </c>
      <c r="B1201" s="6" t="str">
        <f>IFERROR(__xludf.DUMMYFUNCTION("""COMPUTED_VALUE"""),"Car Insurance")</f>
        <v>Car Insurance</v>
      </c>
      <c r="C1201" s="7">
        <f>IFERROR(__xludf.DUMMYFUNCTION("""COMPUTED_VALUE"""),38366.0)</f>
        <v>38366</v>
      </c>
      <c r="D1201" s="6" t="str">
        <f>IFERROR(__xludf.DUMMYFUNCTION("""COMPUTED_VALUE"""),"Car Expenses")</f>
        <v>Car Expenses</v>
      </c>
      <c r="E1201" s="6" t="str">
        <f>IFERROR(__xludf.DUMMYFUNCTION("""COMPUTED_VALUE"""),"Credit Card")</f>
        <v>Credit Card</v>
      </c>
      <c r="F1201" s="6" t="s">
        <v>9</v>
      </c>
      <c r="G1201" s="8" t="str">
        <f t="shared" si="1"/>
        <v>202505</v>
      </c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  <c r="AG1201" s="4"/>
      <c r="AH1201" s="4"/>
      <c r="AI1201" s="4"/>
      <c r="AJ1201" s="4"/>
      <c r="AK1201" s="4"/>
      <c r="AL1201" s="4"/>
      <c r="AM1201" s="4"/>
      <c r="AN1201" s="4"/>
      <c r="AO1201" s="4"/>
      <c r="AP1201" s="4"/>
      <c r="AQ1201" s="4"/>
      <c r="AR1201" s="4"/>
      <c r="AS1201" s="4"/>
      <c r="AT1201" s="4"/>
      <c r="AU1201" s="4"/>
      <c r="AV1201" s="4"/>
      <c r="AW1201" s="4"/>
      <c r="AX1201" s="4"/>
      <c r="AY1201" s="4"/>
      <c r="AZ1201" s="4"/>
      <c r="BA1201" s="4"/>
      <c r="BB1201" s="4"/>
      <c r="BC1201" s="4"/>
      <c r="BD1201" s="4"/>
      <c r="BE1201" s="4"/>
      <c r="BF1201" s="4"/>
      <c r="BG1201" s="4"/>
      <c r="BH1201" s="4"/>
      <c r="BI1201" s="4"/>
      <c r="BJ1201" s="4"/>
      <c r="BK1201" s="4"/>
      <c r="BL1201" s="4"/>
      <c r="BM1201" s="4"/>
      <c r="BN1201" s="4"/>
      <c r="BO1201" s="4"/>
      <c r="BP1201" s="4"/>
      <c r="BQ1201" s="4"/>
      <c r="BR1201" s="4"/>
      <c r="BS1201" s="4"/>
      <c r="BT1201" s="4"/>
      <c r="BU1201" s="4"/>
      <c r="BV1201" s="4"/>
      <c r="BW1201" s="4"/>
      <c r="BX1201" s="4"/>
      <c r="BY1201" s="4"/>
      <c r="BZ1201" s="4"/>
      <c r="CA1201" s="4"/>
      <c r="CB1201" s="4"/>
      <c r="CC1201" s="4"/>
      <c r="CD1201" s="4"/>
      <c r="CE1201" s="4"/>
      <c r="CF1201" s="4"/>
      <c r="CG1201" s="4"/>
      <c r="CH1201" s="4"/>
      <c r="CI1201" s="4"/>
      <c r="CJ1201" s="4"/>
      <c r="CK1201" s="4"/>
      <c r="CL1201" s="4"/>
      <c r="CM1201" s="4"/>
      <c r="CN1201" s="4"/>
      <c r="CO1201" s="4"/>
      <c r="CP1201" s="4"/>
      <c r="CQ1201" s="4"/>
      <c r="CR1201" s="4"/>
      <c r="CS1201" s="4"/>
      <c r="CT1201" s="4"/>
      <c r="CU1201" s="4"/>
      <c r="CV1201" s="4"/>
      <c r="CW1201" s="4"/>
      <c r="CX1201" s="4"/>
      <c r="CY1201" s="4"/>
      <c r="CZ1201" s="4"/>
      <c r="DA1201" s="4"/>
      <c r="DB1201" s="4"/>
      <c r="DC1201" s="4"/>
      <c r="DD1201" s="4"/>
      <c r="DE1201" s="4"/>
      <c r="DF1201" s="4"/>
      <c r="DG1201" s="4"/>
      <c r="DH1201" s="4"/>
      <c r="DI1201" s="4"/>
      <c r="DJ1201" s="4"/>
      <c r="DK1201" s="4"/>
      <c r="DL1201" s="4"/>
      <c r="DM1201" s="4"/>
      <c r="DN1201" s="4"/>
      <c r="DO1201" s="4"/>
      <c r="DP1201" s="4"/>
      <c r="DQ1201" s="4"/>
      <c r="DR1201" s="4"/>
      <c r="DS1201" s="4"/>
    </row>
    <row r="1202">
      <c r="A1202" s="9">
        <f>IFERROR(__xludf.DUMMYFUNCTION("""COMPUTED_VALUE"""),45796.0)</f>
        <v>45796</v>
      </c>
      <c r="B1202" s="6" t="str">
        <f>IFERROR(__xludf.DUMMYFUNCTION("""COMPUTED_VALUE"""),"Lunch Out")</f>
        <v>Lunch Out</v>
      </c>
      <c r="C1202" s="7">
        <f>IFERROR(__xludf.DUMMYFUNCTION("""COMPUTED_VALUE"""),5000.0)</f>
        <v>5000</v>
      </c>
      <c r="D1202" s="6" t="str">
        <f>IFERROR(__xludf.DUMMYFUNCTION("""COMPUTED_VALUE"""),"Lunch Out")</f>
        <v>Lunch Out</v>
      </c>
      <c r="E1202" s="6" t="str">
        <f>IFERROR(__xludf.DUMMYFUNCTION("""COMPUTED_VALUE"""),"Virtual Wallet")</f>
        <v>Virtual Wallet</v>
      </c>
      <c r="F1202" s="6" t="s">
        <v>14</v>
      </c>
      <c r="G1202" s="8" t="str">
        <f t="shared" si="1"/>
        <v>202505</v>
      </c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  <c r="AG1202" s="4"/>
      <c r="AH1202" s="4"/>
      <c r="AI1202" s="4"/>
      <c r="AJ1202" s="4"/>
      <c r="AK1202" s="4"/>
      <c r="AL1202" s="4"/>
      <c r="AM1202" s="4"/>
      <c r="AN1202" s="4"/>
      <c r="AO1202" s="4"/>
      <c r="AP1202" s="4"/>
      <c r="AQ1202" s="4"/>
      <c r="AR1202" s="4"/>
      <c r="AS1202" s="4"/>
      <c r="AT1202" s="4"/>
      <c r="AU1202" s="4"/>
      <c r="AV1202" s="4"/>
      <c r="AW1202" s="4"/>
      <c r="AX1202" s="4"/>
      <c r="AY1202" s="4"/>
      <c r="AZ1202" s="4"/>
      <c r="BA1202" s="4"/>
      <c r="BB1202" s="4"/>
      <c r="BC1202" s="4"/>
      <c r="BD1202" s="4"/>
      <c r="BE1202" s="4"/>
      <c r="BF1202" s="4"/>
      <c r="BG1202" s="4"/>
      <c r="BH1202" s="4"/>
      <c r="BI1202" s="4"/>
      <c r="BJ1202" s="4"/>
      <c r="BK1202" s="4"/>
      <c r="BL1202" s="4"/>
      <c r="BM1202" s="4"/>
      <c r="BN1202" s="4"/>
      <c r="BO1202" s="4"/>
      <c r="BP1202" s="4"/>
      <c r="BQ1202" s="4"/>
      <c r="BR1202" s="4"/>
      <c r="BS1202" s="4"/>
      <c r="BT1202" s="4"/>
      <c r="BU1202" s="4"/>
      <c r="BV1202" s="4"/>
      <c r="BW1202" s="4"/>
      <c r="BX1202" s="4"/>
      <c r="BY1202" s="4"/>
      <c r="BZ1202" s="4"/>
      <c r="CA1202" s="4"/>
      <c r="CB1202" s="4"/>
      <c r="CC1202" s="4"/>
      <c r="CD1202" s="4"/>
      <c r="CE1202" s="4"/>
      <c r="CF1202" s="4"/>
      <c r="CG1202" s="4"/>
      <c r="CH1202" s="4"/>
      <c r="CI1202" s="4"/>
      <c r="CJ1202" s="4"/>
      <c r="CK1202" s="4"/>
      <c r="CL1202" s="4"/>
      <c r="CM1202" s="4"/>
      <c r="CN1202" s="4"/>
      <c r="CO1202" s="4"/>
      <c r="CP1202" s="4"/>
      <c r="CQ1202" s="4"/>
      <c r="CR1202" s="4"/>
      <c r="CS1202" s="4"/>
      <c r="CT1202" s="4"/>
      <c r="CU1202" s="4"/>
      <c r="CV1202" s="4"/>
      <c r="CW1202" s="4"/>
      <c r="CX1202" s="4"/>
      <c r="CY1202" s="4"/>
      <c r="CZ1202" s="4"/>
      <c r="DA1202" s="4"/>
      <c r="DB1202" s="4"/>
      <c r="DC1202" s="4"/>
      <c r="DD1202" s="4"/>
      <c r="DE1202" s="4"/>
      <c r="DF1202" s="4"/>
      <c r="DG1202" s="4"/>
      <c r="DH1202" s="4"/>
      <c r="DI1202" s="4"/>
      <c r="DJ1202" s="4"/>
      <c r="DK1202" s="4"/>
      <c r="DL1202" s="4"/>
      <c r="DM1202" s="4"/>
      <c r="DN1202" s="4"/>
      <c r="DO1202" s="4"/>
      <c r="DP1202" s="4"/>
      <c r="DQ1202" s="4"/>
      <c r="DR1202" s="4"/>
      <c r="DS1202" s="4"/>
    </row>
    <row r="1203">
      <c r="A1203" s="9">
        <f>IFERROR(__xludf.DUMMYFUNCTION("""COMPUTED_VALUE"""),45796.0)</f>
        <v>45796</v>
      </c>
      <c r="B1203" s="6" t="str">
        <f>IFERROR(__xludf.DUMMYFUNCTION("""COMPUTED_VALUE"""),"Pets")</f>
        <v>Pets</v>
      </c>
      <c r="C1203" s="7">
        <f>IFERROR(__xludf.DUMMYFUNCTION("""COMPUTED_VALUE"""),7000.0)</f>
        <v>7000</v>
      </c>
      <c r="D1203" s="6" t="str">
        <f>IFERROR(__xludf.DUMMYFUNCTION("""COMPUTED_VALUE"""),"Pets")</f>
        <v>Pets</v>
      </c>
      <c r="E1203" s="6" t="str">
        <f>IFERROR(__xludf.DUMMYFUNCTION("""COMPUTED_VALUE"""),"Virtual Wallet")</f>
        <v>Virtual Wallet</v>
      </c>
      <c r="F1203" s="6" t="s">
        <v>7</v>
      </c>
      <c r="G1203" s="8" t="str">
        <f t="shared" si="1"/>
        <v>202505</v>
      </c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  <c r="AH1203" s="4"/>
      <c r="AI1203" s="4"/>
      <c r="AJ1203" s="4"/>
      <c r="AK1203" s="4"/>
      <c r="AL1203" s="4"/>
      <c r="AM1203" s="4"/>
      <c r="AN1203" s="4"/>
      <c r="AO1203" s="4"/>
      <c r="AP1203" s="4"/>
      <c r="AQ1203" s="4"/>
      <c r="AR1203" s="4"/>
      <c r="AS1203" s="4"/>
      <c r="AT1203" s="4"/>
      <c r="AU1203" s="4"/>
      <c r="AV1203" s="4"/>
      <c r="AW1203" s="4"/>
      <c r="AX1203" s="4"/>
      <c r="AY1203" s="4"/>
      <c r="AZ1203" s="4"/>
      <c r="BA1203" s="4"/>
      <c r="BB1203" s="4"/>
      <c r="BC1203" s="4"/>
      <c r="BD1203" s="4"/>
      <c r="BE1203" s="4"/>
      <c r="BF1203" s="4"/>
      <c r="BG1203" s="4"/>
      <c r="BH1203" s="4"/>
      <c r="BI1203" s="4"/>
      <c r="BJ1203" s="4"/>
      <c r="BK1203" s="4"/>
      <c r="BL1203" s="4"/>
      <c r="BM1203" s="4"/>
      <c r="BN1203" s="4"/>
      <c r="BO1203" s="4"/>
      <c r="BP1203" s="4"/>
      <c r="BQ1203" s="4"/>
      <c r="BR1203" s="4"/>
      <c r="BS1203" s="4"/>
      <c r="BT1203" s="4"/>
      <c r="BU1203" s="4"/>
      <c r="BV1203" s="4"/>
      <c r="BW1203" s="4"/>
      <c r="BX1203" s="4"/>
      <c r="BY1203" s="4"/>
      <c r="BZ1203" s="4"/>
      <c r="CA1203" s="4"/>
      <c r="CB1203" s="4"/>
      <c r="CC1203" s="4"/>
      <c r="CD1203" s="4"/>
      <c r="CE1203" s="4"/>
      <c r="CF1203" s="4"/>
      <c r="CG1203" s="4"/>
      <c r="CH1203" s="4"/>
      <c r="CI1203" s="4"/>
      <c r="CJ1203" s="4"/>
      <c r="CK1203" s="4"/>
      <c r="CL1203" s="4"/>
      <c r="CM1203" s="4"/>
      <c r="CN1203" s="4"/>
      <c r="CO1203" s="4"/>
      <c r="CP1203" s="4"/>
      <c r="CQ1203" s="4"/>
      <c r="CR1203" s="4"/>
      <c r="CS1203" s="4"/>
      <c r="CT1203" s="4"/>
      <c r="CU1203" s="4"/>
      <c r="CV1203" s="4"/>
      <c r="CW1203" s="4"/>
      <c r="CX1203" s="4"/>
      <c r="CY1203" s="4"/>
      <c r="CZ1203" s="4"/>
      <c r="DA1203" s="4"/>
      <c r="DB1203" s="4"/>
      <c r="DC1203" s="4"/>
      <c r="DD1203" s="4"/>
      <c r="DE1203" s="4"/>
      <c r="DF1203" s="4"/>
      <c r="DG1203" s="4"/>
      <c r="DH1203" s="4"/>
      <c r="DI1203" s="4"/>
      <c r="DJ1203" s="4"/>
      <c r="DK1203" s="4"/>
      <c r="DL1203" s="4"/>
      <c r="DM1203" s="4"/>
      <c r="DN1203" s="4"/>
      <c r="DO1203" s="4"/>
      <c r="DP1203" s="4"/>
      <c r="DQ1203" s="4"/>
      <c r="DR1203" s="4"/>
      <c r="DS1203" s="4"/>
    </row>
    <row r="1204">
      <c r="A1204" s="9">
        <f>IFERROR(__xludf.DUMMYFUNCTION("""COMPUTED_VALUE"""),45797.0)</f>
        <v>45797</v>
      </c>
      <c r="B1204" s="6" t="str">
        <f>IFERROR(__xludf.DUMMYFUNCTION("""COMPUTED_VALUE"""),"Pets")</f>
        <v>Pets</v>
      </c>
      <c r="C1204" s="7">
        <f>IFERROR(__xludf.DUMMYFUNCTION("""COMPUTED_VALUE"""),1961.0)</f>
        <v>1961</v>
      </c>
      <c r="D1204" s="6" t="str">
        <f>IFERROR(__xludf.DUMMYFUNCTION("""COMPUTED_VALUE"""),"Pets")</f>
        <v>Pets</v>
      </c>
      <c r="E1204" s="6" t="str">
        <f>IFERROR(__xludf.DUMMYFUNCTION("""COMPUTED_VALUE"""),"Virtual Wallet")</f>
        <v>Virtual Wallet</v>
      </c>
      <c r="F1204" s="6" t="s">
        <v>7</v>
      </c>
      <c r="G1204" s="8" t="str">
        <f t="shared" si="1"/>
        <v>202505</v>
      </c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  <c r="AH1204" s="4"/>
      <c r="AI1204" s="4"/>
      <c r="AJ1204" s="4"/>
      <c r="AK1204" s="4"/>
      <c r="AL1204" s="4"/>
      <c r="AM1204" s="4"/>
      <c r="AN1204" s="4"/>
      <c r="AO1204" s="4"/>
      <c r="AP1204" s="4"/>
      <c r="AQ1204" s="4"/>
      <c r="AR1204" s="4"/>
      <c r="AS1204" s="4"/>
      <c r="AT1204" s="4"/>
      <c r="AU1204" s="4"/>
      <c r="AV1204" s="4"/>
      <c r="AW1204" s="4"/>
      <c r="AX1204" s="4"/>
      <c r="AY1204" s="4"/>
      <c r="AZ1204" s="4"/>
      <c r="BA1204" s="4"/>
      <c r="BB1204" s="4"/>
      <c r="BC1204" s="4"/>
      <c r="BD1204" s="4"/>
      <c r="BE1204" s="4"/>
      <c r="BF1204" s="4"/>
      <c r="BG1204" s="4"/>
      <c r="BH1204" s="4"/>
      <c r="BI1204" s="4"/>
      <c r="BJ1204" s="4"/>
      <c r="BK1204" s="4"/>
      <c r="BL1204" s="4"/>
      <c r="BM1204" s="4"/>
      <c r="BN1204" s="4"/>
      <c r="BO1204" s="4"/>
      <c r="BP1204" s="4"/>
      <c r="BQ1204" s="4"/>
      <c r="BR1204" s="4"/>
      <c r="BS1204" s="4"/>
      <c r="BT1204" s="4"/>
      <c r="BU1204" s="4"/>
      <c r="BV1204" s="4"/>
      <c r="BW1204" s="4"/>
      <c r="BX1204" s="4"/>
      <c r="BY1204" s="4"/>
      <c r="BZ1204" s="4"/>
      <c r="CA1204" s="4"/>
      <c r="CB1204" s="4"/>
      <c r="CC1204" s="4"/>
      <c r="CD1204" s="4"/>
      <c r="CE1204" s="4"/>
      <c r="CF1204" s="4"/>
      <c r="CG1204" s="4"/>
      <c r="CH1204" s="4"/>
      <c r="CI1204" s="4"/>
      <c r="CJ1204" s="4"/>
      <c r="CK1204" s="4"/>
      <c r="CL1204" s="4"/>
      <c r="CM1204" s="4"/>
      <c r="CN1204" s="4"/>
      <c r="CO1204" s="4"/>
      <c r="CP1204" s="4"/>
      <c r="CQ1204" s="4"/>
      <c r="CR1204" s="4"/>
      <c r="CS1204" s="4"/>
      <c r="CT1204" s="4"/>
      <c r="CU1204" s="4"/>
      <c r="CV1204" s="4"/>
      <c r="CW1204" s="4"/>
      <c r="CX1204" s="4"/>
      <c r="CY1204" s="4"/>
      <c r="CZ1204" s="4"/>
      <c r="DA1204" s="4"/>
      <c r="DB1204" s="4"/>
      <c r="DC1204" s="4"/>
      <c r="DD1204" s="4"/>
      <c r="DE1204" s="4"/>
      <c r="DF1204" s="4"/>
      <c r="DG1204" s="4"/>
      <c r="DH1204" s="4"/>
      <c r="DI1204" s="4"/>
      <c r="DJ1204" s="4"/>
      <c r="DK1204" s="4"/>
      <c r="DL1204" s="4"/>
      <c r="DM1204" s="4"/>
      <c r="DN1204" s="4"/>
      <c r="DO1204" s="4"/>
      <c r="DP1204" s="4"/>
      <c r="DQ1204" s="4"/>
      <c r="DR1204" s="4"/>
      <c r="DS1204" s="4"/>
    </row>
    <row r="1205">
      <c r="A1205" s="9">
        <f>IFERROR(__xludf.DUMMYFUNCTION("""COMPUTED_VALUE"""),45797.0)</f>
        <v>45797</v>
      </c>
      <c r="B1205" s="6" t="str">
        <f>IFERROR(__xludf.DUMMYFUNCTION("""COMPUTED_VALUE"""),"Restaurant")</f>
        <v>Restaurant</v>
      </c>
      <c r="C1205" s="7">
        <f>IFERROR(__xludf.DUMMYFUNCTION("""COMPUTED_VALUE"""),10000.0)</f>
        <v>10000</v>
      </c>
      <c r="D1205" s="6" t="str">
        <f>IFERROR(__xludf.DUMMYFUNCTION("""COMPUTED_VALUE"""),"Restaurant / Café")</f>
        <v>Restaurant / Café</v>
      </c>
      <c r="E1205" s="6" t="str">
        <f>IFERROR(__xludf.DUMMYFUNCTION("""COMPUTED_VALUE"""),"Virtual Wallet")</f>
        <v>Virtual Wallet</v>
      </c>
      <c r="F1205" s="6" t="s">
        <v>14</v>
      </c>
      <c r="G1205" s="8" t="str">
        <f t="shared" si="1"/>
        <v>202505</v>
      </c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  <c r="AG1205" s="4"/>
      <c r="AH1205" s="4"/>
      <c r="AI1205" s="4"/>
      <c r="AJ1205" s="4"/>
      <c r="AK1205" s="4"/>
      <c r="AL1205" s="4"/>
      <c r="AM1205" s="4"/>
      <c r="AN1205" s="4"/>
      <c r="AO1205" s="4"/>
      <c r="AP1205" s="4"/>
      <c r="AQ1205" s="4"/>
      <c r="AR1205" s="4"/>
      <c r="AS1205" s="4"/>
      <c r="AT1205" s="4"/>
      <c r="AU1205" s="4"/>
      <c r="AV1205" s="4"/>
      <c r="AW1205" s="4"/>
      <c r="AX1205" s="4"/>
      <c r="AY1205" s="4"/>
      <c r="AZ1205" s="4"/>
      <c r="BA1205" s="4"/>
      <c r="BB1205" s="4"/>
      <c r="BC1205" s="4"/>
      <c r="BD1205" s="4"/>
      <c r="BE1205" s="4"/>
      <c r="BF1205" s="4"/>
      <c r="BG1205" s="4"/>
      <c r="BH1205" s="4"/>
      <c r="BI1205" s="4"/>
      <c r="BJ1205" s="4"/>
      <c r="BK1205" s="4"/>
      <c r="BL1205" s="4"/>
      <c r="BM1205" s="4"/>
      <c r="BN1205" s="4"/>
      <c r="BO1205" s="4"/>
      <c r="BP1205" s="4"/>
      <c r="BQ1205" s="4"/>
      <c r="BR1205" s="4"/>
      <c r="BS1205" s="4"/>
      <c r="BT1205" s="4"/>
      <c r="BU1205" s="4"/>
      <c r="BV1205" s="4"/>
      <c r="BW1205" s="4"/>
      <c r="BX1205" s="4"/>
      <c r="BY1205" s="4"/>
      <c r="BZ1205" s="4"/>
      <c r="CA1205" s="4"/>
      <c r="CB1205" s="4"/>
      <c r="CC1205" s="4"/>
      <c r="CD1205" s="4"/>
      <c r="CE1205" s="4"/>
      <c r="CF1205" s="4"/>
      <c r="CG1205" s="4"/>
      <c r="CH1205" s="4"/>
      <c r="CI1205" s="4"/>
      <c r="CJ1205" s="4"/>
      <c r="CK1205" s="4"/>
      <c r="CL1205" s="4"/>
      <c r="CM1205" s="4"/>
      <c r="CN1205" s="4"/>
      <c r="CO1205" s="4"/>
      <c r="CP1205" s="4"/>
      <c r="CQ1205" s="4"/>
      <c r="CR1205" s="4"/>
      <c r="CS1205" s="4"/>
      <c r="CT1205" s="4"/>
      <c r="CU1205" s="4"/>
      <c r="CV1205" s="4"/>
      <c r="CW1205" s="4"/>
      <c r="CX1205" s="4"/>
      <c r="CY1205" s="4"/>
      <c r="CZ1205" s="4"/>
      <c r="DA1205" s="4"/>
      <c r="DB1205" s="4"/>
      <c r="DC1205" s="4"/>
      <c r="DD1205" s="4"/>
      <c r="DE1205" s="4"/>
      <c r="DF1205" s="4"/>
      <c r="DG1205" s="4"/>
      <c r="DH1205" s="4"/>
      <c r="DI1205" s="4"/>
      <c r="DJ1205" s="4"/>
      <c r="DK1205" s="4"/>
      <c r="DL1205" s="4"/>
      <c r="DM1205" s="4"/>
      <c r="DN1205" s="4"/>
      <c r="DO1205" s="4"/>
      <c r="DP1205" s="4"/>
      <c r="DQ1205" s="4"/>
      <c r="DR1205" s="4"/>
      <c r="DS1205" s="4"/>
    </row>
    <row r="1206">
      <c r="A1206" s="9">
        <f>IFERROR(__xludf.DUMMYFUNCTION("""COMPUTED_VALUE"""),45797.0)</f>
        <v>45797</v>
      </c>
      <c r="B1206" s="6" t="str">
        <f>IFERROR(__xludf.DUMMYFUNCTION("""COMPUTED_VALUE"""),"Streaming Services")</f>
        <v>Streaming Services</v>
      </c>
      <c r="C1206" s="7">
        <f>IFERROR(__xludf.DUMMYFUNCTION("""COMPUTED_VALUE"""),7497.0)</f>
        <v>7497</v>
      </c>
      <c r="D1206" s="6" t="str">
        <f>IFERROR(__xludf.DUMMYFUNCTION("""COMPUTED_VALUE"""),"Streaming Services")</f>
        <v>Streaming Services</v>
      </c>
      <c r="E1206" s="6" t="str">
        <f>IFERROR(__xludf.DUMMYFUNCTION("""COMPUTED_VALUE"""),"Credit Card")</f>
        <v>Credit Card</v>
      </c>
      <c r="F1206" s="6" t="s">
        <v>12</v>
      </c>
      <c r="G1206" s="8" t="str">
        <f t="shared" si="1"/>
        <v>202505</v>
      </c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  <c r="AH1206" s="4"/>
      <c r="AI1206" s="4"/>
      <c r="AJ1206" s="4"/>
      <c r="AK1206" s="4"/>
      <c r="AL1206" s="4"/>
      <c r="AM1206" s="4"/>
      <c r="AN1206" s="4"/>
      <c r="AO1206" s="4"/>
      <c r="AP1206" s="4"/>
      <c r="AQ1206" s="4"/>
      <c r="AR1206" s="4"/>
      <c r="AS1206" s="4"/>
      <c r="AT1206" s="4"/>
      <c r="AU1206" s="4"/>
      <c r="AV1206" s="4"/>
      <c r="AW1206" s="4"/>
      <c r="AX1206" s="4"/>
      <c r="AY1206" s="4"/>
      <c r="AZ1206" s="4"/>
      <c r="BA1206" s="4"/>
      <c r="BB1206" s="4"/>
      <c r="BC1206" s="4"/>
      <c r="BD1206" s="4"/>
      <c r="BE1206" s="4"/>
      <c r="BF1206" s="4"/>
      <c r="BG1206" s="4"/>
      <c r="BH1206" s="4"/>
      <c r="BI1206" s="4"/>
      <c r="BJ1206" s="4"/>
      <c r="BK1206" s="4"/>
      <c r="BL1206" s="4"/>
      <c r="BM1206" s="4"/>
      <c r="BN1206" s="4"/>
      <c r="BO1206" s="4"/>
      <c r="BP1206" s="4"/>
      <c r="BQ1206" s="4"/>
      <c r="BR1206" s="4"/>
      <c r="BS1206" s="4"/>
      <c r="BT1206" s="4"/>
      <c r="BU1206" s="4"/>
      <c r="BV1206" s="4"/>
      <c r="BW1206" s="4"/>
      <c r="BX1206" s="4"/>
      <c r="BY1206" s="4"/>
      <c r="BZ1206" s="4"/>
      <c r="CA1206" s="4"/>
      <c r="CB1206" s="4"/>
      <c r="CC1206" s="4"/>
      <c r="CD1206" s="4"/>
      <c r="CE1206" s="4"/>
      <c r="CF1206" s="4"/>
      <c r="CG1206" s="4"/>
      <c r="CH1206" s="4"/>
      <c r="CI1206" s="4"/>
      <c r="CJ1206" s="4"/>
      <c r="CK1206" s="4"/>
      <c r="CL1206" s="4"/>
      <c r="CM1206" s="4"/>
      <c r="CN1206" s="4"/>
      <c r="CO1206" s="4"/>
      <c r="CP1206" s="4"/>
      <c r="CQ1206" s="4"/>
      <c r="CR1206" s="4"/>
      <c r="CS1206" s="4"/>
      <c r="CT1206" s="4"/>
      <c r="CU1206" s="4"/>
      <c r="CV1206" s="4"/>
      <c r="CW1206" s="4"/>
      <c r="CX1206" s="4"/>
      <c r="CY1206" s="4"/>
      <c r="CZ1206" s="4"/>
      <c r="DA1206" s="4"/>
      <c r="DB1206" s="4"/>
      <c r="DC1206" s="4"/>
      <c r="DD1206" s="4"/>
      <c r="DE1206" s="4"/>
      <c r="DF1206" s="4"/>
      <c r="DG1206" s="4"/>
      <c r="DH1206" s="4"/>
      <c r="DI1206" s="4"/>
      <c r="DJ1206" s="4"/>
      <c r="DK1206" s="4"/>
      <c r="DL1206" s="4"/>
      <c r="DM1206" s="4"/>
      <c r="DN1206" s="4"/>
      <c r="DO1206" s="4"/>
      <c r="DP1206" s="4"/>
      <c r="DQ1206" s="4"/>
      <c r="DR1206" s="4"/>
      <c r="DS1206" s="4"/>
    </row>
    <row r="1207">
      <c r="A1207" s="9">
        <f>IFERROR(__xludf.DUMMYFUNCTION("""COMPUTED_VALUE"""),45798.0)</f>
        <v>45798</v>
      </c>
      <c r="B1207" s="6" t="str">
        <f>IFERROR(__xludf.DUMMYFUNCTION("""COMPUTED_VALUE"""),"Gift")</f>
        <v>Gift</v>
      </c>
      <c r="C1207" s="7">
        <f>IFERROR(__xludf.DUMMYFUNCTION("""COMPUTED_VALUE"""),11666.7)</f>
        <v>11666.7</v>
      </c>
      <c r="D1207" s="6" t="str">
        <f>IFERROR(__xludf.DUMMYFUNCTION("""COMPUTED_VALUE"""),"Gifts")</f>
        <v>Gifts</v>
      </c>
      <c r="E1207" s="6" t="str">
        <f>IFERROR(__xludf.DUMMYFUNCTION("""COMPUTED_VALUE"""),"Credit Card")</f>
        <v>Credit Card</v>
      </c>
      <c r="F1207" s="6"/>
      <c r="G1207" s="8" t="str">
        <f t="shared" si="1"/>
        <v>202505</v>
      </c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  <c r="AH1207" s="4"/>
      <c r="AI1207" s="4"/>
      <c r="AJ1207" s="4"/>
      <c r="AK1207" s="4"/>
      <c r="AL1207" s="4"/>
      <c r="AM1207" s="4"/>
      <c r="AN1207" s="4"/>
      <c r="AO1207" s="4"/>
      <c r="AP1207" s="4"/>
      <c r="AQ1207" s="4"/>
      <c r="AR1207" s="4"/>
      <c r="AS1207" s="4"/>
      <c r="AT1207" s="4"/>
      <c r="AU1207" s="4"/>
      <c r="AV1207" s="4"/>
      <c r="AW1207" s="4"/>
      <c r="AX1207" s="4"/>
      <c r="AY1207" s="4"/>
      <c r="AZ1207" s="4"/>
      <c r="BA1207" s="4"/>
      <c r="BB1207" s="4"/>
      <c r="BC1207" s="4"/>
      <c r="BD1207" s="4"/>
      <c r="BE1207" s="4"/>
      <c r="BF1207" s="4"/>
      <c r="BG1207" s="4"/>
      <c r="BH1207" s="4"/>
      <c r="BI1207" s="4"/>
      <c r="BJ1207" s="4"/>
      <c r="BK1207" s="4"/>
      <c r="BL1207" s="4"/>
      <c r="BM1207" s="4"/>
      <c r="BN1207" s="4"/>
      <c r="BO1207" s="4"/>
      <c r="BP1207" s="4"/>
      <c r="BQ1207" s="4"/>
      <c r="BR1207" s="4"/>
      <c r="BS1207" s="4"/>
      <c r="BT1207" s="4"/>
      <c r="BU1207" s="4"/>
      <c r="BV1207" s="4"/>
      <c r="BW1207" s="4"/>
      <c r="BX1207" s="4"/>
      <c r="BY1207" s="4"/>
      <c r="BZ1207" s="4"/>
      <c r="CA1207" s="4"/>
      <c r="CB1207" s="4"/>
      <c r="CC1207" s="4"/>
      <c r="CD1207" s="4"/>
      <c r="CE1207" s="4"/>
      <c r="CF1207" s="4"/>
      <c r="CG1207" s="4"/>
      <c r="CH1207" s="4"/>
      <c r="CI1207" s="4"/>
      <c r="CJ1207" s="4"/>
      <c r="CK1207" s="4"/>
      <c r="CL1207" s="4"/>
      <c r="CM1207" s="4"/>
      <c r="CN1207" s="4"/>
      <c r="CO1207" s="4"/>
      <c r="CP1207" s="4"/>
      <c r="CQ1207" s="4"/>
      <c r="CR1207" s="4"/>
      <c r="CS1207" s="4"/>
      <c r="CT1207" s="4"/>
      <c r="CU1207" s="4"/>
      <c r="CV1207" s="4"/>
      <c r="CW1207" s="4"/>
      <c r="CX1207" s="4"/>
      <c r="CY1207" s="4"/>
      <c r="CZ1207" s="4"/>
      <c r="DA1207" s="4"/>
      <c r="DB1207" s="4"/>
      <c r="DC1207" s="4"/>
      <c r="DD1207" s="4"/>
      <c r="DE1207" s="4"/>
      <c r="DF1207" s="4"/>
      <c r="DG1207" s="4"/>
      <c r="DH1207" s="4"/>
      <c r="DI1207" s="4"/>
      <c r="DJ1207" s="4"/>
      <c r="DK1207" s="4"/>
      <c r="DL1207" s="4"/>
      <c r="DM1207" s="4"/>
      <c r="DN1207" s="4"/>
      <c r="DO1207" s="4"/>
      <c r="DP1207" s="4"/>
      <c r="DQ1207" s="4"/>
      <c r="DR1207" s="4"/>
      <c r="DS1207" s="4"/>
    </row>
    <row r="1208">
      <c r="A1208" s="9">
        <f>IFERROR(__xludf.DUMMYFUNCTION("""COMPUTED_VALUE"""),45798.0)</f>
        <v>45798</v>
      </c>
      <c r="B1208" s="6" t="str">
        <f>IFERROR(__xludf.DUMMYFUNCTION("""COMPUTED_VALUE"""),"Pets")</f>
        <v>Pets</v>
      </c>
      <c r="C1208" s="7">
        <f>IFERROR(__xludf.DUMMYFUNCTION("""COMPUTED_VALUE"""),59750.0)</f>
        <v>59750</v>
      </c>
      <c r="D1208" s="6" t="str">
        <f>IFERROR(__xludf.DUMMYFUNCTION("""COMPUTED_VALUE"""),"Pets")</f>
        <v>Pets</v>
      </c>
      <c r="E1208" s="6" t="str">
        <f>IFERROR(__xludf.DUMMYFUNCTION("""COMPUTED_VALUE"""),"Virtual Wallet")</f>
        <v>Virtual Wallet</v>
      </c>
      <c r="F1208" s="6" t="s">
        <v>7</v>
      </c>
      <c r="G1208" s="8" t="str">
        <f t="shared" si="1"/>
        <v>202505</v>
      </c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  <c r="AH1208" s="4"/>
      <c r="AI1208" s="4"/>
      <c r="AJ1208" s="4"/>
      <c r="AK1208" s="4"/>
      <c r="AL1208" s="4"/>
      <c r="AM1208" s="4"/>
      <c r="AN1208" s="4"/>
      <c r="AO1208" s="4"/>
      <c r="AP1208" s="4"/>
      <c r="AQ1208" s="4"/>
      <c r="AR1208" s="4"/>
      <c r="AS1208" s="4"/>
      <c r="AT1208" s="4"/>
      <c r="AU1208" s="4"/>
      <c r="AV1208" s="4"/>
      <c r="AW1208" s="4"/>
      <c r="AX1208" s="4"/>
      <c r="AY1208" s="4"/>
      <c r="AZ1208" s="4"/>
      <c r="BA1208" s="4"/>
      <c r="BB1208" s="4"/>
      <c r="BC1208" s="4"/>
      <c r="BD1208" s="4"/>
      <c r="BE1208" s="4"/>
      <c r="BF1208" s="4"/>
      <c r="BG1208" s="4"/>
      <c r="BH1208" s="4"/>
      <c r="BI1208" s="4"/>
      <c r="BJ1208" s="4"/>
      <c r="BK1208" s="4"/>
      <c r="BL1208" s="4"/>
      <c r="BM1208" s="4"/>
      <c r="BN1208" s="4"/>
      <c r="BO1208" s="4"/>
      <c r="BP1208" s="4"/>
      <c r="BQ1208" s="4"/>
      <c r="BR1208" s="4"/>
      <c r="BS1208" s="4"/>
      <c r="BT1208" s="4"/>
      <c r="BU1208" s="4"/>
      <c r="BV1208" s="4"/>
      <c r="BW1208" s="4"/>
      <c r="BX1208" s="4"/>
      <c r="BY1208" s="4"/>
      <c r="BZ1208" s="4"/>
      <c r="CA1208" s="4"/>
      <c r="CB1208" s="4"/>
      <c r="CC1208" s="4"/>
      <c r="CD1208" s="4"/>
      <c r="CE1208" s="4"/>
      <c r="CF1208" s="4"/>
      <c r="CG1208" s="4"/>
      <c r="CH1208" s="4"/>
      <c r="CI1208" s="4"/>
      <c r="CJ1208" s="4"/>
      <c r="CK1208" s="4"/>
      <c r="CL1208" s="4"/>
      <c r="CM1208" s="4"/>
      <c r="CN1208" s="4"/>
      <c r="CO1208" s="4"/>
      <c r="CP1208" s="4"/>
      <c r="CQ1208" s="4"/>
      <c r="CR1208" s="4"/>
      <c r="CS1208" s="4"/>
      <c r="CT1208" s="4"/>
      <c r="CU1208" s="4"/>
      <c r="CV1208" s="4"/>
      <c r="CW1208" s="4"/>
      <c r="CX1208" s="4"/>
      <c r="CY1208" s="4"/>
      <c r="CZ1208" s="4"/>
      <c r="DA1208" s="4"/>
      <c r="DB1208" s="4"/>
      <c r="DC1208" s="4"/>
      <c r="DD1208" s="4"/>
      <c r="DE1208" s="4"/>
      <c r="DF1208" s="4"/>
      <c r="DG1208" s="4"/>
      <c r="DH1208" s="4"/>
      <c r="DI1208" s="4"/>
      <c r="DJ1208" s="4"/>
      <c r="DK1208" s="4"/>
      <c r="DL1208" s="4"/>
      <c r="DM1208" s="4"/>
      <c r="DN1208" s="4"/>
      <c r="DO1208" s="4"/>
      <c r="DP1208" s="4"/>
      <c r="DQ1208" s="4"/>
      <c r="DR1208" s="4"/>
      <c r="DS1208" s="4"/>
    </row>
    <row r="1209">
      <c r="A1209" s="9">
        <f>IFERROR(__xludf.DUMMYFUNCTION("""COMPUTED_VALUE"""),45798.0)</f>
        <v>45798</v>
      </c>
      <c r="B1209" s="6" t="str">
        <f>IFERROR(__xludf.DUMMYFUNCTION("""COMPUTED_VALUE"""),"Restaurant")</f>
        <v>Restaurant</v>
      </c>
      <c r="C1209" s="7">
        <f>IFERROR(__xludf.DUMMYFUNCTION("""COMPUTED_VALUE"""),8900.0)</f>
        <v>8900</v>
      </c>
      <c r="D1209" s="6" t="str">
        <f>IFERROR(__xludf.DUMMYFUNCTION("""COMPUTED_VALUE"""),"Lunch Out")</f>
        <v>Lunch Out</v>
      </c>
      <c r="E1209" s="6" t="str">
        <f>IFERROR(__xludf.DUMMYFUNCTION("""COMPUTED_VALUE"""),"Virtual Wallet")</f>
        <v>Virtual Wallet</v>
      </c>
      <c r="F1209" s="6" t="s">
        <v>14</v>
      </c>
      <c r="G1209" s="8" t="str">
        <f t="shared" si="1"/>
        <v>202505</v>
      </c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  <c r="AH1209" s="4"/>
      <c r="AI1209" s="4"/>
      <c r="AJ1209" s="4"/>
      <c r="AK1209" s="4"/>
      <c r="AL1209" s="4"/>
      <c r="AM1209" s="4"/>
      <c r="AN1209" s="4"/>
      <c r="AO1209" s="4"/>
      <c r="AP1209" s="4"/>
      <c r="AQ1209" s="4"/>
      <c r="AR1209" s="4"/>
      <c r="AS1209" s="4"/>
      <c r="AT1209" s="4"/>
      <c r="AU1209" s="4"/>
      <c r="AV1209" s="4"/>
      <c r="AW1209" s="4"/>
      <c r="AX1209" s="4"/>
      <c r="AY1209" s="4"/>
      <c r="AZ1209" s="4"/>
      <c r="BA1209" s="4"/>
      <c r="BB1209" s="4"/>
      <c r="BC1209" s="4"/>
      <c r="BD1209" s="4"/>
      <c r="BE1209" s="4"/>
      <c r="BF1209" s="4"/>
      <c r="BG1209" s="4"/>
      <c r="BH1209" s="4"/>
      <c r="BI1209" s="4"/>
      <c r="BJ1209" s="4"/>
      <c r="BK1209" s="4"/>
      <c r="BL1209" s="4"/>
      <c r="BM1209" s="4"/>
      <c r="BN1209" s="4"/>
      <c r="BO1209" s="4"/>
      <c r="BP1209" s="4"/>
      <c r="BQ1209" s="4"/>
      <c r="BR1209" s="4"/>
      <c r="BS1209" s="4"/>
      <c r="BT1209" s="4"/>
      <c r="BU1209" s="4"/>
      <c r="BV1209" s="4"/>
      <c r="BW1209" s="4"/>
      <c r="BX1209" s="4"/>
      <c r="BY1209" s="4"/>
      <c r="BZ1209" s="4"/>
      <c r="CA1209" s="4"/>
      <c r="CB1209" s="4"/>
      <c r="CC1209" s="4"/>
      <c r="CD1209" s="4"/>
      <c r="CE1209" s="4"/>
      <c r="CF1209" s="4"/>
      <c r="CG1209" s="4"/>
      <c r="CH1209" s="4"/>
      <c r="CI1209" s="4"/>
      <c r="CJ1209" s="4"/>
      <c r="CK1209" s="4"/>
      <c r="CL1209" s="4"/>
      <c r="CM1209" s="4"/>
      <c r="CN1209" s="4"/>
      <c r="CO1209" s="4"/>
      <c r="CP1209" s="4"/>
      <c r="CQ1209" s="4"/>
      <c r="CR1209" s="4"/>
      <c r="CS1209" s="4"/>
      <c r="CT1209" s="4"/>
      <c r="CU1209" s="4"/>
      <c r="CV1209" s="4"/>
      <c r="CW1209" s="4"/>
      <c r="CX1209" s="4"/>
      <c r="CY1209" s="4"/>
      <c r="CZ1209" s="4"/>
      <c r="DA1209" s="4"/>
      <c r="DB1209" s="4"/>
      <c r="DC1209" s="4"/>
      <c r="DD1209" s="4"/>
      <c r="DE1209" s="4"/>
      <c r="DF1209" s="4"/>
      <c r="DG1209" s="4"/>
      <c r="DH1209" s="4"/>
      <c r="DI1209" s="4"/>
      <c r="DJ1209" s="4"/>
      <c r="DK1209" s="4"/>
      <c r="DL1209" s="4"/>
      <c r="DM1209" s="4"/>
      <c r="DN1209" s="4"/>
      <c r="DO1209" s="4"/>
      <c r="DP1209" s="4"/>
      <c r="DQ1209" s="4"/>
      <c r="DR1209" s="4"/>
      <c r="DS1209" s="4"/>
    </row>
    <row r="1210">
      <c r="A1210" s="9">
        <f>IFERROR(__xludf.DUMMYFUNCTION("""COMPUTED_VALUE"""),45798.0)</f>
        <v>45798</v>
      </c>
      <c r="B1210" s="6" t="str">
        <f>IFERROR(__xludf.DUMMYFUNCTION("""COMPUTED_VALUE"""),"Stationery / Books")</f>
        <v>Stationery / Books</v>
      </c>
      <c r="C1210" s="7">
        <f>IFERROR(__xludf.DUMMYFUNCTION("""COMPUTED_VALUE"""),28900.0)</f>
        <v>28900</v>
      </c>
      <c r="D1210" s="6" t="str">
        <f>IFERROR(__xludf.DUMMYFUNCTION("""COMPUTED_VALUE"""),"Personal Care")</f>
        <v>Personal Care</v>
      </c>
      <c r="E1210" s="6" t="str">
        <f>IFERROR(__xludf.DUMMYFUNCTION("""COMPUTED_VALUE"""),"Credit Card")</f>
        <v>Credit Card</v>
      </c>
      <c r="F1210" s="6" t="s">
        <v>16</v>
      </c>
      <c r="G1210" s="8" t="str">
        <f t="shared" si="1"/>
        <v>202505</v>
      </c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  <c r="AH1210" s="4"/>
      <c r="AI1210" s="4"/>
      <c r="AJ1210" s="4"/>
      <c r="AK1210" s="4"/>
      <c r="AL1210" s="4"/>
      <c r="AM1210" s="4"/>
      <c r="AN1210" s="4"/>
      <c r="AO1210" s="4"/>
      <c r="AP1210" s="4"/>
      <c r="AQ1210" s="4"/>
      <c r="AR1210" s="4"/>
      <c r="AS1210" s="4"/>
      <c r="AT1210" s="4"/>
      <c r="AU1210" s="4"/>
      <c r="AV1210" s="4"/>
      <c r="AW1210" s="4"/>
      <c r="AX1210" s="4"/>
      <c r="AY1210" s="4"/>
      <c r="AZ1210" s="4"/>
      <c r="BA1210" s="4"/>
      <c r="BB1210" s="4"/>
      <c r="BC1210" s="4"/>
      <c r="BD1210" s="4"/>
      <c r="BE1210" s="4"/>
      <c r="BF1210" s="4"/>
      <c r="BG1210" s="4"/>
      <c r="BH1210" s="4"/>
      <c r="BI1210" s="4"/>
      <c r="BJ1210" s="4"/>
      <c r="BK1210" s="4"/>
      <c r="BL1210" s="4"/>
      <c r="BM1210" s="4"/>
      <c r="BN1210" s="4"/>
      <c r="BO1210" s="4"/>
      <c r="BP1210" s="4"/>
      <c r="BQ1210" s="4"/>
      <c r="BR1210" s="4"/>
      <c r="BS1210" s="4"/>
      <c r="BT1210" s="4"/>
      <c r="BU1210" s="4"/>
      <c r="BV1210" s="4"/>
      <c r="BW1210" s="4"/>
      <c r="BX1210" s="4"/>
      <c r="BY1210" s="4"/>
      <c r="BZ1210" s="4"/>
      <c r="CA1210" s="4"/>
      <c r="CB1210" s="4"/>
      <c r="CC1210" s="4"/>
      <c r="CD1210" s="4"/>
      <c r="CE1210" s="4"/>
      <c r="CF1210" s="4"/>
      <c r="CG1210" s="4"/>
      <c r="CH1210" s="4"/>
      <c r="CI1210" s="4"/>
      <c r="CJ1210" s="4"/>
      <c r="CK1210" s="4"/>
      <c r="CL1210" s="4"/>
      <c r="CM1210" s="4"/>
      <c r="CN1210" s="4"/>
      <c r="CO1210" s="4"/>
      <c r="CP1210" s="4"/>
      <c r="CQ1210" s="4"/>
      <c r="CR1210" s="4"/>
      <c r="CS1210" s="4"/>
      <c r="CT1210" s="4"/>
      <c r="CU1210" s="4"/>
      <c r="CV1210" s="4"/>
      <c r="CW1210" s="4"/>
      <c r="CX1210" s="4"/>
      <c r="CY1210" s="4"/>
      <c r="CZ1210" s="4"/>
      <c r="DA1210" s="4"/>
      <c r="DB1210" s="4"/>
      <c r="DC1210" s="4"/>
      <c r="DD1210" s="4"/>
      <c r="DE1210" s="4"/>
      <c r="DF1210" s="4"/>
      <c r="DG1210" s="4"/>
      <c r="DH1210" s="4"/>
      <c r="DI1210" s="4"/>
      <c r="DJ1210" s="4"/>
      <c r="DK1210" s="4"/>
      <c r="DL1210" s="4"/>
      <c r="DM1210" s="4"/>
      <c r="DN1210" s="4"/>
      <c r="DO1210" s="4"/>
      <c r="DP1210" s="4"/>
      <c r="DQ1210" s="4"/>
      <c r="DR1210" s="4"/>
      <c r="DS1210" s="4"/>
    </row>
    <row r="1211">
      <c r="A1211" s="9">
        <f>IFERROR(__xludf.DUMMYFUNCTION("""COMPUTED_VALUE"""),45799.0)</f>
        <v>45799</v>
      </c>
      <c r="B1211" s="6" t="str">
        <f>IFERROR(__xludf.DUMMYFUNCTION("""COMPUTED_VALUE"""),"Home Goods")</f>
        <v>Home Goods</v>
      </c>
      <c r="C1211" s="7">
        <f>IFERROR(__xludf.DUMMYFUNCTION("""COMPUTED_VALUE"""),6850.0)</f>
        <v>6850</v>
      </c>
      <c r="D1211" s="6" t="str">
        <f>IFERROR(__xludf.DUMMYFUNCTION("""COMPUTED_VALUE"""),"Home Goods &amp; Utilities")</f>
        <v>Home Goods &amp; Utilities</v>
      </c>
      <c r="E1211" s="6" t="str">
        <f>IFERROR(__xludf.DUMMYFUNCTION("""COMPUTED_VALUE"""),"Credit Card")</f>
        <v>Credit Card</v>
      </c>
      <c r="F1211" s="6" t="s">
        <v>8</v>
      </c>
      <c r="G1211" s="8" t="str">
        <f t="shared" si="1"/>
        <v>202505</v>
      </c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  <c r="AH1211" s="4"/>
      <c r="AI1211" s="4"/>
      <c r="AJ1211" s="4"/>
      <c r="AK1211" s="4"/>
      <c r="AL1211" s="4"/>
      <c r="AM1211" s="4"/>
      <c r="AN1211" s="4"/>
      <c r="AO1211" s="4"/>
      <c r="AP1211" s="4"/>
      <c r="AQ1211" s="4"/>
      <c r="AR1211" s="4"/>
      <c r="AS1211" s="4"/>
      <c r="AT1211" s="4"/>
      <c r="AU1211" s="4"/>
      <c r="AV1211" s="4"/>
      <c r="AW1211" s="4"/>
      <c r="AX1211" s="4"/>
      <c r="AY1211" s="4"/>
      <c r="AZ1211" s="4"/>
      <c r="BA1211" s="4"/>
      <c r="BB1211" s="4"/>
      <c r="BC1211" s="4"/>
      <c r="BD1211" s="4"/>
      <c r="BE1211" s="4"/>
      <c r="BF1211" s="4"/>
      <c r="BG1211" s="4"/>
      <c r="BH1211" s="4"/>
      <c r="BI1211" s="4"/>
      <c r="BJ1211" s="4"/>
      <c r="BK1211" s="4"/>
      <c r="BL1211" s="4"/>
      <c r="BM1211" s="4"/>
      <c r="BN1211" s="4"/>
      <c r="BO1211" s="4"/>
      <c r="BP1211" s="4"/>
      <c r="BQ1211" s="4"/>
      <c r="BR1211" s="4"/>
      <c r="BS1211" s="4"/>
      <c r="BT1211" s="4"/>
      <c r="BU1211" s="4"/>
      <c r="BV1211" s="4"/>
      <c r="BW1211" s="4"/>
      <c r="BX1211" s="4"/>
      <c r="BY1211" s="4"/>
      <c r="BZ1211" s="4"/>
      <c r="CA1211" s="4"/>
      <c r="CB1211" s="4"/>
      <c r="CC1211" s="4"/>
      <c r="CD1211" s="4"/>
      <c r="CE1211" s="4"/>
      <c r="CF1211" s="4"/>
      <c r="CG1211" s="4"/>
      <c r="CH1211" s="4"/>
      <c r="CI1211" s="4"/>
      <c r="CJ1211" s="4"/>
      <c r="CK1211" s="4"/>
      <c r="CL1211" s="4"/>
      <c r="CM1211" s="4"/>
      <c r="CN1211" s="4"/>
      <c r="CO1211" s="4"/>
      <c r="CP1211" s="4"/>
      <c r="CQ1211" s="4"/>
      <c r="CR1211" s="4"/>
      <c r="CS1211" s="4"/>
      <c r="CT1211" s="4"/>
      <c r="CU1211" s="4"/>
      <c r="CV1211" s="4"/>
      <c r="CW1211" s="4"/>
      <c r="CX1211" s="4"/>
      <c r="CY1211" s="4"/>
      <c r="CZ1211" s="4"/>
      <c r="DA1211" s="4"/>
      <c r="DB1211" s="4"/>
      <c r="DC1211" s="4"/>
      <c r="DD1211" s="4"/>
      <c r="DE1211" s="4"/>
      <c r="DF1211" s="4"/>
      <c r="DG1211" s="4"/>
      <c r="DH1211" s="4"/>
      <c r="DI1211" s="4"/>
      <c r="DJ1211" s="4"/>
      <c r="DK1211" s="4"/>
      <c r="DL1211" s="4"/>
      <c r="DM1211" s="4"/>
      <c r="DN1211" s="4"/>
      <c r="DO1211" s="4"/>
      <c r="DP1211" s="4"/>
      <c r="DQ1211" s="4"/>
      <c r="DR1211" s="4"/>
      <c r="DS1211" s="4"/>
    </row>
    <row r="1212">
      <c r="A1212" s="9">
        <f>IFERROR(__xludf.DUMMYFUNCTION("""COMPUTED_VALUE"""),45799.0)</f>
        <v>45799</v>
      </c>
      <c r="B1212" s="6" t="str">
        <f>IFERROR(__xludf.DUMMYFUNCTION("""COMPUTED_VALUE"""),"Sports")</f>
        <v>Sports</v>
      </c>
      <c r="C1212" s="7">
        <f>IFERROR(__xludf.DUMMYFUNCTION("""COMPUTED_VALUE"""),12500.0)</f>
        <v>12500</v>
      </c>
      <c r="D1212" s="6" t="str">
        <f>IFERROR(__xludf.DUMMYFUNCTION("""COMPUTED_VALUE"""),"Sports")</f>
        <v>Sports</v>
      </c>
      <c r="E1212" s="6" t="str">
        <f>IFERROR(__xludf.DUMMYFUNCTION("""COMPUTED_VALUE"""),"Virtual Wallet")</f>
        <v>Virtual Wallet</v>
      </c>
      <c r="F1212" s="6" t="s">
        <v>12</v>
      </c>
      <c r="G1212" s="8" t="str">
        <f t="shared" si="1"/>
        <v>202505</v>
      </c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  <c r="AM1212" s="4"/>
      <c r="AN1212" s="4"/>
      <c r="AO1212" s="4"/>
      <c r="AP1212" s="4"/>
      <c r="AQ1212" s="4"/>
      <c r="AR1212" s="4"/>
      <c r="AS1212" s="4"/>
      <c r="AT1212" s="4"/>
      <c r="AU1212" s="4"/>
      <c r="AV1212" s="4"/>
      <c r="AW1212" s="4"/>
      <c r="AX1212" s="4"/>
      <c r="AY1212" s="4"/>
      <c r="AZ1212" s="4"/>
      <c r="BA1212" s="4"/>
      <c r="BB1212" s="4"/>
      <c r="BC1212" s="4"/>
      <c r="BD1212" s="4"/>
      <c r="BE1212" s="4"/>
      <c r="BF1212" s="4"/>
      <c r="BG1212" s="4"/>
      <c r="BH1212" s="4"/>
      <c r="BI1212" s="4"/>
      <c r="BJ1212" s="4"/>
      <c r="BK1212" s="4"/>
      <c r="BL1212" s="4"/>
      <c r="BM1212" s="4"/>
      <c r="BN1212" s="4"/>
      <c r="BO1212" s="4"/>
      <c r="BP1212" s="4"/>
      <c r="BQ1212" s="4"/>
      <c r="BR1212" s="4"/>
      <c r="BS1212" s="4"/>
      <c r="BT1212" s="4"/>
      <c r="BU1212" s="4"/>
      <c r="BV1212" s="4"/>
      <c r="BW1212" s="4"/>
      <c r="BX1212" s="4"/>
      <c r="BY1212" s="4"/>
      <c r="BZ1212" s="4"/>
      <c r="CA1212" s="4"/>
      <c r="CB1212" s="4"/>
      <c r="CC1212" s="4"/>
      <c r="CD1212" s="4"/>
      <c r="CE1212" s="4"/>
      <c r="CF1212" s="4"/>
      <c r="CG1212" s="4"/>
      <c r="CH1212" s="4"/>
      <c r="CI1212" s="4"/>
      <c r="CJ1212" s="4"/>
      <c r="CK1212" s="4"/>
      <c r="CL1212" s="4"/>
      <c r="CM1212" s="4"/>
      <c r="CN1212" s="4"/>
      <c r="CO1212" s="4"/>
      <c r="CP1212" s="4"/>
      <c r="CQ1212" s="4"/>
      <c r="CR1212" s="4"/>
      <c r="CS1212" s="4"/>
      <c r="CT1212" s="4"/>
      <c r="CU1212" s="4"/>
      <c r="CV1212" s="4"/>
      <c r="CW1212" s="4"/>
      <c r="CX1212" s="4"/>
      <c r="CY1212" s="4"/>
      <c r="CZ1212" s="4"/>
      <c r="DA1212" s="4"/>
      <c r="DB1212" s="4"/>
      <c r="DC1212" s="4"/>
      <c r="DD1212" s="4"/>
      <c r="DE1212" s="4"/>
      <c r="DF1212" s="4"/>
      <c r="DG1212" s="4"/>
      <c r="DH1212" s="4"/>
      <c r="DI1212" s="4"/>
      <c r="DJ1212" s="4"/>
      <c r="DK1212" s="4"/>
      <c r="DL1212" s="4"/>
      <c r="DM1212" s="4"/>
      <c r="DN1212" s="4"/>
      <c r="DO1212" s="4"/>
      <c r="DP1212" s="4"/>
      <c r="DQ1212" s="4"/>
      <c r="DR1212" s="4"/>
      <c r="DS1212" s="4"/>
    </row>
    <row r="1213">
      <c r="A1213" s="9">
        <f>IFERROR(__xludf.DUMMYFUNCTION("""COMPUTED_VALUE"""),45800.0)</f>
        <v>45800</v>
      </c>
      <c r="B1213" s="6" t="str">
        <f>IFERROR(__xludf.DUMMYFUNCTION("""COMPUTED_VALUE"""),"Appliances")</f>
        <v>Appliances</v>
      </c>
      <c r="C1213" s="7">
        <f>IFERROR(__xludf.DUMMYFUNCTION("""COMPUTED_VALUE"""),13889.0)</f>
        <v>13889</v>
      </c>
      <c r="D1213" s="6" t="str">
        <f>IFERROR(__xludf.DUMMYFUNCTION("""COMPUTED_VALUE"""),"Home Goods &amp; Utilities")</f>
        <v>Home Goods &amp; Utilities</v>
      </c>
      <c r="E1213" s="6" t="str">
        <f>IFERROR(__xludf.DUMMYFUNCTION("""COMPUTED_VALUE"""),"Credit Card")</f>
        <v>Credit Card</v>
      </c>
      <c r="F1213" s="6" t="s">
        <v>8</v>
      </c>
      <c r="G1213" s="8" t="str">
        <f t="shared" si="1"/>
        <v>202505</v>
      </c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  <c r="AM1213" s="4"/>
      <c r="AN1213" s="4"/>
      <c r="AO1213" s="4"/>
      <c r="AP1213" s="4"/>
      <c r="AQ1213" s="4"/>
      <c r="AR1213" s="4"/>
      <c r="AS1213" s="4"/>
      <c r="AT1213" s="4"/>
      <c r="AU1213" s="4"/>
      <c r="AV1213" s="4"/>
      <c r="AW1213" s="4"/>
      <c r="AX1213" s="4"/>
      <c r="AY1213" s="4"/>
      <c r="AZ1213" s="4"/>
      <c r="BA1213" s="4"/>
      <c r="BB1213" s="4"/>
      <c r="BC1213" s="4"/>
      <c r="BD1213" s="4"/>
      <c r="BE1213" s="4"/>
      <c r="BF1213" s="4"/>
      <c r="BG1213" s="4"/>
      <c r="BH1213" s="4"/>
      <c r="BI1213" s="4"/>
      <c r="BJ1213" s="4"/>
      <c r="BK1213" s="4"/>
      <c r="BL1213" s="4"/>
      <c r="BM1213" s="4"/>
      <c r="BN1213" s="4"/>
      <c r="BO1213" s="4"/>
      <c r="BP1213" s="4"/>
      <c r="BQ1213" s="4"/>
      <c r="BR1213" s="4"/>
      <c r="BS1213" s="4"/>
      <c r="BT1213" s="4"/>
      <c r="BU1213" s="4"/>
      <c r="BV1213" s="4"/>
      <c r="BW1213" s="4"/>
      <c r="BX1213" s="4"/>
      <c r="BY1213" s="4"/>
      <c r="BZ1213" s="4"/>
      <c r="CA1213" s="4"/>
      <c r="CB1213" s="4"/>
      <c r="CC1213" s="4"/>
      <c r="CD1213" s="4"/>
      <c r="CE1213" s="4"/>
      <c r="CF1213" s="4"/>
      <c r="CG1213" s="4"/>
      <c r="CH1213" s="4"/>
      <c r="CI1213" s="4"/>
      <c r="CJ1213" s="4"/>
      <c r="CK1213" s="4"/>
      <c r="CL1213" s="4"/>
      <c r="CM1213" s="4"/>
      <c r="CN1213" s="4"/>
      <c r="CO1213" s="4"/>
      <c r="CP1213" s="4"/>
      <c r="CQ1213" s="4"/>
      <c r="CR1213" s="4"/>
      <c r="CS1213" s="4"/>
      <c r="CT1213" s="4"/>
      <c r="CU1213" s="4"/>
      <c r="CV1213" s="4"/>
      <c r="CW1213" s="4"/>
      <c r="CX1213" s="4"/>
      <c r="CY1213" s="4"/>
      <c r="CZ1213" s="4"/>
      <c r="DA1213" s="4"/>
      <c r="DB1213" s="4"/>
      <c r="DC1213" s="4"/>
      <c r="DD1213" s="4"/>
      <c r="DE1213" s="4"/>
      <c r="DF1213" s="4"/>
      <c r="DG1213" s="4"/>
      <c r="DH1213" s="4"/>
      <c r="DI1213" s="4"/>
      <c r="DJ1213" s="4"/>
      <c r="DK1213" s="4"/>
      <c r="DL1213" s="4"/>
      <c r="DM1213" s="4"/>
      <c r="DN1213" s="4"/>
      <c r="DO1213" s="4"/>
      <c r="DP1213" s="4"/>
      <c r="DQ1213" s="4"/>
      <c r="DR1213" s="4"/>
      <c r="DS1213" s="4"/>
    </row>
    <row r="1214">
      <c r="A1214" s="9">
        <f>IFERROR(__xludf.DUMMYFUNCTION("""COMPUTED_VALUE"""),45800.0)</f>
        <v>45800</v>
      </c>
      <c r="B1214" s="6" t="str">
        <f>IFERROR(__xludf.DUMMYFUNCTION("""COMPUTED_VALUE"""),"Groceries")</f>
        <v>Groceries</v>
      </c>
      <c r="C1214" s="7">
        <f>IFERROR(__xludf.DUMMYFUNCTION("""COMPUTED_VALUE"""),5085.0)</f>
        <v>5085</v>
      </c>
      <c r="D1214" s="6" t="str">
        <f>IFERROR(__xludf.DUMMYFUNCTION("""COMPUTED_VALUE"""),"Groceries")</f>
        <v>Groceries</v>
      </c>
      <c r="E1214" s="6" t="str">
        <f>IFERROR(__xludf.DUMMYFUNCTION("""COMPUTED_VALUE"""),"Virtual Wallet")</f>
        <v>Virtual Wallet</v>
      </c>
      <c r="F1214" s="6" t="s">
        <v>7</v>
      </c>
      <c r="G1214" s="8" t="str">
        <f t="shared" si="1"/>
        <v>202505</v>
      </c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  <c r="AG1214" s="4"/>
      <c r="AH1214" s="4"/>
      <c r="AI1214" s="4"/>
      <c r="AJ1214" s="4"/>
      <c r="AK1214" s="4"/>
      <c r="AL1214" s="4"/>
      <c r="AM1214" s="4"/>
      <c r="AN1214" s="4"/>
      <c r="AO1214" s="4"/>
      <c r="AP1214" s="4"/>
      <c r="AQ1214" s="4"/>
      <c r="AR1214" s="4"/>
      <c r="AS1214" s="4"/>
      <c r="AT1214" s="4"/>
      <c r="AU1214" s="4"/>
      <c r="AV1214" s="4"/>
      <c r="AW1214" s="4"/>
      <c r="AX1214" s="4"/>
      <c r="AY1214" s="4"/>
      <c r="AZ1214" s="4"/>
      <c r="BA1214" s="4"/>
      <c r="BB1214" s="4"/>
      <c r="BC1214" s="4"/>
      <c r="BD1214" s="4"/>
      <c r="BE1214" s="4"/>
      <c r="BF1214" s="4"/>
      <c r="BG1214" s="4"/>
      <c r="BH1214" s="4"/>
      <c r="BI1214" s="4"/>
      <c r="BJ1214" s="4"/>
      <c r="BK1214" s="4"/>
      <c r="BL1214" s="4"/>
      <c r="BM1214" s="4"/>
      <c r="BN1214" s="4"/>
      <c r="BO1214" s="4"/>
      <c r="BP1214" s="4"/>
      <c r="BQ1214" s="4"/>
      <c r="BR1214" s="4"/>
      <c r="BS1214" s="4"/>
      <c r="BT1214" s="4"/>
      <c r="BU1214" s="4"/>
      <c r="BV1214" s="4"/>
      <c r="BW1214" s="4"/>
      <c r="BX1214" s="4"/>
      <c r="BY1214" s="4"/>
      <c r="BZ1214" s="4"/>
      <c r="CA1214" s="4"/>
      <c r="CB1214" s="4"/>
      <c r="CC1214" s="4"/>
      <c r="CD1214" s="4"/>
      <c r="CE1214" s="4"/>
      <c r="CF1214" s="4"/>
      <c r="CG1214" s="4"/>
      <c r="CH1214" s="4"/>
      <c r="CI1214" s="4"/>
      <c r="CJ1214" s="4"/>
      <c r="CK1214" s="4"/>
      <c r="CL1214" s="4"/>
      <c r="CM1214" s="4"/>
      <c r="CN1214" s="4"/>
      <c r="CO1214" s="4"/>
      <c r="CP1214" s="4"/>
      <c r="CQ1214" s="4"/>
      <c r="CR1214" s="4"/>
      <c r="CS1214" s="4"/>
      <c r="CT1214" s="4"/>
      <c r="CU1214" s="4"/>
      <c r="CV1214" s="4"/>
      <c r="CW1214" s="4"/>
      <c r="CX1214" s="4"/>
      <c r="CY1214" s="4"/>
      <c r="CZ1214" s="4"/>
      <c r="DA1214" s="4"/>
      <c r="DB1214" s="4"/>
      <c r="DC1214" s="4"/>
      <c r="DD1214" s="4"/>
      <c r="DE1214" s="4"/>
      <c r="DF1214" s="4"/>
      <c r="DG1214" s="4"/>
      <c r="DH1214" s="4"/>
      <c r="DI1214" s="4"/>
      <c r="DJ1214" s="4"/>
      <c r="DK1214" s="4"/>
      <c r="DL1214" s="4"/>
      <c r="DM1214" s="4"/>
      <c r="DN1214" s="4"/>
      <c r="DO1214" s="4"/>
      <c r="DP1214" s="4"/>
      <c r="DQ1214" s="4"/>
      <c r="DR1214" s="4"/>
      <c r="DS1214" s="4"/>
    </row>
    <row r="1215">
      <c r="A1215" s="9">
        <f>IFERROR(__xludf.DUMMYFUNCTION("""COMPUTED_VALUE"""),45800.0)</f>
        <v>45800</v>
      </c>
      <c r="B1215" s="6" t="str">
        <f>IFERROR(__xludf.DUMMYFUNCTION("""COMPUTED_VALUE"""),"Groceries")</f>
        <v>Groceries</v>
      </c>
      <c r="C1215" s="7">
        <f>IFERROR(__xludf.DUMMYFUNCTION("""COMPUTED_VALUE"""),1500.0)</f>
        <v>1500</v>
      </c>
      <c r="D1215" s="6" t="str">
        <f>IFERROR(__xludf.DUMMYFUNCTION("""COMPUTED_VALUE"""),"Groceries")</f>
        <v>Groceries</v>
      </c>
      <c r="E1215" s="6" t="str">
        <f>IFERROR(__xludf.DUMMYFUNCTION("""COMPUTED_VALUE"""),"Virtual Wallet")</f>
        <v>Virtual Wallet</v>
      </c>
      <c r="F1215" s="6" t="s">
        <v>7</v>
      </c>
      <c r="G1215" s="8" t="str">
        <f t="shared" si="1"/>
        <v>202505</v>
      </c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  <c r="AH1215" s="4"/>
      <c r="AI1215" s="4"/>
      <c r="AJ1215" s="4"/>
      <c r="AK1215" s="4"/>
      <c r="AL1215" s="4"/>
      <c r="AM1215" s="4"/>
      <c r="AN1215" s="4"/>
      <c r="AO1215" s="4"/>
      <c r="AP1215" s="4"/>
      <c r="AQ1215" s="4"/>
      <c r="AR1215" s="4"/>
      <c r="AS1215" s="4"/>
      <c r="AT1215" s="4"/>
      <c r="AU1215" s="4"/>
      <c r="AV1215" s="4"/>
      <c r="AW1215" s="4"/>
      <c r="AX1215" s="4"/>
      <c r="AY1215" s="4"/>
      <c r="AZ1215" s="4"/>
      <c r="BA1215" s="4"/>
      <c r="BB1215" s="4"/>
      <c r="BC1215" s="4"/>
      <c r="BD1215" s="4"/>
      <c r="BE1215" s="4"/>
      <c r="BF1215" s="4"/>
      <c r="BG1215" s="4"/>
      <c r="BH1215" s="4"/>
      <c r="BI1215" s="4"/>
      <c r="BJ1215" s="4"/>
      <c r="BK1215" s="4"/>
      <c r="BL1215" s="4"/>
      <c r="BM1215" s="4"/>
      <c r="BN1215" s="4"/>
      <c r="BO1215" s="4"/>
      <c r="BP1215" s="4"/>
      <c r="BQ1215" s="4"/>
      <c r="BR1215" s="4"/>
      <c r="BS1215" s="4"/>
      <c r="BT1215" s="4"/>
      <c r="BU1215" s="4"/>
      <c r="BV1215" s="4"/>
      <c r="BW1215" s="4"/>
      <c r="BX1215" s="4"/>
      <c r="BY1215" s="4"/>
      <c r="BZ1215" s="4"/>
      <c r="CA1215" s="4"/>
      <c r="CB1215" s="4"/>
      <c r="CC1215" s="4"/>
      <c r="CD1215" s="4"/>
      <c r="CE1215" s="4"/>
      <c r="CF1215" s="4"/>
      <c r="CG1215" s="4"/>
      <c r="CH1215" s="4"/>
      <c r="CI1215" s="4"/>
      <c r="CJ1215" s="4"/>
      <c r="CK1215" s="4"/>
      <c r="CL1215" s="4"/>
      <c r="CM1215" s="4"/>
      <c r="CN1215" s="4"/>
      <c r="CO1215" s="4"/>
      <c r="CP1215" s="4"/>
      <c r="CQ1215" s="4"/>
      <c r="CR1215" s="4"/>
      <c r="CS1215" s="4"/>
      <c r="CT1215" s="4"/>
      <c r="CU1215" s="4"/>
      <c r="CV1215" s="4"/>
      <c r="CW1215" s="4"/>
      <c r="CX1215" s="4"/>
      <c r="CY1215" s="4"/>
      <c r="CZ1215" s="4"/>
      <c r="DA1215" s="4"/>
      <c r="DB1215" s="4"/>
      <c r="DC1215" s="4"/>
      <c r="DD1215" s="4"/>
      <c r="DE1215" s="4"/>
      <c r="DF1215" s="4"/>
      <c r="DG1215" s="4"/>
      <c r="DH1215" s="4"/>
      <c r="DI1215" s="4"/>
      <c r="DJ1215" s="4"/>
      <c r="DK1215" s="4"/>
      <c r="DL1215" s="4"/>
      <c r="DM1215" s="4"/>
      <c r="DN1215" s="4"/>
      <c r="DO1215" s="4"/>
      <c r="DP1215" s="4"/>
      <c r="DQ1215" s="4"/>
      <c r="DR1215" s="4"/>
      <c r="DS1215" s="4"/>
    </row>
    <row r="1216">
      <c r="A1216" s="9">
        <f>IFERROR(__xludf.DUMMYFUNCTION("""COMPUTED_VALUE"""),45800.0)</f>
        <v>45800</v>
      </c>
      <c r="B1216" s="6" t="str">
        <f>IFERROR(__xludf.DUMMYFUNCTION("""COMPUTED_VALUE"""),"Home Maintenance")</f>
        <v>Home Maintenance</v>
      </c>
      <c r="C1216" s="7">
        <f>IFERROR(__xludf.DUMMYFUNCTION("""COMPUTED_VALUE"""),40000.0)</f>
        <v>40000</v>
      </c>
      <c r="D1216" s="6" t="str">
        <f>IFERROR(__xludf.DUMMYFUNCTION("""COMPUTED_VALUE"""),"Car Expenses")</f>
        <v>Car Expenses</v>
      </c>
      <c r="E1216" s="6" t="str">
        <f>IFERROR(__xludf.DUMMYFUNCTION("""COMPUTED_VALUE"""),"Split Payment")</f>
        <v>Split Payment</v>
      </c>
      <c r="F1216" s="6" t="s">
        <v>9</v>
      </c>
      <c r="G1216" s="8" t="str">
        <f t="shared" si="1"/>
        <v>202505</v>
      </c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  <c r="AG1216" s="4"/>
      <c r="AH1216" s="4"/>
      <c r="AI1216" s="4"/>
      <c r="AJ1216" s="4"/>
      <c r="AK1216" s="4"/>
      <c r="AL1216" s="4"/>
      <c r="AM1216" s="4"/>
      <c r="AN1216" s="4"/>
      <c r="AO1216" s="4"/>
      <c r="AP1216" s="4"/>
      <c r="AQ1216" s="4"/>
      <c r="AR1216" s="4"/>
      <c r="AS1216" s="4"/>
      <c r="AT1216" s="4"/>
      <c r="AU1216" s="4"/>
      <c r="AV1216" s="4"/>
      <c r="AW1216" s="4"/>
      <c r="AX1216" s="4"/>
      <c r="AY1216" s="4"/>
      <c r="AZ1216" s="4"/>
      <c r="BA1216" s="4"/>
      <c r="BB1216" s="4"/>
      <c r="BC1216" s="4"/>
      <c r="BD1216" s="4"/>
      <c r="BE1216" s="4"/>
      <c r="BF1216" s="4"/>
      <c r="BG1216" s="4"/>
      <c r="BH1216" s="4"/>
      <c r="BI1216" s="4"/>
      <c r="BJ1216" s="4"/>
      <c r="BK1216" s="4"/>
      <c r="BL1216" s="4"/>
      <c r="BM1216" s="4"/>
      <c r="BN1216" s="4"/>
      <c r="BO1216" s="4"/>
      <c r="BP1216" s="4"/>
      <c r="BQ1216" s="4"/>
      <c r="BR1216" s="4"/>
      <c r="BS1216" s="4"/>
      <c r="BT1216" s="4"/>
      <c r="BU1216" s="4"/>
      <c r="BV1216" s="4"/>
      <c r="BW1216" s="4"/>
      <c r="BX1216" s="4"/>
      <c r="BY1216" s="4"/>
      <c r="BZ1216" s="4"/>
      <c r="CA1216" s="4"/>
      <c r="CB1216" s="4"/>
      <c r="CC1216" s="4"/>
      <c r="CD1216" s="4"/>
      <c r="CE1216" s="4"/>
      <c r="CF1216" s="4"/>
      <c r="CG1216" s="4"/>
      <c r="CH1216" s="4"/>
      <c r="CI1216" s="4"/>
      <c r="CJ1216" s="4"/>
      <c r="CK1216" s="4"/>
      <c r="CL1216" s="4"/>
      <c r="CM1216" s="4"/>
      <c r="CN1216" s="4"/>
      <c r="CO1216" s="4"/>
      <c r="CP1216" s="4"/>
      <c r="CQ1216" s="4"/>
      <c r="CR1216" s="4"/>
      <c r="CS1216" s="4"/>
      <c r="CT1216" s="4"/>
      <c r="CU1216" s="4"/>
      <c r="CV1216" s="4"/>
      <c r="CW1216" s="4"/>
      <c r="CX1216" s="4"/>
      <c r="CY1216" s="4"/>
      <c r="CZ1216" s="4"/>
      <c r="DA1216" s="4"/>
      <c r="DB1216" s="4"/>
      <c r="DC1216" s="4"/>
      <c r="DD1216" s="4"/>
      <c r="DE1216" s="4"/>
      <c r="DF1216" s="4"/>
      <c r="DG1216" s="4"/>
      <c r="DH1216" s="4"/>
      <c r="DI1216" s="4"/>
      <c r="DJ1216" s="4"/>
      <c r="DK1216" s="4"/>
      <c r="DL1216" s="4"/>
      <c r="DM1216" s="4"/>
      <c r="DN1216" s="4"/>
      <c r="DO1216" s="4"/>
      <c r="DP1216" s="4"/>
      <c r="DQ1216" s="4"/>
      <c r="DR1216" s="4"/>
      <c r="DS1216" s="4"/>
    </row>
    <row r="1217">
      <c r="A1217" s="9">
        <f>IFERROR(__xludf.DUMMYFUNCTION("""COMPUTED_VALUE"""),45800.0)</f>
        <v>45800</v>
      </c>
      <c r="B1217" s="6" t="str">
        <f>IFERROR(__xludf.DUMMYFUNCTION("""COMPUTED_VALUE"""),"Pharmacy")</f>
        <v>Pharmacy</v>
      </c>
      <c r="C1217" s="7">
        <f>IFERROR(__xludf.DUMMYFUNCTION("""COMPUTED_VALUE"""),3000.0)</f>
        <v>3000</v>
      </c>
      <c r="D1217" s="6" t="str">
        <f>IFERROR(__xludf.DUMMYFUNCTION("""COMPUTED_VALUE"""),"Healthcare")</f>
        <v>Healthcare</v>
      </c>
      <c r="E1217" s="6" t="str">
        <f>IFERROR(__xludf.DUMMYFUNCTION("""COMPUTED_VALUE"""),"Virtual Wallet")</f>
        <v>Virtual Wallet</v>
      </c>
      <c r="F1217" s="6" t="s">
        <v>15</v>
      </c>
      <c r="G1217" s="8" t="str">
        <f t="shared" si="1"/>
        <v>202505</v>
      </c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  <c r="AH1217" s="4"/>
      <c r="AI1217" s="4"/>
      <c r="AJ1217" s="4"/>
      <c r="AK1217" s="4"/>
      <c r="AL1217" s="4"/>
      <c r="AM1217" s="4"/>
      <c r="AN1217" s="4"/>
      <c r="AO1217" s="4"/>
      <c r="AP1217" s="4"/>
      <c r="AQ1217" s="4"/>
      <c r="AR1217" s="4"/>
      <c r="AS1217" s="4"/>
      <c r="AT1217" s="4"/>
      <c r="AU1217" s="4"/>
      <c r="AV1217" s="4"/>
      <c r="AW1217" s="4"/>
      <c r="AX1217" s="4"/>
      <c r="AY1217" s="4"/>
      <c r="AZ1217" s="4"/>
      <c r="BA1217" s="4"/>
      <c r="BB1217" s="4"/>
      <c r="BC1217" s="4"/>
      <c r="BD1217" s="4"/>
      <c r="BE1217" s="4"/>
      <c r="BF1217" s="4"/>
      <c r="BG1217" s="4"/>
      <c r="BH1217" s="4"/>
      <c r="BI1217" s="4"/>
      <c r="BJ1217" s="4"/>
      <c r="BK1217" s="4"/>
      <c r="BL1217" s="4"/>
      <c r="BM1217" s="4"/>
      <c r="BN1217" s="4"/>
      <c r="BO1217" s="4"/>
      <c r="BP1217" s="4"/>
      <c r="BQ1217" s="4"/>
      <c r="BR1217" s="4"/>
      <c r="BS1217" s="4"/>
      <c r="BT1217" s="4"/>
      <c r="BU1217" s="4"/>
      <c r="BV1217" s="4"/>
      <c r="BW1217" s="4"/>
      <c r="BX1217" s="4"/>
      <c r="BY1217" s="4"/>
      <c r="BZ1217" s="4"/>
      <c r="CA1217" s="4"/>
      <c r="CB1217" s="4"/>
      <c r="CC1217" s="4"/>
      <c r="CD1217" s="4"/>
      <c r="CE1217" s="4"/>
      <c r="CF1217" s="4"/>
      <c r="CG1217" s="4"/>
      <c r="CH1217" s="4"/>
      <c r="CI1217" s="4"/>
      <c r="CJ1217" s="4"/>
      <c r="CK1217" s="4"/>
      <c r="CL1217" s="4"/>
      <c r="CM1217" s="4"/>
      <c r="CN1217" s="4"/>
      <c r="CO1217" s="4"/>
      <c r="CP1217" s="4"/>
      <c r="CQ1217" s="4"/>
      <c r="CR1217" s="4"/>
      <c r="CS1217" s="4"/>
      <c r="CT1217" s="4"/>
      <c r="CU1217" s="4"/>
      <c r="CV1217" s="4"/>
      <c r="CW1217" s="4"/>
      <c r="CX1217" s="4"/>
      <c r="CY1217" s="4"/>
      <c r="CZ1217" s="4"/>
      <c r="DA1217" s="4"/>
      <c r="DB1217" s="4"/>
      <c r="DC1217" s="4"/>
      <c r="DD1217" s="4"/>
      <c r="DE1217" s="4"/>
      <c r="DF1217" s="4"/>
      <c r="DG1217" s="4"/>
      <c r="DH1217" s="4"/>
      <c r="DI1217" s="4"/>
      <c r="DJ1217" s="4"/>
      <c r="DK1217" s="4"/>
      <c r="DL1217" s="4"/>
      <c r="DM1217" s="4"/>
      <c r="DN1217" s="4"/>
      <c r="DO1217" s="4"/>
      <c r="DP1217" s="4"/>
      <c r="DQ1217" s="4"/>
      <c r="DR1217" s="4"/>
      <c r="DS1217" s="4"/>
    </row>
    <row r="1218">
      <c r="A1218" s="9">
        <f>IFERROR(__xludf.DUMMYFUNCTION("""COMPUTED_VALUE"""),45801.0)</f>
        <v>45801</v>
      </c>
      <c r="B1218" s="6" t="str">
        <f>IFERROR(__xludf.DUMMYFUNCTION("""COMPUTED_VALUE"""),"Education")</f>
        <v>Education</v>
      </c>
      <c r="C1218" s="7">
        <f>IFERROR(__xludf.DUMMYFUNCTION("""COMPUTED_VALUE"""),20000.0)</f>
        <v>20000</v>
      </c>
      <c r="D1218" s="6" t="str">
        <f>IFERROR(__xludf.DUMMYFUNCTION("""COMPUTED_VALUE"""),"Education")</f>
        <v>Education</v>
      </c>
      <c r="E1218" s="6" t="str">
        <f>IFERROR(__xludf.DUMMYFUNCTION("""COMPUTED_VALUE"""),"Credit Card")</f>
        <v>Credit Card</v>
      </c>
      <c r="F1218" s="6" t="s">
        <v>11</v>
      </c>
      <c r="G1218" s="8" t="str">
        <f t="shared" si="1"/>
        <v>202505</v>
      </c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  <c r="AH1218" s="4"/>
      <c r="AI1218" s="4"/>
      <c r="AJ1218" s="4"/>
      <c r="AK1218" s="4"/>
      <c r="AL1218" s="4"/>
      <c r="AM1218" s="4"/>
      <c r="AN1218" s="4"/>
      <c r="AO1218" s="4"/>
      <c r="AP1218" s="4"/>
      <c r="AQ1218" s="4"/>
      <c r="AR1218" s="4"/>
      <c r="AS1218" s="4"/>
      <c r="AT1218" s="4"/>
      <c r="AU1218" s="4"/>
      <c r="AV1218" s="4"/>
      <c r="AW1218" s="4"/>
      <c r="AX1218" s="4"/>
      <c r="AY1218" s="4"/>
      <c r="AZ1218" s="4"/>
      <c r="BA1218" s="4"/>
      <c r="BB1218" s="4"/>
      <c r="BC1218" s="4"/>
      <c r="BD1218" s="4"/>
      <c r="BE1218" s="4"/>
      <c r="BF1218" s="4"/>
      <c r="BG1218" s="4"/>
      <c r="BH1218" s="4"/>
      <c r="BI1218" s="4"/>
      <c r="BJ1218" s="4"/>
      <c r="BK1218" s="4"/>
      <c r="BL1218" s="4"/>
      <c r="BM1218" s="4"/>
      <c r="BN1218" s="4"/>
      <c r="BO1218" s="4"/>
      <c r="BP1218" s="4"/>
      <c r="BQ1218" s="4"/>
      <c r="BR1218" s="4"/>
      <c r="BS1218" s="4"/>
      <c r="BT1218" s="4"/>
      <c r="BU1218" s="4"/>
      <c r="BV1218" s="4"/>
      <c r="BW1218" s="4"/>
      <c r="BX1218" s="4"/>
      <c r="BY1218" s="4"/>
      <c r="BZ1218" s="4"/>
      <c r="CA1218" s="4"/>
      <c r="CB1218" s="4"/>
      <c r="CC1218" s="4"/>
      <c r="CD1218" s="4"/>
      <c r="CE1218" s="4"/>
      <c r="CF1218" s="4"/>
      <c r="CG1218" s="4"/>
      <c r="CH1218" s="4"/>
      <c r="CI1218" s="4"/>
      <c r="CJ1218" s="4"/>
      <c r="CK1218" s="4"/>
      <c r="CL1218" s="4"/>
      <c r="CM1218" s="4"/>
      <c r="CN1218" s="4"/>
      <c r="CO1218" s="4"/>
      <c r="CP1218" s="4"/>
      <c r="CQ1218" s="4"/>
      <c r="CR1218" s="4"/>
      <c r="CS1218" s="4"/>
      <c r="CT1218" s="4"/>
      <c r="CU1218" s="4"/>
      <c r="CV1218" s="4"/>
      <c r="CW1218" s="4"/>
      <c r="CX1218" s="4"/>
      <c r="CY1218" s="4"/>
      <c r="CZ1218" s="4"/>
      <c r="DA1218" s="4"/>
      <c r="DB1218" s="4"/>
      <c r="DC1218" s="4"/>
      <c r="DD1218" s="4"/>
      <c r="DE1218" s="4"/>
      <c r="DF1218" s="4"/>
      <c r="DG1218" s="4"/>
      <c r="DH1218" s="4"/>
      <c r="DI1218" s="4"/>
      <c r="DJ1218" s="4"/>
      <c r="DK1218" s="4"/>
      <c r="DL1218" s="4"/>
      <c r="DM1218" s="4"/>
      <c r="DN1218" s="4"/>
      <c r="DO1218" s="4"/>
      <c r="DP1218" s="4"/>
      <c r="DQ1218" s="4"/>
      <c r="DR1218" s="4"/>
      <c r="DS1218" s="4"/>
    </row>
    <row r="1219">
      <c r="A1219" s="9">
        <f>IFERROR(__xludf.DUMMYFUNCTION("""COMPUTED_VALUE"""),45801.0)</f>
        <v>45801</v>
      </c>
      <c r="B1219" s="6" t="str">
        <f>IFERROR(__xludf.DUMMYFUNCTION("""COMPUTED_VALUE"""),"Groceries")</f>
        <v>Groceries</v>
      </c>
      <c r="C1219" s="7">
        <f>IFERROR(__xludf.DUMMYFUNCTION("""COMPUTED_VALUE"""),11600.0)</f>
        <v>11600</v>
      </c>
      <c r="D1219" s="6" t="str">
        <f>IFERROR(__xludf.DUMMYFUNCTION("""COMPUTED_VALUE"""),"Groceries")</f>
        <v>Groceries</v>
      </c>
      <c r="E1219" s="6" t="str">
        <f>IFERROR(__xludf.DUMMYFUNCTION("""COMPUTED_VALUE"""),"Split Payment")</f>
        <v>Split Payment</v>
      </c>
      <c r="F1219" s="6" t="s">
        <v>7</v>
      </c>
      <c r="G1219" s="8" t="str">
        <f t="shared" si="1"/>
        <v>202505</v>
      </c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  <c r="AG1219" s="4"/>
      <c r="AH1219" s="4"/>
      <c r="AI1219" s="4"/>
      <c r="AJ1219" s="4"/>
      <c r="AK1219" s="4"/>
      <c r="AL1219" s="4"/>
      <c r="AM1219" s="4"/>
      <c r="AN1219" s="4"/>
      <c r="AO1219" s="4"/>
      <c r="AP1219" s="4"/>
      <c r="AQ1219" s="4"/>
      <c r="AR1219" s="4"/>
      <c r="AS1219" s="4"/>
      <c r="AT1219" s="4"/>
      <c r="AU1219" s="4"/>
      <c r="AV1219" s="4"/>
      <c r="AW1219" s="4"/>
      <c r="AX1219" s="4"/>
      <c r="AY1219" s="4"/>
      <c r="AZ1219" s="4"/>
      <c r="BA1219" s="4"/>
      <c r="BB1219" s="4"/>
      <c r="BC1219" s="4"/>
      <c r="BD1219" s="4"/>
      <c r="BE1219" s="4"/>
      <c r="BF1219" s="4"/>
      <c r="BG1219" s="4"/>
      <c r="BH1219" s="4"/>
      <c r="BI1219" s="4"/>
      <c r="BJ1219" s="4"/>
      <c r="BK1219" s="4"/>
      <c r="BL1219" s="4"/>
      <c r="BM1219" s="4"/>
      <c r="BN1219" s="4"/>
      <c r="BO1219" s="4"/>
      <c r="BP1219" s="4"/>
      <c r="BQ1219" s="4"/>
      <c r="BR1219" s="4"/>
      <c r="BS1219" s="4"/>
      <c r="BT1219" s="4"/>
      <c r="BU1219" s="4"/>
      <c r="BV1219" s="4"/>
      <c r="BW1219" s="4"/>
      <c r="BX1219" s="4"/>
      <c r="BY1219" s="4"/>
      <c r="BZ1219" s="4"/>
      <c r="CA1219" s="4"/>
      <c r="CB1219" s="4"/>
      <c r="CC1219" s="4"/>
      <c r="CD1219" s="4"/>
      <c r="CE1219" s="4"/>
      <c r="CF1219" s="4"/>
      <c r="CG1219" s="4"/>
      <c r="CH1219" s="4"/>
      <c r="CI1219" s="4"/>
      <c r="CJ1219" s="4"/>
      <c r="CK1219" s="4"/>
      <c r="CL1219" s="4"/>
      <c r="CM1219" s="4"/>
      <c r="CN1219" s="4"/>
      <c r="CO1219" s="4"/>
      <c r="CP1219" s="4"/>
      <c r="CQ1219" s="4"/>
      <c r="CR1219" s="4"/>
      <c r="CS1219" s="4"/>
      <c r="CT1219" s="4"/>
      <c r="CU1219" s="4"/>
      <c r="CV1219" s="4"/>
      <c r="CW1219" s="4"/>
      <c r="CX1219" s="4"/>
      <c r="CY1219" s="4"/>
      <c r="CZ1219" s="4"/>
      <c r="DA1219" s="4"/>
      <c r="DB1219" s="4"/>
      <c r="DC1219" s="4"/>
      <c r="DD1219" s="4"/>
      <c r="DE1219" s="4"/>
      <c r="DF1219" s="4"/>
      <c r="DG1219" s="4"/>
      <c r="DH1219" s="4"/>
      <c r="DI1219" s="4"/>
      <c r="DJ1219" s="4"/>
      <c r="DK1219" s="4"/>
      <c r="DL1219" s="4"/>
      <c r="DM1219" s="4"/>
      <c r="DN1219" s="4"/>
      <c r="DO1219" s="4"/>
      <c r="DP1219" s="4"/>
      <c r="DQ1219" s="4"/>
      <c r="DR1219" s="4"/>
      <c r="DS1219" s="4"/>
    </row>
    <row r="1220">
      <c r="A1220" s="9">
        <f>IFERROR(__xludf.DUMMYFUNCTION("""COMPUTED_VALUE"""),45801.0)</f>
        <v>45801</v>
      </c>
      <c r="B1220" s="6" t="str">
        <f>IFERROR(__xludf.DUMMYFUNCTION("""COMPUTED_VALUE"""),"Groceries")</f>
        <v>Groceries</v>
      </c>
      <c r="C1220" s="7">
        <f>IFERROR(__xludf.DUMMYFUNCTION("""COMPUTED_VALUE"""),5200.0)</f>
        <v>5200</v>
      </c>
      <c r="D1220" s="6" t="str">
        <f>IFERROR(__xludf.DUMMYFUNCTION("""COMPUTED_VALUE"""),"Groceries")</f>
        <v>Groceries</v>
      </c>
      <c r="E1220" s="6" t="str">
        <f>IFERROR(__xludf.DUMMYFUNCTION("""COMPUTED_VALUE"""),"Split Payment")</f>
        <v>Split Payment</v>
      </c>
      <c r="F1220" s="6" t="s">
        <v>7</v>
      </c>
      <c r="G1220" s="8" t="str">
        <f t="shared" si="1"/>
        <v>202505</v>
      </c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  <c r="AG1220" s="4"/>
      <c r="AH1220" s="4"/>
      <c r="AI1220" s="4"/>
      <c r="AJ1220" s="4"/>
      <c r="AK1220" s="4"/>
      <c r="AL1220" s="4"/>
      <c r="AM1220" s="4"/>
      <c r="AN1220" s="4"/>
      <c r="AO1220" s="4"/>
      <c r="AP1220" s="4"/>
      <c r="AQ1220" s="4"/>
      <c r="AR1220" s="4"/>
      <c r="AS1220" s="4"/>
      <c r="AT1220" s="4"/>
      <c r="AU1220" s="4"/>
      <c r="AV1220" s="4"/>
      <c r="AW1220" s="4"/>
      <c r="AX1220" s="4"/>
      <c r="AY1220" s="4"/>
      <c r="AZ1220" s="4"/>
      <c r="BA1220" s="4"/>
      <c r="BB1220" s="4"/>
      <c r="BC1220" s="4"/>
      <c r="BD1220" s="4"/>
      <c r="BE1220" s="4"/>
      <c r="BF1220" s="4"/>
      <c r="BG1220" s="4"/>
      <c r="BH1220" s="4"/>
      <c r="BI1220" s="4"/>
      <c r="BJ1220" s="4"/>
      <c r="BK1220" s="4"/>
      <c r="BL1220" s="4"/>
      <c r="BM1220" s="4"/>
      <c r="BN1220" s="4"/>
      <c r="BO1220" s="4"/>
      <c r="BP1220" s="4"/>
      <c r="BQ1220" s="4"/>
      <c r="BR1220" s="4"/>
      <c r="BS1220" s="4"/>
      <c r="BT1220" s="4"/>
      <c r="BU1220" s="4"/>
      <c r="BV1220" s="4"/>
      <c r="BW1220" s="4"/>
      <c r="BX1220" s="4"/>
      <c r="BY1220" s="4"/>
      <c r="BZ1220" s="4"/>
      <c r="CA1220" s="4"/>
      <c r="CB1220" s="4"/>
      <c r="CC1220" s="4"/>
      <c r="CD1220" s="4"/>
      <c r="CE1220" s="4"/>
      <c r="CF1220" s="4"/>
      <c r="CG1220" s="4"/>
      <c r="CH1220" s="4"/>
      <c r="CI1220" s="4"/>
      <c r="CJ1220" s="4"/>
      <c r="CK1220" s="4"/>
      <c r="CL1220" s="4"/>
      <c r="CM1220" s="4"/>
      <c r="CN1220" s="4"/>
      <c r="CO1220" s="4"/>
      <c r="CP1220" s="4"/>
      <c r="CQ1220" s="4"/>
      <c r="CR1220" s="4"/>
      <c r="CS1220" s="4"/>
      <c r="CT1220" s="4"/>
      <c r="CU1220" s="4"/>
      <c r="CV1220" s="4"/>
      <c r="CW1220" s="4"/>
      <c r="CX1220" s="4"/>
      <c r="CY1220" s="4"/>
      <c r="CZ1220" s="4"/>
      <c r="DA1220" s="4"/>
      <c r="DB1220" s="4"/>
      <c r="DC1220" s="4"/>
      <c r="DD1220" s="4"/>
      <c r="DE1220" s="4"/>
      <c r="DF1220" s="4"/>
      <c r="DG1220" s="4"/>
      <c r="DH1220" s="4"/>
      <c r="DI1220" s="4"/>
      <c r="DJ1220" s="4"/>
      <c r="DK1220" s="4"/>
      <c r="DL1220" s="4"/>
      <c r="DM1220" s="4"/>
      <c r="DN1220" s="4"/>
      <c r="DO1220" s="4"/>
      <c r="DP1220" s="4"/>
      <c r="DQ1220" s="4"/>
      <c r="DR1220" s="4"/>
      <c r="DS1220" s="4"/>
    </row>
    <row r="1221">
      <c r="A1221" s="9">
        <f>IFERROR(__xludf.DUMMYFUNCTION("""COMPUTED_VALUE"""),45801.0)</f>
        <v>45801</v>
      </c>
      <c r="B1221" s="6" t="str">
        <f>IFERROR(__xludf.DUMMYFUNCTION("""COMPUTED_VALUE"""),"Pets")</f>
        <v>Pets</v>
      </c>
      <c r="C1221" s="7">
        <f>IFERROR(__xludf.DUMMYFUNCTION("""COMPUTED_VALUE"""),1000.0)</f>
        <v>1000</v>
      </c>
      <c r="D1221" s="6" t="str">
        <f>IFERROR(__xludf.DUMMYFUNCTION("""COMPUTED_VALUE"""),"Pets")</f>
        <v>Pets</v>
      </c>
      <c r="E1221" s="6" t="str">
        <f>IFERROR(__xludf.DUMMYFUNCTION("""COMPUTED_VALUE"""),"Split Payment")</f>
        <v>Split Payment</v>
      </c>
      <c r="F1221" s="6" t="s">
        <v>7</v>
      </c>
      <c r="G1221" s="8" t="str">
        <f t="shared" si="1"/>
        <v>202505</v>
      </c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  <c r="AH1221" s="4"/>
      <c r="AI1221" s="4"/>
      <c r="AJ1221" s="4"/>
      <c r="AK1221" s="4"/>
      <c r="AL1221" s="4"/>
      <c r="AM1221" s="4"/>
      <c r="AN1221" s="4"/>
      <c r="AO1221" s="4"/>
      <c r="AP1221" s="4"/>
      <c r="AQ1221" s="4"/>
      <c r="AR1221" s="4"/>
      <c r="AS1221" s="4"/>
      <c r="AT1221" s="4"/>
      <c r="AU1221" s="4"/>
      <c r="AV1221" s="4"/>
      <c r="AW1221" s="4"/>
      <c r="AX1221" s="4"/>
      <c r="AY1221" s="4"/>
      <c r="AZ1221" s="4"/>
      <c r="BA1221" s="4"/>
      <c r="BB1221" s="4"/>
      <c r="BC1221" s="4"/>
      <c r="BD1221" s="4"/>
      <c r="BE1221" s="4"/>
      <c r="BF1221" s="4"/>
      <c r="BG1221" s="4"/>
      <c r="BH1221" s="4"/>
      <c r="BI1221" s="4"/>
      <c r="BJ1221" s="4"/>
      <c r="BK1221" s="4"/>
      <c r="BL1221" s="4"/>
      <c r="BM1221" s="4"/>
      <c r="BN1221" s="4"/>
      <c r="BO1221" s="4"/>
      <c r="BP1221" s="4"/>
      <c r="BQ1221" s="4"/>
      <c r="BR1221" s="4"/>
      <c r="BS1221" s="4"/>
      <c r="BT1221" s="4"/>
      <c r="BU1221" s="4"/>
      <c r="BV1221" s="4"/>
      <c r="BW1221" s="4"/>
      <c r="BX1221" s="4"/>
      <c r="BY1221" s="4"/>
      <c r="BZ1221" s="4"/>
      <c r="CA1221" s="4"/>
      <c r="CB1221" s="4"/>
      <c r="CC1221" s="4"/>
      <c r="CD1221" s="4"/>
      <c r="CE1221" s="4"/>
      <c r="CF1221" s="4"/>
      <c r="CG1221" s="4"/>
      <c r="CH1221" s="4"/>
      <c r="CI1221" s="4"/>
      <c r="CJ1221" s="4"/>
      <c r="CK1221" s="4"/>
      <c r="CL1221" s="4"/>
      <c r="CM1221" s="4"/>
      <c r="CN1221" s="4"/>
      <c r="CO1221" s="4"/>
      <c r="CP1221" s="4"/>
      <c r="CQ1221" s="4"/>
      <c r="CR1221" s="4"/>
      <c r="CS1221" s="4"/>
      <c r="CT1221" s="4"/>
      <c r="CU1221" s="4"/>
      <c r="CV1221" s="4"/>
      <c r="CW1221" s="4"/>
      <c r="CX1221" s="4"/>
      <c r="CY1221" s="4"/>
      <c r="CZ1221" s="4"/>
      <c r="DA1221" s="4"/>
      <c r="DB1221" s="4"/>
      <c r="DC1221" s="4"/>
      <c r="DD1221" s="4"/>
      <c r="DE1221" s="4"/>
      <c r="DF1221" s="4"/>
      <c r="DG1221" s="4"/>
      <c r="DH1221" s="4"/>
      <c r="DI1221" s="4"/>
      <c r="DJ1221" s="4"/>
      <c r="DK1221" s="4"/>
      <c r="DL1221" s="4"/>
      <c r="DM1221" s="4"/>
      <c r="DN1221" s="4"/>
      <c r="DO1221" s="4"/>
      <c r="DP1221" s="4"/>
      <c r="DQ1221" s="4"/>
      <c r="DR1221" s="4"/>
      <c r="DS1221" s="4"/>
    </row>
    <row r="1222">
      <c r="A1222" s="9">
        <f>IFERROR(__xludf.DUMMYFUNCTION("""COMPUTED_VALUE"""),45802.0)</f>
        <v>45802</v>
      </c>
      <c r="B1222" s="6" t="str">
        <f>IFERROR(__xludf.DUMMYFUNCTION("""COMPUTED_VALUE"""),"Restaurant")</f>
        <v>Restaurant</v>
      </c>
      <c r="C1222" s="7">
        <f>IFERROR(__xludf.DUMMYFUNCTION("""COMPUTED_VALUE"""),16000.0)</f>
        <v>16000</v>
      </c>
      <c r="D1222" s="6" t="str">
        <f>IFERROR(__xludf.DUMMYFUNCTION("""COMPUTED_VALUE"""),"Restaurant / Café")</f>
        <v>Restaurant / Café</v>
      </c>
      <c r="E1222" s="6" t="str">
        <f>IFERROR(__xludf.DUMMYFUNCTION("""COMPUTED_VALUE"""),"Split Payment")</f>
        <v>Split Payment</v>
      </c>
      <c r="F1222" s="6" t="s">
        <v>14</v>
      </c>
      <c r="G1222" s="8" t="str">
        <f t="shared" si="1"/>
        <v>202505</v>
      </c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  <c r="AG1222" s="4"/>
      <c r="AH1222" s="4"/>
      <c r="AI1222" s="4"/>
      <c r="AJ1222" s="4"/>
      <c r="AK1222" s="4"/>
      <c r="AL1222" s="4"/>
      <c r="AM1222" s="4"/>
      <c r="AN1222" s="4"/>
      <c r="AO1222" s="4"/>
      <c r="AP1222" s="4"/>
      <c r="AQ1222" s="4"/>
      <c r="AR1222" s="4"/>
      <c r="AS1222" s="4"/>
      <c r="AT1222" s="4"/>
      <c r="AU1222" s="4"/>
      <c r="AV1222" s="4"/>
      <c r="AW1222" s="4"/>
      <c r="AX1222" s="4"/>
      <c r="AY1222" s="4"/>
      <c r="AZ1222" s="4"/>
      <c r="BA1222" s="4"/>
      <c r="BB1222" s="4"/>
      <c r="BC1222" s="4"/>
      <c r="BD1222" s="4"/>
      <c r="BE1222" s="4"/>
      <c r="BF1222" s="4"/>
      <c r="BG1222" s="4"/>
      <c r="BH1222" s="4"/>
      <c r="BI1222" s="4"/>
      <c r="BJ1222" s="4"/>
      <c r="BK1222" s="4"/>
      <c r="BL1222" s="4"/>
      <c r="BM1222" s="4"/>
      <c r="BN1222" s="4"/>
      <c r="BO1222" s="4"/>
      <c r="BP1222" s="4"/>
      <c r="BQ1222" s="4"/>
      <c r="BR1222" s="4"/>
      <c r="BS1222" s="4"/>
      <c r="BT1222" s="4"/>
      <c r="BU1222" s="4"/>
      <c r="BV1222" s="4"/>
      <c r="BW1222" s="4"/>
      <c r="BX1222" s="4"/>
      <c r="BY1222" s="4"/>
      <c r="BZ1222" s="4"/>
      <c r="CA1222" s="4"/>
      <c r="CB1222" s="4"/>
      <c r="CC1222" s="4"/>
      <c r="CD1222" s="4"/>
      <c r="CE1222" s="4"/>
      <c r="CF1222" s="4"/>
      <c r="CG1222" s="4"/>
      <c r="CH1222" s="4"/>
      <c r="CI1222" s="4"/>
      <c r="CJ1222" s="4"/>
      <c r="CK1222" s="4"/>
      <c r="CL1222" s="4"/>
      <c r="CM1222" s="4"/>
      <c r="CN1222" s="4"/>
      <c r="CO1222" s="4"/>
      <c r="CP1222" s="4"/>
      <c r="CQ1222" s="4"/>
      <c r="CR1222" s="4"/>
      <c r="CS1222" s="4"/>
      <c r="CT1222" s="4"/>
      <c r="CU1222" s="4"/>
      <c r="CV1222" s="4"/>
      <c r="CW1222" s="4"/>
      <c r="CX1222" s="4"/>
      <c r="CY1222" s="4"/>
      <c r="CZ1222" s="4"/>
      <c r="DA1222" s="4"/>
      <c r="DB1222" s="4"/>
      <c r="DC1222" s="4"/>
      <c r="DD1222" s="4"/>
      <c r="DE1222" s="4"/>
      <c r="DF1222" s="4"/>
      <c r="DG1222" s="4"/>
      <c r="DH1222" s="4"/>
      <c r="DI1222" s="4"/>
      <c r="DJ1222" s="4"/>
      <c r="DK1222" s="4"/>
      <c r="DL1222" s="4"/>
      <c r="DM1222" s="4"/>
      <c r="DN1222" s="4"/>
      <c r="DO1222" s="4"/>
      <c r="DP1222" s="4"/>
      <c r="DQ1222" s="4"/>
      <c r="DR1222" s="4"/>
      <c r="DS1222" s="4"/>
    </row>
    <row r="1223">
      <c r="A1223" s="9">
        <f>IFERROR(__xludf.DUMMYFUNCTION("""COMPUTED_VALUE"""),45803.0)</f>
        <v>45803</v>
      </c>
      <c r="B1223" s="6" t="str">
        <f>IFERROR(__xludf.DUMMYFUNCTION("""COMPUTED_VALUE"""),"Groceries")</f>
        <v>Groceries</v>
      </c>
      <c r="C1223" s="7">
        <f>IFERROR(__xludf.DUMMYFUNCTION("""COMPUTED_VALUE"""),6700.0)</f>
        <v>6700</v>
      </c>
      <c r="D1223" s="6" t="str">
        <f>IFERROR(__xludf.DUMMYFUNCTION("""COMPUTED_VALUE"""),"Groceries")</f>
        <v>Groceries</v>
      </c>
      <c r="E1223" s="6" t="str">
        <f>IFERROR(__xludf.DUMMYFUNCTION("""COMPUTED_VALUE"""),"Split Payment")</f>
        <v>Split Payment</v>
      </c>
      <c r="F1223" s="6" t="s">
        <v>7</v>
      </c>
      <c r="G1223" s="8" t="str">
        <f t="shared" si="1"/>
        <v>202505</v>
      </c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  <c r="AM1223" s="4"/>
      <c r="AN1223" s="4"/>
      <c r="AO1223" s="4"/>
      <c r="AP1223" s="4"/>
      <c r="AQ1223" s="4"/>
      <c r="AR1223" s="4"/>
      <c r="AS1223" s="4"/>
      <c r="AT1223" s="4"/>
      <c r="AU1223" s="4"/>
      <c r="AV1223" s="4"/>
      <c r="AW1223" s="4"/>
      <c r="AX1223" s="4"/>
      <c r="AY1223" s="4"/>
      <c r="AZ1223" s="4"/>
      <c r="BA1223" s="4"/>
      <c r="BB1223" s="4"/>
      <c r="BC1223" s="4"/>
      <c r="BD1223" s="4"/>
      <c r="BE1223" s="4"/>
      <c r="BF1223" s="4"/>
      <c r="BG1223" s="4"/>
      <c r="BH1223" s="4"/>
      <c r="BI1223" s="4"/>
      <c r="BJ1223" s="4"/>
      <c r="BK1223" s="4"/>
      <c r="BL1223" s="4"/>
      <c r="BM1223" s="4"/>
      <c r="BN1223" s="4"/>
      <c r="BO1223" s="4"/>
      <c r="BP1223" s="4"/>
      <c r="BQ1223" s="4"/>
      <c r="BR1223" s="4"/>
      <c r="BS1223" s="4"/>
      <c r="BT1223" s="4"/>
      <c r="BU1223" s="4"/>
      <c r="BV1223" s="4"/>
      <c r="BW1223" s="4"/>
      <c r="BX1223" s="4"/>
      <c r="BY1223" s="4"/>
      <c r="BZ1223" s="4"/>
      <c r="CA1223" s="4"/>
      <c r="CB1223" s="4"/>
      <c r="CC1223" s="4"/>
      <c r="CD1223" s="4"/>
      <c r="CE1223" s="4"/>
      <c r="CF1223" s="4"/>
      <c r="CG1223" s="4"/>
      <c r="CH1223" s="4"/>
      <c r="CI1223" s="4"/>
      <c r="CJ1223" s="4"/>
      <c r="CK1223" s="4"/>
      <c r="CL1223" s="4"/>
      <c r="CM1223" s="4"/>
      <c r="CN1223" s="4"/>
      <c r="CO1223" s="4"/>
      <c r="CP1223" s="4"/>
      <c r="CQ1223" s="4"/>
      <c r="CR1223" s="4"/>
      <c r="CS1223" s="4"/>
      <c r="CT1223" s="4"/>
      <c r="CU1223" s="4"/>
      <c r="CV1223" s="4"/>
      <c r="CW1223" s="4"/>
      <c r="CX1223" s="4"/>
      <c r="CY1223" s="4"/>
      <c r="CZ1223" s="4"/>
      <c r="DA1223" s="4"/>
      <c r="DB1223" s="4"/>
      <c r="DC1223" s="4"/>
      <c r="DD1223" s="4"/>
      <c r="DE1223" s="4"/>
      <c r="DF1223" s="4"/>
      <c r="DG1223" s="4"/>
      <c r="DH1223" s="4"/>
      <c r="DI1223" s="4"/>
      <c r="DJ1223" s="4"/>
      <c r="DK1223" s="4"/>
      <c r="DL1223" s="4"/>
      <c r="DM1223" s="4"/>
      <c r="DN1223" s="4"/>
      <c r="DO1223" s="4"/>
      <c r="DP1223" s="4"/>
      <c r="DQ1223" s="4"/>
      <c r="DR1223" s="4"/>
      <c r="DS1223" s="4"/>
    </row>
    <row r="1224">
      <c r="A1224" s="9">
        <f>IFERROR(__xludf.DUMMYFUNCTION("""COMPUTED_VALUE"""),45803.0)</f>
        <v>45803</v>
      </c>
      <c r="B1224" s="6" t="str">
        <f>IFERROR(__xludf.DUMMYFUNCTION("""COMPUTED_VALUE"""),"Pets")</f>
        <v>Pets</v>
      </c>
      <c r="C1224" s="7">
        <f>IFERROR(__xludf.DUMMYFUNCTION("""COMPUTED_VALUE"""),12000.0)</f>
        <v>12000</v>
      </c>
      <c r="D1224" s="6" t="str">
        <f>IFERROR(__xludf.DUMMYFUNCTION("""COMPUTED_VALUE"""),"Pets")</f>
        <v>Pets</v>
      </c>
      <c r="E1224" s="6" t="str">
        <f>IFERROR(__xludf.DUMMYFUNCTION("""COMPUTED_VALUE"""),"Credit Card")</f>
        <v>Credit Card</v>
      </c>
      <c r="F1224" s="6" t="s">
        <v>7</v>
      </c>
      <c r="G1224" s="8" t="str">
        <f t="shared" si="1"/>
        <v>202505</v>
      </c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  <c r="AG1224" s="4"/>
      <c r="AH1224" s="4"/>
      <c r="AI1224" s="4"/>
      <c r="AJ1224" s="4"/>
      <c r="AK1224" s="4"/>
      <c r="AL1224" s="4"/>
      <c r="AM1224" s="4"/>
      <c r="AN1224" s="4"/>
      <c r="AO1224" s="4"/>
      <c r="AP1224" s="4"/>
      <c r="AQ1224" s="4"/>
      <c r="AR1224" s="4"/>
      <c r="AS1224" s="4"/>
      <c r="AT1224" s="4"/>
      <c r="AU1224" s="4"/>
      <c r="AV1224" s="4"/>
      <c r="AW1224" s="4"/>
      <c r="AX1224" s="4"/>
      <c r="AY1224" s="4"/>
      <c r="AZ1224" s="4"/>
      <c r="BA1224" s="4"/>
      <c r="BB1224" s="4"/>
      <c r="BC1224" s="4"/>
      <c r="BD1224" s="4"/>
      <c r="BE1224" s="4"/>
      <c r="BF1224" s="4"/>
      <c r="BG1224" s="4"/>
      <c r="BH1224" s="4"/>
      <c r="BI1224" s="4"/>
      <c r="BJ1224" s="4"/>
      <c r="BK1224" s="4"/>
      <c r="BL1224" s="4"/>
      <c r="BM1224" s="4"/>
      <c r="BN1224" s="4"/>
      <c r="BO1224" s="4"/>
      <c r="BP1224" s="4"/>
      <c r="BQ1224" s="4"/>
      <c r="BR1224" s="4"/>
      <c r="BS1224" s="4"/>
      <c r="BT1224" s="4"/>
      <c r="BU1224" s="4"/>
      <c r="BV1224" s="4"/>
      <c r="BW1224" s="4"/>
      <c r="BX1224" s="4"/>
      <c r="BY1224" s="4"/>
      <c r="BZ1224" s="4"/>
      <c r="CA1224" s="4"/>
      <c r="CB1224" s="4"/>
      <c r="CC1224" s="4"/>
      <c r="CD1224" s="4"/>
      <c r="CE1224" s="4"/>
      <c r="CF1224" s="4"/>
      <c r="CG1224" s="4"/>
      <c r="CH1224" s="4"/>
      <c r="CI1224" s="4"/>
      <c r="CJ1224" s="4"/>
      <c r="CK1224" s="4"/>
      <c r="CL1224" s="4"/>
      <c r="CM1224" s="4"/>
      <c r="CN1224" s="4"/>
      <c r="CO1224" s="4"/>
      <c r="CP1224" s="4"/>
      <c r="CQ1224" s="4"/>
      <c r="CR1224" s="4"/>
      <c r="CS1224" s="4"/>
      <c r="CT1224" s="4"/>
      <c r="CU1224" s="4"/>
      <c r="CV1224" s="4"/>
      <c r="CW1224" s="4"/>
      <c r="CX1224" s="4"/>
      <c r="CY1224" s="4"/>
      <c r="CZ1224" s="4"/>
      <c r="DA1224" s="4"/>
      <c r="DB1224" s="4"/>
      <c r="DC1224" s="4"/>
      <c r="DD1224" s="4"/>
      <c r="DE1224" s="4"/>
      <c r="DF1224" s="4"/>
      <c r="DG1224" s="4"/>
      <c r="DH1224" s="4"/>
      <c r="DI1224" s="4"/>
      <c r="DJ1224" s="4"/>
      <c r="DK1224" s="4"/>
      <c r="DL1224" s="4"/>
      <c r="DM1224" s="4"/>
      <c r="DN1224" s="4"/>
      <c r="DO1224" s="4"/>
      <c r="DP1224" s="4"/>
      <c r="DQ1224" s="4"/>
      <c r="DR1224" s="4"/>
      <c r="DS1224" s="4"/>
    </row>
    <row r="1225">
      <c r="A1225" s="9">
        <f>IFERROR(__xludf.DUMMYFUNCTION("""COMPUTED_VALUE"""),45804.0)</f>
        <v>45804</v>
      </c>
      <c r="B1225" s="6" t="str">
        <f>IFERROR(__xludf.DUMMYFUNCTION("""COMPUTED_VALUE"""),"Groceries")</f>
        <v>Groceries</v>
      </c>
      <c r="C1225" s="7">
        <f>IFERROR(__xludf.DUMMYFUNCTION("""COMPUTED_VALUE"""),3600.0)</f>
        <v>3600</v>
      </c>
      <c r="D1225" s="6" t="str">
        <f>IFERROR(__xludf.DUMMYFUNCTION("""COMPUTED_VALUE"""),"Groceries")</f>
        <v>Groceries</v>
      </c>
      <c r="E1225" s="6" t="str">
        <f>IFERROR(__xludf.DUMMYFUNCTION("""COMPUTED_VALUE"""),"Virtual Wallet")</f>
        <v>Virtual Wallet</v>
      </c>
      <c r="F1225" s="6" t="s">
        <v>7</v>
      </c>
      <c r="G1225" s="8" t="str">
        <f t="shared" si="1"/>
        <v>202505</v>
      </c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  <c r="AH1225" s="4"/>
      <c r="AI1225" s="4"/>
      <c r="AJ1225" s="4"/>
      <c r="AK1225" s="4"/>
      <c r="AL1225" s="4"/>
      <c r="AM1225" s="4"/>
      <c r="AN1225" s="4"/>
      <c r="AO1225" s="4"/>
      <c r="AP1225" s="4"/>
      <c r="AQ1225" s="4"/>
      <c r="AR1225" s="4"/>
      <c r="AS1225" s="4"/>
      <c r="AT1225" s="4"/>
      <c r="AU1225" s="4"/>
      <c r="AV1225" s="4"/>
      <c r="AW1225" s="4"/>
      <c r="AX1225" s="4"/>
      <c r="AY1225" s="4"/>
      <c r="AZ1225" s="4"/>
      <c r="BA1225" s="4"/>
      <c r="BB1225" s="4"/>
      <c r="BC1225" s="4"/>
      <c r="BD1225" s="4"/>
      <c r="BE1225" s="4"/>
      <c r="BF1225" s="4"/>
      <c r="BG1225" s="4"/>
      <c r="BH1225" s="4"/>
      <c r="BI1225" s="4"/>
      <c r="BJ1225" s="4"/>
      <c r="BK1225" s="4"/>
      <c r="BL1225" s="4"/>
      <c r="BM1225" s="4"/>
      <c r="BN1225" s="4"/>
      <c r="BO1225" s="4"/>
      <c r="BP1225" s="4"/>
      <c r="BQ1225" s="4"/>
      <c r="BR1225" s="4"/>
      <c r="BS1225" s="4"/>
      <c r="BT1225" s="4"/>
      <c r="BU1225" s="4"/>
      <c r="BV1225" s="4"/>
      <c r="BW1225" s="4"/>
      <c r="BX1225" s="4"/>
      <c r="BY1225" s="4"/>
      <c r="BZ1225" s="4"/>
      <c r="CA1225" s="4"/>
      <c r="CB1225" s="4"/>
      <c r="CC1225" s="4"/>
      <c r="CD1225" s="4"/>
      <c r="CE1225" s="4"/>
      <c r="CF1225" s="4"/>
      <c r="CG1225" s="4"/>
      <c r="CH1225" s="4"/>
      <c r="CI1225" s="4"/>
      <c r="CJ1225" s="4"/>
      <c r="CK1225" s="4"/>
      <c r="CL1225" s="4"/>
      <c r="CM1225" s="4"/>
      <c r="CN1225" s="4"/>
      <c r="CO1225" s="4"/>
      <c r="CP1225" s="4"/>
      <c r="CQ1225" s="4"/>
      <c r="CR1225" s="4"/>
      <c r="CS1225" s="4"/>
      <c r="CT1225" s="4"/>
      <c r="CU1225" s="4"/>
      <c r="CV1225" s="4"/>
      <c r="CW1225" s="4"/>
      <c r="CX1225" s="4"/>
      <c r="CY1225" s="4"/>
      <c r="CZ1225" s="4"/>
      <c r="DA1225" s="4"/>
      <c r="DB1225" s="4"/>
      <c r="DC1225" s="4"/>
      <c r="DD1225" s="4"/>
      <c r="DE1225" s="4"/>
      <c r="DF1225" s="4"/>
      <c r="DG1225" s="4"/>
      <c r="DH1225" s="4"/>
      <c r="DI1225" s="4"/>
      <c r="DJ1225" s="4"/>
      <c r="DK1225" s="4"/>
      <c r="DL1225" s="4"/>
      <c r="DM1225" s="4"/>
      <c r="DN1225" s="4"/>
      <c r="DO1225" s="4"/>
      <c r="DP1225" s="4"/>
      <c r="DQ1225" s="4"/>
      <c r="DR1225" s="4"/>
      <c r="DS1225" s="4"/>
    </row>
    <row r="1226">
      <c r="A1226" s="9">
        <f>IFERROR(__xludf.DUMMYFUNCTION("""COMPUTED_VALUE"""),45804.0)</f>
        <v>45804</v>
      </c>
      <c r="B1226" s="6" t="str">
        <f>IFERROR(__xludf.DUMMYFUNCTION("""COMPUTED_VALUE"""),"Groceries")</f>
        <v>Groceries</v>
      </c>
      <c r="C1226" s="7">
        <f>IFERROR(__xludf.DUMMYFUNCTION("""COMPUTED_VALUE"""),3600.0)</f>
        <v>3600</v>
      </c>
      <c r="D1226" s="6" t="str">
        <f>IFERROR(__xludf.DUMMYFUNCTION("""COMPUTED_VALUE"""),"Groceries")</f>
        <v>Groceries</v>
      </c>
      <c r="E1226" s="6" t="str">
        <f>IFERROR(__xludf.DUMMYFUNCTION("""COMPUTED_VALUE"""),"Virtual Wallet")</f>
        <v>Virtual Wallet</v>
      </c>
      <c r="F1226" s="6" t="s">
        <v>7</v>
      </c>
      <c r="G1226" s="8" t="str">
        <f t="shared" si="1"/>
        <v>202505</v>
      </c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  <c r="AH1226" s="4"/>
      <c r="AI1226" s="4"/>
      <c r="AJ1226" s="4"/>
      <c r="AK1226" s="4"/>
      <c r="AL1226" s="4"/>
      <c r="AM1226" s="4"/>
      <c r="AN1226" s="4"/>
      <c r="AO1226" s="4"/>
      <c r="AP1226" s="4"/>
      <c r="AQ1226" s="4"/>
      <c r="AR1226" s="4"/>
      <c r="AS1226" s="4"/>
      <c r="AT1226" s="4"/>
      <c r="AU1226" s="4"/>
      <c r="AV1226" s="4"/>
      <c r="AW1226" s="4"/>
      <c r="AX1226" s="4"/>
      <c r="AY1226" s="4"/>
      <c r="AZ1226" s="4"/>
      <c r="BA1226" s="4"/>
      <c r="BB1226" s="4"/>
      <c r="BC1226" s="4"/>
      <c r="BD1226" s="4"/>
      <c r="BE1226" s="4"/>
      <c r="BF1226" s="4"/>
      <c r="BG1226" s="4"/>
      <c r="BH1226" s="4"/>
      <c r="BI1226" s="4"/>
      <c r="BJ1226" s="4"/>
      <c r="BK1226" s="4"/>
      <c r="BL1226" s="4"/>
      <c r="BM1226" s="4"/>
      <c r="BN1226" s="4"/>
      <c r="BO1226" s="4"/>
      <c r="BP1226" s="4"/>
      <c r="BQ1226" s="4"/>
      <c r="BR1226" s="4"/>
      <c r="BS1226" s="4"/>
      <c r="BT1226" s="4"/>
      <c r="BU1226" s="4"/>
      <c r="BV1226" s="4"/>
      <c r="BW1226" s="4"/>
      <c r="BX1226" s="4"/>
      <c r="BY1226" s="4"/>
      <c r="BZ1226" s="4"/>
      <c r="CA1226" s="4"/>
      <c r="CB1226" s="4"/>
      <c r="CC1226" s="4"/>
      <c r="CD1226" s="4"/>
      <c r="CE1226" s="4"/>
      <c r="CF1226" s="4"/>
      <c r="CG1226" s="4"/>
      <c r="CH1226" s="4"/>
      <c r="CI1226" s="4"/>
      <c r="CJ1226" s="4"/>
      <c r="CK1226" s="4"/>
      <c r="CL1226" s="4"/>
      <c r="CM1226" s="4"/>
      <c r="CN1226" s="4"/>
      <c r="CO1226" s="4"/>
      <c r="CP1226" s="4"/>
      <c r="CQ1226" s="4"/>
      <c r="CR1226" s="4"/>
      <c r="CS1226" s="4"/>
      <c r="CT1226" s="4"/>
      <c r="CU1226" s="4"/>
      <c r="CV1226" s="4"/>
      <c r="CW1226" s="4"/>
      <c r="CX1226" s="4"/>
      <c r="CY1226" s="4"/>
      <c r="CZ1226" s="4"/>
      <c r="DA1226" s="4"/>
      <c r="DB1226" s="4"/>
      <c r="DC1226" s="4"/>
      <c r="DD1226" s="4"/>
      <c r="DE1226" s="4"/>
      <c r="DF1226" s="4"/>
      <c r="DG1226" s="4"/>
      <c r="DH1226" s="4"/>
      <c r="DI1226" s="4"/>
      <c r="DJ1226" s="4"/>
      <c r="DK1226" s="4"/>
      <c r="DL1226" s="4"/>
      <c r="DM1226" s="4"/>
      <c r="DN1226" s="4"/>
      <c r="DO1226" s="4"/>
      <c r="DP1226" s="4"/>
      <c r="DQ1226" s="4"/>
      <c r="DR1226" s="4"/>
      <c r="DS1226" s="4"/>
    </row>
    <row r="1227">
      <c r="A1227" s="9">
        <f>IFERROR(__xludf.DUMMYFUNCTION("""COMPUTED_VALUE"""),45805.0)</f>
        <v>45805</v>
      </c>
      <c r="B1227" s="6" t="str">
        <f>IFERROR(__xludf.DUMMYFUNCTION("""COMPUTED_VALUE"""),"Education")</f>
        <v>Education</v>
      </c>
      <c r="C1227" s="7">
        <f>IFERROR(__xludf.DUMMYFUNCTION("""COMPUTED_VALUE"""),3000.0)</f>
        <v>3000</v>
      </c>
      <c r="D1227" s="6" t="str">
        <f>IFERROR(__xludf.DUMMYFUNCTION("""COMPUTED_VALUE"""),"Education")</f>
        <v>Education</v>
      </c>
      <c r="E1227" s="6" t="str">
        <f>IFERROR(__xludf.DUMMYFUNCTION("""COMPUTED_VALUE"""),"Credit Card")</f>
        <v>Credit Card</v>
      </c>
      <c r="F1227" s="6" t="s">
        <v>11</v>
      </c>
      <c r="G1227" s="8" t="str">
        <f t="shared" si="1"/>
        <v>202505</v>
      </c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  <c r="AG1227" s="4"/>
      <c r="AH1227" s="4"/>
      <c r="AI1227" s="4"/>
      <c r="AJ1227" s="4"/>
      <c r="AK1227" s="4"/>
      <c r="AL1227" s="4"/>
      <c r="AM1227" s="4"/>
      <c r="AN1227" s="4"/>
      <c r="AO1227" s="4"/>
      <c r="AP1227" s="4"/>
      <c r="AQ1227" s="4"/>
      <c r="AR1227" s="4"/>
      <c r="AS1227" s="4"/>
      <c r="AT1227" s="4"/>
      <c r="AU1227" s="4"/>
      <c r="AV1227" s="4"/>
      <c r="AW1227" s="4"/>
      <c r="AX1227" s="4"/>
      <c r="AY1227" s="4"/>
      <c r="AZ1227" s="4"/>
      <c r="BA1227" s="4"/>
      <c r="BB1227" s="4"/>
      <c r="BC1227" s="4"/>
      <c r="BD1227" s="4"/>
      <c r="BE1227" s="4"/>
      <c r="BF1227" s="4"/>
      <c r="BG1227" s="4"/>
      <c r="BH1227" s="4"/>
      <c r="BI1227" s="4"/>
      <c r="BJ1227" s="4"/>
      <c r="BK1227" s="4"/>
      <c r="BL1227" s="4"/>
      <c r="BM1227" s="4"/>
      <c r="BN1227" s="4"/>
      <c r="BO1227" s="4"/>
      <c r="BP1227" s="4"/>
      <c r="BQ1227" s="4"/>
      <c r="BR1227" s="4"/>
      <c r="BS1227" s="4"/>
      <c r="BT1227" s="4"/>
      <c r="BU1227" s="4"/>
      <c r="BV1227" s="4"/>
      <c r="BW1227" s="4"/>
      <c r="BX1227" s="4"/>
      <c r="BY1227" s="4"/>
      <c r="BZ1227" s="4"/>
      <c r="CA1227" s="4"/>
      <c r="CB1227" s="4"/>
      <c r="CC1227" s="4"/>
      <c r="CD1227" s="4"/>
      <c r="CE1227" s="4"/>
      <c r="CF1227" s="4"/>
      <c r="CG1227" s="4"/>
      <c r="CH1227" s="4"/>
      <c r="CI1227" s="4"/>
      <c r="CJ1227" s="4"/>
      <c r="CK1227" s="4"/>
      <c r="CL1227" s="4"/>
      <c r="CM1227" s="4"/>
      <c r="CN1227" s="4"/>
      <c r="CO1227" s="4"/>
      <c r="CP1227" s="4"/>
      <c r="CQ1227" s="4"/>
      <c r="CR1227" s="4"/>
      <c r="CS1227" s="4"/>
      <c r="CT1227" s="4"/>
      <c r="CU1227" s="4"/>
      <c r="CV1227" s="4"/>
      <c r="CW1227" s="4"/>
      <c r="CX1227" s="4"/>
      <c r="CY1227" s="4"/>
      <c r="CZ1227" s="4"/>
      <c r="DA1227" s="4"/>
      <c r="DB1227" s="4"/>
      <c r="DC1227" s="4"/>
      <c r="DD1227" s="4"/>
      <c r="DE1227" s="4"/>
      <c r="DF1227" s="4"/>
      <c r="DG1227" s="4"/>
      <c r="DH1227" s="4"/>
      <c r="DI1227" s="4"/>
      <c r="DJ1227" s="4"/>
      <c r="DK1227" s="4"/>
      <c r="DL1227" s="4"/>
      <c r="DM1227" s="4"/>
      <c r="DN1227" s="4"/>
      <c r="DO1227" s="4"/>
      <c r="DP1227" s="4"/>
      <c r="DQ1227" s="4"/>
      <c r="DR1227" s="4"/>
      <c r="DS1227" s="4"/>
    </row>
    <row r="1228">
      <c r="A1228" s="9">
        <f>IFERROR(__xludf.DUMMYFUNCTION("""COMPUTED_VALUE"""),45805.0)</f>
        <v>45805</v>
      </c>
      <c r="B1228" s="6" t="str">
        <f>IFERROR(__xludf.DUMMYFUNCTION("""COMPUTED_VALUE"""),"Home Goods")</f>
        <v>Home Goods</v>
      </c>
      <c r="C1228" s="7">
        <f>IFERROR(__xludf.DUMMYFUNCTION("""COMPUTED_VALUE"""),3833.0)</f>
        <v>3833</v>
      </c>
      <c r="D1228" s="6" t="str">
        <f>IFERROR(__xludf.DUMMYFUNCTION("""COMPUTED_VALUE"""),"Home Goods &amp; Utilities")</f>
        <v>Home Goods &amp; Utilities</v>
      </c>
      <c r="E1228" s="6" t="str">
        <f>IFERROR(__xludf.DUMMYFUNCTION("""COMPUTED_VALUE"""),"Credit Card")</f>
        <v>Credit Card</v>
      </c>
      <c r="F1228" s="6" t="s">
        <v>8</v>
      </c>
      <c r="G1228" s="8" t="str">
        <f t="shared" si="1"/>
        <v>202505</v>
      </c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  <c r="AH1228" s="4"/>
      <c r="AI1228" s="4"/>
      <c r="AJ1228" s="4"/>
      <c r="AK1228" s="4"/>
      <c r="AL1228" s="4"/>
      <c r="AM1228" s="4"/>
      <c r="AN1228" s="4"/>
      <c r="AO1228" s="4"/>
      <c r="AP1228" s="4"/>
      <c r="AQ1228" s="4"/>
      <c r="AR1228" s="4"/>
      <c r="AS1228" s="4"/>
      <c r="AT1228" s="4"/>
      <c r="AU1228" s="4"/>
      <c r="AV1228" s="4"/>
      <c r="AW1228" s="4"/>
      <c r="AX1228" s="4"/>
      <c r="AY1228" s="4"/>
      <c r="AZ1228" s="4"/>
      <c r="BA1228" s="4"/>
      <c r="BB1228" s="4"/>
      <c r="BC1228" s="4"/>
      <c r="BD1228" s="4"/>
      <c r="BE1228" s="4"/>
      <c r="BF1228" s="4"/>
      <c r="BG1228" s="4"/>
      <c r="BH1228" s="4"/>
      <c r="BI1228" s="4"/>
      <c r="BJ1228" s="4"/>
      <c r="BK1228" s="4"/>
      <c r="BL1228" s="4"/>
      <c r="BM1228" s="4"/>
      <c r="BN1228" s="4"/>
      <c r="BO1228" s="4"/>
      <c r="BP1228" s="4"/>
      <c r="BQ1228" s="4"/>
      <c r="BR1228" s="4"/>
      <c r="BS1228" s="4"/>
      <c r="BT1228" s="4"/>
      <c r="BU1228" s="4"/>
      <c r="BV1228" s="4"/>
      <c r="BW1228" s="4"/>
      <c r="BX1228" s="4"/>
      <c r="BY1228" s="4"/>
      <c r="BZ1228" s="4"/>
      <c r="CA1228" s="4"/>
      <c r="CB1228" s="4"/>
      <c r="CC1228" s="4"/>
      <c r="CD1228" s="4"/>
      <c r="CE1228" s="4"/>
      <c r="CF1228" s="4"/>
      <c r="CG1228" s="4"/>
      <c r="CH1228" s="4"/>
      <c r="CI1228" s="4"/>
      <c r="CJ1228" s="4"/>
      <c r="CK1228" s="4"/>
      <c r="CL1228" s="4"/>
      <c r="CM1228" s="4"/>
      <c r="CN1228" s="4"/>
      <c r="CO1228" s="4"/>
      <c r="CP1228" s="4"/>
      <c r="CQ1228" s="4"/>
      <c r="CR1228" s="4"/>
      <c r="CS1228" s="4"/>
      <c r="CT1228" s="4"/>
      <c r="CU1228" s="4"/>
      <c r="CV1228" s="4"/>
      <c r="CW1228" s="4"/>
      <c r="CX1228" s="4"/>
      <c r="CY1228" s="4"/>
      <c r="CZ1228" s="4"/>
      <c r="DA1228" s="4"/>
      <c r="DB1228" s="4"/>
      <c r="DC1228" s="4"/>
      <c r="DD1228" s="4"/>
      <c r="DE1228" s="4"/>
      <c r="DF1228" s="4"/>
      <c r="DG1228" s="4"/>
      <c r="DH1228" s="4"/>
      <c r="DI1228" s="4"/>
      <c r="DJ1228" s="4"/>
      <c r="DK1228" s="4"/>
      <c r="DL1228" s="4"/>
      <c r="DM1228" s="4"/>
      <c r="DN1228" s="4"/>
      <c r="DO1228" s="4"/>
      <c r="DP1228" s="4"/>
      <c r="DQ1228" s="4"/>
      <c r="DR1228" s="4"/>
      <c r="DS1228" s="4"/>
    </row>
    <row r="1229">
      <c r="A1229" s="9">
        <f>IFERROR(__xludf.DUMMYFUNCTION("""COMPUTED_VALUE"""),45805.0)</f>
        <v>45805</v>
      </c>
      <c r="B1229" s="6" t="str">
        <f>IFERROR(__xludf.DUMMYFUNCTION("""COMPUTED_VALUE"""),"Gasoline")</f>
        <v>Gasoline</v>
      </c>
      <c r="C1229" s="7">
        <f>IFERROR(__xludf.DUMMYFUNCTION("""COMPUTED_VALUE"""),12500.0)</f>
        <v>12500</v>
      </c>
      <c r="D1229" s="6" t="str">
        <f>IFERROR(__xludf.DUMMYFUNCTION("""COMPUTED_VALUE"""),"Car Expenses")</f>
        <v>Car Expenses</v>
      </c>
      <c r="E1229" s="6" t="str">
        <f>IFERROR(__xludf.DUMMYFUNCTION("""COMPUTED_VALUE"""),"Split Payment")</f>
        <v>Split Payment</v>
      </c>
      <c r="F1229" s="6" t="s">
        <v>9</v>
      </c>
      <c r="G1229" s="8" t="str">
        <f t="shared" si="1"/>
        <v>202505</v>
      </c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  <c r="AH1229" s="4"/>
      <c r="AI1229" s="4"/>
      <c r="AJ1229" s="4"/>
      <c r="AK1229" s="4"/>
      <c r="AL1229" s="4"/>
      <c r="AM1229" s="4"/>
      <c r="AN1229" s="4"/>
      <c r="AO1229" s="4"/>
      <c r="AP1229" s="4"/>
      <c r="AQ1229" s="4"/>
      <c r="AR1229" s="4"/>
      <c r="AS1229" s="4"/>
      <c r="AT1229" s="4"/>
      <c r="AU1229" s="4"/>
      <c r="AV1229" s="4"/>
      <c r="AW1229" s="4"/>
      <c r="AX1229" s="4"/>
      <c r="AY1229" s="4"/>
      <c r="AZ1229" s="4"/>
      <c r="BA1229" s="4"/>
      <c r="BB1229" s="4"/>
      <c r="BC1229" s="4"/>
      <c r="BD1229" s="4"/>
      <c r="BE1229" s="4"/>
      <c r="BF1229" s="4"/>
      <c r="BG1229" s="4"/>
      <c r="BH1229" s="4"/>
      <c r="BI1229" s="4"/>
      <c r="BJ1229" s="4"/>
      <c r="BK1229" s="4"/>
      <c r="BL1229" s="4"/>
      <c r="BM1229" s="4"/>
      <c r="BN1229" s="4"/>
      <c r="BO1229" s="4"/>
      <c r="BP1229" s="4"/>
      <c r="BQ1229" s="4"/>
      <c r="BR1229" s="4"/>
      <c r="BS1229" s="4"/>
      <c r="BT1229" s="4"/>
      <c r="BU1229" s="4"/>
      <c r="BV1229" s="4"/>
      <c r="BW1229" s="4"/>
      <c r="BX1229" s="4"/>
      <c r="BY1229" s="4"/>
      <c r="BZ1229" s="4"/>
      <c r="CA1229" s="4"/>
      <c r="CB1229" s="4"/>
      <c r="CC1229" s="4"/>
      <c r="CD1229" s="4"/>
      <c r="CE1229" s="4"/>
      <c r="CF1229" s="4"/>
      <c r="CG1229" s="4"/>
      <c r="CH1229" s="4"/>
      <c r="CI1229" s="4"/>
      <c r="CJ1229" s="4"/>
      <c r="CK1229" s="4"/>
      <c r="CL1229" s="4"/>
      <c r="CM1229" s="4"/>
      <c r="CN1229" s="4"/>
      <c r="CO1229" s="4"/>
      <c r="CP1229" s="4"/>
      <c r="CQ1229" s="4"/>
      <c r="CR1229" s="4"/>
      <c r="CS1229" s="4"/>
      <c r="CT1229" s="4"/>
      <c r="CU1229" s="4"/>
      <c r="CV1229" s="4"/>
      <c r="CW1229" s="4"/>
      <c r="CX1229" s="4"/>
      <c r="CY1229" s="4"/>
      <c r="CZ1229" s="4"/>
      <c r="DA1229" s="4"/>
      <c r="DB1229" s="4"/>
      <c r="DC1229" s="4"/>
      <c r="DD1229" s="4"/>
      <c r="DE1229" s="4"/>
      <c r="DF1229" s="4"/>
      <c r="DG1229" s="4"/>
      <c r="DH1229" s="4"/>
      <c r="DI1229" s="4"/>
      <c r="DJ1229" s="4"/>
      <c r="DK1229" s="4"/>
      <c r="DL1229" s="4"/>
      <c r="DM1229" s="4"/>
      <c r="DN1229" s="4"/>
      <c r="DO1229" s="4"/>
      <c r="DP1229" s="4"/>
      <c r="DQ1229" s="4"/>
      <c r="DR1229" s="4"/>
      <c r="DS1229" s="4"/>
    </row>
    <row r="1230">
      <c r="A1230" s="9">
        <f>IFERROR(__xludf.DUMMYFUNCTION("""COMPUTED_VALUE"""),45805.0)</f>
        <v>45805</v>
      </c>
      <c r="B1230" s="6" t="str">
        <f>IFERROR(__xludf.DUMMYFUNCTION("""COMPUTED_VALUE"""),"Groceries")</f>
        <v>Groceries</v>
      </c>
      <c r="C1230" s="7">
        <f>IFERROR(__xludf.DUMMYFUNCTION("""COMPUTED_VALUE"""),5000.0)</f>
        <v>5000</v>
      </c>
      <c r="D1230" s="6" t="str">
        <f>IFERROR(__xludf.DUMMYFUNCTION("""COMPUTED_VALUE"""),"Groceries")</f>
        <v>Groceries</v>
      </c>
      <c r="E1230" s="6" t="str">
        <f>IFERROR(__xludf.DUMMYFUNCTION("""COMPUTED_VALUE"""),"Virtual Wallet")</f>
        <v>Virtual Wallet</v>
      </c>
      <c r="F1230" s="6" t="s">
        <v>7</v>
      </c>
      <c r="G1230" s="8" t="str">
        <f t="shared" si="1"/>
        <v>202505</v>
      </c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  <c r="AH1230" s="4"/>
      <c r="AI1230" s="4"/>
      <c r="AJ1230" s="4"/>
      <c r="AK1230" s="4"/>
      <c r="AL1230" s="4"/>
      <c r="AM1230" s="4"/>
      <c r="AN1230" s="4"/>
      <c r="AO1230" s="4"/>
      <c r="AP1230" s="4"/>
      <c r="AQ1230" s="4"/>
      <c r="AR1230" s="4"/>
      <c r="AS1230" s="4"/>
      <c r="AT1230" s="4"/>
      <c r="AU1230" s="4"/>
      <c r="AV1230" s="4"/>
      <c r="AW1230" s="4"/>
      <c r="AX1230" s="4"/>
      <c r="AY1230" s="4"/>
      <c r="AZ1230" s="4"/>
      <c r="BA1230" s="4"/>
      <c r="BB1230" s="4"/>
      <c r="BC1230" s="4"/>
      <c r="BD1230" s="4"/>
      <c r="BE1230" s="4"/>
      <c r="BF1230" s="4"/>
      <c r="BG1230" s="4"/>
      <c r="BH1230" s="4"/>
      <c r="BI1230" s="4"/>
      <c r="BJ1230" s="4"/>
      <c r="BK1230" s="4"/>
      <c r="BL1230" s="4"/>
      <c r="BM1230" s="4"/>
      <c r="BN1230" s="4"/>
      <c r="BO1230" s="4"/>
      <c r="BP1230" s="4"/>
      <c r="BQ1230" s="4"/>
      <c r="BR1230" s="4"/>
      <c r="BS1230" s="4"/>
      <c r="BT1230" s="4"/>
      <c r="BU1230" s="4"/>
      <c r="BV1230" s="4"/>
      <c r="BW1230" s="4"/>
      <c r="BX1230" s="4"/>
      <c r="BY1230" s="4"/>
      <c r="BZ1230" s="4"/>
      <c r="CA1230" s="4"/>
      <c r="CB1230" s="4"/>
      <c r="CC1230" s="4"/>
      <c r="CD1230" s="4"/>
      <c r="CE1230" s="4"/>
      <c r="CF1230" s="4"/>
      <c r="CG1230" s="4"/>
      <c r="CH1230" s="4"/>
      <c r="CI1230" s="4"/>
      <c r="CJ1230" s="4"/>
      <c r="CK1230" s="4"/>
      <c r="CL1230" s="4"/>
      <c r="CM1230" s="4"/>
      <c r="CN1230" s="4"/>
      <c r="CO1230" s="4"/>
      <c r="CP1230" s="4"/>
      <c r="CQ1230" s="4"/>
      <c r="CR1230" s="4"/>
      <c r="CS1230" s="4"/>
      <c r="CT1230" s="4"/>
      <c r="CU1230" s="4"/>
      <c r="CV1230" s="4"/>
      <c r="CW1230" s="4"/>
      <c r="CX1230" s="4"/>
      <c r="CY1230" s="4"/>
      <c r="CZ1230" s="4"/>
      <c r="DA1230" s="4"/>
      <c r="DB1230" s="4"/>
      <c r="DC1230" s="4"/>
      <c r="DD1230" s="4"/>
      <c r="DE1230" s="4"/>
      <c r="DF1230" s="4"/>
      <c r="DG1230" s="4"/>
      <c r="DH1230" s="4"/>
      <c r="DI1230" s="4"/>
      <c r="DJ1230" s="4"/>
      <c r="DK1230" s="4"/>
      <c r="DL1230" s="4"/>
      <c r="DM1230" s="4"/>
      <c r="DN1230" s="4"/>
      <c r="DO1230" s="4"/>
      <c r="DP1230" s="4"/>
      <c r="DQ1230" s="4"/>
      <c r="DR1230" s="4"/>
      <c r="DS1230" s="4"/>
    </row>
    <row r="1231">
      <c r="A1231" s="9">
        <f>IFERROR(__xludf.DUMMYFUNCTION("""COMPUTED_VALUE"""),45805.0)</f>
        <v>45805</v>
      </c>
      <c r="B1231" s="6" t="str">
        <f>IFERROR(__xludf.DUMMYFUNCTION("""COMPUTED_VALUE"""),"Restaurant")</f>
        <v>Restaurant</v>
      </c>
      <c r="C1231" s="7">
        <f>IFERROR(__xludf.DUMMYFUNCTION("""COMPUTED_VALUE"""),450.0)</f>
        <v>450</v>
      </c>
      <c r="D1231" s="6" t="str">
        <f>IFERROR(__xludf.DUMMYFUNCTION("""COMPUTED_VALUE"""),"Restaurant / Café")</f>
        <v>Restaurant / Café</v>
      </c>
      <c r="E1231" s="6" t="str">
        <f>IFERROR(__xludf.DUMMYFUNCTION("""COMPUTED_VALUE"""),"Virtual Wallet")</f>
        <v>Virtual Wallet</v>
      </c>
      <c r="F1231" s="6" t="s">
        <v>14</v>
      </c>
      <c r="G1231" s="8" t="str">
        <f t="shared" si="1"/>
        <v>202505</v>
      </c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  <c r="AG1231" s="4"/>
      <c r="AH1231" s="4"/>
      <c r="AI1231" s="4"/>
      <c r="AJ1231" s="4"/>
      <c r="AK1231" s="4"/>
      <c r="AL1231" s="4"/>
      <c r="AM1231" s="4"/>
      <c r="AN1231" s="4"/>
      <c r="AO1231" s="4"/>
      <c r="AP1231" s="4"/>
      <c r="AQ1231" s="4"/>
      <c r="AR1231" s="4"/>
      <c r="AS1231" s="4"/>
      <c r="AT1231" s="4"/>
      <c r="AU1231" s="4"/>
      <c r="AV1231" s="4"/>
      <c r="AW1231" s="4"/>
      <c r="AX1231" s="4"/>
      <c r="AY1231" s="4"/>
      <c r="AZ1231" s="4"/>
      <c r="BA1231" s="4"/>
      <c r="BB1231" s="4"/>
      <c r="BC1231" s="4"/>
      <c r="BD1231" s="4"/>
      <c r="BE1231" s="4"/>
      <c r="BF1231" s="4"/>
      <c r="BG1231" s="4"/>
      <c r="BH1231" s="4"/>
      <c r="BI1231" s="4"/>
      <c r="BJ1231" s="4"/>
      <c r="BK1231" s="4"/>
      <c r="BL1231" s="4"/>
      <c r="BM1231" s="4"/>
      <c r="BN1231" s="4"/>
      <c r="BO1231" s="4"/>
      <c r="BP1231" s="4"/>
      <c r="BQ1231" s="4"/>
      <c r="BR1231" s="4"/>
      <c r="BS1231" s="4"/>
      <c r="BT1231" s="4"/>
      <c r="BU1231" s="4"/>
      <c r="BV1231" s="4"/>
      <c r="BW1231" s="4"/>
      <c r="BX1231" s="4"/>
      <c r="BY1231" s="4"/>
      <c r="BZ1231" s="4"/>
      <c r="CA1231" s="4"/>
      <c r="CB1231" s="4"/>
      <c r="CC1231" s="4"/>
      <c r="CD1231" s="4"/>
      <c r="CE1231" s="4"/>
      <c r="CF1231" s="4"/>
      <c r="CG1231" s="4"/>
      <c r="CH1231" s="4"/>
      <c r="CI1231" s="4"/>
      <c r="CJ1231" s="4"/>
      <c r="CK1231" s="4"/>
      <c r="CL1231" s="4"/>
      <c r="CM1231" s="4"/>
      <c r="CN1231" s="4"/>
      <c r="CO1231" s="4"/>
      <c r="CP1231" s="4"/>
      <c r="CQ1231" s="4"/>
      <c r="CR1231" s="4"/>
      <c r="CS1231" s="4"/>
      <c r="CT1231" s="4"/>
      <c r="CU1231" s="4"/>
      <c r="CV1231" s="4"/>
      <c r="CW1231" s="4"/>
      <c r="CX1231" s="4"/>
      <c r="CY1231" s="4"/>
      <c r="CZ1231" s="4"/>
      <c r="DA1231" s="4"/>
      <c r="DB1231" s="4"/>
      <c r="DC1231" s="4"/>
      <c r="DD1231" s="4"/>
      <c r="DE1231" s="4"/>
      <c r="DF1231" s="4"/>
      <c r="DG1231" s="4"/>
      <c r="DH1231" s="4"/>
      <c r="DI1231" s="4"/>
      <c r="DJ1231" s="4"/>
      <c r="DK1231" s="4"/>
      <c r="DL1231" s="4"/>
      <c r="DM1231" s="4"/>
      <c r="DN1231" s="4"/>
      <c r="DO1231" s="4"/>
      <c r="DP1231" s="4"/>
      <c r="DQ1231" s="4"/>
      <c r="DR1231" s="4"/>
      <c r="DS1231" s="4"/>
    </row>
    <row r="1232">
      <c r="A1232" s="9">
        <f>IFERROR(__xludf.DUMMYFUNCTION("""COMPUTED_VALUE"""),45807.0)</f>
        <v>45807</v>
      </c>
      <c r="B1232" s="6" t="str">
        <f>IFERROR(__xludf.DUMMYFUNCTION("""COMPUTED_VALUE"""),"Groceries")</f>
        <v>Groceries</v>
      </c>
      <c r="C1232" s="7">
        <f>IFERROR(__xludf.DUMMYFUNCTION("""COMPUTED_VALUE"""),5000.0)</f>
        <v>5000</v>
      </c>
      <c r="D1232" s="6" t="str">
        <f>IFERROR(__xludf.DUMMYFUNCTION("""COMPUTED_VALUE"""),"Restaurant / Café")</f>
        <v>Restaurant / Café</v>
      </c>
      <c r="E1232" s="6" t="str">
        <f>IFERROR(__xludf.DUMMYFUNCTION("""COMPUTED_VALUE"""),"Virtual Wallet")</f>
        <v>Virtual Wallet</v>
      </c>
      <c r="F1232" s="6" t="s">
        <v>14</v>
      </c>
      <c r="G1232" s="8" t="str">
        <f t="shared" si="1"/>
        <v>202505</v>
      </c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  <c r="AG1232" s="4"/>
      <c r="AH1232" s="4"/>
      <c r="AI1232" s="4"/>
      <c r="AJ1232" s="4"/>
      <c r="AK1232" s="4"/>
      <c r="AL1232" s="4"/>
      <c r="AM1232" s="4"/>
      <c r="AN1232" s="4"/>
      <c r="AO1232" s="4"/>
      <c r="AP1232" s="4"/>
      <c r="AQ1232" s="4"/>
      <c r="AR1232" s="4"/>
      <c r="AS1232" s="4"/>
      <c r="AT1232" s="4"/>
      <c r="AU1232" s="4"/>
      <c r="AV1232" s="4"/>
      <c r="AW1232" s="4"/>
      <c r="AX1232" s="4"/>
      <c r="AY1232" s="4"/>
      <c r="AZ1232" s="4"/>
      <c r="BA1232" s="4"/>
      <c r="BB1232" s="4"/>
      <c r="BC1232" s="4"/>
      <c r="BD1232" s="4"/>
      <c r="BE1232" s="4"/>
      <c r="BF1232" s="4"/>
      <c r="BG1232" s="4"/>
      <c r="BH1232" s="4"/>
      <c r="BI1232" s="4"/>
      <c r="BJ1232" s="4"/>
      <c r="BK1232" s="4"/>
      <c r="BL1232" s="4"/>
      <c r="BM1232" s="4"/>
      <c r="BN1232" s="4"/>
      <c r="BO1232" s="4"/>
      <c r="BP1232" s="4"/>
      <c r="BQ1232" s="4"/>
      <c r="BR1232" s="4"/>
      <c r="BS1232" s="4"/>
      <c r="BT1232" s="4"/>
      <c r="BU1232" s="4"/>
      <c r="BV1232" s="4"/>
      <c r="BW1232" s="4"/>
      <c r="BX1232" s="4"/>
      <c r="BY1232" s="4"/>
      <c r="BZ1232" s="4"/>
      <c r="CA1232" s="4"/>
      <c r="CB1232" s="4"/>
      <c r="CC1232" s="4"/>
      <c r="CD1232" s="4"/>
      <c r="CE1232" s="4"/>
      <c r="CF1232" s="4"/>
      <c r="CG1232" s="4"/>
      <c r="CH1232" s="4"/>
      <c r="CI1232" s="4"/>
      <c r="CJ1232" s="4"/>
      <c r="CK1232" s="4"/>
      <c r="CL1232" s="4"/>
      <c r="CM1232" s="4"/>
      <c r="CN1232" s="4"/>
      <c r="CO1232" s="4"/>
      <c r="CP1232" s="4"/>
      <c r="CQ1232" s="4"/>
      <c r="CR1232" s="4"/>
      <c r="CS1232" s="4"/>
      <c r="CT1232" s="4"/>
      <c r="CU1232" s="4"/>
      <c r="CV1232" s="4"/>
      <c r="CW1232" s="4"/>
      <c r="CX1232" s="4"/>
      <c r="CY1232" s="4"/>
      <c r="CZ1232" s="4"/>
      <c r="DA1232" s="4"/>
      <c r="DB1232" s="4"/>
      <c r="DC1232" s="4"/>
      <c r="DD1232" s="4"/>
      <c r="DE1232" s="4"/>
      <c r="DF1232" s="4"/>
      <c r="DG1232" s="4"/>
      <c r="DH1232" s="4"/>
      <c r="DI1232" s="4"/>
      <c r="DJ1232" s="4"/>
      <c r="DK1232" s="4"/>
      <c r="DL1232" s="4"/>
      <c r="DM1232" s="4"/>
      <c r="DN1232" s="4"/>
      <c r="DO1232" s="4"/>
      <c r="DP1232" s="4"/>
      <c r="DQ1232" s="4"/>
      <c r="DR1232" s="4"/>
      <c r="DS1232" s="4"/>
    </row>
    <row r="1233">
      <c r="A1233" s="9">
        <f>IFERROR(__xludf.DUMMYFUNCTION("""COMPUTED_VALUE"""),45807.0)</f>
        <v>45807</v>
      </c>
      <c r="B1233" s="6" t="str">
        <f>IFERROR(__xludf.DUMMYFUNCTION("""COMPUTED_VALUE"""),"Restaurant")</f>
        <v>Restaurant</v>
      </c>
      <c r="C1233" s="7">
        <f>IFERROR(__xludf.DUMMYFUNCTION("""COMPUTED_VALUE"""),2400.0)</f>
        <v>2400</v>
      </c>
      <c r="D1233" s="6" t="str">
        <f>IFERROR(__xludf.DUMMYFUNCTION("""COMPUTED_VALUE"""),"Restaurant / Café")</f>
        <v>Restaurant / Café</v>
      </c>
      <c r="E1233" s="6" t="str">
        <f>IFERROR(__xludf.DUMMYFUNCTION("""COMPUTED_VALUE"""),"Virtual Wallet")</f>
        <v>Virtual Wallet</v>
      </c>
      <c r="F1233" s="6" t="s">
        <v>14</v>
      </c>
      <c r="G1233" s="8" t="str">
        <f t="shared" si="1"/>
        <v>202505</v>
      </c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  <c r="AG1233" s="4"/>
      <c r="AH1233" s="4"/>
      <c r="AI1233" s="4"/>
      <c r="AJ1233" s="4"/>
      <c r="AK1233" s="4"/>
      <c r="AL1233" s="4"/>
      <c r="AM1233" s="4"/>
      <c r="AN1233" s="4"/>
      <c r="AO1233" s="4"/>
      <c r="AP1233" s="4"/>
      <c r="AQ1233" s="4"/>
      <c r="AR1233" s="4"/>
      <c r="AS1233" s="4"/>
      <c r="AT1233" s="4"/>
      <c r="AU1233" s="4"/>
      <c r="AV1233" s="4"/>
      <c r="AW1233" s="4"/>
      <c r="AX1233" s="4"/>
      <c r="AY1233" s="4"/>
      <c r="AZ1233" s="4"/>
      <c r="BA1233" s="4"/>
      <c r="BB1233" s="4"/>
      <c r="BC1233" s="4"/>
      <c r="BD1233" s="4"/>
      <c r="BE1233" s="4"/>
      <c r="BF1233" s="4"/>
      <c r="BG1233" s="4"/>
      <c r="BH1233" s="4"/>
      <c r="BI1233" s="4"/>
      <c r="BJ1233" s="4"/>
      <c r="BK1233" s="4"/>
      <c r="BL1233" s="4"/>
      <c r="BM1233" s="4"/>
      <c r="BN1233" s="4"/>
      <c r="BO1233" s="4"/>
      <c r="BP1233" s="4"/>
      <c r="BQ1233" s="4"/>
      <c r="BR1233" s="4"/>
      <c r="BS1233" s="4"/>
      <c r="BT1233" s="4"/>
      <c r="BU1233" s="4"/>
      <c r="BV1233" s="4"/>
      <c r="BW1233" s="4"/>
      <c r="BX1233" s="4"/>
      <c r="BY1233" s="4"/>
      <c r="BZ1233" s="4"/>
      <c r="CA1233" s="4"/>
      <c r="CB1233" s="4"/>
      <c r="CC1233" s="4"/>
      <c r="CD1233" s="4"/>
      <c r="CE1233" s="4"/>
      <c r="CF1233" s="4"/>
      <c r="CG1233" s="4"/>
      <c r="CH1233" s="4"/>
      <c r="CI1233" s="4"/>
      <c r="CJ1233" s="4"/>
      <c r="CK1233" s="4"/>
      <c r="CL1233" s="4"/>
      <c r="CM1233" s="4"/>
      <c r="CN1233" s="4"/>
      <c r="CO1233" s="4"/>
      <c r="CP1233" s="4"/>
      <c r="CQ1233" s="4"/>
      <c r="CR1233" s="4"/>
      <c r="CS1233" s="4"/>
      <c r="CT1233" s="4"/>
      <c r="CU1233" s="4"/>
      <c r="CV1233" s="4"/>
      <c r="CW1233" s="4"/>
      <c r="CX1233" s="4"/>
      <c r="CY1233" s="4"/>
      <c r="CZ1233" s="4"/>
      <c r="DA1233" s="4"/>
      <c r="DB1233" s="4"/>
      <c r="DC1233" s="4"/>
      <c r="DD1233" s="4"/>
      <c r="DE1233" s="4"/>
      <c r="DF1233" s="4"/>
      <c r="DG1233" s="4"/>
      <c r="DH1233" s="4"/>
      <c r="DI1233" s="4"/>
      <c r="DJ1233" s="4"/>
      <c r="DK1233" s="4"/>
      <c r="DL1233" s="4"/>
      <c r="DM1233" s="4"/>
      <c r="DN1233" s="4"/>
      <c r="DO1233" s="4"/>
      <c r="DP1233" s="4"/>
      <c r="DQ1233" s="4"/>
      <c r="DR1233" s="4"/>
      <c r="DS1233" s="4"/>
    </row>
    <row r="1234">
      <c r="A1234" s="9">
        <f>IFERROR(__xludf.DUMMYFUNCTION("""COMPUTED_VALUE"""),45807.0)</f>
        <v>45807</v>
      </c>
      <c r="B1234" s="6" t="str">
        <f>IFERROR(__xludf.DUMMYFUNCTION("""COMPUTED_VALUE"""),"Restaurant")</f>
        <v>Restaurant</v>
      </c>
      <c r="C1234" s="7">
        <f>IFERROR(__xludf.DUMMYFUNCTION("""COMPUTED_VALUE"""),24000.0)</f>
        <v>24000</v>
      </c>
      <c r="D1234" s="6" t="str">
        <f>IFERROR(__xludf.DUMMYFUNCTION("""COMPUTED_VALUE"""),"Restaurant / Café")</f>
        <v>Restaurant / Café</v>
      </c>
      <c r="E1234" s="6" t="str">
        <f>IFERROR(__xludf.DUMMYFUNCTION("""COMPUTED_VALUE"""),"Virtual Wallet")</f>
        <v>Virtual Wallet</v>
      </c>
      <c r="F1234" s="6" t="s">
        <v>14</v>
      </c>
      <c r="G1234" s="8" t="str">
        <f t="shared" si="1"/>
        <v>202505</v>
      </c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  <c r="AG1234" s="4"/>
      <c r="AH1234" s="4"/>
      <c r="AI1234" s="4"/>
      <c r="AJ1234" s="4"/>
      <c r="AK1234" s="4"/>
      <c r="AL1234" s="4"/>
      <c r="AM1234" s="4"/>
      <c r="AN1234" s="4"/>
      <c r="AO1234" s="4"/>
      <c r="AP1234" s="4"/>
      <c r="AQ1234" s="4"/>
      <c r="AR1234" s="4"/>
      <c r="AS1234" s="4"/>
      <c r="AT1234" s="4"/>
      <c r="AU1234" s="4"/>
      <c r="AV1234" s="4"/>
      <c r="AW1234" s="4"/>
      <c r="AX1234" s="4"/>
      <c r="AY1234" s="4"/>
      <c r="AZ1234" s="4"/>
      <c r="BA1234" s="4"/>
      <c r="BB1234" s="4"/>
      <c r="BC1234" s="4"/>
      <c r="BD1234" s="4"/>
      <c r="BE1234" s="4"/>
      <c r="BF1234" s="4"/>
      <c r="BG1234" s="4"/>
      <c r="BH1234" s="4"/>
      <c r="BI1234" s="4"/>
      <c r="BJ1234" s="4"/>
      <c r="BK1234" s="4"/>
      <c r="BL1234" s="4"/>
      <c r="BM1234" s="4"/>
      <c r="BN1234" s="4"/>
      <c r="BO1234" s="4"/>
      <c r="BP1234" s="4"/>
      <c r="BQ1234" s="4"/>
      <c r="BR1234" s="4"/>
      <c r="BS1234" s="4"/>
      <c r="BT1234" s="4"/>
      <c r="BU1234" s="4"/>
      <c r="BV1234" s="4"/>
      <c r="BW1234" s="4"/>
      <c r="BX1234" s="4"/>
      <c r="BY1234" s="4"/>
      <c r="BZ1234" s="4"/>
      <c r="CA1234" s="4"/>
      <c r="CB1234" s="4"/>
      <c r="CC1234" s="4"/>
      <c r="CD1234" s="4"/>
      <c r="CE1234" s="4"/>
      <c r="CF1234" s="4"/>
      <c r="CG1234" s="4"/>
      <c r="CH1234" s="4"/>
      <c r="CI1234" s="4"/>
      <c r="CJ1234" s="4"/>
      <c r="CK1234" s="4"/>
      <c r="CL1234" s="4"/>
      <c r="CM1234" s="4"/>
      <c r="CN1234" s="4"/>
      <c r="CO1234" s="4"/>
      <c r="CP1234" s="4"/>
      <c r="CQ1234" s="4"/>
      <c r="CR1234" s="4"/>
      <c r="CS1234" s="4"/>
      <c r="CT1234" s="4"/>
      <c r="CU1234" s="4"/>
      <c r="CV1234" s="4"/>
      <c r="CW1234" s="4"/>
      <c r="CX1234" s="4"/>
      <c r="CY1234" s="4"/>
      <c r="CZ1234" s="4"/>
      <c r="DA1234" s="4"/>
      <c r="DB1234" s="4"/>
      <c r="DC1234" s="4"/>
      <c r="DD1234" s="4"/>
      <c r="DE1234" s="4"/>
      <c r="DF1234" s="4"/>
      <c r="DG1234" s="4"/>
      <c r="DH1234" s="4"/>
      <c r="DI1234" s="4"/>
      <c r="DJ1234" s="4"/>
      <c r="DK1234" s="4"/>
      <c r="DL1234" s="4"/>
      <c r="DM1234" s="4"/>
      <c r="DN1234" s="4"/>
      <c r="DO1234" s="4"/>
      <c r="DP1234" s="4"/>
      <c r="DQ1234" s="4"/>
      <c r="DR1234" s="4"/>
      <c r="DS1234" s="4"/>
    </row>
    <row r="1235">
      <c r="A1235" s="9">
        <f>IFERROR(__xludf.DUMMYFUNCTION("""COMPUTED_VALUE"""),45808.0)</f>
        <v>45808</v>
      </c>
      <c r="B1235" s="6" t="str">
        <f>IFERROR(__xludf.DUMMYFUNCTION("""COMPUTED_VALUE"""),"Pets")</f>
        <v>Pets</v>
      </c>
      <c r="C1235" s="7">
        <f>IFERROR(__xludf.DUMMYFUNCTION("""COMPUTED_VALUE"""),3500.0)</f>
        <v>3500</v>
      </c>
      <c r="D1235" s="6" t="str">
        <f>IFERROR(__xludf.DUMMYFUNCTION("""COMPUTED_VALUE"""),"Pets")</f>
        <v>Pets</v>
      </c>
      <c r="E1235" s="6" t="str">
        <f>IFERROR(__xludf.DUMMYFUNCTION("""COMPUTED_VALUE"""),"Virtual Wallet")</f>
        <v>Virtual Wallet</v>
      </c>
      <c r="F1235" s="6" t="s">
        <v>7</v>
      </c>
      <c r="G1235" s="8" t="str">
        <f t="shared" si="1"/>
        <v>202505</v>
      </c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  <c r="AH1235" s="4"/>
      <c r="AI1235" s="4"/>
      <c r="AJ1235" s="4"/>
      <c r="AK1235" s="4"/>
      <c r="AL1235" s="4"/>
      <c r="AM1235" s="4"/>
      <c r="AN1235" s="4"/>
      <c r="AO1235" s="4"/>
      <c r="AP1235" s="4"/>
      <c r="AQ1235" s="4"/>
      <c r="AR1235" s="4"/>
      <c r="AS1235" s="4"/>
      <c r="AT1235" s="4"/>
      <c r="AU1235" s="4"/>
      <c r="AV1235" s="4"/>
      <c r="AW1235" s="4"/>
      <c r="AX1235" s="4"/>
      <c r="AY1235" s="4"/>
      <c r="AZ1235" s="4"/>
      <c r="BA1235" s="4"/>
      <c r="BB1235" s="4"/>
      <c r="BC1235" s="4"/>
      <c r="BD1235" s="4"/>
      <c r="BE1235" s="4"/>
      <c r="BF1235" s="4"/>
      <c r="BG1235" s="4"/>
      <c r="BH1235" s="4"/>
      <c r="BI1235" s="4"/>
      <c r="BJ1235" s="4"/>
      <c r="BK1235" s="4"/>
      <c r="BL1235" s="4"/>
      <c r="BM1235" s="4"/>
      <c r="BN1235" s="4"/>
      <c r="BO1235" s="4"/>
      <c r="BP1235" s="4"/>
      <c r="BQ1235" s="4"/>
      <c r="BR1235" s="4"/>
      <c r="BS1235" s="4"/>
      <c r="BT1235" s="4"/>
      <c r="BU1235" s="4"/>
      <c r="BV1235" s="4"/>
      <c r="BW1235" s="4"/>
      <c r="BX1235" s="4"/>
      <c r="BY1235" s="4"/>
      <c r="BZ1235" s="4"/>
      <c r="CA1235" s="4"/>
      <c r="CB1235" s="4"/>
      <c r="CC1235" s="4"/>
      <c r="CD1235" s="4"/>
      <c r="CE1235" s="4"/>
      <c r="CF1235" s="4"/>
      <c r="CG1235" s="4"/>
      <c r="CH1235" s="4"/>
      <c r="CI1235" s="4"/>
      <c r="CJ1235" s="4"/>
      <c r="CK1235" s="4"/>
      <c r="CL1235" s="4"/>
      <c r="CM1235" s="4"/>
      <c r="CN1235" s="4"/>
      <c r="CO1235" s="4"/>
      <c r="CP1235" s="4"/>
      <c r="CQ1235" s="4"/>
      <c r="CR1235" s="4"/>
      <c r="CS1235" s="4"/>
      <c r="CT1235" s="4"/>
      <c r="CU1235" s="4"/>
      <c r="CV1235" s="4"/>
      <c r="CW1235" s="4"/>
      <c r="CX1235" s="4"/>
      <c r="CY1235" s="4"/>
      <c r="CZ1235" s="4"/>
      <c r="DA1235" s="4"/>
      <c r="DB1235" s="4"/>
      <c r="DC1235" s="4"/>
      <c r="DD1235" s="4"/>
      <c r="DE1235" s="4"/>
      <c r="DF1235" s="4"/>
      <c r="DG1235" s="4"/>
      <c r="DH1235" s="4"/>
      <c r="DI1235" s="4"/>
      <c r="DJ1235" s="4"/>
      <c r="DK1235" s="4"/>
      <c r="DL1235" s="4"/>
      <c r="DM1235" s="4"/>
      <c r="DN1235" s="4"/>
      <c r="DO1235" s="4"/>
      <c r="DP1235" s="4"/>
      <c r="DQ1235" s="4"/>
      <c r="DR1235" s="4"/>
      <c r="DS1235" s="4"/>
    </row>
    <row r="1236">
      <c r="A1236" s="9">
        <f>IFERROR(__xludf.DUMMYFUNCTION("""COMPUTED_VALUE"""),45809.0)</f>
        <v>45809</v>
      </c>
      <c r="B1236" s="6" t="str">
        <f>IFERROR(__xludf.DUMMYFUNCTION("""COMPUTED_VALUE"""),"Clothing")</f>
        <v>Clothing</v>
      </c>
      <c r="C1236" s="7">
        <f>IFERROR(__xludf.DUMMYFUNCTION("""COMPUTED_VALUE"""),5000.0)</f>
        <v>5000</v>
      </c>
      <c r="D1236" s="6" t="str">
        <f>IFERROR(__xludf.DUMMYFUNCTION("""COMPUTED_VALUE"""),"Clothing")</f>
        <v>Clothing</v>
      </c>
      <c r="E1236" s="6" t="str">
        <f>IFERROR(__xludf.DUMMYFUNCTION("""COMPUTED_VALUE"""),"Cash")</f>
        <v>Cash</v>
      </c>
      <c r="F1236" s="6" t="s">
        <v>10</v>
      </c>
      <c r="G1236" s="8" t="str">
        <f t="shared" si="1"/>
        <v>202506</v>
      </c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  <c r="AH1236" s="4"/>
      <c r="AI1236" s="4"/>
      <c r="AJ1236" s="4"/>
      <c r="AK1236" s="4"/>
      <c r="AL1236" s="4"/>
      <c r="AM1236" s="4"/>
      <c r="AN1236" s="4"/>
      <c r="AO1236" s="4"/>
      <c r="AP1236" s="4"/>
      <c r="AQ1236" s="4"/>
      <c r="AR1236" s="4"/>
      <c r="AS1236" s="4"/>
      <c r="AT1236" s="4"/>
      <c r="AU1236" s="4"/>
      <c r="AV1236" s="4"/>
      <c r="AW1236" s="4"/>
      <c r="AX1236" s="4"/>
      <c r="AY1236" s="4"/>
      <c r="AZ1236" s="4"/>
      <c r="BA1236" s="4"/>
      <c r="BB1236" s="4"/>
      <c r="BC1236" s="4"/>
      <c r="BD1236" s="4"/>
      <c r="BE1236" s="4"/>
      <c r="BF1236" s="4"/>
      <c r="BG1236" s="4"/>
      <c r="BH1236" s="4"/>
      <c r="BI1236" s="4"/>
      <c r="BJ1236" s="4"/>
      <c r="BK1236" s="4"/>
      <c r="BL1236" s="4"/>
      <c r="BM1236" s="4"/>
      <c r="BN1236" s="4"/>
      <c r="BO1236" s="4"/>
      <c r="BP1236" s="4"/>
      <c r="BQ1236" s="4"/>
      <c r="BR1236" s="4"/>
      <c r="BS1236" s="4"/>
      <c r="BT1236" s="4"/>
      <c r="BU1236" s="4"/>
      <c r="BV1236" s="4"/>
      <c r="BW1236" s="4"/>
      <c r="BX1236" s="4"/>
      <c r="BY1236" s="4"/>
      <c r="BZ1236" s="4"/>
      <c r="CA1236" s="4"/>
      <c r="CB1236" s="4"/>
      <c r="CC1236" s="4"/>
      <c r="CD1236" s="4"/>
      <c r="CE1236" s="4"/>
      <c r="CF1236" s="4"/>
      <c r="CG1236" s="4"/>
      <c r="CH1236" s="4"/>
      <c r="CI1236" s="4"/>
      <c r="CJ1236" s="4"/>
      <c r="CK1236" s="4"/>
      <c r="CL1236" s="4"/>
      <c r="CM1236" s="4"/>
      <c r="CN1236" s="4"/>
      <c r="CO1236" s="4"/>
      <c r="CP1236" s="4"/>
      <c r="CQ1236" s="4"/>
      <c r="CR1236" s="4"/>
      <c r="CS1236" s="4"/>
      <c r="CT1236" s="4"/>
      <c r="CU1236" s="4"/>
      <c r="CV1236" s="4"/>
      <c r="CW1236" s="4"/>
      <c r="CX1236" s="4"/>
      <c r="CY1236" s="4"/>
      <c r="CZ1236" s="4"/>
      <c r="DA1236" s="4"/>
      <c r="DB1236" s="4"/>
      <c r="DC1236" s="4"/>
      <c r="DD1236" s="4"/>
      <c r="DE1236" s="4"/>
      <c r="DF1236" s="4"/>
      <c r="DG1236" s="4"/>
      <c r="DH1236" s="4"/>
      <c r="DI1236" s="4"/>
      <c r="DJ1236" s="4"/>
      <c r="DK1236" s="4"/>
      <c r="DL1236" s="4"/>
      <c r="DM1236" s="4"/>
      <c r="DN1236" s="4"/>
      <c r="DO1236" s="4"/>
      <c r="DP1236" s="4"/>
      <c r="DQ1236" s="4"/>
      <c r="DR1236" s="4"/>
      <c r="DS1236" s="4"/>
    </row>
    <row r="1237">
      <c r="A1237" s="9">
        <f>IFERROR(__xludf.DUMMYFUNCTION("""COMPUTED_VALUE"""),45809.0)</f>
        <v>45809</v>
      </c>
      <c r="B1237" s="6" t="str">
        <f>IFERROR(__xludf.DUMMYFUNCTION("""COMPUTED_VALUE"""),"Gas Bill (Metrogas)")</f>
        <v>Gas Bill (Metrogas)</v>
      </c>
      <c r="C1237" s="7">
        <f>IFERROR(__xludf.DUMMYFUNCTION("""COMPUTED_VALUE"""),10759.0)</f>
        <v>10759</v>
      </c>
      <c r="D1237" s="6" t="str">
        <f>IFERROR(__xludf.DUMMYFUNCTION("""COMPUTED_VALUE"""),"Basic Services")</f>
        <v>Basic Services</v>
      </c>
      <c r="E1237" s="6" t="str">
        <f>IFERROR(__xludf.DUMMYFUNCTION("""COMPUTED_VALUE"""),"Split Payment")</f>
        <v>Split Payment</v>
      </c>
      <c r="F1237" s="6" t="s">
        <v>13</v>
      </c>
      <c r="G1237" s="8" t="str">
        <f t="shared" si="1"/>
        <v>202506</v>
      </c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  <c r="AH1237" s="4"/>
      <c r="AI1237" s="4"/>
      <c r="AJ1237" s="4"/>
      <c r="AK1237" s="4"/>
      <c r="AL1237" s="4"/>
      <c r="AM1237" s="4"/>
      <c r="AN1237" s="4"/>
      <c r="AO1237" s="4"/>
      <c r="AP1237" s="4"/>
      <c r="AQ1237" s="4"/>
      <c r="AR1237" s="4"/>
      <c r="AS1237" s="4"/>
      <c r="AT1237" s="4"/>
      <c r="AU1237" s="4"/>
      <c r="AV1237" s="4"/>
      <c r="AW1237" s="4"/>
      <c r="AX1237" s="4"/>
      <c r="AY1237" s="4"/>
      <c r="AZ1237" s="4"/>
      <c r="BA1237" s="4"/>
      <c r="BB1237" s="4"/>
      <c r="BC1237" s="4"/>
      <c r="BD1237" s="4"/>
      <c r="BE1237" s="4"/>
      <c r="BF1237" s="4"/>
      <c r="BG1237" s="4"/>
      <c r="BH1237" s="4"/>
      <c r="BI1237" s="4"/>
      <c r="BJ1237" s="4"/>
      <c r="BK1237" s="4"/>
      <c r="BL1237" s="4"/>
      <c r="BM1237" s="4"/>
      <c r="BN1237" s="4"/>
      <c r="BO1237" s="4"/>
      <c r="BP1237" s="4"/>
      <c r="BQ1237" s="4"/>
      <c r="BR1237" s="4"/>
      <c r="BS1237" s="4"/>
      <c r="BT1237" s="4"/>
      <c r="BU1237" s="4"/>
      <c r="BV1237" s="4"/>
      <c r="BW1237" s="4"/>
      <c r="BX1237" s="4"/>
      <c r="BY1237" s="4"/>
      <c r="BZ1237" s="4"/>
      <c r="CA1237" s="4"/>
      <c r="CB1237" s="4"/>
      <c r="CC1237" s="4"/>
      <c r="CD1237" s="4"/>
      <c r="CE1237" s="4"/>
      <c r="CF1237" s="4"/>
      <c r="CG1237" s="4"/>
      <c r="CH1237" s="4"/>
      <c r="CI1237" s="4"/>
      <c r="CJ1237" s="4"/>
      <c r="CK1237" s="4"/>
      <c r="CL1237" s="4"/>
      <c r="CM1237" s="4"/>
      <c r="CN1237" s="4"/>
      <c r="CO1237" s="4"/>
      <c r="CP1237" s="4"/>
      <c r="CQ1237" s="4"/>
      <c r="CR1237" s="4"/>
      <c r="CS1237" s="4"/>
      <c r="CT1237" s="4"/>
      <c r="CU1237" s="4"/>
      <c r="CV1237" s="4"/>
      <c r="CW1237" s="4"/>
      <c r="CX1237" s="4"/>
      <c r="CY1237" s="4"/>
      <c r="CZ1237" s="4"/>
      <c r="DA1237" s="4"/>
      <c r="DB1237" s="4"/>
      <c r="DC1237" s="4"/>
      <c r="DD1237" s="4"/>
      <c r="DE1237" s="4"/>
      <c r="DF1237" s="4"/>
      <c r="DG1237" s="4"/>
      <c r="DH1237" s="4"/>
      <c r="DI1237" s="4"/>
      <c r="DJ1237" s="4"/>
      <c r="DK1237" s="4"/>
      <c r="DL1237" s="4"/>
      <c r="DM1237" s="4"/>
      <c r="DN1237" s="4"/>
      <c r="DO1237" s="4"/>
      <c r="DP1237" s="4"/>
      <c r="DQ1237" s="4"/>
      <c r="DR1237" s="4"/>
      <c r="DS1237" s="4"/>
    </row>
    <row r="1238">
      <c r="A1238" s="9">
        <f>IFERROR(__xludf.DUMMYFUNCTION("""COMPUTED_VALUE"""),45809.0)</f>
        <v>45809</v>
      </c>
      <c r="B1238" s="6" t="str">
        <f>IFERROR(__xludf.DUMMYFUNCTION("""COMPUTED_VALUE"""),"Gift")</f>
        <v>Gift</v>
      </c>
      <c r="C1238" s="7">
        <f>IFERROR(__xludf.DUMMYFUNCTION("""COMPUTED_VALUE"""),11667.0)</f>
        <v>11667</v>
      </c>
      <c r="D1238" s="6" t="str">
        <f>IFERROR(__xludf.DUMMYFUNCTION("""COMPUTED_VALUE"""),"Gifts")</f>
        <v>Gifts</v>
      </c>
      <c r="E1238" s="6" t="str">
        <f>IFERROR(__xludf.DUMMYFUNCTION("""COMPUTED_VALUE"""),"Credit Card")</f>
        <v>Credit Card</v>
      </c>
      <c r="F1238" s="6"/>
      <c r="G1238" s="8" t="str">
        <f t="shared" si="1"/>
        <v>202506</v>
      </c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  <c r="AG1238" s="4"/>
      <c r="AH1238" s="4"/>
      <c r="AI1238" s="4"/>
      <c r="AJ1238" s="4"/>
      <c r="AK1238" s="4"/>
      <c r="AL1238" s="4"/>
      <c r="AM1238" s="4"/>
      <c r="AN1238" s="4"/>
      <c r="AO1238" s="4"/>
      <c r="AP1238" s="4"/>
      <c r="AQ1238" s="4"/>
      <c r="AR1238" s="4"/>
      <c r="AS1238" s="4"/>
      <c r="AT1238" s="4"/>
      <c r="AU1238" s="4"/>
      <c r="AV1238" s="4"/>
      <c r="AW1238" s="4"/>
      <c r="AX1238" s="4"/>
      <c r="AY1238" s="4"/>
      <c r="AZ1238" s="4"/>
      <c r="BA1238" s="4"/>
      <c r="BB1238" s="4"/>
      <c r="BC1238" s="4"/>
      <c r="BD1238" s="4"/>
      <c r="BE1238" s="4"/>
      <c r="BF1238" s="4"/>
      <c r="BG1238" s="4"/>
      <c r="BH1238" s="4"/>
      <c r="BI1238" s="4"/>
      <c r="BJ1238" s="4"/>
      <c r="BK1238" s="4"/>
      <c r="BL1238" s="4"/>
      <c r="BM1238" s="4"/>
      <c r="BN1238" s="4"/>
      <c r="BO1238" s="4"/>
      <c r="BP1238" s="4"/>
      <c r="BQ1238" s="4"/>
      <c r="BR1238" s="4"/>
      <c r="BS1238" s="4"/>
      <c r="BT1238" s="4"/>
      <c r="BU1238" s="4"/>
      <c r="BV1238" s="4"/>
      <c r="BW1238" s="4"/>
      <c r="BX1238" s="4"/>
      <c r="BY1238" s="4"/>
      <c r="BZ1238" s="4"/>
      <c r="CA1238" s="4"/>
      <c r="CB1238" s="4"/>
      <c r="CC1238" s="4"/>
      <c r="CD1238" s="4"/>
      <c r="CE1238" s="4"/>
      <c r="CF1238" s="4"/>
      <c r="CG1238" s="4"/>
      <c r="CH1238" s="4"/>
      <c r="CI1238" s="4"/>
      <c r="CJ1238" s="4"/>
      <c r="CK1238" s="4"/>
      <c r="CL1238" s="4"/>
      <c r="CM1238" s="4"/>
      <c r="CN1238" s="4"/>
      <c r="CO1238" s="4"/>
      <c r="CP1238" s="4"/>
      <c r="CQ1238" s="4"/>
      <c r="CR1238" s="4"/>
      <c r="CS1238" s="4"/>
      <c r="CT1238" s="4"/>
      <c r="CU1238" s="4"/>
      <c r="CV1238" s="4"/>
      <c r="CW1238" s="4"/>
      <c r="CX1238" s="4"/>
      <c r="CY1238" s="4"/>
      <c r="CZ1238" s="4"/>
      <c r="DA1238" s="4"/>
      <c r="DB1238" s="4"/>
      <c r="DC1238" s="4"/>
      <c r="DD1238" s="4"/>
      <c r="DE1238" s="4"/>
      <c r="DF1238" s="4"/>
      <c r="DG1238" s="4"/>
      <c r="DH1238" s="4"/>
      <c r="DI1238" s="4"/>
      <c r="DJ1238" s="4"/>
      <c r="DK1238" s="4"/>
      <c r="DL1238" s="4"/>
      <c r="DM1238" s="4"/>
      <c r="DN1238" s="4"/>
      <c r="DO1238" s="4"/>
      <c r="DP1238" s="4"/>
      <c r="DQ1238" s="4"/>
      <c r="DR1238" s="4"/>
      <c r="DS1238" s="4"/>
    </row>
    <row r="1239">
      <c r="A1239" s="9">
        <f>IFERROR(__xludf.DUMMYFUNCTION("""COMPUTED_VALUE"""),45809.0)</f>
        <v>45809</v>
      </c>
      <c r="B1239" s="6" t="str">
        <f>IFERROR(__xludf.DUMMYFUNCTION("""COMPUTED_VALUE"""),"Groceries")</f>
        <v>Groceries</v>
      </c>
      <c r="C1239" s="7">
        <f>IFERROR(__xludf.DUMMYFUNCTION("""COMPUTED_VALUE"""),25000.0)</f>
        <v>25000</v>
      </c>
      <c r="D1239" s="6" t="str">
        <f>IFERROR(__xludf.DUMMYFUNCTION("""COMPUTED_VALUE"""),"Groceries")</f>
        <v>Groceries</v>
      </c>
      <c r="E1239" s="6" t="str">
        <f>IFERROR(__xludf.DUMMYFUNCTION("""COMPUTED_VALUE"""),"Split Payment")</f>
        <v>Split Payment</v>
      </c>
      <c r="F1239" s="6" t="s">
        <v>7</v>
      </c>
      <c r="G1239" s="8" t="str">
        <f t="shared" si="1"/>
        <v>202506</v>
      </c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  <c r="AG1239" s="4"/>
      <c r="AH1239" s="4"/>
      <c r="AI1239" s="4"/>
      <c r="AJ1239" s="4"/>
      <c r="AK1239" s="4"/>
      <c r="AL1239" s="4"/>
      <c r="AM1239" s="4"/>
      <c r="AN1239" s="4"/>
      <c r="AO1239" s="4"/>
      <c r="AP1239" s="4"/>
      <c r="AQ1239" s="4"/>
      <c r="AR1239" s="4"/>
      <c r="AS1239" s="4"/>
      <c r="AT1239" s="4"/>
      <c r="AU1239" s="4"/>
      <c r="AV1239" s="4"/>
      <c r="AW1239" s="4"/>
      <c r="AX1239" s="4"/>
      <c r="AY1239" s="4"/>
      <c r="AZ1239" s="4"/>
      <c r="BA1239" s="4"/>
      <c r="BB1239" s="4"/>
      <c r="BC1239" s="4"/>
      <c r="BD1239" s="4"/>
      <c r="BE1239" s="4"/>
      <c r="BF1239" s="4"/>
      <c r="BG1239" s="4"/>
      <c r="BH1239" s="4"/>
      <c r="BI1239" s="4"/>
      <c r="BJ1239" s="4"/>
      <c r="BK1239" s="4"/>
      <c r="BL1239" s="4"/>
      <c r="BM1239" s="4"/>
      <c r="BN1239" s="4"/>
      <c r="BO1239" s="4"/>
      <c r="BP1239" s="4"/>
      <c r="BQ1239" s="4"/>
      <c r="BR1239" s="4"/>
      <c r="BS1239" s="4"/>
      <c r="BT1239" s="4"/>
      <c r="BU1239" s="4"/>
      <c r="BV1239" s="4"/>
      <c r="BW1239" s="4"/>
      <c r="BX1239" s="4"/>
      <c r="BY1239" s="4"/>
      <c r="BZ1239" s="4"/>
      <c r="CA1239" s="4"/>
      <c r="CB1239" s="4"/>
      <c r="CC1239" s="4"/>
      <c r="CD1239" s="4"/>
      <c r="CE1239" s="4"/>
      <c r="CF1239" s="4"/>
      <c r="CG1239" s="4"/>
      <c r="CH1239" s="4"/>
      <c r="CI1239" s="4"/>
      <c r="CJ1239" s="4"/>
      <c r="CK1239" s="4"/>
      <c r="CL1239" s="4"/>
      <c r="CM1239" s="4"/>
      <c r="CN1239" s="4"/>
      <c r="CO1239" s="4"/>
      <c r="CP1239" s="4"/>
      <c r="CQ1239" s="4"/>
      <c r="CR1239" s="4"/>
      <c r="CS1239" s="4"/>
      <c r="CT1239" s="4"/>
      <c r="CU1239" s="4"/>
      <c r="CV1239" s="4"/>
      <c r="CW1239" s="4"/>
      <c r="CX1239" s="4"/>
      <c r="CY1239" s="4"/>
      <c r="CZ1239" s="4"/>
      <c r="DA1239" s="4"/>
      <c r="DB1239" s="4"/>
      <c r="DC1239" s="4"/>
      <c r="DD1239" s="4"/>
      <c r="DE1239" s="4"/>
      <c r="DF1239" s="4"/>
      <c r="DG1239" s="4"/>
      <c r="DH1239" s="4"/>
      <c r="DI1239" s="4"/>
      <c r="DJ1239" s="4"/>
      <c r="DK1239" s="4"/>
      <c r="DL1239" s="4"/>
      <c r="DM1239" s="4"/>
      <c r="DN1239" s="4"/>
      <c r="DO1239" s="4"/>
      <c r="DP1239" s="4"/>
      <c r="DQ1239" s="4"/>
      <c r="DR1239" s="4"/>
      <c r="DS1239" s="4"/>
    </row>
    <row r="1240">
      <c r="A1240" s="9">
        <f>IFERROR(__xludf.DUMMYFUNCTION("""COMPUTED_VALUE"""),45809.0)</f>
        <v>45809</v>
      </c>
      <c r="B1240" s="6" t="str">
        <f>IFERROR(__xludf.DUMMYFUNCTION("""COMPUTED_VALUE"""),"Groceries")</f>
        <v>Groceries</v>
      </c>
      <c r="C1240" s="7">
        <f>IFERROR(__xludf.DUMMYFUNCTION("""COMPUTED_VALUE"""),13239.0)</f>
        <v>13239</v>
      </c>
      <c r="D1240" s="6" t="str">
        <f>IFERROR(__xludf.DUMMYFUNCTION("""COMPUTED_VALUE"""),"Groceries")</f>
        <v>Groceries</v>
      </c>
      <c r="E1240" s="6" t="str">
        <f>IFERROR(__xludf.DUMMYFUNCTION("""COMPUTED_VALUE"""),"Split Payment")</f>
        <v>Split Payment</v>
      </c>
      <c r="F1240" s="6" t="s">
        <v>7</v>
      </c>
      <c r="G1240" s="8" t="str">
        <f t="shared" si="1"/>
        <v>202506</v>
      </c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  <c r="AM1240" s="4"/>
      <c r="AN1240" s="4"/>
      <c r="AO1240" s="4"/>
      <c r="AP1240" s="4"/>
      <c r="AQ1240" s="4"/>
      <c r="AR1240" s="4"/>
      <c r="AS1240" s="4"/>
      <c r="AT1240" s="4"/>
      <c r="AU1240" s="4"/>
      <c r="AV1240" s="4"/>
      <c r="AW1240" s="4"/>
      <c r="AX1240" s="4"/>
      <c r="AY1240" s="4"/>
      <c r="AZ1240" s="4"/>
      <c r="BA1240" s="4"/>
      <c r="BB1240" s="4"/>
      <c r="BC1240" s="4"/>
      <c r="BD1240" s="4"/>
      <c r="BE1240" s="4"/>
      <c r="BF1240" s="4"/>
      <c r="BG1240" s="4"/>
      <c r="BH1240" s="4"/>
      <c r="BI1240" s="4"/>
      <c r="BJ1240" s="4"/>
      <c r="BK1240" s="4"/>
      <c r="BL1240" s="4"/>
      <c r="BM1240" s="4"/>
      <c r="BN1240" s="4"/>
      <c r="BO1240" s="4"/>
      <c r="BP1240" s="4"/>
      <c r="BQ1240" s="4"/>
      <c r="BR1240" s="4"/>
      <c r="BS1240" s="4"/>
      <c r="BT1240" s="4"/>
      <c r="BU1240" s="4"/>
      <c r="BV1240" s="4"/>
      <c r="BW1240" s="4"/>
      <c r="BX1240" s="4"/>
      <c r="BY1240" s="4"/>
      <c r="BZ1240" s="4"/>
      <c r="CA1240" s="4"/>
      <c r="CB1240" s="4"/>
      <c r="CC1240" s="4"/>
      <c r="CD1240" s="4"/>
      <c r="CE1240" s="4"/>
      <c r="CF1240" s="4"/>
      <c r="CG1240" s="4"/>
      <c r="CH1240" s="4"/>
      <c r="CI1240" s="4"/>
      <c r="CJ1240" s="4"/>
      <c r="CK1240" s="4"/>
      <c r="CL1240" s="4"/>
      <c r="CM1240" s="4"/>
      <c r="CN1240" s="4"/>
      <c r="CO1240" s="4"/>
      <c r="CP1240" s="4"/>
      <c r="CQ1240" s="4"/>
      <c r="CR1240" s="4"/>
      <c r="CS1240" s="4"/>
      <c r="CT1240" s="4"/>
      <c r="CU1240" s="4"/>
      <c r="CV1240" s="4"/>
      <c r="CW1240" s="4"/>
      <c r="CX1240" s="4"/>
      <c r="CY1240" s="4"/>
      <c r="CZ1240" s="4"/>
      <c r="DA1240" s="4"/>
      <c r="DB1240" s="4"/>
      <c r="DC1240" s="4"/>
      <c r="DD1240" s="4"/>
      <c r="DE1240" s="4"/>
      <c r="DF1240" s="4"/>
      <c r="DG1240" s="4"/>
      <c r="DH1240" s="4"/>
      <c r="DI1240" s="4"/>
      <c r="DJ1240" s="4"/>
      <c r="DK1240" s="4"/>
      <c r="DL1240" s="4"/>
      <c r="DM1240" s="4"/>
      <c r="DN1240" s="4"/>
      <c r="DO1240" s="4"/>
      <c r="DP1240" s="4"/>
      <c r="DQ1240" s="4"/>
      <c r="DR1240" s="4"/>
      <c r="DS1240" s="4"/>
    </row>
    <row r="1241">
      <c r="A1241" s="9">
        <f>IFERROR(__xludf.DUMMYFUNCTION("""COMPUTED_VALUE"""),45809.0)</f>
        <v>45809</v>
      </c>
      <c r="B1241" s="6" t="str">
        <f>IFERROR(__xludf.DUMMYFUNCTION("""COMPUTED_VALUE"""),"Municipal Tax (Agip)")</f>
        <v>Municipal Tax (Agip)</v>
      </c>
      <c r="C1241" s="7">
        <f>IFERROR(__xludf.DUMMYFUNCTION("""COMPUTED_VALUE"""),9194.0)</f>
        <v>9194</v>
      </c>
      <c r="D1241" s="6" t="str">
        <f>IFERROR(__xludf.DUMMYFUNCTION("""COMPUTED_VALUE"""),"Basic Services")</f>
        <v>Basic Services</v>
      </c>
      <c r="E1241" s="6" t="str">
        <f>IFERROR(__xludf.DUMMYFUNCTION("""COMPUTED_VALUE"""),"Split Payment")</f>
        <v>Split Payment</v>
      </c>
      <c r="F1241" s="6" t="s">
        <v>13</v>
      </c>
      <c r="G1241" s="8" t="str">
        <f t="shared" si="1"/>
        <v>202506</v>
      </c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  <c r="AM1241" s="4"/>
      <c r="AN1241" s="4"/>
      <c r="AO1241" s="4"/>
      <c r="AP1241" s="4"/>
      <c r="AQ1241" s="4"/>
      <c r="AR1241" s="4"/>
      <c r="AS1241" s="4"/>
      <c r="AT1241" s="4"/>
      <c r="AU1241" s="4"/>
      <c r="AV1241" s="4"/>
      <c r="AW1241" s="4"/>
      <c r="AX1241" s="4"/>
      <c r="AY1241" s="4"/>
      <c r="AZ1241" s="4"/>
      <c r="BA1241" s="4"/>
      <c r="BB1241" s="4"/>
      <c r="BC1241" s="4"/>
      <c r="BD1241" s="4"/>
      <c r="BE1241" s="4"/>
      <c r="BF1241" s="4"/>
      <c r="BG1241" s="4"/>
      <c r="BH1241" s="4"/>
      <c r="BI1241" s="4"/>
      <c r="BJ1241" s="4"/>
      <c r="BK1241" s="4"/>
      <c r="BL1241" s="4"/>
      <c r="BM1241" s="4"/>
      <c r="BN1241" s="4"/>
      <c r="BO1241" s="4"/>
      <c r="BP1241" s="4"/>
      <c r="BQ1241" s="4"/>
      <c r="BR1241" s="4"/>
      <c r="BS1241" s="4"/>
      <c r="BT1241" s="4"/>
      <c r="BU1241" s="4"/>
      <c r="BV1241" s="4"/>
      <c r="BW1241" s="4"/>
      <c r="BX1241" s="4"/>
      <c r="BY1241" s="4"/>
      <c r="BZ1241" s="4"/>
      <c r="CA1241" s="4"/>
      <c r="CB1241" s="4"/>
      <c r="CC1241" s="4"/>
      <c r="CD1241" s="4"/>
      <c r="CE1241" s="4"/>
      <c r="CF1241" s="4"/>
      <c r="CG1241" s="4"/>
      <c r="CH1241" s="4"/>
      <c r="CI1241" s="4"/>
      <c r="CJ1241" s="4"/>
      <c r="CK1241" s="4"/>
      <c r="CL1241" s="4"/>
      <c r="CM1241" s="4"/>
      <c r="CN1241" s="4"/>
      <c r="CO1241" s="4"/>
      <c r="CP1241" s="4"/>
      <c r="CQ1241" s="4"/>
      <c r="CR1241" s="4"/>
      <c r="CS1241" s="4"/>
      <c r="CT1241" s="4"/>
      <c r="CU1241" s="4"/>
      <c r="CV1241" s="4"/>
      <c r="CW1241" s="4"/>
      <c r="CX1241" s="4"/>
      <c r="CY1241" s="4"/>
      <c r="CZ1241" s="4"/>
      <c r="DA1241" s="4"/>
      <c r="DB1241" s="4"/>
      <c r="DC1241" s="4"/>
      <c r="DD1241" s="4"/>
      <c r="DE1241" s="4"/>
      <c r="DF1241" s="4"/>
      <c r="DG1241" s="4"/>
      <c r="DH1241" s="4"/>
      <c r="DI1241" s="4"/>
      <c r="DJ1241" s="4"/>
      <c r="DK1241" s="4"/>
      <c r="DL1241" s="4"/>
      <c r="DM1241" s="4"/>
      <c r="DN1241" s="4"/>
      <c r="DO1241" s="4"/>
      <c r="DP1241" s="4"/>
      <c r="DQ1241" s="4"/>
      <c r="DR1241" s="4"/>
      <c r="DS1241" s="4"/>
    </row>
    <row r="1242">
      <c r="A1242" s="9">
        <f>IFERROR(__xludf.DUMMYFUNCTION("""COMPUTED_VALUE"""),45809.0)</f>
        <v>45809</v>
      </c>
      <c r="B1242" s="6" t="str">
        <f>IFERROR(__xludf.DUMMYFUNCTION("""COMPUTED_VALUE"""),"Pets")</f>
        <v>Pets</v>
      </c>
      <c r="C1242" s="7">
        <f>IFERROR(__xludf.DUMMYFUNCTION("""COMPUTED_VALUE"""),43446.0)</f>
        <v>43446</v>
      </c>
      <c r="D1242" s="6" t="str">
        <f>IFERROR(__xludf.DUMMYFUNCTION("""COMPUTED_VALUE"""),"Pets")</f>
        <v>Pets</v>
      </c>
      <c r="E1242" s="6" t="str">
        <f>IFERROR(__xludf.DUMMYFUNCTION("""COMPUTED_VALUE"""),"Split Payment")</f>
        <v>Split Payment</v>
      </c>
      <c r="F1242" s="6" t="s">
        <v>7</v>
      </c>
      <c r="G1242" s="8" t="str">
        <f t="shared" si="1"/>
        <v>202506</v>
      </c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  <c r="AM1242" s="4"/>
      <c r="AN1242" s="4"/>
      <c r="AO1242" s="4"/>
      <c r="AP1242" s="4"/>
      <c r="AQ1242" s="4"/>
      <c r="AR1242" s="4"/>
      <c r="AS1242" s="4"/>
      <c r="AT1242" s="4"/>
      <c r="AU1242" s="4"/>
      <c r="AV1242" s="4"/>
      <c r="AW1242" s="4"/>
      <c r="AX1242" s="4"/>
      <c r="AY1242" s="4"/>
      <c r="AZ1242" s="4"/>
      <c r="BA1242" s="4"/>
      <c r="BB1242" s="4"/>
      <c r="BC1242" s="4"/>
      <c r="BD1242" s="4"/>
      <c r="BE1242" s="4"/>
      <c r="BF1242" s="4"/>
      <c r="BG1242" s="4"/>
      <c r="BH1242" s="4"/>
      <c r="BI1242" s="4"/>
      <c r="BJ1242" s="4"/>
      <c r="BK1242" s="4"/>
      <c r="BL1242" s="4"/>
      <c r="BM1242" s="4"/>
      <c r="BN1242" s="4"/>
      <c r="BO1242" s="4"/>
      <c r="BP1242" s="4"/>
      <c r="BQ1242" s="4"/>
      <c r="BR1242" s="4"/>
      <c r="BS1242" s="4"/>
      <c r="BT1242" s="4"/>
      <c r="BU1242" s="4"/>
      <c r="BV1242" s="4"/>
      <c r="BW1242" s="4"/>
      <c r="BX1242" s="4"/>
      <c r="BY1242" s="4"/>
      <c r="BZ1242" s="4"/>
      <c r="CA1242" s="4"/>
      <c r="CB1242" s="4"/>
      <c r="CC1242" s="4"/>
      <c r="CD1242" s="4"/>
      <c r="CE1242" s="4"/>
      <c r="CF1242" s="4"/>
      <c r="CG1242" s="4"/>
      <c r="CH1242" s="4"/>
      <c r="CI1242" s="4"/>
      <c r="CJ1242" s="4"/>
      <c r="CK1242" s="4"/>
      <c r="CL1242" s="4"/>
      <c r="CM1242" s="4"/>
      <c r="CN1242" s="4"/>
      <c r="CO1242" s="4"/>
      <c r="CP1242" s="4"/>
      <c r="CQ1242" s="4"/>
      <c r="CR1242" s="4"/>
      <c r="CS1242" s="4"/>
      <c r="CT1242" s="4"/>
      <c r="CU1242" s="4"/>
      <c r="CV1242" s="4"/>
      <c r="CW1242" s="4"/>
      <c r="CX1242" s="4"/>
      <c r="CY1242" s="4"/>
      <c r="CZ1242" s="4"/>
      <c r="DA1242" s="4"/>
      <c r="DB1242" s="4"/>
      <c r="DC1242" s="4"/>
      <c r="DD1242" s="4"/>
      <c r="DE1242" s="4"/>
      <c r="DF1242" s="4"/>
      <c r="DG1242" s="4"/>
      <c r="DH1242" s="4"/>
      <c r="DI1242" s="4"/>
      <c r="DJ1242" s="4"/>
      <c r="DK1242" s="4"/>
      <c r="DL1242" s="4"/>
      <c r="DM1242" s="4"/>
      <c r="DN1242" s="4"/>
      <c r="DO1242" s="4"/>
      <c r="DP1242" s="4"/>
      <c r="DQ1242" s="4"/>
      <c r="DR1242" s="4"/>
      <c r="DS1242" s="4"/>
    </row>
    <row r="1243">
      <c r="A1243" s="9">
        <f>IFERROR(__xludf.DUMMYFUNCTION("""COMPUTED_VALUE"""),45809.0)</f>
        <v>45809</v>
      </c>
      <c r="B1243" s="6" t="str">
        <f>IFERROR(__xludf.DUMMYFUNCTION("""COMPUTED_VALUE"""),"Rent &amp; Building Expenses")</f>
        <v>Rent &amp; Building Expenses</v>
      </c>
      <c r="C1243" s="7">
        <f>IFERROR(__xludf.DUMMYFUNCTION("""COMPUTED_VALUE"""),517638.0)</f>
        <v>517638</v>
      </c>
      <c r="D1243" s="6" t="str">
        <f>IFERROR(__xludf.DUMMYFUNCTION("""COMPUTED_VALUE"""),"Rent &amp; Utilities")</f>
        <v>Rent &amp; Utilities</v>
      </c>
      <c r="E1243" s="6" t="str">
        <f>IFERROR(__xludf.DUMMYFUNCTION("""COMPUTED_VALUE"""),"Virtual Wallet")</f>
        <v>Virtual Wallet</v>
      </c>
      <c r="F1243" s="6" t="s">
        <v>13</v>
      </c>
      <c r="G1243" s="8" t="str">
        <f t="shared" si="1"/>
        <v>202506</v>
      </c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  <c r="AM1243" s="4"/>
      <c r="AN1243" s="4"/>
      <c r="AO1243" s="4"/>
      <c r="AP1243" s="4"/>
      <c r="AQ1243" s="4"/>
      <c r="AR1243" s="4"/>
      <c r="AS1243" s="4"/>
      <c r="AT1243" s="4"/>
      <c r="AU1243" s="4"/>
      <c r="AV1243" s="4"/>
      <c r="AW1243" s="4"/>
      <c r="AX1243" s="4"/>
      <c r="AY1243" s="4"/>
      <c r="AZ1243" s="4"/>
      <c r="BA1243" s="4"/>
      <c r="BB1243" s="4"/>
      <c r="BC1243" s="4"/>
      <c r="BD1243" s="4"/>
      <c r="BE1243" s="4"/>
      <c r="BF1243" s="4"/>
      <c r="BG1243" s="4"/>
      <c r="BH1243" s="4"/>
      <c r="BI1243" s="4"/>
      <c r="BJ1243" s="4"/>
      <c r="BK1243" s="4"/>
      <c r="BL1243" s="4"/>
      <c r="BM1243" s="4"/>
      <c r="BN1243" s="4"/>
      <c r="BO1243" s="4"/>
      <c r="BP1243" s="4"/>
      <c r="BQ1243" s="4"/>
      <c r="BR1243" s="4"/>
      <c r="BS1243" s="4"/>
      <c r="BT1243" s="4"/>
      <c r="BU1243" s="4"/>
      <c r="BV1243" s="4"/>
      <c r="BW1243" s="4"/>
      <c r="BX1243" s="4"/>
      <c r="BY1243" s="4"/>
      <c r="BZ1243" s="4"/>
      <c r="CA1243" s="4"/>
      <c r="CB1243" s="4"/>
      <c r="CC1243" s="4"/>
      <c r="CD1243" s="4"/>
      <c r="CE1243" s="4"/>
      <c r="CF1243" s="4"/>
      <c r="CG1243" s="4"/>
      <c r="CH1243" s="4"/>
      <c r="CI1243" s="4"/>
      <c r="CJ1243" s="4"/>
      <c r="CK1243" s="4"/>
      <c r="CL1243" s="4"/>
      <c r="CM1243" s="4"/>
      <c r="CN1243" s="4"/>
      <c r="CO1243" s="4"/>
      <c r="CP1243" s="4"/>
      <c r="CQ1243" s="4"/>
      <c r="CR1243" s="4"/>
      <c r="CS1243" s="4"/>
      <c r="CT1243" s="4"/>
      <c r="CU1243" s="4"/>
      <c r="CV1243" s="4"/>
      <c r="CW1243" s="4"/>
      <c r="CX1243" s="4"/>
      <c r="CY1243" s="4"/>
      <c r="CZ1243" s="4"/>
      <c r="DA1243" s="4"/>
      <c r="DB1243" s="4"/>
      <c r="DC1243" s="4"/>
      <c r="DD1243" s="4"/>
      <c r="DE1243" s="4"/>
      <c r="DF1243" s="4"/>
      <c r="DG1243" s="4"/>
      <c r="DH1243" s="4"/>
      <c r="DI1243" s="4"/>
      <c r="DJ1243" s="4"/>
      <c r="DK1243" s="4"/>
      <c r="DL1243" s="4"/>
      <c r="DM1243" s="4"/>
      <c r="DN1243" s="4"/>
      <c r="DO1243" s="4"/>
      <c r="DP1243" s="4"/>
      <c r="DQ1243" s="4"/>
      <c r="DR1243" s="4"/>
      <c r="DS1243" s="4"/>
    </row>
    <row r="1244">
      <c r="A1244" s="9">
        <f>IFERROR(__xludf.DUMMYFUNCTION("""COMPUTED_VALUE"""),45810.0)</f>
        <v>45810</v>
      </c>
      <c r="B1244" s="6" t="str">
        <f>IFERROR(__xludf.DUMMYFUNCTION("""COMPUTED_VALUE"""),"Groceries")</f>
        <v>Groceries</v>
      </c>
      <c r="C1244" s="7">
        <f>IFERROR(__xludf.DUMMYFUNCTION("""COMPUTED_VALUE"""),1950.0)</f>
        <v>1950</v>
      </c>
      <c r="D1244" s="6" t="str">
        <f>IFERROR(__xludf.DUMMYFUNCTION("""COMPUTED_VALUE"""),"Groceries")</f>
        <v>Groceries</v>
      </c>
      <c r="E1244" s="6" t="str">
        <f>IFERROR(__xludf.DUMMYFUNCTION("""COMPUTED_VALUE"""),"Split Payment")</f>
        <v>Split Payment</v>
      </c>
      <c r="F1244" s="6" t="s">
        <v>7</v>
      </c>
      <c r="G1244" s="8" t="str">
        <f t="shared" si="1"/>
        <v>202506</v>
      </c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  <c r="AM1244" s="4"/>
      <c r="AN1244" s="4"/>
      <c r="AO1244" s="4"/>
      <c r="AP1244" s="4"/>
      <c r="AQ1244" s="4"/>
      <c r="AR1244" s="4"/>
      <c r="AS1244" s="4"/>
      <c r="AT1244" s="4"/>
      <c r="AU1244" s="4"/>
      <c r="AV1244" s="4"/>
      <c r="AW1244" s="4"/>
      <c r="AX1244" s="4"/>
      <c r="AY1244" s="4"/>
      <c r="AZ1244" s="4"/>
      <c r="BA1244" s="4"/>
      <c r="BB1244" s="4"/>
      <c r="BC1244" s="4"/>
      <c r="BD1244" s="4"/>
      <c r="BE1244" s="4"/>
      <c r="BF1244" s="4"/>
      <c r="BG1244" s="4"/>
      <c r="BH1244" s="4"/>
      <c r="BI1244" s="4"/>
      <c r="BJ1244" s="4"/>
      <c r="BK1244" s="4"/>
      <c r="BL1244" s="4"/>
      <c r="BM1244" s="4"/>
      <c r="BN1244" s="4"/>
      <c r="BO1244" s="4"/>
      <c r="BP1244" s="4"/>
      <c r="BQ1244" s="4"/>
      <c r="BR1244" s="4"/>
      <c r="BS1244" s="4"/>
      <c r="BT1244" s="4"/>
      <c r="BU1244" s="4"/>
      <c r="BV1244" s="4"/>
      <c r="BW1244" s="4"/>
      <c r="BX1244" s="4"/>
      <c r="BY1244" s="4"/>
      <c r="BZ1244" s="4"/>
      <c r="CA1244" s="4"/>
      <c r="CB1244" s="4"/>
      <c r="CC1244" s="4"/>
      <c r="CD1244" s="4"/>
      <c r="CE1244" s="4"/>
      <c r="CF1244" s="4"/>
      <c r="CG1244" s="4"/>
      <c r="CH1244" s="4"/>
      <c r="CI1244" s="4"/>
      <c r="CJ1244" s="4"/>
      <c r="CK1244" s="4"/>
      <c r="CL1244" s="4"/>
      <c r="CM1244" s="4"/>
      <c r="CN1244" s="4"/>
      <c r="CO1244" s="4"/>
      <c r="CP1244" s="4"/>
      <c r="CQ1244" s="4"/>
      <c r="CR1244" s="4"/>
      <c r="CS1244" s="4"/>
      <c r="CT1244" s="4"/>
      <c r="CU1244" s="4"/>
      <c r="CV1244" s="4"/>
      <c r="CW1244" s="4"/>
      <c r="CX1244" s="4"/>
      <c r="CY1244" s="4"/>
      <c r="CZ1244" s="4"/>
      <c r="DA1244" s="4"/>
      <c r="DB1244" s="4"/>
      <c r="DC1244" s="4"/>
      <c r="DD1244" s="4"/>
      <c r="DE1244" s="4"/>
      <c r="DF1244" s="4"/>
      <c r="DG1244" s="4"/>
      <c r="DH1244" s="4"/>
      <c r="DI1244" s="4"/>
      <c r="DJ1244" s="4"/>
      <c r="DK1244" s="4"/>
      <c r="DL1244" s="4"/>
      <c r="DM1244" s="4"/>
      <c r="DN1244" s="4"/>
      <c r="DO1244" s="4"/>
      <c r="DP1244" s="4"/>
      <c r="DQ1244" s="4"/>
      <c r="DR1244" s="4"/>
      <c r="DS1244" s="4"/>
    </row>
    <row r="1245">
      <c r="A1245" s="9">
        <f>IFERROR(__xludf.DUMMYFUNCTION("""COMPUTED_VALUE"""),45810.0)</f>
        <v>45810</v>
      </c>
      <c r="B1245" s="6" t="str">
        <f>IFERROR(__xludf.DUMMYFUNCTION("""COMPUTED_VALUE"""),"Groceries")</f>
        <v>Groceries</v>
      </c>
      <c r="C1245" s="7">
        <f>IFERROR(__xludf.DUMMYFUNCTION("""COMPUTED_VALUE"""),5000.0)</f>
        <v>5000</v>
      </c>
      <c r="D1245" s="6" t="str">
        <f>IFERROR(__xludf.DUMMYFUNCTION("""COMPUTED_VALUE"""),"Lunch Out")</f>
        <v>Lunch Out</v>
      </c>
      <c r="E1245" s="6" t="str">
        <f>IFERROR(__xludf.DUMMYFUNCTION("""COMPUTED_VALUE"""),"Virtual Wallet")</f>
        <v>Virtual Wallet</v>
      </c>
      <c r="F1245" s="6" t="s">
        <v>14</v>
      </c>
      <c r="G1245" s="8" t="str">
        <f t="shared" si="1"/>
        <v>202506</v>
      </c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  <c r="AM1245" s="4"/>
      <c r="AN1245" s="4"/>
      <c r="AO1245" s="4"/>
      <c r="AP1245" s="4"/>
      <c r="AQ1245" s="4"/>
      <c r="AR1245" s="4"/>
      <c r="AS1245" s="4"/>
      <c r="AT1245" s="4"/>
      <c r="AU1245" s="4"/>
      <c r="AV1245" s="4"/>
      <c r="AW1245" s="4"/>
      <c r="AX1245" s="4"/>
      <c r="AY1245" s="4"/>
      <c r="AZ1245" s="4"/>
      <c r="BA1245" s="4"/>
      <c r="BB1245" s="4"/>
      <c r="BC1245" s="4"/>
      <c r="BD1245" s="4"/>
      <c r="BE1245" s="4"/>
      <c r="BF1245" s="4"/>
      <c r="BG1245" s="4"/>
      <c r="BH1245" s="4"/>
      <c r="BI1245" s="4"/>
      <c r="BJ1245" s="4"/>
      <c r="BK1245" s="4"/>
      <c r="BL1245" s="4"/>
      <c r="BM1245" s="4"/>
      <c r="BN1245" s="4"/>
      <c r="BO1245" s="4"/>
      <c r="BP1245" s="4"/>
      <c r="BQ1245" s="4"/>
      <c r="BR1245" s="4"/>
      <c r="BS1245" s="4"/>
      <c r="BT1245" s="4"/>
      <c r="BU1245" s="4"/>
      <c r="BV1245" s="4"/>
      <c r="BW1245" s="4"/>
      <c r="BX1245" s="4"/>
      <c r="BY1245" s="4"/>
      <c r="BZ1245" s="4"/>
      <c r="CA1245" s="4"/>
      <c r="CB1245" s="4"/>
      <c r="CC1245" s="4"/>
      <c r="CD1245" s="4"/>
      <c r="CE1245" s="4"/>
      <c r="CF1245" s="4"/>
      <c r="CG1245" s="4"/>
      <c r="CH1245" s="4"/>
      <c r="CI1245" s="4"/>
      <c r="CJ1245" s="4"/>
      <c r="CK1245" s="4"/>
      <c r="CL1245" s="4"/>
      <c r="CM1245" s="4"/>
      <c r="CN1245" s="4"/>
      <c r="CO1245" s="4"/>
      <c r="CP1245" s="4"/>
      <c r="CQ1245" s="4"/>
      <c r="CR1245" s="4"/>
      <c r="CS1245" s="4"/>
      <c r="CT1245" s="4"/>
      <c r="CU1245" s="4"/>
      <c r="CV1245" s="4"/>
      <c r="CW1245" s="4"/>
      <c r="CX1245" s="4"/>
      <c r="CY1245" s="4"/>
      <c r="CZ1245" s="4"/>
      <c r="DA1245" s="4"/>
      <c r="DB1245" s="4"/>
      <c r="DC1245" s="4"/>
      <c r="DD1245" s="4"/>
      <c r="DE1245" s="4"/>
      <c r="DF1245" s="4"/>
      <c r="DG1245" s="4"/>
      <c r="DH1245" s="4"/>
      <c r="DI1245" s="4"/>
      <c r="DJ1245" s="4"/>
      <c r="DK1245" s="4"/>
      <c r="DL1245" s="4"/>
      <c r="DM1245" s="4"/>
      <c r="DN1245" s="4"/>
      <c r="DO1245" s="4"/>
      <c r="DP1245" s="4"/>
      <c r="DQ1245" s="4"/>
      <c r="DR1245" s="4"/>
      <c r="DS1245" s="4"/>
    </row>
    <row r="1246">
      <c r="A1246" s="9">
        <f>IFERROR(__xludf.DUMMYFUNCTION("""COMPUTED_VALUE"""),45810.0)</f>
        <v>45810</v>
      </c>
      <c r="B1246" s="6" t="str">
        <f>IFERROR(__xludf.DUMMYFUNCTION("""COMPUTED_VALUE"""),"Sports")</f>
        <v>Sports</v>
      </c>
      <c r="C1246" s="7">
        <f>IFERROR(__xludf.DUMMYFUNCTION("""COMPUTED_VALUE"""),76000.0)</f>
        <v>76000</v>
      </c>
      <c r="D1246" s="6" t="str">
        <f>IFERROR(__xludf.DUMMYFUNCTION("""COMPUTED_VALUE"""),"Sports")</f>
        <v>Sports</v>
      </c>
      <c r="E1246" s="6" t="str">
        <f>IFERROR(__xludf.DUMMYFUNCTION("""COMPUTED_VALUE"""),"Cash")</f>
        <v>Cash</v>
      </c>
      <c r="F1246" s="6" t="s">
        <v>12</v>
      </c>
      <c r="G1246" s="8" t="str">
        <f t="shared" si="1"/>
        <v>202506</v>
      </c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  <c r="AM1246" s="4"/>
      <c r="AN1246" s="4"/>
      <c r="AO1246" s="4"/>
      <c r="AP1246" s="4"/>
      <c r="AQ1246" s="4"/>
      <c r="AR1246" s="4"/>
      <c r="AS1246" s="4"/>
      <c r="AT1246" s="4"/>
      <c r="AU1246" s="4"/>
      <c r="AV1246" s="4"/>
      <c r="AW1246" s="4"/>
      <c r="AX1246" s="4"/>
      <c r="AY1246" s="4"/>
      <c r="AZ1246" s="4"/>
      <c r="BA1246" s="4"/>
      <c r="BB1246" s="4"/>
      <c r="BC1246" s="4"/>
      <c r="BD1246" s="4"/>
      <c r="BE1246" s="4"/>
      <c r="BF1246" s="4"/>
      <c r="BG1246" s="4"/>
      <c r="BH1246" s="4"/>
      <c r="BI1246" s="4"/>
      <c r="BJ1246" s="4"/>
      <c r="BK1246" s="4"/>
      <c r="BL1246" s="4"/>
      <c r="BM1246" s="4"/>
      <c r="BN1246" s="4"/>
      <c r="BO1246" s="4"/>
      <c r="BP1246" s="4"/>
      <c r="BQ1246" s="4"/>
      <c r="BR1246" s="4"/>
      <c r="BS1246" s="4"/>
      <c r="BT1246" s="4"/>
      <c r="BU1246" s="4"/>
      <c r="BV1246" s="4"/>
      <c r="BW1246" s="4"/>
      <c r="BX1246" s="4"/>
      <c r="BY1246" s="4"/>
      <c r="BZ1246" s="4"/>
      <c r="CA1246" s="4"/>
      <c r="CB1246" s="4"/>
      <c r="CC1246" s="4"/>
      <c r="CD1246" s="4"/>
      <c r="CE1246" s="4"/>
      <c r="CF1246" s="4"/>
      <c r="CG1246" s="4"/>
      <c r="CH1246" s="4"/>
      <c r="CI1246" s="4"/>
      <c r="CJ1246" s="4"/>
      <c r="CK1246" s="4"/>
      <c r="CL1246" s="4"/>
      <c r="CM1246" s="4"/>
      <c r="CN1246" s="4"/>
      <c r="CO1246" s="4"/>
      <c r="CP1246" s="4"/>
      <c r="CQ1246" s="4"/>
      <c r="CR1246" s="4"/>
      <c r="CS1246" s="4"/>
      <c r="CT1246" s="4"/>
      <c r="CU1246" s="4"/>
      <c r="CV1246" s="4"/>
      <c r="CW1246" s="4"/>
      <c r="CX1246" s="4"/>
      <c r="CY1246" s="4"/>
      <c r="CZ1246" s="4"/>
      <c r="DA1246" s="4"/>
      <c r="DB1246" s="4"/>
      <c r="DC1246" s="4"/>
      <c r="DD1246" s="4"/>
      <c r="DE1246" s="4"/>
      <c r="DF1246" s="4"/>
      <c r="DG1246" s="4"/>
      <c r="DH1246" s="4"/>
      <c r="DI1246" s="4"/>
      <c r="DJ1246" s="4"/>
      <c r="DK1246" s="4"/>
      <c r="DL1246" s="4"/>
      <c r="DM1246" s="4"/>
      <c r="DN1246" s="4"/>
      <c r="DO1246" s="4"/>
      <c r="DP1246" s="4"/>
      <c r="DQ1246" s="4"/>
      <c r="DR1246" s="4"/>
      <c r="DS1246" s="4"/>
    </row>
    <row r="1247">
      <c r="A1247" s="9">
        <f>IFERROR(__xludf.DUMMYFUNCTION("""COMPUTED_VALUE"""),45811.0)</f>
        <v>45811</v>
      </c>
      <c r="B1247" s="6" t="str">
        <f>IFERROR(__xludf.DUMMYFUNCTION("""COMPUTED_VALUE"""),"Streaming Services")</f>
        <v>Streaming Services</v>
      </c>
      <c r="C1247" s="7">
        <f>IFERROR(__xludf.DUMMYFUNCTION("""COMPUTED_VALUE"""),7549.0)</f>
        <v>7549</v>
      </c>
      <c r="D1247" s="6" t="str">
        <f>IFERROR(__xludf.DUMMYFUNCTION("""COMPUTED_VALUE"""),"Streaming Services")</f>
        <v>Streaming Services</v>
      </c>
      <c r="E1247" s="6" t="str">
        <f>IFERROR(__xludf.DUMMYFUNCTION("""COMPUTED_VALUE"""),"Credit Card")</f>
        <v>Credit Card</v>
      </c>
      <c r="F1247" s="6" t="s">
        <v>12</v>
      </c>
      <c r="G1247" s="8" t="str">
        <f t="shared" si="1"/>
        <v>202506</v>
      </c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/>
      <c r="AL1247" s="4"/>
      <c r="AM1247" s="4"/>
      <c r="AN1247" s="4"/>
      <c r="AO1247" s="4"/>
      <c r="AP1247" s="4"/>
      <c r="AQ1247" s="4"/>
      <c r="AR1247" s="4"/>
      <c r="AS1247" s="4"/>
      <c r="AT1247" s="4"/>
      <c r="AU1247" s="4"/>
      <c r="AV1247" s="4"/>
      <c r="AW1247" s="4"/>
      <c r="AX1247" s="4"/>
      <c r="AY1247" s="4"/>
      <c r="AZ1247" s="4"/>
      <c r="BA1247" s="4"/>
      <c r="BB1247" s="4"/>
      <c r="BC1247" s="4"/>
      <c r="BD1247" s="4"/>
      <c r="BE1247" s="4"/>
      <c r="BF1247" s="4"/>
      <c r="BG1247" s="4"/>
      <c r="BH1247" s="4"/>
      <c r="BI1247" s="4"/>
      <c r="BJ1247" s="4"/>
      <c r="BK1247" s="4"/>
      <c r="BL1247" s="4"/>
      <c r="BM1247" s="4"/>
      <c r="BN1247" s="4"/>
      <c r="BO1247" s="4"/>
      <c r="BP1247" s="4"/>
      <c r="BQ1247" s="4"/>
      <c r="BR1247" s="4"/>
      <c r="BS1247" s="4"/>
      <c r="BT1247" s="4"/>
      <c r="BU1247" s="4"/>
      <c r="BV1247" s="4"/>
      <c r="BW1247" s="4"/>
      <c r="BX1247" s="4"/>
      <c r="BY1247" s="4"/>
      <c r="BZ1247" s="4"/>
      <c r="CA1247" s="4"/>
      <c r="CB1247" s="4"/>
      <c r="CC1247" s="4"/>
      <c r="CD1247" s="4"/>
      <c r="CE1247" s="4"/>
      <c r="CF1247" s="4"/>
      <c r="CG1247" s="4"/>
      <c r="CH1247" s="4"/>
      <c r="CI1247" s="4"/>
      <c r="CJ1247" s="4"/>
      <c r="CK1247" s="4"/>
      <c r="CL1247" s="4"/>
      <c r="CM1247" s="4"/>
      <c r="CN1247" s="4"/>
      <c r="CO1247" s="4"/>
      <c r="CP1247" s="4"/>
      <c r="CQ1247" s="4"/>
      <c r="CR1247" s="4"/>
      <c r="CS1247" s="4"/>
      <c r="CT1247" s="4"/>
      <c r="CU1247" s="4"/>
      <c r="CV1247" s="4"/>
      <c r="CW1247" s="4"/>
      <c r="CX1247" s="4"/>
      <c r="CY1247" s="4"/>
      <c r="CZ1247" s="4"/>
      <c r="DA1247" s="4"/>
      <c r="DB1247" s="4"/>
      <c r="DC1247" s="4"/>
      <c r="DD1247" s="4"/>
      <c r="DE1247" s="4"/>
      <c r="DF1247" s="4"/>
      <c r="DG1247" s="4"/>
      <c r="DH1247" s="4"/>
      <c r="DI1247" s="4"/>
      <c r="DJ1247" s="4"/>
      <c r="DK1247" s="4"/>
      <c r="DL1247" s="4"/>
      <c r="DM1247" s="4"/>
      <c r="DN1247" s="4"/>
      <c r="DO1247" s="4"/>
      <c r="DP1247" s="4"/>
      <c r="DQ1247" s="4"/>
      <c r="DR1247" s="4"/>
      <c r="DS1247" s="4"/>
    </row>
    <row r="1248">
      <c r="A1248" s="9">
        <f>IFERROR(__xludf.DUMMYFUNCTION("""COMPUTED_VALUE"""),45811.0)</f>
        <v>45811</v>
      </c>
      <c r="B1248" s="6" t="str">
        <f>IFERROR(__xludf.DUMMYFUNCTION("""COMPUTED_VALUE"""),"Doctor Visit")</f>
        <v>Doctor Visit</v>
      </c>
      <c r="C1248" s="7">
        <f>IFERROR(__xludf.DUMMYFUNCTION("""COMPUTED_VALUE"""),14000.0)</f>
        <v>14000</v>
      </c>
      <c r="D1248" s="6" t="str">
        <f>IFERROR(__xludf.DUMMYFUNCTION("""COMPUTED_VALUE"""),"Healthcare")</f>
        <v>Healthcare</v>
      </c>
      <c r="E1248" s="6" t="str">
        <f>IFERROR(__xludf.DUMMYFUNCTION("""COMPUTED_VALUE"""),"Virtual Wallet")</f>
        <v>Virtual Wallet</v>
      </c>
      <c r="F1248" s="6" t="s">
        <v>15</v>
      </c>
      <c r="G1248" s="8" t="str">
        <f t="shared" si="1"/>
        <v>202506</v>
      </c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  <c r="AM1248" s="4"/>
      <c r="AN1248" s="4"/>
      <c r="AO1248" s="4"/>
      <c r="AP1248" s="4"/>
      <c r="AQ1248" s="4"/>
      <c r="AR1248" s="4"/>
      <c r="AS1248" s="4"/>
      <c r="AT1248" s="4"/>
      <c r="AU1248" s="4"/>
      <c r="AV1248" s="4"/>
      <c r="AW1248" s="4"/>
      <c r="AX1248" s="4"/>
      <c r="AY1248" s="4"/>
      <c r="AZ1248" s="4"/>
      <c r="BA1248" s="4"/>
      <c r="BB1248" s="4"/>
      <c r="BC1248" s="4"/>
      <c r="BD1248" s="4"/>
      <c r="BE1248" s="4"/>
      <c r="BF1248" s="4"/>
      <c r="BG1248" s="4"/>
      <c r="BH1248" s="4"/>
      <c r="BI1248" s="4"/>
      <c r="BJ1248" s="4"/>
      <c r="BK1248" s="4"/>
      <c r="BL1248" s="4"/>
      <c r="BM1248" s="4"/>
      <c r="BN1248" s="4"/>
      <c r="BO1248" s="4"/>
      <c r="BP1248" s="4"/>
      <c r="BQ1248" s="4"/>
      <c r="BR1248" s="4"/>
      <c r="BS1248" s="4"/>
      <c r="BT1248" s="4"/>
      <c r="BU1248" s="4"/>
      <c r="BV1248" s="4"/>
      <c r="BW1248" s="4"/>
      <c r="BX1248" s="4"/>
      <c r="BY1248" s="4"/>
      <c r="BZ1248" s="4"/>
      <c r="CA1248" s="4"/>
      <c r="CB1248" s="4"/>
      <c r="CC1248" s="4"/>
      <c r="CD1248" s="4"/>
      <c r="CE1248" s="4"/>
      <c r="CF1248" s="4"/>
      <c r="CG1248" s="4"/>
      <c r="CH1248" s="4"/>
      <c r="CI1248" s="4"/>
      <c r="CJ1248" s="4"/>
      <c r="CK1248" s="4"/>
      <c r="CL1248" s="4"/>
      <c r="CM1248" s="4"/>
      <c r="CN1248" s="4"/>
      <c r="CO1248" s="4"/>
      <c r="CP1248" s="4"/>
      <c r="CQ1248" s="4"/>
      <c r="CR1248" s="4"/>
      <c r="CS1248" s="4"/>
      <c r="CT1248" s="4"/>
      <c r="CU1248" s="4"/>
      <c r="CV1248" s="4"/>
      <c r="CW1248" s="4"/>
      <c r="CX1248" s="4"/>
      <c r="CY1248" s="4"/>
      <c r="CZ1248" s="4"/>
      <c r="DA1248" s="4"/>
      <c r="DB1248" s="4"/>
      <c r="DC1248" s="4"/>
      <c r="DD1248" s="4"/>
      <c r="DE1248" s="4"/>
      <c r="DF1248" s="4"/>
      <c r="DG1248" s="4"/>
      <c r="DH1248" s="4"/>
      <c r="DI1248" s="4"/>
      <c r="DJ1248" s="4"/>
      <c r="DK1248" s="4"/>
      <c r="DL1248" s="4"/>
      <c r="DM1248" s="4"/>
      <c r="DN1248" s="4"/>
      <c r="DO1248" s="4"/>
      <c r="DP1248" s="4"/>
      <c r="DQ1248" s="4"/>
      <c r="DR1248" s="4"/>
      <c r="DS1248" s="4"/>
    </row>
    <row r="1249">
      <c r="A1249" s="9">
        <f>IFERROR(__xludf.DUMMYFUNCTION("""COMPUTED_VALUE"""),45811.0)</f>
        <v>45811</v>
      </c>
      <c r="B1249" s="6" t="str">
        <f>IFERROR(__xludf.DUMMYFUNCTION("""COMPUTED_VALUE"""),"Groceries")</f>
        <v>Groceries</v>
      </c>
      <c r="C1249" s="7">
        <f>IFERROR(__xludf.DUMMYFUNCTION("""COMPUTED_VALUE"""),4400.0)</f>
        <v>4400</v>
      </c>
      <c r="D1249" s="6" t="str">
        <f>IFERROR(__xludf.DUMMYFUNCTION("""COMPUTED_VALUE"""),"Groceries")</f>
        <v>Groceries</v>
      </c>
      <c r="E1249" s="6" t="str">
        <f>IFERROR(__xludf.DUMMYFUNCTION("""COMPUTED_VALUE"""),"Split Payment")</f>
        <v>Split Payment</v>
      </c>
      <c r="F1249" s="6" t="s">
        <v>7</v>
      </c>
      <c r="G1249" s="8" t="str">
        <f t="shared" si="1"/>
        <v>202506</v>
      </c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/>
      <c r="AL1249" s="4"/>
      <c r="AM1249" s="4"/>
      <c r="AN1249" s="4"/>
      <c r="AO1249" s="4"/>
      <c r="AP1249" s="4"/>
      <c r="AQ1249" s="4"/>
      <c r="AR1249" s="4"/>
      <c r="AS1249" s="4"/>
      <c r="AT1249" s="4"/>
      <c r="AU1249" s="4"/>
      <c r="AV1249" s="4"/>
      <c r="AW1249" s="4"/>
      <c r="AX1249" s="4"/>
      <c r="AY1249" s="4"/>
      <c r="AZ1249" s="4"/>
      <c r="BA1249" s="4"/>
      <c r="BB1249" s="4"/>
      <c r="BC1249" s="4"/>
      <c r="BD1249" s="4"/>
      <c r="BE1249" s="4"/>
      <c r="BF1249" s="4"/>
      <c r="BG1249" s="4"/>
      <c r="BH1249" s="4"/>
      <c r="BI1249" s="4"/>
      <c r="BJ1249" s="4"/>
      <c r="BK1249" s="4"/>
      <c r="BL1249" s="4"/>
      <c r="BM1249" s="4"/>
      <c r="BN1249" s="4"/>
      <c r="BO1249" s="4"/>
      <c r="BP1249" s="4"/>
      <c r="BQ1249" s="4"/>
      <c r="BR1249" s="4"/>
      <c r="BS1249" s="4"/>
      <c r="BT1249" s="4"/>
      <c r="BU1249" s="4"/>
      <c r="BV1249" s="4"/>
      <c r="BW1249" s="4"/>
      <c r="BX1249" s="4"/>
      <c r="BY1249" s="4"/>
      <c r="BZ1249" s="4"/>
      <c r="CA1249" s="4"/>
      <c r="CB1249" s="4"/>
      <c r="CC1249" s="4"/>
      <c r="CD1249" s="4"/>
      <c r="CE1249" s="4"/>
      <c r="CF1249" s="4"/>
      <c r="CG1249" s="4"/>
      <c r="CH1249" s="4"/>
      <c r="CI1249" s="4"/>
      <c r="CJ1249" s="4"/>
      <c r="CK1249" s="4"/>
      <c r="CL1249" s="4"/>
      <c r="CM1249" s="4"/>
      <c r="CN1249" s="4"/>
      <c r="CO1249" s="4"/>
      <c r="CP1249" s="4"/>
      <c r="CQ1249" s="4"/>
      <c r="CR1249" s="4"/>
      <c r="CS1249" s="4"/>
      <c r="CT1249" s="4"/>
      <c r="CU1249" s="4"/>
      <c r="CV1249" s="4"/>
      <c r="CW1249" s="4"/>
      <c r="CX1249" s="4"/>
      <c r="CY1249" s="4"/>
      <c r="CZ1249" s="4"/>
      <c r="DA1249" s="4"/>
      <c r="DB1249" s="4"/>
      <c r="DC1249" s="4"/>
      <c r="DD1249" s="4"/>
      <c r="DE1249" s="4"/>
      <c r="DF1249" s="4"/>
      <c r="DG1249" s="4"/>
      <c r="DH1249" s="4"/>
      <c r="DI1249" s="4"/>
      <c r="DJ1249" s="4"/>
      <c r="DK1249" s="4"/>
      <c r="DL1249" s="4"/>
      <c r="DM1249" s="4"/>
      <c r="DN1249" s="4"/>
      <c r="DO1249" s="4"/>
      <c r="DP1249" s="4"/>
      <c r="DQ1249" s="4"/>
      <c r="DR1249" s="4"/>
      <c r="DS1249" s="4"/>
    </row>
    <row r="1250">
      <c r="A1250" s="9">
        <f>IFERROR(__xludf.DUMMYFUNCTION("""COMPUTED_VALUE"""),45811.0)</f>
        <v>45811</v>
      </c>
      <c r="B1250" s="6" t="str">
        <f>IFERROR(__xludf.DUMMYFUNCTION("""COMPUTED_VALUE"""),"Groceries")</f>
        <v>Groceries</v>
      </c>
      <c r="C1250" s="7">
        <f>IFERROR(__xludf.DUMMYFUNCTION("""COMPUTED_VALUE"""),6016.0)</f>
        <v>6016</v>
      </c>
      <c r="D1250" s="6" t="str">
        <f>IFERROR(__xludf.DUMMYFUNCTION("""COMPUTED_VALUE"""),"Groceries")</f>
        <v>Groceries</v>
      </c>
      <c r="E1250" s="6" t="str">
        <f>IFERROR(__xludf.DUMMYFUNCTION("""COMPUTED_VALUE"""),"Virtual Wallet")</f>
        <v>Virtual Wallet</v>
      </c>
      <c r="F1250" s="6" t="s">
        <v>7</v>
      </c>
      <c r="G1250" s="8" t="str">
        <f t="shared" si="1"/>
        <v>202506</v>
      </c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/>
      <c r="AL1250" s="4"/>
      <c r="AM1250" s="4"/>
      <c r="AN1250" s="4"/>
      <c r="AO1250" s="4"/>
      <c r="AP1250" s="4"/>
      <c r="AQ1250" s="4"/>
      <c r="AR1250" s="4"/>
      <c r="AS1250" s="4"/>
      <c r="AT1250" s="4"/>
      <c r="AU1250" s="4"/>
      <c r="AV1250" s="4"/>
      <c r="AW1250" s="4"/>
      <c r="AX1250" s="4"/>
      <c r="AY1250" s="4"/>
      <c r="AZ1250" s="4"/>
      <c r="BA1250" s="4"/>
      <c r="BB1250" s="4"/>
      <c r="BC1250" s="4"/>
      <c r="BD1250" s="4"/>
      <c r="BE1250" s="4"/>
      <c r="BF1250" s="4"/>
      <c r="BG1250" s="4"/>
      <c r="BH1250" s="4"/>
      <c r="BI1250" s="4"/>
      <c r="BJ1250" s="4"/>
      <c r="BK1250" s="4"/>
      <c r="BL1250" s="4"/>
      <c r="BM1250" s="4"/>
      <c r="BN1250" s="4"/>
      <c r="BO1250" s="4"/>
      <c r="BP1250" s="4"/>
      <c r="BQ1250" s="4"/>
      <c r="BR1250" s="4"/>
      <c r="BS1250" s="4"/>
      <c r="BT1250" s="4"/>
      <c r="BU1250" s="4"/>
      <c r="BV1250" s="4"/>
      <c r="BW1250" s="4"/>
      <c r="BX1250" s="4"/>
      <c r="BY1250" s="4"/>
      <c r="BZ1250" s="4"/>
      <c r="CA1250" s="4"/>
      <c r="CB1250" s="4"/>
      <c r="CC1250" s="4"/>
      <c r="CD1250" s="4"/>
      <c r="CE1250" s="4"/>
      <c r="CF1250" s="4"/>
      <c r="CG1250" s="4"/>
      <c r="CH1250" s="4"/>
      <c r="CI1250" s="4"/>
      <c r="CJ1250" s="4"/>
      <c r="CK1250" s="4"/>
      <c r="CL1250" s="4"/>
      <c r="CM1250" s="4"/>
      <c r="CN1250" s="4"/>
      <c r="CO1250" s="4"/>
      <c r="CP1250" s="4"/>
      <c r="CQ1250" s="4"/>
      <c r="CR1250" s="4"/>
      <c r="CS1250" s="4"/>
      <c r="CT1250" s="4"/>
      <c r="CU1250" s="4"/>
      <c r="CV1250" s="4"/>
      <c r="CW1250" s="4"/>
      <c r="CX1250" s="4"/>
      <c r="CY1250" s="4"/>
      <c r="CZ1250" s="4"/>
      <c r="DA1250" s="4"/>
      <c r="DB1250" s="4"/>
      <c r="DC1250" s="4"/>
      <c r="DD1250" s="4"/>
      <c r="DE1250" s="4"/>
      <c r="DF1250" s="4"/>
      <c r="DG1250" s="4"/>
      <c r="DH1250" s="4"/>
      <c r="DI1250" s="4"/>
      <c r="DJ1250" s="4"/>
      <c r="DK1250" s="4"/>
      <c r="DL1250" s="4"/>
      <c r="DM1250" s="4"/>
      <c r="DN1250" s="4"/>
      <c r="DO1250" s="4"/>
      <c r="DP1250" s="4"/>
      <c r="DQ1250" s="4"/>
      <c r="DR1250" s="4"/>
      <c r="DS1250" s="4"/>
    </row>
    <row r="1251">
      <c r="A1251" s="9">
        <f>IFERROR(__xludf.DUMMYFUNCTION("""COMPUTED_VALUE"""),45812.0)</f>
        <v>45812</v>
      </c>
      <c r="B1251" s="6" t="str">
        <f>IFERROR(__xludf.DUMMYFUNCTION("""COMPUTED_VALUE"""),"Clothing")</f>
        <v>Clothing</v>
      </c>
      <c r="C1251" s="7">
        <f>IFERROR(__xludf.DUMMYFUNCTION("""COMPUTED_VALUE"""),13333.0)</f>
        <v>13333</v>
      </c>
      <c r="D1251" s="6" t="str">
        <f>IFERROR(__xludf.DUMMYFUNCTION("""COMPUTED_VALUE"""),"Clothing")</f>
        <v>Clothing</v>
      </c>
      <c r="E1251" s="6" t="str">
        <f>IFERROR(__xludf.DUMMYFUNCTION("""COMPUTED_VALUE"""),"Credit Card")</f>
        <v>Credit Card</v>
      </c>
      <c r="F1251" s="6" t="s">
        <v>10</v>
      </c>
      <c r="G1251" s="8" t="str">
        <f t="shared" si="1"/>
        <v>202506</v>
      </c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/>
      <c r="AL1251" s="4"/>
      <c r="AM1251" s="4"/>
      <c r="AN1251" s="4"/>
      <c r="AO1251" s="4"/>
      <c r="AP1251" s="4"/>
      <c r="AQ1251" s="4"/>
      <c r="AR1251" s="4"/>
      <c r="AS1251" s="4"/>
      <c r="AT1251" s="4"/>
      <c r="AU1251" s="4"/>
      <c r="AV1251" s="4"/>
      <c r="AW1251" s="4"/>
      <c r="AX1251" s="4"/>
      <c r="AY1251" s="4"/>
      <c r="AZ1251" s="4"/>
      <c r="BA1251" s="4"/>
      <c r="BB1251" s="4"/>
      <c r="BC1251" s="4"/>
      <c r="BD1251" s="4"/>
      <c r="BE1251" s="4"/>
      <c r="BF1251" s="4"/>
      <c r="BG1251" s="4"/>
      <c r="BH1251" s="4"/>
      <c r="BI1251" s="4"/>
      <c r="BJ1251" s="4"/>
      <c r="BK1251" s="4"/>
      <c r="BL1251" s="4"/>
      <c r="BM1251" s="4"/>
      <c r="BN1251" s="4"/>
      <c r="BO1251" s="4"/>
      <c r="BP1251" s="4"/>
      <c r="BQ1251" s="4"/>
      <c r="BR1251" s="4"/>
      <c r="BS1251" s="4"/>
      <c r="BT1251" s="4"/>
      <c r="BU1251" s="4"/>
      <c r="BV1251" s="4"/>
      <c r="BW1251" s="4"/>
      <c r="BX1251" s="4"/>
      <c r="BY1251" s="4"/>
      <c r="BZ1251" s="4"/>
      <c r="CA1251" s="4"/>
      <c r="CB1251" s="4"/>
      <c r="CC1251" s="4"/>
      <c r="CD1251" s="4"/>
      <c r="CE1251" s="4"/>
      <c r="CF1251" s="4"/>
      <c r="CG1251" s="4"/>
      <c r="CH1251" s="4"/>
      <c r="CI1251" s="4"/>
      <c r="CJ1251" s="4"/>
      <c r="CK1251" s="4"/>
      <c r="CL1251" s="4"/>
      <c r="CM1251" s="4"/>
      <c r="CN1251" s="4"/>
      <c r="CO1251" s="4"/>
      <c r="CP1251" s="4"/>
      <c r="CQ1251" s="4"/>
      <c r="CR1251" s="4"/>
      <c r="CS1251" s="4"/>
      <c r="CT1251" s="4"/>
      <c r="CU1251" s="4"/>
      <c r="CV1251" s="4"/>
      <c r="CW1251" s="4"/>
      <c r="CX1251" s="4"/>
      <c r="CY1251" s="4"/>
      <c r="CZ1251" s="4"/>
      <c r="DA1251" s="4"/>
      <c r="DB1251" s="4"/>
      <c r="DC1251" s="4"/>
      <c r="DD1251" s="4"/>
      <c r="DE1251" s="4"/>
      <c r="DF1251" s="4"/>
      <c r="DG1251" s="4"/>
      <c r="DH1251" s="4"/>
      <c r="DI1251" s="4"/>
      <c r="DJ1251" s="4"/>
      <c r="DK1251" s="4"/>
      <c r="DL1251" s="4"/>
      <c r="DM1251" s="4"/>
      <c r="DN1251" s="4"/>
      <c r="DO1251" s="4"/>
      <c r="DP1251" s="4"/>
      <c r="DQ1251" s="4"/>
      <c r="DR1251" s="4"/>
      <c r="DS1251" s="4"/>
    </row>
    <row r="1252">
      <c r="A1252" s="9">
        <f>IFERROR(__xludf.DUMMYFUNCTION("""COMPUTED_VALUE"""),45812.0)</f>
        <v>45812</v>
      </c>
      <c r="B1252" s="6" t="str">
        <f>IFERROR(__xludf.DUMMYFUNCTION("""COMPUTED_VALUE"""),"Clothing")</f>
        <v>Clothing</v>
      </c>
      <c r="C1252" s="7">
        <f>IFERROR(__xludf.DUMMYFUNCTION("""COMPUTED_VALUE"""),8500.0)</f>
        <v>8500</v>
      </c>
      <c r="D1252" s="6" t="str">
        <f>IFERROR(__xludf.DUMMYFUNCTION("""COMPUTED_VALUE"""),"Clothing")</f>
        <v>Clothing</v>
      </c>
      <c r="E1252" s="6" t="str">
        <f>IFERROR(__xludf.DUMMYFUNCTION("""COMPUTED_VALUE"""),"Credit Card")</f>
        <v>Credit Card</v>
      </c>
      <c r="F1252" s="6" t="s">
        <v>10</v>
      </c>
      <c r="G1252" s="8" t="str">
        <f t="shared" si="1"/>
        <v>202506</v>
      </c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  <c r="AM1252" s="4"/>
      <c r="AN1252" s="4"/>
      <c r="AO1252" s="4"/>
      <c r="AP1252" s="4"/>
      <c r="AQ1252" s="4"/>
      <c r="AR1252" s="4"/>
      <c r="AS1252" s="4"/>
      <c r="AT1252" s="4"/>
      <c r="AU1252" s="4"/>
      <c r="AV1252" s="4"/>
      <c r="AW1252" s="4"/>
      <c r="AX1252" s="4"/>
      <c r="AY1252" s="4"/>
      <c r="AZ1252" s="4"/>
      <c r="BA1252" s="4"/>
      <c r="BB1252" s="4"/>
      <c r="BC1252" s="4"/>
      <c r="BD1252" s="4"/>
      <c r="BE1252" s="4"/>
      <c r="BF1252" s="4"/>
      <c r="BG1252" s="4"/>
      <c r="BH1252" s="4"/>
      <c r="BI1252" s="4"/>
      <c r="BJ1252" s="4"/>
      <c r="BK1252" s="4"/>
      <c r="BL1252" s="4"/>
      <c r="BM1252" s="4"/>
      <c r="BN1252" s="4"/>
      <c r="BO1252" s="4"/>
      <c r="BP1252" s="4"/>
      <c r="BQ1252" s="4"/>
      <c r="BR1252" s="4"/>
      <c r="BS1252" s="4"/>
      <c r="BT1252" s="4"/>
      <c r="BU1252" s="4"/>
      <c r="BV1252" s="4"/>
      <c r="BW1252" s="4"/>
      <c r="BX1252" s="4"/>
      <c r="BY1252" s="4"/>
      <c r="BZ1252" s="4"/>
      <c r="CA1252" s="4"/>
      <c r="CB1252" s="4"/>
      <c r="CC1252" s="4"/>
      <c r="CD1252" s="4"/>
      <c r="CE1252" s="4"/>
      <c r="CF1252" s="4"/>
      <c r="CG1252" s="4"/>
      <c r="CH1252" s="4"/>
      <c r="CI1252" s="4"/>
      <c r="CJ1252" s="4"/>
      <c r="CK1252" s="4"/>
      <c r="CL1252" s="4"/>
      <c r="CM1252" s="4"/>
      <c r="CN1252" s="4"/>
      <c r="CO1252" s="4"/>
      <c r="CP1252" s="4"/>
      <c r="CQ1252" s="4"/>
      <c r="CR1252" s="4"/>
      <c r="CS1252" s="4"/>
      <c r="CT1252" s="4"/>
      <c r="CU1252" s="4"/>
      <c r="CV1252" s="4"/>
      <c r="CW1252" s="4"/>
      <c r="CX1252" s="4"/>
      <c r="CY1252" s="4"/>
      <c r="CZ1252" s="4"/>
      <c r="DA1252" s="4"/>
      <c r="DB1252" s="4"/>
      <c r="DC1252" s="4"/>
      <c r="DD1252" s="4"/>
      <c r="DE1252" s="4"/>
      <c r="DF1252" s="4"/>
      <c r="DG1252" s="4"/>
      <c r="DH1252" s="4"/>
      <c r="DI1252" s="4"/>
      <c r="DJ1252" s="4"/>
      <c r="DK1252" s="4"/>
      <c r="DL1252" s="4"/>
      <c r="DM1252" s="4"/>
      <c r="DN1252" s="4"/>
      <c r="DO1252" s="4"/>
      <c r="DP1252" s="4"/>
      <c r="DQ1252" s="4"/>
      <c r="DR1252" s="4"/>
      <c r="DS1252" s="4"/>
    </row>
    <row r="1253">
      <c r="A1253" s="9">
        <f>IFERROR(__xludf.DUMMYFUNCTION("""COMPUTED_VALUE"""),45812.0)</f>
        <v>45812</v>
      </c>
      <c r="B1253" s="6" t="str">
        <f>IFERROR(__xludf.DUMMYFUNCTION("""COMPUTED_VALUE"""),"Clothing")</f>
        <v>Clothing</v>
      </c>
      <c r="C1253" s="7">
        <f>IFERROR(__xludf.DUMMYFUNCTION("""COMPUTED_VALUE"""),11650.0)</f>
        <v>11650</v>
      </c>
      <c r="D1253" s="6" t="str">
        <f>IFERROR(__xludf.DUMMYFUNCTION("""COMPUTED_VALUE"""),"Clothing")</f>
        <v>Clothing</v>
      </c>
      <c r="E1253" s="6" t="str">
        <f>IFERROR(__xludf.DUMMYFUNCTION("""COMPUTED_VALUE"""),"Credit Card")</f>
        <v>Credit Card</v>
      </c>
      <c r="F1253" s="6" t="s">
        <v>10</v>
      </c>
      <c r="G1253" s="8" t="str">
        <f t="shared" si="1"/>
        <v>202506</v>
      </c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  <c r="AF1253" s="4"/>
      <c r="AG1253" s="4"/>
      <c r="AH1253" s="4"/>
      <c r="AI1253" s="4"/>
      <c r="AJ1253" s="4"/>
      <c r="AK1253" s="4"/>
      <c r="AL1253" s="4"/>
      <c r="AM1253" s="4"/>
      <c r="AN1253" s="4"/>
      <c r="AO1253" s="4"/>
      <c r="AP1253" s="4"/>
      <c r="AQ1253" s="4"/>
      <c r="AR1253" s="4"/>
      <c r="AS1253" s="4"/>
      <c r="AT1253" s="4"/>
      <c r="AU1253" s="4"/>
      <c r="AV1253" s="4"/>
      <c r="AW1253" s="4"/>
      <c r="AX1253" s="4"/>
      <c r="AY1253" s="4"/>
      <c r="AZ1253" s="4"/>
      <c r="BA1253" s="4"/>
      <c r="BB1253" s="4"/>
      <c r="BC1253" s="4"/>
      <c r="BD1253" s="4"/>
      <c r="BE1253" s="4"/>
      <c r="BF1253" s="4"/>
      <c r="BG1253" s="4"/>
      <c r="BH1253" s="4"/>
      <c r="BI1253" s="4"/>
      <c r="BJ1253" s="4"/>
      <c r="BK1253" s="4"/>
      <c r="BL1253" s="4"/>
      <c r="BM1253" s="4"/>
      <c r="BN1253" s="4"/>
      <c r="BO1253" s="4"/>
      <c r="BP1253" s="4"/>
      <c r="BQ1253" s="4"/>
      <c r="BR1253" s="4"/>
      <c r="BS1253" s="4"/>
      <c r="BT1253" s="4"/>
      <c r="BU1253" s="4"/>
      <c r="BV1253" s="4"/>
      <c r="BW1253" s="4"/>
      <c r="BX1253" s="4"/>
      <c r="BY1253" s="4"/>
      <c r="BZ1253" s="4"/>
      <c r="CA1253" s="4"/>
      <c r="CB1253" s="4"/>
      <c r="CC1253" s="4"/>
      <c r="CD1253" s="4"/>
      <c r="CE1253" s="4"/>
      <c r="CF1253" s="4"/>
      <c r="CG1253" s="4"/>
      <c r="CH1253" s="4"/>
      <c r="CI1253" s="4"/>
      <c r="CJ1253" s="4"/>
      <c r="CK1253" s="4"/>
      <c r="CL1253" s="4"/>
      <c r="CM1253" s="4"/>
      <c r="CN1253" s="4"/>
      <c r="CO1253" s="4"/>
      <c r="CP1253" s="4"/>
      <c r="CQ1253" s="4"/>
      <c r="CR1253" s="4"/>
      <c r="CS1253" s="4"/>
      <c r="CT1253" s="4"/>
      <c r="CU1253" s="4"/>
      <c r="CV1253" s="4"/>
      <c r="CW1253" s="4"/>
      <c r="CX1253" s="4"/>
      <c r="CY1253" s="4"/>
      <c r="CZ1253" s="4"/>
      <c r="DA1253" s="4"/>
      <c r="DB1253" s="4"/>
      <c r="DC1253" s="4"/>
      <c r="DD1253" s="4"/>
      <c r="DE1253" s="4"/>
      <c r="DF1253" s="4"/>
      <c r="DG1253" s="4"/>
      <c r="DH1253" s="4"/>
      <c r="DI1253" s="4"/>
      <c r="DJ1253" s="4"/>
      <c r="DK1253" s="4"/>
      <c r="DL1253" s="4"/>
      <c r="DM1253" s="4"/>
      <c r="DN1253" s="4"/>
      <c r="DO1253" s="4"/>
      <c r="DP1253" s="4"/>
      <c r="DQ1253" s="4"/>
      <c r="DR1253" s="4"/>
      <c r="DS1253" s="4"/>
    </row>
    <row r="1254">
      <c r="A1254" s="9">
        <f>IFERROR(__xludf.DUMMYFUNCTION("""COMPUTED_VALUE"""),45812.0)</f>
        <v>45812</v>
      </c>
      <c r="B1254" s="6" t="str">
        <f>IFERROR(__xludf.DUMMYFUNCTION("""COMPUTED_VALUE"""),"Car Insurance")</f>
        <v>Car Insurance</v>
      </c>
      <c r="C1254" s="7">
        <f>IFERROR(__xludf.DUMMYFUNCTION("""COMPUTED_VALUE"""),40663.0)</f>
        <v>40663</v>
      </c>
      <c r="D1254" s="6" t="str">
        <f>IFERROR(__xludf.DUMMYFUNCTION("""COMPUTED_VALUE"""),"Car Expenses")</f>
        <v>Car Expenses</v>
      </c>
      <c r="E1254" s="6" t="str">
        <f>IFERROR(__xludf.DUMMYFUNCTION("""COMPUTED_VALUE"""),"Credit Card")</f>
        <v>Credit Card</v>
      </c>
      <c r="F1254" s="6" t="s">
        <v>9</v>
      </c>
      <c r="G1254" s="8" t="str">
        <f t="shared" si="1"/>
        <v>202506</v>
      </c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  <c r="AF1254" s="4"/>
      <c r="AG1254" s="4"/>
      <c r="AH1254" s="4"/>
      <c r="AI1254" s="4"/>
      <c r="AJ1254" s="4"/>
      <c r="AK1254" s="4"/>
      <c r="AL1254" s="4"/>
      <c r="AM1254" s="4"/>
      <c r="AN1254" s="4"/>
      <c r="AO1254" s="4"/>
      <c r="AP1254" s="4"/>
      <c r="AQ1254" s="4"/>
      <c r="AR1254" s="4"/>
      <c r="AS1254" s="4"/>
      <c r="AT1254" s="4"/>
      <c r="AU1254" s="4"/>
      <c r="AV1254" s="4"/>
      <c r="AW1254" s="4"/>
      <c r="AX1254" s="4"/>
      <c r="AY1254" s="4"/>
      <c r="AZ1254" s="4"/>
      <c r="BA1254" s="4"/>
      <c r="BB1254" s="4"/>
      <c r="BC1254" s="4"/>
      <c r="BD1254" s="4"/>
      <c r="BE1254" s="4"/>
      <c r="BF1254" s="4"/>
      <c r="BG1254" s="4"/>
      <c r="BH1254" s="4"/>
      <c r="BI1254" s="4"/>
      <c r="BJ1254" s="4"/>
      <c r="BK1254" s="4"/>
      <c r="BL1254" s="4"/>
      <c r="BM1254" s="4"/>
      <c r="BN1254" s="4"/>
      <c r="BO1254" s="4"/>
      <c r="BP1254" s="4"/>
      <c r="BQ1254" s="4"/>
      <c r="BR1254" s="4"/>
      <c r="BS1254" s="4"/>
      <c r="BT1254" s="4"/>
      <c r="BU1254" s="4"/>
      <c r="BV1254" s="4"/>
      <c r="BW1254" s="4"/>
      <c r="BX1254" s="4"/>
      <c r="BY1254" s="4"/>
      <c r="BZ1254" s="4"/>
      <c r="CA1254" s="4"/>
      <c r="CB1254" s="4"/>
      <c r="CC1254" s="4"/>
      <c r="CD1254" s="4"/>
      <c r="CE1254" s="4"/>
      <c r="CF1254" s="4"/>
      <c r="CG1254" s="4"/>
      <c r="CH1254" s="4"/>
      <c r="CI1254" s="4"/>
      <c r="CJ1254" s="4"/>
      <c r="CK1254" s="4"/>
      <c r="CL1254" s="4"/>
      <c r="CM1254" s="4"/>
      <c r="CN1254" s="4"/>
      <c r="CO1254" s="4"/>
      <c r="CP1254" s="4"/>
      <c r="CQ1254" s="4"/>
      <c r="CR1254" s="4"/>
      <c r="CS1254" s="4"/>
      <c r="CT1254" s="4"/>
      <c r="CU1254" s="4"/>
      <c r="CV1254" s="4"/>
      <c r="CW1254" s="4"/>
      <c r="CX1254" s="4"/>
      <c r="CY1254" s="4"/>
      <c r="CZ1254" s="4"/>
      <c r="DA1254" s="4"/>
      <c r="DB1254" s="4"/>
      <c r="DC1254" s="4"/>
      <c r="DD1254" s="4"/>
      <c r="DE1254" s="4"/>
      <c r="DF1254" s="4"/>
      <c r="DG1254" s="4"/>
      <c r="DH1254" s="4"/>
      <c r="DI1254" s="4"/>
      <c r="DJ1254" s="4"/>
      <c r="DK1254" s="4"/>
      <c r="DL1254" s="4"/>
      <c r="DM1254" s="4"/>
      <c r="DN1254" s="4"/>
      <c r="DO1254" s="4"/>
      <c r="DP1254" s="4"/>
      <c r="DQ1254" s="4"/>
      <c r="DR1254" s="4"/>
      <c r="DS1254" s="4"/>
    </row>
    <row r="1255">
      <c r="A1255" s="9">
        <f>IFERROR(__xludf.DUMMYFUNCTION("""COMPUTED_VALUE"""),45812.0)</f>
        <v>45812</v>
      </c>
      <c r="B1255" s="6" t="str">
        <f>IFERROR(__xludf.DUMMYFUNCTION("""COMPUTED_VALUE"""),"Groceries")</f>
        <v>Groceries</v>
      </c>
      <c r="C1255" s="7">
        <f>IFERROR(__xludf.DUMMYFUNCTION("""COMPUTED_VALUE"""),5000.0)</f>
        <v>5000</v>
      </c>
      <c r="D1255" s="6" t="str">
        <f>IFERROR(__xludf.DUMMYFUNCTION("""COMPUTED_VALUE"""),"Lunch Out")</f>
        <v>Lunch Out</v>
      </c>
      <c r="E1255" s="6" t="str">
        <f>IFERROR(__xludf.DUMMYFUNCTION("""COMPUTED_VALUE"""),"Virtual Wallet")</f>
        <v>Virtual Wallet</v>
      </c>
      <c r="F1255" s="6" t="s">
        <v>14</v>
      </c>
      <c r="G1255" s="8" t="str">
        <f t="shared" si="1"/>
        <v>202506</v>
      </c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  <c r="AF1255" s="4"/>
      <c r="AG1255" s="4"/>
      <c r="AH1255" s="4"/>
      <c r="AI1255" s="4"/>
      <c r="AJ1255" s="4"/>
      <c r="AK1255" s="4"/>
      <c r="AL1255" s="4"/>
      <c r="AM1255" s="4"/>
      <c r="AN1255" s="4"/>
      <c r="AO1255" s="4"/>
      <c r="AP1255" s="4"/>
      <c r="AQ1255" s="4"/>
      <c r="AR1255" s="4"/>
      <c r="AS1255" s="4"/>
      <c r="AT1255" s="4"/>
      <c r="AU1255" s="4"/>
      <c r="AV1255" s="4"/>
      <c r="AW1255" s="4"/>
      <c r="AX1255" s="4"/>
      <c r="AY1255" s="4"/>
      <c r="AZ1255" s="4"/>
      <c r="BA1255" s="4"/>
      <c r="BB1255" s="4"/>
      <c r="BC1255" s="4"/>
      <c r="BD1255" s="4"/>
      <c r="BE1255" s="4"/>
      <c r="BF1255" s="4"/>
      <c r="BG1255" s="4"/>
      <c r="BH1255" s="4"/>
      <c r="BI1255" s="4"/>
      <c r="BJ1255" s="4"/>
      <c r="BK1255" s="4"/>
      <c r="BL1255" s="4"/>
      <c r="BM1255" s="4"/>
      <c r="BN1255" s="4"/>
      <c r="BO1255" s="4"/>
      <c r="BP1255" s="4"/>
      <c r="BQ1255" s="4"/>
      <c r="BR1255" s="4"/>
      <c r="BS1255" s="4"/>
      <c r="BT1255" s="4"/>
      <c r="BU1255" s="4"/>
      <c r="BV1255" s="4"/>
      <c r="BW1255" s="4"/>
      <c r="BX1255" s="4"/>
      <c r="BY1255" s="4"/>
      <c r="BZ1255" s="4"/>
      <c r="CA1255" s="4"/>
      <c r="CB1255" s="4"/>
      <c r="CC1255" s="4"/>
      <c r="CD1255" s="4"/>
      <c r="CE1255" s="4"/>
      <c r="CF1255" s="4"/>
      <c r="CG1255" s="4"/>
      <c r="CH1255" s="4"/>
      <c r="CI1255" s="4"/>
      <c r="CJ1255" s="4"/>
      <c r="CK1255" s="4"/>
      <c r="CL1255" s="4"/>
      <c r="CM1255" s="4"/>
      <c r="CN1255" s="4"/>
      <c r="CO1255" s="4"/>
      <c r="CP1255" s="4"/>
      <c r="CQ1255" s="4"/>
      <c r="CR1255" s="4"/>
      <c r="CS1255" s="4"/>
      <c r="CT1255" s="4"/>
      <c r="CU1255" s="4"/>
      <c r="CV1255" s="4"/>
      <c r="CW1255" s="4"/>
      <c r="CX1255" s="4"/>
      <c r="CY1255" s="4"/>
      <c r="CZ1255" s="4"/>
      <c r="DA1255" s="4"/>
      <c r="DB1255" s="4"/>
      <c r="DC1255" s="4"/>
      <c r="DD1255" s="4"/>
      <c r="DE1255" s="4"/>
      <c r="DF1255" s="4"/>
      <c r="DG1255" s="4"/>
      <c r="DH1255" s="4"/>
      <c r="DI1255" s="4"/>
      <c r="DJ1255" s="4"/>
      <c r="DK1255" s="4"/>
      <c r="DL1255" s="4"/>
      <c r="DM1255" s="4"/>
      <c r="DN1255" s="4"/>
      <c r="DO1255" s="4"/>
      <c r="DP1255" s="4"/>
      <c r="DQ1255" s="4"/>
      <c r="DR1255" s="4"/>
      <c r="DS1255" s="4"/>
    </row>
    <row r="1256">
      <c r="A1256" s="9">
        <f>IFERROR(__xludf.DUMMYFUNCTION("""COMPUTED_VALUE"""),45813.0)</f>
        <v>45813</v>
      </c>
      <c r="B1256" s="6" t="str">
        <f>IFERROR(__xludf.DUMMYFUNCTION("""COMPUTED_VALUE"""),"Home Goods")</f>
        <v>Home Goods</v>
      </c>
      <c r="C1256" s="7">
        <f>IFERROR(__xludf.DUMMYFUNCTION("""COMPUTED_VALUE"""),5500.0)</f>
        <v>5500</v>
      </c>
      <c r="D1256" s="6" t="str">
        <f>IFERROR(__xludf.DUMMYFUNCTION("""COMPUTED_VALUE"""),"Home Goods &amp; Utilities")</f>
        <v>Home Goods &amp; Utilities</v>
      </c>
      <c r="E1256" s="6" t="str">
        <f>IFERROR(__xludf.DUMMYFUNCTION("""COMPUTED_VALUE"""),"Split Payment")</f>
        <v>Split Payment</v>
      </c>
      <c r="F1256" s="6" t="s">
        <v>8</v>
      </c>
      <c r="G1256" s="8" t="str">
        <f t="shared" si="1"/>
        <v>202506</v>
      </c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  <c r="AF1256" s="4"/>
      <c r="AG1256" s="4"/>
      <c r="AH1256" s="4"/>
      <c r="AI1256" s="4"/>
      <c r="AJ1256" s="4"/>
      <c r="AK1256" s="4"/>
      <c r="AL1256" s="4"/>
      <c r="AM1256" s="4"/>
      <c r="AN1256" s="4"/>
      <c r="AO1256" s="4"/>
      <c r="AP1256" s="4"/>
      <c r="AQ1256" s="4"/>
      <c r="AR1256" s="4"/>
      <c r="AS1256" s="4"/>
      <c r="AT1256" s="4"/>
      <c r="AU1256" s="4"/>
      <c r="AV1256" s="4"/>
      <c r="AW1256" s="4"/>
      <c r="AX1256" s="4"/>
      <c r="AY1256" s="4"/>
      <c r="AZ1256" s="4"/>
      <c r="BA1256" s="4"/>
      <c r="BB1256" s="4"/>
      <c r="BC1256" s="4"/>
      <c r="BD1256" s="4"/>
      <c r="BE1256" s="4"/>
      <c r="BF1256" s="4"/>
      <c r="BG1256" s="4"/>
      <c r="BH1256" s="4"/>
      <c r="BI1256" s="4"/>
      <c r="BJ1256" s="4"/>
      <c r="BK1256" s="4"/>
      <c r="BL1256" s="4"/>
      <c r="BM1256" s="4"/>
      <c r="BN1256" s="4"/>
      <c r="BO1256" s="4"/>
      <c r="BP1256" s="4"/>
      <c r="BQ1256" s="4"/>
      <c r="BR1256" s="4"/>
      <c r="BS1256" s="4"/>
      <c r="BT1256" s="4"/>
      <c r="BU1256" s="4"/>
      <c r="BV1256" s="4"/>
      <c r="BW1256" s="4"/>
      <c r="BX1256" s="4"/>
      <c r="BY1256" s="4"/>
      <c r="BZ1256" s="4"/>
      <c r="CA1256" s="4"/>
      <c r="CB1256" s="4"/>
      <c r="CC1256" s="4"/>
      <c r="CD1256" s="4"/>
      <c r="CE1256" s="4"/>
      <c r="CF1256" s="4"/>
      <c r="CG1256" s="4"/>
      <c r="CH1256" s="4"/>
      <c r="CI1256" s="4"/>
      <c r="CJ1256" s="4"/>
      <c r="CK1256" s="4"/>
      <c r="CL1256" s="4"/>
      <c r="CM1256" s="4"/>
      <c r="CN1256" s="4"/>
      <c r="CO1256" s="4"/>
      <c r="CP1256" s="4"/>
      <c r="CQ1256" s="4"/>
      <c r="CR1256" s="4"/>
      <c r="CS1256" s="4"/>
      <c r="CT1256" s="4"/>
      <c r="CU1256" s="4"/>
      <c r="CV1256" s="4"/>
      <c r="CW1256" s="4"/>
      <c r="CX1256" s="4"/>
      <c r="CY1256" s="4"/>
      <c r="CZ1256" s="4"/>
      <c r="DA1256" s="4"/>
      <c r="DB1256" s="4"/>
      <c r="DC1256" s="4"/>
      <c r="DD1256" s="4"/>
      <c r="DE1256" s="4"/>
      <c r="DF1256" s="4"/>
      <c r="DG1256" s="4"/>
      <c r="DH1256" s="4"/>
      <c r="DI1256" s="4"/>
      <c r="DJ1256" s="4"/>
      <c r="DK1256" s="4"/>
      <c r="DL1256" s="4"/>
      <c r="DM1256" s="4"/>
      <c r="DN1256" s="4"/>
      <c r="DO1256" s="4"/>
      <c r="DP1256" s="4"/>
      <c r="DQ1256" s="4"/>
      <c r="DR1256" s="4"/>
      <c r="DS1256" s="4"/>
    </row>
    <row r="1257">
      <c r="A1257" s="9">
        <f>IFERROR(__xludf.DUMMYFUNCTION("""COMPUTED_VALUE"""),45813.0)</f>
        <v>45813</v>
      </c>
      <c r="B1257" s="6" t="str">
        <f>IFERROR(__xludf.DUMMYFUNCTION("""COMPUTED_VALUE"""),"Donation")</f>
        <v>Donation</v>
      </c>
      <c r="C1257" s="7">
        <f>IFERROR(__xludf.DUMMYFUNCTION("""COMPUTED_VALUE"""),5000.0)</f>
        <v>5000</v>
      </c>
      <c r="D1257" s="6" t="str">
        <f>IFERROR(__xludf.DUMMYFUNCTION("""COMPUTED_VALUE"""),"Donation")</f>
        <v>Donation</v>
      </c>
      <c r="E1257" s="6" t="str">
        <f>IFERROR(__xludf.DUMMYFUNCTION("""COMPUTED_VALUE"""),"Virtual Wallet")</f>
        <v>Virtual Wallet</v>
      </c>
      <c r="F1257" s="6"/>
      <c r="G1257" s="8" t="str">
        <f t="shared" si="1"/>
        <v>202506</v>
      </c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  <c r="AF1257" s="4"/>
      <c r="AG1257" s="4"/>
      <c r="AH1257" s="4"/>
      <c r="AI1257" s="4"/>
      <c r="AJ1257" s="4"/>
      <c r="AK1257" s="4"/>
      <c r="AL1257" s="4"/>
      <c r="AM1257" s="4"/>
      <c r="AN1257" s="4"/>
      <c r="AO1257" s="4"/>
      <c r="AP1257" s="4"/>
      <c r="AQ1257" s="4"/>
      <c r="AR1257" s="4"/>
      <c r="AS1257" s="4"/>
      <c r="AT1257" s="4"/>
      <c r="AU1257" s="4"/>
      <c r="AV1257" s="4"/>
      <c r="AW1257" s="4"/>
      <c r="AX1257" s="4"/>
      <c r="AY1257" s="4"/>
      <c r="AZ1257" s="4"/>
      <c r="BA1257" s="4"/>
      <c r="BB1257" s="4"/>
      <c r="BC1257" s="4"/>
      <c r="BD1257" s="4"/>
      <c r="BE1257" s="4"/>
      <c r="BF1257" s="4"/>
      <c r="BG1257" s="4"/>
      <c r="BH1257" s="4"/>
      <c r="BI1257" s="4"/>
      <c r="BJ1257" s="4"/>
      <c r="BK1257" s="4"/>
      <c r="BL1257" s="4"/>
      <c r="BM1257" s="4"/>
      <c r="BN1257" s="4"/>
      <c r="BO1257" s="4"/>
      <c r="BP1257" s="4"/>
      <c r="BQ1257" s="4"/>
      <c r="BR1257" s="4"/>
      <c r="BS1257" s="4"/>
      <c r="BT1257" s="4"/>
      <c r="BU1257" s="4"/>
      <c r="BV1257" s="4"/>
      <c r="BW1257" s="4"/>
      <c r="BX1257" s="4"/>
      <c r="BY1257" s="4"/>
      <c r="BZ1257" s="4"/>
      <c r="CA1257" s="4"/>
      <c r="CB1257" s="4"/>
      <c r="CC1257" s="4"/>
      <c r="CD1257" s="4"/>
      <c r="CE1257" s="4"/>
      <c r="CF1257" s="4"/>
      <c r="CG1257" s="4"/>
      <c r="CH1257" s="4"/>
      <c r="CI1257" s="4"/>
      <c r="CJ1257" s="4"/>
      <c r="CK1257" s="4"/>
      <c r="CL1257" s="4"/>
      <c r="CM1257" s="4"/>
      <c r="CN1257" s="4"/>
      <c r="CO1257" s="4"/>
      <c r="CP1257" s="4"/>
      <c r="CQ1257" s="4"/>
      <c r="CR1257" s="4"/>
      <c r="CS1257" s="4"/>
      <c r="CT1257" s="4"/>
      <c r="CU1257" s="4"/>
      <c r="CV1257" s="4"/>
      <c r="CW1257" s="4"/>
      <c r="CX1257" s="4"/>
      <c r="CY1257" s="4"/>
      <c r="CZ1257" s="4"/>
      <c r="DA1257" s="4"/>
      <c r="DB1257" s="4"/>
      <c r="DC1257" s="4"/>
      <c r="DD1257" s="4"/>
      <c r="DE1257" s="4"/>
      <c r="DF1257" s="4"/>
      <c r="DG1257" s="4"/>
      <c r="DH1257" s="4"/>
      <c r="DI1257" s="4"/>
      <c r="DJ1257" s="4"/>
      <c r="DK1257" s="4"/>
      <c r="DL1257" s="4"/>
      <c r="DM1257" s="4"/>
      <c r="DN1257" s="4"/>
      <c r="DO1257" s="4"/>
      <c r="DP1257" s="4"/>
      <c r="DQ1257" s="4"/>
      <c r="DR1257" s="4"/>
      <c r="DS1257" s="4"/>
    </row>
    <row r="1258">
      <c r="A1258" s="9">
        <f>IFERROR(__xludf.DUMMYFUNCTION("""COMPUTED_VALUE"""),45813.0)</f>
        <v>45813</v>
      </c>
      <c r="B1258" s="6" t="str">
        <f>IFERROR(__xludf.DUMMYFUNCTION("""COMPUTED_VALUE"""),"Groceries")</f>
        <v>Groceries</v>
      </c>
      <c r="C1258" s="7">
        <f>IFERROR(__xludf.DUMMYFUNCTION("""COMPUTED_VALUE"""),2600.0)</f>
        <v>2600</v>
      </c>
      <c r="D1258" s="6" t="str">
        <f>IFERROR(__xludf.DUMMYFUNCTION("""COMPUTED_VALUE"""),"Groceries")</f>
        <v>Groceries</v>
      </c>
      <c r="E1258" s="6" t="str">
        <f>IFERROR(__xludf.DUMMYFUNCTION("""COMPUTED_VALUE"""),"Split Payment")</f>
        <v>Split Payment</v>
      </c>
      <c r="F1258" s="6" t="s">
        <v>7</v>
      </c>
      <c r="G1258" s="8" t="str">
        <f t="shared" si="1"/>
        <v>202506</v>
      </c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  <c r="AF1258" s="4"/>
      <c r="AG1258" s="4"/>
      <c r="AH1258" s="4"/>
      <c r="AI1258" s="4"/>
      <c r="AJ1258" s="4"/>
      <c r="AK1258" s="4"/>
      <c r="AL1258" s="4"/>
      <c r="AM1258" s="4"/>
      <c r="AN1258" s="4"/>
      <c r="AO1258" s="4"/>
      <c r="AP1258" s="4"/>
      <c r="AQ1258" s="4"/>
      <c r="AR1258" s="4"/>
      <c r="AS1258" s="4"/>
      <c r="AT1258" s="4"/>
      <c r="AU1258" s="4"/>
      <c r="AV1258" s="4"/>
      <c r="AW1258" s="4"/>
      <c r="AX1258" s="4"/>
      <c r="AY1258" s="4"/>
      <c r="AZ1258" s="4"/>
      <c r="BA1258" s="4"/>
      <c r="BB1258" s="4"/>
      <c r="BC1258" s="4"/>
      <c r="BD1258" s="4"/>
      <c r="BE1258" s="4"/>
      <c r="BF1258" s="4"/>
      <c r="BG1258" s="4"/>
      <c r="BH1258" s="4"/>
      <c r="BI1258" s="4"/>
      <c r="BJ1258" s="4"/>
      <c r="BK1258" s="4"/>
      <c r="BL1258" s="4"/>
      <c r="BM1258" s="4"/>
      <c r="BN1258" s="4"/>
      <c r="BO1258" s="4"/>
      <c r="BP1258" s="4"/>
      <c r="BQ1258" s="4"/>
      <c r="BR1258" s="4"/>
      <c r="BS1258" s="4"/>
      <c r="BT1258" s="4"/>
      <c r="BU1258" s="4"/>
      <c r="BV1258" s="4"/>
      <c r="BW1258" s="4"/>
      <c r="BX1258" s="4"/>
      <c r="BY1258" s="4"/>
      <c r="BZ1258" s="4"/>
      <c r="CA1258" s="4"/>
      <c r="CB1258" s="4"/>
      <c r="CC1258" s="4"/>
      <c r="CD1258" s="4"/>
      <c r="CE1258" s="4"/>
      <c r="CF1258" s="4"/>
      <c r="CG1258" s="4"/>
      <c r="CH1258" s="4"/>
      <c r="CI1258" s="4"/>
      <c r="CJ1258" s="4"/>
      <c r="CK1258" s="4"/>
      <c r="CL1258" s="4"/>
      <c r="CM1258" s="4"/>
      <c r="CN1258" s="4"/>
      <c r="CO1258" s="4"/>
      <c r="CP1258" s="4"/>
      <c r="CQ1258" s="4"/>
      <c r="CR1258" s="4"/>
      <c r="CS1258" s="4"/>
      <c r="CT1258" s="4"/>
      <c r="CU1258" s="4"/>
      <c r="CV1258" s="4"/>
      <c r="CW1258" s="4"/>
      <c r="CX1258" s="4"/>
      <c r="CY1258" s="4"/>
      <c r="CZ1258" s="4"/>
      <c r="DA1258" s="4"/>
      <c r="DB1258" s="4"/>
      <c r="DC1258" s="4"/>
      <c r="DD1258" s="4"/>
      <c r="DE1258" s="4"/>
      <c r="DF1258" s="4"/>
      <c r="DG1258" s="4"/>
      <c r="DH1258" s="4"/>
      <c r="DI1258" s="4"/>
      <c r="DJ1258" s="4"/>
      <c r="DK1258" s="4"/>
      <c r="DL1258" s="4"/>
      <c r="DM1258" s="4"/>
      <c r="DN1258" s="4"/>
      <c r="DO1258" s="4"/>
      <c r="DP1258" s="4"/>
      <c r="DQ1258" s="4"/>
      <c r="DR1258" s="4"/>
      <c r="DS1258" s="4"/>
    </row>
    <row r="1259">
      <c r="A1259" s="9">
        <f>IFERROR(__xludf.DUMMYFUNCTION("""COMPUTED_VALUE"""),45813.0)</f>
        <v>45813</v>
      </c>
      <c r="B1259" s="6" t="str">
        <f>IFERROR(__xludf.DUMMYFUNCTION("""COMPUTED_VALUE"""),"Home Maintenance")</f>
        <v>Home Maintenance</v>
      </c>
      <c r="C1259" s="7">
        <f>IFERROR(__xludf.DUMMYFUNCTION("""COMPUTED_VALUE"""),30000.0)</f>
        <v>30000</v>
      </c>
      <c r="D1259" s="6" t="str">
        <f>IFERROR(__xludf.DUMMYFUNCTION("""COMPUTED_VALUE"""),"Home Goods &amp; Utilities")</f>
        <v>Home Goods &amp; Utilities</v>
      </c>
      <c r="E1259" s="6" t="str">
        <f>IFERROR(__xludf.DUMMYFUNCTION("""COMPUTED_VALUE"""),"Virtual Wallet")</f>
        <v>Virtual Wallet</v>
      </c>
      <c r="F1259" s="6" t="s">
        <v>8</v>
      </c>
      <c r="G1259" s="8" t="str">
        <f t="shared" si="1"/>
        <v>202506</v>
      </c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  <c r="AF1259" s="4"/>
      <c r="AG1259" s="4"/>
      <c r="AH1259" s="4"/>
      <c r="AI1259" s="4"/>
      <c r="AJ1259" s="4"/>
      <c r="AK1259" s="4"/>
      <c r="AL1259" s="4"/>
      <c r="AM1259" s="4"/>
      <c r="AN1259" s="4"/>
      <c r="AO1259" s="4"/>
      <c r="AP1259" s="4"/>
      <c r="AQ1259" s="4"/>
      <c r="AR1259" s="4"/>
      <c r="AS1259" s="4"/>
      <c r="AT1259" s="4"/>
      <c r="AU1259" s="4"/>
      <c r="AV1259" s="4"/>
      <c r="AW1259" s="4"/>
      <c r="AX1259" s="4"/>
      <c r="AY1259" s="4"/>
      <c r="AZ1259" s="4"/>
      <c r="BA1259" s="4"/>
      <c r="BB1259" s="4"/>
      <c r="BC1259" s="4"/>
      <c r="BD1259" s="4"/>
      <c r="BE1259" s="4"/>
      <c r="BF1259" s="4"/>
      <c r="BG1259" s="4"/>
      <c r="BH1259" s="4"/>
      <c r="BI1259" s="4"/>
      <c r="BJ1259" s="4"/>
      <c r="BK1259" s="4"/>
      <c r="BL1259" s="4"/>
      <c r="BM1259" s="4"/>
      <c r="BN1259" s="4"/>
      <c r="BO1259" s="4"/>
      <c r="BP1259" s="4"/>
      <c r="BQ1259" s="4"/>
      <c r="BR1259" s="4"/>
      <c r="BS1259" s="4"/>
      <c r="BT1259" s="4"/>
      <c r="BU1259" s="4"/>
      <c r="BV1259" s="4"/>
      <c r="BW1259" s="4"/>
      <c r="BX1259" s="4"/>
      <c r="BY1259" s="4"/>
      <c r="BZ1259" s="4"/>
      <c r="CA1259" s="4"/>
      <c r="CB1259" s="4"/>
      <c r="CC1259" s="4"/>
      <c r="CD1259" s="4"/>
      <c r="CE1259" s="4"/>
      <c r="CF1259" s="4"/>
      <c r="CG1259" s="4"/>
      <c r="CH1259" s="4"/>
      <c r="CI1259" s="4"/>
      <c r="CJ1259" s="4"/>
      <c r="CK1259" s="4"/>
      <c r="CL1259" s="4"/>
      <c r="CM1259" s="4"/>
      <c r="CN1259" s="4"/>
      <c r="CO1259" s="4"/>
      <c r="CP1259" s="4"/>
      <c r="CQ1259" s="4"/>
      <c r="CR1259" s="4"/>
      <c r="CS1259" s="4"/>
      <c r="CT1259" s="4"/>
      <c r="CU1259" s="4"/>
      <c r="CV1259" s="4"/>
      <c r="CW1259" s="4"/>
      <c r="CX1259" s="4"/>
      <c r="CY1259" s="4"/>
      <c r="CZ1259" s="4"/>
      <c r="DA1259" s="4"/>
      <c r="DB1259" s="4"/>
      <c r="DC1259" s="4"/>
      <c r="DD1259" s="4"/>
      <c r="DE1259" s="4"/>
      <c r="DF1259" s="4"/>
      <c r="DG1259" s="4"/>
      <c r="DH1259" s="4"/>
      <c r="DI1259" s="4"/>
      <c r="DJ1259" s="4"/>
      <c r="DK1259" s="4"/>
      <c r="DL1259" s="4"/>
      <c r="DM1259" s="4"/>
      <c r="DN1259" s="4"/>
      <c r="DO1259" s="4"/>
      <c r="DP1259" s="4"/>
      <c r="DQ1259" s="4"/>
      <c r="DR1259" s="4"/>
      <c r="DS1259" s="4"/>
    </row>
    <row r="1260">
      <c r="A1260" s="9">
        <f>IFERROR(__xludf.DUMMYFUNCTION("""COMPUTED_VALUE"""),45813.0)</f>
        <v>45813</v>
      </c>
      <c r="B1260" s="6" t="str">
        <f>IFERROR(__xludf.DUMMYFUNCTION("""COMPUTED_VALUE"""),"Pets")</f>
        <v>Pets</v>
      </c>
      <c r="C1260" s="7">
        <f>IFERROR(__xludf.DUMMYFUNCTION("""COMPUTED_VALUE"""),15000.0)</f>
        <v>15000</v>
      </c>
      <c r="D1260" s="6" t="str">
        <f>IFERROR(__xludf.DUMMYFUNCTION("""COMPUTED_VALUE"""),"Pets")</f>
        <v>Pets</v>
      </c>
      <c r="E1260" s="6" t="str">
        <f>IFERROR(__xludf.DUMMYFUNCTION("""COMPUTED_VALUE"""),"Split Payment")</f>
        <v>Split Payment</v>
      </c>
      <c r="F1260" s="6" t="s">
        <v>7</v>
      </c>
      <c r="G1260" s="8" t="str">
        <f t="shared" si="1"/>
        <v>202506</v>
      </c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  <c r="AF1260" s="4"/>
      <c r="AG1260" s="4"/>
      <c r="AH1260" s="4"/>
      <c r="AI1260" s="4"/>
      <c r="AJ1260" s="4"/>
      <c r="AK1260" s="4"/>
      <c r="AL1260" s="4"/>
      <c r="AM1260" s="4"/>
      <c r="AN1260" s="4"/>
      <c r="AO1260" s="4"/>
      <c r="AP1260" s="4"/>
      <c r="AQ1260" s="4"/>
      <c r="AR1260" s="4"/>
      <c r="AS1260" s="4"/>
      <c r="AT1260" s="4"/>
      <c r="AU1260" s="4"/>
      <c r="AV1260" s="4"/>
      <c r="AW1260" s="4"/>
      <c r="AX1260" s="4"/>
      <c r="AY1260" s="4"/>
      <c r="AZ1260" s="4"/>
      <c r="BA1260" s="4"/>
      <c r="BB1260" s="4"/>
      <c r="BC1260" s="4"/>
      <c r="BD1260" s="4"/>
      <c r="BE1260" s="4"/>
      <c r="BF1260" s="4"/>
      <c r="BG1260" s="4"/>
      <c r="BH1260" s="4"/>
      <c r="BI1260" s="4"/>
      <c r="BJ1260" s="4"/>
      <c r="BK1260" s="4"/>
      <c r="BL1260" s="4"/>
      <c r="BM1260" s="4"/>
      <c r="BN1260" s="4"/>
      <c r="BO1260" s="4"/>
      <c r="BP1260" s="4"/>
      <c r="BQ1260" s="4"/>
      <c r="BR1260" s="4"/>
      <c r="BS1260" s="4"/>
      <c r="BT1260" s="4"/>
      <c r="BU1260" s="4"/>
      <c r="BV1260" s="4"/>
      <c r="BW1260" s="4"/>
      <c r="BX1260" s="4"/>
      <c r="BY1260" s="4"/>
      <c r="BZ1260" s="4"/>
      <c r="CA1260" s="4"/>
      <c r="CB1260" s="4"/>
      <c r="CC1260" s="4"/>
      <c r="CD1260" s="4"/>
      <c r="CE1260" s="4"/>
      <c r="CF1260" s="4"/>
      <c r="CG1260" s="4"/>
      <c r="CH1260" s="4"/>
      <c r="CI1260" s="4"/>
      <c r="CJ1260" s="4"/>
      <c r="CK1260" s="4"/>
      <c r="CL1260" s="4"/>
      <c r="CM1260" s="4"/>
      <c r="CN1260" s="4"/>
      <c r="CO1260" s="4"/>
      <c r="CP1260" s="4"/>
      <c r="CQ1260" s="4"/>
      <c r="CR1260" s="4"/>
      <c r="CS1260" s="4"/>
      <c r="CT1260" s="4"/>
      <c r="CU1260" s="4"/>
      <c r="CV1260" s="4"/>
      <c r="CW1260" s="4"/>
      <c r="CX1260" s="4"/>
      <c r="CY1260" s="4"/>
      <c r="CZ1260" s="4"/>
      <c r="DA1260" s="4"/>
      <c r="DB1260" s="4"/>
      <c r="DC1260" s="4"/>
      <c r="DD1260" s="4"/>
      <c r="DE1260" s="4"/>
      <c r="DF1260" s="4"/>
      <c r="DG1260" s="4"/>
      <c r="DH1260" s="4"/>
      <c r="DI1260" s="4"/>
      <c r="DJ1260" s="4"/>
      <c r="DK1260" s="4"/>
      <c r="DL1260" s="4"/>
      <c r="DM1260" s="4"/>
      <c r="DN1260" s="4"/>
      <c r="DO1260" s="4"/>
      <c r="DP1260" s="4"/>
      <c r="DQ1260" s="4"/>
      <c r="DR1260" s="4"/>
      <c r="DS1260" s="4"/>
    </row>
    <row r="1261">
      <c r="A1261" s="9">
        <f>IFERROR(__xludf.DUMMYFUNCTION("""COMPUTED_VALUE"""),45814.0)</f>
        <v>45814</v>
      </c>
      <c r="B1261" s="6" t="str">
        <f>IFERROR(__xludf.DUMMYFUNCTION("""COMPUTED_VALUE"""),"Delivery")</f>
        <v>Delivery</v>
      </c>
      <c r="C1261" s="7">
        <f>IFERROR(__xludf.DUMMYFUNCTION("""COMPUTED_VALUE"""),9517.0)</f>
        <v>9517</v>
      </c>
      <c r="D1261" s="6" t="str">
        <f>IFERROR(__xludf.DUMMYFUNCTION("""COMPUTED_VALUE"""),"Restaurant / Café")</f>
        <v>Restaurant / Café</v>
      </c>
      <c r="E1261" s="6" t="str">
        <f>IFERROR(__xludf.DUMMYFUNCTION("""COMPUTED_VALUE"""),"Split Payment")</f>
        <v>Split Payment</v>
      </c>
      <c r="F1261" s="6" t="s">
        <v>14</v>
      </c>
      <c r="G1261" s="8" t="str">
        <f t="shared" si="1"/>
        <v>202506</v>
      </c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  <c r="AF1261" s="4"/>
      <c r="AG1261" s="4"/>
      <c r="AH1261" s="4"/>
      <c r="AI1261" s="4"/>
      <c r="AJ1261" s="4"/>
      <c r="AK1261" s="4"/>
      <c r="AL1261" s="4"/>
      <c r="AM1261" s="4"/>
      <c r="AN1261" s="4"/>
      <c r="AO1261" s="4"/>
      <c r="AP1261" s="4"/>
      <c r="AQ1261" s="4"/>
      <c r="AR1261" s="4"/>
      <c r="AS1261" s="4"/>
      <c r="AT1261" s="4"/>
      <c r="AU1261" s="4"/>
      <c r="AV1261" s="4"/>
      <c r="AW1261" s="4"/>
      <c r="AX1261" s="4"/>
      <c r="AY1261" s="4"/>
      <c r="AZ1261" s="4"/>
      <c r="BA1261" s="4"/>
      <c r="BB1261" s="4"/>
      <c r="BC1261" s="4"/>
      <c r="BD1261" s="4"/>
      <c r="BE1261" s="4"/>
      <c r="BF1261" s="4"/>
      <c r="BG1261" s="4"/>
      <c r="BH1261" s="4"/>
      <c r="BI1261" s="4"/>
      <c r="BJ1261" s="4"/>
      <c r="BK1261" s="4"/>
      <c r="BL1261" s="4"/>
      <c r="BM1261" s="4"/>
      <c r="BN1261" s="4"/>
      <c r="BO1261" s="4"/>
      <c r="BP1261" s="4"/>
      <c r="BQ1261" s="4"/>
      <c r="BR1261" s="4"/>
      <c r="BS1261" s="4"/>
      <c r="BT1261" s="4"/>
      <c r="BU1261" s="4"/>
      <c r="BV1261" s="4"/>
      <c r="BW1261" s="4"/>
      <c r="BX1261" s="4"/>
      <c r="BY1261" s="4"/>
      <c r="BZ1261" s="4"/>
      <c r="CA1261" s="4"/>
      <c r="CB1261" s="4"/>
      <c r="CC1261" s="4"/>
      <c r="CD1261" s="4"/>
      <c r="CE1261" s="4"/>
      <c r="CF1261" s="4"/>
      <c r="CG1261" s="4"/>
      <c r="CH1261" s="4"/>
      <c r="CI1261" s="4"/>
      <c r="CJ1261" s="4"/>
      <c r="CK1261" s="4"/>
      <c r="CL1261" s="4"/>
      <c r="CM1261" s="4"/>
      <c r="CN1261" s="4"/>
      <c r="CO1261" s="4"/>
      <c r="CP1261" s="4"/>
      <c r="CQ1261" s="4"/>
      <c r="CR1261" s="4"/>
      <c r="CS1261" s="4"/>
      <c r="CT1261" s="4"/>
      <c r="CU1261" s="4"/>
      <c r="CV1261" s="4"/>
      <c r="CW1261" s="4"/>
      <c r="CX1261" s="4"/>
      <c r="CY1261" s="4"/>
      <c r="CZ1261" s="4"/>
      <c r="DA1261" s="4"/>
      <c r="DB1261" s="4"/>
      <c r="DC1261" s="4"/>
      <c r="DD1261" s="4"/>
      <c r="DE1261" s="4"/>
      <c r="DF1261" s="4"/>
      <c r="DG1261" s="4"/>
      <c r="DH1261" s="4"/>
      <c r="DI1261" s="4"/>
      <c r="DJ1261" s="4"/>
      <c r="DK1261" s="4"/>
      <c r="DL1261" s="4"/>
      <c r="DM1261" s="4"/>
      <c r="DN1261" s="4"/>
      <c r="DO1261" s="4"/>
      <c r="DP1261" s="4"/>
      <c r="DQ1261" s="4"/>
      <c r="DR1261" s="4"/>
      <c r="DS1261" s="4"/>
    </row>
    <row r="1262">
      <c r="A1262" s="9">
        <f>IFERROR(__xludf.DUMMYFUNCTION("""COMPUTED_VALUE"""),45815.0)</f>
        <v>45815</v>
      </c>
      <c r="B1262" s="6" t="str">
        <f>IFERROR(__xludf.DUMMYFUNCTION("""COMPUTED_VALUE"""),"Mobile Plan")</f>
        <v>Mobile Plan</v>
      </c>
      <c r="C1262" s="7">
        <f>IFERROR(__xludf.DUMMYFUNCTION("""COMPUTED_VALUE"""),10300.0)</f>
        <v>10300</v>
      </c>
      <c r="D1262" s="6" t="str">
        <f>IFERROR(__xludf.DUMMYFUNCTION("""COMPUTED_VALUE"""),"Basic Services")</f>
        <v>Basic Services</v>
      </c>
      <c r="E1262" s="6" t="str">
        <f>IFERROR(__xludf.DUMMYFUNCTION("""COMPUTED_VALUE"""),"Virtual Wallet")</f>
        <v>Virtual Wallet</v>
      </c>
      <c r="F1262" s="6" t="s">
        <v>13</v>
      </c>
      <c r="G1262" s="8" t="str">
        <f t="shared" si="1"/>
        <v>202506</v>
      </c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  <c r="AF1262" s="4"/>
      <c r="AG1262" s="4"/>
      <c r="AH1262" s="4"/>
      <c r="AI1262" s="4"/>
      <c r="AJ1262" s="4"/>
      <c r="AK1262" s="4"/>
      <c r="AL1262" s="4"/>
      <c r="AM1262" s="4"/>
      <c r="AN1262" s="4"/>
      <c r="AO1262" s="4"/>
      <c r="AP1262" s="4"/>
      <c r="AQ1262" s="4"/>
      <c r="AR1262" s="4"/>
      <c r="AS1262" s="4"/>
      <c r="AT1262" s="4"/>
      <c r="AU1262" s="4"/>
      <c r="AV1262" s="4"/>
      <c r="AW1262" s="4"/>
      <c r="AX1262" s="4"/>
      <c r="AY1262" s="4"/>
      <c r="AZ1262" s="4"/>
      <c r="BA1262" s="4"/>
      <c r="BB1262" s="4"/>
      <c r="BC1262" s="4"/>
      <c r="BD1262" s="4"/>
      <c r="BE1262" s="4"/>
      <c r="BF1262" s="4"/>
      <c r="BG1262" s="4"/>
      <c r="BH1262" s="4"/>
      <c r="BI1262" s="4"/>
      <c r="BJ1262" s="4"/>
      <c r="BK1262" s="4"/>
      <c r="BL1262" s="4"/>
      <c r="BM1262" s="4"/>
      <c r="BN1262" s="4"/>
      <c r="BO1262" s="4"/>
      <c r="BP1262" s="4"/>
      <c r="BQ1262" s="4"/>
      <c r="BR1262" s="4"/>
      <c r="BS1262" s="4"/>
      <c r="BT1262" s="4"/>
      <c r="BU1262" s="4"/>
      <c r="BV1262" s="4"/>
      <c r="BW1262" s="4"/>
      <c r="BX1262" s="4"/>
      <c r="BY1262" s="4"/>
      <c r="BZ1262" s="4"/>
      <c r="CA1262" s="4"/>
      <c r="CB1262" s="4"/>
      <c r="CC1262" s="4"/>
      <c r="CD1262" s="4"/>
      <c r="CE1262" s="4"/>
      <c r="CF1262" s="4"/>
      <c r="CG1262" s="4"/>
      <c r="CH1262" s="4"/>
      <c r="CI1262" s="4"/>
      <c r="CJ1262" s="4"/>
      <c r="CK1262" s="4"/>
      <c r="CL1262" s="4"/>
      <c r="CM1262" s="4"/>
      <c r="CN1262" s="4"/>
      <c r="CO1262" s="4"/>
      <c r="CP1262" s="4"/>
      <c r="CQ1262" s="4"/>
      <c r="CR1262" s="4"/>
      <c r="CS1262" s="4"/>
      <c r="CT1262" s="4"/>
      <c r="CU1262" s="4"/>
      <c r="CV1262" s="4"/>
      <c r="CW1262" s="4"/>
      <c r="CX1262" s="4"/>
      <c r="CY1262" s="4"/>
      <c r="CZ1262" s="4"/>
      <c r="DA1262" s="4"/>
      <c r="DB1262" s="4"/>
      <c r="DC1262" s="4"/>
      <c r="DD1262" s="4"/>
      <c r="DE1262" s="4"/>
      <c r="DF1262" s="4"/>
      <c r="DG1262" s="4"/>
      <c r="DH1262" s="4"/>
      <c r="DI1262" s="4"/>
      <c r="DJ1262" s="4"/>
      <c r="DK1262" s="4"/>
      <c r="DL1262" s="4"/>
      <c r="DM1262" s="4"/>
      <c r="DN1262" s="4"/>
      <c r="DO1262" s="4"/>
      <c r="DP1262" s="4"/>
      <c r="DQ1262" s="4"/>
      <c r="DR1262" s="4"/>
      <c r="DS1262" s="4"/>
    </row>
    <row r="1263">
      <c r="A1263" s="9">
        <f>IFERROR(__xludf.DUMMYFUNCTION("""COMPUTED_VALUE"""),45815.0)</f>
        <v>45815</v>
      </c>
      <c r="B1263" s="6" t="str">
        <f>IFERROR(__xludf.DUMMYFUNCTION("""COMPUTED_VALUE"""),"Groceries")</f>
        <v>Groceries</v>
      </c>
      <c r="C1263" s="7">
        <f>IFERROR(__xludf.DUMMYFUNCTION("""COMPUTED_VALUE"""),73746.0)</f>
        <v>73746</v>
      </c>
      <c r="D1263" s="6" t="str">
        <f>IFERROR(__xludf.DUMMYFUNCTION("""COMPUTED_VALUE"""),"Groceries")</f>
        <v>Groceries</v>
      </c>
      <c r="E1263" s="6" t="str">
        <f>IFERROR(__xludf.DUMMYFUNCTION("""COMPUTED_VALUE"""),"Split Payment")</f>
        <v>Split Payment</v>
      </c>
      <c r="F1263" s="6" t="s">
        <v>7</v>
      </c>
      <c r="G1263" s="8" t="str">
        <f t="shared" si="1"/>
        <v>202506</v>
      </c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  <c r="AF1263" s="4"/>
      <c r="AG1263" s="4"/>
      <c r="AH1263" s="4"/>
      <c r="AI1263" s="4"/>
      <c r="AJ1263" s="4"/>
      <c r="AK1263" s="4"/>
      <c r="AL1263" s="4"/>
      <c r="AM1263" s="4"/>
      <c r="AN1263" s="4"/>
      <c r="AO1263" s="4"/>
      <c r="AP1263" s="4"/>
      <c r="AQ1263" s="4"/>
      <c r="AR1263" s="4"/>
      <c r="AS1263" s="4"/>
      <c r="AT1263" s="4"/>
      <c r="AU1263" s="4"/>
      <c r="AV1263" s="4"/>
      <c r="AW1263" s="4"/>
      <c r="AX1263" s="4"/>
      <c r="AY1263" s="4"/>
      <c r="AZ1263" s="4"/>
      <c r="BA1263" s="4"/>
      <c r="BB1263" s="4"/>
      <c r="BC1263" s="4"/>
      <c r="BD1263" s="4"/>
      <c r="BE1263" s="4"/>
      <c r="BF1263" s="4"/>
      <c r="BG1263" s="4"/>
      <c r="BH1263" s="4"/>
      <c r="BI1263" s="4"/>
      <c r="BJ1263" s="4"/>
      <c r="BK1263" s="4"/>
      <c r="BL1263" s="4"/>
      <c r="BM1263" s="4"/>
      <c r="BN1263" s="4"/>
      <c r="BO1263" s="4"/>
      <c r="BP1263" s="4"/>
      <c r="BQ1263" s="4"/>
      <c r="BR1263" s="4"/>
      <c r="BS1263" s="4"/>
      <c r="BT1263" s="4"/>
      <c r="BU1263" s="4"/>
      <c r="BV1263" s="4"/>
      <c r="BW1263" s="4"/>
      <c r="BX1263" s="4"/>
      <c r="BY1263" s="4"/>
      <c r="BZ1263" s="4"/>
      <c r="CA1263" s="4"/>
      <c r="CB1263" s="4"/>
      <c r="CC1263" s="4"/>
      <c r="CD1263" s="4"/>
      <c r="CE1263" s="4"/>
      <c r="CF1263" s="4"/>
      <c r="CG1263" s="4"/>
      <c r="CH1263" s="4"/>
      <c r="CI1263" s="4"/>
      <c r="CJ1263" s="4"/>
      <c r="CK1263" s="4"/>
      <c r="CL1263" s="4"/>
      <c r="CM1263" s="4"/>
      <c r="CN1263" s="4"/>
      <c r="CO1263" s="4"/>
      <c r="CP1263" s="4"/>
      <c r="CQ1263" s="4"/>
      <c r="CR1263" s="4"/>
      <c r="CS1263" s="4"/>
      <c r="CT1263" s="4"/>
      <c r="CU1263" s="4"/>
      <c r="CV1263" s="4"/>
      <c r="CW1263" s="4"/>
      <c r="CX1263" s="4"/>
      <c r="CY1263" s="4"/>
      <c r="CZ1263" s="4"/>
      <c r="DA1263" s="4"/>
      <c r="DB1263" s="4"/>
      <c r="DC1263" s="4"/>
      <c r="DD1263" s="4"/>
      <c r="DE1263" s="4"/>
      <c r="DF1263" s="4"/>
      <c r="DG1263" s="4"/>
      <c r="DH1263" s="4"/>
      <c r="DI1263" s="4"/>
      <c r="DJ1263" s="4"/>
      <c r="DK1263" s="4"/>
      <c r="DL1263" s="4"/>
      <c r="DM1263" s="4"/>
      <c r="DN1263" s="4"/>
      <c r="DO1263" s="4"/>
      <c r="DP1263" s="4"/>
      <c r="DQ1263" s="4"/>
      <c r="DR1263" s="4"/>
      <c r="DS1263" s="4"/>
    </row>
    <row r="1264">
      <c r="A1264" s="9">
        <f>IFERROR(__xludf.DUMMYFUNCTION("""COMPUTED_VALUE"""),45815.0)</f>
        <v>45815</v>
      </c>
      <c r="B1264" s="6" t="str">
        <f>IFERROR(__xludf.DUMMYFUNCTION("""COMPUTED_VALUE"""),"Pets")</f>
        <v>Pets</v>
      </c>
      <c r="C1264" s="7">
        <f>IFERROR(__xludf.DUMMYFUNCTION("""COMPUTED_VALUE"""),22640.0)</f>
        <v>22640</v>
      </c>
      <c r="D1264" s="6" t="str">
        <f>IFERROR(__xludf.DUMMYFUNCTION("""COMPUTED_VALUE"""),"Pets")</f>
        <v>Pets</v>
      </c>
      <c r="E1264" s="6" t="str">
        <f>IFERROR(__xludf.DUMMYFUNCTION("""COMPUTED_VALUE"""),"Split Payment")</f>
        <v>Split Payment</v>
      </c>
      <c r="F1264" s="6" t="s">
        <v>7</v>
      </c>
      <c r="G1264" s="8" t="str">
        <f t="shared" si="1"/>
        <v>202506</v>
      </c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  <c r="AF1264" s="4"/>
      <c r="AG1264" s="4"/>
      <c r="AH1264" s="4"/>
      <c r="AI1264" s="4"/>
      <c r="AJ1264" s="4"/>
      <c r="AK1264" s="4"/>
      <c r="AL1264" s="4"/>
      <c r="AM1264" s="4"/>
      <c r="AN1264" s="4"/>
      <c r="AO1264" s="4"/>
      <c r="AP1264" s="4"/>
      <c r="AQ1264" s="4"/>
      <c r="AR1264" s="4"/>
      <c r="AS1264" s="4"/>
      <c r="AT1264" s="4"/>
      <c r="AU1264" s="4"/>
      <c r="AV1264" s="4"/>
      <c r="AW1264" s="4"/>
      <c r="AX1264" s="4"/>
      <c r="AY1264" s="4"/>
      <c r="AZ1264" s="4"/>
      <c r="BA1264" s="4"/>
      <c r="BB1264" s="4"/>
      <c r="BC1264" s="4"/>
      <c r="BD1264" s="4"/>
      <c r="BE1264" s="4"/>
      <c r="BF1264" s="4"/>
      <c r="BG1264" s="4"/>
      <c r="BH1264" s="4"/>
      <c r="BI1264" s="4"/>
      <c r="BJ1264" s="4"/>
      <c r="BK1264" s="4"/>
      <c r="BL1264" s="4"/>
      <c r="BM1264" s="4"/>
      <c r="BN1264" s="4"/>
      <c r="BO1264" s="4"/>
      <c r="BP1264" s="4"/>
      <c r="BQ1264" s="4"/>
      <c r="BR1264" s="4"/>
      <c r="BS1264" s="4"/>
      <c r="BT1264" s="4"/>
      <c r="BU1264" s="4"/>
      <c r="BV1264" s="4"/>
      <c r="BW1264" s="4"/>
      <c r="BX1264" s="4"/>
      <c r="BY1264" s="4"/>
      <c r="BZ1264" s="4"/>
      <c r="CA1264" s="4"/>
      <c r="CB1264" s="4"/>
      <c r="CC1264" s="4"/>
      <c r="CD1264" s="4"/>
      <c r="CE1264" s="4"/>
      <c r="CF1264" s="4"/>
      <c r="CG1264" s="4"/>
      <c r="CH1264" s="4"/>
      <c r="CI1264" s="4"/>
      <c r="CJ1264" s="4"/>
      <c r="CK1264" s="4"/>
      <c r="CL1264" s="4"/>
      <c r="CM1264" s="4"/>
      <c r="CN1264" s="4"/>
      <c r="CO1264" s="4"/>
      <c r="CP1264" s="4"/>
      <c r="CQ1264" s="4"/>
      <c r="CR1264" s="4"/>
      <c r="CS1264" s="4"/>
      <c r="CT1264" s="4"/>
      <c r="CU1264" s="4"/>
      <c r="CV1264" s="4"/>
      <c r="CW1264" s="4"/>
      <c r="CX1264" s="4"/>
      <c r="CY1264" s="4"/>
      <c r="CZ1264" s="4"/>
      <c r="DA1264" s="4"/>
      <c r="DB1264" s="4"/>
      <c r="DC1264" s="4"/>
      <c r="DD1264" s="4"/>
      <c r="DE1264" s="4"/>
      <c r="DF1264" s="4"/>
      <c r="DG1264" s="4"/>
      <c r="DH1264" s="4"/>
      <c r="DI1264" s="4"/>
      <c r="DJ1264" s="4"/>
      <c r="DK1264" s="4"/>
      <c r="DL1264" s="4"/>
      <c r="DM1264" s="4"/>
      <c r="DN1264" s="4"/>
      <c r="DO1264" s="4"/>
      <c r="DP1264" s="4"/>
      <c r="DQ1264" s="4"/>
      <c r="DR1264" s="4"/>
      <c r="DS1264" s="4"/>
    </row>
    <row r="1265">
      <c r="A1265" s="9">
        <f>IFERROR(__xludf.DUMMYFUNCTION("""COMPUTED_VALUE"""),45815.0)</f>
        <v>45815</v>
      </c>
      <c r="B1265" s="6" t="str">
        <f>IFERROR(__xludf.DUMMYFUNCTION("""COMPUTED_VALUE"""),"Restaurant")</f>
        <v>Restaurant</v>
      </c>
      <c r="C1265" s="7">
        <f>IFERROR(__xludf.DUMMYFUNCTION("""COMPUTED_VALUE"""),4250.0)</f>
        <v>4250</v>
      </c>
      <c r="D1265" s="6" t="str">
        <f>IFERROR(__xludf.DUMMYFUNCTION("""COMPUTED_VALUE"""),"Restaurant / Café")</f>
        <v>Restaurant / Café</v>
      </c>
      <c r="E1265" s="6" t="str">
        <f>IFERROR(__xludf.DUMMYFUNCTION("""COMPUTED_VALUE"""),"Split Payment")</f>
        <v>Split Payment</v>
      </c>
      <c r="F1265" s="6" t="s">
        <v>14</v>
      </c>
      <c r="G1265" s="8" t="str">
        <f t="shared" si="1"/>
        <v>202506</v>
      </c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  <c r="AF1265" s="4"/>
      <c r="AG1265" s="4"/>
      <c r="AH1265" s="4"/>
      <c r="AI1265" s="4"/>
      <c r="AJ1265" s="4"/>
      <c r="AK1265" s="4"/>
      <c r="AL1265" s="4"/>
      <c r="AM1265" s="4"/>
      <c r="AN1265" s="4"/>
      <c r="AO1265" s="4"/>
      <c r="AP1265" s="4"/>
      <c r="AQ1265" s="4"/>
      <c r="AR1265" s="4"/>
      <c r="AS1265" s="4"/>
      <c r="AT1265" s="4"/>
      <c r="AU1265" s="4"/>
      <c r="AV1265" s="4"/>
      <c r="AW1265" s="4"/>
      <c r="AX1265" s="4"/>
      <c r="AY1265" s="4"/>
      <c r="AZ1265" s="4"/>
      <c r="BA1265" s="4"/>
      <c r="BB1265" s="4"/>
      <c r="BC1265" s="4"/>
      <c r="BD1265" s="4"/>
      <c r="BE1265" s="4"/>
      <c r="BF1265" s="4"/>
      <c r="BG1265" s="4"/>
      <c r="BH1265" s="4"/>
      <c r="BI1265" s="4"/>
      <c r="BJ1265" s="4"/>
      <c r="BK1265" s="4"/>
      <c r="BL1265" s="4"/>
      <c r="BM1265" s="4"/>
      <c r="BN1265" s="4"/>
      <c r="BO1265" s="4"/>
      <c r="BP1265" s="4"/>
      <c r="BQ1265" s="4"/>
      <c r="BR1265" s="4"/>
      <c r="BS1265" s="4"/>
      <c r="BT1265" s="4"/>
      <c r="BU1265" s="4"/>
      <c r="BV1265" s="4"/>
      <c r="BW1265" s="4"/>
      <c r="BX1265" s="4"/>
      <c r="BY1265" s="4"/>
      <c r="BZ1265" s="4"/>
      <c r="CA1265" s="4"/>
      <c r="CB1265" s="4"/>
      <c r="CC1265" s="4"/>
      <c r="CD1265" s="4"/>
      <c r="CE1265" s="4"/>
      <c r="CF1265" s="4"/>
      <c r="CG1265" s="4"/>
      <c r="CH1265" s="4"/>
      <c r="CI1265" s="4"/>
      <c r="CJ1265" s="4"/>
      <c r="CK1265" s="4"/>
      <c r="CL1265" s="4"/>
      <c r="CM1265" s="4"/>
      <c r="CN1265" s="4"/>
      <c r="CO1265" s="4"/>
      <c r="CP1265" s="4"/>
      <c r="CQ1265" s="4"/>
      <c r="CR1265" s="4"/>
      <c r="CS1265" s="4"/>
      <c r="CT1265" s="4"/>
      <c r="CU1265" s="4"/>
      <c r="CV1265" s="4"/>
      <c r="CW1265" s="4"/>
      <c r="CX1265" s="4"/>
      <c r="CY1265" s="4"/>
      <c r="CZ1265" s="4"/>
      <c r="DA1265" s="4"/>
      <c r="DB1265" s="4"/>
      <c r="DC1265" s="4"/>
      <c r="DD1265" s="4"/>
      <c r="DE1265" s="4"/>
      <c r="DF1265" s="4"/>
      <c r="DG1265" s="4"/>
      <c r="DH1265" s="4"/>
      <c r="DI1265" s="4"/>
      <c r="DJ1265" s="4"/>
      <c r="DK1265" s="4"/>
      <c r="DL1265" s="4"/>
      <c r="DM1265" s="4"/>
      <c r="DN1265" s="4"/>
      <c r="DO1265" s="4"/>
      <c r="DP1265" s="4"/>
      <c r="DQ1265" s="4"/>
      <c r="DR1265" s="4"/>
      <c r="DS1265" s="4"/>
    </row>
    <row r="1266">
      <c r="A1266" s="9">
        <f>IFERROR(__xludf.DUMMYFUNCTION("""COMPUTED_VALUE"""),45817.0)</f>
        <v>45817</v>
      </c>
      <c r="B1266" s="6" t="str">
        <f>IFERROR(__xludf.DUMMYFUNCTION("""COMPUTED_VALUE"""),"Streaming Services")</f>
        <v>Streaming Services</v>
      </c>
      <c r="C1266" s="7">
        <f>IFERROR(__xludf.DUMMYFUNCTION("""COMPUTED_VALUE"""),2491.0)</f>
        <v>2491</v>
      </c>
      <c r="D1266" s="6" t="str">
        <f>IFERROR(__xludf.DUMMYFUNCTION("""COMPUTED_VALUE"""),"Streaming Services")</f>
        <v>Streaming Services</v>
      </c>
      <c r="E1266" s="6" t="str">
        <f>IFERROR(__xludf.DUMMYFUNCTION("""COMPUTED_VALUE"""),"Credit Card")</f>
        <v>Credit Card</v>
      </c>
      <c r="F1266" s="6" t="s">
        <v>12</v>
      </c>
      <c r="G1266" s="8" t="str">
        <f t="shared" si="1"/>
        <v>202506</v>
      </c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  <c r="AF1266" s="4"/>
      <c r="AG1266" s="4"/>
      <c r="AH1266" s="4"/>
      <c r="AI1266" s="4"/>
      <c r="AJ1266" s="4"/>
      <c r="AK1266" s="4"/>
      <c r="AL1266" s="4"/>
      <c r="AM1266" s="4"/>
      <c r="AN1266" s="4"/>
      <c r="AO1266" s="4"/>
      <c r="AP1266" s="4"/>
      <c r="AQ1266" s="4"/>
      <c r="AR1266" s="4"/>
      <c r="AS1266" s="4"/>
      <c r="AT1266" s="4"/>
      <c r="AU1266" s="4"/>
      <c r="AV1266" s="4"/>
      <c r="AW1266" s="4"/>
      <c r="AX1266" s="4"/>
      <c r="AY1266" s="4"/>
      <c r="AZ1266" s="4"/>
      <c r="BA1266" s="4"/>
      <c r="BB1266" s="4"/>
      <c r="BC1266" s="4"/>
      <c r="BD1266" s="4"/>
      <c r="BE1266" s="4"/>
      <c r="BF1266" s="4"/>
      <c r="BG1266" s="4"/>
      <c r="BH1266" s="4"/>
      <c r="BI1266" s="4"/>
      <c r="BJ1266" s="4"/>
      <c r="BK1266" s="4"/>
      <c r="BL1266" s="4"/>
      <c r="BM1266" s="4"/>
      <c r="BN1266" s="4"/>
      <c r="BO1266" s="4"/>
      <c r="BP1266" s="4"/>
      <c r="BQ1266" s="4"/>
      <c r="BR1266" s="4"/>
      <c r="BS1266" s="4"/>
      <c r="BT1266" s="4"/>
      <c r="BU1266" s="4"/>
      <c r="BV1266" s="4"/>
      <c r="BW1266" s="4"/>
      <c r="BX1266" s="4"/>
      <c r="BY1266" s="4"/>
      <c r="BZ1266" s="4"/>
      <c r="CA1266" s="4"/>
      <c r="CB1266" s="4"/>
      <c r="CC1266" s="4"/>
      <c r="CD1266" s="4"/>
      <c r="CE1266" s="4"/>
      <c r="CF1266" s="4"/>
      <c r="CG1266" s="4"/>
      <c r="CH1266" s="4"/>
      <c r="CI1266" s="4"/>
      <c r="CJ1266" s="4"/>
      <c r="CK1266" s="4"/>
      <c r="CL1266" s="4"/>
      <c r="CM1266" s="4"/>
      <c r="CN1266" s="4"/>
      <c r="CO1266" s="4"/>
      <c r="CP1266" s="4"/>
      <c r="CQ1266" s="4"/>
      <c r="CR1266" s="4"/>
      <c r="CS1266" s="4"/>
      <c r="CT1266" s="4"/>
      <c r="CU1266" s="4"/>
      <c r="CV1266" s="4"/>
      <c r="CW1266" s="4"/>
      <c r="CX1266" s="4"/>
      <c r="CY1266" s="4"/>
      <c r="CZ1266" s="4"/>
      <c r="DA1266" s="4"/>
      <c r="DB1266" s="4"/>
      <c r="DC1266" s="4"/>
      <c r="DD1266" s="4"/>
      <c r="DE1266" s="4"/>
      <c r="DF1266" s="4"/>
      <c r="DG1266" s="4"/>
      <c r="DH1266" s="4"/>
      <c r="DI1266" s="4"/>
      <c r="DJ1266" s="4"/>
      <c r="DK1266" s="4"/>
      <c r="DL1266" s="4"/>
      <c r="DM1266" s="4"/>
      <c r="DN1266" s="4"/>
      <c r="DO1266" s="4"/>
      <c r="DP1266" s="4"/>
      <c r="DQ1266" s="4"/>
      <c r="DR1266" s="4"/>
      <c r="DS1266" s="4"/>
    </row>
    <row r="1267">
      <c r="A1267" s="9">
        <f>IFERROR(__xludf.DUMMYFUNCTION("""COMPUTED_VALUE"""),45818.0)</f>
        <v>45818</v>
      </c>
      <c r="B1267" s="6" t="str">
        <f>IFERROR(__xludf.DUMMYFUNCTION("""COMPUTED_VALUE"""),"Clothing")</f>
        <v>Clothing</v>
      </c>
      <c r="C1267" s="7">
        <f>IFERROR(__xludf.DUMMYFUNCTION("""COMPUTED_VALUE"""),19651.0)</f>
        <v>19651</v>
      </c>
      <c r="D1267" s="6" t="str">
        <f>IFERROR(__xludf.DUMMYFUNCTION("""COMPUTED_VALUE"""),"Clothing")</f>
        <v>Clothing</v>
      </c>
      <c r="E1267" s="6" t="str">
        <f>IFERROR(__xludf.DUMMYFUNCTION("""COMPUTED_VALUE"""),"Credit Card")</f>
        <v>Credit Card</v>
      </c>
      <c r="F1267" s="6" t="s">
        <v>10</v>
      </c>
      <c r="G1267" s="8" t="str">
        <f t="shared" si="1"/>
        <v>202506</v>
      </c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  <c r="AF1267" s="4"/>
      <c r="AG1267" s="4"/>
      <c r="AH1267" s="4"/>
      <c r="AI1267" s="4"/>
      <c r="AJ1267" s="4"/>
      <c r="AK1267" s="4"/>
      <c r="AL1267" s="4"/>
      <c r="AM1267" s="4"/>
      <c r="AN1267" s="4"/>
      <c r="AO1267" s="4"/>
      <c r="AP1267" s="4"/>
      <c r="AQ1267" s="4"/>
      <c r="AR1267" s="4"/>
      <c r="AS1267" s="4"/>
      <c r="AT1267" s="4"/>
      <c r="AU1267" s="4"/>
      <c r="AV1267" s="4"/>
      <c r="AW1267" s="4"/>
      <c r="AX1267" s="4"/>
      <c r="AY1267" s="4"/>
      <c r="AZ1267" s="4"/>
      <c r="BA1267" s="4"/>
      <c r="BB1267" s="4"/>
      <c r="BC1267" s="4"/>
      <c r="BD1267" s="4"/>
      <c r="BE1267" s="4"/>
      <c r="BF1267" s="4"/>
      <c r="BG1267" s="4"/>
      <c r="BH1267" s="4"/>
      <c r="BI1267" s="4"/>
      <c r="BJ1267" s="4"/>
      <c r="BK1267" s="4"/>
      <c r="BL1267" s="4"/>
      <c r="BM1267" s="4"/>
      <c r="BN1267" s="4"/>
      <c r="BO1267" s="4"/>
      <c r="BP1267" s="4"/>
      <c r="BQ1267" s="4"/>
      <c r="BR1267" s="4"/>
      <c r="BS1267" s="4"/>
      <c r="BT1267" s="4"/>
      <c r="BU1267" s="4"/>
      <c r="BV1267" s="4"/>
      <c r="BW1267" s="4"/>
      <c r="BX1267" s="4"/>
      <c r="BY1267" s="4"/>
      <c r="BZ1267" s="4"/>
      <c r="CA1267" s="4"/>
      <c r="CB1267" s="4"/>
      <c r="CC1267" s="4"/>
      <c r="CD1267" s="4"/>
      <c r="CE1267" s="4"/>
      <c r="CF1267" s="4"/>
      <c r="CG1267" s="4"/>
      <c r="CH1267" s="4"/>
      <c r="CI1267" s="4"/>
      <c r="CJ1267" s="4"/>
      <c r="CK1267" s="4"/>
      <c r="CL1267" s="4"/>
      <c r="CM1267" s="4"/>
      <c r="CN1267" s="4"/>
      <c r="CO1267" s="4"/>
      <c r="CP1267" s="4"/>
      <c r="CQ1267" s="4"/>
      <c r="CR1267" s="4"/>
      <c r="CS1267" s="4"/>
      <c r="CT1267" s="4"/>
      <c r="CU1267" s="4"/>
      <c r="CV1267" s="4"/>
      <c r="CW1267" s="4"/>
      <c r="CX1267" s="4"/>
      <c r="CY1267" s="4"/>
      <c r="CZ1267" s="4"/>
      <c r="DA1267" s="4"/>
      <c r="DB1267" s="4"/>
      <c r="DC1267" s="4"/>
      <c r="DD1267" s="4"/>
      <c r="DE1267" s="4"/>
      <c r="DF1267" s="4"/>
      <c r="DG1267" s="4"/>
      <c r="DH1267" s="4"/>
      <c r="DI1267" s="4"/>
      <c r="DJ1267" s="4"/>
      <c r="DK1267" s="4"/>
      <c r="DL1267" s="4"/>
      <c r="DM1267" s="4"/>
      <c r="DN1267" s="4"/>
      <c r="DO1267" s="4"/>
      <c r="DP1267" s="4"/>
      <c r="DQ1267" s="4"/>
      <c r="DR1267" s="4"/>
      <c r="DS1267" s="4"/>
    </row>
    <row r="1268">
      <c r="A1268" s="9">
        <f>IFERROR(__xludf.DUMMYFUNCTION("""COMPUTED_VALUE"""),45818.0)</f>
        <v>45818</v>
      </c>
      <c r="B1268" s="6" t="str">
        <f>IFERROR(__xludf.DUMMYFUNCTION("""COMPUTED_VALUE"""),"Clothing")</f>
        <v>Clothing</v>
      </c>
      <c r="C1268" s="7">
        <f>IFERROR(__xludf.DUMMYFUNCTION("""COMPUTED_VALUE"""),20000.0)</f>
        <v>20000</v>
      </c>
      <c r="D1268" s="6" t="str">
        <f>IFERROR(__xludf.DUMMYFUNCTION("""COMPUTED_VALUE"""),"Clothing")</f>
        <v>Clothing</v>
      </c>
      <c r="E1268" s="6" t="str">
        <f>IFERROR(__xludf.DUMMYFUNCTION("""COMPUTED_VALUE"""),"Virtual Wallet")</f>
        <v>Virtual Wallet</v>
      </c>
      <c r="F1268" s="6" t="s">
        <v>10</v>
      </c>
      <c r="G1268" s="8" t="str">
        <f t="shared" si="1"/>
        <v>202506</v>
      </c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  <c r="AF1268" s="4"/>
      <c r="AG1268" s="4"/>
      <c r="AH1268" s="4"/>
      <c r="AI1268" s="4"/>
      <c r="AJ1268" s="4"/>
      <c r="AK1268" s="4"/>
      <c r="AL1268" s="4"/>
      <c r="AM1268" s="4"/>
      <c r="AN1268" s="4"/>
      <c r="AO1268" s="4"/>
      <c r="AP1268" s="4"/>
      <c r="AQ1268" s="4"/>
      <c r="AR1268" s="4"/>
      <c r="AS1268" s="4"/>
      <c r="AT1268" s="4"/>
      <c r="AU1268" s="4"/>
      <c r="AV1268" s="4"/>
      <c r="AW1268" s="4"/>
      <c r="AX1268" s="4"/>
      <c r="AY1268" s="4"/>
      <c r="AZ1268" s="4"/>
      <c r="BA1268" s="4"/>
      <c r="BB1268" s="4"/>
      <c r="BC1268" s="4"/>
      <c r="BD1268" s="4"/>
      <c r="BE1268" s="4"/>
      <c r="BF1268" s="4"/>
      <c r="BG1268" s="4"/>
      <c r="BH1268" s="4"/>
      <c r="BI1268" s="4"/>
      <c r="BJ1268" s="4"/>
      <c r="BK1268" s="4"/>
      <c r="BL1268" s="4"/>
      <c r="BM1268" s="4"/>
      <c r="BN1268" s="4"/>
      <c r="BO1268" s="4"/>
      <c r="BP1268" s="4"/>
      <c r="BQ1268" s="4"/>
      <c r="BR1268" s="4"/>
      <c r="BS1268" s="4"/>
      <c r="BT1268" s="4"/>
      <c r="BU1268" s="4"/>
      <c r="BV1268" s="4"/>
      <c r="BW1268" s="4"/>
      <c r="BX1268" s="4"/>
      <c r="BY1268" s="4"/>
      <c r="BZ1268" s="4"/>
      <c r="CA1268" s="4"/>
      <c r="CB1268" s="4"/>
      <c r="CC1268" s="4"/>
      <c r="CD1268" s="4"/>
      <c r="CE1268" s="4"/>
      <c r="CF1268" s="4"/>
      <c r="CG1268" s="4"/>
      <c r="CH1268" s="4"/>
      <c r="CI1268" s="4"/>
      <c r="CJ1268" s="4"/>
      <c r="CK1268" s="4"/>
      <c r="CL1268" s="4"/>
      <c r="CM1268" s="4"/>
      <c r="CN1268" s="4"/>
      <c r="CO1268" s="4"/>
      <c r="CP1268" s="4"/>
      <c r="CQ1268" s="4"/>
      <c r="CR1268" s="4"/>
      <c r="CS1268" s="4"/>
      <c r="CT1268" s="4"/>
      <c r="CU1268" s="4"/>
      <c r="CV1268" s="4"/>
      <c r="CW1268" s="4"/>
      <c r="CX1268" s="4"/>
      <c r="CY1268" s="4"/>
      <c r="CZ1268" s="4"/>
      <c r="DA1268" s="4"/>
      <c r="DB1268" s="4"/>
      <c r="DC1268" s="4"/>
      <c r="DD1268" s="4"/>
      <c r="DE1268" s="4"/>
      <c r="DF1268" s="4"/>
      <c r="DG1268" s="4"/>
      <c r="DH1268" s="4"/>
      <c r="DI1268" s="4"/>
      <c r="DJ1268" s="4"/>
      <c r="DK1268" s="4"/>
      <c r="DL1268" s="4"/>
      <c r="DM1268" s="4"/>
      <c r="DN1268" s="4"/>
      <c r="DO1268" s="4"/>
      <c r="DP1268" s="4"/>
      <c r="DQ1268" s="4"/>
      <c r="DR1268" s="4"/>
      <c r="DS1268" s="4"/>
    </row>
    <row r="1269">
      <c r="A1269" s="9">
        <f>IFERROR(__xludf.DUMMYFUNCTION("""COMPUTED_VALUE"""),45818.0)</f>
        <v>45818</v>
      </c>
      <c r="B1269" s="6" t="str">
        <f>IFERROR(__xludf.DUMMYFUNCTION("""COMPUTED_VALUE"""),"Education")</f>
        <v>Education</v>
      </c>
      <c r="C1269" s="7">
        <f>IFERROR(__xludf.DUMMYFUNCTION("""COMPUTED_VALUE"""),3000.0)</f>
        <v>3000</v>
      </c>
      <c r="D1269" s="6" t="str">
        <f>IFERROR(__xludf.DUMMYFUNCTION("""COMPUTED_VALUE"""),"Education")</f>
        <v>Education</v>
      </c>
      <c r="E1269" s="6" t="str">
        <f>IFERROR(__xludf.DUMMYFUNCTION("""COMPUTED_VALUE"""),"Credit Card")</f>
        <v>Credit Card</v>
      </c>
      <c r="F1269" s="6" t="s">
        <v>11</v>
      </c>
      <c r="G1269" s="8" t="str">
        <f t="shared" si="1"/>
        <v>202506</v>
      </c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  <c r="AF1269" s="4"/>
      <c r="AG1269" s="4"/>
      <c r="AH1269" s="4"/>
      <c r="AI1269" s="4"/>
      <c r="AJ1269" s="4"/>
      <c r="AK1269" s="4"/>
      <c r="AL1269" s="4"/>
      <c r="AM1269" s="4"/>
      <c r="AN1269" s="4"/>
      <c r="AO1269" s="4"/>
      <c r="AP1269" s="4"/>
      <c r="AQ1269" s="4"/>
      <c r="AR1269" s="4"/>
      <c r="AS1269" s="4"/>
      <c r="AT1269" s="4"/>
      <c r="AU1269" s="4"/>
      <c r="AV1269" s="4"/>
      <c r="AW1269" s="4"/>
      <c r="AX1269" s="4"/>
      <c r="AY1269" s="4"/>
      <c r="AZ1269" s="4"/>
      <c r="BA1269" s="4"/>
      <c r="BB1269" s="4"/>
      <c r="BC1269" s="4"/>
      <c r="BD1269" s="4"/>
      <c r="BE1269" s="4"/>
      <c r="BF1269" s="4"/>
      <c r="BG1269" s="4"/>
      <c r="BH1269" s="4"/>
      <c r="BI1269" s="4"/>
      <c r="BJ1269" s="4"/>
      <c r="BK1269" s="4"/>
      <c r="BL1269" s="4"/>
      <c r="BM1269" s="4"/>
      <c r="BN1269" s="4"/>
      <c r="BO1269" s="4"/>
      <c r="BP1269" s="4"/>
      <c r="BQ1269" s="4"/>
      <c r="BR1269" s="4"/>
      <c r="BS1269" s="4"/>
      <c r="BT1269" s="4"/>
      <c r="BU1269" s="4"/>
      <c r="BV1269" s="4"/>
      <c r="BW1269" s="4"/>
      <c r="BX1269" s="4"/>
      <c r="BY1269" s="4"/>
      <c r="BZ1269" s="4"/>
      <c r="CA1269" s="4"/>
      <c r="CB1269" s="4"/>
      <c r="CC1269" s="4"/>
      <c r="CD1269" s="4"/>
      <c r="CE1269" s="4"/>
      <c r="CF1269" s="4"/>
      <c r="CG1269" s="4"/>
      <c r="CH1269" s="4"/>
      <c r="CI1269" s="4"/>
      <c r="CJ1269" s="4"/>
      <c r="CK1269" s="4"/>
      <c r="CL1269" s="4"/>
      <c r="CM1269" s="4"/>
      <c r="CN1269" s="4"/>
      <c r="CO1269" s="4"/>
      <c r="CP1269" s="4"/>
      <c r="CQ1269" s="4"/>
      <c r="CR1269" s="4"/>
      <c r="CS1269" s="4"/>
      <c r="CT1269" s="4"/>
      <c r="CU1269" s="4"/>
      <c r="CV1269" s="4"/>
      <c r="CW1269" s="4"/>
      <c r="CX1269" s="4"/>
      <c r="CY1269" s="4"/>
      <c r="CZ1269" s="4"/>
      <c r="DA1269" s="4"/>
      <c r="DB1269" s="4"/>
      <c r="DC1269" s="4"/>
      <c r="DD1269" s="4"/>
      <c r="DE1269" s="4"/>
      <c r="DF1269" s="4"/>
      <c r="DG1269" s="4"/>
      <c r="DH1269" s="4"/>
      <c r="DI1269" s="4"/>
      <c r="DJ1269" s="4"/>
      <c r="DK1269" s="4"/>
      <c r="DL1269" s="4"/>
      <c r="DM1269" s="4"/>
      <c r="DN1269" s="4"/>
      <c r="DO1269" s="4"/>
      <c r="DP1269" s="4"/>
      <c r="DQ1269" s="4"/>
      <c r="DR1269" s="4"/>
      <c r="DS1269" s="4"/>
    </row>
    <row r="1270">
      <c r="A1270" s="9">
        <f>IFERROR(__xludf.DUMMYFUNCTION("""COMPUTED_VALUE"""),45818.0)</f>
        <v>45818</v>
      </c>
      <c r="B1270" s="6" t="str">
        <f>IFERROR(__xludf.DUMMYFUNCTION("""COMPUTED_VALUE"""),"Education")</f>
        <v>Education</v>
      </c>
      <c r="C1270" s="7">
        <f>IFERROR(__xludf.DUMMYFUNCTION("""COMPUTED_VALUE"""),20000.0)</f>
        <v>20000</v>
      </c>
      <c r="D1270" s="6" t="str">
        <f>IFERROR(__xludf.DUMMYFUNCTION("""COMPUTED_VALUE"""),"Education")</f>
        <v>Education</v>
      </c>
      <c r="E1270" s="6" t="str">
        <f>IFERROR(__xludf.DUMMYFUNCTION("""COMPUTED_VALUE"""),"Credit Card")</f>
        <v>Credit Card</v>
      </c>
      <c r="F1270" s="6" t="s">
        <v>11</v>
      </c>
      <c r="G1270" s="8" t="str">
        <f t="shared" si="1"/>
        <v>202506</v>
      </c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  <c r="AA1270" s="4"/>
      <c r="AB1270" s="4"/>
      <c r="AC1270" s="4"/>
      <c r="AD1270" s="4"/>
      <c r="AE1270" s="4"/>
      <c r="AF1270" s="4"/>
      <c r="AG1270" s="4"/>
      <c r="AH1270" s="4"/>
      <c r="AI1270" s="4"/>
      <c r="AJ1270" s="4"/>
      <c r="AK1270" s="4"/>
      <c r="AL1270" s="4"/>
      <c r="AM1270" s="4"/>
      <c r="AN1270" s="4"/>
      <c r="AO1270" s="4"/>
      <c r="AP1270" s="4"/>
      <c r="AQ1270" s="4"/>
      <c r="AR1270" s="4"/>
      <c r="AS1270" s="4"/>
      <c r="AT1270" s="4"/>
      <c r="AU1270" s="4"/>
      <c r="AV1270" s="4"/>
      <c r="AW1270" s="4"/>
      <c r="AX1270" s="4"/>
      <c r="AY1270" s="4"/>
      <c r="AZ1270" s="4"/>
      <c r="BA1270" s="4"/>
      <c r="BB1270" s="4"/>
      <c r="BC1270" s="4"/>
      <c r="BD1270" s="4"/>
      <c r="BE1270" s="4"/>
      <c r="BF1270" s="4"/>
      <c r="BG1270" s="4"/>
      <c r="BH1270" s="4"/>
      <c r="BI1270" s="4"/>
      <c r="BJ1270" s="4"/>
      <c r="BK1270" s="4"/>
      <c r="BL1270" s="4"/>
      <c r="BM1270" s="4"/>
      <c r="BN1270" s="4"/>
      <c r="BO1270" s="4"/>
      <c r="BP1270" s="4"/>
      <c r="BQ1270" s="4"/>
      <c r="BR1270" s="4"/>
      <c r="BS1270" s="4"/>
      <c r="BT1270" s="4"/>
      <c r="BU1270" s="4"/>
      <c r="BV1270" s="4"/>
      <c r="BW1270" s="4"/>
      <c r="BX1270" s="4"/>
      <c r="BY1270" s="4"/>
      <c r="BZ1270" s="4"/>
      <c r="CA1270" s="4"/>
      <c r="CB1270" s="4"/>
      <c r="CC1270" s="4"/>
      <c r="CD1270" s="4"/>
      <c r="CE1270" s="4"/>
      <c r="CF1270" s="4"/>
      <c r="CG1270" s="4"/>
      <c r="CH1270" s="4"/>
      <c r="CI1270" s="4"/>
      <c r="CJ1270" s="4"/>
      <c r="CK1270" s="4"/>
      <c r="CL1270" s="4"/>
      <c r="CM1270" s="4"/>
      <c r="CN1270" s="4"/>
      <c r="CO1270" s="4"/>
      <c r="CP1270" s="4"/>
      <c r="CQ1270" s="4"/>
      <c r="CR1270" s="4"/>
      <c r="CS1270" s="4"/>
      <c r="CT1270" s="4"/>
      <c r="CU1270" s="4"/>
      <c r="CV1270" s="4"/>
      <c r="CW1270" s="4"/>
      <c r="CX1270" s="4"/>
      <c r="CY1270" s="4"/>
      <c r="CZ1270" s="4"/>
      <c r="DA1270" s="4"/>
      <c r="DB1270" s="4"/>
      <c r="DC1270" s="4"/>
      <c r="DD1270" s="4"/>
      <c r="DE1270" s="4"/>
      <c r="DF1270" s="4"/>
      <c r="DG1270" s="4"/>
      <c r="DH1270" s="4"/>
      <c r="DI1270" s="4"/>
      <c r="DJ1270" s="4"/>
      <c r="DK1270" s="4"/>
      <c r="DL1270" s="4"/>
      <c r="DM1270" s="4"/>
      <c r="DN1270" s="4"/>
      <c r="DO1270" s="4"/>
      <c r="DP1270" s="4"/>
      <c r="DQ1270" s="4"/>
      <c r="DR1270" s="4"/>
      <c r="DS1270" s="4"/>
    </row>
    <row r="1271">
      <c r="A1271" s="9">
        <f>IFERROR(__xludf.DUMMYFUNCTION("""COMPUTED_VALUE"""),45818.0)</f>
        <v>45818</v>
      </c>
      <c r="B1271" s="6" t="str">
        <f>IFERROR(__xludf.DUMMYFUNCTION("""COMPUTED_VALUE"""),"Lunch Out")</f>
        <v>Lunch Out</v>
      </c>
      <c r="C1271" s="7">
        <f>IFERROR(__xludf.DUMMYFUNCTION("""COMPUTED_VALUE"""),5000.0)</f>
        <v>5000</v>
      </c>
      <c r="D1271" s="6" t="str">
        <f>IFERROR(__xludf.DUMMYFUNCTION("""COMPUTED_VALUE"""),"Lunch Out")</f>
        <v>Lunch Out</v>
      </c>
      <c r="E1271" s="6" t="str">
        <f>IFERROR(__xludf.DUMMYFUNCTION("""COMPUTED_VALUE"""),"Virtual Wallet")</f>
        <v>Virtual Wallet</v>
      </c>
      <c r="F1271" s="6" t="s">
        <v>14</v>
      </c>
      <c r="G1271" s="8" t="str">
        <f t="shared" si="1"/>
        <v>202506</v>
      </c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  <c r="AA1271" s="4"/>
      <c r="AB1271" s="4"/>
      <c r="AC1271" s="4"/>
      <c r="AD1271" s="4"/>
      <c r="AE1271" s="4"/>
      <c r="AF1271" s="4"/>
      <c r="AG1271" s="4"/>
      <c r="AH1271" s="4"/>
      <c r="AI1271" s="4"/>
      <c r="AJ1271" s="4"/>
      <c r="AK1271" s="4"/>
      <c r="AL1271" s="4"/>
      <c r="AM1271" s="4"/>
      <c r="AN1271" s="4"/>
      <c r="AO1271" s="4"/>
      <c r="AP1271" s="4"/>
      <c r="AQ1271" s="4"/>
      <c r="AR1271" s="4"/>
      <c r="AS1271" s="4"/>
      <c r="AT1271" s="4"/>
      <c r="AU1271" s="4"/>
      <c r="AV1271" s="4"/>
      <c r="AW1271" s="4"/>
      <c r="AX1271" s="4"/>
      <c r="AY1271" s="4"/>
      <c r="AZ1271" s="4"/>
      <c r="BA1271" s="4"/>
      <c r="BB1271" s="4"/>
      <c r="BC1271" s="4"/>
      <c r="BD1271" s="4"/>
      <c r="BE1271" s="4"/>
      <c r="BF1271" s="4"/>
      <c r="BG1271" s="4"/>
      <c r="BH1271" s="4"/>
      <c r="BI1271" s="4"/>
      <c r="BJ1271" s="4"/>
      <c r="BK1271" s="4"/>
      <c r="BL1271" s="4"/>
      <c r="BM1271" s="4"/>
      <c r="BN1271" s="4"/>
      <c r="BO1271" s="4"/>
      <c r="BP1271" s="4"/>
      <c r="BQ1271" s="4"/>
      <c r="BR1271" s="4"/>
      <c r="BS1271" s="4"/>
      <c r="BT1271" s="4"/>
      <c r="BU1271" s="4"/>
      <c r="BV1271" s="4"/>
      <c r="BW1271" s="4"/>
      <c r="BX1271" s="4"/>
      <c r="BY1271" s="4"/>
      <c r="BZ1271" s="4"/>
      <c r="CA1271" s="4"/>
      <c r="CB1271" s="4"/>
      <c r="CC1271" s="4"/>
      <c r="CD1271" s="4"/>
      <c r="CE1271" s="4"/>
      <c r="CF1271" s="4"/>
      <c r="CG1271" s="4"/>
      <c r="CH1271" s="4"/>
      <c r="CI1271" s="4"/>
      <c r="CJ1271" s="4"/>
      <c r="CK1271" s="4"/>
      <c r="CL1271" s="4"/>
      <c r="CM1271" s="4"/>
      <c r="CN1271" s="4"/>
      <c r="CO1271" s="4"/>
      <c r="CP1271" s="4"/>
      <c r="CQ1271" s="4"/>
      <c r="CR1271" s="4"/>
      <c r="CS1271" s="4"/>
      <c r="CT1271" s="4"/>
      <c r="CU1271" s="4"/>
      <c r="CV1271" s="4"/>
      <c r="CW1271" s="4"/>
      <c r="CX1271" s="4"/>
      <c r="CY1271" s="4"/>
      <c r="CZ1271" s="4"/>
      <c r="DA1271" s="4"/>
      <c r="DB1271" s="4"/>
      <c r="DC1271" s="4"/>
      <c r="DD1271" s="4"/>
      <c r="DE1271" s="4"/>
      <c r="DF1271" s="4"/>
      <c r="DG1271" s="4"/>
      <c r="DH1271" s="4"/>
      <c r="DI1271" s="4"/>
      <c r="DJ1271" s="4"/>
      <c r="DK1271" s="4"/>
      <c r="DL1271" s="4"/>
      <c r="DM1271" s="4"/>
      <c r="DN1271" s="4"/>
      <c r="DO1271" s="4"/>
      <c r="DP1271" s="4"/>
      <c r="DQ1271" s="4"/>
      <c r="DR1271" s="4"/>
      <c r="DS1271" s="4"/>
    </row>
    <row r="1272">
      <c r="A1272" s="9">
        <f>IFERROR(__xludf.DUMMYFUNCTION("""COMPUTED_VALUE"""),45818.0)</f>
        <v>45818</v>
      </c>
      <c r="B1272" s="6" t="str">
        <f>IFERROR(__xludf.DUMMYFUNCTION("""COMPUTED_VALUE"""),"Restaurant")</f>
        <v>Restaurant</v>
      </c>
      <c r="C1272" s="7">
        <f>IFERROR(__xludf.DUMMYFUNCTION("""COMPUTED_VALUE"""),3800.0)</f>
        <v>3800</v>
      </c>
      <c r="D1272" s="6" t="str">
        <f>IFERROR(__xludf.DUMMYFUNCTION("""COMPUTED_VALUE"""),"Restaurant / Café")</f>
        <v>Restaurant / Café</v>
      </c>
      <c r="E1272" s="6" t="str">
        <f>IFERROR(__xludf.DUMMYFUNCTION("""COMPUTED_VALUE"""),"Virtual Wallet")</f>
        <v>Virtual Wallet</v>
      </c>
      <c r="F1272" s="6" t="s">
        <v>14</v>
      </c>
      <c r="G1272" s="8" t="str">
        <f t="shared" si="1"/>
        <v>202506</v>
      </c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  <c r="AA1272" s="4"/>
      <c r="AB1272" s="4"/>
      <c r="AC1272" s="4"/>
      <c r="AD1272" s="4"/>
      <c r="AE1272" s="4"/>
      <c r="AF1272" s="4"/>
      <c r="AG1272" s="4"/>
      <c r="AH1272" s="4"/>
      <c r="AI1272" s="4"/>
      <c r="AJ1272" s="4"/>
      <c r="AK1272" s="4"/>
      <c r="AL1272" s="4"/>
      <c r="AM1272" s="4"/>
      <c r="AN1272" s="4"/>
      <c r="AO1272" s="4"/>
      <c r="AP1272" s="4"/>
      <c r="AQ1272" s="4"/>
      <c r="AR1272" s="4"/>
      <c r="AS1272" s="4"/>
      <c r="AT1272" s="4"/>
      <c r="AU1272" s="4"/>
      <c r="AV1272" s="4"/>
      <c r="AW1272" s="4"/>
      <c r="AX1272" s="4"/>
      <c r="AY1272" s="4"/>
      <c r="AZ1272" s="4"/>
      <c r="BA1272" s="4"/>
      <c r="BB1272" s="4"/>
      <c r="BC1272" s="4"/>
      <c r="BD1272" s="4"/>
      <c r="BE1272" s="4"/>
      <c r="BF1272" s="4"/>
      <c r="BG1272" s="4"/>
      <c r="BH1272" s="4"/>
      <c r="BI1272" s="4"/>
      <c r="BJ1272" s="4"/>
      <c r="BK1272" s="4"/>
      <c r="BL1272" s="4"/>
      <c r="BM1272" s="4"/>
      <c r="BN1272" s="4"/>
      <c r="BO1272" s="4"/>
      <c r="BP1272" s="4"/>
      <c r="BQ1272" s="4"/>
      <c r="BR1272" s="4"/>
      <c r="BS1272" s="4"/>
      <c r="BT1272" s="4"/>
      <c r="BU1272" s="4"/>
      <c r="BV1272" s="4"/>
      <c r="BW1272" s="4"/>
      <c r="BX1272" s="4"/>
      <c r="BY1272" s="4"/>
      <c r="BZ1272" s="4"/>
      <c r="CA1272" s="4"/>
      <c r="CB1272" s="4"/>
      <c r="CC1272" s="4"/>
      <c r="CD1272" s="4"/>
      <c r="CE1272" s="4"/>
      <c r="CF1272" s="4"/>
      <c r="CG1272" s="4"/>
      <c r="CH1272" s="4"/>
      <c r="CI1272" s="4"/>
      <c r="CJ1272" s="4"/>
      <c r="CK1272" s="4"/>
      <c r="CL1272" s="4"/>
      <c r="CM1272" s="4"/>
      <c r="CN1272" s="4"/>
      <c r="CO1272" s="4"/>
      <c r="CP1272" s="4"/>
      <c r="CQ1272" s="4"/>
      <c r="CR1272" s="4"/>
      <c r="CS1272" s="4"/>
      <c r="CT1272" s="4"/>
      <c r="CU1272" s="4"/>
      <c r="CV1272" s="4"/>
      <c r="CW1272" s="4"/>
      <c r="CX1272" s="4"/>
      <c r="CY1272" s="4"/>
      <c r="CZ1272" s="4"/>
      <c r="DA1272" s="4"/>
      <c r="DB1272" s="4"/>
      <c r="DC1272" s="4"/>
      <c r="DD1272" s="4"/>
      <c r="DE1272" s="4"/>
      <c r="DF1272" s="4"/>
      <c r="DG1272" s="4"/>
      <c r="DH1272" s="4"/>
      <c r="DI1272" s="4"/>
      <c r="DJ1272" s="4"/>
      <c r="DK1272" s="4"/>
      <c r="DL1272" s="4"/>
      <c r="DM1272" s="4"/>
      <c r="DN1272" s="4"/>
      <c r="DO1272" s="4"/>
      <c r="DP1272" s="4"/>
      <c r="DQ1272" s="4"/>
      <c r="DR1272" s="4"/>
      <c r="DS1272" s="4"/>
    </row>
    <row r="1273">
      <c r="A1273" s="9">
        <f>IFERROR(__xludf.DUMMYFUNCTION("""COMPUTED_VALUE"""),45820.0)</f>
        <v>45820</v>
      </c>
      <c r="B1273" s="6" t="str">
        <f>IFERROR(__xludf.DUMMYFUNCTION("""COMPUTED_VALUE"""),"Pets")</f>
        <v>Pets</v>
      </c>
      <c r="C1273" s="7">
        <f>IFERROR(__xludf.DUMMYFUNCTION("""COMPUTED_VALUE"""),24000.0)</f>
        <v>24000</v>
      </c>
      <c r="D1273" s="6" t="str">
        <f>IFERROR(__xludf.DUMMYFUNCTION("""COMPUTED_VALUE"""),"Pets")</f>
        <v>Pets</v>
      </c>
      <c r="E1273" s="6" t="str">
        <f>IFERROR(__xludf.DUMMYFUNCTION("""COMPUTED_VALUE"""),"Virtual Wallet")</f>
        <v>Virtual Wallet</v>
      </c>
      <c r="F1273" s="6" t="s">
        <v>7</v>
      </c>
      <c r="G1273" s="8" t="str">
        <f t="shared" si="1"/>
        <v>202506</v>
      </c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  <c r="AA1273" s="4"/>
      <c r="AB1273" s="4"/>
      <c r="AC1273" s="4"/>
      <c r="AD1273" s="4"/>
      <c r="AE1273" s="4"/>
      <c r="AF1273" s="4"/>
      <c r="AG1273" s="4"/>
      <c r="AH1273" s="4"/>
      <c r="AI1273" s="4"/>
      <c r="AJ1273" s="4"/>
      <c r="AK1273" s="4"/>
      <c r="AL1273" s="4"/>
      <c r="AM1273" s="4"/>
      <c r="AN1273" s="4"/>
      <c r="AO1273" s="4"/>
      <c r="AP1273" s="4"/>
      <c r="AQ1273" s="4"/>
      <c r="AR1273" s="4"/>
      <c r="AS1273" s="4"/>
      <c r="AT1273" s="4"/>
      <c r="AU1273" s="4"/>
      <c r="AV1273" s="4"/>
      <c r="AW1273" s="4"/>
      <c r="AX1273" s="4"/>
      <c r="AY1273" s="4"/>
      <c r="AZ1273" s="4"/>
      <c r="BA1273" s="4"/>
      <c r="BB1273" s="4"/>
      <c r="BC1273" s="4"/>
      <c r="BD1273" s="4"/>
      <c r="BE1273" s="4"/>
      <c r="BF1273" s="4"/>
      <c r="BG1273" s="4"/>
      <c r="BH1273" s="4"/>
      <c r="BI1273" s="4"/>
      <c r="BJ1273" s="4"/>
      <c r="BK1273" s="4"/>
      <c r="BL1273" s="4"/>
      <c r="BM1273" s="4"/>
      <c r="BN1273" s="4"/>
      <c r="BO1273" s="4"/>
      <c r="BP1273" s="4"/>
      <c r="BQ1273" s="4"/>
      <c r="BR1273" s="4"/>
      <c r="BS1273" s="4"/>
      <c r="BT1273" s="4"/>
      <c r="BU1273" s="4"/>
      <c r="BV1273" s="4"/>
      <c r="BW1273" s="4"/>
      <c r="BX1273" s="4"/>
      <c r="BY1273" s="4"/>
      <c r="BZ1273" s="4"/>
      <c r="CA1273" s="4"/>
      <c r="CB1273" s="4"/>
      <c r="CC1273" s="4"/>
      <c r="CD1273" s="4"/>
      <c r="CE1273" s="4"/>
      <c r="CF1273" s="4"/>
      <c r="CG1273" s="4"/>
      <c r="CH1273" s="4"/>
      <c r="CI1273" s="4"/>
      <c r="CJ1273" s="4"/>
      <c r="CK1273" s="4"/>
      <c r="CL1273" s="4"/>
      <c r="CM1273" s="4"/>
      <c r="CN1273" s="4"/>
      <c r="CO1273" s="4"/>
      <c r="CP1273" s="4"/>
      <c r="CQ1273" s="4"/>
      <c r="CR1273" s="4"/>
      <c r="CS1273" s="4"/>
      <c r="CT1273" s="4"/>
      <c r="CU1273" s="4"/>
      <c r="CV1273" s="4"/>
      <c r="CW1273" s="4"/>
      <c r="CX1273" s="4"/>
      <c r="CY1273" s="4"/>
      <c r="CZ1273" s="4"/>
      <c r="DA1273" s="4"/>
      <c r="DB1273" s="4"/>
      <c r="DC1273" s="4"/>
      <c r="DD1273" s="4"/>
      <c r="DE1273" s="4"/>
      <c r="DF1273" s="4"/>
      <c r="DG1273" s="4"/>
      <c r="DH1273" s="4"/>
      <c r="DI1273" s="4"/>
      <c r="DJ1273" s="4"/>
      <c r="DK1273" s="4"/>
      <c r="DL1273" s="4"/>
      <c r="DM1273" s="4"/>
      <c r="DN1273" s="4"/>
      <c r="DO1273" s="4"/>
      <c r="DP1273" s="4"/>
      <c r="DQ1273" s="4"/>
      <c r="DR1273" s="4"/>
      <c r="DS1273" s="4"/>
    </row>
    <row r="1274">
      <c r="A1274" s="9">
        <f>IFERROR(__xludf.DUMMYFUNCTION("""COMPUTED_VALUE"""),45820.0)</f>
        <v>45820</v>
      </c>
      <c r="B1274" s="6" t="str">
        <f>IFERROR(__xludf.DUMMYFUNCTION("""COMPUTED_VALUE"""),"Restaurant")</f>
        <v>Restaurant</v>
      </c>
      <c r="C1274" s="7">
        <f>IFERROR(__xludf.DUMMYFUNCTION("""COMPUTED_VALUE"""),14500.0)</f>
        <v>14500</v>
      </c>
      <c r="D1274" s="6" t="str">
        <f>IFERROR(__xludf.DUMMYFUNCTION("""COMPUTED_VALUE"""),"Restaurant / Café")</f>
        <v>Restaurant / Café</v>
      </c>
      <c r="E1274" s="6" t="str">
        <f>IFERROR(__xludf.DUMMYFUNCTION("""COMPUTED_VALUE"""),"Virtual Wallet")</f>
        <v>Virtual Wallet</v>
      </c>
      <c r="F1274" s="6" t="s">
        <v>14</v>
      </c>
      <c r="G1274" s="8" t="str">
        <f t="shared" si="1"/>
        <v>202506</v>
      </c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  <c r="AA1274" s="4"/>
      <c r="AB1274" s="4"/>
      <c r="AC1274" s="4"/>
      <c r="AD1274" s="4"/>
      <c r="AE1274" s="4"/>
      <c r="AF1274" s="4"/>
      <c r="AG1274" s="4"/>
      <c r="AH1274" s="4"/>
      <c r="AI1274" s="4"/>
      <c r="AJ1274" s="4"/>
      <c r="AK1274" s="4"/>
      <c r="AL1274" s="4"/>
      <c r="AM1274" s="4"/>
      <c r="AN1274" s="4"/>
      <c r="AO1274" s="4"/>
      <c r="AP1274" s="4"/>
      <c r="AQ1274" s="4"/>
      <c r="AR1274" s="4"/>
      <c r="AS1274" s="4"/>
      <c r="AT1274" s="4"/>
      <c r="AU1274" s="4"/>
      <c r="AV1274" s="4"/>
      <c r="AW1274" s="4"/>
      <c r="AX1274" s="4"/>
      <c r="AY1274" s="4"/>
      <c r="AZ1274" s="4"/>
      <c r="BA1274" s="4"/>
      <c r="BB1274" s="4"/>
      <c r="BC1274" s="4"/>
      <c r="BD1274" s="4"/>
      <c r="BE1274" s="4"/>
      <c r="BF1274" s="4"/>
      <c r="BG1274" s="4"/>
      <c r="BH1274" s="4"/>
      <c r="BI1274" s="4"/>
      <c r="BJ1274" s="4"/>
      <c r="BK1274" s="4"/>
      <c r="BL1274" s="4"/>
      <c r="BM1274" s="4"/>
      <c r="BN1274" s="4"/>
      <c r="BO1274" s="4"/>
      <c r="BP1274" s="4"/>
      <c r="BQ1274" s="4"/>
      <c r="BR1274" s="4"/>
      <c r="BS1274" s="4"/>
      <c r="BT1274" s="4"/>
      <c r="BU1274" s="4"/>
      <c r="BV1274" s="4"/>
      <c r="BW1274" s="4"/>
      <c r="BX1274" s="4"/>
      <c r="BY1274" s="4"/>
      <c r="BZ1274" s="4"/>
      <c r="CA1274" s="4"/>
      <c r="CB1274" s="4"/>
      <c r="CC1274" s="4"/>
      <c r="CD1274" s="4"/>
      <c r="CE1274" s="4"/>
      <c r="CF1274" s="4"/>
      <c r="CG1274" s="4"/>
      <c r="CH1274" s="4"/>
      <c r="CI1274" s="4"/>
      <c r="CJ1274" s="4"/>
      <c r="CK1274" s="4"/>
      <c r="CL1274" s="4"/>
      <c r="CM1274" s="4"/>
      <c r="CN1274" s="4"/>
      <c r="CO1274" s="4"/>
      <c r="CP1274" s="4"/>
      <c r="CQ1274" s="4"/>
      <c r="CR1274" s="4"/>
      <c r="CS1274" s="4"/>
      <c r="CT1274" s="4"/>
      <c r="CU1274" s="4"/>
      <c r="CV1274" s="4"/>
      <c r="CW1274" s="4"/>
      <c r="CX1274" s="4"/>
      <c r="CY1274" s="4"/>
      <c r="CZ1274" s="4"/>
      <c r="DA1274" s="4"/>
      <c r="DB1274" s="4"/>
      <c r="DC1274" s="4"/>
      <c r="DD1274" s="4"/>
      <c r="DE1274" s="4"/>
      <c r="DF1274" s="4"/>
      <c r="DG1274" s="4"/>
      <c r="DH1274" s="4"/>
      <c r="DI1274" s="4"/>
      <c r="DJ1274" s="4"/>
      <c r="DK1274" s="4"/>
      <c r="DL1274" s="4"/>
      <c r="DM1274" s="4"/>
      <c r="DN1274" s="4"/>
      <c r="DO1274" s="4"/>
      <c r="DP1274" s="4"/>
      <c r="DQ1274" s="4"/>
      <c r="DR1274" s="4"/>
      <c r="DS1274" s="4"/>
    </row>
    <row r="1275">
      <c r="A1275" s="9">
        <f>IFERROR(__xludf.DUMMYFUNCTION("""COMPUTED_VALUE"""),45821.0)</f>
        <v>45821</v>
      </c>
      <c r="B1275" s="6" t="str">
        <f>IFERROR(__xludf.DUMMYFUNCTION("""COMPUTED_VALUE"""),"Groceries")</f>
        <v>Groceries</v>
      </c>
      <c r="C1275" s="7">
        <f>IFERROR(__xludf.DUMMYFUNCTION("""COMPUTED_VALUE"""),7100.0)</f>
        <v>7100</v>
      </c>
      <c r="D1275" s="6" t="str">
        <f>IFERROR(__xludf.DUMMYFUNCTION("""COMPUTED_VALUE"""),"Groceries")</f>
        <v>Groceries</v>
      </c>
      <c r="E1275" s="6" t="str">
        <f>IFERROR(__xludf.DUMMYFUNCTION("""COMPUTED_VALUE"""),"Split Payment")</f>
        <v>Split Payment</v>
      </c>
      <c r="F1275" s="6" t="s">
        <v>7</v>
      </c>
      <c r="G1275" s="8" t="str">
        <f t="shared" si="1"/>
        <v>202506</v>
      </c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  <c r="AA1275" s="4"/>
      <c r="AB1275" s="4"/>
      <c r="AC1275" s="4"/>
      <c r="AD1275" s="4"/>
      <c r="AE1275" s="4"/>
      <c r="AF1275" s="4"/>
      <c r="AG1275" s="4"/>
      <c r="AH1275" s="4"/>
      <c r="AI1275" s="4"/>
      <c r="AJ1275" s="4"/>
      <c r="AK1275" s="4"/>
      <c r="AL1275" s="4"/>
      <c r="AM1275" s="4"/>
      <c r="AN1275" s="4"/>
      <c r="AO1275" s="4"/>
      <c r="AP1275" s="4"/>
      <c r="AQ1275" s="4"/>
      <c r="AR1275" s="4"/>
      <c r="AS1275" s="4"/>
      <c r="AT1275" s="4"/>
      <c r="AU1275" s="4"/>
      <c r="AV1275" s="4"/>
      <c r="AW1275" s="4"/>
      <c r="AX1275" s="4"/>
      <c r="AY1275" s="4"/>
      <c r="AZ1275" s="4"/>
      <c r="BA1275" s="4"/>
      <c r="BB1275" s="4"/>
      <c r="BC1275" s="4"/>
      <c r="BD1275" s="4"/>
      <c r="BE1275" s="4"/>
      <c r="BF1275" s="4"/>
      <c r="BG1275" s="4"/>
      <c r="BH1275" s="4"/>
      <c r="BI1275" s="4"/>
      <c r="BJ1275" s="4"/>
      <c r="BK1275" s="4"/>
      <c r="BL1275" s="4"/>
      <c r="BM1275" s="4"/>
      <c r="BN1275" s="4"/>
      <c r="BO1275" s="4"/>
      <c r="BP1275" s="4"/>
      <c r="BQ1275" s="4"/>
      <c r="BR1275" s="4"/>
      <c r="BS1275" s="4"/>
      <c r="BT1275" s="4"/>
      <c r="BU1275" s="4"/>
      <c r="BV1275" s="4"/>
      <c r="BW1275" s="4"/>
      <c r="BX1275" s="4"/>
      <c r="BY1275" s="4"/>
      <c r="BZ1275" s="4"/>
      <c r="CA1275" s="4"/>
      <c r="CB1275" s="4"/>
      <c r="CC1275" s="4"/>
      <c r="CD1275" s="4"/>
      <c r="CE1275" s="4"/>
      <c r="CF1275" s="4"/>
      <c r="CG1275" s="4"/>
      <c r="CH1275" s="4"/>
      <c r="CI1275" s="4"/>
      <c r="CJ1275" s="4"/>
      <c r="CK1275" s="4"/>
      <c r="CL1275" s="4"/>
      <c r="CM1275" s="4"/>
      <c r="CN1275" s="4"/>
      <c r="CO1275" s="4"/>
      <c r="CP1275" s="4"/>
      <c r="CQ1275" s="4"/>
      <c r="CR1275" s="4"/>
      <c r="CS1275" s="4"/>
      <c r="CT1275" s="4"/>
      <c r="CU1275" s="4"/>
      <c r="CV1275" s="4"/>
      <c r="CW1275" s="4"/>
      <c r="CX1275" s="4"/>
      <c r="CY1275" s="4"/>
      <c r="CZ1275" s="4"/>
      <c r="DA1275" s="4"/>
      <c r="DB1275" s="4"/>
      <c r="DC1275" s="4"/>
      <c r="DD1275" s="4"/>
      <c r="DE1275" s="4"/>
      <c r="DF1275" s="4"/>
      <c r="DG1275" s="4"/>
      <c r="DH1275" s="4"/>
      <c r="DI1275" s="4"/>
      <c r="DJ1275" s="4"/>
      <c r="DK1275" s="4"/>
      <c r="DL1275" s="4"/>
      <c r="DM1275" s="4"/>
      <c r="DN1275" s="4"/>
      <c r="DO1275" s="4"/>
      <c r="DP1275" s="4"/>
      <c r="DQ1275" s="4"/>
      <c r="DR1275" s="4"/>
      <c r="DS1275" s="4"/>
    </row>
    <row r="1276">
      <c r="A1276" s="9">
        <f>IFERROR(__xludf.DUMMYFUNCTION("""COMPUTED_VALUE"""),45821.0)</f>
        <v>45821</v>
      </c>
      <c r="B1276" s="6" t="str">
        <f>IFERROR(__xludf.DUMMYFUNCTION("""COMPUTED_VALUE"""),"Groceries")</f>
        <v>Groceries</v>
      </c>
      <c r="C1276" s="7">
        <f>IFERROR(__xludf.DUMMYFUNCTION("""COMPUTED_VALUE"""),2500.0)</f>
        <v>2500</v>
      </c>
      <c r="D1276" s="6" t="str">
        <f>IFERROR(__xludf.DUMMYFUNCTION("""COMPUTED_VALUE"""),"Groceries")</f>
        <v>Groceries</v>
      </c>
      <c r="E1276" s="6" t="str">
        <f>IFERROR(__xludf.DUMMYFUNCTION("""COMPUTED_VALUE"""),"Virtual Wallet")</f>
        <v>Virtual Wallet</v>
      </c>
      <c r="F1276" s="6" t="s">
        <v>7</v>
      </c>
      <c r="G1276" s="8" t="str">
        <f t="shared" si="1"/>
        <v>202506</v>
      </c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  <c r="AA1276" s="4"/>
      <c r="AB1276" s="4"/>
      <c r="AC1276" s="4"/>
      <c r="AD1276" s="4"/>
      <c r="AE1276" s="4"/>
      <c r="AF1276" s="4"/>
      <c r="AG1276" s="4"/>
      <c r="AH1276" s="4"/>
      <c r="AI1276" s="4"/>
      <c r="AJ1276" s="4"/>
      <c r="AK1276" s="4"/>
      <c r="AL1276" s="4"/>
      <c r="AM1276" s="4"/>
      <c r="AN1276" s="4"/>
      <c r="AO1276" s="4"/>
      <c r="AP1276" s="4"/>
      <c r="AQ1276" s="4"/>
      <c r="AR1276" s="4"/>
      <c r="AS1276" s="4"/>
      <c r="AT1276" s="4"/>
      <c r="AU1276" s="4"/>
      <c r="AV1276" s="4"/>
      <c r="AW1276" s="4"/>
      <c r="AX1276" s="4"/>
      <c r="AY1276" s="4"/>
      <c r="AZ1276" s="4"/>
      <c r="BA1276" s="4"/>
      <c r="BB1276" s="4"/>
      <c r="BC1276" s="4"/>
      <c r="BD1276" s="4"/>
      <c r="BE1276" s="4"/>
      <c r="BF1276" s="4"/>
      <c r="BG1276" s="4"/>
      <c r="BH1276" s="4"/>
      <c r="BI1276" s="4"/>
      <c r="BJ1276" s="4"/>
      <c r="BK1276" s="4"/>
      <c r="BL1276" s="4"/>
      <c r="BM1276" s="4"/>
      <c r="BN1276" s="4"/>
      <c r="BO1276" s="4"/>
      <c r="BP1276" s="4"/>
      <c r="BQ1276" s="4"/>
      <c r="BR1276" s="4"/>
      <c r="BS1276" s="4"/>
      <c r="BT1276" s="4"/>
      <c r="BU1276" s="4"/>
      <c r="BV1276" s="4"/>
      <c r="BW1276" s="4"/>
      <c r="BX1276" s="4"/>
      <c r="BY1276" s="4"/>
      <c r="BZ1276" s="4"/>
      <c r="CA1276" s="4"/>
      <c r="CB1276" s="4"/>
      <c r="CC1276" s="4"/>
      <c r="CD1276" s="4"/>
      <c r="CE1276" s="4"/>
      <c r="CF1276" s="4"/>
      <c r="CG1276" s="4"/>
      <c r="CH1276" s="4"/>
      <c r="CI1276" s="4"/>
      <c r="CJ1276" s="4"/>
      <c r="CK1276" s="4"/>
      <c r="CL1276" s="4"/>
      <c r="CM1276" s="4"/>
      <c r="CN1276" s="4"/>
      <c r="CO1276" s="4"/>
      <c r="CP1276" s="4"/>
      <c r="CQ1276" s="4"/>
      <c r="CR1276" s="4"/>
      <c r="CS1276" s="4"/>
      <c r="CT1276" s="4"/>
      <c r="CU1276" s="4"/>
      <c r="CV1276" s="4"/>
      <c r="CW1276" s="4"/>
      <c r="CX1276" s="4"/>
      <c r="CY1276" s="4"/>
      <c r="CZ1276" s="4"/>
      <c r="DA1276" s="4"/>
      <c r="DB1276" s="4"/>
      <c r="DC1276" s="4"/>
      <c r="DD1276" s="4"/>
      <c r="DE1276" s="4"/>
      <c r="DF1276" s="4"/>
      <c r="DG1276" s="4"/>
      <c r="DH1276" s="4"/>
      <c r="DI1276" s="4"/>
      <c r="DJ1276" s="4"/>
      <c r="DK1276" s="4"/>
      <c r="DL1276" s="4"/>
      <c r="DM1276" s="4"/>
      <c r="DN1276" s="4"/>
      <c r="DO1276" s="4"/>
      <c r="DP1276" s="4"/>
      <c r="DQ1276" s="4"/>
      <c r="DR1276" s="4"/>
      <c r="DS1276" s="4"/>
    </row>
    <row r="1277">
      <c r="A1277" s="9">
        <f>IFERROR(__xludf.DUMMYFUNCTION("""COMPUTED_VALUE"""),45821.0)</f>
        <v>45821</v>
      </c>
      <c r="B1277" s="6" t="str">
        <f>IFERROR(__xludf.DUMMYFUNCTION("""COMPUTED_VALUE"""),"Pharmacy")</f>
        <v>Pharmacy</v>
      </c>
      <c r="C1277" s="7">
        <f>IFERROR(__xludf.DUMMYFUNCTION("""COMPUTED_VALUE"""),1500.0)</f>
        <v>1500</v>
      </c>
      <c r="D1277" s="6" t="str">
        <f>IFERROR(__xludf.DUMMYFUNCTION("""COMPUTED_VALUE"""),"Personal Care")</f>
        <v>Personal Care</v>
      </c>
      <c r="E1277" s="6" t="str">
        <f>IFERROR(__xludf.DUMMYFUNCTION("""COMPUTED_VALUE"""),"Virtual Wallet")</f>
        <v>Virtual Wallet</v>
      </c>
      <c r="F1277" s="6" t="s">
        <v>16</v>
      </c>
      <c r="G1277" s="8" t="str">
        <f t="shared" si="1"/>
        <v>202506</v>
      </c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  <c r="AA1277" s="4"/>
      <c r="AB1277" s="4"/>
      <c r="AC1277" s="4"/>
      <c r="AD1277" s="4"/>
      <c r="AE1277" s="4"/>
      <c r="AF1277" s="4"/>
      <c r="AG1277" s="4"/>
      <c r="AH1277" s="4"/>
      <c r="AI1277" s="4"/>
      <c r="AJ1277" s="4"/>
      <c r="AK1277" s="4"/>
      <c r="AL1277" s="4"/>
      <c r="AM1277" s="4"/>
      <c r="AN1277" s="4"/>
      <c r="AO1277" s="4"/>
      <c r="AP1277" s="4"/>
      <c r="AQ1277" s="4"/>
      <c r="AR1277" s="4"/>
      <c r="AS1277" s="4"/>
      <c r="AT1277" s="4"/>
      <c r="AU1277" s="4"/>
      <c r="AV1277" s="4"/>
      <c r="AW1277" s="4"/>
      <c r="AX1277" s="4"/>
      <c r="AY1277" s="4"/>
      <c r="AZ1277" s="4"/>
      <c r="BA1277" s="4"/>
      <c r="BB1277" s="4"/>
      <c r="BC1277" s="4"/>
      <c r="BD1277" s="4"/>
      <c r="BE1277" s="4"/>
      <c r="BF1277" s="4"/>
      <c r="BG1277" s="4"/>
      <c r="BH1277" s="4"/>
      <c r="BI1277" s="4"/>
      <c r="BJ1277" s="4"/>
      <c r="BK1277" s="4"/>
      <c r="BL1277" s="4"/>
      <c r="BM1277" s="4"/>
      <c r="BN1277" s="4"/>
      <c r="BO1277" s="4"/>
      <c r="BP1277" s="4"/>
      <c r="BQ1277" s="4"/>
      <c r="BR1277" s="4"/>
      <c r="BS1277" s="4"/>
      <c r="BT1277" s="4"/>
      <c r="BU1277" s="4"/>
      <c r="BV1277" s="4"/>
      <c r="BW1277" s="4"/>
      <c r="BX1277" s="4"/>
      <c r="BY1277" s="4"/>
      <c r="BZ1277" s="4"/>
      <c r="CA1277" s="4"/>
      <c r="CB1277" s="4"/>
      <c r="CC1277" s="4"/>
      <c r="CD1277" s="4"/>
      <c r="CE1277" s="4"/>
      <c r="CF1277" s="4"/>
      <c r="CG1277" s="4"/>
      <c r="CH1277" s="4"/>
      <c r="CI1277" s="4"/>
      <c r="CJ1277" s="4"/>
      <c r="CK1277" s="4"/>
      <c r="CL1277" s="4"/>
      <c r="CM1277" s="4"/>
      <c r="CN1277" s="4"/>
      <c r="CO1277" s="4"/>
      <c r="CP1277" s="4"/>
      <c r="CQ1277" s="4"/>
      <c r="CR1277" s="4"/>
      <c r="CS1277" s="4"/>
      <c r="CT1277" s="4"/>
      <c r="CU1277" s="4"/>
      <c r="CV1277" s="4"/>
      <c r="CW1277" s="4"/>
      <c r="CX1277" s="4"/>
      <c r="CY1277" s="4"/>
      <c r="CZ1277" s="4"/>
      <c r="DA1277" s="4"/>
      <c r="DB1277" s="4"/>
      <c r="DC1277" s="4"/>
      <c r="DD1277" s="4"/>
      <c r="DE1277" s="4"/>
      <c r="DF1277" s="4"/>
      <c r="DG1277" s="4"/>
      <c r="DH1277" s="4"/>
      <c r="DI1277" s="4"/>
      <c r="DJ1277" s="4"/>
      <c r="DK1277" s="4"/>
      <c r="DL1277" s="4"/>
      <c r="DM1277" s="4"/>
      <c r="DN1277" s="4"/>
      <c r="DO1277" s="4"/>
      <c r="DP1277" s="4"/>
      <c r="DQ1277" s="4"/>
      <c r="DR1277" s="4"/>
      <c r="DS1277" s="4"/>
    </row>
    <row r="1278">
      <c r="A1278" s="9">
        <f>IFERROR(__xludf.DUMMYFUNCTION("""COMPUTED_VALUE"""),45821.0)</f>
        <v>45821</v>
      </c>
      <c r="B1278" s="6" t="str">
        <f>IFERROR(__xludf.DUMMYFUNCTION("""COMPUTED_VALUE"""),"Restaurant")</f>
        <v>Restaurant</v>
      </c>
      <c r="C1278" s="7">
        <f>IFERROR(__xludf.DUMMYFUNCTION("""COMPUTED_VALUE"""),8900.0)</f>
        <v>8900</v>
      </c>
      <c r="D1278" s="6" t="str">
        <f>IFERROR(__xludf.DUMMYFUNCTION("""COMPUTED_VALUE"""),"Restaurant / Café")</f>
        <v>Restaurant / Café</v>
      </c>
      <c r="E1278" s="6" t="str">
        <f>IFERROR(__xludf.DUMMYFUNCTION("""COMPUTED_VALUE"""),"Virtual Wallet")</f>
        <v>Virtual Wallet</v>
      </c>
      <c r="F1278" s="6" t="s">
        <v>14</v>
      </c>
      <c r="G1278" s="8" t="str">
        <f t="shared" si="1"/>
        <v>202506</v>
      </c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  <c r="AA1278" s="4"/>
      <c r="AB1278" s="4"/>
      <c r="AC1278" s="4"/>
      <c r="AD1278" s="4"/>
      <c r="AE1278" s="4"/>
      <c r="AF1278" s="4"/>
      <c r="AG1278" s="4"/>
      <c r="AH1278" s="4"/>
      <c r="AI1278" s="4"/>
      <c r="AJ1278" s="4"/>
      <c r="AK1278" s="4"/>
      <c r="AL1278" s="4"/>
      <c r="AM1278" s="4"/>
      <c r="AN1278" s="4"/>
      <c r="AO1278" s="4"/>
      <c r="AP1278" s="4"/>
      <c r="AQ1278" s="4"/>
      <c r="AR1278" s="4"/>
      <c r="AS1278" s="4"/>
      <c r="AT1278" s="4"/>
      <c r="AU1278" s="4"/>
      <c r="AV1278" s="4"/>
      <c r="AW1278" s="4"/>
      <c r="AX1278" s="4"/>
      <c r="AY1278" s="4"/>
      <c r="AZ1278" s="4"/>
      <c r="BA1278" s="4"/>
      <c r="BB1278" s="4"/>
      <c r="BC1278" s="4"/>
      <c r="BD1278" s="4"/>
      <c r="BE1278" s="4"/>
      <c r="BF1278" s="4"/>
      <c r="BG1278" s="4"/>
      <c r="BH1278" s="4"/>
      <c r="BI1278" s="4"/>
      <c r="BJ1278" s="4"/>
      <c r="BK1278" s="4"/>
      <c r="BL1278" s="4"/>
      <c r="BM1278" s="4"/>
      <c r="BN1278" s="4"/>
      <c r="BO1278" s="4"/>
      <c r="BP1278" s="4"/>
      <c r="BQ1278" s="4"/>
      <c r="BR1278" s="4"/>
      <c r="BS1278" s="4"/>
      <c r="BT1278" s="4"/>
      <c r="BU1278" s="4"/>
      <c r="BV1278" s="4"/>
      <c r="BW1278" s="4"/>
      <c r="BX1278" s="4"/>
      <c r="BY1278" s="4"/>
      <c r="BZ1278" s="4"/>
      <c r="CA1278" s="4"/>
      <c r="CB1278" s="4"/>
      <c r="CC1278" s="4"/>
      <c r="CD1278" s="4"/>
      <c r="CE1278" s="4"/>
      <c r="CF1278" s="4"/>
      <c r="CG1278" s="4"/>
      <c r="CH1278" s="4"/>
      <c r="CI1278" s="4"/>
      <c r="CJ1278" s="4"/>
      <c r="CK1278" s="4"/>
      <c r="CL1278" s="4"/>
      <c r="CM1278" s="4"/>
      <c r="CN1278" s="4"/>
      <c r="CO1278" s="4"/>
      <c r="CP1278" s="4"/>
      <c r="CQ1278" s="4"/>
      <c r="CR1278" s="4"/>
      <c r="CS1278" s="4"/>
      <c r="CT1278" s="4"/>
      <c r="CU1278" s="4"/>
      <c r="CV1278" s="4"/>
      <c r="CW1278" s="4"/>
      <c r="CX1278" s="4"/>
      <c r="CY1278" s="4"/>
      <c r="CZ1278" s="4"/>
      <c r="DA1278" s="4"/>
      <c r="DB1278" s="4"/>
      <c r="DC1278" s="4"/>
      <c r="DD1278" s="4"/>
      <c r="DE1278" s="4"/>
      <c r="DF1278" s="4"/>
      <c r="DG1278" s="4"/>
      <c r="DH1278" s="4"/>
      <c r="DI1278" s="4"/>
      <c r="DJ1278" s="4"/>
      <c r="DK1278" s="4"/>
      <c r="DL1278" s="4"/>
      <c r="DM1278" s="4"/>
      <c r="DN1278" s="4"/>
      <c r="DO1278" s="4"/>
      <c r="DP1278" s="4"/>
      <c r="DQ1278" s="4"/>
      <c r="DR1278" s="4"/>
      <c r="DS1278" s="4"/>
    </row>
    <row r="1279">
      <c r="A1279" s="9">
        <f>IFERROR(__xludf.DUMMYFUNCTION("""COMPUTED_VALUE"""),45822.0)</f>
        <v>45822</v>
      </c>
      <c r="B1279" s="6" t="str">
        <f>IFERROR(__xludf.DUMMYFUNCTION("""COMPUTED_VALUE"""),"Education")</f>
        <v>Education</v>
      </c>
      <c r="C1279" s="7">
        <f>IFERROR(__xludf.DUMMYFUNCTION("""COMPUTED_VALUE"""),1800.0)</f>
        <v>1800</v>
      </c>
      <c r="D1279" s="6" t="str">
        <f>IFERROR(__xludf.DUMMYFUNCTION("""COMPUTED_VALUE"""),"Education")</f>
        <v>Education</v>
      </c>
      <c r="E1279" s="6" t="str">
        <f>IFERROR(__xludf.DUMMYFUNCTION("""COMPUTED_VALUE"""),"Credit Card")</f>
        <v>Credit Card</v>
      </c>
      <c r="F1279" s="6" t="s">
        <v>11</v>
      </c>
      <c r="G1279" s="8" t="str">
        <f t="shared" si="1"/>
        <v>202506</v>
      </c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  <c r="AA1279" s="4"/>
      <c r="AB1279" s="4"/>
      <c r="AC1279" s="4"/>
      <c r="AD1279" s="4"/>
      <c r="AE1279" s="4"/>
      <c r="AF1279" s="4"/>
      <c r="AG1279" s="4"/>
      <c r="AH1279" s="4"/>
      <c r="AI1279" s="4"/>
      <c r="AJ1279" s="4"/>
      <c r="AK1279" s="4"/>
      <c r="AL1279" s="4"/>
      <c r="AM1279" s="4"/>
      <c r="AN1279" s="4"/>
      <c r="AO1279" s="4"/>
      <c r="AP1279" s="4"/>
      <c r="AQ1279" s="4"/>
      <c r="AR1279" s="4"/>
      <c r="AS1279" s="4"/>
      <c r="AT1279" s="4"/>
      <c r="AU1279" s="4"/>
      <c r="AV1279" s="4"/>
      <c r="AW1279" s="4"/>
      <c r="AX1279" s="4"/>
      <c r="AY1279" s="4"/>
      <c r="AZ1279" s="4"/>
      <c r="BA1279" s="4"/>
      <c r="BB1279" s="4"/>
      <c r="BC1279" s="4"/>
      <c r="BD1279" s="4"/>
      <c r="BE1279" s="4"/>
      <c r="BF1279" s="4"/>
      <c r="BG1279" s="4"/>
      <c r="BH1279" s="4"/>
      <c r="BI1279" s="4"/>
      <c r="BJ1279" s="4"/>
      <c r="BK1279" s="4"/>
      <c r="BL1279" s="4"/>
      <c r="BM1279" s="4"/>
      <c r="BN1279" s="4"/>
      <c r="BO1279" s="4"/>
      <c r="BP1279" s="4"/>
      <c r="BQ1279" s="4"/>
      <c r="BR1279" s="4"/>
      <c r="BS1279" s="4"/>
      <c r="BT1279" s="4"/>
      <c r="BU1279" s="4"/>
      <c r="BV1279" s="4"/>
      <c r="BW1279" s="4"/>
      <c r="BX1279" s="4"/>
      <c r="BY1279" s="4"/>
      <c r="BZ1279" s="4"/>
      <c r="CA1279" s="4"/>
      <c r="CB1279" s="4"/>
      <c r="CC1279" s="4"/>
      <c r="CD1279" s="4"/>
      <c r="CE1279" s="4"/>
      <c r="CF1279" s="4"/>
      <c r="CG1279" s="4"/>
      <c r="CH1279" s="4"/>
      <c r="CI1279" s="4"/>
      <c r="CJ1279" s="4"/>
      <c r="CK1279" s="4"/>
      <c r="CL1279" s="4"/>
      <c r="CM1279" s="4"/>
      <c r="CN1279" s="4"/>
      <c r="CO1279" s="4"/>
      <c r="CP1279" s="4"/>
      <c r="CQ1279" s="4"/>
      <c r="CR1279" s="4"/>
      <c r="CS1279" s="4"/>
      <c r="CT1279" s="4"/>
      <c r="CU1279" s="4"/>
      <c r="CV1279" s="4"/>
      <c r="CW1279" s="4"/>
      <c r="CX1279" s="4"/>
      <c r="CY1279" s="4"/>
      <c r="CZ1279" s="4"/>
      <c r="DA1279" s="4"/>
      <c r="DB1279" s="4"/>
      <c r="DC1279" s="4"/>
      <c r="DD1279" s="4"/>
      <c r="DE1279" s="4"/>
      <c r="DF1279" s="4"/>
      <c r="DG1279" s="4"/>
      <c r="DH1279" s="4"/>
      <c r="DI1279" s="4"/>
      <c r="DJ1279" s="4"/>
      <c r="DK1279" s="4"/>
      <c r="DL1279" s="4"/>
      <c r="DM1279" s="4"/>
      <c r="DN1279" s="4"/>
      <c r="DO1279" s="4"/>
      <c r="DP1279" s="4"/>
      <c r="DQ1279" s="4"/>
      <c r="DR1279" s="4"/>
      <c r="DS1279" s="4"/>
    </row>
    <row r="1280">
      <c r="A1280" s="9">
        <f>IFERROR(__xludf.DUMMYFUNCTION("""COMPUTED_VALUE"""),45822.0)</f>
        <v>45822</v>
      </c>
      <c r="B1280" s="6" t="str">
        <f>IFERROR(__xludf.DUMMYFUNCTION("""COMPUTED_VALUE"""),"Gasoline")</f>
        <v>Gasoline</v>
      </c>
      <c r="C1280" s="7">
        <f>IFERROR(__xludf.DUMMYFUNCTION("""COMPUTED_VALUE"""),15000.0)</f>
        <v>15000</v>
      </c>
      <c r="D1280" s="6" t="str">
        <f>IFERROR(__xludf.DUMMYFUNCTION("""COMPUTED_VALUE"""),"Car Expenses")</f>
        <v>Car Expenses</v>
      </c>
      <c r="E1280" s="6" t="str">
        <f>IFERROR(__xludf.DUMMYFUNCTION("""COMPUTED_VALUE"""),"Virtual Wallet")</f>
        <v>Virtual Wallet</v>
      </c>
      <c r="F1280" s="6" t="s">
        <v>9</v>
      </c>
      <c r="G1280" s="8" t="str">
        <f t="shared" si="1"/>
        <v>202506</v>
      </c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  <c r="AA1280" s="4"/>
      <c r="AB1280" s="4"/>
      <c r="AC1280" s="4"/>
      <c r="AD1280" s="4"/>
      <c r="AE1280" s="4"/>
      <c r="AF1280" s="4"/>
      <c r="AG1280" s="4"/>
      <c r="AH1280" s="4"/>
      <c r="AI1280" s="4"/>
      <c r="AJ1280" s="4"/>
      <c r="AK1280" s="4"/>
      <c r="AL1280" s="4"/>
      <c r="AM1280" s="4"/>
      <c r="AN1280" s="4"/>
      <c r="AO1280" s="4"/>
      <c r="AP1280" s="4"/>
      <c r="AQ1280" s="4"/>
      <c r="AR1280" s="4"/>
      <c r="AS1280" s="4"/>
      <c r="AT1280" s="4"/>
      <c r="AU1280" s="4"/>
      <c r="AV1280" s="4"/>
      <c r="AW1280" s="4"/>
      <c r="AX1280" s="4"/>
      <c r="AY1280" s="4"/>
      <c r="AZ1280" s="4"/>
      <c r="BA1280" s="4"/>
      <c r="BB1280" s="4"/>
      <c r="BC1280" s="4"/>
      <c r="BD1280" s="4"/>
      <c r="BE1280" s="4"/>
      <c r="BF1280" s="4"/>
      <c r="BG1280" s="4"/>
      <c r="BH1280" s="4"/>
      <c r="BI1280" s="4"/>
      <c r="BJ1280" s="4"/>
      <c r="BK1280" s="4"/>
      <c r="BL1280" s="4"/>
      <c r="BM1280" s="4"/>
      <c r="BN1280" s="4"/>
      <c r="BO1280" s="4"/>
      <c r="BP1280" s="4"/>
      <c r="BQ1280" s="4"/>
      <c r="BR1280" s="4"/>
      <c r="BS1280" s="4"/>
      <c r="BT1280" s="4"/>
      <c r="BU1280" s="4"/>
      <c r="BV1280" s="4"/>
      <c r="BW1280" s="4"/>
      <c r="BX1280" s="4"/>
      <c r="BY1280" s="4"/>
      <c r="BZ1280" s="4"/>
      <c r="CA1280" s="4"/>
      <c r="CB1280" s="4"/>
      <c r="CC1280" s="4"/>
      <c r="CD1280" s="4"/>
      <c r="CE1280" s="4"/>
      <c r="CF1280" s="4"/>
      <c r="CG1280" s="4"/>
      <c r="CH1280" s="4"/>
      <c r="CI1280" s="4"/>
      <c r="CJ1280" s="4"/>
      <c r="CK1280" s="4"/>
      <c r="CL1280" s="4"/>
      <c r="CM1280" s="4"/>
      <c r="CN1280" s="4"/>
      <c r="CO1280" s="4"/>
      <c r="CP1280" s="4"/>
      <c r="CQ1280" s="4"/>
      <c r="CR1280" s="4"/>
      <c r="CS1280" s="4"/>
      <c r="CT1280" s="4"/>
      <c r="CU1280" s="4"/>
      <c r="CV1280" s="4"/>
      <c r="CW1280" s="4"/>
      <c r="CX1280" s="4"/>
      <c r="CY1280" s="4"/>
      <c r="CZ1280" s="4"/>
      <c r="DA1280" s="4"/>
      <c r="DB1280" s="4"/>
      <c r="DC1280" s="4"/>
      <c r="DD1280" s="4"/>
      <c r="DE1280" s="4"/>
      <c r="DF1280" s="4"/>
      <c r="DG1280" s="4"/>
      <c r="DH1280" s="4"/>
      <c r="DI1280" s="4"/>
      <c r="DJ1280" s="4"/>
      <c r="DK1280" s="4"/>
      <c r="DL1280" s="4"/>
      <c r="DM1280" s="4"/>
      <c r="DN1280" s="4"/>
      <c r="DO1280" s="4"/>
      <c r="DP1280" s="4"/>
      <c r="DQ1280" s="4"/>
      <c r="DR1280" s="4"/>
      <c r="DS1280" s="4"/>
    </row>
    <row r="1281">
      <c r="A1281" s="9">
        <f>IFERROR(__xludf.DUMMYFUNCTION("""COMPUTED_VALUE"""),45822.0)</f>
        <v>45822</v>
      </c>
      <c r="B1281" s="6" t="str">
        <f>IFERROR(__xludf.DUMMYFUNCTION("""COMPUTED_VALUE"""),"Gift")</f>
        <v>Gift</v>
      </c>
      <c r="C1281" s="7">
        <f>IFERROR(__xludf.DUMMYFUNCTION("""COMPUTED_VALUE"""),51800.0)</f>
        <v>51800</v>
      </c>
      <c r="D1281" s="6" t="str">
        <f>IFERROR(__xludf.DUMMYFUNCTION("""COMPUTED_VALUE"""),"Gifts")</f>
        <v>Gifts</v>
      </c>
      <c r="E1281" s="6" t="str">
        <f>IFERROR(__xludf.DUMMYFUNCTION("""COMPUTED_VALUE"""),"Virtual Wallet")</f>
        <v>Virtual Wallet</v>
      </c>
      <c r="F1281" s="6"/>
      <c r="G1281" s="8" t="str">
        <f t="shared" si="1"/>
        <v>202506</v>
      </c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  <c r="AA1281" s="4"/>
      <c r="AB1281" s="4"/>
      <c r="AC1281" s="4"/>
      <c r="AD1281" s="4"/>
      <c r="AE1281" s="4"/>
      <c r="AF1281" s="4"/>
      <c r="AG1281" s="4"/>
      <c r="AH1281" s="4"/>
      <c r="AI1281" s="4"/>
      <c r="AJ1281" s="4"/>
      <c r="AK1281" s="4"/>
      <c r="AL1281" s="4"/>
      <c r="AM1281" s="4"/>
      <c r="AN1281" s="4"/>
      <c r="AO1281" s="4"/>
      <c r="AP1281" s="4"/>
      <c r="AQ1281" s="4"/>
      <c r="AR1281" s="4"/>
      <c r="AS1281" s="4"/>
      <c r="AT1281" s="4"/>
      <c r="AU1281" s="4"/>
      <c r="AV1281" s="4"/>
      <c r="AW1281" s="4"/>
      <c r="AX1281" s="4"/>
      <c r="AY1281" s="4"/>
      <c r="AZ1281" s="4"/>
      <c r="BA1281" s="4"/>
      <c r="BB1281" s="4"/>
      <c r="BC1281" s="4"/>
      <c r="BD1281" s="4"/>
      <c r="BE1281" s="4"/>
      <c r="BF1281" s="4"/>
      <c r="BG1281" s="4"/>
      <c r="BH1281" s="4"/>
      <c r="BI1281" s="4"/>
      <c r="BJ1281" s="4"/>
      <c r="BK1281" s="4"/>
      <c r="BL1281" s="4"/>
      <c r="BM1281" s="4"/>
      <c r="BN1281" s="4"/>
      <c r="BO1281" s="4"/>
      <c r="BP1281" s="4"/>
      <c r="BQ1281" s="4"/>
      <c r="BR1281" s="4"/>
      <c r="BS1281" s="4"/>
      <c r="BT1281" s="4"/>
      <c r="BU1281" s="4"/>
      <c r="BV1281" s="4"/>
      <c r="BW1281" s="4"/>
      <c r="BX1281" s="4"/>
      <c r="BY1281" s="4"/>
      <c r="BZ1281" s="4"/>
      <c r="CA1281" s="4"/>
      <c r="CB1281" s="4"/>
      <c r="CC1281" s="4"/>
      <c r="CD1281" s="4"/>
      <c r="CE1281" s="4"/>
      <c r="CF1281" s="4"/>
      <c r="CG1281" s="4"/>
      <c r="CH1281" s="4"/>
      <c r="CI1281" s="4"/>
      <c r="CJ1281" s="4"/>
      <c r="CK1281" s="4"/>
      <c r="CL1281" s="4"/>
      <c r="CM1281" s="4"/>
      <c r="CN1281" s="4"/>
      <c r="CO1281" s="4"/>
      <c r="CP1281" s="4"/>
      <c r="CQ1281" s="4"/>
      <c r="CR1281" s="4"/>
      <c r="CS1281" s="4"/>
      <c r="CT1281" s="4"/>
      <c r="CU1281" s="4"/>
      <c r="CV1281" s="4"/>
      <c r="CW1281" s="4"/>
      <c r="CX1281" s="4"/>
      <c r="CY1281" s="4"/>
      <c r="CZ1281" s="4"/>
      <c r="DA1281" s="4"/>
      <c r="DB1281" s="4"/>
      <c r="DC1281" s="4"/>
      <c r="DD1281" s="4"/>
      <c r="DE1281" s="4"/>
      <c r="DF1281" s="4"/>
      <c r="DG1281" s="4"/>
      <c r="DH1281" s="4"/>
      <c r="DI1281" s="4"/>
      <c r="DJ1281" s="4"/>
      <c r="DK1281" s="4"/>
      <c r="DL1281" s="4"/>
      <c r="DM1281" s="4"/>
      <c r="DN1281" s="4"/>
      <c r="DO1281" s="4"/>
      <c r="DP1281" s="4"/>
      <c r="DQ1281" s="4"/>
      <c r="DR1281" s="4"/>
      <c r="DS1281" s="4"/>
    </row>
    <row r="1282">
      <c r="A1282" s="9">
        <f>IFERROR(__xludf.DUMMYFUNCTION("""COMPUTED_VALUE"""),45822.0)</f>
        <v>45822</v>
      </c>
      <c r="B1282" s="6" t="str">
        <f>IFERROR(__xludf.DUMMYFUNCTION("""COMPUTED_VALUE"""),"Car Expenses")</f>
        <v>Car Expenses</v>
      </c>
      <c r="C1282" s="7">
        <f>IFERROR(__xludf.DUMMYFUNCTION("""COMPUTED_VALUE"""),3716.0)</f>
        <v>3716</v>
      </c>
      <c r="D1282" s="6" t="str">
        <f>IFERROR(__xludf.DUMMYFUNCTION("""COMPUTED_VALUE"""),"Car Expenses")</f>
        <v>Car Expenses</v>
      </c>
      <c r="E1282" s="6" t="str">
        <f>IFERROR(__xludf.DUMMYFUNCTION("""COMPUTED_VALUE"""),"Virtual Wallet")</f>
        <v>Virtual Wallet</v>
      </c>
      <c r="F1282" s="6" t="s">
        <v>9</v>
      </c>
      <c r="G1282" s="8" t="str">
        <f t="shared" si="1"/>
        <v>202506</v>
      </c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  <c r="AA1282" s="4"/>
      <c r="AB1282" s="4"/>
      <c r="AC1282" s="4"/>
      <c r="AD1282" s="4"/>
      <c r="AE1282" s="4"/>
      <c r="AF1282" s="4"/>
      <c r="AG1282" s="4"/>
      <c r="AH1282" s="4"/>
      <c r="AI1282" s="4"/>
      <c r="AJ1282" s="4"/>
      <c r="AK1282" s="4"/>
      <c r="AL1282" s="4"/>
      <c r="AM1282" s="4"/>
      <c r="AN1282" s="4"/>
      <c r="AO1282" s="4"/>
      <c r="AP1282" s="4"/>
      <c r="AQ1282" s="4"/>
      <c r="AR1282" s="4"/>
      <c r="AS1282" s="4"/>
      <c r="AT1282" s="4"/>
      <c r="AU1282" s="4"/>
      <c r="AV1282" s="4"/>
      <c r="AW1282" s="4"/>
      <c r="AX1282" s="4"/>
      <c r="AY1282" s="4"/>
      <c r="AZ1282" s="4"/>
      <c r="BA1282" s="4"/>
      <c r="BB1282" s="4"/>
      <c r="BC1282" s="4"/>
      <c r="BD1282" s="4"/>
      <c r="BE1282" s="4"/>
      <c r="BF1282" s="4"/>
      <c r="BG1282" s="4"/>
      <c r="BH1282" s="4"/>
      <c r="BI1282" s="4"/>
      <c r="BJ1282" s="4"/>
      <c r="BK1282" s="4"/>
      <c r="BL1282" s="4"/>
      <c r="BM1282" s="4"/>
      <c r="BN1282" s="4"/>
      <c r="BO1282" s="4"/>
      <c r="BP1282" s="4"/>
      <c r="BQ1282" s="4"/>
      <c r="BR1282" s="4"/>
      <c r="BS1282" s="4"/>
      <c r="BT1282" s="4"/>
      <c r="BU1282" s="4"/>
      <c r="BV1282" s="4"/>
      <c r="BW1282" s="4"/>
      <c r="BX1282" s="4"/>
      <c r="BY1282" s="4"/>
      <c r="BZ1282" s="4"/>
      <c r="CA1282" s="4"/>
      <c r="CB1282" s="4"/>
      <c r="CC1282" s="4"/>
      <c r="CD1282" s="4"/>
      <c r="CE1282" s="4"/>
      <c r="CF1282" s="4"/>
      <c r="CG1282" s="4"/>
      <c r="CH1282" s="4"/>
      <c r="CI1282" s="4"/>
      <c r="CJ1282" s="4"/>
      <c r="CK1282" s="4"/>
      <c r="CL1282" s="4"/>
      <c r="CM1282" s="4"/>
      <c r="CN1282" s="4"/>
      <c r="CO1282" s="4"/>
      <c r="CP1282" s="4"/>
      <c r="CQ1282" s="4"/>
      <c r="CR1282" s="4"/>
      <c r="CS1282" s="4"/>
      <c r="CT1282" s="4"/>
      <c r="CU1282" s="4"/>
      <c r="CV1282" s="4"/>
      <c r="CW1282" s="4"/>
      <c r="CX1282" s="4"/>
      <c r="CY1282" s="4"/>
      <c r="CZ1282" s="4"/>
      <c r="DA1282" s="4"/>
      <c r="DB1282" s="4"/>
      <c r="DC1282" s="4"/>
      <c r="DD1282" s="4"/>
      <c r="DE1282" s="4"/>
      <c r="DF1282" s="4"/>
      <c r="DG1282" s="4"/>
      <c r="DH1282" s="4"/>
      <c r="DI1282" s="4"/>
      <c r="DJ1282" s="4"/>
      <c r="DK1282" s="4"/>
      <c r="DL1282" s="4"/>
      <c r="DM1282" s="4"/>
      <c r="DN1282" s="4"/>
      <c r="DO1282" s="4"/>
      <c r="DP1282" s="4"/>
      <c r="DQ1282" s="4"/>
      <c r="DR1282" s="4"/>
      <c r="DS1282" s="4"/>
    </row>
    <row r="1283">
      <c r="A1283" s="9">
        <f>IFERROR(__xludf.DUMMYFUNCTION("""COMPUTED_VALUE"""),45823.0)</f>
        <v>45823</v>
      </c>
      <c r="B1283" s="6" t="str">
        <f>IFERROR(__xludf.DUMMYFUNCTION("""COMPUTED_VALUE"""),"Home Goods")</f>
        <v>Home Goods</v>
      </c>
      <c r="C1283" s="7">
        <f>IFERROR(__xludf.DUMMYFUNCTION("""COMPUTED_VALUE"""),2101.0)</f>
        <v>2101</v>
      </c>
      <c r="D1283" s="6" t="str">
        <f>IFERROR(__xludf.DUMMYFUNCTION("""COMPUTED_VALUE"""),"Home Goods &amp; Utilities")</f>
        <v>Home Goods &amp; Utilities</v>
      </c>
      <c r="E1283" s="6" t="str">
        <f>IFERROR(__xludf.DUMMYFUNCTION("""COMPUTED_VALUE"""),"Split Payment")</f>
        <v>Split Payment</v>
      </c>
      <c r="F1283" s="6" t="s">
        <v>8</v>
      </c>
      <c r="G1283" s="8" t="str">
        <f t="shared" si="1"/>
        <v>202506</v>
      </c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  <c r="AA1283" s="4"/>
      <c r="AB1283" s="4"/>
      <c r="AC1283" s="4"/>
      <c r="AD1283" s="4"/>
      <c r="AE1283" s="4"/>
      <c r="AF1283" s="4"/>
      <c r="AG1283" s="4"/>
      <c r="AH1283" s="4"/>
      <c r="AI1283" s="4"/>
      <c r="AJ1283" s="4"/>
      <c r="AK1283" s="4"/>
      <c r="AL1283" s="4"/>
      <c r="AM1283" s="4"/>
      <c r="AN1283" s="4"/>
      <c r="AO1283" s="4"/>
      <c r="AP1283" s="4"/>
      <c r="AQ1283" s="4"/>
      <c r="AR1283" s="4"/>
      <c r="AS1283" s="4"/>
      <c r="AT1283" s="4"/>
      <c r="AU1283" s="4"/>
      <c r="AV1283" s="4"/>
      <c r="AW1283" s="4"/>
      <c r="AX1283" s="4"/>
      <c r="AY1283" s="4"/>
      <c r="AZ1283" s="4"/>
      <c r="BA1283" s="4"/>
      <c r="BB1283" s="4"/>
      <c r="BC1283" s="4"/>
      <c r="BD1283" s="4"/>
      <c r="BE1283" s="4"/>
      <c r="BF1283" s="4"/>
      <c r="BG1283" s="4"/>
      <c r="BH1283" s="4"/>
      <c r="BI1283" s="4"/>
      <c r="BJ1283" s="4"/>
      <c r="BK1283" s="4"/>
      <c r="BL1283" s="4"/>
      <c r="BM1283" s="4"/>
      <c r="BN1283" s="4"/>
      <c r="BO1283" s="4"/>
      <c r="BP1283" s="4"/>
      <c r="BQ1283" s="4"/>
      <c r="BR1283" s="4"/>
      <c r="BS1283" s="4"/>
      <c r="BT1283" s="4"/>
      <c r="BU1283" s="4"/>
      <c r="BV1283" s="4"/>
      <c r="BW1283" s="4"/>
      <c r="BX1283" s="4"/>
      <c r="BY1283" s="4"/>
      <c r="BZ1283" s="4"/>
      <c r="CA1283" s="4"/>
      <c r="CB1283" s="4"/>
      <c r="CC1283" s="4"/>
      <c r="CD1283" s="4"/>
      <c r="CE1283" s="4"/>
      <c r="CF1283" s="4"/>
      <c r="CG1283" s="4"/>
      <c r="CH1283" s="4"/>
      <c r="CI1283" s="4"/>
      <c r="CJ1283" s="4"/>
      <c r="CK1283" s="4"/>
      <c r="CL1283" s="4"/>
      <c r="CM1283" s="4"/>
      <c r="CN1283" s="4"/>
      <c r="CO1283" s="4"/>
      <c r="CP1283" s="4"/>
      <c r="CQ1283" s="4"/>
      <c r="CR1283" s="4"/>
      <c r="CS1283" s="4"/>
      <c r="CT1283" s="4"/>
      <c r="CU1283" s="4"/>
      <c r="CV1283" s="4"/>
      <c r="CW1283" s="4"/>
      <c r="CX1283" s="4"/>
      <c r="CY1283" s="4"/>
      <c r="CZ1283" s="4"/>
      <c r="DA1283" s="4"/>
      <c r="DB1283" s="4"/>
      <c r="DC1283" s="4"/>
      <c r="DD1283" s="4"/>
      <c r="DE1283" s="4"/>
      <c r="DF1283" s="4"/>
      <c r="DG1283" s="4"/>
      <c r="DH1283" s="4"/>
      <c r="DI1283" s="4"/>
      <c r="DJ1283" s="4"/>
      <c r="DK1283" s="4"/>
      <c r="DL1283" s="4"/>
      <c r="DM1283" s="4"/>
      <c r="DN1283" s="4"/>
      <c r="DO1283" s="4"/>
      <c r="DP1283" s="4"/>
      <c r="DQ1283" s="4"/>
      <c r="DR1283" s="4"/>
      <c r="DS1283" s="4"/>
    </row>
    <row r="1284">
      <c r="A1284" s="9">
        <f>IFERROR(__xludf.DUMMYFUNCTION("""COMPUTED_VALUE"""),45823.0)</f>
        <v>45823</v>
      </c>
      <c r="B1284" s="6" t="str">
        <f>IFERROR(__xludf.DUMMYFUNCTION("""COMPUTED_VALUE"""),"Appliances")</f>
        <v>Appliances</v>
      </c>
      <c r="C1284" s="7">
        <f>IFERROR(__xludf.DUMMYFUNCTION("""COMPUTED_VALUE"""),5965.0)</f>
        <v>5965</v>
      </c>
      <c r="D1284" s="6" t="str">
        <f>IFERROR(__xludf.DUMMYFUNCTION("""COMPUTED_VALUE"""),"Home Goods &amp; Utilities")</f>
        <v>Home Goods &amp; Utilities</v>
      </c>
      <c r="E1284" s="6" t="str">
        <f>IFERROR(__xludf.DUMMYFUNCTION("""COMPUTED_VALUE"""),"Credit Card")</f>
        <v>Credit Card</v>
      </c>
      <c r="F1284" s="6" t="s">
        <v>8</v>
      </c>
      <c r="G1284" s="8" t="str">
        <f t="shared" si="1"/>
        <v>202506</v>
      </c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  <c r="AA1284" s="4"/>
      <c r="AB1284" s="4"/>
      <c r="AC1284" s="4"/>
      <c r="AD1284" s="4"/>
      <c r="AE1284" s="4"/>
      <c r="AF1284" s="4"/>
      <c r="AG1284" s="4"/>
      <c r="AH1284" s="4"/>
      <c r="AI1284" s="4"/>
      <c r="AJ1284" s="4"/>
      <c r="AK1284" s="4"/>
      <c r="AL1284" s="4"/>
      <c r="AM1284" s="4"/>
      <c r="AN1284" s="4"/>
      <c r="AO1284" s="4"/>
      <c r="AP1284" s="4"/>
      <c r="AQ1284" s="4"/>
      <c r="AR1284" s="4"/>
      <c r="AS1284" s="4"/>
      <c r="AT1284" s="4"/>
      <c r="AU1284" s="4"/>
      <c r="AV1284" s="4"/>
      <c r="AW1284" s="4"/>
      <c r="AX1284" s="4"/>
      <c r="AY1284" s="4"/>
      <c r="AZ1284" s="4"/>
      <c r="BA1284" s="4"/>
      <c r="BB1284" s="4"/>
      <c r="BC1284" s="4"/>
      <c r="BD1284" s="4"/>
      <c r="BE1284" s="4"/>
      <c r="BF1284" s="4"/>
      <c r="BG1284" s="4"/>
      <c r="BH1284" s="4"/>
      <c r="BI1284" s="4"/>
      <c r="BJ1284" s="4"/>
      <c r="BK1284" s="4"/>
      <c r="BL1284" s="4"/>
      <c r="BM1284" s="4"/>
      <c r="BN1284" s="4"/>
      <c r="BO1284" s="4"/>
      <c r="BP1284" s="4"/>
      <c r="BQ1284" s="4"/>
      <c r="BR1284" s="4"/>
      <c r="BS1284" s="4"/>
      <c r="BT1284" s="4"/>
      <c r="BU1284" s="4"/>
      <c r="BV1284" s="4"/>
      <c r="BW1284" s="4"/>
      <c r="BX1284" s="4"/>
      <c r="BY1284" s="4"/>
      <c r="BZ1284" s="4"/>
      <c r="CA1284" s="4"/>
      <c r="CB1284" s="4"/>
      <c r="CC1284" s="4"/>
      <c r="CD1284" s="4"/>
      <c r="CE1284" s="4"/>
      <c r="CF1284" s="4"/>
      <c r="CG1284" s="4"/>
      <c r="CH1284" s="4"/>
      <c r="CI1284" s="4"/>
      <c r="CJ1284" s="4"/>
      <c r="CK1284" s="4"/>
      <c r="CL1284" s="4"/>
      <c r="CM1284" s="4"/>
      <c r="CN1284" s="4"/>
      <c r="CO1284" s="4"/>
      <c r="CP1284" s="4"/>
      <c r="CQ1284" s="4"/>
      <c r="CR1284" s="4"/>
      <c r="CS1284" s="4"/>
      <c r="CT1284" s="4"/>
      <c r="CU1284" s="4"/>
      <c r="CV1284" s="4"/>
      <c r="CW1284" s="4"/>
      <c r="CX1284" s="4"/>
      <c r="CY1284" s="4"/>
      <c r="CZ1284" s="4"/>
      <c r="DA1284" s="4"/>
      <c r="DB1284" s="4"/>
      <c r="DC1284" s="4"/>
      <c r="DD1284" s="4"/>
      <c r="DE1284" s="4"/>
      <c r="DF1284" s="4"/>
      <c r="DG1284" s="4"/>
      <c r="DH1284" s="4"/>
      <c r="DI1284" s="4"/>
      <c r="DJ1284" s="4"/>
      <c r="DK1284" s="4"/>
      <c r="DL1284" s="4"/>
      <c r="DM1284" s="4"/>
      <c r="DN1284" s="4"/>
      <c r="DO1284" s="4"/>
      <c r="DP1284" s="4"/>
      <c r="DQ1284" s="4"/>
      <c r="DR1284" s="4"/>
      <c r="DS1284" s="4"/>
    </row>
    <row r="1285">
      <c r="A1285" s="9">
        <f>IFERROR(__xludf.DUMMYFUNCTION("""COMPUTED_VALUE"""),45823.0)</f>
        <v>45823</v>
      </c>
      <c r="B1285" s="6" t="str">
        <f>IFERROR(__xludf.DUMMYFUNCTION("""COMPUTED_VALUE"""),"Home Goods")</f>
        <v>Home Goods</v>
      </c>
      <c r="C1285" s="7">
        <f>IFERROR(__xludf.DUMMYFUNCTION("""COMPUTED_VALUE"""),4500.0)</f>
        <v>4500</v>
      </c>
      <c r="D1285" s="6" t="str">
        <f>IFERROR(__xludf.DUMMYFUNCTION("""COMPUTED_VALUE"""),"Home Goods &amp; Utilities")</f>
        <v>Home Goods &amp; Utilities</v>
      </c>
      <c r="E1285" s="6" t="str">
        <f>IFERROR(__xludf.DUMMYFUNCTION("""COMPUTED_VALUE"""),"Virtual Wallet")</f>
        <v>Virtual Wallet</v>
      </c>
      <c r="F1285" s="6" t="s">
        <v>8</v>
      </c>
      <c r="G1285" s="8" t="str">
        <f t="shared" si="1"/>
        <v>202506</v>
      </c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  <c r="AA1285" s="4"/>
      <c r="AB1285" s="4"/>
      <c r="AC1285" s="4"/>
      <c r="AD1285" s="4"/>
      <c r="AE1285" s="4"/>
      <c r="AF1285" s="4"/>
      <c r="AG1285" s="4"/>
      <c r="AH1285" s="4"/>
      <c r="AI1285" s="4"/>
      <c r="AJ1285" s="4"/>
      <c r="AK1285" s="4"/>
      <c r="AL1285" s="4"/>
      <c r="AM1285" s="4"/>
      <c r="AN1285" s="4"/>
      <c r="AO1285" s="4"/>
      <c r="AP1285" s="4"/>
      <c r="AQ1285" s="4"/>
      <c r="AR1285" s="4"/>
      <c r="AS1285" s="4"/>
      <c r="AT1285" s="4"/>
      <c r="AU1285" s="4"/>
      <c r="AV1285" s="4"/>
      <c r="AW1285" s="4"/>
      <c r="AX1285" s="4"/>
      <c r="AY1285" s="4"/>
      <c r="AZ1285" s="4"/>
      <c r="BA1285" s="4"/>
      <c r="BB1285" s="4"/>
      <c r="BC1285" s="4"/>
      <c r="BD1285" s="4"/>
      <c r="BE1285" s="4"/>
      <c r="BF1285" s="4"/>
      <c r="BG1285" s="4"/>
      <c r="BH1285" s="4"/>
      <c r="BI1285" s="4"/>
      <c r="BJ1285" s="4"/>
      <c r="BK1285" s="4"/>
      <c r="BL1285" s="4"/>
      <c r="BM1285" s="4"/>
      <c r="BN1285" s="4"/>
      <c r="BO1285" s="4"/>
      <c r="BP1285" s="4"/>
      <c r="BQ1285" s="4"/>
      <c r="BR1285" s="4"/>
      <c r="BS1285" s="4"/>
      <c r="BT1285" s="4"/>
      <c r="BU1285" s="4"/>
      <c r="BV1285" s="4"/>
      <c r="BW1285" s="4"/>
      <c r="BX1285" s="4"/>
      <c r="BY1285" s="4"/>
      <c r="BZ1285" s="4"/>
      <c r="CA1285" s="4"/>
      <c r="CB1285" s="4"/>
      <c r="CC1285" s="4"/>
      <c r="CD1285" s="4"/>
      <c r="CE1285" s="4"/>
      <c r="CF1285" s="4"/>
      <c r="CG1285" s="4"/>
      <c r="CH1285" s="4"/>
      <c r="CI1285" s="4"/>
      <c r="CJ1285" s="4"/>
      <c r="CK1285" s="4"/>
      <c r="CL1285" s="4"/>
      <c r="CM1285" s="4"/>
      <c r="CN1285" s="4"/>
      <c r="CO1285" s="4"/>
      <c r="CP1285" s="4"/>
      <c r="CQ1285" s="4"/>
      <c r="CR1285" s="4"/>
      <c r="CS1285" s="4"/>
      <c r="CT1285" s="4"/>
      <c r="CU1285" s="4"/>
      <c r="CV1285" s="4"/>
      <c r="CW1285" s="4"/>
      <c r="CX1285" s="4"/>
      <c r="CY1285" s="4"/>
      <c r="CZ1285" s="4"/>
      <c r="DA1285" s="4"/>
      <c r="DB1285" s="4"/>
      <c r="DC1285" s="4"/>
      <c r="DD1285" s="4"/>
      <c r="DE1285" s="4"/>
      <c r="DF1285" s="4"/>
      <c r="DG1285" s="4"/>
      <c r="DH1285" s="4"/>
      <c r="DI1285" s="4"/>
      <c r="DJ1285" s="4"/>
      <c r="DK1285" s="4"/>
      <c r="DL1285" s="4"/>
      <c r="DM1285" s="4"/>
      <c r="DN1285" s="4"/>
      <c r="DO1285" s="4"/>
      <c r="DP1285" s="4"/>
      <c r="DQ1285" s="4"/>
      <c r="DR1285" s="4"/>
      <c r="DS1285" s="4"/>
    </row>
    <row r="1286">
      <c r="A1286" s="9">
        <f>IFERROR(__xludf.DUMMYFUNCTION("""COMPUTED_VALUE"""),45823.0)</f>
        <v>45823</v>
      </c>
      <c r="B1286" s="6" t="str">
        <f>IFERROR(__xludf.DUMMYFUNCTION("""COMPUTED_VALUE"""),"Restaurant")</f>
        <v>Restaurant</v>
      </c>
      <c r="C1286" s="7">
        <f>IFERROR(__xludf.DUMMYFUNCTION("""COMPUTED_VALUE"""),9100.0)</f>
        <v>9100</v>
      </c>
      <c r="D1286" s="6" t="str">
        <f>IFERROR(__xludf.DUMMYFUNCTION("""COMPUTED_VALUE"""),"Restaurant / Café")</f>
        <v>Restaurant / Café</v>
      </c>
      <c r="E1286" s="6" t="str">
        <f>IFERROR(__xludf.DUMMYFUNCTION("""COMPUTED_VALUE"""),"Virtual Wallet")</f>
        <v>Virtual Wallet</v>
      </c>
      <c r="F1286" s="6" t="s">
        <v>14</v>
      </c>
      <c r="G1286" s="8" t="str">
        <f t="shared" si="1"/>
        <v>202506</v>
      </c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  <c r="AA1286" s="4"/>
      <c r="AB1286" s="4"/>
      <c r="AC1286" s="4"/>
      <c r="AD1286" s="4"/>
      <c r="AE1286" s="4"/>
      <c r="AF1286" s="4"/>
      <c r="AG1286" s="4"/>
      <c r="AH1286" s="4"/>
      <c r="AI1286" s="4"/>
      <c r="AJ1286" s="4"/>
      <c r="AK1286" s="4"/>
      <c r="AL1286" s="4"/>
      <c r="AM1286" s="4"/>
      <c r="AN1286" s="4"/>
      <c r="AO1286" s="4"/>
      <c r="AP1286" s="4"/>
      <c r="AQ1286" s="4"/>
      <c r="AR1286" s="4"/>
      <c r="AS1286" s="4"/>
      <c r="AT1286" s="4"/>
      <c r="AU1286" s="4"/>
      <c r="AV1286" s="4"/>
      <c r="AW1286" s="4"/>
      <c r="AX1286" s="4"/>
      <c r="AY1286" s="4"/>
      <c r="AZ1286" s="4"/>
      <c r="BA1286" s="4"/>
      <c r="BB1286" s="4"/>
      <c r="BC1286" s="4"/>
      <c r="BD1286" s="4"/>
      <c r="BE1286" s="4"/>
      <c r="BF1286" s="4"/>
      <c r="BG1286" s="4"/>
      <c r="BH1286" s="4"/>
      <c r="BI1286" s="4"/>
      <c r="BJ1286" s="4"/>
      <c r="BK1286" s="4"/>
      <c r="BL1286" s="4"/>
      <c r="BM1286" s="4"/>
      <c r="BN1286" s="4"/>
      <c r="BO1286" s="4"/>
      <c r="BP1286" s="4"/>
      <c r="BQ1286" s="4"/>
      <c r="BR1286" s="4"/>
      <c r="BS1286" s="4"/>
      <c r="BT1286" s="4"/>
      <c r="BU1286" s="4"/>
      <c r="BV1286" s="4"/>
      <c r="BW1286" s="4"/>
      <c r="BX1286" s="4"/>
      <c r="BY1286" s="4"/>
      <c r="BZ1286" s="4"/>
      <c r="CA1286" s="4"/>
      <c r="CB1286" s="4"/>
      <c r="CC1286" s="4"/>
      <c r="CD1286" s="4"/>
      <c r="CE1286" s="4"/>
      <c r="CF1286" s="4"/>
      <c r="CG1286" s="4"/>
      <c r="CH1286" s="4"/>
      <c r="CI1286" s="4"/>
      <c r="CJ1286" s="4"/>
      <c r="CK1286" s="4"/>
      <c r="CL1286" s="4"/>
      <c r="CM1286" s="4"/>
      <c r="CN1286" s="4"/>
      <c r="CO1286" s="4"/>
      <c r="CP1286" s="4"/>
      <c r="CQ1286" s="4"/>
      <c r="CR1286" s="4"/>
      <c r="CS1286" s="4"/>
      <c r="CT1286" s="4"/>
      <c r="CU1286" s="4"/>
      <c r="CV1286" s="4"/>
      <c r="CW1286" s="4"/>
      <c r="CX1286" s="4"/>
      <c r="CY1286" s="4"/>
      <c r="CZ1286" s="4"/>
      <c r="DA1286" s="4"/>
      <c r="DB1286" s="4"/>
      <c r="DC1286" s="4"/>
      <c r="DD1286" s="4"/>
      <c r="DE1286" s="4"/>
      <c r="DF1286" s="4"/>
      <c r="DG1286" s="4"/>
      <c r="DH1286" s="4"/>
      <c r="DI1286" s="4"/>
      <c r="DJ1286" s="4"/>
      <c r="DK1286" s="4"/>
      <c r="DL1286" s="4"/>
      <c r="DM1286" s="4"/>
      <c r="DN1286" s="4"/>
      <c r="DO1286" s="4"/>
      <c r="DP1286" s="4"/>
      <c r="DQ1286" s="4"/>
      <c r="DR1286" s="4"/>
      <c r="DS1286" s="4"/>
    </row>
    <row r="1287">
      <c r="A1287" s="9">
        <f>IFERROR(__xludf.DUMMYFUNCTION("""COMPUTED_VALUE"""),45824.0)</f>
        <v>45824</v>
      </c>
      <c r="B1287" s="6" t="str">
        <f>IFERROR(__xludf.DUMMYFUNCTION("""COMPUTED_VALUE"""),"Home Goods")</f>
        <v>Home Goods</v>
      </c>
      <c r="C1287" s="7">
        <f>IFERROR(__xludf.DUMMYFUNCTION("""COMPUTED_VALUE"""),3833.0)</f>
        <v>3833</v>
      </c>
      <c r="D1287" s="6" t="str">
        <f>IFERROR(__xludf.DUMMYFUNCTION("""COMPUTED_VALUE"""),"Home Goods &amp; Utilities")</f>
        <v>Home Goods &amp; Utilities</v>
      </c>
      <c r="E1287" s="6" t="str">
        <f>IFERROR(__xludf.DUMMYFUNCTION("""COMPUTED_VALUE"""),"Credit Card")</f>
        <v>Credit Card</v>
      </c>
      <c r="F1287" s="6" t="s">
        <v>8</v>
      </c>
      <c r="G1287" s="8" t="str">
        <f t="shared" si="1"/>
        <v>202506</v>
      </c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  <c r="AA1287" s="4"/>
      <c r="AB1287" s="4"/>
      <c r="AC1287" s="4"/>
      <c r="AD1287" s="4"/>
      <c r="AE1287" s="4"/>
      <c r="AF1287" s="4"/>
      <c r="AG1287" s="4"/>
      <c r="AH1287" s="4"/>
      <c r="AI1287" s="4"/>
      <c r="AJ1287" s="4"/>
      <c r="AK1287" s="4"/>
      <c r="AL1287" s="4"/>
      <c r="AM1287" s="4"/>
      <c r="AN1287" s="4"/>
      <c r="AO1287" s="4"/>
      <c r="AP1287" s="4"/>
      <c r="AQ1287" s="4"/>
      <c r="AR1287" s="4"/>
      <c r="AS1287" s="4"/>
      <c r="AT1287" s="4"/>
      <c r="AU1287" s="4"/>
      <c r="AV1287" s="4"/>
      <c r="AW1287" s="4"/>
      <c r="AX1287" s="4"/>
      <c r="AY1287" s="4"/>
      <c r="AZ1287" s="4"/>
      <c r="BA1287" s="4"/>
      <c r="BB1287" s="4"/>
      <c r="BC1287" s="4"/>
      <c r="BD1287" s="4"/>
      <c r="BE1287" s="4"/>
      <c r="BF1287" s="4"/>
      <c r="BG1287" s="4"/>
      <c r="BH1287" s="4"/>
      <c r="BI1287" s="4"/>
      <c r="BJ1287" s="4"/>
      <c r="BK1287" s="4"/>
      <c r="BL1287" s="4"/>
      <c r="BM1287" s="4"/>
      <c r="BN1287" s="4"/>
      <c r="BO1287" s="4"/>
      <c r="BP1287" s="4"/>
      <c r="BQ1287" s="4"/>
      <c r="BR1287" s="4"/>
      <c r="BS1287" s="4"/>
      <c r="BT1287" s="4"/>
      <c r="BU1287" s="4"/>
      <c r="BV1287" s="4"/>
      <c r="BW1287" s="4"/>
      <c r="BX1287" s="4"/>
      <c r="BY1287" s="4"/>
      <c r="BZ1287" s="4"/>
      <c r="CA1287" s="4"/>
      <c r="CB1287" s="4"/>
      <c r="CC1287" s="4"/>
      <c r="CD1287" s="4"/>
      <c r="CE1287" s="4"/>
      <c r="CF1287" s="4"/>
      <c r="CG1287" s="4"/>
      <c r="CH1287" s="4"/>
      <c r="CI1287" s="4"/>
      <c r="CJ1287" s="4"/>
      <c r="CK1287" s="4"/>
      <c r="CL1287" s="4"/>
      <c r="CM1287" s="4"/>
      <c r="CN1287" s="4"/>
      <c r="CO1287" s="4"/>
      <c r="CP1287" s="4"/>
      <c r="CQ1287" s="4"/>
      <c r="CR1287" s="4"/>
      <c r="CS1287" s="4"/>
      <c r="CT1287" s="4"/>
      <c r="CU1287" s="4"/>
      <c r="CV1287" s="4"/>
      <c r="CW1287" s="4"/>
      <c r="CX1287" s="4"/>
      <c r="CY1287" s="4"/>
      <c r="CZ1287" s="4"/>
      <c r="DA1287" s="4"/>
      <c r="DB1287" s="4"/>
      <c r="DC1287" s="4"/>
      <c r="DD1287" s="4"/>
      <c r="DE1287" s="4"/>
      <c r="DF1287" s="4"/>
      <c r="DG1287" s="4"/>
      <c r="DH1287" s="4"/>
      <c r="DI1287" s="4"/>
      <c r="DJ1287" s="4"/>
      <c r="DK1287" s="4"/>
      <c r="DL1287" s="4"/>
      <c r="DM1287" s="4"/>
      <c r="DN1287" s="4"/>
      <c r="DO1287" s="4"/>
      <c r="DP1287" s="4"/>
      <c r="DQ1287" s="4"/>
      <c r="DR1287" s="4"/>
      <c r="DS1287" s="4"/>
    </row>
    <row r="1288">
      <c r="A1288" s="9">
        <f>IFERROR(__xludf.DUMMYFUNCTION("""COMPUTED_VALUE"""),45824.0)</f>
        <v>45824</v>
      </c>
      <c r="B1288" s="6" t="str">
        <f>IFERROR(__xludf.DUMMYFUNCTION("""COMPUTED_VALUE"""),"Groceries")</f>
        <v>Groceries</v>
      </c>
      <c r="C1288" s="7">
        <f>IFERROR(__xludf.DUMMYFUNCTION("""COMPUTED_VALUE"""),3000.0)</f>
        <v>3000</v>
      </c>
      <c r="D1288" s="6" t="str">
        <f>IFERROR(__xludf.DUMMYFUNCTION("""COMPUTED_VALUE"""),"Restaurant / Café")</f>
        <v>Restaurant / Café</v>
      </c>
      <c r="E1288" s="6" t="str">
        <f>IFERROR(__xludf.DUMMYFUNCTION("""COMPUTED_VALUE"""),"Virtual Wallet")</f>
        <v>Virtual Wallet</v>
      </c>
      <c r="F1288" s="6" t="s">
        <v>14</v>
      </c>
      <c r="G1288" s="8" t="str">
        <f t="shared" si="1"/>
        <v>202506</v>
      </c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  <c r="AA1288" s="4"/>
      <c r="AB1288" s="4"/>
      <c r="AC1288" s="4"/>
      <c r="AD1288" s="4"/>
      <c r="AE1288" s="4"/>
      <c r="AF1288" s="4"/>
      <c r="AG1288" s="4"/>
      <c r="AH1288" s="4"/>
      <c r="AI1288" s="4"/>
      <c r="AJ1288" s="4"/>
      <c r="AK1288" s="4"/>
      <c r="AL1288" s="4"/>
      <c r="AM1288" s="4"/>
      <c r="AN1288" s="4"/>
      <c r="AO1288" s="4"/>
      <c r="AP1288" s="4"/>
      <c r="AQ1288" s="4"/>
      <c r="AR1288" s="4"/>
      <c r="AS1288" s="4"/>
      <c r="AT1288" s="4"/>
      <c r="AU1288" s="4"/>
      <c r="AV1288" s="4"/>
      <c r="AW1288" s="4"/>
      <c r="AX1288" s="4"/>
      <c r="AY1288" s="4"/>
      <c r="AZ1288" s="4"/>
      <c r="BA1288" s="4"/>
      <c r="BB1288" s="4"/>
      <c r="BC1288" s="4"/>
      <c r="BD1288" s="4"/>
      <c r="BE1288" s="4"/>
      <c r="BF1288" s="4"/>
      <c r="BG1288" s="4"/>
      <c r="BH1288" s="4"/>
      <c r="BI1288" s="4"/>
      <c r="BJ1288" s="4"/>
      <c r="BK1288" s="4"/>
      <c r="BL1288" s="4"/>
      <c r="BM1288" s="4"/>
      <c r="BN1288" s="4"/>
      <c r="BO1288" s="4"/>
      <c r="BP1288" s="4"/>
      <c r="BQ1288" s="4"/>
      <c r="BR1288" s="4"/>
      <c r="BS1288" s="4"/>
      <c r="BT1288" s="4"/>
      <c r="BU1288" s="4"/>
      <c r="BV1288" s="4"/>
      <c r="BW1288" s="4"/>
      <c r="BX1288" s="4"/>
      <c r="BY1288" s="4"/>
      <c r="BZ1288" s="4"/>
      <c r="CA1288" s="4"/>
      <c r="CB1288" s="4"/>
      <c r="CC1288" s="4"/>
      <c r="CD1288" s="4"/>
      <c r="CE1288" s="4"/>
      <c r="CF1288" s="4"/>
      <c r="CG1288" s="4"/>
      <c r="CH1288" s="4"/>
      <c r="CI1288" s="4"/>
      <c r="CJ1288" s="4"/>
      <c r="CK1288" s="4"/>
      <c r="CL1288" s="4"/>
      <c r="CM1288" s="4"/>
      <c r="CN1288" s="4"/>
      <c r="CO1288" s="4"/>
      <c r="CP1288" s="4"/>
      <c r="CQ1288" s="4"/>
      <c r="CR1288" s="4"/>
      <c r="CS1288" s="4"/>
      <c r="CT1288" s="4"/>
      <c r="CU1288" s="4"/>
      <c r="CV1288" s="4"/>
      <c r="CW1288" s="4"/>
      <c r="CX1288" s="4"/>
      <c r="CY1288" s="4"/>
      <c r="CZ1288" s="4"/>
      <c r="DA1288" s="4"/>
      <c r="DB1288" s="4"/>
      <c r="DC1288" s="4"/>
      <c r="DD1288" s="4"/>
      <c r="DE1288" s="4"/>
      <c r="DF1288" s="4"/>
      <c r="DG1288" s="4"/>
      <c r="DH1288" s="4"/>
      <c r="DI1288" s="4"/>
      <c r="DJ1288" s="4"/>
      <c r="DK1288" s="4"/>
      <c r="DL1288" s="4"/>
      <c r="DM1288" s="4"/>
      <c r="DN1288" s="4"/>
      <c r="DO1288" s="4"/>
      <c r="DP1288" s="4"/>
      <c r="DQ1288" s="4"/>
      <c r="DR1288" s="4"/>
      <c r="DS1288" s="4"/>
    </row>
    <row r="1289">
      <c r="A1289" s="9">
        <f>IFERROR(__xludf.DUMMYFUNCTION("""COMPUTED_VALUE"""),45824.0)</f>
        <v>45824</v>
      </c>
      <c r="B1289" s="6" t="str">
        <f>IFERROR(__xludf.DUMMYFUNCTION("""COMPUTED_VALUE"""),"Groceries")</f>
        <v>Groceries</v>
      </c>
      <c r="C1289" s="7">
        <f>IFERROR(__xludf.DUMMYFUNCTION("""COMPUTED_VALUE"""),42375.0)</f>
        <v>42375</v>
      </c>
      <c r="D1289" s="6" t="str">
        <f>IFERROR(__xludf.DUMMYFUNCTION("""COMPUTED_VALUE"""),"Groceries")</f>
        <v>Groceries</v>
      </c>
      <c r="E1289" s="6" t="str">
        <f>IFERROR(__xludf.DUMMYFUNCTION("""COMPUTED_VALUE"""),"Virtual Wallet")</f>
        <v>Virtual Wallet</v>
      </c>
      <c r="F1289" s="6" t="s">
        <v>7</v>
      </c>
      <c r="G1289" s="8" t="str">
        <f t="shared" si="1"/>
        <v>202506</v>
      </c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  <c r="AA1289" s="4"/>
      <c r="AB1289" s="4"/>
      <c r="AC1289" s="4"/>
      <c r="AD1289" s="4"/>
      <c r="AE1289" s="4"/>
      <c r="AF1289" s="4"/>
      <c r="AG1289" s="4"/>
      <c r="AH1289" s="4"/>
      <c r="AI1289" s="4"/>
      <c r="AJ1289" s="4"/>
      <c r="AK1289" s="4"/>
      <c r="AL1289" s="4"/>
      <c r="AM1289" s="4"/>
      <c r="AN1289" s="4"/>
      <c r="AO1289" s="4"/>
      <c r="AP1289" s="4"/>
      <c r="AQ1289" s="4"/>
      <c r="AR1289" s="4"/>
      <c r="AS1289" s="4"/>
      <c r="AT1289" s="4"/>
      <c r="AU1289" s="4"/>
      <c r="AV1289" s="4"/>
      <c r="AW1289" s="4"/>
      <c r="AX1289" s="4"/>
      <c r="AY1289" s="4"/>
      <c r="AZ1289" s="4"/>
      <c r="BA1289" s="4"/>
      <c r="BB1289" s="4"/>
      <c r="BC1289" s="4"/>
      <c r="BD1289" s="4"/>
      <c r="BE1289" s="4"/>
      <c r="BF1289" s="4"/>
      <c r="BG1289" s="4"/>
      <c r="BH1289" s="4"/>
      <c r="BI1289" s="4"/>
      <c r="BJ1289" s="4"/>
      <c r="BK1289" s="4"/>
      <c r="BL1289" s="4"/>
      <c r="BM1289" s="4"/>
      <c r="BN1289" s="4"/>
      <c r="BO1289" s="4"/>
      <c r="BP1289" s="4"/>
      <c r="BQ1289" s="4"/>
      <c r="BR1289" s="4"/>
      <c r="BS1289" s="4"/>
      <c r="BT1289" s="4"/>
      <c r="BU1289" s="4"/>
      <c r="BV1289" s="4"/>
      <c r="BW1289" s="4"/>
      <c r="BX1289" s="4"/>
      <c r="BY1289" s="4"/>
      <c r="BZ1289" s="4"/>
      <c r="CA1289" s="4"/>
      <c r="CB1289" s="4"/>
      <c r="CC1289" s="4"/>
      <c r="CD1289" s="4"/>
      <c r="CE1289" s="4"/>
      <c r="CF1289" s="4"/>
      <c r="CG1289" s="4"/>
      <c r="CH1289" s="4"/>
      <c r="CI1289" s="4"/>
      <c r="CJ1289" s="4"/>
      <c r="CK1289" s="4"/>
      <c r="CL1289" s="4"/>
      <c r="CM1289" s="4"/>
      <c r="CN1289" s="4"/>
      <c r="CO1289" s="4"/>
      <c r="CP1289" s="4"/>
      <c r="CQ1289" s="4"/>
      <c r="CR1289" s="4"/>
      <c r="CS1289" s="4"/>
      <c r="CT1289" s="4"/>
      <c r="CU1289" s="4"/>
      <c r="CV1289" s="4"/>
      <c r="CW1289" s="4"/>
      <c r="CX1289" s="4"/>
      <c r="CY1289" s="4"/>
      <c r="CZ1289" s="4"/>
      <c r="DA1289" s="4"/>
      <c r="DB1289" s="4"/>
      <c r="DC1289" s="4"/>
      <c r="DD1289" s="4"/>
      <c r="DE1289" s="4"/>
      <c r="DF1289" s="4"/>
      <c r="DG1289" s="4"/>
      <c r="DH1289" s="4"/>
      <c r="DI1289" s="4"/>
      <c r="DJ1289" s="4"/>
      <c r="DK1289" s="4"/>
      <c r="DL1289" s="4"/>
      <c r="DM1289" s="4"/>
      <c r="DN1289" s="4"/>
      <c r="DO1289" s="4"/>
      <c r="DP1289" s="4"/>
      <c r="DQ1289" s="4"/>
      <c r="DR1289" s="4"/>
      <c r="DS1289" s="4"/>
    </row>
    <row r="1290">
      <c r="A1290" s="9">
        <f>IFERROR(__xludf.DUMMYFUNCTION("""COMPUTED_VALUE"""),45825.0)</f>
        <v>45825</v>
      </c>
      <c r="B1290" s="6" t="str">
        <f>IFERROR(__xludf.DUMMYFUNCTION("""COMPUTED_VALUE"""),"Clothing")</f>
        <v>Clothing</v>
      </c>
      <c r="C1290" s="7">
        <f>IFERROR(__xludf.DUMMYFUNCTION("""COMPUTED_VALUE"""),40950.0)</f>
        <v>40950</v>
      </c>
      <c r="D1290" s="6" t="str">
        <f>IFERROR(__xludf.DUMMYFUNCTION("""COMPUTED_VALUE"""),"Clothing")</f>
        <v>Clothing</v>
      </c>
      <c r="E1290" s="6" t="str">
        <f>IFERROR(__xludf.DUMMYFUNCTION("""COMPUTED_VALUE"""),"Credit Card")</f>
        <v>Credit Card</v>
      </c>
      <c r="F1290" s="6" t="s">
        <v>10</v>
      </c>
      <c r="G1290" s="8" t="str">
        <f t="shared" si="1"/>
        <v>202506</v>
      </c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  <c r="AA1290" s="4"/>
      <c r="AB1290" s="4"/>
      <c r="AC1290" s="4"/>
      <c r="AD1290" s="4"/>
      <c r="AE1290" s="4"/>
      <c r="AF1290" s="4"/>
      <c r="AG1290" s="4"/>
      <c r="AH1290" s="4"/>
      <c r="AI1290" s="4"/>
      <c r="AJ1290" s="4"/>
      <c r="AK1290" s="4"/>
      <c r="AL1290" s="4"/>
      <c r="AM1290" s="4"/>
      <c r="AN1290" s="4"/>
      <c r="AO1290" s="4"/>
      <c r="AP1290" s="4"/>
      <c r="AQ1290" s="4"/>
      <c r="AR1290" s="4"/>
      <c r="AS1290" s="4"/>
      <c r="AT1290" s="4"/>
      <c r="AU1290" s="4"/>
      <c r="AV1290" s="4"/>
      <c r="AW1290" s="4"/>
      <c r="AX1290" s="4"/>
      <c r="AY1290" s="4"/>
      <c r="AZ1290" s="4"/>
      <c r="BA1290" s="4"/>
      <c r="BB1290" s="4"/>
      <c r="BC1290" s="4"/>
      <c r="BD1290" s="4"/>
      <c r="BE1290" s="4"/>
      <c r="BF1290" s="4"/>
      <c r="BG1290" s="4"/>
      <c r="BH1290" s="4"/>
      <c r="BI1290" s="4"/>
      <c r="BJ1290" s="4"/>
      <c r="BK1290" s="4"/>
      <c r="BL1290" s="4"/>
      <c r="BM1290" s="4"/>
      <c r="BN1290" s="4"/>
      <c r="BO1290" s="4"/>
      <c r="BP1290" s="4"/>
      <c r="BQ1290" s="4"/>
      <c r="BR1290" s="4"/>
      <c r="BS1290" s="4"/>
      <c r="BT1290" s="4"/>
      <c r="BU1290" s="4"/>
      <c r="BV1290" s="4"/>
      <c r="BW1290" s="4"/>
      <c r="BX1290" s="4"/>
      <c r="BY1290" s="4"/>
      <c r="BZ1290" s="4"/>
      <c r="CA1290" s="4"/>
      <c r="CB1290" s="4"/>
      <c r="CC1290" s="4"/>
      <c r="CD1290" s="4"/>
      <c r="CE1290" s="4"/>
      <c r="CF1290" s="4"/>
      <c r="CG1290" s="4"/>
      <c r="CH1290" s="4"/>
      <c r="CI1290" s="4"/>
      <c r="CJ1290" s="4"/>
      <c r="CK1290" s="4"/>
      <c r="CL1290" s="4"/>
      <c r="CM1290" s="4"/>
      <c r="CN1290" s="4"/>
      <c r="CO1290" s="4"/>
      <c r="CP1290" s="4"/>
      <c r="CQ1290" s="4"/>
      <c r="CR1290" s="4"/>
      <c r="CS1290" s="4"/>
      <c r="CT1290" s="4"/>
      <c r="CU1290" s="4"/>
      <c r="CV1290" s="4"/>
      <c r="CW1290" s="4"/>
      <c r="CX1290" s="4"/>
      <c r="CY1290" s="4"/>
      <c r="CZ1290" s="4"/>
      <c r="DA1290" s="4"/>
      <c r="DB1290" s="4"/>
      <c r="DC1290" s="4"/>
      <c r="DD1290" s="4"/>
      <c r="DE1290" s="4"/>
      <c r="DF1290" s="4"/>
      <c r="DG1290" s="4"/>
      <c r="DH1290" s="4"/>
      <c r="DI1290" s="4"/>
      <c r="DJ1290" s="4"/>
      <c r="DK1290" s="4"/>
      <c r="DL1290" s="4"/>
      <c r="DM1290" s="4"/>
      <c r="DN1290" s="4"/>
      <c r="DO1290" s="4"/>
      <c r="DP1290" s="4"/>
      <c r="DQ1290" s="4"/>
      <c r="DR1290" s="4"/>
      <c r="DS1290" s="4"/>
    </row>
    <row r="1291">
      <c r="A1291" s="9">
        <f>IFERROR(__xludf.DUMMYFUNCTION("""COMPUTED_VALUE"""),45825.0)</f>
        <v>45825</v>
      </c>
      <c r="B1291" s="6" t="str">
        <f>IFERROR(__xludf.DUMMYFUNCTION("""COMPUTED_VALUE"""),"Clothing")</f>
        <v>Clothing</v>
      </c>
      <c r="C1291" s="7">
        <f>IFERROR(__xludf.DUMMYFUNCTION("""COMPUTED_VALUE"""),38037.0)</f>
        <v>38037</v>
      </c>
      <c r="D1291" s="6" t="str">
        <f>IFERROR(__xludf.DUMMYFUNCTION("""COMPUTED_VALUE"""),"Clothing")</f>
        <v>Clothing</v>
      </c>
      <c r="E1291" s="6" t="str">
        <f>IFERROR(__xludf.DUMMYFUNCTION("""COMPUTED_VALUE"""),"Credit Card")</f>
        <v>Credit Card</v>
      </c>
      <c r="F1291" s="6" t="s">
        <v>10</v>
      </c>
      <c r="G1291" s="8" t="str">
        <f t="shared" si="1"/>
        <v>202506</v>
      </c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  <c r="AA1291" s="4"/>
      <c r="AB1291" s="4"/>
      <c r="AC1291" s="4"/>
      <c r="AD1291" s="4"/>
      <c r="AE1291" s="4"/>
      <c r="AF1291" s="4"/>
      <c r="AG1291" s="4"/>
      <c r="AH1291" s="4"/>
      <c r="AI1291" s="4"/>
      <c r="AJ1291" s="4"/>
      <c r="AK1291" s="4"/>
      <c r="AL1291" s="4"/>
      <c r="AM1291" s="4"/>
      <c r="AN1291" s="4"/>
      <c r="AO1291" s="4"/>
      <c r="AP1291" s="4"/>
      <c r="AQ1291" s="4"/>
      <c r="AR1291" s="4"/>
      <c r="AS1291" s="4"/>
      <c r="AT1291" s="4"/>
      <c r="AU1291" s="4"/>
      <c r="AV1291" s="4"/>
      <c r="AW1291" s="4"/>
      <c r="AX1291" s="4"/>
      <c r="AY1291" s="4"/>
      <c r="AZ1291" s="4"/>
      <c r="BA1291" s="4"/>
      <c r="BB1291" s="4"/>
      <c r="BC1291" s="4"/>
      <c r="BD1291" s="4"/>
      <c r="BE1291" s="4"/>
      <c r="BF1291" s="4"/>
      <c r="BG1291" s="4"/>
      <c r="BH1291" s="4"/>
      <c r="BI1291" s="4"/>
      <c r="BJ1291" s="4"/>
      <c r="BK1291" s="4"/>
      <c r="BL1291" s="4"/>
      <c r="BM1291" s="4"/>
      <c r="BN1291" s="4"/>
      <c r="BO1291" s="4"/>
      <c r="BP1291" s="4"/>
      <c r="BQ1291" s="4"/>
      <c r="BR1291" s="4"/>
      <c r="BS1291" s="4"/>
      <c r="BT1291" s="4"/>
      <c r="BU1291" s="4"/>
      <c r="BV1291" s="4"/>
      <c r="BW1291" s="4"/>
      <c r="BX1291" s="4"/>
      <c r="BY1291" s="4"/>
      <c r="BZ1291" s="4"/>
      <c r="CA1291" s="4"/>
      <c r="CB1291" s="4"/>
      <c r="CC1291" s="4"/>
      <c r="CD1291" s="4"/>
      <c r="CE1291" s="4"/>
      <c r="CF1291" s="4"/>
      <c r="CG1291" s="4"/>
      <c r="CH1291" s="4"/>
      <c r="CI1291" s="4"/>
      <c r="CJ1291" s="4"/>
      <c r="CK1291" s="4"/>
      <c r="CL1291" s="4"/>
      <c r="CM1291" s="4"/>
      <c r="CN1291" s="4"/>
      <c r="CO1291" s="4"/>
      <c r="CP1291" s="4"/>
      <c r="CQ1291" s="4"/>
      <c r="CR1291" s="4"/>
      <c r="CS1291" s="4"/>
      <c r="CT1291" s="4"/>
      <c r="CU1291" s="4"/>
      <c r="CV1291" s="4"/>
      <c r="CW1291" s="4"/>
      <c r="CX1291" s="4"/>
      <c r="CY1291" s="4"/>
      <c r="CZ1291" s="4"/>
      <c r="DA1291" s="4"/>
      <c r="DB1291" s="4"/>
      <c r="DC1291" s="4"/>
      <c r="DD1291" s="4"/>
      <c r="DE1291" s="4"/>
      <c r="DF1291" s="4"/>
      <c r="DG1291" s="4"/>
      <c r="DH1291" s="4"/>
      <c r="DI1291" s="4"/>
      <c r="DJ1291" s="4"/>
      <c r="DK1291" s="4"/>
      <c r="DL1291" s="4"/>
      <c r="DM1291" s="4"/>
      <c r="DN1291" s="4"/>
      <c r="DO1291" s="4"/>
      <c r="DP1291" s="4"/>
      <c r="DQ1291" s="4"/>
      <c r="DR1291" s="4"/>
      <c r="DS1291" s="4"/>
    </row>
    <row r="1292">
      <c r="A1292" s="9">
        <f>IFERROR(__xludf.DUMMYFUNCTION("""COMPUTED_VALUE"""),45825.0)</f>
        <v>45825</v>
      </c>
      <c r="B1292" s="6" t="str">
        <f>IFERROR(__xludf.DUMMYFUNCTION("""COMPUTED_VALUE"""),"Car Maintenance")</f>
        <v>Car Maintenance</v>
      </c>
      <c r="C1292" s="7">
        <f>IFERROR(__xludf.DUMMYFUNCTION("""COMPUTED_VALUE"""),30000.0)</f>
        <v>30000</v>
      </c>
      <c r="D1292" s="6" t="str">
        <f>IFERROR(__xludf.DUMMYFUNCTION("""COMPUTED_VALUE"""),"Car Expenses")</f>
        <v>Car Expenses</v>
      </c>
      <c r="E1292" s="6" t="str">
        <f>IFERROR(__xludf.DUMMYFUNCTION("""COMPUTED_VALUE"""),"Split Payment")</f>
        <v>Split Payment</v>
      </c>
      <c r="F1292" s="6" t="s">
        <v>9</v>
      </c>
      <c r="G1292" s="8" t="str">
        <f t="shared" si="1"/>
        <v>202506</v>
      </c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  <c r="AA1292" s="4"/>
      <c r="AB1292" s="4"/>
      <c r="AC1292" s="4"/>
      <c r="AD1292" s="4"/>
      <c r="AE1292" s="4"/>
      <c r="AF1292" s="4"/>
      <c r="AG1292" s="4"/>
      <c r="AH1292" s="4"/>
      <c r="AI1292" s="4"/>
      <c r="AJ1292" s="4"/>
      <c r="AK1292" s="4"/>
      <c r="AL1292" s="4"/>
      <c r="AM1292" s="4"/>
      <c r="AN1292" s="4"/>
      <c r="AO1292" s="4"/>
      <c r="AP1292" s="4"/>
      <c r="AQ1292" s="4"/>
      <c r="AR1292" s="4"/>
      <c r="AS1292" s="4"/>
      <c r="AT1292" s="4"/>
      <c r="AU1292" s="4"/>
      <c r="AV1292" s="4"/>
      <c r="AW1292" s="4"/>
      <c r="AX1292" s="4"/>
      <c r="AY1292" s="4"/>
      <c r="AZ1292" s="4"/>
      <c r="BA1292" s="4"/>
      <c r="BB1292" s="4"/>
      <c r="BC1292" s="4"/>
      <c r="BD1292" s="4"/>
      <c r="BE1292" s="4"/>
      <c r="BF1292" s="4"/>
      <c r="BG1292" s="4"/>
      <c r="BH1292" s="4"/>
      <c r="BI1292" s="4"/>
      <c r="BJ1292" s="4"/>
      <c r="BK1292" s="4"/>
      <c r="BL1292" s="4"/>
      <c r="BM1292" s="4"/>
      <c r="BN1292" s="4"/>
      <c r="BO1292" s="4"/>
      <c r="BP1292" s="4"/>
      <c r="BQ1292" s="4"/>
      <c r="BR1292" s="4"/>
      <c r="BS1292" s="4"/>
      <c r="BT1292" s="4"/>
      <c r="BU1292" s="4"/>
      <c r="BV1292" s="4"/>
      <c r="BW1292" s="4"/>
      <c r="BX1292" s="4"/>
      <c r="BY1292" s="4"/>
      <c r="BZ1292" s="4"/>
      <c r="CA1292" s="4"/>
      <c r="CB1292" s="4"/>
      <c r="CC1292" s="4"/>
      <c r="CD1292" s="4"/>
      <c r="CE1292" s="4"/>
      <c r="CF1292" s="4"/>
      <c r="CG1292" s="4"/>
      <c r="CH1292" s="4"/>
      <c r="CI1292" s="4"/>
      <c r="CJ1292" s="4"/>
      <c r="CK1292" s="4"/>
      <c r="CL1292" s="4"/>
      <c r="CM1292" s="4"/>
      <c r="CN1292" s="4"/>
      <c r="CO1292" s="4"/>
      <c r="CP1292" s="4"/>
      <c r="CQ1292" s="4"/>
      <c r="CR1292" s="4"/>
      <c r="CS1292" s="4"/>
      <c r="CT1292" s="4"/>
      <c r="CU1292" s="4"/>
      <c r="CV1292" s="4"/>
      <c r="CW1292" s="4"/>
      <c r="CX1292" s="4"/>
      <c r="CY1292" s="4"/>
      <c r="CZ1292" s="4"/>
      <c r="DA1292" s="4"/>
      <c r="DB1292" s="4"/>
      <c r="DC1292" s="4"/>
      <c r="DD1292" s="4"/>
      <c r="DE1292" s="4"/>
      <c r="DF1292" s="4"/>
      <c r="DG1292" s="4"/>
      <c r="DH1292" s="4"/>
      <c r="DI1292" s="4"/>
      <c r="DJ1292" s="4"/>
      <c r="DK1292" s="4"/>
      <c r="DL1292" s="4"/>
      <c r="DM1292" s="4"/>
      <c r="DN1292" s="4"/>
      <c r="DO1292" s="4"/>
      <c r="DP1292" s="4"/>
      <c r="DQ1292" s="4"/>
      <c r="DR1292" s="4"/>
      <c r="DS1292" s="4"/>
    </row>
    <row r="1293">
      <c r="A1293" s="9">
        <f>IFERROR(__xludf.DUMMYFUNCTION("""COMPUTED_VALUE"""),45826.0)</f>
        <v>45826</v>
      </c>
      <c r="B1293" s="6" t="str">
        <f>IFERROR(__xludf.DUMMYFUNCTION("""COMPUTED_VALUE"""),"Groceries")</f>
        <v>Groceries</v>
      </c>
      <c r="C1293" s="7">
        <f>IFERROR(__xludf.DUMMYFUNCTION("""COMPUTED_VALUE"""),2700.0)</f>
        <v>2700</v>
      </c>
      <c r="D1293" s="6" t="str">
        <f>IFERROR(__xludf.DUMMYFUNCTION("""COMPUTED_VALUE"""),"Groceries")</f>
        <v>Groceries</v>
      </c>
      <c r="E1293" s="6" t="str">
        <f>IFERROR(__xludf.DUMMYFUNCTION("""COMPUTED_VALUE"""),"Virtual Wallet")</f>
        <v>Virtual Wallet</v>
      </c>
      <c r="F1293" s="6" t="s">
        <v>7</v>
      </c>
      <c r="G1293" s="8" t="str">
        <f t="shared" si="1"/>
        <v>202506</v>
      </c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  <c r="AA1293" s="4"/>
      <c r="AB1293" s="4"/>
      <c r="AC1293" s="4"/>
      <c r="AD1293" s="4"/>
      <c r="AE1293" s="4"/>
      <c r="AF1293" s="4"/>
      <c r="AG1293" s="4"/>
      <c r="AH1293" s="4"/>
      <c r="AI1293" s="4"/>
      <c r="AJ1293" s="4"/>
      <c r="AK1293" s="4"/>
      <c r="AL1293" s="4"/>
      <c r="AM1293" s="4"/>
      <c r="AN1293" s="4"/>
      <c r="AO1293" s="4"/>
      <c r="AP1293" s="4"/>
      <c r="AQ1293" s="4"/>
      <c r="AR1293" s="4"/>
      <c r="AS1293" s="4"/>
      <c r="AT1293" s="4"/>
      <c r="AU1293" s="4"/>
      <c r="AV1293" s="4"/>
      <c r="AW1293" s="4"/>
      <c r="AX1293" s="4"/>
      <c r="AY1293" s="4"/>
      <c r="AZ1293" s="4"/>
      <c r="BA1293" s="4"/>
      <c r="BB1293" s="4"/>
      <c r="BC1293" s="4"/>
      <c r="BD1293" s="4"/>
      <c r="BE1293" s="4"/>
      <c r="BF1293" s="4"/>
      <c r="BG1293" s="4"/>
      <c r="BH1293" s="4"/>
      <c r="BI1293" s="4"/>
      <c r="BJ1293" s="4"/>
      <c r="BK1293" s="4"/>
      <c r="BL1293" s="4"/>
      <c r="BM1293" s="4"/>
      <c r="BN1293" s="4"/>
      <c r="BO1293" s="4"/>
      <c r="BP1293" s="4"/>
      <c r="BQ1293" s="4"/>
      <c r="BR1293" s="4"/>
      <c r="BS1293" s="4"/>
      <c r="BT1293" s="4"/>
      <c r="BU1293" s="4"/>
      <c r="BV1293" s="4"/>
      <c r="BW1293" s="4"/>
      <c r="BX1293" s="4"/>
      <c r="BY1293" s="4"/>
      <c r="BZ1293" s="4"/>
      <c r="CA1293" s="4"/>
      <c r="CB1293" s="4"/>
      <c r="CC1293" s="4"/>
      <c r="CD1293" s="4"/>
      <c r="CE1293" s="4"/>
      <c r="CF1293" s="4"/>
      <c r="CG1293" s="4"/>
      <c r="CH1293" s="4"/>
      <c r="CI1293" s="4"/>
      <c r="CJ1293" s="4"/>
      <c r="CK1293" s="4"/>
      <c r="CL1293" s="4"/>
      <c r="CM1293" s="4"/>
      <c r="CN1293" s="4"/>
      <c r="CO1293" s="4"/>
      <c r="CP1293" s="4"/>
      <c r="CQ1293" s="4"/>
      <c r="CR1293" s="4"/>
      <c r="CS1293" s="4"/>
      <c r="CT1293" s="4"/>
      <c r="CU1293" s="4"/>
      <c r="CV1293" s="4"/>
      <c r="CW1293" s="4"/>
      <c r="CX1293" s="4"/>
      <c r="CY1293" s="4"/>
      <c r="CZ1293" s="4"/>
      <c r="DA1293" s="4"/>
      <c r="DB1293" s="4"/>
      <c r="DC1293" s="4"/>
      <c r="DD1293" s="4"/>
      <c r="DE1293" s="4"/>
      <c r="DF1293" s="4"/>
      <c r="DG1293" s="4"/>
      <c r="DH1293" s="4"/>
      <c r="DI1293" s="4"/>
      <c r="DJ1293" s="4"/>
      <c r="DK1293" s="4"/>
      <c r="DL1293" s="4"/>
      <c r="DM1293" s="4"/>
      <c r="DN1293" s="4"/>
      <c r="DO1293" s="4"/>
      <c r="DP1293" s="4"/>
      <c r="DQ1293" s="4"/>
      <c r="DR1293" s="4"/>
      <c r="DS1293" s="4"/>
    </row>
    <row r="1294">
      <c r="A1294" s="9">
        <f>IFERROR(__xludf.DUMMYFUNCTION("""COMPUTED_VALUE"""),45826.0)</f>
        <v>45826</v>
      </c>
      <c r="B1294" s="6" t="str">
        <f>IFERROR(__xludf.DUMMYFUNCTION("""COMPUTED_VALUE"""),"Personal Care")</f>
        <v>Personal Care</v>
      </c>
      <c r="C1294" s="7">
        <f>IFERROR(__xludf.DUMMYFUNCTION("""COMPUTED_VALUE"""),4000.0)</f>
        <v>4000</v>
      </c>
      <c r="D1294" s="6" t="str">
        <f>IFERROR(__xludf.DUMMYFUNCTION("""COMPUTED_VALUE"""),"Personal Care")</f>
        <v>Personal Care</v>
      </c>
      <c r="E1294" s="6" t="str">
        <f>IFERROR(__xludf.DUMMYFUNCTION("""COMPUTED_VALUE"""),"Virtual Wallet")</f>
        <v>Virtual Wallet</v>
      </c>
      <c r="F1294" s="6" t="s">
        <v>16</v>
      </c>
      <c r="G1294" s="8" t="str">
        <f t="shared" si="1"/>
        <v>202506</v>
      </c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  <c r="AA1294" s="4"/>
      <c r="AB1294" s="4"/>
      <c r="AC1294" s="4"/>
      <c r="AD1294" s="4"/>
      <c r="AE1294" s="4"/>
      <c r="AF1294" s="4"/>
      <c r="AG1294" s="4"/>
      <c r="AH1294" s="4"/>
      <c r="AI1294" s="4"/>
      <c r="AJ1294" s="4"/>
      <c r="AK1294" s="4"/>
      <c r="AL1294" s="4"/>
      <c r="AM1294" s="4"/>
      <c r="AN1294" s="4"/>
      <c r="AO1294" s="4"/>
      <c r="AP1294" s="4"/>
      <c r="AQ1294" s="4"/>
      <c r="AR1294" s="4"/>
      <c r="AS1294" s="4"/>
      <c r="AT1294" s="4"/>
      <c r="AU1294" s="4"/>
      <c r="AV1294" s="4"/>
      <c r="AW1294" s="4"/>
      <c r="AX1294" s="4"/>
      <c r="AY1294" s="4"/>
      <c r="AZ1294" s="4"/>
      <c r="BA1294" s="4"/>
      <c r="BB1294" s="4"/>
      <c r="BC1294" s="4"/>
      <c r="BD1294" s="4"/>
      <c r="BE1294" s="4"/>
      <c r="BF1294" s="4"/>
      <c r="BG1294" s="4"/>
      <c r="BH1294" s="4"/>
      <c r="BI1294" s="4"/>
      <c r="BJ1294" s="4"/>
      <c r="BK1294" s="4"/>
      <c r="BL1294" s="4"/>
      <c r="BM1294" s="4"/>
      <c r="BN1294" s="4"/>
      <c r="BO1294" s="4"/>
      <c r="BP1294" s="4"/>
      <c r="BQ1294" s="4"/>
      <c r="BR1294" s="4"/>
      <c r="BS1294" s="4"/>
      <c r="BT1294" s="4"/>
      <c r="BU1294" s="4"/>
      <c r="BV1294" s="4"/>
      <c r="BW1294" s="4"/>
      <c r="BX1294" s="4"/>
      <c r="BY1294" s="4"/>
      <c r="BZ1294" s="4"/>
      <c r="CA1294" s="4"/>
      <c r="CB1294" s="4"/>
      <c r="CC1294" s="4"/>
      <c r="CD1294" s="4"/>
      <c r="CE1294" s="4"/>
      <c r="CF1294" s="4"/>
      <c r="CG1294" s="4"/>
      <c r="CH1294" s="4"/>
      <c r="CI1294" s="4"/>
      <c r="CJ1294" s="4"/>
      <c r="CK1294" s="4"/>
      <c r="CL1294" s="4"/>
      <c r="CM1294" s="4"/>
      <c r="CN1294" s="4"/>
      <c r="CO1294" s="4"/>
      <c r="CP1294" s="4"/>
      <c r="CQ1294" s="4"/>
      <c r="CR1294" s="4"/>
      <c r="CS1294" s="4"/>
      <c r="CT1294" s="4"/>
      <c r="CU1294" s="4"/>
      <c r="CV1294" s="4"/>
      <c r="CW1294" s="4"/>
      <c r="CX1294" s="4"/>
      <c r="CY1294" s="4"/>
      <c r="CZ1294" s="4"/>
      <c r="DA1294" s="4"/>
      <c r="DB1294" s="4"/>
      <c r="DC1294" s="4"/>
      <c r="DD1294" s="4"/>
      <c r="DE1294" s="4"/>
      <c r="DF1294" s="4"/>
      <c r="DG1294" s="4"/>
      <c r="DH1294" s="4"/>
      <c r="DI1294" s="4"/>
      <c r="DJ1294" s="4"/>
      <c r="DK1294" s="4"/>
      <c r="DL1294" s="4"/>
      <c r="DM1294" s="4"/>
      <c r="DN1294" s="4"/>
      <c r="DO1294" s="4"/>
      <c r="DP1294" s="4"/>
      <c r="DQ1294" s="4"/>
      <c r="DR1294" s="4"/>
      <c r="DS1294" s="4"/>
    </row>
    <row r="1295">
      <c r="A1295" s="9">
        <f>IFERROR(__xludf.DUMMYFUNCTION("""COMPUTED_VALUE"""),45826.0)</f>
        <v>45826</v>
      </c>
      <c r="B1295" s="6" t="str">
        <f>IFERROR(__xludf.DUMMYFUNCTION("""COMPUTED_VALUE"""),"Restaurant")</f>
        <v>Restaurant</v>
      </c>
      <c r="C1295" s="7">
        <f>IFERROR(__xludf.DUMMYFUNCTION("""COMPUTED_VALUE"""),5200.0)</f>
        <v>5200</v>
      </c>
      <c r="D1295" s="6" t="str">
        <f>IFERROR(__xludf.DUMMYFUNCTION("""COMPUTED_VALUE"""),"Lunch Out")</f>
        <v>Lunch Out</v>
      </c>
      <c r="E1295" s="6" t="str">
        <f>IFERROR(__xludf.DUMMYFUNCTION("""COMPUTED_VALUE"""),"Virtual Wallet")</f>
        <v>Virtual Wallet</v>
      </c>
      <c r="F1295" s="6" t="s">
        <v>14</v>
      </c>
      <c r="G1295" s="8" t="str">
        <f t="shared" si="1"/>
        <v>202506</v>
      </c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  <c r="AA1295" s="4"/>
      <c r="AB1295" s="4"/>
      <c r="AC1295" s="4"/>
      <c r="AD1295" s="4"/>
      <c r="AE1295" s="4"/>
      <c r="AF1295" s="4"/>
      <c r="AG1295" s="4"/>
      <c r="AH1295" s="4"/>
      <c r="AI1295" s="4"/>
      <c r="AJ1295" s="4"/>
      <c r="AK1295" s="4"/>
      <c r="AL1295" s="4"/>
      <c r="AM1295" s="4"/>
      <c r="AN1295" s="4"/>
      <c r="AO1295" s="4"/>
      <c r="AP1295" s="4"/>
      <c r="AQ1295" s="4"/>
      <c r="AR1295" s="4"/>
      <c r="AS1295" s="4"/>
      <c r="AT1295" s="4"/>
      <c r="AU1295" s="4"/>
      <c r="AV1295" s="4"/>
      <c r="AW1295" s="4"/>
      <c r="AX1295" s="4"/>
      <c r="AY1295" s="4"/>
      <c r="AZ1295" s="4"/>
      <c r="BA1295" s="4"/>
      <c r="BB1295" s="4"/>
      <c r="BC1295" s="4"/>
      <c r="BD1295" s="4"/>
      <c r="BE1295" s="4"/>
      <c r="BF1295" s="4"/>
      <c r="BG1295" s="4"/>
      <c r="BH1295" s="4"/>
      <c r="BI1295" s="4"/>
      <c r="BJ1295" s="4"/>
      <c r="BK1295" s="4"/>
      <c r="BL1295" s="4"/>
      <c r="BM1295" s="4"/>
      <c r="BN1295" s="4"/>
      <c r="BO1295" s="4"/>
      <c r="BP1295" s="4"/>
      <c r="BQ1295" s="4"/>
      <c r="BR1295" s="4"/>
      <c r="BS1295" s="4"/>
      <c r="BT1295" s="4"/>
      <c r="BU1295" s="4"/>
      <c r="BV1295" s="4"/>
      <c r="BW1295" s="4"/>
      <c r="BX1295" s="4"/>
      <c r="BY1295" s="4"/>
      <c r="BZ1295" s="4"/>
      <c r="CA1295" s="4"/>
      <c r="CB1295" s="4"/>
      <c r="CC1295" s="4"/>
      <c r="CD1295" s="4"/>
      <c r="CE1295" s="4"/>
      <c r="CF1295" s="4"/>
      <c r="CG1295" s="4"/>
      <c r="CH1295" s="4"/>
      <c r="CI1295" s="4"/>
      <c r="CJ1295" s="4"/>
      <c r="CK1295" s="4"/>
      <c r="CL1295" s="4"/>
      <c r="CM1295" s="4"/>
      <c r="CN1295" s="4"/>
      <c r="CO1295" s="4"/>
      <c r="CP1295" s="4"/>
      <c r="CQ1295" s="4"/>
      <c r="CR1295" s="4"/>
      <c r="CS1295" s="4"/>
      <c r="CT1295" s="4"/>
      <c r="CU1295" s="4"/>
      <c r="CV1295" s="4"/>
      <c r="CW1295" s="4"/>
      <c r="CX1295" s="4"/>
      <c r="CY1295" s="4"/>
      <c r="CZ1295" s="4"/>
      <c r="DA1295" s="4"/>
      <c r="DB1295" s="4"/>
      <c r="DC1295" s="4"/>
      <c r="DD1295" s="4"/>
      <c r="DE1295" s="4"/>
      <c r="DF1295" s="4"/>
      <c r="DG1295" s="4"/>
      <c r="DH1295" s="4"/>
      <c r="DI1295" s="4"/>
      <c r="DJ1295" s="4"/>
      <c r="DK1295" s="4"/>
      <c r="DL1295" s="4"/>
      <c r="DM1295" s="4"/>
      <c r="DN1295" s="4"/>
      <c r="DO1295" s="4"/>
      <c r="DP1295" s="4"/>
      <c r="DQ1295" s="4"/>
      <c r="DR1295" s="4"/>
      <c r="DS1295" s="4"/>
    </row>
    <row r="1296">
      <c r="A1296" s="9">
        <f>IFERROR(__xludf.DUMMYFUNCTION("""COMPUTED_VALUE"""),45827.0)</f>
        <v>45827</v>
      </c>
      <c r="B1296" s="6" t="str">
        <f>IFERROR(__xludf.DUMMYFUNCTION("""COMPUTED_VALUE"""),"Groceries")</f>
        <v>Groceries</v>
      </c>
      <c r="C1296" s="7">
        <f>IFERROR(__xludf.DUMMYFUNCTION("""COMPUTED_VALUE"""),2100.0)</f>
        <v>2100</v>
      </c>
      <c r="D1296" s="6" t="str">
        <f>IFERROR(__xludf.DUMMYFUNCTION("""COMPUTED_VALUE"""),"Groceries")</f>
        <v>Groceries</v>
      </c>
      <c r="E1296" s="6" t="str">
        <f>IFERROR(__xludf.DUMMYFUNCTION("""COMPUTED_VALUE"""),"Split Payment")</f>
        <v>Split Payment</v>
      </c>
      <c r="F1296" s="6" t="s">
        <v>7</v>
      </c>
      <c r="G1296" s="8" t="str">
        <f t="shared" si="1"/>
        <v>202506</v>
      </c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  <c r="AA1296" s="4"/>
      <c r="AB1296" s="4"/>
      <c r="AC1296" s="4"/>
      <c r="AD1296" s="4"/>
      <c r="AE1296" s="4"/>
      <c r="AF1296" s="4"/>
      <c r="AG1296" s="4"/>
      <c r="AH1296" s="4"/>
      <c r="AI1296" s="4"/>
      <c r="AJ1296" s="4"/>
      <c r="AK1296" s="4"/>
      <c r="AL1296" s="4"/>
      <c r="AM1296" s="4"/>
      <c r="AN1296" s="4"/>
      <c r="AO1296" s="4"/>
      <c r="AP1296" s="4"/>
      <c r="AQ1296" s="4"/>
      <c r="AR1296" s="4"/>
      <c r="AS1296" s="4"/>
      <c r="AT1296" s="4"/>
      <c r="AU1296" s="4"/>
      <c r="AV1296" s="4"/>
      <c r="AW1296" s="4"/>
      <c r="AX1296" s="4"/>
      <c r="AY1296" s="4"/>
      <c r="AZ1296" s="4"/>
      <c r="BA1296" s="4"/>
      <c r="BB1296" s="4"/>
      <c r="BC1296" s="4"/>
      <c r="BD1296" s="4"/>
      <c r="BE1296" s="4"/>
      <c r="BF1296" s="4"/>
      <c r="BG1296" s="4"/>
      <c r="BH1296" s="4"/>
      <c r="BI1296" s="4"/>
      <c r="BJ1296" s="4"/>
      <c r="BK1296" s="4"/>
      <c r="BL1296" s="4"/>
      <c r="BM1296" s="4"/>
      <c r="BN1296" s="4"/>
      <c r="BO1296" s="4"/>
      <c r="BP1296" s="4"/>
      <c r="BQ1296" s="4"/>
      <c r="BR1296" s="4"/>
      <c r="BS1296" s="4"/>
      <c r="BT1296" s="4"/>
      <c r="BU1296" s="4"/>
      <c r="BV1296" s="4"/>
      <c r="BW1296" s="4"/>
      <c r="BX1296" s="4"/>
      <c r="BY1296" s="4"/>
      <c r="BZ1296" s="4"/>
      <c r="CA1296" s="4"/>
      <c r="CB1296" s="4"/>
      <c r="CC1296" s="4"/>
      <c r="CD1296" s="4"/>
      <c r="CE1296" s="4"/>
      <c r="CF1296" s="4"/>
      <c r="CG1296" s="4"/>
      <c r="CH1296" s="4"/>
      <c r="CI1296" s="4"/>
      <c r="CJ1296" s="4"/>
      <c r="CK1296" s="4"/>
      <c r="CL1296" s="4"/>
      <c r="CM1296" s="4"/>
      <c r="CN1296" s="4"/>
      <c r="CO1296" s="4"/>
      <c r="CP1296" s="4"/>
      <c r="CQ1296" s="4"/>
      <c r="CR1296" s="4"/>
      <c r="CS1296" s="4"/>
      <c r="CT1296" s="4"/>
      <c r="CU1296" s="4"/>
      <c r="CV1296" s="4"/>
      <c r="CW1296" s="4"/>
      <c r="CX1296" s="4"/>
      <c r="CY1296" s="4"/>
      <c r="CZ1296" s="4"/>
      <c r="DA1296" s="4"/>
      <c r="DB1296" s="4"/>
      <c r="DC1296" s="4"/>
      <c r="DD1296" s="4"/>
      <c r="DE1296" s="4"/>
      <c r="DF1296" s="4"/>
      <c r="DG1296" s="4"/>
      <c r="DH1296" s="4"/>
      <c r="DI1296" s="4"/>
      <c r="DJ1296" s="4"/>
      <c r="DK1296" s="4"/>
      <c r="DL1296" s="4"/>
      <c r="DM1296" s="4"/>
      <c r="DN1296" s="4"/>
      <c r="DO1296" s="4"/>
      <c r="DP1296" s="4"/>
      <c r="DQ1296" s="4"/>
      <c r="DR1296" s="4"/>
      <c r="DS1296" s="4"/>
    </row>
    <row r="1297">
      <c r="A1297" s="9">
        <f>IFERROR(__xludf.DUMMYFUNCTION("""COMPUTED_VALUE"""),45827.0)</f>
        <v>45827</v>
      </c>
      <c r="B1297" s="6" t="str">
        <f>IFERROR(__xludf.DUMMYFUNCTION("""COMPUTED_VALUE"""),"Groceries")</f>
        <v>Groceries</v>
      </c>
      <c r="C1297" s="7">
        <f>IFERROR(__xludf.DUMMYFUNCTION("""COMPUTED_VALUE"""),1500.0)</f>
        <v>1500</v>
      </c>
      <c r="D1297" s="6" t="str">
        <f>IFERROR(__xludf.DUMMYFUNCTION("""COMPUTED_VALUE"""),"Groceries")</f>
        <v>Groceries</v>
      </c>
      <c r="E1297" s="6" t="str">
        <f>IFERROR(__xludf.DUMMYFUNCTION("""COMPUTED_VALUE"""),"Split Payment")</f>
        <v>Split Payment</v>
      </c>
      <c r="F1297" s="6" t="s">
        <v>7</v>
      </c>
      <c r="G1297" s="8" t="str">
        <f t="shared" si="1"/>
        <v>202506</v>
      </c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  <c r="AA1297" s="4"/>
      <c r="AB1297" s="4"/>
      <c r="AC1297" s="4"/>
      <c r="AD1297" s="4"/>
      <c r="AE1297" s="4"/>
      <c r="AF1297" s="4"/>
      <c r="AG1297" s="4"/>
      <c r="AH1297" s="4"/>
      <c r="AI1297" s="4"/>
      <c r="AJ1297" s="4"/>
      <c r="AK1297" s="4"/>
      <c r="AL1297" s="4"/>
      <c r="AM1297" s="4"/>
      <c r="AN1297" s="4"/>
      <c r="AO1297" s="4"/>
      <c r="AP1297" s="4"/>
      <c r="AQ1297" s="4"/>
      <c r="AR1297" s="4"/>
      <c r="AS1297" s="4"/>
      <c r="AT1297" s="4"/>
      <c r="AU1297" s="4"/>
      <c r="AV1297" s="4"/>
      <c r="AW1297" s="4"/>
      <c r="AX1297" s="4"/>
      <c r="AY1297" s="4"/>
      <c r="AZ1297" s="4"/>
      <c r="BA1297" s="4"/>
      <c r="BB1297" s="4"/>
      <c r="BC1297" s="4"/>
      <c r="BD1297" s="4"/>
      <c r="BE1297" s="4"/>
      <c r="BF1297" s="4"/>
      <c r="BG1297" s="4"/>
      <c r="BH1297" s="4"/>
      <c r="BI1297" s="4"/>
      <c r="BJ1297" s="4"/>
      <c r="BK1297" s="4"/>
      <c r="BL1297" s="4"/>
      <c r="BM1297" s="4"/>
      <c r="BN1297" s="4"/>
      <c r="BO1297" s="4"/>
      <c r="BP1297" s="4"/>
      <c r="BQ1297" s="4"/>
      <c r="BR1297" s="4"/>
      <c r="BS1297" s="4"/>
      <c r="BT1297" s="4"/>
      <c r="BU1297" s="4"/>
      <c r="BV1297" s="4"/>
      <c r="BW1297" s="4"/>
      <c r="BX1297" s="4"/>
      <c r="BY1297" s="4"/>
      <c r="BZ1297" s="4"/>
      <c r="CA1297" s="4"/>
      <c r="CB1297" s="4"/>
      <c r="CC1297" s="4"/>
      <c r="CD1297" s="4"/>
      <c r="CE1297" s="4"/>
      <c r="CF1297" s="4"/>
      <c r="CG1297" s="4"/>
      <c r="CH1297" s="4"/>
      <c r="CI1297" s="4"/>
      <c r="CJ1297" s="4"/>
      <c r="CK1297" s="4"/>
      <c r="CL1297" s="4"/>
      <c r="CM1297" s="4"/>
      <c r="CN1297" s="4"/>
      <c r="CO1297" s="4"/>
      <c r="CP1297" s="4"/>
      <c r="CQ1297" s="4"/>
      <c r="CR1297" s="4"/>
      <c r="CS1297" s="4"/>
      <c r="CT1297" s="4"/>
      <c r="CU1297" s="4"/>
      <c r="CV1297" s="4"/>
      <c r="CW1297" s="4"/>
      <c r="CX1297" s="4"/>
      <c r="CY1297" s="4"/>
      <c r="CZ1297" s="4"/>
      <c r="DA1297" s="4"/>
      <c r="DB1297" s="4"/>
      <c r="DC1297" s="4"/>
      <c r="DD1297" s="4"/>
      <c r="DE1297" s="4"/>
      <c r="DF1297" s="4"/>
      <c r="DG1297" s="4"/>
      <c r="DH1297" s="4"/>
      <c r="DI1297" s="4"/>
      <c r="DJ1297" s="4"/>
      <c r="DK1297" s="4"/>
      <c r="DL1297" s="4"/>
      <c r="DM1297" s="4"/>
      <c r="DN1297" s="4"/>
      <c r="DO1297" s="4"/>
      <c r="DP1297" s="4"/>
      <c r="DQ1297" s="4"/>
      <c r="DR1297" s="4"/>
      <c r="DS1297" s="4"/>
    </row>
    <row r="1298">
      <c r="A1298" s="9">
        <f>IFERROR(__xludf.DUMMYFUNCTION("""COMPUTED_VALUE"""),45828.0)</f>
        <v>45828</v>
      </c>
      <c r="B1298" s="6" t="str">
        <f>IFERROR(__xludf.DUMMYFUNCTION("""COMPUTED_VALUE"""),"Streaming Services")</f>
        <v>Streaming Services</v>
      </c>
      <c r="C1298" s="7">
        <f>IFERROR(__xludf.DUMMYFUNCTION("""COMPUTED_VALUE"""),7497.0)</f>
        <v>7497</v>
      </c>
      <c r="D1298" s="6" t="str">
        <f>IFERROR(__xludf.DUMMYFUNCTION("""COMPUTED_VALUE"""),"Streaming Services")</f>
        <v>Streaming Services</v>
      </c>
      <c r="E1298" s="6" t="str">
        <f>IFERROR(__xludf.DUMMYFUNCTION("""COMPUTED_VALUE"""),"Credit Card")</f>
        <v>Credit Card</v>
      </c>
      <c r="F1298" s="6" t="s">
        <v>12</v>
      </c>
      <c r="G1298" s="8" t="str">
        <f t="shared" si="1"/>
        <v>202506</v>
      </c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  <c r="AA1298" s="4"/>
      <c r="AB1298" s="4"/>
      <c r="AC1298" s="4"/>
      <c r="AD1298" s="4"/>
      <c r="AE1298" s="4"/>
      <c r="AF1298" s="4"/>
      <c r="AG1298" s="4"/>
      <c r="AH1298" s="4"/>
      <c r="AI1298" s="4"/>
      <c r="AJ1298" s="4"/>
      <c r="AK1298" s="4"/>
      <c r="AL1298" s="4"/>
      <c r="AM1298" s="4"/>
      <c r="AN1298" s="4"/>
      <c r="AO1298" s="4"/>
      <c r="AP1298" s="4"/>
      <c r="AQ1298" s="4"/>
      <c r="AR1298" s="4"/>
      <c r="AS1298" s="4"/>
      <c r="AT1298" s="4"/>
      <c r="AU1298" s="4"/>
      <c r="AV1298" s="4"/>
      <c r="AW1298" s="4"/>
      <c r="AX1298" s="4"/>
      <c r="AY1298" s="4"/>
      <c r="AZ1298" s="4"/>
      <c r="BA1298" s="4"/>
      <c r="BB1298" s="4"/>
      <c r="BC1298" s="4"/>
      <c r="BD1298" s="4"/>
      <c r="BE1298" s="4"/>
      <c r="BF1298" s="4"/>
      <c r="BG1298" s="4"/>
      <c r="BH1298" s="4"/>
      <c r="BI1298" s="4"/>
      <c r="BJ1298" s="4"/>
      <c r="BK1298" s="4"/>
      <c r="BL1298" s="4"/>
      <c r="BM1298" s="4"/>
      <c r="BN1298" s="4"/>
      <c r="BO1298" s="4"/>
      <c r="BP1298" s="4"/>
      <c r="BQ1298" s="4"/>
      <c r="BR1298" s="4"/>
      <c r="BS1298" s="4"/>
      <c r="BT1298" s="4"/>
      <c r="BU1298" s="4"/>
      <c r="BV1298" s="4"/>
      <c r="BW1298" s="4"/>
      <c r="BX1298" s="4"/>
      <c r="BY1298" s="4"/>
      <c r="BZ1298" s="4"/>
      <c r="CA1298" s="4"/>
      <c r="CB1298" s="4"/>
      <c r="CC1298" s="4"/>
      <c r="CD1298" s="4"/>
      <c r="CE1298" s="4"/>
      <c r="CF1298" s="4"/>
      <c r="CG1298" s="4"/>
      <c r="CH1298" s="4"/>
      <c r="CI1298" s="4"/>
      <c r="CJ1298" s="4"/>
      <c r="CK1298" s="4"/>
      <c r="CL1298" s="4"/>
      <c r="CM1298" s="4"/>
      <c r="CN1298" s="4"/>
      <c r="CO1298" s="4"/>
      <c r="CP1298" s="4"/>
      <c r="CQ1298" s="4"/>
      <c r="CR1298" s="4"/>
      <c r="CS1298" s="4"/>
      <c r="CT1298" s="4"/>
      <c r="CU1298" s="4"/>
      <c r="CV1298" s="4"/>
      <c r="CW1298" s="4"/>
      <c r="CX1298" s="4"/>
      <c r="CY1298" s="4"/>
      <c r="CZ1298" s="4"/>
      <c r="DA1298" s="4"/>
      <c r="DB1298" s="4"/>
      <c r="DC1298" s="4"/>
      <c r="DD1298" s="4"/>
      <c r="DE1298" s="4"/>
      <c r="DF1298" s="4"/>
      <c r="DG1298" s="4"/>
      <c r="DH1298" s="4"/>
      <c r="DI1298" s="4"/>
      <c r="DJ1298" s="4"/>
      <c r="DK1298" s="4"/>
      <c r="DL1298" s="4"/>
      <c r="DM1298" s="4"/>
      <c r="DN1298" s="4"/>
      <c r="DO1298" s="4"/>
      <c r="DP1298" s="4"/>
      <c r="DQ1298" s="4"/>
      <c r="DR1298" s="4"/>
      <c r="DS1298" s="4"/>
    </row>
    <row r="1299">
      <c r="A1299" s="9">
        <f>IFERROR(__xludf.DUMMYFUNCTION("""COMPUTED_VALUE"""),45828.0)</f>
        <v>45828</v>
      </c>
      <c r="B1299" s="6" t="str">
        <f>IFERROR(__xludf.DUMMYFUNCTION("""COMPUTED_VALUE"""),"Clothing")</f>
        <v>Clothing</v>
      </c>
      <c r="C1299" s="7">
        <f>IFERROR(__xludf.DUMMYFUNCTION("""COMPUTED_VALUE"""),23000.0)</f>
        <v>23000</v>
      </c>
      <c r="D1299" s="6" t="str">
        <f>IFERROR(__xludf.DUMMYFUNCTION("""COMPUTED_VALUE"""),"Clothing")</f>
        <v>Clothing</v>
      </c>
      <c r="E1299" s="6" t="str">
        <f>IFERROR(__xludf.DUMMYFUNCTION("""COMPUTED_VALUE"""),"Virtual Wallet")</f>
        <v>Virtual Wallet</v>
      </c>
      <c r="F1299" s="6" t="s">
        <v>10</v>
      </c>
      <c r="G1299" s="8" t="str">
        <f t="shared" si="1"/>
        <v>202506</v>
      </c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  <c r="AA1299" s="4"/>
      <c r="AB1299" s="4"/>
      <c r="AC1299" s="4"/>
      <c r="AD1299" s="4"/>
      <c r="AE1299" s="4"/>
      <c r="AF1299" s="4"/>
      <c r="AG1299" s="4"/>
      <c r="AH1299" s="4"/>
      <c r="AI1299" s="4"/>
      <c r="AJ1299" s="4"/>
      <c r="AK1299" s="4"/>
      <c r="AL1299" s="4"/>
      <c r="AM1299" s="4"/>
      <c r="AN1299" s="4"/>
      <c r="AO1299" s="4"/>
      <c r="AP1299" s="4"/>
      <c r="AQ1299" s="4"/>
      <c r="AR1299" s="4"/>
      <c r="AS1299" s="4"/>
      <c r="AT1299" s="4"/>
      <c r="AU1299" s="4"/>
      <c r="AV1299" s="4"/>
      <c r="AW1299" s="4"/>
      <c r="AX1299" s="4"/>
      <c r="AY1299" s="4"/>
      <c r="AZ1299" s="4"/>
      <c r="BA1299" s="4"/>
      <c r="BB1299" s="4"/>
      <c r="BC1299" s="4"/>
      <c r="BD1299" s="4"/>
      <c r="BE1299" s="4"/>
      <c r="BF1299" s="4"/>
      <c r="BG1299" s="4"/>
      <c r="BH1299" s="4"/>
      <c r="BI1299" s="4"/>
      <c r="BJ1299" s="4"/>
      <c r="BK1299" s="4"/>
      <c r="BL1299" s="4"/>
      <c r="BM1299" s="4"/>
      <c r="BN1299" s="4"/>
      <c r="BO1299" s="4"/>
      <c r="BP1299" s="4"/>
      <c r="BQ1299" s="4"/>
      <c r="BR1299" s="4"/>
      <c r="BS1299" s="4"/>
      <c r="BT1299" s="4"/>
      <c r="BU1299" s="4"/>
      <c r="BV1299" s="4"/>
      <c r="BW1299" s="4"/>
      <c r="BX1299" s="4"/>
      <c r="BY1299" s="4"/>
      <c r="BZ1299" s="4"/>
      <c r="CA1299" s="4"/>
      <c r="CB1299" s="4"/>
      <c r="CC1299" s="4"/>
      <c r="CD1299" s="4"/>
      <c r="CE1299" s="4"/>
      <c r="CF1299" s="4"/>
      <c r="CG1299" s="4"/>
      <c r="CH1299" s="4"/>
      <c r="CI1299" s="4"/>
      <c r="CJ1299" s="4"/>
      <c r="CK1299" s="4"/>
      <c r="CL1299" s="4"/>
      <c r="CM1299" s="4"/>
      <c r="CN1299" s="4"/>
      <c r="CO1299" s="4"/>
      <c r="CP1299" s="4"/>
      <c r="CQ1299" s="4"/>
      <c r="CR1299" s="4"/>
      <c r="CS1299" s="4"/>
      <c r="CT1299" s="4"/>
      <c r="CU1299" s="4"/>
      <c r="CV1299" s="4"/>
      <c r="CW1299" s="4"/>
      <c r="CX1299" s="4"/>
      <c r="CY1299" s="4"/>
      <c r="CZ1299" s="4"/>
      <c r="DA1299" s="4"/>
      <c r="DB1299" s="4"/>
      <c r="DC1299" s="4"/>
      <c r="DD1299" s="4"/>
      <c r="DE1299" s="4"/>
      <c r="DF1299" s="4"/>
      <c r="DG1299" s="4"/>
      <c r="DH1299" s="4"/>
      <c r="DI1299" s="4"/>
      <c r="DJ1299" s="4"/>
      <c r="DK1299" s="4"/>
      <c r="DL1299" s="4"/>
      <c r="DM1299" s="4"/>
      <c r="DN1299" s="4"/>
      <c r="DO1299" s="4"/>
      <c r="DP1299" s="4"/>
      <c r="DQ1299" s="4"/>
      <c r="DR1299" s="4"/>
      <c r="DS1299" s="4"/>
    </row>
    <row r="1300">
      <c r="A1300" s="9">
        <f>IFERROR(__xludf.DUMMYFUNCTION("""COMPUTED_VALUE"""),45828.0)</f>
        <v>45828</v>
      </c>
      <c r="B1300" s="6" t="str">
        <f>IFERROR(__xludf.DUMMYFUNCTION("""COMPUTED_VALUE"""),"Groceries")</f>
        <v>Groceries</v>
      </c>
      <c r="C1300" s="7">
        <f>IFERROR(__xludf.DUMMYFUNCTION("""COMPUTED_VALUE"""),3525.0)</f>
        <v>3525</v>
      </c>
      <c r="D1300" s="6" t="str">
        <f>IFERROR(__xludf.DUMMYFUNCTION("""COMPUTED_VALUE"""),"Groceries")</f>
        <v>Groceries</v>
      </c>
      <c r="E1300" s="6" t="str">
        <f>IFERROR(__xludf.DUMMYFUNCTION("""COMPUTED_VALUE"""),"Virtual Wallet")</f>
        <v>Virtual Wallet</v>
      </c>
      <c r="F1300" s="6" t="s">
        <v>7</v>
      </c>
      <c r="G1300" s="8" t="str">
        <f t="shared" si="1"/>
        <v>202506</v>
      </c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  <c r="AA1300" s="4"/>
      <c r="AB1300" s="4"/>
      <c r="AC1300" s="4"/>
      <c r="AD1300" s="4"/>
      <c r="AE1300" s="4"/>
      <c r="AF1300" s="4"/>
      <c r="AG1300" s="4"/>
      <c r="AH1300" s="4"/>
      <c r="AI1300" s="4"/>
      <c r="AJ1300" s="4"/>
      <c r="AK1300" s="4"/>
      <c r="AL1300" s="4"/>
      <c r="AM1300" s="4"/>
      <c r="AN1300" s="4"/>
      <c r="AO1300" s="4"/>
      <c r="AP1300" s="4"/>
      <c r="AQ1300" s="4"/>
      <c r="AR1300" s="4"/>
      <c r="AS1300" s="4"/>
      <c r="AT1300" s="4"/>
      <c r="AU1300" s="4"/>
      <c r="AV1300" s="4"/>
      <c r="AW1300" s="4"/>
      <c r="AX1300" s="4"/>
      <c r="AY1300" s="4"/>
      <c r="AZ1300" s="4"/>
      <c r="BA1300" s="4"/>
      <c r="BB1300" s="4"/>
      <c r="BC1300" s="4"/>
      <c r="BD1300" s="4"/>
      <c r="BE1300" s="4"/>
      <c r="BF1300" s="4"/>
      <c r="BG1300" s="4"/>
      <c r="BH1300" s="4"/>
      <c r="BI1300" s="4"/>
      <c r="BJ1300" s="4"/>
      <c r="BK1300" s="4"/>
      <c r="BL1300" s="4"/>
      <c r="BM1300" s="4"/>
      <c r="BN1300" s="4"/>
      <c r="BO1300" s="4"/>
      <c r="BP1300" s="4"/>
      <c r="BQ1300" s="4"/>
      <c r="BR1300" s="4"/>
      <c r="BS1300" s="4"/>
      <c r="BT1300" s="4"/>
      <c r="BU1300" s="4"/>
      <c r="BV1300" s="4"/>
      <c r="BW1300" s="4"/>
      <c r="BX1300" s="4"/>
      <c r="BY1300" s="4"/>
      <c r="BZ1300" s="4"/>
      <c r="CA1300" s="4"/>
      <c r="CB1300" s="4"/>
      <c r="CC1300" s="4"/>
      <c r="CD1300" s="4"/>
      <c r="CE1300" s="4"/>
      <c r="CF1300" s="4"/>
      <c r="CG1300" s="4"/>
      <c r="CH1300" s="4"/>
      <c r="CI1300" s="4"/>
      <c r="CJ1300" s="4"/>
      <c r="CK1300" s="4"/>
      <c r="CL1300" s="4"/>
      <c r="CM1300" s="4"/>
      <c r="CN1300" s="4"/>
      <c r="CO1300" s="4"/>
      <c r="CP1300" s="4"/>
      <c r="CQ1300" s="4"/>
      <c r="CR1300" s="4"/>
      <c r="CS1300" s="4"/>
      <c r="CT1300" s="4"/>
      <c r="CU1300" s="4"/>
      <c r="CV1300" s="4"/>
      <c r="CW1300" s="4"/>
      <c r="CX1300" s="4"/>
      <c r="CY1300" s="4"/>
      <c r="CZ1300" s="4"/>
      <c r="DA1300" s="4"/>
      <c r="DB1300" s="4"/>
      <c r="DC1300" s="4"/>
      <c r="DD1300" s="4"/>
      <c r="DE1300" s="4"/>
      <c r="DF1300" s="4"/>
      <c r="DG1300" s="4"/>
      <c r="DH1300" s="4"/>
      <c r="DI1300" s="4"/>
      <c r="DJ1300" s="4"/>
      <c r="DK1300" s="4"/>
      <c r="DL1300" s="4"/>
      <c r="DM1300" s="4"/>
      <c r="DN1300" s="4"/>
      <c r="DO1300" s="4"/>
      <c r="DP1300" s="4"/>
      <c r="DQ1300" s="4"/>
      <c r="DR1300" s="4"/>
      <c r="DS1300" s="4"/>
    </row>
    <row r="1301">
      <c r="A1301" s="9">
        <f>IFERROR(__xludf.DUMMYFUNCTION("""COMPUTED_VALUE"""),45828.0)</f>
        <v>45828</v>
      </c>
      <c r="B1301" s="6" t="str">
        <f>IFERROR(__xludf.DUMMYFUNCTION("""COMPUTED_VALUE"""),"Groceries")</f>
        <v>Groceries</v>
      </c>
      <c r="C1301" s="7">
        <f>IFERROR(__xludf.DUMMYFUNCTION("""COMPUTED_VALUE"""),1998.0)</f>
        <v>1998</v>
      </c>
      <c r="D1301" s="6" t="str">
        <f>IFERROR(__xludf.DUMMYFUNCTION("""COMPUTED_VALUE"""),"Groceries")</f>
        <v>Groceries</v>
      </c>
      <c r="E1301" s="6" t="str">
        <f>IFERROR(__xludf.DUMMYFUNCTION("""COMPUTED_VALUE"""),"Split Payment")</f>
        <v>Split Payment</v>
      </c>
      <c r="F1301" s="6" t="s">
        <v>7</v>
      </c>
      <c r="G1301" s="8" t="str">
        <f t="shared" si="1"/>
        <v>202506</v>
      </c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  <c r="AA1301" s="4"/>
      <c r="AB1301" s="4"/>
      <c r="AC1301" s="4"/>
      <c r="AD1301" s="4"/>
      <c r="AE1301" s="4"/>
      <c r="AF1301" s="4"/>
      <c r="AG1301" s="4"/>
      <c r="AH1301" s="4"/>
      <c r="AI1301" s="4"/>
      <c r="AJ1301" s="4"/>
      <c r="AK1301" s="4"/>
      <c r="AL1301" s="4"/>
      <c r="AM1301" s="4"/>
      <c r="AN1301" s="4"/>
      <c r="AO1301" s="4"/>
      <c r="AP1301" s="4"/>
      <c r="AQ1301" s="4"/>
      <c r="AR1301" s="4"/>
      <c r="AS1301" s="4"/>
      <c r="AT1301" s="4"/>
      <c r="AU1301" s="4"/>
      <c r="AV1301" s="4"/>
      <c r="AW1301" s="4"/>
      <c r="AX1301" s="4"/>
      <c r="AY1301" s="4"/>
      <c r="AZ1301" s="4"/>
      <c r="BA1301" s="4"/>
      <c r="BB1301" s="4"/>
      <c r="BC1301" s="4"/>
      <c r="BD1301" s="4"/>
      <c r="BE1301" s="4"/>
      <c r="BF1301" s="4"/>
      <c r="BG1301" s="4"/>
      <c r="BH1301" s="4"/>
      <c r="BI1301" s="4"/>
      <c r="BJ1301" s="4"/>
      <c r="BK1301" s="4"/>
      <c r="BL1301" s="4"/>
      <c r="BM1301" s="4"/>
      <c r="BN1301" s="4"/>
      <c r="BO1301" s="4"/>
      <c r="BP1301" s="4"/>
      <c r="BQ1301" s="4"/>
      <c r="BR1301" s="4"/>
      <c r="BS1301" s="4"/>
      <c r="BT1301" s="4"/>
      <c r="BU1301" s="4"/>
      <c r="BV1301" s="4"/>
      <c r="BW1301" s="4"/>
      <c r="BX1301" s="4"/>
      <c r="BY1301" s="4"/>
      <c r="BZ1301" s="4"/>
      <c r="CA1301" s="4"/>
      <c r="CB1301" s="4"/>
      <c r="CC1301" s="4"/>
      <c r="CD1301" s="4"/>
      <c r="CE1301" s="4"/>
      <c r="CF1301" s="4"/>
      <c r="CG1301" s="4"/>
      <c r="CH1301" s="4"/>
      <c r="CI1301" s="4"/>
      <c r="CJ1301" s="4"/>
      <c r="CK1301" s="4"/>
      <c r="CL1301" s="4"/>
      <c r="CM1301" s="4"/>
      <c r="CN1301" s="4"/>
      <c r="CO1301" s="4"/>
      <c r="CP1301" s="4"/>
      <c r="CQ1301" s="4"/>
      <c r="CR1301" s="4"/>
      <c r="CS1301" s="4"/>
      <c r="CT1301" s="4"/>
      <c r="CU1301" s="4"/>
      <c r="CV1301" s="4"/>
      <c r="CW1301" s="4"/>
      <c r="CX1301" s="4"/>
      <c r="CY1301" s="4"/>
      <c r="CZ1301" s="4"/>
      <c r="DA1301" s="4"/>
      <c r="DB1301" s="4"/>
      <c r="DC1301" s="4"/>
      <c r="DD1301" s="4"/>
      <c r="DE1301" s="4"/>
      <c r="DF1301" s="4"/>
      <c r="DG1301" s="4"/>
      <c r="DH1301" s="4"/>
      <c r="DI1301" s="4"/>
      <c r="DJ1301" s="4"/>
      <c r="DK1301" s="4"/>
      <c r="DL1301" s="4"/>
      <c r="DM1301" s="4"/>
      <c r="DN1301" s="4"/>
      <c r="DO1301" s="4"/>
      <c r="DP1301" s="4"/>
      <c r="DQ1301" s="4"/>
      <c r="DR1301" s="4"/>
      <c r="DS1301" s="4"/>
    </row>
    <row r="1302">
      <c r="A1302" s="9">
        <f>IFERROR(__xludf.DUMMYFUNCTION("""COMPUTED_VALUE"""),45828.0)</f>
        <v>45828</v>
      </c>
      <c r="B1302" s="6" t="str">
        <f>IFERROR(__xludf.DUMMYFUNCTION("""COMPUTED_VALUE"""),"Home Goods")</f>
        <v>Home Goods</v>
      </c>
      <c r="C1302" s="7">
        <f>IFERROR(__xludf.DUMMYFUNCTION("""COMPUTED_VALUE"""),2500.0)</f>
        <v>2500</v>
      </c>
      <c r="D1302" s="6" t="str">
        <f>IFERROR(__xludf.DUMMYFUNCTION("""COMPUTED_VALUE"""),"Home Goods &amp; Utilities")</f>
        <v>Home Goods &amp; Utilities</v>
      </c>
      <c r="E1302" s="6" t="str">
        <f>IFERROR(__xludf.DUMMYFUNCTION("""COMPUTED_VALUE"""),"Virtual Wallet")</f>
        <v>Virtual Wallet</v>
      </c>
      <c r="F1302" s="6" t="s">
        <v>8</v>
      </c>
      <c r="G1302" s="8" t="str">
        <f t="shared" si="1"/>
        <v>202506</v>
      </c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  <c r="AA1302" s="4"/>
      <c r="AB1302" s="4"/>
      <c r="AC1302" s="4"/>
      <c r="AD1302" s="4"/>
      <c r="AE1302" s="4"/>
      <c r="AF1302" s="4"/>
      <c r="AG1302" s="4"/>
      <c r="AH1302" s="4"/>
      <c r="AI1302" s="4"/>
      <c r="AJ1302" s="4"/>
      <c r="AK1302" s="4"/>
      <c r="AL1302" s="4"/>
      <c r="AM1302" s="4"/>
      <c r="AN1302" s="4"/>
      <c r="AO1302" s="4"/>
      <c r="AP1302" s="4"/>
      <c r="AQ1302" s="4"/>
      <c r="AR1302" s="4"/>
      <c r="AS1302" s="4"/>
      <c r="AT1302" s="4"/>
      <c r="AU1302" s="4"/>
      <c r="AV1302" s="4"/>
      <c r="AW1302" s="4"/>
      <c r="AX1302" s="4"/>
      <c r="AY1302" s="4"/>
      <c r="AZ1302" s="4"/>
      <c r="BA1302" s="4"/>
      <c r="BB1302" s="4"/>
      <c r="BC1302" s="4"/>
      <c r="BD1302" s="4"/>
      <c r="BE1302" s="4"/>
      <c r="BF1302" s="4"/>
      <c r="BG1302" s="4"/>
      <c r="BH1302" s="4"/>
      <c r="BI1302" s="4"/>
      <c r="BJ1302" s="4"/>
      <c r="BK1302" s="4"/>
      <c r="BL1302" s="4"/>
      <c r="BM1302" s="4"/>
      <c r="BN1302" s="4"/>
      <c r="BO1302" s="4"/>
      <c r="BP1302" s="4"/>
      <c r="BQ1302" s="4"/>
      <c r="BR1302" s="4"/>
      <c r="BS1302" s="4"/>
      <c r="BT1302" s="4"/>
      <c r="BU1302" s="4"/>
      <c r="BV1302" s="4"/>
      <c r="BW1302" s="4"/>
      <c r="BX1302" s="4"/>
      <c r="BY1302" s="4"/>
      <c r="BZ1302" s="4"/>
      <c r="CA1302" s="4"/>
      <c r="CB1302" s="4"/>
      <c r="CC1302" s="4"/>
      <c r="CD1302" s="4"/>
      <c r="CE1302" s="4"/>
      <c r="CF1302" s="4"/>
      <c r="CG1302" s="4"/>
      <c r="CH1302" s="4"/>
      <c r="CI1302" s="4"/>
      <c r="CJ1302" s="4"/>
      <c r="CK1302" s="4"/>
      <c r="CL1302" s="4"/>
      <c r="CM1302" s="4"/>
      <c r="CN1302" s="4"/>
      <c r="CO1302" s="4"/>
      <c r="CP1302" s="4"/>
      <c r="CQ1302" s="4"/>
      <c r="CR1302" s="4"/>
      <c r="CS1302" s="4"/>
      <c r="CT1302" s="4"/>
      <c r="CU1302" s="4"/>
      <c r="CV1302" s="4"/>
      <c r="CW1302" s="4"/>
      <c r="CX1302" s="4"/>
      <c r="CY1302" s="4"/>
      <c r="CZ1302" s="4"/>
      <c r="DA1302" s="4"/>
      <c r="DB1302" s="4"/>
      <c r="DC1302" s="4"/>
      <c r="DD1302" s="4"/>
      <c r="DE1302" s="4"/>
      <c r="DF1302" s="4"/>
      <c r="DG1302" s="4"/>
      <c r="DH1302" s="4"/>
      <c r="DI1302" s="4"/>
      <c r="DJ1302" s="4"/>
      <c r="DK1302" s="4"/>
      <c r="DL1302" s="4"/>
      <c r="DM1302" s="4"/>
      <c r="DN1302" s="4"/>
      <c r="DO1302" s="4"/>
      <c r="DP1302" s="4"/>
      <c r="DQ1302" s="4"/>
      <c r="DR1302" s="4"/>
      <c r="DS1302" s="4"/>
    </row>
    <row r="1303">
      <c r="A1303" s="9">
        <f>IFERROR(__xludf.DUMMYFUNCTION("""COMPUTED_VALUE"""),45828.0)</f>
        <v>45828</v>
      </c>
      <c r="B1303" s="6" t="str">
        <f>IFERROR(__xludf.DUMMYFUNCTION("""COMPUTED_VALUE"""),"Pets")</f>
        <v>Pets</v>
      </c>
      <c r="C1303" s="7">
        <f>IFERROR(__xludf.DUMMYFUNCTION("""COMPUTED_VALUE"""),5000.0)</f>
        <v>5000</v>
      </c>
      <c r="D1303" s="6" t="str">
        <f>IFERROR(__xludf.DUMMYFUNCTION("""COMPUTED_VALUE"""),"Pets")</f>
        <v>Pets</v>
      </c>
      <c r="E1303" s="6" t="str">
        <f>IFERROR(__xludf.DUMMYFUNCTION("""COMPUTED_VALUE"""),"Virtual Wallet")</f>
        <v>Virtual Wallet</v>
      </c>
      <c r="F1303" s="6" t="s">
        <v>7</v>
      </c>
      <c r="G1303" s="8" t="str">
        <f t="shared" si="1"/>
        <v>202506</v>
      </c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  <c r="AA1303" s="4"/>
      <c r="AB1303" s="4"/>
      <c r="AC1303" s="4"/>
      <c r="AD1303" s="4"/>
      <c r="AE1303" s="4"/>
      <c r="AF1303" s="4"/>
      <c r="AG1303" s="4"/>
      <c r="AH1303" s="4"/>
      <c r="AI1303" s="4"/>
      <c r="AJ1303" s="4"/>
      <c r="AK1303" s="4"/>
      <c r="AL1303" s="4"/>
      <c r="AM1303" s="4"/>
      <c r="AN1303" s="4"/>
      <c r="AO1303" s="4"/>
      <c r="AP1303" s="4"/>
      <c r="AQ1303" s="4"/>
      <c r="AR1303" s="4"/>
      <c r="AS1303" s="4"/>
      <c r="AT1303" s="4"/>
      <c r="AU1303" s="4"/>
      <c r="AV1303" s="4"/>
      <c r="AW1303" s="4"/>
      <c r="AX1303" s="4"/>
      <c r="AY1303" s="4"/>
      <c r="AZ1303" s="4"/>
      <c r="BA1303" s="4"/>
      <c r="BB1303" s="4"/>
      <c r="BC1303" s="4"/>
      <c r="BD1303" s="4"/>
      <c r="BE1303" s="4"/>
      <c r="BF1303" s="4"/>
      <c r="BG1303" s="4"/>
      <c r="BH1303" s="4"/>
      <c r="BI1303" s="4"/>
      <c r="BJ1303" s="4"/>
      <c r="BK1303" s="4"/>
      <c r="BL1303" s="4"/>
      <c r="BM1303" s="4"/>
      <c r="BN1303" s="4"/>
      <c r="BO1303" s="4"/>
      <c r="BP1303" s="4"/>
      <c r="BQ1303" s="4"/>
      <c r="BR1303" s="4"/>
      <c r="BS1303" s="4"/>
      <c r="BT1303" s="4"/>
      <c r="BU1303" s="4"/>
      <c r="BV1303" s="4"/>
      <c r="BW1303" s="4"/>
      <c r="BX1303" s="4"/>
      <c r="BY1303" s="4"/>
      <c r="BZ1303" s="4"/>
      <c r="CA1303" s="4"/>
      <c r="CB1303" s="4"/>
      <c r="CC1303" s="4"/>
      <c r="CD1303" s="4"/>
      <c r="CE1303" s="4"/>
      <c r="CF1303" s="4"/>
      <c r="CG1303" s="4"/>
      <c r="CH1303" s="4"/>
      <c r="CI1303" s="4"/>
      <c r="CJ1303" s="4"/>
      <c r="CK1303" s="4"/>
      <c r="CL1303" s="4"/>
      <c r="CM1303" s="4"/>
      <c r="CN1303" s="4"/>
      <c r="CO1303" s="4"/>
      <c r="CP1303" s="4"/>
      <c r="CQ1303" s="4"/>
      <c r="CR1303" s="4"/>
      <c r="CS1303" s="4"/>
      <c r="CT1303" s="4"/>
      <c r="CU1303" s="4"/>
      <c r="CV1303" s="4"/>
      <c r="CW1303" s="4"/>
      <c r="CX1303" s="4"/>
      <c r="CY1303" s="4"/>
      <c r="CZ1303" s="4"/>
      <c r="DA1303" s="4"/>
      <c r="DB1303" s="4"/>
      <c r="DC1303" s="4"/>
      <c r="DD1303" s="4"/>
      <c r="DE1303" s="4"/>
      <c r="DF1303" s="4"/>
      <c r="DG1303" s="4"/>
      <c r="DH1303" s="4"/>
      <c r="DI1303" s="4"/>
      <c r="DJ1303" s="4"/>
      <c r="DK1303" s="4"/>
      <c r="DL1303" s="4"/>
      <c r="DM1303" s="4"/>
      <c r="DN1303" s="4"/>
      <c r="DO1303" s="4"/>
      <c r="DP1303" s="4"/>
      <c r="DQ1303" s="4"/>
      <c r="DR1303" s="4"/>
      <c r="DS1303" s="4"/>
    </row>
    <row r="1304">
      <c r="A1304" s="9">
        <f>IFERROR(__xludf.DUMMYFUNCTION("""COMPUTED_VALUE"""),45829.0)</f>
        <v>45829</v>
      </c>
      <c r="B1304" s="6" t="str">
        <f>IFERROR(__xludf.DUMMYFUNCTION("""COMPUTED_VALUE"""),"Gift")</f>
        <v>Gift</v>
      </c>
      <c r="C1304" s="7">
        <f>IFERROR(__xludf.DUMMYFUNCTION("""COMPUTED_VALUE"""),11666.7)</f>
        <v>11666.7</v>
      </c>
      <c r="D1304" s="6" t="str">
        <f>IFERROR(__xludf.DUMMYFUNCTION("""COMPUTED_VALUE"""),"Gifts")</f>
        <v>Gifts</v>
      </c>
      <c r="E1304" s="6" t="str">
        <f>IFERROR(__xludf.DUMMYFUNCTION("""COMPUTED_VALUE"""),"Credit Card")</f>
        <v>Credit Card</v>
      </c>
      <c r="F1304" s="6"/>
      <c r="G1304" s="8" t="str">
        <f t="shared" si="1"/>
        <v>202506</v>
      </c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  <c r="AA1304" s="4"/>
      <c r="AB1304" s="4"/>
      <c r="AC1304" s="4"/>
      <c r="AD1304" s="4"/>
      <c r="AE1304" s="4"/>
      <c r="AF1304" s="4"/>
      <c r="AG1304" s="4"/>
      <c r="AH1304" s="4"/>
      <c r="AI1304" s="4"/>
      <c r="AJ1304" s="4"/>
      <c r="AK1304" s="4"/>
      <c r="AL1304" s="4"/>
      <c r="AM1304" s="4"/>
      <c r="AN1304" s="4"/>
      <c r="AO1304" s="4"/>
      <c r="AP1304" s="4"/>
      <c r="AQ1304" s="4"/>
      <c r="AR1304" s="4"/>
      <c r="AS1304" s="4"/>
      <c r="AT1304" s="4"/>
      <c r="AU1304" s="4"/>
      <c r="AV1304" s="4"/>
      <c r="AW1304" s="4"/>
      <c r="AX1304" s="4"/>
      <c r="AY1304" s="4"/>
      <c r="AZ1304" s="4"/>
      <c r="BA1304" s="4"/>
      <c r="BB1304" s="4"/>
      <c r="BC1304" s="4"/>
      <c r="BD1304" s="4"/>
      <c r="BE1304" s="4"/>
      <c r="BF1304" s="4"/>
      <c r="BG1304" s="4"/>
      <c r="BH1304" s="4"/>
      <c r="BI1304" s="4"/>
      <c r="BJ1304" s="4"/>
      <c r="BK1304" s="4"/>
      <c r="BL1304" s="4"/>
      <c r="BM1304" s="4"/>
      <c r="BN1304" s="4"/>
      <c r="BO1304" s="4"/>
      <c r="BP1304" s="4"/>
      <c r="BQ1304" s="4"/>
      <c r="BR1304" s="4"/>
      <c r="BS1304" s="4"/>
      <c r="BT1304" s="4"/>
      <c r="BU1304" s="4"/>
      <c r="BV1304" s="4"/>
      <c r="BW1304" s="4"/>
      <c r="BX1304" s="4"/>
      <c r="BY1304" s="4"/>
      <c r="BZ1304" s="4"/>
      <c r="CA1304" s="4"/>
      <c r="CB1304" s="4"/>
      <c r="CC1304" s="4"/>
      <c r="CD1304" s="4"/>
      <c r="CE1304" s="4"/>
      <c r="CF1304" s="4"/>
      <c r="CG1304" s="4"/>
      <c r="CH1304" s="4"/>
      <c r="CI1304" s="4"/>
      <c r="CJ1304" s="4"/>
      <c r="CK1304" s="4"/>
      <c r="CL1304" s="4"/>
      <c r="CM1304" s="4"/>
      <c r="CN1304" s="4"/>
      <c r="CO1304" s="4"/>
      <c r="CP1304" s="4"/>
      <c r="CQ1304" s="4"/>
      <c r="CR1304" s="4"/>
      <c r="CS1304" s="4"/>
      <c r="CT1304" s="4"/>
      <c r="CU1304" s="4"/>
      <c r="CV1304" s="4"/>
      <c r="CW1304" s="4"/>
      <c r="CX1304" s="4"/>
      <c r="CY1304" s="4"/>
      <c r="CZ1304" s="4"/>
      <c r="DA1304" s="4"/>
      <c r="DB1304" s="4"/>
      <c r="DC1304" s="4"/>
      <c r="DD1304" s="4"/>
      <c r="DE1304" s="4"/>
      <c r="DF1304" s="4"/>
      <c r="DG1304" s="4"/>
      <c r="DH1304" s="4"/>
      <c r="DI1304" s="4"/>
      <c r="DJ1304" s="4"/>
      <c r="DK1304" s="4"/>
      <c r="DL1304" s="4"/>
      <c r="DM1304" s="4"/>
      <c r="DN1304" s="4"/>
      <c r="DO1304" s="4"/>
      <c r="DP1304" s="4"/>
      <c r="DQ1304" s="4"/>
      <c r="DR1304" s="4"/>
      <c r="DS1304" s="4"/>
    </row>
    <row r="1305">
      <c r="A1305" s="9">
        <f>IFERROR(__xludf.DUMMYFUNCTION("""COMPUTED_VALUE"""),45829.0)</f>
        <v>45829</v>
      </c>
      <c r="B1305" s="6" t="str">
        <f>IFERROR(__xludf.DUMMYFUNCTION("""COMPUTED_VALUE"""),"Home Goods")</f>
        <v>Home Goods</v>
      </c>
      <c r="C1305" s="7">
        <f>IFERROR(__xludf.DUMMYFUNCTION("""COMPUTED_VALUE"""),7500.0)</f>
        <v>7500</v>
      </c>
      <c r="D1305" s="6" t="str">
        <f>IFERROR(__xludf.DUMMYFUNCTION("""COMPUTED_VALUE"""),"Home Goods &amp; Utilities")</f>
        <v>Home Goods &amp; Utilities</v>
      </c>
      <c r="E1305" s="6" t="str">
        <f>IFERROR(__xludf.DUMMYFUNCTION("""COMPUTED_VALUE"""),"Virtual Wallet")</f>
        <v>Virtual Wallet</v>
      </c>
      <c r="F1305" s="6" t="s">
        <v>8</v>
      </c>
      <c r="G1305" s="8" t="str">
        <f t="shared" si="1"/>
        <v>202506</v>
      </c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  <c r="AA1305" s="4"/>
      <c r="AB1305" s="4"/>
      <c r="AC1305" s="4"/>
      <c r="AD1305" s="4"/>
      <c r="AE1305" s="4"/>
      <c r="AF1305" s="4"/>
      <c r="AG1305" s="4"/>
      <c r="AH1305" s="4"/>
      <c r="AI1305" s="4"/>
      <c r="AJ1305" s="4"/>
      <c r="AK1305" s="4"/>
      <c r="AL1305" s="4"/>
      <c r="AM1305" s="4"/>
      <c r="AN1305" s="4"/>
      <c r="AO1305" s="4"/>
      <c r="AP1305" s="4"/>
      <c r="AQ1305" s="4"/>
      <c r="AR1305" s="4"/>
      <c r="AS1305" s="4"/>
      <c r="AT1305" s="4"/>
      <c r="AU1305" s="4"/>
      <c r="AV1305" s="4"/>
      <c r="AW1305" s="4"/>
      <c r="AX1305" s="4"/>
      <c r="AY1305" s="4"/>
      <c r="AZ1305" s="4"/>
      <c r="BA1305" s="4"/>
      <c r="BB1305" s="4"/>
      <c r="BC1305" s="4"/>
      <c r="BD1305" s="4"/>
      <c r="BE1305" s="4"/>
      <c r="BF1305" s="4"/>
      <c r="BG1305" s="4"/>
      <c r="BH1305" s="4"/>
      <c r="BI1305" s="4"/>
      <c r="BJ1305" s="4"/>
      <c r="BK1305" s="4"/>
      <c r="BL1305" s="4"/>
      <c r="BM1305" s="4"/>
      <c r="BN1305" s="4"/>
      <c r="BO1305" s="4"/>
      <c r="BP1305" s="4"/>
      <c r="BQ1305" s="4"/>
      <c r="BR1305" s="4"/>
      <c r="BS1305" s="4"/>
      <c r="BT1305" s="4"/>
      <c r="BU1305" s="4"/>
      <c r="BV1305" s="4"/>
      <c r="BW1305" s="4"/>
      <c r="BX1305" s="4"/>
      <c r="BY1305" s="4"/>
      <c r="BZ1305" s="4"/>
      <c r="CA1305" s="4"/>
      <c r="CB1305" s="4"/>
      <c r="CC1305" s="4"/>
      <c r="CD1305" s="4"/>
      <c r="CE1305" s="4"/>
      <c r="CF1305" s="4"/>
      <c r="CG1305" s="4"/>
      <c r="CH1305" s="4"/>
      <c r="CI1305" s="4"/>
      <c r="CJ1305" s="4"/>
      <c r="CK1305" s="4"/>
      <c r="CL1305" s="4"/>
      <c r="CM1305" s="4"/>
      <c r="CN1305" s="4"/>
      <c r="CO1305" s="4"/>
      <c r="CP1305" s="4"/>
      <c r="CQ1305" s="4"/>
      <c r="CR1305" s="4"/>
      <c r="CS1305" s="4"/>
      <c r="CT1305" s="4"/>
      <c r="CU1305" s="4"/>
      <c r="CV1305" s="4"/>
      <c r="CW1305" s="4"/>
      <c r="CX1305" s="4"/>
      <c r="CY1305" s="4"/>
      <c r="CZ1305" s="4"/>
      <c r="DA1305" s="4"/>
      <c r="DB1305" s="4"/>
      <c r="DC1305" s="4"/>
      <c r="DD1305" s="4"/>
      <c r="DE1305" s="4"/>
      <c r="DF1305" s="4"/>
      <c r="DG1305" s="4"/>
      <c r="DH1305" s="4"/>
      <c r="DI1305" s="4"/>
      <c r="DJ1305" s="4"/>
      <c r="DK1305" s="4"/>
      <c r="DL1305" s="4"/>
      <c r="DM1305" s="4"/>
      <c r="DN1305" s="4"/>
      <c r="DO1305" s="4"/>
      <c r="DP1305" s="4"/>
      <c r="DQ1305" s="4"/>
      <c r="DR1305" s="4"/>
      <c r="DS1305" s="4"/>
    </row>
    <row r="1306">
      <c r="A1306" s="9">
        <f>IFERROR(__xludf.DUMMYFUNCTION("""COMPUTED_VALUE"""),45829.0)</f>
        <v>45829</v>
      </c>
      <c r="B1306" s="6" t="str">
        <f>IFERROR(__xludf.DUMMYFUNCTION("""COMPUTED_VALUE"""),"Restaurant")</f>
        <v>Restaurant</v>
      </c>
      <c r="C1306" s="7">
        <f>IFERROR(__xludf.DUMMYFUNCTION("""COMPUTED_VALUE"""),14600.0)</f>
        <v>14600</v>
      </c>
      <c r="D1306" s="6" t="str">
        <f>IFERROR(__xludf.DUMMYFUNCTION("""COMPUTED_VALUE"""),"Restaurant / Café")</f>
        <v>Restaurant / Café</v>
      </c>
      <c r="E1306" s="6" t="str">
        <f>IFERROR(__xludf.DUMMYFUNCTION("""COMPUTED_VALUE"""),"Virtual Wallet")</f>
        <v>Virtual Wallet</v>
      </c>
      <c r="F1306" s="6" t="s">
        <v>14</v>
      </c>
      <c r="G1306" s="8" t="str">
        <f t="shared" si="1"/>
        <v>202506</v>
      </c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  <c r="AA1306" s="4"/>
      <c r="AB1306" s="4"/>
      <c r="AC1306" s="4"/>
      <c r="AD1306" s="4"/>
      <c r="AE1306" s="4"/>
      <c r="AF1306" s="4"/>
      <c r="AG1306" s="4"/>
      <c r="AH1306" s="4"/>
      <c r="AI1306" s="4"/>
      <c r="AJ1306" s="4"/>
      <c r="AK1306" s="4"/>
      <c r="AL1306" s="4"/>
      <c r="AM1306" s="4"/>
      <c r="AN1306" s="4"/>
      <c r="AO1306" s="4"/>
      <c r="AP1306" s="4"/>
      <c r="AQ1306" s="4"/>
      <c r="AR1306" s="4"/>
      <c r="AS1306" s="4"/>
      <c r="AT1306" s="4"/>
      <c r="AU1306" s="4"/>
      <c r="AV1306" s="4"/>
      <c r="AW1306" s="4"/>
      <c r="AX1306" s="4"/>
      <c r="AY1306" s="4"/>
      <c r="AZ1306" s="4"/>
      <c r="BA1306" s="4"/>
      <c r="BB1306" s="4"/>
      <c r="BC1306" s="4"/>
      <c r="BD1306" s="4"/>
      <c r="BE1306" s="4"/>
      <c r="BF1306" s="4"/>
      <c r="BG1306" s="4"/>
      <c r="BH1306" s="4"/>
      <c r="BI1306" s="4"/>
      <c r="BJ1306" s="4"/>
      <c r="BK1306" s="4"/>
      <c r="BL1306" s="4"/>
      <c r="BM1306" s="4"/>
      <c r="BN1306" s="4"/>
      <c r="BO1306" s="4"/>
      <c r="BP1306" s="4"/>
      <c r="BQ1306" s="4"/>
      <c r="BR1306" s="4"/>
      <c r="BS1306" s="4"/>
      <c r="BT1306" s="4"/>
      <c r="BU1306" s="4"/>
      <c r="BV1306" s="4"/>
      <c r="BW1306" s="4"/>
      <c r="BX1306" s="4"/>
      <c r="BY1306" s="4"/>
      <c r="BZ1306" s="4"/>
      <c r="CA1306" s="4"/>
      <c r="CB1306" s="4"/>
      <c r="CC1306" s="4"/>
      <c r="CD1306" s="4"/>
      <c r="CE1306" s="4"/>
      <c r="CF1306" s="4"/>
      <c r="CG1306" s="4"/>
      <c r="CH1306" s="4"/>
      <c r="CI1306" s="4"/>
      <c r="CJ1306" s="4"/>
      <c r="CK1306" s="4"/>
      <c r="CL1306" s="4"/>
      <c r="CM1306" s="4"/>
      <c r="CN1306" s="4"/>
      <c r="CO1306" s="4"/>
      <c r="CP1306" s="4"/>
      <c r="CQ1306" s="4"/>
      <c r="CR1306" s="4"/>
      <c r="CS1306" s="4"/>
      <c r="CT1306" s="4"/>
      <c r="CU1306" s="4"/>
      <c r="CV1306" s="4"/>
      <c r="CW1306" s="4"/>
      <c r="CX1306" s="4"/>
      <c r="CY1306" s="4"/>
      <c r="CZ1306" s="4"/>
      <c r="DA1306" s="4"/>
      <c r="DB1306" s="4"/>
      <c r="DC1306" s="4"/>
      <c r="DD1306" s="4"/>
      <c r="DE1306" s="4"/>
      <c r="DF1306" s="4"/>
      <c r="DG1306" s="4"/>
      <c r="DH1306" s="4"/>
      <c r="DI1306" s="4"/>
      <c r="DJ1306" s="4"/>
      <c r="DK1306" s="4"/>
      <c r="DL1306" s="4"/>
      <c r="DM1306" s="4"/>
      <c r="DN1306" s="4"/>
      <c r="DO1306" s="4"/>
      <c r="DP1306" s="4"/>
      <c r="DQ1306" s="4"/>
      <c r="DR1306" s="4"/>
      <c r="DS1306" s="4"/>
    </row>
    <row r="1307">
      <c r="A1307" s="9">
        <f>IFERROR(__xludf.DUMMYFUNCTION("""COMPUTED_VALUE"""),45829.0)</f>
        <v>45829</v>
      </c>
      <c r="B1307" s="6" t="str">
        <f>IFERROR(__xludf.DUMMYFUNCTION("""COMPUTED_VALUE"""),"Restaurant")</f>
        <v>Restaurant</v>
      </c>
      <c r="C1307" s="7">
        <f>IFERROR(__xludf.DUMMYFUNCTION("""COMPUTED_VALUE"""),23635.0)</f>
        <v>23635</v>
      </c>
      <c r="D1307" s="6" t="str">
        <f>IFERROR(__xludf.DUMMYFUNCTION("""COMPUTED_VALUE"""),"Groceries")</f>
        <v>Groceries</v>
      </c>
      <c r="E1307" s="6" t="str">
        <f>IFERROR(__xludf.DUMMYFUNCTION("""COMPUTED_VALUE"""),"Split Payment")</f>
        <v>Split Payment</v>
      </c>
      <c r="F1307" s="6" t="s">
        <v>7</v>
      </c>
      <c r="G1307" s="8" t="str">
        <f t="shared" si="1"/>
        <v>202506</v>
      </c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  <c r="AA1307" s="4"/>
      <c r="AB1307" s="4"/>
      <c r="AC1307" s="4"/>
      <c r="AD1307" s="4"/>
      <c r="AE1307" s="4"/>
      <c r="AF1307" s="4"/>
      <c r="AG1307" s="4"/>
      <c r="AH1307" s="4"/>
      <c r="AI1307" s="4"/>
      <c r="AJ1307" s="4"/>
      <c r="AK1307" s="4"/>
      <c r="AL1307" s="4"/>
      <c r="AM1307" s="4"/>
      <c r="AN1307" s="4"/>
      <c r="AO1307" s="4"/>
      <c r="AP1307" s="4"/>
      <c r="AQ1307" s="4"/>
      <c r="AR1307" s="4"/>
      <c r="AS1307" s="4"/>
      <c r="AT1307" s="4"/>
      <c r="AU1307" s="4"/>
      <c r="AV1307" s="4"/>
      <c r="AW1307" s="4"/>
      <c r="AX1307" s="4"/>
      <c r="AY1307" s="4"/>
      <c r="AZ1307" s="4"/>
      <c r="BA1307" s="4"/>
      <c r="BB1307" s="4"/>
      <c r="BC1307" s="4"/>
      <c r="BD1307" s="4"/>
      <c r="BE1307" s="4"/>
      <c r="BF1307" s="4"/>
      <c r="BG1307" s="4"/>
      <c r="BH1307" s="4"/>
      <c r="BI1307" s="4"/>
      <c r="BJ1307" s="4"/>
      <c r="BK1307" s="4"/>
      <c r="BL1307" s="4"/>
      <c r="BM1307" s="4"/>
      <c r="BN1307" s="4"/>
      <c r="BO1307" s="4"/>
      <c r="BP1307" s="4"/>
      <c r="BQ1307" s="4"/>
      <c r="BR1307" s="4"/>
      <c r="BS1307" s="4"/>
      <c r="BT1307" s="4"/>
      <c r="BU1307" s="4"/>
      <c r="BV1307" s="4"/>
      <c r="BW1307" s="4"/>
      <c r="BX1307" s="4"/>
      <c r="BY1307" s="4"/>
      <c r="BZ1307" s="4"/>
      <c r="CA1307" s="4"/>
      <c r="CB1307" s="4"/>
      <c r="CC1307" s="4"/>
      <c r="CD1307" s="4"/>
      <c r="CE1307" s="4"/>
      <c r="CF1307" s="4"/>
      <c r="CG1307" s="4"/>
      <c r="CH1307" s="4"/>
      <c r="CI1307" s="4"/>
      <c r="CJ1307" s="4"/>
      <c r="CK1307" s="4"/>
      <c r="CL1307" s="4"/>
      <c r="CM1307" s="4"/>
      <c r="CN1307" s="4"/>
      <c r="CO1307" s="4"/>
      <c r="CP1307" s="4"/>
      <c r="CQ1307" s="4"/>
      <c r="CR1307" s="4"/>
      <c r="CS1307" s="4"/>
      <c r="CT1307" s="4"/>
      <c r="CU1307" s="4"/>
      <c r="CV1307" s="4"/>
      <c r="CW1307" s="4"/>
      <c r="CX1307" s="4"/>
      <c r="CY1307" s="4"/>
      <c r="CZ1307" s="4"/>
      <c r="DA1307" s="4"/>
      <c r="DB1307" s="4"/>
      <c r="DC1307" s="4"/>
      <c r="DD1307" s="4"/>
      <c r="DE1307" s="4"/>
      <c r="DF1307" s="4"/>
      <c r="DG1307" s="4"/>
      <c r="DH1307" s="4"/>
      <c r="DI1307" s="4"/>
      <c r="DJ1307" s="4"/>
      <c r="DK1307" s="4"/>
      <c r="DL1307" s="4"/>
      <c r="DM1307" s="4"/>
      <c r="DN1307" s="4"/>
      <c r="DO1307" s="4"/>
      <c r="DP1307" s="4"/>
      <c r="DQ1307" s="4"/>
      <c r="DR1307" s="4"/>
      <c r="DS1307" s="4"/>
    </row>
    <row r="1308">
      <c r="A1308" s="9">
        <f>IFERROR(__xludf.DUMMYFUNCTION("""COMPUTED_VALUE"""),45830.0)</f>
        <v>45830</v>
      </c>
      <c r="B1308" s="6" t="str">
        <f>IFERROR(__xludf.DUMMYFUNCTION("""COMPUTED_VALUE"""),"Electricity Bill (Edesur)")</f>
        <v>Electricity Bill (Edesur)</v>
      </c>
      <c r="C1308" s="7">
        <f>IFERROR(__xludf.DUMMYFUNCTION("""COMPUTED_VALUE"""),4024.0)</f>
        <v>4024</v>
      </c>
      <c r="D1308" s="6" t="str">
        <f>IFERROR(__xludf.DUMMYFUNCTION("""COMPUTED_VALUE"""),"Basic Services")</f>
        <v>Basic Services</v>
      </c>
      <c r="E1308" s="6" t="str">
        <f>IFERROR(__xludf.DUMMYFUNCTION("""COMPUTED_VALUE"""),"Split Payment")</f>
        <v>Split Payment</v>
      </c>
      <c r="F1308" s="6" t="s">
        <v>13</v>
      </c>
      <c r="G1308" s="8" t="str">
        <f t="shared" si="1"/>
        <v>202506</v>
      </c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  <c r="AA1308" s="4"/>
      <c r="AB1308" s="4"/>
      <c r="AC1308" s="4"/>
      <c r="AD1308" s="4"/>
      <c r="AE1308" s="4"/>
      <c r="AF1308" s="4"/>
      <c r="AG1308" s="4"/>
      <c r="AH1308" s="4"/>
      <c r="AI1308" s="4"/>
      <c r="AJ1308" s="4"/>
      <c r="AK1308" s="4"/>
      <c r="AL1308" s="4"/>
      <c r="AM1308" s="4"/>
      <c r="AN1308" s="4"/>
      <c r="AO1308" s="4"/>
      <c r="AP1308" s="4"/>
      <c r="AQ1308" s="4"/>
      <c r="AR1308" s="4"/>
      <c r="AS1308" s="4"/>
      <c r="AT1308" s="4"/>
      <c r="AU1308" s="4"/>
      <c r="AV1308" s="4"/>
      <c r="AW1308" s="4"/>
      <c r="AX1308" s="4"/>
      <c r="AY1308" s="4"/>
      <c r="AZ1308" s="4"/>
      <c r="BA1308" s="4"/>
      <c r="BB1308" s="4"/>
      <c r="BC1308" s="4"/>
      <c r="BD1308" s="4"/>
      <c r="BE1308" s="4"/>
      <c r="BF1308" s="4"/>
      <c r="BG1308" s="4"/>
      <c r="BH1308" s="4"/>
      <c r="BI1308" s="4"/>
      <c r="BJ1308" s="4"/>
      <c r="BK1308" s="4"/>
      <c r="BL1308" s="4"/>
      <c r="BM1308" s="4"/>
      <c r="BN1308" s="4"/>
      <c r="BO1308" s="4"/>
      <c r="BP1308" s="4"/>
      <c r="BQ1308" s="4"/>
      <c r="BR1308" s="4"/>
      <c r="BS1308" s="4"/>
      <c r="BT1308" s="4"/>
      <c r="BU1308" s="4"/>
      <c r="BV1308" s="4"/>
      <c r="BW1308" s="4"/>
      <c r="BX1308" s="4"/>
      <c r="BY1308" s="4"/>
      <c r="BZ1308" s="4"/>
      <c r="CA1308" s="4"/>
      <c r="CB1308" s="4"/>
      <c r="CC1308" s="4"/>
      <c r="CD1308" s="4"/>
      <c r="CE1308" s="4"/>
      <c r="CF1308" s="4"/>
      <c r="CG1308" s="4"/>
      <c r="CH1308" s="4"/>
      <c r="CI1308" s="4"/>
      <c r="CJ1308" s="4"/>
      <c r="CK1308" s="4"/>
      <c r="CL1308" s="4"/>
      <c r="CM1308" s="4"/>
      <c r="CN1308" s="4"/>
      <c r="CO1308" s="4"/>
      <c r="CP1308" s="4"/>
      <c r="CQ1308" s="4"/>
      <c r="CR1308" s="4"/>
      <c r="CS1308" s="4"/>
      <c r="CT1308" s="4"/>
      <c r="CU1308" s="4"/>
      <c r="CV1308" s="4"/>
      <c r="CW1308" s="4"/>
      <c r="CX1308" s="4"/>
      <c r="CY1308" s="4"/>
      <c r="CZ1308" s="4"/>
      <c r="DA1308" s="4"/>
      <c r="DB1308" s="4"/>
      <c r="DC1308" s="4"/>
      <c r="DD1308" s="4"/>
      <c r="DE1308" s="4"/>
      <c r="DF1308" s="4"/>
      <c r="DG1308" s="4"/>
      <c r="DH1308" s="4"/>
      <c r="DI1308" s="4"/>
      <c r="DJ1308" s="4"/>
      <c r="DK1308" s="4"/>
      <c r="DL1308" s="4"/>
      <c r="DM1308" s="4"/>
      <c r="DN1308" s="4"/>
      <c r="DO1308" s="4"/>
      <c r="DP1308" s="4"/>
      <c r="DQ1308" s="4"/>
      <c r="DR1308" s="4"/>
      <c r="DS1308" s="4"/>
    </row>
    <row r="1309">
      <c r="A1309" s="9">
        <f>IFERROR(__xludf.DUMMYFUNCTION("""COMPUTED_VALUE"""),45830.0)</f>
        <v>45830</v>
      </c>
      <c r="B1309" s="6" t="str">
        <f>IFERROR(__xludf.DUMMYFUNCTION("""COMPUTED_VALUE"""),"Groceries")</f>
        <v>Groceries</v>
      </c>
      <c r="C1309" s="7">
        <f>IFERROR(__xludf.DUMMYFUNCTION("""COMPUTED_VALUE"""),2800.0)</f>
        <v>2800</v>
      </c>
      <c r="D1309" s="6" t="str">
        <f>IFERROR(__xludf.DUMMYFUNCTION("""COMPUTED_VALUE"""),"Restaurant / Café")</f>
        <v>Restaurant / Café</v>
      </c>
      <c r="E1309" s="6" t="str">
        <f>IFERROR(__xludf.DUMMYFUNCTION("""COMPUTED_VALUE"""),"Virtual Wallet")</f>
        <v>Virtual Wallet</v>
      </c>
      <c r="F1309" s="6" t="s">
        <v>14</v>
      </c>
      <c r="G1309" s="8" t="str">
        <f t="shared" si="1"/>
        <v>202506</v>
      </c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  <c r="AA1309" s="4"/>
      <c r="AB1309" s="4"/>
      <c r="AC1309" s="4"/>
      <c r="AD1309" s="4"/>
      <c r="AE1309" s="4"/>
      <c r="AF1309" s="4"/>
      <c r="AG1309" s="4"/>
      <c r="AH1309" s="4"/>
      <c r="AI1309" s="4"/>
      <c r="AJ1309" s="4"/>
      <c r="AK1309" s="4"/>
      <c r="AL1309" s="4"/>
      <c r="AM1309" s="4"/>
      <c r="AN1309" s="4"/>
      <c r="AO1309" s="4"/>
      <c r="AP1309" s="4"/>
      <c r="AQ1309" s="4"/>
      <c r="AR1309" s="4"/>
      <c r="AS1309" s="4"/>
      <c r="AT1309" s="4"/>
      <c r="AU1309" s="4"/>
      <c r="AV1309" s="4"/>
      <c r="AW1309" s="4"/>
      <c r="AX1309" s="4"/>
      <c r="AY1309" s="4"/>
      <c r="AZ1309" s="4"/>
      <c r="BA1309" s="4"/>
      <c r="BB1309" s="4"/>
      <c r="BC1309" s="4"/>
      <c r="BD1309" s="4"/>
      <c r="BE1309" s="4"/>
      <c r="BF1309" s="4"/>
      <c r="BG1309" s="4"/>
      <c r="BH1309" s="4"/>
      <c r="BI1309" s="4"/>
      <c r="BJ1309" s="4"/>
      <c r="BK1309" s="4"/>
      <c r="BL1309" s="4"/>
      <c r="BM1309" s="4"/>
      <c r="BN1309" s="4"/>
      <c r="BO1309" s="4"/>
      <c r="BP1309" s="4"/>
      <c r="BQ1309" s="4"/>
      <c r="BR1309" s="4"/>
      <c r="BS1309" s="4"/>
      <c r="BT1309" s="4"/>
      <c r="BU1309" s="4"/>
      <c r="BV1309" s="4"/>
      <c r="BW1309" s="4"/>
      <c r="BX1309" s="4"/>
      <c r="BY1309" s="4"/>
      <c r="BZ1309" s="4"/>
      <c r="CA1309" s="4"/>
      <c r="CB1309" s="4"/>
      <c r="CC1309" s="4"/>
      <c r="CD1309" s="4"/>
      <c r="CE1309" s="4"/>
      <c r="CF1309" s="4"/>
      <c r="CG1309" s="4"/>
      <c r="CH1309" s="4"/>
      <c r="CI1309" s="4"/>
      <c r="CJ1309" s="4"/>
      <c r="CK1309" s="4"/>
      <c r="CL1309" s="4"/>
      <c r="CM1309" s="4"/>
      <c r="CN1309" s="4"/>
      <c r="CO1309" s="4"/>
      <c r="CP1309" s="4"/>
      <c r="CQ1309" s="4"/>
      <c r="CR1309" s="4"/>
      <c r="CS1309" s="4"/>
      <c r="CT1309" s="4"/>
      <c r="CU1309" s="4"/>
      <c r="CV1309" s="4"/>
      <c r="CW1309" s="4"/>
      <c r="CX1309" s="4"/>
      <c r="CY1309" s="4"/>
      <c r="CZ1309" s="4"/>
      <c r="DA1309" s="4"/>
      <c r="DB1309" s="4"/>
      <c r="DC1309" s="4"/>
      <c r="DD1309" s="4"/>
      <c r="DE1309" s="4"/>
      <c r="DF1309" s="4"/>
      <c r="DG1309" s="4"/>
      <c r="DH1309" s="4"/>
      <c r="DI1309" s="4"/>
      <c r="DJ1309" s="4"/>
      <c r="DK1309" s="4"/>
      <c r="DL1309" s="4"/>
      <c r="DM1309" s="4"/>
      <c r="DN1309" s="4"/>
      <c r="DO1309" s="4"/>
      <c r="DP1309" s="4"/>
      <c r="DQ1309" s="4"/>
      <c r="DR1309" s="4"/>
      <c r="DS1309" s="4"/>
    </row>
    <row r="1310">
      <c r="A1310" s="9">
        <f>IFERROR(__xludf.DUMMYFUNCTION("""COMPUTED_VALUE"""),45830.0)</f>
        <v>45830</v>
      </c>
      <c r="B1310" s="6" t="str">
        <f>IFERROR(__xludf.DUMMYFUNCTION("""COMPUTED_VALUE"""),"Groceries")</f>
        <v>Groceries</v>
      </c>
      <c r="C1310" s="7">
        <f>IFERROR(__xludf.DUMMYFUNCTION("""COMPUTED_VALUE"""),3082.0)</f>
        <v>3082</v>
      </c>
      <c r="D1310" s="6" t="str">
        <f>IFERROR(__xludf.DUMMYFUNCTION("""COMPUTED_VALUE"""),"Groceries")</f>
        <v>Groceries</v>
      </c>
      <c r="E1310" s="6" t="str">
        <f>IFERROR(__xludf.DUMMYFUNCTION("""COMPUTED_VALUE"""),"Split Payment")</f>
        <v>Split Payment</v>
      </c>
      <c r="F1310" s="6" t="s">
        <v>7</v>
      </c>
      <c r="G1310" s="8" t="str">
        <f t="shared" si="1"/>
        <v>202506</v>
      </c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  <c r="AA1310" s="4"/>
      <c r="AB1310" s="4"/>
      <c r="AC1310" s="4"/>
      <c r="AD1310" s="4"/>
      <c r="AE1310" s="4"/>
      <c r="AF1310" s="4"/>
      <c r="AG1310" s="4"/>
      <c r="AH1310" s="4"/>
      <c r="AI1310" s="4"/>
      <c r="AJ1310" s="4"/>
      <c r="AK1310" s="4"/>
      <c r="AL1310" s="4"/>
      <c r="AM1310" s="4"/>
      <c r="AN1310" s="4"/>
      <c r="AO1310" s="4"/>
      <c r="AP1310" s="4"/>
      <c r="AQ1310" s="4"/>
      <c r="AR1310" s="4"/>
      <c r="AS1310" s="4"/>
      <c r="AT1310" s="4"/>
      <c r="AU1310" s="4"/>
      <c r="AV1310" s="4"/>
      <c r="AW1310" s="4"/>
      <c r="AX1310" s="4"/>
      <c r="AY1310" s="4"/>
      <c r="AZ1310" s="4"/>
      <c r="BA1310" s="4"/>
      <c r="BB1310" s="4"/>
      <c r="BC1310" s="4"/>
      <c r="BD1310" s="4"/>
      <c r="BE1310" s="4"/>
      <c r="BF1310" s="4"/>
      <c r="BG1310" s="4"/>
      <c r="BH1310" s="4"/>
      <c r="BI1310" s="4"/>
      <c r="BJ1310" s="4"/>
      <c r="BK1310" s="4"/>
      <c r="BL1310" s="4"/>
      <c r="BM1310" s="4"/>
      <c r="BN1310" s="4"/>
      <c r="BO1310" s="4"/>
      <c r="BP1310" s="4"/>
      <c r="BQ1310" s="4"/>
      <c r="BR1310" s="4"/>
      <c r="BS1310" s="4"/>
      <c r="BT1310" s="4"/>
      <c r="BU1310" s="4"/>
      <c r="BV1310" s="4"/>
      <c r="BW1310" s="4"/>
      <c r="BX1310" s="4"/>
      <c r="BY1310" s="4"/>
      <c r="BZ1310" s="4"/>
      <c r="CA1310" s="4"/>
      <c r="CB1310" s="4"/>
      <c r="CC1310" s="4"/>
      <c r="CD1310" s="4"/>
      <c r="CE1310" s="4"/>
      <c r="CF1310" s="4"/>
      <c r="CG1310" s="4"/>
      <c r="CH1310" s="4"/>
      <c r="CI1310" s="4"/>
      <c r="CJ1310" s="4"/>
      <c r="CK1310" s="4"/>
      <c r="CL1310" s="4"/>
      <c r="CM1310" s="4"/>
      <c r="CN1310" s="4"/>
      <c r="CO1310" s="4"/>
      <c r="CP1310" s="4"/>
      <c r="CQ1310" s="4"/>
      <c r="CR1310" s="4"/>
      <c r="CS1310" s="4"/>
      <c r="CT1310" s="4"/>
      <c r="CU1310" s="4"/>
      <c r="CV1310" s="4"/>
      <c r="CW1310" s="4"/>
      <c r="CX1310" s="4"/>
      <c r="CY1310" s="4"/>
      <c r="CZ1310" s="4"/>
      <c r="DA1310" s="4"/>
      <c r="DB1310" s="4"/>
      <c r="DC1310" s="4"/>
      <c r="DD1310" s="4"/>
      <c r="DE1310" s="4"/>
      <c r="DF1310" s="4"/>
      <c r="DG1310" s="4"/>
      <c r="DH1310" s="4"/>
      <c r="DI1310" s="4"/>
      <c r="DJ1310" s="4"/>
      <c r="DK1310" s="4"/>
      <c r="DL1310" s="4"/>
      <c r="DM1310" s="4"/>
      <c r="DN1310" s="4"/>
      <c r="DO1310" s="4"/>
      <c r="DP1310" s="4"/>
      <c r="DQ1310" s="4"/>
      <c r="DR1310" s="4"/>
      <c r="DS1310" s="4"/>
    </row>
    <row r="1311">
      <c r="A1311" s="9">
        <f>IFERROR(__xludf.DUMMYFUNCTION("""COMPUTED_VALUE"""),45830.0)</f>
        <v>45830</v>
      </c>
      <c r="B1311" s="6" t="str">
        <f>IFERROR(__xludf.DUMMYFUNCTION("""COMPUTED_VALUE"""),"Pharmacy")</f>
        <v>Pharmacy</v>
      </c>
      <c r="C1311" s="7">
        <f>IFERROR(__xludf.DUMMYFUNCTION("""COMPUTED_VALUE"""),7424.0)</f>
        <v>7424</v>
      </c>
      <c r="D1311" s="6" t="str">
        <f>IFERROR(__xludf.DUMMYFUNCTION("""COMPUTED_VALUE"""),"Personal Care")</f>
        <v>Personal Care</v>
      </c>
      <c r="E1311" s="6" t="str">
        <f>IFERROR(__xludf.DUMMYFUNCTION("""COMPUTED_VALUE"""),"Split Payment")</f>
        <v>Split Payment</v>
      </c>
      <c r="F1311" s="6" t="s">
        <v>16</v>
      </c>
      <c r="G1311" s="8" t="str">
        <f t="shared" si="1"/>
        <v>202506</v>
      </c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  <c r="AA1311" s="4"/>
      <c r="AB1311" s="4"/>
      <c r="AC1311" s="4"/>
      <c r="AD1311" s="4"/>
      <c r="AE1311" s="4"/>
      <c r="AF1311" s="4"/>
      <c r="AG1311" s="4"/>
      <c r="AH1311" s="4"/>
      <c r="AI1311" s="4"/>
      <c r="AJ1311" s="4"/>
      <c r="AK1311" s="4"/>
      <c r="AL1311" s="4"/>
      <c r="AM1311" s="4"/>
      <c r="AN1311" s="4"/>
      <c r="AO1311" s="4"/>
      <c r="AP1311" s="4"/>
      <c r="AQ1311" s="4"/>
      <c r="AR1311" s="4"/>
      <c r="AS1311" s="4"/>
      <c r="AT1311" s="4"/>
      <c r="AU1311" s="4"/>
      <c r="AV1311" s="4"/>
      <c r="AW1311" s="4"/>
      <c r="AX1311" s="4"/>
      <c r="AY1311" s="4"/>
      <c r="AZ1311" s="4"/>
      <c r="BA1311" s="4"/>
      <c r="BB1311" s="4"/>
      <c r="BC1311" s="4"/>
      <c r="BD1311" s="4"/>
      <c r="BE1311" s="4"/>
      <c r="BF1311" s="4"/>
      <c r="BG1311" s="4"/>
      <c r="BH1311" s="4"/>
      <c r="BI1311" s="4"/>
      <c r="BJ1311" s="4"/>
      <c r="BK1311" s="4"/>
      <c r="BL1311" s="4"/>
      <c r="BM1311" s="4"/>
      <c r="BN1311" s="4"/>
      <c r="BO1311" s="4"/>
      <c r="BP1311" s="4"/>
      <c r="BQ1311" s="4"/>
      <c r="BR1311" s="4"/>
      <c r="BS1311" s="4"/>
      <c r="BT1311" s="4"/>
      <c r="BU1311" s="4"/>
      <c r="BV1311" s="4"/>
      <c r="BW1311" s="4"/>
      <c r="BX1311" s="4"/>
      <c r="BY1311" s="4"/>
      <c r="BZ1311" s="4"/>
      <c r="CA1311" s="4"/>
      <c r="CB1311" s="4"/>
      <c r="CC1311" s="4"/>
      <c r="CD1311" s="4"/>
      <c r="CE1311" s="4"/>
      <c r="CF1311" s="4"/>
      <c r="CG1311" s="4"/>
      <c r="CH1311" s="4"/>
      <c r="CI1311" s="4"/>
      <c r="CJ1311" s="4"/>
      <c r="CK1311" s="4"/>
      <c r="CL1311" s="4"/>
      <c r="CM1311" s="4"/>
      <c r="CN1311" s="4"/>
      <c r="CO1311" s="4"/>
      <c r="CP1311" s="4"/>
      <c r="CQ1311" s="4"/>
      <c r="CR1311" s="4"/>
      <c r="CS1311" s="4"/>
      <c r="CT1311" s="4"/>
      <c r="CU1311" s="4"/>
      <c r="CV1311" s="4"/>
      <c r="CW1311" s="4"/>
      <c r="CX1311" s="4"/>
      <c r="CY1311" s="4"/>
      <c r="CZ1311" s="4"/>
      <c r="DA1311" s="4"/>
      <c r="DB1311" s="4"/>
      <c r="DC1311" s="4"/>
      <c r="DD1311" s="4"/>
      <c r="DE1311" s="4"/>
      <c r="DF1311" s="4"/>
      <c r="DG1311" s="4"/>
      <c r="DH1311" s="4"/>
      <c r="DI1311" s="4"/>
      <c r="DJ1311" s="4"/>
      <c r="DK1311" s="4"/>
      <c r="DL1311" s="4"/>
      <c r="DM1311" s="4"/>
      <c r="DN1311" s="4"/>
      <c r="DO1311" s="4"/>
      <c r="DP1311" s="4"/>
      <c r="DQ1311" s="4"/>
      <c r="DR1311" s="4"/>
      <c r="DS1311" s="4"/>
    </row>
    <row r="1312">
      <c r="A1312" s="9">
        <f>IFERROR(__xludf.DUMMYFUNCTION("""COMPUTED_VALUE"""),45830.0)</f>
        <v>45830</v>
      </c>
      <c r="B1312" s="6" t="str">
        <f>IFERROR(__xludf.DUMMYFUNCTION("""COMPUTED_VALUE"""),"Water Bill (AySA)")</f>
        <v>Water Bill (AySA)</v>
      </c>
      <c r="C1312" s="7">
        <f>IFERROR(__xludf.DUMMYFUNCTION("""COMPUTED_VALUE"""),13577.0)</f>
        <v>13577</v>
      </c>
      <c r="D1312" s="6" t="str">
        <f>IFERROR(__xludf.DUMMYFUNCTION("""COMPUTED_VALUE"""),"Basic Services")</f>
        <v>Basic Services</v>
      </c>
      <c r="E1312" s="6" t="str">
        <f>IFERROR(__xludf.DUMMYFUNCTION("""COMPUTED_VALUE"""),"Split Payment")</f>
        <v>Split Payment</v>
      </c>
      <c r="F1312" s="6" t="s">
        <v>13</v>
      </c>
      <c r="G1312" s="8" t="str">
        <f t="shared" si="1"/>
        <v>202506</v>
      </c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  <c r="AA1312" s="4"/>
      <c r="AB1312" s="4"/>
      <c r="AC1312" s="4"/>
      <c r="AD1312" s="4"/>
      <c r="AE1312" s="4"/>
      <c r="AF1312" s="4"/>
      <c r="AG1312" s="4"/>
      <c r="AH1312" s="4"/>
      <c r="AI1312" s="4"/>
      <c r="AJ1312" s="4"/>
      <c r="AK1312" s="4"/>
      <c r="AL1312" s="4"/>
      <c r="AM1312" s="4"/>
      <c r="AN1312" s="4"/>
      <c r="AO1312" s="4"/>
      <c r="AP1312" s="4"/>
      <c r="AQ1312" s="4"/>
      <c r="AR1312" s="4"/>
      <c r="AS1312" s="4"/>
      <c r="AT1312" s="4"/>
      <c r="AU1312" s="4"/>
      <c r="AV1312" s="4"/>
      <c r="AW1312" s="4"/>
      <c r="AX1312" s="4"/>
      <c r="AY1312" s="4"/>
      <c r="AZ1312" s="4"/>
      <c r="BA1312" s="4"/>
      <c r="BB1312" s="4"/>
      <c r="BC1312" s="4"/>
      <c r="BD1312" s="4"/>
      <c r="BE1312" s="4"/>
      <c r="BF1312" s="4"/>
      <c r="BG1312" s="4"/>
      <c r="BH1312" s="4"/>
      <c r="BI1312" s="4"/>
      <c r="BJ1312" s="4"/>
      <c r="BK1312" s="4"/>
      <c r="BL1312" s="4"/>
      <c r="BM1312" s="4"/>
      <c r="BN1312" s="4"/>
      <c r="BO1312" s="4"/>
      <c r="BP1312" s="4"/>
      <c r="BQ1312" s="4"/>
      <c r="BR1312" s="4"/>
      <c r="BS1312" s="4"/>
      <c r="BT1312" s="4"/>
      <c r="BU1312" s="4"/>
      <c r="BV1312" s="4"/>
      <c r="BW1312" s="4"/>
      <c r="BX1312" s="4"/>
      <c r="BY1312" s="4"/>
      <c r="BZ1312" s="4"/>
      <c r="CA1312" s="4"/>
      <c r="CB1312" s="4"/>
      <c r="CC1312" s="4"/>
      <c r="CD1312" s="4"/>
      <c r="CE1312" s="4"/>
      <c r="CF1312" s="4"/>
      <c r="CG1312" s="4"/>
      <c r="CH1312" s="4"/>
      <c r="CI1312" s="4"/>
      <c r="CJ1312" s="4"/>
      <c r="CK1312" s="4"/>
      <c r="CL1312" s="4"/>
      <c r="CM1312" s="4"/>
      <c r="CN1312" s="4"/>
      <c r="CO1312" s="4"/>
      <c r="CP1312" s="4"/>
      <c r="CQ1312" s="4"/>
      <c r="CR1312" s="4"/>
      <c r="CS1312" s="4"/>
      <c r="CT1312" s="4"/>
      <c r="CU1312" s="4"/>
      <c r="CV1312" s="4"/>
      <c r="CW1312" s="4"/>
      <c r="CX1312" s="4"/>
      <c r="CY1312" s="4"/>
      <c r="CZ1312" s="4"/>
      <c r="DA1312" s="4"/>
      <c r="DB1312" s="4"/>
      <c r="DC1312" s="4"/>
      <c r="DD1312" s="4"/>
      <c r="DE1312" s="4"/>
      <c r="DF1312" s="4"/>
      <c r="DG1312" s="4"/>
      <c r="DH1312" s="4"/>
      <c r="DI1312" s="4"/>
      <c r="DJ1312" s="4"/>
      <c r="DK1312" s="4"/>
      <c r="DL1312" s="4"/>
      <c r="DM1312" s="4"/>
      <c r="DN1312" s="4"/>
      <c r="DO1312" s="4"/>
      <c r="DP1312" s="4"/>
      <c r="DQ1312" s="4"/>
      <c r="DR1312" s="4"/>
      <c r="DS1312" s="4"/>
    </row>
    <row r="1313">
      <c r="A1313" s="9">
        <f>IFERROR(__xludf.DUMMYFUNCTION("""COMPUTED_VALUE"""),45831.0)</f>
        <v>45831</v>
      </c>
      <c r="B1313" s="6" t="str">
        <f>IFERROR(__xludf.DUMMYFUNCTION("""COMPUTED_VALUE"""),"Appliances")</f>
        <v>Appliances</v>
      </c>
      <c r="C1313" s="7">
        <f>IFERROR(__xludf.DUMMYFUNCTION("""COMPUTED_VALUE"""),13889.0)</f>
        <v>13889</v>
      </c>
      <c r="D1313" s="6" t="str">
        <f>IFERROR(__xludf.DUMMYFUNCTION("""COMPUTED_VALUE"""),"Home Goods &amp; Utilities")</f>
        <v>Home Goods &amp; Utilities</v>
      </c>
      <c r="E1313" s="6" t="str">
        <f>IFERROR(__xludf.DUMMYFUNCTION("""COMPUTED_VALUE"""),"Credit Card")</f>
        <v>Credit Card</v>
      </c>
      <c r="F1313" s="6" t="s">
        <v>8</v>
      </c>
      <c r="G1313" s="8" t="str">
        <f t="shared" si="1"/>
        <v>202506</v>
      </c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  <c r="AA1313" s="4"/>
      <c r="AB1313" s="4"/>
      <c r="AC1313" s="4"/>
      <c r="AD1313" s="4"/>
      <c r="AE1313" s="4"/>
      <c r="AF1313" s="4"/>
      <c r="AG1313" s="4"/>
      <c r="AH1313" s="4"/>
      <c r="AI1313" s="4"/>
      <c r="AJ1313" s="4"/>
      <c r="AK1313" s="4"/>
      <c r="AL1313" s="4"/>
      <c r="AM1313" s="4"/>
      <c r="AN1313" s="4"/>
      <c r="AO1313" s="4"/>
      <c r="AP1313" s="4"/>
      <c r="AQ1313" s="4"/>
      <c r="AR1313" s="4"/>
      <c r="AS1313" s="4"/>
      <c r="AT1313" s="4"/>
      <c r="AU1313" s="4"/>
      <c r="AV1313" s="4"/>
      <c r="AW1313" s="4"/>
      <c r="AX1313" s="4"/>
      <c r="AY1313" s="4"/>
      <c r="AZ1313" s="4"/>
      <c r="BA1313" s="4"/>
      <c r="BB1313" s="4"/>
      <c r="BC1313" s="4"/>
      <c r="BD1313" s="4"/>
      <c r="BE1313" s="4"/>
      <c r="BF1313" s="4"/>
      <c r="BG1313" s="4"/>
      <c r="BH1313" s="4"/>
      <c r="BI1313" s="4"/>
      <c r="BJ1313" s="4"/>
      <c r="BK1313" s="4"/>
      <c r="BL1313" s="4"/>
      <c r="BM1313" s="4"/>
      <c r="BN1313" s="4"/>
      <c r="BO1313" s="4"/>
      <c r="BP1313" s="4"/>
      <c r="BQ1313" s="4"/>
      <c r="BR1313" s="4"/>
      <c r="BS1313" s="4"/>
      <c r="BT1313" s="4"/>
      <c r="BU1313" s="4"/>
      <c r="BV1313" s="4"/>
      <c r="BW1313" s="4"/>
      <c r="BX1313" s="4"/>
      <c r="BY1313" s="4"/>
      <c r="BZ1313" s="4"/>
      <c r="CA1313" s="4"/>
      <c r="CB1313" s="4"/>
      <c r="CC1313" s="4"/>
      <c r="CD1313" s="4"/>
      <c r="CE1313" s="4"/>
      <c r="CF1313" s="4"/>
      <c r="CG1313" s="4"/>
      <c r="CH1313" s="4"/>
      <c r="CI1313" s="4"/>
      <c r="CJ1313" s="4"/>
      <c r="CK1313" s="4"/>
      <c r="CL1313" s="4"/>
      <c r="CM1313" s="4"/>
      <c r="CN1313" s="4"/>
      <c r="CO1313" s="4"/>
      <c r="CP1313" s="4"/>
      <c r="CQ1313" s="4"/>
      <c r="CR1313" s="4"/>
      <c r="CS1313" s="4"/>
      <c r="CT1313" s="4"/>
      <c r="CU1313" s="4"/>
      <c r="CV1313" s="4"/>
      <c r="CW1313" s="4"/>
      <c r="CX1313" s="4"/>
      <c r="CY1313" s="4"/>
      <c r="CZ1313" s="4"/>
      <c r="DA1313" s="4"/>
      <c r="DB1313" s="4"/>
      <c r="DC1313" s="4"/>
      <c r="DD1313" s="4"/>
      <c r="DE1313" s="4"/>
      <c r="DF1313" s="4"/>
      <c r="DG1313" s="4"/>
      <c r="DH1313" s="4"/>
      <c r="DI1313" s="4"/>
      <c r="DJ1313" s="4"/>
      <c r="DK1313" s="4"/>
      <c r="DL1313" s="4"/>
      <c r="DM1313" s="4"/>
      <c r="DN1313" s="4"/>
      <c r="DO1313" s="4"/>
      <c r="DP1313" s="4"/>
      <c r="DQ1313" s="4"/>
      <c r="DR1313" s="4"/>
      <c r="DS1313" s="4"/>
    </row>
    <row r="1314">
      <c r="A1314" s="9">
        <f>IFERROR(__xludf.DUMMYFUNCTION("""COMPUTED_VALUE"""),45831.0)</f>
        <v>45831</v>
      </c>
      <c r="B1314" s="6" t="str">
        <f>IFERROR(__xludf.DUMMYFUNCTION("""COMPUTED_VALUE"""),"Doctor Visit")</f>
        <v>Doctor Visit</v>
      </c>
      <c r="C1314" s="7">
        <f>IFERROR(__xludf.DUMMYFUNCTION("""COMPUTED_VALUE"""),7000.0)</f>
        <v>7000</v>
      </c>
      <c r="D1314" s="6" t="str">
        <f>IFERROR(__xludf.DUMMYFUNCTION("""COMPUTED_VALUE"""),"Healthcare")</f>
        <v>Healthcare</v>
      </c>
      <c r="E1314" s="6" t="str">
        <f>IFERROR(__xludf.DUMMYFUNCTION("""COMPUTED_VALUE"""),"Virtual Wallet")</f>
        <v>Virtual Wallet</v>
      </c>
      <c r="F1314" s="6" t="s">
        <v>15</v>
      </c>
      <c r="G1314" s="8" t="str">
        <f t="shared" si="1"/>
        <v>202506</v>
      </c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  <c r="AA1314" s="4"/>
      <c r="AB1314" s="4"/>
      <c r="AC1314" s="4"/>
      <c r="AD1314" s="4"/>
      <c r="AE1314" s="4"/>
      <c r="AF1314" s="4"/>
      <c r="AG1314" s="4"/>
      <c r="AH1314" s="4"/>
      <c r="AI1314" s="4"/>
      <c r="AJ1314" s="4"/>
      <c r="AK1314" s="4"/>
      <c r="AL1314" s="4"/>
      <c r="AM1314" s="4"/>
      <c r="AN1314" s="4"/>
      <c r="AO1314" s="4"/>
      <c r="AP1314" s="4"/>
      <c r="AQ1314" s="4"/>
      <c r="AR1314" s="4"/>
      <c r="AS1314" s="4"/>
      <c r="AT1314" s="4"/>
      <c r="AU1314" s="4"/>
      <c r="AV1314" s="4"/>
      <c r="AW1314" s="4"/>
      <c r="AX1314" s="4"/>
      <c r="AY1314" s="4"/>
      <c r="AZ1314" s="4"/>
      <c r="BA1314" s="4"/>
      <c r="BB1314" s="4"/>
      <c r="BC1314" s="4"/>
      <c r="BD1314" s="4"/>
      <c r="BE1314" s="4"/>
      <c r="BF1314" s="4"/>
      <c r="BG1314" s="4"/>
      <c r="BH1314" s="4"/>
      <c r="BI1314" s="4"/>
      <c r="BJ1314" s="4"/>
      <c r="BK1314" s="4"/>
      <c r="BL1314" s="4"/>
      <c r="BM1314" s="4"/>
      <c r="BN1314" s="4"/>
      <c r="BO1314" s="4"/>
      <c r="BP1314" s="4"/>
      <c r="BQ1314" s="4"/>
      <c r="BR1314" s="4"/>
      <c r="BS1314" s="4"/>
      <c r="BT1314" s="4"/>
      <c r="BU1314" s="4"/>
      <c r="BV1314" s="4"/>
      <c r="BW1314" s="4"/>
      <c r="BX1314" s="4"/>
      <c r="BY1314" s="4"/>
      <c r="BZ1314" s="4"/>
      <c r="CA1314" s="4"/>
      <c r="CB1314" s="4"/>
      <c r="CC1314" s="4"/>
      <c r="CD1314" s="4"/>
      <c r="CE1314" s="4"/>
      <c r="CF1314" s="4"/>
      <c r="CG1314" s="4"/>
      <c r="CH1314" s="4"/>
      <c r="CI1314" s="4"/>
      <c r="CJ1314" s="4"/>
      <c r="CK1314" s="4"/>
      <c r="CL1314" s="4"/>
      <c r="CM1314" s="4"/>
      <c r="CN1314" s="4"/>
      <c r="CO1314" s="4"/>
      <c r="CP1314" s="4"/>
      <c r="CQ1314" s="4"/>
      <c r="CR1314" s="4"/>
      <c r="CS1314" s="4"/>
      <c r="CT1314" s="4"/>
      <c r="CU1314" s="4"/>
      <c r="CV1314" s="4"/>
      <c r="CW1314" s="4"/>
      <c r="CX1314" s="4"/>
      <c r="CY1314" s="4"/>
      <c r="CZ1314" s="4"/>
      <c r="DA1314" s="4"/>
      <c r="DB1314" s="4"/>
      <c r="DC1314" s="4"/>
      <c r="DD1314" s="4"/>
      <c r="DE1314" s="4"/>
      <c r="DF1314" s="4"/>
      <c r="DG1314" s="4"/>
      <c r="DH1314" s="4"/>
      <c r="DI1314" s="4"/>
      <c r="DJ1314" s="4"/>
      <c r="DK1314" s="4"/>
      <c r="DL1314" s="4"/>
      <c r="DM1314" s="4"/>
      <c r="DN1314" s="4"/>
      <c r="DO1314" s="4"/>
      <c r="DP1314" s="4"/>
      <c r="DQ1314" s="4"/>
      <c r="DR1314" s="4"/>
      <c r="DS1314" s="4"/>
    </row>
    <row r="1315">
      <c r="A1315" s="9">
        <f>IFERROR(__xludf.DUMMYFUNCTION("""COMPUTED_VALUE"""),45831.0)</f>
        <v>45831</v>
      </c>
      <c r="B1315" s="6" t="str">
        <f>IFERROR(__xludf.DUMMYFUNCTION("""COMPUTED_VALUE"""),"Groceries")</f>
        <v>Groceries</v>
      </c>
      <c r="C1315" s="7">
        <f>IFERROR(__xludf.DUMMYFUNCTION("""COMPUTED_VALUE"""),2150.0)</f>
        <v>2150</v>
      </c>
      <c r="D1315" s="6" t="str">
        <f>IFERROR(__xludf.DUMMYFUNCTION("""COMPUTED_VALUE"""),"Groceries")</f>
        <v>Groceries</v>
      </c>
      <c r="E1315" s="6" t="str">
        <f>IFERROR(__xludf.DUMMYFUNCTION("""COMPUTED_VALUE"""),"Split Payment")</f>
        <v>Split Payment</v>
      </c>
      <c r="F1315" s="6" t="s">
        <v>7</v>
      </c>
      <c r="G1315" s="8" t="str">
        <f t="shared" si="1"/>
        <v>202506</v>
      </c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  <c r="AA1315" s="4"/>
      <c r="AB1315" s="4"/>
      <c r="AC1315" s="4"/>
      <c r="AD1315" s="4"/>
      <c r="AE1315" s="4"/>
      <c r="AF1315" s="4"/>
      <c r="AG1315" s="4"/>
      <c r="AH1315" s="4"/>
      <c r="AI1315" s="4"/>
      <c r="AJ1315" s="4"/>
      <c r="AK1315" s="4"/>
      <c r="AL1315" s="4"/>
      <c r="AM1315" s="4"/>
      <c r="AN1315" s="4"/>
      <c r="AO1315" s="4"/>
      <c r="AP1315" s="4"/>
      <c r="AQ1315" s="4"/>
      <c r="AR1315" s="4"/>
      <c r="AS1315" s="4"/>
      <c r="AT1315" s="4"/>
      <c r="AU1315" s="4"/>
      <c r="AV1315" s="4"/>
      <c r="AW1315" s="4"/>
      <c r="AX1315" s="4"/>
      <c r="AY1315" s="4"/>
      <c r="AZ1315" s="4"/>
      <c r="BA1315" s="4"/>
      <c r="BB1315" s="4"/>
      <c r="BC1315" s="4"/>
      <c r="BD1315" s="4"/>
      <c r="BE1315" s="4"/>
      <c r="BF1315" s="4"/>
      <c r="BG1315" s="4"/>
      <c r="BH1315" s="4"/>
      <c r="BI1315" s="4"/>
      <c r="BJ1315" s="4"/>
      <c r="BK1315" s="4"/>
      <c r="BL1315" s="4"/>
      <c r="BM1315" s="4"/>
      <c r="BN1315" s="4"/>
      <c r="BO1315" s="4"/>
      <c r="BP1315" s="4"/>
      <c r="BQ1315" s="4"/>
      <c r="BR1315" s="4"/>
      <c r="BS1315" s="4"/>
      <c r="BT1315" s="4"/>
      <c r="BU1315" s="4"/>
      <c r="BV1315" s="4"/>
      <c r="BW1315" s="4"/>
      <c r="BX1315" s="4"/>
      <c r="BY1315" s="4"/>
      <c r="BZ1315" s="4"/>
      <c r="CA1315" s="4"/>
      <c r="CB1315" s="4"/>
      <c r="CC1315" s="4"/>
      <c r="CD1315" s="4"/>
      <c r="CE1315" s="4"/>
      <c r="CF1315" s="4"/>
      <c r="CG1315" s="4"/>
      <c r="CH1315" s="4"/>
      <c r="CI1315" s="4"/>
      <c r="CJ1315" s="4"/>
      <c r="CK1315" s="4"/>
      <c r="CL1315" s="4"/>
      <c r="CM1315" s="4"/>
      <c r="CN1315" s="4"/>
      <c r="CO1315" s="4"/>
      <c r="CP1315" s="4"/>
      <c r="CQ1315" s="4"/>
      <c r="CR1315" s="4"/>
      <c r="CS1315" s="4"/>
      <c r="CT1315" s="4"/>
      <c r="CU1315" s="4"/>
      <c r="CV1315" s="4"/>
      <c r="CW1315" s="4"/>
      <c r="CX1315" s="4"/>
      <c r="CY1315" s="4"/>
      <c r="CZ1315" s="4"/>
      <c r="DA1315" s="4"/>
      <c r="DB1315" s="4"/>
      <c r="DC1315" s="4"/>
      <c r="DD1315" s="4"/>
      <c r="DE1315" s="4"/>
      <c r="DF1315" s="4"/>
      <c r="DG1315" s="4"/>
      <c r="DH1315" s="4"/>
      <c r="DI1315" s="4"/>
      <c r="DJ1315" s="4"/>
      <c r="DK1315" s="4"/>
      <c r="DL1315" s="4"/>
      <c r="DM1315" s="4"/>
      <c r="DN1315" s="4"/>
      <c r="DO1315" s="4"/>
      <c r="DP1315" s="4"/>
      <c r="DQ1315" s="4"/>
      <c r="DR1315" s="4"/>
      <c r="DS1315" s="4"/>
    </row>
    <row r="1316">
      <c r="A1316" s="9">
        <f>IFERROR(__xludf.DUMMYFUNCTION("""COMPUTED_VALUE"""),45832.0)</f>
        <v>45832</v>
      </c>
      <c r="B1316" s="6" t="str">
        <f>IFERROR(__xludf.DUMMYFUNCTION("""COMPUTED_VALUE"""),"Groceries")</f>
        <v>Groceries</v>
      </c>
      <c r="C1316" s="7">
        <f>IFERROR(__xludf.DUMMYFUNCTION("""COMPUTED_VALUE"""),5000.0)</f>
        <v>5000</v>
      </c>
      <c r="D1316" s="6" t="str">
        <f>IFERROR(__xludf.DUMMYFUNCTION("""COMPUTED_VALUE"""),"Restaurant / Café")</f>
        <v>Restaurant / Café</v>
      </c>
      <c r="E1316" s="6" t="str">
        <f>IFERROR(__xludf.DUMMYFUNCTION("""COMPUTED_VALUE"""),"Virtual Wallet")</f>
        <v>Virtual Wallet</v>
      </c>
      <c r="F1316" s="6" t="s">
        <v>14</v>
      </c>
      <c r="G1316" s="8" t="str">
        <f t="shared" si="1"/>
        <v>202506</v>
      </c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  <c r="AA1316" s="4"/>
      <c r="AB1316" s="4"/>
      <c r="AC1316" s="4"/>
      <c r="AD1316" s="4"/>
      <c r="AE1316" s="4"/>
      <c r="AF1316" s="4"/>
      <c r="AG1316" s="4"/>
      <c r="AH1316" s="4"/>
      <c r="AI1316" s="4"/>
      <c r="AJ1316" s="4"/>
      <c r="AK1316" s="4"/>
      <c r="AL1316" s="4"/>
      <c r="AM1316" s="4"/>
      <c r="AN1316" s="4"/>
      <c r="AO1316" s="4"/>
      <c r="AP1316" s="4"/>
      <c r="AQ1316" s="4"/>
      <c r="AR1316" s="4"/>
      <c r="AS1316" s="4"/>
      <c r="AT1316" s="4"/>
      <c r="AU1316" s="4"/>
      <c r="AV1316" s="4"/>
      <c r="AW1316" s="4"/>
      <c r="AX1316" s="4"/>
      <c r="AY1316" s="4"/>
      <c r="AZ1316" s="4"/>
      <c r="BA1316" s="4"/>
      <c r="BB1316" s="4"/>
      <c r="BC1316" s="4"/>
      <c r="BD1316" s="4"/>
      <c r="BE1316" s="4"/>
      <c r="BF1316" s="4"/>
      <c r="BG1316" s="4"/>
      <c r="BH1316" s="4"/>
      <c r="BI1316" s="4"/>
      <c r="BJ1316" s="4"/>
      <c r="BK1316" s="4"/>
      <c r="BL1316" s="4"/>
      <c r="BM1316" s="4"/>
      <c r="BN1316" s="4"/>
      <c r="BO1316" s="4"/>
      <c r="BP1316" s="4"/>
      <c r="BQ1316" s="4"/>
      <c r="BR1316" s="4"/>
      <c r="BS1316" s="4"/>
      <c r="BT1316" s="4"/>
      <c r="BU1316" s="4"/>
      <c r="BV1316" s="4"/>
      <c r="BW1316" s="4"/>
      <c r="BX1316" s="4"/>
      <c r="BY1316" s="4"/>
      <c r="BZ1316" s="4"/>
      <c r="CA1316" s="4"/>
      <c r="CB1316" s="4"/>
      <c r="CC1316" s="4"/>
      <c r="CD1316" s="4"/>
      <c r="CE1316" s="4"/>
      <c r="CF1316" s="4"/>
      <c r="CG1316" s="4"/>
      <c r="CH1316" s="4"/>
      <c r="CI1316" s="4"/>
      <c r="CJ1316" s="4"/>
      <c r="CK1316" s="4"/>
      <c r="CL1316" s="4"/>
      <c r="CM1316" s="4"/>
      <c r="CN1316" s="4"/>
      <c r="CO1316" s="4"/>
      <c r="CP1316" s="4"/>
      <c r="CQ1316" s="4"/>
      <c r="CR1316" s="4"/>
      <c r="CS1316" s="4"/>
      <c r="CT1316" s="4"/>
      <c r="CU1316" s="4"/>
      <c r="CV1316" s="4"/>
      <c r="CW1316" s="4"/>
      <c r="CX1316" s="4"/>
      <c r="CY1316" s="4"/>
      <c r="CZ1316" s="4"/>
      <c r="DA1316" s="4"/>
      <c r="DB1316" s="4"/>
      <c r="DC1316" s="4"/>
      <c r="DD1316" s="4"/>
      <c r="DE1316" s="4"/>
      <c r="DF1316" s="4"/>
      <c r="DG1316" s="4"/>
      <c r="DH1316" s="4"/>
      <c r="DI1316" s="4"/>
      <c r="DJ1316" s="4"/>
      <c r="DK1316" s="4"/>
      <c r="DL1316" s="4"/>
      <c r="DM1316" s="4"/>
      <c r="DN1316" s="4"/>
      <c r="DO1316" s="4"/>
      <c r="DP1316" s="4"/>
      <c r="DQ1316" s="4"/>
      <c r="DR1316" s="4"/>
      <c r="DS1316" s="4"/>
    </row>
    <row r="1317">
      <c r="A1317" s="9">
        <f>IFERROR(__xludf.DUMMYFUNCTION("""COMPUTED_VALUE"""),45832.0)</f>
        <v>45832</v>
      </c>
      <c r="B1317" s="6" t="str">
        <f>IFERROR(__xludf.DUMMYFUNCTION("""COMPUTED_VALUE"""),"Pets")</f>
        <v>Pets</v>
      </c>
      <c r="C1317" s="7">
        <f>IFERROR(__xludf.DUMMYFUNCTION("""COMPUTED_VALUE"""),20363.0)</f>
        <v>20363</v>
      </c>
      <c r="D1317" s="6" t="str">
        <f>IFERROR(__xludf.DUMMYFUNCTION("""COMPUTED_VALUE"""),"Pets")</f>
        <v>Pets</v>
      </c>
      <c r="E1317" s="6" t="str">
        <f>IFERROR(__xludf.DUMMYFUNCTION("""COMPUTED_VALUE"""),"Virtual Wallet")</f>
        <v>Virtual Wallet</v>
      </c>
      <c r="F1317" s="6" t="s">
        <v>7</v>
      </c>
      <c r="G1317" s="8" t="str">
        <f t="shared" si="1"/>
        <v>202506</v>
      </c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  <c r="AA1317" s="4"/>
      <c r="AB1317" s="4"/>
      <c r="AC1317" s="4"/>
      <c r="AD1317" s="4"/>
      <c r="AE1317" s="4"/>
      <c r="AF1317" s="4"/>
      <c r="AG1317" s="4"/>
      <c r="AH1317" s="4"/>
      <c r="AI1317" s="4"/>
      <c r="AJ1317" s="4"/>
      <c r="AK1317" s="4"/>
      <c r="AL1317" s="4"/>
      <c r="AM1317" s="4"/>
      <c r="AN1317" s="4"/>
      <c r="AO1317" s="4"/>
      <c r="AP1317" s="4"/>
      <c r="AQ1317" s="4"/>
      <c r="AR1317" s="4"/>
      <c r="AS1317" s="4"/>
      <c r="AT1317" s="4"/>
      <c r="AU1317" s="4"/>
      <c r="AV1317" s="4"/>
      <c r="AW1317" s="4"/>
      <c r="AX1317" s="4"/>
      <c r="AY1317" s="4"/>
      <c r="AZ1317" s="4"/>
      <c r="BA1317" s="4"/>
      <c r="BB1317" s="4"/>
      <c r="BC1317" s="4"/>
      <c r="BD1317" s="4"/>
      <c r="BE1317" s="4"/>
      <c r="BF1317" s="4"/>
      <c r="BG1317" s="4"/>
      <c r="BH1317" s="4"/>
      <c r="BI1317" s="4"/>
      <c r="BJ1317" s="4"/>
      <c r="BK1317" s="4"/>
      <c r="BL1317" s="4"/>
      <c r="BM1317" s="4"/>
      <c r="BN1317" s="4"/>
      <c r="BO1317" s="4"/>
      <c r="BP1317" s="4"/>
      <c r="BQ1317" s="4"/>
      <c r="BR1317" s="4"/>
      <c r="BS1317" s="4"/>
      <c r="BT1317" s="4"/>
      <c r="BU1317" s="4"/>
      <c r="BV1317" s="4"/>
      <c r="BW1317" s="4"/>
      <c r="BX1317" s="4"/>
      <c r="BY1317" s="4"/>
      <c r="BZ1317" s="4"/>
      <c r="CA1317" s="4"/>
      <c r="CB1317" s="4"/>
      <c r="CC1317" s="4"/>
      <c r="CD1317" s="4"/>
      <c r="CE1317" s="4"/>
      <c r="CF1317" s="4"/>
      <c r="CG1317" s="4"/>
      <c r="CH1317" s="4"/>
      <c r="CI1317" s="4"/>
      <c r="CJ1317" s="4"/>
      <c r="CK1317" s="4"/>
      <c r="CL1317" s="4"/>
      <c r="CM1317" s="4"/>
      <c r="CN1317" s="4"/>
      <c r="CO1317" s="4"/>
      <c r="CP1317" s="4"/>
      <c r="CQ1317" s="4"/>
      <c r="CR1317" s="4"/>
      <c r="CS1317" s="4"/>
      <c r="CT1317" s="4"/>
      <c r="CU1317" s="4"/>
      <c r="CV1317" s="4"/>
      <c r="CW1317" s="4"/>
      <c r="CX1317" s="4"/>
      <c r="CY1317" s="4"/>
      <c r="CZ1317" s="4"/>
      <c r="DA1317" s="4"/>
      <c r="DB1317" s="4"/>
      <c r="DC1317" s="4"/>
      <c r="DD1317" s="4"/>
      <c r="DE1317" s="4"/>
      <c r="DF1317" s="4"/>
      <c r="DG1317" s="4"/>
      <c r="DH1317" s="4"/>
      <c r="DI1317" s="4"/>
      <c r="DJ1317" s="4"/>
      <c r="DK1317" s="4"/>
      <c r="DL1317" s="4"/>
      <c r="DM1317" s="4"/>
      <c r="DN1317" s="4"/>
      <c r="DO1317" s="4"/>
      <c r="DP1317" s="4"/>
      <c r="DQ1317" s="4"/>
      <c r="DR1317" s="4"/>
      <c r="DS1317" s="4"/>
    </row>
    <row r="1318">
      <c r="A1318" s="9">
        <f>IFERROR(__xludf.DUMMYFUNCTION("""COMPUTED_VALUE"""),45832.0)</f>
        <v>45832</v>
      </c>
      <c r="B1318" s="6" t="str">
        <f>IFERROR(__xludf.DUMMYFUNCTION("""COMPUTED_VALUE"""),"Pharmacy")</f>
        <v>Pharmacy</v>
      </c>
      <c r="C1318" s="7">
        <f>IFERROR(__xludf.DUMMYFUNCTION("""COMPUTED_VALUE"""),3000.0)</f>
        <v>3000</v>
      </c>
      <c r="D1318" s="6" t="str">
        <f>IFERROR(__xludf.DUMMYFUNCTION("""COMPUTED_VALUE"""),"Healthcare")</f>
        <v>Healthcare</v>
      </c>
      <c r="E1318" s="6" t="str">
        <f>IFERROR(__xludf.DUMMYFUNCTION("""COMPUTED_VALUE"""),"Split Payment")</f>
        <v>Split Payment</v>
      </c>
      <c r="F1318" s="6" t="s">
        <v>15</v>
      </c>
      <c r="G1318" s="8" t="str">
        <f t="shared" si="1"/>
        <v>202506</v>
      </c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  <c r="AA1318" s="4"/>
      <c r="AB1318" s="4"/>
      <c r="AC1318" s="4"/>
      <c r="AD1318" s="4"/>
      <c r="AE1318" s="4"/>
      <c r="AF1318" s="4"/>
      <c r="AG1318" s="4"/>
      <c r="AH1318" s="4"/>
      <c r="AI1318" s="4"/>
      <c r="AJ1318" s="4"/>
      <c r="AK1318" s="4"/>
      <c r="AL1318" s="4"/>
      <c r="AM1318" s="4"/>
      <c r="AN1318" s="4"/>
      <c r="AO1318" s="4"/>
      <c r="AP1318" s="4"/>
      <c r="AQ1318" s="4"/>
      <c r="AR1318" s="4"/>
      <c r="AS1318" s="4"/>
      <c r="AT1318" s="4"/>
      <c r="AU1318" s="4"/>
      <c r="AV1318" s="4"/>
      <c r="AW1318" s="4"/>
      <c r="AX1318" s="4"/>
      <c r="AY1318" s="4"/>
      <c r="AZ1318" s="4"/>
      <c r="BA1318" s="4"/>
      <c r="BB1318" s="4"/>
      <c r="BC1318" s="4"/>
      <c r="BD1318" s="4"/>
      <c r="BE1318" s="4"/>
      <c r="BF1318" s="4"/>
      <c r="BG1318" s="4"/>
      <c r="BH1318" s="4"/>
      <c r="BI1318" s="4"/>
      <c r="BJ1318" s="4"/>
      <c r="BK1318" s="4"/>
      <c r="BL1318" s="4"/>
      <c r="BM1318" s="4"/>
      <c r="BN1318" s="4"/>
      <c r="BO1318" s="4"/>
      <c r="BP1318" s="4"/>
      <c r="BQ1318" s="4"/>
      <c r="BR1318" s="4"/>
      <c r="BS1318" s="4"/>
      <c r="BT1318" s="4"/>
      <c r="BU1318" s="4"/>
      <c r="BV1318" s="4"/>
      <c r="BW1318" s="4"/>
      <c r="BX1318" s="4"/>
      <c r="BY1318" s="4"/>
      <c r="BZ1318" s="4"/>
      <c r="CA1318" s="4"/>
      <c r="CB1318" s="4"/>
      <c r="CC1318" s="4"/>
      <c r="CD1318" s="4"/>
      <c r="CE1318" s="4"/>
      <c r="CF1318" s="4"/>
      <c r="CG1318" s="4"/>
      <c r="CH1318" s="4"/>
      <c r="CI1318" s="4"/>
      <c r="CJ1318" s="4"/>
      <c r="CK1318" s="4"/>
      <c r="CL1318" s="4"/>
      <c r="CM1318" s="4"/>
      <c r="CN1318" s="4"/>
      <c r="CO1318" s="4"/>
      <c r="CP1318" s="4"/>
      <c r="CQ1318" s="4"/>
      <c r="CR1318" s="4"/>
      <c r="CS1318" s="4"/>
      <c r="CT1318" s="4"/>
      <c r="CU1318" s="4"/>
      <c r="CV1318" s="4"/>
      <c r="CW1318" s="4"/>
      <c r="CX1318" s="4"/>
      <c r="CY1318" s="4"/>
      <c r="CZ1318" s="4"/>
      <c r="DA1318" s="4"/>
      <c r="DB1318" s="4"/>
      <c r="DC1318" s="4"/>
      <c r="DD1318" s="4"/>
      <c r="DE1318" s="4"/>
      <c r="DF1318" s="4"/>
      <c r="DG1318" s="4"/>
      <c r="DH1318" s="4"/>
      <c r="DI1318" s="4"/>
      <c r="DJ1318" s="4"/>
      <c r="DK1318" s="4"/>
      <c r="DL1318" s="4"/>
      <c r="DM1318" s="4"/>
      <c r="DN1318" s="4"/>
      <c r="DO1318" s="4"/>
      <c r="DP1318" s="4"/>
      <c r="DQ1318" s="4"/>
      <c r="DR1318" s="4"/>
      <c r="DS1318" s="4"/>
    </row>
    <row r="1319">
      <c r="A1319" s="9">
        <f>IFERROR(__xludf.DUMMYFUNCTION("""COMPUTED_VALUE"""),45833.0)</f>
        <v>45833</v>
      </c>
      <c r="B1319" s="6" t="str">
        <f>IFERROR(__xludf.DUMMYFUNCTION("""COMPUTED_VALUE"""),"Cab/Uber")</f>
        <v>Cab/Uber</v>
      </c>
      <c r="C1319" s="7">
        <f>IFERROR(__xludf.DUMMYFUNCTION("""COMPUTED_VALUE"""),3000.0)</f>
        <v>3000</v>
      </c>
      <c r="D1319" s="6" t="str">
        <f>IFERROR(__xludf.DUMMYFUNCTION("""COMPUTED_VALUE"""),"Recreation")</f>
        <v>Recreation</v>
      </c>
      <c r="E1319" s="6" t="str">
        <f>IFERROR(__xludf.DUMMYFUNCTION("""COMPUTED_VALUE"""),"Virtual Wallet")</f>
        <v>Virtual Wallet</v>
      </c>
      <c r="F1319" s="6" t="s">
        <v>12</v>
      </c>
      <c r="G1319" s="8" t="str">
        <f t="shared" si="1"/>
        <v>202506</v>
      </c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  <c r="AA1319" s="4"/>
      <c r="AB1319" s="4"/>
      <c r="AC1319" s="4"/>
      <c r="AD1319" s="4"/>
      <c r="AE1319" s="4"/>
      <c r="AF1319" s="4"/>
      <c r="AG1319" s="4"/>
      <c r="AH1319" s="4"/>
      <c r="AI1319" s="4"/>
      <c r="AJ1319" s="4"/>
      <c r="AK1319" s="4"/>
      <c r="AL1319" s="4"/>
      <c r="AM1319" s="4"/>
      <c r="AN1319" s="4"/>
      <c r="AO1319" s="4"/>
      <c r="AP1319" s="4"/>
      <c r="AQ1319" s="4"/>
      <c r="AR1319" s="4"/>
      <c r="AS1319" s="4"/>
      <c r="AT1319" s="4"/>
      <c r="AU1319" s="4"/>
      <c r="AV1319" s="4"/>
      <c r="AW1319" s="4"/>
      <c r="AX1319" s="4"/>
      <c r="AY1319" s="4"/>
      <c r="AZ1319" s="4"/>
      <c r="BA1319" s="4"/>
      <c r="BB1319" s="4"/>
      <c r="BC1319" s="4"/>
      <c r="BD1319" s="4"/>
      <c r="BE1319" s="4"/>
      <c r="BF1319" s="4"/>
      <c r="BG1319" s="4"/>
      <c r="BH1319" s="4"/>
      <c r="BI1319" s="4"/>
      <c r="BJ1319" s="4"/>
      <c r="BK1319" s="4"/>
      <c r="BL1319" s="4"/>
      <c r="BM1319" s="4"/>
      <c r="BN1319" s="4"/>
      <c r="BO1319" s="4"/>
      <c r="BP1319" s="4"/>
      <c r="BQ1319" s="4"/>
      <c r="BR1319" s="4"/>
      <c r="BS1319" s="4"/>
      <c r="BT1319" s="4"/>
      <c r="BU1319" s="4"/>
      <c r="BV1319" s="4"/>
      <c r="BW1319" s="4"/>
      <c r="BX1319" s="4"/>
      <c r="BY1319" s="4"/>
      <c r="BZ1319" s="4"/>
      <c r="CA1319" s="4"/>
      <c r="CB1319" s="4"/>
      <c r="CC1319" s="4"/>
      <c r="CD1319" s="4"/>
      <c r="CE1319" s="4"/>
      <c r="CF1319" s="4"/>
      <c r="CG1319" s="4"/>
      <c r="CH1319" s="4"/>
      <c r="CI1319" s="4"/>
      <c r="CJ1319" s="4"/>
      <c r="CK1319" s="4"/>
      <c r="CL1319" s="4"/>
      <c r="CM1319" s="4"/>
      <c r="CN1319" s="4"/>
      <c r="CO1319" s="4"/>
      <c r="CP1319" s="4"/>
      <c r="CQ1319" s="4"/>
      <c r="CR1319" s="4"/>
      <c r="CS1319" s="4"/>
      <c r="CT1319" s="4"/>
      <c r="CU1319" s="4"/>
      <c r="CV1319" s="4"/>
      <c r="CW1319" s="4"/>
      <c r="CX1319" s="4"/>
      <c r="CY1319" s="4"/>
      <c r="CZ1319" s="4"/>
      <c r="DA1319" s="4"/>
      <c r="DB1319" s="4"/>
      <c r="DC1319" s="4"/>
      <c r="DD1319" s="4"/>
      <c r="DE1319" s="4"/>
      <c r="DF1319" s="4"/>
      <c r="DG1319" s="4"/>
      <c r="DH1319" s="4"/>
      <c r="DI1319" s="4"/>
      <c r="DJ1319" s="4"/>
      <c r="DK1319" s="4"/>
      <c r="DL1319" s="4"/>
      <c r="DM1319" s="4"/>
      <c r="DN1319" s="4"/>
      <c r="DO1319" s="4"/>
      <c r="DP1319" s="4"/>
      <c r="DQ1319" s="4"/>
      <c r="DR1319" s="4"/>
      <c r="DS1319" s="4"/>
    </row>
    <row r="1320">
      <c r="A1320" s="9">
        <f>IFERROR(__xludf.DUMMYFUNCTION("""COMPUTED_VALUE"""),45835.0)</f>
        <v>45835</v>
      </c>
      <c r="B1320" s="6" t="str">
        <f>IFERROR(__xludf.DUMMYFUNCTION("""COMPUTED_VALUE"""),"Home Goods")</f>
        <v>Home Goods</v>
      </c>
      <c r="C1320" s="7">
        <f>IFERROR(__xludf.DUMMYFUNCTION("""COMPUTED_VALUE"""),98323.0)</f>
        <v>98323</v>
      </c>
      <c r="D1320" s="6" t="str">
        <f>IFERROR(__xludf.DUMMYFUNCTION("""COMPUTED_VALUE"""),"Home Goods &amp; Utilities")</f>
        <v>Home Goods &amp; Utilities</v>
      </c>
      <c r="E1320" s="6" t="str">
        <f>IFERROR(__xludf.DUMMYFUNCTION("""COMPUTED_VALUE"""),"Credit Card")</f>
        <v>Credit Card</v>
      </c>
      <c r="F1320" s="6" t="s">
        <v>8</v>
      </c>
      <c r="G1320" s="8" t="str">
        <f t="shared" si="1"/>
        <v>202506</v>
      </c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  <c r="AA1320" s="4"/>
      <c r="AB1320" s="4"/>
      <c r="AC1320" s="4"/>
      <c r="AD1320" s="4"/>
      <c r="AE1320" s="4"/>
      <c r="AF1320" s="4"/>
      <c r="AG1320" s="4"/>
      <c r="AH1320" s="4"/>
      <c r="AI1320" s="4"/>
      <c r="AJ1320" s="4"/>
      <c r="AK1320" s="4"/>
      <c r="AL1320" s="4"/>
      <c r="AM1320" s="4"/>
      <c r="AN1320" s="4"/>
      <c r="AO1320" s="4"/>
      <c r="AP1320" s="4"/>
      <c r="AQ1320" s="4"/>
      <c r="AR1320" s="4"/>
      <c r="AS1320" s="4"/>
      <c r="AT1320" s="4"/>
      <c r="AU1320" s="4"/>
      <c r="AV1320" s="4"/>
      <c r="AW1320" s="4"/>
      <c r="AX1320" s="4"/>
      <c r="AY1320" s="4"/>
      <c r="AZ1320" s="4"/>
      <c r="BA1320" s="4"/>
      <c r="BB1320" s="4"/>
      <c r="BC1320" s="4"/>
      <c r="BD1320" s="4"/>
      <c r="BE1320" s="4"/>
      <c r="BF1320" s="4"/>
      <c r="BG1320" s="4"/>
      <c r="BH1320" s="4"/>
      <c r="BI1320" s="4"/>
      <c r="BJ1320" s="4"/>
      <c r="BK1320" s="4"/>
      <c r="BL1320" s="4"/>
      <c r="BM1320" s="4"/>
      <c r="BN1320" s="4"/>
      <c r="BO1320" s="4"/>
      <c r="BP1320" s="4"/>
      <c r="BQ1320" s="4"/>
      <c r="BR1320" s="4"/>
      <c r="BS1320" s="4"/>
      <c r="BT1320" s="4"/>
      <c r="BU1320" s="4"/>
      <c r="BV1320" s="4"/>
      <c r="BW1320" s="4"/>
      <c r="BX1320" s="4"/>
      <c r="BY1320" s="4"/>
      <c r="BZ1320" s="4"/>
      <c r="CA1320" s="4"/>
      <c r="CB1320" s="4"/>
      <c r="CC1320" s="4"/>
      <c r="CD1320" s="4"/>
      <c r="CE1320" s="4"/>
      <c r="CF1320" s="4"/>
      <c r="CG1320" s="4"/>
      <c r="CH1320" s="4"/>
      <c r="CI1320" s="4"/>
      <c r="CJ1320" s="4"/>
      <c r="CK1320" s="4"/>
      <c r="CL1320" s="4"/>
      <c r="CM1320" s="4"/>
      <c r="CN1320" s="4"/>
      <c r="CO1320" s="4"/>
      <c r="CP1320" s="4"/>
      <c r="CQ1320" s="4"/>
      <c r="CR1320" s="4"/>
      <c r="CS1320" s="4"/>
      <c r="CT1320" s="4"/>
      <c r="CU1320" s="4"/>
      <c r="CV1320" s="4"/>
      <c r="CW1320" s="4"/>
      <c r="CX1320" s="4"/>
      <c r="CY1320" s="4"/>
      <c r="CZ1320" s="4"/>
      <c r="DA1320" s="4"/>
      <c r="DB1320" s="4"/>
      <c r="DC1320" s="4"/>
      <c r="DD1320" s="4"/>
      <c r="DE1320" s="4"/>
      <c r="DF1320" s="4"/>
      <c r="DG1320" s="4"/>
      <c r="DH1320" s="4"/>
      <c r="DI1320" s="4"/>
      <c r="DJ1320" s="4"/>
      <c r="DK1320" s="4"/>
      <c r="DL1320" s="4"/>
      <c r="DM1320" s="4"/>
      <c r="DN1320" s="4"/>
      <c r="DO1320" s="4"/>
      <c r="DP1320" s="4"/>
      <c r="DQ1320" s="4"/>
      <c r="DR1320" s="4"/>
      <c r="DS1320" s="4"/>
    </row>
    <row r="1321">
      <c r="A1321" s="9">
        <f>IFERROR(__xludf.DUMMYFUNCTION("""COMPUTED_VALUE"""),45835.0)</f>
        <v>45835</v>
      </c>
      <c r="B1321" s="6" t="str">
        <f>IFERROR(__xludf.DUMMYFUNCTION("""COMPUTED_VALUE"""),"Donation")</f>
        <v>Donation</v>
      </c>
      <c r="C1321" s="7">
        <f>IFERROR(__xludf.DUMMYFUNCTION("""COMPUTED_VALUE"""),5000.0)</f>
        <v>5000</v>
      </c>
      <c r="D1321" s="6" t="str">
        <f>IFERROR(__xludf.DUMMYFUNCTION("""COMPUTED_VALUE"""),"Donation")</f>
        <v>Donation</v>
      </c>
      <c r="E1321" s="6" t="str">
        <f>IFERROR(__xludf.DUMMYFUNCTION("""COMPUTED_VALUE"""),"Virtual Wallet")</f>
        <v>Virtual Wallet</v>
      </c>
      <c r="F1321" s="6"/>
      <c r="G1321" s="8" t="str">
        <f t="shared" si="1"/>
        <v>202506</v>
      </c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  <c r="AA1321" s="4"/>
      <c r="AB1321" s="4"/>
      <c r="AC1321" s="4"/>
      <c r="AD1321" s="4"/>
      <c r="AE1321" s="4"/>
      <c r="AF1321" s="4"/>
      <c r="AG1321" s="4"/>
      <c r="AH1321" s="4"/>
      <c r="AI1321" s="4"/>
      <c r="AJ1321" s="4"/>
      <c r="AK1321" s="4"/>
      <c r="AL1321" s="4"/>
      <c r="AM1321" s="4"/>
      <c r="AN1321" s="4"/>
      <c r="AO1321" s="4"/>
      <c r="AP1321" s="4"/>
      <c r="AQ1321" s="4"/>
      <c r="AR1321" s="4"/>
      <c r="AS1321" s="4"/>
      <c r="AT1321" s="4"/>
      <c r="AU1321" s="4"/>
      <c r="AV1321" s="4"/>
      <c r="AW1321" s="4"/>
      <c r="AX1321" s="4"/>
      <c r="AY1321" s="4"/>
      <c r="AZ1321" s="4"/>
      <c r="BA1321" s="4"/>
      <c r="BB1321" s="4"/>
      <c r="BC1321" s="4"/>
      <c r="BD1321" s="4"/>
      <c r="BE1321" s="4"/>
      <c r="BF1321" s="4"/>
      <c r="BG1321" s="4"/>
      <c r="BH1321" s="4"/>
      <c r="BI1321" s="4"/>
      <c r="BJ1321" s="4"/>
      <c r="BK1321" s="4"/>
      <c r="BL1321" s="4"/>
      <c r="BM1321" s="4"/>
      <c r="BN1321" s="4"/>
      <c r="BO1321" s="4"/>
      <c r="BP1321" s="4"/>
      <c r="BQ1321" s="4"/>
      <c r="BR1321" s="4"/>
      <c r="BS1321" s="4"/>
      <c r="BT1321" s="4"/>
      <c r="BU1321" s="4"/>
      <c r="BV1321" s="4"/>
      <c r="BW1321" s="4"/>
      <c r="BX1321" s="4"/>
      <c r="BY1321" s="4"/>
      <c r="BZ1321" s="4"/>
      <c r="CA1321" s="4"/>
      <c r="CB1321" s="4"/>
      <c r="CC1321" s="4"/>
      <c r="CD1321" s="4"/>
      <c r="CE1321" s="4"/>
      <c r="CF1321" s="4"/>
      <c r="CG1321" s="4"/>
      <c r="CH1321" s="4"/>
      <c r="CI1321" s="4"/>
      <c r="CJ1321" s="4"/>
      <c r="CK1321" s="4"/>
      <c r="CL1321" s="4"/>
      <c r="CM1321" s="4"/>
      <c r="CN1321" s="4"/>
      <c r="CO1321" s="4"/>
      <c r="CP1321" s="4"/>
      <c r="CQ1321" s="4"/>
      <c r="CR1321" s="4"/>
      <c r="CS1321" s="4"/>
      <c r="CT1321" s="4"/>
      <c r="CU1321" s="4"/>
      <c r="CV1321" s="4"/>
      <c r="CW1321" s="4"/>
      <c r="CX1321" s="4"/>
      <c r="CY1321" s="4"/>
      <c r="CZ1321" s="4"/>
      <c r="DA1321" s="4"/>
      <c r="DB1321" s="4"/>
      <c r="DC1321" s="4"/>
      <c r="DD1321" s="4"/>
      <c r="DE1321" s="4"/>
      <c r="DF1321" s="4"/>
      <c r="DG1321" s="4"/>
      <c r="DH1321" s="4"/>
      <c r="DI1321" s="4"/>
      <c r="DJ1321" s="4"/>
      <c r="DK1321" s="4"/>
      <c r="DL1321" s="4"/>
      <c r="DM1321" s="4"/>
      <c r="DN1321" s="4"/>
      <c r="DO1321" s="4"/>
      <c r="DP1321" s="4"/>
      <c r="DQ1321" s="4"/>
      <c r="DR1321" s="4"/>
      <c r="DS1321" s="4"/>
    </row>
    <row r="1322">
      <c r="A1322" s="9">
        <f>IFERROR(__xludf.DUMMYFUNCTION("""COMPUTED_VALUE"""),45835.0)</f>
        <v>45835</v>
      </c>
      <c r="B1322" s="6" t="str">
        <f>IFERROR(__xludf.DUMMYFUNCTION("""COMPUTED_VALUE"""),"Restaurant")</f>
        <v>Restaurant</v>
      </c>
      <c r="C1322" s="7">
        <f>IFERROR(__xludf.DUMMYFUNCTION("""COMPUTED_VALUE"""),11000.0)</f>
        <v>11000</v>
      </c>
      <c r="D1322" s="6" t="str">
        <f>IFERROR(__xludf.DUMMYFUNCTION("""COMPUTED_VALUE"""),"Restaurant / Café")</f>
        <v>Restaurant / Café</v>
      </c>
      <c r="E1322" s="6" t="str">
        <f>IFERROR(__xludf.DUMMYFUNCTION("""COMPUTED_VALUE"""),"Virtual Wallet")</f>
        <v>Virtual Wallet</v>
      </c>
      <c r="F1322" s="6" t="s">
        <v>14</v>
      </c>
      <c r="G1322" s="8" t="str">
        <f t="shared" si="1"/>
        <v>202506</v>
      </c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  <c r="AA1322" s="4"/>
      <c r="AB1322" s="4"/>
      <c r="AC1322" s="4"/>
      <c r="AD1322" s="4"/>
      <c r="AE1322" s="4"/>
      <c r="AF1322" s="4"/>
      <c r="AG1322" s="4"/>
      <c r="AH1322" s="4"/>
      <c r="AI1322" s="4"/>
      <c r="AJ1322" s="4"/>
      <c r="AK1322" s="4"/>
      <c r="AL1322" s="4"/>
      <c r="AM1322" s="4"/>
      <c r="AN1322" s="4"/>
      <c r="AO1322" s="4"/>
      <c r="AP1322" s="4"/>
      <c r="AQ1322" s="4"/>
      <c r="AR1322" s="4"/>
      <c r="AS1322" s="4"/>
      <c r="AT1322" s="4"/>
      <c r="AU1322" s="4"/>
      <c r="AV1322" s="4"/>
      <c r="AW1322" s="4"/>
      <c r="AX1322" s="4"/>
      <c r="AY1322" s="4"/>
      <c r="AZ1322" s="4"/>
      <c r="BA1322" s="4"/>
      <c r="BB1322" s="4"/>
      <c r="BC1322" s="4"/>
      <c r="BD1322" s="4"/>
      <c r="BE1322" s="4"/>
      <c r="BF1322" s="4"/>
      <c r="BG1322" s="4"/>
      <c r="BH1322" s="4"/>
      <c r="BI1322" s="4"/>
      <c r="BJ1322" s="4"/>
      <c r="BK1322" s="4"/>
      <c r="BL1322" s="4"/>
      <c r="BM1322" s="4"/>
      <c r="BN1322" s="4"/>
      <c r="BO1322" s="4"/>
      <c r="BP1322" s="4"/>
      <c r="BQ1322" s="4"/>
      <c r="BR1322" s="4"/>
      <c r="BS1322" s="4"/>
      <c r="BT1322" s="4"/>
      <c r="BU1322" s="4"/>
      <c r="BV1322" s="4"/>
      <c r="BW1322" s="4"/>
      <c r="BX1322" s="4"/>
      <c r="BY1322" s="4"/>
      <c r="BZ1322" s="4"/>
      <c r="CA1322" s="4"/>
      <c r="CB1322" s="4"/>
      <c r="CC1322" s="4"/>
      <c r="CD1322" s="4"/>
      <c r="CE1322" s="4"/>
      <c r="CF1322" s="4"/>
      <c r="CG1322" s="4"/>
      <c r="CH1322" s="4"/>
      <c r="CI1322" s="4"/>
      <c r="CJ1322" s="4"/>
      <c r="CK1322" s="4"/>
      <c r="CL1322" s="4"/>
      <c r="CM1322" s="4"/>
      <c r="CN1322" s="4"/>
      <c r="CO1322" s="4"/>
      <c r="CP1322" s="4"/>
      <c r="CQ1322" s="4"/>
      <c r="CR1322" s="4"/>
      <c r="CS1322" s="4"/>
      <c r="CT1322" s="4"/>
      <c r="CU1322" s="4"/>
      <c r="CV1322" s="4"/>
      <c r="CW1322" s="4"/>
      <c r="CX1322" s="4"/>
      <c r="CY1322" s="4"/>
      <c r="CZ1322" s="4"/>
      <c r="DA1322" s="4"/>
      <c r="DB1322" s="4"/>
      <c r="DC1322" s="4"/>
      <c r="DD1322" s="4"/>
      <c r="DE1322" s="4"/>
      <c r="DF1322" s="4"/>
      <c r="DG1322" s="4"/>
      <c r="DH1322" s="4"/>
      <c r="DI1322" s="4"/>
      <c r="DJ1322" s="4"/>
      <c r="DK1322" s="4"/>
      <c r="DL1322" s="4"/>
      <c r="DM1322" s="4"/>
      <c r="DN1322" s="4"/>
      <c r="DO1322" s="4"/>
      <c r="DP1322" s="4"/>
      <c r="DQ1322" s="4"/>
      <c r="DR1322" s="4"/>
      <c r="DS1322" s="4"/>
    </row>
    <row r="1323">
      <c r="A1323" s="9">
        <f>IFERROR(__xludf.DUMMYFUNCTION("""COMPUTED_VALUE"""),45836.0)</f>
        <v>45836</v>
      </c>
      <c r="B1323" s="6" t="str">
        <f>IFERROR(__xludf.DUMMYFUNCTION("""COMPUTED_VALUE"""),"Groceries")</f>
        <v>Groceries</v>
      </c>
      <c r="C1323" s="7">
        <f>IFERROR(__xludf.DUMMYFUNCTION("""COMPUTED_VALUE"""),14000.0)</f>
        <v>14000</v>
      </c>
      <c r="D1323" s="6" t="str">
        <f>IFERROR(__xludf.DUMMYFUNCTION("""COMPUTED_VALUE"""),"Groceries")</f>
        <v>Groceries</v>
      </c>
      <c r="E1323" s="6" t="str">
        <f>IFERROR(__xludf.DUMMYFUNCTION("""COMPUTED_VALUE"""),"Split Payment")</f>
        <v>Split Payment</v>
      </c>
      <c r="F1323" s="6" t="s">
        <v>7</v>
      </c>
      <c r="G1323" s="8" t="str">
        <f t="shared" si="1"/>
        <v>202506</v>
      </c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  <c r="AA1323" s="4"/>
      <c r="AB1323" s="4"/>
      <c r="AC1323" s="4"/>
      <c r="AD1323" s="4"/>
      <c r="AE1323" s="4"/>
      <c r="AF1323" s="4"/>
      <c r="AG1323" s="4"/>
      <c r="AH1323" s="4"/>
      <c r="AI1323" s="4"/>
      <c r="AJ1323" s="4"/>
      <c r="AK1323" s="4"/>
      <c r="AL1323" s="4"/>
      <c r="AM1323" s="4"/>
      <c r="AN1323" s="4"/>
      <c r="AO1323" s="4"/>
      <c r="AP1323" s="4"/>
      <c r="AQ1323" s="4"/>
      <c r="AR1323" s="4"/>
      <c r="AS1323" s="4"/>
      <c r="AT1323" s="4"/>
      <c r="AU1323" s="4"/>
      <c r="AV1323" s="4"/>
      <c r="AW1323" s="4"/>
      <c r="AX1323" s="4"/>
      <c r="AY1323" s="4"/>
      <c r="AZ1323" s="4"/>
      <c r="BA1323" s="4"/>
      <c r="BB1323" s="4"/>
      <c r="BC1323" s="4"/>
      <c r="BD1323" s="4"/>
      <c r="BE1323" s="4"/>
      <c r="BF1323" s="4"/>
      <c r="BG1323" s="4"/>
      <c r="BH1323" s="4"/>
      <c r="BI1323" s="4"/>
      <c r="BJ1323" s="4"/>
      <c r="BK1323" s="4"/>
      <c r="BL1323" s="4"/>
      <c r="BM1323" s="4"/>
      <c r="BN1323" s="4"/>
      <c r="BO1323" s="4"/>
      <c r="BP1323" s="4"/>
      <c r="BQ1323" s="4"/>
      <c r="BR1323" s="4"/>
      <c r="BS1323" s="4"/>
      <c r="BT1323" s="4"/>
      <c r="BU1323" s="4"/>
      <c r="BV1323" s="4"/>
      <c r="BW1323" s="4"/>
      <c r="BX1323" s="4"/>
      <c r="BY1323" s="4"/>
      <c r="BZ1323" s="4"/>
      <c r="CA1323" s="4"/>
      <c r="CB1323" s="4"/>
      <c r="CC1323" s="4"/>
      <c r="CD1323" s="4"/>
      <c r="CE1323" s="4"/>
      <c r="CF1323" s="4"/>
      <c r="CG1323" s="4"/>
      <c r="CH1323" s="4"/>
      <c r="CI1323" s="4"/>
      <c r="CJ1323" s="4"/>
      <c r="CK1323" s="4"/>
      <c r="CL1323" s="4"/>
      <c r="CM1323" s="4"/>
      <c r="CN1323" s="4"/>
      <c r="CO1323" s="4"/>
      <c r="CP1323" s="4"/>
      <c r="CQ1323" s="4"/>
      <c r="CR1323" s="4"/>
      <c r="CS1323" s="4"/>
      <c r="CT1323" s="4"/>
      <c r="CU1323" s="4"/>
      <c r="CV1323" s="4"/>
      <c r="CW1323" s="4"/>
      <c r="CX1323" s="4"/>
      <c r="CY1323" s="4"/>
      <c r="CZ1323" s="4"/>
      <c r="DA1323" s="4"/>
      <c r="DB1323" s="4"/>
      <c r="DC1323" s="4"/>
      <c r="DD1323" s="4"/>
      <c r="DE1323" s="4"/>
      <c r="DF1323" s="4"/>
      <c r="DG1323" s="4"/>
      <c r="DH1323" s="4"/>
      <c r="DI1323" s="4"/>
      <c r="DJ1323" s="4"/>
      <c r="DK1323" s="4"/>
      <c r="DL1323" s="4"/>
      <c r="DM1323" s="4"/>
      <c r="DN1323" s="4"/>
      <c r="DO1323" s="4"/>
      <c r="DP1323" s="4"/>
      <c r="DQ1323" s="4"/>
      <c r="DR1323" s="4"/>
      <c r="DS1323" s="4"/>
    </row>
    <row r="1324">
      <c r="A1324" s="9">
        <f>IFERROR(__xludf.DUMMYFUNCTION("""COMPUTED_VALUE"""),45836.0)</f>
        <v>45836</v>
      </c>
      <c r="B1324" s="6" t="str">
        <f>IFERROR(__xludf.DUMMYFUNCTION("""COMPUTED_VALUE"""),"Groceries")</f>
        <v>Groceries</v>
      </c>
      <c r="C1324" s="7">
        <f>IFERROR(__xludf.DUMMYFUNCTION("""COMPUTED_VALUE"""),19365.0)</f>
        <v>19365</v>
      </c>
      <c r="D1324" s="6" t="str">
        <f>IFERROR(__xludf.DUMMYFUNCTION("""COMPUTED_VALUE"""),"Groceries")</f>
        <v>Groceries</v>
      </c>
      <c r="E1324" s="6" t="str">
        <f>IFERROR(__xludf.DUMMYFUNCTION("""COMPUTED_VALUE"""),"Split Payment")</f>
        <v>Split Payment</v>
      </c>
      <c r="F1324" s="6" t="s">
        <v>7</v>
      </c>
      <c r="G1324" s="8" t="str">
        <f t="shared" si="1"/>
        <v>202506</v>
      </c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  <c r="AA1324" s="4"/>
      <c r="AB1324" s="4"/>
      <c r="AC1324" s="4"/>
      <c r="AD1324" s="4"/>
      <c r="AE1324" s="4"/>
      <c r="AF1324" s="4"/>
      <c r="AG1324" s="4"/>
      <c r="AH1324" s="4"/>
      <c r="AI1324" s="4"/>
      <c r="AJ1324" s="4"/>
      <c r="AK1324" s="4"/>
      <c r="AL1324" s="4"/>
      <c r="AM1324" s="4"/>
      <c r="AN1324" s="4"/>
      <c r="AO1324" s="4"/>
      <c r="AP1324" s="4"/>
      <c r="AQ1324" s="4"/>
      <c r="AR1324" s="4"/>
      <c r="AS1324" s="4"/>
      <c r="AT1324" s="4"/>
      <c r="AU1324" s="4"/>
      <c r="AV1324" s="4"/>
      <c r="AW1324" s="4"/>
      <c r="AX1324" s="4"/>
      <c r="AY1324" s="4"/>
      <c r="AZ1324" s="4"/>
      <c r="BA1324" s="4"/>
      <c r="BB1324" s="4"/>
      <c r="BC1324" s="4"/>
      <c r="BD1324" s="4"/>
      <c r="BE1324" s="4"/>
      <c r="BF1324" s="4"/>
      <c r="BG1324" s="4"/>
      <c r="BH1324" s="4"/>
      <c r="BI1324" s="4"/>
      <c r="BJ1324" s="4"/>
      <c r="BK1324" s="4"/>
      <c r="BL1324" s="4"/>
      <c r="BM1324" s="4"/>
      <c r="BN1324" s="4"/>
      <c r="BO1324" s="4"/>
      <c r="BP1324" s="4"/>
      <c r="BQ1324" s="4"/>
      <c r="BR1324" s="4"/>
      <c r="BS1324" s="4"/>
      <c r="BT1324" s="4"/>
      <c r="BU1324" s="4"/>
      <c r="BV1324" s="4"/>
      <c r="BW1324" s="4"/>
      <c r="BX1324" s="4"/>
      <c r="BY1324" s="4"/>
      <c r="BZ1324" s="4"/>
      <c r="CA1324" s="4"/>
      <c r="CB1324" s="4"/>
      <c r="CC1324" s="4"/>
      <c r="CD1324" s="4"/>
      <c r="CE1324" s="4"/>
      <c r="CF1324" s="4"/>
      <c r="CG1324" s="4"/>
      <c r="CH1324" s="4"/>
      <c r="CI1324" s="4"/>
      <c r="CJ1324" s="4"/>
      <c r="CK1324" s="4"/>
      <c r="CL1324" s="4"/>
      <c r="CM1324" s="4"/>
      <c r="CN1324" s="4"/>
      <c r="CO1324" s="4"/>
      <c r="CP1324" s="4"/>
      <c r="CQ1324" s="4"/>
      <c r="CR1324" s="4"/>
      <c r="CS1324" s="4"/>
      <c r="CT1324" s="4"/>
      <c r="CU1324" s="4"/>
      <c r="CV1324" s="4"/>
      <c r="CW1324" s="4"/>
      <c r="CX1324" s="4"/>
      <c r="CY1324" s="4"/>
      <c r="CZ1324" s="4"/>
      <c r="DA1324" s="4"/>
      <c r="DB1324" s="4"/>
      <c r="DC1324" s="4"/>
      <c r="DD1324" s="4"/>
      <c r="DE1324" s="4"/>
      <c r="DF1324" s="4"/>
      <c r="DG1324" s="4"/>
      <c r="DH1324" s="4"/>
      <c r="DI1324" s="4"/>
      <c r="DJ1324" s="4"/>
      <c r="DK1324" s="4"/>
      <c r="DL1324" s="4"/>
      <c r="DM1324" s="4"/>
      <c r="DN1324" s="4"/>
      <c r="DO1324" s="4"/>
      <c r="DP1324" s="4"/>
      <c r="DQ1324" s="4"/>
      <c r="DR1324" s="4"/>
      <c r="DS1324" s="4"/>
    </row>
    <row r="1325">
      <c r="A1325" s="9">
        <f>IFERROR(__xludf.DUMMYFUNCTION("""COMPUTED_VALUE"""),45836.0)</f>
        <v>45836</v>
      </c>
      <c r="B1325" s="6" t="str">
        <f>IFERROR(__xludf.DUMMYFUNCTION("""COMPUTED_VALUE"""),"Home Goods")</f>
        <v>Home Goods</v>
      </c>
      <c r="C1325" s="7">
        <f>IFERROR(__xludf.DUMMYFUNCTION("""COMPUTED_VALUE"""),7250.0)</f>
        <v>7250</v>
      </c>
      <c r="D1325" s="6" t="str">
        <f>IFERROR(__xludf.DUMMYFUNCTION("""COMPUTED_VALUE"""),"Sports")</f>
        <v>Sports</v>
      </c>
      <c r="E1325" s="6" t="str">
        <f>IFERROR(__xludf.DUMMYFUNCTION("""COMPUTED_VALUE"""),"Split Payment")</f>
        <v>Split Payment</v>
      </c>
      <c r="F1325" s="6" t="s">
        <v>12</v>
      </c>
      <c r="G1325" s="8" t="str">
        <f t="shared" si="1"/>
        <v>202506</v>
      </c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  <c r="AA1325" s="4"/>
      <c r="AB1325" s="4"/>
      <c r="AC1325" s="4"/>
      <c r="AD1325" s="4"/>
      <c r="AE1325" s="4"/>
      <c r="AF1325" s="4"/>
      <c r="AG1325" s="4"/>
      <c r="AH1325" s="4"/>
      <c r="AI1325" s="4"/>
      <c r="AJ1325" s="4"/>
      <c r="AK1325" s="4"/>
      <c r="AL1325" s="4"/>
      <c r="AM1325" s="4"/>
      <c r="AN1325" s="4"/>
      <c r="AO1325" s="4"/>
      <c r="AP1325" s="4"/>
      <c r="AQ1325" s="4"/>
      <c r="AR1325" s="4"/>
      <c r="AS1325" s="4"/>
      <c r="AT1325" s="4"/>
      <c r="AU1325" s="4"/>
      <c r="AV1325" s="4"/>
      <c r="AW1325" s="4"/>
      <c r="AX1325" s="4"/>
      <c r="AY1325" s="4"/>
      <c r="AZ1325" s="4"/>
      <c r="BA1325" s="4"/>
      <c r="BB1325" s="4"/>
      <c r="BC1325" s="4"/>
      <c r="BD1325" s="4"/>
      <c r="BE1325" s="4"/>
      <c r="BF1325" s="4"/>
      <c r="BG1325" s="4"/>
      <c r="BH1325" s="4"/>
      <c r="BI1325" s="4"/>
      <c r="BJ1325" s="4"/>
      <c r="BK1325" s="4"/>
      <c r="BL1325" s="4"/>
      <c r="BM1325" s="4"/>
      <c r="BN1325" s="4"/>
      <c r="BO1325" s="4"/>
      <c r="BP1325" s="4"/>
      <c r="BQ1325" s="4"/>
      <c r="BR1325" s="4"/>
      <c r="BS1325" s="4"/>
      <c r="BT1325" s="4"/>
      <c r="BU1325" s="4"/>
      <c r="BV1325" s="4"/>
      <c r="BW1325" s="4"/>
      <c r="BX1325" s="4"/>
      <c r="BY1325" s="4"/>
      <c r="BZ1325" s="4"/>
      <c r="CA1325" s="4"/>
      <c r="CB1325" s="4"/>
      <c r="CC1325" s="4"/>
      <c r="CD1325" s="4"/>
      <c r="CE1325" s="4"/>
      <c r="CF1325" s="4"/>
      <c r="CG1325" s="4"/>
      <c r="CH1325" s="4"/>
      <c r="CI1325" s="4"/>
      <c r="CJ1325" s="4"/>
      <c r="CK1325" s="4"/>
      <c r="CL1325" s="4"/>
      <c r="CM1325" s="4"/>
      <c r="CN1325" s="4"/>
      <c r="CO1325" s="4"/>
      <c r="CP1325" s="4"/>
      <c r="CQ1325" s="4"/>
      <c r="CR1325" s="4"/>
      <c r="CS1325" s="4"/>
      <c r="CT1325" s="4"/>
      <c r="CU1325" s="4"/>
      <c r="CV1325" s="4"/>
      <c r="CW1325" s="4"/>
      <c r="CX1325" s="4"/>
      <c r="CY1325" s="4"/>
      <c r="CZ1325" s="4"/>
      <c r="DA1325" s="4"/>
      <c r="DB1325" s="4"/>
      <c r="DC1325" s="4"/>
      <c r="DD1325" s="4"/>
      <c r="DE1325" s="4"/>
      <c r="DF1325" s="4"/>
      <c r="DG1325" s="4"/>
      <c r="DH1325" s="4"/>
      <c r="DI1325" s="4"/>
      <c r="DJ1325" s="4"/>
      <c r="DK1325" s="4"/>
      <c r="DL1325" s="4"/>
      <c r="DM1325" s="4"/>
      <c r="DN1325" s="4"/>
      <c r="DO1325" s="4"/>
      <c r="DP1325" s="4"/>
      <c r="DQ1325" s="4"/>
      <c r="DR1325" s="4"/>
      <c r="DS1325" s="4"/>
    </row>
    <row r="1326">
      <c r="A1326" s="9">
        <f>IFERROR(__xludf.DUMMYFUNCTION("""COMPUTED_VALUE"""),45837.0)</f>
        <v>45837</v>
      </c>
      <c r="B1326" s="6" t="str">
        <f>IFERROR(__xludf.DUMMYFUNCTION("""COMPUTED_VALUE"""),"Gasoline")</f>
        <v>Gasoline</v>
      </c>
      <c r="C1326" s="7">
        <f>IFERROR(__xludf.DUMMYFUNCTION("""COMPUTED_VALUE"""),15000.0)</f>
        <v>15000</v>
      </c>
      <c r="D1326" s="6" t="str">
        <f>IFERROR(__xludf.DUMMYFUNCTION("""COMPUTED_VALUE"""),"Car Expenses")</f>
        <v>Car Expenses</v>
      </c>
      <c r="E1326" s="6" t="str">
        <f>IFERROR(__xludf.DUMMYFUNCTION("""COMPUTED_VALUE"""),"Split Payment")</f>
        <v>Split Payment</v>
      </c>
      <c r="F1326" s="6" t="s">
        <v>9</v>
      </c>
      <c r="G1326" s="8" t="str">
        <f t="shared" si="1"/>
        <v>202506</v>
      </c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  <c r="AA1326" s="4"/>
      <c r="AB1326" s="4"/>
      <c r="AC1326" s="4"/>
      <c r="AD1326" s="4"/>
      <c r="AE1326" s="4"/>
      <c r="AF1326" s="4"/>
      <c r="AG1326" s="4"/>
      <c r="AH1326" s="4"/>
      <c r="AI1326" s="4"/>
      <c r="AJ1326" s="4"/>
      <c r="AK1326" s="4"/>
      <c r="AL1326" s="4"/>
      <c r="AM1326" s="4"/>
      <c r="AN1326" s="4"/>
      <c r="AO1326" s="4"/>
      <c r="AP1326" s="4"/>
      <c r="AQ1326" s="4"/>
      <c r="AR1326" s="4"/>
      <c r="AS1326" s="4"/>
      <c r="AT1326" s="4"/>
      <c r="AU1326" s="4"/>
      <c r="AV1326" s="4"/>
      <c r="AW1326" s="4"/>
      <c r="AX1326" s="4"/>
      <c r="AY1326" s="4"/>
      <c r="AZ1326" s="4"/>
      <c r="BA1326" s="4"/>
      <c r="BB1326" s="4"/>
      <c r="BC1326" s="4"/>
      <c r="BD1326" s="4"/>
      <c r="BE1326" s="4"/>
      <c r="BF1326" s="4"/>
      <c r="BG1326" s="4"/>
      <c r="BH1326" s="4"/>
      <c r="BI1326" s="4"/>
      <c r="BJ1326" s="4"/>
      <c r="BK1326" s="4"/>
      <c r="BL1326" s="4"/>
      <c r="BM1326" s="4"/>
      <c r="BN1326" s="4"/>
      <c r="BO1326" s="4"/>
      <c r="BP1326" s="4"/>
      <c r="BQ1326" s="4"/>
      <c r="BR1326" s="4"/>
      <c r="BS1326" s="4"/>
      <c r="BT1326" s="4"/>
      <c r="BU1326" s="4"/>
      <c r="BV1326" s="4"/>
      <c r="BW1326" s="4"/>
      <c r="BX1326" s="4"/>
      <c r="BY1326" s="4"/>
      <c r="BZ1326" s="4"/>
      <c r="CA1326" s="4"/>
      <c r="CB1326" s="4"/>
      <c r="CC1326" s="4"/>
      <c r="CD1326" s="4"/>
      <c r="CE1326" s="4"/>
      <c r="CF1326" s="4"/>
      <c r="CG1326" s="4"/>
      <c r="CH1326" s="4"/>
      <c r="CI1326" s="4"/>
      <c r="CJ1326" s="4"/>
      <c r="CK1326" s="4"/>
      <c r="CL1326" s="4"/>
      <c r="CM1326" s="4"/>
      <c r="CN1326" s="4"/>
      <c r="CO1326" s="4"/>
      <c r="CP1326" s="4"/>
      <c r="CQ1326" s="4"/>
      <c r="CR1326" s="4"/>
      <c r="CS1326" s="4"/>
      <c r="CT1326" s="4"/>
      <c r="CU1326" s="4"/>
      <c r="CV1326" s="4"/>
      <c r="CW1326" s="4"/>
      <c r="CX1326" s="4"/>
      <c r="CY1326" s="4"/>
      <c r="CZ1326" s="4"/>
      <c r="DA1326" s="4"/>
      <c r="DB1326" s="4"/>
      <c r="DC1326" s="4"/>
      <c r="DD1326" s="4"/>
      <c r="DE1326" s="4"/>
      <c r="DF1326" s="4"/>
      <c r="DG1326" s="4"/>
      <c r="DH1326" s="4"/>
      <c r="DI1326" s="4"/>
      <c r="DJ1326" s="4"/>
      <c r="DK1326" s="4"/>
      <c r="DL1326" s="4"/>
      <c r="DM1326" s="4"/>
      <c r="DN1326" s="4"/>
      <c r="DO1326" s="4"/>
      <c r="DP1326" s="4"/>
      <c r="DQ1326" s="4"/>
      <c r="DR1326" s="4"/>
      <c r="DS1326" s="4"/>
    </row>
    <row r="1327">
      <c r="A1327" s="9">
        <f>IFERROR(__xludf.DUMMYFUNCTION("""COMPUTED_VALUE"""),45837.0)</f>
        <v>45837</v>
      </c>
      <c r="B1327" s="6" t="str">
        <f>IFERROR(__xludf.DUMMYFUNCTION("""COMPUTED_VALUE"""),"Groceries")</f>
        <v>Groceries</v>
      </c>
      <c r="C1327" s="7">
        <f>IFERROR(__xludf.DUMMYFUNCTION("""COMPUTED_VALUE"""),5149.0)</f>
        <v>5149</v>
      </c>
      <c r="D1327" s="6" t="str">
        <f>IFERROR(__xludf.DUMMYFUNCTION("""COMPUTED_VALUE"""),"Groceries")</f>
        <v>Groceries</v>
      </c>
      <c r="E1327" s="6" t="str">
        <f>IFERROR(__xludf.DUMMYFUNCTION("""COMPUTED_VALUE"""),"Virtual Wallet")</f>
        <v>Virtual Wallet</v>
      </c>
      <c r="F1327" s="6" t="s">
        <v>7</v>
      </c>
      <c r="G1327" s="8" t="str">
        <f t="shared" si="1"/>
        <v>202506</v>
      </c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  <c r="AA1327" s="4"/>
      <c r="AB1327" s="4"/>
      <c r="AC1327" s="4"/>
      <c r="AD1327" s="4"/>
      <c r="AE1327" s="4"/>
      <c r="AF1327" s="4"/>
      <c r="AG1327" s="4"/>
      <c r="AH1327" s="4"/>
      <c r="AI1327" s="4"/>
      <c r="AJ1327" s="4"/>
      <c r="AK1327" s="4"/>
      <c r="AL1327" s="4"/>
      <c r="AM1327" s="4"/>
      <c r="AN1327" s="4"/>
      <c r="AO1327" s="4"/>
      <c r="AP1327" s="4"/>
      <c r="AQ1327" s="4"/>
      <c r="AR1327" s="4"/>
      <c r="AS1327" s="4"/>
      <c r="AT1327" s="4"/>
      <c r="AU1327" s="4"/>
      <c r="AV1327" s="4"/>
      <c r="AW1327" s="4"/>
      <c r="AX1327" s="4"/>
      <c r="AY1327" s="4"/>
      <c r="AZ1327" s="4"/>
      <c r="BA1327" s="4"/>
      <c r="BB1327" s="4"/>
      <c r="BC1327" s="4"/>
      <c r="BD1327" s="4"/>
      <c r="BE1327" s="4"/>
      <c r="BF1327" s="4"/>
      <c r="BG1327" s="4"/>
      <c r="BH1327" s="4"/>
      <c r="BI1327" s="4"/>
      <c r="BJ1327" s="4"/>
      <c r="BK1327" s="4"/>
      <c r="BL1327" s="4"/>
      <c r="BM1327" s="4"/>
      <c r="BN1327" s="4"/>
      <c r="BO1327" s="4"/>
      <c r="BP1327" s="4"/>
      <c r="BQ1327" s="4"/>
      <c r="BR1327" s="4"/>
      <c r="BS1327" s="4"/>
      <c r="BT1327" s="4"/>
      <c r="BU1327" s="4"/>
      <c r="BV1327" s="4"/>
      <c r="BW1327" s="4"/>
      <c r="BX1327" s="4"/>
      <c r="BY1327" s="4"/>
      <c r="BZ1327" s="4"/>
      <c r="CA1327" s="4"/>
      <c r="CB1327" s="4"/>
      <c r="CC1327" s="4"/>
      <c r="CD1327" s="4"/>
      <c r="CE1327" s="4"/>
      <c r="CF1327" s="4"/>
      <c r="CG1327" s="4"/>
      <c r="CH1327" s="4"/>
      <c r="CI1327" s="4"/>
      <c r="CJ1327" s="4"/>
      <c r="CK1327" s="4"/>
      <c r="CL1327" s="4"/>
      <c r="CM1327" s="4"/>
      <c r="CN1327" s="4"/>
      <c r="CO1327" s="4"/>
      <c r="CP1327" s="4"/>
      <c r="CQ1327" s="4"/>
      <c r="CR1327" s="4"/>
      <c r="CS1327" s="4"/>
      <c r="CT1327" s="4"/>
      <c r="CU1327" s="4"/>
      <c r="CV1327" s="4"/>
      <c r="CW1327" s="4"/>
      <c r="CX1327" s="4"/>
      <c r="CY1327" s="4"/>
      <c r="CZ1327" s="4"/>
      <c r="DA1327" s="4"/>
      <c r="DB1327" s="4"/>
      <c r="DC1327" s="4"/>
      <c r="DD1327" s="4"/>
      <c r="DE1327" s="4"/>
      <c r="DF1327" s="4"/>
      <c r="DG1327" s="4"/>
      <c r="DH1327" s="4"/>
      <c r="DI1327" s="4"/>
      <c r="DJ1327" s="4"/>
      <c r="DK1327" s="4"/>
      <c r="DL1327" s="4"/>
      <c r="DM1327" s="4"/>
      <c r="DN1327" s="4"/>
      <c r="DO1327" s="4"/>
      <c r="DP1327" s="4"/>
      <c r="DQ1327" s="4"/>
      <c r="DR1327" s="4"/>
      <c r="DS1327" s="4"/>
    </row>
    <row r="1328">
      <c r="A1328" s="9">
        <f>IFERROR(__xludf.DUMMYFUNCTION("""COMPUTED_VALUE"""),45837.0)</f>
        <v>45837</v>
      </c>
      <c r="B1328" s="6" t="str">
        <f>IFERROR(__xludf.DUMMYFUNCTION("""COMPUTED_VALUE"""),"Restaurant")</f>
        <v>Restaurant</v>
      </c>
      <c r="C1328" s="7">
        <f>IFERROR(__xludf.DUMMYFUNCTION("""COMPUTED_VALUE"""),18700.0)</f>
        <v>18700</v>
      </c>
      <c r="D1328" s="6" t="str">
        <f>IFERROR(__xludf.DUMMYFUNCTION("""COMPUTED_VALUE"""),"Restaurant / Café")</f>
        <v>Restaurant / Café</v>
      </c>
      <c r="E1328" s="6" t="str">
        <f>IFERROR(__xludf.DUMMYFUNCTION("""COMPUTED_VALUE"""),"Virtual Wallet")</f>
        <v>Virtual Wallet</v>
      </c>
      <c r="F1328" s="6" t="s">
        <v>14</v>
      </c>
      <c r="G1328" s="8" t="str">
        <f t="shared" si="1"/>
        <v>202506</v>
      </c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  <c r="AA1328" s="4"/>
      <c r="AB1328" s="4"/>
      <c r="AC1328" s="4"/>
      <c r="AD1328" s="4"/>
      <c r="AE1328" s="4"/>
      <c r="AF1328" s="4"/>
      <c r="AG1328" s="4"/>
      <c r="AH1328" s="4"/>
      <c r="AI1328" s="4"/>
      <c r="AJ1328" s="4"/>
      <c r="AK1328" s="4"/>
      <c r="AL1328" s="4"/>
      <c r="AM1328" s="4"/>
      <c r="AN1328" s="4"/>
      <c r="AO1328" s="4"/>
      <c r="AP1328" s="4"/>
      <c r="AQ1328" s="4"/>
      <c r="AR1328" s="4"/>
      <c r="AS1328" s="4"/>
      <c r="AT1328" s="4"/>
      <c r="AU1328" s="4"/>
      <c r="AV1328" s="4"/>
      <c r="AW1328" s="4"/>
      <c r="AX1328" s="4"/>
      <c r="AY1328" s="4"/>
      <c r="AZ1328" s="4"/>
      <c r="BA1328" s="4"/>
      <c r="BB1328" s="4"/>
      <c r="BC1328" s="4"/>
      <c r="BD1328" s="4"/>
      <c r="BE1328" s="4"/>
      <c r="BF1328" s="4"/>
      <c r="BG1328" s="4"/>
      <c r="BH1328" s="4"/>
      <c r="BI1328" s="4"/>
      <c r="BJ1328" s="4"/>
      <c r="BK1328" s="4"/>
      <c r="BL1328" s="4"/>
      <c r="BM1328" s="4"/>
      <c r="BN1328" s="4"/>
      <c r="BO1328" s="4"/>
      <c r="BP1328" s="4"/>
      <c r="BQ1328" s="4"/>
      <c r="BR1328" s="4"/>
      <c r="BS1328" s="4"/>
      <c r="BT1328" s="4"/>
      <c r="BU1328" s="4"/>
      <c r="BV1328" s="4"/>
      <c r="BW1328" s="4"/>
      <c r="BX1328" s="4"/>
      <c r="BY1328" s="4"/>
      <c r="BZ1328" s="4"/>
      <c r="CA1328" s="4"/>
      <c r="CB1328" s="4"/>
      <c r="CC1328" s="4"/>
      <c r="CD1328" s="4"/>
      <c r="CE1328" s="4"/>
      <c r="CF1328" s="4"/>
      <c r="CG1328" s="4"/>
      <c r="CH1328" s="4"/>
      <c r="CI1328" s="4"/>
      <c r="CJ1328" s="4"/>
      <c r="CK1328" s="4"/>
      <c r="CL1328" s="4"/>
      <c r="CM1328" s="4"/>
      <c r="CN1328" s="4"/>
      <c r="CO1328" s="4"/>
      <c r="CP1328" s="4"/>
      <c r="CQ1328" s="4"/>
      <c r="CR1328" s="4"/>
      <c r="CS1328" s="4"/>
      <c r="CT1328" s="4"/>
      <c r="CU1328" s="4"/>
      <c r="CV1328" s="4"/>
      <c r="CW1328" s="4"/>
      <c r="CX1328" s="4"/>
      <c r="CY1328" s="4"/>
      <c r="CZ1328" s="4"/>
      <c r="DA1328" s="4"/>
      <c r="DB1328" s="4"/>
      <c r="DC1328" s="4"/>
      <c r="DD1328" s="4"/>
      <c r="DE1328" s="4"/>
      <c r="DF1328" s="4"/>
      <c r="DG1328" s="4"/>
      <c r="DH1328" s="4"/>
      <c r="DI1328" s="4"/>
      <c r="DJ1328" s="4"/>
      <c r="DK1328" s="4"/>
      <c r="DL1328" s="4"/>
      <c r="DM1328" s="4"/>
      <c r="DN1328" s="4"/>
      <c r="DO1328" s="4"/>
      <c r="DP1328" s="4"/>
      <c r="DQ1328" s="4"/>
      <c r="DR1328" s="4"/>
      <c r="DS1328" s="4"/>
    </row>
    <row r="1329">
      <c r="A1329" s="9">
        <f>IFERROR(__xludf.DUMMYFUNCTION("""COMPUTED_VALUE"""),45837.0)</f>
        <v>45837</v>
      </c>
      <c r="B1329" s="6" t="str">
        <f>IFERROR(__xludf.DUMMYFUNCTION("""COMPUTED_VALUE"""),"Sports")</f>
        <v>Sports</v>
      </c>
      <c r="C1329" s="7">
        <f>IFERROR(__xludf.DUMMYFUNCTION("""COMPUTED_VALUE"""),7000.0)</f>
        <v>7000</v>
      </c>
      <c r="D1329" s="6" t="str">
        <f>IFERROR(__xludf.DUMMYFUNCTION("""COMPUTED_VALUE"""),"Sports")</f>
        <v>Sports</v>
      </c>
      <c r="E1329" s="6" t="str">
        <f>IFERROR(__xludf.DUMMYFUNCTION("""COMPUTED_VALUE"""),"Virtual Wallet")</f>
        <v>Virtual Wallet</v>
      </c>
      <c r="F1329" s="6" t="s">
        <v>12</v>
      </c>
      <c r="G1329" s="8" t="str">
        <f t="shared" si="1"/>
        <v>202506</v>
      </c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  <c r="AA1329" s="4"/>
      <c r="AB1329" s="4"/>
      <c r="AC1329" s="4"/>
      <c r="AD1329" s="4"/>
      <c r="AE1329" s="4"/>
      <c r="AF1329" s="4"/>
      <c r="AG1329" s="4"/>
      <c r="AH1329" s="4"/>
      <c r="AI1329" s="4"/>
      <c r="AJ1329" s="4"/>
      <c r="AK1329" s="4"/>
      <c r="AL1329" s="4"/>
      <c r="AM1329" s="4"/>
      <c r="AN1329" s="4"/>
      <c r="AO1329" s="4"/>
      <c r="AP1329" s="4"/>
      <c r="AQ1329" s="4"/>
      <c r="AR1329" s="4"/>
      <c r="AS1329" s="4"/>
      <c r="AT1329" s="4"/>
      <c r="AU1329" s="4"/>
      <c r="AV1329" s="4"/>
      <c r="AW1329" s="4"/>
      <c r="AX1329" s="4"/>
      <c r="AY1329" s="4"/>
      <c r="AZ1329" s="4"/>
      <c r="BA1329" s="4"/>
      <c r="BB1329" s="4"/>
      <c r="BC1329" s="4"/>
      <c r="BD1329" s="4"/>
      <c r="BE1329" s="4"/>
      <c r="BF1329" s="4"/>
      <c r="BG1329" s="4"/>
      <c r="BH1329" s="4"/>
      <c r="BI1329" s="4"/>
      <c r="BJ1329" s="4"/>
      <c r="BK1329" s="4"/>
      <c r="BL1329" s="4"/>
      <c r="BM1329" s="4"/>
      <c r="BN1329" s="4"/>
      <c r="BO1329" s="4"/>
      <c r="BP1329" s="4"/>
      <c r="BQ1329" s="4"/>
      <c r="BR1329" s="4"/>
      <c r="BS1329" s="4"/>
      <c r="BT1329" s="4"/>
      <c r="BU1329" s="4"/>
      <c r="BV1329" s="4"/>
      <c r="BW1329" s="4"/>
      <c r="BX1329" s="4"/>
      <c r="BY1329" s="4"/>
      <c r="BZ1329" s="4"/>
      <c r="CA1329" s="4"/>
      <c r="CB1329" s="4"/>
      <c r="CC1329" s="4"/>
      <c r="CD1329" s="4"/>
      <c r="CE1329" s="4"/>
      <c r="CF1329" s="4"/>
      <c r="CG1329" s="4"/>
      <c r="CH1329" s="4"/>
      <c r="CI1329" s="4"/>
      <c r="CJ1329" s="4"/>
      <c r="CK1329" s="4"/>
      <c r="CL1329" s="4"/>
      <c r="CM1329" s="4"/>
      <c r="CN1329" s="4"/>
      <c r="CO1329" s="4"/>
      <c r="CP1329" s="4"/>
      <c r="CQ1329" s="4"/>
      <c r="CR1329" s="4"/>
      <c r="CS1329" s="4"/>
      <c r="CT1329" s="4"/>
      <c r="CU1329" s="4"/>
      <c r="CV1329" s="4"/>
      <c r="CW1329" s="4"/>
      <c r="CX1329" s="4"/>
      <c r="CY1329" s="4"/>
      <c r="CZ1329" s="4"/>
      <c r="DA1329" s="4"/>
      <c r="DB1329" s="4"/>
      <c r="DC1329" s="4"/>
      <c r="DD1329" s="4"/>
      <c r="DE1329" s="4"/>
      <c r="DF1329" s="4"/>
      <c r="DG1329" s="4"/>
      <c r="DH1329" s="4"/>
      <c r="DI1329" s="4"/>
      <c r="DJ1329" s="4"/>
      <c r="DK1329" s="4"/>
      <c r="DL1329" s="4"/>
      <c r="DM1329" s="4"/>
      <c r="DN1329" s="4"/>
      <c r="DO1329" s="4"/>
      <c r="DP1329" s="4"/>
      <c r="DQ1329" s="4"/>
      <c r="DR1329" s="4"/>
      <c r="DS1329" s="4"/>
    </row>
    <row r="1330">
      <c r="A1330" s="9">
        <f>IFERROR(__xludf.DUMMYFUNCTION("""COMPUTED_VALUE"""),45838.0)</f>
        <v>45838</v>
      </c>
      <c r="B1330" s="6" t="str">
        <f>IFERROR(__xludf.DUMMYFUNCTION("""COMPUTED_VALUE"""),"Delivery")</f>
        <v>Delivery</v>
      </c>
      <c r="C1330" s="7">
        <f>IFERROR(__xludf.DUMMYFUNCTION("""COMPUTED_VALUE"""),12079.0)</f>
        <v>12079</v>
      </c>
      <c r="D1330" s="6" t="str">
        <f>IFERROR(__xludf.DUMMYFUNCTION("""COMPUTED_VALUE"""),"Restaurant / Café")</f>
        <v>Restaurant / Café</v>
      </c>
      <c r="E1330" s="6" t="str">
        <f>IFERROR(__xludf.DUMMYFUNCTION("""COMPUTED_VALUE"""),"Credit Card")</f>
        <v>Credit Card</v>
      </c>
      <c r="F1330" s="6" t="s">
        <v>14</v>
      </c>
      <c r="G1330" s="8" t="str">
        <f t="shared" si="1"/>
        <v>202506</v>
      </c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  <c r="AA1330" s="4"/>
      <c r="AB1330" s="4"/>
      <c r="AC1330" s="4"/>
      <c r="AD1330" s="4"/>
      <c r="AE1330" s="4"/>
      <c r="AF1330" s="4"/>
      <c r="AG1330" s="4"/>
      <c r="AH1330" s="4"/>
      <c r="AI1330" s="4"/>
      <c r="AJ1330" s="4"/>
      <c r="AK1330" s="4"/>
      <c r="AL1330" s="4"/>
      <c r="AM1330" s="4"/>
      <c r="AN1330" s="4"/>
      <c r="AO1330" s="4"/>
      <c r="AP1330" s="4"/>
      <c r="AQ1330" s="4"/>
      <c r="AR1330" s="4"/>
      <c r="AS1330" s="4"/>
      <c r="AT1330" s="4"/>
      <c r="AU1330" s="4"/>
      <c r="AV1330" s="4"/>
      <c r="AW1330" s="4"/>
      <c r="AX1330" s="4"/>
      <c r="AY1330" s="4"/>
      <c r="AZ1330" s="4"/>
      <c r="BA1330" s="4"/>
      <c r="BB1330" s="4"/>
      <c r="BC1330" s="4"/>
      <c r="BD1330" s="4"/>
      <c r="BE1330" s="4"/>
      <c r="BF1330" s="4"/>
      <c r="BG1330" s="4"/>
      <c r="BH1330" s="4"/>
      <c r="BI1330" s="4"/>
      <c r="BJ1330" s="4"/>
      <c r="BK1330" s="4"/>
      <c r="BL1330" s="4"/>
      <c r="BM1330" s="4"/>
      <c r="BN1330" s="4"/>
      <c r="BO1330" s="4"/>
      <c r="BP1330" s="4"/>
      <c r="BQ1330" s="4"/>
      <c r="BR1330" s="4"/>
      <c r="BS1330" s="4"/>
      <c r="BT1330" s="4"/>
      <c r="BU1330" s="4"/>
      <c r="BV1330" s="4"/>
      <c r="BW1330" s="4"/>
      <c r="BX1330" s="4"/>
      <c r="BY1330" s="4"/>
      <c r="BZ1330" s="4"/>
      <c r="CA1330" s="4"/>
      <c r="CB1330" s="4"/>
      <c r="CC1330" s="4"/>
      <c r="CD1330" s="4"/>
      <c r="CE1330" s="4"/>
      <c r="CF1330" s="4"/>
      <c r="CG1330" s="4"/>
      <c r="CH1330" s="4"/>
      <c r="CI1330" s="4"/>
      <c r="CJ1330" s="4"/>
      <c r="CK1330" s="4"/>
      <c r="CL1330" s="4"/>
      <c r="CM1330" s="4"/>
      <c r="CN1330" s="4"/>
      <c r="CO1330" s="4"/>
      <c r="CP1330" s="4"/>
      <c r="CQ1330" s="4"/>
      <c r="CR1330" s="4"/>
      <c r="CS1330" s="4"/>
      <c r="CT1330" s="4"/>
      <c r="CU1330" s="4"/>
      <c r="CV1330" s="4"/>
      <c r="CW1330" s="4"/>
      <c r="CX1330" s="4"/>
      <c r="CY1330" s="4"/>
      <c r="CZ1330" s="4"/>
      <c r="DA1330" s="4"/>
      <c r="DB1330" s="4"/>
      <c r="DC1330" s="4"/>
      <c r="DD1330" s="4"/>
      <c r="DE1330" s="4"/>
      <c r="DF1330" s="4"/>
      <c r="DG1330" s="4"/>
      <c r="DH1330" s="4"/>
      <c r="DI1330" s="4"/>
      <c r="DJ1330" s="4"/>
      <c r="DK1330" s="4"/>
      <c r="DL1330" s="4"/>
      <c r="DM1330" s="4"/>
      <c r="DN1330" s="4"/>
      <c r="DO1330" s="4"/>
      <c r="DP1330" s="4"/>
      <c r="DQ1330" s="4"/>
      <c r="DR1330" s="4"/>
      <c r="DS1330" s="4"/>
    </row>
    <row r="1331">
      <c r="A1331" s="9">
        <f>IFERROR(__xludf.DUMMYFUNCTION("""COMPUTED_VALUE"""),45838.0)</f>
        <v>45838</v>
      </c>
      <c r="B1331" s="6" t="str">
        <f>IFERROR(__xludf.DUMMYFUNCTION("""COMPUTED_VALUE"""),"Internet Services")</f>
        <v>Internet Services</v>
      </c>
      <c r="C1331" s="7">
        <f>IFERROR(__xludf.DUMMYFUNCTION("""COMPUTED_VALUE"""),35510.0)</f>
        <v>35510</v>
      </c>
      <c r="D1331" s="6" t="str">
        <f>IFERROR(__xludf.DUMMYFUNCTION("""COMPUTED_VALUE"""),"Basic Services")</f>
        <v>Basic Services</v>
      </c>
      <c r="E1331" s="6" t="str">
        <f>IFERROR(__xludf.DUMMYFUNCTION("""COMPUTED_VALUE"""),"Credit Card")</f>
        <v>Credit Card</v>
      </c>
      <c r="F1331" s="6" t="s">
        <v>13</v>
      </c>
      <c r="G1331" s="8" t="str">
        <f t="shared" si="1"/>
        <v>202506</v>
      </c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  <c r="AA1331" s="4"/>
      <c r="AB1331" s="4"/>
      <c r="AC1331" s="4"/>
      <c r="AD1331" s="4"/>
      <c r="AE1331" s="4"/>
      <c r="AF1331" s="4"/>
      <c r="AG1331" s="4"/>
      <c r="AH1331" s="4"/>
      <c r="AI1331" s="4"/>
      <c r="AJ1331" s="4"/>
      <c r="AK1331" s="4"/>
      <c r="AL1331" s="4"/>
      <c r="AM1331" s="4"/>
      <c r="AN1331" s="4"/>
      <c r="AO1331" s="4"/>
      <c r="AP1331" s="4"/>
      <c r="AQ1331" s="4"/>
      <c r="AR1331" s="4"/>
      <c r="AS1331" s="4"/>
      <c r="AT1331" s="4"/>
      <c r="AU1331" s="4"/>
      <c r="AV1331" s="4"/>
      <c r="AW1331" s="4"/>
      <c r="AX1331" s="4"/>
      <c r="AY1331" s="4"/>
      <c r="AZ1331" s="4"/>
      <c r="BA1331" s="4"/>
      <c r="BB1331" s="4"/>
      <c r="BC1331" s="4"/>
      <c r="BD1331" s="4"/>
      <c r="BE1331" s="4"/>
      <c r="BF1331" s="4"/>
      <c r="BG1331" s="4"/>
      <c r="BH1331" s="4"/>
      <c r="BI1331" s="4"/>
      <c r="BJ1331" s="4"/>
      <c r="BK1331" s="4"/>
      <c r="BL1331" s="4"/>
      <c r="BM1331" s="4"/>
      <c r="BN1331" s="4"/>
      <c r="BO1331" s="4"/>
      <c r="BP1331" s="4"/>
      <c r="BQ1331" s="4"/>
      <c r="BR1331" s="4"/>
      <c r="BS1331" s="4"/>
      <c r="BT1331" s="4"/>
      <c r="BU1331" s="4"/>
      <c r="BV1331" s="4"/>
      <c r="BW1331" s="4"/>
      <c r="BX1331" s="4"/>
      <c r="BY1331" s="4"/>
      <c r="BZ1331" s="4"/>
      <c r="CA1331" s="4"/>
      <c r="CB1331" s="4"/>
      <c r="CC1331" s="4"/>
      <c r="CD1331" s="4"/>
      <c r="CE1331" s="4"/>
      <c r="CF1331" s="4"/>
      <c r="CG1331" s="4"/>
      <c r="CH1331" s="4"/>
      <c r="CI1331" s="4"/>
      <c r="CJ1331" s="4"/>
      <c r="CK1331" s="4"/>
      <c r="CL1331" s="4"/>
      <c r="CM1331" s="4"/>
      <c r="CN1331" s="4"/>
      <c r="CO1331" s="4"/>
      <c r="CP1331" s="4"/>
      <c r="CQ1331" s="4"/>
      <c r="CR1331" s="4"/>
      <c r="CS1331" s="4"/>
      <c r="CT1331" s="4"/>
      <c r="CU1331" s="4"/>
      <c r="CV1331" s="4"/>
      <c r="CW1331" s="4"/>
      <c r="CX1331" s="4"/>
      <c r="CY1331" s="4"/>
      <c r="CZ1331" s="4"/>
      <c r="DA1331" s="4"/>
      <c r="DB1331" s="4"/>
      <c r="DC1331" s="4"/>
      <c r="DD1331" s="4"/>
      <c r="DE1331" s="4"/>
      <c r="DF1331" s="4"/>
      <c r="DG1331" s="4"/>
      <c r="DH1331" s="4"/>
      <c r="DI1331" s="4"/>
      <c r="DJ1331" s="4"/>
      <c r="DK1331" s="4"/>
      <c r="DL1331" s="4"/>
      <c r="DM1331" s="4"/>
      <c r="DN1331" s="4"/>
      <c r="DO1331" s="4"/>
      <c r="DP1331" s="4"/>
      <c r="DQ1331" s="4"/>
      <c r="DR1331" s="4"/>
      <c r="DS1331" s="4"/>
    </row>
    <row r="1332">
      <c r="A1332" s="9">
        <f>IFERROR(__xludf.DUMMYFUNCTION("""COMPUTED_VALUE"""),45839.0)</f>
        <v>45839</v>
      </c>
      <c r="B1332" s="6" t="str">
        <f>IFERROR(__xludf.DUMMYFUNCTION("""COMPUTED_VALUE"""),"Gift")</f>
        <v>Gift</v>
      </c>
      <c r="C1332" s="7">
        <f>IFERROR(__xludf.DUMMYFUNCTION("""COMPUTED_VALUE"""),11667.0)</f>
        <v>11667</v>
      </c>
      <c r="D1332" s="6" t="str">
        <f>IFERROR(__xludf.DUMMYFUNCTION("""COMPUTED_VALUE"""),"Gifts")</f>
        <v>Gifts</v>
      </c>
      <c r="E1332" s="6" t="str">
        <f>IFERROR(__xludf.DUMMYFUNCTION("""COMPUTED_VALUE"""),"Credit Card")</f>
        <v>Credit Card</v>
      </c>
      <c r="F1332" s="6"/>
      <c r="G1332" s="8" t="str">
        <f t="shared" si="1"/>
        <v>202507</v>
      </c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  <c r="AA1332" s="4"/>
      <c r="AB1332" s="4"/>
      <c r="AC1332" s="4"/>
      <c r="AD1332" s="4"/>
      <c r="AE1332" s="4"/>
      <c r="AF1332" s="4"/>
      <c r="AG1332" s="4"/>
      <c r="AH1332" s="4"/>
      <c r="AI1332" s="4"/>
      <c r="AJ1332" s="4"/>
      <c r="AK1332" s="4"/>
      <c r="AL1332" s="4"/>
      <c r="AM1332" s="4"/>
      <c r="AN1332" s="4"/>
      <c r="AO1332" s="4"/>
      <c r="AP1332" s="4"/>
      <c r="AQ1332" s="4"/>
      <c r="AR1332" s="4"/>
      <c r="AS1332" s="4"/>
      <c r="AT1332" s="4"/>
      <c r="AU1332" s="4"/>
      <c r="AV1332" s="4"/>
      <c r="AW1332" s="4"/>
      <c r="AX1332" s="4"/>
      <c r="AY1332" s="4"/>
      <c r="AZ1332" s="4"/>
      <c r="BA1332" s="4"/>
      <c r="BB1332" s="4"/>
      <c r="BC1332" s="4"/>
      <c r="BD1332" s="4"/>
      <c r="BE1332" s="4"/>
      <c r="BF1332" s="4"/>
      <c r="BG1332" s="4"/>
      <c r="BH1332" s="4"/>
      <c r="BI1332" s="4"/>
      <c r="BJ1332" s="4"/>
      <c r="BK1332" s="4"/>
      <c r="BL1332" s="4"/>
      <c r="BM1332" s="4"/>
      <c r="BN1332" s="4"/>
      <c r="BO1332" s="4"/>
      <c r="BP1332" s="4"/>
      <c r="BQ1332" s="4"/>
      <c r="BR1332" s="4"/>
      <c r="BS1332" s="4"/>
      <c r="BT1332" s="4"/>
      <c r="BU1332" s="4"/>
      <c r="BV1332" s="4"/>
      <c r="BW1332" s="4"/>
      <c r="BX1332" s="4"/>
      <c r="BY1332" s="4"/>
      <c r="BZ1332" s="4"/>
      <c r="CA1332" s="4"/>
      <c r="CB1332" s="4"/>
      <c r="CC1332" s="4"/>
      <c r="CD1332" s="4"/>
      <c r="CE1332" s="4"/>
      <c r="CF1332" s="4"/>
      <c r="CG1332" s="4"/>
      <c r="CH1332" s="4"/>
      <c r="CI1332" s="4"/>
      <c r="CJ1332" s="4"/>
      <c r="CK1332" s="4"/>
      <c r="CL1332" s="4"/>
      <c r="CM1332" s="4"/>
      <c r="CN1332" s="4"/>
      <c r="CO1332" s="4"/>
      <c r="CP1332" s="4"/>
      <c r="CQ1332" s="4"/>
      <c r="CR1332" s="4"/>
      <c r="CS1332" s="4"/>
      <c r="CT1332" s="4"/>
      <c r="CU1332" s="4"/>
      <c r="CV1332" s="4"/>
      <c r="CW1332" s="4"/>
      <c r="CX1332" s="4"/>
      <c r="CY1332" s="4"/>
      <c r="CZ1332" s="4"/>
      <c r="DA1332" s="4"/>
      <c r="DB1332" s="4"/>
      <c r="DC1332" s="4"/>
      <c r="DD1332" s="4"/>
      <c r="DE1332" s="4"/>
      <c r="DF1332" s="4"/>
      <c r="DG1332" s="4"/>
      <c r="DH1332" s="4"/>
      <c r="DI1332" s="4"/>
      <c r="DJ1332" s="4"/>
      <c r="DK1332" s="4"/>
      <c r="DL1332" s="4"/>
      <c r="DM1332" s="4"/>
      <c r="DN1332" s="4"/>
      <c r="DO1332" s="4"/>
      <c r="DP1332" s="4"/>
      <c r="DQ1332" s="4"/>
      <c r="DR1332" s="4"/>
      <c r="DS1332" s="4"/>
    </row>
    <row r="1333">
      <c r="A1333" s="9">
        <f>IFERROR(__xludf.DUMMYFUNCTION("""COMPUTED_VALUE"""),45839.0)</f>
        <v>45839</v>
      </c>
      <c r="B1333" s="6" t="str">
        <f>IFERROR(__xludf.DUMMYFUNCTION("""COMPUTED_VALUE"""),"Home Goods")</f>
        <v>Home Goods</v>
      </c>
      <c r="C1333" s="7">
        <f>IFERROR(__xludf.DUMMYFUNCTION("""COMPUTED_VALUE"""),5500.0)</f>
        <v>5500</v>
      </c>
      <c r="D1333" s="6" t="str">
        <f>IFERROR(__xludf.DUMMYFUNCTION("""COMPUTED_VALUE"""),"Home Goods &amp; Utilities")</f>
        <v>Home Goods &amp; Utilities</v>
      </c>
      <c r="E1333" s="6" t="str">
        <f>IFERROR(__xludf.DUMMYFUNCTION("""COMPUTED_VALUE"""),"Split Payment")</f>
        <v>Split Payment</v>
      </c>
      <c r="F1333" s="6" t="s">
        <v>8</v>
      </c>
      <c r="G1333" s="8" t="str">
        <f t="shared" si="1"/>
        <v>202507</v>
      </c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  <c r="AA1333" s="4"/>
      <c r="AB1333" s="4"/>
      <c r="AC1333" s="4"/>
      <c r="AD1333" s="4"/>
      <c r="AE1333" s="4"/>
      <c r="AF1333" s="4"/>
      <c r="AG1333" s="4"/>
      <c r="AH1333" s="4"/>
      <c r="AI1333" s="4"/>
      <c r="AJ1333" s="4"/>
      <c r="AK1333" s="4"/>
      <c r="AL1333" s="4"/>
      <c r="AM1333" s="4"/>
      <c r="AN1333" s="4"/>
      <c r="AO1333" s="4"/>
      <c r="AP1333" s="4"/>
      <c r="AQ1333" s="4"/>
      <c r="AR1333" s="4"/>
      <c r="AS1333" s="4"/>
      <c r="AT1333" s="4"/>
      <c r="AU1333" s="4"/>
      <c r="AV1333" s="4"/>
      <c r="AW1333" s="4"/>
      <c r="AX1333" s="4"/>
      <c r="AY1333" s="4"/>
      <c r="AZ1333" s="4"/>
      <c r="BA1333" s="4"/>
      <c r="BB1333" s="4"/>
      <c r="BC1333" s="4"/>
      <c r="BD1333" s="4"/>
      <c r="BE1333" s="4"/>
      <c r="BF1333" s="4"/>
      <c r="BG1333" s="4"/>
      <c r="BH1333" s="4"/>
      <c r="BI1333" s="4"/>
      <c r="BJ1333" s="4"/>
      <c r="BK1333" s="4"/>
      <c r="BL1333" s="4"/>
      <c r="BM1333" s="4"/>
      <c r="BN1333" s="4"/>
      <c r="BO1333" s="4"/>
      <c r="BP1333" s="4"/>
      <c r="BQ1333" s="4"/>
      <c r="BR1333" s="4"/>
      <c r="BS1333" s="4"/>
      <c r="BT1333" s="4"/>
      <c r="BU1333" s="4"/>
      <c r="BV1333" s="4"/>
      <c r="BW1333" s="4"/>
      <c r="BX1333" s="4"/>
      <c r="BY1333" s="4"/>
      <c r="BZ1333" s="4"/>
      <c r="CA1333" s="4"/>
      <c r="CB1333" s="4"/>
      <c r="CC1333" s="4"/>
      <c r="CD1333" s="4"/>
      <c r="CE1333" s="4"/>
      <c r="CF1333" s="4"/>
      <c r="CG1333" s="4"/>
      <c r="CH1333" s="4"/>
      <c r="CI1333" s="4"/>
      <c r="CJ1333" s="4"/>
      <c r="CK1333" s="4"/>
      <c r="CL1333" s="4"/>
      <c r="CM1333" s="4"/>
      <c r="CN1333" s="4"/>
      <c r="CO1333" s="4"/>
      <c r="CP1333" s="4"/>
      <c r="CQ1333" s="4"/>
      <c r="CR1333" s="4"/>
      <c r="CS1333" s="4"/>
      <c r="CT1333" s="4"/>
      <c r="CU1333" s="4"/>
      <c r="CV1333" s="4"/>
      <c r="CW1333" s="4"/>
      <c r="CX1333" s="4"/>
      <c r="CY1333" s="4"/>
      <c r="CZ1333" s="4"/>
      <c r="DA1333" s="4"/>
      <c r="DB1333" s="4"/>
      <c r="DC1333" s="4"/>
      <c r="DD1333" s="4"/>
      <c r="DE1333" s="4"/>
      <c r="DF1333" s="4"/>
      <c r="DG1333" s="4"/>
      <c r="DH1333" s="4"/>
      <c r="DI1333" s="4"/>
      <c r="DJ1333" s="4"/>
      <c r="DK1333" s="4"/>
      <c r="DL1333" s="4"/>
      <c r="DM1333" s="4"/>
      <c r="DN1333" s="4"/>
      <c r="DO1333" s="4"/>
      <c r="DP1333" s="4"/>
      <c r="DQ1333" s="4"/>
      <c r="DR1333" s="4"/>
      <c r="DS1333" s="4"/>
    </row>
    <row r="1334">
      <c r="A1334" s="9">
        <f>IFERROR(__xludf.DUMMYFUNCTION("""COMPUTED_VALUE"""),45839.0)</f>
        <v>45839</v>
      </c>
      <c r="B1334" s="6" t="str">
        <f>IFERROR(__xludf.DUMMYFUNCTION("""COMPUTED_VALUE"""),"Groceries")</f>
        <v>Groceries</v>
      </c>
      <c r="C1334" s="7">
        <f>IFERROR(__xludf.DUMMYFUNCTION("""COMPUTED_VALUE"""),2000.0)</f>
        <v>2000</v>
      </c>
      <c r="D1334" s="6" t="str">
        <f>IFERROR(__xludf.DUMMYFUNCTION("""COMPUTED_VALUE"""),"Groceries")</f>
        <v>Groceries</v>
      </c>
      <c r="E1334" s="6" t="str">
        <f>IFERROR(__xludf.DUMMYFUNCTION("""COMPUTED_VALUE"""),"Split Payment")</f>
        <v>Split Payment</v>
      </c>
      <c r="F1334" s="6" t="s">
        <v>7</v>
      </c>
      <c r="G1334" s="8" t="str">
        <f t="shared" si="1"/>
        <v>202507</v>
      </c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  <c r="AA1334" s="4"/>
      <c r="AB1334" s="4"/>
      <c r="AC1334" s="4"/>
      <c r="AD1334" s="4"/>
      <c r="AE1334" s="4"/>
      <c r="AF1334" s="4"/>
      <c r="AG1334" s="4"/>
      <c r="AH1334" s="4"/>
      <c r="AI1334" s="4"/>
      <c r="AJ1334" s="4"/>
      <c r="AK1334" s="4"/>
      <c r="AL1334" s="4"/>
      <c r="AM1334" s="4"/>
      <c r="AN1334" s="4"/>
      <c r="AO1334" s="4"/>
      <c r="AP1334" s="4"/>
      <c r="AQ1334" s="4"/>
      <c r="AR1334" s="4"/>
      <c r="AS1334" s="4"/>
      <c r="AT1334" s="4"/>
      <c r="AU1334" s="4"/>
      <c r="AV1334" s="4"/>
      <c r="AW1334" s="4"/>
      <c r="AX1334" s="4"/>
      <c r="AY1334" s="4"/>
      <c r="AZ1334" s="4"/>
      <c r="BA1334" s="4"/>
      <c r="BB1334" s="4"/>
      <c r="BC1334" s="4"/>
      <c r="BD1334" s="4"/>
      <c r="BE1334" s="4"/>
      <c r="BF1334" s="4"/>
      <c r="BG1334" s="4"/>
      <c r="BH1334" s="4"/>
      <c r="BI1334" s="4"/>
      <c r="BJ1334" s="4"/>
      <c r="BK1334" s="4"/>
      <c r="BL1334" s="4"/>
      <c r="BM1334" s="4"/>
      <c r="BN1334" s="4"/>
      <c r="BO1334" s="4"/>
      <c r="BP1334" s="4"/>
      <c r="BQ1334" s="4"/>
      <c r="BR1334" s="4"/>
      <c r="BS1334" s="4"/>
      <c r="BT1334" s="4"/>
      <c r="BU1334" s="4"/>
      <c r="BV1334" s="4"/>
      <c r="BW1334" s="4"/>
      <c r="BX1334" s="4"/>
      <c r="BY1334" s="4"/>
      <c r="BZ1334" s="4"/>
      <c r="CA1334" s="4"/>
      <c r="CB1334" s="4"/>
      <c r="CC1334" s="4"/>
      <c r="CD1334" s="4"/>
      <c r="CE1334" s="4"/>
      <c r="CF1334" s="4"/>
      <c r="CG1334" s="4"/>
      <c r="CH1334" s="4"/>
      <c r="CI1334" s="4"/>
      <c r="CJ1334" s="4"/>
      <c r="CK1334" s="4"/>
      <c r="CL1334" s="4"/>
      <c r="CM1334" s="4"/>
      <c r="CN1334" s="4"/>
      <c r="CO1334" s="4"/>
      <c r="CP1334" s="4"/>
      <c r="CQ1334" s="4"/>
      <c r="CR1334" s="4"/>
      <c r="CS1334" s="4"/>
      <c r="CT1334" s="4"/>
      <c r="CU1334" s="4"/>
      <c r="CV1334" s="4"/>
      <c r="CW1334" s="4"/>
      <c r="CX1334" s="4"/>
      <c r="CY1334" s="4"/>
      <c r="CZ1334" s="4"/>
      <c r="DA1334" s="4"/>
      <c r="DB1334" s="4"/>
      <c r="DC1334" s="4"/>
      <c r="DD1334" s="4"/>
      <c r="DE1334" s="4"/>
      <c r="DF1334" s="4"/>
      <c r="DG1334" s="4"/>
      <c r="DH1334" s="4"/>
      <c r="DI1334" s="4"/>
      <c r="DJ1334" s="4"/>
      <c r="DK1334" s="4"/>
      <c r="DL1334" s="4"/>
      <c r="DM1334" s="4"/>
      <c r="DN1334" s="4"/>
      <c r="DO1334" s="4"/>
      <c r="DP1334" s="4"/>
      <c r="DQ1334" s="4"/>
      <c r="DR1334" s="4"/>
      <c r="DS1334" s="4"/>
    </row>
    <row r="1335">
      <c r="A1335" s="9">
        <f>IFERROR(__xludf.DUMMYFUNCTION("""COMPUTED_VALUE"""),45839.0)</f>
        <v>45839</v>
      </c>
      <c r="B1335" s="6" t="str">
        <f>IFERROR(__xludf.DUMMYFUNCTION("""COMPUTED_VALUE"""),"Pets")</f>
        <v>Pets</v>
      </c>
      <c r="C1335" s="7">
        <f>IFERROR(__xludf.DUMMYFUNCTION("""COMPUTED_VALUE"""),24500.0)</f>
        <v>24500</v>
      </c>
      <c r="D1335" s="6" t="str">
        <f>IFERROR(__xludf.DUMMYFUNCTION("""COMPUTED_VALUE"""),"Pets")</f>
        <v>Pets</v>
      </c>
      <c r="E1335" s="6" t="str">
        <f>IFERROR(__xludf.DUMMYFUNCTION("""COMPUTED_VALUE"""),"Split Payment")</f>
        <v>Split Payment</v>
      </c>
      <c r="F1335" s="6" t="s">
        <v>7</v>
      </c>
      <c r="G1335" s="8" t="str">
        <f t="shared" si="1"/>
        <v>202507</v>
      </c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  <c r="AA1335" s="4"/>
      <c r="AB1335" s="4"/>
      <c r="AC1335" s="4"/>
      <c r="AD1335" s="4"/>
      <c r="AE1335" s="4"/>
      <c r="AF1335" s="4"/>
      <c r="AG1335" s="4"/>
      <c r="AH1335" s="4"/>
      <c r="AI1335" s="4"/>
      <c r="AJ1335" s="4"/>
      <c r="AK1335" s="4"/>
      <c r="AL1335" s="4"/>
      <c r="AM1335" s="4"/>
      <c r="AN1335" s="4"/>
      <c r="AO1335" s="4"/>
      <c r="AP1335" s="4"/>
      <c r="AQ1335" s="4"/>
      <c r="AR1335" s="4"/>
      <c r="AS1335" s="4"/>
      <c r="AT1335" s="4"/>
      <c r="AU1335" s="4"/>
      <c r="AV1335" s="4"/>
      <c r="AW1335" s="4"/>
      <c r="AX1335" s="4"/>
      <c r="AY1335" s="4"/>
      <c r="AZ1335" s="4"/>
      <c r="BA1335" s="4"/>
      <c r="BB1335" s="4"/>
      <c r="BC1335" s="4"/>
      <c r="BD1335" s="4"/>
      <c r="BE1335" s="4"/>
      <c r="BF1335" s="4"/>
      <c r="BG1335" s="4"/>
      <c r="BH1335" s="4"/>
      <c r="BI1335" s="4"/>
      <c r="BJ1335" s="4"/>
      <c r="BK1335" s="4"/>
      <c r="BL1335" s="4"/>
      <c r="BM1335" s="4"/>
      <c r="BN1335" s="4"/>
      <c r="BO1335" s="4"/>
      <c r="BP1335" s="4"/>
      <c r="BQ1335" s="4"/>
      <c r="BR1335" s="4"/>
      <c r="BS1335" s="4"/>
      <c r="BT1335" s="4"/>
      <c r="BU1335" s="4"/>
      <c r="BV1335" s="4"/>
      <c r="BW1335" s="4"/>
      <c r="BX1335" s="4"/>
      <c r="BY1335" s="4"/>
      <c r="BZ1335" s="4"/>
      <c r="CA1335" s="4"/>
      <c r="CB1335" s="4"/>
      <c r="CC1335" s="4"/>
      <c r="CD1335" s="4"/>
      <c r="CE1335" s="4"/>
      <c r="CF1335" s="4"/>
      <c r="CG1335" s="4"/>
      <c r="CH1335" s="4"/>
      <c r="CI1335" s="4"/>
      <c r="CJ1335" s="4"/>
      <c r="CK1335" s="4"/>
      <c r="CL1335" s="4"/>
      <c r="CM1335" s="4"/>
      <c r="CN1335" s="4"/>
      <c r="CO1335" s="4"/>
      <c r="CP1335" s="4"/>
      <c r="CQ1335" s="4"/>
      <c r="CR1335" s="4"/>
      <c r="CS1335" s="4"/>
      <c r="CT1335" s="4"/>
      <c r="CU1335" s="4"/>
      <c r="CV1335" s="4"/>
      <c r="CW1335" s="4"/>
      <c r="CX1335" s="4"/>
      <c r="CY1335" s="4"/>
      <c r="CZ1335" s="4"/>
      <c r="DA1335" s="4"/>
      <c r="DB1335" s="4"/>
      <c r="DC1335" s="4"/>
      <c r="DD1335" s="4"/>
      <c r="DE1335" s="4"/>
      <c r="DF1335" s="4"/>
      <c r="DG1335" s="4"/>
      <c r="DH1335" s="4"/>
      <c r="DI1335" s="4"/>
      <c r="DJ1335" s="4"/>
      <c r="DK1335" s="4"/>
      <c r="DL1335" s="4"/>
      <c r="DM1335" s="4"/>
      <c r="DN1335" s="4"/>
      <c r="DO1335" s="4"/>
      <c r="DP1335" s="4"/>
      <c r="DQ1335" s="4"/>
      <c r="DR1335" s="4"/>
      <c r="DS1335" s="4"/>
    </row>
    <row r="1336">
      <c r="A1336" s="9">
        <f>IFERROR(__xludf.DUMMYFUNCTION("""COMPUTED_VALUE"""),45839.0)</f>
        <v>45839</v>
      </c>
      <c r="B1336" s="6" t="str">
        <f>IFERROR(__xludf.DUMMYFUNCTION("""COMPUTED_VALUE"""),"Pharmacy")</f>
        <v>Pharmacy</v>
      </c>
      <c r="C1336" s="7">
        <f>IFERROR(__xludf.DUMMYFUNCTION("""COMPUTED_VALUE"""),4570.0)</f>
        <v>4570</v>
      </c>
      <c r="D1336" s="6" t="str">
        <f>IFERROR(__xludf.DUMMYFUNCTION("""COMPUTED_VALUE"""),"Healthcare")</f>
        <v>Healthcare</v>
      </c>
      <c r="E1336" s="6" t="str">
        <f>IFERROR(__xludf.DUMMYFUNCTION("""COMPUTED_VALUE"""),"Split Payment")</f>
        <v>Split Payment</v>
      </c>
      <c r="F1336" s="6" t="s">
        <v>15</v>
      </c>
      <c r="G1336" s="8" t="str">
        <f t="shared" si="1"/>
        <v>202507</v>
      </c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  <c r="AA1336" s="4"/>
      <c r="AB1336" s="4"/>
      <c r="AC1336" s="4"/>
      <c r="AD1336" s="4"/>
      <c r="AE1336" s="4"/>
      <c r="AF1336" s="4"/>
      <c r="AG1336" s="4"/>
      <c r="AH1336" s="4"/>
      <c r="AI1336" s="4"/>
      <c r="AJ1336" s="4"/>
      <c r="AK1336" s="4"/>
      <c r="AL1336" s="4"/>
      <c r="AM1336" s="4"/>
      <c r="AN1336" s="4"/>
      <c r="AO1336" s="4"/>
      <c r="AP1336" s="4"/>
      <c r="AQ1336" s="4"/>
      <c r="AR1336" s="4"/>
      <c r="AS1336" s="4"/>
      <c r="AT1336" s="4"/>
      <c r="AU1336" s="4"/>
      <c r="AV1336" s="4"/>
      <c r="AW1336" s="4"/>
      <c r="AX1336" s="4"/>
      <c r="AY1336" s="4"/>
      <c r="AZ1336" s="4"/>
      <c r="BA1336" s="4"/>
      <c r="BB1336" s="4"/>
      <c r="BC1336" s="4"/>
      <c r="BD1336" s="4"/>
      <c r="BE1336" s="4"/>
      <c r="BF1336" s="4"/>
      <c r="BG1336" s="4"/>
      <c r="BH1336" s="4"/>
      <c r="BI1336" s="4"/>
      <c r="BJ1336" s="4"/>
      <c r="BK1336" s="4"/>
      <c r="BL1336" s="4"/>
      <c r="BM1336" s="4"/>
      <c r="BN1336" s="4"/>
      <c r="BO1336" s="4"/>
      <c r="BP1336" s="4"/>
      <c r="BQ1336" s="4"/>
      <c r="BR1336" s="4"/>
      <c r="BS1336" s="4"/>
      <c r="BT1336" s="4"/>
      <c r="BU1336" s="4"/>
      <c r="BV1336" s="4"/>
      <c r="BW1336" s="4"/>
      <c r="BX1336" s="4"/>
      <c r="BY1336" s="4"/>
      <c r="BZ1336" s="4"/>
      <c r="CA1336" s="4"/>
      <c r="CB1336" s="4"/>
      <c r="CC1336" s="4"/>
      <c r="CD1336" s="4"/>
      <c r="CE1336" s="4"/>
      <c r="CF1336" s="4"/>
      <c r="CG1336" s="4"/>
      <c r="CH1336" s="4"/>
      <c r="CI1336" s="4"/>
      <c r="CJ1336" s="4"/>
      <c r="CK1336" s="4"/>
      <c r="CL1336" s="4"/>
      <c r="CM1336" s="4"/>
      <c r="CN1336" s="4"/>
      <c r="CO1336" s="4"/>
      <c r="CP1336" s="4"/>
      <c r="CQ1336" s="4"/>
      <c r="CR1336" s="4"/>
      <c r="CS1336" s="4"/>
      <c r="CT1336" s="4"/>
      <c r="CU1336" s="4"/>
      <c r="CV1336" s="4"/>
      <c r="CW1336" s="4"/>
      <c r="CX1336" s="4"/>
      <c r="CY1336" s="4"/>
      <c r="CZ1336" s="4"/>
      <c r="DA1336" s="4"/>
      <c r="DB1336" s="4"/>
      <c r="DC1336" s="4"/>
      <c r="DD1336" s="4"/>
      <c r="DE1336" s="4"/>
      <c r="DF1336" s="4"/>
      <c r="DG1336" s="4"/>
      <c r="DH1336" s="4"/>
      <c r="DI1336" s="4"/>
      <c r="DJ1336" s="4"/>
      <c r="DK1336" s="4"/>
      <c r="DL1336" s="4"/>
      <c r="DM1336" s="4"/>
      <c r="DN1336" s="4"/>
      <c r="DO1336" s="4"/>
      <c r="DP1336" s="4"/>
      <c r="DQ1336" s="4"/>
      <c r="DR1336" s="4"/>
      <c r="DS1336" s="4"/>
    </row>
    <row r="1337">
      <c r="A1337" s="9">
        <f>IFERROR(__xludf.DUMMYFUNCTION("""COMPUTED_VALUE"""),45840.0)</f>
        <v>45840</v>
      </c>
      <c r="B1337" s="6" t="str">
        <f>IFERROR(__xludf.DUMMYFUNCTION("""COMPUTED_VALUE"""),"Education")</f>
        <v>Education</v>
      </c>
      <c r="C1337" s="7">
        <f>IFERROR(__xludf.DUMMYFUNCTION("""COMPUTED_VALUE"""),1800.0)</f>
        <v>1800</v>
      </c>
      <c r="D1337" s="6" t="str">
        <f>IFERROR(__xludf.DUMMYFUNCTION("""COMPUTED_VALUE"""),"Education")</f>
        <v>Education</v>
      </c>
      <c r="E1337" s="6" t="str">
        <f>IFERROR(__xludf.DUMMYFUNCTION("""COMPUTED_VALUE"""),"Credit Card")</f>
        <v>Credit Card</v>
      </c>
      <c r="F1337" s="6" t="s">
        <v>11</v>
      </c>
      <c r="G1337" s="8" t="str">
        <f t="shared" si="1"/>
        <v>202507</v>
      </c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  <c r="AA1337" s="4"/>
      <c r="AB1337" s="4"/>
      <c r="AC1337" s="4"/>
      <c r="AD1337" s="4"/>
      <c r="AE1337" s="4"/>
      <c r="AF1337" s="4"/>
      <c r="AG1337" s="4"/>
      <c r="AH1337" s="4"/>
      <c r="AI1337" s="4"/>
      <c r="AJ1337" s="4"/>
      <c r="AK1337" s="4"/>
      <c r="AL1337" s="4"/>
      <c r="AM1337" s="4"/>
      <c r="AN1337" s="4"/>
      <c r="AO1337" s="4"/>
      <c r="AP1337" s="4"/>
      <c r="AQ1337" s="4"/>
      <c r="AR1337" s="4"/>
      <c r="AS1337" s="4"/>
      <c r="AT1337" s="4"/>
      <c r="AU1337" s="4"/>
      <c r="AV1337" s="4"/>
      <c r="AW1337" s="4"/>
      <c r="AX1337" s="4"/>
      <c r="AY1337" s="4"/>
      <c r="AZ1337" s="4"/>
      <c r="BA1337" s="4"/>
      <c r="BB1337" s="4"/>
      <c r="BC1337" s="4"/>
      <c r="BD1337" s="4"/>
      <c r="BE1337" s="4"/>
      <c r="BF1337" s="4"/>
      <c r="BG1337" s="4"/>
      <c r="BH1337" s="4"/>
      <c r="BI1337" s="4"/>
      <c r="BJ1337" s="4"/>
      <c r="BK1337" s="4"/>
      <c r="BL1337" s="4"/>
      <c r="BM1337" s="4"/>
      <c r="BN1337" s="4"/>
      <c r="BO1337" s="4"/>
      <c r="BP1337" s="4"/>
      <c r="BQ1337" s="4"/>
      <c r="BR1337" s="4"/>
      <c r="BS1337" s="4"/>
      <c r="BT1337" s="4"/>
      <c r="BU1337" s="4"/>
      <c r="BV1337" s="4"/>
      <c r="BW1337" s="4"/>
      <c r="BX1337" s="4"/>
      <c r="BY1337" s="4"/>
      <c r="BZ1337" s="4"/>
      <c r="CA1337" s="4"/>
      <c r="CB1337" s="4"/>
      <c r="CC1337" s="4"/>
      <c r="CD1337" s="4"/>
      <c r="CE1337" s="4"/>
      <c r="CF1337" s="4"/>
      <c r="CG1337" s="4"/>
      <c r="CH1337" s="4"/>
      <c r="CI1337" s="4"/>
      <c r="CJ1337" s="4"/>
      <c r="CK1337" s="4"/>
      <c r="CL1337" s="4"/>
      <c r="CM1337" s="4"/>
      <c r="CN1337" s="4"/>
      <c r="CO1337" s="4"/>
      <c r="CP1337" s="4"/>
      <c r="CQ1337" s="4"/>
      <c r="CR1337" s="4"/>
      <c r="CS1337" s="4"/>
      <c r="CT1337" s="4"/>
      <c r="CU1337" s="4"/>
      <c r="CV1337" s="4"/>
      <c r="CW1337" s="4"/>
      <c r="CX1337" s="4"/>
      <c r="CY1337" s="4"/>
      <c r="CZ1337" s="4"/>
      <c r="DA1337" s="4"/>
      <c r="DB1337" s="4"/>
      <c r="DC1337" s="4"/>
      <c r="DD1337" s="4"/>
      <c r="DE1337" s="4"/>
      <c r="DF1337" s="4"/>
      <c r="DG1337" s="4"/>
      <c r="DH1337" s="4"/>
      <c r="DI1337" s="4"/>
      <c r="DJ1337" s="4"/>
      <c r="DK1337" s="4"/>
      <c r="DL1337" s="4"/>
      <c r="DM1337" s="4"/>
      <c r="DN1337" s="4"/>
      <c r="DO1337" s="4"/>
      <c r="DP1337" s="4"/>
      <c r="DQ1337" s="4"/>
      <c r="DR1337" s="4"/>
      <c r="DS1337" s="4"/>
    </row>
    <row r="1338">
      <c r="A1338" s="9">
        <f>IFERROR(__xludf.DUMMYFUNCTION("""COMPUTED_VALUE"""),45840.0)</f>
        <v>45840</v>
      </c>
      <c r="B1338" s="6" t="str">
        <f>IFERROR(__xludf.DUMMYFUNCTION("""COMPUTED_VALUE"""),"Education")</f>
        <v>Education</v>
      </c>
      <c r="C1338" s="7">
        <f>IFERROR(__xludf.DUMMYFUNCTION("""COMPUTED_VALUE"""),20000.0)</f>
        <v>20000</v>
      </c>
      <c r="D1338" s="6" t="str">
        <f>IFERROR(__xludf.DUMMYFUNCTION("""COMPUTED_VALUE"""),"Education")</f>
        <v>Education</v>
      </c>
      <c r="E1338" s="6" t="str">
        <f>IFERROR(__xludf.DUMMYFUNCTION("""COMPUTED_VALUE"""),"Credit Card")</f>
        <v>Credit Card</v>
      </c>
      <c r="F1338" s="6" t="s">
        <v>11</v>
      </c>
      <c r="G1338" s="8" t="str">
        <f t="shared" si="1"/>
        <v>202507</v>
      </c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  <c r="AA1338" s="4"/>
      <c r="AB1338" s="4"/>
      <c r="AC1338" s="4"/>
      <c r="AD1338" s="4"/>
      <c r="AE1338" s="4"/>
      <c r="AF1338" s="4"/>
      <c r="AG1338" s="4"/>
      <c r="AH1338" s="4"/>
      <c r="AI1338" s="4"/>
      <c r="AJ1338" s="4"/>
      <c r="AK1338" s="4"/>
      <c r="AL1338" s="4"/>
      <c r="AM1338" s="4"/>
      <c r="AN1338" s="4"/>
      <c r="AO1338" s="4"/>
      <c r="AP1338" s="4"/>
      <c r="AQ1338" s="4"/>
      <c r="AR1338" s="4"/>
      <c r="AS1338" s="4"/>
      <c r="AT1338" s="4"/>
      <c r="AU1338" s="4"/>
      <c r="AV1338" s="4"/>
      <c r="AW1338" s="4"/>
      <c r="AX1338" s="4"/>
      <c r="AY1338" s="4"/>
      <c r="AZ1338" s="4"/>
      <c r="BA1338" s="4"/>
      <c r="BB1338" s="4"/>
      <c r="BC1338" s="4"/>
      <c r="BD1338" s="4"/>
      <c r="BE1338" s="4"/>
      <c r="BF1338" s="4"/>
      <c r="BG1338" s="4"/>
      <c r="BH1338" s="4"/>
      <c r="BI1338" s="4"/>
      <c r="BJ1338" s="4"/>
      <c r="BK1338" s="4"/>
      <c r="BL1338" s="4"/>
      <c r="BM1338" s="4"/>
      <c r="BN1338" s="4"/>
      <c r="BO1338" s="4"/>
      <c r="BP1338" s="4"/>
      <c r="BQ1338" s="4"/>
      <c r="BR1338" s="4"/>
      <c r="BS1338" s="4"/>
      <c r="BT1338" s="4"/>
      <c r="BU1338" s="4"/>
      <c r="BV1338" s="4"/>
      <c r="BW1338" s="4"/>
      <c r="BX1338" s="4"/>
      <c r="BY1338" s="4"/>
      <c r="BZ1338" s="4"/>
      <c r="CA1338" s="4"/>
      <c r="CB1338" s="4"/>
      <c r="CC1338" s="4"/>
      <c r="CD1338" s="4"/>
      <c r="CE1338" s="4"/>
      <c r="CF1338" s="4"/>
      <c r="CG1338" s="4"/>
      <c r="CH1338" s="4"/>
      <c r="CI1338" s="4"/>
      <c r="CJ1338" s="4"/>
      <c r="CK1338" s="4"/>
      <c r="CL1338" s="4"/>
      <c r="CM1338" s="4"/>
      <c r="CN1338" s="4"/>
      <c r="CO1338" s="4"/>
      <c r="CP1338" s="4"/>
      <c r="CQ1338" s="4"/>
      <c r="CR1338" s="4"/>
      <c r="CS1338" s="4"/>
      <c r="CT1338" s="4"/>
      <c r="CU1338" s="4"/>
      <c r="CV1338" s="4"/>
      <c r="CW1338" s="4"/>
      <c r="CX1338" s="4"/>
      <c r="CY1338" s="4"/>
      <c r="CZ1338" s="4"/>
      <c r="DA1338" s="4"/>
      <c r="DB1338" s="4"/>
      <c r="DC1338" s="4"/>
      <c r="DD1338" s="4"/>
      <c r="DE1338" s="4"/>
      <c r="DF1338" s="4"/>
      <c r="DG1338" s="4"/>
      <c r="DH1338" s="4"/>
      <c r="DI1338" s="4"/>
      <c r="DJ1338" s="4"/>
      <c r="DK1338" s="4"/>
      <c r="DL1338" s="4"/>
      <c r="DM1338" s="4"/>
      <c r="DN1338" s="4"/>
      <c r="DO1338" s="4"/>
      <c r="DP1338" s="4"/>
      <c r="DQ1338" s="4"/>
      <c r="DR1338" s="4"/>
      <c r="DS1338" s="4"/>
    </row>
    <row r="1339">
      <c r="A1339" s="9">
        <f>IFERROR(__xludf.DUMMYFUNCTION("""COMPUTED_VALUE"""),45840.0)</f>
        <v>45840</v>
      </c>
      <c r="B1339" s="6" t="str">
        <f>IFERROR(__xludf.DUMMYFUNCTION("""COMPUTED_VALUE"""),"Education")</f>
        <v>Education</v>
      </c>
      <c r="C1339" s="7">
        <f>IFERROR(__xludf.DUMMYFUNCTION("""COMPUTED_VALUE"""),3000.0)</f>
        <v>3000</v>
      </c>
      <c r="D1339" s="6" t="str">
        <f>IFERROR(__xludf.DUMMYFUNCTION("""COMPUTED_VALUE"""),"Education")</f>
        <v>Education</v>
      </c>
      <c r="E1339" s="6" t="str">
        <f>IFERROR(__xludf.DUMMYFUNCTION("""COMPUTED_VALUE"""),"Credit Card")</f>
        <v>Credit Card</v>
      </c>
      <c r="F1339" s="6" t="s">
        <v>11</v>
      </c>
      <c r="G1339" s="8" t="str">
        <f t="shared" si="1"/>
        <v>202507</v>
      </c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  <c r="AA1339" s="4"/>
      <c r="AB1339" s="4"/>
      <c r="AC1339" s="4"/>
      <c r="AD1339" s="4"/>
      <c r="AE1339" s="4"/>
      <c r="AF1339" s="4"/>
      <c r="AG1339" s="4"/>
      <c r="AH1339" s="4"/>
      <c r="AI1339" s="4"/>
      <c r="AJ1339" s="4"/>
      <c r="AK1339" s="4"/>
      <c r="AL1339" s="4"/>
      <c r="AM1339" s="4"/>
      <c r="AN1339" s="4"/>
      <c r="AO1339" s="4"/>
      <c r="AP1339" s="4"/>
      <c r="AQ1339" s="4"/>
      <c r="AR1339" s="4"/>
      <c r="AS1339" s="4"/>
      <c r="AT1339" s="4"/>
      <c r="AU1339" s="4"/>
      <c r="AV1339" s="4"/>
      <c r="AW1339" s="4"/>
      <c r="AX1339" s="4"/>
      <c r="AY1339" s="4"/>
      <c r="AZ1339" s="4"/>
      <c r="BA1339" s="4"/>
      <c r="BB1339" s="4"/>
      <c r="BC1339" s="4"/>
      <c r="BD1339" s="4"/>
      <c r="BE1339" s="4"/>
      <c r="BF1339" s="4"/>
      <c r="BG1339" s="4"/>
      <c r="BH1339" s="4"/>
      <c r="BI1339" s="4"/>
      <c r="BJ1339" s="4"/>
      <c r="BK1339" s="4"/>
      <c r="BL1339" s="4"/>
      <c r="BM1339" s="4"/>
      <c r="BN1339" s="4"/>
      <c r="BO1339" s="4"/>
      <c r="BP1339" s="4"/>
      <c r="BQ1339" s="4"/>
      <c r="BR1339" s="4"/>
      <c r="BS1339" s="4"/>
      <c r="BT1339" s="4"/>
      <c r="BU1339" s="4"/>
      <c r="BV1339" s="4"/>
      <c r="BW1339" s="4"/>
      <c r="BX1339" s="4"/>
      <c r="BY1339" s="4"/>
      <c r="BZ1339" s="4"/>
      <c r="CA1339" s="4"/>
      <c r="CB1339" s="4"/>
      <c r="CC1339" s="4"/>
      <c r="CD1339" s="4"/>
      <c r="CE1339" s="4"/>
      <c r="CF1339" s="4"/>
      <c r="CG1339" s="4"/>
      <c r="CH1339" s="4"/>
      <c r="CI1339" s="4"/>
      <c r="CJ1339" s="4"/>
      <c r="CK1339" s="4"/>
      <c r="CL1339" s="4"/>
      <c r="CM1339" s="4"/>
      <c r="CN1339" s="4"/>
      <c r="CO1339" s="4"/>
      <c r="CP1339" s="4"/>
      <c r="CQ1339" s="4"/>
      <c r="CR1339" s="4"/>
      <c r="CS1339" s="4"/>
      <c r="CT1339" s="4"/>
      <c r="CU1339" s="4"/>
      <c r="CV1339" s="4"/>
      <c r="CW1339" s="4"/>
      <c r="CX1339" s="4"/>
      <c r="CY1339" s="4"/>
      <c r="CZ1339" s="4"/>
      <c r="DA1339" s="4"/>
      <c r="DB1339" s="4"/>
      <c r="DC1339" s="4"/>
      <c r="DD1339" s="4"/>
      <c r="DE1339" s="4"/>
      <c r="DF1339" s="4"/>
      <c r="DG1339" s="4"/>
      <c r="DH1339" s="4"/>
      <c r="DI1339" s="4"/>
      <c r="DJ1339" s="4"/>
      <c r="DK1339" s="4"/>
      <c r="DL1339" s="4"/>
      <c r="DM1339" s="4"/>
      <c r="DN1339" s="4"/>
      <c r="DO1339" s="4"/>
      <c r="DP1339" s="4"/>
      <c r="DQ1339" s="4"/>
      <c r="DR1339" s="4"/>
      <c r="DS1339" s="4"/>
    </row>
    <row r="1340">
      <c r="A1340" s="9">
        <f>IFERROR(__xludf.DUMMYFUNCTION("""COMPUTED_VALUE"""),45841.0)</f>
        <v>45841</v>
      </c>
      <c r="B1340" s="6" t="str">
        <f>IFERROR(__xludf.DUMMYFUNCTION("""COMPUTED_VALUE"""),"Streaming Services")</f>
        <v>Streaming Services</v>
      </c>
      <c r="C1340" s="7">
        <f>IFERROR(__xludf.DUMMYFUNCTION("""COMPUTED_VALUE"""),7549.0)</f>
        <v>7549</v>
      </c>
      <c r="D1340" s="6" t="str">
        <f>IFERROR(__xludf.DUMMYFUNCTION("""COMPUTED_VALUE"""),"Streaming Services")</f>
        <v>Streaming Services</v>
      </c>
      <c r="E1340" s="6" t="str">
        <f>IFERROR(__xludf.DUMMYFUNCTION("""COMPUTED_VALUE"""),"Credit Card")</f>
        <v>Credit Card</v>
      </c>
      <c r="F1340" s="6" t="s">
        <v>12</v>
      </c>
      <c r="G1340" s="8" t="str">
        <f t="shared" si="1"/>
        <v>202507</v>
      </c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  <c r="AA1340" s="4"/>
      <c r="AB1340" s="4"/>
      <c r="AC1340" s="4"/>
      <c r="AD1340" s="4"/>
      <c r="AE1340" s="4"/>
      <c r="AF1340" s="4"/>
      <c r="AG1340" s="4"/>
      <c r="AH1340" s="4"/>
      <c r="AI1340" s="4"/>
      <c r="AJ1340" s="4"/>
      <c r="AK1340" s="4"/>
      <c r="AL1340" s="4"/>
      <c r="AM1340" s="4"/>
      <c r="AN1340" s="4"/>
      <c r="AO1340" s="4"/>
      <c r="AP1340" s="4"/>
      <c r="AQ1340" s="4"/>
      <c r="AR1340" s="4"/>
      <c r="AS1340" s="4"/>
      <c r="AT1340" s="4"/>
      <c r="AU1340" s="4"/>
      <c r="AV1340" s="4"/>
      <c r="AW1340" s="4"/>
      <c r="AX1340" s="4"/>
      <c r="AY1340" s="4"/>
      <c r="AZ1340" s="4"/>
      <c r="BA1340" s="4"/>
      <c r="BB1340" s="4"/>
      <c r="BC1340" s="4"/>
      <c r="BD1340" s="4"/>
      <c r="BE1340" s="4"/>
      <c r="BF1340" s="4"/>
      <c r="BG1340" s="4"/>
      <c r="BH1340" s="4"/>
      <c r="BI1340" s="4"/>
      <c r="BJ1340" s="4"/>
      <c r="BK1340" s="4"/>
      <c r="BL1340" s="4"/>
      <c r="BM1340" s="4"/>
      <c r="BN1340" s="4"/>
      <c r="BO1340" s="4"/>
      <c r="BP1340" s="4"/>
      <c r="BQ1340" s="4"/>
      <c r="BR1340" s="4"/>
      <c r="BS1340" s="4"/>
      <c r="BT1340" s="4"/>
      <c r="BU1340" s="4"/>
      <c r="BV1340" s="4"/>
      <c r="BW1340" s="4"/>
      <c r="BX1340" s="4"/>
      <c r="BY1340" s="4"/>
      <c r="BZ1340" s="4"/>
      <c r="CA1340" s="4"/>
      <c r="CB1340" s="4"/>
      <c r="CC1340" s="4"/>
      <c r="CD1340" s="4"/>
      <c r="CE1340" s="4"/>
      <c r="CF1340" s="4"/>
      <c r="CG1340" s="4"/>
      <c r="CH1340" s="4"/>
      <c r="CI1340" s="4"/>
      <c r="CJ1340" s="4"/>
      <c r="CK1340" s="4"/>
      <c r="CL1340" s="4"/>
      <c r="CM1340" s="4"/>
      <c r="CN1340" s="4"/>
      <c r="CO1340" s="4"/>
      <c r="CP1340" s="4"/>
      <c r="CQ1340" s="4"/>
      <c r="CR1340" s="4"/>
      <c r="CS1340" s="4"/>
      <c r="CT1340" s="4"/>
      <c r="CU1340" s="4"/>
      <c r="CV1340" s="4"/>
      <c r="CW1340" s="4"/>
      <c r="CX1340" s="4"/>
      <c r="CY1340" s="4"/>
      <c r="CZ1340" s="4"/>
      <c r="DA1340" s="4"/>
      <c r="DB1340" s="4"/>
      <c r="DC1340" s="4"/>
      <c r="DD1340" s="4"/>
      <c r="DE1340" s="4"/>
      <c r="DF1340" s="4"/>
      <c r="DG1340" s="4"/>
      <c r="DH1340" s="4"/>
      <c r="DI1340" s="4"/>
      <c r="DJ1340" s="4"/>
      <c r="DK1340" s="4"/>
      <c r="DL1340" s="4"/>
      <c r="DM1340" s="4"/>
      <c r="DN1340" s="4"/>
      <c r="DO1340" s="4"/>
      <c r="DP1340" s="4"/>
      <c r="DQ1340" s="4"/>
      <c r="DR1340" s="4"/>
      <c r="DS1340" s="4"/>
    </row>
    <row r="1341">
      <c r="A1341" s="9">
        <f>IFERROR(__xludf.DUMMYFUNCTION("""COMPUTED_VALUE"""),45841.0)</f>
        <v>45841</v>
      </c>
      <c r="B1341" s="6" t="str">
        <f>IFERROR(__xludf.DUMMYFUNCTION("""COMPUTED_VALUE"""),"Groceries")</f>
        <v>Groceries</v>
      </c>
      <c r="C1341" s="7">
        <f>IFERROR(__xludf.DUMMYFUNCTION("""COMPUTED_VALUE"""),5985.0)</f>
        <v>5985</v>
      </c>
      <c r="D1341" s="6" t="str">
        <f>IFERROR(__xludf.DUMMYFUNCTION("""COMPUTED_VALUE"""),"Groceries")</f>
        <v>Groceries</v>
      </c>
      <c r="E1341" s="6" t="str">
        <f>IFERROR(__xludf.DUMMYFUNCTION("""COMPUTED_VALUE"""),"Virtual Wallet")</f>
        <v>Virtual Wallet</v>
      </c>
      <c r="F1341" s="6" t="s">
        <v>7</v>
      </c>
      <c r="G1341" s="8" t="str">
        <f t="shared" si="1"/>
        <v>202507</v>
      </c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  <c r="AA1341" s="4"/>
      <c r="AB1341" s="4"/>
      <c r="AC1341" s="4"/>
      <c r="AD1341" s="4"/>
      <c r="AE1341" s="4"/>
      <c r="AF1341" s="4"/>
      <c r="AG1341" s="4"/>
      <c r="AH1341" s="4"/>
      <c r="AI1341" s="4"/>
      <c r="AJ1341" s="4"/>
      <c r="AK1341" s="4"/>
      <c r="AL1341" s="4"/>
      <c r="AM1341" s="4"/>
      <c r="AN1341" s="4"/>
      <c r="AO1341" s="4"/>
      <c r="AP1341" s="4"/>
      <c r="AQ1341" s="4"/>
      <c r="AR1341" s="4"/>
      <c r="AS1341" s="4"/>
      <c r="AT1341" s="4"/>
      <c r="AU1341" s="4"/>
      <c r="AV1341" s="4"/>
      <c r="AW1341" s="4"/>
      <c r="AX1341" s="4"/>
      <c r="AY1341" s="4"/>
      <c r="AZ1341" s="4"/>
      <c r="BA1341" s="4"/>
      <c r="BB1341" s="4"/>
      <c r="BC1341" s="4"/>
      <c r="BD1341" s="4"/>
      <c r="BE1341" s="4"/>
      <c r="BF1341" s="4"/>
      <c r="BG1341" s="4"/>
      <c r="BH1341" s="4"/>
      <c r="BI1341" s="4"/>
      <c r="BJ1341" s="4"/>
      <c r="BK1341" s="4"/>
      <c r="BL1341" s="4"/>
      <c r="BM1341" s="4"/>
      <c r="BN1341" s="4"/>
      <c r="BO1341" s="4"/>
      <c r="BP1341" s="4"/>
      <c r="BQ1341" s="4"/>
      <c r="BR1341" s="4"/>
      <c r="BS1341" s="4"/>
      <c r="BT1341" s="4"/>
      <c r="BU1341" s="4"/>
      <c r="BV1341" s="4"/>
      <c r="BW1341" s="4"/>
      <c r="BX1341" s="4"/>
      <c r="BY1341" s="4"/>
      <c r="BZ1341" s="4"/>
      <c r="CA1341" s="4"/>
      <c r="CB1341" s="4"/>
      <c r="CC1341" s="4"/>
      <c r="CD1341" s="4"/>
      <c r="CE1341" s="4"/>
      <c r="CF1341" s="4"/>
      <c r="CG1341" s="4"/>
      <c r="CH1341" s="4"/>
      <c r="CI1341" s="4"/>
      <c r="CJ1341" s="4"/>
      <c r="CK1341" s="4"/>
      <c r="CL1341" s="4"/>
      <c r="CM1341" s="4"/>
      <c r="CN1341" s="4"/>
      <c r="CO1341" s="4"/>
      <c r="CP1341" s="4"/>
      <c r="CQ1341" s="4"/>
      <c r="CR1341" s="4"/>
      <c r="CS1341" s="4"/>
      <c r="CT1341" s="4"/>
      <c r="CU1341" s="4"/>
      <c r="CV1341" s="4"/>
      <c r="CW1341" s="4"/>
      <c r="CX1341" s="4"/>
      <c r="CY1341" s="4"/>
      <c r="CZ1341" s="4"/>
      <c r="DA1341" s="4"/>
      <c r="DB1341" s="4"/>
      <c r="DC1341" s="4"/>
      <c r="DD1341" s="4"/>
      <c r="DE1341" s="4"/>
      <c r="DF1341" s="4"/>
      <c r="DG1341" s="4"/>
      <c r="DH1341" s="4"/>
      <c r="DI1341" s="4"/>
      <c r="DJ1341" s="4"/>
      <c r="DK1341" s="4"/>
      <c r="DL1341" s="4"/>
      <c r="DM1341" s="4"/>
      <c r="DN1341" s="4"/>
      <c r="DO1341" s="4"/>
      <c r="DP1341" s="4"/>
      <c r="DQ1341" s="4"/>
      <c r="DR1341" s="4"/>
      <c r="DS1341" s="4"/>
    </row>
    <row r="1342">
      <c r="A1342" s="9">
        <f>IFERROR(__xludf.DUMMYFUNCTION("""COMPUTED_VALUE"""),45841.0)</f>
        <v>45841</v>
      </c>
      <c r="B1342" s="6" t="str">
        <f>IFERROR(__xludf.DUMMYFUNCTION("""COMPUTED_VALUE"""),"Rent &amp; Building Expenses")</f>
        <v>Rent &amp; Building Expenses</v>
      </c>
      <c r="C1342" s="7">
        <f>IFERROR(__xludf.DUMMYFUNCTION("""COMPUTED_VALUE"""),517689.0)</f>
        <v>517689</v>
      </c>
      <c r="D1342" s="6" t="str">
        <f>IFERROR(__xludf.DUMMYFUNCTION("""COMPUTED_VALUE"""),"Rent &amp; Utilities")</f>
        <v>Rent &amp; Utilities</v>
      </c>
      <c r="E1342" s="6" t="str">
        <f>IFERROR(__xludf.DUMMYFUNCTION("""COMPUTED_VALUE"""),"Virtual Wallet")</f>
        <v>Virtual Wallet</v>
      </c>
      <c r="F1342" s="6" t="s">
        <v>13</v>
      </c>
      <c r="G1342" s="8" t="str">
        <f t="shared" si="1"/>
        <v>202507</v>
      </c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  <c r="AA1342" s="4"/>
      <c r="AB1342" s="4"/>
      <c r="AC1342" s="4"/>
      <c r="AD1342" s="4"/>
      <c r="AE1342" s="4"/>
      <c r="AF1342" s="4"/>
      <c r="AG1342" s="4"/>
      <c r="AH1342" s="4"/>
      <c r="AI1342" s="4"/>
      <c r="AJ1342" s="4"/>
      <c r="AK1342" s="4"/>
      <c r="AL1342" s="4"/>
      <c r="AM1342" s="4"/>
      <c r="AN1342" s="4"/>
      <c r="AO1342" s="4"/>
      <c r="AP1342" s="4"/>
      <c r="AQ1342" s="4"/>
      <c r="AR1342" s="4"/>
      <c r="AS1342" s="4"/>
      <c r="AT1342" s="4"/>
      <c r="AU1342" s="4"/>
      <c r="AV1342" s="4"/>
      <c r="AW1342" s="4"/>
      <c r="AX1342" s="4"/>
      <c r="AY1342" s="4"/>
      <c r="AZ1342" s="4"/>
      <c r="BA1342" s="4"/>
      <c r="BB1342" s="4"/>
      <c r="BC1342" s="4"/>
      <c r="BD1342" s="4"/>
      <c r="BE1342" s="4"/>
      <c r="BF1342" s="4"/>
      <c r="BG1342" s="4"/>
      <c r="BH1342" s="4"/>
      <c r="BI1342" s="4"/>
      <c r="BJ1342" s="4"/>
      <c r="BK1342" s="4"/>
      <c r="BL1342" s="4"/>
      <c r="BM1342" s="4"/>
      <c r="BN1342" s="4"/>
      <c r="BO1342" s="4"/>
      <c r="BP1342" s="4"/>
      <c r="BQ1342" s="4"/>
      <c r="BR1342" s="4"/>
      <c r="BS1342" s="4"/>
      <c r="BT1342" s="4"/>
      <c r="BU1342" s="4"/>
      <c r="BV1342" s="4"/>
      <c r="BW1342" s="4"/>
      <c r="BX1342" s="4"/>
      <c r="BY1342" s="4"/>
      <c r="BZ1342" s="4"/>
      <c r="CA1342" s="4"/>
      <c r="CB1342" s="4"/>
      <c r="CC1342" s="4"/>
      <c r="CD1342" s="4"/>
      <c r="CE1342" s="4"/>
      <c r="CF1342" s="4"/>
      <c r="CG1342" s="4"/>
      <c r="CH1342" s="4"/>
      <c r="CI1342" s="4"/>
      <c r="CJ1342" s="4"/>
      <c r="CK1342" s="4"/>
      <c r="CL1342" s="4"/>
      <c r="CM1342" s="4"/>
      <c r="CN1342" s="4"/>
      <c r="CO1342" s="4"/>
      <c r="CP1342" s="4"/>
      <c r="CQ1342" s="4"/>
      <c r="CR1342" s="4"/>
      <c r="CS1342" s="4"/>
      <c r="CT1342" s="4"/>
      <c r="CU1342" s="4"/>
      <c r="CV1342" s="4"/>
      <c r="CW1342" s="4"/>
      <c r="CX1342" s="4"/>
      <c r="CY1342" s="4"/>
      <c r="CZ1342" s="4"/>
      <c r="DA1342" s="4"/>
      <c r="DB1342" s="4"/>
      <c r="DC1342" s="4"/>
      <c r="DD1342" s="4"/>
      <c r="DE1342" s="4"/>
      <c r="DF1342" s="4"/>
      <c r="DG1342" s="4"/>
      <c r="DH1342" s="4"/>
      <c r="DI1342" s="4"/>
      <c r="DJ1342" s="4"/>
      <c r="DK1342" s="4"/>
      <c r="DL1342" s="4"/>
      <c r="DM1342" s="4"/>
      <c r="DN1342" s="4"/>
      <c r="DO1342" s="4"/>
      <c r="DP1342" s="4"/>
      <c r="DQ1342" s="4"/>
      <c r="DR1342" s="4"/>
      <c r="DS1342" s="4"/>
    </row>
    <row r="1343">
      <c r="A1343" s="9">
        <f>IFERROR(__xludf.DUMMYFUNCTION("""COMPUTED_VALUE"""),45842.0)</f>
        <v>45842</v>
      </c>
      <c r="B1343" s="6" t="str">
        <f>IFERROR(__xludf.DUMMYFUNCTION("""COMPUTED_VALUE"""),"Car Insurance")</f>
        <v>Car Insurance</v>
      </c>
      <c r="C1343" s="7">
        <f>IFERROR(__xludf.DUMMYFUNCTION("""COMPUTED_VALUE"""),43787.0)</f>
        <v>43787</v>
      </c>
      <c r="D1343" s="6" t="str">
        <f>IFERROR(__xludf.DUMMYFUNCTION("""COMPUTED_VALUE"""),"Car Expenses")</f>
        <v>Car Expenses</v>
      </c>
      <c r="E1343" s="6" t="str">
        <f>IFERROR(__xludf.DUMMYFUNCTION("""COMPUTED_VALUE"""),"Credit Card")</f>
        <v>Credit Card</v>
      </c>
      <c r="F1343" s="6" t="s">
        <v>9</v>
      </c>
      <c r="G1343" s="8" t="str">
        <f t="shared" si="1"/>
        <v>202507</v>
      </c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  <c r="AA1343" s="4"/>
      <c r="AB1343" s="4"/>
      <c r="AC1343" s="4"/>
      <c r="AD1343" s="4"/>
      <c r="AE1343" s="4"/>
      <c r="AF1343" s="4"/>
      <c r="AG1343" s="4"/>
      <c r="AH1343" s="4"/>
      <c r="AI1343" s="4"/>
      <c r="AJ1343" s="4"/>
      <c r="AK1343" s="4"/>
      <c r="AL1343" s="4"/>
      <c r="AM1343" s="4"/>
      <c r="AN1343" s="4"/>
      <c r="AO1343" s="4"/>
      <c r="AP1343" s="4"/>
      <c r="AQ1343" s="4"/>
      <c r="AR1343" s="4"/>
      <c r="AS1343" s="4"/>
      <c r="AT1343" s="4"/>
      <c r="AU1343" s="4"/>
      <c r="AV1343" s="4"/>
      <c r="AW1343" s="4"/>
      <c r="AX1343" s="4"/>
      <c r="AY1343" s="4"/>
      <c r="AZ1343" s="4"/>
      <c r="BA1343" s="4"/>
      <c r="BB1343" s="4"/>
      <c r="BC1343" s="4"/>
      <c r="BD1343" s="4"/>
      <c r="BE1343" s="4"/>
      <c r="BF1343" s="4"/>
      <c r="BG1343" s="4"/>
      <c r="BH1343" s="4"/>
      <c r="BI1343" s="4"/>
      <c r="BJ1343" s="4"/>
      <c r="BK1343" s="4"/>
      <c r="BL1343" s="4"/>
      <c r="BM1343" s="4"/>
      <c r="BN1343" s="4"/>
      <c r="BO1343" s="4"/>
      <c r="BP1343" s="4"/>
      <c r="BQ1343" s="4"/>
      <c r="BR1343" s="4"/>
      <c r="BS1343" s="4"/>
      <c r="BT1343" s="4"/>
      <c r="BU1343" s="4"/>
      <c r="BV1343" s="4"/>
      <c r="BW1343" s="4"/>
      <c r="BX1343" s="4"/>
      <c r="BY1343" s="4"/>
      <c r="BZ1343" s="4"/>
      <c r="CA1343" s="4"/>
      <c r="CB1343" s="4"/>
      <c r="CC1343" s="4"/>
      <c r="CD1343" s="4"/>
      <c r="CE1343" s="4"/>
      <c r="CF1343" s="4"/>
      <c r="CG1343" s="4"/>
      <c r="CH1343" s="4"/>
      <c r="CI1343" s="4"/>
      <c r="CJ1343" s="4"/>
      <c r="CK1343" s="4"/>
      <c r="CL1343" s="4"/>
      <c r="CM1343" s="4"/>
      <c r="CN1343" s="4"/>
      <c r="CO1343" s="4"/>
      <c r="CP1343" s="4"/>
      <c r="CQ1343" s="4"/>
      <c r="CR1343" s="4"/>
      <c r="CS1343" s="4"/>
      <c r="CT1343" s="4"/>
      <c r="CU1343" s="4"/>
      <c r="CV1343" s="4"/>
      <c r="CW1343" s="4"/>
      <c r="CX1343" s="4"/>
      <c r="CY1343" s="4"/>
      <c r="CZ1343" s="4"/>
      <c r="DA1343" s="4"/>
      <c r="DB1343" s="4"/>
      <c r="DC1343" s="4"/>
      <c r="DD1343" s="4"/>
      <c r="DE1343" s="4"/>
      <c r="DF1343" s="4"/>
      <c r="DG1343" s="4"/>
      <c r="DH1343" s="4"/>
      <c r="DI1343" s="4"/>
      <c r="DJ1343" s="4"/>
      <c r="DK1343" s="4"/>
      <c r="DL1343" s="4"/>
      <c r="DM1343" s="4"/>
      <c r="DN1343" s="4"/>
      <c r="DO1343" s="4"/>
      <c r="DP1343" s="4"/>
      <c r="DQ1343" s="4"/>
      <c r="DR1343" s="4"/>
      <c r="DS1343" s="4"/>
    </row>
    <row r="1344">
      <c r="A1344" s="9">
        <f>IFERROR(__xludf.DUMMYFUNCTION("""COMPUTED_VALUE"""),45842.0)</f>
        <v>45842</v>
      </c>
      <c r="B1344" s="6" t="str">
        <f>IFERROR(__xludf.DUMMYFUNCTION("""COMPUTED_VALUE"""),"Groceries")</f>
        <v>Groceries</v>
      </c>
      <c r="C1344" s="7">
        <f>IFERROR(__xludf.DUMMYFUNCTION("""COMPUTED_VALUE"""),6588.0)</f>
        <v>6588</v>
      </c>
      <c r="D1344" s="6" t="str">
        <f>IFERROR(__xludf.DUMMYFUNCTION("""COMPUTED_VALUE"""),"Groceries")</f>
        <v>Groceries</v>
      </c>
      <c r="E1344" s="6" t="str">
        <f>IFERROR(__xludf.DUMMYFUNCTION("""COMPUTED_VALUE"""),"Split Payment")</f>
        <v>Split Payment</v>
      </c>
      <c r="F1344" s="6" t="s">
        <v>7</v>
      </c>
      <c r="G1344" s="8" t="str">
        <f t="shared" si="1"/>
        <v>202507</v>
      </c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  <c r="AA1344" s="4"/>
      <c r="AB1344" s="4"/>
      <c r="AC1344" s="4"/>
      <c r="AD1344" s="4"/>
      <c r="AE1344" s="4"/>
      <c r="AF1344" s="4"/>
      <c r="AG1344" s="4"/>
      <c r="AH1344" s="4"/>
      <c r="AI1344" s="4"/>
      <c r="AJ1344" s="4"/>
      <c r="AK1344" s="4"/>
      <c r="AL1344" s="4"/>
      <c r="AM1344" s="4"/>
      <c r="AN1344" s="4"/>
      <c r="AO1344" s="4"/>
      <c r="AP1344" s="4"/>
      <c r="AQ1344" s="4"/>
      <c r="AR1344" s="4"/>
      <c r="AS1344" s="4"/>
      <c r="AT1344" s="4"/>
      <c r="AU1344" s="4"/>
      <c r="AV1344" s="4"/>
      <c r="AW1344" s="4"/>
      <c r="AX1344" s="4"/>
      <c r="AY1344" s="4"/>
      <c r="AZ1344" s="4"/>
      <c r="BA1344" s="4"/>
      <c r="BB1344" s="4"/>
      <c r="BC1344" s="4"/>
      <c r="BD1344" s="4"/>
      <c r="BE1344" s="4"/>
      <c r="BF1344" s="4"/>
      <c r="BG1344" s="4"/>
      <c r="BH1344" s="4"/>
      <c r="BI1344" s="4"/>
      <c r="BJ1344" s="4"/>
      <c r="BK1344" s="4"/>
      <c r="BL1344" s="4"/>
      <c r="BM1344" s="4"/>
      <c r="BN1344" s="4"/>
      <c r="BO1344" s="4"/>
      <c r="BP1344" s="4"/>
      <c r="BQ1344" s="4"/>
      <c r="BR1344" s="4"/>
      <c r="BS1344" s="4"/>
      <c r="BT1344" s="4"/>
      <c r="BU1344" s="4"/>
      <c r="BV1344" s="4"/>
      <c r="BW1344" s="4"/>
      <c r="BX1344" s="4"/>
      <c r="BY1344" s="4"/>
      <c r="BZ1344" s="4"/>
      <c r="CA1344" s="4"/>
      <c r="CB1344" s="4"/>
      <c r="CC1344" s="4"/>
      <c r="CD1344" s="4"/>
      <c r="CE1344" s="4"/>
      <c r="CF1344" s="4"/>
      <c r="CG1344" s="4"/>
      <c r="CH1344" s="4"/>
      <c r="CI1344" s="4"/>
      <c r="CJ1344" s="4"/>
      <c r="CK1344" s="4"/>
      <c r="CL1344" s="4"/>
      <c r="CM1344" s="4"/>
      <c r="CN1344" s="4"/>
      <c r="CO1344" s="4"/>
      <c r="CP1344" s="4"/>
      <c r="CQ1344" s="4"/>
      <c r="CR1344" s="4"/>
      <c r="CS1344" s="4"/>
      <c r="CT1344" s="4"/>
      <c r="CU1344" s="4"/>
      <c r="CV1344" s="4"/>
      <c r="CW1344" s="4"/>
      <c r="CX1344" s="4"/>
      <c r="CY1344" s="4"/>
      <c r="CZ1344" s="4"/>
      <c r="DA1344" s="4"/>
      <c r="DB1344" s="4"/>
      <c r="DC1344" s="4"/>
      <c r="DD1344" s="4"/>
      <c r="DE1344" s="4"/>
      <c r="DF1344" s="4"/>
      <c r="DG1344" s="4"/>
      <c r="DH1344" s="4"/>
      <c r="DI1344" s="4"/>
      <c r="DJ1344" s="4"/>
      <c r="DK1344" s="4"/>
      <c r="DL1344" s="4"/>
      <c r="DM1344" s="4"/>
      <c r="DN1344" s="4"/>
      <c r="DO1344" s="4"/>
      <c r="DP1344" s="4"/>
      <c r="DQ1344" s="4"/>
      <c r="DR1344" s="4"/>
      <c r="DS1344" s="4"/>
    </row>
    <row r="1345">
      <c r="A1345" s="9">
        <f>IFERROR(__xludf.DUMMYFUNCTION("""COMPUTED_VALUE"""),45842.0)</f>
        <v>45842</v>
      </c>
      <c r="B1345" s="6" t="str">
        <f>IFERROR(__xludf.DUMMYFUNCTION("""COMPUTED_VALUE"""),"Home Goods")</f>
        <v>Home Goods</v>
      </c>
      <c r="C1345" s="7">
        <f>IFERROR(__xludf.DUMMYFUNCTION("""COMPUTED_VALUE"""),67885.0)</f>
        <v>67885</v>
      </c>
      <c r="D1345" s="6" t="str">
        <f>IFERROR(__xludf.DUMMYFUNCTION("""COMPUTED_VALUE"""),"Home Goods &amp; Utilities")</f>
        <v>Home Goods &amp; Utilities</v>
      </c>
      <c r="E1345" s="6" t="str">
        <f>IFERROR(__xludf.DUMMYFUNCTION("""COMPUTED_VALUE"""),"Credit Card")</f>
        <v>Credit Card</v>
      </c>
      <c r="F1345" s="6" t="s">
        <v>8</v>
      </c>
      <c r="G1345" s="8" t="str">
        <f t="shared" si="1"/>
        <v>202507</v>
      </c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  <c r="AA1345" s="4"/>
      <c r="AB1345" s="4"/>
      <c r="AC1345" s="4"/>
      <c r="AD1345" s="4"/>
      <c r="AE1345" s="4"/>
      <c r="AF1345" s="4"/>
      <c r="AG1345" s="4"/>
      <c r="AH1345" s="4"/>
      <c r="AI1345" s="4"/>
      <c r="AJ1345" s="4"/>
      <c r="AK1345" s="4"/>
      <c r="AL1345" s="4"/>
      <c r="AM1345" s="4"/>
      <c r="AN1345" s="4"/>
      <c r="AO1345" s="4"/>
      <c r="AP1345" s="4"/>
      <c r="AQ1345" s="4"/>
      <c r="AR1345" s="4"/>
      <c r="AS1345" s="4"/>
      <c r="AT1345" s="4"/>
      <c r="AU1345" s="4"/>
      <c r="AV1345" s="4"/>
      <c r="AW1345" s="4"/>
      <c r="AX1345" s="4"/>
      <c r="AY1345" s="4"/>
      <c r="AZ1345" s="4"/>
      <c r="BA1345" s="4"/>
      <c r="BB1345" s="4"/>
      <c r="BC1345" s="4"/>
      <c r="BD1345" s="4"/>
      <c r="BE1345" s="4"/>
      <c r="BF1345" s="4"/>
      <c r="BG1345" s="4"/>
      <c r="BH1345" s="4"/>
      <c r="BI1345" s="4"/>
      <c r="BJ1345" s="4"/>
      <c r="BK1345" s="4"/>
      <c r="BL1345" s="4"/>
      <c r="BM1345" s="4"/>
      <c r="BN1345" s="4"/>
      <c r="BO1345" s="4"/>
      <c r="BP1345" s="4"/>
      <c r="BQ1345" s="4"/>
      <c r="BR1345" s="4"/>
      <c r="BS1345" s="4"/>
      <c r="BT1345" s="4"/>
      <c r="BU1345" s="4"/>
      <c r="BV1345" s="4"/>
      <c r="BW1345" s="4"/>
      <c r="BX1345" s="4"/>
      <c r="BY1345" s="4"/>
      <c r="BZ1345" s="4"/>
      <c r="CA1345" s="4"/>
      <c r="CB1345" s="4"/>
      <c r="CC1345" s="4"/>
      <c r="CD1345" s="4"/>
      <c r="CE1345" s="4"/>
      <c r="CF1345" s="4"/>
      <c r="CG1345" s="4"/>
      <c r="CH1345" s="4"/>
      <c r="CI1345" s="4"/>
      <c r="CJ1345" s="4"/>
      <c r="CK1345" s="4"/>
      <c r="CL1345" s="4"/>
      <c r="CM1345" s="4"/>
      <c r="CN1345" s="4"/>
      <c r="CO1345" s="4"/>
      <c r="CP1345" s="4"/>
      <c r="CQ1345" s="4"/>
      <c r="CR1345" s="4"/>
      <c r="CS1345" s="4"/>
      <c r="CT1345" s="4"/>
      <c r="CU1345" s="4"/>
      <c r="CV1345" s="4"/>
      <c r="CW1345" s="4"/>
      <c r="CX1345" s="4"/>
      <c r="CY1345" s="4"/>
      <c r="CZ1345" s="4"/>
      <c r="DA1345" s="4"/>
      <c r="DB1345" s="4"/>
      <c r="DC1345" s="4"/>
      <c r="DD1345" s="4"/>
      <c r="DE1345" s="4"/>
      <c r="DF1345" s="4"/>
      <c r="DG1345" s="4"/>
      <c r="DH1345" s="4"/>
      <c r="DI1345" s="4"/>
      <c r="DJ1345" s="4"/>
      <c r="DK1345" s="4"/>
      <c r="DL1345" s="4"/>
      <c r="DM1345" s="4"/>
      <c r="DN1345" s="4"/>
      <c r="DO1345" s="4"/>
      <c r="DP1345" s="4"/>
      <c r="DQ1345" s="4"/>
      <c r="DR1345" s="4"/>
      <c r="DS1345" s="4"/>
    </row>
    <row r="1346">
      <c r="A1346" s="9">
        <f>IFERROR(__xludf.DUMMYFUNCTION("""COMPUTED_VALUE"""),45842.0)</f>
        <v>45842</v>
      </c>
      <c r="B1346" s="6" t="str">
        <f>IFERROR(__xludf.DUMMYFUNCTION("""COMPUTED_VALUE"""),"Toll")</f>
        <v>Toll</v>
      </c>
      <c r="C1346" s="7">
        <f>IFERROR(__xludf.DUMMYFUNCTION("""COMPUTED_VALUE"""),3450.0)</f>
        <v>3450</v>
      </c>
      <c r="D1346" s="6" t="str">
        <f>IFERROR(__xludf.DUMMYFUNCTION("""COMPUTED_VALUE"""),"Car Expenses")</f>
        <v>Car Expenses</v>
      </c>
      <c r="E1346" s="6" t="str">
        <f>IFERROR(__xludf.DUMMYFUNCTION("""COMPUTED_VALUE"""),"Virtual Wallet")</f>
        <v>Virtual Wallet</v>
      </c>
      <c r="F1346" s="6" t="s">
        <v>9</v>
      </c>
      <c r="G1346" s="8" t="str">
        <f t="shared" si="1"/>
        <v>202507</v>
      </c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  <c r="AA1346" s="4"/>
      <c r="AB1346" s="4"/>
      <c r="AC1346" s="4"/>
      <c r="AD1346" s="4"/>
      <c r="AE1346" s="4"/>
      <c r="AF1346" s="4"/>
      <c r="AG1346" s="4"/>
      <c r="AH1346" s="4"/>
      <c r="AI1346" s="4"/>
      <c r="AJ1346" s="4"/>
      <c r="AK1346" s="4"/>
      <c r="AL1346" s="4"/>
      <c r="AM1346" s="4"/>
      <c r="AN1346" s="4"/>
      <c r="AO1346" s="4"/>
      <c r="AP1346" s="4"/>
      <c r="AQ1346" s="4"/>
      <c r="AR1346" s="4"/>
      <c r="AS1346" s="4"/>
      <c r="AT1346" s="4"/>
      <c r="AU1346" s="4"/>
      <c r="AV1346" s="4"/>
      <c r="AW1346" s="4"/>
      <c r="AX1346" s="4"/>
      <c r="AY1346" s="4"/>
      <c r="AZ1346" s="4"/>
      <c r="BA1346" s="4"/>
      <c r="BB1346" s="4"/>
      <c r="BC1346" s="4"/>
      <c r="BD1346" s="4"/>
      <c r="BE1346" s="4"/>
      <c r="BF1346" s="4"/>
      <c r="BG1346" s="4"/>
      <c r="BH1346" s="4"/>
      <c r="BI1346" s="4"/>
      <c r="BJ1346" s="4"/>
      <c r="BK1346" s="4"/>
      <c r="BL1346" s="4"/>
      <c r="BM1346" s="4"/>
      <c r="BN1346" s="4"/>
      <c r="BO1346" s="4"/>
      <c r="BP1346" s="4"/>
      <c r="BQ1346" s="4"/>
      <c r="BR1346" s="4"/>
      <c r="BS1346" s="4"/>
      <c r="BT1346" s="4"/>
      <c r="BU1346" s="4"/>
      <c r="BV1346" s="4"/>
      <c r="BW1346" s="4"/>
      <c r="BX1346" s="4"/>
      <c r="BY1346" s="4"/>
      <c r="BZ1346" s="4"/>
      <c r="CA1346" s="4"/>
      <c r="CB1346" s="4"/>
      <c r="CC1346" s="4"/>
      <c r="CD1346" s="4"/>
      <c r="CE1346" s="4"/>
      <c r="CF1346" s="4"/>
      <c r="CG1346" s="4"/>
      <c r="CH1346" s="4"/>
      <c r="CI1346" s="4"/>
      <c r="CJ1346" s="4"/>
      <c r="CK1346" s="4"/>
      <c r="CL1346" s="4"/>
      <c r="CM1346" s="4"/>
      <c r="CN1346" s="4"/>
      <c r="CO1346" s="4"/>
      <c r="CP1346" s="4"/>
      <c r="CQ1346" s="4"/>
      <c r="CR1346" s="4"/>
      <c r="CS1346" s="4"/>
      <c r="CT1346" s="4"/>
      <c r="CU1346" s="4"/>
      <c r="CV1346" s="4"/>
      <c r="CW1346" s="4"/>
      <c r="CX1346" s="4"/>
      <c r="CY1346" s="4"/>
      <c r="CZ1346" s="4"/>
      <c r="DA1346" s="4"/>
      <c r="DB1346" s="4"/>
      <c r="DC1346" s="4"/>
      <c r="DD1346" s="4"/>
      <c r="DE1346" s="4"/>
      <c r="DF1346" s="4"/>
      <c r="DG1346" s="4"/>
      <c r="DH1346" s="4"/>
      <c r="DI1346" s="4"/>
      <c r="DJ1346" s="4"/>
      <c r="DK1346" s="4"/>
      <c r="DL1346" s="4"/>
      <c r="DM1346" s="4"/>
      <c r="DN1346" s="4"/>
      <c r="DO1346" s="4"/>
      <c r="DP1346" s="4"/>
      <c r="DQ1346" s="4"/>
      <c r="DR1346" s="4"/>
      <c r="DS1346" s="4"/>
    </row>
    <row r="1347">
      <c r="A1347" s="9">
        <f>IFERROR(__xludf.DUMMYFUNCTION("""COMPUTED_VALUE"""),45842.0)</f>
        <v>45842</v>
      </c>
      <c r="B1347" s="6" t="str">
        <f>IFERROR(__xludf.DUMMYFUNCTION("""COMPUTED_VALUE"""),"Car Expenses")</f>
        <v>Car Expenses</v>
      </c>
      <c r="C1347" s="7">
        <f>IFERROR(__xludf.DUMMYFUNCTION("""COMPUTED_VALUE"""),31731.0)</f>
        <v>31731</v>
      </c>
      <c r="D1347" s="6" t="str">
        <f>IFERROR(__xludf.DUMMYFUNCTION("""COMPUTED_VALUE"""),"Car Expenses")</f>
        <v>Car Expenses</v>
      </c>
      <c r="E1347" s="6" t="str">
        <f>IFERROR(__xludf.DUMMYFUNCTION("""COMPUTED_VALUE"""),"Split Payment")</f>
        <v>Split Payment</v>
      </c>
      <c r="F1347" s="6" t="s">
        <v>9</v>
      </c>
      <c r="G1347" s="8" t="str">
        <f t="shared" si="1"/>
        <v>202507</v>
      </c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  <c r="AA1347" s="4"/>
      <c r="AB1347" s="4"/>
      <c r="AC1347" s="4"/>
      <c r="AD1347" s="4"/>
      <c r="AE1347" s="4"/>
      <c r="AF1347" s="4"/>
      <c r="AG1347" s="4"/>
      <c r="AH1347" s="4"/>
      <c r="AI1347" s="4"/>
      <c r="AJ1347" s="4"/>
      <c r="AK1347" s="4"/>
      <c r="AL1347" s="4"/>
      <c r="AM1347" s="4"/>
      <c r="AN1347" s="4"/>
      <c r="AO1347" s="4"/>
      <c r="AP1347" s="4"/>
      <c r="AQ1347" s="4"/>
      <c r="AR1347" s="4"/>
      <c r="AS1347" s="4"/>
      <c r="AT1347" s="4"/>
      <c r="AU1347" s="4"/>
      <c r="AV1347" s="4"/>
      <c r="AW1347" s="4"/>
      <c r="AX1347" s="4"/>
      <c r="AY1347" s="4"/>
      <c r="AZ1347" s="4"/>
      <c r="BA1347" s="4"/>
      <c r="BB1347" s="4"/>
      <c r="BC1347" s="4"/>
      <c r="BD1347" s="4"/>
      <c r="BE1347" s="4"/>
      <c r="BF1347" s="4"/>
      <c r="BG1347" s="4"/>
      <c r="BH1347" s="4"/>
      <c r="BI1347" s="4"/>
      <c r="BJ1347" s="4"/>
      <c r="BK1347" s="4"/>
      <c r="BL1347" s="4"/>
      <c r="BM1347" s="4"/>
      <c r="BN1347" s="4"/>
      <c r="BO1347" s="4"/>
      <c r="BP1347" s="4"/>
      <c r="BQ1347" s="4"/>
      <c r="BR1347" s="4"/>
      <c r="BS1347" s="4"/>
      <c r="BT1347" s="4"/>
      <c r="BU1347" s="4"/>
      <c r="BV1347" s="4"/>
      <c r="BW1347" s="4"/>
      <c r="BX1347" s="4"/>
      <c r="BY1347" s="4"/>
      <c r="BZ1347" s="4"/>
      <c r="CA1347" s="4"/>
      <c r="CB1347" s="4"/>
      <c r="CC1347" s="4"/>
      <c r="CD1347" s="4"/>
      <c r="CE1347" s="4"/>
      <c r="CF1347" s="4"/>
      <c r="CG1347" s="4"/>
      <c r="CH1347" s="4"/>
      <c r="CI1347" s="4"/>
      <c r="CJ1347" s="4"/>
      <c r="CK1347" s="4"/>
      <c r="CL1347" s="4"/>
      <c r="CM1347" s="4"/>
      <c r="CN1347" s="4"/>
      <c r="CO1347" s="4"/>
      <c r="CP1347" s="4"/>
      <c r="CQ1347" s="4"/>
      <c r="CR1347" s="4"/>
      <c r="CS1347" s="4"/>
      <c r="CT1347" s="4"/>
      <c r="CU1347" s="4"/>
      <c r="CV1347" s="4"/>
      <c r="CW1347" s="4"/>
      <c r="CX1347" s="4"/>
      <c r="CY1347" s="4"/>
      <c r="CZ1347" s="4"/>
      <c r="DA1347" s="4"/>
      <c r="DB1347" s="4"/>
      <c r="DC1347" s="4"/>
      <c r="DD1347" s="4"/>
      <c r="DE1347" s="4"/>
      <c r="DF1347" s="4"/>
      <c r="DG1347" s="4"/>
      <c r="DH1347" s="4"/>
      <c r="DI1347" s="4"/>
      <c r="DJ1347" s="4"/>
      <c r="DK1347" s="4"/>
      <c r="DL1347" s="4"/>
      <c r="DM1347" s="4"/>
      <c r="DN1347" s="4"/>
      <c r="DO1347" s="4"/>
      <c r="DP1347" s="4"/>
      <c r="DQ1347" s="4"/>
      <c r="DR1347" s="4"/>
      <c r="DS1347" s="4"/>
    </row>
    <row r="1348">
      <c r="A1348" s="9">
        <f>IFERROR(__xludf.DUMMYFUNCTION("""COMPUTED_VALUE"""),45843.0)</f>
        <v>45843</v>
      </c>
      <c r="B1348" s="6" t="str">
        <f>IFERROR(__xludf.DUMMYFUNCTION("""COMPUTED_VALUE"""),"Gas Bill (Metrogas)")</f>
        <v>Gas Bill (Metrogas)</v>
      </c>
      <c r="C1348" s="7">
        <f>IFERROR(__xludf.DUMMYFUNCTION("""COMPUTED_VALUE"""),10650.0)</f>
        <v>10650</v>
      </c>
      <c r="D1348" s="6" t="str">
        <f>IFERROR(__xludf.DUMMYFUNCTION("""COMPUTED_VALUE"""),"Basic Services")</f>
        <v>Basic Services</v>
      </c>
      <c r="E1348" s="6" t="str">
        <f>IFERROR(__xludf.DUMMYFUNCTION("""COMPUTED_VALUE"""),"Split Payment")</f>
        <v>Split Payment</v>
      </c>
      <c r="F1348" s="6" t="s">
        <v>13</v>
      </c>
      <c r="G1348" s="8" t="str">
        <f t="shared" si="1"/>
        <v>202507</v>
      </c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  <c r="AA1348" s="4"/>
      <c r="AB1348" s="4"/>
      <c r="AC1348" s="4"/>
      <c r="AD1348" s="4"/>
      <c r="AE1348" s="4"/>
      <c r="AF1348" s="4"/>
      <c r="AG1348" s="4"/>
      <c r="AH1348" s="4"/>
      <c r="AI1348" s="4"/>
      <c r="AJ1348" s="4"/>
      <c r="AK1348" s="4"/>
      <c r="AL1348" s="4"/>
      <c r="AM1348" s="4"/>
      <c r="AN1348" s="4"/>
      <c r="AO1348" s="4"/>
      <c r="AP1348" s="4"/>
      <c r="AQ1348" s="4"/>
      <c r="AR1348" s="4"/>
      <c r="AS1348" s="4"/>
      <c r="AT1348" s="4"/>
      <c r="AU1348" s="4"/>
      <c r="AV1348" s="4"/>
      <c r="AW1348" s="4"/>
      <c r="AX1348" s="4"/>
      <c r="AY1348" s="4"/>
      <c r="AZ1348" s="4"/>
      <c r="BA1348" s="4"/>
      <c r="BB1348" s="4"/>
      <c r="BC1348" s="4"/>
      <c r="BD1348" s="4"/>
      <c r="BE1348" s="4"/>
      <c r="BF1348" s="4"/>
      <c r="BG1348" s="4"/>
      <c r="BH1348" s="4"/>
      <c r="BI1348" s="4"/>
      <c r="BJ1348" s="4"/>
      <c r="BK1348" s="4"/>
      <c r="BL1348" s="4"/>
      <c r="BM1348" s="4"/>
      <c r="BN1348" s="4"/>
      <c r="BO1348" s="4"/>
      <c r="BP1348" s="4"/>
      <c r="BQ1348" s="4"/>
      <c r="BR1348" s="4"/>
      <c r="BS1348" s="4"/>
      <c r="BT1348" s="4"/>
      <c r="BU1348" s="4"/>
      <c r="BV1348" s="4"/>
      <c r="BW1348" s="4"/>
      <c r="BX1348" s="4"/>
      <c r="BY1348" s="4"/>
      <c r="BZ1348" s="4"/>
      <c r="CA1348" s="4"/>
      <c r="CB1348" s="4"/>
      <c r="CC1348" s="4"/>
      <c r="CD1348" s="4"/>
      <c r="CE1348" s="4"/>
      <c r="CF1348" s="4"/>
      <c r="CG1348" s="4"/>
      <c r="CH1348" s="4"/>
      <c r="CI1348" s="4"/>
      <c r="CJ1348" s="4"/>
      <c r="CK1348" s="4"/>
      <c r="CL1348" s="4"/>
      <c r="CM1348" s="4"/>
      <c r="CN1348" s="4"/>
      <c r="CO1348" s="4"/>
      <c r="CP1348" s="4"/>
      <c r="CQ1348" s="4"/>
      <c r="CR1348" s="4"/>
      <c r="CS1348" s="4"/>
      <c r="CT1348" s="4"/>
      <c r="CU1348" s="4"/>
      <c r="CV1348" s="4"/>
      <c r="CW1348" s="4"/>
      <c r="CX1348" s="4"/>
      <c r="CY1348" s="4"/>
      <c r="CZ1348" s="4"/>
      <c r="DA1348" s="4"/>
      <c r="DB1348" s="4"/>
      <c r="DC1348" s="4"/>
      <c r="DD1348" s="4"/>
      <c r="DE1348" s="4"/>
      <c r="DF1348" s="4"/>
      <c r="DG1348" s="4"/>
      <c r="DH1348" s="4"/>
      <c r="DI1348" s="4"/>
      <c r="DJ1348" s="4"/>
      <c r="DK1348" s="4"/>
      <c r="DL1348" s="4"/>
      <c r="DM1348" s="4"/>
      <c r="DN1348" s="4"/>
      <c r="DO1348" s="4"/>
      <c r="DP1348" s="4"/>
      <c r="DQ1348" s="4"/>
      <c r="DR1348" s="4"/>
      <c r="DS1348" s="4"/>
    </row>
    <row r="1349">
      <c r="A1349" s="9">
        <f>IFERROR(__xludf.DUMMYFUNCTION("""COMPUTED_VALUE"""),45843.0)</f>
        <v>45843</v>
      </c>
      <c r="B1349" s="6" t="str">
        <f>IFERROR(__xludf.DUMMYFUNCTION("""COMPUTED_VALUE"""),"Groceries")</f>
        <v>Groceries</v>
      </c>
      <c r="C1349" s="7">
        <f>IFERROR(__xludf.DUMMYFUNCTION("""COMPUTED_VALUE"""),1881.0)</f>
        <v>1881</v>
      </c>
      <c r="D1349" s="6" t="str">
        <f>IFERROR(__xludf.DUMMYFUNCTION("""COMPUTED_VALUE"""),"Groceries")</f>
        <v>Groceries</v>
      </c>
      <c r="E1349" s="6" t="str">
        <f>IFERROR(__xludf.DUMMYFUNCTION("""COMPUTED_VALUE"""),"Virtual Wallet")</f>
        <v>Virtual Wallet</v>
      </c>
      <c r="F1349" s="6" t="s">
        <v>7</v>
      </c>
      <c r="G1349" s="8" t="str">
        <f t="shared" si="1"/>
        <v>202507</v>
      </c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  <c r="AA1349" s="4"/>
      <c r="AB1349" s="4"/>
      <c r="AC1349" s="4"/>
      <c r="AD1349" s="4"/>
      <c r="AE1349" s="4"/>
      <c r="AF1349" s="4"/>
      <c r="AG1349" s="4"/>
      <c r="AH1349" s="4"/>
      <c r="AI1349" s="4"/>
      <c r="AJ1349" s="4"/>
      <c r="AK1349" s="4"/>
      <c r="AL1349" s="4"/>
      <c r="AM1349" s="4"/>
      <c r="AN1349" s="4"/>
      <c r="AO1349" s="4"/>
      <c r="AP1349" s="4"/>
      <c r="AQ1349" s="4"/>
      <c r="AR1349" s="4"/>
      <c r="AS1349" s="4"/>
      <c r="AT1349" s="4"/>
      <c r="AU1349" s="4"/>
      <c r="AV1349" s="4"/>
      <c r="AW1349" s="4"/>
      <c r="AX1349" s="4"/>
      <c r="AY1349" s="4"/>
      <c r="AZ1349" s="4"/>
      <c r="BA1349" s="4"/>
      <c r="BB1349" s="4"/>
      <c r="BC1349" s="4"/>
      <c r="BD1349" s="4"/>
      <c r="BE1349" s="4"/>
      <c r="BF1349" s="4"/>
      <c r="BG1349" s="4"/>
      <c r="BH1349" s="4"/>
      <c r="BI1349" s="4"/>
      <c r="BJ1349" s="4"/>
      <c r="BK1349" s="4"/>
      <c r="BL1349" s="4"/>
      <c r="BM1349" s="4"/>
      <c r="BN1349" s="4"/>
      <c r="BO1349" s="4"/>
      <c r="BP1349" s="4"/>
      <c r="BQ1349" s="4"/>
      <c r="BR1349" s="4"/>
      <c r="BS1349" s="4"/>
      <c r="BT1349" s="4"/>
      <c r="BU1349" s="4"/>
      <c r="BV1349" s="4"/>
      <c r="BW1349" s="4"/>
      <c r="BX1349" s="4"/>
      <c r="BY1349" s="4"/>
      <c r="BZ1349" s="4"/>
      <c r="CA1349" s="4"/>
      <c r="CB1349" s="4"/>
      <c r="CC1349" s="4"/>
      <c r="CD1349" s="4"/>
      <c r="CE1349" s="4"/>
      <c r="CF1349" s="4"/>
      <c r="CG1349" s="4"/>
      <c r="CH1349" s="4"/>
      <c r="CI1349" s="4"/>
      <c r="CJ1349" s="4"/>
      <c r="CK1349" s="4"/>
      <c r="CL1349" s="4"/>
      <c r="CM1349" s="4"/>
      <c r="CN1349" s="4"/>
      <c r="CO1349" s="4"/>
      <c r="CP1349" s="4"/>
      <c r="CQ1349" s="4"/>
      <c r="CR1349" s="4"/>
      <c r="CS1349" s="4"/>
      <c r="CT1349" s="4"/>
      <c r="CU1349" s="4"/>
      <c r="CV1349" s="4"/>
      <c r="CW1349" s="4"/>
      <c r="CX1349" s="4"/>
      <c r="CY1349" s="4"/>
      <c r="CZ1349" s="4"/>
      <c r="DA1349" s="4"/>
      <c r="DB1349" s="4"/>
      <c r="DC1349" s="4"/>
      <c r="DD1349" s="4"/>
      <c r="DE1349" s="4"/>
      <c r="DF1349" s="4"/>
      <c r="DG1349" s="4"/>
      <c r="DH1349" s="4"/>
      <c r="DI1349" s="4"/>
      <c r="DJ1349" s="4"/>
      <c r="DK1349" s="4"/>
      <c r="DL1349" s="4"/>
      <c r="DM1349" s="4"/>
      <c r="DN1349" s="4"/>
      <c r="DO1349" s="4"/>
      <c r="DP1349" s="4"/>
      <c r="DQ1349" s="4"/>
      <c r="DR1349" s="4"/>
      <c r="DS1349" s="4"/>
    </row>
    <row r="1350">
      <c r="A1350" s="9">
        <f>IFERROR(__xludf.DUMMYFUNCTION("""COMPUTED_VALUE"""),45843.0)</f>
        <v>45843</v>
      </c>
      <c r="B1350" s="6" t="str">
        <f>IFERROR(__xludf.DUMMYFUNCTION("""COMPUTED_VALUE"""),"Groceries")</f>
        <v>Groceries</v>
      </c>
      <c r="C1350" s="7">
        <f>IFERROR(__xludf.DUMMYFUNCTION("""COMPUTED_VALUE"""),3500.0)</f>
        <v>3500</v>
      </c>
      <c r="D1350" s="6" t="str">
        <f>IFERROR(__xludf.DUMMYFUNCTION("""COMPUTED_VALUE"""),"Groceries")</f>
        <v>Groceries</v>
      </c>
      <c r="E1350" s="6" t="str">
        <f>IFERROR(__xludf.DUMMYFUNCTION("""COMPUTED_VALUE"""),"Virtual Wallet")</f>
        <v>Virtual Wallet</v>
      </c>
      <c r="F1350" s="6" t="s">
        <v>7</v>
      </c>
      <c r="G1350" s="8" t="str">
        <f t="shared" si="1"/>
        <v>202507</v>
      </c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  <c r="AA1350" s="4"/>
      <c r="AB1350" s="4"/>
      <c r="AC1350" s="4"/>
      <c r="AD1350" s="4"/>
      <c r="AE1350" s="4"/>
      <c r="AF1350" s="4"/>
      <c r="AG1350" s="4"/>
      <c r="AH1350" s="4"/>
      <c r="AI1350" s="4"/>
      <c r="AJ1350" s="4"/>
      <c r="AK1350" s="4"/>
      <c r="AL1350" s="4"/>
      <c r="AM1350" s="4"/>
      <c r="AN1350" s="4"/>
      <c r="AO1350" s="4"/>
      <c r="AP1350" s="4"/>
      <c r="AQ1350" s="4"/>
      <c r="AR1350" s="4"/>
      <c r="AS1350" s="4"/>
      <c r="AT1350" s="4"/>
      <c r="AU1350" s="4"/>
      <c r="AV1350" s="4"/>
      <c r="AW1350" s="4"/>
      <c r="AX1350" s="4"/>
      <c r="AY1350" s="4"/>
      <c r="AZ1350" s="4"/>
      <c r="BA1350" s="4"/>
      <c r="BB1350" s="4"/>
      <c r="BC1350" s="4"/>
      <c r="BD1350" s="4"/>
      <c r="BE1350" s="4"/>
      <c r="BF1350" s="4"/>
      <c r="BG1350" s="4"/>
      <c r="BH1350" s="4"/>
      <c r="BI1350" s="4"/>
      <c r="BJ1350" s="4"/>
      <c r="BK1350" s="4"/>
      <c r="BL1350" s="4"/>
      <c r="BM1350" s="4"/>
      <c r="BN1350" s="4"/>
      <c r="BO1350" s="4"/>
      <c r="BP1350" s="4"/>
      <c r="BQ1350" s="4"/>
      <c r="BR1350" s="4"/>
      <c r="BS1350" s="4"/>
      <c r="BT1350" s="4"/>
      <c r="BU1350" s="4"/>
      <c r="BV1350" s="4"/>
      <c r="BW1350" s="4"/>
      <c r="BX1350" s="4"/>
      <c r="BY1350" s="4"/>
      <c r="BZ1350" s="4"/>
      <c r="CA1350" s="4"/>
      <c r="CB1350" s="4"/>
      <c r="CC1350" s="4"/>
      <c r="CD1350" s="4"/>
      <c r="CE1350" s="4"/>
      <c r="CF1350" s="4"/>
      <c r="CG1350" s="4"/>
      <c r="CH1350" s="4"/>
      <c r="CI1350" s="4"/>
      <c r="CJ1350" s="4"/>
      <c r="CK1350" s="4"/>
      <c r="CL1350" s="4"/>
      <c r="CM1350" s="4"/>
      <c r="CN1350" s="4"/>
      <c r="CO1350" s="4"/>
      <c r="CP1350" s="4"/>
      <c r="CQ1350" s="4"/>
      <c r="CR1350" s="4"/>
      <c r="CS1350" s="4"/>
      <c r="CT1350" s="4"/>
      <c r="CU1350" s="4"/>
      <c r="CV1350" s="4"/>
      <c r="CW1350" s="4"/>
      <c r="CX1350" s="4"/>
      <c r="CY1350" s="4"/>
      <c r="CZ1350" s="4"/>
      <c r="DA1350" s="4"/>
      <c r="DB1350" s="4"/>
      <c r="DC1350" s="4"/>
      <c r="DD1350" s="4"/>
      <c r="DE1350" s="4"/>
      <c r="DF1350" s="4"/>
      <c r="DG1350" s="4"/>
      <c r="DH1350" s="4"/>
      <c r="DI1350" s="4"/>
      <c r="DJ1350" s="4"/>
      <c r="DK1350" s="4"/>
      <c r="DL1350" s="4"/>
      <c r="DM1350" s="4"/>
      <c r="DN1350" s="4"/>
      <c r="DO1350" s="4"/>
      <c r="DP1350" s="4"/>
      <c r="DQ1350" s="4"/>
      <c r="DR1350" s="4"/>
      <c r="DS1350" s="4"/>
    </row>
    <row r="1351">
      <c r="A1351" s="9">
        <f>IFERROR(__xludf.DUMMYFUNCTION("""COMPUTED_VALUE"""),45843.0)</f>
        <v>45843</v>
      </c>
      <c r="B1351" s="6" t="str">
        <f>IFERROR(__xludf.DUMMYFUNCTION("""COMPUTED_VALUE"""),"Groceries")</f>
        <v>Groceries</v>
      </c>
      <c r="C1351" s="7">
        <f>IFERROR(__xludf.DUMMYFUNCTION("""COMPUTED_VALUE"""),2717.0)</f>
        <v>2717</v>
      </c>
      <c r="D1351" s="6" t="str">
        <f>IFERROR(__xludf.DUMMYFUNCTION("""COMPUTED_VALUE"""),"Groceries")</f>
        <v>Groceries</v>
      </c>
      <c r="E1351" s="6" t="str">
        <f>IFERROR(__xludf.DUMMYFUNCTION("""COMPUTED_VALUE"""),"Virtual Wallet")</f>
        <v>Virtual Wallet</v>
      </c>
      <c r="F1351" s="6" t="s">
        <v>7</v>
      </c>
      <c r="G1351" s="8" t="str">
        <f t="shared" si="1"/>
        <v>202507</v>
      </c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  <c r="AA1351" s="4"/>
      <c r="AB1351" s="4"/>
      <c r="AC1351" s="4"/>
      <c r="AD1351" s="4"/>
      <c r="AE1351" s="4"/>
      <c r="AF1351" s="4"/>
      <c r="AG1351" s="4"/>
      <c r="AH1351" s="4"/>
      <c r="AI1351" s="4"/>
      <c r="AJ1351" s="4"/>
      <c r="AK1351" s="4"/>
      <c r="AL1351" s="4"/>
      <c r="AM1351" s="4"/>
      <c r="AN1351" s="4"/>
      <c r="AO1351" s="4"/>
      <c r="AP1351" s="4"/>
      <c r="AQ1351" s="4"/>
      <c r="AR1351" s="4"/>
      <c r="AS1351" s="4"/>
      <c r="AT1351" s="4"/>
      <c r="AU1351" s="4"/>
      <c r="AV1351" s="4"/>
      <c r="AW1351" s="4"/>
      <c r="AX1351" s="4"/>
      <c r="AY1351" s="4"/>
      <c r="AZ1351" s="4"/>
      <c r="BA1351" s="4"/>
      <c r="BB1351" s="4"/>
      <c r="BC1351" s="4"/>
      <c r="BD1351" s="4"/>
      <c r="BE1351" s="4"/>
      <c r="BF1351" s="4"/>
      <c r="BG1351" s="4"/>
      <c r="BH1351" s="4"/>
      <c r="BI1351" s="4"/>
      <c r="BJ1351" s="4"/>
      <c r="BK1351" s="4"/>
      <c r="BL1351" s="4"/>
      <c r="BM1351" s="4"/>
      <c r="BN1351" s="4"/>
      <c r="BO1351" s="4"/>
      <c r="BP1351" s="4"/>
      <c r="BQ1351" s="4"/>
      <c r="BR1351" s="4"/>
      <c r="BS1351" s="4"/>
      <c r="BT1351" s="4"/>
      <c r="BU1351" s="4"/>
      <c r="BV1351" s="4"/>
      <c r="BW1351" s="4"/>
      <c r="BX1351" s="4"/>
      <c r="BY1351" s="4"/>
      <c r="BZ1351" s="4"/>
      <c r="CA1351" s="4"/>
      <c r="CB1351" s="4"/>
      <c r="CC1351" s="4"/>
      <c r="CD1351" s="4"/>
      <c r="CE1351" s="4"/>
      <c r="CF1351" s="4"/>
      <c r="CG1351" s="4"/>
      <c r="CH1351" s="4"/>
      <c r="CI1351" s="4"/>
      <c r="CJ1351" s="4"/>
      <c r="CK1351" s="4"/>
      <c r="CL1351" s="4"/>
      <c r="CM1351" s="4"/>
      <c r="CN1351" s="4"/>
      <c r="CO1351" s="4"/>
      <c r="CP1351" s="4"/>
      <c r="CQ1351" s="4"/>
      <c r="CR1351" s="4"/>
      <c r="CS1351" s="4"/>
      <c r="CT1351" s="4"/>
      <c r="CU1351" s="4"/>
      <c r="CV1351" s="4"/>
      <c r="CW1351" s="4"/>
      <c r="CX1351" s="4"/>
      <c r="CY1351" s="4"/>
      <c r="CZ1351" s="4"/>
      <c r="DA1351" s="4"/>
      <c r="DB1351" s="4"/>
      <c r="DC1351" s="4"/>
      <c r="DD1351" s="4"/>
      <c r="DE1351" s="4"/>
      <c r="DF1351" s="4"/>
      <c r="DG1351" s="4"/>
      <c r="DH1351" s="4"/>
      <c r="DI1351" s="4"/>
      <c r="DJ1351" s="4"/>
      <c r="DK1351" s="4"/>
      <c r="DL1351" s="4"/>
      <c r="DM1351" s="4"/>
      <c r="DN1351" s="4"/>
      <c r="DO1351" s="4"/>
      <c r="DP1351" s="4"/>
      <c r="DQ1351" s="4"/>
      <c r="DR1351" s="4"/>
      <c r="DS1351" s="4"/>
    </row>
    <row r="1352">
      <c r="A1352" s="9">
        <f>IFERROR(__xludf.DUMMYFUNCTION("""COMPUTED_VALUE"""),45843.0)</f>
        <v>45843</v>
      </c>
      <c r="B1352" s="6" t="str">
        <f>IFERROR(__xludf.DUMMYFUNCTION("""COMPUTED_VALUE"""),"Restaurant")</f>
        <v>Restaurant</v>
      </c>
      <c r="C1352" s="7">
        <f>IFERROR(__xludf.DUMMYFUNCTION("""COMPUTED_VALUE"""),9400.0)</f>
        <v>9400</v>
      </c>
      <c r="D1352" s="6" t="str">
        <f>IFERROR(__xludf.DUMMYFUNCTION("""COMPUTED_VALUE"""),"Restaurant / Café")</f>
        <v>Restaurant / Café</v>
      </c>
      <c r="E1352" s="6" t="str">
        <f>IFERROR(__xludf.DUMMYFUNCTION("""COMPUTED_VALUE"""),"Split Payment")</f>
        <v>Split Payment</v>
      </c>
      <c r="F1352" s="6" t="s">
        <v>14</v>
      </c>
      <c r="G1352" s="8" t="str">
        <f t="shared" si="1"/>
        <v>202507</v>
      </c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  <c r="AA1352" s="4"/>
      <c r="AB1352" s="4"/>
      <c r="AC1352" s="4"/>
      <c r="AD1352" s="4"/>
      <c r="AE1352" s="4"/>
      <c r="AF1352" s="4"/>
      <c r="AG1352" s="4"/>
      <c r="AH1352" s="4"/>
      <c r="AI1352" s="4"/>
      <c r="AJ1352" s="4"/>
      <c r="AK1352" s="4"/>
      <c r="AL1352" s="4"/>
      <c r="AM1352" s="4"/>
      <c r="AN1352" s="4"/>
      <c r="AO1352" s="4"/>
      <c r="AP1352" s="4"/>
      <c r="AQ1352" s="4"/>
      <c r="AR1352" s="4"/>
      <c r="AS1352" s="4"/>
      <c r="AT1352" s="4"/>
      <c r="AU1352" s="4"/>
      <c r="AV1352" s="4"/>
      <c r="AW1352" s="4"/>
      <c r="AX1352" s="4"/>
      <c r="AY1352" s="4"/>
      <c r="AZ1352" s="4"/>
      <c r="BA1352" s="4"/>
      <c r="BB1352" s="4"/>
      <c r="BC1352" s="4"/>
      <c r="BD1352" s="4"/>
      <c r="BE1352" s="4"/>
      <c r="BF1352" s="4"/>
      <c r="BG1352" s="4"/>
      <c r="BH1352" s="4"/>
      <c r="BI1352" s="4"/>
      <c r="BJ1352" s="4"/>
      <c r="BK1352" s="4"/>
      <c r="BL1352" s="4"/>
      <c r="BM1352" s="4"/>
      <c r="BN1352" s="4"/>
      <c r="BO1352" s="4"/>
      <c r="BP1352" s="4"/>
      <c r="BQ1352" s="4"/>
      <c r="BR1352" s="4"/>
      <c r="BS1352" s="4"/>
      <c r="BT1352" s="4"/>
      <c r="BU1352" s="4"/>
      <c r="BV1352" s="4"/>
      <c r="BW1352" s="4"/>
      <c r="BX1352" s="4"/>
      <c r="BY1352" s="4"/>
      <c r="BZ1352" s="4"/>
      <c r="CA1352" s="4"/>
      <c r="CB1352" s="4"/>
      <c r="CC1352" s="4"/>
      <c r="CD1352" s="4"/>
      <c r="CE1352" s="4"/>
      <c r="CF1352" s="4"/>
      <c r="CG1352" s="4"/>
      <c r="CH1352" s="4"/>
      <c r="CI1352" s="4"/>
      <c r="CJ1352" s="4"/>
      <c r="CK1352" s="4"/>
      <c r="CL1352" s="4"/>
      <c r="CM1352" s="4"/>
      <c r="CN1352" s="4"/>
      <c r="CO1352" s="4"/>
      <c r="CP1352" s="4"/>
      <c r="CQ1352" s="4"/>
      <c r="CR1352" s="4"/>
      <c r="CS1352" s="4"/>
      <c r="CT1352" s="4"/>
      <c r="CU1352" s="4"/>
      <c r="CV1352" s="4"/>
      <c r="CW1352" s="4"/>
      <c r="CX1352" s="4"/>
      <c r="CY1352" s="4"/>
      <c r="CZ1352" s="4"/>
      <c r="DA1352" s="4"/>
      <c r="DB1352" s="4"/>
      <c r="DC1352" s="4"/>
      <c r="DD1352" s="4"/>
      <c r="DE1352" s="4"/>
      <c r="DF1352" s="4"/>
      <c r="DG1352" s="4"/>
      <c r="DH1352" s="4"/>
      <c r="DI1352" s="4"/>
      <c r="DJ1352" s="4"/>
      <c r="DK1352" s="4"/>
      <c r="DL1352" s="4"/>
      <c r="DM1352" s="4"/>
      <c r="DN1352" s="4"/>
      <c r="DO1352" s="4"/>
      <c r="DP1352" s="4"/>
      <c r="DQ1352" s="4"/>
      <c r="DR1352" s="4"/>
      <c r="DS1352" s="4"/>
    </row>
    <row r="1353">
      <c r="A1353" s="9">
        <f>IFERROR(__xludf.DUMMYFUNCTION("""COMPUTED_VALUE"""),45844.0)</f>
        <v>45844</v>
      </c>
      <c r="B1353" s="6" t="str">
        <f>IFERROR(__xludf.DUMMYFUNCTION("""COMPUTED_VALUE"""),"Groceries")</f>
        <v>Groceries</v>
      </c>
      <c r="C1353" s="7">
        <f>IFERROR(__xludf.DUMMYFUNCTION("""COMPUTED_VALUE"""),2249.0)</f>
        <v>2249</v>
      </c>
      <c r="D1353" s="6" t="str">
        <f>IFERROR(__xludf.DUMMYFUNCTION("""COMPUTED_VALUE"""),"Groceries")</f>
        <v>Groceries</v>
      </c>
      <c r="E1353" s="6" t="str">
        <f>IFERROR(__xludf.DUMMYFUNCTION("""COMPUTED_VALUE"""),"Split Payment")</f>
        <v>Split Payment</v>
      </c>
      <c r="F1353" s="6" t="s">
        <v>7</v>
      </c>
      <c r="G1353" s="8" t="str">
        <f t="shared" si="1"/>
        <v>202507</v>
      </c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  <c r="AA1353" s="4"/>
      <c r="AB1353" s="4"/>
      <c r="AC1353" s="4"/>
      <c r="AD1353" s="4"/>
      <c r="AE1353" s="4"/>
      <c r="AF1353" s="4"/>
      <c r="AG1353" s="4"/>
      <c r="AH1353" s="4"/>
      <c r="AI1353" s="4"/>
      <c r="AJ1353" s="4"/>
      <c r="AK1353" s="4"/>
      <c r="AL1353" s="4"/>
      <c r="AM1353" s="4"/>
      <c r="AN1353" s="4"/>
      <c r="AO1353" s="4"/>
      <c r="AP1353" s="4"/>
      <c r="AQ1353" s="4"/>
      <c r="AR1353" s="4"/>
      <c r="AS1353" s="4"/>
      <c r="AT1353" s="4"/>
      <c r="AU1353" s="4"/>
      <c r="AV1353" s="4"/>
      <c r="AW1353" s="4"/>
      <c r="AX1353" s="4"/>
      <c r="AY1353" s="4"/>
      <c r="AZ1353" s="4"/>
      <c r="BA1353" s="4"/>
      <c r="BB1353" s="4"/>
      <c r="BC1353" s="4"/>
      <c r="BD1353" s="4"/>
      <c r="BE1353" s="4"/>
      <c r="BF1353" s="4"/>
      <c r="BG1353" s="4"/>
      <c r="BH1353" s="4"/>
      <c r="BI1353" s="4"/>
      <c r="BJ1353" s="4"/>
      <c r="BK1353" s="4"/>
      <c r="BL1353" s="4"/>
      <c r="BM1353" s="4"/>
      <c r="BN1353" s="4"/>
      <c r="BO1353" s="4"/>
      <c r="BP1353" s="4"/>
      <c r="BQ1353" s="4"/>
      <c r="BR1353" s="4"/>
      <c r="BS1353" s="4"/>
      <c r="BT1353" s="4"/>
      <c r="BU1353" s="4"/>
      <c r="BV1353" s="4"/>
      <c r="BW1353" s="4"/>
      <c r="BX1353" s="4"/>
      <c r="BY1353" s="4"/>
      <c r="BZ1353" s="4"/>
      <c r="CA1353" s="4"/>
      <c r="CB1353" s="4"/>
      <c r="CC1353" s="4"/>
      <c r="CD1353" s="4"/>
      <c r="CE1353" s="4"/>
      <c r="CF1353" s="4"/>
      <c r="CG1353" s="4"/>
      <c r="CH1353" s="4"/>
      <c r="CI1353" s="4"/>
      <c r="CJ1353" s="4"/>
      <c r="CK1353" s="4"/>
      <c r="CL1353" s="4"/>
      <c r="CM1353" s="4"/>
      <c r="CN1353" s="4"/>
      <c r="CO1353" s="4"/>
      <c r="CP1353" s="4"/>
      <c r="CQ1353" s="4"/>
      <c r="CR1353" s="4"/>
      <c r="CS1353" s="4"/>
      <c r="CT1353" s="4"/>
      <c r="CU1353" s="4"/>
      <c r="CV1353" s="4"/>
      <c r="CW1353" s="4"/>
      <c r="CX1353" s="4"/>
      <c r="CY1353" s="4"/>
      <c r="CZ1353" s="4"/>
      <c r="DA1353" s="4"/>
      <c r="DB1353" s="4"/>
      <c r="DC1353" s="4"/>
      <c r="DD1353" s="4"/>
      <c r="DE1353" s="4"/>
      <c r="DF1353" s="4"/>
      <c r="DG1353" s="4"/>
      <c r="DH1353" s="4"/>
      <c r="DI1353" s="4"/>
      <c r="DJ1353" s="4"/>
      <c r="DK1353" s="4"/>
      <c r="DL1353" s="4"/>
      <c r="DM1353" s="4"/>
      <c r="DN1353" s="4"/>
      <c r="DO1353" s="4"/>
      <c r="DP1353" s="4"/>
      <c r="DQ1353" s="4"/>
      <c r="DR1353" s="4"/>
      <c r="DS1353" s="4"/>
    </row>
    <row r="1354">
      <c r="A1354" s="9">
        <f>IFERROR(__xludf.DUMMYFUNCTION("""COMPUTED_VALUE"""),45844.0)</f>
        <v>45844</v>
      </c>
      <c r="B1354" s="6" t="str">
        <f>IFERROR(__xludf.DUMMYFUNCTION("""COMPUTED_VALUE"""),"Groceries")</f>
        <v>Groceries</v>
      </c>
      <c r="C1354" s="7">
        <f>IFERROR(__xludf.DUMMYFUNCTION("""COMPUTED_VALUE"""),3050.0)</f>
        <v>3050</v>
      </c>
      <c r="D1354" s="6" t="str">
        <f>IFERROR(__xludf.DUMMYFUNCTION("""COMPUTED_VALUE"""),"Groceries")</f>
        <v>Groceries</v>
      </c>
      <c r="E1354" s="6" t="str">
        <f>IFERROR(__xludf.DUMMYFUNCTION("""COMPUTED_VALUE"""),"Split Payment")</f>
        <v>Split Payment</v>
      </c>
      <c r="F1354" s="6" t="s">
        <v>7</v>
      </c>
      <c r="G1354" s="8" t="str">
        <f t="shared" si="1"/>
        <v>202507</v>
      </c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  <c r="AA1354" s="4"/>
      <c r="AB1354" s="4"/>
      <c r="AC1354" s="4"/>
      <c r="AD1354" s="4"/>
      <c r="AE1354" s="4"/>
      <c r="AF1354" s="4"/>
      <c r="AG1354" s="4"/>
      <c r="AH1354" s="4"/>
      <c r="AI1354" s="4"/>
      <c r="AJ1354" s="4"/>
      <c r="AK1354" s="4"/>
      <c r="AL1354" s="4"/>
      <c r="AM1354" s="4"/>
      <c r="AN1354" s="4"/>
      <c r="AO1354" s="4"/>
      <c r="AP1354" s="4"/>
      <c r="AQ1354" s="4"/>
      <c r="AR1354" s="4"/>
      <c r="AS1354" s="4"/>
      <c r="AT1354" s="4"/>
      <c r="AU1354" s="4"/>
      <c r="AV1354" s="4"/>
      <c r="AW1354" s="4"/>
      <c r="AX1354" s="4"/>
      <c r="AY1354" s="4"/>
      <c r="AZ1354" s="4"/>
      <c r="BA1354" s="4"/>
      <c r="BB1354" s="4"/>
      <c r="BC1354" s="4"/>
      <c r="BD1354" s="4"/>
      <c r="BE1354" s="4"/>
      <c r="BF1354" s="4"/>
      <c r="BG1354" s="4"/>
      <c r="BH1354" s="4"/>
      <c r="BI1354" s="4"/>
      <c r="BJ1354" s="4"/>
      <c r="BK1354" s="4"/>
      <c r="BL1354" s="4"/>
      <c r="BM1354" s="4"/>
      <c r="BN1354" s="4"/>
      <c r="BO1354" s="4"/>
      <c r="BP1354" s="4"/>
      <c r="BQ1354" s="4"/>
      <c r="BR1354" s="4"/>
      <c r="BS1354" s="4"/>
      <c r="BT1354" s="4"/>
      <c r="BU1354" s="4"/>
      <c r="BV1354" s="4"/>
      <c r="BW1354" s="4"/>
      <c r="BX1354" s="4"/>
      <c r="BY1354" s="4"/>
      <c r="BZ1354" s="4"/>
      <c r="CA1354" s="4"/>
      <c r="CB1354" s="4"/>
      <c r="CC1354" s="4"/>
      <c r="CD1354" s="4"/>
      <c r="CE1354" s="4"/>
      <c r="CF1354" s="4"/>
      <c r="CG1354" s="4"/>
      <c r="CH1354" s="4"/>
      <c r="CI1354" s="4"/>
      <c r="CJ1354" s="4"/>
      <c r="CK1354" s="4"/>
      <c r="CL1354" s="4"/>
      <c r="CM1354" s="4"/>
      <c r="CN1354" s="4"/>
      <c r="CO1354" s="4"/>
      <c r="CP1354" s="4"/>
      <c r="CQ1354" s="4"/>
      <c r="CR1354" s="4"/>
      <c r="CS1354" s="4"/>
      <c r="CT1354" s="4"/>
      <c r="CU1354" s="4"/>
      <c r="CV1354" s="4"/>
      <c r="CW1354" s="4"/>
      <c r="CX1354" s="4"/>
      <c r="CY1354" s="4"/>
      <c r="CZ1354" s="4"/>
      <c r="DA1354" s="4"/>
      <c r="DB1354" s="4"/>
      <c r="DC1354" s="4"/>
      <c r="DD1354" s="4"/>
      <c r="DE1354" s="4"/>
      <c r="DF1354" s="4"/>
      <c r="DG1354" s="4"/>
      <c r="DH1354" s="4"/>
      <c r="DI1354" s="4"/>
      <c r="DJ1354" s="4"/>
      <c r="DK1354" s="4"/>
      <c r="DL1354" s="4"/>
      <c r="DM1354" s="4"/>
      <c r="DN1354" s="4"/>
      <c r="DO1354" s="4"/>
      <c r="DP1354" s="4"/>
      <c r="DQ1354" s="4"/>
      <c r="DR1354" s="4"/>
      <c r="DS1354" s="4"/>
    </row>
    <row r="1355">
      <c r="A1355" s="9">
        <f>IFERROR(__xludf.DUMMYFUNCTION("""COMPUTED_VALUE"""),45844.0)</f>
        <v>45844</v>
      </c>
      <c r="B1355" s="6" t="str">
        <f>IFERROR(__xludf.DUMMYFUNCTION("""COMPUTED_VALUE"""),"Home Goods")</f>
        <v>Home Goods</v>
      </c>
      <c r="C1355" s="7">
        <f>IFERROR(__xludf.DUMMYFUNCTION("""COMPUTED_VALUE"""),5900.0)</f>
        <v>5900</v>
      </c>
      <c r="D1355" s="6" t="str">
        <f>IFERROR(__xludf.DUMMYFUNCTION("""COMPUTED_VALUE"""),"Personal Care")</f>
        <v>Personal Care</v>
      </c>
      <c r="E1355" s="6" t="str">
        <f>IFERROR(__xludf.DUMMYFUNCTION("""COMPUTED_VALUE"""),"Virtual Wallet")</f>
        <v>Virtual Wallet</v>
      </c>
      <c r="F1355" s="6" t="s">
        <v>16</v>
      </c>
      <c r="G1355" s="8" t="str">
        <f t="shared" si="1"/>
        <v>202507</v>
      </c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  <c r="AA1355" s="4"/>
      <c r="AB1355" s="4"/>
      <c r="AC1355" s="4"/>
      <c r="AD1355" s="4"/>
      <c r="AE1355" s="4"/>
      <c r="AF1355" s="4"/>
      <c r="AG1355" s="4"/>
      <c r="AH1355" s="4"/>
      <c r="AI1355" s="4"/>
      <c r="AJ1355" s="4"/>
      <c r="AK1355" s="4"/>
      <c r="AL1355" s="4"/>
      <c r="AM1355" s="4"/>
      <c r="AN1355" s="4"/>
      <c r="AO1355" s="4"/>
      <c r="AP1355" s="4"/>
      <c r="AQ1355" s="4"/>
      <c r="AR1355" s="4"/>
      <c r="AS1355" s="4"/>
      <c r="AT1355" s="4"/>
      <c r="AU1355" s="4"/>
      <c r="AV1355" s="4"/>
      <c r="AW1355" s="4"/>
      <c r="AX1355" s="4"/>
      <c r="AY1355" s="4"/>
      <c r="AZ1355" s="4"/>
      <c r="BA1355" s="4"/>
      <c r="BB1355" s="4"/>
      <c r="BC1355" s="4"/>
      <c r="BD1355" s="4"/>
      <c r="BE1355" s="4"/>
      <c r="BF1355" s="4"/>
      <c r="BG1355" s="4"/>
      <c r="BH1355" s="4"/>
      <c r="BI1355" s="4"/>
      <c r="BJ1355" s="4"/>
      <c r="BK1355" s="4"/>
      <c r="BL1355" s="4"/>
      <c r="BM1355" s="4"/>
      <c r="BN1355" s="4"/>
      <c r="BO1355" s="4"/>
      <c r="BP1355" s="4"/>
      <c r="BQ1355" s="4"/>
      <c r="BR1355" s="4"/>
      <c r="BS1355" s="4"/>
      <c r="BT1355" s="4"/>
      <c r="BU1355" s="4"/>
      <c r="BV1355" s="4"/>
      <c r="BW1355" s="4"/>
      <c r="BX1355" s="4"/>
      <c r="BY1355" s="4"/>
      <c r="BZ1355" s="4"/>
      <c r="CA1355" s="4"/>
      <c r="CB1355" s="4"/>
      <c r="CC1355" s="4"/>
      <c r="CD1355" s="4"/>
      <c r="CE1355" s="4"/>
      <c r="CF1355" s="4"/>
      <c r="CG1355" s="4"/>
      <c r="CH1355" s="4"/>
      <c r="CI1355" s="4"/>
      <c r="CJ1355" s="4"/>
      <c r="CK1355" s="4"/>
      <c r="CL1355" s="4"/>
      <c r="CM1355" s="4"/>
      <c r="CN1355" s="4"/>
      <c r="CO1355" s="4"/>
      <c r="CP1355" s="4"/>
      <c r="CQ1355" s="4"/>
      <c r="CR1355" s="4"/>
      <c r="CS1355" s="4"/>
      <c r="CT1355" s="4"/>
      <c r="CU1355" s="4"/>
      <c r="CV1355" s="4"/>
      <c r="CW1355" s="4"/>
      <c r="CX1355" s="4"/>
      <c r="CY1355" s="4"/>
      <c r="CZ1355" s="4"/>
      <c r="DA1355" s="4"/>
      <c r="DB1355" s="4"/>
      <c r="DC1355" s="4"/>
      <c r="DD1355" s="4"/>
      <c r="DE1355" s="4"/>
      <c r="DF1355" s="4"/>
      <c r="DG1355" s="4"/>
      <c r="DH1355" s="4"/>
      <c r="DI1355" s="4"/>
      <c r="DJ1355" s="4"/>
      <c r="DK1355" s="4"/>
      <c r="DL1355" s="4"/>
      <c r="DM1355" s="4"/>
      <c r="DN1355" s="4"/>
      <c r="DO1355" s="4"/>
      <c r="DP1355" s="4"/>
      <c r="DQ1355" s="4"/>
      <c r="DR1355" s="4"/>
      <c r="DS1355" s="4"/>
    </row>
    <row r="1356">
      <c r="A1356" s="9">
        <f>IFERROR(__xludf.DUMMYFUNCTION("""COMPUTED_VALUE"""),45844.0)</f>
        <v>45844</v>
      </c>
      <c r="B1356" s="6" t="str">
        <f>IFERROR(__xludf.DUMMYFUNCTION("""COMPUTED_VALUE"""),"Pharmacy")</f>
        <v>Pharmacy</v>
      </c>
      <c r="C1356" s="7">
        <f>IFERROR(__xludf.DUMMYFUNCTION("""COMPUTED_VALUE"""),18589.0)</f>
        <v>18589</v>
      </c>
      <c r="D1356" s="6" t="str">
        <f>IFERROR(__xludf.DUMMYFUNCTION("""COMPUTED_VALUE"""),"Personal Care")</f>
        <v>Personal Care</v>
      </c>
      <c r="E1356" s="6" t="str">
        <f>IFERROR(__xludf.DUMMYFUNCTION("""COMPUTED_VALUE"""),"Virtual Wallet")</f>
        <v>Virtual Wallet</v>
      </c>
      <c r="F1356" s="6" t="s">
        <v>16</v>
      </c>
      <c r="G1356" s="8" t="str">
        <f t="shared" si="1"/>
        <v>202507</v>
      </c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  <c r="AA1356" s="4"/>
      <c r="AB1356" s="4"/>
      <c r="AC1356" s="4"/>
      <c r="AD1356" s="4"/>
      <c r="AE1356" s="4"/>
      <c r="AF1356" s="4"/>
      <c r="AG1356" s="4"/>
      <c r="AH1356" s="4"/>
      <c r="AI1356" s="4"/>
      <c r="AJ1356" s="4"/>
      <c r="AK1356" s="4"/>
      <c r="AL1356" s="4"/>
      <c r="AM1356" s="4"/>
      <c r="AN1356" s="4"/>
      <c r="AO1356" s="4"/>
      <c r="AP1356" s="4"/>
      <c r="AQ1356" s="4"/>
      <c r="AR1356" s="4"/>
      <c r="AS1356" s="4"/>
      <c r="AT1356" s="4"/>
      <c r="AU1356" s="4"/>
      <c r="AV1356" s="4"/>
      <c r="AW1356" s="4"/>
      <c r="AX1356" s="4"/>
      <c r="AY1356" s="4"/>
      <c r="AZ1356" s="4"/>
      <c r="BA1356" s="4"/>
      <c r="BB1356" s="4"/>
      <c r="BC1356" s="4"/>
      <c r="BD1356" s="4"/>
      <c r="BE1356" s="4"/>
      <c r="BF1356" s="4"/>
      <c r="BG1356" s="4"/>
      <c r="BH1356" s="4"/>
      <c r="BI1356" s="4"/>
      <c r="BJ1356" s="4"/>
      <c r="BK1356" s="4"/>
      <c r="BL1356" s="4"/>
      <c r="BM1356" s="4"/>
      <c r="BN1356" s="4"/>
      <c r="BO1356" s="4"/>
      <c r="BP1356" s="4"/>
      <c r="BQ1356" s="4"/>
      <c r="BR1356" s="4"/>
      <c r="BS1356" s="4"/>
      <c r="BT1356" s="4"/>
      <c r="BU1356" s="4"/>
      <c r="BV1356" s="4"/>
      <c r="BW1356" s="4"/>
      <c r="BX1356" s="4"/>
      <c r="BY1356" s="4"/>
      <c r="BZ1356" s="4"/>
      <c r="CA1356" s="4"/>
      <c r="CB1356" s="4"/>
      <c r="CC1356" s="4"/>
      <c r="CD1356" s="4"/>
      <c r="CE1356" s="4"/>
      <c r="CF1356" s="4"/>
      <c r="CG1356" s="4"/>
      <c r="CH1356" s="4"/>
      <c r="CI1356" s="4"/>
      <c r="CJ1356" s="4"/>
      <c r="CK1356" s="4"/>
      <c r="CL1356" s="4"/>
      <c r="CM1356" s="4"/>
      <c r="CN1356" s="4"/>
      <c r="CO1356" s="4"/>
      <c r="CP1356" s="4"/>
      <c r="CQ1356" s="4"/>
      <c r="CR1356" s="4"/>
      <c r="CS1356" s="4"/>
      <c r="CT1356" s="4"/>
      <c r="CU1356" s="4"/>
      <c r="CV1356" s="4"/>
      <c r="CW1356" s="4"/>
      <c r="CX1356" s="4"/>
      <c r="CY1356" s="4"/>
      <c r="CZ1356" s="4"/>
      <c r="DA1356" s="4"/>
      <c r="DB1356" s="4"/>
      <c r="DC1356" s="4"/>
      <c r="DD1356" s="4"/>
      <c r="DE1356" s="4"/>
      <c r="DF1356" s="4"/>
      <c r="DG1356" s="4"/>
      <c r="DH1356" s="4"/>
      <c r="DI1356" s="4"/>
      <c r="DJ1356" s="4"/>
      <c r="DK1356" s="4"/>
      <c r="DL1356" s="4"/>
      <c r="DM1356" s="4"/>
      <c r="DN1356" s="4"/>
      <c r="DO1356" s="4"/>
      <c r="DP1356" s="4"/>
      <c r="DQ1356" s="4"/>
      <c r="DR1356" s="4"/>
      <c r="DS1356" s="4"/>
    </row>
    <row r="1357">
      <c r="A1357" s="9">
        <f>IFERROR(__xludf.DUMMYFUNCTION("""COMPUTED_VALUE"""),45845.0)</f>
        <v>45845</v>
      </c>
      <c r="B1357" s="6" t="str">
        <f>IFERROR(__xludf.DUMMYFUNCTION("""COMPUTED_VALUE"""),"Cab/Uber")</f>
        <v>Cab/Uber</v>
      </c>
      <c r="C1357" s="7">
        <f>IFERROR(__xludf.DUMMYFUNCTION("""COMPUTED_VALUE"""),11400.0)</f>
        <v>11400</v>
      </c>
      <c r="D1357" s="6" t="str">
        <f>IFERROR(__xludf.DUMMYFUNCTION("""COMPUTED_VALUE"""),"Transportation")</f>
        <v>Transportation</v>
      </c>
      <c r="E1357" s="6" t="str">
        <f>IFERROR(__xludf.DUMMYFUNCTION("""COMPUTED_VALUE"""),"Virtual Wallet")</f>
        <v>Virtual Wallet</v>
      </c>
      <c r="F1357" s="6" t="s">
        <v>9</v>
      </c>
      <c r="G1357" s="8" t="str">
        <f t="shared" si="1"/>
        <v>202507</v>
      </c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  <c r="AA1357" s="4"/>
      <c r="AB1357" s="4"/>
      <c r="AC1357" s="4"/>
      <c r="AD1357" s="4"/>
      <c r="AE1357" s="4"/>
      <c r="AF1357" s="4"/>
      <c r="AG1357" s="4"/>
      <c r="AH1357" s="4"/>
      <c r="AI1357" s="4"/>
      <c r="AJ1357" s="4"/>
      <c r="AK1357" s="4"/>
      <c r="AL1357" s="4"/>
      <c r="AM1357" s="4"/>
      <c r="AN1357" s="4"/>
      <c r="AO1357" s="4"/>
      <c r="AP1357" s="4"/>
      <c r="AQ1357" s="4"/>
      <c r="AR1357" s="4"/>
      <c r="AS1357" s="4"/>
      <c r="AT1357" s="4"/>
      <c r="AU1357" s="4"/>
      <c r="AV1357" s="4"/>
      <c r="AW1357" s="4"/>
      <c r="AX1357" s="4"/>
      <c r="AY1357" s="4"/>
      <c r="AZ1357" s="4"/>
      <c r="BA1357" s="4"/>
      <c r="BB1357" s="4"/>
      <c r="BC1357" s="4"/>
      <c r="BD1357" s="4"/>
      <c r="BE1357" s="4"/>
      <c r="BF1357" s="4"/>
      <c r="BG1357" s="4"/>
      <c r="BH1357" s="4"/>
      <c r="BI1357" s="4"/>
      <c r="BJ1357" s="4"/>
      <c r="BK1357" s="4"/>
      <c r="BL1357" s="4"/>
      <c r="BM1357" s="4"/>
      <c r="BN1357" s="4"/>
      <c r="BO1357" s="4"/>
      <c r="BP1357" s="4"/>
      <c r="BQ1357" s="4"/>
      <c r="BR1357" s="4"/>
      <c r="BS1357" s="4"/>
      <c r="BT1357" s="4"/>
      <c r="BU1357" s="4"/>
      <c r="BV1357" s="4"/>
      <c r="BW1357" s="4"/>
      <c r="BX1357" s="4"/>
      <c r="BY1357" s="4"/>
      <c r="BZ1357" s="4"/>
      <c r="CA1357" s="4"/>
      <c r="CB1357" s="4"/>
      <c r="CC1357" s="4"/>
      <c r="CD1357" s="4"/>
      <c r="CE1357" s="4"/>
      <c r="CF1357" s="4"/>
      <c r="CG1357" s="4"/>
      <c r="CH1357" s="4"/>
      <c r="CI1357" s="4"/>
      <c r="CJ1357" s="4"/>
      <c r="CK1357" s="4"/>
      <c r="CL1357" s="4"/>
      <c r="CM1357" s="4"/>
      <c r="CN1357" s="4"/>
      <c r="CO1357" s="4"/>
      <c r="CP1357" s="4"/>
      <c r="CQ1357" s="4"/>
      <c r="CR1357" s="4"/>
      <c r="CS1357" s="4"/>
      <c r="CT1357" s="4"/>
      <c r="CU1357" s="4"/>
      <c r="CV1357" s="4"/>
      <c r="CW1357" s="4"/>
      <c r="CX1357" s="4"/>
      <c r="CY1357" s="4"/>
      <c r="CZ1357" s="4"/>
      <c r="DA1357" s="4"/>
      <c r="DB1357" s="4"/>
      <c r="DC1357" s="4"/>
      <c r="DD1357" s="4"/>
      <c r="DE1357" s="4"/>
      <c r="DF1357" s="4"/>
      <c r="DG1357" s="4"/>
      <c r="DH1357" s="4"/>
      <c r="DI1357" s="4"/>
      <c r="DJ1357" s="4"/>
      <c r="DK1357" s="4"/>
      <c r="DL1357" s="4"/>
      <c r="DM1357" s="4"/>
      <c r="DN1357" s="4"/>
      <c r="DO1357" s="4"/>
      <c r="DP1357" s="4"/>
      <c r="DQ1357" s="4"/>
      <c r="DR1357" s="4"/>
      <c r="DS1357" s="4"/>
    </row>
    <row r="1358">
      <c r="A1358" s="9">
        <f>IFERROR(__xludf.DUMMYFUNCTION("""COMPUTED_VALUE"""),45845.0)</f>
        <v>45845</v>
      </c>
      <c r="B1358" s="6" t="str">
        <f>IFERROR(__xludf.DUMMYFUNCTION("""COMPUTED_VALUE"""),"Car Insurance")</f>
        <v>Car Insurance</v>
      </c>
      <c r="C1358" s="7">
        <f>IFERROR(__xludf.DUMMYFUNCTION("""COMPUTED_VALUE"""),8489.0)</f>
        <v>8489</v>
      </c>
      <c r="D1358" s="6" t="str">
        <f>IFERROR(__xludf.DUMMYFUNCTION("""COMPUTED_VALUE"""),"Car Expenses")</f>
        <v>Car Expenses</v>
      </c>
      <c r="E1358" s="6" t="str">
        <f>IFERROR(__xludf.DUMMYFUNCTION("""COMPUTED_VALUE"""),"Split Payment")</f>
        <v>Split Payment</v>
      </c>
      <c r="F1358" s="6" t="s">
        <v>9</v>
      </c>
      <c r="G1358" s="8" t="str">
        <f t="shared" si="1"/>
        <v>202507</v>
      </c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  <c r="AA1358" s="4"/>
      <c r="AB1358" s="4"/>
      <c r="AC1358" s="4"/>
      <c r="AD1358" s="4"/>
      <c r="AE1358" s="4"/>
      <c r="AF1358" s="4"/>
      <c r="AG1358" s="4"/>
      <c r="AH1358" s="4"/>
      <c r="AI1358" s="4"/>
      <c r="AJ1358" s="4"/>
      <c r="AK1358" s="4"/>
      <c r="AL1358" s="4"/>
      <c r="AM1358" s="4"/>
      <c r="AN1358" s="4"/>
      <c r="AO1358" s="4"/>
      <c r="AP1358" s="4"/>
      <c r="AQ1358" s="4"/>
      <c r="AR1358" s="4"/>
      <c r="AS1358" s="4"/>
      <c r="AT1358" s="4"/>
      <c r="AU1358" s="4"/>
      <c r="AV1358" s="4"/>
      <c r="AW1358" s="4"/>
      <c r="AX1358" s="4"/>
      <c r="AY1358" s="4"/>
      <c r="AZ1358" s="4"/>
      <c r="BA1358" s="4"/>
      <c r="BB1358" s="4"/>
      <c r="BC1358" s="4"/>
      <c r="BD1358" s="4"/>
      <c r="BE1358" s="4"/>
      <c r="BF1358" s="4"/>
      <c r="BG1358" s="4"/>
      <c r="BH1358" s="4"/>
      <c r="BI1358" s="4"/>
      <c r="BJ1358" s="4"/>
      <c r="BK1358" s="4"/>
      <c r="BL1358" s="4"/>
      <c r="BM1358" s="4"/>
      <c r="BN1358" s="4"/>
      <c r="BO1358" s="4"/>
      <c r="BP1358" s="4"/>
      <c r="BQ1358" s="4"/>
      <c r="BR1358" s="4"/>
      <c r="BS1358" s="4"/>
      <c r="BT1358" s="4"/>
      <c r="BU1358" s="4"/>
      <c r="BV1358" s="4"/>
      <c r="BW1358" s="4"/>
      <c r="BX1358" s="4"/>
      <c r="BY1358" s="4"/>
      <c r="BZ1358" s="4"/>
      <c r="CA1358" s="4"/>
      <c r="CB1358" s="4"/>
      <c r="CC1358" s="4"/>
      <c r="CD1358" s="4"/>
      <c r="CE1358" s="4"/>
      <c r="CF1358" s="4"/>
      <c r="CG1358" s="4"/>
      <c r="CH1358" s="4"/>
      <c r="CI1358" s="4"/>
      <c r="CJ1358" s="4"/>
      <c r="CK1358" s="4"/>
      <c r="CL1358" s="4"/>
      <c r="CM1358" s="4"/>
      <c r="CN1358" s="4"/>
      <c r="CO1358" s="4"/>
      <c r="CP1358" s="4"/>
      <c r="CQ1358" s="4"/>
      <c r="CR1358" s="4"/>
      <c r="CS1358" s="4"/>
      <c r="CT1358" s="4"/>
      <c r="CU1358" s="4"/>
      <c r="CV1358" s="4"/>
      <c r="CW1358" s="4"/>
      <c r="CX1358" s="4"/>
      <c r="CY1358" s="4"/>
      <c r="CZ1358" s="4"/>
      <c r="DA1358" s="4"/>
      <c r="DB1358" s="4"/>
      <c r="DC1358" s="4"/>
      <c r="DD1358" s="4"/>
      <c r="DE1358" s="4"/>
      <c r="DF1358" s="4"/>
      <c r="DG1358" s="4"/>
      <c r="DH1358" s="4"/>
      <c r="DI1358" s="4"/>
      <c r="DJ1358" s="4"/>
      <c r="DK1358" s="4"/>
      <c r="DL1358" s="4"/>
      <c r="DM1358" s="4"/>
      <c r="DN1358" s="4"/>
      <c r="DO1358" s="4"/>
      <c r="DP1358" s="4"/>
      <c r="DQ1358" s="4"/>
      <c r="DR1358" s="4"/>
      <c r="DS1358" s="4"/>
    </row>
    <row r="1359">
      <c r="A1359" s="9">
        <f>IFERROR(__xludf.DUMMYFUNCTION("""COMPUTED_VALUE"""),45845.0)</f>
        <v>45845</v>
      </c>
      <c r="B1359" s="6" t="str">
        <f>IFERROR(__xludf.DUMMYFUNCTION("""COMPUTED_VALUE"""),"Groceries")</f>
        <v>Groceries</v>
      </c>
      <c r="C1359" s="7">
        <f>IFERROR(__xludf.DUMMYFUNCTION("""COMPUTED_VALUE"""),1800.0)</f>
        <v>1800</v>
      </c>
      <c r="D1359" s="6" t="str">
        <f>IFERROR(__xludf.DUMMYFUNCTION("""COMPUTED_VALUE"""),"Restaurant / Café")</f>
        <v>Restaurant / Café</v>
      </c>
      <c r="E1359" s="6" t="str">
        <f>IFERROR(__xludf.DUMMYFUNCTION("""COMPUTED_VALUE"""),"Virtual Wallet")</f>
        <v>Virtual Wallet</v>
      </c>
      <c r="F1359" s="6" t="s">
        <v>14</v>
      </c>
      <c r="G1359" s="8" t="str">
        <f t="shared" si="1"/>
        <v>202507</v>
      </c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  <c r="AA1359" s="4"/>
      <c r="AB1359" s="4"/>
      <c r="AC1359" s="4"/>
      <c r="AD1359" s="4"/>
      <c r="AE1359" s="4"/>
      <c r="AF1359" s="4"/>
      <c r="AG1359" s="4"/>
      <c r="AH1359" s="4"/>
      <c r="AI1359" s="4"/>
      <c r="AJ1359" s="4"/>
      <c r="AK1359" s="4"/>
      <c r="AL1359" s="4"/>
      <c r="AM1359" s="4"/>
      <c r="AN1359" s="4"/>
      <c r="AO1359" s="4"/>
      <c r="AP1359" s="4"/>
      <c r="AQ1359" s="4"/>
      <c r="AR1359" s="4"/>
      <c r="AS1359" s="4"/>
      <c r="AT1359" s="4"/>
      <c r="AU1359" s="4"/>
      <c r="AV1359" s="4"/>
      <c r="AW1359" s="4"/>
      <c r="AX1359" s="4"/>
      <c r="AY1359" s="4"/>
      <c r="AZ1359" s="4"/>
      <c r="BA1359" s="4"/>
      <c r="BB1359" s="4"/>
      <c r="BC1359" s="4"/>
      <c r="BD1359" s="4"/>
      <c r="BE1359" s="4"/>
      <c r="BF1359" s="4"/>
      <c r="BG1359" s="4"/>
      <c r="BH1359" s="4"/>
      <c r="BI1359" s="4"/>
      <c r="BJ1359" s="4"/>
      <c r="BK1359" s="4"/>
      <c r="BL1359" s="4"/>
      <c r="BM1359" s="4"/>
      <c r="BN1359" s="4"/>
      <c r="BO1359" s="4"/>
      <c r="BP1359" s="4"/>
      <c r="BQ1359" s="4"/>
      <c r="BR1359" s="4"/>
      <c r="BS1359" s="4"/>
      <c r="BT1359" s="4"/>
      <c r="BU1359" s="4"/>
      <c r="BV1359" s="4"/>
      <c r="BW1359" s="4"/>
      <c r="BX1359" s="4"/>
      <c r="BY1359" s="4"/>
      <c r="BZ1359" s="4"/>
      <c r="CA1359" s="4"/>
      <c r="CB1359" s="4"/>
      <c r="CC1359" s="4"/>
      <c r="CD1359" s="4"/>
      <c r="CE1359" s="4"/>
      <c r="CF1359" s="4"/>
      <c r="CG1359" s="4"/>
      <c r="CH1359" s="4"/>
      <c r="CI1359" s="4"/>
      <c r="CJ1359" s="4"/>
      <c r="CK1359" s="4"/>
      <c r="CL1359" s="4"/>
      <c r="CM1359" s="4"/>
      <c r="CN1359" s="4"/>
      <c r="CO1359" s="4"/>
      <c r="CP1359" s="4"/>
      <c r="CQ1359" s="4"/>
      <c r="CR1359" s="4"/>
      <c r="CS1359" s="4"/>
      <c r="CT1359" s="4"/>
      <c r="CU1359" s="4"/>
      <c r="CV1359" s="4"/>
      <c r="CW1359" s="4"/>
      <c r="CX1359" s="4"/>
      <c r="CY1359" s="4"/>
      <c r="CZ1359" s="4"/>
      <c r="DA1359" s="4"/>
      <c r="DB1359" s="4"/>
      <c r="DC1359" s="4"/>
      <c r="DD1359" s="4"/>
      <c r="DE1359" s="4"/>
      <c r="DF1359" s="4"/>
      <c r="DG1359" s="4"/>
      <c r="DH1359" s="4"/>
      <c r="DI1359" s="4"/>
      <c r="DJ1359" s="4"/>
      <c r="DK1359" s="4"/>
      <c r="DL1359" s="4"/>
      <c r="DM1359" s="4"/>
      <c r="DN1359" s="4"/>
      <c r="DO1359" s="4"/>
      <c r="DP1359" s="4"/>
      <c r="DQ1359" s="4"/>
      <c r="DR1359" s="4"/>
      <c r="DS1359" s="4"/>
    </row>
    <row r="1360">
      <c r="A1360" s="9">
        <f>IFERROR(__xludf.DUMMYFUNCTION("""COMPUTED_VALUE"""),45845.0)</f>
        <v>45845</v>
      </c>
      <c r="B1360" s="6" t="str">
        <f>IFERROR(__xludf.DUMMYFUNCTION("""COMPUTED_VALUE"""),"Pharmacy")</f>
        <v>Pharmacy</v>
      </c>
      <c r="C1360" s="7">
        <f>IFERROR(__xludf.DUMMYFUNCTION("""COMPUTED_VALUE"""),3291.0)</f>
        <v>3291</v>
      </c>
      <c r="D1360" s="6" t="str">
        <f>IFERROR(__xludf.DUMMYFUNCTION("""COMPUTED_VALUE"""),"Healthcare")</f>
        <v>Healthcare</v>
      </c>
      <c r="E1360" s="6" t="str">
        <f>IFERROR(__xludf.DUMMYFUNCTION("""COMPUTED_VALUE"""),"Virtual Wallet")</f>
        <v>Virtual Wallet</v>
      </c>
      <c r="F1360" s="6" t="s">
        <v>15</v>
      </c>
      <c r="G1360" s="8" t="str">
        <f t="shared" si="1"/>
        <v>202507</v>
      </c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  <c r="AA1360" s="4"/>
      <c r="AB1360" s="4"/>
      <c r="AC1360" s="4"/>
      <c r="AD1360" s="4"/>
      <c r="AE1360" s="4"/>
      <c r="AF1360" s="4"/>
      <c r="AG1360" s="4"/>
      <c r="AH1360" s="4"/>
      <c r="AI1360" s="4"/>
      <c r="AJ1360" s="4"/>
      <c r="AK1360" s="4"/>
      <c r="AL1360" s="4"/>
      <c r="AM1360" s="4"/>
      <c r="AN1360" s="4"/>
      <c r="AO1360" s="4"/>
      <c r="AP1360" s="4"/>
      <c r="AQ1360" s="4"/>
      <c r="AR1360" s="4"/>
      <c r="AS1360" s="4"/>
      <c r="AT1360" s="4"/>
      <c r="AU1360" s="4"/>
      <c r="AV1360" s="4"/>
      <c r="AW1360" s="4"/>
      <c r="AX1360" s="4"/>
      <c r="AY1360" s="4"/>
      <c r="AZ1360" s="4"/>
      <c r="BA1360" s="4"/>
      <c r="BB1360" s="4"/>
      <c r="BC1360" s="4"/>
      <c r="BD1360" s="4"/>
      <c r="BE1360" s="4"/>
      <c r="BF1360" s="4"/>
      <c r="BG1360" s="4"/>
      <c r="BH1360" s="4"/>
      <c r="BI1360" s="4"/>
      <c r="BJ1360" s="4"/>
      <c r="BK1360" s="4"/>
      <c r="BL1360" s="4"/>
      <c r="BM1360" s="4"/>
      <c r="BN1360" s="4"/>
      <c r="BO1360" s="4"/>
      <c r="BP1360" s="4"/>
      <c r="BQ1360" s="4"/>
      <c r="BR1360" s="4"/>
      <c r="BS1360" s="4"/>
      <c r="BT1360" s="4"/>
      <c r="BU1360" s="4"/>
      <c r="BV1360" s="4"/>
      <c r="BW1360" s="4"/>
      <c r="BX1360" s="4"/>
      <c r="BY1360" s="4"/>
      <c r="BZ1360" s="4"/>
      <c r="CA1360" s="4"/>
      <c r="CB1360" s="4"/>
      <c r="CC1360" s="4"/>
      <c r="CD1360" s="4"/>
      <c r="CE1360" s="4"/>
      <c r="CF1360" s="4"/>
      <c r="CG1360" s="4"/>
      <c r="CH1360" s="4"/>
      <c r="CI1360" s="4"/>
      <c r="CJ1360" s="4"/>
      <c r="CK1360" s="4"/>
      <c r="CL1360" s="4"/>
      <c r="CM1360" s="4"/>
      <c r="CN1360" s="4"/>
      <c r="CO1360" s="4"/>
      <c r="CP1360" s="4"/>
      <c r="CQ1360" s="4"/>
      <c r="CR1360" s="4"/>
      <c r="CS1360" s="4"/>
      <c r="CT1360" s="4"/>
      <c r="CU1360" s="4"/>
      <c r="CV1360" s="4"/>
      <c r="CW1360" s="4"/>
      <c r="CX1360" s="4"/>
      <c r="CY1360" s="4"/>
      <c r="CZ1360" s="4"/>
      <c r="DA1360" s="4"/>
      <c r="DB1360" s="4"/>
      <c r="DC1360" s="4"/>
      <c r="DD1360" s="4"/>
      <c r="DE1360" s="4"/>
      <c r="DF1360" s="4"/>
      <c r="DG1360" s="4"/>
      <c r="DH1360" s="4"/>
      <c r="DI1360" s="4"/>
      <c r="DJ1360" s="4"/>
      <c r="DK1360" s="4"/>
      <c r="DL1360" s="4"/>
      <c r="DM1360" s="4"/>
      <c r="DN1360" s="4"/>
      <c r="DO1360" s="4"/>
      <c r="DP1360" s="4"/>
      <c r="DQ1360" s="4"/>
      <c r="DR1360" s="4"/>
      <c r="DS1360" s="4"/>
    </row>
    <row r="1361">
      <c r="A1361" s="9">
        <f>IFERROR(__xludf.DUMMYFUNCTION("""COMPUTED_VALUE"""),45845.0)</f>
        <v>45845</v>
      </c>
      <c r="B1361" s="6" t="str">
        <f>IFERROR(__xludf.DUMMYFUNCTION("""COMPUTED_VALUE"""),"Restaurant")</f>
        <v>Restaurant</v>
      </c>
      <c r="C1361" s="7">
        <f>IFERROR(__xludf.DUMMYFUNCTION("""COMPUTED_VALUE"""),8400.0)</f>
        <v>8400</v>
      </c>
      <c r="D1361" s="6" t="str">
        <f>IFERROR(__xludf.DUMMYFUNCTION("""COMPUTED_VALUE"""),"Restaurant / Café")</f>
        <v>Restaurant / Café</v>
      </c>
      <c r="E1361" s="6" t="str">
        <f>IFERROR(__xludf.DUMMYFUNCTION("""COMPUTED_VALUE"""),"Virtual Wallet")</f>
        <v>Virtual Wallet</v>
      </c>
      <c r="F1361" s="6" t="s">
        <v>14</v>
      </c>
      <c r="G1361" s="8" t="str">
        <f t="shared" si="1"/>
        <v>202507</v>
      </c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  <c r="AA1361" s="4"/>
      <c r="AB1361" s="4"/>
      <c r="AC1361" s="4"/>
      <c r="AD1361" s="4"/>
      <c r="AE1361" s="4"/>
      <c r="AF1361" s="4"/>
      <c r="AG1361" s="4"/>
      <c r="AH1361" s="4"/>
      <c r="AI1361" s="4"/>
      <c r="AJ1361" s="4"/>
      <c r="AK1361" s="4"/>
      <c r="AL1361" s="4"/>
      <c r="AM1361" s="4"/>
      <c r="AN1361" s="4"/>
      <c r="AO1361" s="4"/>
      <c r="AP1361" s="4"/>
      <c r="AQ1361" s="4"/>
      <c r="AR1361" s="4"/>
      <c r="AS1361" s="4"/>
      <c r="AT1361" s="4"/>
      <c r="AU1361" s="4"/>
      <c r="AV1361" s="4"/>
      <c r="AW1361" s="4"/>
      <c r="AX1361" s="4"/>
      <c r="AY1361" s="4"/>
      <c r="AZ1361" s="4"/>
      <c r="BA1361" s="4"/>
      <c r="BB1361" s="4"/>
      <c r="BC1361" s="4"/>
      <c r="BD1361" s="4"/>
      <c r="BE1361" s="4"/>
      <c r="BF1361" s="4"/>
      <c r="BG1361" s="4"/>
      <c r="BH1361" s="4"/>
      <c r="BI1361" s="4"/>
      <c r="BJ1361" s="4"/>
      <c r="BK1361" s="4"/>
      <c r="BL1361" s="4"/>
      <c r="BM1361" s="4"/>
      <c r="BN1361" s="4"/>
      <c r="BO1361" s="4"/>
      <c r="BP1361" s="4"/>
      <c r="BQ1361" s="4"/>
      <c r="BR1361" s="4"/>
      <c r="BS1361" s="4"/>
      <c r="BT1361" s="4"/>
      <c r="BU1361" s="4"/>
      <c r="BV1361" s="4"/>
      <c r="BW1361" s="4"/>
      <c r="BX1361" s="4"/>
      <c r="BY1361" s="4"/>
      <c r="BZ1361" s="4"/>
      <c r="CA1361" s="4"/>
      <c r="CB1361" s="4"/>
      <c r="CC1361" s="4"/>
      <c r="CD1361" s="4"/>
      <c r="CE1361" s="4"/>
      <c r="CF1361" s="4"/>
      <c r="CG1361" s="4"/>
      <c r="CH1361" s="4"/>
      <c r="CI1361" s="4"/>
      <c r="CJ1361" s="4"/>
      <c r="CK1361" s="4"/>
      <c r="CL1361" s="4"/>
      <c r="CM1361" s="4"/>
      <c r="CN1361" s="4"/>
      <c r="CO1361" s="4"/>
      <c r="CP1361" s="4"/>
      <c r="CQ1361" s="4"/>
      <c r="CR1361" s="4"/>
      <c r="CS1361" s="4"/>
      <c r="CT1361" s="4"/>
      <c r="CU1361" s="4"/>
      <c r="CV1361" s="4"/>
      <c r="CW1361" s="4"/>
      <c r="CX1361" s="4"/>
      <c r="CY1361" s="4"/>
      <c r="CZ1361" s="4"/>
      <c r="DA1361" s="4"/>
      <c r="DB1361" s="4"/>
      <c r="DC1361" s="4"/>
      <c r="DD1361" s="4"/>
      <c r="DE1361" s="4"/>
      <c r="DF1361" s="4"/>
      <c r="DG1361" s="4"/>
      <c r="DH1361" s="4"/>
      <c r="DI1361" s="4"/>
      <c r="DJ1361" s="4"/>
      <c r="DK1361" s="4"/>
      <c r="DL1361" s="4"/>
      <c r="DM1361" s="4"/>
      <c r="DN1361" s="4"/>
      <c r="DO1361" s="4"/>
      <c r="DP1361" s="4"/>
      <c r="DQ1361" s="4"/>
      <c r="DR1361" s="4"/>
      <c r="DS1361" s="4"/>
    </row>
    <row r="1362">
      <c r="A1362" s="9">
        <f>IFERROR(__xludf.DUMMYFUNCTION("""COMPUTED_VALUE"""),45846.0)</f>
        <v>45846</v>
      </c>
      <c r="B1362" s="6" t="str">
        <f>IFERROR(__xludf.DUMMYFUNCTION("""COMPUTED_VALUE"""),"Cab/Uber")</f>
        <v>Cab/Uber</v>
      </c>
      <c r="C1362" s="7">
        <f>IFERROR(__xludf.DUMMYFUNCTION("""COMPUTED_VALUE"""),10000.0)</f>
        <v>10000</v>
      </c>
      <c r="D1362" s="6" t="str">
        <f>IFERROR(__xludf.DUMMYFUNCTION("""COMPUTED_VALUE"""),"Transportation")</f>
        <v>Transportation</v>
      </c>
      <c r="E1362" s="6" t="str">
        <f>IFERROR(__xludf.DUMMYFUNCTION("""COMPUTED_VALUE"""),"Virtual Wallet")</f>
        <v>Virtual Wallet</v>
      </c>
      <c r="F1362" s="6" t="s">
        <v>9</v>
      </c>
      <c r="G1362" s="8" t="str">
        <f t="shared" si="1"/>
        <v>202507</v>
      </c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  <c r="AA1362" s="4"/>
      <c r="AB1362" s="4"/>
      <c r="AC1362" s="4"/>
      <c r="AD1362" s="4"/>
      <c r="AE1362" s="4"/>
      <c r="AF1362" s="4"/>
      <c r="AG1362" s="4"/>
      <c r="AH1362" s="4"/>
      <c r="AI1362" s="4"/>
      <c r="AJ1362" s="4"/>
      <c r="AK1362" s="4"/>
      <c r="AL1362" s="4"/>
      <c r="AM1362" s="4"/>
      <c r="AN1362" s="4"/>
      <c r="AO1362" s="4"/>
      <c r="AP1362" s="4"/>
      <c r="AQ1362" s="4"/>
      <c r="AR1362" s="4"/>
      <c r="AS1362" s="4"/>
      <c r="AT1362" s="4"/>
      <c r="AU1362" s="4"/>
      <c r="AV1362" s="4"/>
      <c r="AW1362" s="4"/>
      <c r="AX1362" s="4"/>
      <c r="AY1362" s="4"/>
      <c r="AZ1362" s="4"/>
      <c r="BA1362" s="4"/>
      <c r="BB1362" s="4"/>
      <c r="BC1362" s="4"/>
      <c r="BD1362" s="4"/>
      <c r="BE1362" s="4"/>
      <c r="BF1362" s="4"/>
      <c r="BG1362" s="4"/>
      <c r="BH1362" s="4"/>
      <c r="BI1362" s="4"/>
      <c r="BJ1362" s="4"/>
      <c r="BK1362" s="4"/>
      <c r="BL1362" s="4"/>
      <c r="BM1362" s="4"/>
      <c r="BN1362" s="4"/>
      <c r="BO1362" s="4"/>
      <c r="BP1362" s="4"/>
      <c r="BQ1362" s="4"/>
      <c r="BR1362" s="4"/>
      <c r="BS1362" s="4"/>
      <c r="BT1362" s="4"/>
      <c r="BU1362" s="4"/>
      <c r="BV1362" s="4"/>
      <c r="BW1362" s="4"/>
      <c r="BX1362" s="4"/>
      <c r="BY1362" s="4"/>
      <c r="BZ1362" s="4"/>
      <c r="CA1362" s="4"/>
      <c r="CB1362" s="4"/>
      <c r="CC1362" s="4"/>
      <c r="CD1362" s="4"/>
      <c r="CE1362" s="4"/>
      <c r="CF1362" s="4"/>
      <c r="CG1362" s="4"/>
      <c r="CH1362" s="4"/>
      <c r="CI1362" s="4"/>
      <c r="CJ1362" s="4"/>
      <c r="CK1362" s="4"/>
      <c r="CL1362" s="4"/>
      <c r="CM1362" s="4"/>
      <c r="CN1362" s="4"/>
      <c r="CO1362" s="4"/>
      <c r="CP1362" s="4"/>
      <c r="CQ1362" s="4"/>
      <c r="CR1362" s="4"/>
      <c r="CS1362" s="4"/>
      <c r="CT1362" s="4"/>
      <c r="CU1362" s="4"/>
      <c r="CV1362" s="4"/>
      <c r="CW1362" s="4"/>
      <c r="CX1362" s="4"/>
      <c r="CY1362" s="4"/>
      <c r="CZ1362" s="4"/>
      <c r="DA1362" s="4"/>
      <c r="DB1362" s="4"/>
      <c r="DC1362" s="4"/>
      <c r="DD1362" s="4"/>
      <c r="DE1362" s="4"/>
      <c r="DF1362" s="4"/>
      <c r="DG1362" s="4"/>
      <c r="DH1362" s="4"/>
      <c r="DI1362" s="4"/>
      <c r="DJ1362" s="4"/>
      <c r="DK1362" s="4"/>
      <c r="DL1362" s="4"/>
      <c r="DM1362" s="4"/>
      <c r="DN1362" s="4"/>
      <c r="DO1362" s="4"/>
      <c r="DP1362" s="4"/>
      <c r="DQ1362" s="4"/>
      <c r="DR1362" s="4"/>
      <c r="DS1362" s="4"/>
    </row>
    <row r="1363">
      <c r="A1363" s="9">
        <f>IFERROR(__xludf.DUMMYFUNCTION("""COMPUTED_VALUE"""),45846.0)</f>
        <v>45846</v>
      </c>
      <c r="B1363" s="6" t="str">
        <f>IFERROR(__xludf.DUMMYFUNCTION("""COMPUTED_VALUE"""),"Groceries")</f>
        <v>Groceries</v>
      </c>
      <c r="C1363" s="7">
        <f>IFERROR(__xludf.DUMMYFUNCTION("""COMPUTED_VALUE"""),5400.0)</f>
        <v>5400</v>
      </c>
      <c r="D1363" s="6" t="str">
        <f>IFERROR(__xludf.DUMMYFUNCTION("""COMPUTED_VALUE"""),"Lunch Out")</f>
        <v>Lunch Out</v>
      </c>
      <c r="E1363" s="6" t="str">
        <f>IFERROR(__xludf.DUMMYFUNCTION("""COMPUTED_VALUE"""),"Virtual Wallet")</f>
        <v>Virtual Wallet</v>
      </c>
      <c r="F1363" s="6" t="s">
        <v>14</v>
      </c>
      <c r="G1363" s="8" t="str">
        <f t="shared" si="1"/>
        <v>202507</v>
      </c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  <c r="AA1363" s="4"/>
      <c r="AB1363" s="4"/>
      <c r="AC1363" s="4"/>
      <c r="AD1363" s="4"/>
      <c r="AE1363" s="4"/>
      <c r="AF1363" s="4"/>
      <c r="AG1363" s="4"/>
      <c r="AH1363" s="4"/>
      <c r="AI1363" s="4"/>
      <c r="AJ1363" s="4"/>
      <c r="AK1363" s="4"/>
      <c r="AL1363" s="4"/>
      <c r="AM1363" s="4"/>
      <c r="AN1363" s="4"/>
      <c r="AO1363" s="4"/>
      <c r="AP1363" s="4"/>
      <c r="AQ1363" s="4"/>
      <c r="AR1363" s="4"/>
      <c r="AS1363" s="4"/>
      <c r="AT1363" s="4"/>
      <c r="AU1363" s="4"/>
      <c r="AV1363" s="4"/>
      <c r="AW1363" s="4"/>
      <c r="AX1363" s="4"/>
      <c r="AY1363" s="4"/>
      <c r="AZ1363" s="4"/>
      <c r="BA1363" s="4"/>
      <c r="BB1363" s="4"/>
      <c r="BC1363" s="4"/>
      <c r="BD1363" s="4"/>
      <c r="BE1363" s="4"/>
      <c r="BF1363" s="4"/>
      <c r="BG1363" s="4"/>
      <c r="BH1363" s="4"/>
      <c r="BI1363" s="4"/>
      <c r="BJ1363" s="4"/>
      <c r="BK1363" s="4"/>
      <c r="BL1363" s="4"/>
      <c r="BM1363" s="4"/>
      <c r="BN1363" s="4"/>
      <c r="BO1363" s="4"/>
      <c r="BP1363" s="4"/>
      <c r="BQ1363" s="4"/>
      <c r="BR1363" s="4"/>
      <c r="BS1363" s="4"/>
      <c r="BT1363" s="4"/>
      <c r="BU1363" s="4"/>
      <c r="BV1363" s="4"/>
      <c r="BW1363" s="4"/>
      <c r="BX1363" s="4"/>
      <c r="BY1363" s="4"/>
      <c r="BZ1363" s="4"/>
      <c r="CA1363" s="4"/>
      <c r="CB1363" s="4"/>
      <c r="CC1363" s="4"/>
      <c r="CD1363" s="4"/>
      <c r="CE1363" s="4"/>
      <c r="CF1363" s="4"/>
      <c r="CG1363" s="4"/>
      <c r="CH1363" s="4"/>
      <c r="CI1363" s="4"/>
      <c r="CJ1363" s="4"/>
      <c r="CK1363" s="4"/>
      <c r="CL1363" s="4"/>
      <c r="CM1363" s="4"/>
      <c r="CN1363" s="4"/>
      <c r="CO1363" s="4"/>
      <c r="CP1363" s="4"/>
      <c r="CQ1363" s="4"/>
      <c r="CR1363" s="4"/>
      <c r="CS1363" s="4"/>
      <c r="CT1363" s="4"/>
      <c r="CU1363" s="4"/>
      <c r="CV1363" s="4"/>
      <c r="CW1363" s="4"/>
      <c r="CX1363" s="4"/>
      <c r="CY1363" s="4"/>
      <c r="CZ1363" s="4"/>
      <c r="DA1363" s="4"/>
      <c r="DB1363" s="4"/>
      <c r="DC1363" s="4"/>
      <c r="DD1363" s="4"/>
      <c r="DE1363" s="4"/>
      <c r="DF1363" s="4"/>
      <c r="DG1363" s="4"/>
      <c r="DH1363" s="4"/>
      <c r="DI1363" s="4"/>
      <c r="DJ1363" s="4"/>
      <c r="DK1363" s="4"/>
      <c r="DL1363" s="4"/>
      <c r="DM1363" s="4"/>
      <c r="DN1363" s="4"/>
      <c r="DO1363" s="4"/>
      <c r="DP1363" s="4"/>
      <c r="DQ1363" s="4"/>
      <c r="DR1363" s="4"/>
      <c r="DS1363" s="4"/>
    </row>
    <row r="1364">
      <c r="A1364" s="9">
        <f>IFERROR(__xludf.DUMMYFUNCTION("""COMPUTED_VALUE"""),45847.0)</f>
        <v>45847</v>
      </c>
      <c r="B1364" s="6" t="str">
        <f>IFERROR(__xludf.DUMMYFUNCTION("""COMPUTED_VALUE"""),"Streaming Services")</f>
        <v>Streaming Services</v>
      </c>
      <c r="C1364" s="7">
        <f>IFERROR(__xludf.DUMMYFUNCTION("""COMPUTED_VALUE"""),2491.0)</f>
        <v>2491</v>
      </c>
      <c r="D1364" s="6" t="str">
        <f>IFERROR(__xludf.DUMMYFUNCTION("""COMPUTED_VALUE"""),"Streaming Services")</f>
        <v>Streaming Services</v>
      </c>
      <c r="E1364" s="6" t="str">
        <f>IFERROR(__xludf.DUMMYFUNCTION("""COMPUTED_VALUE"""),"Credit Card")</f>
        <v>Credit Card</v>
      </c>
      <c r="F1364" s="6" t="s">
        <v>12</v>
      </c>
      <c r="G1364" s="8" t="str">
        <f t="shared" si="1"/>
        <v>202507</v>
      </c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  <c r="AA1364" s="4"/>
      <c r="AB1364" s="4"/>
      <c r="AC1364" s="4"/>
      <c r="AD1364" s="4"/>
      <c r="AE1364" s="4"/>
      <c r="AF1364" s="4"/>
      <c r="AG1364" s="4"/>
      <c r="AH1364" s="4"/>
      <c r="AI1364" s="4"/>
      <c r="AJ1364" s="4"/>
      <c r="AK1364" s="4"/>
      <c r="AL1364" s="4"/>
      <c r="AM1364" s="4"/>
      <c r="AN1364" s="4"/>
      <c r="AO1364" s="4"/>
      <c r="AP1364" s="4"/>
      <c r="AQ1364" s="4"/>
      <c r="AR1364" s="4"/>
      <c r="AS1364" s="4"/>
      <c r="AT1364" s="4"/>
      <c r="AU1364" s="4"/>
      <c r="AV1364" s="4"/>
      <c r="AW1364" s="4"/>
      <c r="AX1364" s="4"/>
      <c r="AY1364" s="4"/>
      <c r="AZ1364" s="4"/>
      <c r="BA1364" s="4"/>
      <c r="BB1364" s="4"/>
      <c r="BC1364" s="4"/>
      <c r="BD1364" s="4"/>
      <c r="BE1364" s="4"/>
      <c r="BF1364" s="4"/>
      <c r="BG1364" s="4"/>
      <c r="BH1364" s="4"/>
      <c r="BI1364" s="4"/>
      <c r="BJ1364" s="4"/>
      <c r="BK1364" s="4"/>
      <c r="BL1364" s="4"/>
      <c r="BM1364" s="4"/>
      <c r="BN1364" s="4"/>
      <c r="BO1364" s="4"/>
      <c r="BP1364" s="4"/>
      <c r="BQ1364" s="4"/>
      <c r="BR1364" s="4"/>
      <c r="BS1364" s="4"/>
      <c r="BT1364" s="4"/>
      <c r="BU1364" s="4"/>
      <c r="BV1364" s="4"/>
      <c r="BW1364" s="4"/>
      <c r="BX1364" s="4"/>
      <c r="BY1364" s="4"/>
      <c r="BZ1364" s="4"/>
      <c r="CA1364" s="4"/>
      <c r="CB1364" s="4"/>
      <c r="CC1364" s="4"/>
      <c r="CD1364" s="4"/>
      <c r="CE1364" s="4"/>
      <c r="CF1364" s="4"/>
      <c r="CG1364" s="4"/>
      <c r="CH1364" s="4"/>
      <c r="CI1364" s="4"/>
      <c r="CJ1364" s="4"/>
      <c r="CK1364" s="4"/>
      <c r="CL1364" s="4"/>
      <c r="CM1364" s="4"/>
      <c r="CN1364" s="4"/>
      <c r="CO1364" s="4"/>
      <c r="CP1364" s="4"/>
      <c r="CQ1364" s="4"/>
      <c r="CR1364" s="4"/>
      <c r="CS1364" s="4"/>
      <c r="CT1364" s="4"/>
      <c r="CU1364" s="4"/>
      <c r="CV1364" s="4"/>
      <c r="CW1364" s="4"/>
      <c r="CX1364" s="4"/>
      <c r="CY1364" s="4"/>
      <c r="CZ1364" s="4"/>
      <c r="DA1364" s="4"/>
      <c r="DB1364" s="4"/>
      <c r="DC1364" s="4"/>
      <c r="DD1364" s="4"/>
      <c r="DE1364" s="4"/>
      <c r="DF1364" s="4"/>
      <c r="DG1364" s="4"/>
      <c r="DH1364" s="4"/>
      <c r="DI1364" s="4"/>
      <c r="DJ1364" s="4"/>
      <c r="DK1364" s="4"/>
      <c r="DL1364" s="4"/>
      <c r="DM1364" s="4"/>
      <c r="DN1364" s="4"/>
      <c r="DO1364" s="4"/>
      <c r="DP1364" s="4"/>
      <c r="DQ1364" s="4"/>
      <c r="DR1364" s="4"/>
      <c r="DS1364" s="4"/>
    </row>
    <row r="1365">
      <c r="A1365" s="9">
        <f>IFERROR(__xludf.DUMMYFUNCTION("""COMPUTED_VALUE"""),45847.0)</f>
        <v>45847</v>
      </c>
      <c r="B1365" s="6" t="str">
        <f>IFERROR(__xludf.DUMMYFUNCTION("""COMPUTED_VALUE"""),"Groceries")</f>
        <v>Groceries</v>
      </c>
      <c r="C1365" s="7">
        <f>IFERROR(__xludf.DUMMYFUNCTION("""COMPUTED_VALUE"""),6500.0)</f>
        <v>6500</v>
      </c>
      <c r="D1365" s="6" t="str">
        <f>IFERROR(__xludf.DUMMYFUNCTION("""COMPUTED_VALUE"""),"Groceries")</f>
        <v>Groceries</v>
      </c>
      <c r="E1365" s="6" t="str">
        <f>IFERROR(__xludf.DUMMYFUNCTION("""COMPUTED_VALUE"""),"Virtual Wallet")</f>
        <v>Virtual Wallet</v>
      </c>
      <c r="F1365" s="6" t="s">
        <v>7</v>
      </c>
      <c r="G1365" s="8" t="str">
        <f t="shared" si="1"/>
        <v>202507</v>
      </c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  <c r="AA1365" s="4"/>
      <c r="AB1365" s="4"/>
      <c r="AC1365" s="4"/>
      <c r="AD1365" s="4"/>
      <c r="AE1365" s="4"/>
      <c r="AF1365" s="4"/>
      <c r="AG1365" s="4"/>
      <c r="AH1365" s="4"/>
      <c r="AI1365" s="4"/>
      <c r="AJ1365" s="4"/>
      <c r="AK1365" s="4"/>
      <c r="AL1365" s="4"/>
      <c r="AM1365" s="4"/>
      <c r="AN1365" s="4"/>
      <c r="AO1365" s="4"/>
      <c r="AP1365" s="4"/>
      <c r="AQ1365" s="4"/>
      <c r="AR1365" s="4"/>
      <c r="AS1365" s="4"/>
      <c r="AT1365" s="4"/>
      <c r="AU1365" s="4"/>
      <c r="AV1365" s="4"/>
      <c r="AW1365" s="4"/>
      <c r="AX1365" s="4"/>
      <c r="AY1365" s="4"/>
      <c r="AZ1365" s="4"/>
      <c r="BA1365" s="4"/>
      <c r="BB1365" s="4"/>
      <c r="BC1365" s="4"/>
      <c r="BD1365" s="4"/>
      <c r="BE1365" s="4"/>
      <c r="BF1365" s="4"/>
      <c r="BG1365" s="4"/>
      <c r="BH1365" s="4"/>
      <c r="BI1365" s="4"/>
      <c r="BJ1365" s="4"/>
      <c r="BK1365" s="4"/>
      <c r="BL1365" s="4"/>
      <c r="BM1365" s="4"/>
      <c r="BN1365" s="4"/>
      <c r="BO1365" s="4"/>
      <c r="BP1365" s="4"/>
      <c r="BQ1365" s="4"/>
      <c r="BR1365" s="4"/>
      <c r="BS1365" s="4"/>
      <c r="BT1365" s="4"/>
      <c r="BU1365" s="4"/>
      <c r="BV1365" s="4"/>
      <c r="BW1365" s="4"/>
      <c r="BX1365" s="4"/>
      <c r="BY1365" s="4"/>
      <c r="BZ1365" s="4"/>
      <c r="CA1365" s="4"/>
      <c r="CB1365" s="4"/>
      <c r="CC1365" s="4"/>
      <c r="CD1365" s="4"/>
      <c r="CE1365" s="4"/>
      <c r="CF1365" s="4"/>
      <c r="CG1365" s="4"/>
      <c r="CH1365" s="4"/>
      <c r="CI1365" s="4"/>
      <c r="CJ1365" s="4"/>
      <c r="CK1365" s="4"/>
      <c r="CL1365" s="4"/>
      <c r="CM1365" s="4"/>
      <c r="CN1365" s="4"/>
      <c r="CO1365" s="4"/>
      <c r="CP1365" s="4"/>
      <c r="CQ1365" s="4"/>
      <c r="CR1365" s="4"/>
      <c r="CS1365" s="4"/>
      <c r="CT1365" s="4"/>
      <c r="CU1365" s="4"/>
      <c r="CV1365" s="4"/>
      <c r="CW1365" s="4"/>
      <c r="CX1365" s="4"/>
      <c r="CY1365" s="4"/>
      <c r="CZ1365" s="4"/>
      <c r="DA1365" s="4"/>
      <c r="DB1365" s="4"/>
      <c r="DC1365" s="4"/>
      <c r="DD1365" s="4"/>
      <c r="DE1365" s="4"/>
      <c r="DF1365" s="4"/>
      <c r="DG1365" s="4"/>
      <c r="DH1365" s="4"/>
      <c r="DI1365" s="4"/>
      <c r="DJ1365" s="4"/>
      <c r="DK1365" s="4"/>
      <c r="DL1365" s="4"/>
      <c r="DM1365" s="4"/>
      <c r="DN1365" s="4"/>
      <c r="DO1365" s="4"/>
      <c r="DP1365" s="4"/>
      <c r="DQ1365" s="4"/>
      <c r="DR1365" s="4"/>
      <c r="DS1365" s="4"/>
    </row>
    <row r="1366">
      <c r="A1366" s="9">
        <f>IFERROR(__xludf.DUMMYFUNCTION("""COMPUTED_VALUE"""),45847.0)</f>
        <v>45847</v>
      </c>
      <c r="B1366" s="6" t="str">
        <f>IFERROR(__xludf.DUMMYFUNCTION("""COMPUTED_VALUE"""),"Car Maintenance")</f>
        <v>Car Maintenance</v>
      </c>
      <c r="C1366" s="7">
        <f>IFERROR(__xludf.DUMMYFUNCTION("""COMPUTED_VALUE"""),7000.0)</f>
        <v>7000</v>
      </c>
      <c r="D1366" s="6" t="str">
        <f>IFERROR(__xludf.DUMMYFUNCTION("""COMPUTED_VALUE"""),"Car Expenses")</f>
        <v>Car Expenses</v>
      </c>
      <c r="E1366" s="6" t="str">
        <f>IFERROR(__xludf.DUMMYFUNCTION("""COMPUTED_VALUE"""),"Virtual Wallet")</f>
        <v>Virtual Wallet</v>
      </c>
      <c r="F1366" s="6" t="s">
        <v>9</v>
      </c>
      <c r="G1366" s="8" t="str">
        <f t="shared" si="1"/>
        <v>202507</v>
      </c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  <c r="AA1366" s="4"/>
      <c r="AB1366" s="4"/>
      <c r="AC1366" s="4"/>
      <c r="AD1366" s="4"/>
      <c r="AE1366" s="4"/>
      <c r="AF1366" s="4"/>
      <c r="AG1366" s="4"/>
      <c r="AH1366" s="4"/>
      <c r="AI1366" s="4"/>
      <c r="AJ1366" s="4"/>
      <c r="AK1366" s="4"/>
      <c r="AL1366" s="4"/>
      <c r="AM1366" s="4"/>
      <c r="AN1366" s="4"/>
      <c r="AO1366" s="4"/>
      <c r="AP1366" s="4"/>
      <c r="AQ1366" s="4"/>
      <c r="AR1366" s="4"/>
      <c r="AS1366" s="4"/>
      <c r="AT1366" s="4"/>
      <c r="AU1366" s="4"/>
      <c r="AV1366" s="4"/>
      <c r="AW1366" s="4"/>
      <c r="AX1366" s="4"/>
      <c r="AY1366" s="4"/>
      <c r="AZ1366" s="4"/>
      <c r="BA1366" s="4"/>
      <c r="BB1366" s="4"/>
      <c r="BC1366" s="4"/>
      <c r="BD1366" s="4"/>
      <c r="BE1366" s="4"/>
      <c r="BF1366" s="4"/>
      <c r="BG1366" s="4"/>
      <c r="BH1366" s="4"/>
      <c r="BI1366" s="4"/>
      <c r="BJ1366" s="4"/>
      <c r="BK1366" s="4"/>
      <c r="BL1366" s="4"/>
      <c r="BM1366" s="4"/>
      <c r="BN1366" s="4"/>
      <c r="BO1366" s="4"/>
      <c r="BP1366" s="4"/>
      <c r="BQ1366" s="4"/>
      <c r="BR1366" s="4"/>
      <c r="BS1366" s="4"/>
      <c r="BT1366" s="4"/>
      <c r="BU1366" s="4"/>
      <c r="BV1366" s="4"/>
      <c r="BW1366" s="4"/>
      <c r="BX1366" s="4"/>
      <c r="BY1366" s="4"/>
      <c r="BZ1366" s="4"/>
      <c r="CA1366" s="4"/>
      <c r="CB1366" s="4"/>
      <c r="CC1366" s="4"/>
      <c r="CD1366" s="4"/>
      <c r="CE1366" s="4"/>
      <c r="CF1366" s="4"/>
      <c r="CG1366" s="4"/>
      <c r="CH1366" s="4"/>
      <c r="CI1366" s="4"/>
      <c r="CJ1366" s="4"/>
      <c r="CK1366" s="4"/>
      <c r="CL1366" s="4"/>
      <c r="CM1366" s="4"/>
      <c r="CN1366" s="4"/>
      <c r="CO1366" s="4"/>
      <c r="CP1366" s="4"/>
      <c r="CQ1366" s="4"/>
      <c r="CR1366" s="4"/>
      <c r="CS1366" s="4"/>
      <c r="CT1366" s="4"/>
      <c r="CU1366" s="4"/>
      <c r="CV1366" s="4"/>
      <c r="CW1366" s="4"/>
      <c r="CX1366" s="4"/>
      <c r="CY1366" s="4"/>
      <c r="CZ1366" s="4"/>
      <c r="DA1366" s="4"/>
      <c r="DB1366" s="4"/>
      <c r="DC1366" s="4"/>
      <c r="DD1366" s="4"/>
      <c r="DE1366" s="4"/>
      <c r="DF1366" s="4"/>
      <c r="DG1366" s="4"/>
      <c r="DH1366" s="4"/>
      <c r="DI1366" s="4"/>
      <c r="DJ1366" s="4"/>
      <c r="DK1366" s="4"/>
      <c r="DL1366" s="4"/>
      <c r="DM1366" s="4"/>
      <c r="DN1366" s="4"/>
      <c r="DO1366" s="4"/>
      <c r="DP1366" s="4"/>
      <c r="DQ1366" s="4"/>
      <c r="DR1366" s="4"/>
      <c r="DS1366" s="4"/>
    </row>
    <row r="1367">
      <c r="A1367" s="9">
        <f>IFERROR(__xludf.DUMMYFUNCTION("""COMPUTED_VALUE"""),45847.0)</f>
        <v>45847</v>
      </c>
      <c r="B1367" s="6" t="str">
        <f>IFERROR(__xludf.DUMMYFUNCTION("""COMPUTED_VALUE"""),"Personal Care")</f>
        <v>Personal Care</v>
      </c>
      <c r="C1367" s="7">
        <f>IFERROR(__xludf.DUMMYFUNCTION("""COMPUTED_VALUE"""),330000.0)</f>
        <v>330000</v>
      </c>
      <c r="D1367" s="6" t="str">
        <f>IFERROR(__xludf.DUMMYFUNCTION("""COMPUTED_VALUE"""),"Personal Care")</f>
        <v>Personal Care</v>
      </c>
      <c r="E1367" s="6" t="str">
        <f>IFERROR(__xludf.DUMMYFUNCTION("""COMPUTED_VALUE"""),"Virtual Wallet")</f>
        <v>Virtual Wallet</v>
      </c>
      <c r="F1367" s="6" t="s">
        <v>16</v>
      </c>
      <c r="G1367" s="8" t="str">
        <f t="shared" si="1"/>
        <v>202507</v>
      </c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  <c r="AA1367" s="4"/>
      <c r="AB1367" s="4"/>
      <c r="AC1367" s="4"/>
      <c r="AD1367" s="4"/>
      <c r="AE1367" s="4"/>
      <c r="AF1367" s="4"/>
      <c r="AG1367" s="4"/>
      <c r="AH1367" s="4"/>
      <c r="AI1367" s="4"/>
      <c r="AJ1367" s="4"/>
      <c r="AK1367" s="4"/>
      <c r="AL1367" s="4"/>
      <c r="AM1367" s="4"/>
      <c r="AN1367" s="4"/>
      <c r="AO1367" s="4"/>
      <c r="AP1367" s="4"/>
      <c r="AQ1367" s="4"/>
      <c r="AR1367" s="4"/>
      <c r="AS1367" s="4"/>
      <c r="AT1367" s="4"/>
      <c r="AU1367" s="4"/>
      <c r="AV1367" s="4"/>
      <c r="AW1367" s="4"/>
      <c r="AX1367" s="4"/>
      <c r="AY1367" s="4"/>
      <c r="AZ1367" s="4"/>
      <c r="BA1367" s="4"/>
      <c r="BB1367" s="4"/>
      <c r="BC1367" s="4"/>
      <c r="BD1367" s="4"/>
      <c r="BE1367" s="4"/>
      <c r="BF1367" s="4"/>
      <c r="BG1367" s="4"/>
      <c r="BH1367" s="4"/>
      <c r="BI1367" s="4"/>
      <c r="BJ1367" s="4"/>
      <c r="BK1367" s="4"/>
      <c r="BL1367" s="4"/>
      <c r="BM1367" s="4"/>
      <c r="BN1367" s="4"/>
      <c r="BO1367" s="4"/>
      <c r="BP1367" s="4"/>
      <c r="BQ1367" s="4"/>
      <c r="BR1367" s="4"/>
      <c r="BS1367" s="4"/>
      <c r="BT1367" s="4"/>
      <c r="BU1367" s="4"/>
      <c r="BV1367" s="4"/>
      <c r="BW1367" s="4"/>
      <c r="BX1367" s="4"/>
      <c r="BY1367" s="4"/>
      <c r="BZ1367" s="4"/>
      <c r="CA1367" s="4"/>
      <c r="CB1367" s="4"/>
      <c r="CC1367" s="4"/>
      <c r="CD1367" s="4"/>
      <c r="CE1367" s="4"/>
      <c r="CF1367" s="4"/>
      <c r="CG1367" s="4"/>
      <c r="CH1367" s="4"/>
      <c r="CI1367" s="4"/>
      <c r="CJ1367" s="4"/>
      <c r="CK1367" s="4"/>
      <c r="CL1367" s="4"/>
      <c r="CM1367" s="4"/>
      <c r="CN1367" s="4"/>
      <c r="CO1367" s="4"/>
      <c r="CP1367" s="4"/>
      <c r="CQ1367" s="4"/>
      <c r="CR1367" s="4"/>
      <c r="CS1367" s="4"/>
      <c r="CT1367" s="4"/>
      <c r="CU1367" s="4"/>
      <c r="CV1367" s="4"/>
      <c r="CW1367" s="4"/>
      <c r="CX1367" s="4"/>
      <c r="CY1367" s="4"/>
      <c r="CZ1367" s="4"/>
      <c r="DA1367" s="4"/>
      <c r="DB1367" s="4"/>
      <c r="DC1367" s="4"/>
      <c r="DD1367" s="4"/>
      <c r="DE1367" s="4"/>
      <c r="DF1367" s="4"/>
      <c r="DG1367" s="4"/>
      <c r="DH1367" s="4"/>
      <c r="DI1367" s="4"/>
      <c r="DJ1367" s="4"/>
      <c r="DK1367" s="4"/>
      <c r="DL1367" s="4"/>
      <c r="DM1367" s="4"/>
      <c r="DN1367" s="4"/>
      <c r="DO1367" s="4"/>
      <c r="DP1367" s="4"/>
      <c r="DQ1367" s="4"/>
      <c r="DR1367" s="4"/>
      <c r="DS1367" s="4"/>
    </row>
    <row r="1368">
      <c r="A1368" s="9">
        <f>IFERROR(__xludf.DUMMYFUNCTION("""COMPUTED_VALUE"""),45848.0)</f>
        <v>45848</v>
      </c>
      <c r="B1368" s="6" t="str">
        <f>IFERROR(__xludf.DUMMYFUNCTION("""COMPUTED_VALUE"""),"Lunch Out")</f>
        <v>Lunch Out</v>
      </c>
      <c r="C1368" s="7">
        <f>IFERROR(__xludf.DUMMYFUNCTION("""COMPUTED_VALUE"""),5000.0)</f>
        <v>5000</v>
      </c>
      <c r="D1368" s="6" t="str">
        <f>IFERROR(__xludf.DUMMYFUNCTION("""COMPUTED_VALUE"""),"Lunch Out")</f>
        <v>Lunch Out</v>
      </c>
      <c r="E1368" s="6" t="str">
        <f>IFERROR(__xludf.DUMMYFUNCTION("""COMPUTED_VALUE"""),"Virtual Wallet")</f>
        <v>Virtual Wallet</v>
      </c>
      <c r="F1368" s="6" t="s">
        <v>14</v>
      </c>
      <c r="G1368" s="8" t="str">
        <f t="shared" si="1"/>
        <v>202507</v>
      </c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  <c r="AA1368" s="4"/>
      <c r="AB1368" s="4"/>
      <c r="AC1368" s="4"/>
      <c r="AD1368" s="4"/>
      <c r="AE1368" s="4"/>
      <c r="AF1368" s="4"/>
      <c r="AG1368" s="4"/>
      <c r="AH1368" s="4"/>
      <c r="AI1368" s="4"/>
      <c r="AJ1368" s="4"/>
      <c r="AK1368" s="4"/>
      <c r="AL1368" s="4"/>
      <c r="AM1368" s="4"/>
      <c r="AN1368" s="4"/>
      <c r="AO1368" s="4"/>
      <c r="AP1368" s="4"/>
      <c r="AQ1368" s="4"/>
      <c r="AR1368" s="4"/>
      <c r="AS1368" s="4"/>
      <c r="AT1368" s="4"/>
      <c r="AU1368" s="4"/>
      <c r="AV1368" s="4"/>
      <c r="AW1368" s="4"/>
      <c r="AX1368" s="4"/>
      <c r="AY1368" s="4"/>
      <c r="AZ1368" s="4"/>
      <c r="BA1368" s="4"/>
      <c r="BB1368" s="4"/>
      <c r="BC1368" s="4"/>
      <c r="BD1368" s="4"/>
      <c r="BE1368" s="4"/>
      <c r="BF1368" s="4"/>
      <c r="BG1368" s="4"/>
      <c r="BH1368" s="4"/>
      <c r="BI1368" s="4"/>
      <c r="BJ1368" s="4"/>
      <c r="BK1368" s="4"/>
      <c r="BL1368" s="4"/>
      <c r="BM1368" s="4"/>
      <c r="BN1368" s="4"/>
      <c r="BO1368" s="4"/>
      <c r="BP1368" s="4"/>
      <c r="BQ1368" s="4"/>
      <c r="BR1368" s="4"/>
      <c r="BS1368" s="4"/>
      <c r="BT1368" s="4"/>
      <c r="BU1368" s="4"/>
      <c r="BV1368" s="4"/>
      <c r="BW1368" s="4"/>
      <c r="BX1368" s="4"/>
      <c r="BY1368" s="4"/>
      <c r="BZ1368" s="4"/>
      <c r="CA1368" s="4"/>
      <c r="CB1368" s="4"/>
      <c r="CC1368" s="4"/>
      <c r="CD1368" s="4"/>
      <c r="CE1368" s="4"/>
      <c r="CF1368" s="4"/>
      <c r="CG1368" s="4"/>
      <c r="CH1368" s="4"/>
      <c r="CI1368" s="4"/>
      <c r="CJ1368" s="4"/>
      <c r="CK1368" s="4"/>
      <c r="CL1368" s="4"/>
      <c r="CM1368" s="4"/>
      <c r="CN1368" s="4"/>
      <c r="CO1368" s="4"/>
      <c r="CP1368" s="4"/>
      <c r="CQ1368" s="4"/>
      <c r="CR1368" s="4"/>
      <c r="CS1368" s="4"/>
      <c r="CT1368" s="4"/>
      <c r="CU1368" s="4"/>
      <c r="CV1368" s="4"/>
      <c r="CW1368" s="4"/>
      <c r="CX1368" s="4"/>
      <c r="CY1368" s="4"/>
      <c r="CZ1368" s="4"/>
      <c r="DA1368" s="4"/>
      <c r="DB1368" s="4"/>
      <c r="DC1368" s="4"/>
      <c r="DD1368" s="4"/>
      <c r="DE1368" s="4"/>
      <c r="DF1368" s="4"/>
      <c r="DG1368" s="4"/>
      <c r="DH1368" s="4"/>
      <c r="DI1368" s="4"/>
      <c r="DJ1368" s="4"/>
      <c r="DK1368" s="4"/>
      <c r="DL1368" s="4"/>
      <c r="DM1368" s="4"/>
      <c r="DN1368" s="4"/>
      <c r="DO1368" s="4"/>
      <c r="DP1368" s="4"/>
      <c r="DQ1368" s="4"/>
      <c r="DR1368" s="4"/>
      <c r="DS1368" s="4"/>
    </row>
    <row r="1369">
      <c r="A1369" s="9">
        <f>IFERROR(__xludf.DUMMYFUNCTION("""COMPUTED_VALUE"""),45848.0)</f>
        <v>45848</v>
      </c>
      <c r="B1369" s="6" t="str">
        <f>IFERROR(__xludf.DUMMYFUNCTION("""COMPUTED_VALUE"""),"Pets")</f>
        <v>Pets</v>
      </c>
      <c r="C1369" s="7">
        <f>IFERROR(__xludf.DUMMYFUNCTION("""COMPUTED_VALUE"""),15000.0)</f>
        <v>15000</v>
      </c>
      <c r="D1369" s="6" t="str">
        <f>IFERROR(__xludf.DUMMYFUNCTION("""COMPUTED_VALUE"""),"Pets")</f>
        <v>Pets</v>
      </c>
      <c r="E1369" s="6" t="str">
        <f>IFERROR(__xludf.DUMMYFUNCTION("""COMPUTED_VALUE"""),"Virtual Wallet")</f>
        <v>Virtual Wallet</v>
      </c>
      <c r="F1369" s="6" t="s">
        <v>7</v>
      </c>
      <c r="G1369" s="8" t="str">
        <f t="shared" si="1"/>
        <v>202507</v>
      </c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  <c r="AA1369" s="4"/>
      <c r="AB1369" s="4"/>
      <c r="AC1369" s="4"/>
      <c r="AD1369" s="4"/>
      <c r="AE1369" s="4"/>
      <c r="AF1369" s="4"/>
      <c r="AG1369" s="4"/>
      <c r="AH1369" s="4"/>
      <c r="AI1369" s="4"/>
      <c r="AJ1369" s="4"/>
      <c r="AK1369" s="4"/>
      <c r="AL1369" s="4"/>
      <c r="AM1369" s="4"/>
      <c r="AN1369" s="4"/>
      <c r="AO1369" s="4"/>
      <c r="AP1369" s="4"/>
      <c r="AQ1369" s="4"/>
      <c r="AR1369" s="4"/>
      <c r="AS1369" s="4"/>
      <c r="AT1369" s="4"/>
      <c r="AU1369" s="4"/>
      <c r="AV1369" s="4"/>
      <c r="AW1369" s="4"/>
      <c r="AX1369" s="4"/>
      <c r="AY1369" s="4"/>
      <c r="AZ1369" s="4"/>
      <c r="BA1369" s="4"/>
      <c r="BB1369" s="4"/>
      <c r="BC1369" s="4"/>
      <c r="BD1369" s="4"/>
      <c r="BE1369" s="4"/>
      <c r="BF1369" s="4"/>
      <c r="BG1369" s="4"/>
      <c r="BH1369" s="4"/>
      <c r="BI1369" s="4"/>
      <c r="BJ1369" s="4"/>
      <c r="BK1369" s="4"/>
      <c r="BL1369" s="4"/>
      <c r="BM1369" s="4"/>
      <c r="BN1369" s="4"/>
      <c r="BO1369" s="4"/>
      <c r="BP1369" s="4"/>
      <c r="BQ1369" s="4"/>
      <c r="BR1369" s="4"/>
      <c r="BS1369" s="4"/>
      <c r="BT1369" s="4"/>
      <c r="BU1369" s="4"/>
      <c r="BV1369" s="4"/>
      <c r="BW1369" s="4"/>
      <c r="BX1369" s="4"/>
      <c r="BY1369" s="4"/>
      <c r="BZ1369" s="4"/>
      <c r="CA1369" s="4"/>
      <c r="CB1369" s="4"/>
      <c r="CC1369" s="4"/>
      <c r="CD1369" s="4"/>
      <c r="CE1369" s="4"/>
      <c r="CF1369" s="4"/>
      <c r="CG1369" s="4"/>
      <c r="CH1369" s="4"/>
      <c r="CI1369" s="4"/>
      <c r="CJ1369" s="4"/>
      <c r="CK1369" s="4"/>
      <c r="CL1369" s="4"/>
      <c r="CM1369" s="4"/>
      <c r="CN1369" s="4"/>
      <c r="CO1369" s="4"/>
      <c r="CP1369" s="4"/>
      <c r="CQ1369" s="4"/>
      <c r="CR1369" s="4"/>
      <c r="CS1369" s="4"/>
      <c r="CT1369" s="4"/>
      <c r="CU1369" s="4"/>
      <c r="CV1369" s="4"/>
      <c r="CW1369" s="4"/>
      <c r="CX1369" s="4"/>
      <c r="CY1369" s="4"/>
      <c r="CZ1369" s="4"/>
      <c r="DA1369" s="4"/>
      <c r="DB1369" s="4"/>
      <c r="DC1369" s="4"/>
      <c r="DD1369" s="4"/>
      <c r="DE1369" s="4"/>
      <c r="DF1369" s="4"/>
      <c r="DG1369" s="4"/>
      <c r="DH1369" s="4"/>
      <c r="DI1369" s="4"/>
      <c r="DJ1369" s="4"/>
      <c r="DK1369" s="4"/>
      <c r="DL1369" s="4"/>
      <c r="DM1369" s="4"/>
      <c r="DN1369" s="4"/>
      <c r="DO1369" s="4"/>
      <c r="DP1369" s="4"/>
      <c r="DQ1369" s="4"/>
      <c r="DR1369" s="4"/>
      <c r="DS1369" s="4"/>
    </row>
    <row r="1370">
      <c r="A1370" s="9">
        <f>IFERROR(__xludf.DUMMYFUNCTION("""COMPUTED_VALUE"""),45848.0)</f>
        <v>45848</v>
      </c>
      <c r="B1370" s="6" t="str">
        <f>IFERROR(__xludf.DUMMYFUNCTION("""COMPUTED_VALUE"""),"Pharmacy")</f>
        <v>Pharmacy</v>
      </c>
      <c r="C1370" s="7">
        <f>IFERROR(__xludf.DUMMYFUNCTION("""COMPUTED_VALUE"""),3500.0)</f>
        <v>3500</v>
      </c>
      <c r="D1370" s="6" t="str">
        <f>IFERROR(__xludf.DUMMYFUNCTION("""COMPUTED_VALUE"""),"Healthcare")</f>
        <v>Healthcare</v>
      </c>
      <c r="E1370" s="6" t="str">
        <f>IFERROR(__xludf.DUMMYFUNCTION("""COMPUTED_VALUE"""),"Split Payment")</f>
        <v>Split Payment</v>
      </c>
      <c r="F1370" s="6" t="s">
        <v>15</v>
      </c>
      <c r="G1370" s="8" t="str">
        <f t="shared" si="1"/>
        <v>202507</v>
      </c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  <c r="AA1370" s="4"/>
      <c r="AB1370" s="4"/>
      <c r="AC1370" s="4"/>
      <c r="AD1370" s="4"/>
      <c r="AE1370" s="4"/>
      <c r="AF1370" s="4"/>
      <c r="AG1370" s="4"/>
      <c r="AH1370" s="4"/>
      <c r="AI1370" s="4"/>
      <c r="AJ1370" s="4"/>
      <c r="AK1370" s="4"/>
      <c r="AL1370" s="4"/>
      <c r="AM1370" s="4"/>
      <c r="AN1370" s="4"/>
      <c r="AO1370" s="4"/>
      <c r="AP1370" s="4"/>
      <c r="AQ1370" s="4"/>
      <c r="AR1370" s="4"/>
      <c r="AS1370" s="4"/>
      <c r="AT1370" s="4"/>
      <c r="AU1370" s="4"/>
      <c r="AV1370" s="4"/>
      <c r="AW1370" s="4"/>
      <c r="AX1370" s="4"/>
      <c r="AY1370" s="4"/>
      <c r="AZ1370" s="4"/>
      <c r="BA1370" s="4"/>
      <c r="BB1370" s="4"/>
      <c r="BC1370" s="4"/>
      <c r="BD1370" s="4"/>
      <c r="BE1370" s="4"/>
      <c r="BF1370" s="4"/>
      <c r="BG1370" s="4"/>
      <c r="BH1370" s="4"/>
      <c r="BI1370" s="4"/>
      <c r="BJ1370" s="4"/>
      <c r="BK1370" s="4"/>
      <c r="BL1370" s="4"/>
      <c r="BM1370" s="4"/>
      <c r="BN1370" s="4"/>
      <c r="BO1370" s="4"/>
      <c r="BP1370" s="4"/>
      <c r="BQ1370" s="4"/>
      <c r="BR1370" s="4"/>
      <c r="BS1370" s="4"/>
      <c r="BT1370" s="4"/>
      <c r="BU1370" s="4"/>
      <c r="BV1370" s="4"/>
      <c r="BW1370" s="4"/>
      <c r="BX1370" s="4"/>
      <c r="BY1370" s="4"/>
      <c r="BZ1370" s="4"/>
      <c r="CA1370" s="4"/>
      <c r="CB1370" s="4"/>
      <c r="CC1370" s="4"/>
      <c r="CD1370" s="4"/>
      <c r="CE1370" s="4"/>
      <c r="CF1370" s="4"/>
      <c r="CG1370" s="4"/>
      <c r="CH1370" s="4"/>
      <c r="CI1370" s="4"/>
      <c r="CJ1370" s="4"/>
      <c r="CK1370" s="4"/>
      <c r="CL1370" s="4"/>
      <c r="CM1370" s="4"/>
      <c r="CN1370" s="4"/>
      <c r="CO1370" s="4"/>
      <c r="CP1370" s="4"/>
      <c r="CQ1370" s="4"/>
      <c r="CR1370" s="4"/>
      <c r="CS1370" s="4"/>
      <c r="CT1370" s="4"/>
      <c r="CU1370" s="4"/>
      <c r="CV1370" s="4"/>
      <c r="CW1370" s="4"/>
      <c r="CX1370" s="4"/>
      <c r="CY1370" s="4"/>
      <c r="CZ1370" s="4"/>
      <c r="DA1370" s="4"/>
      <c r="DB1370" s="4"/>
      <c r="DC1370" s="4"/>
      <c r="DD1370" s="4"/>
      <c r="DE1370" s="4"/>
      <c r="DF1370" s="4"/>
      <c r="DG1370" s="4"/>
      <c r="DH1370" s="4"/>
      <c r="DI1370" s="4"/>
      <c r="DJ1370" s="4"/>
      <c r="DK1370" s="4"/>
      <c r="DL1370" s="4"/>
      <c r="DM1370" s="4"/>
      <c r="DN1370" s="4"/>
      <c r="DO1370" s="4"/>
      <c r="DP1370" s="4"/>
      <c r="DQ1370" s="4"/>
      <c r="DR1370" s="4"/>
      <c r="DS1370" s="4"/>
    </row>
    <row r="1371">
      <c r="A1371" s="9">
        <f>IFERROR(__xludf.DUMMYFUNCTION("""COMPUTED_VALUE"""),45849.0)</f>
        <v>45849</v>
      </c>
      <c r="B1371" s="6" t="str">
        <f>IFERROR(__xludf.DUMMYFUNCTION("""COMPUTED_VALUE"""),"Groceries")</f>
        <v>Groceries</v>
      </c>
      <c r="C1371" s="7">
        <f>IFERROR(__xludf.DUMMYFUNCTION("""COMPUTED_VALUE"""),1250.0)</f>
        <v>1250</v>
      </c>
      <c r="D1371" s="6" t="str">
        <f>IFERROR(__xludf.DUMMYFUNCTION("""COMPUTED_VALUE"""),"Groceries")</f>
        <v>Groceries</v>
      </c>
      <c r="E1371" s="6" t="str">
        <f>IFERROR(__xludf.DUMMYFUNCTION("""COMPUTED_VALUE"""),"Split Payment")</f>
        <v>Split Payment</v>
      </c>
      <c r="F1371" s="6" t="s">
        <v>7</v>
      </c>
      <c r="G1371" s="8" t="str">
        <f t="shared" si="1"/>
        <v>202507</v>
      </c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  <c r="AA1371" s="4"/>
      <c r="AB1371" s="4"/>
      <c r="AC1371" s="4"/>
      <c r="AD1371" s="4"/>
      <c r="AE1371" s="4"/>
      <c r="AF1371" s="4"/>
      <c r="AG1371" s="4"/>
      <c r="AH1371" s="4"/>
      <c r="AI1371" s="4"/>
      <c r="AJ1371" s="4"/>
      <c r="AK1371" s="4"/>
      <c r="AL1371" s="4"/>
      <c r="AM1371" s="4"/>
      <c r="AN1371" s="4"/>
      <c r="AO1371" s="4"/>
      <c r="AP1371" s="4"/>
      <c r="AQ1371" s="4"/>
      <c r="AR1371" s="4"/>
      <c r="AS1371" s="4"/>
      <c r="AT1371" s="4"/>
      <c r="AU1371" s="4"/>
      <c r="AV1371" s="4"/>
      <c r="AW1371" s="4"/>
      <c r="AX1371" s="4"/>
      <c r="AY1371" s="4"/>
      <c r="AZ1371" s="4"/>
      <c r="BA1371" s="4"/>
      <c r="BB1371" s="4"/>
      <c r="BC1371" s="4"/>
      <c r="BD1371" s="4"/>
      <c r="BE1371" s="4"/>
      <c r="BF1371" s="4"/>
      <c r="BG1371" s="4"/>
      <c r="BH1371" s="4"/>
      <c r="BI1371" s="4"/>
      <c r="BJ1371" s="4"/>
      <c r="BK1371" s="4"/>
      <c r="BL1371" s="4"/>
      <c r="BM1371" s="4"/>
      <c r="BN1371" s="4"/>
      <c r="BO1371" s="4"/>
      <c r="BP1371" s="4"/>
      <c r="BQ1371" s="4"/>
      <c r="BR1371" s="4"/>
      <c r="BS1371" s="4"/>
      <c r="BT1371" s="4"/>
      <c r="BU1371" s="4"/>
      <c r="BV1371" s="4"/>
      <c r="BW1371" s="4"/>
      <c r="BX1371" s="4"/>
      <c r="BY1371" s="4"/>
      <c r="BZ1371" s="4"/>
      <c r="CA1371" s="4"/>
      <c r="CB1371" s="4"/>
      <c r="CC1371" s="4"/>
      <c r="CD1371" s="4"/>
      <c r="CE1371" s="4"/>
      <c r="CF1371" s="4"/>
      <c r="CG1371" s="4"/>
      <c r="CH1371" s="4"/>
      <c r="CI1371" s="4"/>
      <c r="CJ1371" s="4"/>
      <c r="CK1371" s="4"/>
      <c r="CL1371" s="4"/>
      <c r="CM1371" s="4"/>
      <c r="CN1371" s="4"/>
      <c r="CO1371" s="4"/>
      <c r="CP1371" s="4"/>
      <c r="CQ1371" s="4"/>
      <c r="CR1371" s="4"/>
      <c r="CS1371" s="4"/>
      <c r="CT1371" s="4"/>
      <c r="CU1371" s="4"/>
      <c r="CV1371" s="4"/>
      <c r="CW1371" s="4"/>
      <c r="CX1371" s="4"/>
      <c r="CY1371" s="4"/>
      <c r="CZ1371" s="4"/>
      <c r="DA1371" s="4"/>
      <c r="DB1371" s="4"/>
      <c r="DC1371" s="4"/>
      <c r="DD1371" s="4"/>
      <c r="DE1371" s="4"/>
      <c r="DF1371" s="4"/>
      <c r="DG1371" s="4"/>
      <c r="DH1371" s="4"/>
      <c r="DI1371" s="4"/>
      <c r="DJ1371" s="4"/>
      <c r="DK1371" s="4"/>
      <c r="DL1371" s="4"/>
      <c r="DM1371" s="4"/>
      <c r="DN1371" s="4"/>
      <c r="DO1371" s="4"/>
      <c r="DP1371" s="4"/>
      <c r="DQ1371" s="4"/>
      <c r="DR1371" s="4"/>
      <c r="DS1371" s="4"/>
    </row>
    <row r="1372">
      <c r="A1372" s="9">
        <f>IFERROR(__xludf.DUMMYFUNCTION("""COMPUTED_VALUE"""),45849.0)</f>
        <v>45849</v>
      </c>
      <c r="B1372" s="6" t="str">
        <f>IFERROR(__xludf.DUMMYFUNCTION("""COMPUTED_VALUE"""),"Groceries")</f>
        <v>Groceries</v>
      </c>
      <c r="C1372" s="7">
        <f>IFERROR(__xludf.DUMMYFUNCTION("""COMPUTED_VALUE"""),60347.0)</f>
        <v>60347</v>
      </c>
      <c r="D1372" s="6" t="str">
        <f>IFERROR(__xludf.DUMMYFUNCTION("""COMPUTED_VALUE"""),"Groceries")</f>
        <v>Groceries</v>
      </c>
      <c r="E1372" s="6" t="str">
        <f>IFERROR(__xludf.DUMMYFUNCTION("""COMPUTED_VALUE"""),"Split Payment")</f>
        <v>Split Payment</v>
      </c>
      <c r="F1372" s="6" t="s">
        <v>7</v>
      </c>
      <c r="G1372" s="8" t="str">
        <f t="shared" si="1"/>
        <v>202507</v>
      </c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  <c r="AA1372" s="4"/>
      <c r="AB1372" s="4"/>
      <c r="AC1372" s="4"/>
      <c r="AD1372" s="4"/>
      <c r="AE1372" s="4"/>
      <c r="AF1372" s="4"/>
      <c r="AG1372" s="4"/>
      <c r="AH1372" s="4"/>
      <c r="AI1372" s="4"/>
      <c r="AJ1372" s="4"/>
      <c r="AK1372" s="4"/>
      <c r="AL1372" s="4"/>
      <c r="AM1372" s="4"/>
      <c r="AN1372" s="4"/>
      <c r="AO1372" s="4"/>
      <c r="AP1372" s="4"/>
      <c r="AQ1372" s="4"/>
      <c r="AR1372" s="4"/>
      <c r="AS1372" s="4"/>
      <c r="AT1372" s="4"/>
      <c r="AU1372" s="4"/>
      <c r="AV1372" s="4"/>
      <c r="AW1372" s="4"/>
      <c r="AX1372" s="4"/>
      <c r="AY1372" s="4"/>
      <c r="AZ1372" s="4"/>
      <c r="BA1372" s="4"/>
      <c r="BB1372" s="4"/>
      <c r="BC1372" s="4"/>
      <c r="BD1372" s="4"/>
      <c r="BE1372" s="4"/>
      <c r="BF1372" s="4"/>
      <c r="BG1372" s="4"/>
      <c r="BH1372" s="4"/>
      <c r="BI1372" s="4"/>
      <c r="BJ1372" s="4"/>
      <c r="BK1372" s="4"/>
      <c r="BL1372" s="4"/>
      <c r="BM1372" s="4"/>
      <c r="BN1372" s="4"/>
      <c r="BO1372" s="4"/>
      <c r="BP1372" s="4"/>
      <c r="BQ1372" s="4"/>
      <c r="BR1372" s="4"/>
      <c r="BS1372" s="4"/>
      <c r="BT1372" s="4"/>
      <c r="BU1372" s="4"/>
      <c r="BV1372" s="4"/>
      <c r="BW1372" s="4"/>
      <c r="BX1372" s="4"/>
      <c r="BY1372" s="4"/>
      <c r="BZ1372" s="4"/>
      <c r="CA1372" s="4"/>
      <c r="CB1372" s="4"/>
      <c r="CC1372" s="4"/>
      <c r="CD1372" s="4"/>
      <c r="CE1372" s="4"/>
      <c r="CF1372" s="4"/>
      <c r="CG1372" s="4"/>
      <c r="CH1372" s="4"/>
      <c r="CI1372" s="4"/>
      <c r="CJ1372" s="4"/>
      <c r="CK1372" s="4"/>
      <c r="CL1372" s="4"/>
      <c r="CM1372" s="4"/>
      <c r="CN1372" s="4"/>
      <c r="CO1372" s="4"/>
      <c r="CP1372" s="4"/>
      <c r="CQ1372" s="4"/>
      <c r="CR1372" s="4"/>
      <c r="CS1372" s="4"/>
      <c r="CT1372" s="4"/>
      <c r="CU1372" s="4"/>
      <c r="CV1372" s="4"/>
      <c r="CW1372" s="4"/>
      <c r="CX1372" s="4"/>
      <c r="CY1372" s="4"/>
      <c r="CZ1372" s="4"/>
      <c r="DA1372" s="4"/>
      <c r="DB1372" s="4"/>
      <c r="DC1372" s="4"/>
      <c r="DD1372" s="4"/>
      <c r="DE1372" s="4"/>
      <c r="DF1372" s="4"/>
      <c r="DG1372" s="4"/>
      <c r="DH1372" s="4"/>
      <c r="DI1372" s="4"/>
      <c r="DJ1372" s="4"/>
      <c r="DK1372" s="4"/>
      <c r="DL1372" s="4"/>
      <c r="DM1372" s="4"/>
      <c r="DN1372" s="4"/>
      <c r="DO1372" s="4"/>
      <c r="DP1372" s="4"/>
      <c r="DQ1372" s="4"/>
      <c r="DR1372" s="4"/>
      <c r="DS1372" s="4"/>
    </row>
    <row r="1373">
      <c r="A1373" s="9">
        <f>IFERROR(__xludf.DUMMYFUNCTION("""COMPUTED_VALUE"""),45850.0)</f>
        <v>45850</v>
      </c>
      <c r="B1373" s="6" t="str">
        <f>IFERROR(__xludf.DUMMYFUNCTION("""COMPUTED_VALUE"""),"Gift")</f>
        <v>Gift</v>
      </c>
      <c r="C1373" s="7">
        <f>IFERROR(__xludf.DUMMYFUNCTION("""COMPUTED_VALUE"""),24900.0)</f>
        <v>24900</v>
      </c>
      <c r="D1373" s="6" t="str">
        <f>IFERROR(__xludf.DUMMYFUNCTION("""COMPUTED_VALUE"""),"Gifts")</f>
        <v>Gifts</v>
      </c>
      <c r="E1373" s="6" t="str">
        <f>IFERROR(__xludf.DUMMYFUNCTION("""COMPUTED_VALUE"""),"Debit Card")</f>
        <v>Debit Card</v>
      </c>
      <c r="F1373" s="6"/>
      <c r="G1373" s="8" t="str">
        <f t="shared" si="1"/>
        <v>202507</v>
      </c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  <c r="AA1373" s="4"/>
      <c r="AB1373" s="4"/>
      <c r="AC1373" s="4"/>
      <c r="AD1373" s="4"/>
      <c r="AE1373" s="4"/>
      <c r="AF1373" s="4"/>
      <c r="AG1373" s="4"/>
      <c r="AH1373" s="4"/>
      <c r="AI1373" s="4"/>
      <c r="AJ1373" s="4"/>
      <c r="AK1373" s="4"/>
      <c r="AL1373" s="4"/>
      <c r="AM1373" s="4"/>
      <c r="AN1373" s="4"/>
      <c r="AO1373" s="4"/>
      <c r="AP1373" s="4"/>
      <c r="AQ1373" s="4"/>
      <c r="AR1373" s="4"/>
      <c r="AS1373" s="4"/>
      <c r="AT1373" s="4"/>
      <c r="AU1373" s="4"/>
      <c r="AV1373" s="4"/>
      <c r="AW1373" s="4"/>
      <c r="AX1373" s="4"/>
      <c r="AY1373" s="4"/>
      <c r="AZ1373" s="4"/>
      <c r="BA1373" s="4"/>
      <c r="BB1373" s="4"/>
      <c r="BC1373" s="4"/>
      <c r="BD1373" s="4"/>
      <c r="BE1373" s="4"/>
      <c r="BF1373" s="4"/>
      <c r="BG1373" s="4"/>
      <c r="BH1373" s="4"/>
      <c r="BI1373" s="4"/>
      <c r="BJ1373" s="4"/>
      <c r="BK1373" s="4"/>
      <c r="BL1373" s="4"/>
      <c r="BM1373" s="4"/>
      <c r="BN1373" s="4"/>
      <c r="BO1373" s="4"/>
      <c r="BP1373" s="4"/>
      <c r="BQ1373" s="4"/>
      <c r="BR1373" s="4"/>
      <c r="BS1373" s="4"/>
      <c r="BT1373" s="4"/>
      <c r="BU1373" s="4"/>
      <c r="BV1373" s="4"/>
      <c r="BW1373" s="4"/>
      <c r="BX1373" s="4"/>
      <c r="BY1373" s="4"/>
      <c r="BZ1373" s="4"/>
      <c r="CA1373" s="4"/>
      <c r="CB1373" s="4"/>
      <c r="CC1373" s="4"/>
      <c r="CD1373" s="4"/>
      <c r="CE1373" s="4"/>
      <c r="CF1373" s="4"/>
      <c r="CG1373" s="4"/>
      <c r="CH1373" s="4"/>
      <c r="CI1373" s="4"/>
      <c r="CJ1373" s="4"/>
      <c r="CK1373" s="4"/>
      <c r="CL1373" s="4"/>
      <c r="CM1373" s="4"/>
      <c r="CN1373" s="4"/>
      <c r="CO1373" s="4"/>
      <c r="CP1373" s="4"/>
      <c r="CQ1373" s="4"/>
      <c r="CR1373" s="4"/>
      <c r="CS1373" s="4"/>
      <c r="CT1373" s="4"/>
      <c r="CU1373" s="4"/>
      <c r="CV1373" s="4"/>
      <c r="CW1373" s="4"/>
      <c r="CX1373" s="4"/>
      <c r="CY1373" s="4"/>
      <c r="CZ1373" s="4"/>
      <c r="DA1373" s="4"/>
      <c r="DB1373" s="4"/>
      <c r="DC1373" s="4"/>
      <c r="DD1373" s="4"/>
      <c r="DE1373" s="4"/>
      <c r="DF1373" s="4"/>
      <c r="DG1373" s="4"/>
      <c r="DH1373" s="4"/>
      <c r="DI1373" s="4"/>
      <c r="DJ1373" s="4"/>
      <c r="DK1373" s="4"/>
      <c r="DL1373" s="4"/>
      <c r="DM1373" s="4"/>
      <c r="DN1373" s="4"/>
      <c r="DO1373" s="4"/>
      <c r="DP1373" s="4"/>
      <c r="DQ1373" s="4"/>
      <c r="DR1373" s="4"/>
      <c r="DS1373" s="4"/>
    </row>
    <row r="1374">
      <c r="A1374" s="9">
        <f>IFERROR(__xludf.DUMMYFUNCTION("""COMPUTED_VALUE"""),45850.0)</f>
        <v>45850</v>
      </c>
      <c r="B1374" s="6" t="str">
        <f>IFERROR(__xludf.DUMMYFUNCTION("""COMPUTED_VALUE"""),"Gift")</f>
        <v>Gift</v>
      </c>
      <c r="C1374" s="7">
        <f>IFERROR(__xludf.DUMMYFUNCTION("""COMPUTED_VALUE"""),25000.0)</f>
        <v>25000</v>
      </c>
      <c r="D1374" s="6" t="str">
        <f>IFERROR(__xludf.DUMMYFUNCTION("""COMPUTED_VALUE"""),"Gifts")</f>
        <v>Gifts</v>
      </c>
      <c r="E1374" s="6" t="str">
        <f>IFERROR(__xludf.DUMMYFUNCTION("""COMPUTED_VALUE"""),"Virtual Wallet")</f>
        <v>Virtual Wallet</v>
      </c>
      <c r="F1374" s="6"/>
      <c r="G1374" s="8" t="str">
        <f t="shared" si="1"/>
        <v>202507</v>
      </c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  <c r="AA1374" s="4"/>
      <c r="AB1374" s="4"/>
      <c r="AC1374" s="4"/>
      <c r="AD1374" s="4"/>
      <c r="AE1374" s="4"/>
      <c r="AF1374" s="4"/>
      <c r="AG1374" s="4"/>
      <c r="AH1374" s="4"/>
      <c r="AI1374" s="4"/>
      <c r="AJ1374" s="4"/>
      <c r="AK1374" s="4"/>
      <c r="AL1374" s="4"/>
      <c r="AM1374" s="4"/>
      <c r="AN1374" s="4"/>
      <c r="AO1374" s="4"/>
      <c r="AP1374" s="4"/>
      <c r="AQ1374" s="4"/>
      <c r="AR1374" s="4"/>
      <c r="AS1374" s="4"/>
      <c r="AT1374" s="4"/>
      <c r="AU1374" s="4"/>
      <c r="AV1374" s="4"/>
      <c r="AW1374" s="4"/>
      <c r="AX1374" s="4"/>
      <c r="AY1374" s="4"/>
      <c r="AZ1374" s="4"/>
      <c r="BA1374" s="4"/>
      <c r="BB1374" s="4"/>
      <c r="BC1374" s="4"/>
      <c r="BD1374" s="4"/>
      <c r="BE1374" s="4"/>
      <c r="BF1374" s="4"/>
      <c r="BG1374" s="4"/>
      <c r="BH1374" s="4"/>
      <c r="BI1374" s="4"/>
      <c r="BJ1374" s="4"/>
      <c r="BK1374" s="4"/>
      <c r="BL1374" s="4"/>
      <c r="BM1374" s="4"/>
      <c r="BN1374" s="4"/>
      <c r="BO1374" s="4"/>
      <c r="BP1374" s="4"/>
      <c r="BQ1374" s="4"/>
      <c r="BR1374" s="4"/>
      <c r="BS1374" s="4"/>
      <c r="BT1374" s="4"/>
      <c r="BU1374" s="4"/>
      <c r="BV1374" s="4"/>
      <c r="BW1374" s="4"/>
      <c r="BX1374" s="4"/>
      <c r="BY1374" s="4"/>
      <c r="BZ1374" s="4"/>
      <c r="CA1374" s="4"/>
      <c r="CB1374" s="4"/>
      <c r="CC1374" s="4"/>
      <c r="CD1374" s="4"/>
      <c r="CE1374" s="4"/>
      <c r="CF1374" s="4"/>
      <c r="CG1374" s="4"/>
      <c r="CH1374" s="4"/>
      <c r="CI1374" s="4"/>
      <c r="CJ1374" s="4"/>
      <c r="CK1374" s="4"/>
      <c r="CL1374" s="4"/>
      <c r="CM1374" s="4"/>
      <c r="CN1374" s="4"/>
      <c r="CO1374" s="4"/>
      <c r="CP1374" s="4"/>
      <c r="CQ1374" s="4"/>
      <c r="CR1374" s="4"/>
      <c r="CS1374" s="4"/>
      <c r="CT1374" s="4"/>
      <c r="CU1374" s="4"/>
      <c r="CV1374" s="4"/>
      <c r="CW1374" s="4"/>
      <c r="CX1374" s="4"/>
      <c r="CY1374" s="4"/>
      <c r="CZ1374" s="4"/>
      <c r="DA1374" s="4"/>
      <c r="DB1374" s="4"/>
      <c r="DC1374" s="4"/>
      <c r="DD1374" s="4"/>
      <c r="DE1374" s="4"/>
      <c r="DF1374" s="4"/>
      <c r="DG1374" s="4"/>
      <c r="DH1374" s="4"/>
      <c r="DI1374" s="4"/>
      <c r="DJ1374" s="4"/>
      <c r="DK1374" s="4"/>
      <c r="DL1374" s="4"/>
      <c r="DM1374" s="4"/>
      <c r="DN1374" s="4"/>
      <c r="DO1374" s="4"/>
      <c r="DP1374" s="4"/>
      <c r="DQ1374" s="4"/>
      <c r="DR1374" s="4"/>
      <c r="DS1374" s="4"/>
    </row>
    <row r="1375">
      <c r="A1375" s="9">
        <f>IFERROR(__xludf.DUMMYFUNCTION("""COMPUTED_VALUE"""),45850.0)</f>
        <v>45850</v>
      </c>
      <c r="B1375" s="6" t="str">
        <f>IFERROR(__xludf.DUMMYFUNCTION("""COMPUTED_VALUE"""),"Gift")</f>
        <v>Gift</v>
      </c>
      <c r="C1375" s="7">
        <f>IFERROR(__xludf.DUMMYFUNCTION("""COMPUTED_VALUE"""),30000.0)</f>
        <v>30000</v>
      </c>
      <c r="D1375" s="6" t="str">
        <f>IFERROR(__xludf.DUMMYFUNCTION("""COMPUTED_VALUE"""),"Gifts")</f>
        <v>Gifts</v>
      </c>
      <c r="E1375" s="6" t="str">
        <f>IFERROR(__xludf.DUMMYFUNCTION("""COMPUTED_VALUE"""),"Virtual Wallet")</f>
        <v>Virtual Wallet</v>
      </c>
      <c r="F1375" s="6"/>
      <c r="G1375" s="8" t="str">
        <f t="shared" si="1"/>
        <v>202507</v>
      </c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  <c r="AA1375" s="4"/>
      <c r="AB1375" s="4"/>
      <c r="AC1375" s="4"/>
      <c r="AD1375" s="4"/>
      <c r="AE1375" s="4"/>
      <c r="AF1375" s="4"/>
      <c r="AG1375" s="4"/>
      <c r="AH1375" s="4"/>
      <c r="AI1375" s="4"/>
      <c r="AJ1375" s="4"/>
      <c r="AK1375" s="4"/>
      <c r="AL1375" s="4"/>
      <c r="AM1375" s="4"/>
      <c r="AN1375" s="4"/>
      <c r="AO1375" s="4"/>
      <c r="AP1375" s="4"/>
      <c r="AQ1375" s="4"/>
      <c r="AR1375" s="4"/>
      <c r="AS1375" s="4"/>
      <c r="AT1375" s="4"/>
      <c r="AU1375" s="4"/>
      <c r="AV1375" s="4"/>
      <c r="AW1375" s="4"/>
      <c r="AX1375" s="4"/>
      <c r="AY1375" s="4"/>
      <c r="AZ1375" s="4"/>
      <c r="BA1375" s="4"/>
      <c r="BB1375" s="4"/>
      <c r="BC1375" s="4"/>
      <c r="BD1375" s="4"/>
      <c r="BE1375" s="4"/>
      <c r="BF1375" s="4"/>
      <c r="BG1375" s="4"/>
      <c r="BH1375" s="4"/>
      <c r="BI1375" s="4"/>
      <c r="BJ1375" s="4"/>
      <c r="BK1375" s="4"/>
      <c r="BL1375" s="4"/>
      <c r="BM1375" s="4"/>
      <c r="BN1375" s="4"/>
      <c r="BO1375" s="4"/>
      <c r="BP1375" s="4"/>
      <c r="BQ1375" s="4"/>
      <c r="BR1375" s="4"/>
      <c r="BS1375" s="4"/>
      <c r="BT1375" s="4"/>
      <c r="BU1375" s="4"/>
      <c r="BV1375" s="4"/>
      <c r="BW1375" s="4"/>
      <c r="BX1375" s="4"/>
      <c r="BY1375" s="4"/>
      <c r="BZ1375" s="4"/>
      <c r="CA1375" s="4"/>
      <c r="CB1375" s="4"/>
      <c r="CC1375" s="4"/>
      <c r="CD1375" s="4"/>
      <c r="CE1375" s="4"/>
      <c r="CF1375" s="4"/>
      <c r="CG1375" s="4"/>
      <c r="CH1375" s="4"/>
      <c r="CI1375" s="4"/>
      <c r="CJ1375" s="4"/>
      <c r="CK1375" s="4"/>
      <c r="CL1375" s="4"/>
      <c r="CM1375" s="4"/>
      <c r="CN1375" s="4"/>
      <c r="CO1375" s="4"/>
      <c r="CP1375" s="4"/>
      <c r="CQ1375" s="4"/>
      <c r="CR1375" s="4"/>
      <c r="CS1375" s="4"/>
      <c r="CT1375" s="4"/>
      <c r="CU1375" s="4"/>
      <c r="CV1375" s="4"/>
      <c r="CW1375" s="4"/>
      <c r="CX1375" s="4"/>
      <c r="CY1375" s="4"/>
      <c r="CZ1375" s="4"/>
      <c r="DA1375" s="4"/>
      <c r="DB1375" s="4"/>
      <c r="DC1375" s="4"/>
      <c r="DD1375" s="4"/>
      <c r="DE1375" s="4"/>
      <c r="DF1375" s="4"/>
      <c r="DG1375" s="4"/>
      <c r="DH1375" s="4"/>
      <c r="DI1375" s="4"/>
      <c r="DJ1375" s="4"/>
      <c r="DK1375" s="4"/>
      <c r="DL1375" s="4"/>
      <c r="DM1375" s="4"/>
      <c r="DN1375" s="4"/>
      <c r="DO1375" s="4"/>
      <c r="DP1375" s="4"/>
      <c r="DQ1375" s="4"/>
      <c r="DR1375" s="4"/>
      <c r="DS1375" s="4"/>
    </row>
    <row r="1376">
      <c r="A1376" s="9">
        <f>IFERROR(__xludf.DUMMYFUNCTION("""COMPUTED_VALUE"""),45850.0)</f>
        <v>45850</v>
      </c>
      <c r="B1376" s="6" t="str">
        <f>IFERROR(__xludf.DUMMYFUNCTION("""COMPUTED_VALUE"""),"Mobile Plan")</f>
        <v>Mobile Plan</v>
      </c>
      <c r="C1376" s="7">
        <f>IFERROR(__xludf.DUMMYFUNCTION("""COMPUTED_VALUE"""),10300.0)</f>
        <v>10300</v>
      </c>
      <c r="D1376" s="6" t="str">
        <f>IFERROR(__xludf.DUMMYFUNCTION("""COMPUTED_VALUE"""),"Basic Services")</f>
        <v>Basic Services</v>
      </c>
      <c r="E1376" s="6" t="str">
        <f>IFERROR(__xludf.DUMMYFUNCTION("""COMPUTED_VALUE"""),"Virtual Wallet")</f>
        <v>Virtual Wallet</v>
      </c>
      <c r="F1376" s="6" t="s">
        <v>13</v>
      </c>
      <c r="G1376" s="8" t="str">
        <f t="shared" si="1"/>
        <v>202507</v>
      </c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  <c r="AA1376" s="4"/>
      <c r="AB1376" s="4"/>
      <c r="AC1376" s="4"/>
      <c r="AD1376" s="4"/>
      <c r="AE1376" s="4"/>
      <c r="AF1376" s="4"/>
      <c r="AG1376" s="4"/>
      <c r="AH1376" s="4"/>
      <c r="AI1376" s="4"/>
      <c r="AJ1376" s="4"/>
      <c r="AK1376" s="4"/>
      <c r="AL1376" s="4"/>
      <c r="AM1376" s="4"/>
      <c r="AN1376" s="4"/>
      <c r="AO1376" s="4"/>
      <c r="AP1376" s="4"/>
      <c r="AQ1376" s="4"/>
      <c r="AR1376" s="4"/>
      <c r="AS1376" s="4"/>
      <c r="AT1376" s="4"/>
      <c r="AU1376" s="4"/>
      <c r="AV1376" s="4"/>
      <c r="AW1376" s="4"/>
      <c r="AX1376" s="4"/>
      <c r="AY1376" s="4"/>
      <c r="AZ1376" s="4"/>
      <c r="BA1376" s="4"/>
      <c r="BB1376" s="4"/>
      <c r="BC1376" s="4"/>
      <c r="BD1376" s="4"/>
      <c r="BE1376" s="4"/>
      <c r="BF1376" s="4"/>
      <c r="BG1376" s="4"/>
      <c r="BH1376" s="4"/>
      <c r="BI1376" s="4"/>
      <c r="BJ1376" s="4"/>
      <c r="BK1376" s="4"/>
      <c r="BL1376" s="4"/>
      <c r="BM1376" s="4"/>
      <c r="BN1376" s="4"/>
      <c r="BO1376" s="4"/>
      <c r="BP1376" s="4"/>
      <c r="BQ1376" s="4"/>
      <c r="BR1376" s="4"/>
      <c r="BS1376" s="4"/>
      <c r="BT1376" s="4"/>
      <c r="BU1376" s="4"/>
      <c r="BV1376" s="4"/>
      <c r="BW1376" s="4"/>
      <c r="BX1376" s="4"/>
      <c r="BY1376" s="4"/>
      <c r="BZ1376" s="4"/>
      <c r="CA1376" s="4"/>
      <c r="CB1376" s="4"/>
      <c r="CC1376" s="4"/>
      <c r="CD1376" s="4"/>
      <c r="CE1376" s="4"/>
      <c r="CF1376" s="4"/>
      <c r="CG1376" s="4"/>
      <c r="CH1376" s="4"/>
      <c r="CI1376" s="4"/>
      <c r="CJ1376" s="4"/>
      <c r="CK1376" s="4"/>
      <c r="CL1376" s="4"/>
      <c r="CM1376" s="4"/>
      <c r="CN1376" s="4"/>
      <c r="CO1376" s="4"/>
      <c r="CP1376" s="4"/>
      <c r="CQ1376" s="4"/>
      <c r="CR1376" s="4"/>
      <c r="CS1376" s="4"/>
      <c r="CT1376" s="4"/>
      <c r="CU1376" s="4"/>
      <c r="CV1376" s="4"/>
      <c r="CW1376" s="4"/>
      <c r="CX1376" s="4"/>
      <c r="CY1376" s="4"/>
      <c r="CZ1376" s="4"/>
      <c r="DA1376" s="4"/>
      <c r="DB1376" s="4"/>
      <c r="DC1376" s="4"/>
      <c r="DD1376" s="4"/>
      <c r="DE1376" s="4"/>
      <c r="DF1376" s="4"/>
      <c r="DG1376" s="4"/>
      <c r="DH1376" s="4"/>
      <c r="DI1376" s="4"/>
      <c r="DJ1376" s="4"/>
      <c r="DK1376" s="4"/>
      <c r="DL1376" s="4"/>
      <c r="DM1376" s="4"/>
      <c r="DN1376" s="4"/>
      <c r="DO1376" s="4"/>
      <c r="DP1376" s="4"/>
      <c r="DQ1376" s="4"/>
      <c r="DR1376" s="4"/>
      <c r="DS1376" s="4"/>
    </row>
    <row r="1377">
      <c r="A1377" s="9">
        <f>IFERROR(__xludf.DUMMYFUNCTION("""COMPUTED_VALUE"""),45850.0)</f>
        <v>45850</v>
      </c>
      <c r="B1377" s="6" t="str">
        <f>IFERROR(__xludf.DUMMYFUNCTION("""COMPUTED_VALUE"""),"Restaurant")</f>
        <v>Restaurant</v>
      </c>
      <c r="C1377" s="7">
        <f>IFERROR(__xludf.DUMMYFUNCTION("""COMPUTED_VALUE"""),9100.0)</f>
        <v>9100</v>
      </c>
      <c r="D1377" s="6" t="str">
        <f>IFERROR(__xludf.DUMMYFUNCTION("""COMPUTED_VALUE"""),"Restaurant / Café")</f>
        <v>Restaurant / Café</v>
      </c>
      <c r="E1377" s="6" t="str">
        <f>IFERROR(__xludf.DUMMYFUNCTION("""COMPUTED_VALUE"""),"Virtual Wallet")</f>
        <v>Virtual Wallet</v>
      </c>
      <c r="F1377" s="6" t="s">
        <v>14</v>
      </c>
      <c r="G1377" s="8" t="str">
        <f t="shared" si="1"/>
        <v>202507</v>
      </c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  <c r="AA1377" s="4"/>
      <c r="AB1377" s="4"/>
      <c r="AC1377" s="4"/>
      <c r="AD1377" s="4"/>
      <c r="AE1377" s="4"/>
      <c r="AF1377" s="4"/>
      <c r="AG1377" s="4"/>
      <c r="AH1377" s="4"/>
      <c r="AI1377" s="4"/>
      <c r="AJ1377" s="4"/>
      <c r="AK1377" s="4"/>
      <c r="AL1377" s="4"/>
      <c r="AM1377" s="4"/>
      <c r="AN1377" s="4"/>
      <c r="AO1377" s="4"/>
      <c r="AP1377" s="4"/>
      <c r="AQ1377" s="4"/>
      <c r="AR1377" s="4"/>
      <c r="AS1377" s="4"/>
      <c r="AT1377" s="4"/>
      <c r="AU1377" s="4"/>
      <c r="AV1377" s="4"/>
      <c r="AW1377" s="4"/>
      <c r="AX1377" s="4"/>
      <c r="AY1377" s="4"/>
      <c r="AZ1377" s="4"/>
      <c r="BA1377" s="4"/>
      <c r="BB1377" s="4"/>
      <c r="BC1377" s="4"/>
      <c r="BD1377" s="4"/>
      <c r="BE1377" s="4"/>
      <c r="BF1377" s="4"/>
      <c r="BG1377" s="4"/>
      <c r="BH1377" s="4"/>
      <c r="BI1377" s="4"/>
      <c r="BJ1377" s="4"/>
      <c r="BK1377" s="4"/>
      <c r="BL1377" s="4"/>
      <c r="BM1377" s="4"/>
      <c r="BN1377" s="4"/>
      <c r="BO1377" s="4"/>
      <c r="BP1377" s="4"/>
      <c r="BQ1377" s="4"/>
      <c r="BR1377" s="4"/>
      <c r="BS1377" s="4"/>
      <c r="BT1377" s="4"/>
      <c r="BU1377" s="4"/>
      <c r="BV1377" s="4"/>
      <c r="BW1377" s="4"/>
      <c r="BX1377" s="4"/>
      <c r="BY1377" s="4"/>
      <c r="BZ1377" s="4"/>
      <c r="CA1377" s="4"/>
      <c r="CB1377" s="4"/>
      <c r="CC1377" s="4"/>
      <c r="CD1377" s="4"/>
      <c r="CE1377" s="4"/>
      <c r="CF1377" s="4"/>
      <c r="CG1377" s="4"/>
      <c r="CH1377" s="4"/>
      <c r="CI1377" s="4"/>
      <c r="CJ1377" s="4"/>
      <c r="CK1377" s="4"/>
      <c r="CL1377" s="4"/>
      <c r="CM1377" s="4"/>
      <c r="CN1377" s="4"/>
      <c r="CO1377" s="4"/>
      <c r="CP1377" s="4"/>
      <c r="CQ1377" s="4"/>
      <c r="CR1377" s="4"/>
      <c r="CS1377" s="4"/>
      <c r="CT1377" s="4"/>
      <c r="CU1377" s="4"/>
      <c r="CV1377" s="4"/>
      <c r="CW1377" s="4"/>
      <c r="CX1377" s="4"/>
      <c r="CY1377" s="4"/>
      <c r="CZ1377" s="4"/>
      <c r="DA1377" s="4"/>
      <c r="DB1377" s="4"/>
      <c r="DC1377" s="4"/>
      <c r="DD1377" s="4"/>
      <c r="DE1377" s="4"/>
      <c r="DF1377" s="4"/>
      <c r="DG1377" s="4"/>
      <c r="DH1377" s="4"/>
      <c r="DI1377" s="4"/>
      <c r="DJ1377" s="4"/>
      <c r="DK1377" s="4"/>
      <c r="DL1377" s="4"/>
      <c r="DM1377" s="4"/>
      <c r="DN1377" s="4"/>
      <c r="DO1377" s="4"/>
      <c r="DP1377" s="4"/>
      <c r="DQ1377" s="4"/>
      <c r="DR1377" s="4"/>
      <c r="DS1377" s="4"/>
    </row>
    <row r="1378">
      <c r="A1378" s="9">
        <f>IFERROR(__xludf.DUMMYFUNCTION("""COMPUTED_VALUE"""),45851.0)</f>
        <v>45851</v>
      </c>
      <c r="B1378" s="6" t="str">
        <f>IFERROR(__xludf.DUMMYFUNCTION("""COMPUTED_VALUE"""),"Groceries")</f>
        <v>Groceries</v>
      </c>
      <c r="C1378" s="7">
        <f>IFERROR(__xludf.DUMMYFUNCTION("""COMPUTED_VALUE"""),5000.0)</f>
        <v>5000</v>
      </c>
      <c r="D1378" s="6" t="str">
        <f>IFERROR(__xludf.DUMMYFUNCTION("""COMPUTED_VALUE"""),"Groceries")</f>
        <v>Groceries</v>
      </c>
      <c r="E1378" s="6" t="str">
        <f>IFERROR(__xludf.DUMMYFUNCTION("""COMPUTED_VALUE"""),"Split Payment")</f>
        <v>Split Payment</v>
      </c>
      <c r="F1378" s="6" t="s">
        <v>7</v>
      </c>
      <c r="G1378" s="8" t="str">
        <f t="shared" si="1"/>
        <v>202507</v>
      </c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  <c r="AA1378" s="4"/>
      <c r="AB1378" s="4"/>
      <c r="AC1378" s="4"/>
      <c r="AD1378" s="4"/>
      <c r="AE1378" s="4"/>
      <c r="AF1378" s="4"/>
      <c r="AG1378" s="4"/>
      <c r="AH1378" s="4"/>
      <c r="AI1378" s="4"/>
      <c r="AJ1378" s="4"/>
      <c r="AK1378" s="4"/>
      <c r="AL1378" s="4"/>
      <c r="AM1378" s="4"/>
      <c r="AN1378" s="4"/>
      <c r="AO1378" s="4"/>
      <c r="AP1378" s="4"/>
      <c r="AQ1378" s="4"/>
      <c r="AR1378" s="4"/>
      <c r="AS1378" s="4"/>
      <c r="AT1378" s="4"/>
      <c r="AU1378" s="4"/>
      <c r="AV1378" s="4"/>
      <c r="AW1378" s="4"/>
      <c r="AX1378" s="4"/>
      <c r="AY1378" s="4"/>
      <c r="AZ1378" s="4"/>
      <c r="BA1378" s="4"/>
      <c r="BB1378" s="4"/>
      <c r="BC1378" s="4"/>
      <c r="BD1378" s="4"/>
      <c r="BE1378" s="4"/>
      <c r="BF1378" s="4"/>
      <c r="BG1378" s="4"/>
      <c r="BH1378" s="4"/>
      <c r="BI1378" s="4"/>
      <c r="BJ1378" s="4"/>
      <c r="BK1378" s="4"/>
      <c r="BL1378" s="4"/>
      <c r="BM1378" s="4"/>
      <c r="BN1378" s="4"/>
      <c r="BO1378" s="4"/>
      <c r="BP1378" s="4"/>
      <c r="BQ1378" s="4"/>
      <c r="BR1378" s="4"/>
      <c r="BS1378" s="4"/>
      <c r="BT1378" s="4"/>
      <c r="BU1378" s="4"/>
      <c r="BV1378" s="4"/>
      <c r="BW1378" s="4"/>
      <c r="BX1378" s="4"/>
      <c r="BY1378" s="4"/>
      <c r="BZ1378" s="4"/>
      <c r="CA1378" s="4"/>
      <c r="CB1378" s="4"/>
      <c r="CC1378" s="4"/>
      <c r="CD1378" s="4"/>
      <c r="CE1378" s="4"/>
      <c r="CF1378" s="4"/>
      <c r="CG1378" s="4"/>
      <c r="CH1378" s="4"/>
      <c r="CI1378" s="4"/>
      <c r="CJ1378" s="4"/>
      <c r="CK1378" s="4"/>
      <c r="CL1378" s="4"/>
      <c r="CM1378" s="4"/>
      <c r="CN1378" s="4"/>
      <c r="CO1378" s="4"/>
      <c r="CP1378" s="4"/>
      <c r="CQ1378" s="4"/>
      <c r="CR1378" s="4"/>
      <c r="CS1378" s="4"/>
      <c r="CT1378" s="4"/>
      <c r="CU1378" s="4"/>
      <c r="CV1378" s="4"/>
      <c r="CW1378" s="4"/>
      <c r="CX1378" s="4"/>
      <c r="CY1378" s="4"/>
      <c r="CZ1378" s="4"/>
      <c r="DA1378" s="4"/>
      <c r="DB1378" s="4"/>
      <c r="DC1378" s="4"/>
      <c r="DD1378" s="4"/>
      <c r="DE1378" s="4"/>
      <c r="DF1378" s="4"/>
      <c r="DG1378" s="4"/>
      <c r="DH1378" s="4"/>
      <c r="DI1378" s="4"/>
      <c r="DJ1378" s="4"/>
      <c r="DK1378" s="4"/>
      <c r="DL1378" s="4"/>
      <c r="DM1378" s="4"/>
      <c r="DN1378" s="4"/>
      <c r="DO1378" s="4"/>
      <c r="DP1378" s="4"/>
      <c r="DQ1378" s="4"/>
      <c r="DR1378" s="4"/>
      <c r="DS1378" s="4"/>
    </row>
    <row r="1379">
      <c r="A1379" s="9">
        <f>IFERROR(__xludf.DUMMYFUNCTION("""COMPUTED_VALUE"""),45851.0)</f>
        <v>45851</v>
      </c>
      <c r="B1379" s="6" t="str">
        <f>IFERROR(__xludf.DUMMYFUNCTION("""COMPUTED_VALUE"""),"Recreation")</f>
        <v>Recreation</v>
      </c>
      <c r="C1379" s="7">
        <f>IFERROR(__xludf.DUMMYFUNCTION("""COMPUTED_VALUE"""),13000.0)</f>
        <v>13000</v>
      </c>
      <c r="D1379" s="6" t="str">
        <f>IFERROR(__xludf.DUMMYFUNCTION("""COMPUTED_VALUE"""),"Recreation")</f>
        <v>Recreation</v>
      </c>
      <c r="E1379" s="6" t="str">
        <f>IFERROR(__xludf.DUMMYFUNCTION("""COMPUTED_VALUE"""),"Virtual Wallet")</f>
        <v>Virtual Wallet</v>
      </c>
      <c r="F1379" s="6" t="s">
        <v>12</v>
      </c>
      <c r="G1379" s="8" t="str">
        <f t="shared" si="1"/>
        <v>202507</v>
      </c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  <c r="AA1379" s="4"/>
      <c r="AB1379" s="4"/>
      <c r="AC1379" s="4"/>
      <c r="AD1379" s="4"/>
      <c r="AE1379" s="4"/>
      <c r="AF1379" s="4"/>
      <c r="AG1379" s="4"/>
      <c r="AH1379" s="4"/>
      <c r="AI1379" s="4"/>
      <c r="AJ1379" s="4"/>
      <c r="AK1379" s="4"/>
      <c r="AL1379" s="4"/>
      <c r="AM1379" s="4"/>
      <c r="AN1379" s="4"/>
      <c r="AO1379" s="4"/>
      <c r="AP1379" s="4"/>
      <c r="AQ1379" s="4"/>
      <c r="AR1379" s="4"/>
      <c r="AS1379" s="4"/>
      <c r="AT1379" s="4"/>
      <c r="AU1379" s="4"/>
      <c r="AV1379" s="4"/>
      <c r="AW1379" s="4"/>
      <c r="AX1379" s="4"/>
      <c r="AY1379" s="4"/>
      <c r="AZ1379" s="4"/>
      <c r="BA1379" s="4"/>
      <c r="BB1379" s="4"/>
      <c r="BC1379" s="4"/>
      <c r="BD1379" s="4"/>
      <c r="BE1379" s="4"/>
      <c r="BF1379" s="4"/>
      <c r="BG1379" s="4"/>
      <c r="BH1379" s="4"/>
      <c r="BI1379" s="4"/>
      <c r="BJ1379" s="4"/>
      <c r="BK1379" s="4"/>
      <c r="BL1379" s="4"/>
      <c r="BM1379" s="4"/>
      <c r="BN1379" s="4"/>
      <c r="BO1379" s="4"/>
      <c r="BP1379" s="4"/>
      <c r="BQ1379" s="4"/>
      <c r="BR1379" s="4"/>
      <c r="BS1379" s="4"/>
      <c r="BT1379" s="4"/>
      <c r="BU1379" s="4"/>
      <c r="BV1379" s="4"/>
      <c r="BW1379" s="4"/>
      <c r="BX1379" s="4"/>
      <c r="BY1379" s="4"/>
      <c r="BZ1379" s="4"/>
      <c r="CA1379" s="4"/>
      <c r="CB1379" s="4"/>
      <c r="CC1379" s="4"/>
      <c r="CD1379" s="4"/>
      <c r="CE1379" s="4"/>
      <c r="CF1379" s="4"/>
      <c r="CG1379" s="4"/>
      <c r="CH1379" s="4"/>
      <c r="CI1379" s="4"/>
      <c r="CJ1379" s="4"/>
      <c r="CK1379" s="4"/>
      <c r="CL1379" s="4"/>
      <c r="CM1379" s="4"/>
      <c r="CN1379" s="4"/>
      <c r="CO1379" s="4"/>
      <c r="CP1379" s="4"/>
      <c r="CQ1379" s="4"/>
      <c r="CR1379" s="4"/>
      <c r="CS1379" s="4"/>
      <c r="CT1379" s="4"/>
      <c r="CU1379" s="4"/>
      <c r="CV1379" s="4"/>
      <c r="CW1379" s="4"/>
      <c r="CX1379" s="4"/>
      <c r="CY1379" s="4"/>
      <c r="CZ1379" s="4"/>
      <c r="DA1379" s="4"/>
      <c r="DB1379" s="4"/>
      <c r="DC1379" s="4"/>
      <c r="DD1379" s="4"/>
      <c r="DE1379" s="4"/>
      <c r="DF1379" s="4"/>
      <c r="DG1379" s="4"/>
      <c r="DH1379" s="4"/>
      <c r="DI1379" s="4"/>
      <c r="DJ1379" s="4"/>
      <c r="DK1379" s="4"/>
      <c r="DL1379" s="4"/>
      <c r="DM1379" s="4"/>
      <c r="DN1379" s="4"/>
      <c r="DO1379" s="4"/>
      <c r="DP1379" s="4"/>
      <c r="DQ1379" s="4"/>
      <c r="DR1379" s="4"/>
      <c r="DS1379" s="4"/>
    </row>
    <row r="1380">
      <c r="A1380" s="9">
        <f>IFERROR(__xludf.DUMMYFUNCTION("""COMPUTED_VALUE"""),45851.0)</f>
        <v>45851</v>
      </c>
      <c r="B1380" s="6" t="str">
        <f>IFERROR(__xludf.DUMMYFUNCTION("""COMPUTED_VALUE"""),"Restaurant")</f>
        <v>Restaurant</v>
      </c>
      <c r="C1380" s="7">
        <f>IFERROR(__xludf.DUMMYFUNCTION("""COMPUTED_VALUE"""),3000.0)</f>
        <v>3000</v>
      </c>
      <c r="D1380" s="6" t="str">
        <f>IFERROR(__xludf.DUMMYFUNCTION("""COMPUTED_VALUE"""),"Restaurant / Café")</f>
        <v>Restaurant / Café</v>
      </c>
      <c r="E1380" s="6" t="str">
        <f>IFERROR(__xludf.DUMMYFUNCTION("""COMPUTED_VALUE"""),"Virtual Wallet")</f>
        <v>Virtual Wallet</v>
      </c>
      <c r="F1380" s="6" t="s">
        <v>14</v>
      </c>
      <c r="G1380" s="8" t="str">
        <f t="shared" si="1"/>
        <v>202507</v>
      </c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  <c r="AA1380" s="4"/>
      <c r="AB1380" s="4"/>
      <c r="AC1380" s="4"/>
      <c r="AD1380" s="4"/>
      <c r="AE1380" s="4"/>
      <c r="AF1380" s="4"/>
      <c r="AG1380" s="4"/>
      <c r="AH1380" s="4"/>
      <c r="AI1380" s="4"/>
      <c r="AJ1380" s="4"/>
      <c r="AK1380" s="4"/>
      <c r="AL1380" s="4"/>
      <c r="AM1380" s="4"/>
      <c r="AN1380" s="4"/>
      <c r="AO1380" s="4"/>
      <c r="AP1380" s="4"/>
      <c r="AQ1380" s="4"/>
      <c r="AR1380" s="4"/>
      <c r="AS1380" s="4"/>
      <c r="AT1380" s="4"/>
      <c r="AU1380" s="4"/>
      <c r="AV1380" s="4"/>
      <c r="AW1380" s="4"/>
      <c r="AX1380" s="4"/>
      <c r="AY1380" s="4"/>
      <c r="AZ1380" s="4"/>
      <c r="BA1380" s="4"/>
      <c r="BB1380" s="4"/>
      <c r="BC1380" s="4"/>
      <c r="BD1380" s="4"/>
      <c r="BE1380" s="4"/>
      <c r="BF1380" s="4"/>
      <c r="BG1380" s="4"/>
      <c r="BH1380" s="4"/>
      <c r="BI1380" s="4"/>
      <c r="BJ1380" s="4"/>
      <c r="BK1380" s="4"/>
      <c r="BL1380" s="4"/>
      <c r="BM1380" s="4"/>
      <c r="BN1380" s="4"/>
      <c r="BO1380" s="4"/>
      <c r="BP1380" s="4"/>
      <c r="BQ1380" s="4"/>
      <c r="BR1380" s="4"/>
      <c r="BS1380" s="4"/>
      <c r="BT1380" s="4"/>
      <c r="BU1380" s="4"/>
      <c r="BV1380" s="4"/>
      <c r="BW1380" s="4"/>
      <c r="BX1380" s="4"/>
      <c r="BY1380" s="4"/>
      <c r="BZ1380" s="4"/>
      <c r="CA1380" s="4"/>
      <c r="CB1380" s="4"/>
      <c r="CC1380" s="4"/>
      <c r="CD1380" s="4"/>
      <c r="CE1380" s="4"/>
      <c r="CF1380" s="4"/>
      <c r="CG1380" s="4"/>
      <c r="CH1380" s="4"/>
      <c r="CI1380" s="4"/>
      <c r="CJ1380" s="4"/>
      <c r="CK1380" s="4"/>
      <c r="CL1380" s="4"/>
      <c r="CM1380" s="4"/>
      <c r="CN1380" s="4"/>
      <c r="CO1380" s="4"/>
      <c r="CP1380" s="4"/>
      <c r="CQ1380" s="4"/>
      <c r="CR1380" s="4"/>
      <c r="CS1380" s="4"/>
      <c r="CT1380" s="4"/>
      <c r="CU1380" s="4"/>
      <c r="CV1380" s="4"/>
      <c r="CW1380" s="4"/>
      <c r="CX1380" s="4"/>
      <c r="CY1380" s="4"/>
      <c r="CZ1380" s="4"/>
      <c r="DA1380" s="4"/>
      <c r="DB1380" s="4"/>
      <c r="DC1380" s="4"/>
      <c r="DD1380" s="4"/>
      <c r="DE1380" s="4"/>
      <c r="DF1380" s="4"/>
      <c r="DG1380" s="4"/>
      <c r="DH1380" s="4"/>
      <c r="DI1380" s="4"/>
      <c r="DJ1380" s="4"/>
      <c r="DK1380" s="4"/>
      <c r="DL1380" s="4"/>
      <c r="DM1380" s="4"/>
      <c r="DN1380" s="4"/>
      <c r="DO1380" s="4"/>
      <c r="DP1380" s="4"/>
      <c r="DQ1380" s="4"/>
      <c r="DR1380" s="4"/>
      <c r="DS1380" s="4"/>
    </row>
    <row r="1381">
      <c r="A1381" s="9">
        <f>IFERROR(__xludf.DUMMYFUNCTION("""COMPUTED_VALUE"""),45851.0)</f>
        <v>45851</v>
      </c>
      <c r="B1381" s="6" t="str">
        <f>IFERROR(__xludf.DUMMYFUNCTION("""COMPUTED_VALUE"""),"Restaurant")</f>
        <v>Restaurant</v>
      </c>
      <c r="C1381" s="7">
        <f>IFERROR(__xludf.DUMMYFUNCTION("""COMPUTED_VALUE"""),1950.0)</f>
        <v>1950</v>
      </c>
      <c r="D1381" s="6" t="str">
        <f>IFERROR(__xludf.DUMMYFUNCTION("""COMPUTED_VALUE"""),"Restaurant / Café")</f>
        <v>Restaurant / Café</v>
      </c>
      <c r="E1381" s="6" t="str">
        <f>IFERROR(__xludf.DUMMYFUNCTION("""COMPUTED_VALUE"""),"Virtual Wallet")</f>
        <v>Virtual Wallet</v>
      </c>
      <c r="F1381" s="6" t="s">
        <v>14</v>
      </c>
      <c r="G1381" s="8" t="str">
        <f t="shared" si="1"/>
        <v>202507</v>
      </c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  <c r="AA1381" s="4"/>
      <c r="AB1381" s="4"/>
      <c r="AC1381" s="4"/>
      <c r="AD1381" s="4"/>
      <c r="AE1381" s="4"/>
      <c r="AF1381" s="4"/>
      <c r="AG1381" s="4"/>
      <c r="AH1381" s="4"/>
      <c r="AI1381" s="4"/>
      <c r="AJ1381" s="4"/>
      <c r="AK1381" s="4"/>
      <c r="AL1381" s="4"/>
      <c r="AM1381" s="4"/>
      <c r="AN1381" s="4"/>
      <c r="AO1381" s="4"/>
      <c r="AP1381" s="4"/>
      <c r="AQ1381" s="4"/>
      <c r="AR1381" s="4"/>
      <c r="AS1381" s="4"/>
      <c r="AT1381" s="4"/>
      <c r="AU1381" s="4"/>
      <c r="AV1381" s="4"/>
      <c r="AW1381" s="4"/>
      <c r="AX1381" s="4"/>
      <c r="AY1381" s="4"/>
      <c r="AZ1381" s="4"/>
      <c r="BA1381" s="4"/>
      <c r="BB1381" s="4"/>
      <c r="BC1381" s="4"/>
      <c r="BD1381" s="4"/>
      <c r="BE1381" s="4"/>
      <c r="BF1381" s="4"/>
      <c r="BG1381" s="4"/>
      <c r="BH1381" s="4"/>
      <c r="BI1381" s="4"/>
      <c r="BJ1381" s="4"/>
      <c r="BK1381" s="4"/>
      <c r="BL1381" s="4"/>
      <c r="BM1381" s="4"/>
      <c r="BN1381" s="4"/>
      <c r="BO1381" s="4"/>
      <c r="BP1381" s="4"/>
      <c r="BQ1381" s="4"/>
      <c r="BR1381" s="4"/>
      <c r="BS1381" s="4"/>
      <c r="BT1381" s="4"/>
      <c r="BU1381" s="4"/>
      <c r="BV1381" s="4"/>
      <c r="BW1381" s="4"/>
      <c r="BX1381" s="4"/>
      <c r="BY1381" s="4"/>
      <c r="BZ1381" s="4"/>
      <c r="CA1381" s="4"/>
      <c r="CB1381" s="4"/>
      <c r="CC1381" s="4"/>
      <c r="CD1381" s="4"/>
      <c r="CE1381" s="4"/>
      <c r="CF1381" s="4"/>
      <c r="CG1381" s="4"/>
      <c r="CH1381" s="4"/>
      <c r="CI1381" s="4"/>
      <c r="CJ1381" s="4"/>
      <c r="CK1381" s="4"/>
      <c r="CL1381" s="4"/>
      <c r="CM1381" s="4"/>
      <c r="CN1381" s="4"/>
      <c r="CO1381" s="4"/>
      <c r="CP1381" s="4"/>
      <c r="CQ1381" s="4"/>
      <c r="CR1381" s="4"/>
      <c r="CS1381" s="4"/>
      <c r="CT1381" s="4"/>
      <c r="CU1381" s="4"/>
      <c r="CV1381" s="4"/>
      <c r="CW1381" s="4"/>
      <c r="CX1381" s="4"/>
      <c r="CY1381" s="4"/>
      <c r="CZ1381" s="4"/>
      <c r="DA1381" s="4"/>
      <c r="DB1381" s="4"/>
      <c r="DC1381" s="4"/>
      <c r="DD1381" s="4"/>
      <c r="DE1381" s="4"/>
      <c r="DF1381" s="4"/>
      <c r="DG1381" s="4"/>
      <c r="DH1381" s="4"/>
      <c r="DI1381" s="4"/>
      <c r="DJ1381" s="4"/>
      <c r="DK1381" s="4"/>
      <c r="DL1381" s="4"/>
      <c r="DM1381" s="4"/>
      <c r="DN1381" s="4"/>
      <c r="DO1381" s="4"/>
      <c r="DP1381" s="4"/>
      <c r="DQ1381" s="4"/>
      <c r="DR1381" s="4"/>
      <c r="DS1381" s="4"/>
    </row>
    <row r="1382">
      <c r="A1382" s="9">
        <f>IFERROR(__xludf.DUMMYFUNCTION("""COMPUTED_VALUE"""),45851.0)</f>
        <v>45851</v>
      </c>
      <c r="B1382" s="6" t="str">
        <f>IFERROR(__xludf.DUMMYFUNCTION("""COMPUTED_VALUE"""),"Restaurant")</f>
        <v>Restaurant</v>
      </c>
      <c r="C1382" s="7">
        <f>IFERROR(__xludf.DUMMYFUNCTION("""COMPUTED_VALUE"""),2800.0)</f>
        <v>2800</v>
      </c>
      <c r="D1382" s="6" t="str">
        <f>IFERROR(__xludf.DUMMYFUNCTION("""COMPUTED_VALUE"""),"Restaurant / Café")</f>
        <v>Restaurant / Café</v>
      </c>
      <c r="E1382" s="6" t="str">
        <f>IFERROR(__xludf.DUMMYFUNCTION("""COMPUTED_VALUE"""),"Virtual Wallet")</f>
        <v>Virtual Wallet</v>
      </c>
      <c r="F1382" s="6" t="s">
        <v>14</v>
      </c>
      <c r="G1382" s="8" t="str">
        <f t="shared" si="1"/>
        <v>202507</v>
      </c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  <c r="AA1382" s="4"/>
      <c r="AB1382" s="4"/>
      <c r="AC1382" s="4"/>
      <c r="AD1382" s="4"/>
      <c r="AE1382" s="4"/>
      <c r="AF1382" s="4"/>
      <c r="AG1382" s="4"/>
      <c r="AH1382" s="4"/>
      <c r="AI1382" s="4"/>
      <c r="AJ1382" s="4"/>
      <c r="AK1382" s="4"/>
      <c r="AL1382" s="4"/>
      <c r="AM1382" s="4"/>
      <c r="AN1382" s="4"/>
      <c r="AO1382" s="4"/>
      <c r="AP1382" s="4"/>
      <c r="AQ1382" s="4"/>
      <c r="AR1382" s="4"/>
      <c r="AS1382" s="4"/>
      <c r="AT1382" s="4"/>
      <c r="AU1382" s="4"/>
      <c r="AV1382" s="4"/>
      <c r="AW1382" s="4"/>
      <c r="AX1382" s="4"/>
      <c r="AY1382" s="4"/>
      <c r="AZ1382" s="4"/>
      <c r="BA1382" s="4"/>
      <c r="BB1382" s="4"/>
      <c r="BC1382" s="4"/>
      <c r="BD1382" s="4"/>
      <c r="BE1382" s="4"/>
      <c r="BF1382" s="4"/>
      <c r="BG1382" s="4"/>
      <c r="BH1382" s="4"/>
      <c r="BI1382" s="4"/>
      <c r="BJ1382" s="4"/>
      <c r="BK1382" s="4"/>
      <c r="BL1382" s="4"/>
      <c r="BM1382" s="4"/>
      <c r="BN1382" s="4"/>
      <c r="BO1382" s="4"/>
      <c r="BP1382" s="4"/>
      <c r="BQ1382" s="4"/>
      <c r="BR1382" s="4"/>
      <c r="BS1382" s="4"/>
      <c r="BT1382" s="4"/>
      <c r="BU1382" s="4"/>
      <c r="BV1382" s="4"/>
      <c r="BW1382" s="4"/>
      <c r="BX1382" s="4"/>
      <c r="BY1382" s="4"/>
      <c r="BZ1382" s="4"/>
      <c r="CA1382" s="4"/>
      <c r="CB1382" s="4"/>
      <c r="CC1382" s="4"/>
      <c r="CD1382" s="4"/>
      <c r="CE1382" s="4"/>
      <c r="CF1382" s="4"/>
      <c r="CG1382" s="4"/>
      <c r="CH1382" s="4"/>
      <c r="CI1382" s="4"/>
      <c r="CJ1382" s="4"/>
      <c r="CK1382" s="4"/>
      <c r="CL1382" s="4"/>
      <c r="CM1382" s="4"/>
      <c r="CN1382" s="4"/>
      <c r="CO1382" s="4"/>
      <c r="CP1382" s="4"/>
      <c r="CQ1382" s="4"/>
      <c r="CR1382" s="4"/>
      <c r="CS1382" s="4"/>
      <c r="CT1382" s="4"/>
      <c r="CU1382" s="4"/>
      <c r="CV1382" s="4"/>
      <c r="CW1382" s="4"/>
      <c r="CX1382" s="4"/>
      <c r="CY1382" s="4"/>
      <c r="CZ1382" s="4"/>
      <c r="DA1382" s="4"/>
      <c r="DB1382" s="4"/>
      <c r="DC1382" s="4"/>
      <c r="DD1382" s="4"/>
      <c r="DE1382" s="4"/>
      <c r="DF1382" s="4"/>
      <c r="DG1382" s="4"/>
      <c r="DH1382" s="4"/>
      <c r="DI1382" s="4"/>
      <c r="DJ1382" s="4"/>
      <c r="DK1382" s="4"/>
      <c r="DL1382" s="4"/>
      <c r="DM1382" s="4"/>
      <c r="DN1382" s="4"/>
      <c r="DO1382" s="4"/>
      <c r="DP1382" s="4"/>
      <c r="DQ1382" s="4"/>
      <c r="DR1382" s="4"/>
      <c r="DS1382" s="4"/>
    </row>
    <row r="1383">
      <c r="A1383" s="9">
        <f>IFERROR(__xludf.DUMMYFUNCTION("""COMPUTED_VALUE"""),45852.0)</f>
        <v>45852</v>
      </c>
      <c r="B1383" s="6" t="str">
        <f>IFERROR(__xludf.DUMMYFUNCTION("""COMPUTED_VALUE"""),"Education")</f>
        <v>Education</v>
      </c>
      <c r="C1383" s="7">
        <f>IFERROR(__xludf.DUMMYFUNCTION("""COMPUTED_VALUE"""),1500.0)</f>
        <v>1500</v>
      </c>
      <c r="D1383" s="6" t="str">
        <f>IFERROR(__xludf.DUMMYFUNCTION("""COMPUTED_VALUE"""),"Education")</f>
        <v>Education</v>
      </c>
      <c r="E1383" s="6" t="str">
        <f>IFERROR(__xludf.DUMMYFUNCTION("""COMPUTED_VALUE"""),"Credit Card")</f>
        <v>Credit Card</v>
      </c>
      <c r="F1383" s="6" t="s">
        <v>11</v>
      </c>
      <c r="G1383" s="8" t="str">
        <f t="shared" si="1"/>
        <v>202507</v>
      </c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  <c r="AA1383" s="4"/>
      <c r="AB1383" s="4"/>
      <c r="AC1383" s="4"/>
      <c r="AD1383" s="4"/>
      <c r="AE1383" s="4"/>
      <c r="AF1383" s="4"/>
      <c r="AG1383" s="4"/>
      <c r="AH1383" s="4"/>
      <c r="AI1383" s="4"/>
      <c r="AJ1383" s="4"/>
      <c r="AK1383" s="4"/>
      <c r="AL1383" s="4"/>
      <c r="AM1383" s="4"/>
      <c r="AN1383" s="4"/>
      <c r="AO1383" s="4"/>
      <c r="AP1383" s="4"/>
      <c r="AQ1383" s="4"/>
      <c r="AR1383" s="4"/>
      <c r="AS1383" s="4"/>
      <c r="AT1383" s="4"/>
      <c r="AU1383" s="4"/>
      <c r="AV1383" s="4"/>
      <c r="AW1383" s="4"/>
      <c r="AX1383" s="4"/>
      <c r="AY1383" s="4"/>
      <c r="AZ1383" s="4"/>
      <c r="BA1383" s="4"/>
      <c r="BB1383" s="4"/>
      <c r="BC1383" s="4"/>
      <c r="BD1383" s="4"/>
      <c r="BE1383" s="4"/>
      <c r="BF1383" s="4"/>
      <c r="BG1383" s="4"/>
      <c r="BH1383" s="4"/>
      <c r="BI1383" s="4"/>
      <c r="BJ1383" s="4"/>
      <c r="BK1383" s="4"/>
      <c r="BL1383" s="4"/>
      <c r="BM1383" s="4"/>
      <c r="BN1383" s="4"/>
      <c r="BO1383" s="4"/>
      <c r="BP1383" s="4"/>
      <c r="BQ1383" s="4"/>
      <c r="BR1383" s="4"/>
      <c r="BS1383" s="4"/>
      <c r="BT1383" s="4"/>
      <c r="BU1383" s="4"/>
      <c r="BV1383" s="4"/>
      <c r="BW1383" s="4"/>
      <c r="BX1383" s="4"/>
      <c r="BY1383" s="4"/>
      <c r="BZ1383" s="4"/>
      <c r="CA1383" s="4"/>
      <c r="CB1383" s="4"/>
      <c r="CC1383" s="4"/>
      <c r="CD1383" s="4"/>
      <c r="CE1383" s="4"/>
      <c r="CF1383" s="4"/>
      <c r="CG1383" s="4"/>
      <c r="CH1383" s="4"/>
      <c r="CI1383" s="4"/>
      <c r="CJ1383" s="4"/>
      <c r="CK1383" s="4"/>
      <c r="CL1383" s="4"/>
      <c r="CM1383" s="4"/>
      <c r="CN1383" s="4"/>
      <c r="CO1383" s="4"/>
      <c r="CP1383" s="4"/>
      <c r="CQ1383" s="4"/>
      <c r="CR1383" s="4"/>
      <c r="CS1383" s="4"/>
      <c r="CT1383" s="4"/>
      <c r="CU1383" s="4"/>
      <c r="CV1383" s="4"/>
      <c r="CW1383" s="4"/>
      <c r="CX1383" s="4"/>
      <c r="CY1383" s="4"/>
      <c r="CZ1383" s="4"/>
      <c r="DA1383" s="4"/>
      <c r="DB1383" s="4"/>
      <c r="DC1383" s="4"/>
      <c r="DD1383" s="4"/>
      <c r="DE1383" s="4"/>
      <c r="DF1383" s="4"/>
      <c r="DG1383" s="4"/>
      <c r="DH1383" s="4"/>
      <c r="DI1383" s="4"/>
      <c r="DJ1383" s="4"/>
      <c r="DK1383" s="4"/>
      <c r="DL1383" s="4"/>
      <c r="DM1383" s="4"/>
      <c r="DN1383" s="4"/>
      <c r="DO1383" s="4"/>
      <c r="DP1383" s="4"/>
      <c r="DQ1383" s="4"/>
      <c r="DR1383" s="4"/>
      <c r="DS1383" s="4"/>
    </row>
    <row r="1384">
      <c r="A1384" s="9">
        <f>IFERROR(__xludf.DUMMYFUNCTION("""COMPUTED_VALUE"""),45853.0)</f>
        <v>45853</v>
      </c>
      <c r="B1384" s="6" t="str">
        <f>IFERROR(__xludf.DUMMYFUNCTION("""COMPUTED_VALUE"""),"Home Goods")</f>
        <v>Home Goods</v>
      </c>
      <c r="C1384" s="7">
        <f>IFERROR(__xludf.DUMMYFUNCTION("""COMPUTED_VALUE"""),2101.0)</f>
        <v>2101</v>
      </c>
      <c r="D1384" s="6" t="str">
        <f>IFERROR(__xludf.DUMMYFUNCTION("""COMPUTED_VALUE"""),"Home Goods &amp; Utilities")</f>
        <v>Home Goods &amp; Utilities</v>
      </c>
      <c r="E1384" s="6" t="str">
        <f>IFERROR(__xludf.DUMMYFUNCTION("""COMPUTED_VALUE"""),"Split Payment")</f>
        <v>Split Payment</v>
      </c>
      <c r="F1384" s="6" t="s">
        <v>8</v>
      </c>
      <c r="G1384" s="8" t="str">
        <f t="shared" si="1"/>
        <v>202507</v>
      </c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  <c r="AA1384" s="4"/>
      <c r="AB1384" s="4"/>
      <c r="AC1384" s="4"/>
      <c r="AD1384" s="4"/>
      <c r="AE1384" s="4"/>
      <c r="AF1384" s="4"/>
      <c r="AG1384" s="4"/>
      <c r="AH1384" s="4"/>
      <c r="AI1384" s="4"/>
      <c r="AJ1384" s="4"/>
      <c r="AK1384" s="4"/>
      <c r="AL1384" s="4"/>
      <c r="AM1384" s="4"/>
      <c r="AN1384" s="4"/>
      <c r="AO1384" s="4"/>
      <c r="AP1384" s="4"/>
      <c r="AQ1384" s="4"/>
      <c r="AR1384" s="4"/>
      <c r="AS1384" s="4"/>
      <c r="AT1384" s="4"/>
      <c r="AU1384" s="4"/>
      <c r="AV1384" s="4"/>
      <c r="AW1384" s="4"/>
      <c r="AX1384" s="4"/>
      <c r="AY1384" s="4"/>
      <c r="AZ1384" s="4"/>
      <c r="BA1384" s="4"/>
      <c r="BB1384" s="4"/>
      <c r="BC1384" s="4"/>
      <c r="BD1384" s="4"/>
      <c r="BE1384" s="4"/>
      <c r="BF1384" s="4"/>
      <c r="BG1384" s="4"/>
      <c r="BH1384" s="4"/>
      <c r="BI1384" s="4"/>
      <c r="BJ1384" s="4"/>
      <c r="BK1384" s="4"/>
      <c r="BL1384" s="4"/>
      <c r="BM1384" s="4"/>
      <c r="BN1384" s="4"/>
      <c r="BO1384" s="4"/>
      <c r="BP1384" s="4"/>
      <c r="BQ1384" s="4"/>
      <c r="BR1384" s="4"/>
      <c r="BS1384" s="4"/>
      <c r="BT1384" s="4"/>
      <c r="BU1384" s="4"/>
      <c r="BV1384" s="4"/>
      <c r="BW1384" s="4"/>
      <c r="BX1384" s="4"/>
      <c r="BY1384" s="4"/>
      <c r="BZ1384" s="4"/>
      <c r="CA1384" s="4"/>
      <c r="CB1384" s="4"/>
      <c r="CC1384" s="4"/>
      <c r="CD1384" s="4"/>
      <c r="CE1384" s="4"/>
      <c r="CF1384" s="4"/>
      <c r="CG1384" s="4"/>
      <c r="CH1384" s="4"/>
      <c r="CI1384" s="4"/>
      <c r="CJ1384" s="4"/>
      <c r="CK1384" s="4"/>
      <c r="CL1384" s="4"/>
      <c r="CM1384" s="4"/>
      <c r="CN1384" s="4"/>
      <c r="CO1384" s="4"/>
      <c r="CP1384" s="4"/>
      <c r="CQ1384" s="4"/>
      <c r="CR1384" s="4"/>
      <c r="CS1384" s="4"/>
      <c r="CT1384" s="4"/>
      <c r="CU1384" s="4"/>
      <c r="CV1384" s="4"/>
      <c r="CW1384" s="4"/>
      <c r="CX1384" s="4"/>
      <c r="CY1384" s="4"/>
      <c r="CZ1384" s="4"/>
      <c r="DA1384" s="4"/>
      <c r="DB1384" s="4"/>
      <c r="DC1384" s="4"/>
      <c r="DD1384" s="4"/>
      <c r="DE1384" s="4"/>
      <c r="DF1384" s="4"/>
      <c r="DG1384" s="4"/>
      <c r="DH1384" s="4"/>
      <c r="DI1384" s="4"/>
      <c r="DJ1384" s="4"/>
      <c r="DK1384" s="4"/>
      <c r="DL1384" s="4"/>
      <c r="DM1384" s="4"/>
      <c r="DN1384" s="4"/>
      <c r="DO1384" s="4"/>
      <c r="DP1384" s="4"/>
      <c r="DQ1384" s="4"/>
      <c r="DR1384" s="4"/>
      <c r="DS1384" s="4"/>
    </row>
    <row r="1385">
      <c r="A1385" s="9">
        <f>IFERROR(__xludf.DUMMYFUNCTION("""COMPUTED_VALUE"""),45853.0)</f>
        <v>45853</v>
      </c>
      <c r="B1385" s="6" t="str">
        <f>IFERROR(__xludf.DUMMYFUNCTION("""COMPUTED_VALUE"""),"Appliances")</f>
        <v>Appliances</v>
      </c>
      <c r="C1385" s="7">
        <f>IFERROR(__xludf.DUMMYFUNCTION("""COMPUTED_VALUE"""),5965.0)</f>
        <v>5965</v>
      </c>
      <c r="D1385" s="6" t="str">
        <f>IFERROR(__xludf.DUMMYFUNCTION("""COMPUTED_VALUE"""),"Home Goods &amp; Utilities")</f>
        <v>Home Goods &amp; Utilities</v>
      </c>
      <c r="E1385" s="6" t="str">
        <f>IFERROR(__xludf.DUMMYFUNCTION("""COMPUTED_VALUE"""),"Credit Card")</f>
        <v>Credit Card</v>
      </c>
      <c r="F1385" s="6" t="s">
        <v>8</v>
      </c>
      <c r="G1385" s="8" t="str">
        <f t="shared" si="1"/>
        <v>202507</v>
      </c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  <c r="AA1385" s="4"/>
      <c r="AB1385" s="4"/>
      <c r="AC1385" s="4"/>
      <c r="AD1385" s="4"/>
      <c r="AE1385" s="4"/>
      <c r="AF1385" s="4"/>
      <c r="AG1385" s="4"/>
      <c r="AH1385" s="4"/>
      <c r="AI1385" s="4"/>
      <c r="AJ1385" s="4"/>
      <c r="AK1385" s="4"/>
      <c r="AL1385" s="4"/>
      <c r="AM1385" s="4"/>
      <c r="AN1385" s="4"/>
      <c r="AO1385" s="4"/>
      <c r="AP1385" s="4"/>
      <c r="AQ1385" s="4"/>
      <c r="AR1385" s="4"/>
      <c r="AS1385" s="4"/>
      <c r="AT1385" s="4"/>
      <c r="AU1385" s="4"/>
      <c r="AV1385" s="4"/>
      <c r="AW1385" s="4"/>
      <c r="AX1385" s="4"/>
      <c r="AY1385" s="4"/>
      <c r="AZ1385" s="4"/>
      <c r="BA1385" s="4"/>
      <c r="BB1385" s="4"/>
      <c r="BC1385" s="4"/>
      <c r="BD1385" s="4"/>
      <c r="BE1385" s="4"/>
      <c r="BF1385" s="4"/>
      <c r="BG1385" s="4"/>
      <c r="BH1385" s="4"/>
      <c r="BI1385" s="4"/>
      <c r="BJ1385" s="4"/>
      <c r="BK1385" s="4"/>
      <c r="BL1385" s="4"/>
      <c r="BM1385" s="4"/>
      <c r="BN1385" s="4"/>
      <c r="BO1385" s="4"/>
      <c r="BP1385" s="4"/>
      <c r="BQ1385" s="4"/>
      <c r="BR1385" s="4"/>
      <c r="BS1385" s="4"/>
      <c r="BT1385" s="4"/>
      <c r="BU1385" s="4"/>
      <c r="BV1385" s="4"/>
      <c r="BW1385" s="4"/>
      <c r="BX1385" s="4"/>
      <c r="BY1385" s="4"/>
      <c r="BZ1385" s="4"/>
      <c r="CA1385" s="4"/>
      <c r="CB1385" s="4"/>
      <c r="CC1385" s="4"/>
      <c r="CD1385" s="4"/>
      <c r="CE1385" s="4"/>
      <c r="CF1385" s="4"/>
      <c r="CG1385" s="4"/>
      <c r="CH1385" s="4"/>
      <c r="CI1385" s="4"/>
      <c r="CJ1385" s="4"/>
      <c r="CK1385" s="4"/>
      <c r="CL1385" s="4"/>
      <c r="CM1385" s="4"/>
      <c r="CN1385" s="4"/>
      <c r="CO1385" s="4"/>
      <c r="CP1385" s="4"/>
      <c r="CQ1385" s="4"/>
      <c r="CR1385" s="4"/>
      <c r="CS1385" s="4"/>
      <c r="CT1385" s="4"/>
      <c r="CU1385" s="4"/>
      <c r="CV1385" s="4"/>
      <c r="CW1385" s="4"/>
      <c r="CX1385" s="4"/>
      <c r="CY1385" s="4"/>
      <c r="CZ1385" s="4"/>
      <c r="DA1385" s="4"/>
      <c r="DB1385" s="4"/>
      <c r="DC1385" s="4"/>
      <c r="DD1385" s="4"/>
      <c r="DE1385" s="4"/>
      <c r="DF1385" s="4"/>
      <c r="DG1385" s="4"/>
      <c r="DH1385" s="4"/>
      <c r="DI1385" s="4"/>
      <c r="DJ1385" s="4"/>
      <c r="DK1385" s="4"/>
      <c r="DL1385" s="4"/>
      <c r="DM1385" s="4"/>
      <c r="DN1385" s="4"/>
      <c r="DO1385" s="4"/>
      <c r="DP1385" s="4"/>
      <c r="DQ1385" s="4"/>
      <c r="DR1385" s="4"/>
      <c r="DS1385" s="4"/>
    </row>
    <row r="1386">
      <c r="A1386" s="9">
        <f>IFERROR(__xludf.DUMMYFUNCTION("""COMPUTED_VALUE"""),45853.0)</f>
        <v>45853</v>
      </c>
      <c r="B1386" s="6" t="str">
        <f>IFERROR(__xludf.DUMMYFUNCTION("""COMPUTED_VALUE"""),"Pharmacy")</f>
        <v>Pharmacy</v>
      </c>
      <c r="C1386" s="7">
        <f>IFERROR(__xludf.DUMMYFUNCTION("""COMPUTED_VALUE"""),2500.0)</f>
        <v>2500</v>
      </c>
      <c r="D1386" s="6" t="str">
        <f>IFERROR(__xludf.DUMMYFUNCTION("""COMPUTED_VALUE"""),"Healthcare")</f>
        <v>Healthcare</v>
      </c>
      <c r="E1386" s="6" t="str">
        <f>IFERROR(__xludf.DUMMYFUNCTION("""COMPUTED_VALUE"""),"Split Payment")</f>
        <v>Split Payment</v>
      </c>
      <c r="F1386" s="6" t="s">
        <v>15</v>
      </c>
      <c r="G1386" s="8" t="str">
        <f t="shared" si="1"/>
        <v>202507</v>
      </c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  <c r="AA1386" s="4"/>
      <c r="AB1386" s="4"/>
      <c r="AC1386" s="4"/>
      <c r="AD1386" s="4"/>
      <c r="AE1386" s="4"/>
      <c r="AF1386" s="4"/>
      <c r="AG1386" s="4"/>
      <c r="AH1386" s="4"/>
      <c r="AI1386" s="4"/>
      <c r="AJ1386" s="4"/>
      <c r="AK1386" s="4"/>
      <c r="AL1386" s="4"/>
      <c r="AM1386" s="4"/>
      <c r="AN1386" s="4"/>
      <c r="AO1386" s="4"/>
      <c r="AP1386" s="4"/>
      <c r="AQ1386" s="4"/>
      <c r="AR1386" s="4"/>
      <c r="AS1386" s="4"/>
      <c r="AT1386" s="4"/>
      <c r="AU1386" s="4"/>
      <c r="AV1386" s="4"/>
      <c r="AW1386" s="4"/>
      <c r="AX1386" s="4"/>
      <c r="AY1386" s="4"/>
      <c r="AZ1386" s="4"/>
      <c r="BA1386" s="4"/>
      <c r="BB1386" s="4"/>
      <c r="BC1386" s="4"/>
      <c r="BD1386" s="4"/>
      <c r="BE1386" s="4"/>
      <c r="BF1386" s="4"/>
      <c r="BG1386" s="4"/>
      <c r="BH1386" s="4"/>
      <c r="BI1386" s="4"/>
      <c r="BJ1386" s="4"/>
      <c r="BK1386" s="4"/>
      <c r="BL1386" s="4"/>
      <c r="BM1386" s="4"/>
      <c r="BN1386" s="4"/>
      <c r="BO1386" s="4"/>
      <c r="BP1386" s="4"/>
      <c r="BQ1386" s="4"/>
      <c r="BR1386" s="4"/>
      <c r="BS1386" s="4"/>
      <c r="BT1386" s="4"/>
      <c r="BU1386" s="4"/>
      <c r="BV1386" s="4"/>
      <c r="BW1386" s="4"/>
      <c r="BX1386" s="4"/>
      <c r="BY1386" s="4"/>
      <c r="BZ1386" s="4"/>
      <c r="CA1386" s="4"/>
      <c r="CB1386" s="4"/>
      <c r="CC1386" s="4"/>
      <c r="CD1386" s="4"/>
      <c r="CE1386" s="4"/>
      <c r="CF1386" s="4"/>
      <c r="CG1386" s="4"/>
      <c r="CH1386" s="4"/>
      <c r="CI1386" s="4"/>
      <c r="CJ1386" s="4"/>
      <c r="CK1386" s="4"/>
      <c r="CL1386" s="4"/>
      <c r="CM1386" s="4"/>
      <c r="CN1386" s="4"/>
      <c r="CO1386" s="4"/>
      <c r="CP1386" s="4"/>
      <c r="CQ1386" s="4"/>
      <c r="CR1386" s="4"/>
      <c r="CS1386" s="4"/>
      <c r="CT1386" s="4"/>
      <c r="CU1386" s="4"/>
      <c r="CV1386" s="4"/>
      <c r="CW1386" s="4"/>
      <c r="CX1386" s="4"/>
      <c r="CY1386" s="4"/>
      <c r="CZ1386" s="4"/>
      <c r="DA1386" s="4"/>
      <c r="DB1386" s="4"/>
      <c r="DC1386" s="4"/>
      <c r="DD1386" s="4"/>
      <c r="DE1386" s="4"/>
      <c r="DF1386" s="4"/>
      <c r="DG1386" s="4"/>
      <c r="DH1386" s="4"/>
      <c r="DI1386" s="4"/>
      <c r="DJ1386" s="4"/>
      <c r="DK1386" s="4"/>
      <c r="DL1386" s="4"/>
      <c r="DM1386" s="4"/>
      <c r="DN1386" s="4"/>
      <c r="DO1386" s="4"/>
      <c r="DP1386" s="4"/>
      <c r="DQ1386" s="4"/>
      <c r="DR1386" s="4"/>
      <c r="DS1386" s="4"/>
    </row>
    <row r="1387">
      <c r="A1387" s="9">
        <f>IFERROR(__xludf.DUMMYFUNCTION("""COMPUTED_VALUE"""),45853.0)</f>
        <v>45853</v>
      </c>
      <c r="B1387" s="6" t="str">
        <f>IFERROR(__xludf.DUMMYFUNCTION("""COMPUTED_VALUE"""),"Restaurant")</f>
        <v>Restaurant</v>
      </c>
      <c r="C1387" s="7">
        <f>IFERROR(__xludf.DUMMYFUNCTION("""COMPUTED_VALUE"""),10159.0)</f>
        <v>10159</v>
      </c>
      <c r="D1387" s="6" t="str">
        <f>IFERROR(__xludf.DUMMYFUNCTION("""COMPUTED_VALUE"""),"Restaurant / Café")</f>
        <v>Restaurant / Café</v>
      </c>
      <c r="E1387" s="6" t="str">
        <f>IFERROR(__xludf.DUMMYFUNCTION("""COMPUTED_VALUE"""),"Virtual Wallet")</f>
        <v>Virtual Wallet</v>
      </c>
      <c r="F1387" s="6" t="s">
        <v>14</v>
      </c>
      <c r="G1387" s="8" t="str">
        <f t="shared" si="1"/>
        <v>202507</v>
      </c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  <c r="AA1387" s="4"/>
      <c r="AB1387" s="4"/>
      <c r="AC1387" s="4"/>
      <c r="AD1387" s="4"/>
      <c r="AE1387" s="4"/>
      <c r="AF1387" s="4"/>
      <c r="AG1387" s="4"/>
      <c r="AH1387" s="4"/>
      <c r="AI1387" s="4"/>
      <c r="AJ1387" s="4"/>
      <c r="AK1387" s="4"/>
      <c r="AL1387" s="4"/>
      <c r="AM1387" s="4"/>
      <c r="AN1387" s="4"/>
      <c r="AO1387" s="4"/>
      <c r="AP1387" s="4"/>
      <c r="AQ1387" s="4"/>
      <c r="AR1387" s="4"/>
      <c r="AS1387" s="4"/>
      <c r="AT1387" s="4"/>
      <c r="AU1387" s="4"/>
      <c r="AV1387" s="4"/>
      <c r="AW1387" s="4"/>
      <c r="AX1387" s="4"/>
      <c r="AY1387" s="4"/>
      <c r="AZ1387" s="4"/>
      <c r="BA1387" s="4"/>
      <c r="BB1387" s="4"/>
      <c r="BC1387" s="4"/>
      <c r="BD1387" s="4"/>
      <c r="BE1387" s="4"/>
      <c r="BF1387" s="4"/>
      <c r="BG1387" s="4"/>
      <c r="BH1387" s="4"/>
      <c r="BI1387" s="4"/>
      <c r="BJ1387" s="4"/>
      <c r="BK1387" s="4"/>
      <c r="BL1387" s="4"/>
      <c r="BM1387" s="4"/>
      <c r="BN1387" s="4"/>
      <c r="BO1387" s="4"/>
      <c r="BP1387" s="4"/>
      <c r="BQ1387" s="4"/>
      <c r="BR1387" s="4"/>
      <c r="BS1387" s="4"/>
      <c r="BT1387" s="4"/>
      <c r="BU1387" s="4"/>
      <c r="BV1387" s="4"/>
      <c r="BW1387" s="4"/>
      <c r="BX1387" s="4"/>
      <c r="BY1387" s="4"/>
      <c r="BZ1387" s="4"/>
      <c r="CA1387" s="4"/>
      <c r="CB1387" s="4"/>
      <c r="CC1387" s="4"/>
      <c r="CD1387" s="4"/>
      <c r="CE1387" s="4"/>
      <c r="CF1387" s="4"/>
      <c r="CG1387" s="4"/>
      <c r="CH1387" s="4"/>
      <c r="CI1387" s="4"/>
      <c r="CJ1387" s="4"/>
      <c r="CK1387" s="4"/>
      <c r="CL1387" s="4"/>
      <c r="CM1387" s="4"/>
      <c r="CN1387" s="4"/>
      <c r="CO1387" s="4"/>
      <c r="CP1387" s="4"/>
      <c r="CQ1387" s="4"/>
      <c r="CR1387" s="4"/>
      <c r="CS1387" s="4"/>
      <c r="CT1387" s="4"/>
      <c r="CU1387" s="4"/>
      <c r="CV1387" s="4"/>
      <c r="CW1387" s="4"/>
      <c r="CX1387" s="4"/>
      <c r="CY1387" s="4"/>
      <c r="CZ1387" s="4"/>
      <c r="DA1387" s="4"/>
      <c r="DB1387" s="4"/>
      <c r="DC1387" s="4"/>
      <c r="DD1387" s="4"/>
      <c r="DE1387" s="4"/>
      <c r="DF1387" s="4"/>
      <c r="DG1387" s="4"/>
      <c r="DH1387" s="4"/>
      <c r="DI1387" s="4"/>
      <c r="DJ1387" s="4"/>
      <c r="DK1387" s="4"/>
      <c r="DL1387" s="4"/>
      <c r="DM1387" s="4"/>
      <c r="DN1387" s="4"/>
      <c r="DO1387" s="4"/>
      <c r="DP1387" s="4"/>
      <c r="DQ1387" s="4"/>
      <c r="DR1387" s="4"/>
      <c r="DS1387" s="4"/>
    </row>
    <row r="1388">
      <c r="A1388" s="9">
        <f>IFERROR(__xludf.DUMMYFUNCTION("""COMPUTED_VALUE"""),45853.0)</f>
        <v>45853</v>
      </c>
      <c r="B1388" s="6" t="str">
        <f>IFERROR(__xludf.DUMMYFUNCTION("""COMPUTED_VALUE"""),"Restaurant")</f>
        <v>Restaurant</v>
      </c>
      <c r="C1388" s="7">
        <f>IFERROR(__xludf.DUMMYFUNCTION("""COMPUTED_VALUE"""),18912.0)</f>
        <v>18912</v>
      </c>
      <c r="D1388" s="6" t="str">
        <f>IFERROR(__xludf.DUMMYFUNCTION("""COMPUTED_VALUE"""),"Restaurant / Café")</f>
        <v>Restaurant / Café</v>
      </c>
      <c r="E1388" s="6" t="str">
        <f>IFERROR(__xludf.DUMMYFUNCTION("""COMPUTED_VALUE"""),"Virtual Wallet")</f>
        <v>Virtual Wallet</v>
      </c>
      <c r="F1388" s="6" t="s">
        <v>14</v>
      </c>
      <c r="G1388" s="8" t="str">
        <f t="shared" si="1"/>
        <v>202507</v>
      </c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  <c r="AA1388" s="4"/>
      <c r="AB1388" s="4"/>
      <c r="AC1388" s="4"/>
      <c r="AD1388" s="4"/>
      <c r="AE1388" s="4"/>
      <c r="AF1388" s="4"/>
      <c r="AG1388" s="4"/>
      <c r="AH1388" s="4"/>
      <c r="AI1388" s="4"/>
      <c r="AJ1388" s="4"/>
      <c r="AK1388" s="4"/>
      <c r="AL1388" s="4"/>
      <c r="AM1388" s="4"/>
      <c r="AN1388" s="4"/>
      <c r="AO1388" s="4"/>
      <c r="AP1388" s="4"/>
      <c r="AQ1388" s="4"/>
      <c r="AR1388" s="4"/>
      <c r="AS1388" s="4"/>
      <c r="AT1388" s="4"/>
      <c r="AU1388" s="4"/>
      <c r="AV1388" s="4"/>
      <c r="AW1388" s="4"/>
      <c r="AX1388" s="4"/>
      <c r="AY1388" s="4"/>
      <c r="AZ1388" s="4"/>
      <c r="BA1388" s="4"/>
      <c r="BB1388" s="4"/>
      <c r="BC1388" s="4"/>
      <c r="BD1388" s="4"/>
      <c r="BE1388" s="4"/>
      <c r="BF1388" s="4"/>
      <c r="BG1388" s="4"/>
      <c r="BH1388" s="4"/>
      <c r="BI1388" s="4"/>
      <c r="BJ1388" s="4"/>
      <c r="BK1388" s="4"/>
      <c r="BL1388" s="4"/>
      <c r="BM1388" s="4"/>
      <c r="BN1388" s="4"/>
      <c r="BO1388" s="4"/>
      <c r="BP1388" s="4"/>
      <c r="BQ1388" s="4"/>
      <c r="BR1388" s="4"/>
      <c r="BS1388" s="4"/>
      <c r="BT1388" s="4"/>
      <c r="BU1388" s="4"/>
      <c r="BV1388" s="4"/>
      <c r="BW1388" s="4"/>
      <c r="BX1388" s="4"/>
      <c r="BY1388" s="4"/>
      <c r="BZ1388" s="4"/>
      <c r="CA1388" s="4"/>
      <c r="CB1388" s="4"/>
      <c r="CC1388" s="4"/>
      <c r="CD1388" s="4"/>
      <c r="CE1388" s="4"/>
      <c r="CF1388" s="4"/>
      <c r="CG1388" s="4"/>
      <c r="CH1388" s="4"/>
      <c r="CI1388" s="4"/>
      <c r="CJ1388" s="4"/>
      <c r="CK1388" s="4"/>
      <c r="CL1388" s="4"/>
      <c r="CM1388" s="4"/>
      <c r="CN1388" s="4"/>
      <c r="CO1388" s="4"/>
      <c r="CP1388" s="4"/>
      <c r="CQ1388" s="4"/>
      <c r="CR1388" s="4"/>
      <c r="CS1388" s="4"/>
      <c r="CT1388" s="4"/>
      <c r="CU1388" s="4"/>
      <c r="CV1388" s="4"/>
      <c r="CW1388" s="4"/>
      <c r="CX1388" s="4"/>
      <c r="CY1388" s="4"/>
      <c r="CZ1388" s="4"/>
      <c r="DA1388" s="4"/>
      <c r="DB1388" s="4"/>
      <c r="DC1388" s="4"/>
      <c r="DD1388" s="4"/>
      <c r="DE1388" s="4"/>
      <c r="DF1388" s="4"/>
      <c r="DG1388" s="4"/>
      <c r="DH1388" s="4"/>
      <c r="DI1388" s="4"/>
      <c r="DJ1388" s="4"/>
      <c r="DK1388" s="4"/>
      <c r="DL1388" s="4"/>
      <c r="DM1388" s="4"/>
      <c r="DN1388" s="4"/>
      <c r="DO1388" s="4"/>
      <c r="DP1388" s="4"/>
      <c r="DQ1388" s="4"/>
      <c r="DR1388" s="4"/>
      <c r="DS1388" s="4"/>
    </row>
    <row r="1389">
      <c r="A1389" s="9">
        <f>IFERROR(__xludf.DUMMYFUNCTION("""COMPUTED_VALUE"""),45854.0)</f>
        <v>45854</v>
      </c>
      <c r="B1389" s="6" t="str">
        <f>IFERROR(__xludf.DUMMYFUNCTION("""COMPUTED_VALUE"""),"Groceries")</f>
        <v>Groceries</v>
      </c>
      <c r="C1389" s="7">
        <f>IFERROR(__xludf.DUMMYFUNCTION("""COMPUTED_VALUE"""),5250.0)</f>
        <v>5250</v>
      </c>
      <c r="D1389" s="6" t="str">
        <f>IFERROR(__xludf.DUMMYFUNCTION("""COMPUTED_VALUE"""),"Lunch Out")</f>
        <v>Lunch Out</v>
      </c>
      <c r="E1389" s="6" t="str">
        <f>IFERROR(__xludf.DUMMYFUNCTION("""COMPUTED_VALUE"""),"Virtual Wallet")</f>
        <v>Virtual Wallet</v>
      </c>
      <c r="F1389" s="6" t="s">
        <v>14</v>
      </c>
      <c r="G1389" s="8" t="str">
        <f t="shared" si="1"/>
        <v>202507</v>
      </c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  <c r="AA1389" s="4"/>
      <c r="AB1389" s="4"/>
      <c r="AC1389" s="4"/>
      <c r="AD1389" s="4"/>
      <c r="AE1389" s="4"/>
      <c r="AF1389" s="4"/>
      <c r="AG1389" s="4"/>
      <c r="AH1389" s="4"/>
      <c r="AI1389" s="4"/>
      <c r="AJ1389" s="4"/>
      <c r="AK1389" s="4"/>
      <c r="AL1389" s="4"/>
      <c r="AM1389" s="4"/>
      <c r="AN1389" s="4"/>
      <c r="AO1389" s="4"/>
      <c r="AP1389" s="4"/>
      <c r="AQ1389" s="4"/>
      <c r="AR1389" s="4"/>
      <c r="AS1389" s="4"/>
      <c r="AT1389" s="4"/>
      <c r="AU1389" s="4"/>
      <c r="AV1389" s="4"/>
      <c r="AW1389" s="4"/>
      <c r="AX1389" s="4"/>
      <c r="AY1389" s="4"/>
      <c r="AZ1389" s="4"/>
      <c r="BA1389" s="4"/>
      <c r="BB1389" s="4"/>
      <c r="BC1389" s="4"/>
      <c r="BD1389" s="4"/>
      <c r="BE1389" s="4"/>
      <c r="BF1389" s="4"/>
      <c r="BG1389" s="4"/>
      <c r="BH1389" s="4"/>
      <c r="BI1389" s="4"/>
      <c r="BJ1389" s="4"/>
      <c r="BK1389" s="4"/>
      <c r="BL1389" s="4"/>
      <c r="BM1389" s="4"/>
      <c r="BN1389" s="4"/>
      <c r="BO1389" s="4"/>
      <c r="BP1389" s="4"/>
      <c r="BQ1389" s="4"/>
      <c r="BR1389" s="4"/>
      <c r="BS1389" s="4"/>
      <c r="BT1389" s="4"/>
      <c r="BU1389" s="4"/>
      <c r="BV1389" s="4"/>
      <c r="BW1389" s="4"/>
      <c r="BX1389" s="4"/>
      <c r="BY1389" s="4"/>
      <c r="BZ1389" s="4"/>
      <c r="CA1389" s="4"/>
      <c r="CB1389" s="4"/>
      <c r="CC1389" s="4"/>
      <c r="CD1389" s="4"/>
      <c r="CE1389" s="4"/>
      <c r="CF1389" s="4"/>
      <c r="CG1389" s="4"/>
      <c r="CH1389" s="4"/>
      <c r="CI1389" s="4"/>
      <c r="CJ1389" s="4"/>
      <c r="CK1389" s="4"/>
      <c r="CL1389" s="4"/>
      <c r="CM1389" s="4"/>
      <c r="CN1389" s="4"/>
      <c r="CO1389" s="4"/>
      <c r="CP1389" s="4"/>
      <c r="CQ1389" s="4"/>
      <c r="CR1389" s="4"/>
      <c r="CS1389" s="4"/>
      <c r="CT1389" s="4"/>
      <c r="CU1389" s="4"/>
      <c r="CV1389" s="4"/>
      <c r="CW1389" s="4"/>
      <c r="CX1389" s="4"/>
      <c r="CY1389" s="4"/>
      <c r="CZ1389" s="4"/>
      <c r="DA1389" s="4"/>
      <c r="DB1389" s="4"/>
      <c r="DC1389" s="4"/>
      <c r="DD1389" s="4"/>
      <c r="DE1389" s="4"/>
      <c r="DF1389" s="4"/>
      <c r="DG1389" s="4"/>
      <c r="DH1389" s="4"/>
      <c r="DI1389" s="4"/>
      <c r="DJ1389" s="4"/>
      <c r="DK1389" s="4"/>
      <c r="DL1389" s="4"/>
      <c r="DM1389" s="4"/>
      <c r="DN1389" s="4"/>
      <c r="DO1389" s="4"/>
      <c r="DP1389" s="4"/>
      <c r="DQ1389" s="4"/>
      <c r="DR1389" s="4"/>
      <c r="DS1389" s="4"/>
    </row>
    <row r="1390">
      <c r="A1390" s="9">
        <f>IFERROR(__xludf.DUMMYFUNCTION("""COMPUTED_VALUE"""),45855.0)</f>
        <v>45855</v>
      </c>
      <c r="B1390" s="6" t="str">
        <f>IFERROR(__xludf.DUMMYFUNCTION("""COMPUTED_VALUE"""),"Clothing")</f>
        <v>Clothing</v>
      </c>
      <c r="C1390" s="7">
        <f>IFERROR(__xludf.DUMMYFUNCTION("""COMPUTED_VALUE"""),40950.0)</f>
        <v>40950</v>
      </c>
      <c r="D1390" s="6" t="str">
        <f>IFERROR(__xludf.DUMMYFUNCTION("""COMPUTED_VALUE"""),"Clothing")</f>
        <v>Clothing</v>
      </c>
      <c r="E1390" s="6" t="str">
        <f>IFERROR(__xludf.DUMMYFUNCTION("""COMPUTED_VALUE"""),"Credit Card")</f>
        <v>Credit Card</v>
      </c>
      <c r="F1390" s="6" t="s">
        <v>10</v>
      </c>
      <c r="G1390" s="8" t="str">
        <f t="shared" si="1"/>
        <v>202507</v>
      </c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  <c r="AA1390" s="4"/>
      <c r="AB1390" s="4"/>
      <c r="AC1390" s="4"/>
      <c r="AD1390" s="4"/>
      <c r="AE1390" s="4"/>
      <c r="AF1390" s="4"/>
      <c r="AG1390" s="4"/>
      <c r="AH1390" s="4"/>
      <c r="AI1390" s="4"/>
      <c r="AJ1390" s="4"/>
      <c r="AK1390" s="4"/>
      <c r="AL1390" s="4"/>
      <c r="AM1390" s="4"/>
      <c r="AN1390" s="4"/>
      <c r="AO1390" s="4"/>
      <c r="AP1390" s="4"/>
      <c r="AQ1390" s="4"/>
      <c r="AR1390" s="4"/>
      <c r="AS1390" s="4"/>
      <c r="AT1390" s="4"/>
      <c r="AU1390" s="4"/>
      <c r="AV1390" s="4"/>
      <c r="AW1390" s="4"/>
      <c r="AX1390" s="4"/>
      <c r="AY1390" s="4"/>
      <c r="AZ1390" s="4"/>
      <c r="BA1390" s="4"/>
      <c r="BB1390" s="4"/>
      <c r="BC1390" s="4"/>
      <c r="BD1390" s="4"/>
      <c r="BE1390" s="4"/>
      <c r="BF1390" s="4"/>
      <c r="BG1390" s="4"/>
      <c r="BH1390" s="4"/>
      <c r="BI1390" s="4"/>
      <c r="BJ1390" s="4"/>
      <c r="BK1390" s="4"/>
      <c r="BL1390" s="4"/>
      <c r="BM1390" s="4"/>
      <c r="BN1390" s="4"/>
      <c r="BO1390" s="4"/>
      <c r="BP1390" s="4"/>
      <c r="BQ1390" s="4"/>
      <c r="BR1390" s="4"/>
      <c r="BS1390" s="4"/>
      <c r="BT1390" s="4"/>
      <c r="BU1390" s="4"/>
      <c r="BV1390" s="4"/>
      <c r="BW1390" s="4"/>
      <c r="BX1390" s="4"/>
      <c r="BY1390" s="4"/>
      <c r="BZ1390" s="4"/>
      <c r="CA1390" s="4"/>
      <c r="CB1390" s="4"/>
      <c r="CC1390" s="4"/>
      <c r="CD1390" s="4"/>
      <c r="CE1390" s="4"/>
      <c r="CF1390" s="4"/>
      <c r="CG1390" s="4"/>
      <c r="CH1390" s="4"/>
      <c r="CI1390" s="4"/>
      <c r="CJ1390" s="4"/>
      <c r="CK1390" s="4"/>
      <c r="CL1390" s="4"/>
      <c r="CM1390" s="4"/>
      <c r="CN1390" s="4"/>
      <c r="CO1390" s="4"/>
      <c r="CP1390" s="4"/>
      <c r="CQ1390" s="4"/>
      <c r="CR1390" s="4"/>
      <c r="CS1390" s="4"/>
      <c r="CT1390" s="4"/>
      <c r="CU1390" s="4"/>
      <c r="CV1390" s="4"/>
      <c r="CW1390" s="4"/>
      <c r="CX1390" s="4"/>
      <c r="CY1390" s="4"/>
      <c r="CZ1390" s="4"/>
      <c r="DA1390" s="4"/>
      <c r="DB1390" s="4"/>
      <c r="DC1390" s="4"/>
      <c r="DD1390" s="4"/>
      <c r="DE1390" s="4"/>
      <c r="DF1390" s="4"/>
      <c r="DG1390" s="4"/>
      <c r="DH1390" s="4"/>
      <c r="DI1390" s="4"/>
      <c r="DJ1390" s="4"/>
      <c r="DK1390" s="4"/>
      <c r="DL1390" s="4"/>
      <c r="DM1390" s="4"/>
      <c r="DN1390" s="4"/>
      <c r="DO1390" s="4"/>
      <c r="DP1390" s="4"/>
      <c r="DQ1390" s="4"/>
      <c r="DR1390" s="4"/>
      <c r="DS1390" s="4"/>
    </row>
    <row r="1391">
      <c r="A1391" s="9">
        <f>IFERROR(__xludf.DUMMYFUNCTION("""COMPUTED_VALUE"""),45855.0)</f>
        <v>45855</v>
      </c>
      <c r="B1391" s="6" t="str">
        <f>IFERROR(__xludf.DUMMYFUNCTION("""COMPUTED_VALUE"""),"Clothing")</f>
        <v>Clothing</v>
      </c>
      <c r="C1391" s="7">
        <f>IFERROR(__xludf.DUMMYFUNCTION("""COMPUTED_VALUE"""),38037.0)</f>
        <v>38037</v>
      </c>
      <c r="D1391" s="6" t="str">
        <f>IFERROR(__xludf.DUMMYFUNCTION("""COMPUTED_VALUE"""),"Clothing")</f>
        <v>Clothing</v>
      </c>
      <c r="E1391" s="6" t="str">
        <f>IFERROR(__xludf.DUMMYFUNCTION("""COMPUTED_VALUE"""),"Credit Card")</f>
        <v>Credit Card</v>
      </c>
      <c r="F1391" s="6" t="s">
        <v>10</v>
      </c>
      <c r="G1391" s="8" t="str">
        <f t="shared" si="1"/>
        <v>202507</v>
      </c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  <c r="AA1391" s="4"/>
      <c r="AB1391" s="4"/>
      <c r="AC1391" s="4"/>
      <c r="AD1391" s="4"/>
      <c r="AE1391" s="4"/>
      <c r="AF1391" s="4"/>
      <c r="AG1391" s="4"/>
      <c r="AH1391" s="4"/>
      <c r="AI1391" s="4"/>
      <c r="AJ1391" s="4"/>
      <c r="AK1391" s="4"/>
      <c r="AL1391" s="4"/>
      <c r="AM1391" s="4"/>
      <c r="AN1391" s="4"/>
      <c r="AO1391" s="4"/>
      <c r="AP1391" s="4"/>
      <c r="AQ1391" s="4"/>
      <c r="AR1391" s="4"/>
      <c r="AS1391" s="4"/>
      <c r="AT1391" s="4"/>
      <c r="AU1391" s="4"/>
      <c r="AV1391" s="4"/>
      <c r="AW1391" s="4"/>
      <c r="AX1391" s="4"/>
      <c r="AY1391" s="4"/>
      <c r="AZ1391" s="4"/>
      <c r="BA1391" s="4"/>
      <c r="BB1391" s="4"/>
      <c r="BC1391" s="4"/>
      <c r="BD1391" s="4"/>
      <c r="BE1391" s="4"/>
      <c r="BF1391" s="4"/>
      <c r="BG1391" s="4"/>
      <c r="BH1391" s="4"/>
      <c r="BI1391" s="4"/>
      <c r="BJ1391" s="4"/>
      <c r="BK1391" s="4"/>
      <c r="BL1391" s="4"/>
      <c r="BM1391" s="4"/>
      <c r="BN1391" s="4"/>
      <c r="BO1391" s="4"/>
      <c r="BP1391" s="4"/>
      <c r="BQ1391" s="4"/>
      <c r="BR1391" s="4"/>
      <c r="BS1391" s="4"/>
      <c r="BT1391" s="4"/>
      <c r="BU1391" s="4"/>
      <c r="BV1391" s="4"/>
      <c r="BW1391" s="4"/>
      <c r="BX1391" s="4"/>
      <c r="BY1391" s="4"/>
      <c r="BZ1391" s="4"/>
      <c r="CA1391" s="4"/>
      <c r="CB1391" s="4"/>
      <c r="CC1391" s="4"/>
      <c r="CD1391" s="4"/>
      <c r="CE1391" s="4"/>
      <c r="CF1391" s="4"/>
      <c r="CG1391" s="4"/>
      <c r="CH1391" s="4"/>
      <c r="CI1391" s="4"/>
      <c r="CJ1391" s="4"/>
      <c r="CK1391" s="4"/>
      <c r="CL1391" s="4"/>
      <c r="CM1391" s="4"/>
      <c r="CN1391" s="4"/>
      <c r="CO1391" s="4"/>
      <c r="CP1391" s="4"/>
      <c r="CQ1391" s="4"/>
      <c r="CR1391" s="4"/>
      <c r="CS1391" s="4"/>
      <c r="CT1391" s="4"/>
      <c r="CU1391" s="4"/>
      <c r="CV1391" s="4"/>
      <c r="CW1391" s="4"/>
      <c r="CX1391" s="4"/>
      <c r="CY1391" s="4"/>
      <c r="CZ1391" s="4"/>
      <c r="DA1391" s="4"/>
      <c r="DB1391" s="4"/>
      <c r="DC1391" s="4"/>
      <c r="DD1391" s="4"/>
      <c r="DE1391" s="4"/>
      <c r="DF1391" s="4"/>
      <c r="DG1391" s="4"/>
      <c r="DH1391" s="4"/>
      <c r="DI1391" s="4"/>
      <c r="DJ1391" s="4"/>
      <c r="DK1391" s="4"/>
      <c r="DL1391" s="4"/>
      <c r="DM1391" s="4"/>
      <c r="DN1391" s="4"/>
      <c r="DO1391" s="4"/>
      <c r="DP1391" s="4"/>
      <c r="DQ1391" s="4"/>
      <c r="DR1391" s="4"/>
      <c r="DS1391" s="4"/>
    </row>
    <row r="1392">
      <c r="A1392" s="9">
        <f>IFERROR(__xludf.DUMMYFUNCTION("""COMPUTED_VALUE"""),45855.0)</f>
        <v>45855</v>
      </c>
      <c r="B1392" s="6" t="str">
        <f>IFERROR(__xludf.DUMMYFUNCTION("""COMPUTED_VALUE"""),"Electricity Bill (Edesur)")</f>
        <v>Electricity Bill (Edesur)</v>
      </c>
      <c r="C1392" s="7">
        <f>IFERROR(__xludf.DUMMYFUNCTION("""COMPUTED_VALUE"""),7055.0)</f>
        <v>7055</v>
      </c>
      <c r="D1392" s="6" t="str">
        <f>IFERROR(__xludf.DUMMYFUNCTION("""COMPUTED_VALUE"""),"Basic Services")</f>
        <v>Basic Services</v>
      </c>
      <c r="E1392" s="6" t="str">
        <f>IFERROR(__xludf.DUMMYFUNCTION("""COMPUTED_VALUE"""),"Split Payment")</f>
        <v>Split Payment</v>
      </c>
      <c r="F1392" s="6" t="s">
        <v>13</v>
      </c>
      <c r="G1392" s="8" t="str">
        <f t="shared" si="1"/>
        <v>202507</v>
      </c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  <c r="AA1392" s="4"/>
      <c r="AB1392" s="4"/>
      <c r="AC1392" s="4"/>
      <c r="AD1392" s="4"/>
      <c r="AE1392" s="4"/>
      <c r="AF1392" s="4"/>
      <c r="AG1392" s="4"/>
      <c r="AH1392" s="4"/>
      <c r="AI1392" s="4"/>
      <c r="AJ1392" s="4"/>
      <c r="AK1392" s="4"/>
      <c r="AL1392" s="4"/>
      <c r="AM1392" s="4"/>
      <c r="AN1392" s="4"/>
      <c r="AO1392" s="4"/>
      <c r="AP1392" s="4"/>
      <c r="AQ1392" s="4"/>
      <c r="AR1392" s="4"/>
      <c r="AS1392" s="4"/>
      <c r="AT1392" s="4"/>
      <c r="AU1392" s="4"/>
      <c r="AV1392" s="4"/>
      <c r="AW1392" s="4"/>
      <c r="AX1392" s="4"/>
      <c r="AY1392" s="4"/>
      <c r="AZ1392" s="4"/>
      <c r="BA1392" s="4"/>
      <c r="BB1392" s="4"/>
      <c r="BC1392" s="4"/>
      <c r="BD1392" s="4"/>
      <c r="BE1392" s="4"/>
      <c r="BF1392" s="4"/>
      <c r="BG1392" s="4"/>
      <c r="BH1392" s="4"/>
      <c r="BI1392" s="4"/>
      <c r="BJ1392" s="4"/>
      <c r="BK1392" s="4"/>
      <c r="BL1392" s="4"/>
      <c r="BM1392" s="4"/>
      <c r="BN1392" s="4"/>
      <c r="BO1392" s="4"/>
      <c r="BP1392" s="4"/>
      <c r="BQ1392" s="4"/>
      <c r="BR1392" s="4"/>
      <c r="BS1392" s="4"/>
      <c r="BT1392" s="4"/>
      <c r="BU1392" s="4"/>
      <c r="BV1392" s="4"/>
      <c r="BW1392" s="4"/>
      <c r="BX1392" s="4"/>
      <c r="BY1392" s="4"/>
      <c r="BZ1392" s="4"/>
      <c r="CA1392" s="4"/>
      <c r="CB1392" s="4"/>
      <c r="CC1392" s="4"/>
      <c r="CD1392" s="4"/>
      <c r="CE1392" s="4"/>
      <c r="CF1392" s="4"/>
      <c r="CG1392" s="4"/>
      <c r="CH1392" s="4"/>
      <c r="CI1392" s="4"/>
      <c r="CJ1392" s="4"/>
      <c r="CK1392" s="4"/>
      <c r="CL1392" s="4"/>
      <c r="CM1392" s="4"/>
      <c r="CN1392" s="4"/>
      <c r="CO1392" s="4"/>
      <c r="CP1392" s="4"/>
      <c r="CQ1392" s="4"/>
      <c r="CR1392" s="4"/>
      <c r="CS1392" s="4"/>
      <c r="CT1392" s="4"/>
      <c r="CU1392" s="4"/>
      <c r="CV1392" s="4"/>
      <c r="CW1392" s="4"/>
      <c r="CX1392" s="4"/>
      <c r="CY1392" s="4"/>
      <c r="CZ1392" s="4"/>
      <c r="DA1392" s="4"/>
      <c r="DB1392" s="4"/>
      <c r="DC1392" s="4"/>
      <c r="DD1392" s="4"/>
      <c r="DE1392" s="4"/>
      <c r="DF1392" s="4"/>
      <c r="DG1392" s="4"/>
      <c r="DH1392" s="4"/>
      <c r="DI1392" s="4"/>
      <c r="DJ1392" s="4"/>
      <c r="DK1392" s="4"/>
      <c r="DL1392" s="4"/>
      <c r="DM1392" s="4"/>
      <c r="DN1392" s="4"/>
      <c r="DO1392" s="4"/>
      <c r="DP1392" s="4"/>
      <c r="DQ1392" s="4"/>
      <c r="DR1392" s="4"/>
      <c r="DS1392" s="4"/>
    </row>
    <row r="1393">
      <c r="A1393" s="9">
        <f>IFERROR(__xludf.DUMMYFUNCTION("""COMPUTED_VALUE"""),45855.0)</f>
        <v>45855</v>
      </c>
      <c r="B1393" s="6" t="str">
        <f>IFERROR(__xludf.DUMMYFUNCTION("""COMPUTED_VALUE"""),"Restaurant")</f>
        <v>Restaurant</v>
      </c>
      <c r="C1393" s="7">
        <f>IFERROR(__xludf.DUMMYFUNCTION("""COMPUTED_VALUE"""),10800.0)</f>
        <v>10800</v>
      </c>
      <c r="D1393" s="6" t="str">
        <f>IFERROR(__xludf.DUMMYFUNCTION("""COMPUTED_VALUE"""),"Restaurant / Café")</f>
        <v>Restaurant / Café</v>
      </c>
      <c r="E1393" s="6" t="str">
        <f>IFERROR(__xludf.DUMMYFUNCTION("""COMPUTED_VALUE"""),"Virtual Wallet")</f>
        <v>Virtual Wallet</v>
      </c>
      <c r="F1393" s="6" t="s">
        <v>14</v>
      </c>
      <c r="G1393" s="8" t="str">
        <f t="shared" si="1"/>
        <v>202507</v>
      </c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  <c r="AA1393" s="4"/>
      <c r="AB1393" s="4"/>
      <c r="AC1393" s="4"/>
      <c r="AD1393" s="4"/>
      <c r="AE1393" s="4"/>
      <c r="AF1393" s="4"/>
      <c r="AG1393" s="4"/>
      <c r="AH1393" s="4"/>
      <c r="AI1393" s="4"/>
      <c r="AJ1393" s="4"/>
      <c r="AK1393" s="4"/>
      <c r="AL1393" s="4"/>
      <c r="AM1393" s="4"/>
      <c r="AN1393" s="4"/>
      <c r="AO1393" s="4"/>
      <c r="AP1393" s="4"/>
      <c r="AQ1393" s="4"/>
      <c r="AR1393" s="4"/>
      <c r="AS1393" s="4"/>
      <c r="AT1393" s="4"/>
      <c r="AU1393" s="4"/>
      <c r="AV1393" s="4"/>
      <c r="AW1393" s="4"/>
      <c r="AX1393" s="4"/>
      <c r="AY1393" s="4"/>
      <c r="AZ1393" s="4"/>
      <c r="BA1393" s="4"/>
      <c r="BB1393" s="4"/>
      <c r="BC1393" s="4"/>
      <c r="BD1393" s="4"/>
      <c r="BE1393" s="4"/>
      <c r="BF1393" s="4"/>
      <c r="BG1393" s="4"/>
      <c r="BH1393" s="4"/>
      <c r="BI1393" s="4"/>
      <c r="BJ1393" s="4"/>
      <c r="BK1393" s="4"/>
      <c r="BL1393" s="4"/>
      <c r="BM1393" s="4"/>
      <c r="BN1393" s="4"/>
      <c r="BO1393" s="4"/>
      <c r="BP1393" s="4"/>
      <c r="BQ1393" s="4"/>
      <c r="BR1393" s="4"/>
      <c r="BS1393" s="4"/>
      <c r="BT1393" s="4"/>
      <c r="BU1393" s="4"/>
      <c r="BV1393" s="4"/>
      <c r="BW1393" s="4"/>
      <c r="BX1393" s="4"/>
      <c r="BY1393" s="4"/>
      <c r="BZ1393" s="4"/>
      <c r="CA1393" s="4"/>
      <c r="CB1393" s="4"/>
      <c r="CC1393" s="4"/>
      <c r="CD1393" s="4"/>
      <c r="CE1393" s="4"/>
      <c r="CF1393" s="4"/>
      <c r="CG1393" s="4"/>
      <c r="CH1393" s="4"/>
      <c r="CI1393" s="4"/>
      <c r="CJ1393" s="4"/>
      <c r="CK1393" s="4"/>
      <c r="CL1393" s="4"/>
      <c r="CM1393" s="4"/>
      <c r="CN1393" s="4"/>
      <c r="CO1393" s="4"/>
      <c r="CP1393" s="4"/>
      <c r="CQ1393" s="4"/>
      <c r="CR1393" s="4"/>
      <c r="CS1393" s="4"/>
      <c r="CT1393" s="4"/>
      <c r="CU1393" s="4"/>
      <c r="CV1393" s="4"/>
      <c r="CW1393" s="4"/>
      <c r="CX1393" s="4"/>
      <c r="CY1393" s="4"/>
      <c r="CZ1393" s="4"/>
      <c r="DA1393" s="4"/>
      <c r="DB1393" s="4"/>
      <c r="DC1393" s="4"/>
      <c r="DD1393" s="4"/>
      <c r="DE1393" s="4"/>
      <c r="DF1393" s="4"/>
      <c r="DG1393" s="4"/>
      <c r="DH1393" s="4"/>
      <c r="DI1393" s="4"/>
      <c r="DJ1393" s="4"/>
      <c r="DK1393" s="4"/>
      <c r="DL1393" s="4"/>
      <c r="DM1393" s="4"/>
      <c r="DN1393" s="4"/>
      <c r="DO1393" s="4"/>
      <c r="DP1393" s="4"/>
      <c r="DQ1393" s="4"/>
      <c r="DR1393" s="4"/>
      <c r="DS1393" s="4"/>
    </row>
    <row r="1394">
      <c r="A1394" s="9">
        <f>IFERROR(__xludf.DUMMYFUNCTION("""COMPUTED_VALUE"""),45855.0)</f>
        <v>45855</v>
      </c>
      <c r="B1394" s="6" t="str">
        <f>IFERROR(__xludf.DUMMYFUNCTION("""COMPUTED_VALUE"""),"Water Bill (AySA)")</f>
        <v>Water Bill (AySA)</v>
      </c>
      <c r="C1394" s="7">
        <f>IFERROR(__xludf.DUMMYFUNCTION("""COMPUTED_VALUE"""),13708.0)</f>
        <v>13708</v>
      </c>
      <c r="D1394" s="6" t="str">
        <f>IFERROR(__xludf.DUMMYFUNCTION("""COMPUTED_VALUE"""),"Basic Services")</f>
        <v>Basic Services</v>
      </c>
      <c r="E1394" s="6" t="str">
        <f>IFERROR(__xludf.DUMMYFUNCTION("""COMPUTED_VALUE"""),"Split Payment")</f>
        <v>Split Payment</v>
      </c>
      <c r="F1394" s="6" t="s">
        <v>13</v>
      </c>
      <c r="G1394" s="8" t="str">
        <f t="shared" si="1"/>
        <v>202507</v>
      </c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  <c r="AA1394" s="4"/>
      <c r="AB1394" s="4"/>
      <c r="AC1394" s="4"/>
      <c r="AD1394" s="4"/>
      <c r="AE1394" s="4"/>
      <c r="AF1394" s="4"/>
      <c r="AG1394" s="4"/>
      <c r="AH1394" s="4"/>
      <c r="AI1394" s="4"/>
      <c r="AJ1394" s="4"/>
      <c r="AK1394" s="4"/>
      <c r="AL1394" s="4"/>
      <c r="AM1394" s="4"/>
      <c r="AN1394" s="4"/>
      <c r="AO1394" s="4"/>
      <c r="AP1394" s="4"/>
      <c r="AQ1394" s="4"/>
      <c r="AR1394" s="4"/>
      <c r="AS1394" s="4"/>
      <c r="AT1394" s="4"/>
      <c r="AU1394" s="4"/>
      <c r="AV1394" s="4"/>
      <c r="AW1394" s="4"/>
      <c r="AX1394" s="4"/>
      <c r="AY1394" s="4"/>
      <c r="AZ1394" s="4"/>
      <c r="BA1394" s="4"/>
      <c r="BB1394" s="4"/>
      <c r="BC1394" s="4"/>
      <c r="BD1394" s="4"/>
      <c r="BE1394" s="4"/>
      <c r="BF1394" s="4"/>
      <c r="BG1394" s="4"/>
      <c r="BH1394" s="4"/>
      <c r="BI1394" s="4"/>
      <c r="BJ1394" s="4"/>
      <c r="BK1394" s="4"/>
      <c r="BL1394" s="4"/>
      <c r="BM1394" s="4"/>
      <c r="BN1394" s="4"/>
      <c r="BO1394" s="4"/>
      <c r="BP1394" s="4"/>
      <c r="BQ1394" s="4"/>
      <c r="BR1394" s="4"/>
      <c r="BS1394" s="4"/>
      <c r="BT1394" s="4"/>
      <c r="BU1394" s="4"/>
      <c r="BV1394" s="4"/>
      <c r="BW1394" s="4"/>
      <c r="BX1394" s="4"/>
      <c r="BY1394" s="4"/>
      <c r="BZ1394" s="4"/>
      <c r="CA1394" s="4"/>
      <c r="CB1394" s="4"/>
      <c r="CC1394" s="4"/>
      <c r="CD1394" s="4"/>
      <c r="CE1394" s="4"/>
      <c r="CF1394" s="4"/>
      <c r="CG1394" s="4"/>
      <c r="CH1394" s="4"/>
      <c r="CI1394" s="4"/>
      <c r="CJ1394" s="4"/>
      <c r="CK1394" s="4"/>
      <c r="CL1394" s="4"/>
      <c r="CM1394" s="4"/>
      <c r="CN1394" s="4"/>
      <c r="CO1394" s="4"/>
      <c r="CP1394" s="4"/>
      <c r="CQ1394" s="4"/>
      <c r="CR1394" s="4"/>
      <c r="CS1394" s="4"/>
      <c r="CT1394" s="4"/>
      <c r="CU1394" s="4"/>
      <c r="CV1394" s="4"/>
      <c r="CW1394" s="4"/>
      <c r="CX1394" s="4"/>
      <c r="CY1394" s="4"/>
      <c r="CZ1394" s="4"/>
      <c r="DA1394" s="4"/>
      <c r="DB1394" s="4"/>
      <c r="DC1394" s="4"/>
      <c r="DD1394" s="4"/>
      <c r="DE1394" s="4"/>
      <c r="DF1394" s="4"/>
      <c r="DG1394" s="4"/>
      <c r="DH1394" s="4"/>
      <c r="DI1394" s="4"/>
      <c r="DJ1394" s="4"/>
      <c r="DK1394" s="4"/>
      <c r="DL1394" s="4"/>
      <c r="DM1394" s="4"/>
      <c r="DN1394" s="4"/>
      <c r="DO1394" s="4"/>
      <c r="DP1394" s="4"/>
      <c r="DQ1394" s="4"/>
      <c r="DR1394" s="4"/>
      <c r="DS1394" s="4"/>
    </row>
    <row r="1395">
      <c r="A1395" s="9">
        <f>IFERROR(__xludf.DUMMYFUNCTION("""COMPUTED_VALUE"""),45856.0)</f>
        <v>45856</v>
      </c>
      <c r="B1395" s="6" t="str">
        <f>IFERROR(__xludf.DUMMYFUNCTION("""COMPUTED_VALUE"""),"Car Insurance")</f>
        <v>Car Insurance</v>
      </c>
      <c r="C1395" s="7">
        <f>IFERROR(__xludf.DUMMYFUNCTION("""COMPUTED_VALUE"""),1424.0)</f>
        <v>1424</v>
      </c>
      <c r="D1395" s="6" t="str">
        <f>IFERROR(__xludf.DUMMYFUNCTION("""COMPUTED_VALUE"""),"Car Expenses")</f>
        <v>Car Expenses</v>
      </c>
      <c r="E1395" s="6" t="str">
        <f>IFERROR(__xludf.DUMMYFUNCTION("""COMPUTED_VALUE"""),"Credit Card")</f>
        <v>Credit Card</v>
      </c>
      <c r="F1395" s="6" t="s">
        <v>9</v>
      </c>
      <c r="G1395" s="8" t="str">
        <f t="shared" si="1"/>
        <v>202507</v>
      </c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  <c r="AA1395" s="4"/>
      <c r="AB1395" s="4"/>
      <c r="AC1395" s="4"/>
      <c r="AD1395" s="4"/>
      <c r="AE1395" s="4"/>
      <c r="AF1395" s="4"/>
      <c r="AG1395" s="4"/>
      <c r="AH1395" s="4"/>
      <c r="AI1395" s="4"/>
      <c r="AJ1395" s="4"/>
      <c r="AK1395" s="4"/>
      <c r="AL1395" s="4"/>
      <c r="AM1395" s="4"/>
      <c r="AN1395" s="4"/>
      <c r="AO1395" s="4"/>
      <c r="AP1395" s="4"/>
      <c r="AQ1395" s="4"/>
      <c r="AR1395" s="4"/>
      <c r="AS1395" s="4"/>
      <c r="AT1395" s="4"/>
      <c r="AU1395" s="4"/>
      <c r="AV1395" s="4"/>
      <c r="AW1395" s="4"/>
      <c r="AX1395" s="4"/>
      <c r="AY1395" s="4"/>
      <c r="AZ1395" s="4"/>
      <c r="BA1395" s="4"/>
      <c r="BB1395" s="4"/>
      <c r="BC1395" s="4"/>
      <c r="BD1395" s="4"/>
      <c r="BE1395" s="4"/>
      <c r="BF1395" s="4"/>
      <c r="BG1395" s="4"/>
      <c r="BH1395" s="4"/>
      <c r="BI1395" s="4"/>
      <c r="BJ1395" s="4"/>
      <c r="BK1395" s="4"/>
      <c r="BL1395" s="4"/>
      <c r="BM1395" s="4"/>
      <c r="BN1395" s="4"/>
      <c r="BO1395" s="4"/>
      <c r="BP1395" s="4"/>
      <c r="BQ1395" s="4"/>
      <c r="BR1395" s="4"/>
      <c r="BS1395" s="4"/>
      <c r="BT1395" s="4"/>
      <c r="BU1395" s="4"/>
      <c r="BV1395" s="4"/>
      <c r="BW1395" s="4"/>
      <c r="BX1395" s="4"/>
      <c r="BY1395" s="4"/>
      <c r="BZ1395" s="4"/>
      <c r="CA1395" s="4"/>
      <c r="CB1395" s="4"/>
      <c r="CC1395" s="4"/>
      <c r="CD1395" s="4"/>
      <c r="CE1395" s="4"/>
      <c r="CF1395" s="4"/>
      <c r="CG1395" s="4"/>
      <c r="CH1395" s="4"/>
      <c r="CI1395" s="4"/>
      <c r="CJ1395" s="4"/>
      <c r="CK1395" s="4"/>
      <c r="CL1395" s="4"/>
      <c r="CM1395" s="4"/>
      <c r="CN1395" s="4"/>
      <c r="CO1395" s="4"/>
      <c r="CP1395" s="4"/>
      <c r="CQ1395" s="4"/>
      <c r="CR1395" s="4"/>
      <c r="CS1395" s="4"/>
      <c r="CT1395" s="4"/>
      <c r="CU1395" s="4"/>
      <c r="CV1395" s="4"/>
      <c r="CW1395" s="4"/>
      <c r="CX1395" s="4"/>
      <c r="CY1395" s="4"/>
      <c r="CZ1395" s="4"/>
      <c r="DA1395" s="4"/>
      <c r="DB1395" s="4"/>
      <c r="DC1395" s="4"/>
      <c r="DD1395" s="4"/>
      <c r="DE1395" s="4"/>
      <c r="DF1395" s="4"/>
      <c r="DG1395" s="4"/>
      <c r="DH1395" s="4"/>
      <c r="DI1395" s="4"/>
      <c r="DJ1395" s="4"/>
      <c r="DK1395" s="4"/>
      <c r="DL1395" s="4"/>
      <c r="DM1395" s="4"/>
      <c r="DN1395" s="4"/>
      <c r="DO1395" s="4"/>
      <c r="DP1395" s="4"/>
      <c r="DQ1395" s="4"/>
      <c r="DR1395" s="4"/>
      <c r="DS1395" s="4"/>
    </row>
    <row r="1396">
      <c r="A1396" s="9">
        <f>IFERROR(__xludf.DUMMYFUNCTION("""COMPUTED_VALUE"""),45856.0)</f>
        <v>45856</v>
      </c>
      <c r="B1396" s="6" t="str">
        <f>IFERROR(__xludf.DUMMYFUNCTION("""COMPUTED_VALUE"""),"Gasoline")</f>
        <v>Gasoline</v>
      </c>
      <c r="C1396" s="7">
        <f>IFERROR(__xludf.DUMMYFUNCTION("""COMPUTED_VALUE"""),16500.0)</f>
        <v>16500</v>
      </c>
      <c r="D1396" s="6" t="str">
        <f>IFERROR(__xludf.DUMMYFUNCTION("""COMPUTED_VALUE"""),"Car Expenses")</f>
        <v>Car Expenses</v>
      </c>
      <c r="E1396" s="6" t="str">
        <f>IFERROR(__xludf.DUMMYFUNCTION("""COMPUTED_VALUE"""),"Virtual Wallet")</f>
        <v>Virtual Wallet</v>
      </c>
      <c r="F1396" s="6" t="s">
        <v>9</v>
      </c>
      <c r="G1396" s="8" t="str">
        <f t="shared" si="1"/>
        <v>202507</v>
      </c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  <c r="AA1396" s="4"/>
      <c r="AB1396" s="4"/>
      <c r="AC1396" s="4"/>
      <c r="AD1396" s="4"/>
      <c r="AE1396" s="4"/>
      <c r="AF1396" s="4"/>
      <c r="AG1396" s="4"/>
      <c r="AH1396" s="4"/>
      <c r="AI1396" s="4"/>
      <c r="AJ1396" s="4"/>
      <c r="AK1396" s="4"/>
      <c r="AL1396" s="4"/>
      <c r="AM1396" s="4"/>
      <c r="AN1396" s="4"/>
      <c r="AO1396" s="4"/>
      <c r="AP1396" s="4"/>
      <c r="AQ1396" s="4"/>
      <c r="AR1396" s="4"/>
      <c r="AS1396" s="4"/>
      <c r="AT1396" s="4"/>
      <c r="AU1396" s="4"/>
      <c r="AV1396" s="4"/>
      <c r="AW1396" s="4"/>
      <c r="AX1396" s="4"/>
      <c r="AY1396" s="4"/>
      <c r="AZ1396" s="4"/>
      <c r="BA1396" s="4"/>
      <c r="BB1396" s="4"/>
      <c r="BC1396" s="4"/>
      <c r="BD1396" s="4"/>
      <c r="BE1396" s="4"/>
      <c r="BF1396" s="4"/>
      <c r="BG1396" s="4"/>
      <c r="BH1396" s="4"/>
      <c r="BI1396" s="4"/>
      <c r="BJ1396" s="4"/>
      <c r="BK1396" s="4"/>
      <c r="BL1396" s="4"/>
      <c r="BM1396" s="4"/>
      <c r="BN1396" s="4"/>
      <c r="BO1396" s="4"/>
      <c r="BP1396" s="4"/>
      <c r="BQ1396" s="4"/>
      <c r="BR1396" s="4"/>
      <c r="BS1396" s="4"/>
      <c r="BT1396" s="4"/>
      <c r="BU1396" s="4"/>
      <c r="BV1396" s="4"/>
      <c r="BW1396" s="4"/>
      <c r="BX1396" s="4"/>
      <c r="BY1396" s="4"/>
      <c r="BZ1396" s="4"/>
      <c r="CA1396" s="4"/>
      <c r="CB1396" s="4"/>
      <c r="CC1396" s="4"/>
      <c r="CD1396" s="4"/>
      <c r="CE1396" s="4"/>
      <c r="CF1396" s="4"/>
      <c r="CG1396" s="4"/>
      <c r="CH1396" s="4"/>
      <c r="CI1396" s="4"/>
      <c r="CJ1396" s="4"/>
      <c r="CK1396" s="4"/>
      <c r="CL1396" s="4"/>
      <c r="CM1396" s="4"/>
      <c r="CN1396" s="4"/>
      <c r="CO1396" s="4"/>
      <c r="CP1396" s="4"/>
      <c r="CQ1396" s="4"/>
      <c r="CR1396" s="4"/>
      <c r="CS1396" s="4"/>
      <c r="CT1396" s="4"/>
      <c r="CU1396" s="4"/>
      <c r="CV1396" s="4"/>
      <c r="CW1396" s="4"/>
      <c r="CX1396" s="4"/>
      <c r="CY1396" s="4"/>
      <c r="CZ1396" s="4"/>
      <c r="DA1396" s="4"/>
      <c r="DB1396" s="4"/>
      <c r="DC1396" s="4"/>
      <c r="DD1396" s="4"/>
      <c r="DE1396" s="4"/>
      <c r="DF1396" s="4"/>
      <c r="DG1396" s="4"/>
      <c r="DH1396" s="4"/>
      <c r="DI1396" s="4"/>
      <c r="DJ1396" s="4"/>
      <c r="DK1396" s="4"/>
      <c r="DL1396" s="4"/>
      <c r="DM1396" s="4"/>
      <c r="DN1396" s="4"/>
      <c r="DO1396" s="4"/>
      <c r="DP1396" s="4"/>
      <c r="DQ1396" s="4"/>
      <c r="DR1396" s="4"/>
      <c r="DS1396" s="4"/>
    </row>
    <row r="1397">
      <c r="A1397" s="9">
        <f>IFERROR(__xludf.DUMMYFUNCTION("""COMPUTED_VALUE"""),45856.0)</f>
        <v>45856</v>
      </c>
      <c r="B1397" s="6" t="str">
        <f>IFERROR(__xludf.DUMMYFUNCTION("""COMPUTED_VALUE"""),"Groceries")</f>
        <v>Groceries</v>
      </c>
      <c r="C1397" s="7">
        <f>IFERROR(__xludf.DUMMYFUNCTION("""COMPUTED_VALUE"""),3550.0)</f>
        <v>3550</v>
      </c>
      <c r="D1397" s="6" t="str">
        <f>IFERROR(__xludf.DUMMYFUNCTION("""COMPUTED_VALUE"""),"Groceries")</f>
        <v>Groceries</v>
      </c>
      <c r="E1397" s="6" t="str">
        <f>IFERROR(__xludf.DUMMYFUNCTION("""COMPUTED_VALUE"""),"Split Payment")</f>
        <v>Split Payment</v>
      </c>
      <c r="F1397" s="6" t="s">
        <v>7</v>
      </c>
      <c r="G1397" s="8" t="str">
        <f t="shared" si="1"/>
        <v>202507</v>
      </c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  <c r="AA1397" s="4"/>
      <c r="AB1397" s="4"/>
      <c r="AC1397" s="4"/>
      <c r="AD1397" s="4"/>
      <c r="AE1397" s="4"/>
      <c r="AF1397" s="4"/>
      <c r="AG1397" s="4"/>
      <c r="AH1397" s="4"/>
      <c r="AI1397" s="4"/>
      <c r="AJ1397" s="4"/>
      <c r="AK1397" s="4"/>
      <c r="AL1397" s="4"/>
      <c r="AM1397" s="4"/>
      <c r="AN1397" s="4"/>
      <c r="AO1397" s="4"/>
      <c r="AP1397" s="4"/>
      <c r="AQ1397" s="4"/>
      <c r="AR1397" s="4"/>
      <c r="AS1397" s="4"/>
      <c r="AT1397" s="4"/>
      <c r="AU1397" s="4"/>
      <c r="AV1397" s="4"/>
      <c r="AW1397" s="4"/>
      <c r="AX1397" s="4"/>
      <c r="AY1397" s="4"/>
      <c r="AZ1397" s="4"/>
      <c r="BA1397" s="4"/>
      <c r="BB1397" s="4"/>
      <c r="BC1397" s="4"/>
      <c r="BD1397" s="4"/>
      <c r="BE1397" s="4"/>
      <c r="BF1397" s="4"/>
      <c r="BG1397" s="4"/>
      <c r="BH1397" s="4"/>
      <c r="BI1397" s="4"/>
      <c r="BJ1397" s="4"/>
      <c r="BK1397" s="4"/>
      <c r="BL1397" s="4"/>
      <c r="BM1397" s="4"/>
      <c r="BN1397" s="4"/>
      <c r="BO1397" s="4"/>
      <c r="BP1397" s="4"/>
      <c r="BQ1397" s="4"/>
      <c r="BR1397" s="4"/>
      <c r="BS1397" s="4"/>
      <c r="BT1397" s="4"/>
      <c r="BU1397" s="4"/>
      <c r="BV1397" s="4"/>
      <c r="BW1397" s="4"/>
      <c r="BX1397" s="4"/>
      <c r="BY1397" s="4"/>
      <c r="BZ1397" s="4"/>
      <c r="CA1397" s="4"/>
      <c r="CB1397" s="4"/>
      <c r="CC1397" s="4"/>
      <c r="CD1397" s="4"/>
      <c r="CE1397" s="4"/>
      <c r="CF1397" s="4"/>
      <c r="CG1397" s="4"/>
      <c r="CH1397" s="4"/>
      <c r="CI1397" s="4"/>
      <c r="CJ1397" s="4"/>
      <c r="CK1397" s="4"/>
      <c r="CL1397" s="4"/>
      <c r="CM1397" s="4"/>
      <c r="CN1397" s="4"/>
      <c r="CO1397" s="4"/>
      <c r="CP1397" s="4"/>
      <c r="CQ1397" s="4"/>
      <c r="CR1397" s="4"/>
      <c r="CS1397" s="4"/>
      <c r="CT1397" s="4"/>
      <c r="CU1397" s="4"/>
      <c r="CV1397" s="4"/>
      <c r="CW1397" s="4"/>
      <c r="CX1397" s="4"/>
      <c r="CY1397" s="4"/>
      <c r="CZ1397" s="4"/>
      <c r="DA1397" s="4"/>
      <c r="DB1397" s="4"/>
      <c r="DC1397" s="4"/>
      <c r="DD1397" s="4"/>
      <c r="DE1397" s="4"/>
      <c r="DF1397" s="4"/>
      <c r="DG1397" s="4"/>
      <c r="DH1397" s="4"/>
      <c r="DI1397" s="4"/>
      <c r="DJ1397" s="4"/>
      <c r="DK1397" s="4"/>
      <c r="DL1397" s="4"/>
      <c r="DM1397" s="4"/>
      <c r="DN1397" s="4"/>
      <c r="DO1397" s="4"/>
      <c r="DP1397" s="4"/>
      <c r="DQ1397" s="4"/>
      <c r="DR1397" s="4"/>
      <c r="DS1397" s="4"/>
    </row>
    <row r="1398">
      <c r="A1398" s="9">
        <f>IFERROR(__xludf.DUMMYFUNCTION("""COMPUTED_VALUE"""),45856.0)</f>
        <v>45856</v>
      </c>
      <c r="B1398" s="6" t="str">
        <f>IFERROR(__xludf.DUMMYFUNCTION("""COMPUTED_VALUE"""),"Pets")</f>
        <v>Pets</v>
      </c>
      <c r="C1398" s="7">
        <f>IFERROR(__xludf.DUMMYFUNCTION("""COMPUTED_VALUE"""),4365.0)</f>
        <v>4365</v>
      </c>
      <c r="D1398" s="6" t="str">
        <f>IFERROR(__xludf.DUMMYFUNCTION("""COMPUTED_VALUE"""),"Pets")</f>
        <v>Pets</v>
      </c>
      <c r="E1398" s="6" t="str">
        <f>IFERROR(__xludf.DUMMYFUNCTION("""COMPUTED_VALUE"""),"Virtual Wallet")</f>
        <v>Virtual Wallet</v>
      </c>
      <c r="F1398" s="6" t="s">
        <v>7</v>
      </c>
      <c r="G1398" s="8" t="str">
        <f t="shared" si="1"/>
        <v>202507</v>
      </c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  <c r="AA1398" s="4"/>
      <c r="AB1398" s="4"/>
      <c r="AC1398" s="4"/>
      <c r="AD1398" s="4"/>
      <c r="AE1398" s="4"/>
      <c r="AF1398" s="4"/>
      <c r="AG1398" s="4"/>
      <c r="AH1398" s="4"/>
      <c r="AI1398" s="4"/>
      <c r="AJ1398" s="4"/>
      <c r="AK1398" s="4"/>
      <c r="AL1398" s="4"/>
      <c r="AM1398" s="4"/>
      <c r="AN1398" s="4"/>
      <c r="AO1398" s="4"/>
      <c r="AP1398" s="4"/>
      <c r="AQ1398" s="4"/>
      <c r="AR1398" s="4"/>
      <c r="AS1398" s="4"/>
      <c r="AT1398" s="4"/>
      <c r="AU1398" s="4"/>
      <c r="AV1398" s="4"/>
      <c r="AW1398" s="4"/>
      <c r="AX1398" s="4"/>
      <c r="AY1398" s="4"/>
      <c r="AZ1398" s="4"/>
      <c r="BA1398" s="4"/>
      <c r="BB1398" s="4"/>
      <c r="BC1398" s="4"/>
      <c r="BD1398" s="4"/>
      <c r="BE1398" s="4"/>
      <c r="BF1398" s="4"/>
      <c r="BG1398" s="4"/>
      <c r="BH1398" s="4"/>
      <c r="BI1398" s="4"/>
      <c r="BJ1398" s="4"/>
      <c r="BK1398" s="4"/>
      <c r="BL1398" s="4"/>
      <c r="BM1398" s="4"/>
      <c r="BN1398" s="4"/>
      <c r="BO1398" s="4"/>
      <c r="BP1398" s="4"/>
      <c r="BQ1398" s="4"/>
      <c r="BR1398" s="4"/>
      <c r="BS1398" s="4"/>
      <c r="BT1398" s="4"/>
      <c r="BU1398" s="4"/>
      <c r="BV1398" s="4"/>
      <c r="BW1398" s="4"/>
      <c r="BX1398" s="4"/>
      <c r="BY1398" s="4"/>
      <c r="BZ1398" s="4"/>
      <c r="CA1398" s="4"/>
      <c r="CB1398" s="4"/>
      <c r="CC1398" s="4"/>
      <c r="CD1398" s="4"/>
      <c r="CE1398" s="4"/>
      <c r="CF1398" s="4"/>
      <c r="CG1398" s="4"/>
      <c r="CH1398" s="4"/>
      <c r="CI1398" s="4"/>
      <c r="CJ1398" s="4"/>
      <c r="CK1398" s="4"/>
      <c r="CL1398" s="4"/>
      <c r="CM1398" s="4"/>
      <c r="CN1398" s="4"/>
      <c r="CO1398" s="4"/>
      <c r="CP1398" s="4"/>
      <c r="CQ1398" s="4"/>
      <c r="CR1398" s="4"/>
      <c r="CS1398" s="4"/>
      <c r="CT1398" s="4"/>
      <c r="CU1398" s="4"/>
      <c r="CV1398" s="4"/>
      <c r="CW1398" s="4"/>
      <c r="CX1398" s="4"/>
      <c r="CY1398" s="4"/>
      <c r="CZ1398" s="4"/>
      <c r="DA1398" s="4"/>
      <c r="DB1398" s="4"/>
      <c r="DC1398" s="4"/>
      <c r="DD1398" s="4"/>
      <c r="DE1398" s="4"/>
      <c r="DF1398" s="4"/>
      <c r="DG1398" s="4"/>
      <c r="DH1398" s="4"/>
      <c r="DI1398" s="4"/>
      <c r="DJ1398" s="4"/>
      <c r="DK1398" s="4"/>
      <c r="DL1398" s="4"/>
      <c r="DM1398" s="4"/>
      <c r="DN1398" s="4"/>
      <c r="DO1398" s="4"/>
      <c r="DP1398" s="4"/>
      <c r="DQ1398" s="4"/>
      <c r="DR1398" s="4"/>
      <c r="DS1398" s="4"/>
    </row>
    <row r="1399">
      <c r="A1399" s="9">
        <f>IFERROR(__xludf.DUMMYFUNCTION("""COMPUTED_VALUE"""),45857.0)</f>
        <v>45857</v>
      </c>
      <c r="B1399" s="6" t="str">
        <f>IFERROR(__xludf.DUMMYFUNCTION("""COMPUTED_VALUE"""),"Streaming Services")</f>
        <v>Streaming Services</v>
      </c>
      <c r="C1399" s="7">
        <f>IFERROR(__xludf.DUMMYFUNCTION("""COMPUTED_VALUE"""),7497.0)</f>
        <v>7497</v>
      </c>
      <c r="D1399" s="6" t="str">
        <f>IFERROR(__xludf.DUMMYFUNCTION("""COMPUTED_VALUE"""),"Streaming Services")</f>
        <v>Streaming Services</v>
      </c>
      <c r="E1399" s="6" t="str">
        <f>IFERROR(__xludf.DUMMYFUNCTION("""COMPUTED_VALUE"""),"Credit Card")</f>
        <v>Credit Card</v>
      </c>
      <c r="F1399" s="6" t="s">
        <v>12</v>
      </c>
      <c r="G1399" s="8" t="str">
        <f t="shared" si="1"/>
        <v>202507</v>
      </c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  <c r="AA1399" s="4"/>
      <c r="AB1399" s="4"/>
      <c r="AC1399" s="4"/>
      <c r="AD1399" s="4"/>
      <c r="AE1399" s="4"/>
      <c r="AF1399" s="4"/>
      <c r="AG1399" s="4"/>
      <c r="AH1399" s="4"/>
      <c r="AI1399" s="4"/>
      <c r="AJ1399" s="4"/>
      <c r="AK1399" s="4"/>
      <c r="AL1399" s="4"/>
      <c r="AM1399" s="4"/>
      <c r="AN1399" s="4"/>
      <c r="AO1399" s="4"/>
      <c r="AP1399" s="4"/>
      <c r="AQ1399" s="4"/>
      <c r="AR1399" s="4"/>
      <c r="AS1399" s="4"/>
      <c r="AT1399" s="4"/>
      <c r="AU1399" s="4"/>
      <c r="AV1399" s="4"/>
      <c r="AW1399" s="4"/>
      <c r="AX1399" s="4"/>
      <c r="AY1399" s="4"/>
      <c r="AZ1399" s="4"/>
      <c r="BA1399" s="4"/>
      <c r="BB1399" s="4"/>
      <c r="BC1399" s="4"/>
      <c r="BD1399" s="4"/>
      <c r="BE1399" s="4"/>
      <c r="BF1399" s="4"/>
      <c r="BG1399" s="4"/>
      <c r="BH1399" s="4"/>
      <c r="BI1399" s="4"/>
      <c r="BJ1399" s="4"/>
      <c r="BK1399" s="4"/>
      <c r="BL1399" s="4"/>
      <c r="BM1399" s="4"/>
      <c r="BN1399" s="4"/>
      <c r="BO1399" s="4"/>
      <c r="BP1399" s="4"/>
      <c r="BQ1399" s="4"/>
      <c r="BR1399" s="4"/>
      <c r="BS1399" s="4"/>
      <c r="BT1399" s="4"/>
      <c r="BU1399" s="4"/>
      <c r="BV1399" s="4"/>
      <c r="BW1399" s="4"/>
      <c r="BX1399" s="4"/>
      <c r="BY1399" s="4"/>
      <c r="BZ1399" s="4"/>
      <c r="CA1399" s="4"/>
      <c r="CB1399" s="4"/>
      <c r="CC1399" s="4"/>
      <c r="CD1399" s="4"/>
      <c r="CE1399" s="4"/>
      <c r="CF1399" s="4"/>
      <c r="CG1399" s="4"/>
      <c r="CH1399" s="4"/>
      <c r="CI1399" s="4"/>
      <c r="CJ1399" s="4"/>
      <c r="CK1399" s="4"/>
      <c r="CL1399" s="4"/>
      <c r="CM1399" s="4"/>
      <c r="CN1399" s="4"/>
      <c r="CO1399" s="4"/>
      <c r="CP1399" s="4"/>
      <c r="CQ1399" s="4"/>
      <c r="CR1399" s="4"/>
      <c r="CS1399" s="4"/>
      <c r="CT1399" s="4"/>
      <c r="CU1399" s="4"/>
      <c r="CV1399" s="4"/>
      <c r="CW1399" s="4"/>
      <c r="CX1399" s="4"/>
      <c r="CY1399" s="4"/>
      <c r="CZ1399" s="4"/>
      <c r="DA1399" s="4"/>
      <c r="DB1399" s="4"/>
      <c r="DC1399" s="4"/>
      <c r="DD1399" s="4"/>
      <c r="DE1399" s="4"/>
      <c r="DF1399" s="4"/>
      <c r="DG1399" s="4"/>
      <c r="DH1399" s="4"/>
      <c r="DI1399" s="4"/>
      <c r="DJ1399" s="4"/>
      <c r="DK1399" s="4"/>
      <c r="DL1399" s="4"/>
      <c r="DM1399" s="4"/>
      <c r="DN1399" s="4"/>
      <c r="DO1399" s="4"/>
      <c r="DP1399" s="4"/>
      <c r="DQ1399" s="4"/>
      <c r="DR1399" s="4"/>
      <c r="DS1399" s="4"/>
    </row>
    <row r="1400">
      <c r="A1400" s="9">
        <f>IFERROR(__xludf.DUMMYFUNCTION("""COMPUTED_VALUE"""),45857.0)</f>
        <v>45857</v>
      </c>
      <c r="B1400" s="6" t="str">
        <f>IFERROR(__xludf.DUMMYFUNCTION("""COMPUTED_VALUE"""),"Streaming Services")</f>
        <v>Streaming Services</v>
      </c>
      <c r="C1400" s="7">
        <f>IFERROR(__xludf.DUMMYFUNCTION("""COMPUTED_VALUE"""),7497.0)</f>
        <v>7497</v>
      </c>
      <c r="D1400" s="6" t="str">
        <f>IFERROR(__xludf.DUMMYFUNCTION("""COMPUTED_VALUE"""),"Streaming Services")</f>
        <v>Streaming Services</v>
      </c>
      <c r="E1400" s="6" t="str">
        <f>IFERROR(__xludf.DUMMYFUNCTION("""COMPUTED_VALUE"""),"Credit Card")</f>
        <v>Credit Card</v>
      </c>
      <c r="F1400" s="6" t="s">
        <v>12</v>
      </c>
      <c r="G1400" s="8" t="str">
        <f t="shared" si="1"/>
        <v>202507</v>
      </c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  <c r="AA1400" s="4"/>
      <c r="AB1400" s="4"/>
      <c r="AC1400" s="4"/>
      <c r="AD1400" s="4"/>
      <c r="AE1400" s="4"/>
      <c r="AF1400" s="4"/>
      <c r="AG1400" s="4"/>
      <c r="AH1400" s="4"/>
      <c r="AI1400" s="4"/>
      <c r="AJ1400" s="4"/>
      <c r="AK1400" s="4"/>
      <c r="AL1400" s="4"/>
      <c r="AM1400" s="4"/>
      <c r="AN1400" s="4"/>
      <c r="AO1400" s="4"/>
      <c r="AP1400" s="4"/>
      <c r="AQ1400" s="4"/>
      <c r="AR1400" s="4"/>
      <c r="AS1400" s="4"/>
      <c r="AT1400" s="4"/>
      <c r="AU1400" s="4"/>
      <c r="AV1400" s="4"/>
      <c r="AW1400" s="4"/>
      <c r="AX1400" s="4"/>
      <c r="AY1400" s="4"/>
      <c r="AZ1400" s="4"/>
      <c r="BA1400" s="4"/>
      <c r="BB1400" s="4"/>
      <c r="BC1400" s="4"/>
      <c r="BD1400" s="4"/>
      <c r="BE1400" s="4"/>
      <c r="BF1400" s="4"/>
      <c r="BG1400" s="4"/>
      <c r="BH1400" s="4"/>
      <c r="BI1400" s="4"/>
      <c r="BJ1400" s="4"/>
      <c r="BK1400" s="4"/>
      <c r="BL1400" s="4"/>
      <c r="BM1400" s="4"/>
      <c r="BN1400" s="4"/>
      <c r="BO1400" s="4"/>
      <c r="BP1400" s="4"/>
      <c r="BQ1400" s="4"/>
      <c r="BR1400" s="4"/>
      <c r="BS1400" s="4"/>
      <c r="BT1400" s="4"/>
      <c r="BU1400" s="4"/>
      <c r="BV1400" s="4"/>
      <c r="BW1400" s="4"/>
      <c r="BX1400" s="4"/>
      <c r="BY1400" s="4"/>
      <c r="BZ1400" s="4"/>
      <c r="CA1400" s="4"/>
      <c r="CB1400" s="4"/>
      <c r="CC1400" s="4"/>
      <c r="CD1400" s="4"/>
      <c r="CE1400" s="4"/>
      <c r="CF1400" s="4"/>
      <c r="CG1400" s="4"/>
      <c r="CH1400" s="4"/>
      <c r="CI1400" s="4"/>
      <c r="CJ1400" s="4"/>
      <c r="CK1400" s="4"/>
      <c r="CL1400" s="4"/>
      <c r="CM1400" s="4"/>
      <c r="CN1400" s="4"/>
      <c r="CO1400" s="4"/>
      <c r="CP1400" s="4"/>
      <c r="CQ1400" s="4"/>
      <c r="CR1400" s="4"/>
      <c r="CS1400" s="4"/>
      <c r="CT1400" s="4"/>
      <c r="CU1400" s="4"/>
      <c r="CV1400" s="4"/>
      <c r="CW1400" s="4"/>
      <c r="CX1400" s="4"/>
      <c r="CY1400" s="4"/>
      <c r="CZ1400" s="4"/>
      <c r="DA1400" s="4"/>
      <c r="DB1400" s="4"/>
      <c r="DC1400" s="4"/>
      <c r="DD1400" s="4"/>
      <c r="DE1400" s="4"/>
      <c r="DF1400" s="4"/>
      <c r="DG1400" s="4"/>
      <c r="DH1400" s="4"/>
      <c r="DI1400" s="4"/>
      <c r="DJ1400" s="4"/>
      <c r="DK1400" s="4"/>
      <c r="DL1400" s="4"/>
      <c r="DM1400" s="4"/>
      <c r="DN1400" s="4"/>
      <c r="DO1400" s="4"/>
      <c r="DP1400" s="4"/>
      <c r="DQ1400" s="4"/>
      <c r="DR1400" s="4"/>
      <c r="DS1400" s="4"/>
    </row>
    <row r="1401">
      <c r="A1401" s="9">
        <f>IFERROR(__xludf.DUMMYFUNCTION("""COMPUTED_VALUE"""),45859.0)</f>
        <v>45859</v>
      </c>
      <c r="B1401" s="6" t="str">
        <f>IFERROR(__xludf.DUMMYFUNCTION("""COMPUTED_VALUE"""),"Cab/Uber")</f>
        <v>Cab/Uber</v>
      </c>
      <c r="C1401" s="7">
        <f>IFERROR(__xludf.DUMMYFUNCTION("""COMPUTED_VALUE"""),2300.0)</f>
        <v>2300</v>
      </c>
      <c r="D1401" s="6" t="str">
        <f>IFERROR(__xludf.DUMMYFUNCTION("""COMPUTED_VALUE"""),"Transportation")</f>
        <v>Transportation</v>
      </c>
      <c r="E1401" s="6" t="str">
        <f>IFERROR(__xludf.DUMMYFUNCTION("""COMPUTED_VALUE"""),"Virtual Wallet")</f>
        <v>Virtual Wallet</v>
      </c>
      <c r="F1401" s="6" t="s">
        <v>9</v>
      </c>
      <c r="G1401" s="8" t="str">
        <f t="shared" si="1"/>
        <v>202507</v>
      </c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  <c r="AA1401" s="4"/>
      <c r="AB1401" s="4"/>
      <c r="AC1401" s="4"/>
      <c r="AD1401" s="4"/>
      <c r="AE1401" s="4"/>
      <c r="AF1401" s="4"/>
      <c r="AG1401" s="4"/>
      <c r="AH1401" s="4"/>
      <c r="AI1401" s="4"/>
      <c r="AJ1401" s="4"/>
      <c r="AK1401" s="4"/>
      <c r="AL1401" s="4"/>
      <c r="AM1401" s="4"/>
      <c r="AN1401" s="4"/>
      <c r="AO1401" s="4"/>
      <c r="AP1401" s="4"/>
      <c r="AQ1401" s="4"/>
      <c r="AR1401" s="4"/>
      <c r="AS1401" s="4"/>
      <c r="AT1401" s="4"/>
      <c r="AU1401" s="4"/>
      <c r="AV1401" s="4"/>
      <c r="AW1401" s="4"/>
      <c r="AX1401" s="4"/>
      <c r="AY1401" s="4"/>
      <c r="AZ1401" s="4"/>
      <c r="BA1401" s="4"/>
      <c r="BB1401" s="4"/>
      <c r="BC1401" s="4"/>
      <c r="BD1401" s="4"/>
      <c r="BE1401" s="4"/>
      <c r="BF1401" s="4"/>
      <c r="BG1401" s="4"/>
      <c r="BH1401" s="4"/>
      <c r="BI1401" s="4"/>
      <c r="BJ1401" s="4"/>
      <c r="BK1401" s="4"/>
      <c r="BL1401" s="4"/>
      <c r="BM1401" s="4"/>
      <c r="BN1401" s="4"/>
      <c r="BO1401" s="4"/>
      <c r="BP1401" s="4"/>
      <c r="BQ1401" s="4"/>
      <c r="BR1401" s="4"/>
      <c r="BS1401" s="4"/>
      <c r="BT1401" s="4"/>
      <c r="BU1401" s="4"/>
      <c r="BV1401" s="4"/>
      <c r="BW1401" s="4"/>
      <c r="BX1401" s="4"/>
      <c r="BY1401" s="4"/>
      <c r="BZ1401" s="4"/>
      <c r="CA1401" s="4"/>
      <c r="CB1401" s="4"/>
      <c r="CC1401" s="4"/>
      <c r="CD1401" s="4"/>
      <c r="CE1401" s="4"/>
      <c r="CF1401" s="4"/>
      <c r="CG1401" s="4"/>
      <c r="CH1401" s="4"/>
      <c r="CI1401" s="4"/>
      <c r="CJ1401" s="4"/>
      <c r="CK1401" s="4"/>
      <c r="CL1401" s="4"/>
      <c r="CM1401" s="4"/>
      <c r="CN1401" s="4"/>
      <c r="CO1401" s="4"/>
      <c r="CP1401" s="4"/>
      <c r="CQ1401" s="4"/>
      <c r="CR1401" s="4"/>
      <c r="CS1401" s="4"/>
      <c r="CT1401" s="4"/>
      <c r="CU1401" s="4"/>
      <c r="CV1401" s="4"/>
      <c r="CW1401" s="4"/>
      <c r="CX1401" s="4"/>
      <c r="CY1401" s="4"/>
      <c r="CZ1401" s="4"/>
      <c r="DA1401" s="4"/>
      <c r="DB1401" s="4"/>
      <c r="DC1401" s="4"/>
      <c r="DD1401" s="4"/>
      <c r="DE1401" s="4"/>
      <c r="DF1401" s="4"/>
      <c r="DG1401" s="4"/>
      <c r="DH1401" s="4"/>
      <c r="DI1401" s="4"/>
      <c r="DJ1401" s="4"/>
      <c r="DK1401" s="4"/>
      <c r="DL1401" s="4"/>
      <c r="DM1401" s="4"/>
      <c r="DN1401" s="4"/>
      <c r="DO1401" s="4"/>
      <c r="DP1401" s="4"/>
      <c r="DQ1401" s="4"/>
      <c r="DR1401" s="4"/>
      <c r="DS1401" s="4"/>
    </row>
    <row r="1402">
      <c r="A1402" s="9">
        <f>IFERROR(__xludf.DUMMYFUNCTION("""COMPUTED_VALUE"""),45859.0)</f>
        <v>45859</v>
      </c>
      <c r="B1402" s="6" t="str">
        <f>IFERROR(__xludf.DUMMYFUNCTION("""COMPUTED_VALUE"""),"Gift")</f>
        <v>Gift</v>
      </c>
      <c r="C1402" s="7">
        <f>IFERROR(__xludf.DUMMYFUNCTION("""COMPUTED_VALUE"""),30501.0)</f>
        <v>30501</v>
      </c>
      <c r="D1402" s="6" t="str">
        <f>IFERROR(__xludf.DUMMYFUNCTION("""COMPUTED_VALUE"""),"Gifts")</f>
        <v>Gifts</v>
      </c>
      <c r="E1402" s="6" t="str">
        <f>IFERROR(__xludf.DUMMYFUNCTION("""COMPUTED_VALUE"""),"Virtual Wallet")</f>
        <v>Virtual Wallet</v>
      </c>
      <c r="F1402" s="6"/>
      <c r="G1402" s="8" t="str">
        <f t="shared" si="1"/>
        <v>202507</v>
      </c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  <c r="AA1402" s="4"/>
      <c r="AB1402" s="4"/>
      <c r="AC1402" s="4"/>
      <c r="AD1402" s="4"/>
      <c r="AE1402" s="4"/>
      <c r="AF1402" s="4"/>
      <c r="AG1402" s="4"/>
      <c r="AH1402" s="4"/>
      <c r="AI1402" s="4"/>
      <c r="AJ1402" s="4"/>
      <c r="AK1402" s="4"/>
      <c r="AL1402" s="4"/>
      <c r="AM1402" s="4"/>
      <c r="AN1402" s="4"/>
      <c r="AO1402" s="4"/>
      <c r="AP1402" s="4"/>
      <c r="AQ1402" s="4"/>
      <c r="AR1402" s="4"/>
      <c r="AS1402" s="4"/>
      <c r="AT1402" s="4"/>
      <c r="AU1402" s="4"/>
      <c r="AV1402" s="4"/>
      <c r="AW1402" s="4"/>
      <c r="AX1402" s="4"/>
      <c r="AY1402" s="4"/>
      <c r="AZ1402" s="4"/>
      <c r="BA1402" s="4"/>
      <c r="BB1402" s="4"/>
      <c r="BC1402" s="4"/>
      <c r="BD1402" s="4"/>
      <c r="BE1402" s="4"/>
      <c r="BF1402" s="4"/>
      <c r="BG1402" s="4"/>
      <c r="BH1402" s="4"/>
      <c r="BI1402" s="4"/>
      <c r="BJ1402" s="4"/>
      <c r="BK1402" s="4"/>
      <c r="BL1402" s="4"/>
      <c r="BM1402" s="4"/>
      <c r="BN1402" s="4"/>
      <c r="BO1402" s="4"/>
      <c r="BP1402" s="4"/>
      <c r="BQ1402" s="4"/>
      <c r="BR1402" s="4"/>
      <c r="BS1402" s="4"/>
      <c r="BT1402" s="4"/>
      <c r="BU1402" s="4"/>
      <c r="BV1402" s="4"/>
      <c r="BW1402" s="4"/>
      <c r="BX1402" s="4"/>
      <c r="BY1402" s="4"/>
      <c r="BZ1402" s="4"/>
      <c r="CA1402" s="4"/>
      <c r="CB1402" s="4"/>
      <c r="CC1402" s="4"/>
      <c r="CD1402" s="4"/>
      <c r="CE1402" s="4"/>
      <c r="CF1402" s="4"/>
      <c r="CG1402" s="4"/>
      <c r="CH1402" s="4"/>
      <c r="CI1402" s="4"/>
      <c r="CJ1402" s="4"/>
      <c r="CK1402" s="4"/>
      <c r="CL1402" s="4"/>
      <c r="CM1402" s="4"/>
      <c r="CN1402" s="4"/>
      <c r="CO1402" s="4"/>
      <c r="CP1402" s="4"/>
      <c r="CQ1402" s="4"/>
      <c r="CR1402" s="4"/>
      <c r="CS1402" s="4"/>
      <c r="CT1402" s="4"/>
      <c r="CU1402" s="4"/>
      <c r="CV1402" s="4"/>
      <c r="CW1402" s="4"/>
      <c r="CX1402" s="4"/>
      <c r="CY1402" s="4"/>
      <c r="CZ1402" s="4"/>
      <c r="DA1402" s="4"/>
      <c r="DB1402" s="4"/>
      <c r="DC1402" s="4"/>
      <c r="DD1402" s="4"/>
      <c r="DE1402" s="4"/>
      <c r="DF1402" s="4"/>
      <c r="DG1402" s="4"/>
      <c r="DH1402" s="4"/>
      <c r="DI1402" s="4"/>
      <c r="DJ1402" s="4"/>
      <c r="DK1402" s="4"/>
      <c r="DL1402" s="4"/>
      <c r="DM1402" s="4"/>
      <c r="DN1402" s="4"/>
      <c r="DO1402" s="4"/>
      <c r="DP1402" s="4"/>
      <c r="DQ1402" s="4"/>
      <c r="DR1402" s="4"/>
      <c r="DS1402" s="4"/>
    </row>
    <row r="1403">
      <c r="A1403" s="9">
        <f>IFERROR(__xludf.DUMMYFUNCTION("""COMPUTED_VALUE"""),45859.0)</f>
        <v>45859</v>
      </c>
      <c r="B1403" s="6" t="str">
        <f>IFERROR(__xludf.DUMMYFUNCTION("""COMPUTED_VALUE"""),"Restaurant")</f>
        <v>Restaurant</v>
      </c>
      <c r="C1403" s="7">
        <f>IFERROR(__xludf.DUMMYFUNCTION("""COMPUTED_VALUE"""),2700.0)</f>
        <v>2700</v>
      </c>
      <c r="D1403" s="6" t="str">
        <f>IFERROR(__xludf.DUMMYFUNCTION("""COMPUTED_VALUE"""),"Restaurant / Café")</f>
        <v>Restaurant / Café</v>
      </c>
      <c r="E1403" s="6" t="str">
        <f>IFERROR(__xludf.DUMMYFUNCTION("""COMPUTED_VALUE"""),"Virtual Wallet")</f>
        <v>Virtual Wallet</v>
      </c>
      <c r="F1403" s="6" t="s">
        <v>14</v>
      </c>
      <c r="G1403" s="8" t="str">
        <f t="shared" si="1"/>
        <v>202507</v>
      </c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  <c r="AA1403" s="4"/>
      <c r="AB1403" s="4"/>
      <c r="AC1403" s="4"/>
      <c r="AD1403" s="4"/>
      <c r="AE1403" s="4"/>
      <c r="AF1403" s="4"/>
      <c r="AG1403" s="4"/>
      <c r="AH1403" s="4"/>
      <c r="AI1403" s="4"/>
      <c r="AJ1403" s="4"/>
      <c r="AK1403" s="4"/>
      <c r="AL1403" s="4"/>
      <c r="AM1403" s="4"/>
      <c r="AN1403" s="4"/>
      <c r="AO1403" s="4"/>
      <c r="AP1403" s="4"/>
      <c r="AQ1403" s="4"/>
      <c r="AR1403" s="4"/>
      <c r="AS1403" s="4"/>
      <c r="AT1403" s="4"/>
      <c r="AU1403" s="4"/>
      <c r="AV1403" s="4"/>
      <c r="AW1403" s="4"/>
      <c r="AX1403" s="4"/>
      <c r="AY1403" s="4"/>
      <c r="AZ1403" s="4"/>
      <c r="BA1403" s="4"/>
      <c r="BB1403" s="4"/>
      <c r="BC1403" s="4"/>
      <c r="BD1403" s="4"/>
      <c r="BE1403" s="4"/>
      <c r="BF1403" s="4"/>
      <c r="BG1403" s="4"/>
      <c r="BH1403" s="4"/>
      <c r="BI1403" s="4"/>
      <c r="BJ1403" s="4"/>
      <c r="BK1403" s="4"/>
      <c r="BL1403" s="4"/>
      <c r="BM1403" s="4"/>
      <c r="BN1403" s="4"/>
      <c r="BO1403" s="4"/>
      <c r="BP1403" s="4"/>
      <c r="BQ1403" s="4"/>
      <c r="BR1403" s="4"/>
      <c r="BS1403" s="4"/>
      <c r="BT1403" s="4"/>
      <c r="BU1403" s="4"/>
      <c r="BV1403" s="4"/>
      <c r="BW1403" s="4"/>
      <c r="BX1403" s="4"/>
      <c r="BY1403" s="4"/>
      <c r="BZ1403" s="4"/>
      <c r="CA1403" s="4"/>
      <c r="CB1403" s="4"/>
      <c r="CC1403" s="4"/>
      <c r="CD1403" s="4"/>
      <c r="CE1403" s="4"/>
      <c r="CF1403" s="4"/>
      <c r="CG1403" s="4"/>
      <c r="CH1403" s="4"/>
      <c r="CI1403" s="4"/>
      <c r="CJ1403" s="4"/>
      <c r="CK1403" s="4"/>
      <c r="CL1403" s="4"/>
      <c r="CM1403" s="4"/>
      <c r="CN1403" s="4"/>
      <c r="CO1403" s="4"/>
      <c r="CP1403" s="4"/>
      <c r="CQ1403" s="4"/>
      <c r="CR1403" s="4"/>
      <c r="CS1403" s="4"/>
      <c r="CT1403" s="4"/>
      <c r="CU1403" s="4"/>
      <c r="CV1403" s="4"/>
      <c r="CW1403" s="4"/>
      <c r="CX1403" s="4"/>
      <c r="CY1403" s="4"/>
      <c r="CZ1403" s="4"/>
      <c r="DA1403" s="4"/>
      <c r="DB1403" s="4"/>
      <c r="DC1403" s="4"/>
      <c r="DD1403" s="4"/>
      <c r="DE1403" s="4"/>
      <c r="DF1403" s="4"/>
      <c r="DG1403" s="4"/>
      <c r="DH1403" s="4"/>
      <c r="DI1403" s="4"/>
      <c r="DJ1403" s="4"/>
      <c r="DK1403" s="4"/>
      <c r="DL1403" s="4"/>
      <c r="DM1403" s="4"/>
      <c r="DN1403" s="4"/>
      <c r="DO1403" s="4"/>
      <c r="DP1403" s="4"/>
      <c r="DQ1403" s="4"/>
      <c r="DR1403" s="4"/>
      <c r="DS1403" s="4"/>
    </row>
    <row r="1404">
      <c r="A1404" s="9">
        <f>IFERROR(__xludf.DUMMYFUNCTION("""COMPUTED_VALUE"""),45860.0)</f>
        <v>45860</v>
      </c>
      <c r="B1404" s="6" t="str">
        <f>IFERROR(__xludf.DUMMYFUNCTION("""COMPUTED_VALUE"""),"Doctor Visit")</f>
        <v>Doctor Visit</v>
      </c>
      <c r="C1404" s="7">
        <f>IFERROR(__xludf.DUMMYFUNCTION("""COMPUTED_VALUE"""),14000.0)</f>
        <v>14000</v>
      </c>
      <c r="D1404" s="6" t="str">
        <f>IFERROR(__xludf.DUMMYFUNCTION("""COMPUTED_VALUE"""),"Healthcare")</f>
        <v>Healthcare</v>
      </c>
      <c r="E1404" s="6" t="str">
        <f>IFERROR(__xludf.DUMMYFUNCTION("""COMPUTED_VALUE"""),"Virtual Wallet")</f>
        <v>Virtual Wallet</v>
      </c>
      <c r="F1404" s="6" t="s">
        <v>15</v>
      </c>
      <c r="G1404" s="8" t="str">
        <f t="shared" si="1"/>
        <v>202507</v>
      </c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  <c r="AA1404" s="4"/>
      <c r="AB1404" s="4"/>
      <c r="AC1404" s="4"/>
      <c r="AD1404" s="4"/>
      <c r="AE1404" s="4"/>
      <c r="AF1404" s="4"/>
      <c r="AG1404" s="4"/>
      <c r="AH1404" s="4"/>
      <c r="AI1404" s="4"/>
      <c r="AJ1404" s="4"/>
      <c r="AK1404" s="4"/>
      <c r="AL1404" s="4"/>
      <c r="AM1404" s="4"/>
      <c r="AN1404" s="4"/>
      <c r="AO1404" s="4"/>
      <c r="AP1404" s="4"/>
      <c r="AQ1404" s="4"/>
      <c r="AR1404" s="4"/>
      <c r="AS1404" s="4"/>
      <c r="AT1404" s="4"/>
      <c r="AU1404" s="4"/>
      <c r="AV1404" s="4"/>
      <c r="AW1404" s="4"/>
      <c r="AX1404" s="4"/>
      <c r="AY1404" s="4"/>
      <c r="AZ1404" s="4"/>
      <c r="BA1404" s="4"/>
      <c r="BB1404" s="4"/>
      <c r="BC1404" s="4"/>
      <c r="BD1404" s="4"/>
      <c r="BE1404" s="4"/>
      <c r="BF1404" s="4"/>
      <c r="BG1404" s="4"/>
      <c r="BH1404" s="4"/>
      <c r="BI1404" s="4"/>
      <c r="BJ1404" s="4"/>
      <c r="BK1404" s="4"/>
      <c r="BL1404" s="4"/>
      <c r="BM1404" s="4"/>
      <c r="BN1404" s="4"/>
      <c r="BO1404" s="4"/>
      <c r="BP1404" s="4"/>
      <c r="BQ1404" s="4"/>
      <c r="BR1404" s="4"/>
      <c r="BS1404" s="4"/>
      <c r="BT1404" s="4"/>
      <c r="BU1404" s="4"/>
      <c r="BV1404" s="4"/>
      <c r="BW1404" s="4"/>
      <c r="BX1404" s="4"/>
      <c r="BY1404" s="4"/>
      <c r="BZ1404" s="4"/>
      <c r="CA1404" s="4"/>
      <c r="CB1404" s="4"/>
      <c r="CC1404" s="4"/>
      <c r="CD1404" s="4"/>
      <c r="CE1404" s="4"/>
      <c r="CF1404" s="4"/>
      <c r="CG1404" s="4"/>
      <c r="CH1404" s="4"/>
      <c r="CI1404" s="4"/>
      <c r="CJ1404" s="4"/>
      <c r="CK1404" s="4"/>
      <c r="CL1404" s="4"/>
      <c r="CM1404" s="4"/>
      <c r="CN1404" s="4"/>
      <c r="CO1404" s="4"/>
      <c r="CP1404" s="4"/>
      <c r="CQ1404" s="4"/>
      <c r="CR1404" s="4"/>
      <c r="CS1404" s="4"/>
      <c r="CT1404" s="4"/>
      <c r="CU1404" s="4"/>
      <c r="CV1404" s="4"/>
      <c r="CW1404" s="4"/>
      <c r="CX1404" s="4"/>
      <c r="CY1404" s="4"/>
      <c r="CZ1404" s="4"/>
      <c r="DA1404" s="4"/>
      <c r="DB1404" s="4"/>
      <c r="DC1404" s="4"/>
      <c r="DD1404" s="4"/>
      <c r="DE1404" s="4"/>
      <c r="DF1404" s="4"/>
      <c r="DG1404" s="4"/>
      <c r="DH1404" s="4"/>
      <c r="DI1404" s="4"/>
      <c r="DJ1404" s="4"/>
      <c r="DK1404" s="4"/>
      <c r="DL1404" s="4"/>
      <c r="DM1404" s="4"/>
      <c r="DN1404" s="4"/>
      <c r="DO1404" s="4"/>
      <c r="DP1404" s="4"/>
      <c r="DQ1404" s="4"/>
      <c r="DR1404" s="4"/>
      <c r="DS1404" s="4"/>
    </row>
    <row r="1405">
      <c r="A1405" s="9">
        <f>IFERROR(__xludf.DUMMYFUNCTION("""COMPUTED_VALUE"""),45861.0)</f>
        <v>45861</v>
      </c>
      <c r="B1405" s="6" t="str">
        <f>IFERROR(__xludf.DUMMYFUNCTION("""COMPUTED_VALUE"""),"Appliances")</f>
        <v>Appliances</v>
      </c>
      <c r="C1405" s="7">
        <f>IFERROR(__xludf.DUMMYFUNCTION("""COMPUTED_VALUE"""),13889.0)</f>
        <v>13889</v>
      </c>
      <c r="D1405" s="6" t="str">
        <f>IFERROR(__xludf.DUMMYFUNCTION("""COMPUTED_VALUE"""),"Home Goods &amp; Utilities")</f>
        <v>Home Goods &amp; Utilities</v>
      </c>
      <c r="E1405" s="6" t="str">
        <f>IFERROR(__xludf.DUMMYFUNCTION("""COMPUTED_VALUE"""),"Credit Card")</f>
        <v>Credit Card</v>
      </c>
      <c r="F1405" s="6" t="s">
        <v>8</v>
      </c>
      <c r="G1405" s="8" t="str">
        <f t="shared" si="1"/>
        <v>202507</v>
      </c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  <c r="AA1405" s="4"/>
      <c r="AB1405" s="4"/>
      <c r="AC1405" s="4"/>
      <c r="AD1405" s="4"/>
      <c r="AE1405" s="4"/>
      <c r="AF1405" s="4"/>
      <c r="AG1405" s="4"/>
      <c r="AH1405" s="4"/>
      <c r="AI1405" s="4"/>
      <c r="AJ1405" s="4"/>
      <c r="AK1405" s="4"/>
      <c r="AL1405" s="4"/>
      <c r="AM1405" s="4"/>
      <c r="AN1405" s="4"/>
      <c r="AO1405" s="4"/>
      <c r="AP1405" s="4"/>
      <c r="AQ1405" s="4"/>
      <c r="AR1405" s="4"/>
      <c r="AS1405" s="4"/>
      <c r="AT1405" s="4"/>
      <c r="AU1405" s="4"/>
      <c r="AV1405" s="4"/>
      <c r="AW1405" s="4"/>
      <c r="AX1405" s="4"/>
      <c r="AY1405" s="4"/>
      <c r="AZ1405" s="4"/>
      <c r="BA1405" s="4"/>
      <c r="BB1405" s="4"/>
      <c r="BC1405" s="4"/>
      <c r="BD1405" s="4"/>
      <c r="BE1405" s="4"/>
      <c r="BF1405" s="4"/>
      <c r="BG1405" s="4"/>
      <c r="BH1405" s="4"/>
      <c r="BI1405" s="4"/>
      <c r="BJ1405" s="4"/>
      <c r="BK1405" s="4"/>
      <c r="BL1405" s="4"/>
      <c r="BM1405" s="4"/>
      <c r="BN1405" s="4"/>
      <c r="BO1405" s="4"/>
      <c r="BP1405" s="4"/>
      <c r="BQ1405" s="4"/>
      <c r="BR1405" s="4"/>
      <c r="BS1405" s="4"/>
      <c r="BT1405" s="4"/>
      <c r="BU1405" s="4"/>
      <c r="BV1405" s="4"/>
      <c r="BW1405" s="4"/>
      <c r="BX1405" s="4"/>
      <c r="BY1405" s="4"/>
      <c r="BZ1405" s="4"/>
      <c r="CA1405" s="4"/>
      <c r="CB1405" s="4"/>
      <c r="CC1405" s="4"/>
      <c r="CD1405" s="4"/>
      <c r="CE1405" s="4"/>
      <c r="CF1405" s="4"/>
      <c r="CG1405" s="4"/>
      <c r="CH1405" s="4"/>
      <c r="CI1405" s="4"/>
      <c r="CJ1405" s="4"/>
      <c r="CK1405" s="4"/>
      <c r="CL1405" s="4"/>
      <c r="CM1405" s="4"/>
      <c r="CN1405" s="4"/>
      <c r="CO1405" s="4"/>
      <c r="CP1405" s="4"/>
      <c r="CQ1405" s="4"/>
      <c r="CR1405" s="4"/>
      <c r="CS1405" s="4"/>
      <c r="CT1405" s="4"/>
      <c r="CU1405" s="4"/>
      <c r="CV1405" s="4"/>
      <c r="CW1405" s="4"/>
      <c r="CX1405" s="4"/>
      <c r="CY1405" s="4"/>
      <c r="CZ1405" s="4"/>
      <c r="DA1405" s="4"/>
      <c r="DB1405" s="4"/>
      <c r="DC1405" s="4"/>
      <c r="DD1405" s="4"/>
      <c r="DE1405" s="4"/>
      <c r="DF1405" s="4"/>
      <c r="DG1405" s="4"/>
      <c r="DH1405" s="4"/>
      <c r="DI1405" s="4"/>
      <c r="DJ1405" s="4"/>
      <c r="DK1405" s="4"/>
      <c r="DL1405" s="4"/>
      <c r="DM1405" s="4"/>
      <c r="DN1405" s="4"/>
      <c r="DO1405" s="4"/>
      <c r="DP1405" s="4"/>
      <c r="DQ1405" s="4"/>
      <c r="DR1405" s="4"/>
      <c r="DS1405" s="4"/>
    </row>
    <row r="1406">
      <c r="A1406" s="9">
        <f>IFERROR(__xludf.DUMMYFUNCTION("""COMPUTED_VALUE"""),45862.0)</f>
        <v>45862</v>
      </c>
      <c r="B1406" s="6" t="str">
        <f>IFERROR(__xludf.DUMMYFUNCTION("""COMPUTED_VALUE"""),"Recreation")</f>
        <v>Recreation</v>
      </c>
      <c r="C1406" s="7">
        <f>IFERROR(__xludf.DUMMYFUNCTION("""COMPUTED_VALUE"""),7253.0)</f>
        <v>7253</v>
      </c>
      <c r="D1406" s="6" t="str">
        <f>IFERROR(__xludf.DUMMYFUNCTION("""COMPUTED_VALUE"""),"Recreation")</f>
        <v>Recreation</v>
      </c>
      <c r="E1406" s="6" t="str">
        <f>IFERROR(__xludf.DUMMYFUNCTION("""COMPUTED_VALUE"""),"Credit Card")</f>
        <v>Credit Card</v>
      </c>
      <c r="F1406" s="6" t="s">
        <v>12</v>
      </c>
      <c r="G1406" s="8" t="str">
        <f t="shared" si="1"/>
        <v>202507</v>
      </c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  <c r="AA1406" s="4"/>
      <c r="AB1406" s="4"/>
      <c r="AC1406" s="4"/>
      <c r="AD1406" s="4"/>
      <c r="AE1406" s="4"/>
      <c r="AF1406" s="4"/>
      <c r="AG1406" s="4"/>
      <c r="AH1406" s="4"/>
      <c r="AI1406" s="4"/>
      <c r="AJ1406" s="4"/>
      <c r="AK1406" s="4"/>
      <c r="AL1406" s="4"/>
      <c r="AM1406" s="4"/>
      <c r="AN1406" s="4"/>
      <c r="AO1406" s="4"/>
      <c r="AP1406" s="4"/>
      <c r="AQ1406" s="4"/>
      <c r="AR1406" s="4"/>
      <c r="AS1406" s="4"/>
      <c r="AT1406" s="4"/>
      <c r="AU1406" s="4"/>
      <c r="AV1406" s="4"/>
      <c r="AW1406" s="4"/>
      <c r="AX1406" s="4"/>
      <c r="AY1406" s="4"/>
      <c r="AZ1406" s="4"/>
      <c r="BA1406" s="4"/>
      <c r="BB1406" s="4"/>
      <c r="BC1406" s="4"/>
      <c r="BD1406" s="4"/>
      <c r="BE1406" s="4"/>
      <c r="BF1406" s="4"/>
      <c r="BG1406" s="4"/>
      <c r="BH1406" s="4"/>
      <c r="BI1406" s="4"/>
      <c r="BJ1406" s="4"/>
      <c r="BK1406" s="4"/>
      <c r="BL1406" s="4"/>
      <c r="BM1406" s="4"/>
      <c r="BN1406" s="4"/>
      <c r="BO1406" s="4"/>
      <c r="BP1406" s="4"/>
      <c r="BQ1406" s="4"/>
      <c r="BR1406" s="4"/>
      <c r="BS1406" s="4"/>
      <c r="BT1406" s="4"/>
      <c r="BU1406" s="4"/>
      <c r="BV1406" s="4"/>
      <c r="BW1406" s="4"/>
      <c r="BX1406" s="4"/>
      <c r="BY1406" s="4"/>
      <c r="BZ1406" s="4"/>
      <c r="CA1406" s="4"/>
      <c r="CB1406" s="4"/>
      <c r="CC1406" s="4"/>
      <c r="CD1406" s="4"/>
      <c r="CE1406" s="4"/>
      <c r="CF1406" s="4"/>
      <c r="CG1406" s="4"/>
      <c r="CH1406" s="4"/>
      <c r="CI1406" s="4"/>
      <c r="CJ1406" s="4"/>
      <c r="CK1406" s="4"/>
      <c r="CL1406" s="4"/>
      <c r="CM1406" s="4"/>
      <c r="CN1406" s="4"/>
      <c r="CO1406" s="4"/>
      <c r="CP1406" s="4"/>
      <c r="CQ1406" s="4"/>
      <c r="CR1406" s="4"/>
      <c r="CS1406" s="4"/>
      <c r="CT1406" s="4"/>
      <c r="CU1406" s="4"/>
      <c r="CV1406" s="4"/>
      <c r="CW1406" s="4"/>
      <c r="CX1406" s="4"/>
      <c r="CY1406" s="4"/>
      <c r="CZ1406" s="4"/>
      <c r="DA1406" s="4"/>
      <c r="DB1406" s="4"/>
      <c r="DC1406" s="4"/>
      <c r="DD1406" s="4"/>
      <c r="DE1406" s="4"/>
      <c r="DF1406" s="4"/>
      <c r="DG1406" s="4"/>
      <c r="DH1406" s="4"/>
      <c r="DI1406" s="4"/>
      <c r="DJ1406" s="4"/>
      <c r="DK1406" s="4"/>
      <c r="DL1406" s="4"/>
      <c r="DM1406" s="4"/>
      <c r="DN1406" s="4"/>
      <c r="DO1406" s="4"/>
      <c r="DP1406" s="4"/>
      <c r="DQ1406" s="4"/>
      <c r="DR1406" s="4"/>
      <c r="DS1406" s="4"/>
    </row>
    <row r="1407">
      <c r="A1407" s="9">
        <f>IFERROR(__xludf.DUMMYFUNCTION("""COMPUTED_VALUE"""),45865.0)</f>
        <v>45865</v>
      </c>
      <c r="B1407" s="6" t="str">
        <f>IFERROR(__xludf.DUMMYFUNCTION("""COMPUTED_VALUE"""),"Stationery / Books")</f>
        <v>Stationery / Books</v>
      </c>
      <c r="C1407" s="7">
        <f>IFERROR(__xludf.DUMMYFUNCTION("""COMPUTED_VALUE"""),48389.0)</f>
        <v>48389</v>
      </c>
      <c r="D1407" s="6" t="str">
        <f>IFERROR(__xludf.DUMMYFUNCTION("""COMPUTED_VALUE"""),"Education")</f>
        <v>Education</v>
      </c>
      <c r="E1407" s="6" t="str">
        <f>IFERROR(__xludf.DUMMYFUNCTION("""COMPUTED_VALUE"""),"Credit Card")</f>
        <v>Credit Card</v>
      </c>
      <c r="F1407" s="6" t="s">
        <v>11</v>
      </c>
      <c r="G1407" s="8" t="str">
        <f t="shared" si="1"/>
        <v>202507</v>
      </c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  <c r="AA1407" s="4"/>
      <c r="AB1407" s="4"/>
      <c r="AC1407" s="4"/>
      <c r="AD1407" s="4"/>
      <c r="AE1407" s="4"/>
      <c r="AF1407" s="4"/>
      <c r="AG1407" s="4"/>
      <c r="AH1407" s="4"/>
      <c r="AI1407" s="4"/>
      <c r="AJ1407" s="4"/>
      <c r="AK1407" s="4"/>
      <c r="AL1407" s="4"/>
      <c r="AM1407" s="4"/>
      <c r="AN1407" s="4"/>
      <c r="AO1407" s="4"/>
      <c r="AP1407" s="4"/>
      <c r="AQ1407" s="4"/>
      <c r="AR1407" s="4"/>
      <c r="AS1407" s="4"/>
      <c r="AT1407" s="4"/>
      <c r="AU1407" s="4"/>
      <c r="AV1407" s="4"/>
      <c r="AW1407" s="4"/>
      <c r="AX1407" s="4"/>
      <c r="AY1407" s="4"/>
      <c r="AZ1407" s="4"/>
      <c r="BA1407" s="4"/>
      <c r="BB1407" s="4"/>
      <c r="BC1407" s="4"/>
      <c r="BD1407" s="4"/>
      <c r="BE1407" s="4"/>
      <c r="BF1407" s="4"/>
      <c r="BG1407" s="4"/>
      <c r="BH1407" s="4"/>
      <c r="BI1407" s="4"/>
      <c r="BJ1407" s="4"/>
      <c r="BK1407" s="4"/>
      <c r="BL1407" s="4"/>
      <c r="BM1407" s="4"/>
      <c r="BN1407" s="4"/>
      <c r="BO1407" s="4"/>
      <c r="BP1407" s="4"/>
      <c r="BQ1407" s="4"/>
      <c r="BR1407" s="4"/>
      <c r="BS1407" s="4"/>
      <c r="BT1407" s="4"/>
      <c r="BU1407" s="4"/>
      <c r="BV1407" s="4"/>
      <c r="BW1407" s="4"/>
      <c r="BX1407" s="4"/>
      <c r="BY1407" s="4"/>
      <c r="BZ1407" s="4"/>
      <c r="CA1407" s="4"/>
      <c r="CB1407" s="4"/>
      <c r="CC1407" s="4"/>
      <c r="CD1407" s="4"/>
      <c r="CE1407" s="4"/>
      <c r="CF1407" s="4"/>
      <c r="CG1407" s="4"/>
      <c r="CH1407" s="4"/>
      <c r="CI1407" s="4"/>
      <c r="CJ1407" s="4"/>
      <c r="CK1407" s="4"/>
      <c r="CL1407" s="4"/>
      <c r="CM1407" s="4"/>
      <c r="CN1407" s="4"/>
      <c r="CO1407" s="4"/>
      <c r="CP1407" s="4"/>
      <c r="CQ1407" s="4"/>
      <c r="CR1407" s="4"/>
      <c r="CS1407" s="4"/>
      <c r="CT1407" s="4"/>
      <c r="CU1407" s="4"/>
      <c r="CV1407" s="4"/>
      <c r="CW1407" s="4"/>
      <c r="CX1407" s="4"/>
      <c r="CY1407" s="4"/>
      <c r="CZ1407" s="4"/>
      <c r="DA1407" s="4"/>
      <c r="DB1407" s="4"/>
      <c r="DC1407" s="4"/>
      <c r="DD1407" s="4"/>
      <c r="DE1407" s="4"/>
      <c r="DF1407" s="4"/>
      <c r="DG1407" s="4"/>
      <c r="DH1407" s="4"/>
      <c r="DI1407" s="4"/>
      <c r="DJ1407" s="4"/>
      <c r="DK1407" s="4"/>
      <c r="DL1407" s="4"/>
      <c r="DM1407" s="4"/>
      <c r="DN1407" s="4"/>
      <c r="DO1407" s="4"/>
      <c r="DP1407" s="4"/>
      <c r="DQ1407" s="4"/>
      <c r="DR1407" s="4"/>
      <c r="DS1407" s="4"/>
    </row>
    <row r="1408">
      <c r="A1408" s="9">
        <f>IFERROR(__xludf.DUMMYFUNCTION("""COMPUTED_VALUE"""),45868.0)</f>
        <v>45868</v>
      </c>
      <c r="B1408" s="6" t="str">
        <f>IFERROR(__xludf.DUMMYFUNCTION("""COMPUTED_VALUE"""),"Internet Services")</f>
        <v>Internet Services</v>
      </c>
      <c r="C1408" s="7">
        <f>IFERROR(__xludf.DUMMYFUNCTION("""COMPUTED_VALUE"""),42103.0)</f>
        <v>42103</v>
      </c>
      <c r="D1408" s="6" t="str">
        <f>IFERROR(__xludf.DUMMYFUNCTION("""COMPUTED_VALUE"""),"Basic Services")</f>
        <v>Basic Services</v>
      </c>
      <c r="E1408" s="6" t="str">
        <f>IFERROR(__xludf.DUMMYFUNCTION("""COMPUTED_VALUE"""),"Credit Card")</f>
        <v>Credit Card</v>
      </c>
      <c r="F1408" s="6" t="s">
        <v>13</v>
      </c>
      <c r="G1408" s="8" t="str">
        <f t="shared" si="1"/>
        <v>202507</v>
      </c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  <c r="AA1408" s="4"/>
      <c r="AB1408" s="4"/>
      <c r="AC1408" s="4"/>
      <c r="AD1408" s="4"/>
      <c r="AE1408" s="4"/>
      <c r="AF1408" s="4"/>
      <c r="AG1408" s="4"/>
      <c r="AH1408" s="4"/>
      <c r="AI1408" s="4"/>
      <c r="AJ1408" s="4"/>
      <c r="AK1408" s="4"/>
      <c r="AL1408" s="4"/>
      <c r="AM1408" s="4"/>
      <c r="AN1408" s="4"/>
      <c r="AO1408" s="4"/>
      <c r="AP1408" s="4"/>
      <c r="AQ1408" s="4"/>
      <c r="AR1408" s="4"/>
      <c r="AS1408" s="4"/>
      <c r="AT1408" s="4"/>
      <c r="AU1408" s="4"/>
      <c r="AV1408" s="4"/>
      <c r="AW1408" s="4"/>
      <c r="AX1408" s="4"/>
      <c r="AY1408" s="4"/>
      <c r="AZ1408" s="4"/>
      <c r="BA1408" s="4"/>
      <c r="BB1408" s="4"/>
      <c r="BC1408" s="4"/>
      <c r="BD1408" s="4"/>
      <c r="BE1408" s="4"/>
      <c r="BF1408" s="4"/>
      <c r="BG1408" s="4"/>
      <c r="BH1408" s="4"/>
      <c r="BI1408" s="4"/>
      <c r="BJ1408" s="4"/>
      <c r="BK1408" s="4"/>
      <c r="BL1408" s="4"/>
      <c r="BM1408" s="4"/>
      <c r="BN1408" s="4"/>
      <c r="BO1408" s="4"/>
      <c r="BP1408" s="4"/>
      <c r="BQ1408" s="4"/>
      <c r="BR1408" s="4"/>
      <c r="BS1408" s="4"/>
      <c r="BT1408" s="4"/>
      <c r="BU1408" s="4"/>
      <c r="BV1408" s="4"/>
      <c r="BW1408" s="4"/>
      <c r="BX1408" s="4"/>
      <c r="BY1408" s="4"/>
      <c r="BZ1408" s="4"/>
      <c r="CA1408" s="4"/>
      <c r="CB1408" s="4"/>
      <c r="CC1408" s="4"/>
      <c r="CD1408" s="4"/>
      <c r="CE1408" s="4"/>
      <c r="CF1408" s="4"/>
      <c r="CG1408" s="4"/>
      <c r="CH1408" s="4"/>
      <c r="CI1408" s="4"/>
      <c r="CJ1408" s="4"/>
      <c r="CK1408" s="4"/>
      <c r="CL1408" s="4"/>
      <c r="CM1408" s="4"/>
      <c r="CN1408" s="4"/>
      <c r="CO1408" s="4"/>
      <c r="CP1408" s="4"/>
      <c r="CQ1408" s="4"/>
      <c r="CR1408" s="4"/>
      <c r="CS1408" s="4"/>
      <c r="CT1408" s="4"/>
      <c r="CU1408" s="4"/>
      <c r="CV1408" s="4"/>
      <c r="CW1408" s="4"/>
      <c r="CX1408" s="4"/>
      <c r="CY1408" s="4"/>
      <c r="CZ1408" s="4"/>
      <c r="DA1408" s="4"/>
      <c r="DB1408" s="4"/>
      <c r="DC1408" s="4"/>
      <c r="DD1408" s="4"/>
      <c r="DE1408" s="4"/>
      <c r="DF1408" s="4"/>
      <c r="DG1408" s="4"/>
      <c r="DH1408" s="4"/>
      <c r="DI1408" s="4"/>
      <c r="DJ1408" s="4"/>
      <c r="DK1408" s="4"/>
      <c r="DL1408" s="4"/>
      <c r="DM1408" s="4"/>
      <c r="DN1408" s="4"/>
      <c r="DO1408" s="4"/>
      <c r="DP1408" s="4"/>
      <c r="DQ1408" s="4"/>
      <c r="DR1408" s="4"/>
      <c r="DS1408" s="4"/>
    </row>
    <row r="1409">
      <c r="A1409" s="9">
        <f>IFERROR(__xludf.DUMMYFUNCTION("""COMPUTED_VALUE"""),45870.0)</f>
        <v>45870</v>
      </c>
      <c r="B1409" s="6" t="str">
        <f>IFERROR(__xludf.DUMMYFUNCTION("""COMPUTED_VALUE"""),"Gift")</f>
        <v>Gift</v>
      </c>
      <c r="C1409" s="7">
        <f>IFERROR(__xludf.DUMMYFUNCTION("""COMPUTED_VALUE"""),30000.0)</f>
        <v>30000</v>
      </c>
      <c r="D1409" s="6" t="str">
        <f>IFERROR(__xludf.DUMMYFUNCTION("""COMPUTED_VALUE"""),"Gifts")</f>
        <v>Gifts</v>
      </c>
      <c r="E1409" s="6" t="str">
        <f>IFERROR(__xludf.DUMMYFUNCTION("""COMPUTED_VALUE"""),"Virtual Wallet")</f>
        <v>Virtual Wallet</v>
      </c>
      <c r="F1409" s="6"/>
      <c r="G1409" s="8" t="str">
        <f t="shared" si="1"/>
        <v>202508</v>
      </c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  <c r="AA1409" s="4"/>
      <c r="AB1409" s="4"/>
      <c r="AC1409" s="4"/>
      <c r="AD1409" s="4"/>
      <c r="AE1409" s="4"/>
      <c r="AF1409" s="4"/>
      <c r="AG1409" s="4"/>
      <c r="AH1409" s="4"/>
      <c r="AI1409" s="4"/>
      <c r="AJ1409" s="4"/>
      <c r="AK1409" s="4"/>
      <c r="AL1409" s="4"/>
      <c r="AM1409" s="4"/>
      <c r="AN1409" s="4"/>
      <c r="AO1409" s="4"/>
      <c r="AP1409" s="4"/>
      <c r="AQ1409" s="4"/>
      <c r="AR1409" s="4"/>
      <c r="AS1409" s="4"/>
      <c r="AT1409" s="4"/>
      <c r="AU1409" s="4"/>
      <c r="AV1409" s="4"/>
      <c r="AW1409" s="4"/>
      <c r="AX1409" s="4"/>
      <c r="AY1409" s="4"/>
      <c r="AZ1409" s="4"/>
      <c r="BA1409" s="4"/>
      <c r="BB1409" s="4"/>
      <c r="BC1409" s="4"/>
      <c r="BD1409" s="4"/>
      <c r="BE1409" s="4"/>
      <c r="BF1409" s="4"/>
      <c r="BG1409" s="4"/>
      <c r="BH1409" s="4"/>
      <c r="BI1409" s="4"/>
      <c r="BJ1409" s="4"/>
      <c r="BK1409" s="4"/>
      <c r="BL1409" s="4"/>
      <c r="BM1409" s="4"/>
      <c r="BN1409" s="4"/>
      <c r="BO1409" s="4"/>
      <c r="BP1409" s="4"/>
      <c r="BQ1409" s="4"/>
      <c r="BR1409" s="4"/>
      <c r="BS1409" s="4"/>
      <c r="BT1409" s="4"/>
      <c r="BU1409" s="4"/>
      <c r="BV1409" s="4"/>
      <c r="BW1409" s="4"/>
      <c r="BX1409" s="4"/>
      <c r="BY1409" s="4"/>
      <c r="BZ1409" s="4"/>
      <c r="CA1409" s="4"/>
      <c r="CB1409" s="4"/>
      <c r="CC1409" s="4"/>
      <c r="CD1409" s="4"/>
      <c r="CE1409" s="4"/>
      <c r="CF1409" s="4"/>
      <c r="CG1409" s="4"/>
      <c r="CH1409" s="4"/>
      <c r="CI1409" s="4"/>
      <c r="CJ1409" s="4"/>
      <c r="CK1409" s="4"/>
      <c r="CL1409" s="4"/>
      <c r="CM1409" s="4"/>
      <c r="CN1409" s="4"/>
      <c r="CO1409" s="4"/>
      <c r="CP1409" s="4"/>
      <c r="CQ1409" s="4"/>
      <c r="CR1409" s="4"/>
      <c r="CS1409" s="4"/>
      <c r="CT1409" s="4"/>
      <c r="CU1409" s="4"/>
      <c r="CV1409" s="4"/>
      <c r="CW1409" s="4"/>
      <c r="CX1409" s="4"/>
      <c r="CY1409" s="4"/>
      <c r="CZ1409" s="4"/>
      <c r="DA1409" s="4"/>
      <c r="DB1409" s="4"/>
      <c r="DC1409" s="4"/>
      <c r="DD1409" s="4"/>
      <c r="DE1409" s="4"/>
      <c r="DF1409" s="4"/>
      <c r="DG1409" s="4"/>
      <c r="DH1409" s="4"/>
      <c r="DI1409" s="4"/>
      <c r="DJ1409" s="4"/>
      <c r="DK1409" s="4"/>
      <c r="DL1409" s="4"/>
      <c r="DM1409" s="4"/>
      <c r="DN1409" s="4"/>
      <c r="DO1409" s="4"/>
      <c r="DP1409" s="4"/>
      <c r="DQ1409" s="4"/>
      <c r="DR1409" s="4"/>
      <c r="DS1409" s="4"/>
    </row>
    <row r="1410">
      <c r="A1410" s="9">
        <f>IFERROR(__xludf.DUMMYFUNCTION("""COMPUTED_VALUE"""),45870.0)</f>
        <v>45870</v>
      </c>
      <c r="B1410" s="6" t="str">
        <f>IFERROR(__xludf.DUMMYFUNCTION("""COMPUTED_VALUE"""),"Pets")</f>
        <v>Pets</v>
      </c>
      <c r="C1410" s="7">
        <f>IFERROR(__xludf.DUMMYFUNCTION("""COMPUTED_VALUE"""),24500.0)</f>
        <v>24500</v>
      </c>
      <c r="D1410" s="6" t="str">
        <f>IFERROR(__xludf.DUMMYFUNCTION("""COMPUTED_VALUE"""),"Pets")</f>
        <v>Pets</v>
      </c>
      <c r="E1410" s="6" t="str">
        <f>IFERROR(__xludf.DUMMYFUNCTION("""COMPUTED_VALUE"""),"Split Payment")</f>
        <v>Split Payment</v>
      </c>
      <c r="F1410" s="6" t="s">
        <v>7</v>
      </c>
      <c r="G1410" s="8" t="str">
        <f t="shared" si="1"/>
        <v>202508</v>
      </c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  <c r="AA1410" s="4"/>
      <c r="AB1410" s="4"/>
      <c r="AC1410" s="4"/>
      <c r="AD1410" s="4"/>
      <c r="AE1410" s="4"/>
      <c r="AF1410" s="4"/>
      <c r="AG1410" s="4"/>
      <c r="AH1410" s="4"/>
      <c r="AI1410" s="4"/>
      <c r="AJ1410" s="4"/>
      <c r="AK1410" s="4"/>
      <c r="AL1410" s="4"/>
      <c r="AM1410" s="4"/>
      <c r="AN1410" s="4"/>
      <c r="AO1410" s="4"/>
      <c r="AP1410" s="4"/>
      <c r="AQ1410" s="4"/>
      <c r="AR1410" s="4"/>
      <c r="AS1410" s="4"/>
      <c r="AT1410" s="4"/>
      <c r="AU1410" s="4"/>
      <c r="AV1410" s="4"/>
      <c r="AW1410" s="4"/>
      <c r="AX1410" s="4"/>
      <c r="AY1410" s="4"/>
      <c r="AZ1410" s="4"/>
      <c r="BA1410" s="4"/>
      <c r="BB1410" s="4"/>
      <c r="BC1410" s="4"/>
      <c r="BD1410" s="4"/>
      <c r="BE1410" s="4"/>
      <c r="BF1410" s="4"/>
      <c r="BG1410" s="4"/>
      <c r="BH1410" s="4"/>
      <c r="BI1410" s="4"/>
      <c r="BJ1410" s="4"/>
      <c r="BK1410" s="4"/>
      <c r="BL1410" s="4"/>
      <c r="BM1410" s="4"/>
      <c r="BN1410" s="4"/>
      <c r="BO1410" s="4"/>
      <c r="BP1410" s="4"/>
      <c r="BQ1410" s="4"/>
      <c r="BR1410" s="4"/>
      <c r="BS1410" s="4"/>
      <c r="BT1410" s="4"/>
      <c r="BU1410" s="4"/>
      <c r="BV1410" s="4"/>
      <c r="BW1410" s="4"/>
      <c r="BX1410" s="4"/>
      <c r="BY1410" s="4"/>
      <c r="BZ1410" s="4"/>
      <c r="CA1410" s="4"/>
      <c r="CB1410" s="4"/>
      <c r="CC1410" s="4"/>
      <c r="CD1410" s="4"/>
      <c r="CE1410" s="4"/>
      <c r="CF1410" s="4"/>
      <c r="CG1410" s="4"/>
      <c r="CH1410" s="4"/>
      <c r="CI1410" s="4"/>
      <c r="CJ1410" s="4"/>
      <c r="CK1410" s="4"/>
      <c r="CL1410" s="4"/>
      <c r="CM1410" s="4"/>
      <c r="CN1410" s="4"/>
      <c r="CO1410" s="4"/>
      <c r="CP1410" s="4"/>
      <c r="CQ1410" s="4"/>
      <c r="CR1410" s="4"/>
      <c r="CS1410" s="4"/>
      <c r="CT1410" s="4"/>
      <c r="CU1410" s="4"/>
      <c r="CV1410" s="4"/>
      <c r="CW1410" s="4"/>
      <c r="CX1410" s="4"/>
      <c r="CY1410" s="4"/>
      <c r="CZ1410" s="4"/>
      <c r="DA1410" s="4"/>
      <c r="DB1410" s="4"/>
      <c r="DC1410" s="4"/>
      <c r="DD1410" s="4"/>
      <c r="DE1410" s="4"/>
      <c r="DF1410" s="4"/>
      <c r="DG1410" s="4"/>
      <c r="DH1410" s="4"/>
      <c r="DI1410" s="4"/>
      <c r="DJ1410" s="4"/>
      <c r="DK1410" s="4"/>
      <c r="DL1410" s="4"/>
      <c r="DM1410" s="4"/>
      <c r="DN1410" s="4"/>
      <c r="DO1410" s="4"/>
      <c r="DP1410" s="4"/>
      <c r="DQ1410" s="4"/>
      <c r="DR1410" s="4"/>
      <c r="DS1410" s="4"/>
    </row>
    <row r="1411">
      <c r="A1411" s="9">
        <f>IFERROR(__xludf.DUMMYFUNCTION("""COMPUTED_VALUE"""),45870.0)</f>
        <v>45870</v>
      </c>
      <c r="B1411" s="6" t="str">
        <f>IFERROR(__xludf.DUMMYFUNCTION("""COMPUTED_VALUE"""),"Pharmacy")</f>
        <v>Pharmacy</v>
      </c>
      <c r="C1411" s="7">
        <f>IFERROR(__xludf.DUMMYFUNCTION("""COMPUTED_VALUE"""),4570.0)</f>
        <v>4570</v>
      </c>
      <c r="D1411" s="6" t="str">
        <f>IFERROR(__xludf.DUMMYFUNCTION("""COMPUTED_VALUE"""),"Healthcare")</f>
        <v>Healthcare</v>
      </c>
      <c r="E1411" s="6" t="str">
        <f>IFERROR(__xludf.DUMMYFUNCTION("""COMPUTED_VALUE"""),"Split Payment")</f>
        <v>Split Payment</v>
      </c>
      <c r="F1411" s="6" t="s">
        <v>15</v>
      </c>
      <c r="G1411" s="8" t="str">
        <f t="shared" si="1"/>
        <v>202508</v>
      </c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  <c r="AA1411" s="4"/>
      <c r="AB1411" s="4"/>
      <c r="AC1411" s="4"/>
      <c r="AD1411" s="4"/>
      <c r="AE1411" s="4"/>
      <c r="AF1411" s="4"/>
      <c r="AG1411" s="4"/>
      <c r="AH1411" s="4"/>
      <c r="AI1411" s="4"/>
      <c r="AJ1411" s="4"/>
      <c r="AK1411" s="4"/>
      <c r="AL1411" s="4"/>
      <c r="AM1411" s="4"/>
      <c r="AN1411" s="4"/>
      <c r="AO1411" s="4"/>
      <c r="AP1411" s="4"/>
      <c r="AQ1411" s="4"/>
      <c r="AR1411" s="4"/>
      <c r="AS1411" s="4"/>
      <c r="AT1411" s="4"/>
      <c r="AU1411" s="4"/>
      <c r="AV1411" s="4"/>
      <c r="AW1411" s="4"/>
      <c r="AX1411" s="4"/>
      <c r="AY1411" s="4"/>
      <c r="AZ1411" s="4"/>
      <c r="BA1411" s="4"/>
      <c r="BB1411" s="4"/>
      <c r="BC1411" s="4"/>
      <c r="BD1411" s="4"/>
      <c r="BE1411" s="4"/>
      <c r="BF1411" s="4"/>
      <c r="BG1411" s="4"/>
      <c r="BH1411" s="4"/>
      <c r="BI1411" s="4"/>
      <c r="BJ1411" s="4"/>
      <c r="BK1411" s="4"/>
      <c r="BL1411" s="4"/>
      <c r="BM1411" s="4"/>
      <c r="BN1411" s="4"/>
      <c r="BO1411" s="4"/>
      <c r="BP1411" s="4"/>
      <c r="BQ1411" s="4"/>
      <c r="BR1411" s="4"/>
      <c r="BS1411" s="4"/>
      <c r="BT1411" s="4"/>
      <c r="BU1411" s="4"/>
      <c r="BV1411" s="4"/>
      <c r="BW1411" s="4"/>
      <c r="BX1411" s="4"/>
      <c r="BY1411" s="4"/>
      <c r="BZ1411" s="4"/>
      <c r="CA1411" s="4"/>
      <c r="CB1411" s="4"/>
      <c r="CC1411" s="4"/>
      <c r="CD1411" s="4"/>
      <c r="CE1411" s="4"/>
      <c r="CF1411" s="4"/>
      <c r="CG1411" s="4"/>
      <c r="CH1411" s="4"/>
      <c r="CI1411" s="4"/>
      <c r="CJ1411" s="4"/>
      <c r="CK1411" s="4"/>
      <c r="CL1411" s="4"/>
      <c r="CM1411" s="4"/>
      <c r="CN1411" s="4"/>
      <c r="CO1411" s="4"/>
      <c r="CP1411" s="4"/>
      <c r="CQ1411" s="4"/>
      <c r="CR1411" s="4"/>
      <c r="CS1411" s="4"/>
      <c r="CT1411" s="4"/>
      <c r="CU1411" s="4"/>
      <c r="CV1411" s="4"/>
      <c r="CW1411" s="4"/>
      <c r="CX1411" s="4"/>
      <c r="CY1411" s="4"/>
      <c r="CZ1411" s="4"/>
      <c r="DA1411" s="4"/>
      <c r="DB1411" s="4"/>
      <c r="DC1411" s="4"/>
      <c r="DD1411" s="4"/>
      <c r="DE1411" s="4"/>
      <c r="DF1411" s="4"/>
      <c r="DG1411" s="4"/>
      <c r="DH1411" s="4"/>
      <c r="DI1411" s="4"/>
      <c r="DJ1411" s="4"/>
      <c r="DK1411" s="4"/>
      <c r="DL1411" s="4"/>
      <c r="DM1411" s="4"/>
      <c r="DN1411" s="4"/>
      <c r="DO1411" s="4"/>
      <c r="DP1411" s="4"/>
      <c r="DQ1411" s="4"/>
      <c r="DR1411" s="4"/>
      <c r="DS1411" s="4"/>
    </row>
    <row r="1412">
      <c r="A1412" s="9">
        <f>IFERROR(__xludf.DUMMYFUNCTION("""COMPUTED_VALUE"""),45871.0)</f>
        <v>45871</v>
      </c>
      <c r="B1412" s="6" t="str">
        <f>IFERROR(__xludf.DUMMYFUNCTION("""COMPUTED_VALUE"""),"Mobile Plan")</f>
        <v>Mobile Plan</v>
      </c>
      <c r="C1412" s="7">
        <f>IFERROR(__xludf.DUMMYFUNCTION("""COMPUTED_VALUE"""),10300.0)</f>
        <v>10300</v>
      </c>
      <c r="D1412" s="6" t="str">
        <f>IFERROR(__xludf.DUMMYFUNCTION("""COMPUTED_VALUE"""),"Basic Services")</f>
        <v>Basic Services</v>
      </c>
      <c r="E1412" s="6" t="str">
        <f>IFERROR(__xludf.DUMMYFUNCTION("""COMPUTED_VALUE"""),"Virtual Wallet")</f>
        <v>Virtual Wallet</v>
      </c>
      <c r="F1412" s="6" t="s">
        <v>13</v>
      </c>
      <c r="G1412" s="8" t="str">
        <f t="shared" si="1"/>
        <v>202508</v>
      </c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  <c r="AA1412" s="4"/>
      <c r="AB1412" s="4"/>
      <c r="AC1412" s="4"/>
      <c r="AD1412" s="4"/>
      <c r="AE1412" s="4"/>
      <c r="AF1412" s="4"/>
      <c r="AG1412" s="4"/>
      <c r="AH1412" s="4"/>
      <c r="AI1412" s="4"/>
      <c r="AJ1412" s="4"/>
      <c r="AK1412" s="4"/>
      <c r="AL1412" s="4"/>
      <c r="AM1412" s="4"/>
      <c r="AN1412" s="4"/>
      <c r="AO1412" s="4"/>
      <c r="AP1412" s="4"/>
      <c r="AQ1412" s="4"/>
      <c r="AR1412" s="4"/>
      <c r="AS1412" s="4"/>
      <c r="AT1412" s="4"/>
      <c r="AU1412" s="4"/>
      <c r="AV1412" s="4"/>
      <c r="AW1412" s="4"/>
      <c r="AX1412" s="4"/>
      <c r="AY1412" s="4"/>
      <c r="AZ1412" s="4"/>
      <c r="BA1412" s="4"/>
      <c r="BB1412" s="4"/>
      <c r="BC1412" s="4"/>
      <c r="BD1412" s="4"/>
      <c r="BE1412" s="4"/>
      <c r="BF1412" s="4"/>
      <c r="BG1412" s="4"/>
      <c r="BH1412" s="4"/>
      <c r="BI1412" s="4"/>
      <c r="BJ1412" s="4"/>
      <c r="BK1412" s="4"/>
      <c r="BL1412" s="4"/>
      <c r="BM1412" s="4"/>
      <c r="BN1412" s="4"/>
      <c r="BO1412" s="4"/>
      <c r="BP1412" s="4"/>
      <c r="BQ1412" s="4"/>
      <c r="BR1412" s="4"/>
      <c r="BS1412" s="4"/>
      <c r="BT1412" s="4"/>
      <c r="BU1412" s="4"/>
      <c r="BV1412" s="4"/>
      <c r="BW1412" s="4"/>
      <c r="BX1412" s="4"/>
      <c r="BY1412" s="4"/>
      <c r="BZ1412" s="4"/>
      <c r="CA1412" s="4"/>
      <c r="CB1412" s="4"/>
      <c r="CC1412" s="4"/>
      <c r="CD1412" s="4"/>
      <c r="CE1412" s="4"/>
      <c r="CF1412" s="4"/>
      <c r="CG1412" s="4"/>
      <c r="CH1412" s="4"/>
      <c r="CI1412" s="4"/>
      <c r="CJ1412" s="4"/>
      <c r="CK1412" s="4"/>
      <c r="CL1412" s="4"/>
      <c r="CM1412" s="4"/>
      <c r="CN1412" s="4"/>
      <c r="CO1412" s="4"/>
      <c r="CP1412" s="4"/>
      <c r="CQ1412" s="4"/>
      <c r="CR1412" s="4"/>
      <c r="CS1412" s="4"/>
      <c r="CT1412" s="4"/>
      <c r="CU1412" s="4"/>
      <c r="CV1412" s="4"/>
      <c r="CW1412" s="4"/>
      <c r="CX1412" s="4"/>
      <c r="CY1412" s="4"/>
      <c r="CZ1412" s="4"/>
      <c r="DA1412" s="4"/>
      <c r="DB1412" s="4"/>
      <c r="DC1412" s="4"/>
      <c r="DD1412" s="4"/>
      <c r="DE1412" s="4"/>
      <c r="DF1412" s="4"/>
      <c r="DG1412" s="4"/>
      <c r="DH1412" s="4"/>
      <c r="DI1412" s="4"/>
      <c r="DJ1412" s="4"/>
      <c r="DK1412" s="4"/>
      <c r="DL1412" s="4"/>
      <c r="DM1412" s="4"/>
      <c r="DN1412" s="4"/>
      <c r="DO1412" s="4"/>
      <c r="DP1412" s="4"/>
      <c r="DQ1412" s="4"/>
      <c r="DR1412" s="4"/>
      <c r="DS1412" s="4"/>
    </row>
    <row r="1413">
      <c r="A1413" s="9">
        <f>IFERROR(__xludf.DUMMYFUNCTION("""COMPUTED_VALUE"""),45871.0)</f>
        <v>45871</v>
      </c>
      <c r="B1413" s="6" t="str">
        <f>IFERROR(__xludf.DUMMYFUNCTION("""COMPUTED_VALUE"""),"Education")</f>
        <v>Education</v>
      </c>
      <c r="C1413" s="7">
        <f>IFERROR(__xludf.DUMMYFUNCTION("""COMPUTED_VALUE"""),1800.0)</f>
        <v>1800</v>
      </c>
      <c r="D1413" s="6" t="str">
        <f>IFERROR(__xludf.DUMMYFUNCTION("""COMPUTED_VALUE"""),"Education")</f>
        <v>Education</v>
      </c>
      <c r="E1413" s="6" t="str">
        <f>IFERROR(__xludf.DUMMYFUNCTION("""COMPUTED_VALUE"""),"Credit Card")</f>
        <v>Credit Card</v>
      </c>
      <c r="F1413" s="6" t="s">
        <v>11</v>
      </c>
      <c r="G1413" s="8" t="str">
        <f t="shared" si="1"/>
        <v>202508</v>
      </c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  <c r="AA1413" s="4"/>
      <c r="AB1413" s="4"/>
      <c r="AC1413" s="4"/>
      <c r="AD1413" s="4"/>
      <c r="AE1413" s="4"/>
      <c r="AF1413" s="4"/>
      <c r="AG1413" s="4"/>
      <c r="AH1413" s="4"/>
      <c r="AI1413" s="4"/>
      <c r="AJ1413" s="4"/>
      <c r="AK1413" s="4"/>
      <c r="AL1413" s="4"/>
      <c r="AM1413" s="4"/>
      <c r="AN1413" s="4"/>
      <c r="AO1413" s="4"/>
      <c r="AP1413" s="4"/>
      <c r="AQ1413" s="4"/>
      <c r="AR1413" s="4"/>
      <c r="AS1413" s="4"/>
      <c r="AT1413" s="4"/>
      <c r="AU1413" s="4"/>
      <c r="AV1413" s="4"/>
      <c r="AW1413" s="4"/>
      <c r="AX1413" s="4"/>
      <c r="AY1413" s="4"/>
      <c r="AZ1413" s="4"/>
      <c r="BA1413" s="4"/>
      <c r="BB1413" s="4"/>
      <c r="BC1413" s="4"/>
      <c r="BD1413" s="4"/>
      <c r="BE1413" s="4"/>
      <c r="BF1413" s="4"/>
      <c r="BG1413" s="4"/>
      <c r="BH1413" s="4"/>
      <c r="BI1413" s="4"/>
      <c r="BJ1413" s="4"/>
      <c r="BK1413" s="4"/>
      <c r="BL1413" s="4"/>
      <c r="BM1413" s="4"/>
      <c r="BN1413" s="4"/>
      <c r="BO1413" s="4"/>
      <c r="BP1413" s="4"/>
      <c r="BQ1413" s="4"/>
      <c r="BR1413" s="4"/>
      <c r="BS1413" s="4"/>
      <c r="BT1413" s="4"/>
      <c r="BU1413" s="4"/>
      <c r="BV1413" s="4"/>
      <c r="BW1413" s="4"/>
      <c r="BX1413" s="4"/>
      <c r="BY1413" s="4"/>
      <c r="BZ1413" s="4"/>
      <c r="CA1413" s="4"/>
      <c r="CB1413" s="4"/>
      <c r="CC1413" s="4"/>
      <c r="CD1413" s="4"/>
      <c r="CE1413" s="4"/>
      <c r="CF1413" s="4"/>
      <c r="CG1413" s="4"/>
      <c r="CH1413" s="4"/>
      <c r="CI1413" s="4"/>
      <c r="CJ1413" s="4"/>
      <c r="CK1413" s="4"/>
      <c r="CL1413" s="4"/>
      <c r="CM1413" s="4"/>
      <c r="CN1413" s="4"/>
      <c r="CO1413" s="4"/>
      <c r="CP1413" s="4"/>
      <c r="CQ1413" s="4"/>
      <c r="CR1413" s="4"/>
      <c r="CS1413" s="4"/>
      <c r="CT1413" s="4"/>
      <c r="CU1413" s="4"/>
      <c r="CV1413" s="4"/>
      <c r="CW1413" s="4"/>
      <c r="CX1413" s="4"/>
      <c r="CY1413" s="4"/>
      <c r="CZ1413" s="4"/>
      <c r="DA1413" s="4"/>
      <c r="DB1413" s="4"/>
      <c r="DC1413" s="4"/>
      <c r="DD1413" s="4"/>
      <c r="DE1413" s="4"/>
      <c r="DF1413" s="4"/>
      <c r="DG1413" s="4"/>
      <c r="DH1413" s="4"/>
      <c r="DI1413" s="4"/>
      <c r="DJ1413" s="4"/>
      <c r="DK1413" s="4"/>
      <c r="DL1413" s="4"/>
      <c r="DM1413" s="4"/>
      <c r="DN1413" s="4"/>
      <c r="DO1413" s="4"/>
      <c r="DP1413" s="4"/>
      <c r="DQ1413" s="4"/>
      <c r="DR1413" s="4"/>
      <c r="DS1413" s="4"/>
    </row>
    <row r="1414">
      <c r="A1414" s="9">
        <f>IFERROR(__xludf.DUMMYFUNCTION("""COMPUTED_VALUE"""),45871.0)</f>
        <v>45871</v>
      </c>
      <c r="B1414" s="6" t="str">
        <f>IFERROR(__xludf.DUMMYFUNCTION("""COMPUTED_VALUE"""),"Education")</f>
        <v>Education</v>
      </c>
      <c r="C1414" s="7">
        <f>IFERROR(__xludf.DUMMYFUNCTION("""COMPUTED_VALUE"""),20000.0)</f>
        <v>20000</v>
      </c>
      <c r="D1414" s="6" t="str">
        <f>IFERROR(__xludf.DUMMYFUNCTION("""COMPUTED_VALUE"""),"Education")</f>
        <v>Education</v>
      </c>
      <c r="E1414" s="6" t="str">
        <f>IFERROR(__xludf.DUMMYFUNCTION("""COMPUTED_VALUE"""),"Credit Card")</f>
        <v>Credit Card</v>
      </c>
      <c r="F1414" s="6" t="s">
        <v>11</v>
      </c>
      <c r="G1414" s="8" t="str">
        <f t="shared" si="1"/>
        <v>202508</v>
      </c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  <c r="AA1414" s="4"/>
      <c r="AB1414" s="4"/>
      <c r="AC1414" s="4"/>
      <c r="AD1414" s="4"/>
      <c r="AE1414" s="4"/>
      <c r="AF1414" s="4"/>
      <c r="AG1414" s="4"/>
      <c r="AH1414" s="4"/>
      <c r="AI1414" s="4"/>
      <c r="AJ1414" s="4"/>
      <c r="AK1414" s="4"/>
      <c r="AL1414" s="4"/>
      <c r="AM1414" s="4"/>
      <c r="AN1414" s="4"/>
      <c r="AO1414" s="4"/>
      <c r="AP1414" s="4"/>
      <c r="AQ1414" s="4"/>
      <c r="AR1414" s="4"/>
      <c r="AS1414" s="4"/>
      <c r="AT1414" s="4"/>
      <c r="AU1414" s="4"/>
      <c r="AV1414" s="4"/>
      <c r="AW1414" s="4"/>
      <c r="AX1414" s="4"/>
      <c r="AY1414" s="4"/>
      <c r="AZ1414" s="4"/>
      <c r="BA1414" s="4"/>
      <c r="BB1414" s="4"/>
      <c r="BC1414" s="4"/>
      <c r="BD1414" s="4"/>
      <c r="BE1414" s="4"/>
      <c r="BF1414" s="4"/>
      <c r="BG1414" s="4"/>
      <c r="BH1414" s="4"/>
      <c r="BI1414" s="4"/>
      <c r="BJ1414" s="4"/>
      <c r="BK1414" s="4"/>
      <c r="BL1414" s="4"/>
      <c r="BM1414" s="4"/>
      <c r="BN1414" s="4"/>
      <c r="BO1414" s="4"/>
      <c r="BP1414" s="4"/>
      <c r="BQ1414" s="4"/>
      <c r="BR1414" s="4"/>
      <c r="BS1414" s="4"/>
      <c r="BT1414" s="4"/>
      <c r="BU1414" s="4"/>
      <c r="BV1414" s="4"/>
      <c r="BW1414" s="4"/>
      <c r="BX1414" s="4"/>
      <c r="BY1414" s="4"/>
      <c r="BZ1414" s="4"/>
      <c r="CA1414" s="4"/>
      <c r="CB1414" s="4"/>
      <c r="CC1414" s="4"/>
      <c r="CD1414" s="4"/>
      <c r="CE1414" s="4"/>
      <c r="CF1414" s="4"/>
      <c r="CG1414" s="4"/>
      <c r="CH1414" s="4"/>
      <c r="CI1414" s="4"/>
      <c r="CJ1414" s="4"/>
      <c r="CK1414" s="4"/>
      <c r="CL1414" s="4"/>
      <c r="CM1414" s="4"/>
      <c r="CN1414" s="4"/>
      <c r="CO1414" s="4"/>
      <c r="CP1414" s="4"/>
      <c r="CQ1414" s="4"/>
      <c r="CR1414" s="4"/>
      <c r="CS1414" s="4"/>
      <c r="CT1414" s="4"/>
      <c r="CU1414" s="4"/>
      <c r="CV1414" s="4"/>
      <c r="CW1414" s="4"/>
      <c r="CX1414" s="4"/>
      <c r="CY1414" s="4"/>
      <c r="CZ1414" s="4"/>
      <c r="DA1414" s="4"/>
      <c r="DB1414" s="4"/>
      <c r="DC1414" s="4"/>
      <c r="DD1414" s="4"/>
      <c r="DE1414" s="4"/>
      <c r="DF1414" s="4"/>
      <c r="DG1414" s="4"/>
      <c r="DH1414" s="4"/>
      <c r="DI1414" s="4"/>
      <c r="DJ1414" s="4"/>
      <c r="DK1414" s="4"/>
      <c r="DL1414" s="4"/>
      <c r="DM1414" s="4"/>
      <c r="DN1414" s="4"/>
      <c r="DO1414" s="4"/>
      <c r="DP1414" s="4"/>
      <c r="DQ1414" s="4"/>
      <c r="DR1414" s="4"/>
      <c r="DS1414" s="4"/>
    </row>
    <row r="1415">
      <c r="A1415" s="9">
        <f>IFERROR(__xludf.DUMMYFUNCTION("""COMPUTED_VALUE"""),45871.0)</f>
        <v>45871</v>
      </c>
      <c r="B1415" s="6" t="str">
        <f>IFERROR(__xludf.DUMMYFUNCTION("""COMPUTED_VALUE"""),"Education")</f>
        <v>Education</v>
      </c>
      <c r="C1415" s="7">
        <f>IFERROR(__xludf.DUMMYFUNCTION("""COMPUTED_VALUE"""),3000.0)</f>
        <v>3000</v>
      </c>
      <c r="D1415" s="6" t="str">
        <f>IFERROR(__xludf.DUMMYFUNCTION("""COMPUTED_VALUE"""),"Education")</f>
        <v>Education</v>
      </c>
      <c r="E1415" s="6" t="str">
        <f>IFERROR(__xludf.DUMMYFUNCTION("""COMPUTED_VALUE"""),"Credit Card")</f>
        <v>Credit Card</v>
      </c>
      <c r="F1415" s="6" t="s">
        <v>11</v>
      </c>
      <c r="G1415" s="8" t="str">
        <f t="shared" si="1"/>
        <v>202508</v>
      </c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  <c r="AA1415" s="4"/>
      <c r="AB1415" s="4"/>
      <c r="AC1415" s="4"/>
      <c r="AD1415" s="4"/>
      <c r="AE1415" s="4"/>
      <c r="AF1415" s="4"/>
      <c r="AG1415" s="4"/>
      <c r="AH1415" s="4"/>
      <c r="AI1415" s="4"/>
      <c r="AJ1415" s="4"/>
      <c r="AK1415" s="4"/>
      <c r="AL1415" s="4"/>
      <c r="AM1415" s="4"/>
      <c r="AN1415" s="4"/>
      <c r="AO1415" s="4"/>
      <c r="AP1415" s="4"/>
      <c r="AQ1415" s="4"/>
      <c r="AR1415" s="4"/>
      <c r="AS1415" s="4"/>
      <c r="AT1415" s="4"/>
      <c r="AU1415" s="4"/>
      <c r="AV1415" s="4"/>
      <c r="AW1415" s="4"/>
      <c r="AX1415" s="4"/>
      <c r="AY1415" s="4"/>
      <c r="AZ1415" s="4"/>
      <c r="BA1415" s="4"/>
      <c r="BB1415" s="4"/>
      <c r="BC1415" s="4"/>
      <c r="BD1415" s="4"/>
      <c r="BE1415" s="4"/>
      <c r="BF1415" s="4"/>
      <c r="BG1415" s="4"/>
      <c r="BH1415" s="4"/>
      <c r="BI1415" s="4"/>
      <c r="BJ1415" s="4"/>
      <c r="BK1415" s="4"/>
      <c r="BL1415" s="4"/>
      <c r="BM1415" s="4"/>
      <c r="BN1415" s="4"/>
      <c r="BO1415" s="4"/>
      <c r="BP1415" s="4"/>
      <c r="BQ1415" s="4"/>
      <c r="BR1415" s="4"/>
      <c r="BS1415" s="4"/>
      <c r="BT1415" s="4"/>
      <c r="BU1415" s="4"/>
      <c r="BV1415" s="4"/>
      <c r="BW1415" s="4"/>
      <c r="BX1415" s="4"/>
      <c r="BY1415" s="4"/>
      <c r="BZ1415" s="4"/>
      <c r="CA1415" s="4"/>
      <c r="CB1415" s="4"/>
      <c r="CC1415" s="4"/>
      <c r="CD1415" s="4"/>
      <c r="CE1415" s="4"/>
      <c r="CF1415" s="4"/>
      <c r="CG1415" s="4"/>
      <c r="CH1415" s="4"/>
      <c r="CI1415" s="4"/>
      <c r="CJ1415" s="4"/>
      <c r="CK1415" s="4"/>
      <c r="CL1415" s="4"/>
      <c r="CM1415" s="4"/>
      <c r="CN1415" s="4"/>
      <c r="CO1415" s="4"/>
      <c r="CP1415" s="4"/>
      <c r="CQ1415" s="4"/>
      <c r="CR1415" s="4"/>
      <c r="CS1415" s="4"/>
      <c r="CT1415" s="4"/>
      <c r="CU1415" s="4"/>
      <c r="CV1415" s="4"/>
      <c r="CW1415" s="4"/>
      <c r="CX1415" s="4"/>
      <c r="CY1415" s="4"/>
      <c r="CZ1415" s="4"/>
      <c r="DA1415" s="4"/>
      <c r="DB1415" s="4"/>
      <c r="DC1415" s="4"/>
      <c r="DD1415" s="4"/>
      <c r="DE1415" s="4"/>
      <c r="DF1415" s="4"/>
      <c r="DG1415" s="4"/>
      <c r="DH1415" s="4"/>
      <c r="DI1415" s="4"/>
      <c r="DJ1415" s="4"/>
      <c r="DK1415" s="4"/>
      <c r="DL1415" s="4"/>
      <c r="DM1415" s="4"/>
      <c r="DN1415" s="4"/>
      <c r="DO1415" s="4"/>
      <c r="DP1415" s="4"/>
      <c r="DQ1415" s="4"/>
      <c r="DR1415" s="4"/>
      <c r="DS1415" s="4"/>
    </row>
    <row r="1416">
      <c r="A1416" s="9">
        <f>IFERROR(__xludf.DUMMYFUNCTION("""COMPUTED_VALUE"""),45872.0)</f>
        <v>45872</v>
      </c>
      <c r="B1416" s="6" t="str">
        <f>IFERROR(__xludf.DUMMYFUNCTION("""COMPUTED_VALUE"""),"Restaurant")</f>
        <v>Restaurant</v>
      </c>
      <c r="C1416" s="7">
        <f>IFERROR(__xludf.DUMMYFUNCTION("""COMPUTED_VALUE"""),9100.0)</f>
        <v>9100</v>
      </c>
      <c r="D1416" s="6" t="str">
        <f>IFERROR(__xludf.DUMMYFUNCTION("""COMPUTED_VALUE"""),"Restaurant / Café")</f>
        <v>Restaurant / Café</v>
      </c>
      <c r="E1416" s="6" t="str">
        <f>IFERROR(__xludf.DUMMYFUNCTION("""COMPUTED_VALUE"""),"Virtual Wallet")</f>
        <v>Virtual Wallet</v>
      </c>
      <c r="F1416" s="6" t="s">
        <v>14</v>
      </c>
      <c r="G1416" s="8" t="str">
        <f t="shared" si="1"/>
        <v>202508</v>
      </c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  <c r="AA1416" s="4"/>
      <c r="AB1416" s="4"/>
      <c r="AC1416" s="4"/>
      <c r="AD1416" s="4"/>
      <c r="AE1416" s="4"/>
      <c r="AF1416" s="4"/>
      <c r="AG1416" s="4"/>
      <c r="AH1416" s="4"/>
      <c r="AI1416" s="4"/>
      <c r="AJ1416" s="4"/>
      <c r="AK1416" s="4"/>
      <c r="AL1416" s="4"/>
      <c r="AM1416" s="4"/>
      <c r="AN1416" s="4"/>
      <c r="AO1416" s="4"/>
      <c r="AP1416" s="4"/>
      <c r="AQ1416" s="4"/>
      <c r="AR1416" s="4"/>
      <c r="AS1416" s="4"/>
      <c r="AT1416" s="4"/>
      <c r="AU1416" s="4"/>
      <c r="AV1416" s="4"/>
      <c r="AW1416" s="4"/>
      <c r="AX1416" s="4"/>
      <c r="AY1416" s="4"/>
      <c r="AZ1416" s="4"/>
      <c r="BA1416" s="4"/>
      <c r="BB1416" s="4"/>
      <c r="BC1416" s="4"/>
      <c r="BD1416" s="4"/>
      <c r="BE1416" s="4"/>
      <c r="BF1416" s="4"/>
      <c r="BG1416" s="4"/>
      <c r="BH1416" s="4"/>
      <c r="BI1416" s="4"/>
      <c r="BJ1416" s="4"/>
      <c r="BK1416" s="4"/>
      <c r="BL1416" s="4"/>
      <c r="BM1416" s="4"/>
      <c r="BN1416" s="4"/>
      <c r="BO1416" s="4"/>
      <c r="BP1416" s="4"/>
      <c r="BQ1416" s="4"/>
      <c r="BR1416" s="4"/>
      <c r="BS1416" s="4"/>
      <c r="BT1416" s="4"/>
      <c r="BU1416" s="4"/>
      <c r="BV1416" s="4"/>
      <c r="BW1416" s="4"/>
      <c r="BX1416" s="4"/>
      <c r="BY1416" s="4"/>
      <c r="BZ1416" s="4"/>
      <c r="CA1416" s="4"/>
      <c r="CB1416" s="4"/>
      <c r="CC1416" s="4"/>
      <c r="CD1416" s="4"/>
      <c r="CE1416" s="4"/>
      <c r="CF1416" s="4"/>
      <c r="CG1416" s="4"/>
      <c r="CH1416" s="4"/>
      <c r="CI1416" s="4"/>
      <c r="CJ1416" s="4"/>
      <c r="CK1416" s="4"/>
      <c r="CL1416" s="4"/>
      <c r="CM1416" s="4"/>
      <c r="CN1416" s="4"/>
      <c r="CO1416" s="4"/>
      <c r="CP1416" s="4"/>
      <c r="CQ1416" s="4"/>
      <c r="CR1416" s="4"/>
      <c r="CS1416" s="4"/>
      <c r="CT1416" s="4"/>
      <c r="CU1416" s="4"/>
      <c r="CV1416" s="4"/>
      <c r="CW1416" s="4"/>
      <c r="CX1416" s="4"/>
      <c r="CY1416" s="4"/>
      <c r="CZ1416" s="4"/>
      <c r="DA1416" s="4"/>
      <c r="DB1416" s="4"/>
      <c r="DC1416" s="4"/>
      <c r="DD1416" s="4"/>
      <c r="DE1416" s="4"/>
      <c r="DF1416" s="4"/>
      <c r="DG1416" s="4"/>
      <c r="DH1416" s="4"/>
      <c r="DI1416" s="4"/>
      <c r="DJ1416" s="4"/>
      <c r="DK1416" s="4"/>
      <c r="DL1416" s="4"/>
      <c r="DM1416" s="4"/>
      <c r="DN1416" s="4"/>
      <c r="DO1416" s="4"/>
      <c r="DP1416" s="4"/>
      <c r="DQ1416" s="4"/>
      <c r="DR1416" s="4"/>
      <c r="DS1416" s="4"/>
    </row>
    <row r="1417">
      <c r="A1417" s="9">
        <f>IFERROR(__xludf.DUMMYFUNCTION("""COMPUTED_VALUE"""),45872.0)</f>
        <v>45872</v>
      </c>
      <c r="B1417" s="6" t="str">
        <f>IFERROR(__xludf.DUMMYFUNCTION("""COMPUTED_VALUE"""),"Groceries")</f>
        <v>Groceries</v>
      </c>
      <c r="C1417" s="7">
        <f>IFERROR(__xludf.DUMMYFUNCTION("""COMPUTED_VALUE"""),5985.0)</f>
        <v>5985</v>
      </c>
      <c r="D1417" s="6" t="str">
        <f>IFERROR(__xludf.DUMMYFUNCTION("""COMPUTED_VALUE"""),"Groceries")</f>
        <v>Groceries</v>
      </c>
      <c r="E1417" s="6" t="str">
        <f>IFERROR(__xludf.DUMMYFUNCTION("""COMPUTED_VALUE"""),"Virtual Wallet")</f>
        <v>Virtual Wallet</v>
      </c>
      <c r="F1417" s="6" t="s">
        <v>7</v>
      </c>
      <c r="G1417" s="8" t="str">
        <f t="shared" si="1"/>
        <v>202508</v>
      </c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  <c r="AA1417" s="4"/>
      <c r="AB1417" s="4"/>
      <c r="AC1417" s="4"/>
      <c r="AD1417" s="4"/>
      <c r="AE1417" s="4"/>
      <c r="AF1417" s="4"/>
      <c r="AG1417" s="4"/>
      <c r="AH1417" s="4"/>
      <c r="AI1417" s="4"/>
      <c r="AJ1417" s="4"/>
      <c r="AK1417" s="4"/>
      <c r="AL1417" s="4"/>
      <c r="AM1417" s="4"/>
      <c r="AN1417" s="4"/>
      <c r="AO1417" s="4"/>
      <c r="AP1417" s="4"/>
      <c r="AQ1417" s="4"/>
      <c r="AR1417" s="4"/>
      <c r="AS1417" s="4"/>
      <c r="AT1417" s="4"/>
      <c r="AU1417" s="4"/>
      <c r="AV1417" s="4"/>
      <c r="AW1417" s="4"/>
      <c r="AX1417" s="4"/>
      <c r="AY1417" s="4"/>
      <c r="AZ1417" s="4"/>
      <c r="BA1417" s="4"/>
      <c r="BB1417" s="4"/>
      <c r="BC1417" s="4"/>
      <c r="BD1417" s="4"/>
      <c r="BE1417" s="4"/>
      <c r="BF1417" s="4"/>
      <c r="BG1417" s="4"/>
      <c r="BH1417" s="4"/>
      <c r="BI1417" s="4"/>
      <c r="BJ1417" s="4"/>
      <c r="BK1417" s="4"/>
      <c r="BL1417" s="4"/>
      <c r="BM1417" s="4"/>
      <c r="BN1417" s="4"/>
      <c r="BO1417" s="4"/>
      <c r="BP1417" s="4"/>
      <c r="BQ1417" s="4"/>
      <c r="BR1417" s="4"/>
      <c r="BS1417" s="4"/>
      <c r="BT1417" s="4"/>
      <c r="BU1417" s="4"/>
      <c r="BV1417" s="4"/>
      <c r="BW1417" s="4"/>
      <c r="BX1417" s="4"/>
      <c r="BY1417" s="4"/>
      <c r="BZ1417" s="4"/>
      <c r="CA1417" s="4"/>
      <c r="CB1417" s="4"/>
      <c r="CC1417" s="4"/>
      <c r="CD1417" s="4"/>
      <c r="CE1417" s="4"/>
      <c r="CF1417" s="4"/>
      <c r="CG1417" s="4"/>
      <c r="CH1417" s="4"/>
      <c r="CI1417" s="4"/>
      <c r="CJ1417" s="4"/>
      <c r="CK1417" s="4"/>
      <c r="CL1417" s="4"/>
      <c r="CM1417" s="4"/>
      <c r="CN1417" s="4"/>
      <c r="CO1417" s="4"/>
      <c r="CP1417" s="4"/>
      <c r="CQ1417" s="4"/>
      <c r="CR1417" s="4"/>
      <c r="CS1417" s="4"/>
      <c r="CT1417" s="4"/>
      <c r="CU1417" s="4"/>
      <c r="CV1417" s="4"/>
      <c r="CW1417" s="4"/>
      <c r="CX1417" s="4"/>
      <c r="CY1417" s="4"/>
      <c r="CZ1417" s="4"/>
      <c r="DA1417" s="4"/>
      <c r="DB1417" s="4"/>
      <c r="DC1417" s="4"/>
      <c r="DD1417" s="4"/>
      <c r="DE1417" s="4"/>
      <c r="DF1417" s="4"/>
      <c r="DG1417" s="4"/>
      <c r="DH1417" s="4"/>
      <c r="DI1417" s="4"/>
      <c r="DJ1417" s="4"/>
      <c r="DK1417" s="4"/>
      <c r="DL1417" s="4"/>
      <c r="DM1417" s="4"/>
      <c r="DN1417" s="4"/>
      <c r="DO1417" s="4"/>
      <c r="DP1417" s="4"/>
      <c r="DQ1417" s="4"/>
      <c r="DR1417" s="4"/>
      <c r="DS1417" s="4"/>
    </row>
    <row r="1418">
      <c r="A1418" s="9">
        <f>IFERROR(__xludf.DUMMYFUNCTION("""COMPUTED_VALUE"""),45872.0)</f>
        <v>45872</v>
      </c>
      <c r="B1418" s="6" t="str">
        <f>IFERROR(__xludf.DUMMYFUNCTION("""COMPUTED_VALUE"""),"Rent &amp; Building Expenses")</f>
        <v>Rent &amp; Building Expenses</v>
      </c>
      <c r="C1418" s="7">
        <f>IFERROR(__xludf.DUMMYFUNCTION("""COMPUTED_VALUE"""),517689.0)</f>
        <v>517689</v>
      </c>
      <c r="D1418" s="6" t="str">
        <f>IFERROR(__xludf.DUMMYFUNCTION("""COMPUTED_VALUE"""),"Rent &amp; Utilities")</f>
        <v>Rent &amp; Utilities</v>
      </c>
      <c r="E1418" s="6" t="str">
        <f>IFERROR(__xludf.DUMMYFUNCTION("""COMPUTED_VALUE"""),"Virtual Wallet")</f>
        <v>Virtual Wallet</v>
      </c>
      <c r="F1418" s="6" t="s">
        <v>13</v>
      </c>
      <c r="G1418" s="8" t="str">
        <f t="shared" si="1"/>
        <v>202508</v>
      </c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  <c r="AA1418" s="4"/>
      <c r="AB1418" s="4"/>
      <c r="AC1418" s="4"/>
      <c r="AD1418" s="4"/>
      <c r="AE1418" s="4"/>
      <c r="AF1418" s="4"/>
      <c r="AG1418" s="4"/>
      <c r="AH1418" s="4"/>
      <c r="AI1418" s="4"/>
      <c r="AJ1418" s="4"/>
      <c r="AK1418" s="4"/>
      <c r="AL1418" s="4"/>
      <c r="AM1418" s="4"/>
      <c r="AN1418" s="4"/>
      <c r="AO1418" s="4"/>
      <c r="AP1418" s="4"/>
      <c r="AQ1418" s="4"/>
      <c r="AR1418" s="4"/>
      <c r="AS1418" s="4"/>
      <c r="AT1418" s="4"/>
      <c r="AU1418" s="4"/>
      <c r="AV1418" s="4"/>
      <c r="AW1418" s="4"/>
      <c r="AX1418" s="4"/>
      <c r="AY1418" s="4"/>
      <c r="AZ1418" s="4"/>
      <c r="BA1418" s="4"/>
      <c r="BB1418" s="4"/>
      <c r="BC1418" s="4"/>
      <c r="BD1418" s="4"/>
      <c r="BE1418" s="4"/>
      <c r="BF1418" s="4"/>
      <c r="BG1418" s="4"/>
      <c r="BH1418" s="4"/>
      <c r="BI1418" s="4"/>
      <c r="BJ1418" s="4"/>
      <c r="BK1418" s="4"/>
      <c r="BL1418" s="4"/>
      <c r="BM1418" s="4"/>
      <c r="BN1418" s="4"/>
      <c r="BO1418" s="4"/>
      <c r="BP1418" s="4"/>
      <c r="BQ1418" s="4"/>
      <c r="BR1418" s="4"/>
      <c r="BS1418" s="4"/>
      <c r="BT1418" s="4"/>
      <c r="BU1418" s="4"/>
      <c r="BV1418" s="4"/>
      <c r="BW1418" s="4"/>
      <c r="BX1418" s="4"/>
      <c r="BY1418" s="4"/>
      <c r="BZ1418" s="4"/>
      <c r="CA1418" s="4"/>
      <c r="CB1418" s="4"/>
      <c r="CC1418" s="4"/>
      <c r="CD1418" s="4"/>
      <c r="CE1418" s="4"/>
      <c r="CF1418" s="4"/>
      <c r="CG1418" s="4"/>
      <c r="CH1418" s="4"/>
      <c r="CI1418" s="4"/>
      <c r="CJ1418" s="4"/>
      <c r="CK1418" s="4"/>
      <c r="CL1418" s="4"/>
      <c r="CM1418" s="4"/>
      <c r="CN1418" s="4"/>
      <c r="CO1418" s="4"/>
      <c r="CP1418" s="4"/>
      <c r="CQ1418" s="4"/>
      <c r="CR1418" s="4"/>
      <c r="CS1418" s="4"/>
      <c r="CT1418" s="4"/>
      <c r="CU1418" s="4"/>
      <c r="CV1418" s="4"/>
      <c r="CW1418" s="4"/>
      <c r="CX1418" s="4"/>
      <c r="CY1418" s="4"/>
      <c r="CZ1418" s="4"/>
      <c r="DA1418" s="4"/>
      <c r="DB1418" s="4"/>
      <c r="DC1418" s="4"/>
      <c r="DD1418" s="4"/>
      <c r="DE1418" s="4"/>
      <c r="DF1418" s="4"/>
      <c r="DG1418" s="4"/>
      <c r="DH1418" s="4"/>
      <c r="DI1418" s="4"/>
      <c r="DJ1418" s="4"/>
      <c r="DK1418" s="4"/>
      <c r="DL1418" s="4"/>
      <c r="DM1418" s="4"/>
      <c r="DN1418" s="4"/>
      <c r="DO1418" s="4"/>
      <c r="DP1418" s="4"/>
      <c r="DQ1418" s="4"/>
      <c r="DR1418" s="4"/>
      <c r="DS1418" s="4"/>
    </row>
    <row r="1419">
      <c r="A1419" s="9">
        <f>IFERROR(__xludf.DUMMYFUNCTION("""COMPUTED_VALUE"""),45873.0)</f>
        <v>45873</v>
      </c>
      <c r="B1419" s="6" t="str">
        <f>IFERROR(__xludf.DUMMYFUNCTION("""COMPUTED_VALUE"""),"Groceries")</f>
        <v>Groceries</v>
      </c>
      <c r="C1419" s="7">
        <f>IFERROR(__xludf.DUMMYFUNCTION("""COMPUTED_VALUE"""),5000.0)</f>
        <v>5000</v>
      </c>
      <c r="D1419" s="6" t="str">
        <f>IFERROR(__xludf.DUMMYFUNCTION("""COMPUTED_VALUE"""),"Groceries")</f>
        <v>Groceries</v>
      </c>
      <c r="E1419" s="6" t="str">
        <f>IFERROR(__xludf.DUMMYFUNCTION("""COMPUTED_VALUE"""),"Split Payment")</f>
        <v>Split Payment</v>
      </c>
      <c r="F1419" s="6" t="s">
        <v>7</v>
      </c>
      <c r="G1419" s="8" t="str">
        <f t="shared" si="1"/>
        <v>202508</v>
      </c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  <c r="AA1419" s="4"/>
      <c r="AB1419" s="4"/>
      <c r="AC1419" s="4"/>
      <c r="AD1419" s="4"/>
      <c r="AE1419" s="4"/>
      <c r="AF1419" s="4"/>
      <c r="AG1419" s="4"/>
      <c r="AH1419" s="4"/>
      <c r="AI1419" s="4"/>
      <c r="AJ1419" s="4"/>
      <c r="AK1419" s="4"/>
      <c r="AL1419" s="4"/>
      <c r="AM1419" s="4"/>
      <c r="AN1419" s="4"/>
      <c r="AO1419" s="4"/>
      <c r="AP1419" s="4"/>
      <c r="AQ1419" s="4"/>
      <c r="AR1419" s="4"/>
      <c r="AS1419" s="4"/>
      <c r="AT1419" s="4"/>
      <c r="AU1419" s="4"/>
      <c r="AV1419" s="4"/>
      <c r="AW1419" s="4"/>
      <c r="AX1419" s="4"/>
      <c r="AY1419" s="4"/>
      <c r="AZ1419" s="4"/>
      <c r="BA1419" s="4"/>
      <c r="BB1419" s="4"/>
      <c r="BC1419" s="4"/>
      <c r="BD1419" s="4"/>
      <c r="BE1419" s="4"/>
      <c r="BF1419" s="4"/>
      <c r="BG1419" s="4"/>
      <c r="BH1419" s="4"/>
      <c r="BI1419" s="4"/>
      <c r="BJ1419" s="4"/>
      <c r="BK1419" s="4"/>
      <c r="BL1419" s="4"/>
      <c r="BM1419" s="4"/>
      <c r="BN1419" s="4"/>
      <c r="BO1419" s="4"/>
      <c r="BP1419" s="4"/>
      <c r="BQ1419" s="4"/>
      <c r="BR1419" s="4"/>
      <c r="BS1419" s="4"/>
      <c r="BT1419" s="4"/>
      <c r="BU1419" s="4"/>
      <c r="BV1419" s="4"/>
      <c r="BW1419" s="4"/>
      <c r="BX1419" s="4"/>
      <c r="BY1419" s="4"/>
      <c r="BZ1419" s="4"/>
      <c r="CA1419" s="4"/>
      <c r="CB1419" s="4"/>
      <c r="CC1419" s="4"/>
      <c r="CD1419" s="4"/>
      <c r="CE1419" s="4"/>
      <c r="CF1419" s="4"/>
      <c r="CG1419" s="4"/>
      <c r="CH1419" s="4"/>
      <c r="CI1419" s="4"/>
      <c r="CJ1419" s="4"/>
      <c r="CK1419" s="4"/>
      <c r="CL1419" s="4"/>
      <c r="CM1419" s="4"/>
      <c r="CN1419" s="4"/>
      <c r="CO1419" s="4"/>
      <c r="CP1419" s="4"/>
      <c r="CQ1419" s="4"/>
      <c r="CR1419" s="4"/>
      <c r="CS1419" s="4"/>
      <c r="CT1419" s="4"/>
      <c r="CU1419" s="4"/>
      <c r="CV1419" s="4"/>
      <c r="CW1419" s="4"/>
      <c r="CX1419" s="4"/>
      <c r="CY1419" s="4"/>
      <c r="CZ1419" s="4"/>
      <c r="DA1419" s="4"/>
      <c r="DB1419" s="4"/>
      <c r="DC1419" s="4"/>
      <c r="DD1419" s="4"/>
      <c r="DE1419" s="4"/>
      <c r="DF1419" s="4"/>
      <c r="DG1419" s="4"/>
      <c r="DH1419" s="4"/>
      <c r="DI1419" s="4"/>
      <c r="DJ1419" s="4"/>
      <c r="DK1419" s="4"/>
      <c r="DL1419" s="4"/>
      <c r="DM1419" s="4"/>
      <c r="DN1419" s="4"/>
      <c r="DO1419" s="4"/>
      <c r="DP1419" s="4"/>
      <c r="DQ1419" s="4"/>
      <c r="DR1419" s="4"/>
      <c r="DS1419" s="4"/>
    </row>
    <row r="1420">
      <c r="A1420" s="9">
        <f>IFERROR(__xludf.DUMMYFUNCTION("""COMPUTED_VALUE"""),45873.0)</f>
        <v>45873</v>
      </c>
      <c r="B1420" s="6" t="str">
        <f>IFERROR(__xludf.DUMMYFUNCTION("""COMPUTED_VALUE"""),"Groceries")</f>
        <v>Groceries</v>
      </c>
      <c r="C1420" s="7">
        <f>IFERROR(__xludf.DUMMYFUNCTION("""COMPUTED_VALUE"""),6588.0)</f>
        <v>6588</v>
      </c>
      <c r="D1420" s="6" t="str">
        <f>IFERROR(__xludf.DUMMYFUNCTION("""COMPUTED_VALUE"""),"Groceries")</f>
        <v>Groceries</v>
      </c>
      <c r="E1420" s="6" t="str">
        <f>IFERROR(__xludf.DUMMYFUNCTION("""COMPUTED_VALUE"""),"Split Payment")</f>
        <v>Split Payment</v>
      </c>
      <c r="F1420" s="6" t="s">
        <v>7</v>
      </c>
      <c r="G1420" s="8" t="str">
        <f t="shared" si="1"/>
        <v>202508</v>
      </c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  <c r="AA1420" s="4"/>
      <c r="AB1420" s="4"/>
      <c r="AC1420" s="4"/>
      <c r="AD1420" s="4"/>
      <c r="AE1420" s="4"/>
      <c r="AF1420" s="4"/>
      <c r="AG1420" s="4"/>
      <c r="AH1420" s="4"/>
      <c r="AI1420" s="4"/>
      <c r="AJ1420" s="4"/>
      <c r="AK1420" s="4"/>
      <c r="AL1420" s="4"/>
      <c r="AM1420" s="4"/>
      <c r="AN1420" s="4"/>
      <c r="AO1420" s="4"/>
      <c r="AP1420" s="4"/>
      <c r="AQ1420" s="4"/>
      <c r="AR1420" s="4"/>
      <c r="AS1420" s="4"/>
      <c r="AT1420" s="4"/>
      <c r="AU1420" s="4"/>
      <c r="AV1420" s="4"/>
      <c r="AW1420" s="4"/>
      <c r="AX1420" s="4"/>
      <c r="AY1420" s="4"/>
      <c r="AZ1420" s="4"/>
      <c r="BA1420" s="4"/>
      <c r="BB1420" s="4"/>
      <c r="BC1420" s="4"/>
      <c r="BD1420" s="4"/>
      <c r="BE1420" s="4"/>
      <c r="BF1420" s="4"/>
      <c r="BG1420" s="4"/>
      <c r="BH1420" s="4"/>
      <c r="BI1420" s="4"/>
      <c r="BJ1420" s="4"/>
      <c r="BK1420" s="4"/>
      <c r="BL1420" s="4"/>
      <c r="BM1420" s="4"/>
      <c r="BN1420" s="4"/>
      <c r="BO1420" s="4"/>
      <c r="BP1420" s="4"/>
      <c r="BQ1420" s="4"/>
      <c r="BR1420" s="4"/>
      <c r="BS1420" s="4"/>
      <c r="BT1420" s="4"/>
      <c r="BU1420" s="4"/>
      <c r="BV1420" s="4"/>
      <c r="BW1420" s="4"/>
      <c r="BX1420" s="4"/>
      <c r="BY1420" s="4"/>
      <c r="BZ1420" s="4"/>
      <c r="CA1420" s="4"/>
      <c r="CB1420" s="4"/>
      <c r="CC1420" s="4"/>
      <c r="CD1420" s="4"/>
      <c r="CE1420" s="4"/>
      <c r="CF1420" s="4"/>
      <c r="CG1420" s="4"/>
      <c r="CH1420" s="4"/>
      <c r="CI1420" s="4"/>
      <c r="CJ1420" s="4"/>
      <c r="CK1420" s="4"/>
      <c r="CL1420" s="4"/>
      <c r="CM1420" s="4"/>
      <c r="CN1420" s="4"/>
      <c r="CO1420" s="4"/>
      <c r="CP1420" s="4"/>
      <c r="CQ1420" s="4"/>
      <c r="CR1420" s="4"/>
      <c r="CS1420" s="4"/>
      <c r="CT1420" s="4"/>
      <c r="CU1420" s="4"/>
      <c r="CV1420" s="4"/>
      <c r="CW1420" s="4"/>
      <c r="CX1420" s="4"/>
      <c r="CY1420" s="4"/>
      <c r="CZ1420" s="4"/>
      <c r="DA1420" s="4"/>
      <c r="DB1420" s="4"/>
      <c r="DC1420" s="4"/>
      <c r="DD1420" s="4"/>
      <c r="DE1420" s="4"/>
      <c r="DF1420" s="4"/>
      <c r="DG1420" s="4"/>
      <c r="DH1420" s="4"/>
      <c r="DI1420" s="4"/>
      <c r="DJ1420" s="4"/>
      <c r="DK1420" s="4"/>
      <c r="DL1420" s="4"/>
      <c r="DM1420" s="4"/>
      <c r="DN1420" s="4"/>
      <c r="DO1420" s="4"/>
      <c r="DP1420" s="4"/>
      <c r="DQ1420" s="4"/>
      <c r="DR1420" s="4"/>
      <c r="DS1420" s="4"/>
    </row>
    <row r="1421">
      <c r="A1421" s="9">
        <f>IFERROR(__xludf.DUMMYFUNCTION("""COMPUTED_VALUE"""),45873.0)</f>
        <v>45873</v>
      </c>
      <c r="B1421" s="6" t="str">
        <f>IFERROR(__xludf.DUMMYFUNCTION("""COMPUTED_VALUE"""),"Home Goods")</f>
        <v>Home Goods</v>
      </c>
      <c r="C1421" s="7">
        <f>IFERROR(__xludf.DUMMYFUNCTION("""COMPUTED_VALUE"""),67885.0)</f>
        <v>67885</v>
      </c>
      <c r="D1421" s="6" t="str">
        <f>IFERROR(__xludf.DUMMYFUNCTION("""COMPUTED_VALUE"""),"Home Goods &amp; Utilities")</f>
        <v>Home Goods &amp; Utilities</v>
      </c>
      <c r="E1421" s="6" t="str">
        <f>IFERROR(__xludf.DUMMYFUNCTION("""COMPUTED_VALUE"""),"Credit Card")</f>
        <v>Credit Card</v>
      </c>
      <c r="F1421" s="6" t="s">
        <v>8</v>
      </c>
      <c r="G1421" s="8" t="str">
        <f t="shared" si="1"/>
        <v>202508</v>
      </c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  <c r="AA1421" s="4"/>
      <c r="AB1421" s="4"/>
      <c r="AC1421" s="4"/>
      <c r="AD1421" s="4"/>
      <c r="AE1421" s="4"/>
      <c r="AF1421" s="4"/>
      <c r="AG1421" s="4"/>
      <c r="AH1421" s="4"/>
      <c r="AI1421" s="4"/>
      <c r="AJ1421" s="4"/>
      <c r="AK1421" s="4"/>
      <c r="AL1421" s="4"/>
      <c r="AM1421" s="4"/>
      <c r="AN1421" s="4"/>
      <c r="AO1421" s="4"/>
      <c r="AP1421" s="4"/>
      <c r="AQ1421" s="4"/>
      <c r="AR1421" s="4"/>
      <c r="AS1421" s="4"/>
      <c r="AT1421" s="4"/>
      <c r="AU1421" s="4"/>
      <c r="AV1421" s="4"/>
      <c r="AW1421" s="4"/>
      <c r="AX1421" s="4"/>
      <c r="AY1421" s="4"/>
      <c r="AZ1421" s="4"/>
      <c r="BA1421" s="4"/>
      <c r="BB1421" s="4"/>
      <c r="BC1421" s="4"/>
      <c r="BD1421" s="4"/>
      <c r="BE1421" s="4"/>
      <c r="BF1421" s="4"/>
      <c r="BG1421" s="4"/>
      <c r="BH1421" s="4"/>
      <c r="BI1421" s="4"/>
      <c r="BJ1421" s="4"/>
      <c r="BK1421" s="4"/>
      <c r="BL1421" s="4"/>
      <c r="BM1421" s="4"/>
      <c r="BN1421" s="4"/>
      <c r="BO1421" s="4"/>
      <c r="BP1421" s="4"/>
      <c r="BQ1421" s="4"/>
      <c r="BR1421" s="4"/>
      <c r="BS1421" s="4"/>
      <c r="BT1421" s="4"/>
      <c r="BU1421" s="4"/>
      <c r="BV1421" s="4"/>
      <c r="BW1421" s="4"/>
      <c r="BX1421" s="4"/>
      <c r="BY1421" s="4"/>
      <c r="BZ1421" s="4"/>
      <c r="CA1421" s="4"/>
      <c r="CB1421" s="4"/>
      <c r="CC1421" s="4"/>
      <c r="CD1421" s="4"/>
      <c r="CE1421" s="4"/>
      <c r="CF1421" s="4"/>
      <c r="CG1421" s="4"/>
      <c r="CH1421" s="4"/>
      <c r="CI1421" s="4"/>
      <c r="CJ1421" s="4"/>
      <c r="CK1421" s="4"/>
      <c r="CL1421" s="4"/>
      <c r="CM1421" s="4"/>
      <c r="CN1421" s="4"/>
      <c r="CO1421" s="4"/>
      <c r="CP1421" s="4"/>
      <c r="CQ1421" s="4"/>
      <c r="CR1421" s="4"/>
      <c r="CS1421" s="4"/>
      <c r="CT1421" s="4"/>
      <c r="CU1421" s="4"/>
      <c r="CV1421" s="4"/>
      <c r="CW1421" s="4"/>
      <c r="CX1421" s="4"/>
      <c r="CY1421" s="4"/>
      <c r="CZ1421" s="4"/>
      <c r="DA1421" s="4"/>
      <c r="DB1421" s="4"/>
      <c r="DC1421" s="4"/>
      <c r="DD1421" s="4"/>
      <c r="DE1421" s="4"/>
      <c r="DF1421" s="4"/>
      <c r="DG1421" s="4"/>
      <c r="DH1421" s="4"/>
      <c r="DI1421" s="4"/>
      <c r="DJ1421" s="4"/>
      <c r="DK1421" s="4"/>
      <c r="DL1421" s="4"/>
      <c r="DM1421" s="4"/>
      <c r="DN1421" s="4"/>
      <c r="DO1421" s="4"/>
      <c r="DP1421" s="4"/>
      <c r="DQ1421" s="4"/>
      <c r="DR1421" s="4"/>
      <c r="DS1421" s="4"/>
    </row>
    <row r="1422">
      <c r="A1422" s="9">
        <f>IFERROR(__xludf.DUMMYFUNCTION("""COMPUTED_VALUE"""),45873.0)</f>
        <v>45873</v>
      </c>
      <c r="B1422" s="6" t="str">
        <f>IFERROR(__xludf.DUMMYFUNCTION("""COMPUTED_VALUE"""),"Car Insurance")</f>
        <v>Car Insurance</v>
      </c>
      <c r="C1422" s="7">
        <f>IFERROR(__xludf.DUMMYFUNCTION("""COMPUTED_VALUE"""),3450.0)</f>
        <v>3450</v>
      </c>
      <c r="D1422" s="6" t="str">
        <f>IFERROR(__xludf.DUMMYFUNCTION("""COMPUTED_VALUE"""),"Car Expenses")</f>
        <v>Car Expenses</v>
      </c>
      <c r="E1422" s="6" t="str">
        <f>IFERROR(__xludf.DUMMYFUNCTION("""COMPUTED_VALUE"""),"Virtual Wallet")</f>
        <v>Virtual Wallet</v>
      </c>
      <c r="F1422" s="6" t="s">
        <v>9</v>
      </c>
      <c r="G1422" s="8" t="str">
        <f t="shared" si="1"/>
        <v>202508</v>
      </c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  <c r="AA1422" s="4"/>
      <c r="AB1422" s="4"/>
      <c r="AC1422" s="4"/>
      <c r="AD1422" s="4"/>
      <c r="AE1422" s="4"/>
      <c r="AF1422" s="4"/>
      <c r="AG1422" s="4"/>
      <c r="AH1422" s="4"/>
      <c r="AI1422" s="4"/>
      <c r="AJ1422" s="4"/>
      <c r="AK1422" s="4"/>
      <c r="AL1422" s="4"/>
      <c r="AM1422" s="4"/>
      <c r="AN1422" s="4"/>
      <c r="AO1422" s="4"/>
      <c r="AP1422" s="4"/>
      <c r="AQ1422" s="4"/>
      <c r="AR1422" s="4"/>
      <c r="AS1422" s="4"/>
      <c r="AT1422" s="4"/>
      <c r="AU1422" s="4"/>
      <c r="AV1422" s="4"/>
      <c r="AW1422" s="4"/>
      <c r="AX1422" s="4"/>
      <c r="AY1422" s="4"/>
      <c r="AZ1422" s="4"/>
      <c r="BA1422" s="4"/>
      <c r="BB1422" s="4"/>
      <c r="BC1422" s="4"/>
      <c r="BD1422" s="4"/>
      <c r="BE1422" s="4"/>
      <c r="BF1422" s="4"/>
      <c r="BG1422" s="4"/>
      <c r="BH1422" s="4"/>
      <c r="BI1422" s="4"/>
      <c r="BJ1422" s="4"/>
      <c r="BK1422" s="4"/>
      <c r="BL1422" s="4"/>
      <c r="BM1422" s="4"/>
      <c r="BN1422" s="4"/>
      <c r="BO1422" s="4"/>
      <c r="BP1422" s="4"/>
      <c r="BQ1422" s="4"/>
      <c r="BR1422" s="4"/>
      <c r="BS1422" s="4"/>
      <c r="BT1422" s="4"/>
      <c r="BU1422" s="4"/>
      <c r="BV1422" s="4"/>
      <c r="BW1422" s="4"/>
      <c r="BX1422" s="4"/>
      <c r="BY1422" s="4"/>
      <c r="BZ1422" s="4"/>
      <c r="CA1422" s="4"/>
      <c r="CB1422" s="4"/>
      <c r="CC1422" s="4"/>
      <c r="CD1422" s="4"/>
      <c r="CE1422" s="4"/>
      <c r="CF1422" s="4"/>
      <c r="CG1422" s="4"/>
      <c r="CH1422" s="4"/>
      <c r="CI1422" s="4"/>
      <c r="CJ1422" s="4"/>
      <c r="CK1422" s="4"/>
      <c r="CL1422" s="4"/>
      <c r="CM1422" s="4"/>
      <c r="CN1422" s="4"/>
      <c r="CO1422" s="4"/>
      <c r="CP1422" s="4"/>
      <c r="CQ1422" s="4"/>
      <c r="CR1422" s="4"/>
      <c r="CS1422" s="4"/>
      <c r="CT1422" s="4"/>
      <c r="CU1422" s="4"/>
      <c r="CV1422" s="4"/>
      <c r="CW1422" s="4"/>
      <c r="CX1422" s="4"/>
      <c r="CY1422" s="4"/>
      <c r="CZ1422" s="4"/>
      <c r="DA1422" s="4"/>
      <c r="DB1422" s="4"/>
      <c r="DC1422" s="4"/>
      <c r="DD1422" s="4"/>
      <c r="DE1422" s="4"/>
      <c r="DF1422" s="4"/>
      <c r="DG1422" s="4"/>
      <c r="DH1422" s="4"/>
      <c r="DI1422" s="4"/>
      <c r="DJ1422" s="4"/>
      <c r="DK1422" s="4"/>
      <c r="DL1422" s="4"/>
      <c r="DM1422" s="4"/>
      <c r="DN1422" s="4"/>
      <c r="DO1422" s="4"/>
      <c r="DP1422" s="4"/>
      <c r="DQ1422" s="4"/>
      <c r="DR1422" s="4"/>
      <c r="DS1422" s="4"/>
    </row>
    <row r="1423">
      <c r="A1423" s="9">
        <f>IFERROR(__xludf.DUMMYFUNCTION("""COMPUTED_VALUE"""),45873.0)</f>
        <v>45873</v>
      </c>
      <c r="B1423" s="6" t="str">
        <f>IFERROR(__xludf.DUMMYFUNCTION("""COMPUTED_VALUE"""),"Car Insurance")</f>
        <v>Car Insurance</v>
      </c>
      <c r="C1423" s="7">
        <f>IFERROR(__xludf.DUMMYFUNCTION("""COMPUTED_VALUE"""),43787.0)</f>
        <v>43787</v>
      </c>
      <c r="D1423" s="6" t="str">
        <f>IFERROR(__xludf.DUMMYFUNCTION("""COMPUTED_VALUE"""),"Car Expenses")</f>
        <v>Car Expenses</v>
      </c>
      <c r="E1423" s="6" t="str">
        <f>IFERROR(__xludf.DUMMYFUNCTION("""COMPUTED_VALUE"""),"Credit Card")</f>
        <v>Credit Card</v>
      </c>
      <c r="F1423" s="6" t="s">
        <v>9</v>
      </c>
      <c r="G1423" s="8" t="str">
        <f t="shared" si="1"/>
        <v>202508</v>
      </c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  <c r="AA1423" s="4"/>
      <c r="AB1423" s="4"/>
      <c r="AC1423" s="4"/>
      <c r="AD1423" s="4"/>
      <c r="AE1423" s="4"/>
      <c r="AF1423" s="4"/>
      <c r="AG1423" s="4"/>
      <c r="AH1423" s="4"/>
      <c r="AI1423" s="4"/>
      <c r="AJ1423" s="4"/>
      <c r="AK1423" s="4"/>
      <c r="AL1423" s="4"/>
      <c r="AM1423" s="4"/>
      <c r="AN1423" s="4"/>
      <c r="AO1423" s="4"/>
      <c r="AP1423" s="4"/>
      <c r="AQ1423" s="4"/>
      <c r="AR1423" s="4"/>
      <c r="AS1423" s="4"/>
      <c r="AT1423" s="4"/>
      <c r="AU1423" s="4"/>
      <c r="AV1423" s="4"/>
      <c r="AW1423" s="4"/>
      <c r="AX1423" s="4"/>
      <c r="AY1423" s="4"/>
      <c r="AZ1423" s="4"/>
      <c r="BA1423" s="4"/>
      <c r="BB1423" s="4"/>
      <c r="BC1423" s="4"/>
      <c r="BD1423" s="4"/>
      <c r="BE1423" s="4"/>
      <c r="BF1423" s="4"/>
      <c r="BG1423" s="4"/>
      <c r="BH1423" s="4"/>
      <c r="BI1423" s="4"/>
      <c r="BJ1423" s="4"/>
      <c r="BK1423" s="4"/>
      <c r="BL1423" s="4"/>
      <c r="BM1423" s="4"/>
      <c r="BN1423" s="4"/>
      <c r="BO1423" s="4"/>
      <c r="BP1423" s="4"/>
      <c r="BQ1423" s="4"/>
      <c r="BR1423" s="4"/>
      <c r="BS1423" s="4"/>
      <c r="BT1423" s="4"/>
      <c r="BU1423" s="4"/>
      <c r="BV1423" s="4"/>
      <c r="BW1423" s="4"/>
      <c r="BX1423" s="4"/>
      <c r="BY1423" s="4"/>
      <c r="BZ1423" s="4"/>
      <c r="CA1423" s="4"/>
      <c r="CB1423" s="4"/>
      <c r="CC1423" s="4"/>
      <c r="CD1423" s="4"/>
      <c r="CE1423" s="4"/>
      <c r="CF1423" s="4"/>
      <c r="CG1423" s="4"/>
      <c r="CH1423" s="4"/>
      <c r="CI1423" s="4"/>
      <c r="CJ1423" s="4"/>
      <c r="CK1423" s="4"/>
      <c r="CL1423" s="4"/>
      <c r="CM1423" s="4"/>
      <c r="CN1423" s="4"/>
      <c r="CO1423" s="4"/>
      <c r="CP1423" s="4"/>
      <c r="CQ1423" s="4"/>
      <c r="CR1423" s="4"/>
      <c r="CS1423" s="4"/>
      <c r="CT1423" s="4"/>
      <c r="CU1423" s="4"/>
      <c r="CV1423" s="4"/>
      <c r="CW1423" s="4"/>
      <c r="CX1423" s="4"/>
      <c r="CY1423" s="4"/>
      <c r="CZ1423" s="4"/>
      <c r="DA1423" s="4"/>
      <c r="DB1423" s="4"/>
      <c r="DC1423" s="4"/>
      <c r="DD1423" s="4"/>
      <c r="DE1423" s="4"/>
      <c r="DF1423" s="4"/>
      <c r="DG1423" s="4"/>
      <c r="DH1423" s="4"/>
      <c r="DI1423" s="4"/>
      <c r="DJ1423" s="4"/>
      <c r="DK1423" s="4"/>
      <c r="DL1423" s="4"/>
      <c r="DM1423" s="4"/>
      <c r="DN1423" s="4"/>
      <c r="DO1423" s="4"/>
      <c r="DP1423" s="4"/>
      <c r="DQ1423" s="4"/>
      <c r="DR1423" s="4"/>
      <c r="DS1423" s="4"/>
    </row>
    <row r="1424">
      <c r="A1424" s="9">
        <f>IFERROR(__xludf.DUMMYFUNCTION("""COMPUTED_VALUE"""),45874.0)</f>
        <v>45874</v>
      </c>
      <c r="B1424" s="6" t="str">
        <f>IFERROR(__xludf.DUMMYFUNCTION("""COMPUTED_VALUE"""),"Recreation")</f>
        <v>Recreation</v>
      </c>
      <c r="C1424" s="7">
        <f>IFERROR(__xludf.DUMMYFUNCTION("""COMPUTED_VALUE"""),13000.0)</f>
        <v>13000</v>
      </c>
      <c r="D1424" s="6" t="str">
        <f>IFERROR(__xludf.DUMMYFUNCTION("""COMPUTED_VALUE"""),"Recreation")</f>
        <v>Recreation</v>
      </c>
      <c r="E1424" s="6" t="str">
        <f>IFERROR(__xludf.DUMMYFUNCTION("""COMPUTED_VALUE"""),"Virtual Wallet")</f>
        <v>Virtual Wallet</v>
      </c>
      <c r="F1424" s="6" t="s">
        <v>12</v>
      </c>
      <c r="G1424" s="8" t="str">
        <f t="shared" si="1"/>
        <v>202508</v>
      </c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  <c r="AA1424" s="4"/>
      <c r="AB1424" s="4"/>
      <c r="AC1424" s="4"/>
      <c r="AD1424" s="4"/>
      <c r="AE1424" s="4"/>
      <c r="AF1424" s="4"/>
      <c r="AG1424" s="4"/>
      <c r="AH1424" s="4"/>
      <c r="AI1424" s="4"/>
      <c r="AJ1424" s="4"/>
      <c r="AK1424" s="4"/>
      <c r="AL1424" s="4"/>
      <c r="AM1424" s="4"/>
      <c r="AN1424" s="4"/>
      <c r="AO1424" s="4"/>
      <c r="AP1424" s="4"/>
      <c r="AQ1424" s="4"/>
      <c r="AR1424" s="4"/>
      <c r="AS1424" s="4"/>
      <c r="AT1424" s="4"/>
      <c r="AU1424" s="4"/>
      <c r="AV1424" s="4"/>
      <c r="AW1424" s="4"/>
      <c r="AX1424" s="4"/>
      <c r="AY1424" s="4"/>
      <c r="AZ1424" s="4"/>
      <c r="BA1424" s="4"/>
      <c r="BB1424" s="4"/>
      <c r="BC1424" s="4"/>
      <c r="BD1424" s="4"/>
      <c r="BE1424" s="4"/>
      <c r="BF1424" s="4"/>
      <c r="BG1424" s="4"/>
      <c r="BH1424" s="4"/>
      <c r="BI1424" s="4"/>
      <c r="BJ1424" s="4"/>
      <c r="BK1424" s="4"/>
      <c r="BL1424" s="4"/>
      <c r="BM1424" s="4"/>
      <c r="BN1424" s="4"/>
      <c r="BO1424" s="4"/>
      <c r="BP1424" s="4"/>
      <c r="BQ1424" s="4"/>
      <c r="BR1424" s="4"/>
      <c r="BS1424" s="4"/>
      <c r="BT1424" s="4"/>
      <c r="BU1424" s="4"/>
      <c r="BV1424" s="4"/>
      <c r="BW1424" s="4"/>
      <c r="BX1424" s="4"/>
      <c r="BY1424" s="4"/>
      <c r="BZ1424" s="4"/>
      <c r="CA1424" s="4"/>
      <c r="CB1424" s="4"/>
      <c r="CC1424" s="4"/>
      <c r="CD1424" s="4"/>
      <c r="CE1424" s="4"/>
      <c r="CF1424" s="4"/>
      <c r="CG1424" s="4"/>
      <c r="CH1424" s="4"/>
      <c r="CI1424" s="4"/>
      <c r="CJ1424" s="4"/>
      <c r="CK1424" s="4"/>
      <c r="CL1424" s="4"/>
      <c r="CM1424" s="4"/>
      <c r="CN1424" s="4"/>
      <c r="CO1424" s="4"/>
      <c r="CP1424" s="4"/>
      <c r="CQ1424" s="4"/>
      <c r="CR1424" s="4"/>
      <c r="CS1424" s="4"/>
      <c r="CT1424" s="4"/>
      <c r="CU1424" s="4"/>
      <c r="CV1424" s="4"/>
      <c r="CW1424" s="4"/>
      <c r="CX1424" s="4"/>
      <c r="CY1424" s="4"/>
      <c r="CZ1424" s="4"/>
      <c r="DA1424" s="4"/>
      <c r="DB1424" s="4"/>
      <c r="DC1424" s="4"/>
      <c r="DD1424" s="4"/>
      <c r="DE1424" s="4"/>
      <c r="DF1424" s="4"/>
      <c r="DG1424" s="4"/>
      <c r="DH1424" s="4"/>
      <c r="DI1424" s="4"/>
      <c r="DJ1424" s="4"/>
      <c r="DK1424" s="4"/>
      <c r="DL1424" s="4"/>
      <c r="DM1424" s="4"/>
      <c r="DN1424" s="4"/>
      <c r="DO1424" s="4"/>
      <c r="DP1424" s="4"/>
      <c r="DQ1424" s="4"/>
      <c r="DR1424" s="4"/>
      <c r="DS1424" s="4"/>
    </row>
    <row r="1425">
      <c r="A1425" s="9">
        <f>IFERROR(__xludf.DUMMYFUNCTION("""COMPUTED_VALUE"""),45874.0)</f>
        <v>45874</v>
      </c>
      <c r="B1425" s="6" t="str">
        <f>IFERROR(__xludf.DUMMYFUNCTION("""COMPUTED_VALUE"""),"Home Goods")</f>
        <v>Home Goods</v>
      </c>
      <c r="C1425" s="7">
        <f>IFERROR(__xludf.DUMMYFUNCTION("""COMPUTED_VALUE"""),5500.0)</f>
        <v>5500</v>
      </c>
      <c r="D1425" s="6" t="str">
        <f>IFERROR(__xludf.DUMMYFUNCTION("""COMPUTED_VALUE"""),"Home Goods &amp; Utilities")</f>
        <v>Home Goods &amp; Utilities</v>
      </c>
      <c r="E1425" s="6" t="str">
        <f>IFERROR(__xludf.DUMMYFUNCTION("""COMPUTED_VALUE"""),"Split Payment")</f>
        <v>Split Payment</v>
      </c>
      <c r="F1425" s="6" t="s">
        <v>8</v>
      </c>
      <c r="G1425" s="8" t="str">
        <f t="shared" si="1"/>
        <v>202508</v>
      </c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  <c r="AA1425" s="4"/>
      <c r="AB1425" s="4"/>
      <c r="AC1425" s="4"/>
      <c r="AD1425" s="4"/>
      <c r="AE1425" s="4"/>
      <c r="AF1425" s="4"/>
      <c r="AG1425" s="4"/>
      <c r="AH1425" s="4"/>
      <c r="AI1425" s="4"/>
      <c r="AJ1425" s="4"/>
      <c r="AK1425" s="4"/>
      <c r="AL1425" s="4"/>
      <c r="AM1425" s="4"/>
      <c r="AN1425" s="4"/>
      <c r="AO1425" s="4"/>
      <c r="AP1425" s="4"/>
      <c r="AQ1425" s="4"/>
      <c r="AR1425" s="4"/>
      <c r="AS1425" s="4"/>
      <c r="AT1425" s="4"/>
      <c r="AU1425" s="4"/>
      <c r="AV1425" s="4"/>
      <c r="AW1425" s="4"/>
      <c r="AX1425" s="4"/>
      <c r="AY1425" s="4"/>
      <c r="AZ1425" s="4"/>
      <c r="BA1425" s="4"/>
      <c r="BB1425" s="4"/>
      <c r="BC1425" s="4"/>
      <c r="BD1425" s="4"/>
      <c r="BE1425" s="4"/>
      <c r="BF1425" s="4"/>
      <c r="BG1425" s="4"/>
      <c r="BH1425" s="4"/>
      <c r="BI1425" s="4"/>
      <c r="BJ1425" s="4"/>
      <c r="BK1425" s="4"/>
      <c r="BL1425" s="4"/>
      <c r="BM1425" s="4"/>
      <c r="BN1425" s="4"/>
      <c r="BO1425" s="4"/>
      <c r="BP1425" s="4"/>
      <c r="BQ1425" s="4"/>
      <c r="BR1425" s="4"/>
      <c r="BS1425" s="4"/>
      <c r="BT1425" s="4"/>
      <c r="BU1425" s="4"/>
      <c r="BV1425" s="4"/>
      <c r="BW1425" s="4"/>
      <c r="BX1425" s="4"/>
      <c r="BY1425" s="4"/>
      <c r="BZ1425" s="4"/>
      <c r="CA1425" s="4"/>
      <c r="CB1425" s="4"/>
      <c r="CC1425" s="4"/>
      <c r="CD1425" s="4"/>
      <c r="CE1425" s="4"/>
      <c r="CF1425" s="4"/>
      <c r="CG1425" s="4"/>
      <c r="CH1425" s="4"/>
      <c r="CI1425" s="4"/>
      <c r="CJ1425" s="4"/>
      <c r="CK1425" s="4"/>
      <c r="CL1425" s="4"/>
      <c r="CM1425" s="4"/>
      <c r="CN1425" s="4"/>
      <c r="CO1425" s="4"/>
      <c r="CP1425" s="4"/>
      <c r="CQ1425" s="4"/>
      <c r="CR1425" s="4"/>
      <c r="CS1425" s="4"/>
      <c r="CT1425" s="4"/>
      <c r="CU1425" s="4"/>
      <c r="CV1425" s="4"/>
      <c r="CW1425" s="4"/>
      <c r="CX1425" s="4"/>
      <c r="CY1425" s="4"/>
      <c r="CZ1425" s="4"/>
      <c r="DA1425" s="4"/>
      <c r="DB1425" s="4"/>
      <c r="DC1425" s="4"/>
      <c r="DD1425" s="4"/>
      <c r="DE1425" s="4"/>
      <c r="DF1425" s="4"/>
      <c r="DG1425" s="4"/>
      <c r="DH1425" s="4"/>
      <c r="DI1425" s="4"/>
      <c r="DJ1425" s="4"/>
      <c r="DK1425" s="4"/>
      <c r="DL1425" s="4"/>
      <c r="DM1425" s="4"/>
      <c r="DN1425" s="4"/>
      <c r="DO1425" s="4"/>
      <c r="DP1425" s="4"/>
      <c r="DQ1425" s="4"/>
      <c r="DR1425" s="4"/>
      <c r="DS1425" s="4"/>
    </row>
    <row r="1426">
      <c r="A1426" s="9">
        <f>IFERROR(__xludf.DUMMYFUNCTION("""COMPUTED_VALUE"""),45875.0)</f>
        <v>45875</v>
      </c>
      <c r="B1426" s="6" t="str">
        <f>IFERROR(__xludf.DUMMYFUNCTION("""COMPUTED_VALUE"""),"Vehicle Technical Inspection")</f>
        <v>Vehicle Technical Inspection</v>
      </c>
      <c r="C1426" s="7">
        <f>IFERROR(__xludf.DUMMYFUNCTION("""COMPUTED_VALUE"""),31731.0)</f>
        <v>31731</v>
      </c>
      <c r="D1426" s="6" t="str">
        <f>IFERROR(__xludf.DUMMYFUNCTION("""COMPUTED_VALUE"""),"Car Expenses")</f>
        <v>Car Expenses</v>
      </c>
      <c r="E1426" s="6" t="str">
        <f>IFERROR(__xludf.DUMMYFUNCTION("""COMPUTED_VALUE"""),"Split Payment")</f>
        <v>Split Payment</v>
      </c>
      <c r="F1426" s="6" t="s">
        <v>9</v>
      </c>
      <c r="G1426" s="8" t="str">
        <f t="shared" si="1"/>
        <v>202508</v>
      </c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  <c r="AA1426" s="4"/>
      <c r="AB1426" s="4"/>
      <c r="AC1426" s="4"/>
      <c r="AD1426" s="4"/>
      <c r="AE1426" s="4"/>
      <c r="AF1426" s="4"/>
      <c r="AG1426" s="4"/>
      <c r="AH1426" s="4"/>
      <c r="AI1426" s="4"/>
      <c r="AJ1426" s="4"/>
      <c r="AK1426" s="4"/>
      <c r="AL1426" s="4"/>
      <c r="AM1426" s="4"/>
      <c r="AN1426" s="4"/>
      <c r="AO1426" s="4"/>
      <c r="AP1426" s="4"/>
      <c r="AQ1426" s="4"/>
      <c r="AR1426" s="4"/>
      <c r="AS1426" s="4"/>
      <c r="AT1426" s="4"/>
      <c r="AU1426" s="4"/>
      <c r="AV1426" s="4"/>
      <c r="AW1426" s="4"/>
      <c r="AX1426" s="4"/>
      <c r="AY1426" s="4"/>
      <c r="AZ1426" s="4"/>
      <c r="BA1426" s="4"/>
      <c r="BB1426" s="4"/>
      <c r="BC1426" s="4"/>
      <c r="BD1426" s="4"/>
      <c r="BE1426" s="4"/>
      <c r="BF1426" s="4"/>
      <c r="BG1426" s="4"/>
      <c r="BH1426" s="4"/>
      <c r="BI1426" s="4"/>
      <c r="BJ1426" s="4"/>
      <c r="BK1426" s="4"/>
      <c r="BL1426" s="4"/>
      <c r="BM1426" s="4"/>
      <c r="BN1426" s="4"/>
      <c r="BO1426" s="4"/>
      <c r="BP1426" s="4"/>
      <c r="BQ1426" s="4"/>
      <c r="BR1426" s="4"/>
      <c r="BS1426" s="4"/>
      <c r="BT1426" s="4"/>
      <c r="BU1426" s="4"/>
      <c r="BV1426" s="4"/>
      <c r="BW1426" s="4"/>
      <c r="BX1426" s="4"/>
      <c r="BY1426" s="4"/>
      <c r="BZ1426" s="4"/>
      <c r="CA1426" s="4"/>
      <c r="CB1426" s="4"/>
      <c r="CC1426" s="4"/>
      <c r="CD1426" s="4"/>
      <c r="CE1426" s="4"/>
      <c r="CF1426" s="4"/>
      <c r="CG1426" s="4"/>
      <c r="CH1426" s="4"/>
      <c r="CI1426" s="4"/>
      <c r="CJ1426" s="4"/>
      <c r="CK1426" s="4"/>
      <c r="CL1426" s="4"/>
      <c r="CM1426" s="4"/>
      <c r="CN1426" s="4"/>
      <c r="CO1426" s="4"/>
      <c r="CP1426" s="4"/>
      <c r="CQ1426" s="4"/>
      <c r="CR1426" s="4"/>
      <c r="CS1426" s="4"/>
      <c r="CT1426" s="4"/>
      <c r="CU1426" s="4"/>
      <c r="CV1426" s="4"/>
      <c r="CW1426" s="4"/>
      <c r="CX1426" s="4"/>
      <c r="CY1426" s="4"/>
      <c r="CZ1426" s="4"/>
      <c r="DA1426" s="4"/>
      <c r="DB1426" s="4"/>
      <c r="DC1426" s="4"/>
      <c r="DD1426" s="4"/>
      <c r="DE1426" s="4"/>
      <c r="DF1426" s="4"/>
      <c r="DG1426" s="4"/>
      <c r="DH1426" s="4"/>
      <c r="DI1426" s="4"/>
      <c r="DJ1426" s="4"/>
      <c r="DK1426" s="4"/>
      <c r="DL1426" s="4"/>
      <c r="DM1426" s="4"/>
      <c r="DN1426" s="4"/>
      <c r="DO1426" s="4"/>
      <c r="DP1426" s="4"/>
      <c r="DQ1426" s="4"/>
      <c r="DR1426" s="4"/>
      <c r="DS1426" s="4"/>
    </row>
    <row r="1427">
      <c r="A1427" s="9">
        <f>IFERROR(__xludf.DUMMYFUNCTION("""COMPUTED_VALUE"""),45875.0)</f>
        <v>45875</v>
      </c>
      <c r="B1427" s="6" t="str">
        <f>IFERROR(__xludf.DUMMYFUNCTION("""COMPUTED_VALUE"""),"Gas Bill (Metrogas)")</f>
        <v>Gas Bill (Metrogas)</v>
      </c>
      <c r="C1427" s="7">
        <f>IFERROR(__xludf.DUMMYFUNCTION("""COMPUTED_VALUE"""),10650.0)</f>
        <v>10650</v>
      </c>
      <c r="D1427" s="6" t="str">
        <f>IFERROR(__xludf.DUMMYFUNCTION("""COMPUTED_VALUE"""),"Basic Services")</f>
        <v>Basic Services</v>
      </c>
      <c r="E1427" s="6" t="str">
        <f>IFERROR(__xludf.DUMMYFUNCTION("""COMPUTED_VALUE"""),"Split Payment")</f>
        <v>Split Payment</v>
      </c>
      <c r="F1427" s="6" t="s">
        <v>13</v>
      </c>
      <c r="G1427" s="8" t="str">
        <f t="shared" si="1"/>
        <v>202508</v>
      </c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  <c r="AA1427" s="4"/>
      <c r="AB1427" s="4"/>
      <c r="AC1427" s="4"/>
      <c r="AD1427" s="4"/>
      <c r="AE1427" s="4"/>
      <c r="AF1427" s="4"/>
      <c r="AG1427" s="4"/>
      <c r="AH1427" s="4"/>
      <c r="AI1427" s="4"/>
      <c r="AJ1427" s="4"/>
      <c r="AK1427" s="4"/>
      <c r="AL1427" s="4"/>
      <c r="AM1427" s="4"/>
      <c r="AN1427" s="4"/>
      <c r="AO1427" s="4"/>
      <c r="AP1427" s="4"/>
      <c r="AQ1427" s="4"/>
      <c r="AR1427" s="4"/>
      <c r="AS1427" s="4"/>
      <c r="AT1427" s="4"/>
      <c r="AU1427" s="4"/>
      <c r="AV1427" s="4"/>
      <c r="AW1427" s="4"/>
      <c r="AX1427" s="4"/>
      <c r="AY1427" s="4"/>
      <c r="AZ1427" s="4"/>
      <c r="BA1427" s="4"/>
      <c r="BB1427" s="4"/>
      <c r="BC1427" s="4"/>
      <c r="BD1427" s="4"/>
      <c r="BE1427" s="4"/>
      <c r="BF1427" s="4"/>
      <c r="BG1427" s="4"/>
      <c r="BH1427" s="4"/>
      <c r="BI1427" s="4"/>
      <c r="BJ1427" s="4"/>
      <c r="BK1427" s="4"/>
      <c r="BL1427" s="4"/>
      <c r="BM1427" s="4"/>
      <c r="BN1427" s="4"/>
      <c r="BO1427" s="4"/>
      <c r="BP1427" s="4"/>
      <c r="BQ1427" s="4"/>
      <c r="BR1427" s="4"/>
      <c r="BS1427" s="4"/>
      <c r="BT1427" s="4"/>
      <c r="BU1427" s="4"/>
      <c r="BV1427" s="4"/>
      <c r="BW1427" s="4"/>
      <c r="BX1427" s="4"/>
      <c r="BY1427" s="4"/>
      <c r="BZ1427" s="4"/>
      <c r="CA1427" s="4"/>
      <c r="CB1427" s="4"/>
      <c r="CC1427" s="4"/>
      <c r="CD1427" s="4"/>
      <c r="CE1427" s="4"/>
      <c r="CF1427" s="4"/>
      <c r="CG1427" s="4"/>
      <c r="CH1427" s="4"/>
      <c r="CI1427" s="4"/>
      <c r="CJ1427" s="4"/>
      <c r="CK1427" s="4"/>
      <c r="CL1427" s="4"/>
      <c r="CM1427" s="4"/>
      <c r="CN1427" s="4"/>
      <c r="CO1427" s="4"/>
      <c r="CP1427" s="4"/>
      <c r="CQ1427" s="4"/>
      <c r="CR1427" s="4"/>
      <c r="CS1427" s="4"/>
      <c r="CT1427" s="4"/>
      <c r="CU1427" s="4"/>
      <c r="CV1427" s="4"/>
      <c r="CW1427" s="4"/>
      <c r="CX1427" s="4"/>
      <c r="CY1427" s="4"/>
      <c r="CZ1427" s="4"/>
      <c r="DA1427" s="4"/>
      <c r="DB1427" s="4"/>
      <c r="DC1427" s="4"/>
      <c r="DD1427" s="4"/>
      <c r="DE1427" s="4"/>
      <c r="DF1427" s="4"/>
      <c r="DG1427" s="4"/>
      <c r="DH1427" s="4"/>
      <c r="DI1427" s="4"/>
      <c r="DJ1427" s="4"/>
      <c r="DK1427" s="4"/>
      <c r="DL1427" s="4"/>
      <c r="DM1427" s="4"/>
      <c r="DN1427" s="4"/>
      <c r="DO1427" s="4"/>
      <c r="DP1427" s="4"/>
      <c r="DQ1427" s="4"/>
      <c r="DR1427" s="4"/>
      <c r="DS1427" s="4"/>
    </row>
    <row r="1428">
      <c r="A1428" s="9">
        <f>IFERROR(__xludf.DUMMYFUNCTION("""COMPUTED_VALUE"""),45876.0)</f>
        <v>45876</v>
      </c>
      <c r="B1428" s="6" t="str">
        <f>IFERROR(__xludf.DUMMYFUNCTION("""COMPUTED_VALUE"""),"Cab/Uber")</f>
        <v>Cab/Uber</v>
      </c>
      <c r="C1428" s="7">
        <f>IFERROR(__xludf.DUMMYFUNCTION("""COMPUTED_VALUE"""),11400.0)</f>
        <v>11400</v>
      </c>
      <c r="D1428" s="6" t="str">
        <f>IFERROR(__xludf.DUMMYFUNCTION("""COMPUTED_VALUE"""),"Transportation")</f>
        <v>Transportation</v>
      </c>
      <c r="E1428" s="6" t="str">
        <f>IFERROR(__xludf.DUMMYFUNCTION("""COMPUTED_VALUE"""),"Virtual Wallet")</f>
        <v>Virtual Wallet</v>
      </c>
      <c r="F1428" s="6" t="s">
        <v>9</v>
      </c>
      <c r="G1428" s="8" t="str">
        <f t="shared" si="1"/>
        <v>202508</v>
      </c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  <c r="AA1428" s="4"/>
      <c r="AB1428" s="4"/>
      <c r="AC1428" s="4"/>
      <c r="AD1428" s="4"/>
      <c r="AE1428" s="4"/>
      <c r="AF1428" s="4"/>
      <c r="AG1428" s="4"/>
      <c r="AH1428" s="4"/>
      <c r="AI1428" s="4"/>
      <c r="AJ1428" s="4"/>
      <c r="AK1428" s="4"/>
      <c r="AL1428" s="4"/>
      <c r="AM1428" s="4"/>
      <c r="AN1428" s="4"/>
      <c r="AO1428" s="4"/>
      <c r="AP1428" s="4"/>
      <c r="AQ1428" s="4"/>
      <c r="AR1428" s="4"/>
      <c r="AS1428" s="4"/>
      <c r="AT1428" s="4"/>
      <c r="AU1428" s="4"/>
      <c r="AV1428" s="4"/>
      <c r="AW1428" s="4"/>
      <c r="AX1428" s="4"/>
      <c r="AY1428" s="4"/>
      <c r="AZ1428" s="4"/>
      <c r="BA1428" s="4"/>
      <c r="BB1428" s="4"/>
      <c r="BC1428" s="4"/>
      <c r="BD1428" s="4"/>
      <c r="BE1428" s="4"/>
      <c r="BF1428" s="4"/>
      <c r="BG1428" s="4"/>
      <c r="BH1428" s="4"/>
      <c r="BI1428" s="4"/>
      <c r="BJ1428" s="4"/>
      <c r="BK1428" s="4"/>
      <c r="BL1428" s="4"/>
      <c r="BM1428" s="4"/>
      <c r="BN1428" s="4"/>
      <c r="BO1428" s="4"/>
      <c r="BP1428" s="4"/>
      <c r="BQ1428" s="4"/>
      <c r="BR1428" s="4"/>
      <c r="BS1428" s="4"/>
      <c r="BT1428" s="4"/>
      <c r="BU1428" s="4"/>
      <c r="BV1428" s="4"/>
      <c r="BW1428" s="4"/>
      <c r="BX1428" s="4"/>
      <c r="BY1428" s="4"/>
      <c r="BZ1428" s="4"/>
      <c r="CA1428" s="4"/>
      <c r="CB1428" s="4"/>
      <c r="CC1428" s="4"/>
      <c r="CD1428" s="4"/>
      <c r="CE1428" s="4"/>
      <c r="CF1428" s="4"/>
      <c r="CG1428" s="4"/>
      <c r="CH1428" s="4"/>
      <c r="CI1428" s="4"/>
      <c r="CJ1428" s="4"/>
      <c r="CK1428" s="4"/>
      <c r="CL1428" s="4"/>
      <c r="CM1428" s="4"/>
      <c r="CN1428" s="4"/>
      <c r="CO1428" s="4"/>
      <c r="CP1428" s="4"/>
      <c r="CQ1428" s="4"/>
      <c r="CR1428" s="4"/>
      <c r="CS1428" s="4"/>
      <c r="CT1428" s="4"/>
      <c r="CU1428" s="4"/>
      <c r="CV1428" s="4"/>
      <c r="CW1428" s="4"/>
      <c r="CX1428" s="4"/>
      <c r="CY1428" s="4"/>
      <c r="CZ1428" s="4"/>
      <c r="DA1428" s="4"/>
      <c r="DB1428" s="4"/>
      <c r="DC1428" s="4"/>
      <c r="DD1428" s="4"/>
      <c r="DE1428" s="4"/>
      <c r="DF1428" s="4"/>
      <c r="DG1428" s="4"/>
      <c r="DH1428" s="4"/>
      <c r="DI1428" s="4"/>
      <c r="DJ1428" s="4"/>
      <c r="DK1428" s="4"/>
      <c r="DL1428" s="4"/>
      <c r="DM1428" s="4"/>
      <c r="DN1428" s="4"/>
      <c r="DO1428" s="4"/>
      <c r="DP1428" s="4"/>
      <c r="DQ1428" s="4"/>
      <c r="DR1428" s="4"/>
      <c r="DS1428" s="4"/>
    </row>
    <row r="1429">
      <c r="A1429" s="9">
        <f>IFERROR(__xludf.DUMMYFUNCTION("""COMPUTED_VALUE"""),45876.0)</f>
        <v>45876</v>
      </c>
      <c r="B1429" s="6" t="str">
        <f>IFERROR(__xludf.DUMMYFUNCTION("""COMPUTED_VALUE"""),"Car Insurance")</f>
        <v>Car Insurance</v>
      </c>
      <c r="C1429" s="7">
        <f>IFERROR(__xludf.DUMMYFUNCTION("""COMPUTED_VALUE"""),8489.0)</f>
        <v>8489</v>
      </c>
      <c r="D1429" s="6" t="str">
        <f>IFERROR(__xludf.DUMMYFUNCTION("""COMPUTED_VALUE"""),"Car Expenses")</f>
        <v>Car Expenses</v>
      </c>
      <c r="E1429" s="6" t="str">
        <f>IFERROR(__xludf.DUMMYFUNCTION("""COMPUTED_VALUE"""),"Split Payment")</f>
        <v>Split Payment</v>
      </c>
      <c r="F1429" s="6" t="s">
        <v>9</v>
      </c>
      <c r="G1429" s="8" t="str">
        <f t="shared" si="1"/>
        <v>202508</v>
      </c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  <c r="AA1429" s="4"/>
      <c r="AB1429" s="4"/>
      <c r="AC1429" s="4"/>
      <c r="AD1429" s="4"/>
      <c r="AE1429" s="4"/>
      <c r="AF1429" s="4"/>
      <c r="AG1429" s="4"/>
      <c r="AH1429" s="4"/>
      <c r="AI1429" s="4"/>
      <c r="AJ1429" s="4"/>
      <c r="AK1429" s="4"/>
      <c r="AL1429" s="4"/>
      <c r="AM1429" s="4"/>
      <c r="AN1429" s="4"/>
      <c r="AO1429" s="4"/>
      <c r="AP1429" s="4"/>
      <c r="AQ1429" s="4"/>
      <c r="AR1429" s="4"/>
      <c r="AS1429" s="4"/>
      <c r="AT1429" s="4"/>
      <c r="AU1429" s="4"/>
      <c r="AV1429" s="4"/>
      <c r="AW1429" s="4"/>
      <c r="AX1429" s="4"/>
      <c r="AY1429" s="4"/>
      <c r="AZ1429" s="4"/>
      <c r="BA1429" s="4"/>
      <c r="BB1429" s="4"/>
      <c r="BC1429" s="4"/>
      <c r="BD1429" s="4"/>
      <c r="BE1429" s="4"/>
      <c r="BF1429" s="4"/>
      <c r="BG1429" s="4"/>
      <c r="BH1429" s="4"/>
      <c r="BI1429" s="4"/>
      <c r="BJ1429" s="4"/>
      <c r="BK1429" s="4"/>
      <c r="BL1429" s="4"/>
      <c r="BM1429" s="4"/>
      <c r="BN1429" s="4"/>
      <c r="BO1429" s="4"/>
      <c r="BP1429" s="4"/>
      <c r="BQ1429" s="4"/>
      <c r="BR1429" s="4"/>
      <c r="BS1429" s="4"/>
      <c r="BT1429" s="4"/>
      <c r="BU1429" s="4"/>
      <c r="BV1429" s="4"/>
      <c r="BW1429" s="4"/>
      <c r="BX1429" s="4"/>
      <c r="BY1429" s="4"/>
      <c r="BZ1429" s="4"/>
      <c r="CA1429" s="4"/>
      <c r="CB1429" s="4"/>
      <c r="CC1429" s="4"/>
      <c r="CD1429" s="4"/>
      <c r="CE1429" s="4"/>
      <c r="CF1429" s="4"/>
      <c r="CG1429" s="4"/>
      <c r="CH1429" s="4"/>
      <c r="CI1429" s="4"/>
      <c r="CJ1429" s="4"/>
      <c r="CK1429" s="4"/>
      <c r="CL1429" s="4"/>
      <c r="CM1429" s="4"/>
      <c r="CN1429" s="4"/>
      <c r="CO1429" s="4"/>
      <c r="CP1429" s="4"/>
      <c r="CQ1429" s="4"/>
      <c r="CR1429" s="4"/>
      <c r="CS1429" s="4"/>
      <c r="CT1429" s="4"/>
      <c r="CU1429" s="4"/>
      <c r="CV1429" s="4"/>
      <c r="CW1429" s="4"/>
      <c r="CX1429" s="4"/>
      <c r="CY1429" s="4"/>
      <c r="CZ1429" s="4"/>
      <c r="DA1429" s="4"/>
      <c r="DB1429" s="4"/>
      <c r="DC1429" s="4"/>
      <c r="DD1429" s="4"/>
      <c r="DE1429" s="4"/>
      <c r="DF1429" s="4"/>
      <c r="DG1429" s="4"/>
      <c r="DH1429" s="4"/>
      <c r="DI1429" s="4"/>
      <c r="DJ1429" s="4"/>
      <c r="DK1429" s="4"/>
      <c r="DL1429" s="4"/>
      <c r="DM1429" s="4"/>
      <c r="DN1429" s="4"/>
      <c r="DO1429" s="4"/>
      <c r="DP1429" s="4"/>
      <c r="DQ1429" s="4"/>
      <c r="DR1429" s="4"/>
      <c r="DS1429" s="4"/>
    </row>
    <row r="1430">
      <c r="A1430" s="9">
        <f>IFERROR(__xludf.DUMMYFUNCTION("""COMPUTED_VALUE"""),45877.0)</f>
        <v>45877</v>
      </c>
      <c r="B1430" s="6" t="str">
        <f>IFERROR(__xludf.DUMMYFUNCTION("""COMPUTED_VALUE"""),"Education")</f>
        <v>Education</v>
      </c>
      <c r="C1430" s="7">
        <f>IFERROR(__xludf.DUMMYFUNCTION("""COMPUTED_VALUE"""),1500.0)</f>
        <v>1500</v>
      </c>
      <c r="D1430" s="6" t="str">
        <f>IFERROR(__xludf.DUMMYFUNCTION("""COMPUTED_VALUE"""),"Education")</f>
        <v>Education</v>
      </c>
      <c r="E1430" s="6" t="str">
        <f>IFERROR(__xludf.DUMMYFUNCTION("""COMPUTED_VALUE"""),"Credit Card")</f>
        <v>Credit Card</v>
      </c>
      <c r="F1430" s="6" t="s">
        <v>11</v>
      </c>
      <c r="G1430" s="8" t="str">
        <f t="shared" si="1"/>
        <v>202508</v>
      </c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  <c r="AA1430" s="4"/>
      <c r="AB1430" s="4"/>
      <c r="AC1430" s="4"/>
      <c r="AD1430" s="4"/>
      <c r="AE1430" s="4"/>
      <c r="AF1430" s="4"/>
      <c r="AG1430" s="4"/>
      <c r="AH1430" s="4"/>
      <c r="AI1430" s="4"/>
      <c r="AJ1430" s="4"/>
      <c r="AK1430" s="4"/>
      <c r="AL1430" s="4"/>
      <c r="AM1430" s="4"/>
      <c r="AN1430" s="4"/>
      <c r="AO1430" s="4"/>
      <c r="AP1430" s="4"/>
      <c r="AQ1430" s="4"/>
      <c r="AR1430" s="4"/>
      <c r="AS1430" s="4"/>
      <c r="AT1430" s="4"/>
      <c r="AU1430" s="4"/>
      <c r="AV1430" s="4"/>
      <c r="AW1430" s="4"/>
      <c r="AX1430" s="4"/>
      <c r="AY1430" s="4"/>
      <c r="AZ1430" s="4"/>
      <c r="BA1430" s="4"/>
      <c r="BB1430" s="4"/>
      <c r="BC1430" s="4"/>
      <c r="BD1430" s="4"/>
      <c r="BE1430" s="4"/>
      <c r="BF1430" s="4"/>
      <c r="BG1430" s="4"/>
      <c r="BH1430" s="4"/>
      <c r="BI1430" s="4"/>
      <c r="BJ1430" s="4"/>
      <c r="BK1430" s="4"/>
      <c r="BL1430" s="4"/>
      <c r="BM1430" s="4"/>
      <c r="BN1430" s="4"/>
      <c r="BO1430" s="4"/>
      <c r="BP1430" s="4"/>
      <c r="BQ1430" s="4"/>
      <c r="BR1430" s="4"/>
      <c r="BS1430" s="4"/>
      <c r="BT1430" s="4"/>
      <c r="BU1430" s="4"/>
      <c r="BV1430" s="4"/>
      <c r="BW1430" s="4"/>
      <c r="BX1430" s="4"/>
      <c r="BY1430" s="4"/>
      <c r="BZ1430" s="4"/>
      <c r="CA1430" s="4"/>
      <c r="CB1430" s="4"/>
      <c r="CC1430" s="4"/>
      <c r="CD1430" s="4"/>
      <c r="CE1430" s="4"/>
      <c r="CF1430" s="4"/>
      <c r="CG1430" s="4"/>
      <c r="CH1430" s="4"/>
      <c r="CI1430" s="4"/>
      <c r="CJ1430" s="4"/>
      <c r="CK1430" s="4"/>
      <c r="CL1430" s="4"/>
      <c r="CM1430" s="4"/>
      <c r="CN1430" s="4"/>
      <c r="CO1430" s="4"/>
      <c r="CP1430" s="4"/>
      <c r="CQ1430" s="4"/>
      <c r="CR1430" s="4"/>
      <c r="CS1430" s="4"/>
      <c r="CT1430" s="4"/>
      <c r="CU1430" s="4"/>
      <c r="CV1430" s="4"/>
      <c r="CW1430" s="4"/>
      <c r="CX1430" s="4"/>
      <c r="CY1430" s="4"/>
      <c r="CZ1430" s="4"/>
      <c r="DA1430" s="4"/>
      <c r="DB1430" s="4"/>
      <c r="DC1430" s="4"/>
      <c r="DD1430" s="4"/>
      <c r="DE1430" s="4"/>
      <c r="DF1430" s="4"/>
      <c r="DG1430" s="4"/>
      <c r="DH1430" s="4"/>
      <c r="DI1430" s="4"/>
      <c r="DJ1430" s="4"/>
      <c r="DK1430" s="4"/>
      <c r="DL1430" s="4"/>
      <c r="DM1430" s="4"/>
      <c r="DN1430" s="4"/>
      <c r="DO1430" s="4"/>
      <c r="DP1430" s="4"/>
      <c r="DQ1430" s="4"/>
      <c r="DR1430" s="4"/>
      <c r="DS1430" s="4"/>
    </row>
    <row r="1431">
      <c r="A1431" s="9">
        <f>IFERROR(__xludf.DUMMYFUNCTION("""COMPUTED_VALUE"""),45877.0)</f>
        <v>45877</v>
      </c>
      <c r="B1431" s="6" t="str">
        <f>IFERROR(__xludf.DUMMYFUNCTION("""COMPUTED_VALUE"""),"Restaurant")</f>
        <v>Restaurant</v>
      </c>
      <c r="C1431" s="7">
        <f>IFERROR(__xludf.DUMMYFUNCTION("""COMPUTED_VALUE"""),3000.0)</f>
        <v>3000</v>
      </c>
      <c r="D1431" s="6" t="str">
        <f>IFERROR(__xludf.DUMMYFUNCTION("""COMPUTED_VALUE"""),"Restaurant / Café")</f>
        <v>Restaurant / Café</v>
      </c>
      <c r="E1431" s="6" t="str">
        <f>IFERROR(__xludf.DUMMYFUNCTION("""COMPUTED_VALUE"""),"Virtual Wallet")</f>
        <v>Virtual Wallet</v>
      </c>
      <c r="F1431" s="6" t="s">
        <v>14</v>
      </c>
      <c r="G1431" s="8" t="str">
        <f t="shared" si="1"/>
        <v>202508</v>
      </c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  <c r="AA1431" s="4"/>
      <c r="AB1431" s="4"/>
      <c r="AC1431" s="4"/>
      <c r="AD1431" s="4"/>
      <c r="AE1431" s="4"/>
      <c r="AF1431" s="4"/>
      <c r="AG1431" s="4"/>
      <c r="AH1431" s="4"/>
      <c r="AI1431" s="4"/>
      <c r="AJ1431" s="4"/>
      <c r="AK1431" s="4"/>
      <c r="AL1431" s="4"/>
      <c r="AM1431" s="4"/>
      <c r="AN1431" s="4"/>
      <c r="AO1431" s="4"/>
      <c r="AP1431" s="4"/>
      <c r="AQ1431" s="4"/>
      <c r="AR1431" s="4"/>
      <c r="AS1431" s="4"/>
      <c r="AT1431" s="4"/>
      <c r="AU1431" s="4"/>
      <c r="AV1431" s="4"/>
      <c r="AW1431" s="4"/>
      <c r="AX1431" s="4"/>
      <c r="AY1431" s="4"/>
      <c r="AZ1431" s="4"/>
      <c r="BA1431" s="4"/>
      <c r="BB1431" s="4"/>
      <c r="BC1431" s="4"/>
      <c r="BD1431" s="4"/>
      <c r="BE1431" s="4"/>
      <c r="BF1431" s="4"/>
      <c r="BG1431" s="4"/>
      <c r="BH1431" s="4"/>
      <c r="BI1431" s="4"/>
      <c r="BJ1431" s="4"/>
      <c r="BK1431" s="4"/>
      <c r="BL1431" s="4"/>
      <c r="BM1431" s="4"/>
      <c r="BN1431" s="4"/>
      <c r="BO1431" s="4"/>
      <c r="BP1431" s="4"/>
      <c r="BQ1431" s="4"/>
      <c r="BR1431" s="4"/>
      <c r="BS1431" s="4"/>
      <c r="BT1431" s="4"/>
      <c r="BU1431" s="4"/>
      <c r="BV1431" s="4"/>
      <c r="BW1431" s="4"/>
      <c r="BX1431" s="4"/>
      <c r="BY1431" s="4"/>
      <c r="BZ1431" s="4"/>
      <c r="CA1431" s="4"/>
      <c r="CB1431" s="4"/>
      <c r="CC1431" s="4"/>
      <c r="CD1431" s="4"/>
      <c r="CE1431" s="4"/>
      <c r="CF1431" s="4"/>
      <c r="CG1431" s="4"/>
      <c r="CH1431" s="4"/>
      <c r="CI1431" s="4"/>
      <c r="CJ1431" s="4"/>
      <c r="CK1431" s="4"/>
      <c r="CL1431" s="4"/>
      <c r="CM1431" s="4"/>
      <c r="CN1431" s="4"/>
      <c r="CO1431" s="4"/>
      <c r="CP1431" s="4"/>
      <c r="CQ1431" s="4"/>
      <c r="CR1431" s="4"/>
      <c r="CS1431" s="4"/>
      <c r="CT1431" s="4"/>
      <c r="CU1431" s="4"/>
      <c r="CV1431" s="4"/>
      <c r="CW1431" s="4"/>
      <c r="CX1431" s="4"/>
      <c r="CY1431" s="4"/>
      <c r="CZ1431" s="4"/>
      <c r="DA1431" s="4"/>
      <c r="DB1431" s="4"/>
      <c r="DC1431" s="4"/>
      <c r="DD1431" s="4"/>
      <c r="DE1431" s="4"/>
      <c r="DF1431" s="4"/>
      <c r="DG1431" s="4"/>
      <c r="DH1431" s="4"/>
      <c r="DI1431" s="4"/>
      <c r="DJ1431" s="4"/>
      <c r="DK1431" s="4"/>
      <c r="DL1431" s="4"/>
      <c r="DM1431" s="4"/>
      <c r="DN1431" s="4"/>
      <c r="DO1431" s="4"/>
      <c r="DP1431" s="4"/>
      <c r="DQ1431" s="4"/>
      <c r="DR1431" s="4"/>
      <c r="DS1431" s="4"/>
    </row>
    <row r="1432">
      <c r="A1432" s="9">
        <f>IFERROR(__xludf.DUMMYFUNCTION("""COMPUTED_VALUE"""),45877.0)</f>
        <v>45877</v>
      </c>
      <c r="B1432" s="6" t="str">
        <f>IFERROR(__xludf.DUMMYFUNCTION("""COMPUTED_VALUE"""),"Pharmacy")</f>
        <v>Pharmacy</v>
      </c>
      <c r="C1432" s="7">
        <f>IFERROR(__xludf.DUMMYFUNCTION("""COMPUTED_VALUE"""),2500.0)</f>
        <v>2500</v>
      </c>
      <c r="D1432" s="6" t="str">
        <f>IFERROR(__xludf.DUMMYFUNCTION("""COMPUTED_VALUE"""),"Healthcare")</f>
        <v>Healthcare</v>
      </c>
      <c r="E1432" s="6" t="str">
        <f>IFERROR(__xludf.DUMMYFUNCTION("""COMPUTED_VALUE"""),"Split Payment")</f>
        <v>Split Payment</v>
      </c>
      <c r="F1432" s="6" t="s">
        <v>15</v>
      </c>
      <c r="G1432" s="8" t="str">
        <f t="shared" si="1"/>
        <v>202508</v>
      </c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  <c r="AA1432" s="4"/>
      <c r="AB1432" s="4"/>
      <c r="AC1432" s="4"/>
      <c r="AD1432" s="4"/>
      <c r="AE1432" s="4"/>
      <c r="AF1432" s="4"/>
      <c r="AG1432" s="4"/>
      <c r="AH1432" s="4"/>
      <c r="AI1432" s="4"/>
      <c r="AJ1432" s="4"/>
      <c r="AK1432" s="4"/>
      <c r="AL1432" s="4"/>
      <c r="AM1432" s="4"/>
      <c r="AN1432" s="4"/>
      <c r="AO1432" s="4"/>
      <c r="AP1432" s="4"/>
      <c r="AQ1432" s="4"/>
      <c r="AR1432" s="4"/>
      <c r="AS1432" s="4"/>
      <c r="AT1432" s="4"/>
      <c r="AU1432" s="4"/>
      <c r="AV1432" s="4"/>
      <c r="AW1432" s="4"/>
      <c r="AX1432" s="4"/>
      <c r="AY1432" s="4"/>
      <c r="AZ1432" s="4"/>
      <c r="BA1432" s="4"/>
      <c r="BB1432" s="4"/>
      <c r="BC1432" s="4"/>
      <c r="BD1432" s="4"/>
      <c r="BE1432" s="4"/>
      <c r="BF1432" s="4"/>
      <c r="BG1432" s="4"/>
      <c r="BH1432" s="4"/>
      <c r="BI1432" s="4"/>
      <c r="BJ1432" s="4"/>
      <c r="BK1432" s="4"/>
      <c r="BL1432" s="4"/>
      <c r="BM1432" s="4"/>
      <c r="BN1432" s="4"/>
      <c r="BO1432" s="4"/>
      <c r="BP1432" s="4"/>
      <c r="BQ1432" s="4"/>
      <c r="BR1432" s="4"/>
      <c r="BS1432" s="4"/>
      <c r="BT1432" s="4"/>
      <c r="BU1432" s="4"/>
      <c r="BV1432" s="4"/>
      <c r="BW1432" s="4"/>
      <c r="BX1432" s="4"/>
      <c r="BY1432" s="4"/>
      <c r="BZ1432" s="4"/>
      <c r="CA1432" s="4"/>
      <c r="CB1432" s="4"/>
      <c r="CC1432" s="4"/>
      <c r="CD1432" s="4"/>
      <c r="CE1432" s="4"/>
      <c r="CF1432" s="4"/>
      <c r="CG1432" s="4"/>
      <c r="CH1432" s="4"/>
      <c r="CI1432" s="4"/>
      <c r="CJ1432" s="4"/>
      <c r="CK1432" s="4"/>
      <c r="CL1432" s="4"/>
      <c r="CM1432" s="4"/>
      <c r="CN1432" s="4"/>
      <c r="CO1432" s="4"/>
      <c r="CP1432" s="4"/>
      <c r="CQ1432" s="4"/>
      <c r="CR1432" s="4"/>
      <c r="CS1432" s="4"/>
      <c r="CT1432" s="4"/>
      <c r="CU1432" s="4"/>
      <c r="CV1432" s="4"/>
      <c r="CW1432" s="4"/>
      <c r="CX1432" s="4"/>
      <c r="CY1432" s="4"/>
      <c r="CZ1432" s="4"/>
      <c r="DA1432" s="4"/>
      <c r="DB1432" s="4"/>
      <c r="DC1432" s="4"/>
      <c r="DD1432" s="4"/>
      <c r="DE1432" s="4"/>
      <c r="DF1432" s="4"/>
      <c r="DG1432" s="4"/>
      <c r="DH1432" s="4"/>
      <c r="DI1432" s="4"/>
      <c r="DJ1432" s="4"/>
      <c r="DK1432" s="4"/>
      <c r="DL1432" s="4"/>
      <c r="DM1432" s="4"/>
      <c r="DN1432" s="4"/>
      <c r="DO1432" s="4"/>
      <c r="DP1432" s="4"/>
      <c r="DQ1432" s="4"/>
      <c r="DR1432" s="4"/>
      <c r="DS1432" s="4"/>
    </row>
    <row r="1433">
      <c r="A1433" s="9">
        <f>IFERROR(__xludf.DUMMYFUNCTION("""COMPUTED_VALUE"""),45877.0)</f>
        <v>45877</v>
      </c>
      <c r="B1433" s="6" t="str">
        <f>IFERROR(__xludf.DUMMYFUNCTION("""COMPUTED_VALUE"""),"Cab/Uber")</f>
        <v>Cab/Uber</v>
      </c>
      <c r="C1433" s="7">
        <f>IFERROR(__xludf.DUMMYFUNCTION("""COMPUTED_VALUE"""),10000.0)</f>
        <v>10000</v>
      </c>
      <c r="D1433" s="6" t="str">
        <f>IFERROR(__xludf.DUMMYFUNCTION("""COMPUTED_VALUE"""),"Transportation")</f>
        <v>Transportation</v>
      </c>
      <c r="E1433" s="6" t="str">
        <f>IFERROR(__xludf.DUMMYFUNCTION("""COMPUTED_VALUE"""),"Virtual Wallet")</f>
        <v>Virtual Wallet</v>
      </c>
      <c r="F1433" s="6" t="s">
        <v>9</v>
      </c>
      <c r="G1433" s="8" t="str">
        <f t="shared" si="1"/>
        <v>202508</v>
      </c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  <c r="AA1433" s="4"/>
      <c r="AB1433" s="4"/>
      <c r="AC1433" s="4"/>
      <c r="AD1433" s="4"/>
      <c r="AE1433" s="4"/>
      <c r="AF1433" s="4"/>
      <c r="AG1433" s="4"/>
      <c r="AH1433" s="4"/>
      <c r="AI1433" s="4"/>
      <c r="AJ1433" s="4"/>
      <c r="AK1433" s="4"/>
      <c r="AL1433" s="4"/>
      <c r="AM1433" s="4"/>
      <c r="AN1433" s="4"/>
      <c r="AO1433" s="4"/>
      <c r="AP1433" s="4"/>
      <c r="AQ1433" s="4"/>
      <c r="AR1433" s="4"/>
      <c r="AS1433" s="4"/>
      <c r="AT1433" s="4"/>
      <c r="AU1433" s="4"/>
      <c r="AV1433" s="4"/>
      <c r="AW1433" s="4"/>
      <c r="AX1433" s="4"/>
      <c r="AY1433" s="4"/>
      <c r="AZ1433" s="4"/>
      <c r="BA1433" s="4"/>
      <c r="BB1433" s="4"/>
      <c r="BC1433" s="4"/>
      <c r="BD1433" s="4"/>
      <c r="BE1433" s="4"/>
      <c r="BF1433" s="4"/>
      <c r="BG1433" s="4"/>
      <c r="BH1433" s="4"/>
      <c r="BI1433" s="4"/>
      <c r="BJ1433" s="4"/>
      <c r="BK1433" s="4"/>
      <c r="BL1433" s="4"/>
      <c r="BM1433" s="4"/>
      <c r="BN1433" s="4"/>
      <c r="BO1433" s="4"/>
      <c r="BP1433" s="4"/>
      <c r="BQ1433" s="4"/>
      <c r="BR1433" s="4"/>
      <c r="BS1433" s="4"/>
      <c r="BT1433" s="4"/>
      <c r="BU1433" s="4"/>
      <c r="BV1433" s="4"/>
      <c r="BW1433" s="4"/>
      <c r="BX1433" s="4"/>
      <c r="BY1433" s="4"/>
      <c r="BZ1433" s="4"/>
      <c r="CA1433" s="4"/>
      <c r="CB1433" s="4"/>
      <c r="CC1433" s="4"/>
      <c r="CD1433" s="4"/>
      <c r="CE1433" s="4"/>
      <c r="CF1433" s="4"/>
      <c r="CG1433" s="4"/>
      <c r="CH1433" s="4"/>
      <c r="CI1433" s="4"/>
      <c r="CJ1433" s="4"/>
      <c r="CK1433" s="4"/>
      <c r="CL1433" s="4"/>
      <c r="CM1433" s="4"/>
      <c r="CN1433" s="4"/>
      <c r="CO1433" s="4"/>
      <c r="CP1433" s="4"/>
      <c r="CQ1433" s="4"/>
      <c r="CR1433" s="4"/>
      <c r="CS1433" s="4"/>
      <c r="CT1433" s="4"/>
      <c r="CU1433" s="4"/>
      <c r="CV1433" s="4"/>
      <c r="CW1433" s="4"/>
      <c r="CX1433" s="4"/>
      <c r="CY1433" s="4"/>
      <c r="CZ1433" s="4"/>
      <c r="DA1433" s="4"/>
      <c r="DB1433" s="4"/>
      <c r="DC1433" s="4"/>
      <c r="DD1433" s="4"/>
      <c r="DE1433" s="4"/>
      <c r="DF1433" s="4"/>
      <c r="DG1433" s="4"/>
      <c r="DH1433" s="4"/>
      <c r="DI1433" s="4"/>
      <c r="DJ1433" s="4"/>
      <c r="DK1433" s="4"/>
      <c r="DL1433" s="4"/>
      <c r="DM1433" s="4"/>
      <c r="DN1433" s="4"/>
      <c r="DO1433" s="4"/>
      <c r="DP1433" s="4"/>
      <c r="DQ1433" s="4"/>
      <c r="DR1433" s="4"/>
      <c r="DS1433" s="4"/>
    </row>
    <row r="1434">
      <c r="A1434" s="9">
        <f>IFERROR(__xludf.DUMMYFUNCTION("""COMPUTED_VALUE"""),45878.0)</f>
        <v>45878</v>
      </c>
      <c r="B1434" s="6" t="str">
        <f>IFERROR(__xludf.DUMMYFUNCTION("""COMPUTED_VALUE"""),"Groceries")</f>
        <v>Groceries</v>
      </c>
      <c r="C1434" s="7">
        <f>IFERROR(__xludf.DUMMYFUNCTION("""COMPUTED_VALUE"""),1881.0)</f>
        <v>1881</v>
      </c>
      <c r="D1434" s="6" t="str">
        <f>IFERROR(__xludf.DUMMYFUNCTION("""COMPUTED_VALUE"""),"Groceries")</f>
        <v>Groceries</v>
      </c>
      <c r="E1434" s="6" t="str">
        <f>IFERROR(__xludf.DUMMYFUNCTION("""COMPUTED_VALUE"""),"Virtual Wallet")</f>
        <v>Virtual Wallet</v>
      </c>
      <c r="F1434" s="6" t="s">
        <v>7</v>
      </c>
      <c r="G1434" s="8" t="str">
        <f t="shared" si="1"/>
        <v>202508</v>
      </c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  <c r="AA1434" s="4"/>
      <c r="AB1434" s="4"/>
      <c r="AC1434" s="4"/>
      <c r="AD1434" s="4"/>
      <c r="AE1434" s="4"/>
      <c r="AF1434" s="4"/>
      <c r="AG1434" s="4"/>
      <c r="AH1434" s="4"/>
      <c r="AI1434" s="4"/>
      <c r="AJ1434" s="4"/>
      <c r="AK1434" s="4"/>
      <c r="AL1434" s="4"/>
      <c r="AM1434" s="4"/>
      <c r="AN1434" s="4"/>
      <c r="AO1434" s="4"/>
      <c r="AP1434" s="4"/>
      <c r="AQ1434" s="4"/>
      <c r="AR1434" s="4"/>
      <c r="AS1434" s="4"/>
      <c r="AT1434" s="4"/>
      <c r="AU1434" s="4"/>
      <c r="AV1434" s="4"/>
      <c r="AW1434" s="4"/>
      <c r="AX1434" s="4"/>
      <c r="AY1434" s="4"/>
      <c r="AZ1434" s="4"/>
      <c r="BA1434" s="4"/>
      <c r="BB1434" s="4"/>
      <c r="BC1434" s="4"/>
      <c r="BD1434" s="4"/>
      <c r="BE1434" s="4"/>
      <c r="BF1434" s="4"/>
      <c r="BG1434" s="4"/>
      <c r="BH1434" s="4"/>
      <c r="BI1434" s="4"/>
      <c r="BJ1434" s="4"/>
      <c r="BK1434" s="4"/>
      <c r="BL1434" s="4"/>
      <c r="BM1434" s="4"/>
      <c r="BN1434" s="4"/>
      <c r="BO1434" s="4"/>
      <c r="BP1434" s="4"/>
      <c r="BQ1434" s="4"/>
      <c r="BR1434" s="4"/>
      <c r="BS1434" s="4"/>
      <c r="BT1434" s="4"/>
      <c r="BU1434" s="4"/>
      <c r="BV1434" s="4"/>
      <c r="BW1434" s="4"/>
      <c r="BX1434" s="4"/>
      <c r="BY1434" s="4"/>
      <c r="BZ1434" s="4"/>
      <c r="CA1434" s="4"/>
      <c r="CB1434" s="4"/>
      <c r="CC1434" s="4"/>
      <c r="CD1434" s="4"/>
      <c r="CE1434" s="4"/>
      <c r="CF1434" s="4"/>
      <c r="CG1434" s="4"/>
      <c r="CH1434" s="4"/>
      <c r="CI1434" s="4"/>
      <c r="CJ1434" s="4"/>
      <c r="CK1434" s="4"/>
      <c r="CL1434" s="4"/>
      <c r="CM1434" s="4"/>
      <c r="CN1434" s="4"/>
      <c r="CO1434" s="4"/>
      <c r="CP1434" s="4"/>
      <c r="CQ1434" s="4"/>
      <c r="CR1434" s="4"/>
      <c r="CS1434" s="4"/>
      <c r="CT1434" s="4"/>
      <c r="CU1434" s="4"/>
      <c r="CV1434" s="4"/>
      <c r="CW1434" s="4"/>
      <c r="CX1434" s="4"/>
      <c r="CY1434" s="4"/>
      <c r="CZ1434" s="4"/>
      <c r="DA1434" s="4"/>
      <c r="DB1434" s="4"/>
      <c r="DC1434" s="4"/>
      <c r="DD1434" s="4"/>
      <c r="DE1434" s="4"/>
      <c r="DF1434" s="4"/>
      <c r="DG1434" s="4"/>
      <c r="DH1434" s="4"/>
      <c r="DI1434" s="4"/>
      <c r="DJ1434" s="4"/>
      <c r="DK1434" s="4"/>
      <c r="DL1434" s="4"/>
      <c r="DM1434" s="4"/>
      <c r="DN1434" s="4"/>
      <c r="DO1434" s="4"/>
      <c r="DP1434" s="4"/>
      <c r="DQ1434" s="4"/>
      <c r="DR1434" s="4"/>
      <c r="DS1434" s="4"/>
    </row>
    <row r="1435">
      <c r="A1435" s="9">
        <f>IFERROR(__xludf.DUMMYFUNCTION("""COMPUTED_VALUE"""),45878.0)</f>
        <v>45878</v>
      </c>
      <c r="B1435" s="6" t="str">
        <f>IFERROR(__xludf.DUMMYFUNCTION("""COMPUTED_VALUE"""),"Pharmacy")</f>
        <v>Pharmacy</v>
      </c>
      <c r="C1435" s="7">
        <f>IFERROR(__xludf.DUMMYFUNCTION("""COMPUTED_VALUE"""),18589.0)</f>
        <v>18589</v>
      </c>
      <c r="D1435" s="6" t="str">
        <f>IFERROR(__xludf.DUMMYFUNCTION("""COMPUTED_VALUE"""),"Personal Care")</f>
        <v>Personal Care</v>
      </c>
      <c r="E1435" s="6" t="str">
        <f>IFERROR(__xludf.DUMMYFUNCTION("""COMPUTED_VALUE"""),"Virtual Wallet")</f>
        <v>Virtual Wallet</v>
      </c>
      <c r="F1435" s="6" t="s">
        <v>16</v>
      </c>
      <c r="G1435" s="8" t="str">
        <f t="shared" si="1"/>
        <v>202508</v>
      </c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  <c r="AA1435" s="4"/>
      <c r="AB1435" s="4"/>
      <c r="AC1435" s="4"/>
      <c r="AD1435" s="4"/>
      <c r="AE1435" s="4"/>
      <c r="AF1435" s="4"/>
      <c r="AG1435" s="4"/>
      <c r="AH1435" s="4"/>
      <c r="AI1435" s="4"/>
      <c r="AJ1435" s="4"/>
      <c r="AK1435" s="4"/>
      <c r="AL1435" s="4"/>
      <c r="AM1435" s="4"/>
      <c r="AN1435" s="4"/>
      <c r="AO1435" s="4"/>
      <c r="AP1435" s="4"/>
      <c r="AQ1435" s="4"/>
      <c r="AR1435" s="4"/>
      <c r="AS1435" s="4"/>
      <c r="AT1435" s="4"/>
      <c r="AU1435" s="4"/>
      <c r="AV1435" s="4"/>
      <c r="AW1435" s="4"/>
      <c r="AX1435" s="4"/>
      <c r="AY1435" s="4"/>
      <c r="AZ1435" s="4"/>
      <c r="BA1435" s="4"/>
      <c r="BB1435" s="4"/>
      <c r="BC1435" s="4"/>
      <c r="BD1435" s="4"/>
      <c r="BE1435" s="4"/>
      <c r="BF1435" s="4"/>
      <c r="BG1435" s="4"/>
      <c r="BH1435" s="4"/>
      <c r="BI1435" s="4"/>
      <c r="BJ1435" s="4"/>
      <c r="BK1435" s="4"/>
      <c r="BL1435" s="4"/>
      <c r="BM1435" s="4"/>
      <c r="BN1435" s="4"/>
      <c r="BO1435" s="4"/>
      <c r="BP1435" s="4"/>
      <c r="BQ1435" s="4"/>
      <c r="BR1435" s="4"/>
      <c r="BS1435" s="4"/>
      <c r="BT1435" s="4"/>
      <c r="BU1435" s="4"/>
      <c r="BV1435" s="4"/>
      <c r="BW1435" s="4"/>
      <c r="BX1435" s="4"/>
      <c r="BY1435" s="4"/>
      <c r="BZ1435" s="4"/>
      <c r="CA1435" s="4"/>
      <c r="CB1435" s="4"/>
      <c r="CC1435" s="4"/>
      <c r="CD1435" s="4"/>
      <c r="CE1435" s="4"/>
      <c r="CF1435" s="4"/>
      <c r="CG1435" s="4"/>
      <c r="CH1435" s="4"/>
      <c r="CI1435" s="4"/>
      <c r="CJ1435" s="4"/>
      <c r="CK1435" s="4"/>
      <c r="CL1435" s="4"/>
      <c r="CM1435" s="4"/>
      <c r="CN1435" s="4"/>
      <c r="CO1435" s="4"/>
      <c r="CP1435" s="4"/>
      <c r="CQ1435" s="4"/>
      <c r="CR1435" s="4"/>
      <c r="CS1435" s="4"/>
      <c r="CT1435" s="4"/>
      <c r="CU1435" s="4"/>
      <c r="CV1435" s="4"/>
      <c r="CW1435" s="4"/>
      <c r="CX1435" s="4"/>
      <c r="CY1435" s="4"/>
      <c r="CZ1435" s="4"/>
      <c r="DA1435" s="4"/>
      <c r="DB1435" s="4"/>
      <c r="DC1435" s="4"/>
      <c r="DD1435" s="4"/>
      <c r="DE1435" s="4"/>
      <c r="DF1435" s="4"/>
      <c r="DG1435" s="4"/>
      <c r="DH1435" s="4"/>
      <c r="DI1435" s="4"/>
      <c r="DJ1435" s="4"/>
      <c r="DK1435" s="4"/>
      <c r="DL1435" s="4"/>
      <c r="DM1435" s="4"/>
      <c r="DN1435" s="4"/>
      <c r="DO1435" s="4"/>
      <c r="DP1435" s="4"/>
      <c r="DQ1435" s="4"/>
      <c r="DR1435" s="4"/>
      <c r="DS1435" s="4"/>
    </row>
    <row r="1436">
      <c r="A1436" s="9">
        <f>IFERROR(__xludf.DUMMYFUNCTION("""COMPUTED_VALUE"""),45879.0)</f>
        <v>45879</v>
      </c>
      <c r="B1436" s="6" t="str">
        <f>IFERROR(__xludf.DUMMYFUNCTION("""COMPUTED_VALUE"""),"Groceries")</f>
        <v>Groceries</v>
      </c>
      <c r="C1436" s="7">
        <f>IFERROR(__xludf.DUMMYFUNCTION("""COMPUTED_VALUE"""),3500.0)</f>
        <v>3500</v>
      </c>
      <c r="D1436" s="6" t="str">
        <f>IFERROR(__xludf.DUMMYFUNCTION("""COMPUTED_VALUE"""),"Groceries")</f>
        <v>Groceries</v>
      </c>
      <c r="E1436" s="6" t="str">
        <f>IFERROR(__xludf.DUMMYFUNCTION("""COMPUTED_VALUE"""),"Virtual Wallet")</f>
        <v>Virtual Wallet</v>
      </c>
      <c r="F1436" s="6" t="s">
        <v>7</v>
      </c>
      <c r="G1436" s="8" t="str">
        <f t="shared" si="1"/>
        <v>202508</v>
      </c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  <c r="AA1436" s="4"/>
      <c r="AB1436" s="4"/>
      <c r="AC1436" s="4"/>
      <c r="AD1436" s="4"/>
      <c r="AE1436" s="4"/>
      <c r="AF1436" s="4"/>
      <c r="AG1436" s="4"/>
      <c r="AH1436" s="4"/>
      <c r="AI1436" s="4"/>
      <c r="AJ1436" s="4"/>
      <c r="AK1436" s="4"/>
      <c r="AL1436" s="4"/>
      <c r="AM1436" s="4"/>
      <c r="AN1436" s="4"/>
      <c r="AO1436" s="4"/>
      <c r="AP1436" s="4"/>
      <c r="AQ1436" s="4"/>
      <c r="AR1436" s="4"/>
      <c r="AS1436" s="4"/>
      <c r="AT1436" s="4"/>
      <c r="AU1436" s="4"/>
      <c r="AV1436" s="4"/>
      <c r="AW1436" s="4"/>
      <c r="AX1436" s="4"/>
      <c r="AY1436" s="4"/>
      <c r="AZ1436" s="4"/>
      <c r="BA1436" s="4"/>
      <c r="BB1436" s="4"/>
      <c r="BC1436" s="4"/>
      <c r="BD1436" s="4"/>
      <c r="BE1436" s="4"/>
      <c r="BF1436" s="4"/>
      <c r="BG1436" s="4"/>
      <c r="BH1436" s="4"/>
      <c r="BI1436" s="4"/>
      <c r="BJ1436" s="4"/>
      <c r="BK1436" s="4"/>
      <c r="BL1436" s="4"/>
      <c r="BM1436" s="4"/>
      <c r="BN1436" s="4"/>
      <c r="BO1436" s="4"/>
      <c r="BP1436" s="4"/>
      <c r="BQ1436" s="4"/>
      <c r="BR1436" s="4"/>
      <c r="BS1436" s="4"/>
      <c r="BT1436" s="4"/>
      <c r="BU1436" s="4"/>
      <c r="BV1436" s="4"/>
      <c r="BW1436" s="4"/>
      <c r="BX1436" s="4"/>
      <c r="BY1436" s="4"/>
      <c r="BZ1436" s="4"/>
      <c r="CA1436" s="4"/>
      <c r="CB1436" s="4"/>
      <c r="CC1436" s="4"/>
      <c r="CD1436" s="4"/>
      <c r="CE1436" s="4"/>
      <c r="CF1436" s="4"/>
      <c r="CG1436" s="4"/>
      <c r="CH1436" s="4"/>
      <c r="CI1436" s="4"/>
      <c r="CJ1436" s="4"/>
      <c r="CK1436" s="4"/>
      <c r="CL1436" s="4"/>
      <c r="CM1436" s="4"/>
      <c r="CN1436" s="4"/>
      <c r="CO1436" s="4"/>
      <c r="CP1436" s="4"/>
      <c r="CQ1436" s="4"/>
      <c r="CR1436" s="4"/>
      <c r="CS1436" s="4"/>
      <c r="CT1436" s="4"/>
      <c r="CU1436" s="4"/>
      <c r="CV1436" s="4"/>
      <c r="CW1436" s="4"/>
      <c r="CX1436" s="4"/>
      <c r="CY1436" s="4"/>
      <c r="CZ1436" s="4"/>
      <c r="DA1436" s="4"/>
      <c r="DB1436" s="4"/>
      <c r="DC1436" s="4"/>
      <c r="DD1436" s="4"/>
      <c r="DE1436" s="4"/>
      <c r="DF1436" s="4"/>
      <c r="DG1436" s="4"/>
      <c r="DH1436" s="4"/>
      <c r="DI1436" s="4"/>
      <c r="DJ1436" s="4"/>
      <c r="DK1436" s="4"/>
      <c r="DL1436" s="4"/>
      <c r="DM1436" s="4"/>
      <c r="DN1436" s="4"/>
      <c r="DO1436" s="4"/>
      <c r="DP1436" s="4"/>
      <c r="DQ1436" s="4"/>
      <c r="DR1436" s="4"/>
      <c r="DS1436" s="4"/>
    </row>
    <row r="1437">
      <c r="A1437" s="9">
        <f>IFERROR(__xludf.DUMMYFUNCTION("""COMPUTED_VALUE"""),45879.0)</f>
        <v>45879</v>
      </c>
      <c r="B1437" s="6" t="str">
        <f>IFERROR(__xludf.DUMMYFUNCTION("""COMPUTED_VALUE"""),"Groceries")</f>
        <v>Groceries</v>
      </c>
      <c r="C1437" s="7">
        <f>IFERROR(__xludf.DUMMYFUNCTION("""COMPUTED_VALUE"""),1800.0)</f>
        <v>1800</v>
      </c>
      <c r="D1437" s="6" t="str">
        <f>IFERROR(__xludf.DUMMYFUNCTION("""COMPUTED_VALUE"""),"Restaurant / Café")</f>
        <v>Restaurant / Café</v>
      </c>
      <c r="E1437" s="6" t="str">
        <f>IFERROR(__xludf.DUMMYFUNCTION("""COMPUTED_VALUE"""),"Virtual Wallet")</f>
        <v>Virtual Wallet</v>
      </c>
      <c r="F1437" s="6" t="s">
        <v>14</v>
      </c>
      <c r="G1437" s="8" t="str">
        <f t="shared" si="1"/>
        <v>202508</v>
      </c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  <c r="AA1437" s="4"/>
      <c r="AB1437" s="4"/>
      <c r="AC1437" s="4"/>
      <c r="AD1437" s="4"/>
      <c r="AE1437" s="4"/>
      <c r="AF1437" s="4"/>
      <c r="AG1437" s="4"/>
      <c r="AH1437" s="4"/>
      <c r="AI1437" s="4"/>
      <c r="AJ1437" s="4"/>
      <c r="AK1437" s="4"/>
      <c r="AL1437" s="4"/>
      <c r="AM1437" s="4"/>
      <c r="AN1437" s="4"/>
      <c r="AO1437" s="4"/>
      <c r="AP1437" s="4"/>
      <c r="AQ1437" s="4"/>
      <c r="AR1437" s="4"/>
      <c r="AS1437" s="4"/>
      <c r="AT1437" s="4"/>
      <c r="AU1437" s="4"/>
      <c r="AV1437" s="4"/>
      <c r="AW1437" s="4"/>
      <c r="AX1437" s="4"/>
      <c r="AY1437" s="4"/>
      <c r="AZ1437" s="4"/>
      <c r="BA1437" s="4"/>
      <c r="BB1437" s="4"/>
      <c r="BC1437" s="4"/>
      <c r="BD1437" s="4"/>
      <c r="BE1437" s="4"/>
      <c r="BF1437" s="4"/>
      <c r="BG1437" s="4"/>
      <c r="BH1437" s="4"/>
      <c r="BI1437" s="4"/>
      <c r="BJ1437" s="4"/>
      <c r="BK1437" s="4"/>
      <c r="BL1437" s="4"/>
      <c r="BM1437" s="4"/>
      <c r="BN1437" s="4"/>
      <c r="BO1437" s="4"/>
      <c r="BP1437" s="4"/>
      <c r="BQ1437" s="4"/>
      <c r="BR1437" s="4"/>
      <c r="BS1437" s="4"/>
      <c r="BT1437" s="4"/>
      <c r="BU1437" s="4"/>
      <c r="BV1437" s="4"/>
      <c r="BW1437" s="4"/>
      <c r="BX1437" s="4"/>
      <c r="BY1437" s="4"/>
      <c r="BZ1437" s="4"/>
      <c r="CA1437" s="4"/>
      <c r="CB1437" s="4"/>
      <c r="CC1437" s="4"/>
      <c r="CD1437" s="4"/>
      <c r="CE1437" s="4"/>
      <c r="CF1437" s="4"/>
      <c r="CG1437" s="4"/>
      <c r="CH1437" s="4"/>
      <c r="CI1437" s="4"/>
      <c r="CJ1437" s="4"/>
      <c r="CK1437" s="4"/>
      <c r="CL1437" s="4"/>
      <c r="CM1437" s="4"/>
      <c r="CN1437" s="4"/>
      <c r="CO1437" s="4"/>
      <c r="CP1437" s="4"/>
      <c r="CQ1437" s="4"/>
      <c r="CR1437" s="4"/>
      <c r="CS1437" s="4"/>
      <c r="CT1437" s="4"/>
      <c r="CU1437" s="4"/>
      <c r="CV1437" s="4"/>
      <c r="CW1437" s="4"/>
      <c r="CX1437" s="4"/>
      <c r="CY1437" s="4"/>
      <c r="CZ1437" s="4"/>
      <c r="DA1437" s="4"/>
      <c r="DB1437" s="4"/>
      <c r="DC1437" s="4"/>
      <c r="DD1437" s="4"/>
      <c r="DE1437" s="4"/>
      <c r="DF1437" s="4"/>
      <c r="DG1437" s="4"/>
      <c r="DH1437" s="4"/>
      <c r="DI1437" s="4"/>
      <c r="DJ1437" s="4"/>
      <c r="DK1437" s="4"/>
      <c r="DL1437" s="4"/>
      <c r="DM1437" s="4"/>
      <c r="DN1437" s="4"/>
      <c r="DO1437" s="4"/>
      <c r="DP1437" s="4"/>
      <c r="DQ1437" s="4"/>
      <c r="DR1437" s="4"/>
      <c r="DS1437" s="4"/>
    </row>
    <row r="1438">
      <c r="A1438" s="9">
        <f>IFERROR(__xludf.DUMMYFUNCTION("""COMPUTED_VALUE"""),45880.0)</f>
        <v>45880</v>
      </c>
      <c r="B1438" s="6" t="str">
        <f>IFERROR(__xludf.DUMMYFUNCTION("""COMPUTED_VALUE"""),"Groceries")</f>
        <v>Groceries</v>
      </c>
      <c r="C1438" s="7">
        <f>IFERROR(__xludf.DUMMYFUNCTION("""COMPUTED_VALUE"""),2717.0)</f>
        <v>2717</v>
      </c>
      <c r="D1438" s="6" t="str">
        <f>IFERROR(__xludf.DUMMYFUNCTION("""COMPUTED_VALUE"""),"Groceries")</f>
        <v>Groceries</v>
      </c>
      <c r="E1438" s="6" t="str">
        <f>IFERROR(__xludf.DUMMYFUNCTION("""COMPUTED_VALUE"""),"Virtual Wallet")</f>
        <v>Virtual Wallet</v>
      </c>
      <c r="F1438" s="6" t="s">
        <v>7</v>
      </c>
      <c r="G1438" s="8" t="str">
        <f t="shared" si="1"/>
        <v>202508</v>
      </c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  <c r="AA1438" s="4"/>
      <c r="AB1438" s="4"/>
      <c r="AC1438" s="4"/>
      <c r="AD1438" s="4"/>
      <c r="AE1438" s="4"/>
      <c r="AF1438" s="4"/>
      <c r="AG1438" s="4"/>
      <c r="AH1438" s="4"/>
      <c r="AI1438" s="4"/>
      <c r="AJ1438" s="4"/>
      <c r="AK1438" s="4"/>
      <c r="AL1438" s="4"/>
      <c r="AM1438" s="4"/>
      <c r="AN1438" s="4"/>
      <c r="AO1438" s="4"/>
      <c r="AP1438" s="4"/>
      <c r="AQ1438" s="4"/>
      <c r="AR1438" s="4"/>
      <c r="AS1438" s="4"/>
      <c r="AT1438" s="4"/>
      <c r="AU1438" s="4"/>
      <c r="AV1438" s="4"/>
      <c r="AW1438" s="4"/>
      <c r="AX1438" s="4"/>
      <c r="AY1438" s="4"/>
      <c r="AZ1438" s="4"/>
      <c r="BA1438" s="4"/>
      <c r="BB1438" s="4"/>
      <c r="BC1438" s="4"/>
      <c r="BD1438" s="4"/>
      <c r="BE1438" s="4"/>
      <c r="BF1438" s="4"/>
      <c r="BG1438" s="4"/>
      <c r="BH1438" s="4"/>
      <c r="BI1438" s="4"/>
      <c r="BJ1438" s="4"/>
      <c r="BK1438" s="4"/>
      <c r="BL1438" s="4"/>
      <c r="BM1438" s="4"/>
      <c r="BN1438" s="4"/>
      <c r="BO1438" s="4"/>
      <c r="BP1438" s="4"/>
      <c r="BQ1438" s="4"/>
      <c r="BR1438" s="4"/>
      <c r="BS1438" s="4"/>
      <c r="BT1438" s="4"/>
      <c r="BU1438" s="4"/>
      <c r="BV1438" s="4"/>
      <c r="BW1438" s="4"/>
      <c r="BX1438" s="4"/>
      <c r="BY1438" s="4"/>
      <c r="BZ1438" s="4"/>
      <c r="CA1438" s="4"/>
      <c r="CB1438" s="4"/>
      <c r="CC1438" s="4"/>
      <c r="CD1438" s="4"/>
      <c r="CE1438" s="4"/>
      <c r="CF1438" s="4"/>
      <c r="CG1438" s="4"/>
      <c r="CH1438" s="4"/>
      <c r="CI1438" s="4"/>
      <c r="CJ1438" s="4"/>
      <c r="CK1438" s="4"/>
      <c r="CL1438" s="4"/>
      <c r="CM1438" s="4"/>
      <c r="CN1438" s="4"/>
      <c r="CO1438" s="4"/>
      <c r="CP1438" s="4"/>
      <c r="CQ1438" s="4"/>
      <c r="CR1438" s="4"/>
      <c r="CS1438" s="4"/>
      <c r="CT1438" s="4"/>
      <c r="CU1438" s="4"/>
      <c r="CV1438" s="4"/>
      <c r="CW1438" s="4"/>
      <c r="CX1438" s="4"/>
      <c r="CY1438" s="4"/>
      <c r="CZ1438" s="4"/>
      <c r="DA1438" s="4"/>
      <c r="DB1438" s="4"/>
      <c r="DC1438" s="4"/>
      <c r="DD1438" s="4"/>
      <c r="DE1438" s="4"/>
      <c r="DF1438" s="4"/>
      <c r="DG1438" s="4"/>
      <c r="DH1438" s="4"/>
      <c r="DI1438" s="4"/>
      <c r="DJ1438" s="4"/>
      <c r="DK1438" s="4"/>
      <c r="DL1438" s="4"/>
      <c r="DM1438" s="4"/>
      <c r="DN1438" s="4"/>
      <c r="DO1438" s="4"/>
      <c r="DP1438" s="4"/>
      <c r="DQ1438" s="4"/>
      <c r="DR1438" s="4"/>
      <c r="DS1438" s="4"/>
    </row>
    <row r="1439">
      <c r="A1439" s="9">
        <f>IFERROR(__xludf.DUMMYFUNCTION("""COMPUTED_VALUE"""),45880.0)</f>
        <v>45880</v>
      </c>
      <c r="B1439" s="6" t="str">
        <f>IFERROR(__xludf.DUMMYFUNCTION("""COMPUTED_VALUE"""),"Pharmacy")</f>
        <v>Pharmacy</v>
      </c>
      <c r="C1439" s="7">
        <f>IFERROR(__xludf.DUMMYFUNCTION("""COMPUTED_VALUE"""),3291.0)</f>
        <v>3291</v>
      </c>
      <c r="D1439" s="6" t="str">
        <f>IFERROR(__xludf.DUMMYFUNCTION("""COMPUTED_VALUE"""),"Healthcare")</f>
        <v>Healthcare</v>
      </c>
      <c r="E1439" s="6" t="str">
        <f>IFERROR(__xludf.DUMMYFUNCTION("""COMPUTED_VALUE"""),"Virtual Wallet")</f>
        <v>Virtual Wallet</v>
      </c>
      <c r="F1439" s="6" t="s">
        <v>15</v>
      </c>
      <c r="G1439" s="8" t="str">
        <f t="shared" si="1"/>
        <v>202508</v>
      </c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  <c r="AA1439" s="4"/>
      <c r="AB1439" s="4"/>
      <c r="AC1439" s="4"/>
      <c r="AD1439" s="4"/>
      <c r="AE1439" s="4"/>
      <c r="AF1439" s="4"/>
      <c r="AG1439" s="4"/>
      <c r="AH1439" s="4"/>
      <c r="AI1439" s="4"/>
      <c r="AJ1439" s="4"/>
      <c r="AK1439" s="4"/>
      <c r="AL1439" s="4"/>
      <c r="AM1439" s="4"/>
      <c r="AN1439" s="4"/>
      <c r="AO1439" s="4"/>
      <c r="AP1439" s="4"/>
      <c r="AQ1439" s="4"/>
      <c r="AR1439" s="4"/>
      <c r="AS1439" s="4"/>
      <c r="AT1439" s="4"/>
      <c r="AU1439" s="4"/>
      <c r="AV1439" s="4"/>
      <c r="AW1439" s="4"/>
      <c r="AX1439" s="4"/>
      <c r="AY1439" s="4"/>
      <c r="AZ1439" s="4"/>
      <c r="BA1439" s="4"/>
      <c r="BB1439" s="4"/>
      <c r="BC1439" s="4"/>
      <c r="BD1439" s="4"/>
      <c r="BE1439" s="4"/>
      <c r="BF1439" s="4"/>
      <c r="BG1439" s="4"/>
      <c r="BH1439" s="4"/>
      <c r="BI1439" s="4"/>
      <c r="BJ1439" s="4"/>
      <c r="BK1439" s="4"/>
      <c r="BL1439" s="4"/>
      <c r="BM1439" s="4"/>
      <c r="BN1439" s="4"/>
      <c r="BO1439" s="4"/>
      <c r="BP1439" s="4"/>
      <c r="BQ1439" s="4"/>
      <c r="BR1439" s="4"/>
      <c r="BS1439" s="4"/>
      <c r="BT1439" s="4"/>
      <c r="BU1439" s="4"/>
      <c r="BV1439" s="4"/>
      <c r="BW1439" s="4"/>
      <c r="BX1439" s="4"/>
      <c r="BY1439" s="4"/>
      <c r="BZ1439" s="4"/>
      <c r="CA1439" s="4"/>
      <c r="CB1439" s="4"/>
      <c r="CC1439" s="4"/>
      <c r="CD1439" s="4"/>
      <c r="CE1439" s="4"/>
      <c r="CF1439" s="4"/>
      <c r="CG1439" s="4"/>
      <c r="CH1439" s="4"/>
      <c r="CI1439" s="4"/>
      <c r="CJ1439" s="4"/>
      <c r="CK1439" s="4"/>
      <c r="CL1439" s="4"/>
      <c r="CM1439" s="4"/>
      <c r="CN1439" s="4"/>
      <c r="CO1439" s="4"/>
      <c r="CP1439" s="4"/>
      <c r="CQ1439" s="4"/>
      <c r="CR1439" s="4"/>
      <c r="CS1439" s="4"/>
      <c r="CT1439" s="4"/>
      <c r="CU1439" s="4"/>
      <c r="CV1439" s="4"/>
      <c r="CW1439" s="4"/>
      <c r="CX1439" s="4"/>
      <c r="CY1439" s="4"/>
      <c r="CZ1439" s="4"/>
      <c r="DA1439" s="4"/>
      <c r="DB1439" s="4"/>
      <c r="DC1439" s="4"/>
      <c r="DD1439" s="4"/>
      <c r="DE1439" s="4"/>
      <c r="DF1439" s="4"/>
      <c r="DG1439" s="4"/>
      <c r="DH1439" s="4"/>
      <c r="DI1439" s="4"/>
      <c r="DJ1439" s="4"/>
      <c r="DK1439" s="4"/>
      <c r="DL1439" s="4"/>
      <c r="DM1439" s="4"/>
      <c r="DN1439" s="4"/>
      <c r="DO1439" s="4"/>
      <c r="DP1439" s="4"/>
      <c r="DQ1439" s="4"/>
      <c r="DR1439" s="4"/>
      <c r="DS1439" s="4"/>
    </row>
    <row r="1440">
      <c r="A1440" s="9">
        <f>IFERROR(__xludf.DUMMYFUNCTION("""COMPUTED_VALUE"""),45881.0)</f>
        <v>45881</v>
      </c>
      <c r="B1440" s="6" t="str">
        <f>IFERROR(__xludf.DUMMYFUNCTION("""COMPUTED_VALUE"""),"Restaurant")</f>
        <v>Restaurant</v>
      </c>
      <c r="C1440" s="7">
        <f>IFERROR(__xludf.DUMMYFUNCTION("""COMPUTED_VALUE"""),9400.0)</f>
        <v>9400</v>
      </c>
      <c r="D1440" s="6" t="str">
        <f>IFERROR(__xludf.DUMMYFUNCTION("""COMPUTED_VALUE"""),"Restaurant / Café")</f>
        <v>Restaurant / Café</v>
      </c>
      <c r="E1440" s="6" t="str">
        <f>IFERROR(__xludf.DUMMYFUNCTION("""COMPUTED_VALUE"""),"Split Payment")</f>
        <v>Split Payment</v>
      </c>
      <c r="F1440" s="6" t="s">
        <v>14</v>
      </c>
      <c r="G1440" s="8" t="str">
        <f t="shared" si="1"/>
        <v>202508</v>
      </c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  <c r="AA1440" s="4"/>
      <c r="AB1440" s="4"/>
      <c r="AC1440" s="4"/>
      <c r="AD1440" s="4"/>
      <c r="AE1440" s="4"/>
      <c r="AF1440" s="4"/>
      <c r="AG1440" s="4"/>
      <c r="AH1440" s="4"/>
      <c r="AI1440" s="4"/>
      <c r="AJ1440" s="4"/>
      <c r="AK1440" s="4"/>
      <c r="AL1440" s="4"/>
      <c r="AM1440" s="4"/>
      <c r="AN1440" s="4"/>
      <c r="AO1440" s="4"/>
      <c r="AP1440" s="4"/>
      <c r="AQ1440" s="4"/>
      <c r="AR1440" s="4"/>
      <c r="AS1440" s="4"/>
      <c r="AT1440" s="4"/>
      <c r="AU1440" s="4"/>
      <c r="AV1440" s="4"/>
      <c r="AW1440" s="4"/>
      <c r="AX1440" s="4"/>
      <c r="AY1440" s="4"/>
      <c r="AZ1440" s="4"/>
      <c r="BA1440" s="4"/>
      <c r="BB1440" s="4"/>
      <c r="BC1440" s="4"/>
      <c r="BD1440" s="4"/>
      <c r="BE1440" s="4"/>
      <c r="BF1440" s="4"/>
      <c r="BG1440" s="4"/>
      <c r="BH1440" s="4"/>
      <c r="BI1440" s="4"/>
      <c r="BJ1440" s="4"/>
      <c r="BK1440" s="4"/>
      <c r="BL1440" s="4"/>
      <c r="BM1440" s="4"/>
      <c r="BN1440" s="4"/>
      <c r="BO1440" s="4"/>
      <c r="BP1440" s="4"/>
      <c r="BQ1440" s="4"/>
      <c r="BR1440" s="4"/>
      <c r="BS1440" s="4"/>
      <c r="BT1440" s="4"/>
      <c r="BU1440" s="4"/>
      <c r="BV1440" s="4"/>
      <c r="BW1440" s="4"/>
      <c r="BX1440" s="4"/>
      <c r="BY1440" s="4"/>
      <c r="BZ1440" s="4"/>
      <c r="CA1440" s="4"/>
      <c r="CB1440" s="4"/>
      <c r="CC1440" s="4"/>
      <c r="CD1440" s="4"/>
      <c r="CE1440" s="4"/>
      <c r="CF1440" s="4"/>
      <c r="CG1440" s="4"/>
      <c r="CH1440" s="4"/>
      <c r="CI1440" s="4"/>
      <c r="CJ1440" s="4"/>
      <c r="CK1440" s="4"/>
      <c r="CL1440" s="4"/>
      <c r="CM1440" s="4"/>
      <c r="CN1440" s="4"/>
      <c r="CO1440" s="4"/>
      <c r="CP1440" s="4"/>
      <c r="CQ1440" s="4"/>
      <c r="CR1440" s="4"/>
      <c r="CS1440" s="4"/>
      <c r="CT1440" s="4"/>
      <c r="CU1440" s="4"/>
      <c r="CV1440" s="4"/>
      <c r="CW1440" s="4"/>
      <c r="CX1440" s="4"/>
      <c r="CY1440" s="4"/>
      <c r="CZ1440" s="4"/>
      <c r="DA1440" s="4"/>
      <c r="DB1440" s="4"/>
      <c r="DC1440" s="4"/>
      <c r="DD1440" s="4"/>
      <c r="DE1440" s="4"/>
      <c r="DF1440" s="4"/>
      <c r="DG1440" s="4"/>
      <c r="DH1440" s="4"/>
      <c r="DI1440" s="4"/>
      <c r="DJ1440" s="4"/>
      <c r="DK1440" s="4"/>
      <c r="DL1440" s="4"/>
      <c r="DM1440" s="4"/>
      <c r="DN1440" s="4"/>
      <c r="DO1440" s="4"/>
      <c r="DP1440" s="4"/>
      <c r="DQ1440" s="4"/>
      <c r="DR1440" s="4"/>
      <c r="DS1440" s="4"/>
    </row>
    <row r="1441">
      <c r="A1441" s="9">
        <f>IFERROR(__xludf.DUMMYFUNCTION("""COMPUTED_VALUE"""),45881.0)</f>
        <v>45881</v>
      </c>
      <c r="B1441" s="6" t="str">
        <f>IFERROR(__xludf.DUMMYFUNCTION("""COMPUTED_VALUE"""),"Restaurant")</f>
        <v>Restaurant</v>
      </c>
      <c r="C1441" s="7">
        <f>IFERROR(__xludf.DUMMYFUNCTION("""COMPUTED_VALUE"""),8400.0)</f>
        <v>8400</v>
      </c>
      <c r="D1441" s="6" t="str">
        <f>IFERROR(__xludf.DUMMYFUNCTION("""COMPUTED_VALUE"""),"Restaurant / Café")</f>
        <v>Restaurant / Café</v>
      </c>
      <c r="E1441" s="6" t="str">
        <f>IFERROR(__xludf.DUMMYFUNCTION("""COMPUTED_VALUE"""),"Virtual Wallet")</f>
        <v>Virtual Wallet</v>
      </c>
      <c r="F1441" s="6" t="s">
        <v>14</v>
      </c>
      <c r="G1441" s="8" t="str">
        <f t="shared" si="1"/>
        <v>202508</v>
      </c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  <c r="AA1441" s="4"/>
      <c r="AB1441" s="4"/>
      <c r="AC1441" s="4"/>
      <c r="AD1441" s="4"/>
      <c r="AE1441" s="4"/>
      <c r="AF1441" s="4"/>
      <c r="AG1441" s="4"/>
      <c r="AH1441" s="4"/>
      <c r="AI1441" s="4"/>
      <c r="AJ1441" s="4"/>
      <c r="AK1441" s="4"/>
      <c r="AL1441" s="4"/>
      <c r="AM1441" s="4"/>
      <c r="AN1441" s="4"/>
      <c r="AO1441" s="4"/>
      <c r="AP1441" s="4"/>
      <c r="AQ1441" s="4"/>
      <c r="AR1441" s="4"/>
      <c r="AS1441" s="4"/>
      <c r="AT1441" s="4"/>
      <c r="AU1441" s="4"/>
      <c r="AV1441" s="4"/>
      <c r="AW1441" s="4"/>
      <c r="AX1441" s="4"/>
      <c r="AY1441" s="4"/>
      <c r="AZ1441" s="4"/>
      <c r="BA1441" s="4"/>
      <c r="BB1441" s="4"/>
      <c r="BC1441" s="4"/>
      <c r="BD1441" s="4"/>
      <c r="BE1441" s="4"/>
      <c r="BF1441" s="4"/>
      <c r="BG1441" s="4"/>
      <c r="BH1441" s="4"/>
      <c r="BI1441" s="4"/>
      <c r="BJ1441" s="4"/>
      <c r="BK1441" s="4"/>
      <c r="BL1441" s="4"/>
      <c r="BM1441" s="4"/>
      <c r="BN1441" s="4"/>
      <c r="BO1441" s="4"/>
      <c r="BP1441" s="4"/>
      <c r="BQ1441" s="4"/>
      <c r="BR1441" s="4"/>
      <c r="BS1441" s="4"/>
      <c r="BT1441" s="4"/>
      <c r="BU1441" s="4"/>
      <c r="BV1441" s="4"/>
      <c r="BW1441" s="4"/>
      <c r="BX1441" s="4"/>
      <c r="BY1441" s="4"/>
      <c r="BZ1441" s="4"/>
      <c r="CA1441" s="4"/>
      <c r="CB1441" s="4"/>
      <c r="CC1441" s="4"/>
      <c r="CD1441" s="4"/>
      <c r="CE1441" s="4"/>
      <c r="CF1441" s="4"/>
      <c r="CG1441" s="4"/>
      <c r="CH1441" s="4"/>
      <c r="CI1441" s="4"/>
      <c r="CJ1441" s="4"/>
      <c r="CK1441" s="4"/>
      <c r="CL1441" s="4"/>
      <c r="CM1441" s="4"/>
      <c r="CN1441" s="4"/>
      <c r="CO1441" s="4"/>
      <c r="CP1441" s="4"/>
      <c r="CQ1441" s="4"/>
      <c r="CR1441" s="4"/>
      <c r="CS1441" s="4"/>
      <c r="CT1441" s="4"/>
      <c r="CU1441" s="4"/>
      <c r="CV1441" s="4"/>
      <c r="CW1441" s="4"/>
      <c r="CX1441" s="4"/>
      <c r="CY1441" s="4"/>
      <c r="CZ1441" s="4"/>
      <c r="DA1441" s="4"/>
      <c r="DB1441" s="4"/>
      <c r="DC1441" s="4"/>
      <c r="DD1441" s="4"/>
      <c r="DE1441" s="4"/>
      <c r="DF1441" s="4"/>
      <c r="DG1441" s="4"/>
      <c r="DH1441" s="4"/>
      <c r="DI1441" s="4"/>
      <c r="DJ1441" s="4"/>
      <c r="DK1441" s="4"/>
      <c r="DL1441" s="4"/>
      <c r="DM1441" s="4"/>
      <c r="DN1441" s="4"/>
      <c r="DO1441" s="4"/>
      <c r="DP1441" s="4"/>
      <c r="DQ1441" s="4"/>
      <c r="DR1441" s="4"/>
      <c r="DS1441" s="4"/>
    </row>
    <row r="1442">
      <c r="A1442" s="9">
        <f>IFERROR(__xludf.DUMMYFUNCTION("""COMPUTED_VALUE"""),45882.0)</f>
        <v>45882</v>
      </c>
      <c r="B1442" s="6" t="str">
        <f>IFERROR(__xludf.DUMMYFUNCTION("""COMPUTED_VALUE"""),"Groceries")</f>
        <v>Groceries</v>
      </c>
      <c r="C1442" s="7">
        <f>IFERROR(__xludf.DUMMYFUNCTION("""COMPUTED_VALUE"""),2249.0)</f>
        <v>2249</v>
      </c>
      <c r="D1442" s="6" t="str">
        <f>IFERROR(__xludf.DUMMYFUNCTION("""COMPUTED_VALUE"""),"Groceries")</f>
        <v>Groceries</v>
      </c>
      <c r="E1442" s="6" t="str">
        <f>IFERROR(__xludf.DUMMYFUNCTION("""COMPUTED_VALUE"""),"Split Payment")</f>
        <v>Split Payment</v>
      </c>
      <c r="F1442" s="6" t="s">
        <v>7</v>
      </c>
      <c r="G1442" s="8" t="str">
        <f t="shared" si="1"/>
        <v>202508</v>
      </c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  <c r="AA1442" s="4"/>
      <c r="AB1442" s="4"/>
      <c r="AC1442" s="4"/>
      <c r="AD1442" s="4"/>
      <c r="AE1442" s="4"/>
      <c r="AF1442" s="4"/>
      <c r="AG1442" s="4"/>
      <c r="AH1442" s="4"/>
      <c r="AI1442" s="4"/>
      <c r="AJ1442" s="4"/>
      <c r="AK1442" s="4"/>
      <c r="AL1442" s="4"/>
      <c r="AM1442" s="4"/>
      <c r="AN1442" s="4"/>
      <c r="AO1442" s="4"/>
      <c r="AP1442" s="4"/>
      <c r="AQ1442" s="4"/>
      <c r="AR1442" s="4"/>
      <c r="AS1442" s="4"/>
      <c r="AT1442" s="4"/>
      <c r="AU1442" s="4"/>
      <c r="AV1442" s="4"/>
      <c r="AW1442" s="4"/>
      <c r="AX1442" s="4"/>
      <c r="AY1442" s="4"/>
      <c r="AZ1442" s="4"/>
      <c r="BA1442" s="4"/>
      <c r="BB1442" s="4"/>
      <c r="BC1442" s="4"/>
      <c r="BD1442" s="4"/>
      <c r="BE1442" s="4"/>
      <c r="BF1442" s="4"/>
      <c r="BG1442" s="4"/>
      <c r="BH1442" s="4"/>
      <c r="BI1442" s="4"/>
      <c r="BJ1442" s="4"/>
      <c r="BK1442" s="4"/>
      <c r="BL1442" s="4"/>
      <c r="BM1442" s="4"/>
      <c r="BN1442" s="4"/>
      <c r="BO1442" s="4"/>
      <c r="BP1442" s="4"/>
      <c r="BQ1442" s="4"/>
      <c r="BR1442" s="4"/>
      <c r="BS1442" s="4"/>
      <c r="BT1442" s="4"/>
      <c r="BU1442" s="4"/>
      <c r="BV1442" s="4"/>
      <c r="BW1442" s="4"/>
      <c r="BX1442" s="4"/>
      <c r="BY1442" s="4"/>
      <c r="BZ1442" s="4"/>
      <c r="CA1442" s="4"/>
      <c r="CB1442" s="4"/>
      <c r="CC1442" s="4"/>
      <c r="CD1442" s="4"/>
      <c r="CE1442" s="4"/>
      <c r="CF1442" s="4"/>
      <c r="CG1442" s="4"/>
      <c r="CH1442" s="4"/>
      <c r="CI1442" s="4"/>
      <c r="CJ1442" s="4"/>
      <c r="CK1442" s="4"/>
      <c r="CL1442" s="4"/>
      <c r="CM1442" s="4"/>
      <c r="CN1442" s="4"/>
      <c r="CO1442" s="4"/>
      <c r="CP1442" s="4"/>
      <c r="CQ1442" s="4"/>
      <c r="CR1442" s="4"/>
      <c r="CS1442" s="4"/>
      <c r="CT1442" s="4"/>
      <c r="CU1442" s="4"/>
      <c r="CV1442" s="4"/>
      <c r="CW1442" s="4"/>
      <c r="CX1442" s="4"/>
      <c r="CY1442" s="4"/>
      <c r="CZ1442" s="4"/>
      <c r="DA1442" s="4"/>
      <c r="DB1442" s="4"/>
      <c r="DC1442" s="4"/>
      <c r="DD1442" s="4"/>
      <c r="DE1442" s="4"/>
      <c r="DF1442" s="4"/>
      <c r="DG1442" s="4"/>
      <c r="DH1442" s="4"/>
      <c r="DI1442" s="4"/>
      <c r="DJ1442" s="4"/>
      <c r="DK1442" s="4"/>
      <c r="DL1442" s="4"/>
      <c r="DM1442" s="4"/>
      <c r="DN1442" s="4"/>
      <c r="DO1442" s="4"/>
      <c r="DP1442" s="4"/>
      <c r="DQ1442" s="4"/>
      <c r="DR1442" s="4"/>
      <c r="DS1442" s="4"/>
    </row>
    <row r="1443">
      <c r="A1443" s="9">
        <f>IFERROR(__xludf.DUMMYFUNCTION("""COMPUTED_VALUE"""),45882.0)</f>
        <v>45882</v>
      </c>
      <c r="B1443" s="6" t="str">
        <f>IFERROR(__xludf.DUMMYFUNCTION("""COMPUTED_VALUE"""),"Groceries")</f>
        <v>Groceries</v>
      </c>
      <c r="C1443" s="7">
        <f>IFERROR(__xludf.DUMMYFUNCTION("""COMPUTED_VALUE"""),5400.0)</f>
        <v>5400</v>
      </c>
      <c r="D1443" s="6" t="str">
        <f>IFERROR(__xludf.DUMMYFUNCTION("""COMPUTED_VALUE"""),"Lunch Out")</f>
        <v>Lunch Out</v>
      </c>
      <c r="E1443" s="6" t="str">
        <f>IFERROR(__xludf.DUMMYFUNCTION("""COMPUTED_VALUE"""),"Virtual Wallet")</f>
        <v>Virtual Wallet</v>
      </c>
      <c r="F1443" s="6" t="s">
        <v>14</v>
      </c>
      <c r="G1443" s="8" t="str">
        <f t="shared" si="1"/>
        <v>202508</v>
      </c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  <c r="AA1443" s="4"/>
      <c r="AB1443" s="4"/>
      <c r="AC1443" s="4"/>
      <c r="AD1443" s="4"/>
      <c r="AE1443" s="4"/>
      <c r="AF1443" s="4"/>
      <c r="AG1443" s="4"/>
      <c r="AH1443" s="4"/>
      <c r="AI1443" s="4"/>
      <c r="AJ1443" s="4"/>
      <c r="AK1443" s="4"/>
      <c r="AL1443" s="4"/>
      <c r="AM1443" s="4"/>
      <c r="AN1443" s="4"/>
      <c r="AO1443" s="4"/>
      <c r="AP1443" s="4"/>
      <c r="AQ1443" s="4"/>
      <c r="AR1443" s="4"/>
      <c r="AS1443" s="4"/>
      <c r="AT1443" s="4"/>
      <c r="AU1443" s="4"/>
      <c r="AV1443" s="4"/>
      <c r="AW1443" s="4"/>
      <c r="AX1443" s="4"/>
      <c r="AY1443" s="4"/>
      <c r="AZ1443" s="4"/>
      <c r="BA1443" s="4"/>
      <c r="BB1443" s="4"/>
      <c r="BC1443" s="4"/>
      <c r="BD1443" s="4"/>
      <c r="BE1443" s="4"/>
      <c r="BF1443" s="4"/>
      <c r="BG1443" s="4"/>
      <c r="BH1443" s="4"/>
      <c r="BI1443" s="4"/>
      <c r="BJ1443" s="4"/>
      <c r="BK1443" s="4"/>
      <c r="BL1443" s="4"/>
      <c r="BM1443" s="4"/>
      <c r="BN1443" s="4"/>
      <c r="BO1443" s="4"/>
      <c r="BP1443" s="4"/>
      <c r="BQ1443" s="4"/>
      <c r="BR1443" s="4"/>
      <c r="BS1443" s="4"/>
      <c r="BT1443" s="4"/>
      <c r="BU1443" s="4"/>
      <c r="BV1443" s="4"/>
      <c r="BW1443" s="4"/>
      <c r="BX1443" s="4"/>
      <c r="BY1443" s="4"/>
      <c r="BZ1443" s="4"/>
      <c r="CA1443" s="4"/>
      <c r="CB1443" s="4"/>
      <c r="CC1443" s="4"/>
      <c r="CD1443" s="4"/>
      <c r="CE1443" s="4"/>
      <c r="CF1443" s="4"/>
      <c r="CG1443" s="4"/>
      <c r="CH1443" s="4"/>
      <c r="CI1443" s="4"/>
      <c r="CJ1443" s="4"/>
      <c r="CK1443" s="4"/>
      <c r="CL1443" s="4"/>
      <c r="CM1443" s="4"/>
      <c r="CN1443" s="4"/>
      <c r="CO1443" s="4"/>
      <c r="CP1443" s="4"/>
      <c r="CQ1443" s="4"/>
      <c r="CR1443" s="4"/>
      <c r="CS1443" s="4"/>
      <c r="CT1443" s="4"/>
      <c r="CU1443" s="4"/>
      <c r="CV1443" s="4"/>
      <c r="CW1443" s="4"/>
      <c r="CX1443" s="4"/>
      <c r="CY1443" s="4"/>
      <c r="CZ1443" s="4"/>
      <c r="DA1443" s="4"/>
      <c r="DB1443" s="4"/>
      <c r="DC1443" s="4"/>
      <c r="DD1443" s="4"/>
      <c r="DE1443" s="4"/>
      <c r="DF1443" s="4"/>
      <c r="DG1443" s="4"/>
      <c r="DH1443" s="4"/>
      <c r="DI1443" s="4"/>
      <c r="DJ1443" s="4"/>
      <c r="DK1443" s="4"/>
      <c r="DL1443" s="4"/>
      <c r="DM1443" s="4"/>
      <c r="DN1443" s="4"/>
      <c r="DO1443" s="4"/>
      <c r="DP1443" s="4"/>
      <c r="DQ1443" s="4"/>
      <c r="DR1443" s="4"/>
      <c r="DS1443" s="4"/>
    </row>
    <row r="1444">
      <c r="A1444" s="9">
        <f>IFERROR(__xludf.DUMMYFUNCTION("""COMPUTED_VALUE"""),45883.0)</f>
        <v>45883</v>
      </c>
      <c r="B1444" s="6" t="str">
        <f>IFERROR(__xludf.DUMMYFUNCTION("""COMPUTED_VALUE"""),"Groceries")</f>
        <v>Groceries</v>
      </c>
      <c r="C1444" s="7">
        <f>IFERROR(__xludf.DUMMYFUNCTION("""COMPUTED_VALUE"""),3050.0)</f>
        <v>3050</v>
      </c>
      <c r="D1444" s="6" t="str">
        <f>IFERROR(__xludf.DUMMYFUNCTION("""COMPUTED_VALUE"""),"Groceries")</f>
        <v>Groceries</v>
      </c>
      <c r="E1444" s="6" t="str">
        <f>IFERROR(__xludf.DUMMYFUNCTION("""COMPUTED_VALUE"""),"Split Payment")</f>
        <v>Split Payment</v>
      </c>
      <c r="F1444" s="6" t="s">
        <v>7</v>
      </c>
      <c r="G1444" s="8" t="str">
        <f t="shared" si="1"/>
        <v>202508</v>
      </c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  <c r="AA1444" s="4"/>
      <c r="AB1444" s="4"/>
      <c r="AC1444" s="4"/>
      <c r="AD1444" s="4"/>
      <c r="AE1444" s="4"/>
      <c r="AF1444" s="4"/>
      <c r="AG1444" s="4"/>
      <c r="AH1444" s="4"/>
      <c r="AI1444" s="4"/>
      <c r="AJ1444" s="4"/>
      <c r="AK1444" s="4"/>
      <c r="AL1444" s="4"/>
      <c r="AM1444" s="4"/>
      <c r="AN1444" s="4"/>
      <c r="AO1444" s="4"/>
      <c r="AP1444" s="4"/>
      <c r="AQ1444" s="4"/>
      <c r="AR1444" s="4"/>
      <c r="AS1444" s="4"/>
      <c r="AT1444" s="4"/>
      <c r="AU1444" s="4"/>
      <c r="AV1444" s="4"/>
      <c r="AW1444" s="4"/>
      <c r="AX1444" s="4"/>
      <c r="AY1444" s="4"/>
      <c r="AZ1444" s="4"/>
      <c r="BA1444" s="4"/>
      <c r="BB1444" s="4"/>
      <c r="BC1444" s="4"/>
      <c r="BD1444" s="4"/>
      <c r="BE1444" s="4"/>
      <c r="BF1444" s="4"/>
      <c r="BG1444" s="4"/>
      <c r="BH1444" s="4"/>
      <c r="BI1444" s="4"/>
      <c r="BJ1444" s="4"/>
      <c r="BK1444" s="4"/>
      <c r="BL1444" s="4"/>
      <c r="BM1444" s="4"/>
      <c r="BN1444" s="4"/>
      <c r="BO1444" s="4"/>
      <c r="BP1444" s="4"/>
      <c r="BQ1444" s="4"/>
      <c r="BR1444" s="4"/>
      <c r="BS1444" s="4"/>
      <c r="BT1444" s="4"/>
      <c r="BU1444" s="4"/>
      <c r="BV1444" s="4"/>
      <c r="BW1444" s="4"/>
      <c r="BX1444" s="4"/>
      <c r="BY1444" s="4"/>
      <c r="BZ1444" s="4"/>
      <c r="CA1444" s="4"/>
      <c r="CB1444" s="4"/>
      <c r="CC1444" s="4"/>
      <c r="CD1444" s="4"/>
      <c r="CE1444" s="4"/>
      <c r="CF1444" s="4"/>
      <c r="CG1444" s="4"/>
      <c r="CH1444" s="4"/>
      <c r="CI1444" s="4"/>
      <c r="CJ1444" s="4"/>
      <c r="CK1444" s="4"/>
      <c r="CL1444" s="4"/>
      <c r="CM1444" s="4"/>
      <c r="CN1444" s="4"/>
      <c r="CO1444" s="4"/>
      <c r="CP1444" s="4"/>
      <c r="CQ1444" s="4"/>
      <c r="CR1444" s="4"/>
      <c r="CS1444" s="4"/>
      <c r="CT1444" s="4"/>
      <c r="CU1444" s="4"/>
      <c r="CV1444" s="4"/>
      <c r="CW1444" s="4"/>
      <c r="CX1444" s="4"/>
      <c r="CY1444" s="4"/>
      <c r="CZ1444" s="4"/>
      <c r="DA1444" s="4"/>
      <c r="DB1444" s="4"/>
      <c r="DC1444" s="4"/>
      <c r="DD1444" s="4"/>
      <c r="DE1444" s="4"/>
      <c r="DF1444" s="4"/>
      <c r="DG1444" s="4"/>
      <c r="DH1444" s="4"/>
      <c r="DI1444" s="4"/>
      <c r="DJ1444" s="4"/>
      <c r="DK1444" s="4"/>
      <c r="DL1444" s="4"/>
      <c r="DM1444" s="4"/>
      <c r="DN1444" s="4"/>
      <c r="DO1444" s="4"/>
      <c r="DP1444" s="4"/>
      <c r="DQ1444" s="4"/>
      <c r="DR1444" s="4"/>
      <c r="DS1444" s="4"/>
    </row>
    <row r="1445">
      <c r="A1445" s="9">
        <f>IFERROR(__xludf.DUMMYFUNCTION("""COMPUTED_VALUE"""),45883.0)</f>
        <v>45883</v>
      </c>
      <c r="B1445" s="6" t="str">
        <f>IFERROR(__xludf.DUMMYFUNCTION("""COMPUTED_VALUE"""),"Groceries")</f>
        <v>Groceries</v>
      </c>
      <c r="C1445" s="7">
        <f>IFERROR(__xludf.DUMMYFUNCTION("""COMPUTED_VALUE"""),6500.0)</f>
        <v>6500</v>
      </c>
      <c r="D1445" s="6" t="str">
        <f>IFERROR(__xludf.DUMMYFUNCTION("""COMPUTED_VALUE"""),"Groceries")</f>
        <v>Groceries</v>
      </c>
      <c r="E1445" s="6" t="str">
        <f>IFERROR(__xludf.DUMMYFUNCTION("""COMPUTED_VALUE"""),"Virtual Wallet")</f>
        <v>Virtual Wallet</v>
      </c>
      <c r="F1445" s="6" t="s">
        <v>7</v>
      </c>
      <c r="G1445" s="8" t="str">
        <f t="shared" si="1"/>
        <v>202508</v>
      </c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  <c r="AA1445" s="4"/>
      <c r="AB1445" s="4"/>
      <c r="AC1445" s="4"/>
      <c r="AD1445" s="4"/>
      <c r="AE1445" s="4"/>
      <c r="AF1445" s="4"/>
      <c r="AG1445" s="4"/>
      <c r="AH1445" s="4"/>
      <c r="AI1445" s="4"/>
      <c r="AJ1445" s="4"/>
      <c r="AK1445" s="4"/>
      <c r="AL1445" s="4"/>
      <c r="AM1445" s="4"/>
      <c r="AN1445" s="4"/>
      <c r="AO1445" s="4"/>
      <c r="AP1445" s="4"/>
      <c r="AQ1445" s="4"/>
      <c r="AR1445" s="4"/>
      <c r="AS1445" s="4"/>
      <c r="AT1445" s="4"/>
      <c r="AU1445" s="4"/>
      <c r="AV1445" s="4"/>
      <c r="AW1445" s="4"/>
      <c r="AX1445" s="4"/>
      <c r="AY1445" s="4"/>
      <c r="AZ1445" s="4"/>
      <c r="BA1445" s="4"/>
      <c r="BB1445" s="4"/>
      <c r="BC1445" s="4"/>
      <c r="BD1445" s="4"/>
      <c r="BE1445" s="4"/>
      <c r="BF1445" s="4"/>
      <c r="BG1445" s="4"/>
      <c r="BH1445" s="4"/>
      <c r="BI1445" s="4"/>
      <c r="BJ1445" s="4"/>
      <c r="BK1445" s="4"/>
      <c r="BL1445" s="4"/>
      <c r="BM1445" s="4"/>
      <c r="BN1445" s="4"/>
      <c r="BO1445" s="4"/>
      <c r="BP1445" s="4"/>
      <c r="BQ1445" s="4"/>
      <c r="BR1445" s="4"/>
      <c r="BS1445" s="4"/>
      <c r="BT1445" s="4"/>
      <c r="BU1445" s="4"/>
      <c r="BV1445" s="4"/>
      <c r="BW1445" s="4"/>
      <c r="BX1445" s="4"/>
      <c r="BY1445" s="4"/>
      <c r="BZ1445" s="4"/>
      <c r="CA1445" s="4"/>
      <c r="CB1445" s="4"/>
      <c r="CC1445" s="4"/>
      <c r="CD1445" s="4"/>
      <c r="CE1445" s="4"/>
      <c r="CF1445" s="4"/>
      <c r="CG1445" s="4"/>
      <c r="CH1445" s="4"/>
      <c r="CI1445" s="4"/>
      <c r="CJ1445" s="4"/>
      <c r="CK1445" s="4"/>
      <c r="CL1445" s="4"/>
      <c r="CM1445" s="4"/>
      <c r="CN1445" s="4"/>
      <c r="CO1445" s="4"/>
      <c r="CP1445" s="4"/>
      <c r="CQ1445" s="4"/>
      <c r="CR1445" s="4"/>
      <c r="CS1445" s="4"/>
      <c r="CT1445" s="4"/>
      <c r="CU1445" s="4"/>
      <c r="CV1445" s="4"/>
      <c r="CW1445" s="4"/>
      <c r="CX1445" s="4"/>
      <c r="CY1445" s="4"/>
      <c r="CZ1445" s="4"/>
      <c r="DA1445" s="4"/>
      <c r="DB1445" s="4"/>
      <c r="DC1445" s="4"/>
      <c r="DD1445" s="4"/>
      <c r="DE1445" s="4"/>
      <c r="DF1445" s="4"/>
      <c r="DG1445" s="4"/>
      <c r="DH1445" s="4"/>
      <c r="DI1445" s="4"/>
      <c r="DJ1445" s="4"/>
      <c r="DK1445" s="4"/>
      <c r="DL1445" s="4"/>
      <c r="DM1445" s="4"/>
      <c r="DN1445" s="4"/>
      <c r="DO1445" s="4"/>
      <c r="DP1445" s="4"/>
      <c r="DQ1445" s="4"/>
      <c r="DR1445" s="4"/>
      <c r="DS1445" s="4"/>
    </row>
    <row r="1446">
      <c r="A1446" s="9">
        <f>IFERROR(__xludf.DUMMYFUNCTION("""COMPUTED_VALUE"""),45884.0)</f>
        <v>45884</v>
      </c>
      <c r="B1446" s="6" t="str">
        <f>IFERROR(__xludf.DUMMYFUNCTION("""COMPUTED_VALUE"""),"Restaurant")</f>
        <v>Restaurant</v>
      </c>
      <c r="C1446" s="7">
        <f>IFERROR(__xludf.DUMMYFUNCTION("""COMPUTED_VALUE"""),10159.0)</f>
        <v>10159</v>
      </c>
      <c r="D1446" s="6" t="str">
        <f>IFERROR(__xludf.DUMMYFUNCTION("""COMPUTED_VALUE"""),"Restaurant / Café")</f>
        <v>Restaurant / Café</v>
      </c>
      <c r="E1446" s="6" t="str">
        <f>IFERROR(__xludf.DUMMYFUNCTION("""COMPUTED_VALUE"""),"Virtual Wallet")</f>
        <v>Virtual Wallet</v>
      </c>
      <c r="F1446" s="6" t="s">
        <v>14</v>
      </c>
      <c r="G1446" s="8" t="str">
        <f t="shared" si="1"/>
        <v>202508</v>
      </c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  <c r="AA1446" s="4"/>
      <c r="AB1446" s="4"/>
      <c r="AC1446" s="4"/>
      <c r="AD1446" s="4"/>
      <c r="AE1446" s="4"/>
      <c r="AF1446" s="4"/>
      <c r="AG1446" s="4"/>
      <c r="AH1446" s="4"/>
      <c r="AI1446" s="4"/>
      <c r="AJ1446" s="4"/>
      <c r="AK1446" s="4"/>
      <c r="AL1446" s="4"/>
      <c r="AM1446" s="4"/>
      <c r="AN1446" s="4"/>
      <c r="AO1446" s="4"/>
      <c r="AP1446" s="4"/>
      <c r="AQ1446" s="4"/>
      <c r="AR1446" s="4"/>
      <c r="AS1446" s="4"/>
      <c r="AT1446" s="4"/>
      <c r="AU1446" s="4"/>
      <c r="AV1446" s="4"/>
      <c r="AW1446" s="4"/>
      <c r="AX1446" s="4"/>
      <c r="AY1446" s="4"/>
      <c r="AZ1446" s="4"/>
      <c r="BA1446" s="4"/>
      <c r="BB1446" s="4"/>
      <c r="BC1446" s="4"/>
      <c r="BD1446" s="4"/>
      <c r="BE1446" s="4"/>
      <c r="BF1446" s="4"/>
      <c r="BG1446" s="4"/>
      <c r="BH1446" s="4"/>
      <c r="BI1446" s="4"/>
      <c r="BJ1446" s="4"/>
      <c r="BK1446" s="4"/>
      <c r="BL1446" s="4"/>
      <c r="BM1446" s="4"/>
      <c r="BN1446" s="4"/>
      <c r="BO1446" s="4"/>
      <c r="BP1446" s="4"/>
      <c r="BQ1446" s="4"/>
      <c r="BR1446" s="4"/>
      <c r="BS1446" s="4"/>
      <c r="BT1446" s="4"/>
      <c r="BU1446" s="4"/>
      <c r="BV1446" s="4"/>
      <c r="BW1446" s="4"/>
      <c r="BX1446" s="4"/>
      <c r="BY1446" s="4"/>
      <c r="BZ1446" s="4"/>
      <c r="CA1446" s="4"/>
      <c r="CB1446" s="4"/>
      <c r="CC1446" s="4"/>
      <c r="CD1446" s="4"/>
      <c r="CE1446" s="4"/>
      <c r="CF1446" s="4"/>
      <c r="CG1446" s="4"/>
      <c r="CH1446" s="4"/>
      <c r="CI1446" s="4"/>
      <c r="CJ1446" s="4"/>
      <c r="CK1446" s="4"/>
      <c r="CL1446" s="4"/>
      <c r="CM1446" s="4"/>
      <c r="CN1446" s="4"/>
      <c r="CO1446" s="4"/>
      <c r="CP1446" s="4"/>
      <c r="CQ1446" s="4"/>
      <c r="CR1446" s="4"/>
      <c r="CS1446" s="4"/>
      <c r="CT1446" s="4"/>
      <c r="CU1446" s="4"/>
      <c r="CV1446" s="4"/>
      <c r="CW1446" s="4"/>
      <c r="CX1446" s="4"/>
      <c r="CY1446" s="4"/>
      <c r="CZ1446" s="4"/>
      <c r="DA1446" s="4"/>
      <c r="DB1446" s="4"/>
      <c r="DC1446" s="4"/>
      <c r="DD1446" s="4"/>
      <c r="DE1446" s="4"/>
      <c r="DF1446" s="4"/>
      <c r="DG1446" s="4"/>
      <c r="DH1446" s="4"/>
      <c r="DI1446" s="4"/>
      <c r="DJ1446" s="4"/>
      <c r="DK1446" s="4"/>
      <c r="DL1446" s="4"/>
      <c r="DM1446" s="4"/>
      <c r="DN1446" s="4"/>
      <c r="DO1446" s="4"/>
      <c r="DP1446" s="4"/>
      <c r="DQ1446" s="4"/>
      <c r="DR1446" s="4"/>
      <c r="DS1446" s="4"/>
    </row>
    <row r="1447">
      <c r="A1447" s="9">
        <f>IFERROR(__xludf.DUMMYFUNCTION("""COMPUTED_VALUE"""),45884.0)</f>
        <v>45884</v>
      </c>
      <c r="B1447" s="6" t="str">
        <f>IFERROR(__xludf.DUMMYFUNCTION("""COMPUTED_VALUE"""),"Restaurant")</f>
        <v>Restaurant</v>
      </c>
      <c r="C1447" s="7">
        <f>IFERROR(__xludf.DUMMYFUNCTION("""COMPUTED_VALUE"""),18912.0)</f>
        <v>18912</v>
      </c>
      <c r="D1447" s="6" t="str">
        <f>IFERROR(__xludf.DUMMYFUNCTION("""COMPUTED_VALUE"""),"Restaurant / Café")</f>
        <v>Restaurant / Café</v>
      </c>
      <c r="E1447" s="6" t="str">
        <f>IFERROR(__xludf.DUMMYFUNCTION("""COMPUTED_VALUE"""),"Virtual Wallet")</f>
        <v>Virtual Wallet</v>
      </c>
      <c r="F1447" s="6" t="s">
        <v>14</v>
      </c>
      <c r="G1447" s="8" t="str">
        <f t="shared" si="1"/>
        <v>202508</v>
      </c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  <c r="AA1447" s="4"/>
      <c r="AB1447" s="4"/>
      <c r="AC1447" s="4"/>
      <c r="AD1447" s="4"/>
      <c r="AE1447" s="4"/>
      <c r="AF1447" s="4"/>
      <c r="AG1447" s="4"/>
      <c r="AH1447" s="4"/>
      <c r="AI1447" s="4"/>
      <c r="AJ1447" s="4"/>
      <c r="AK1447" s="4"/>
      <c r="AL1447" s="4"/>
      <c r="AM1447" s="4"/>
      <c r="AN1447" s="4"/>
      <c r="AO1447" s="4"/>
      <c r="AP1447" s="4"/>
      <c r="AQ1447" s="4"/>
      <c r="AR1447" s="4"/>
      <c r="AS1447" s="4"/>
      <c r="AT1447" s="4"/>
      <c r="AU1447" s="4"/>
      <c r="AV1447" s="4"/>
      <c r="AW1447" s="4"/>
      <c r="AX1447" s="4"/>
      <c r="AY1447" s="4"/>
      <c r="AZ1447" s="4"/>
      <c r="BA1447" s="4"/>
      <c r="BB1447" s="4"/>
      <c r="BC1447" s="4"/>
      <c r="BD1447" s="4"/>
      <c r="BE1447" s="4"/>
      <c r="BF1447" s="4"/>
      <c r="BG1447" s="4"/>
      <c r="BH1447" s="4"/>
      <c r="BI1447" s="4"/>
      <c r="BJ1447" s="4"/>
      <c r="BK1447" s="4"/>
      <c r="BL1447" s="4"/>
      <c r="BM1447" s="4"/>
      <c r="BN1447" s="4"/>
      <c r="BO1447" s="4"/>
      <c r="BP1447" s="4"/>
      <c r="BQ1447" s="4"/>
      <c r="BR1447" s="4"/>
      <c r="BS1447" s="4"/>
      <c r="BT1447" s="4"/>
      <c r="BU1447" s="4"/>
      <c r="BV1447" s="4"/>
      <c r="BW1447" s="4"/>
      <c r="BX1447" s="4"/>
      <c r="BY1447" s="4"/>
      <c r="BZ1447" s="4"/>
      <c r="CA1447" s="4"/>
      <c r="CB1447" s="4"/>
      <c r="CC1447" s="4"/>
      <c r="CD1447" s="4"/>
      <c r="CE1447" s="4"/>
      <c r="CF1447" s="4"/>
      <c r="CG1447" s="4"/>
      <c r="CH1447" s="4"/>
      <c r="CI1447" s="4"/>
      <c r="CJ1447" s="4"/>
      <c r="CK1447" s="4"/>
      <c r="CL1447" s="4"/>
      <c r="CM1447" s="4"/>
      <c r="CN1447" s="4"/>
      <c r="CO1447" s="4"/>
      <c r="CP1447" s="4"/>
      <c r="CQ1447" s="4"/>
      <c r="CR1447" s="4"/>
      <c r="CS1447" s="4"/>
      <c r="CT1447" s="4"/>
      <c r="CU1447" s="4"/>
      <c r="CV1447" s="4"/>
      <c r="CW1447" s="4"/>
      <c r="CX1447" s="4"/>
      <c r="CY1447" s="4"/>
      <c r="CZ1447" s="4"/>
      <c r="DA1447" s="4"/>
      <c r="DB1447" s="4"/>
      <c r="DC1447" s="4"/>
      <c r="DD1447" s="4"/>
      <c r="DE1447" s="4"/>
      <c r="DF1447" s="4"/>
      <c r="DG1447" s="4"/>
      <c r="DH1447" s="4"/>
      <c r="DI1447" s="4"/>
      <c r="DJ1447" s="4"/>
      <c r="DK1447" s="4"/>
      <c r="DL1447" s="4"/>
      <c r="DM1447" s="4"/>
      <c r="DN1447" s="4"/>
      <c r="DO1447" s="4"/>
      <c r="DP1447" s="4"/>
      <c r="DQ1447" s="4"/>
      <c r="DR1447" s="4"/>
      <c r="DS1447" s="4"/>
    </row>
    <row r="1448">
      <c r="A1448" s="9">
        <f>IFERROR(__xludf.DUMMYFUNCTION("""COMPUTED_VALUE"""),45884.0)</f>
        <v>45884</v>
      </c>
      <c r="B1448" s="6" t="str">
        <f>IFERROR(__xludf.DUMMYFUNCTION("""COMPUTED_VALUE"""),"Home Goods")</f>
        <v>Home Goods</v>
      </c>
      <c r="C1448" s="7">
        <f>IFERROR(__xludf.DUMMYFUNCTION("""COMPUTED_VALUE"""),5900.0)</f>
        <v>5900</v>
      </c>
      <c r="D1448" s="6" t="str">
        <f>IFERROR(__xludf.DUMMYFUNCTION("""COMPUTED_VALUE"""),"Personal Care")</f>
        <v>Personal Care</v>
      </c>
      <c r="E1448" s="6" t="str">
        <f>IFERROR(__xludf.DUMMYFUNCTION("""COMPUTED_VALUE"""),"Virtual Wallet")</f>
        <v>Virtual Wallet</v>
      </c>
      <c r="F1448" s="6" t="s">
        <v>16</v>
      </c>
      <c r="G1448" s="8" t="str">
        <f t="shared" si="1"/>
        <v>202508</v>
      </c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  <c r="AA1448" s="4"/>
      <c r="AB1448" s="4"/>
      <c r="AC1448" s="4"/>
      <c r="AD1448" s="4"/>
      <c r="AE1448" s="4"/>
      <c r="AF1448" s="4"/>
      <c r="AG1448" s="4"/>
      <c r="AH1448" s="4"/>
      <c r="AI1448" s="4"/>
      <c r="AJ1448" s="4"/>
      <c r="AK1448" s="4"/>
      <c r="AL1448" s="4"/>
      <c r="AM1448" s="4"/>
      <c r="AN1448" s="4"/>
      <c r="AO1448" s="4"/>
      <c r="AP1448" s="4"/>
      <c r="AQ1448" s="4"/>
      <c r="AR1448" s="4"/>
      <c r="AS1448" s="4"/>
      <c r="AT1448" s="4"/>
      <c r="AU1448" s="4"/>
      <c r="AV1448" s="4"/>
      <c r="AW1448" s="4"/>
      <c r="AX1448" s="4"/>
      <c r="AY1448" s="4"/>
      <c r="AZ1448" s="4"/>
      <c r="BA1448" s="4"/>
      <c r="BB1448" s="4"/>
      <c r="BC1448" s="4"/>
      <c r="BD1448" s="4"/>
      <c r="BE1448" s="4"/>
      <c r="BF1448" s="4"/>
      <c r="BG1448" s="4"/>
      <c r="BH1448" s="4"/>
      <c r="BI1448" s="4"/>
      <c r="BJ1448" s="4"/>
      <c r="BK1448" s="4"/>
      <c r="BL1448" s="4"/>
      <c r="BM1448" s="4"/>
      <c r="BN1448" s="4"/>
      <c r="BO1448" s="4"/>
      <c r="BP1448" s="4"/>
      <c r="BQ1448" s="4"/>
      <c r="BR1448" s="4"/>
      <c r="BS1448" s="4"/>
      <c r="BT1448" s="4"/>
      <c r="BU1448" s="4"/>
      <c r="BV1448" s="4"/>
      <c r="BW1448" s="4"/>
      <c r="BX1448" s="4"/>
      <c r="BY1448" s="4"/>
      <c r="BZ1448" s="4"/>
      <c r="CA1448" s="4"/>
      <c r="CB1448" s="4"/>
      <c r="CC1448" s="4"/>
      <c r="CD1448" s="4"/>
      <c r="CE1448" s="4"/>
      <c r="CF1448" s="4"/>
      <c r="CG1448" s="4"/>
      <c r="CH1448" s="4"/>
      <c r="CI1448" s="4"/>
      <c r="CJ1448" s="4"/>
      <c r="CK1448" s="4"/>
      <c r="CL1448" s="4"/>
      <c r="CM1448" s="4"/>
      <c r="CN1448" s="4"/>
      <c r="CO1448" s="4"/>
      <c r="CP1448" s="4"/>
      <c r="CQ1448" s="4"/>
      <c r="CR1448" s="4"/>
      <c r="CS1448" s="4"/>
      <c r="CT1448" s="4"/>
      <c r="CU1448" s="4"/>
      <c r="CV1448" s="4"/>
      <c r="CW1448" s="4"/>
      <c r="CX1448" s="4"/>
      <c r="CY1448" s="4"/>
      <c r="CZ1448" s="4"/>
      <c r="DA1448" s="4"/>
      <c r="DB1448" s="4"/>
      <c r="DC1448" s="4"/>
      <c r="DD1448" s="4"/>
      <c r="DE1448" s="4"/>
      <c r="DF1448" s="4"/>
      <c r="DG1448" s="4"/>
      <c r="DH1448" s="4"/>
      <c r="DI1448" s="4"/>
      <c r="DJ1448" s="4"/>
      <c r="DK1448" s="4"/>
      <c r="DL1448" s="4"/>
      <c r="DM1448" s="4"/>
      <c r="DN1448" s="4"/>
      <c r="DO1448" s="4"/>
      <c r="DP1448" s="4"/>
      <c r="DQ1448" s="4"/>
      <c r="DR1448" s="4"/>
      <c r="DS1448" s="4"/>
    </row>
    <row r="1449">
      <c r="A1449" s="9">
        <f>IFERROR(__xludf.DUMMYFUNCTION("""COMPUTED_VALUE"""),45884.0)</f>
        <v>45884</v>
      </c>
      <c r="B1449" s="6" t="str">
        <f>IFERROR(__xludf.DUMMYFUNCTION("""COMPUTED_VALUE"""),"Home Goods")</f>
        <v>Home Goods</v>
      </c>
      <c r="C1449" s="7">
        <f>IFERROR(__xludf.DUMMYFUNCTION("""COMPUTED_VALUE"""),2101.0)</f>
        <v>2101</v>
      </c>
      <c r="D1449" s="6" t="str">
        <f>IFERROR(__xludf.DUMMYFUNCTION("""COMPUTED_VALUE"""),"Home Goods &amp; Utilities")</f>
        <v>Home Goods &amp; Utilities</v>
      </c>
      <c r="E1449" s="6" t="str">
        <f>IFERROR(__xludf.DUMMYFUNCTION("""COMPUTED_VALUE"""),"Split Payment")</f>
        <v>Split Payment</v>
      </c>
      <c r="F1449" s="6" t="s">
        <v>8</v>
      </c>
      <c r="G1449" s="8" t="str">
        <f t="shared" si="1"/>
        <v>202508</v>
      </c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  <c r="AA1449" s="4"/>
      <c r="AB1449" s="4"/>
      <c r="AC1449" s="4"/>
      <c r="AD1449" s="4"/>
      <c r="AE1449" s="4"/>
      <c r="AF1449" s="4"/>
      <c r="AG1449" s="4"/>
      <c r="AH1449" s="4"/>
      <c r="AI1449" s="4"/>
      <c r="AJ1449" s="4"/>
      <c r="AK1449" s="4"/>
      <c r="AL1449" s="4"/>
      <c r="AM1449" s="4"/>
      <c r="AN1449" s="4"/>
      <c r="AO1449" s="4"/>
      <c r="AP1449" s="4"/>
      <c r="AQ1449" s="4"/>
      <c r="AR1449" s="4"/>
      <c r="AS1449" s="4"/>
      <c r="AT1449" s="4"/>
      <c r="AU1449" s="4"/>
      <c r="AV1449" s="4"/>
      <c r="AW1449" s="4"/>
      <c r="AX1449" s="4"/>
      <c r="AY1449" s="4"/>
      <c r="AZ1449" s="4"/>
      <c r="BA1449" s="4"/>
      <c r="BB1449" s="4"/>
      <c r="BC1449" s="4"/>
      <c r="BD1449" s="4"/>
      <c r="BE1449" s="4"/>
      <c r="BF1449" s="4"/>
      <c r="BG1449" s="4"/>
      <c r="BH1449" s="4"/>
      <c r="BI1449" s="4"/>
      <c r="BJ1449" s="4"/>
      <c r="BK1449" s="4"/>
      <c r="BL1449" s="4"/>
      <c r="BM1449" s="4"/>
      <c r="BN1449" s="4"/>
      <c r="BO1449" s="4"/>
      <c r="BP1449" s="4"/>
      <c r="BQ1449" s="4"/>
      <c r="BR1449" s="4"/>
      <c r="BS1449" s="4"/>
      <c r="BT1449" s="4"/>
      <c r="BU1449" s="4"/>
      <c r="BV1449" s="4"/>
      <c r="BW1449" s="4"/>
      <c r="BX1449" s="4"/>
      <c r="BY1449" s="4"/>
      <c r="BZ1449" s="4"/>
      <c r="CA1449" s="4"/>
      <c r="CB1449" s="4"/>
      <c r="CC1449" s="4"/>
      <c r="CD1449" s="4"/>
      <c r="CE1449" s="4"/>
      <c r="CF1449" s="4"/>
      <c r="CG1449" s="4"/>
      <c r="CH1449" s="4"/>
      <c r="CI1449" s="4"/>
      <c r="CJ1449" s="4"/>
      <c r="CK1449" s="4"/>
      <c r="CL1449" s="4"/>
      <c r="CM1449" s="4"/>
      <c r="CN1449" s="4"/>
      <c r="CO1449" s="4"/>
      <c r="CP1449" s="4"/>
      <c r="CQ1449" s="4"/>
      <c r="CR1449" s="4"/>
      <c r="CS1449" s="4"/>
      <c r="CT1449" s="4"/>
      <c r="CU1449" s="4"/>
      <c r="CV1449" s="4"/>
      <c r="CW1449" s="4"/>
      <c r="CX1449" s="4"/>
      <c r="CY1449" s="4"/>
      <c r="CZ1449" s="4"/>
      <c r="DA1449" s="4"/>
      <c r="DB1449" s="4"/>
      <c r="DC1449" s="4"/>
      <c r="DD1449" s="4"/>
      <c r="DE1449" s="4"/>
      <c r="DF1449" s="4"/>
      <c r="DG1449" s="4"/>
      <c r="DH1449" s="4"/>
      <c r="DI1449" s="4"/>
      <c r="DJ1449" s="4"/>
      <c r="DK1449" s="4"/>
      <c r="DL1449" s="4"/>
      <c r="DM1449" s="4"/>
      <c r="DN1449" s="4"/>
      <c r="DO1449" s="4"/>
      <c r="DP1449" s="4"/>
      <c r="DQ1449" s="4"/>
      <c r="DR1449" s="4"/>
      <c r="DS1449" s="4"/>
    </row>
    <row r="1450">
      <c r="A1450" s="9">
        <f>IFERROR(__xludf.DUMMYFUNCTION("""COMPUTED_VALUE"""),45884.0)</f>
        <v>45884</v>
      </c>
      <c r="B1450" s="6" t="str">
        <f>IFERROR(__xludf.DUMMYFUNCTION("""COMPUTED_VALUE"""),"Appliances")</f>
        <v>Appliances</v>
      </c>
      <c r="C1450" s="7">
        <f>IFERROR(__xludf.DUMMYFUNCTION("""COMPUTED_VALUE"""),5965.0)</f>
        <v>5965</v>
      </c>
      <c r="D1450" s="6" t="str">
        <f>IFERROR(__xludf.DUMMYFUNCTION("""COMPUTED_VALUE"""),"Home Goods &amp; Utilities")</f>
        <v>Home Goods &amp; Utilities</v>
      </c>
      <c r="E1450" s="6" t="str">
        <f>IFERROR(__xludf.DUMMYFUNCTION("""COMPUTED_VALUE"""),"Credit Card")</f>
        <v>Credit Card</v>
      </c>
      <c r="F1450" s="6" t="s">
        <v>8</v>
      </c>
      <c r="G1450" s="8" t="str">
        <f t="shared" si="1"/>
        <v>202508</v>
      </c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  <c r="AA1450" s="4"/>
      <c r="AB1450" s="4"/>
      <c r="AC1450" s="4"/>
      <c r="AD1450" s="4"/>
      <c r="AE1450" s="4"/>
      <c r="AF1450" s="4"/>
      <c r="AG1450" s="4"/>
      <c r="AH1450" s="4"/>
      <c r="AI1450" s="4"/>
      <c r="AJ1450" s="4"/>
      <c r="AK1450" s="4"/>
      <c r="AL1450" s="4"/>
      <c r="AM1450" s="4"/>
      <c r="AN1450" s="4"/>
      <c r="AO1450" s="4"/>
      <c r="AP1450" s="4"/>
      <c r="AQ1450" s="4"/>
      <c r="AR1450" s="4"/>
      <c r="AS1450" s="4"/>
      <c r="AT1450" s="4"/>
      <c r="AU1450" s="4"/>
      <c r="AV1450" s="4"/>
      <c r="AW1450" s="4"/>
      <c r="AX1450" s="4"/>
      <c r="AY1450" s="4"/>
      <c r="AZ1450" s="4"/>
      <c r="BA1450" s="4"/>
      <c r="BB1450" s="4"/>
      <c r="BC1450" s="4"/>
      <c r="BD1450" s="4"/>
      <c r="BE1450" s="4"/>
      <c r="BF1450" s="4"/>
      <c r="BG1450" s="4"/>
      <c r="BH1450" s="4"/>
      <c r="BI1450" s="4"/>
      <c r="BJ1450" s="4"/>
      <c r="BK1450" s="4"/>
      <c r="BL1450" s="4"/>
      <c r="BM1450" s="4"/>
      <c r="BN1450" s="4"/>
      <c r="BO1450" s="4"/>
      <c r="BP1450" s="4"/>
      <c r="BQ1450" s="4"/>
      <c r="BR1450" s="4"/>
      <c r="BS1450" s="4"/>
      <c r="BT1450" s="4"/>
      <c r="BU1450" s="4"/>
      <c r="BV1450" s="4"/>
      <c r="BW1450" s="4"/>
      <c r="BX1450" s="4"/>
      <c r="BY1450" s="4"/>
      <c r="BZ1450" s="4"/>
      <c r="CA1450" s="4"/>
      <c r="CB1450" s="4"/>
      <c r="CC1450" s="4"/>
      <c r="CD1450" s="4"/>
      <c r="CE1450" s="4"/>
      <c r="CF1450" s="4"/>
      <c r="CG1450" s="4"/>
      <c r="CH1450" s="4"/>
      <c r="CI1450" s="4"/>
      <c r="CJ1450" s="4"/>
      <c r="CK1450" s="4"/>
      <c r="CL1450" s="4"/>
      <c r="CM1450" s="4"/>
      <c r="CN1450" s="4"/>
      <c r="CO1450" s="4"/>
      <c r="CP1450" s="4"/>
      <c r="CQ1450" s="4"/>
      <c r="CR1450" s="4"/>
      <c r="CS1450" s="4"/>
      <c r="CT1450" s="4"/>
      <c r="CU1450" s="4"/>
      <c r="CV1450" s="4"/>
      <c r="CW1450" s="4"/>
      <c r="CX1450" s="4"/>
      <c r="CY1450" s="4"/>
      <c r="CZ1450" s="4"/>
      <c r="DA1450" s="4"/>
      <c r="DB1450" s="4"/>
      <c r="DC1450" s="4"/>
      <c r="DD1450" s="4"/>
      <c r="DE1450" s="4"/>
      <c r="DF1450" s="4"/>
      <c r="DG1450" s="4"/>
      <c r="DH1450" s="4"/>
      <c r="DI1450" s="4"/>
      <c r="DJ1450" s="4"/>
      <c r="DK1450" s="4"/>
      <c r="DL1450" s="4"/>
      <c r="DM1450" s="4"/>
      <c r="DN1450" s="4"/>
      <c r="DO1450" s="4"/>
      <c r="DP1450" s="4"/>
      <c r="DQ1450" s="4"/>
      <c r="DR1450" s="4"/>
      <c r="DS1450" s="4"/>
    </row>
    <row r="1451">
      <c r="A1451" s="9">
        <f>IFERROR(__xludf.DUMMYFUNCTION("""COMPUTED_VALUE"""),45885.0)</f>
        <v>45885</v>
      </c>
      <c r="B1451" s="6" t="str">
        <f>IFERROR(__xludf.DUMMYFUNCTION("""COMPUTED_VALUE"""),"Groceries")</f>
        <v>Groceries</v>
      </c>
      <c r="C1451" s="7">
        <f>IFERROR(__xludf.DUMMYFUNCTION("""COMPUTED_VALUE"""),5250.0)</f>
        <v>5250</v>
      </c>
      <c r="D1451" s="6" t="str">
        <f>IFERROR(__xludf.DUMMYFUNCTION("""COMPUTED_VALUE"""),"Lunch Out")</f>
        <v>Lunch Out</v>
      </c>
      <c r="E1451" s="6" t="str">
        <f>IFERROR(__xludf.DUMMYFUNCTION("""COMPUTED_VALUE"""),"Virtual Wallet")</f>
        <v>Virtual Wallet</v>
      </c>
      <c r="F1451" s="6" t="s">
        <v>14</v>
      </c>
      <c r="G1451" s="8" t="str">
        <f t="shared" si="1"/>
        <v>202508</v>
      </c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  <c r="AA1451" s="4"/>
      <c r="AB1451" s="4"/>
      <c r="AC1451" s="4"/>
      <c r="AD1451" s="4"/>
      <c r="AE1451" s="4"/>
      <c r="AF1451" s="4"/>
      <c r="AG1451" s="4"/>
      <c r="AH1451" s="4"/>
      <c r="AI1451" s="4"/>
      <c r="AJ1451" s="4"/>
      <c r="AK1451" s="4"/>
      <c r="AL1451" s="4"/>
      <c r="AM1451" s="4"/>
      <c r="AN1451" s="4"/>
      <c r="AO1451" s="4"/>
      <c r="AP1451" s="4"/>
      <c r="AQ1451" s="4"/>
      <c r="AR1451" s="4"/>
      <c r="AS1451" s="4"/>
      <c r="AT1451" s="4"/>
      <c r="AU1451" s="4"/>
      <c r="AV1451" s="4"/>
      <c r="AW1451" s="4"/>
      <c r="AX1451" s="4"/>
      <c r="AY1451" s="4"/>
      <c r="AZ1451" s="4"/>
      <c r="BA1451" s="4"/>
      <c r="BB1451" s="4"/>
      <c r="BC1451" s="4"/>
      <c r="BD1451" s="4"/>
      <c r="BE1451" s="4"/>
      <c r="BF1451" s="4"/>
      <c r="BG1451" s="4"/>
      <c r="BH1451" s="4"/>
      <c r="BI1451" s="4"/>
      <c r="BJ1451" s="4"/>
      <c r="BK1451" s="4"/>
      <c r="BL1451" s="4"/>
      <c r="BM1451" s="4"/>
      <c r="BN1451" s="4"/>
      <c r="BO1451" s="4"/>
      <c r="BP1451" s="4"/>
      <c r="BQ1451" s="4"/>
      <c r="BR1451" s="4"/>
      <c r="BS1451" s="4"/>
      <c r="BT1451" s="4"/>
      <c r="BU1451" s="4"/>
      <c r="BV1451" s="4"/>
      <c r="BW1451" s="4"/>
      <c r="BX1451" s="4"/>
      <c r="BY1451" s="4"/>
      <c r="BZ1451" s="4"/>
      <c r="CA1451" s="4"/>
      <c r="CB1451" s="4"/>
      <c r="CC1451" s="4"/>
      <c r="CD1451" s="4"/>
      <c r="CE1451" s="4"/>
      <c r="CF1451" s="4"/>
      <c r="CG1451" s="4"/>
      <c r="CH1451" s="4"/>
      <c r="CI1451" s="4"/>
      <c r="CJ1451" s="4"/>
      <c r="CK1451" s="4"/>
      <c r="CL1451" s="4"/>
      <c r="CM1451" s="4"/>
      <c r="CN1451" s="4"/>
      <c r="CO1451" s="4"/>
      <c r="CP1451" s="4"/>
      <c r="CQ1451" s="4"/>
      <c r="CR1451" s="4"/>
      <c r="CS1451" s="4"/>
      <c r="CT1451" s="4"/>
      <c r="CU1451" s="4"/>
      <c r="CV1451" s="4"/>
      <c r="CW1451" s="4"/>
      <c r="CX1451" s="4"/>
      <c r="CY1451" s="4"/>
      <c r="CZ1451" s="4"/>
      <c r="DA1451" s="4"/>
      <c r="DB1451" s="4"/>
      <c r="DC1451" s="4"/>
      <c r="DD1451" s="4"/>
      <c r="DE1451" s="4"/>
      <c r="DF1451" s="4"/>
      <c r="DG1451" s="4"/>
      <c r="DH1451" s="4"/>
      <c r="DI1451" s="4"/>
      <c r="DJ1451" s="4"/>
      <c r="DK1451" s="4"/>
      <c r="DL1451" s="4"/>
      <c r="DM1451" s="4"/>
      <c r="DN1451" s="4"/>
      <c r="DO1451" s="4"/>
      <c r="DP1451" s="4"/>
      <c r="DQ1451" s="4"/>
      <c r="DR1451" s="4"/>
      <c r="DS1451" s="4"/>
    </row>
    <row r="1452">
      <c r="A1452" s="9">
        <f>IFERROR(__xludf.DUMMYFUNCTION("""COMPUTED_VALUE"""),45885.0)</f>
        <v>45885</v>
      </c>
      <c r="B1452" s="6" t="str">
        <f>IFERROR(__xludf.DUMMYFUNCTION("""COMPUTED_VALUE"""),"Home Maintenance")</f>
        <v>Home Maintenance</v>
      </c>
      <c r="C1452" s="7">
        <f>IFERROR(__xludf.DUMMYFUNCTION("""COMPUTED_VALUE"""),7000.0)</f>
        <v>7000</v>
      </c>
      <c r="D1452" s="6" t="str">
        <f>IFERROR(__xludf.DUMMYFUNCTION("""COMPUTED_VALUE"""),"Car Expenses")</f>
        <v>Car Expenses</v>
      </c>
      <c r="E1452" s="6" t="str">
        <f>IFERROR(__xludf.DUMMYFUNCTION("""COMPUTED_VALUE"""),"Virtual Wallet")</f>
        <v>Virtual Wallet</v>
      </c>
      <c r="F1452" s="6" t="s">
        <v>9</v>
      </c>
      <c r="G1452" s="8" t="str">
        <f t="shared" si="1"/>
        <v>202508</v>
      </c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  <c r="AA1452" s="4"/>
      <c r="AB1452" s="4"/>
      <c r="AC1452" s="4"/>
      <c r="AD1452" s="4"/>
      <c r="AE1452" s="4"/>
      <c r="AF1452" s="4"/>
      <c r="AG1452" s="4"/>
      <c r="AH1452" s="4"/>
      <c r="AI1452" s="4"/>
      <c r="AJ1452" s="4"/>
      <c r="AK1452" s="4"/>
      <c r="AL1452" s="4"/>
      <c r="AM1452" s="4"/>
      <c r="AN1452" s="4"/>
      <c r="AO1452" s="4"/>
      <c r="AP1452" s="4"/>
      <c r="AQ1452" s="4"/>
      <c r="AR1452" s="4"/>
      <c r="AS1452" s="4"/>
      <c r="AT1452" s="4"/>
      <c r="AU1452" s="4"/>
      <c r="AV1452" s="4"/>
      <c r="AW1452" s="4"/>
      <c r="AX1452" s="4"/>
      <c r="AY1452" s="4"/>
      <c r="AZ1452" s="4"/>
      <c r="BA1452" s="4"/>
      <c r="BB1452" s="4"/>
      <c r="BC1452" s="4"/>
      <c r="BD1452" s="4"/>
      <c r="BE1452" s="4"/>
      <c r="BF1452" s="4"/>
      <c r="BG1452" s="4"/>
      <c r="BH1452" s="4"/>
      <c r="BI1452" s="4"/>
      <c r="BJ1452" s="4"/>
      <c r="BK1452" s="4"/>
      <c r="BL1452" s="4"/>
      <c r="BM1452" s="4"/>
      <c r="BN1452" s="4"/>
      <c r="BO1452" s="4"/>
      <c r="BP1452" s="4"/>
      <c r="BQ1452" s="4"/>
      <c r="BR1452" s="4"/>
      <c r="BS1452" s="4"/>
      <c r="BT1452" s="4"/>
      <c r="BU1452" s="4"/>
      <c r="BV1452" s="4"/>
      <c r="BW1452" s="4"/>
      <c r="BX1452" s="4"/>
      <c r="BY1452" s="4"/>
      <c r="BZ1452" s="4"/>
      <c r="CA1452" s="4"/>
      <c r="CB1452" s="4"/>
      <c r="CC1452" s="4"/>
      <c r="CD1452" s="4"/>
      <c r="CE1452" s="4"/>
      <c r="CF1452" s="4"/>
      <c r="CG1452" s="4"/>
      <c r="CH1452" s="4"/>
      <c r="CI1452" s="4"/>
      <c r="CJ1452" s="4"/>
      <c r="CK1452" s="4"/>
      <c r="CL1452" s="4"/>
      <c r="CM1452" s="4"/>
      <c r="CN1452" s="4"/>
      <c r="CO1452" s="4"/>
      <c r="CP1452" s="4"/>
      <c r="CQ1452" s="4"/>
      <c r="CR1452" s="4"/>
      <c r="CS1452" s="4"/>
      <c r="CT1452" s="4"/>
      <c r="CU1452" s="4"/>
      <c r="CV1452" s="4"/>
      <c r="CW1452" s="4"/>
      <c r="CX1452" s="4"/>
      <c r="CY1452" s="4"/>
      <c r="CZ1452" s="4"/>
      <c r="DA1452" s="4"/>
      <c r="DB1452" s="4"/>
      <c r="DC1452" s="4"/>
      <c r="DD1452" s="4"/>
      <c r="DE1452" s="4"/>
      <c r="DF1452" s="4"/>
      <c r="DG1452" s="4"/>
      <c r="DH1452" s="4"/>
      <c r="DI1452" s="4"/>
      <c r="DJ1452" s="4"/>
      <c r="DK1452" s="4"/>
      <c r="DL1452" s="4"/>
      <c r="DM1452" s="4"/>
      <c r="DN1452" s="4"/>
      <c r="DO1452" s="4"/>
      <c r="DP1452" s="4"/>
      <c r="DQ1452" s="4"/>
      <c r="DR1452" s="4"/>
      <c r="DS1452" s="4"/>
    </row>
    <row r="1453">
      <c r="A1453" s="9">
        <f>IFERROR(__xludf.DUMMYFUNCTION("""COMPUTED_VALUE"""),45885.0)</f>
        <v>45885</v>
      </c>
      <c r="B1453" s="6" t="str">
        <f>IFERROR(__xludf.DUMMYFUNCTION("""COMPUTED_VALUE"""),"Personal Care")</f>
        <v>Personal Care</v>
      </c>
      <c r="C1453" s="7">
        <f>IFERROR(__xludf.DUMMYFUNCTION("""COMPUTED_VALUE"""),330000.0)</f>
        <v>330000</v>
      </c>
      <c r="D1453" s="6" t="str">
        <f>IFERROR(__xludf.DUMMYFUNCTION("""COMPUTED_VALUE"""),"Personal Care")</f>
        <v>Personal Care</v>
      </c>
      <c r="E1453" s="6" t="str">
        <f>IFERROR(__xludf.DUMMYFUNCTION("""COMPUTED_VALUE"""),"Virtual Wallet")</f>
        <v>Virtual Wallet</v>
      </c>
      <c r="F1453" s="6" t="s">
        <v>16</v>
      </c>
      <c r="G1453" s="8" t="str">
        <f t="shared" si="1"/>
        <v>202508</v>
      </c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  <c r="AA1453" s="4"/>
      <c r="AB1453" s="4"/>
      <c r="AC1453" s="4"/>
      <c r="AD1453" s="4"/>
      <c r="AE1453" s="4"/>
      <c r="AF1453" s="4"/>
      <c r="AG1453" s="4"/>
      <c r="AH1453" s="4"/>
      <c r="AI1453" s="4"/>
      <c r="AJ1453" s="4"/>
      <c r="AK1453" s="4"/>
      <c r="AL1453" s="4"/>
      <c r="AM1453" s="4"/>
      <c r="AN1453" s="4"/>
      <c r="AO1453" s="4"/>
      <c r="AP1453" s="4"/>
      <c r="AQ1453" s="4"/>
      <c r="AR1453" s="4"/>
      <c r="AS1453" s="4"/>
      <c r="AT1453" s="4"/>
      <c r="AU1453" s="4"/>
      <c r="AV1453" s="4"/>
      <c r="AW1453" s="4"/>
      <c r="AX1453" s="4"/>
      <c r="AY1453" s="4"/>
      <c r="AZ1453" s="4"/>
      <c r="BA1453" s="4"/>
      <c r="BB1453" s="4"/>
      <c r="BC1453" s="4"/>
      <c r="BD1453" s="4"/>
      <c r="BE1453" s="4"/>
      <c r="BF1453" s="4"/>
      <c r="BG1453" s="4"/>
      <c r="BH1453" s="4"/>
      <c r="BI1453" s="4"/>
      <c r="BJ1453" s="4"/>
      <c r="BK1453" s="4"/>
      <c r="BL1453" s="4"/>
      <c r="BM1453" s="4"/>
      <c r="BN1453" s="4"/>
      <c r="BO1453" s="4"/>
      <c r="BP1453" s="4"/>
      <c r="BQ1453" s="4"/>
      <c r="BR1453" s="4"/>
      <c r="BS1453" s="4"/>
      <c r="BT1453" s="4"/>
      <c r="BU1453" s="4"/>
      <c r="BV1453" s="4"/>
      <c r="BW1453" s="4"/>
      <c r="BX1453" s="4"/>
      <c r="BY1453" s="4"/>
      <c r="BZ1453" s="4"/>
      <c r="CA1453" s="4"/>
      <c r="CB1453" s="4"/>
      <c r="CC1453" s="4"/>
      <c r="CD1453" s="4"/>
      <c r="CE1453" s="4"/>
      <c r="CF1453" s="4"/>
      <c r="CG1453" s="4"/>
      <c r="CH1453" s="4"/>
      <c r="CI1453" s="4"/>
      <c r="CJ1453" s="4"/>
      <c r="CK1453" s="4"/>
      <c r="CL1453" s="4"/>
      <c r="CM1453" s="4"/>
      <c r="CN1453" s="4"/>
      <c r="CO1453" s="4"/>
      <c r="CP1453" s="4"/>
      <c r="CQ1453" s="4"/>
      <c r="CR1453" s="4"/>
      <c r="CS1453" s="4"/>
      <c r="CT1453" s="4"/>
      <c r="CU1453" s="4"/>
      <c r="CV1453" s="4"/>
      <c r="CW1453" s="4"/>
      <c r="CX1453" s="4"/>
      <c r="CY1453" s="4"/>
      <c r="CZ1453" s="4"/>
      <c r="DA1453" s="4"/>
      <c r="DB1453" s="4"/>
      <c r="DC1453" s="4"/>
      <c r="DD1453" s="4"/>
      <c r="DE1453" s="4"/>
      <c r="DF1453" s="4"/>
      <c r="DG1453" s="4"/>
      <c r="DH1453" s="4"/>
      <c r="DI1453" s="4"/>
      <c r="DJ1453" s="4"/>
      <c r="DK1453" s="4"/>
      <c r="DL1453" s="4"/>
      <c r="DM1453" s="4"/>
      <c r="DN1453" s="4"/>
      <c r="DO1453" s="4"/>
      <c r="DP1453" s="4"/>
      <c r="DQ1453" s="4"/>
      <c r="DR1453" s="4"/>
      <c r="DS1453" s="4"/>
    </row>
    <row r="1454">
      <c r="A1454" s="9">
        <f>IFERROR(__xludf.DUMMYFUNCTION("""COMPUTED_VALUE"""),45886.0)</f>
        <v>45886</v>
      </c>
      <c r="B1454" s="6" t="str">
        <f>IFERROR(__xludf.DUMMYFUNCTION("""COMPUTED_VALUE"""),"Electricity Bill (Edesur)")</f>
        <v>Electricity Bill (Edesur)</v>
      </c>
      <c r="C1454" s="7">
        <f>IFERROR(__xludf.DUMMYFUNCTION("""COMPUTED_VALUE"""),7055.0)</f>
        <v>7055</v>
      </c>
      <c r="D1454" s="6" t="str">
        <f>IFERROR(__xludf.DUMMYFUNCTION("""COMPUTED_VALUE"""),"Basic Services")</f>
        <v>Basic Services</v>
      </c>
      <c r="E1454" s="6" t="str">
        <f>IFERROR(__xludf.DUMMYFUNCTION("""COMPUTED_VALUE"""),"Split Payment")</f>
        <v>Split Payment</v>
      </c>
      <c r="F1454" s="6" t="s">
        <v>13</v>
      </c>
      <c r="G1454" s="8" t="str">
        <f t="shared" si="1"/>
        <v>202508</v>
      </c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  <c r="AA1454" s="4"/>
      <c r="AB1454" s="4"/>
      <c r="AC1454" s="4"/>
      <c r="AD1454" s="4"/>
      <c r="AE1454" s="4"/>
      <c r="AF1454" s="4"/>
      <c r="AG1454" s="4"/>
      <c r="AH1454" s="4"/>
      <c r="AI1454" s="4"/>
      <c r="AJ1454" s="4"/>
      <c r="AK1454" s="4"/>
      <c r="AL1454" s="4"/>
      <c r="AM1454" s="4"/>
      <c r="AN1454" s="4"/>
      <c r="AO1454" s="4"/>
      <c r="AP1454" s="4"/>
      <c r="AQ1454" s="4"/>
      <c r="AR1454" s="4"/>
      <c r="AS1454" s="4"/>
      <c r="AT1454" s="4"/>
      <c r="AU1454" s="4"/>
      <c r="AV1454" s="4"/>
      <c r="AW1454" s="4"/>
      <c r="AX1454" s="4"/>
      <c r="AY1454" s="4"/>
      <c r="AZ1454" s="4"/>
      <c r="BA1454" s="4"/>
      <c r="BB1454" s="4"/>
      <c r="BC1454" s="4"/>
      <c r="BD1454" s="4"/>
      <c r="BE1454" s="4"/>
      <c r="BF1454" s="4"/>
      <c r="BG1454" s="4"/>
      <c r="BH1454" s="4"/>
      <c r="BI1454" s="4"/>
      <c r="BJ1454" s="4"/>
      <c r="BK1454" s="4"/>
      <c r="BL1454" s="4"/>
      <c r="BM1454" s="4"/>
      <c r="BN1454" s="4"/>
      <c r="BO1454" s="4"/>
      <c r="BP1454" s="4"/>
      <c r="BQ1454" s="4"/>
      <c r="BR1454" s="4"/>
      <c r="BS1454" s="4"/>
      <c r="BT1454" s="4"/>
      <c r="BU1454" s="4"/>
      <c r="BV1454" s="4"/>
      <c r="BW1454" s="4"/>
      <c r="BX1454" s="4"/>
      <c r="BY1454" s="4"/>
      <c r="BZ1454" s="4"/>
      <c r="CA1454" s="4"/>
      <c r="CB1454" s="4"/>
      <c r="CC1454" s="4"/>
      <c r="CD1454" s="4"/>
      <c r="CE1454" s="4"/>
      <c r="CF1454" s="4"/>
      <c r="CG1454" s="4"/>
      <c r="CH1454" s="4"/>
      <c r="CI1454" s="4"/>
      <c r="CJ1454" s="4"/>
      <c r="CK1454" s="4"/>
      <c r="CL1454" s="4"/>
      <c r="CM1454" s="4"/>
      <c r="CN1454" s="4"/>
      <c r="CO1454" s="4"/>
      <c r="CP1454" s="4"/>
      <c r="CQ1454" s="4"/>
      <c r="CR1454" s="4"/>
      <c r="CS1454" s="4"/>
      <c r="CT1454" s="4"/>
      <c r="CU1454" s="4"/>
      <c r="CV1454" s="4"/>
      <c r="CW1454" s="4"/>
      <c r="CX1454" s="4"/>
      <c r="CY1454" s="4"/>
      <c r="CZ1454" s="4"/>
      <c r="DA1454" s="4"/>
      <c r="DB1454" s="4"/>
      <c r="DC1454" s="4"/>
      <c r="DD1454" s="4"/>
      <c r="DE1454" s="4"/>
      <c r="DF1454" s="4"/>
      <c r="DG1454" s="4"/>
      <c r="DH1454" s="4"/>
      <c r="DI1454" s="4"/>
      <c r="DJ1454" s="4"/>
      <c r="DK1454" s="4"/>
      <c r="DL1454" s="4"/>
      <c r="DM1454" s="4"/>
      <c r="DN1454" s="4"/>
      <c r="DO1454" s="4"/>
      <c r="DP1454" s="4"/>
      <c r="DQ1454" s="4"/>
      <c r="DR1454" s="4"/>
      <c r="DS1454" s="4"/>
    </row>
    <row r="1455">
      <c r="A1455" s="9">
        <f>IFERROR(__xludf.DUMMYFUNCTION("""COMPUTED_VALUE"""),45886.0)</f>
        <v>45886</v>
      </c>
      <c r="B1455" s="6" t="str">
        <f>IFERROR(__xludf.DUMMYFUNCTION("""COMPUTED_VALUE"""),"Water Bill (AySA)")</f>
        <v>Water Bill (AySA)</v>
      </c>
      <c r="C1455" s="7">
        <f>IFERROR(__xludf.DUMMYFUNCTION("""COMPUTED_VALUE"""),13708.0)</f>
        <v>13708</v>
      </c>
      <c r="D1455" s="6" t="str">
        <f>IFERROR(__xludf.DUMMYFUNCTION("""COMPUTED_VALUE"""),"Basic Services")</f>
        <v>Basic Services</v>
      </c>
      <c r="E1455" s="6" t="str">
        <f>IFERROR(__xludf.DUMMYFUNCTION("""COMPUTED_VALUE"""),"Split Payment")</f>
        <v>Split Payment</v>
      </c>
      <c r="F1455" s="6" t="s">
        <v>13</v>
      </c>
      <c r="G1455" s="8" t="str">
        <f t="shared" si="1"/>
        <v>202508</v>
      </c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  <c r="AA1455" s="4"/>
      <c r="AB1455" s="4"/>
      <c r="AC1455" s="4"/>
      <c r="AD1455" s="4"/>
      <c r="AE1455" s="4"/>
      <c r="AF1455" s="4"/>
      <c r="AG1455" s="4"/>
      <c r="AH1455" s="4"/>
      <c r="AI1455" s="4"/>
      <c r="AJ1455" s="4"/>
      <c r="AK1455" s="4"/>
      <c r="AL1455" s="4"/>
      <c r="AM1455" s="4"/>
      <c r="AN1455" s="4"/>
      <c r="AO1455" s="4"/>
      <c r="AP1455" s="4"/>
      <c r="AQ1455" s="4"/>
      <c r="AR1455" s="4"/>
      <c r="AS1455" s="4"/>
      <c r="AT1455" s="4"/>
      <c r="AU1455" s="4"/>
      <c r="AV1455" s="4"/>
      <c r="AW1455" s="4"/>
      <c r="AX1455" s="4"/>
      <c r="AY1455" s="4"/>
      <c r="AZ1455" s="4"/>
      <c r="BA1455" s="4"/>
      <c r="BB1455" s="4"/>
      <c r="BC1455" s="4"/>
      <c r="BD1455" s="4"/>
      <c r="BE1455" s="4"/>
      <c r="BF1455" s="4"/>
      <c r="BG1455" s="4"/>
      <c r="BH1455" s="4"/>
      <c r="BI1455" s="4"/>
      <c r="BJ1455" s="4"/>
      <c r="BK1455" s="4"/>
      <c r="BL1455" s="4"/>
      <c r="BM1455" s="4"/>
      <c r="BN1455" s="4"/>
      <c r="BO1455" s="4"/>
      <c r="BP1455" s="4"/>
      <c r="BQ1455" s="4"/>
      <c r="BR1455" s="4"/>
      <c r="BS1455" s="4"/>
      <c r="BT1455" s="4"/>
      <c r="BU1455" s="4"/>
      <c r="BV1455" s="4"/>
      <c r="BW1455" s="4"/>
      <c r="BX1455" s="4"/>
      <c r="BY1455" s="4"/>
      <c r="BZ1455" s="4"/>
      <c r="CA1455" s="4"/>
      <c r="CB1455" s="4"/>
      <c r="CC1455" s="4"/>
      <c r="CD1455" s="4"/>
      <c r="CE1455" s="4"/>
      <c r="CF1455" s="4"/>
      <c r="CG1455" s="4"/>
      <c r="CH1455" s="4"/>
      <c r="CI1455" s="4"/>
      <c r="CJ1455" s="4"/>
      <c r="CK1455" s="4"/>
      <c r="CL1455" s="4"/>
      <c r="CM1455" s="4"/>
      <c r="CN1455" s="4"/>
      <c r="CO1455" s="4"/>
      <c r="CP1455" s="4"/>
      <c r="CQ1455" s="4"/>
      <c r="CR1455" s="4"/>
      <c r="CS1455" s="4"/>
      <c r="CT1455" s="4"/>
      <c r="CU1455" s="4"/>
      <c r="CV1455" s="4"/>
      <c r="CW1455" s="4"/>
      <c r="CX1455" s="4"/>
      <c r="CY1455" s="4"/>
      <c r="CZ1455" s="4"/>
      <c r="DA1455" s="4"/>
      <c r="DB1455" s="4"/>
      <c r="DC1455" s="4"/>
      <c r="DD1455" s="4"/>
      <c r="DE1455" s="4"/>
      <c r="DF1455" s="4"/>
      <c r="DG1455" s="4"/>
      <c r="DH1455" s="4"/>
      <c r="DI1455" s="4"/>
      <c r="DJ1455" s="4"/>
      <c r="DK1455" s="4"/>
      <c r="DL1455" s="4"/>
      <c r="DM1455" s="4"/>
      <c r="DN1455" s="4"/>
      <c r="DO1455" s="4"/>
      <c r="DP1455" s="4"/>
      <c r="DQ1455" s="4"/>
      <c r="DR1455" s="4"/>
      <c r="DS1455" s="4"/>
    </row>
    <row r="1456">
      <c r="A1456" s="9">
        <f>IFERROR(__xludf.DUMMYFUNCTION("""COMPUTED_VALUE"""),45886.0)</f>
        <v>45886</v>
      </c>
      <c r="B1456" s="6" t="str">
        <f>IFERROR(__xludf.DUMMYFUNCTION("""COMPUTED_VALUE"""),"Clothing")</f>
        <v>Clothing</v>
      </c>
      <c r="C1456" s="7">
        <f>IFERROR(__xludf.DUMMYFUNCTION("""COMPUTED_VALUE"""),40950.0)</f>
        <v>40950</v>
      </c>
      <c r="D1456" s="6" t="str">
        <f>IFERROR(__xludf.DUMMYFUNCTION("""COMPUTED_VALUE"""),"Clothing")</f>
        <v>Clothing</v>
      </c>
      <c r="E1456" s="6" t="str">
        <f>IFERROR(__xludf.DUMMYFUNCTION("""COMPUTED_VALUE"""),"Credit Card")</f>
        <v>Credit Card</v>
      </c>
      <c r="F1456" s="6" t="s">
        <v>10</v>
      </c>
      <c r="G1456" s="8" t="str">
        <f t="shared" si="1"/>
        <v>202508</v>
      </c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  <c r="AA1456" s="4"/>
      <c r="AB1456" s="4"/>
      <c r="AC1456" s="4"/>
      <c r="AD1456" s="4"/>
      <c r="AE1456" s="4"/>
      <c r="AF1456" s="4"/>
      <c r="AG1456" s="4"/>
      <c r="AH1456" s="4"/>
      <c r="AI1456" s="4"/>
      <c r="AJ1456" s="4"/>
      <c r="AK1456" s="4"/>
      <c r="AL1456" s="4"/>
      <c r="AM1456" s="4"/>
      <c r="AN1456" s="4"/>
      <c r="AO1456" s="4"/>
      <c r="AP1456" s="4"/>
      <c r="AQ1456" s="4"/>
      <c r="AR1456" s="4"/>
      <c r="AS1456" s="4"/>
      <c r="AT1456" s="4"/>
      <c r="AU1456" s="4"/>
      <c r="AV1456" s="4"/>
      <c r="AW1456" s="4"/>
      <c r="AX1456" s="4"/>
      <c r="AY1456" s="4"/>
      <c r="AZ1456" s="4"/>
      <c r="BA1456" s="4"/>
      <c r="BB1456" s="4"/>
      <c r="BC1456" s="4"/>
      <c r="BD1456" s="4"/>
      <c r="BE1456" s="4"/>
      <c r="BF1456" s="4"/>
      <c r="BG1456" s="4"/>
      <c r="BH1456" s="4"/>
      <c r="BI1456" s="4"/>
      <c r="BJ1456" s="4"/>
      <c r="BK1456" s="4"/>
      <c r="BL1456" s="4"/>
      <c r="BM1456" s="4"/>
      <c r="BN1456" s="4"/>
      <c r="BO1456" s="4"/>
      <c r="BP1456" s="4"/>
      <c r="BQ1456" s="4"/>
      <c r="BR1456" s="4"/>
      <c r="BS1456" s="4"/>
      <c r="BT1456" s="4"/>
      <c r="BU1456" s="4"/>
      <c r="BV1456" s="4"/>
      <c r="BW1456" s="4"/>
      <c r="BX1456" s="4"/>
      <c r="BY1456" s="4"/>
      <c r="BZ1456" s="4"/>
      <c r="CA1456" s="4"/>
      <c r="CB1456" s="4"/>
      <c r="CC1456" s="4"/>
      <c r="CD1456" s="4"/>
      <c r="CE1456" s="4"/>
      <c r="CF1456" s="4"/>
      <c r="CG1456" s="4"/>
      <c r="CH1456" s="4"/>
      <c r="CI1456" s="4"/>
      <c r="CJ1456" s="4"/>
      <c r="CK1456" s="4"/>
      <c r="CL1456" s="4"/>
      <c r="CM1456" s="4"/>
      <c r="CN1456" s="4"/>
      <c r="CO1456" s="4"/>
      <c r="CP1456" s="4"/>
      <c r="CQ1456" s="4"/>
      <c r="CR1456" s="4"/>
      <c r="CS1456" s="4"/>
      <c r="CT1456" s="4"/>
      <c r="CU1456" s="4"/>
      <c r="CV1456" s="4"/>
      <c r="CW1456" s="4"/>
      <c r="CX1456" s="4"/>
      <c r="CY1456" s="4"/>
      <c r="CZ1456" s="4"/>
      <c r="DA1456" s="4"/>
      <c r="DB1456" s="4"/>
      <c r="DC1456" s="4"/>
      <c r="DD1456" s="4"/>
      <c r="DE1456" s="4"/>
      <c r="DF1456" s="4"/>
      <c r="DG1456" s="4"/>
      <c r="DH1456" s="4"/>
      <c r="DI1456" s="4"/>
      <c r="DJ1456" s="4"/>
      <c r="DK1456" s="4"/>
      <c r="DL1456" s="4"/>
      <c r="DM1456" s="4"/>
      <c r="DN1456" s="4"/>
      <c r="DO1456" s="4"/>
      <c r="DP1456" s="4"/>
      <c r="DQ1456" s="4"/>
      <c r="DR1456" s="4"/>
      <c r="DS1456" s="4"/>
    </row>
    <row r="1457">
      <c r="A1457" s="9">
        <f>IFERROR(__xludf.DUMMYFUNCTION("""COMPUTED_VALUE"""),45886.0)</f>
        <v>45886</v>
      </c>
      <c r="B1457" s="6" t="str">
        <f>IFERROR(__xludf.DUMMYFUNCTION("""COMPUTED_VALUE"""),"Clothing")</f>
        <v>Clothing</v>
      </c>
      <c r="C1457" s="7">
        <f>IFERROR(__xludf.DUMMYFUNCTION("""COMPUTED_VALUE"""),38037.0)</f>
        <v>38037</v>
      </c>
      <c r="D1457" s="6" t="str">
        <f>IFERROR(__xludf.DUMMYFUNCTION("""COMPUTED_VALUE"""),"Clothing")</f>
        <v>Clothing</v>
      </c>
      <c r="E1457" s="6" t="str">
        <f>IFERROR(__xludf.DUMMYFUNCTION("""COMPUTED_VALUE"""),"Credit Card")</f>
        <v>Credit Card</v>
      </c>
      <c r="F1457" s="6" t="s">
        <v>10</v>
      </c>
      <c r="G1457" s="8" t="str">
        <f t="shared" si="1"/>
        <v>202508</v>
      </c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  <c r="AA1457" s="4"/>
      <c r="AB1457" s="4"/>
      <c r="AC1457" s="4"/>
      <c r="AD1457" s="4"/>
      <c r="AE1457" s="4"/>
      <c r="AF1457" s="4"/>
      <c r="AG1457" s="4"/>
      <c r="AH1457" s="4"/>
      <c r="AI1457" s="4"/>
      <c r="AJ1457" s="4"/>
      <c r="AK1457" s="4"/>
      <c r="AL1457" s="4"/>
      <c r="AM1457" s="4"/>
      <c r="AN1457" s="4"/>
      <c r="AO1457" s="4"/>
      <c r="AP1457" s="4"/>
      <c r="AQ1457" s="4"/>
      <c r="AR1457" s="4"/>
      <c r="AS1457" s="4"/>
      <c r="AT1457" s="4"/>
      <c r="AU1457" s="4"/>
      <c r="AV1457" s="4"/>
      <c r="AW1457" s="4"/>
      <c r="AX1457" s="4"/>
      <c r="AY1457" s="4"/>
      <c r="AZ1457" s="4"/>
      <c r="BA1457" s="4"/>
      <c r="BB1457" s="4"/>
      <c r="BC1457" s="4"/>
      <c r="BD1457" s="4"/>
      <c r="BE1457" s="4"/>
      <c r="BF1457" s="4"/>
      <c r="BG1457" s="4"/>
      <c r="BH1457" s="4"/>
      <c r="BI1457" s="4"/>
      <c r="BJ1457" s="4"/>
      <c r="BK1457" s="4"/>
      <c r="BL1457" s="4"/>
      <c r="BM1457" s="4"/>
      <c r="BN1457" s="4"/>
      <c r="BO1457" s="4"/>
      <c r="BP1457" s="4"/>
      <c r="BQ1457" s="4"/>
      <c r="BR1457" s="4"/>
      <c r="BS1457" s="4"/>
      <c r="BT1457" s="4"/>
      <c r="BU1457" s="4"/>
      <c r="BV1457" s="4"/>
      <c r="BW1457" s="4"/>
      <c r="BX1457" s="4"/>
      <c r="BY1457" s="4"/>
      <c r="BZ1457" s="4"/>
      <c r="CA1457" s="4"/>
      <c r="CB1457" s="4"/>
      <c r="CC1457" s="4"/>
      <c r="CD1457" s="4"/>
      <c r="CE1457" s="4"/>
      <c r="CF1457" s="4"/>
      <c r="CG1457" s="4"/>
      <c r="CH1457" s="4"/>
      <c r="CI1457" s="4"/>
      <c r="CJ1457" s="4"/>
      <c r="CK1457" s="4"/>
      <c r="CL1457" s="4"/>
      <c r="CM1457" s="4"/>
      <c r="CN1457" s="4"/>
      <c r="CO1457" s="4"/>
      <c r="CP1457" s="4"/>
      <c r="CQ1457" s="4"/>
      <c r="CR1457" s="4"/>
      <c r="CS1457" s="4"/>
      <c r="CT1457" s="4"/>
      <c r="CU1457" s="4"/>
      <c r="CV1457" s="4"/>
      <c r="CW1457" s="4"/>
      <c r="CX1457" s="4"/>
      <c r="CY1457" s="4"/>
      <c r="CZ1457" s="4"/>
      <c r="DA1457" s="4"/>
      <c r="DB1457" s="4"/>
      <c r="DC1457" s="4"/>
      <c r="DD1457" s="4"/>
      <c r="DE1457" s="4"/>
      <c r="DF1457" s="4"/>
      <c r="DG1457" s="4"/>
      <c r="DH1457" s="4"/>
      <c r="DI1457" s="4"/>
      <c r="DJ1457" s="4"/>
      <c r="DK1457" s="4"/>
      <c r="DL1457" s="4"/>
      <c r="DM1457" s="4"/>
      <c r="DN1457" s="4"/>
      <c r="DO1457" s="4"/>
      <c r="DP1457" s="4"/>
      <c r="DQ1457" s="4"/>
      <c r="DR1457" s="4"/>
      <c r="DS1457" s="4"/>
    </row>
    <row r="1458">
      <c r="A1458" s="9">
        <f>IFERROR(__xludf.DUMMYFUNCTION("""COMPUTED_VALUE"""),45887.0)</f>
        <v>45887</v>
      </c>
      <c r="B1458" s="6" t="str">
        <f>IFERROR(__xludf.DUMMYFUNCTION("""COMPUTED_VALUE"""),"Gasoline")</f>
        <v>Gasoline</v>
      </c>
      <c r="C1458" s="7">
        <f>IFERROR(__xludf.DUMMYFUNCTION("""COMPUTED_VALUE"""),16500.0)</f>
        <v>16500</v>
      </c>
      <c r="D1458" s="6" t="str">
        <f>IFERROR(__xludf.DUMMYFUNCTION("""COMPUTED_VALUE"""),"Car Expenses")</f>
        <v>Car Expenses</v>
      </c>
      <c r="E1458" s="6" t="str">
        <f>IFERROR(__xludf.DUMMYFUNCTION("""COMPUTED_VALUE"""),"Virtual Wallet")</f>
        <v>Virtual Wallet</v>
      </c>
      <c r="F1458" s="6" t="s">
        <v>9</v>
      </c>
      <c r="G1458" s="8" t="str">
        <f t="shared" si="1"/>
        <v>202508</v>
      </c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  <c r="AA1458" s="4"/>
      <c r="AB1458" s="4"/>
      <c r="AC1458" s="4"/>
      <c r="AD1458" s="4"/>
      <c r="AE1458" s="4"/>
      <c r="AF1458" s="4"/>
      <c r="AG1458" s="4"/>
      <c r="AH1458" s="4"/>
      <c r="AI1458" s="4"/>
      <c r="AJ1458" s="4"/>
      <c r="AK1458" s="4"/>
      <c r="AL1458" s="4"/>
      <c r="AM1458" s="4"/>
      <c r="AN1458" s="4"/>
      <c r="AO1458" s="4"/>
      <c r="AP1458" s="4"/>
      <c r="AQ1458" s="4"/>
      <c r="AR1458" s="4"/>
      <c r="AS1458" s="4"/>
      <c r="AT1458" s="4"/>
      <c r="AU1458" s="4"/>
      <c r="AV1458" s="4"/>
      <c r="AW1458" s="4"/>
      <c r="AX1458" s="4"/>
      <c r="AY1458" s="4"/>
      <c r="AZ1458" s="4"/>
      <c r="BA1458" s="4"/>
      <c r="BB1458" s="4"/>
      <c r="BC1458" s="4"/>
      <c r="BD1458" s="4"/>
      <c r="BE1458" s="4"/>
      <c r="BF1458" s="4"/>
      <c r="BG1458" s="4"/>
      <c r="BH1458" s="4"/>
      <c r="BI1458" s="4"/>
      <c r="BJ1458" s="4"/>
      <c r="BK1458" s="4"/>
      <c r="BL1458" s="4"/>
      <c r="BM1458" s="4"/>
      <c r="BN1458" s="4"/>
      <c r="BO1458" s="4"/>
      <c r="BP1458" s="4"/>
      <c r="BQ1458" s="4"/>
      <c r="BR1458" s="4"/>
      <c r="BS1458" s="4"/>
      <c r="BT1458" s="4"/>
      <c r="BU1458" s="4"/>
      <c r="BV1458" s="4"/>
      <c r="BW1458" s="4"/>
      <c r="BX1458" s="4"/>
      <c r="BY1458" s="4"/>
      <c r="BZ1458" s="4"/>
      <c r="CA1458" s="4"/>
      <c r="CB1458" s="4"/>
      <c r="CC1458" s="4"/>
      <c r="CD1458" s="4"/>
      <c r="CE1458" s="4"/>
      <c r="CF1458" s="4"/>
      <c r="CG1458" s="4"/>
      <c r="CH1458" s="4"/>
      <c r="CI1458" s="4"/>
      <c r="CJ1458" s="4"/>
      <c r="CK1458" s="4"/>
      <c r="CL1458" s="4"/>
      <c r="CM1458" s="4"/>
      <c r="CN1458" s="4"/>
      <c r="CO1458" s="4"/>
      <c r="CP1458" s="4"/>
      <c r="CQ1458" s="4"/>
      <c r="CR1458" s="4"/>
      <c r="CS1458" s="4"/>
      <c r="CT1458" s="4"/>
      <c r="CU1458" s="4"/>
      <c r="CV1458" s="4"/>
      <c r="CW1458" s="4"/>
      <c r="CX1458" s="4"/>
      <c r="CY1458" s="4"/>
      <c r="CZ1458" s="4"/>
      <c r="DA1458" s="4"/>
      <c r="DB1458" s="4"/>
      <c r="DC1458" s="4"/>
      <c r="DD1458" s="4"/>
      <c r="DE1458" s="4"/>
      <c r="DF1458" s="4"/>
      <c r="DG1458" s="4"/>
      <c r="DH1458" s="4"/>
      <c r="DI1458" s="4"/>
      <c r="DJ1458" s="4"/>
      <c r="DK1458" s="4"/>
      <c r="DL1458" s="4"/>
      <c r="DM1458" s="4"/>
      <c r="DN1458" s="4"/>
      <c r="DO1458" s="4"/>
      <c r="DP1458" s="4"/>
      <c r="DQ1458" s="4"/>
      <c r="DR1458" s="4"/>
      <c r="DS1458" s="4"/>
    </row>
    <row r="1459">
      <c r="A1459" s="9">
        <f>IFERROR(__xludf.DUMMYFUNCTION("""COMPUTED_VALUE"""),45887.0)</f>
        <v>45887</v>
      </c>
      <c r="B1459" s="6" t="str">
        <f>IFERROR(__xludf.DUMMYFUNCTION("""COMPUTED_VALUE"""),"Groceries")</f>
        <v>Groceries</v>
      </c>
      <c r="C1459" s="7">
        <f>IFERROR(__xludf.DUMMYFUNCTION("""COMPUTED_VALUE"""),3550.0)</f>
        <v>3550</v>
      </c>
      <c r="D1459" s="6" t="str">
        <f>IFERROR(__xludf.DUMMYFUNCTION("""COMPUTED_VALUE"""),"Groceries")</f>
        <v>Groceries</v>
      </c>
      <c r="E1459" s="6" t="str">
        <f>IFERROR(__xludf.DUMMYFUNCTION("""COMPUTED_VALUE"""),"Split Payment")</f>
        <v>Split Payment</v>
      </c>
      <c r="F1459" s="6" t="s">
        <v>7</v>
      </c>
      <c r="G1459" s="8" t="str">
        <f t="shared" si="1"/>
        <v>202508</v>
      </c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  <c r="AA1459" s="4"/>
      <c r="AB1459" s="4"/>
      <c r="AC1459" s="4"/>
      <c r="AD1459" s="4"/>
      <c r="AE1459" s="4"/>
      <c r="AF1459" s="4"/>
      <c r="AG1459" s="4"/>
      <c r="AH1459" s="4"/>
      <c r="AI1459" s="4"/>
      <c r="AJ1459" s="4"/>
      <c r="AK1459" s="4"/>
      <c r="AL1459" s="4"/>
      <c r="AM1459" s="4"/>
      <c r="AN1459" s="4"/>
      <c r="AO1459" s="4"/>
      <c r="AP1459" s="4"/>
      <c r="AQ1459" s="4"/>
      <c r="AR1459" s="4"/>
      <c r="AS1459" s="4"/>
      <c r="AT1459" s="4"/>
      <c r="AU1459" s="4"/>
      <c r="AV1459" s="4"/>
      <c r="AW1459" s="4"/>
      <c r="AX1459" s="4"/>
      <c r="AY1459" s="4"/>
      <c r="AZ1459" s="4"/>
      <c r="BA1459" s="4"/>
      <c r="BB1459" s="4"/>
      <c r="BC1459" s="4"/>
      <c r="BD1459" s="4"/>
      <c r="BE1459" s="4"/>
      <c r="BF1459" s="4"/>
      <c r="BG1459" s="4"/>
      <c r="BH1459" s="4"/>
      <c r="BI1459" s="4"/>
      <c r="BJ1459" s="4"/>
      <c r="BK1459" s="4"/>
      <c r="BL1459" s="4"/>
      <c r="BM1459" s="4"/>
      <c r="BN1459" s="4"/>
      <c r="BO1459" s="4"/>
      <c r="BP1459" s="4"/>
      <c r="BQ1459" s="4"/>
      <c r="BR1459" s="4"/>
      <c r="BS1459" s="4"/>
      <c r="BT1459" s="4"/>
      <c r="BU1459" s="4"/>
      <c r="BV1459" s="4"/>
      <c r="BW1459" s="4"/>
      <c r="BX1459" s="4"/>
      <c r="BY1459" s="4"/>
      <c r="BZ1459" s="4"/>
      <c r="CA1459" s="4"/>
      <c r="CB1459" s="4"/>
      <c r="CC1459" s="4"/>
      <c r="CD1459" s="4"/>
      <c r="CE1459" s="4"/>
      <c r="CF1459" s="4"/>
      <c r="CG1459" s="4"/>
      <c r="CH1459" s="4"/>
      <c r="CI1459" s="4"/>
      <c r="CJ1459" s="4"/>
      <c r="CK1459" s="4"/>
      <c r="CL1459" s="4"/>
      <c r="CM1459" s="4"/>
      <c r="CN1459" s="4"/>
      <c r="CO1459" s="4"/>
      <c r="CP1459" s="4"/>
      <c r="CQ1459" s="4"/>
      <c r="CR1459" s="4"/>
      <c r="CS1459" s="4"/>
      <c r="CT1459" s="4"/>
      <c r="CU1459" s="4"/>
      <c r="CV1459" s="4"/>
      <c r="CW1459" s="4"/>
      <c r="CX1459" s="4"/>
      <c r="CY1459" s="4"/>
      <c r="CZ1459" s="4"/>
      <c r="DA1459" s="4"/>
      <c r="DB1459" s="4"/>
      <c r="DC1459" s="4"/>
      <c r="DD1459" s="4"/>
      <c r="DE1459" s="4"/>
      <c r="DF1459" s="4"/>
      <c r="DG1459" s="4"/>
      <c r="DH1459" s="4"/>
      <c r="DI1459" s="4"/>
      <c r="DJ1459" s="4"/>
      <c r="DK1459" s="4"/>
      <c r="DL1459" s="4"/>
      <c r="DM1459" s="4"/>
      <c r="DN1459" s="4"/>
      <c r="DO1459" s="4"/>
      <c r="DP1459" s="4"/>
      <c r="DQ1459" s="4"/>
      <c r="DR1459" s="4"/>
      <c r="DS1459" s="4"/>
    </row>
    <row r="1460">
      <c r="A1460" s="9">
        <f>IFERROR(__xludf.DUMMYFUNCTION("""COMPUTED_VALUE"""),45887.0)</f>
        <v>45887</v>
      </c>
      <c r="B1460" s="6" t="str">
        <f>IFERROR(__xludf.DUMMYFUNCTION("""COMPUTED_VALUE"""),"Pets")</f>
        <v>Pets</v>
      </c>
      <c r="C1460" s="7">
        <f>IFERROR(__xludf.DUMMYFUNCTION("""COMPUTED_VALUE"""),4365.0)</f>
        <v>4365</v>
      </c>
      <c r="D1460" s="6" t="str">
        <f>IFERROR(__xludf.DUMMYFUNCTION("""COMPUTED_VALUE"""),"Pets")</f>
        <v>Pets</v>
      </c>
      <c r="E1460" s="6" t="str">
        <f>IFERROR(__xludf.DUMMYFUNCTION("""COMPUTED_VALUE"""),"Virtual Wallet")</f>
        <v>Virtual Wallet</v>
      </c>
      <c r="F1460" s="6" t="s">
        <v>7</v>
      </c>
      <c r="G1460" s="8" t="str">
        <f t="shared" si="1"/>
        <v>202508</v>
      </c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  <c r="AA1460" s="4"/>
      <c r="AB1460" s="4"/>
      <c r="AC1460" s="4"/>
      <c r="AD1460" s="4"/>
      <c r="AE1460" s="4"/>
      <c r="AF1460" s="4"/>
      <c r="AG1460" s="4"/>
      <c r="AH1460" s="4"/>
      <c r="AI1460" s="4"/>
      <c r="AJ1460" s="4"/>
      <c r="AK1460" s="4"/>
      <c r="AL1460" s="4"/>
      <c r="AM1460" s="4"/>
      <c r="AN1460" s="4"/>
      <c r="AO1460" s="4"/>
      <c r="AP1460" s="4"/>
      <c r="AQ1460" s="4"/>
      <c r="AR1460" s="4"/>
      <c r="AS1460" s="4"/>
      <c r="AT1460" s="4"/>
      <c r="AU1460" s="4"/>
      <c r="AV1460" s="4"/>
      <c r="AW1460" s="4"/>
      <c r="AX1460" s="4"/>
      <c r="AY1460" s="4"/>
      <c r="AZ1460" s="4"/>
      <c r="BA1460" s="4"/>
      <c r="BB1460" s="4"/>
      <c r="BC1460" s="4"/>
      <c r="BD1460" s="4"/>
      <c r="BE1460" s="4"/>
      <c r="BF1460" s="4"/>
      <c r="BG1460" s="4"/>
      <c r="BH1460" s="4"/>
      <c r="BI1460" s="4"/>
      <c r="BJ1460" s="4"/>
      <c r="BK1460" s="4"/>
      <c r="BL1460" s="4"/>
      <c r="BM1460" s="4"/>
      <c r="BN1460" s="4"/>
      <c r="BO1460" s="4"/>
      <c r="BP1460" s="4"/>
      <c r="BQ1460" s="4"/>
      <c r="BR1460" s="4"/>
      <c r="BS1460" s="4"/>
      <c r="BT1460" s="4"/>
      <c r="BU1460" s="4"/>
      <c r="BV1460" s="4"/>
      <c r="BW1460" s="4"/>
      <c r="BX1460" s="4"/>
      <c r="BY1460" s="4"/>
      <c r="BZ1460" s="4"/>
      <c r="CA1460" s="4"/>
      <c r="CB1460" s="4"/>
      <c r="CC1460" s="4"/>
      <c r="CD1460" s="4"/>
      <c r="CE1460" s="4"/>
      <c r="CF1460" s="4"/>
      <c r="CG1460" s="4"/>
      <c r="CH1460" s="4"/>
      <c r="CI1460" s="4"/>
      <c r="CJ1460" s="4"/>
      <c r="CK1460" s="4"/>
      <c r="CL1460" s="4"/>
      <c r="CM1460" s="4"/>
      <c r="CN1460" s="4"/>
      <c r="CO1460" s="4"/>
      <c r="CP1460" s="4"/>
      <c r="CQ1460" s="4"/>
      <c r="CR1460" s="4"/>
      <c r="CS1460" s="4"/>
      <c r="CT1460" s="4"/>
      <c r="CU1460" s="4"/>
      <c r="CV1460" s="4"/>
      <c r="CW1460" s="4"/>
      <c r="CX1460" s="4"/>
      <c r="CY1460" s="4"/>
      <c r="CZ1460" s="4"/>
      <c r="DA1460" s="4"/>
      <c r="DB1460" s="4"/>
      <c r="DC1460" s="4"/>
      <c r="DD1460" s="4"/>
      <c r="DE1460" s="4"/>
      <c r="DF1460" s="4"/>
      <c r="DG1460" s="4"/>
      <c r="DH1460" s="4"/>
      <c r="DI1460" s="4"/>
      <c r="DJ1460" s="4"/>
      <c r="DK1460" s="4"/>
      <c r="DL1460" s="4"/>
      <c r="DM1460" s="4"/>
      <c r="DN1460" s="4"/>
      <c r="DO1460" s="4"/>
      <c r="DP1460" s="4"/>
      <c r="DQ1460" s="4"/>
      <c r="DR1460" s="4"/>
      <c r="DS1460" s="4"/>
    </row>
    <row r="1461">
      <c r="A1461" s="9">
        <f>IFERROR(__xludf.DUMMYFUNCTION("""COMPUTED_VALUE"""),45887.0)</f>
        <v>45887</v>
      </c>
      <c r="B1461" s="6" t="str">
        <f>IFERROR(__xludf.DUMMYFUNCTION("""COMPUTED_VALUE"""),"Car Insurance")</f>
        <v>Car Insurance</v>
      </c>
      <c r="C1461" s="7">
        <f>IFERROR(__xludf.DUMMYFUNCTION("""COMPUTED_VALUE"""),1424.0)</f>
        <v>1424</v>
      </c>
      <c r="D1461" s="6" t="str">
        <f>IFERROR(__xludf.DUMMYFUNCTION("""COMPUTED_VALUE"""),"Car Expenses")</f>
        <v>Car Expenses</v>
      </c>
      <c r="E1461" s="6" t="str">
        <f>IFERROR(__xludf.DUMMYFUNCTION("""COMPUTED_VALUE"""),"Credit Card")</f>
        <v>Credit Card</v>
      </c>
      <c r="F1461" s="6" t="s">
        <v>9</v>
      </c>
      <c r="G1461" s="8" t="str">
        <f t="shared" si="1"/>
        <v>202508</v>
      </c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  <c r="AA1461" s="4"/>
      <c r="AB1461" s="4"/>
      <c r="AC1461" s="4"/>
      <c r="AD1461" s="4"/>
      <c r="AE1461" s="4"/>
      <c r="AF1461" s="4"/>
      <c r="AG1461" s="4"/>
      <c r="AH1461" s="4"/>
      <c r="AI1461" s="4"/>
      <c r="AJ1461" s="4"/>
      <c r="AK1461" s="4"/>
      <c r="AL1461" s="4"/>
      <c r="AM1461" s="4"/>
      <c r="AN1461" s="4"/>
      <c r="AO1461" s="4"/>
      <c r="AP1461" s="4"/>
      <c r="AQ1461" s="4"/>
      <c r="AR1461" s="4"/>
      <c r="AS1461" s="4"/>
      <c r="AT1461" s="4"/>
      <c r="AU1461" s="4"/>
      <c r="AV1461" s="4"/>
      <c r="AW1461" s="4"/>
      <c r="AX1461" s="4"/>
      <c r="AY1461" s="4"/>
      <c r="AZ1461" s="4"/>
      <c r="BA1461" s="4"/>
      <c r="BB1461" s="4"/>
      <c r="BC1461" s="4"/>
      <c r="BD1461" s="4"/>
      <c r="BE1461" s="4"/>
      <c r="BF1461" s="4"/>
      <c r="BG1461" s="4"/>
      <c r="BH1461" s="4"/>
      <c r="BI1461" s="4"/>
      <c r="BJ1461" s="4"/>
      <c r="BK1461" s="4"/>
      <c r="BL1461" s="4"/>
      <c r="BM1461" s="4"/>
      <c r="BN1461" s="4"/>
      <c r="BO1461" s="4"/>
      <c r="BP1461" s="4"/>
      <c r="BQ1461" s="4"/>
      <c r="BR1461" s="4"/>
      <c r="BS1461" s="4"/>
      <c r="BT1461" s="4"/>
      <c r="BU1461" s="4"/>
      <c r="BV1461" s="4"/>
      <c r="BW1461" s="4"/>
      <c r="BX1461" s="4"/>
      <c r="BY1461" s="4"/>
      <c r="BZ1461" s="4"/>
      <c r="CA1461" s="4"/>
      <c r="CB1461" s="4"/>
      <c r="CC1461" s="4"/>
      <c r="CD1461" s="4"/>
      <c r="CE1461" s="4"/>
      <c r="CF1461" s="4"/>
      <c r="CG1461" s="4"/>
      <c r="CH1461" s="4"/>
      <c r="CI1461" s="4"/>
      <c r="CJ1461" s="4"/>
      <c r="CK1461" s="4"/>
      <c r="CL1461" s="4"/>
      <c r="CM1461" s="4"/>
      <c r="CN1461" s="4"/>
      <c r="CO1461" s="4"/>
      <c r="CP1461" s="4"/>
      <c r="CQ1461" s="4"/>
      <c r="CR1461" s="4"/>
      <c r="CS1461" s="4"/>
      <c r="CT1461" s="4"/>
      <c r="CU1461" s="4"/>
      <c r="CV1461" s="4"/>
      <c r="CW1461" s="4"/>
      <c r="CX1461" s="4"/>
      <c r="CY1461" s="4"/>
      <c r="CZ1461" s="4"/>
      <c r="DA1461" s="4"/>
      <c r="DB1461" s="4"/>
      <c r="DC1461" s="4"/>
      <c r="DD1461" s="4"/>
      <c r="DE1461" s="4"/>
      <c r="DF1461" s="4"/>
      <c r="DG1461" s="4"/>
      <c r="DH1461" s="4"/>
      <c r="DI1461" s="4"/>
      <c r="DJ1461" s="4"/>
      <c r="DK1461" s="4"/>
      <c r="DL1461" s="4"/>
      <c r="DM1461" s="4"/>
      <c r="DN1461" s="4"/>
      <c r="DO1461" s="4"/>
      <c r="DP1461" s="4"/>
      <c r="DQ1461" s="4"/>
      <c r="DR1461" s="4"/>
      <c r="DS1461" s="4"/>
    </row>
    <row r="1462">
      <c r="A1462" s="9">
        <f>IFERROR(__xludf.DUMMYFUNCTION("""COMPUTED_VALUE"""),45888.0)</f>
        <v>45888</v>
      </c>
      <c r="B1462" s="6" t="str">
        <f>IFERROR(__xludf.DUMMYFUNCTION("""COMPUTED_VALUE"""),"Streaming Services")</f>
        <v>Streaming Services</v>
      </c>
      <c r="C1462" s="7">
        <f>IFERROR(__xludf.DUMMYFUNCTION("""COMPUTED_VALUE"""),7497.0)</f>
        <v>7497</v>
      </c>
      <c r="D1462" s="6" t="str">
        <f>IFERROR(__xludf.DUMMYFUNCTION("""COMPUTED_VALUE"""),"Streaming Services")</f>
        <v>Streaming Services</v>
      </c>
      <c r="E1462" s="6" t="str">
        <f>IFERROR(__xludf.DUMMYFUNCTION("""COMPUTED_VALUE"""),"Credit Card")</f>
        <v>Credit Card</v>
      </c>
      <c r="F1462" s="6" t="s">
        <v>12</v>
      </c>
      <c r="G1462" s="8" t="str">
        <f t="shared" si="1"/>
        <v>202508</v>
      </c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  <c r="AA1462" s="4"/>
      <c r="AB1462" s="4"/>
      <c r="AC1462" s="4"/>
      <c r="AD1462" s="4"/>
      <c r="AE1462" s="4"/>
      <c r="AF1462" s="4"/>
      <c r="AG1462" s="4"/>
      <c r="AH1462" s="4"/>
      <c r="AI1462" s="4"/>
      <c r="AJ1462" s="4"/>
      <c r="AK1462" s="4"/>
      <c r="AL1462" s="4"/>
      <c r="AM1462" s="4"/>
      <c r="AN1462" s="4"/>
      <c r="AO1462" s="4"/>
      <c r="AP1462" s="4"/>
      <c r="AQ1462" s="4"/>
      <c r="AR1462" s="4"/>
      <c r="AS1462" s="4"/>
      <c r="AT1462" s="4"/>
      <c r="AU1462" s="4"/>
      <c r="AV1462" s="4"/>
      <c r="AW1462" s="4"/>
      <c r="AX1462" s="4"/>
      <c r="AY1462" s="4"/>
      <c r="AZ1462" s="4"/>
      <c r="BA1462" s="4"/>
      <c r="BB1462" s="4"/>
      <c r="BC1462" s="4"/>
      <c r="BD1462" s="4"/>
      <c r="BE1462" s="4"/>
      <c r="BF1462" s="4"/>
      <c r="BG1462" s="4"/>
      <c r="BH1462" s="4"/>
      <c r="BI1462" s="4"/>
      <c r="BJ1462" s="4"/>
      <c r="BK1462" s="4"/>
      <c r="BL1462" s="4"/>
      <c r="BM1462" s="4"/>
      <c r="BN1462" s="4"/>
      <c r="BO1462" s="4"/>
      <c r="BP1462" s="4"/>
      <c r="BQ1462" s="4"/>
      <c r="BR1462" s="4"/>
      <c r="BS1462" s="4"/>
      <c r="BT1462" s="4"/>
      <c r="BU1462" s="4"/>
      <c r="BV1462" s="4"/>
      <c r="BW1462" s="4"/>
      <c r="BX1462" s="4"/>
      <c r="BY1462" s="4"/>
      <c r="BZ1462" s="4"/>
      <c r="CA1462" s="4"/>
      <c r="CB1462" s="4"/>
      <c r="CC1462" s="4"/>
      <c r="CD1462" s="4"/>
      <c r="CE1462" s="4"/>
      <c r="CF1462" s="4"/>
      <c r="CG1462" s="4"/>
      <c r="CH1462" s="4"/>
      <c r="CI1462" s="4"/>
      <c r="CJ1462" s="4"/>
      <c r="CK1462" s="4"/>
      <c r="CL1462" s="4"/>
      <c r="CM1462" s="4"/>
      <c r="CN1462" s="4"/>
      <c r="CO1462" s="4"/>
      <c r="CP1462" s="4"/>
      <c r="CQ1462" s="4"/>
      <c r="CR1462" s="4"/>
      <c r="CS1462" s="4"/>
      <c r="CT1462" s="4"/>
      <c r="CU1462" s="4"/>
      <c r="CV1462" s="4"/>
      <c r="CW1462" s="4"/>
      <c r="CX1462" s="4"/>
      <c r="CY1462" s="4"/>
      <c r="CZ1462" s="4"/>
      <c r="DA1462" s="4"/>
      <c r="DB1462" s="4"/>
      <c r="DC1462" s="4"/>
      <c r="DD1462" s="4"/>
      <c r="DE1462" s="4"/>
      <c r="DF1462" s="4"/>
      <c r="DG1462" s="4"/>
      <c r="DH1462" s="4"/>
      <c r="DI1462" s="4"/>
      <c r="DJ1462" s="4"/>
      <c r="DK1462" s="4"/>
      <c r="DL1462" s="4"/>
      <c r="DM1462" s="4"/>
      <c r="DN1462" s="4"/>
      <c r="DO1462" s="4"/>
      <c r="DP1462" s="4"/>
      <c r="DQ1462" s="4"/>
      <c r="DR1462" s="4"/>
      <c r="DS1462" s="4"/>
    </row>
    <row r="1463">
      <c r="A1463" s="9">
        <f>IFERROR(__xludf.DUMMYFUNCTION("""COMPUTED_VALUE"""),45888.0)</f>
        <v>45888</v>
      </c>
      <c r="B1463" s="6" t="str">
        <f>IFERROR(__xludf.DUMMYFUNCTION("""COMPUTED_VALUE"""),"Lunch Out")</f>
        <v>Lunch Out</v>
      </c>
      <c r="C1463" s="7">
        <f>IFERROR(__xludf.DUMMYFUNCTION("""COMPUTED_VALUE"""),5000.0)</f>
        <v>5000</v>
      </c>
      <c r="D1463" s="6" t="str">
        <f>IFERROR(__xludf.DUMMYFUNCTION("""COMPUTED_VALUE"""),"Lunch Out")</f>
        <v>Lunch Out</v>
      </c>
      <c r="E1463" s="6" t="str">
        <f>IFERROR(__xludf.DUMMYFUNCTION("""COMPUTED_VALUE"""),"Virtual Wallet")</f>
        <v>Virtual Wallet</v>
      </c>
      <c r="F1463" s="6" t="s">
        <v>14</v>
      </c>
      <c r="G1463" s="8" t="str">
        <f t="shared" si="1"/>
        <v>202508</v>
      </c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  <c r="AA1463" s="4"/>
      <c r="AB1463" s="4"/>
      <c r="AC1463" s="4"/>
      <c r="AD1463" s="4"/>
      <c r="AE1463" s="4"/>
      <c r="AF1463" s="4"/>
      <c r="AG1463" s="4"/>
      <c r="AH1463" s="4"/>
      <c r="AI1463" s="4"/>
      <c r="AJ1463" s="4"/>
      <c r="AK1463" s="4"/>
      <c r="AL1463" s="4"/>
      <c r="AM1463" s="4"/>
      <c r="AN1463" s="4"/>
      <c r="AO1463" s="4"/>
      <c r="AP1463" s="4"/>
      <c r="AQ1463" s="4"/>
      <c r="AR1463" s="4"/>
      <c r="AS1463" s="4"/>
      <c r="AT1463" s="4"/>
      <c r="AU1463" s="4"/>
      <c r="AV1463" s="4"/>
      <c r="AW1463" s="4"/>
      <c r="AX1463" s="4"/>
      <c r="AY1463" s="4"/>
      <c r="AZ1463" s="4"/>
      <c r="BA1463" s="4"/>
      <c r="BB1463" s="4"/>
      <c r="BC1463" s="4"/>
      <c r="BD1463" s="4"/>
      <c r="BE1463" s="4"/>
      <c r="BF1463" s="4"/>
      <c r="BG1463" s="4"/>
      <c r="BH1463" s="4"/>
      <c r="BI1463" s="4"/>
      <c r="BJ1463" s="4"/>
      <c r="BK1463" s="4"/>
      <c r="BL1463" s="4"/>
      <c r="BM1463" s="4"/>
      <c r="BN1463" s="4"/>
      <c r="BO1463" s="4"/>
      <c r="BP1463" s="4"/>
      <c r="BQ1463" s="4"/>
      <c r="BR1463" s="4"/>
      <c r="BS1463" s="4"/>
      <c r="BT1463" s="4"/>
      <c r="BU1463" s="4"/>
      <c r="BV1463" s="4"/>
      <c r="BW1463" s="4"/>
      <c r="BX1463" s="4"/>
      <c r="BY1463" s="4"/>
      <c r="BZ1463" s="4"/>
      <c r="CA1463" s="4"/>
      <c r="CB1463" s="4"/>
      <c r="CC1463" s="4"/>
      <c r="CD1463" s="4"/>
      <c r="CE1463" s="4"/>
      <c r="CF1463" s="4"/>
      <c r="CG1463" s="4"/>
      <c r="CH1463" s="4"/>
      <c r="CI1463" s="4"/>
      <c r="CJ1463" s="4"/>
      <c r="CK1463" s="4"/>
      <c r="CL1463" s="4"/>
      <c r="CM1463" s="4"/>
      <c r="CN1463" s="4"/>
      <c r="CO1463" s="4"/>
      <c r="CP1463" s="4"/>
      <c r="CQ1463" s="4"/>
      <c r="CR1463" s="4"/>
      <c r="CS1463" s="4"/>
      <c r="CT1463" s="4"/>
      <c r="CU1463" s="4"/>
      <c r="CV1463" s="4"/>
      <c r="CW1463" s="4"/>
      <c r="CX1463" s="4"/>
      <c r="CY1463" s="4"/>
      <c r="CZ1463" s="4"/>
      <c r="DA1463" s="4"/>
      <c r="DB1463" s="4"/>
      <c r="DC1463" s="4"/>
      <c r="DD1463" s="4"/>
      <c r="DE1463" s="4"/>
      <c r="DF1463" s="4"/>
      <c r="DG1463" s="4"/>
      <c r="DH1463" s="4"/>
      <c r="DI1463" s="4"/>
      <c r="DJ1463" s="4"/>
      <c r="DK1463" s="4"/>
      <c r="DL1463" s="4"/>
      <c r="DM1463" s="4"/>
      <c r="DN1463" s="4"/>
      <c r="DO1463" s="4"/>
      <c r="DP1463" s="4"/>
      <c r="DQ1463" s="4"/>
      <c r="DR1463" s="4"/>
      <c r="DS1463" s="4"/>
    </row>
    <row r="1464">
      <c r="A1464" s="9">
        <f>IFERROR(__xludf.DUMMYFUNCTION("""COMPUTED_VALUE"""),45888.0)</f>
        <v>45888</v>
      </c>
      <c r="B1464" s="6" t="str">
        <f>IFERROR(__xludf.DUMMYFUNCTION("""COMPUTED_VALUE"""),"Pets")</f>
        <v>Pets</v>
      </c>
      <c r="C1464" s="7">
        <f>IFERROR(__xludf.DUMMYFUNCTION("""COMPUTED_VALUE"""),15000.0)</f>
        <v>15000</v>
      </c>
      <c r="D1464" s="6" t="str">
        <f>IFERROR(__xludf.DUMMYFUNCTION("""COMPUTED_VALUE"""),"Pets")</f>
        <v>Pets</v>
      </c>
      <c r="E1464" s="6" t="str">
        <f>IFERROR(__xludf.DUMMYFUNCTION("""COMPUTED_VALUE"""),"Virtual Wallet")</f>
        <v>Virtual Wallet</v>
      </c>
      <c r="F1464" s="6" t="s">
        <v>7</v>
      </c>
      <c r="G1464" s="8" t="str">
        <f t="shared" si="1"/>
        <v>202508</v>
      </c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  <c r="AA1464" s="4"/>
      <c r="AB1464" s="4"/>
      <c r="AC1464" s="4"/>
      <c r="AD1464" s="4"/>
      <c r="AE1464" s="4"/>
      <c r="AF1464" s="4"/>
      <c r="AG1464" s="4"/>
      <c r="AH1464" s="4"/>
      <c r="AI1464" s="4"/>
      <c r="AJ1464" s="4"/>
      <c r="AK1464" s="4"/>
      <c r="AL1464" s="4"/>
      <c r="AM1464" s="4"/>
      <c r="AN1464" s="4"/>
      <c r="AO1464" s="4"/>
      <c r="AP1464" s="4"/>
      <c r="AQ1464" s="4"/>
      <c r="AR1464" s="4"/>
      <c r="AS1464" s="4"/>
      <c r="AT1464" s="4"/>
      <c r="AU1464" s="4"/>
      <c r="AV1464" s="4"/>
      <c r="AW1464" s="4"/>
      <c r="AX1464" s="4"/>
      <c r="AY1464" s="4"/>
      <c r="AZ1464" s="4"/>
      <c r="BA1464" s="4"/>
      <c r="BB1464" s="4"/>
      <c r="BC1464" s="4"/>
      <c r="BD1464" s="4"/>
      <c r="BE1464" s="4"/>
      <c r="BF1464" s="4"/>
      <c r="BG1464" s="4"/>
      <c r="BH1464" s="4"/>
      <c r="BI1464" s="4"/>
      <c r="BJ1464" s="4"/>
      <c r="BK1464" s="4"/>
      <c r="BL1464" s="4"/>
      <c r="BM1464" s="4"/>
      <c r="BN1464" s="4"/>
      <c r="BO1464" s="4"/>
      <c r="BP1464" s="4"/>
      <c r="BQ1464" s="4"/>
      <c r="BR1464" s="4"/>
      <c r="BS1464" s="4"/>
      <c r="BT1464" s="4"/>
      <c r="BU1464" s="4"/>
      <c r="BV1464" s="4"/>
      <c r="BW1464" s="4"/>
      <c r="BX1464" s="4"/>
      <c r="BY1464" s="4"/>
      <c r="BZ1464" s="4"/>
      <c r="CA1464" s="4"/>
      <c r="CB1464" s="4"/>
      <c r="CC1464" s="4"/>
      <c r="CD1464" s="4"/>
      <c r="CE1464" s="4"/>
      <c r="CF1464" s="4"/>
      <c r="CG1464" s="4"/>
      <c r="CH1464" s="4"/>
      <c r="CI1464" s="4"/>
      <c r="CJ1464" s="4"/>
      <c r="CK1464" s="4"/>
      <c r="CL1464" s="4"/>
      <c r="CM1464" s="4"/>
      <c r="CN1464" s="4"/>
      <c r="CO1464" s="4"/>
      <c r="CP1464" s="4"/>
      <c r="CQ1464" s="4"/>
      <c r="CR1464" s="4"/>
      <c r="CS1464" s="4"/>
      <c r="CT1464" s="4"/>
      <c r="CU1464" s="4"/>
      <c r="CV1464" s="4"/>
      <c r="CW1464" s="4"/>
      <c r="CX1464" s="4"/>
      <c r="CY1464" s="4"/>
      <c r="CZ1464" s="4"/>
      <c r="DA1464" s="4"/>
      <c r="DB1464" s="4"/>
      <c r="DC1464" s="4"/>
      <c r="DD1464" s="4"/>
      <c r="DE1464" s="4"/>
      <c r="DF1464" s="4"/>
      <c r="DG1464" s="4"/>
      <c r="DH1464" s="4"/>
      <c r="DI1464" s="4"/>
      <c r="DJ1464" s="4"/>
      <c r="DK1464" s="4"/>
      <c r="DL1464" s="4"/>
      <c r="DM1464" s="4"/>
      <c r="DN1464" s="4"/>
      <c r="DO1464" s="4"/>
      <c r="DP1464" s="4"/>
      <c r="DQ1464" s="4"/>
      <c r="DR1464" s="4"/>
      <c r="DS1464" s="4"/>
    </row>
    <row r="1465">
      <c r="A1465" s="9">
        <f>IFERROR(__xludf.DUMMYFUNCTION("""COMPUTED_VALUE"""),45889.0)</f>
        <v>45889</v>
      </c>
      <c r="B1465" s="6" t="str">
        <f>IFERROR(__xludf.DUMMYFUNCTION("""COMPUTED_VALUE"""),"Pharmacy")</f>
        <v>Pharmacy</v>
      </c>
      <c r="C1465" s="7">
        <f>IFERROR(__xludf.DUMMYFUNCTION("""COMPUTED_VALUE"""),3500.0)</f>
        <v>3500</v>
      </c>
      <c r="D1465" s="6" t="str">
        <f>IFERROR(__xludf.DUMMYFUNCTION("""COMPUTED_VALUE"""),"Healthcare")</f>
        <v>Healthcare</v>
      </c>
      <c r="E1465" s="6" t="str">
        <f>IFERROR(__xludf.DUMMYFUNCTION("""COMPUTED_VALUE"""),"Split Payment")</f>
        <v>Split Payment</v>
      </c>
      <c r="F1465" s="6" t="s">
        <v>15</v>
      </c>
      <c r="G1465" s="8" t="str">
        <f t="shared" si="1"/>
        <v>202508</v>
      </c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  <c r="AA1465" s="4"/>
      <c r="AB1465" s="4"/>
      <c r="AC1465" s="4"/>
      <c r="AD1465" s="4"/>
      <c r="AE1465" s="4"/>
      <c r="AF1465" s="4"/>
      <c r="AG1465" s="4"/>
      <c r="AH1465" s="4"/>
      <c r="AI1465" s="4"/>
      <c r="AJ1465" s="4"/>
      <c r="AK1465" s="4"/>
      <c r="AL1465" s="4"/>
      <c r="AM1465" s="4"/>
      <c r="AN1465" s="4"/>
      <c r="AO1465" s="4"/>
      <c r="AP1465" s="4"/>
      <c r="AQ1465" s="4"/>
      <c r="AR1465" s="4"/>
      <c r="AS1465" s="4"/>
      <c r="AT1465" s="4"/>
      <c r="AU1465" s="4"/>
      <c r="AV1465" s="4"/>
      <c r="AW1465" s="4"/>
      <c r="AX1465" s="4"/>
      <c r="AY1465" s="4"/>
      <c r="AZ1465" s="4"/>
      <c r="BA1465" s="4"/>
      <c r="BB1465" s="4"/>
      <c r="BC1465" s="4"/>
      <c r="BD1465" s="4"/>
      <c r="BE1465" s="4"/>
      <c r="BF1465" s="4"/>
      <c r="BG1465" s="4"/>
      <c r="BH1465" s="4"/>
      <c r="BI1465" s="4"/>
      <c r="BJ1465" s="4"/>
      <c r="BK1465" s="4"/>
      <c r="BL1465" s="4"/>
      <c r="BM1465" s="4"/>
      <c r="BN1465" s="4"/>
      <c r="BO1465" s="4"/>
      <c r="BP1465" s="4"/>
      <c r="BQ1465" s="4"/>
      <c r="BR1465" s="4"/>
      <c r="BS1465" s="4"/>
      <c r="BT1465" s="4"/>
      <c r="BU1465" s="4"/>
      <c r="BV1465" s="4"/>
      <c r="BW1465" s="4"/>
      <c r="BX1465" s="4"/>
      <c r="BY1465" s="4"/>
      <c r="BZ1465" s="4"/>
      <c r="CA1465" s="4"/>
      <c r="CB1465" s="4"/>
      <c r="CC1465" s="4"/>
      <c r="CD1465" s="4"/>
      <c r="CE1465" s="4"/>
      <c r="CF1465" s="4"/>
      <c r="CG1465" s="4"/>
      <c r="CH1465" s="4"/>
      <c r="CI1465" s="4"/>
      <c r="CJ1465" s="4"/>
      <c r="CK1465" s="4"/>
      <c r="CL1465" s="4"/>
      <c r="CM1465" s="4"/>
      <c r="CN1465" s="4"/>
      <c r="CO1465" s="4"/>
      <c r="CP1465" s="4"/>
      <c r="CQ1465" s="4"/>
      <c r="CR1465" s="4"/>
      <c r="CS1465" s="4"/>
      <c r="CT1465" s="4"/>
      <c r="CU1465" s="4"/>
      <c r="CV1465" s="4"/>
      <c r="CW1465" s="4"/>
      <c r="CX1465" s="4"/>
      <c r="CY1465" s="4"/>
      <c r="CZ1465" s="4"/>
      <c r="DA1465" s="4"/>
      <c r="DB1465" s="4"/>
      <c r="DC1465" s="4"/>
      <c r="DD1465" s="4"/>
      <c r="DE1465" s="4"/>
      <c r="DF1465" s="4"/>
      <c r="DG1465" s="4"/>
      <c r="DH1465" s="4"/>
      <c r="DI1465" s="4"/>
      <c r="DJ1465" s="4"/>
      <c r="DK1465" s="4"/>
      <c r="DL1465" s="4"/>
      <c r="DM1465" s="4"/>
      <c r="DN1465" s="4"/>
      <c r="DO1465" s="4"/>
      <c r="DP1465" s="4"/>
      <c r="DQ1465" s="4"/>
      <c r="DR1465" s="4"/>
      <c r="DS1465" s="4"/>
    </row>
    <row r="1466">
      <c r="A1466" s="9">
        <f>IFERROR(__xludf.DUMMYFUNCTION("""COMPUTED_VALUE"""),45889.0)</f>
        <v>45889</v>
      </c>
      <c r="B1466" s="6" t="str">
        <f>IFERROR(__xludf.DUMMYFUNCTION("""COMPUTED_VALUE"""),"Groceries")</f>
        <v>Groceries</v>
      </c>
      <c r="C1466" s="7">
        <f>IFERROR(__xludf.DUMMYFUNCTION("""COMPUTED_VALUE"""),1250.0)</f>
        <v>1250</v>
      </c>
      <c r="D1466" s="6" t="str">
        <f>IFERROR(__xludf.DUMMYFUNCTION("""COMPUTED_VALUE"""),"Groceries")</f>
        <v>Groceries</v>
      </c>
      <c r="E1466" s="6" t="str">
        <f>IFERROR(__xludf.DUMMYFUNCTION("""COMPUTED_VALUE"""),"Split Payment")</f>
        <v>Split Payment</v>
      </c>
      <c r="F1466" s="6" t="s">
        <v>7</v>
      </c>
      <c r="G1466" s="8" t="str">
        <f t="shared" si="1"/>
        <v>202508</v>
      </c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  <c r="AA1466" s="4"/>
      <c r="AB1466" s="4"/>
      <c r="AC1466" s="4"/>
      <c r="AD1466" s="4"/>
      <c r="AE1466" s="4"/>
      <c r="AF1466" s="4"/>
      <c r="AG1466" s="4"/>
      <c r="AH1466" s="4"/>
      <c r="AI1466" s="4"/>
      <c r="AJ1466" s="4"/>
      <c r="AK1466" s="4"/>
      <c r="AL1466" s="4"/>
      <c r="AM1466" s="4"/>
      <c r="AN1466" s="4"/>
      <c r="AO1466" s="4"/>
      <c r="AP1466" s="4"/>
      <c r="AQ1466" s="4"/>
      <c r="AR1466" s="4"/>
      <c r="AS1466" s="4"/>
      <c r="AT1466" s="4"/>
      <c r="AU1466" s="4"/>
      <c r="AV1466" s="4"/>
      <c r="AW1466" s="4"/>
      <c r="AX1466" s="4"/>
      <c r="AY1466" s="4"/>
      <c r="AZ1466" s="4"/>
      <c r="BA1466" s="4"/>
      <c r="BB1466" s="4"/>
      <c r="BC1466" s="4"/>
      <c r="BD1466" s="4"/>
      <c r="BE1466" s="4"/>
      <c r="BF1466" s="4"/>
      <c r="BG1466" s="4"/>
      <c r="BH1466" s="4"/>
      <c r="BI1466" s="4"/>
      <c r="BJ1466" s="4"/>
      <c r="BK1466" s="4"/>
      <c r="BL1466" s="4"/>
      <c r="BM1466" s="4"/>
      <c r="BN1466" s="4"/>
      <c r="BO1466" s="4"/>
      <c r="BP1466" s="4"/>
      <c r="BQ1466" s="4"/>
      <c r="BR1466" s="4"/>
      <c r="BS1466" s="4"/>
      <c r="BT1466" s="4"/>
      <c r="BU1466" s="4"/>
      <c r="BV1466" s="4"/>
      <c r="BW1466" s="4"/>
      <c r="BX1466" s="4"/>
      <c r="BY1466" s="4"/>
      <c r="BZ1466" s="4"/>
      <c r="CA1466" s="4"/>
      <c r="CB1466" s="4"/>
      <c r="CC1466" s="4"/>
      <c r="CD1466" s="4"/>
      <c r="CE1466" s="4"/>
      <c r="CF1466" s="4"/>
      <c r="CG1466" s="4"/>
      <c r="CH1466" s="4"/>
      <c r="CI1466" s="4"/>
      <c r="CJ1466" s="4"/>
      <c r="CK1466" s="4"/>
      <c r="CL1466" s="4"/>
      <c r="CM1466" s="4"/>
      <c r="CN1466" s="4"/>
      <c r="CO1466" s="4"/>
      <c r="CP1466" s="4"/>
      <c r="CQ1466" s="4"/>
      <c r="CR1466" s="4"/>
      <c r="CS1466" s="4"/>
      <c r="CT1466" s="4"/>
      <c r="CU1466" s="4"/>
      <c r="CV1466" s="4"/>
      <c r="CW1466" s="4"/>
      <c r="CX1466" s="4"/>
      <c r="CY1466" s="4"/>
      <c r="CZ1466" s="4"/>
      <c r="DA1466" s="4"/>
      <c r="DB1466" s="4"/>
      <c r="DC1466" s="4"/>
      <c r="DD1466" s="4"/>
      <c r="DE1466" s="4"/>
      <c r="DF1466" s="4"/>
      <c r="DG1466" s="4"/>
      <c r="DH1466" s="4"/>
      <c r="DI1466" s="4"/>
      <c r="DJ1466" s="4"/>
      <c r="DK1466" s="4"/>
      <c r="DL1466" s="4"/>
      <c r="DM1466" s="4"/>
      <c r="DN1466" s="4"/>
      <c r="DO1466" s="4"/>
      <c r="DP1466" s="4"/>
      <c r="DQ1466" s="4"/>
      <c r="DR1466" s="4"/>
      <c r="DS1466" s="4"/>
    </row>
    <row r="1467">
      <c r="A1467" s="9">
        <f>IFERROR(__xludf.DUMMYFUNCTION("""COMPUTED_VALUE"""),45890.0)</f>
        <v>45890</v>
      </c>
      <c r="B1467" s="6" t="str">
        <f>IFERROR(__xludf.DUMMYFUNCTION("""COMPUTED_VALUE"""),"Gift")</f>
        <v>Gift</v>
      </c>
      <c r="C1467" s="7">
        <f>IFERROR(__xludf.DUMMYFUNCTION("""COMPUTED_VALUE"""),30501.0)</f>
        <v>30501</v>
      </c>
      <c r="D1467" s="6" t="str">
        <f>IFERROR(__xludf.DUMMYFUNCTION("""COMPUTED_VALUE"""),"Gifts")</f>
        <v>Gifts</v>
      </c>
      <c r="E1467" s="6" t="str">
        <f>IFERROR(__xludf.DUMMYFUNCTION("""COMPUTED_VALUE"""),"Virtual Wallet")</f>
        <v>Virtual Wallet</v>
      </c>
      <c r="F1467" s="6"/>
      <c r="G1467" s="8" t="str">
        <f t="shared" si="1"/>
        <v>202508</v>
      </c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  <c r="AA1467" s="4"/>
      <c r="AB1467" s="4"/>
      <c r="AC1467" s="4"/>
      <c r="AD1467" s="4"/>
      <c r="AE1467" s="4"/>
      <c r="AF1467" s="4"/>
      <c r="AG1467" s="4"/>
      <c r="AH1467" s="4"/>
      <c r="AI1467" s="4"/>
      <c r="AJ1467" s="4"/>
      <c r="AK1467" s="4"/>
      <c r="AL1467" s="4"/>
      <c r="AM1467" s="4"/>
      <c r="AN1467" s="4"/>
      <c r="AO1467" s="4"/>
      <c r="AP1467" s="4"/>
      <c r="AQ1467" s="4"/>
      <c r="AR1467" s="4"/>
      <c r="AS1467" s="4"/>
      <c r="AT1467" s="4"/>
      <c r="AU1467" s="4"/>
      <c r="AV1467" s="4"/>
      <c r="AW1467" s="4"/>
      <c r="AX1467" s="4"/>
      <c r="AY1467" s="4"/>
      <c r="AZ1467" s="4"/>
      <c r="BA1467" s="4"/>
      <c r="BB1467" s="4"/>
      <c r="BC1467" s="4"/>
      <c r="BD1467" s="4"/>
      <c r="BE1467" s="4"/>
      <c r="BF1467" s="4"/>
      <c r="BG1467" s="4"/>
      <c r="BH1467" s="4"/>
      <c r="BI1467" s="4"/>
      <c r="BJ1467" s="4"/>
      <c r="BK1467" s="4"/>
      <c r="BL1467" s="4"/>
      <c r="BM1467" s="4"/>
      <c r="BN1467" s="4"/>
      <c r="BO1467" s="4"/>
      <c r="BP1467" s="4"/>
      <c r="BQ1467" s="4"/>
      <c r="BR1467" s="4"/>
      <c r="BS1467" s="4"/>
      <c r="BT1467" s="4"/>
      <c r="BU1467" s="4"/>
      <c r="BV1467" s="4"/>
      <c r="BW1467" s="4"/>
      <c r="BX1467" s="4"/>
      <c r="BY1467" s="4"/>
      <c r="BZ1467" s="4"/>
      <c r="CA1467" s="4"/>
      <c r="CB1467" s="4"/>
      <c r="CC1467" s="4"/>
      <c r="CD1467" s="4"/>
      <c r="CE1467" s="4"/>
      <c r="CF1467" s="4"/>
      <c r="CG1467" s="4"/>
      <c r="CH1467" s="4"/>
      <c r="CI1467" s="4"/>
      <c r="CJ1467" s="4"/>
      <c r="CK1467" s="4"/>
      <c r="CL1467" s="4"/>
      <c r="CM1467" s="4"/>
      <c r="CN1467" s="4"/>
      <c r="CO1467" s="4"/>
      <c r="CP1467" s="4"/>
      <c r="CQ1467" s="4"/>
      <c r="CR1467" s="4"/>
      <c r="CS1467" s="4"/>
      <c r="CT1467" s="4"/>
      <c r="CU1467" s="4"/>
      <c r="CV1467" s="4"/>
      <c r="CW1467" s="4"/>
      <c r="CX1467" s="4"/>
      <c r="CY1467" s="4"/>
      <c r="CZ1467" s="4"/>
      <c r="DA1467" s="4"/>
      <c r="DB1467" s="4"/>
      <c r="DC1467" s="4"/>
      <c r="DD1467" s="4"/>
      <c r="DE1467" s="4"/>
      <c r="DF1467" s="4"/>
      <c r="DG1467" s="4"/>
      <c r="DH1467" s="4"/>
      <c r="DI1467" s="4"/>
      <c r="DJ1467" s="4"/>
      <c r="DK1467" s="4"/>
      <c r="DL1467" s="4"/>
      <c r="DM1467" s="4"/>
      <c r="DN1467" s="4"/>
      <c r="DO1467" s="4"/>
      <c r="DP1467" s="4"/>
      <c r="DQ1467" s="4"/>
      <c r="DR1467" s="4"/>
      <c r="DS1467" s="4"/>
    </row>
    <row r="1468">
      <c r="A1468" s="9">
        <f>IFERROR(__xludf.DUMMYFUNCTION("""COMPUTED_VALUE"""),45890.0)</f>
        <v>45890</v>
      </c>
      <c r="B1468" s="6" t="str">
        <f>IFERROR(__xludf.DUMMYFUNCTION("""COMPUTED_VALUE"""),"Cab/Uber")</f>
        <v>Cab/Uber</v>
      </c>
      <c r="C1468" s="7">
        <f>IFERROR(__xludf.DUMMYFUNCTION("""COMPUTED_VALUE"""),2300.0)</f>
        <v>2300</v>
      </c>
      <c r="D1468" s="6" t="str">
        <f>IFERROR(__xludf.DUMMYFUNCTION("""COMPUTED_VALUE"""),"Transportation")</f>
        <v>Transportation</v>
      </c>
      <c r="E1468" s="6" t="str">
        <f>IFERROR(__xludf.DUMMYFUNCTION("""COMPUTED_VALUE"""),"Virtual Wallet")</f>
        <v>Virtual Wallet</v>
      </c>
      <c r="F1468" s="6" t="s">
        <v>9</v>
      </c>
      <c r="G1468" s="8" t="str">
        <f t="shared" si="1"/>
        <v>202508</v>
      </c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  <c r="AA1468" s="4"/>
      <c r="AB1468" s="4"/>
      <c r="AC1468" s="4"/>
      <c r="AD1468" s="4"/>
      <c r="AE1468" s="4"/>
      <c r="AF1468" s="4"/>
      <c r="AG1468" s="4"/>
      <c r="AH1468" s="4"/>
      <c r="AI1468" s="4"/>
      <c r="AJ1468" s="4"/>
      <c r="AK1468" s="4"/>
      <c r="AL1468" s="4"/>
      <c r="AM1468" s="4"/>
      <c r="AN1468" s="4"/>
      <c r="AO1468" s="4"/>
      <c r="AP1468" s="4"/>
      <c r="AQ1468" s="4"/>
      <c r="AR1468" s="4"/>
      <c r="AS1468" s="4"/>
      <c r="AT1468" s="4"/>
      <c r="AU1468" s="4"/>
      <c r="AV1468" s="4"/>
      <c r="AW1468" s="4"/>
      <c r="AX1468" s="4"/>
      <c r="AY1468" s="4"/>
      <c r="AZ1468" s="4"/>
      <c r="BA1468" s="4"/>
      <c r="BB1468" s="4"/>
      <c r="BC1468" s="4"/>
      <c r="BD1468" s="4"/>
      <c r="BE1468" s="4"/>
      <c r="BF1468" s="4"/>
      <c r="BG1468" s="4"/>
      <c r="BH1468" s="4"/>
      <c r="BI1468" s="4"/>
      <c r="BJ1468" s="4"/>
      <c r="BK1468" s="4"/>
      <c r="BL1468" s="4"/>
      <c r="BM1468" s="4"/>
      <c r="BN1468" s="4"/>
      <c r="BO1468" s="4"/>
      <c r="BP1468" s="4"/>
      <c r="BQ1468" s="4"/>
      <c r="BR1468" s="4"/>
      <c r="BS1468" s="4"/>
      <c r="BT1468" s="4"/>
      <c r="BU1468" s="4"/>
      <c r="BV1468" s="4"/>
      <c r="BW1468" s="4"/>
      <c r="BX1468" s="4"/>
      <c r="BY1468" s="4"/>
      <c r="BZ1468" s="4"/>
      <c r="CA1468" s="4"/>
      <c r="CB1468" s="4"/>
      <c r="CC1468" s="4"/>
      <c r="CD1468" s="4"/>
      <c r="CE1468" s="4"/>
      <c r="CF1468" s="4"/>
      <c r="CG1468" s="4"/>
      <c r="CH1468" s="4"/>
      <c r="CI1468" s="4"/>
      <c r="CJ1468" s="4"/>
      <c r="CK1468" s="4"/>
      <c r="CL1468" s="4"/>
      <c r="CM1468" s="4"/>
      <c r="CN1468" s="4"/>
      <c r="CO1468" s="4"/>
      <c r="CP1468" s="4"/>
      <c r="CQ1468" s="4"/>
      <c r="CR1468" s="4"/>
      <c r="CS1468" s="4"/>
      <c r="CT1468" s="4"/>
      <c r="CU1468" s="4"/>
      <c r="CV1468" s="4"/>
      <c r="CW1468" s="4"/>
      <c r="CX1468" s="4"/>
      <c r="CY1468" s="4"/>
      <c r="CZ1468" s="4"/>
      <c r="DA1468" s="4"/>
      <c r="DB1468" s="4"/>
      <c r="DC1468" s="4"/>
      <c r="DD1468" s="4"/>
      <c r="DE1468" s="4"/>
      <c r="DF1468" s="4"/>
      <c r="DG1468" s="4"/>
      <c r="DH1468" s="4"/>
      <c r="DI1468" s="4"/>
      <c r="DJ1468" s="4"/>
      <c r="DK1468" s="4"/>
      <c r="DL1468" s="4"/>
      <c r="DM1468" s="4"/>
      <c r="DN1468" s="4"/>
      <c r="DO1468" s="4"/>
      <c r="DP1468" s="4"/>
      <c r="DQ1468" s="4"/>
      <c r="DR1468" s="4"/>
      <c r="DS1468" s="4"/>
    </row>
    <row r="1469">
      <c r="A1469" s="9">
        <f>IFERROR(__xludf.DUMMYFUNCTION("""COMPUTED_VALUE"""),45891.0)</f>
        <v>45891</v>
      </c>
      <c r="B1469" s="6" t="str">
        <f>IFERROR(__xludf.DUMMYFUNCTION("""COMPUTED_VALUE"""),"Restaurant")</f>
        <v>Restaurant</v>
      </c>
      <c r="C1469" s="7">
        <f>IFERROR(__xludf.DUMMYFUNCTION("""COMPUTED_VALUE"""),10800.0)</f>
        <v>10800</v>
      </c>
      <c r="D1469" s="6" t="str">
        <f>IFERROR(__xludf.DUMMYFUNCTION("""COMPUTED_VALUE"""),"Restaurant / Café")</f>
        <v>Restaurant / Café</v>
      </c>
      <c r="E1469" s="6" t="str">
        <f>IFERROR(__xludf.DUMMYFUNCTION("""COMPUTED_VALUE"""),"Virtual Wallet")</f>
        <v>Virtual Wallet</v>
      </c>
      <c r="F1469" s="6" t="s">
        <v>14</v>
      </c>
      <c r="G1469" s="8" t="str">
        <f t="shared" si="1"/>
        <v>202508</v>
      </c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  <c r="AA1469" s="4"/>
      <c r="AB1469" s="4"/>
      <c r="AC1469" s="4"/>
      <c r="AD1469" s="4"/>
      <c r="AE1469" s="4"/>
      <c r="AF1469" s="4"/>
      <c r="AG1469" s="4"/>
      <c r="AH1469" s="4"/>
      <c r="AI1469" s="4"/>
      <c r="AJ1469" s="4"/>
      <c r="AK1469" s="4"/>
      <c r="AL1469" s="4"/>
      <c r="AM1469" s="4"/>
      <c r="AN1469" s="4"/>
      <c r="AO1469" s="4"/>
      <c r="AP1469" s="4"/>
      <c r="AQ1469" s="4"/>
      <c r="AR1469" s="4"/>
      <c r="AS1469" s="4"/>
      <c r="AT1469" s="4"/>
      <c r="AU1469" s="4"/>
      <c r="AV1469" s="4"/>
      <c r="AW1469" s="4"/>
      <c r="AX1469" s="4"/>
      <c r="AY1469" s="4"/>
      <c r="AZ1469" s="4"/>
      <c r="BA1469" s="4"/>
      <c r="BB1469" s="4"/>
      <c r="BC1469" s="4"/>
      <c r="BD1469" s="4"/>
      <c r="BE1469" s="4"/>
      <c r="BF1469" s="4"/>
      <c r="BG1469" s="4"/>
      <c r="BH1469" s="4"/>
      <c r="BI1469" s="4"/>
      <c r="BJ1469" s="4"/>
      <c r="BK1469" s="4"/>
      <c r="BL1469" s="4"/>
      <c r="BM1469" s="4"/>
      <c r="BN1469" s="4"/>
      <c r="BO1469" s="4"/>
      <c r="BP1469" s="4"/>
      <c r="BQ1469" s="4"/>
      <c r="BR1469" s="4"/>
      <c r="BS1469" s="4"/>
      <c r="BT1469" s="4"/>
      <c r="BU1469" s="4"/>
      <c r="BV1469" s="4"/>
      <c r="BW1469" s="4"/>
      <c r="BX1469" s="4"/>
      <c r="BY1469" s="4"/>
      <c r="BZ1469" s="4"/>
      <c r="CA1469" s="4"/>
      <c r="CB1469" s="4"/>
      <c r="CC1469" s="4"/>
      <c r="CD1469" s="4"/>
      <c r="CE1469" s="4"/>
      <c r="CF1469" s="4"/>
      <c r="CG1469" s="4"/>
      <c r="CH1469" s="4"/>
      <c r="CI1469" s="4"/>
      <c r="CJ1469" s="4"/>
      <c r="CK1469" s="4"/>
      <c r="CL1469" s="4"/>
      <c r="CM1469" s="4"/>
      <c r="CN1469" s="4"/>
      <c r="CO1469" s="4"/>
      <c r="CP1469" s="4"/>
      <c r="CQ1469" s="4"/>
      <c r="CR1469" s="4"/>
      <c r="CS1469" s="4"/>
      <c r="CT1469" s="4"/>
      <c r="CU1469" s="4"/>
      <c r="CV1469" s="4"/>
      <c r="CW1469" s="4"/>
      <c r="CX1469" s="4"/>
      <c r="CY1469" s="4"/>
      <c r="CZ1469" s="4"/>
      <c r="DA1469" s="4"/>
      <c r="DB1469" s="4"/>
      <c r="DC1469" s="4"/>
      <c r="DD1469" s="4"/>
      <c r="DE1469" s="4"/>
      <c r="DF1469" s="4"/>
      <c r="DG1469" s="4"/>
      <c r="DH1469" s="4"/>
      <c r="DI1469" s="4"/>
      <c r="DJ1469" s="4"/>
      <c r="DK1469" s="4"/>
      <c r="DL1469" s="4"/>
      <c r="DM1469" s="4"/>
      <c r="DN1469" s="4"/>
      <c r="DO1469" s="4"/>
      <c r="DP1469" s="4"/>
      <c r="DQ1469" s="4"/>
      <c r="DR1469" s="4"/>
      <c r="DS1469" s="4"/>
    </row>
    <row r="1470">
      <c r="A1470" s="9">
        <f>IFERROR(__xludf.DUMMYFUNCTION("""COMPUTED_VALUE"""),45891.0)</f>
        <v>45891</v>
      </c>
      <c r="B1470" s="6" t="str">
        <f>IFERROR(__xludf.DUMMYFUNCTION("""COMPUTED_VALUE"""),"Doctor Visit")</f>
        <v>Doctor Visit</v>
      </c>
      <c r="C1470" s="7">
        <f>IFERROR(__xludf.DUMMYFUNCTION("""COMPUTED_VALUE"""),14000.0)</f>
        <v>14000</v>
      </c>
      <c r="D1470" s="6" t="str">
        <f>IFERROR(__xludf.DUMMYFUNCTION("""COMPUTED_VALUE"""),"Healthcare")</f>
        <v>Healthcare</v>
      </c>
      <c r="E1470" s="6" t="str">
        <f>IFERROR(__xludf.DUMMYFUNCTION("""COMPUTED_VALUE"""),"Virtual Wallet")</f>
        <v>Virtual Wallet</v>
      </c>
      <c r="F1470" s="6" t="s">
        <v>15</v>
      </c>
      <c r="G1470" s="8" t="str">
        <f t="shared" si="1"/>
        <v>202508</v>
      </c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  <c r="AA1470" s="4"/>
      <c r="AB1470" s="4"/>
      <c r="AC1470" s="4"/>
      <c r="AD1470" s="4"/>
      <c r="AE1470" s="4"/>
      <c r="AF1470" s="4"/>
      <c r="AG1470" s="4"/>
      <c r="AH1470" s="4"/>
      <c r="AI1470" s="4"/>
      <c r="AJ1470" s="4"/>
      <c r="AK1470" s="4"/>
      <c r="AL1470" s="4"/>
      <c r="AM1470" s="4"/>
      <c r="AN1470" s="4"/>
      <c r="AO1470" s="4"/>
      <c r="AP1470" s="4"/>
      <c r="AQ1470" s="4"/>
      <c r="AR1470" s="4"/>
      <c r="AS1470" s="4"/>
      <c r="AT1470" s="4"/>
      <c r="AU1470" s="4"/>
      <c r="AV1470" s="4"/>
      <c r="AW1470" s="4"/>
      <c r="AX1470" s="4"/>
      <c r="AY1470" s="4"/>
      <c r="AZ1470" s="4"/>
      <c r="BA1470" s="4"/>
      <c r="BB1470" s="4"/>
      <c r="BC1470" s="4"/>
      <c r="BD1470" s="4"/>
      <c r="BE1470" s="4"/>
      <c r="BF1470" s="4"/>
      <c r="BG1470" s="4"/>
      <c r="BH1470" s="4"/>
      <c r="BI1470" s="4"/>
      <c r="BJ1470" s="4"/>
      <c r="BK1470" s="4"/>
      <c r="BL1470" s="4"/>
      <c r="BM1470" s="4"/>
      <c r="BN1470" s="4"/>
      <c r="BO1470" s="4"/>
      <c r="BP1470" s="4"/>
      <c r="BQ1470" s="4"/>
      <c r="BR1470" s="4"/>
      <c r="BS1470" s="4"/>
      <c r="BT1470" s="4"/>
      <c r="BU1470" s="4"/>
      <c r="BV1470" s="4"/>
      <c r="BW1470" s="4"/>
      <c r="BX1470" s="4"/>
      <c r="BY1470" s="4"/>
      <c r="BZ1470" s="4"/>
      <c r="CA1470" s="4"/>
      <c r="CB1470" s="4"/>
      <c r="CC1470" s="4"/>
      <c r="CD1470" s="4"/>
      <c r="CE1470" s="4"/>
      <c r="CF1470" s="4"/>
      <c r="CG1470" s="4"/>
      <c r="CH1470" s="4"/>
      <c r="CI1470" s="4"/>
      <c r="CJ1470" s="4"/>
      <c r="CK1470" s="4"/>
      <c r="CL1470" s="4"/>
      <c r="CM1470" s="4"/>
      <c r="CN1470" s="4"/>
      <c r="CO1470" s="4"/>
      <c r="CP1470" s="4"/>
      <c r="CQ1470" s="4"/>
      <c r="CR1470" s="4"/>
      <c r="CS1470" s="4"/>
      <c r="CT1470" s="4"/>
      <c r="CU1470" s="4"/>
      <c r="CV1470" s="4"/>
      <c r="CW1470" s="4"/>
      <c r="CX1470" s="4"/>
      <c r="CY1470" s="4"/>
      <c r="CZ1470" s="4"/>
      <c r="DA1470" s="4"/>
      <c r="DB1470" s="4"/>
      <c r="DC1470" s="4"/>
      <c r="DD1470" s="4"/>
      <c r="DE1470" s="4"/>
      <c r="DF1470" s="4"/>
      <c r="DG1470" s="4"/>
      <c r="DH1470" s="4"/>
      <c r="DI1470" s="4"/>
      <c r="DJ1470" s="4"/>
      <c r="DK1470" s="4"/>
      <c r="DL1470" s="4"/>
      <c r="DM1470" s="4"/>
      <c r="DN1470" s="4"/>
      <c r="DO1470" s="4"/>
      <c r="DP1470" s="4"/>
      <c r="DQ1470" s="4"/>
      <c r="DR1470" s="4"/>
      <c r="DS1470" s="4"/>
    </row>
    <row r="1471">
      <c r="A1471" s="9">
        <f>IFERROR(__xludf.DUMMYFUNCTION("""COMPUTED_VALUE"""),45891.0)</f>
        <v>45891</v>
      </c>
      <c r="B1471" s="6" t="str">
        <f>IFERROR(__xludf.DUMMYFUNCTION("""COMPUTED_VALUE"""),"Groceries")</f>
        <v>Groceries</v>
      </c>
      <c r="C1471" s="7">
        <f>IFERROR(__xludf.DUMMYFUNCTION("""COMPUTED_VALUE"""),60347.0)</f>
        <v>60347</v>
      </c>
      <c r="D1471" s="6" t="str">
        <f>IFERROR(__xludf.DUMMYFUNCTION("""COMPUTED_VALUE"""),"Groceries")</f>
        <v>Groceries</v>
      </c>
      <c r="E1471" s="6" t="str">
        <f>IFERROR(__xludf.DUMMYFUNCTION("""COMPUTED_VALUE"""),"Split Payment")</f>
        <v>Split Payment</v>
      </c>
      <c r="F1471" s="6" t="s">
        <v>7</v>
      </c>
      <c r="G1471" s="8" t="str">
        <f t="shared" si="1"/>
        <v>202508</v>
      </c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  <c r="AA1471" s="4"/>
      <c r="AB1471" s="4"/>
      <c r="AC1471" s="4"/>
      <c r="AD1471" s="4"/>
      <c r="AE1471" s="4"/>
      <c r="AF1471" s="4"/>
      <c r="AG1471" s="4"/>
      <c r="AH1471" s="4"/>
      <c r="AI1471" s="4"/>
      <c r="AJ1471" s="4"/>
      <c r="AK1471" s="4"/>
      <c r="AL1471" s="4"/>
      <c r="AM1471" s="4"/>
      <c r="AN1471" s="4"/>
      <c r="AO1471" s="4"/>
      <c r="AP1471" s="4"/>
      <c r="AQ1471" s="4"/>
      <c r="AR1471" s="4"/>
      <c r="AS1471" s="4"/>
      <c r="AT1471" s="4"/>
      <c r="AU1471" s="4"/>
      <c r="AV1471" s="4"/>
      <c r="AW1471" s="4"/>
      <c r="AX1471" s="4"/>
      <c r="AY1471" s="4"/>
      <c r="AZ1471" s="4"/>
      <c r="BA1471" s="4"/>
      <c r="BB1471" s="4"/>
      <c r="BC1471" s="4"/>
      <c r="BD1471" s="4"/>
      <c r="BE1471" s="4"/>
      <c r="BF1471" s="4"/>
      <c r="BG1471" s="4"/>
      <c r="BH1471" s="4"/>
      <c r="BI1471" s="4"/>
      <c r="BJ1471" s="4"/>
      <c r="BK1471" s="4"/>
      <c r="BL1471" s="4"/>
      <c r="BM1471" s="4"/>
      <c r="BN1471" s="4"/>
      <c r="BO1471" s="4"/>
      <c r="BP1471" s="4"/>
      <c r="BQ1471" s="4"/>
      <c r="BR1471" s="4"/>
      <c r="BS1471" s="4"/>
      <c r="BT1471" s="4"/>
      <c r="BU1471" s="4"/>
      <c r="BV1471" s="4"/>
      <c r="BW1471" s="4"/>
      <c r="BX1471" s="4"/>
      <c r="BY1471" s="4"/>
      <c r="BZ1471" s="4"/>
      <c r="CA1471" s="4"/>
      <c r="CB1471" s="4"/>
      <c r="CC1471" s="4"/>
      <c r="CD1471" s="4"/>
      <c r="CE1471" s="4"/>
      <c r="CF1471" s="4"/>
      <c r="CG1471" s="4"/>
      <c r="CH1471" s="4"/>
      <c r="CI1471" s="4"/>
      <c r="CJ1471" s="4"/>
      <c r="CK1471" s="4"/>
      <c r="CL1471" s="4"/>
      <c r="CM1471" s="4"/>
      <c r="CN1471" s="4"/>
      <c r="CO1471" s="4"/>
      <c r="CP1471" s="4"/>
      <c r="CQ1471" s="4"/>
      <c r="CR1471" s="4"/>
      <c r="CS1471" s="4"/>
      <c r="CT1471" s="4"/>
      <c r="CU1471" s="4"/>
      <c r="CV1471" s="4"/>
      <c r="CW1471" s="4"/>
      <c r="CX1471" s="4"/>
      <c r="CY1471" s="4"/>
      <c r="CZ1471" s="4"/>
      <c r="DA1471" s="4"/>
      <c r="DB1471" s="4"/>
      <c r="DC1471" s="4"/>
      <c r="DD1471" s="4"/>
      <c r="DE1471" s="4"/>
      <c r="DF1471" s="4"/>
      <c r="DG1471" s="4"/>
      <c r="DH1471" s="4"/>
      <c r="DI1471" s="4"/>
      <c r="DJ1471" s="4"/>
      <c r="DK1471" s="4"/>
      <c r="DL1471" s="4"/>
      <c r="DM1471" s="4"/>
      <c r="DN1471" s="4"/>
      <c r="DO1471" s="4"/>
      <c r="DP1471" s="4"/>
      <c r="DQ1471" s="4"/>
      <c r="DR1471" s="4"/>
      <c r="DS1471" s="4"/>
    </row>
    <row r="1472">
      <c r="A1472" s="9">
        <f>IFERROR(__xludf.DUMMYFUNCTION("""COMPUTED_VALUE"""),45891.0)</f>
        <v>45891</v>
      </c>
      <c r="B1472" s="6" t="str">
        <f>IFERROR(__xludf.DUMMYFUNCTION("""COMPUTED_VALUE"""),"Gift")</f>
        <v>Gift</v>
      </c>
      <c r="C1472" s="7">
        <f>IFERROR(__xludf.DUMMYFUNCTION("""COMPUTED_VALUE"""),24900.0)</f>
        <v>24900</v>
      </c>
      <c r="D1472" s="6" t="str">
        <f>IFERROR(__xludf.DUMMYFUNCTION("""COMPUTED_VALUE"""),"Gifts")</f>
        <v>Gifts</v>
      </c>
      <c r="E1472" s="6" t="str">
        <f>IFERROR(__xludf.DUMMYFUNCTION("""COMPUTED_VALUE"""),"Debit Card")</f>
        <v>Debit Card</v>
      </c>
      <c r="F1472" s="6"/>
      <c r="G1472" s="8" t="str">
        <f t="shared" si="1"/>
        <v>202508</v>
      </c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  <c r="AA1472" s="4"/>
      <c r="AB1472" s="4"/>
      <c r="AC1472" s="4"/>
      <c r="AD1472" s="4"/>
      <c r="AE1472" s="4"/>
      <c r="AF1472" s="4"/>
      <c r="AG1472" s="4"/>
      <c r="AH1472" s="4"/>
      <c r="AI1472" s="4"/>
      <c r="AJ1472" s="4"/>
      <c r="AK1472" s="4"/>
      <c r="AL1472" s="4"/>
      <c r="AM1472" s="4"/>
      <c r="AN1472" s="4"/>
      <c r="AO1472" s="4"/>
      <c r="AP1472" s="4"/>
      <c r="AQ1472" s="4"/>
      <c r="AR1472" s="4"/>
      <c r="AS1472" s="4"/>
      <c r="AT1472" s="4"/>
      <c r="AU1472" s="4"/>
      <c r="AV1472" s="4"/>
      <c r="AW1472" s="4"/>
      <c r="AX1472" s="4"/>
      <c r="AY1472" s="4"/>
      <c r="AZ1472" s="4"/>
      <c r="BA1472" s="4"/>
      <c r="BB1472" s="4"/>
      <c r="BC1472" s="4"/>
      <c r="BD1472" s="4"/>
      <c r="BE1472" s="4"/>
      <c r="BF1472" s="4"/>
      <c r="BG1472" s="4"/>
      <c r="BH1472" s="4"/>
      <c r="BI1472" s="4"/>
      <c r="BJ1472" s="4"/>
      <c r="BK1472" s="4"/>
      <c r="BL1472" s="4"/>
      <c r="BM1472" s="4"/>
      <c r="BN1472" s="4"/>
      <c r="BO1472" s="4"/>
      <c r="BP1472" s="4"/>
      <c r="BQ1472" s="4"/>
      <c r="BR1472" s="4"/>
      <c r="BS1472" s="4"/>
      <c r="BT1472" s="4"/>
      <c r="BU1472" s="4"/>
      <c r="BV1472" s="4"/>
      <c r="BW1472" s="4"/>
      <c r="BX1472" s="4"/>
      <c r="BY1472" s="4"/>
      <c r="BZ1472" s="4"/>
      <c r="CA1472" s="4"/>
      <c r="CB1472" s="4"/>
      <c r="CC1472" s="4"/>
      <c r="CD1472" s="4"/>
      <c r="CE1472" s="4"/>
      <c r="CF1472" s="4"/>
      <c r="CG1472" s="4"/>
      <c r="CH1472" s="4"/>
      <c r="CI1472" s="4"/>
      <c r="CJ1472" s="4"/>
      <c r="CK1472" s="4"/>
      <c r="CL1472" s="4"/>
      <c r="CM1472" s="4"/>
      <c r="CN1472" s="4"/>
      <c r="CO1472" s="4"/>
      <c r="CP1472" s="4"/>
      <c r="CQ1472" s="4"/>
      <c r="CR1472" s="4"/>
      <c r="CS1472" s="4"/>
      <c r="CT1472" s="4"/>
      <c r="CU1472" s="4"/>
      <c r="CV1472" s="4"/>
      <c r="CW1472" s="4"/>
      <c r="CX1472" s="4"/>
      <c r="CY1472" s="4"/>
      <c r="CZ1472" s="4"/>
      <c r="DA1472" s="4"/>
      <c r="DB1472" s="4"/>
      <c r="DC1472" s="4"/>
      <c r="DD1472" s="4"/>
      <c r="DE1472" s="4"/>
      <c r="DF1472" s="4"/>
      <c r="DG1472" s="4"/>
      <c r="DH1472" s="4"/>
      <c r="DI1472" s="4"/>
      <c r="DJ1472" s="4"/>
      <c r="DK1472" s="4"/>
      <c r="DL1472" s="4"/>
      <c r="DM1472" s="4"/>
      <c r="DN1472" s="4"/>
      <c r="DO1472" s="4"/>
      <c r="DP1472" s="4"/>
      <c r="DQ1472" s="4"/>
      <c r="DR1472" s="4"/>
      <c r="DS1472" s="4"/>
    </row>
    <row r="1473">
      <c r="A1473" s="9">
        <f>IFERROR(__xludf.DUMMYFUNCTION("""COMPUTED_VALUE"""),45891.0)</f>
        <v>45891</v>
      </c>
      <c r="B1473" s="6" t="str">
        <f>IFERROR(__xludf.DUMMYFUNCTION("""COMPUTED_VALUE"""),"Gift")</f>
        <v>Gift</v>
      </c>
      <c r="C1473" s="7">
        <f>IFERROR(__xludf.DUMMYFUNCTION("""COMPUTED_VALUE"""),25000.0)</f>
        <v>25000</v>
      </c>
      <c r="D1473" s="6" t="str">
        <f>IFERROR(__xludf.DUMMYFUNCTION("""COMPUTED_VALUE"""),"Gifts")</f>
        <v>Gifts</v>
      </c>
      <c r="E1473" s="6" t="str">
        <f>IFERROR(__xludf.DUMMYFUNCTION("""COMPUTED_VALUE"""),"Virtual Wallet")</f>
        <v>Virtual Wallet</v>
      </c>
      <c r="F1473" s="6"/>
      <c r="G1473" s="8" t="str">
        <f t="shared" si="1"/>
        <v>202508</v>
      </c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  <c r="AA1473" s="4"/>
      <c r="AB1473" s="4"/>
      <c r="AC1473" s="4"/>
      <c r="AD1473" s="4"/>
      <c r="AE1473" s="4"/>
      <c r="AF1473" s="4"/>
      <c r="AG1473" s="4"/>
      <c r="AH1473" s="4"/>
      <c r="AI1473" s="4"/>
      <c r="AJ1473" s="4"/>
      <c r="AK1473" s="4"/>
      <c r="AL1473" s="4"/>
      <c r="AM1473" s="4"/>
      <c r="AN1473" s="4"/>
      <c r="AO1473" s="4"/>
      <c r="AP1473" s="4"/>
      <c r="AQ1473" s="4"/>
      <c r="AR1473" s="4"/>
      <c r="AS1473" s="4"/>
      <c r="AT1473" s="4"/>
      <c r="AU1473" s="4"/>
      <c r="AV1473" s="4"/>
      <c r="AW1473" s="4"/>
      <c r="AX1473" s="4"/>
      <c r="AY1473" s="4"/>
      <c r="AZ1473" s="4"/>
      <c r="BA1473" s="4"/>
      <c r="BB1473" s="4"/>
      <c r="BC1473" s="4"/>
      <c r="BD1473" s="4"/>
      <c r="BE1473" s="4"/>
      <c r="BF1473" s="4"/>
      <c r="BG1473" s="4"/>
      <c r="BH1473" s="4"/>
      <c r="BI1473" s="4"/>
      <c r="BJ1473" s="4"/>
      <c r="BK1473" s="4"/>
      <c r="BL1473" s="4"/>
      <c r="BM1473" s="4"/>
      <c r="BN1473" s="4"/>
      <c r="BO1473" s="4"/>
      <c r="BP1473" s="4"/>
      <c r="BQ1473" s="4"/>
      <c r="BR1473" s="4"/>
      <c r="BS1473" s="4"/>
      <c r="BT1473" s="4"/>
      <c r="BU1473" s="4"/>
      <c r="BV1473" s="4"/>
      <c r="BW1473" s="4"/>
      <c r="BX1473" s="4"/>
      <c r="BY1473" s="4"/>
      <c r="BZ1473" s="4"/>
      <c r="CA1473" s="4"/>
      <c r="CB1473" s="4"/>
      <c r="CC1473" s="4"/>
      <c r="CD1473" s="4"/>
      <c r="CE1473" s="4"/>
      <c r="CF1473" s="4"/>
      <c r="CG1473" s="4"/>
      <c r="CH1473" s="4"/>
      <c r="CI1473" s="4"/>
      <c r="CJ1473" s="4"/>
      <c r="CK1473" s="4"/>
      <c r="CL1473" s="4"/>
      <c r="CM1473" s="4"/>
      <c r="CN1473" s="4"/>
      <c r="CO1473" s="4"/>
      <c r="CP1473" s="4"/>
      <c r="CQ1473" s="4"/>
      <c r="CR1473" s="4"/>
      <c r="CS1473" s="4"/>
      <c r="CT1473" s="4"/>
      <c r="CU1473" s="4"/>
      <c r="CV1473" s="4"/>
      <c r="CW1473" s="4"/>
      <c r="CX1473" s="4"/>
      <c r="CY1473" s="4"/>
      <c r="CZ1473" s="4"/>
      <c r="DA1473" s="4"/>
      <c r="DB1473" s="4"/>
      <c r="DC1473" s="4"/>
      <c r="DD1473" s="4"/>
      <c r="DE1473" s="4"/>
      <c r="DF1473" s="4"/>
      <c r="DG1473" s="4"/>
      <c r="DH1473" s="4"/>
      <c r="DI1473" s="4"/>
      <c r="DJ1473" s="4"/>
      <c r="DK1473" s="4"/>
      <c r="DL1473" s="4"/>
      <c r="DM1473" s="4"/>
      <c r="DN1473" s="4"/>
      <c r="DO1473" s="4"/>
      <c r="DP1473" s="4"/>
      <c r="DQ1473" s="4"/>
      <c r="DR1473" s="4"/>
      <c r="DS1473" s="4"/>
    </row>
    <row r="1474">
      <c r="A1474" s="9">
        <f>IFERROR(__xludf.DUMMYFUNCTION("""COMPUTED_VALUE"""),45892.0)</f>
        <v>45892</v>
      </c>
      <c r="B1474" s="6" t="str">
        <f>IFERROR(__xludf.DUMMYFUNCTION("""COMPUTED_VALUE"""),"Restaurant")</f>
        <v>Restaurant</v>
      </c>
      <c r="C1474" s="7">
        <f>IFERROR(__xludf.DUMMYFUNCTION("""COMPUTED_VALUE"""),1950.0)</f>
        <v>1950</v>
      </c>
      <c r="D1474" s="6" t="str">
        <f>IFERROR(__xludf.DUMMYFUNCTION("""COMPUTED_VALUE"""),"Restaurant / Café")</f>
        <v>Restaurant / Café</v>
      </c>
      <c r="E1474" s="6" t="str">
        <f>IFERROR(__xludf.DUMMYFUNCTION("""COMPUTED_VALUE"""),"Virtual Wallet")</f>
        <v>Virtual Wallet</v>
      </c>
      <c r="F1474" s="6" t="s">
        <v>14</v>
      </c>
      <c r="G1474" s="8" t="str">
        <f t="shared" si="1"/>
        <v>202508</v>
      </c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  <c r="AA1474" s="4"/>
      <c r="AB1474" s="4"/>
      <c r="AC1474" s="4"/>
      <c r="AD1474" s="4"/>
      <c r="AE1474" s="4"/>
      <c r="AF1474" s="4"/>
      <c r="AG1474" s="4"/>
      <c r="AH1474" s="4"/>
      <c r="AI1474" s="4"/>
      <c r="AJ1474" s="4"/>
      <c r="AK1474" s="4"/>
      <c r="AL1474" s="4"/>
      <c r="AM1474" s="4"/>
      <c r="AN1474" s="4"/>
      <c r="AO1474" s="4"/>
      <c r="AP1474" s="4"/>
      <c r="AQ1474" s="4"/>
      <c r="AR1474" s="4"/>
      <c r="AS1474" s="4"/>
      <c r="AT1474" s="4"/>
      <c r="AU1474" s="4"/>
      <c r="AV1474" s="4"/>
      <c r="AW1474" s="4"/>
      <c r="AX1474" s="4"/>
      <c r="AY1474" s="4"/>
      <c r="AZ1474" s="4"/>
      <c r="BA1474" s="4"/>
      <c r="BB1474" s="4"/>
      <c r="BC1474" s="4"/>
      <c r="BD1474" s="4"/>
      <c r="BE1474" s="4"/>
      <c r="BF1474" s="4"/>
      <c r="BG1474" s="4"/>
      <c r="BH1474" s="4"/>
      <c r="BI1474" s="4"/>
      <c r="BJ1474" s="4"/>
      <c r="BK1474" s="4"/>
      <c r="BL1474" s="4"/>
      <c r="BM1474" s="4"/>
      <c r="BN1474" s="4"/>
      <c r="BO1474" s="4"/>
      <c r="BP1474" s="4"/>
      <c r="BQ1474" s="4"/>
      <c r="BR1474" s="4"/>
      <c r="BS1474" s="4"/>
      <c r="BT1474" s="4"/>
      <c r="BU1474" s="4"/>
      <c r="BV1474" s="4"/>
      <c r="BW1474" s="4"/>
      <c r="BX1474" s="4"/>
      <c r="BY1474" s="4"/>
      <c r="BZ1474" s="4"/>
      <c r="CA1474" s="4"/>
      <c r="CB1474" s="4"/>
      <c r="CC1474" s="4"/>
      <c r="CD1474" s="4"/>
      <c r="CE1474" s="4"/>
      <c r="CF1474" s="4"/>
      <c r="CG1474" s="4"/>
      <c r="CH1474" s="4"/>
      <c r="CI1474" s="4"/>
      <c r="CJ1474" s="4"/>
      <c r="CK1474" s="4"/>
      <c r="CL1474" s="4"/>
      <c r="CM1474" s="4"/>
      <c r="CN1474" s="4"/>
      <c r="CO1474" s="4"/>
      <c r="CP1474" s="4"/>
      <c r="CQ1474" s="4"/>
      <c r="CR1474" s="4"/>
      <c r="CS1474" s="4"/>
      <c r="CT1474" s="4"/>
      <c r="CU1474" s="4"/>
      <c r="CV1474" s="4"/>
      <c r="CW1474" s="4"/>
      <c r="CX1474" s="4"/>
      <c r="CY1474" s="4"/>
      <c r="CZ1474" s="4"/>
      <c r="DA1474" s="4"/>
      <c r="DB1474" s="4"/>
      <c r="DC1474" s="4"/>
      <c r="DD1474" s="4"/>
      <c r="DE1474" s="4"/>
      <c r="DF1474" s="4"/>
      <c r="DG1474" s="4"/>
      <c r="DH1474" s="4"/>
      <c r="DI1474" s="4"/>
      <c r="DJ1474" s="4"/>
      <c r="DK1474" s="4"/>
      <c r="DL1474" s="4"/>
      <c r="DM1474" s="4"/>
      <c r="DN1474" s="4"/>
      <c r="DO1474" s="4"/>
      <c r="DP1474" s="4"/>
      <c r="DQ1474" s="4"/>
      <c r="DR1474" s="4"/>
      <c r="DS1474" s="4"/>
    </row>
    <row r="1475">
      <c r="A1475" s="9">
        <f>IFERROR(__xludf.DUMMYFUNCTION("""COMPUTED_VALUE"""),45892.0)</f>
        <v>45892</v>
      </c>
      <c r="B1475" s="6" t="str">
        <f>IFERROR(__xludf.DUMMYFUNCTION("""COMPUTED_VALUE"""),"Appliances")</f>
        <v>Appliances</v>
      </c>
      <c r="C1475" s="7">
        <f>IFERROR(__xludf.DUMMYFUNCTION("""COMPUTED_VALUE"""),13889.0)</f>
        <v>13889</v>
      </c>
      <c r="D1475" s="6" t="str">
        <f>IFERROR(__xludf.DUMMYFUNCTION("""COMPUTED_VALUE"""),"Home Goods &amp; Utilities")</f>
        <v>Home Goods &amp; Utilities</v>
      </c>
      <c r="E1475" s="6" t="str">
        <f>IFERROR(__xludf.DUMMYFUNCTION("""COMPUTED_VALUE"""),"Credit Card")</f>
        <v>Credit Card</v>
      </c>
      <c r="F1475" s="6" t="s">
        <v>8</v>
      </c>
      <c r="G1475" s="8" t="str">
        <f t="shared" si="1"/>
        <v>202508</v>
      </c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  <c r="AA1475" s="4"/>
      <c r="AB1475" s="4"/>
      <c r="AC1475" s="4"/>
      <c r="AD1475" s="4"/>
      <c r="AE1475" s="4"/>
      <c r="AF1475" s="4"/>
      <c r="AG1475" s="4"/>
      <c r="AH1475" s="4"/>
      <c r="AI1475" s="4"/>
      <c r="AJ1475" s="4"/>
      <c r="AK1475" s="4"/>
      <c r="AL1475" s="4"/>
      <c r="AM1475" s="4"/>
      <c r="AN1475" s="4"/>
      <c r="AO1475" s="4"/>
      <c r="AP1475" s="4"/>
      <c r="AQ1475" s="4"/>
      <c r="AR1475" s="4"/>
      <c r="AS1475" s="4"/>
      <c r="AT1475" s="4"/>
      <c r="AU1475" s="4"/>
      <c r="AV1475" s="4"/>
      <c r="AW1475" s="4"/>
      <c r="AX1475" s="4"/>
      <c r="AY1475" s="4"/>
      <c r="AZ1475" s="4"/>
      <c r="BA1475" s="4"/>
      <c r="BB1475" s="4"/>
      <c r="BC1475" s="4"/>
      <c r="BD1475" s="4"/>
      <c r="BE1475" s="4"/>
      <c r="BF1475" s="4"/>
      <c r="BG1475" s="4"/>
      <c r="BH1475" s="4"/>
      <c r="BI1475" s="4"/>
      <c r="BJ1475" s="4"/>
      <c r="BK1475" s="4"/>
      <c r="BL1475" s="4"/>
      <c r="BM1475" s="4"/>
      <c r="BN1475" s="4"/>
      <c r="BO1475" s="4"/>
      <c r="BP1475" s="4"/>
      <c r="BQ1475" s="4"/>
      <c r="BR1475" s="4"/>
      <c r="BS1475" s="4"/>
      <c r="BT1475" s="4"/>
      <c r="BU1475" s="4"/>
      <c r="BV1475" s="4"/>
      <c r="BW1475" s="4"/>
      <c r="BX1475" s="4"/>
      <c r="BY1475" s="4"/>
      <c r="BZ1475" s="4"/>
      <c r="CA1475" s="4"/>
      <c r="CB1475" s="4"/>
      <c r="CC1475" s="4"/>
      <c r="CD1475" s="4"/>
      <c r="CE1475" s="4"/>
      <c r="CF1475" s="4"/>
      <c r="CG1475" s="4"/>
      <c r="CH1475" s="4"/>
      <c r="CI1475" s="4"/>
      <c r="CJ1475" s="4"/>
      <c r="CK1475" s="4"/>
      <c r="CL1475" s="4"/>
      <c r="CM1475" s="4"/>
      <c r="CN1475" s="4"/>
      <c r="CO1475" s="4"/>
      <c r="CP1475" s="4"/>
      <c r="CQ1475" s="4"/>
      <c r="CR1475" s="4"/>
      <c r="CS1475" s="4"/>
      <c r="CT1475" s="4"/>
      <c r="CU1475" s="4"/>
      <c r="CV1475" s="4"/>
      <c r="CW1475" s="4"/>
      <c r="CX1475" s="4"/>
      <c r="CY1475" s="4"/>
      <c r="CZ1475" s="4"/>
      <c r="DA1475" s="4"/>
      <c r="DB1475" s="4"/>
      <c r="DC1475" s="4"/>
      <c r="DD1475" s="4"/>
      <c r="DE1475" s="4"/>
      <c r="DF1475" s="4"/>
      <c r="DG1475" s="4"/>
      <c r="DH1475" s="4"/>
      <c r="DI1475" s="4"/>
      <c r="DJ1475" s="4"/>
      <c r="DK1475" s="4"/>
      <c r="DL1475" s="4"/>
      <c r="DM1475" s="4"/>
      <c r="DN1475" s="4"/>
      <c r="DO1475" s="4"/>
      <c r="DP1475" s="4"/>
      <c r="DQ1475" s="4"/>
      <c r="DR1475" s="4"/>
      <c r="DS1475" s="4"/>
    </row>
    <row r="1476">
      <c r="A1476" s="9">
        <f>IFERROR(__xludf.DUMMYFUNCTION("""COMPUTED_VALUE"""),45893.0)</f>
        <v>45893</v>
      </c>
      <c r="B1476" s="6" t="str">
        <f>IFERROR(__xludf.DUMMYFUNCTION("""COMPUTED_VALUE"""),"Restaurant")</f>
        <v>Restaurant</v>
      </c>
      <c r="C1476" s="7">
        <f>IFERROR(__xludf.DUMMYFUNCTION("""COMPUTED_VALUE"""),2800.0)</f>
        <v>2800</v>
      </c>
      <c r="D1476" s="6" t="str">
        <f>IFERROR(__xludf.DUMMYFUNCTION("""COMPUTED_VALUE"""),"Restaurant / Café")</f>
        <v>Restaurant / Café</v>
      </c>
      <c r="E1476" s="6" t="str">
        <f>IFERROR(__xludf.DUMMYFUNCTION("""COMPUTED_VALUE"""),"Virtual Wallet")</f>
        <v>Virtual Wallet</v>
      </c>
      <c r="F1476" s="6" t="s">
        <v>14</v>
      </c>
      <c r="G1476" s="8" t="str">
        <f t="shared" si="1"/>
        <v>202508</v>
      </c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  <c r="AA1476" s="4"/>
      <c r="AB1476" s="4"/>
      <c r="AC1476" s="4"/>
      <c r="AD1476" s="4"/>
      <c r="AE1476" s="4"/>
      <c r="AF1476" s="4"/>
      <c r="AG1476" s="4"/>
      <c r="AH1476" s="4"/>
      <c r="AI1476" s="4"/>
      <c r="AJ1476" s="4"/>
      <c r="AK1476" s="4"/>
      <c r="AL1476" s="4"/>
      <c r="AM1476" s="4"/>
      <c r="AN1476" s="4"/>
      <c r="AO1476" s="4"/>
      <c r="AP1476" s="4"/>
      <c r="AQ1476" s="4"/>
      <c r="AR1476" s="4"/>
      <c r="AS1476" s="4"/>
      <c r="AT1476" s="4"/>
      <c r="AU1476" s="4"/>
      <c r="AV1476" s="4"/>
      <c r="AW1476" s="4"/>
      <c r="AX1476" s="4"/>
      <c r="AY1476" s="4"/>
      <c r="AZ1476" s="4"/>
      <c r="BA1476" s="4"/>
      <c r="BB1476" s="4"/>
      <c r="BC1476" s="4"/>
      <c r="BD1476" s="4"/>
      <c r="BE1476" s="4"/>
      <c r="BF1476" s="4"/>
      <c r="BG1476" s="4"/>
      <c r="BH1476" s="4"/>
      <c r="BI1476" s="4"/>
      <c r="BJ1476" s="4"/>
      <c r="BK1476" s="4"/>
      <c r="BL1476" s="4"/>
      <c r="BM1476" s="4"/>
      <c r="BN1476" s="4"/>
      <c r="BO1476" s="4"/>
      <c r="BP1476" s="4"/>
      <c r="BQ1476" s="4"/>
      <c r="BR1476" s="4"/>
      <c r="BS1476" s="4"/>
      <c r="BT1476" s="4"/>
      <c r="BU1476" s="4"/>
      <c r="BV1476" s="4"/>
      <c r="BW1476" s="4"/>
      <c r="BX1476" s="4"/>
      <c r="BY1476" s="4"/>
      <c r="BZ1476" s="4"/>
      <c r="CA1476" s="4"/>
      <c r="CB1476" s="4"/>
      <c r="CC1476" s="4"/>
      <c r="CD1476" s="4"/>
      <c r="CE1476" s="4"/>
      <c r="CF1476" s="4"/>
      <c r="CG1476" s="4"/>
      <c r="CH1476" s="4"/>
      <c r="CI1476" s="4"/>
      <c r="CJ1476" s="4"/>
      <c r="CK1476" s="4"/>
      <c r="CL1476" s="4"/>
      <c r="CM1476" s="4"/>
      <c r="CN1476" s="4"/>
      <c r="CO1476" s="4"/>
      <c r="CP1476" s="4"/>
      <c r="CQ1476" s="4"/>
      <c r="CR1476" s="4"/>
      <c r="CS1476" s="4"/>
      <c r="CT1476" s="4"/>
      <c r="CU1476" s="4"/>
      <c r="CV1476" s="4"/>
      <c r="CW1476" s="4"/>
      <c r="CX1476" s="4"/>
      <c r="CY1476" s="4"/>
      <c r="CZ1476" s="4"/>
      <c r="DA1476" s="4"/>
      <c r="DB1476" s="4"/>
      <c r="DC1476" s="4"/>
      <c r="DD1476" s="4"/>
      <c r="DE1476" s="4"/>
      <c r="DF1476" s="4"/>
      <c r="DG1476" s="4"/>
      <c r="DH1476" s="4"/>
      <c r="DI1476" s="4"/>
      <c r="DJ1476" s="4"/>
      <c r="DK1476" s="4"/>
      <c r="DL1476" s="4"/>
      <c r="DM1476" s="4"/>
      <c r="DN1476" s="4"/>
      <c r="DO1476" s="4"/>
      <c r="DP1476" s="4"/>
      <c r="DQ1476" s="4"/>
      <c r="DR1476" s="4"/>
      <c r="DS1476" s="4"/>
    </row>
    <row r="1477">
      <c r="A1477" s="9">
        <f>IFERROR(__xludf.DUMMYFUNCTION("""COMPUTED_VALUE"""),45893.0)</f>
        <v>45893</v>
      </c>
      <c r="B1477" s="6" t="str">
        <f>IFERROR(__xludf.DUMMYFUNCTION("""COMPUTED_VALUE"""),"Streaming Services")</f>
        <v>Streaming Services</v>
      </c>
      <c r="C1477" s="7">
        <f>IFERROR(__xludf.DUMMYFUNCTION("""COMPUTED_VALUE"""),7549.0)</f>
        <v>7549</v>
      </c>
      <c r="D1477" s="6" t="str">
        <f>IFERROR(__xludf.DUMMYFUNCTION("""COMPUTED_VALUE"""),"Streaming Services")</f>
        <v>Streaming Services</v>
      </c>
      <c r="E1477" s="6" t="str">
        <f>IFERROR(__xludf.DUMMYFUNCTION("""COMPUTED_VALUE"""),"Credit Card")</f>
        <v>Credit Card</v>
      </c>
      <c r="F1477" s="6" t="s">
        <v>12</v>
      </c>
      <c r="G1477" s="8" t="str">
        <f t="shared" si="1"/>
        <v>202508</v>
      </c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  <c r="AA1477" s="4"/>
      <c r="AB1477" s="4"/>
      <c r="AC1477" s="4"/>
      <c r="AD1477" s="4"/>
      <c r="AE1477" s="4"/>
      <c r="AF1477" s="4"/>
      <c r="AG1477" s="4"/>
      <c r="AH1477" s="4"/>
      <c r="AI1477" s="4"/>
      <c r="AJ1477" s="4"/>
      <c r="AK1477" s="4"/>
      <c r="AL1477" s="4"/>
      <c r="AM1477" s="4"/>
      <c r="AN1477" s="4"/>
      <c r="AO1477" s="4"/>
      <c r="AP1477" s="4"/>
      <c r="AQ1477" s="4"/>
      <c r="AR1477" s="4"/>
      <c r="AS1477" s="4"/>
      <c r="AT1477" s="4"/>
      <c r="AU1477" s="4"/>
      <c r="AV1477" s="4"/>
      <c r="AW1477" s="4"/>
      <c r="AX1477" s="4"/>
      <c r="AY1477" s="4"/>
      <c r="AZ1477" s="4"/>
      <c r="BA1477" s="4"/>
      <c r="BB1477" s="4"/>
      <c r="BC1477" s="4"/>
      <c r="BD1477" s="4"/>
      <c r="BE1477" s="4"/>
      <c r="BF1477" s="4"/>
      <c r="BG1477" s="4"/>
      <c r="BH1477" s="4"/>
      <c r="BI1477" s="4"/>
      <c r="BJ1477" s="4"/>
      <c r="BK1477" s="4"/>
      <c r="BL1477" s="4"/>
      <c r="BM1477" s="4"/>
      <c r="BN1477" s="4"/>
      <c r="BO1477" s="4"/>
      <c r="BP1477" s="4"/>
      <c r="BQ1477" s="4"/>
      <c r="BR1477" s="4"/>
      <c r="BS1477" s="4"/>
      <c r="BT1477" s="4"/>
      <c r="BU1477" s="4"/>
      <c r="BV1477" s="4"/>
      <c r="BW1477" s="4"/>
      <c r="BX1477" s="4"/>
      <c r="BY1477" s="4"/>
      <c r="BZ1477" s="4"/>
      <c r="CA1477" s="4"/>
      <c r="CB1477" s="4"/>
      <c r="CC1477" s="4"/>
      <c r="CD1477" s="4"/>
      <c r="CE1477" s="4"/>
      <c r="CF1477" s="4"/>
      <c r="CG1477" s="4"/>
      <c r="CH1477" s="4"/>
      <c r="CI1477" s="4"/>
      <c r="CJ1477" s="4"/>
      <c r="CK1477" s="4"/>
      <c r="CL1477" s="4"/>
      <c r="CM1477" s="4"/>
      <c r="CN1477" s="4"/>
      <c r="CO1477" s="4"/>
      <c r="CP1477" s="4"/>
      <c r="CQ1477" s="4"/>
      <c r="CR1477" s="4"/>
      <c r="CS1477" s="4"/>
      <c r="CT1477" s="4"/>
      <c r="CU1477" s="4"/>
      <c r="CV1477" s="4"/>
      <c r="CW1477" s="4"/>
      <c r="CX1477" s="4"/>
      <c r="CY1477" s="4"/>
      <c r="CZ1477" s="4"/>
      <c r="DA1477" s="4"/>
      <c r="DB1477" s="4"/>
      <c r="DC1477" s="4"/>
      <c r="DD1477" s="4"/>
      <c r="DE1477" s="4"/>
      <c r="DF1477" s="4"/>
      <c r="DG1477" s="4"/>
      <c r="DH1477" s="4"/>
      <c r="DI1477" s="4"/>
      <c r="DJ1477" s="4"/>
      <c r="DK1477" s="4"/>
      <c r="DL1477" s="4"/>
      <c r="DM1477" s="4"/>
      <c r="DN1477" s="4"/>
      <c r="DO1477" s="4"/>
      <c r="DP1477" s="4"/>
      <c r="DQ1477" s="4"/>
      <c r="DR1477" s="4"/>
      <c r="DS1477" s="4"/>
    </row>
    <row r="1478">
      <c r="A1478" s="9">
        <f>IFERROR(__xludf.DUMMYFUNCTION("""COMPUTED_VALUE"""),45894.0)</f>
        <v>45894</v>
      </c>
      <c r="B1478" s="6" t="str">
        <f>IFERROR(__xludf.DUMMYFUNCTION("""COMPUTED_VALUE"""),"Streaming Services")</f>
        <v>Streaming Services</v>
      </c>
      <c r="C1478" s="7">
        <f>IFERROR(__xludf.DUMMYFUNCTION("""COMPUTED_VALUE"""),2491.0)</f>
        <v>2491</v>
      </c>
      <c r="D1478" s="6" t="str">
        <f>IFERROR(__xludf.DUMMYFUNCTION("""COMPUTED_VALUE"""),"Streaming Services")</f>
        <v>Streaming Services</v>
      </c>
      <c r="E1478" s="6" t="str">
        <f>IFERROR(__xludf.DUMMYFUNCTION("""COMPUTED_VALUE"""),"Credit Card")</f>
        <v>Credit Card</v>
      </c>
      <c r="F1478" s="6" t="s">
        <v>12</v>
      </c>
      <c r="G1478" s="8" t="str">
        <f t="shared" si="1"/>
        <v>202508</v>
      </c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  <c r="AA1478" s="4"/>
      <c r="AB1478" s="4"/>
      <c r="AC1478" s="4"/>
      <c r="AD1478" s="4"/>
      <c r="AE1478" s="4"/>
      <c r="AF1478" s="4"/>
      <c r="AG1478" s="4"/>
      <c r="AH1478" s="4"/>
      <c r="AI1478" s="4"/>
      <c r="AJ1478" s="4"/>
      <c r="AK1478" s="4"/>
      <c r="AL1478" s="4"/>
      <c r="AM1478" s="4"/>
      <c r="AN1478" s="4"/>
      <c r="AO1478" s="4"/>
      <c r="AP1478" s="4"/>
      <c r="AQ1478" s="4"/>
      <c r="AR1478" s="4"/>
      <c r="AS1478" s="4"/>
      <c r="AT1478" s="4"/>
      <c r="AU1478" s="4"/>
      <c r="AV1478" s="4"/>
      <c r="AW1478" s="4"/>
      <c r="AX1478" s="4"/>
      <c r="AY1478" s="4"/>
      <c r="AZ1478" s="4"/>
      <c r="BA1478" s="4"/>
      <c r="BB1478" s="4"/>
      <c r="BC1478" s="4"/>
      <c r="BD1478" s="4"/>
      <c r="BE1478" s="4"/>
      <c r="BF1478" s="4"/>
      <c r="BG1478" s="4"/>
      <c r="BH1478" s="4"/>
      <c r="BI1478" s="4"/>
      <c r="BJ1478" s="4"/>
      <c r="BK1478" s="4"/>
      <c r="BL1478" s="4"/>
      <c r="BM1478" s="4"/>
      <c r="BN1478" s="4"/>
      <c r="BO1478" s="4"/>
      <c r="BP1478" s="4"/>
      <c r="BQ1478" s="4"/>
      <c r="BR1478" s="4"/>
      <c r="BS1478" s="4"/>
      <c r="BT1478" s="4"/>
      <c r="BU1478" s="4"/>
      <c r="BV1478" s="4"/>
      <c r="BW1478" s="4"/>
      <c r="BX1478" s="4"/>
      <c r="BY1478" s="4"/>
      <c r="BZ1478" s="4"/>
      <c r="CA1478" s="4"/>
      <c r="CB1478" s="4"/>
      <c r="CC1478" s="4"/>
      <c r="CD1478" s="4"/>
      <c r="CE1478" s="4"/>
      <c r="CF1478" s="4"/>
      <c r="CG1478" s="4"/>
      <c r="CH1478" s="4"/>
      <c r="CI1478" s="4"/>
      <c r="CJ1478" s="4"/>
      <c r="CK1478" s="4"/>
      <c r="CL1478" s="4"/>
      <c r="CM1478" s="4"/>
      <c r="CN1478" s="4"/>
      <c r="CO1478" s="4"/>
      <c r="CP1478" s="4"/>
      <c r="CQ1478" s="4"/>
      <c r="CR1478" s="4"/>
      <c r="CS1478" s="4"/>
      <c r="CT1478" s="4"/>
      <c r="CU1478" s="4"/>
      <c r="CV1478" s="4"/>
      <c r="CW1478" s="4"/>
      <c r="CX1478" s="4"/>
      <c r="CY1478" s="4"/>
      <c r="CZ1478" s="4"/>
      <c r="DA1478" s="4"/>
      <c r="DB1478" s="4"/>
      <c r="DC1478" s="4"/>
      <c r="DD1478" s="4"/>
      <c r="DE1478" s="4"/>
      <c r="DF1478" s="4"/>
      <c r="DG1478" s="4"/>
      <c r="DH1478" s="4"/>
      <c r="DI1478" s="4"/>
      <c r="DJ1478" s="4"/>
      <c r="DK1478" s="4"/>
      <c r="DL1478" s="4"/>
      <c r="DM1478" s="4"/>
      <c r="DN1478" s="4"/>
      <c r="DO1478" s="4"/>
      <c r="DP1478" s="4"/>
      <c r="DQ1478" s="4"/>
      <c r="DR1478" s="4"/>
      <c r="DS1478" s="4"/>
    </row>
    <row r="1479">
      <c r="A1479" s="9">
        <f>IFERROR(__xludf.DUMMYFUNCTION("""COMPUTED_VALUE"""),45895.0)</f>
        <v>45895</v>
      </c>
      <c r="B1479" s="6" t="str">
        <f>IFERROR(__xludf.DUMMYFUNCTION("""COMPUTED_VALUE"""),"Internet Services")</f>
        <v>Internet Services</v>
      </c>
      <c r="C1479" s="7">
        <f>IFERROR(__xludf.DUMMYFUNCTION("""COMPUTED_VALUE"""),42103.0)</f>
        <v>42103</v>
      </c>
      <c r="D1479" s="6" t="str">
        <f>IFERROR(__xludf.DUMMYFUNCTION("""COMPUTED_VALUE"""),"Basic Services")</f>
        <v>Basic Services</v>
      </c>
      <c r="E1479" s="6" t="str">
        <f>IFERROR(__xludf.DUMMYFUNCTION("""COMPUTED_VALUE"""),"Credit Card")</f>
        <v>Credit Card</v>
      </c>
      <c r="F1479" s="6" t="s">
        <v>13</v>
      </c>
      <c r="G1479" s="8" t="str">
        <f t="shared" si="1"/>
        <v>202508</v>
      </c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  <c r="AA1479" s="4"/>
      <c r="AB1479" s="4"/>
      <c r="AC1479" s="4"/>
      <c r="AD1479" s="4"/>
      <c r="AE1479" s="4"/>
      <c r="AF1479" s="4"/>
      <c r="AG1479" s="4"/>
      <c r="AH1479" s="4"/>
      <c r="AI1479" s="4"/>
      <c r="AJ1479" s="4"/>
      <c r="AK1479" s="4"/>
      <c r="AL1479" s="4"/>
      <c r="AM1479" s="4"/>
      <c r="AN1479" s="4"/>
      <c r="AO1479" s="4"/>
      <c r="AP1479" s="4"/>
      <c r="AQ1479" s="4"/>
      <c r="AR1479" s="4"/>
      <c r="AS1479" s="4"/>
      <c r="AT1479" s="4"/>
      <c r="AU1479" s="4"/>
      <c r="AV1479" s="4"/>
      <c r="AW1479" s="4"/>
      <c r="AX1479" s="4"/>
      <c r="AY1479" s="4"/>
      <c r="AZ1479" s="4"/>
      <c r="BA1479" s="4"/>
      <c r="BB1479" s="4"/>
      <c r="BC1479" s="4"/>
      <c r="BD1479" s="4"/>
      <c r="BE1479" s="4"/>
      <c r="BF1479" s="4"/>
      <c r="BG1479" s="4"/>
      <c r="BH1479" s="4"/>
      <c r="BI1479" s="4"/>
      <c r="BJ1479" s="4"/>
      <c r="BK1479" s="4"/>
      <c r="BL1479" s="4"/>
      <c r="BM1479" s="4"/>
      <c r="BN1479" s="4"/>
      <c r="BO1479" s="4"/>
      <c r="BP1479" s="4"/>
      <c r="BQ1479" s="4"/>
      <c r="BR1479" s="4"/>
      <c r="BS1479" s="4"/>
      <c r="BT1479" s="4"/>
      <c r="BU1479" s="4"/>
      <c r="BV1479" s="4"/>
      <c r="BW1479" s="4"/>
      <c r="BX1479" s="4"/>
      <c r="BY1479" s="4"/>
      <c r="BZ1479" s="4"/>
      <c r="CA1479" s="4"/>
      <c r="CB1479" s="4"/>
      <c r="CC1479" s="4"/>
      <c r="CD1479" s="4"/>
      <c r="CE1479" s="4"/>
      <c r="CF1479" s="4"/>
      <c r="CG1479" s="4"/>
      <c r="CH1479" s="4"/>
      <c r="CI1479" s="4"/>
      <c r="CJ1479" s="4"/>
      <c r="CK1479" s="4"/>
      <c r="CL1479" s="4"/>
      <c r="CM1479" s="4"/>
      <c r="CN1479" s="4"/>
      <c r="CO1479" s="4"/>
      <c r="CP1479" s="4"/>
      <c r="CQ1479" s="4"/>
      <c r="CR1479" s="4"/>
      <c r="CS1479" s="4"/>
      <c r="CT1479" s="4"/>
      <c r="CU1479" s="4"/>
      <c r="CV1479" s="4"/>
      <c r="CW1479" s="4"/>
      <c r="CX1479" s="4"/>
      <c r="CY1479" s="4"/>
      <c r="CZ1479" s="4"/>
      <c r="DA1479" s="4"/>
      <c r="DB1479" s="4"/>
      <c r="DC1479" s="4"/>
      <c r="DD1479" s="4"/>
      <c r="DE1479" s="4"/>
      <c r="DF1479" s="4"/>
      <c r="DG1479" s="4"/>
      <c r="DH1479" s="4"/>
      <c r="DI1479" s="4"/>
      <c r="DJ1479" s="4"/>
      <c r="DK1479" s="4"/>
      <c r="DL1479" s="4"/>
      <c r="DM1479" s="4"/>
      <c r="DN1479" s="4"/>
      <c r="DO1479" s="4"/>
      <c r="DP1479" s="4"/>
      <c r="DQ1479" s="4"/>
      <c r="DR1479" s="4"/>
      <c r="DS1479" s="4"/>
    </row>
    <row r="1480">
      <c r="A1480" s="9">
        <f>IFERROR(__xludf.DUMMYFUNCTION("""COMPUTED_VALUE"""),45896.0)</f>
        <v>45896</v>
      </c>
      <c r="B1480" s="6" t="str">
        <f>IFERROR(__xludf.DUMMYFUNCTION("""COMPUTED_VALUE"""),"Gift")</f>
        <v>Gift</v>
      </c>
      <c r="C1480" s="7">
        <f>IFERROR(__xludf.DUMMYFUNCTION("""COMPUTED_VALUE"""),11667.0)</f>
        <v>11667</v>
      </c>
      <c r="D1480" s="6" t="str">
        <f>IFERROR(__xludf.DUMMYFUNCTION("""COMPUTED_VALUE"""),"Gifts")</f>
        <v>Gifts</v>
      </c>
      <c r="E1480" s="6" t="str">
        <f>IFERROR(__xludf.DUMMYFUNCTION("""COMPUTED_VALUE"""),"Credit Card")</f>
        <v>Credit Card</v>
      </c>
      <c r="F1480" s="6"/>
      <c r="G1480" s="8" t="str">
        <f t="shared" si="1"/>
        <v>202508</v>
      </c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  <c r="AA1480" s="4"/>
      <c r="AB1480" s="4"/>
      <c r="AC1480" s="4"/>
      <c r="AD1480" s="4"/>
      <c r="AE1480" s="4"/>
      <c r="AF1480" s="4"/>
      <c r="AG1480" s="4"/>
      <c r="AH1480" s="4"/>
      <c r="AI1480" s="4"/>
      <c r="AJ1480" s="4"/>
      <c r="AK1480" s="4"/>
      <c r="AL1480" s="4"/>
      <c r="AM1480" s="4"/>
      <c r="AN1480" s="4"/>
      <c r="AO1480" s="4"/>
      <c r="AP1480" s="4"/>
      <c r="AQ1480" s="4"/>
      <c r="AR1480" s="4"/>
      <c r="AS1480" s="4"/>
      <c r="AT1480" s="4"/>
      <c r="AU1480" s="4"/>
      <c r="AV1480" s="4"/>
      <c r="AW1480" s="4"/>
      <c r="AX1480" s="4"/>
      <c r="AY1480" s="4"/>
      <c r="AZ1480" s="4"/>
      <c r="BA1480" s="4"/>
      <c r="BB1480" s="4"/>
      <c r="BC1480" s="4"/>
      <c r="BD1480" s="4"/>
      <c r="BE1480" s="4"/>
      <c r="BF1480" s="4"/>
      <c r="BG1480" s="4"/>
      <c r="BH1480" s="4"/>
      <c r="BI1480" s="4"/>
      <c r="BJ1480" s="4"/>
      <c r="BK1480" s="4"/>
      <c r="BL1480" s="4"/>
      <c r="BM1480" s="4"/>
      <c r="BN1480" s="4"/>
      <c r="BO1480" s="4"/>
      <c r="BP1480" s="4"/>
      <c r="BQ1480" s="4"/>
      <c r="BR1480" s="4"/>
      <c r="BS1480" s="4"/>
      <c r="BT1480" s="4"/>
      <c r="BU1480" s="4"/>
      <c r="BV1480" s="4"/>
      <c r="BW1480" s="4"/>
      <c r="BX1480" s="4"/>
      <c r="BY1480" s="4"/>
      <c r="BZ1480" s="4"/>
      <c r="CA1480" s="4"/>
      <c r="CB1480" s="4"/>
      <c r="CC1480" s="4"/>
      <c r="CD1480" s="4"/>
      <c r="CE1480" s="4"/>
      <c r="CF1480" s="4"/>
      <c r="CG1480" s="4"/>
      <c r="CH1480" s="4"/>
      <c r="CI1480" s="4"/>
      <c r="CJ1480" s="4"/>
      <c r="CK1480" s="4"/>
      <c r="CL1480" s="4"/>
      <c r="CM1480" s="4"/>
      <c r="CN1480" s="4"/>
      <c r="CO1480" s="4"/>
      <c r="CP1480" s="4"/>
      <c r="CQ1480" s="4"/>
      <c r="CR1480" s="4"/>
      <c r="CS1480" s="4"/>
      <c r="CT1480" s="4"/>
      <c r="CU1480" s="4"/>
      <c r="CV1480" s="4"/>
      <c r="CW1480" s="4"/>
      <c r="CX1480" s="4"/>
      <c r="CY1480" s="4"/>
      <c r="CZ1480" s="4"/>
      <c r="DA1480" s="4"/>
      <c r="DB1480" s="4"/>
      <c r="DC1480" s="4"/>
      <c r="DD1480" s="4"/>
      <c r="DE1480" s="4"/>
      <c r="DF1480" s="4"/>
      <c r="DG1480" s="4"/>
      <c r="DH1480" s="4"/>
      <c r="DI1480" s="4"/>
      <c r="DJ1480" s="4"/>
      <c r="DK1480" s="4"/>
      <c r="DL1480" s="4"/>
      <c r="DM1480" s="4"/>
      <c r="DN1480" s="4"/>
      <c r="DO1480" s="4"/>
      <c r="DP1480" s="4"/>
      <c r="DQ1480" s="4"/>
      <c r="DR1480" s="4"/>
      <c r="DS1480" s="4"/>
    </row>
    <row r="1481">
      <c r="A1481" s="9">
        <f>IFERROR(__xludf.DUMMYFUNCTION("""COMPUTED_VALUE"""),45897.0)</f>
        <v>45897</v>
      </c>
      <c r="B1481" s="6" t="str">
        <f>IFERROR(__xludf.DUMMYFUNCTION("""COMPUTED_VALUE"""),"Streaming Services")</f>
        <v>Streaming Services</v>
      </c>
      <c r="C1481" s="7">
        <f>IFERROR(__xludf.DUMMYFUNCTION("""COMPUTED_VALUE"""),7497.0)</f>
        <v>7497</v>
      </c>
      <c r="D1481" s="6" t="str">
        <f>IFERROR(__xludf.DUMMYFUNCTION("""COMPUTED_VALUE"""),"Streaming Services")</f>
        <v>Streaming Services</v>
      </c>
      <c r="E1481" s="6" t="str">
        <f>IFERROR(__xludf.DUMMYFUNCTION("""COMPUTED_VALUE"""),"Credit Card")</f>
        <v>Credit Card</v>
      </c>
      <c r="F1481" s="6" t="s">
        <v>12</v>
      </c>
      <c r="G1481" s="8" t="str">
        <f t="shared" si="1"/>
        <v>202508</v>
      </c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  <c r="AA1481" s="4"/>
      <c r="AB1481" s="4"/>
      <c r="AC1481" s="4"/>
      <c r="AD1481" s="4"/>
      <c r="AE1481" s="4"/>
      <c r="AF1481" s="4"/>
      <c r="AG1481" s="4"/>
      <c r="AH1481" s="4"/>
      <c r="AI1481" s="4"/>
      <c r="AJ1481" s="4"/>
      <c r="AK1481" s="4"/>
      <c r="AL1481" s="4"/>
      <c r="AM1481" s="4"/>
      <c r="AN1481" s="4"/>
      <c r="AO1481" s="4"/>
      <c r="AP1481" s="4"/>
      <c r="AQ1481" s="4"/>
      <c r="AR1481" s="4"/>
      <c r="AS1481" s="4"/>
      <c r="AT1481" s="4"/>
      <c r="AU1481" s="4"/>
      <c r="AV1481" s="4"/>
      <c r="AW1481" s="4"/>
      <c r="AX1481" s="4"/>
      <c r="AY1481" s="4"/>
      <c r="AZ1481" s="4"/>
      <c r="BA1481" s="4"/>
      <c r="BB1481" s="4"/>
      <c r="BC1481" s="4"/>
      <c r="BD1481" s="4"/>
      <c r="BE1481" s="4"/>
      <c r="BF1481" s="4"/>
      <c r="BG1481" s="4"/>
      <c r="BH1481" s="4"/>
      <c r="BI1481" s="4"/>
      <c r="BJ1481" s="4"/>
      <c r="BK1481" s="4"/>
      <c r="BL1481" s="4"/>
      <c r="BM1481" s="4"/>
      <c r="BN1481" s="4"/>
      <c r="BO1481" s="4"/>
      <c r="BP1481" s="4"/>
      <c r="BQ1481" s="4"/>
      <c r="BR1481" s="4"/>
      <c r="BS1481" s="4"/>
      <c r="BT1481" s="4"/>
      <c r="BU1481" s="4"/>
      <c r="BV1481" s="4"/>
      <c r="BW1481" s="4"/>
      <c r="BX1481" s="4"/>
      <c r="BY1481" s="4"/>
      <c r="BZ1481" s="4"/>
      <c r="CA1481" s="4"/>
      <c r="CB1481" s="4"/>
      <c r="CC1481" s="4"/>
      <c r="CD1481" s="4"/>
      <c r="CE1481" s="4"/>
      <c r="CF1481" s="4"/>
      <c r="CG1481" s="4"/>
      <c r="CH1481" s="4"/>
      <c r="CI1481" s="4"/>
      <c r="CJ1481" s="4"/>
      <c r="CK1481" s="4"/>
      <c r="CL1481" s="4"/>
      <c r="CM1481" s="4"/>
      <c r="CN1481" s="4"/>
      <c r="CO1481" s="4"/>
      <c r="CP1481" s="4"/>
      <c r="CQ1481" s="4"/>
      <c r="CR1481" s="4"/>
      <c r="CS1481" s="4"/>
      <c r="CT1481" s="4"/>
      <c r="CU1481" s="4"/>
      <c r="CV1481" s="4"/>
      <c r="CW1481" s="4"/>
      <c r="CX1481" s="4"/>
      <c r="CY1481" s="4"/>
      <c r="CZ1481" s="4"/>
      <c r="DA1481" s="4"/>
      <c r="DB1481" s="4"/>
      <c r="DC1481" s="4"/>
      <c r="DD1481" s="4"/>
      <c r="DE1481" s="4"/>
      <c r="DF1481" s="4"/>
      <c r="DG1481" s="4"/>
      <c r="DH1481" s="4"/>
      <c r="DI1481" s="4"/>
      <c r="DJ1481" s="4"/>
      <c r="DK1481" s="4"/>
      <c r="DL1481" s="4"/>
      <c r="DM1481" s="4"/>
      <c r="DN1481" s="4"/>
      <c r="DO1481" s="4"/>
      <c r="DP1481" s="4"/>
      <c r="DQ1481" s="4"/>
      <c r="DR1481" s="4"/>
      <c r="DS1481" s="4"/>
    </row>
    <row r="1482">
      <c r="A1482" s="9">
        <f>IFERROR(__xludf.DUMMYFUNCTION("""COMPUTED_VALUE"""),45898.0)</f>
        <v>45898</v>
      </c>
      <c r="B1482" s="6" t="str">
        <f>IFERROR(__xludf.DUMMYFUNCTION("""COMPUTED_VALUE"""),"Restaurant")</f>
        <v>Restaurant</v>
      </c>
      <c r="C1482" s="7">
        <f>IFERROR(__xludf.DUMMYFUNCTION("""COMPUTED_VALUE"""),2700.0)</f>
        <v>2700</v>
      </c>
      <c r="D1482" s="6" t="str">
        <f>IFERROR(__xludf.DUMMYFUNCTION("""COMPUTED_VALUE"""),"Restaurant / Café")</f>
        <v>Restaurant / Café</v>
      </c>
      <c r="E1482" s="6" t="str">
        <f>IFERROR(__xludf.DUMMYFUNCTION("""COMPUTED_VALUE"""),"Virtual Wallet")</f>
        <v>Virtual Wallet</v>
      </c>
      <c r="F1482" s="6" t="s">
        <v>14</v>
      </c>
      <c r="G1482" s="8" t="str">
        <f t="shared" si="1"/>
        <v>202508</v>
      </c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  <c r="AA1482" s="4"/>
      <c r="AB1482" s="4"/>
      <c r="AC1482" s="4"/>
      <c r="AD1482" s="4"/>
      <c r="AE1482" s="4"/>
      <c r="AF1482" s="4"/>
      <c r="AG1482" s="4"/>
      <c r="AH1482" s="4"/>
      <c r="AI1482" s="4"/>
      <c r="AJ1482" s="4"/>
      <c r="AK1482" s="4"/>
      <c r="AL1482" s="4"/>
      <c r="AM1482" s="4"/>
      <c r="AN1482" s="4"/>
      <c r="AO1482" s="4"/>
      <c r="AP1482" s="4"/>
      <c r="AQ1482" s="4"/>
      <c r="AR1482" s="4"/>
      <c r="AS1482" s="4"/>
      <c r="AT1482" s="4"/>
      <c r="AU1482" s="4"/>
      <c r="AV1482" s="4"/>
      <c r="AW1482" s="4"/>
      <c r="AX1482" s="4"/>
      <c r="AY1482" s="4"/>
      <c r="AZ1482" s="4"/>
      <c r="BA1482" s="4"/>
      <c r="BB1482" s="4"/>
      <c r="BC1482" s="4"/>
      <c r="BD1482" s="4"/>
      <c r="BE1482" s="4"/>
      <c r="BF1482" s="4"/>
      <c r="BG1482" s="4"/>
      <c r="BH1482" s="4"/>
      <c r="BI1482" s="4"/>
      <c r="BJ1482" s="4"/>
      <c r="BK1482" s="4"/>
      <c r="BL1482" s="4"/>
      <c r="BM1482" s="4"/>
      <c r="BN1482" s="4"/>
      <c r="BO1482" s="4"/>
      <c r="BP1482" s="4"/>
      <c r="BQ1482" s="4"/>
      <c r="BR1482" s="4"/>
      <c r="BS1482" s="4"/>
      <c r="BT1482" s="4"/>
      <c r="BU1482" s="4"/>
      <c r="BV1482" s="4"/>
      <c r="BW1482" s="4"/>
      <c r="BX1482" s="4"/>
      <c r="BY1482" s="4"/>
      <c r="BZ1482" s="4"/>
      <c r="CA1482" s="4"/>
      <c r="CB1482" s="4"/>
      <c r="CC1482" s="4"/>
      <c r="CD1482" s="4"/>
      <c r="CE1482" s="4"/>
      <c r="CF1482" s="4"/>
      <c r="CG1482" s="4"/>
      <c r="CH1482" s="4"/>
      <c r="CI1482" s="4"/>
      <c r="CJ1482" s="4"/>
      <c r="CK1482" s="4"/>
      <c r="CL1482" s="4"/>
      <c r="CM1482" s="4"/>
      <c r="CN1482" s="4"/>
      <c r="CO1482" s="4"/>
      <c r="CP1482" s="4"/>
      <c r="CQ1482" s="4"/>
      <c r="CR1482" s="4"/>
      <c r="CS1482" s="4"/>
      <c r="CT1482" s="4"/>
      <c r="CU1482" s="4"/>
      <c r="CV1482" s="4"/>
      <c r="CW1482" s="4"/>
      <c r="CX1482" s="4"/>
      <c r="CY1482" s="4"/>
      <c r="CZ1482" s="4"/>
      <c r="DA1482" s="4"/>
      <c r="DB1482" s="4"/>
      <c r="DC1482" s="4"/>
      <c r="DD1482" s="4"/>
      <c r="DE1482" s="4"/>
      <c r="DF1482" s="4"/>
      <c r="DG1482" s="4"/>
      <c r="DH1482" s="4"/>
      <c r="DI1482" s="4"/>
      <c r="DJ1482" s="4"/>
      <c r="DK1482" s="4"/>
      <c r="DL1482" s="4"/>
      <c r="DM1482" s="4"/>
      <c r="DN1482" s="4"/>
      <c r="DO1482" s="4"/>
      <c r="DP1482" s="4"/>
      <c r="DQ1482" s="4"/>
      <c r="DR1482" s="4"/>
      <c r="DS1482" s="4"/>
    </row>
    <row r="1483">
      <c r="A1483" s="9">
        <f>IFERROR(__xludf.DUMMYFUNCTION("""COMPUTED_VALUE"""),45898.0)</f>
        <v>45898</v>
      </c>
      <c r="B1483" s="6" t="str">
        <f>IFERROR(__xludf.DUMMYFUNCTION("""COMPUTED_VALUE"""),"Recreation")</f>
        <v>Recreation</v>
      </c>
      <c r="C1483" s="7">
        <f>IFERROR(__xludf.DUMMYFUNCTION("""COMPUTED_VALUE"""),7253.0)</f>
        <v>7253</v>
      </c>
      <c r="D1483" s="6" t="str">
        <f>IFERROR(__xludf.DUMMYFUNCTION("""COMPUTED_VALUE"""),"Recreation")</f>
        <v>Recreation</v>
      </c>
      <c r="E1483" s="6" t="str">
        <f>IFERROR(__xludf.DUMMYFUNCTION("""COMPUTED_VALUE"""),"Credit Card")</f>
        <v>Credit Card</v>
      </c>
      <c r="F1483" s="6" t="s">
        <v>12</v>
      </c>
      <c r="G1483" s="8" t="str">
        <f t="shared" si="1"/>
        <v>202508</v>
      </c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  <c r="AA1483" s="4"/>
      <c r="AB1483" s="4"/>
      <c r="AC1483" s="4"/>
      <c r="AD1483" s="4"/>
      <c r="AE1483" s="4"/>
      <c r="AF1483" s="4"/>
      <c r="AG1483" s="4"/>
      <c r="AH1483" s="4"/>
      <c r="AI1483" s="4"/>
      <c r="AJ1483" s="4"/>
      <c r="AK1483" s="4"/>
      <c r="AL1483" s="4"/>
      <c r="AM1483" s="4"/>
      <c r="AN1483" s="4"/>
      <c r="AO1483" s="4"/>
      <c r="AP1483" s="4"/>
      <c r="AQ1483" s="4"/>
      <c r="AR1483" s="4"/>
      <c r="AS1483" s="4"/>
      <c r="AT1483" s="4"/>
      <c r="AU1483" s="4"/>
      <c r="AV1483" s="4"/>
      <c r="AW1483" s="4"/>
      <c r="AX1483" s="4"/>
      <c r="AY1483" s="4"/>
      <c r="AZ1483" s="4"/>
      <c r="BA1483" s="4"/>
      <c r="BB1483" s="4"/>
      <c r="BC1483" s="4"/>
      <c r="BD1483" s="4"/>
      <c r="BE1483" s="4"/>
      <c r="BF1483" s="4"/>
      <c r="BG1483" s="4"/>
      <c r="BH1483" s="4"/>
      <c r="BI1483" s="4"/>
      <c r="BJ1483" s="4"/>
      <c r="BK1483" s="4"/>
      <c r="BL1483" s="4"/>
      <c r="BM1483" s="4"/>
      <c r="BN1483" s="4"/>
      <c r="BO1483" s="4"/>
      <c r="BP1483" s="4"/>
      <c r="BQ1483" s="4"/>
      <c r="BR1483" s="4"/>
      <c r="BS1483" s="4"/>
      <c r="BT1483" s="4"/>
      <c r="BU1483" s="4"/>
      <c r="BV1483" s="4"/>
      <c r="BW1483" s="4"/>
      <c r="BX1483" s="4"/>
      <c r="BY1483" s="4"/>
      <c r="BZ1483" s="4"/>
      <c r="CA1483" s="4"/>
      <c r="CB1483" s="4"/>
      <c r="CC1483" s="4"/>
      <c r="CD1483" s="4"/>
      <c r="CE1483" s="4"/>
      <c r="CF1483" s="4"/>
      <c r="CG1483" s="4"/>
      <c r="CH1483" s="4"/>
      <c r="CI1483" s="4"/>
      <c r="CJ1483" s="4"/>
      <c r="CK1483" s="4"/>
      <c r="CL1483" s="4"/>
      <c r="CM1483" s="4"/>
      <c r="CN1483" s="4"/>
      <c r="CO1483" s="4"/>
      <c r="CP1483" s="4"/>
      <c r="CQ1483" s="4"/>
      <c r="CR1483" s="4"/>
      <c r="CS1483" s="4"/>
      <c r="CT1483" s="4"/>
      <c r="CU1483" s="4"/>
      <c r="CV1483" s="4"/>
      <c r="CW1483" s="4"/>
      <c r="CX1483" s="4"/>
      <c r="CY1483" s="4"/>
      <c r="CZ1483" s="4"/>
      <c r="DA1483" s="4"/>
      <c r="DB1483" s="4"/>
      <c r="DC1483" s="4"/>
      <c r="DD1483" s="4"/>
      <c r="DE1483" s="4"/>
      <c r="DF1483" s="4"/>
      <c r="DG1483" s="4"/>
      <c r="DH1483" s="4"/>
      <c r="DI1483" s="4"/>
      <c r="DJ1483" s="4"/>
      <c r="DK1483" s="4"/>
      <c r="DL1483" s="4"/>
      <c r="DM1483" s="4"/>
      <c r="DN1483" s="4"/>
      <c r="DO1483" s="4"/>
      <c r="DP1483" s="4"/>
      <c r="DQ1483" s="4"/>
      <c r="DR1483" s="4"/>
      <c r="DS1483" s="4"/>
    </row>
    <row r="1484">
      <c r="A1484" s="9">
        <f>IFERROR(__xludf.DUMMYFUNCTION("""COMPUTED_VALUE"""),45899.0)</f>
        <v>45899</v>
      </c>
      <c r="B1484" s="6" t="str">
        <f>IFERROR(__xludf.DUMMYFUNCTION("""COMPUTED_VALUE"""),"Stationery / Books")</f>
        <v>Stationery / Books</v>
      </c>
      <c r="C1484" s="7">
        <f>IFERROR(__xludf.DUMMYFUNCTION("""COMPUTED_VALUE"""),48389.0)</f>
        <v>48389</v>
      </c>
      <c r="D1484" s="6" t="str">
        <f>IFERROR(__xludf.DUMMYFUNCTION("""COMPUTED_VALUE"""),"Education")</f>
        <v>Education</v>
      </c>
      <c r="E1484" s="6" t="str">
        <f>IFERROR(__xludf.DUMMYFUNCTION("""COMPUTED_VALUE"""),"Credit Card")</f>
        <v>Credit Card</v>
      </c>
      <c r="F1484" s="6" t="s">
        <v>11</v>
      </c>
      <c r="G1484" s="8" t="str">
        <f t="shared" si="1"/>
        <v>202508</v>
      </c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  <c r="AA1484" s="4"/>
      <c r="AB1484" s="4"/>
      <c r="AC1484" s="4"/>
      <c r="AD1484" s="4"/>
      <c r="AE1484" s="4"/>
      <c r="AF1484" s="4"/>
      <c r="AG1484" s="4"/>
      <c r="AH1484" s="4"/>
      <c r="AI1484" s="4"/>
      <c r="AJ1484" s="4"/>
      <c r="AK1484" s="4"/>
      <c r="AL1484" s="4"/>
      <c r="AM1484" s="4"/>
      <c r="AN1484" s="4"/>
      <c r="AO1484" s="4"/>
      <c r="AP1484" s="4"/>
      <c r="AQ1484" s="4"/>
      <c r="AR1484" s="4"/>
      <c r="AS1484" s="4"/>
      <c r="AT1484" s="4"/>
      <c r="AU1484" s="4"/>
      <c r="AV1484" s="4"/>
      <c r="AW1484" s="4"/>
      <c r="AX1484" s="4"/>
      <c r="AY1484" s="4"/>
      <c r="AZ1484" s="4"/>
      <c r="BA1484" s="4"/>
      <c r="BB1484" s="4"/>
      <c r="BC1484" s="4"/>
      <c r="BD1484" s="4"/>
      <c r="BE1484" s="4"/>
      <c r="BF1484" s="4"/>
      <c r="BG1484" s="4"/>
      <c r="BH1484" s="4"/>
      <c r="BI1484" s="4"/>
      <c r="BJ1484" s="4"/>
      <c r="BK1484" s="4"/>
      <c r="BL1484" s="4"/>
      <c r="BM1484" s="4"/>
      <c r="BN1484" s="4"/>
      <c r="BO1484" s="4"/>
      <c r="BP1484" s="4"/>
      <c r="BQ1484" s="4"/>
      <c r="BR1484" s="4"/>
      <c r="BS1484" s="4"/>
      <c r="BT1484" s="4"/>
      <c r="BU1484" s="4"/>
      <c r="BV1484" s="4"/>
      <c r="BW1484" s="4"/>
      <c r="BX1484" s="4"/>
      <c r="BY1484" s="4"/>
      <c r="BZ1484" s="4"/>
      <c r="CA1484" s="4"/>
      <c r="CB1484" s="4"/>
      <c r="CC1484" s="4"/>
      <c r="CD1484" s="4"/>
      <c r="CE1484" s="4"/>
      <c r="CF1484" s="4"/>
      <c r="CG1484" s="4"/>
      <c r="CH1484" s="4"/>
      <c r="CI1484" s="4"/>
      <c r="CJ1484" s="4"/>
      <c r="CK1484" s="4"/>
      <c r="CL1484" s="4"/>
      <c r="CM1484" s="4"/>
      <c r="CN1484" s="4"/>
      <c r="CO1484" s="4"/>
      <c r="CP1484" s="4"/>
      <c r="CQ1484" s="4"/>
      <c r="CR1484" s="4"/>
      <c r="CS1484" s="4"/>
      <c r="CT1484" s="4"/>
      <c r="CU1484" s="4"/>
      <c r="CV1484" s="4"/>
      <c r="CW1484" s="4"/>
      <c r="CX1484" s="4"/>
      <c r="CY1484" s="4"/>
      <c r="CZ1484" s="4"/>
      <c r="DA1484" s="4"/>
      <c r="DB1484" s="4"/>
      <c r="DC1484" s="4"/>
      <c r="DD1484" s="4"/>
      <c r="DE1484" s="4"/>
      <c r="DF1484" s="4"/>
      <c r="DG1484" s="4"/>
      <c r="DH1484" s="4"/>
      <c r="DI1484" s="4"/>
      <c r="DJ1484" s="4"/>
      <c r="DK1484" s="4"/>
      <c r="DL1484" s="4"/>
      <c r="DM1484" s="4"/>
      <c r="DN1484" s="4"/>
      <c r="DO1484" s="4"/>
      <c r="DP1484" s="4"/>
      <c r="DQ1484" s="4"/>
      <c r="DR1484" s="4"/>
      <c r="DS1484" s="4"/>
    </row>
    <row r="1485">
      <c r="A1485" s="9">
        <f>IFERROR(__xludf.DUMMYFUNCTION("""COMPUTED_VALUE"""),45900.0)</f>
        <v>45900</v>
      </c>
      <c r="B1485" s="6" t="str">
        <f>IFERROR(__xludf.DUMMYFUNCTION("""COMPUTED_VALUE"""),"Groceries")</f>
        <v>Groceries</v>
      </c>
      <c r="C1485" s="7">
        <f>IFERROR(__xludf.DUMMYFUNCTION("""COMPUTED_VALUE"""),2000.0)</f>
        <v>2000</v>
      </c>
      <c r="D1485" s="6" t="str">
        <f>IFERROR(__xludf.DUMMYFUNCTION("""COMPUTED_VALUE"""),"Groceries")</f>
        <v>Groceries</v>
      </c>
      <c r="E1485" s="6" t="str">
        <f>IFERROR(__xludf.DUMMYFUNCTION("""COMPUTED_VALUE"""),"Split Payment")</f>
        <v>Split Payment</v>
      </c>
      <c r="F1485" s="6" t="s">
        <v>7</v>
      </c>
      <c r="G1485" s="8" t="str">
        <f t="shared" si="1"/>
        <v>202508</v>
      </c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  <c r="AA1485" s="4"/>
      <c r="AB1485" s="4"/>
      <c r="AC1485" s="4"/>
      <c r="AD1485" s="4"/>
      <c r="AE1485" s="4"/>
      <c r="AF1485" s="4"/>
      <c r="AG1485" s="4"/>
      <c r="AH1485" s="4"/>
      <c r="AI1485" s="4"/>
      <c r="AJ1485" s="4"/>
      <c r="AK1485" s="4"/>
      <c r="AL1485" s="4"/>
      <c r="AM1485" s="4"/>
      <c r="AN1485" s="4"/>
      <c r="AO1485" s="4"/>
      <c r="AP1485" s="4"/>
      <c r="AQ1485" s="4"/>
      <c r="AR1485" s="4"/>
      <c r="AS1485" s="4"/>
      <c r="AT1485" s="4"/>
      <c r="AU1485" s="4"/>
      <c r="AV1485" s="4"/>
      <c r="AW1485" s="4"/>
      <c r="AX1485" s="4"/>
      <c r="AY1485" s="4"/>
      <c r="AZ1485" s="4"/>
      <c r="BA1485" s="4"/>
      <c r="BB1485" s="4"/>
      <c r="BC1485" s="4"/>
      <c r="BD1485" s="4"/>
      <c r="BE1485" s="4"/>
      <c r="BF1485" s="4"/>
      <c r="BG1485" s="4"/>
      <c r="BH1485" s="4"/>
      <c r="BI1485" s="4"/>
      <c r="BJ1485" s="4"/>
      <c r="BK1485" s="4"/>
      <c r="BL1485" s="4"/>
      <c r="BM1485" s="4"/>
      <c r="BN1485" s="4"/>
      <c r="BO1485" s="4"/>
      <c r="BP1485" s="4"/>
      <c r="BQ1485" s="4"/>
      <c r="BR1485" s="4"/>
      <c r="BS1485" s="4"/>
      <c r="BT1485" s="4"/>
      <c r="BU1485" s="4"/>
      <c r="BV1485" s="4"/>
      <c r="BW1485" s="4"/>
      <c r="BX1485" s="4"/>
      <c r="BY1485" s="4"/>
      <c r="BZ1485" s="4"/>
      <c r="CA1485" s="4"/>
      <c r="CB1485" s="4"/>
      <c r="CC1485" s="4"/>
      <c r="CD1485" s="4"/>
      <c r="CE1485" s="4"/>
      <c r="CF1485" s="4"/>
      <c r="CG1485" s="4"/>
      <c r="CH1485" s="4"/>
      <c r="CI1485" s="4"/>
      <c r="CJ1485" s="4"/>
      <c r="CK1485" s="4"/>
      <c r="CL1485" s="4"/>
      <c r="CM1485" s="4"/>
      <c r="CN1485" s="4"/>
      <c r="CO1485" s="4"/>
      <c r="CP1485" s="4"/>
      <c r="CQ1485" s="4"/>
      <c r="CR1485" s="4"/>
      <c r="CS1485" s="4"/>
      <c r="CT1485" s="4"/>
      <c r="CU1485" s="4"/>
      <c r="CV1485" s="4"/>
      <c r="CW1485" s="4"/>
      <c r="CX1485" s="4"/>
      <c r="CY1485" s="4"/>
      <c r="CZ1485" s="4"/>
      <c r="DA1485" s="4"/>
      <c r="DB1485" s="4"/>
      <c r="DC1485" s="4"/>
      <c r="DD1485" s="4"/>
      <c r="DE1485" s="4"/>
      <c r="DF1485" s="4"/>
      <c r="DG1485" s="4"/>
      <c r="DH1485" s="4"/>
      <c r="DI1485" s="4"/>
      <c r="DJ1485" s="4"/>
      <c r="DK1485" s="4"/>
      <c r="DL1485" s="4"/>
      <c r="DM1485" s="4"/>
      <c r="DN1485" s="4"/>
      <c r="DO1485" s="4"/>
      <c r="DP1485" s="4"/>
      <c r="DQ1485" s="4"/>
      <c r="DR1485" s="4"/>
      <c r="DS1485" s="4"/>
    </row>
    <row r="1486">
      <c r="A1486" s="9">
        <f>IFERROR(__xludf.DUMMYFUNCTION("""COMPUTED_VALUE"""),45901.0)</f>
        <v>45901</v>
      </c>
      <c r="B1486" s="6" t="str">
        <f>IFERROR(__xludf.DUMMYFUNCTION("""COMPUTED_VALUE"""),"Gift")</f>
        <v>Gift</v>
      </c>
      <c r="C1486" s="7">
        <f>IFERROR(__xludf.DUMMYFUNCTION("""COMPUTED_VALUE"""),11667.0)</f>
        <v>11667</v>
      </c>
      <c r="D1486" s="6" t="str">
        <f>IFERROR(__xludf.DUMMYFUNCTION("""COMPUTED_VALUE"""),"Gifts")</f>
        <v>Gifts</v>
      </c>
      <c r="E1486" s="6" t="str">
        <f>IFERROR(__xludf.DUMMYFUNCTION("""COMPUTED_VALUE"""),"Credit Card")</f>
        <v>Credit Card</v>
      </c>
      <c r="F1486" s="6"/>
      <c r="G1486" s="8" t="str">
        <f t="shared" si="1"/>
        <v>202509</v>
      </c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  <c r="AA1486" s="4"/>
      <c r="AB1486" s="4"/>
      <c r="AC1486" s="4"/>
      <c r="AD1486" s="4"/>
      <c r="AE1486" s="4"/>
      <c r="AF1486" s="4"/>
      <c r="AG1486" s="4"/>
      <c r="AH1486" s="4"/>
      <c r="AI1486" s="4"/>
      <c r="AJ1486" s="4"/>
      <c r="AK1486" s="4"/>
      <c r="AL1486" s="4"/>
      <c r="AM1486" s="4"/>
      <c r="AN1486" s="4"/>
      <c r="AO1486" s="4"/>
      <c r="AP1486" s="4"/>
      <c r="AQ1486" s="4"/>
      <c r="AR1486" s="4"/>
      <c r="AS1486" s="4"/>
      <c r="AT1486" s="4"/>
      <c r="AU1486" s="4"/>
      <c r="AV1486" s="4"/>
      <c r="AW1486" s="4"/>
      <c r="AX1486" s="4"/>
      <c r="AY1486" s="4"/>
      <c r="AZ1486" s="4"/>
      <c r="BA1486" s="4"/>
      <c r="BB1486" s="4"/>
      <c r="BC1486" s="4"/>
      <c r="BD1486" s="4"/>
      <c r="BE1486" s="4"/>
      <c r="BF1486" s="4"/>
      <c r="BG1486" s="4"/>
      <c r="BH1486" s="4"/>
      <c r="BI1486" s="4"/>
      <c r="BJ1486" s="4"/>
      <c r="BK1486" s="4"/>
      <c r="BL1486" s="4"/>
      <c r="BM1486" s="4"/>
      <c r="BN1486" s="4"/>
      <c r="BO1486" s="4"/>
      <c r="BP1486" s="4"/>
      <c r="BQ1486" s="4"/>
      <c r="BR1486" s="4"/>
      <c r="BS1486" s="4"/>
      <c r="BT1486" s="4"/>
      <c r="BU1486" s="4"/>
      <c r="BV1486" s="4"/>
      <c r="BW1486" s="4"/>
      <c r="BX1486" s="4"/>
      <c r="BY1486" s="4"/>
      <c r="BZ1486" s="4"/>
      <c r="CA1486" s="4"/>
      <c r="CB1486" s="4"/>
      <c r="CC1486" s="4"/>
      <c r="CD1486" s="4"/>
      <c r="CE1486" s="4"/>
      <c r="CF1486" s="4"/>
      <c r="CG1486" s="4"/>
      <c r="CH1486" s="4"/>
      <c r="CI1486" s="4"/>
      <c r="CJ1486" s="4"/>
      <c r="CK1486" s="4"/>
      <c r="CL1486" s="4"/>
      <c r="CM1486" s="4"/>
      <c r="CN1486" s="4"/>
      <c r="CO1486" s="4"/>
      <c r="CP1486" s="4"/>
      <c r="CQ1486" s="4"/>
      <c r="CR1486" s="4"/>
      <c r="CS1486" s="4"/>
      <c r="CT1486" s="4"/>
      <c r="CU1486" s="4"/>
      <c r="CV1486" s="4"/>
      <c r="CW1486" s="4"/>
      <c r="CX1486" s="4"/>
      <c r="CY1486" s="4"/>
      <c r="CZ1486" s="4"/>
      <c r="DA1486" s="4"/>
      <c r="DB1486" s="4"/>
      <c r="DC1486" s="4"/>
      <c r="DD1486" s="4"/>
      <c r="DE1486" s="4"/>
      <c r="DF1486" s="4"/>
      <c r="DG1486" s="4"/>
      <c r="DH1486" s="4"/>
      <c r="DI1486" s="4"/>
      <c r="DJ1486" s="4"/>
      <c r="DK1486" s="4"/>
      <c r="DL1486" s="4"/>
      <c r="DM1486" s="4"/>
      <c r="DN1486" s="4"/>
      <c r="DO1486" s="4"/>
      <c r="DP1486" s="4"/>
      <c r="DQ1486" s="4"/>
      <c r="DR1486" s="4"/>
      <c r="DS1486" s="4"/>
    </row>
    <row r="1487">
      <c r="A1487" s="9">
        <f>IFERROR(__xludf.DUMMYFUNCTION("""COMPUTED_VALUE"""),45901.0)</f>
        <v>45901</v>
      </c>
      <c r="B1487" s="6" t="str">
        <f>IFERROR(__xludf.DUMMYFUNCTION("""COMPUTED_VALUE"""),"Education")</f>
        <v>Education</v>
      </c>
      <c r="C1487" s="7">
        <f>IFERROR(__xludf.DUMMYFUNCTION("""COMPUTED_VALUE"""),3000.0)</f>
        <v>3000</v>
      </c>
      <c r="D1487" s="6" t="str">
        <f>IFERROR(__xludf.DUMMYFUNCTION("""COMPUTED_VALUE"""),"Education")</f>
        <v>Education</v>
      </c>
      <c r="E1487" s="6" t="str">
        <f>IFERROR(__xludf.DUMMYFUNCTION("""COMPUTED_VALUE"""),"Credit Card")</f>
        <v>Credit Card</v>
      </c>
      <c r="F1487" s="6" t="s">
        <v>11</v>
      </c>
      <c r="G1487" s="8" t="str">
        <f t="shared" si="1"/>
        <v>202509</v>
      </c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  <c r="AA1487" s="4"/>
      <c r="AB1487" s="4"/>
      <c r="AC1487" s="4"/>
      <c r="AD1487" s="4"/>
      <c r="AE1487" s="4"/>
      <c r="AF1487" s="4"/>
      <c r="AG1487" s="4"/>
      <c r="AH1487" s="4"/>
      <c r="AI1487" s="4"/>
      <c r="AJ1487" s="4"/>
      <c r="AK1487" s="4"/>
      <c r="AL1487" s="4"/>
      <c r="AM1487" s="4"/>
      <c r="AN1487" s="4"/>
      <c r="AO1487" s="4"/>
      <c r="AP1487" s="4"/>
      <c r="AQ1487" s="4"/>
      <c r="AR1487" s="4"/>
      <c r="AS1487" s="4"/>
      <c r="AT1487" s="4"/>
      <c r="AU1487" s="4"/>
      <c r="AV1487" s="4"/>
      <c r="AW1487" s="4"/>
      <c r="AX1487" s="4"/>
      <c r="AY1487" s="4"/>
      <c r="AZ1487" s="4"/>
      <c r="BA1487" s="4"/>
      <c r="BB1487" s="4"/>
      <c r="BC1487" s="4"/>
      <c r="BD1487" s="4"/>
      <c r="BE1487" s="4"/>
      <c r="BF1487" s="4"/>
      <c r="BG1487" s="4"/>
      <c r="BH1487" s="4"/>
      <c r="BI1487" s="4"/>
      <c r="BJ1487" s="4"/>
      <c r="BK1487" s="4"/>
      <c r="BL1487" s="4"/>
      <c r="BM1487" s="4"/>
      <c r="BN1487" s="4"/>
      <c r="BO1487" s="4"/>
      <c r="BP1487" s="4"/>
      <c r="BQ1487" s="4"/>
      <c r="BR1487" s="4"/>
      <c r="BS1487" s="4"/>
      <c r="BT1487" s="4"/>
      <c r="BU1487" s="4"/>
      <c r="BV1487" s="4"/>
      <c r="BW1487" s="4"/>
      <c r="BX1487" s="4"/>
      <c r="BY1487" s="4"/>
      <c r="BZ1487" s="4"/>
      <c r="CA1487" s="4"/>
      <c r="CB1487" s="4"/>
      <c r="CC1487" s="4"/>
      <c r="CD1487" s="4"/>
      <c r="CE1487" s="4"/>
      <c r="CF1487" s="4"/>
      <c r="CG1487" s="4"/>
      <c r="CH1487" s="4"/>
      <c r="CI1487" s="4"/>
      <c r="CJ1487" s="4"/>
      <c r="CK1487" s="4"/>
      <c r="CL1487" s="4"/>
      <c r="CM1487" s="4"/>
      <c r="CN1487" s="4"/>
      <c r="CO1487" s="4"/>
      <c r="CP1487" s="4"/>
      <c r="CQ1487" s="4"/>
      <c r="CR1487" s="4"/>
      <c r="CS1487" s="4"/>
      <c r="CT1487" s="4"/>
      <c r="CU1487" s="4"/>
      <c r="CV1487" s="4"/>
      <c r="CW1487" s="4"/>
      <c r="CX1487" s="4"/>
      <c r="CY1487" s="4"/>
      <c r="CZ1487" s="4"/>
      <c r="DA1487" s="4"/>
      <c r="DB1487" s="4"/>
      <c r="DC1487" s="4"/>
      <c r="DD1487" s="4"/>
      <c r="DE1487" s="4"/>
      <c r="DF1487" s="4"/>
      <c r="DG1487" s="4"/>
      <c r="DH1487" s="4"/>
      <c r="DI1487" s="4"/>
      <c r="DJ1487" s="4"/>
      <c r="DK1487" s="4"/>
      <c r="DL1487" s="4"/>
      <c r="DM1487" s="4"/>
      <c r="DN1487" s="4"/>
      <c r="DO1487" s="4"/>
      <c r="DP1487" s="4"/>
      <c r="DQ1487" s="4"/>
      <c r="DR1487" s="4"/>
      <c r="DS1487" s="4"/>
    </row>
    <row r="1488">
      <c r="A1488" s="9">
        <f>IFERROR(__xludf.DUMMYFUNCTION("""COMPUTED_VALUE"""),45901.0)</f>
        <v>45901</v>
      </c>
      <c r="B1488" s="6" t="str">
        <f>IFERROR(__xludf.DUMMYFUNCTION("""COMPUTED_VALUE"""),"Education")</f>
        <v>Education</v>
      </c>
      <c r="C1488" s="7">
        <f>IFERROR(__xludf.DUMMYFUNCTION("""COMPUTED_VALUE"""),1800.0)</f>
        <v>1800</v>
      </c>
      <c r="D1488" s="6" t="str">
        <f>IFERROR(__xludf.DUMMYFUNCTION("""COMPUTED_VALUE"""),"Education")</f>
        <v>Education</v>
      </c>
      <c r="E1488" s="6" t="str">
        <f>IFERROR(__xludf.DUMMYFUNCTION("""COMPUTED_VALUE"""),"Credit Card")</f>
        <v>Credit Card</v>
      </c>
      <c r="F1488" s="6" t="s">
        <v>11</v>
      </c>
      <c r="G1488" s="8" t="str">
        <f t="shared" si="1"/>
        <v>202509</v>
      </c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  <c r="AA1488" s="4"/>
      <c r="AB1488" s="4"/>
      <c r="AC1488" s="4"/>
      <c r="AD1488" s="4"/>
      <c r="AE1488" s="4"/>
      <c r="AF1488" s="4"/>
      <c r="AG1488" s="4"/>
      <c r="AH1488" s="4"/>
      <c r="AI1488" s="4"/>
      <c r="AJ1488" s="4"/>
      <c r="AK1488" s="4"/>
      <c r="AL1488" s="4"/>
      <c r="AM1488" s="4"/>
      <c r="AN1488" s="4"/>
      <c r="AO1488" s="4"/>
      <c r="AP1488" s="4"/>
      <c r="AQ1488" s="4"/>
      <c r="AR1488" s="4"/>
      <c r="AS1488" s="4"/>
      <c r="AT1488" s="4"/>
      <c r="AU1488" s="4"/>
      <c r="AV1488" s="4"/>
      <c r="AW1488" s="4"/>
      <c r="AX1488" s="4"/>
      <c r="AY1488" s="4"/>
      <c r="AZ1488" s="4"/>
      <c r="BA1488" s="4"/>
      <c r="BB1488" s="4"/>
      <c r="BC1488" s="4"/>
      <c r="BD1488" s="4"/>
      <c r="BE1488" s="4"/>
      <c r="BF1488" s="4"/>
      <c r="BG1488" s="4"/>
      <c r="BH1488" s="4"/>
      <c r="BI1488" s="4"/>
      <c r="BJ1488" s="4"/>
      <c r="BK1488" s="4"/>
      <c r="BL1488" s="4"/>
      <c r="BM1488" s="4"/>
      <c r="BN1488" s="4"/>
      <c r="BO1488" s="4"/>
      <c r="BP1488" s="4"/>
      <c r="BQ1488" s="4"/>
      <c r="BR1488" s="4"/>
      <c r="BS1488" s="4"/>
      <c r="BT1488" s="4"/>
      <c r="BU1488" s="4"/>
      <c r="BV1488" s="4"/>
      <c r="BW1488" s="4"/>
      <c r="BX1488" s="4"/>
      <c r="BY1488" s="4"/>
      <c r="BZ1488" s="4"/>
      <c r="CA1488" s="4"/>
      <c r="CB1488" s="4"/>
      <c r="CC1488" s="4"/>
      <c r="CD1488" s="4"/>
      <c r="CE1488" s="4"/>
      <c r="CF1488" s="4"/>
      <c r="CG1488" s="4"/>
      <c r="CH1488" s="4"/>
      <c r="CI1488" s="4"/>
      <c r="CJ1488" s="4"/>
      <c r="CK1488" s="4"/>
      <c r="CL1488" s="4"/>
      <c r="CM1488" s="4"/>
      <c r="CN1488" s="4"/>
      <c r="CO1488" s="4"/>
      <c r="CP1488" s="4"/>
      <c r="CQ1488" s="4"/>
      <c r="CR1488" s="4"/>
      <c r="CS1488" s="4"/>
      <c r="CT1488" s="4"/>
      <c r="CU1488" s="4"/>
      <c r="CV1488" s="4"/>
      <c r="CW1488" s="4"/>
      <c r="CX1488" s="4"/>
      <c r="CY1488" s="4"/>
      <c r="CZ1488" s="4"/>
      <c r="DA1488" s="4"/>
      <c r="DB1488" s="4"/>
      <c r="DC1488" s="4"/>
      <c r="DD1488" s="4"/>
      <c r="DE1488" s="4"/>
      <c r="DF1488" s="4"/>
      <c r="DG1488" s="4"/>
      <c r="DH1488" s="4"/>
      <c r="DI1488" s="4"/>
      <c r="DJ1488" s="4"/>
      <c r="DK1488" s="4"/>
      <c r="DL1488" s="4"/>
      <c r="DM1488" s="4"/>
      <c r="DN1488" s="4"/>
      <c r="DO1488" s="4"/>
      <c r="DP1488" s="4"/>
      <c r="DQ1488" s="4"/>
      <c r="DR1488" s="4"/>
      <c r="DS1488" s="4"/>
    </row>
    <row r="1489">
      <c r="A1489" s="9">
        <f>IFERROR(__xludf.DUMMYFUNCTION("""COMPUTED_VALUE"""),45901.0)</f>
        <v>45901</v>
      </c>
      <c r="B1489" s="6" t="str">
        <f>IFERROR(__xludf.DUMMYFUNCTION("""COMPUTED_VALUE"""),"Education")</f>
        <v>Education</v>
      </c>
      <c r="C1489" s="7">
        <f>IFERROR(__xludf.DUMMYFUNCTION("""COMPUTED_VALUE"""),20000.0)</f>
        <v>20000</v>
      </c>
      <c r="D1489" s="6" t="str">
        <f>IFERROR(__xludf.DUMMYFUNCTION("""COMPUTED_VALUE"""),"Education")</f>
        <v>Education</v>
      </c>
      <c r="E1489" s="6" t="str">
        <f>IFERROR(__xludf.DUMMYFUNCTION("""COMPUTED_VALUE"""),"Credit Card")</f>
        <v>Credit Card</v>
      </c>
      <c r="F1489" s="6" t="s">
        <v>11</v>
      </c>
      <c r="G1489" s="8" t="str">
        <f t="shared" si="1"/>
        <v>202509</v>
      </c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  <c r="AA1489" s="4"/>
      <c r="AB1489" s="4"/>
      <c r="AC1489" s="4"/>
      <c r="AD1489" s="4"/>
      <c r="AE1489" s="4"/>
      <c r="AF1489" s="4"/>
      <c r="AG1489" s="4"/>
      <c r="AH1489" s="4"/>
      <c r="AI1489" s="4"/>
      <c r="AJ1489" s="4"/>
      <c r="AK1489" s="4"/>
      <c r="AL1489" s="4"/>
      <c r="AM1489" s="4"/>
      <c r="AN1489" s="4"/>
      <c r="AO1489" s="4"/>
      <c r="AP1489" s="4"/>
      <c r="AQ1489" s="4"/>
      <c r="AR1489" s="4"/>
      <c r="AS1489" s="4"/>
      <c r="AT1489" s="4"/>
      <c r="AU1489" s="4"/>
      <c r="AV1489" s="4"/>
      <c r="AW1489" s="4"/>
      <c r="AX1489" s="4"/>
      <c r="AY1489" s="4"/>
      <c r="AZ1489" s="4"/>
      <c r="BA1489" s="4"/>
      <c r="BB1489" s="4"/>
      <c r="BC1489" s="4"/>
      <c r="BD1489" s="4"/>
      <c r="BE1489" s="4"/>
      <c r="BF1489" s="4"/>
      <c r="BG1489" s="4"/>
      <c r="BH1489" s="4"/>
      <c r="BI1489" s="4"/>
      <c r="BJ1489" s="4"/>
      <c r="BK1489" s="4"/>
      <c r="BL1489" s="4"/>
      <c r="BM1489" s="4"/>
      <c r="BN1489" s="4"/>
      <c r="BO1489" s="4"/>
      <c r="BP1489" s="4"/>
      <c r="BQ1489" s="4"/>
      <c r="BR1489" s="4"/>
      <c r="BS1489" s="4"/>
      <c r="BT1489" s="4"/>
      <c r="BU1489" s="4"/>
      <c r="BV1489" s="4"/>
      <c r="BW1489" s="4"/>
      <c r="BX1489" s="4"/>
      <c r="BY1489" s="4"/>
      <c r="BZ1489" s="4"/>
      <c r="CA1489" s="4"/>
      <c r="CB1489" s="4"/>
      <c r="CC1489" s="4"/>
      <c r="CD1489" s="4"/>
      <c r="CE1489" s="4"/>
      <c r="CF1489" s="4"/>
      <c r="CG1489" s="4"/>
      <c r="CH1489" s="4"/>
      <c r="CI1489" s="4"/>
      <c r="CJ1489" s="4"/>
      <c r="CK1489" s="4"/>
      <c r="CL1489" s="4"/>
      <c r="CM1489" s="4"/>
      <c r="CN1489" s="4"/>
      <c r="CO1489" s="4"/>
      <c r="CP1489" s="4"/>
      <c r="CQ1489" s="4"/>
      <c r="CR1489" s="4"/>
      <c r="CS1489" s="4"/>
      <c r="CT1489" s="4"/>
      <c r="CU1489" s="4"/>
      <c r="CV1489" s="4"/>
      <c r="CW1489" s="4"/>
      <c r="CX1489" s="4"/>
      <c r="CY1489" s="4"/>
      <c r="CZ1489" s="4"/>
      <c r="DA1489" s="4"/>
      <c r="DB1489" s="4"/>
      <c r="DC1489" s="4"/>
      <c r="DD1489" s="4"/>
      <c r="DE1489" s="4"/>
      <c r="DF1489" s="4"/>
      <c r="DG1489" s="4"/>
      <c r="DH1489" s="4"/>
      <c r="DI1489" s="4"/>
      <c r="DJ1489" s="4"/>
      <c r="DK1489" s="4"/>
      <c r="DL1489" s="4"/>
      <c r="DM1489" s="4"/>
      <c r="DN1489" s="4"/>
      <c r="DO1489" s="4"/>
      <c r="DP1489" s="4"/>
      <c r="DQ1489" s="4"/>
      <c r="DR1489" s="4"/>
      <c r="DS1489" s="4"/>
    </row>
    <row r="1490">
      <c r="A1490" s="9">
        <f>IFERROR(__xludf.DUMMYFUNCTION("""COMPUTED_VALUE"""),45901.0)</f>
        <v>45901</v>
      </c>
      <c r="B1490" s="6" t="str">
        <f>IFERROR(__xludf.DUMMYFUNCTION("""COMPUTED_VALUE"""),"Gas Bill (Metrogas)")</f>
        <v>Gas Bill (Metrogas)</v>
      </c>
      <c r="C1490" s="7">
        <f>IFERROR(__xludf.DUMMYFUNCTION("""COMPUTED_VALUE"""),10104.0)</f>
        <v>10104</v>
      </c>
      <c r="D1490" s="6" t="str">
        <f>IFERROR(__xludf.DUMMYFUNCTION("""COMPUTED_VALUE"""),"Basic Services")</f>
        <v>Basic Services</v>
      </c>
      <c r="E1490" s="6" t="str">
        <f>IFERROR(__xludf.DUMMYFUNCTION("""COMPUTED_VALUE"""),"Split Payment")</f>
        <v>Split Payment</v>
      </c>
      <c r="F1490" s="6" t="s">
        <v>13</v>
      </c>
      <c r="G1490" s="8" t="str">
        <f t="shared" si="1"/>
        <v>202509</v>
      </c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  <c r="AA1490" s="4"/>
      <c r="AB1490" s="4"/>
      <c r="AC1490" s="4"/>
      <c r="AD1490" s="4"/>
      <c r="AE1490" s="4"/>
      <c r="AF1490" s="4"/>
      <c r="AG1490" s="4"/>
      <c r="AH1490" s="4"/>
      <c r="AI1490" s="4"/>
      <c r="AJ1490" s="4"/>
      <c r="AK1490" s="4"/>
      <c r="AL1490" s="4"/>
      <c r="AM1490" s="4"/>
      <c r="AN1490" s="4"/>
      <c r="AO1490" s="4"/>
      <c r="AP1490" s="4"/>
      <c r="AQ1490" s="4"/>
      <c r="AR1490" s="4"/>
      <c r="AS1490" s="4"/>
      <c r="AT1490" s="4"/>
      <c r="AU1490" s="4"/>
      <c r="AV1490" s="4"/>
      <c r="AW1490" s="4"/>
      <c r="AX1490" s="4"/>
      <c r="AY1490" s="4"/>
      <c r="AZ1490" s="4"/>
      <c r="BA1490" s="4"/>
      <c r="BB1490" s="4"/>
      <c r="BC1490" s="4"/>
      <c r="BD1490" s="4"/>
      <c r="BE1490" s="4"/>
      <c r="BF1490" s="4"/>
      <c r="BG1490" s="4"/>
      <c r="BH1490" s="4"/>
      <c r="BI1490" s="4"/>
      <c r="BJ1490" s="4"/>
      <c r="BK1490" s="4"/>
      <c r="BL1490" s="4"/>
      <c r="BM1490" s="4"/>
      <c r="BN1490" s="4"/>
      <c r="BO1490" s="4"/>
      <c r="BP1490" s="4"/>
      <c r="BQ1490" s="4"/>
      <c r="BR1490" s="4"/>
      <c r="BS1490" s="4"/>
      <c r="BT1490" s="4"/>
      <c r="BU1490" s="4"/>
      <c r="BV1490" s="4"/>
      <c r="BW1490" s="4"/>
      <c r="BX1490" s="4"/>
      <c r="BY1490" s="4"/>
      <c r="BZ1490" s="4"/>
      <c r="CA1490" s="4"/>
      <c r="CB1490" s="4"/>
      <c r="CC1490" s="4"/>
      <c r="CD1490" s="4"/>
      <c r="CE1490" s="4"/>
      <c r="CF1490" s="4"/>
      <c r="CG1490" s="4"/>
      <c r="CH1490" s="4"/>
      <c r="CI1490" s="4"/>
      <c r="CJ1490" s="4"/>
      <c r="CK1490" s="4"/>
      <c r="CL1490" s="4"/>
      <c r="CM1490" s="4"/>
      <c r="CN1490" s="4"/>
      <c r="CO1490" s="4"/>
      <c r="CP1490" s="4"/>
      <c r="CQ1490" s="4"/>
      <c r="CR1490" s="4"/>
      <c r="CS1490" s="4"/>
      <c r="CT1490" s="4"/>
      <c r="CU1490" s="4"/>
      <c r="CV1490" s="4"/>
      <c r="CW1490" s="4"/>
      <c r="CX1490" s="4"/>
      <c r="CY1490" s="4"/>
      <c r="CZ1490" s="4"/>
      <c r="DA1490" s="4"/>
      <c r="DB1490" s="4"/>
      <c r="DC1490" s="4"/>
      <c r="DD1490" s="4"/>
      <c r="DE1490" s="4"/>
      <c r="DF1490" s="4"/>
      <c r="DG1490" s="4"/>
      <c r="DH1490" s="4"/>
      <c r="DI1490" s="4"/>
      <c r="DJ1490" s="4"/>
      <c r="DK1490" s="4"/>
      <c r="DL1490" s="4"/>
      <c r="DM1490" s="4"/>
      <c r="DN1490" s="4"/>
      <c r="DO1490" s="4"/>
      <c r="DP1490" s="4"/>
      <c r="DQ1490" s="4"/>
      <c r="DR1490" s="4"/>
      <c r="DS1490" s="4"/>
    </row>
    <row r="1491">
      <c r="A1491" s="9">
        <f>IFERROR(__xludf.DUMMYFUNCTION("""COMPUTED_VALUE"""),45901.0)</f>
        <v>45901</v>
      </c>
      <c r="B1491" s="6" t="str">
        <f>IFERROR(__xludf.DUMMYFUNCTION("""COMPUTED_VALUE"""),"Gasoline")</f>
        <v>Gasoline</v>
      </c>
      <c r="C1491" s="7">
        <f>IFERROR(__xludf.DUMMYFUNCTION("""COMPUTED_VALUE"""),13500.0)</f>
        <v>13500</v>
      </c>
      <c r="D1491" s="6" t="str">
        <f>IFERROR(__xludf.DUMMYFUNCTION("""COMPUTED_VALUE"""),"Car Expenses")</f>
        <v>Car Expenses</v>
      </c>
      <c r="E1491" s="6" t="str">
        <f>IFERROR(__xludf.DUMMYFUNCTION("""COMPUTED_VALUE"""),"Split Payment")</f>
        <v>Split Payment</v>
      </c>
      <c r="F1491" s="6" t="s">
        <v>9</v>
      </c>
      <c r="G1491" s="8" t="str">
        <f t="shared" si="1"/>
        <v>202509</v>
      </c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  <c r="AA1491" s="4"/>
      <c r="AB1491" s="4"/>
      <c r="AC1491" s="4"/>
      <c r="AD1491" s="4"/>
      <c r="AE1491" s="4"/>
      <c r="AF1491" s="4"/>
      <c r="AG1491" s="4"/>
      <c r="AH1491" s="4"/>
      <c r="AI1491" s="4"/>
      <c r="AJ1491" s="4"/>
      <c r="AK1491" s="4"/>
      <c r="AL1491" s="4"/>
      <c r="AM1491" s="4"/>
      <c r="AN1491" s="4"/>
      <c r="AO1491" s="4"/>
      <c r="AP1491" s="4"/>
      <c r="AQ1491" s="4"/>
      <c r="AR1491" s="4"/>
      <c r="AS1491" s="4"/>
      <c r="AT1491" s="4"/>
      <c r="AU1491" s="4"/>
      <c r="AV1491" s="4"/>
      <c r="AW1491" s="4"/>
      <c r="AX1491" s="4"/>
      <c r="AY1491" s="4"/>
      <c r="AZ1491" s="4"/>
      <c r="BA1491" s="4"/>
      <c r="BB1491" s="4"/>
      <c r="BC1491" s="4"/>
      <c r="BD1491" s="4"/>
      <c r="BE1491" s="4"/>
      <c r="BF1491" s="4"/>
      <c r="BG1491" s="4"/>
      <c r="BH1491" s="4"/>
      <c r="BI1491" s="4"/>
      <c r="BJ1491" s="4"/>
      <c r="BK1491" s="4"/>
      <c r="BL1491" s="4"/>
      <c r="BM1491" s="4"/>
      <c r="BN1491" s="4"/>
      <c r="BO1491" s="4"/>
      <c r="BP1491" s="4"/>
      <c r="BQ1491" s="4"/>
      <c r="BR1491" s="4"/>
      <c r="BS1491" s="4"/>
      <c r="BT1491" s="4"/>
      <c r="BU1491" s="4"/>
      <c r="BV1491" s="4"/>
      <c r="BW1491" s="4"/>
      <c r="BX1491" s="4"/>
      <c r="BY1491" s="4"/>
      <c r="BZ1491" s="4"/>
      <c r="CA1491" s="4"/>
      <c r="CB1491" s="4"/>
      <c r="CC1491" s="4"/>
      <c r="CD1491" s="4"/>
      <c r="CE1491" s="4"/>
      <c r="CF1491" s="4"/>
      <c r="CG1491" s="4"/>
      <c r="CH1491" s="4"/>
      <c r="CI1491" s="4"/>
      <c r="CJ1491" s="4"/>
      <c r="CK1491" s="4"/>
      <c r="CL1491" s="4"/>
      <c r="CM1491" s="4"/>
      <c r="CN1491" s="4"/>
      <c r="CO1491" s="4"/>
      <c r="CP1491" s="4"/>
      <c r="CQ1491" s="4"/>
      <c r="CR1491" s="4"/>
      <c r="CS1491" s="4"/>
      <c r="CT1491" s="4"/>
      <c r="CU1491" s="4"/>
      <c r="CV1491" s="4"/>
      <c r="CW1491" s="4"/>
      <c r="CX1491" s="4"/>
      <c r="CY1491" s="4"/>
      <c r="CZ1491" s="4"/>
      <c r="DA1491" s="4"/>
      <c r="DB1491" s="4"/>
      <c r="DC1491" s="4"/>
      <c r="DD1491" s="4"/>
      <c r="DE1491" s="4"/>
      <c r="DF1491" s="4"/>
      <c r="DG1491" s="4"/>
      <c r="DH1491" s="4"/>
      <c r="DI1491" s="4"/>
      <c r="DJ1491" s="4"/>
      <c r="DK1491" s="4"/>
      <c r="DL1491" s="4"/>
      <c r="DM1491" s="4"/>
      <c r="DN1491" s="4"/>
      <c r="DO1491" s="4"/>
      <c r="DP1491" s="4"/>
      <c r="DQ1491" s="4"/>
      <c r="DR1491" s="4"/>
      <c r="DS1491" s="4"/>
    </row>
    <row r="1492">
      <c r="A1492" s="9">
        <f>IFERROR(__xludf.DUMMYFUNCTION("""COMPUTED_VALUE"""),45901.0)</f>
        <v>45901</v>
      </c>
      <c r="B1492" s="6" t="str">
        <f>IFERROR(__xludf.DUMMYFUNCTION("""COMPUTED_VALUE"""),"Groceries")</f>
        <v>Groceries</v>
      </c>
      <c r="C1492" s="7">
        <f>IFERROR(__xludf.DUMMYFUNCTION("""COMPUTED_VALUE"""),14350.0)</f>
        <v>14350</v>
      </c>
      <c r="D1492" s="6" t="str">
        <f>IFERROR(__xludf.DUMMYFUNCTION("""COMPUTED_VALUE"""),"Groceries")</f>
        <v>Groceries</v>
      </c>
      <c r="E1492" s="6" t="str">
        <f>IFERROR(__xludf.DUMMYFUNCTION("""COMPUTED_VALUE"""),"Virtual Wallet")</f>
        <v>Virtual Wallet</v>
      </c>
      <c r="F1492" s="6" t="s">
        <v>7</v>
      </c>
      <c r="G1492" s="8" t="str">
        <f t="shared" si="1"/>
        <v>202509</v>
      </c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  <c r="AA1492" s="4"/>
      <c r="AB1492" s="4"/>
      <c r="AC1492" s="4"/>
      <c r="AD1492" s="4"/>
      <c r="AE1492" s="4"/>
      <c r="AF1492" s="4"/>
      <c r="AG1492" s="4"/>
      <c r="AH1492" s="4"/>
      <c r="AI1492" s="4"/>
      <c r="AJ1492" s="4"/>
      <c r="AK1492" s="4"/>
      <c r="AL1492" s="4"/>
      <c r="AM1492" s="4"/>
      <c r="AN1492" s="4"/>
      <c r="AO1492" s="4"/>
      <c r="AP1492" s="4"/>
      <c r="AQ1492" s="4"/>
      <c r="AR1492" s="4"/>
      <c r="AS1492" s="4"/>
      <c r="AT1492" s="4"/>
      <c r="AU1492" s="4"/>
      <c r="AV1492" s="4"/>
      <c r="AW1492" s="4"/>
      <c r="AX1492" s="4"/>
      <c r="AY1492" s="4"/>
      <c r="AZ1492" s="4"/>
      <c r="BA1492" s="4"/>
      <c r="BB1492" s="4"/>
      <c r="BC1492" s="4"/>
      <c r="BD1492" s="4"/>
      <c r="BE1492" s="4"/>
      <c r="BF1492" s="4"/>
      <c r="BG1492" s="4"/>
      <c r="BH1492" s="4"/>
      <c r="BI1492" s="4"/>
      <c r="BJ1492" s="4"/>
      <c r="BK1492" s="4"/>
      <c r="BL1492" s="4"/>
      <c r="BM1492" s="4"/>
      <c r="BN1492" s="4"/>
      <c r="BO1492" s="4"/>
      <c r="BP1492" s="4"/>
      <c r="BQ1492" s="4"/>
      <c r="BR1492" s="4"/>
      <c r="BS1492" s="4"/>
      <c r="BT1492" s="4"/>
      <c r="BU1492" s="4"/>
      <c r="BV1492" s="4"/>
      <c r="BW1492" s="4"/>
      <c r="BX1492" s="4"/>
      <c r="BY1492" s="4"/>
      <c r="BZ1492" s="4"/>
      <c r="CA1492" s="4"/>
      <c r="CB1492" s="4"/>
      <c r="CC1492" s="4"/>
      <c r="CD1492" s="4"/>
      <c r="CE1492" s="4"/>
      <c r="CF1492" s="4"/>
      <c r="CG1492" s="4"/>
      <c r="CH1492" s="4"/>
      <c r="CI1492" s="4"/>
      <c r="CJ1492" s="4"/>
      <c r="CK1492" s="4"/>
      <c r="CL1492" s="4"/>
      <c r="CM1492" s="4"/>
      <c r="CN1492" s="4"/>
      <c r="CO1492" s="4"/>
      <c r="CP1492" s="4"/>
      <c r="CQ1492" s="4"/>
      <c r="CR1492" s="4"/>
      <c r="CS1492" s="4"/>
      <c r="CT1492" s="4"/>
      <c r="CU1492" s="4"/>
      <c r="CV1492" s="4"/>
      <c r="CW1492" s="4"/>
      <c r="CX1492" s="4"/>
      <c r="CY1492" s="4"/>
      <c r="CZ1492" s="4"/>
      <c r="DA1492" s="4"/>
      <c r="DB1492" s="4"/>
      <c r="DC1492" s="4"/>
      <c r="DD1492" s="4"/>
      <c r="DE1492" s="4"/>
      <c r="DF1492" s="4"/>
      <c r="DG1492" s="4"/>
      <c r="DH1492" s="4"/>
      <c r="DI1492" s="4"/>
      <c r="DJ1492" s="4"/>
      <c r="DK1492" s="4"/>
      <c r="DL1492" s="4"/>
      <c r="DM1492" s="4"/>
      <c r="DN1492" s="4"/>
      <c r="DO1492" s="4"/>
      <c r="DP1492" s="4"/>
      <c r="DQ1492" s="4"/>
      <c r="DR1492" s="4"/>
      <c r="DS1492" s="4"/>
    </row>
    <row r="1493">
      <c r="A1493" s="9">
        <f>IFERROR(__xludf.DUMMYFUNCTION("""COMPUTED_VALUE"""),45901.0)</f>
        <v>45901</v>
      </c>
      <c r="B1493" s="6" t="str">
        <f>IFERROR(__xludf.DUMMYFUNCTION("""COMPUTED_VALUE"""),"Internet Services")</f>
        <v>Internet Services</v>
      </c>
      <c r="C1493" s="7">
        <f>IFERROR(__xludf.DUMMYFUNCTION("""COMPUTED_VALUE"""),31000.0)</f>
        <v>31000</v>
      </c>
      <c r="D1493" s="6" t="str">
        <f>IFERROR(__xludf.DUMMYFUNCTION("""COMPUTED_VALUE"""),"Basic Services")</f>
        <v>Basic Services</v>
      </c>
      <c r="E1493" s="6" t="str">
        <f>IFERROR(__xludf.DUMMYFUNCTION("""COMPUTED_VALUE"""),"Credit Card")</f>
        <v>Credit Card</v>
      </c>
      <c r="F1493" s="6" t="s">
        <v>13</v>
      </c>
      <c r="G1493" s="8" t="str">
        <f t="shared" si="1"/>
        <v>202509</v>
      </c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  <c r="AA1493" s="4"/>
      <c r="AB1493" s="4"/>
      <c r="AC1493" s="4"/>
      <c r="AD1493" s="4"/>
      <c r="AE1493" s="4"/>
      <c r="AF1493" s="4"/>
      <c r="AG1493" s="4"/>
      <c r="AH1493" s="4"/>
      <c r="AI1493" s="4"/>
      <c r="AJ1493" s="4"/>
      <c r="AK1493" s="4"/>
      <c r="AL1493" s="4"/>
      <c r="AM1493" s="4"/>
      <c r="AN1493" s="4"/>
      <c r="AO1493" s="4"/>
      <c r="AP1493" s="4"/>
      <c r="AQ1493" s="4"/>
      <c r="AR1493" s="4"/>
      <c r="AS1493" s="4"/>
      <c r="AT1493" s="4"/>
      <c r="AU1493" s="4"/>
      <c r="AV1493" s="4"/>
      <c r="AW1493" s="4"/>
      <c r="AX1493" s="4"/>
      <c r="AY1493" s="4"/>
      <c r="AZ1493" s="4"/>
      <c r="BA1493" s="4"/>
      <c r="BB1493" s="4"/>
      <c r="BC1493" s="4"/>
      <c r="BD1493" s="4"/>
      <c r="BE1493" s="4"/>
      <c r="BF1493" s="4"/>
      <c r="BG1493" s="4"/>
      <c r="BH1493" s="4"/>
      <c r="BI1493" s="4"/>
      <c r="BJ1493" s="4"/>
      <c r="BK1493" s="4"/>
      <c r="BL1493" s="4"/>
      <c r="BM1493" s="4"/>
      <c r="BN1493" s="4"/>
      <c r="BO1493" s="4"/>
      <c r="BP1493" s="4"/>
      <c r="BQ1493" s="4"/>
      <c r="BR1493" s="4"/>
      <c r="BS1493" s="4"/>
      <c r="BT1493" s="4"/>
      <c r="BU1493" s="4"/>
      <c r="BV1493" s="4"/>
      <c r="BW1493" s="4"/>
      <c r="BX1493" s="4"/>
      <c r="BY1493" s="4"/>
      <c r="BZ1493" s="4"/>
      <c r="CA1493" s="4"/>
      <c r="CB1493" s="4"/>
      <c r="CC1493" s="4"/>
      <c r="CD1493" s="4"/>
      <c r="CE1493" s="4"/>
      <c r="CF1493" s="4"/>
      <c r="CG1493" s="4"/>
      <c r="CH1493" s="4"/>
      <c r="CI1493" s="4"/>
      <c r="CJ1493" s="4"/>
      <c r="CK1493" s="4"/>
      <c r="CL1493" s="4"/>
      <c r="CM1493" s="4"/>
      <c r="CN1493" s="4"/>
      <c r="CO1493" s="4"/>
      <c r="CP1493" s="4"/>
      <c r="CQ1493" s="4"/>
      <c r="CR1493" s="4"/>
      <c r="CS1493" s="4"/>
      <c r="CT1493" s="4"/>
      <c r="CU1493" s="4"/>
      <c r="CV1493" s="4"/>
      <c r="CW1493" s="4"/>
      <c r="CX1493" s="4"/>
      <c r="CY1493" s="4"/>
      <c r="CZ1493" s="4"/>
      <c r="DA1493" s="4"/>
      <c r="DB1493" s="4"/>
      <c r="DC1493" s="4"/>
      <c r="DD1493" s="4"/>
      <c r="DE1493" s="4"/>
      <c r="DF1493" s="4"/>
      <c r="DG1493" s="4"/>
      <c r="DH1493" s="4"/>
      <c r="DI1493" s="4"/>
      <c r="DJ1493" s="4"/>
      <c r="DK1493" s="4"/>
      <c r="DL1493" s="4"/>
      <c r="DM1493" s="4"/>
      <c r="DN1493" s="4"/>
      <c r="DO1493" s="4"/>
      <c r="DP1493" s="4"/>
      <c r="DQ1493" s="4"/>
      <c r="DR1493" s="4"/>
      <c r="DS1493" s="4"/>
    </row>
    <row r="1494">
      <c r="A1494" s="9">
        <f>IFERROR(__xludf.DUMMYFUNCTION("""COMPUTED_VALUE"""),45901.0)</f>
        <v>45901</v>
      </c>
      <c r="B1494" s="6" t="str">
        <f>IFERROR(__xludf.DUMMYFUNCTION("""COMPUTED_VALUE"""),"Municipal Tax (Agip)")</f>
        <v>Municipal Tax (Agip)</v>
      </c>
      <c r="C1494" s="7">
        <f>IFERROR(__xludf.DUMMYFUNCTION("""COMPUTED_VALUE"""),9960.0)</f>
        <v>9960</v>
      </c>
      <c r="D1494" s="6" t="str">
        <f>IFERROR(__xludf.DUMMYFUNCTION("""COMPUTED_VALUE"""),"Basic Services")</f>
        <v>Basic Services</v>
      </c>
      <c r="E1494" s="6" t="str">
        <f>IFERROR(__xludf.DUMMYFUNCTION("""COMPUTED_VALUE"""),"Split Payment")</f>
        <v>Split Payment</v>
      </c>
      <c r="F1494" s="6" t="s">
        <v>13</v>
      </c>
      <c r="G1494" s="8" t="str">
        <f t="shared" si="1"/>
        <v>202509</v>
      </c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  <c r="AA1494" s="4"/>
      <c r="AB1494" s="4"/>
      <c r="AC1494" s="4"/>
      <c r="AD1494" s="4"/>
      <c r="AE1494" s="4"/>
      <c r="AF1494" s="4"/>
      <c r="AG1494" s="4"/>
      <c r="AH1494" s="4"/>
      <c r="AI1494" s="4"/>
      <c r="AJ1494" s="4"/>
      <c r="AK1494" s="4"/>
      <c r="AL1494" s="4"/>
      <c r="AM1494" s="4"/>
      <c r="AN1494" s="4"/>
      <c r="AO1494" s="4"/>
      <c r="AP1494" s="4"/>
      <c r="AQ1494" s="4"/>
      <c r="AR1494" s="4"/>
      <c r="AS1494" s="4"/>
      <c r="AT1494" s="4"/>
      <c r="AU1494" s="4"/>
      <c r="AV1494" s="4"/>
      <c r="AW1494" s="4"/>
      <c r="AX1494" s="4"/>
      <c r="AY1494" s="4"/>
      <c r="AZ1494" s="4"/>
      <c r="BA1494" s="4"/>
      <c r="BB1494" s="4"/>
      <c r="BC1494" s="4"/>
      <c r="BD1494" s="4"/>
      <c r="BE1494" s="4"/>
      <c r="BF1494" s="4"/>
      <c r="BG1494" s="4"/>
      <c r="BH1494" s="4"/>
      <c r="BI1494" s="4"/>
      <c r="BJ1494" s="4"/>
      <c r="BK1494" s="4"/>
      <c r="BL1494" s="4"/>
      <c r="BM1494" s="4"/>
      <c r="BN1494" s="4"/>
      <c r="BO1494" s="4"/>
      <c r="BP1494" s="4"/>
      <c r="BQ1494" s="4"/>
      <c r="BR1494" s="4"/>
      <c r="BS1494" s="4"/>
      <c r="BT1494" s="4"/>
      <c r="BU1494" s="4"/>
      <c r="BV1494" s="4"/>
      <c r="BW1494" s="4"/>
      <c r="BX1494" s="4"/>
      <c r="BY1494" s="4"/>
      <c r="BZ1494" s="4"/>
      <c r="CA1494" s="4"/>
      <c r="CB1494" s="4"/>
      <c r="CC1494" s="4"/>
      <c r="CD1494" s="4"/>
      <c r="CE1494" s="4"/>
      <c r="CF1494" s="4"/>
      <c r="CG1494" s="4"/>
      <c r="CH1494" s="4"/>
      <c r="CI1494" s="4"/>
      <c r="CJ1494" s="4"/>
      <c r="CK1494" s="4"/>
      <c r="CL1494" s="4"/>
      <c r="CM1494" s="4"/>
      <c r="CN1494" s="4"/>
      <c r="CO1494" s="4"/>
      <c r="CP1494" s="4"/>
      <c r="CQ1494" s="4"/>
      <c r="CR1494" s="4"/>
      <c r="CS1494" s="4"/>
      <c r="CT1494" s="4"/>
      <c r="CU1494" s="4"/>
      <c r="CV1494" s="4"/>
      <c r="CW1494" s="4"/>
      <c r="CX1494" s="4"/>
      <c r="CY1494" s="4"/>
      <c r="CZ1494" s="4"/>
      <c r="DA1494" s="4"/>
      <c r="DB1494" s="4"/>
      <c r="DC1494" s="4"/>
      <c r="DD1494" s="4"/>
      <c r="DE1494" s="4"/>
      <c r="DF1494" s="4"/>
      <c r="DG1494" s="4"/>
      <c r="DH1494" s="4"/>
      <c r="DI1494" s="4"/>
      <c r="DJ1494" s="4"/>
      <c r="DK1494" s="4"/>
      <c r="DL1494" s="4"/>
      <c r="DM1494" s="4"/>
      <c r="DN1494" s="4"/>
      <c r="DO1494" s="4"/>
      <c r="DP1494" s="4"/>
      <c r="DQ1494" s="4"/>
      <c r="DR1494" s="4"/>
      <c r="DS1494" s="4"/>
    </row>
    <row r="1495">
      <c r="A1495" s="9">
        <f>IFERROR(__xludf.DUMMYFUNCTION("""COMPUTED_VALUE"""),45901.0)</f>
        <v>45901</v>
      </c>
      <c r="B1495" s="6" t="str">
        <f>IFERROR(__xludf.DUMMYFUNCTION("""COMPUTED_VALUE"""),"Rent &amp; Building Expenses")</f>
        <v>Rent &amp; Building Expenses</v>
      </c>
      <c r="C1495" s="7">
        <f>IFERROR(__xludf.DUMMYFUNCTION("""COMPUTED_VALUE"""),485000.0)</f>
        <v>485000</v>
      </c>
      <c r="D1495" s="6" t="str">
        <f>IFERROR(__xludf.DUMMYFUNCTION("""COMPUTED_VALUE"""),"Rent &amp; Utilities")</f>
        <v>Rent &amp; Utilities</v>
      </c>
      <c r="E1495" s="6" t="str">
        <f>IFERROR(__xludf.DUMMYFUNCTION("""COMPUTED_VALUE"""),"Virtual Wallet")</f>
        <v>Virtual Wallet</v>
      </c>
      <c r="F1495" s="6" t="s">
        <v>13</v>
      </c>
      <c r="G1495" s="8" t="str">
        <f t="shared" si="1"/>
        <v>202509</v>
      </c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  <c r="AA1495" s="4"/>
      <c r="AB1495" s="4"/>
      <c r="AC1495" s="4"/>
      <c r="AD1495" s="4"/>
      <c r="AE1495" s="4"/>
      <c r="AF1495" s="4"/>
      <c r="AG1495" s="4"/>
      <c r="AH1495" s="4"/>
      <c r="AI1495" s="4"/>
      <c r="AJ1495" s="4"/>
      <c r="AK1495" s="4"/>
      <c r="AL1495" s="4"/>
      <c r="AM1495" s="4"/>
      <c r="AN1495" s="4"/>
      <c r="AO1495" s="4"/>
      <c r="AP1495" s="4"/>
      <c r="AQ1495" s="4"/>
      <c r="AR1495" s="4"/>
      <c r="AS1495" s="4"/>
      <c r="AT1495" s="4"/>
      <c r="AU1495" s="4"/>
      <c r="AV1495" s="4"/>
      <c r="AW1495" s="4"/>
      <c r="AX1495" s="4"/>
      <c r="AY1495" s="4"/>
      <c r="AZ1495" s="4"/>
      <c r="BA1495" s="4"/>
      <c r="BB1495" s="4"/>
      <c r="BC1495" s="4"/>
      <c r="BD1495" s="4"/>
      <c r="BE1495" s="4"/>
      <c r="BF1495" s="4"/>
      <c r="BG1495" s="4"/>
      <c r="BH1495" s="4"/>
      <c r="BI1495" s="4"/>
      <c r="BJ1495" s="4"/>
      <c r="BK1495" s="4"/>
      <c r="BL1495" s="4"/>
      <c r="BM1495" s="4"/>
      <c r="BN1495" s="4"/>
      <c r="BO1495" s="4"/>
      <c r="BP1495" s="4"/>
      <c r="BQ1495" s="4"/>
      <c r="BR1495" s="4"/>
      <c r="BS1495" s="4"/>
      <c r="BT1495" s="4"/>
      <c r="BU1495" s="4"/>
      <c r="BV1495" s="4"/>
      <c r="BW1495" s="4"/>
      <c r="BX1495" s="4"/>
      <c r="BY1495" s="4"/>
      <c r="BZ1495" s="4"/>
      <c r="CA1495" s="4"/>
      <c r="CB1495" s="4"/>
      <c r="CC1495" s="4"/>
      <c r="CD1495" s="4"/>
      <c r="CE1495" s="4"/>
      <c r="CF1495" s="4"/>
      <c r="CG1495" s="4"/>
      <c r="CH1495" s="4"/>
      <c r="CI1495" s="4"/>
      <c r="CJ1495" s="4"/>
      <c r="CK1495" s="4"/>
      <c r="CL1495" s="4"/>
      <c r="CM1495" s="4"/>
      <c r="CN1495" s="4"/>
      <c r="CO1495" s="4"/>
      <c r="CP1495" s="4"/>
      <c r="CQ1495" s="4"/>
      <c r="CR1495" s="4"/>
      <c r="CS1495" s="4"/>
      <c r="CT1495" s="4"/>
      <c r="CU1495" s="4"/>
      <c r="CV1495" s="4"/>
      <c r="CW1495" s="4"/>
      <c r="CX1495" s="4"/>
      <c r="CY1495" s="4"/>
      <c r="CZ1495" s="4"/>
      <c r="DA1495" s="4"/>
      <c r="DB1495" s="4"/>
      <c r="DC1495" s="4"/>
      <c r="DD1495" s="4"/>
      <c r="DE1495" s="4"/>
      <c r="DF1495" s="4"/>
      <c r="DG1495" s="4"/>
      <c r="DH1495" s="4"/>
      <c r="DI1495" s="4"/>
      <c r="DJ1495" s="4"/>
      <c r="DK1495" s="4"/>
      <c r="DL1495" s="4"/>
      <c r="DM1495" s="4"/>
      <c r="DN1495" s="4"/>
      <c r="DO1495" s="4"/>
      <c r="DP1495" s="4"/>
      <c r="DQ1495" s="4"/>
      <c r="DR1495" s="4"/>
      <c r="DS1495" s="4"/>
    </row>
    <row r="1496">
      <c r="A1496" s="9">
        <f>IFERROR(__xludf.DUMMYFUNCTION("""COMPUTED_VALUE"""),45901.0)</f>
        <v>45901</v>
      </c>
      <c r="B1496" s="6" t="str">
        <f>IFERROR(__xludf.DUMMYFUNCTION("""COMPUTED_VALUE"""),"Streaming Services")</f>
        <v>Streaming Services</v>
      </c>
      <c r="C1496" s="7">
        <f>IFERROR(__xludf.DUMMYFUNCTION("""COMPUTED_VALUE"""),7497.0)</f>
        <v>7497</v>
      </c>
      <c r="D1496" s="6" t="str">
        <f>IFERROR(__xludf.DUMMYFUNCTION("""COMPUTED_VALUE"""),"Streaming Services")</f>
        <v>Streaming Services</v>
      </c>
      <c r="E1496" s="6" t="str">
        <f>IFERROR(__xludf.DUMMYFUNCTION("""COMPUTED_VALUE"""),"Credit Card")</f>
        <v>Credit Card</v>
      </c>
      <c r="F1496" s="6" t="s">
        <v>12</v>
      </c>
      <c r="G1496" s="8" t="str">
        <f t="shared" si="1"/>
        <v>202509</v>
      </c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  <c r="AA1496" s="4"/>
      <c r="AB1496" s="4"/>
      <c r="AC1496" s="4"/>
      <c r="AD1496" s="4"/>
      <c r="AE1496" s="4"/>
      <c r="AF1496" s="4"/>
      <c r="AG1496" s="4"/>
      <c r="AH1496" s="4"/>
      <c r="AI1496" s="4"/>
      <c r="AJ1496" s="4"/>
      <c r="AK1496" s="4"/>
      <c r="AL1496" s="4"/>
      <c r="AM1496" s="4"/>
      <c r="AN1496" s="4"/>
      <c r="AO1496" s="4"/>
      <c r="AP1496" s="4"/>
      <c r="AQ1496" s="4"/>
      <c r="AR1496" s="4"/>
      <c r="AS1496" s="4"/>
      <c r="AT1496" s="4"/>
      <c r="AU1496" s="4"/>
      <c r="AV1496" s="4"/>
      <c r="AW1496" s="4"/>
      <c r="AX1496" s="4"/>
      <c r="AY1496" s="4"/>
      <c r="AZ1496" s="4"/>
      <c r="BA1496" s="4"/>
      <c r="BB1496" s="4"/>
      <c r="BC1496" s="4"/>
      <c r="BD1496" s="4"/>
      <c r="BE1496" s="4"/>
      <c r="BF1496" s="4"/>
      <c r="BG1496" s="4"/>
      <c r="BH1496" s="4"/>
      <c r="BI1496" s="4"/>
      <c r="BJ1496" s="4"/>
      <c r="BK1496" s="4"/>
      <c r="BL1496" s="4"/>
      <c r="BM1496" s="4"/>
      <c r="BN1496" s="4"/>
      <c r="BO1496" s="4"/>
      <c r="BP1496" s="4"/>
      <c r="BQ1496" s="4"/>
      <c r="BR1496" s="4"/>
      <c r="BS1496" s="4"/>
      <c r="BT1496" s="4"/>
      <c r="BU1496" s="4"/>
      <c r="BV1496" s="4"/>
      <c r="BW1496" s="4"/>
      <c r="BX1496" s="4"/>
      <c r="BY1496" s="4"/>
      <c r="BZ1496" s="4"/>
      <c r="CA1496" s="4"/>
      <c r="CB1496" s="4"/>
      <c r="CC1496" s="4"/>
      <c r="CD1496" s="4"/>
      <c r="CE1496" s="4"/>
      <c r="CF1496" s="4"/>
      <c r="CG1496" s="4"/>
      <c r="CH1496" s="4"/>
      <c r="CI1496" s="4"/>
      <c r="CJ1496" s="4"/>
      <c r="CK1496" s="4"/>
      <c r="CL1496" s="4"/>
      <c r="CM1496" s="4"/>
      <c r="CN1496" s="4"/>
      <c r="CO1496" s="4"/>
      <c r="CP1496" s="4"/>
      <c r="CQ1496" s="4"/>
      <c r="CR1496" s="4"/>
      <c r="CS1496" s="4"/>
      <c r="CT1496" s="4"/>
      <c r="CU1496" s="4"/>
      <c r="CV1496" s="4"/>
      <c r="CW1496" s="4"/>
      <c r="CX1496" s="4"/>
      <c r="CY1496" s="4"/>
      <c r="CZ1496" s="4"/>
      <c r="DA1496" s="4"/>
      <c r="DB1496" s="4"/>
      <c r="DC1496" s="4"/>
      <c r="DD1496" s="4"/>
      <c r="DE1496" s="4"/>
      <c r="DF1496" s="4"/>
      <c r="DG1496" s="4"/>
      <c r="DH1496" s="4"/>
      <c r="DI1496" s="4"/>
      <c r="DJ1496" s="4"/>
      <c r="DK1496" s="4"/>
      <c r="DL1496" s="4"/>
      <c r="DM1496" s="4"/>
      <c r="DN1496" s="4"/>
      <c r="DO1496" s="4"/>
      <c r="DP1496" s="4"/>
      <c r="DQ1496" s="4"/>
      <c r="DR1496" s="4"/>
      <c r="DS1496" s="4"/>
    </row>
    <row r="1497">
      <c r="A1497" s="9">
        <f>IFERROR(__xludf.DUMMYFUNCTION("""COMPUTED_VALUE"""),45901.0)</f>
        <v>45901</v>
      </c>
      <c r="B1497" s="6" t="str">
        <f>IFERROR(__xludf.DUMMYFUNCTION("""COMPUTED_VALUE"""),"Streaming Services")</f>
        <v>Streaming Services</v>
      </c>
      <c r="C1497" s="7">
        <f>IFERROR(__xludf.DUMMYFUNCTION("""COMPUTED_VALUE"""),9059.0)</f>
        <v>9059</v>
      </c>
      <c r="D1497" s="6" t="str">
        <f>IFERROR(__xludf.DUMMYFUNCTION("""COMPUTED_VALUE"""),"Streaming Services")</f>
        <v>Streaming Services</v>
      </c>
      <c r="E1497" s="6" t="str">
        <f>IFERROR(__xludf.DUMMYFUNCTION("""COMPUTED_VALUE"""),"Credit Card")</f>
        <v>Credit Card</v>
      </c>
      <c r="F1497" s="6" t="s">
        <v>12</v>
      </c>
      <c r="G1497" s="8" t="str">
        <f t="shared" si="1"/>
        <v>202509</v>
      </c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  <c r="AA1497" s="4"/>
      <c r="AB1497" s="4"/>
      <c r="AC1497" s="4"/>
      <c r="AD1497" s="4"/>
      <c r="AE1497" s="4"/>
      <c r="AF1497" s="4"/>
      <c r="AG1497" s="4"/>
      <c r="AH1497" s="4"/>
      <c r="AI1497" s="4"/>
      <c r="AJ1497" s="4"/>
      <c r="AK1497" s="4"/>
      <c r="AL1497" s="4"/>
      <c r="AM1497" s="4"/>
      <c r="AN1497" s="4"/>
      <c r="AO1497" s="4"/>
      <c r="AP1497" s="4"/>
      <c r="AQ1497" s="4"/>
      <c r="AR1497" s="4"/>
      <c r="AS1497" s="4"/>
      <c r="AT1497" s="4"/>
      <c r="AU1497" s="4"/>
      <c r="AV1497" s="4"/>
      <c r="AW1497" s="4"/>
      <c r="AX1497" s="4"/>
      <c r="AY1497" s="4"/>
      <c r="AZ1497" s="4"/>
      <c r="BA1497" s="4"/>
      <c r="BB1497" s="4"/>
      <c r="BC1497" s="4"/>
      <c r="BD1497" s="4"/>
      <c r="BE1497" s="4"/>
      <c r="BF1497" s="4"/>
      <c r="BG1497" s="4"/>
      <c r="BH1497" s="4"/>
      <c r="BI1497" s="4"/>
      <c r="BJ1497" s="4"/>
      <c r="BK1497" s="4"/>
      <c r="BL1497" s="4"/>
      <c r="BM1497" s="4"/>
      <c r="BN1497" s="4"/>
      <c r="BO1497" s="4"/>
      <c r="BP1497" s="4"/>
      <c r="BQ1497" s="4"/>
      <c r="BR1497" s="4"/>
      <c r="BS1497" s="4"/>
      <c r="BT1497" s="4"/>
      <c r="BU1497" s="4"/>
      <c r="BV1497" s="4"/>
      <c r="BW1497" s="4"/>
      <c r="BX1497" s="4"/>
      <c r="BY1497" s="4"/>
      <c r="BZ1497" s="4"/>
      <c r="CA1497" s="4"/>
      <c r="CB1497" s="4"/>
      <c r="CC1497" s="4"/>
      <c r="CD1497" s="4"/>
      <c r="CE1497" s="4"/>
      <c r="CF1497" s="4"/>
      <c r="CG1497" s="4"/>
      <c r="CH1497" s="4"/>
      <c r="CI1497" s="4"/>
      <c r="CJ1497" s="4"/>
      <c r="CK1497" s="4"/>
      <c r="CL1497" s="4"/>
      <c r="CM1497" s="4"/>
      <c r="CN1497" s="4"/>
      <c r="CO1497" s="4"/>
      <c r="CP1497" s="4"/>
      <c r="CQ1497" s="4"/>
      <c r="CR1497" s="4"/>
      <c r="CS1497" s="4"/>
      <c r="CT1497" s="4"/>
      <c r="CU1497" s="4"/>
      <c r="CV1497" s="4"/>
      <c r="CW1497" s="4"/>
      <c r="CX1497" s="4"/>
      <c r="CY1497" s="4"/>
      <c r="CZ1497" s="4"/>
      <c r="DA1497" s="4"/>
      <c r="DB1497" s="4"/>
      <c r="DC1497" s="4"/>
      <c r="DD1497" s="4"/>
      <c r="DE1497" s="4"/>
      <c r="DF1497" s="4"/>
      <c r="DG1497" s="4"/>
      <c r="DH1497" s="4"/>
      <c r="DI1497" s="4"/>
      <c r="DJ1497" s="4"/>
      <c r="DK1497" s="4"/>
      <c r="DL1497" s="4"/>
      <c r="DM1497" s="4"/>
      <c r="DN1497" s="4"/>
      <c r="DO1497" s="4"/>
      <c r="DP1497" s="4"/>
      <c r="DQ1497" s="4"/>
      <c r="DR1497" s="4"/>
      <c r="DS1497" s="4"/>
    </row>
    <row r="1498">
      <c r="A1498" s="9">
        <f>IFERROR(__xludf.DUMMYFUNCTION("""COMPUTED_VALUE"""),45901.0)</f>
        <v>45901</v>
      </c>
      <c r="B1498" s="6" t="str">
        <f>IFERROR(__xludf.DUMMYFUNCTION("""COMPUTED_VALUE"""),"Streaming Services")</f>
        <v>Streaming Services</v>
      </c>
      <c r="C1498" s="7">
        <f>IFERROR(__xludf.DUMMYFUNCTION("""COMPUTED_VALUE"""),3321.0)</f>
        <v>3321</v>
      </c>
      <c r="D1498" s="6" t="str">
        <f>IFERROR(__xludf.DUMMYFUNCTION("""COMPUTED_VALUE"""),"Streaming Services")</f>
        <v>Streaming Services</v>
      </c>
      <c r="E1498" s="6" t="str">
        <f>IFERROR(__xludf.DUMMYFUNCTION("""COMPUTED_VALUE"""),"Credit Card")</f>
        <v>Credit Card</v>
      </c>
      <c r="F1498" s="6" t="s">
        <v>12</v>
      </c>
      <c r="G1498" s="8" t="str">
        <f t="shared" si="1"/>
        <v>202509</v>
      </c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  <c r="AA1498" s="4"/>
      <c r="AB1498" s="4"/>
      <c r="AC1498" s="4"/>
      <c r="AD1498" s="4"/>
      <c r="AE1498" s="4"/>
      <c r="AF1498" s="4"/>
      <c r="AG1498" s="4"/>
      <c r="AH1498" s="4"/>
      <c r="AI1498" s="4"/>
      <c r="AJ1498" s="4"/>
      <c r="AK1498" s="4"/>
      <c r="AL1498" s="4"/>
      <c r="AM1498" s="4"/>
      <c r="AN1498" s="4"/>
      <c r="AO1498" s="4"/>
      <c r="AP1498" s="4"/>
      <c r="AQ1498" s="4"/>
      <c r="AR1498" s="4"/>
      <c r="AS1498" s="4"/>
      <c r="AT1498" s="4"/>
      <c r="AU1498" s="4"/>
      <c r="AV1498" s="4"/>
      <c r="AW1498" s="4"/>
      <c r="AX1498" s="4"/>
      <c r="AY1498" s="4"/>
      <c r="AZ1498" s="4"/>
      <c r="BA1498" s="4"/>
      <c r="BB1498" s="4"/>
      <c r="BC1498" s="4"/>
      <c r="BD1498" s="4"/>
      <c r="BE1498" s="4"/>
      <c r="BF1498" s="4"/>
      <c r="BG1498" s="4"/>
      <c r="BH1498" s="4"/>
      <c r="BI1498" s="4"/>
      <c r="BJ1498" s="4"/>
      <c r="BK1498" s="4"/>
      <c r="BL1498" s="4"/>
      <c r="BM1498" s="4"/>
      <c r="BN1498" s="4"/>
      <c r="BO1498" s="4"/>
      <c r="BP1498" s="4"/>
      <c r="BQ1498" s="4"/>
      <c r="BR1498" s="4"/>
      <c r="BS1498" s="4"/>
      <c r="BT1498" s="4"/>
      <c r="BU1498" s="4"/>
      <c r="BV1498" s="4"/>
      <c r="BW1498" s="4"/>
      <c r="BX1498" s="4"/>
      <c r="BY1498" s="4"/>
      <c r="BZ1498" s="4"/>
      <c r="CA1498" s="4"/>
      <c r="CB1498" s="4"/>
      <c r="CC1498" s="4"/>
      <c r="CD1498" s="4"/>
      <c r="CE1498" s="4"/>
      <c r="CF1498" s="4"/>
      <c r="CG1498" s="4"/>
      <c r="CH1498" s="4"/>
      <c r="CI1498" s="4"/>
      <c r="CJ1498" s="4"/>
      <c r="CK1498" s="4"/>
      <c r="CL1498" s="4"/>
      <c r="CM1498" s="4"/>
      <c r="CN1498" s="4"/>
      <c r="CO1498" s="4"/>
      <c r="CP1498" s="4"/>
      <c r="CQ1498" s="4"/>
      <c r="CR1498" s="4"/>
      <c r="CS1498" s="4"/>
      <c r="CT1498" s="4"/>
      <c r="CU1498" s="4"/>
      <c r="CV1498" s="4"/>
      <c r="CW1498" s="4"/>
      <c r="CX1498" s="4"/>
      <c r="CY1498" s="4"/>
      <c r="CZ1498" s="4"/>
      <c r="DA1498" s="4"/>
      <c r="DB1498" s="4"/>
      <c r="DC1498" s="4"/>
      <c r="DD1498" s="4"/>
      <c r="DE1498" s="4"/>
      <c r="DF1498" s="4"/>
      <c r="DG1498" s="4"/>
      <c r="DH1498" s="4"/>
      <c r="DI1498" s="4"/>
      <c r="DJ1498" s="4"/>
      <c r="DK1498" s="4"/>
      <c r="DL1498" s="4"/>
      <c r="DM1498" s="4"/>
      <c r="DN1498" s="4"/>
      <c r="DO1498" s="4"/>
      <c r="DP1498" s="4"/>
      <c r="DQ1498" s="4"/>
      <c r="DR1498" s="4"/>
      <c r="DS1498" s="4"/>
    </row>
    <row r="1499">
      <c r="A1499" s="9">
        <f>IFERROR(__xludf.DUMMYFUNCTION("""COMPUTED_VALUE"""),45902.0)</f>
        <v>45902</v>
      </c>
      <c r="B1499" s="6" t="str">
        <f>IFERROR(__xludf.DUMMYFUNCTION("""COMPUTED_VALUE"""),"Pets")</f>
        <v>Pets</v>
      </c>
      <c r="C1499" s="7">
        <f>IFERROR(__xludf.DUMMYFUNCTION("""COMPUTED_VALUE"""),5100.0)</f>
        <v>5100</v>
      </c>
      <c r="D1499" s="6" t="str">
        <f>IFERROR(__xludf.DUMMYFUNCTION("""COMPUTED_VALUE"""),"Pets")</f>
        <v>Pets</v>
      </c>
      <c r="E1499" s="6" t="str">
        <f>IFERROR(__xludf.DUMMYFUNCTION("""COMPUTED_VALUE"""),"Virtual Wallet")</f>
        <v>Virtual Wallet</v>
      </c>
      <c r="F1499" s="6" t="s">
        <v>7</v>
      </c>
      <c r="G1499" s="8" t="str">
        <f t="shared" si="1"/>
        <v>202509</v>
      </c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  <c r="AA1499" s="4"/>
      <c r="AB1499" s="4"/>
      <c r="AC1499" s="4"/>
      <c r="AD1499" s="4"/>
      <c r="AE1499" s="4"/>
      <c r="AF1499" s="4"/>
      <c r="AG1499" s="4"/>
      <c r="AH1499" s="4"/>
      <c r="AI1499" s="4"/>
      <c r="AJ1499" s="4"/>
      <c r="AK1499" s="4"/>
      <c r="AL1499" s="4"/>
      <c r="AM1499" s="4"/>
      <c r="AN1499" s="4"/>
      <c r="AO1499" s="4"/>
      <c r="AP1499" s="4"/>
      <c r="AQ1499" s="4"/>
      <c r="AR1499" s="4"/>
      <c r="AS1499" s="4"/>
      <c r="AT1499" s="4"/>
      <c r="AU1499" s="4"/>
      <c r="AV1499" s="4"/>
      <c r="AW1499" s="4"/>
      <c r="AX1499" s="4"/>
      <c r="AY1499" s="4"/>
      <c r="AZ1499" s="4"/>
      <c r="BA1499" s="4"/>
      <c r="BB1499" s="4"/>
      <c r="BC1499" s="4"/>
      <c r="BD1499" s="4"/>
      <c r="BE1499" s="4"/>
      <c r="BF1499" s="4"/>
      <c r="BG1499" s="4"/>
      <c r="BH1499" s="4"/>
      <c r="BI1499" s="4"/>
      <c r="BJ1499" s="4"/>
      <c r="BK1499" s="4"/>
      <c r="BL1499" s="4"/>
      <c r="BM1499" s="4"/>
      <c r="BN1499" s="4"/>
      <c r="BO1499" s="4"/>
      <c r="BP1499" s="4"/>
      <c r="BQ1499" s="4"/>
      <c r="BR1499" s="4"/>
      <c r="BS1499" s="4"/>
      <c r="BT1499" s="4"/>
      <c r="BU1499" s="4"/>
      <c r="BV1499" s="4"/>
      <c r="BW1499" s="4"/>
      <c r="BX1499" s="4"/>
      <c r="BY1499" s="4"/>
      <c r="BZ1499" s="4"/>
      <c r="CA1499" s="4"/>
      <c r="CB1499" s="4"/>
      <c r="CC1499" s="4"/>
      <c r="CD1499" s="4"/>
      <c r="CE1499" s="4"/>
      <c r="CF1499" s="4"/>
      <c r="CG1499" s="4"/>
      <c r="CH1499" s="4"/>
      <c r="CI1499" s="4"/>
      <c r="CJ1499" s="4"/>
      <c r="CK1499" s="4"/>
      <c r="CL1499" s="4"/>
      <c r="CM1499" s="4"/>
      <c r="CN1499" s="4"/>
      <c r="CO1499" s="4"/>
      <c r="CP1499" s="4"/>
      <c r="CQ1499" s="4"/>
      <c r="CR1499" s="4"/>
      <c r="CS1499" s="4"/>
      <c r="CT1499" s="4"/>
      <c r="CU1499" s="4"/>
      <c r="CV1499" s="4"/>
      <c r="CW1499" s="4"/>
      <c r="CX1499" s="4"/>
      <c r="CY1499" s="4"/>
      <c r="CZ1499" s="4"/>
      <c r="DA1499" s="4"/>
      <c r="DB1499" s="4"/>
      <c r="DC1499" s="4"/>
      <c r="DD1499" s="4"/>
      <c r="DE1499" s="4"/>
      <c r="DF1499" s="4"/>
      <c r="DG1499" s="4"/>
      <c r="DH1499" s="4"/>
      <c r="DI1499" s="4"/>
      <c r="DJ1499" s="4"/>
      <c r="DK1499" s="4"/>
      <c r="DL1499" s="4"/>
      <c r="DM1499" s="4"/>
      <c r="DN1499" s="4"/>
      <c r="DO1499" s="4"/>
      <c r="DP1499" s="4"/>
      <c r="DQ1499" s="4"/>
      <c r="DR1499" s="4"/>
      <c r="DS1499" s="4"/>
    </row>
    <row r="1500">
      <c r="A1500" s="9">
        <f>IFERROR(__xludf.DUMMYFUNCTION("""COMPUTED_VALUE"""),45903.0)</f>
        <v>45903</v>
      </c>
      <c r="B1500" s="6" t="str">
        <f>IFERROR(__xludf.DUMMYFUNCTION("""COMPUTED_VALUE"""),"Restaurant")</f>
        <v>Restaurant</v>
      </c>
      <c r="C1500" s="7">
        <f>IFERROR(__xludf.DUMMYFUNCTION("""COMPUTED_VALUE"""),8220.0)</f>
        <v>8220</v>
      </c>
      <c r="D1500" s="6" t="str">
        <f>IFERROR(__xludf.DUMMYFUNCTION("""COMPUTED_VALUE"""),"Restaurant / Café")</f>
        <v>Restaurant / Café</v>
      </c>
      <c r="E1500" s="6" t="str">
        <f>IFERROR(__xludf.DUMMYFUNCTION("""COMPUTED_VALUE"""),"Virtual Wallet")</f>
        <v>Virtual Wallet</v>
      </c>
      <c r="F1500" s="6" t="s">
        <v>14</v>
      </c>
      <c r="G1500" s="8" t="str">
        <f t="shared" si="1"/>
        <v>202509</v>
      </c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  <c r="AA1500" s="4"/>
      <c r="AB1500" s="4"/>
      <c r="AC1500" s="4"/>
      <c r="AD1500" s="4"/>
      <c r="AE1500" s="4"/>
      <c r="AF1500" s="4"/>
      <c r="AG1500" s="4"/>
      <c r="AH1500" s="4"/>
      <c r="AI1500" s="4"/>
      <c r="AJ1500" s="4"/>
      <c r="AK1500" s="4"/>
      <c r="AL1500" s="4"/>
      <c r="AM1500" s="4"/>
      <c r="AN1500" s="4"/>
      <c r="AO1500" s="4"/>
      <c r="AP1500" s="4"/>
      <c r="AQ1500" s="4"/>
      <c r="AR1500" s="4"/>
      <c r="AS1500" s="4"/>
      <c r="AT1500" s="4"/>
      <c r="AU1500" s="4"/>
      <c r="AV1500" s="4"/>
      <c r="AW1500" s="4"/>
      <c r="AX1500" s="4"/>
      <c r="AY1500" s="4"/>
      <c r="AZ1500" s="4"/>
      <c r="BA1500" s="4"/>
      <c r="BB1500" s="4"/>
      <c r="BC1500" s="4"/>
      <c r="BD1500" s="4"/>
      <c r="BE1500" s="4"/>
      <c r="BF1500" s="4"/>
      <c r="BG1500" s="4"/>
      <c r="BH1500" s="4"/>
      <c r="BI1500" s="4"/>
      <c r="BJ1500" s="4"/>
      <c r="BK1500" s="4"/>
      <c r="BL1500" s="4"/>
      <c r="BM1500" s="4"/>
      <c r="BN1500" s="4"/>
      <c r="BO1500" s="4"/>
      <c r="BP1500" s="4"/>
      <c r="BQ1500" s="4"/>
      <c r="BR1500" s="4"/>
      <c r="BS1500" s="4"/>
      <c r="BT1500" s="4"/>
      <c r="BU1500" s="4"/>
      <c r="BV1500" s="4"/>
      <c r="BW1500" s="4"/>
      <c r="BX1500" s="4"/>
      <c r="BY1500" s="4"/>
      <c r="BZ1500" s="4"/>
      <c r="CA1500" s="4"/>
      <c r="CB1500" s="4"/>
      <c r="CC1500" s="4"/>
      <c r="CD1500" s="4"/>
      <c r="CE1500" s="4"/>
      <c r="CF1500" s="4"/>
      <c r="CG1500" s="4"/>
      <c r="CH1500" s="4"/>
      <c r="CI1500" s="4"/>
      <c r="CJ1500" s="4"/>
      <c r="CK1500" s="4"/>
      <c r="CL1500" s="4"/>
      <c r="CM1500" s="4"/>
      <c r="CN1500" s="4"/>
      <c r="CO1500" s="4"/>
      <c r="CP1500" s="4"/>
      <c r="CQ1500" s="4"/>
      <c r="CR1500" s="4"/>
      <c r="CS1500" s="4"/>
      <c r="CT1500" s="4"/>
      <c r="CU1500" s="4"/>
      <c r="CV1500" s="4"/>
      <c r="CW1500" s="4"/>
      <c r="CX1500" s="4"/>
      <c r="CY1500" s="4"/>
      <c r="CZ1500" s="4"/>
      <c r="DA1500" s="4"/>
      <c r="DB1500" s="4"/>
      <c r="DC1500" s="4"/>
      <c r="DD1500" s="4"/>
      <c r="DE1500" s="4"/>
      <c r="DF1500" s="4"/>
      <c r="DG1500" s="4"/>
      <c r="DH1500" s="4"/>
      <c r="DI1500" s="4"/>
      <c r="DJ1500" s="4"/>
      <c r="DK1500" s="4"/>
      <c r="DL1500" s="4"/>
      <c r="DM1500" s="4"/>
      <c r="DN1500" s="4"/>
      <c r="DO1500" s="4"/>
      <c r="DP1500" s="4"/>
      <c r="DQ1500" s="4"/>
      <c r="DR1500" s="4"/>
      <c r="DS1500" s="4"/>
    </row>
    <row r="1501">
      <c r="A1501" s="9">
        <f>IFERROR(__xludf.DUMMYFUNCTION("""COMPUTED_VALUE"""),45904.0)</f>
        <v>45904</v>
      </c>
      <c r="B1501" s="6" t="str">
        <f>IFERROR(__xludf.DUMMYFUNCTION("""COMPUTED_VALUE"""),"Groceries")</f>
        <v>Groceries</v>
      </c>
      <c r="C1501" s="7">
        <f>IFERROR(__xludf.DUMMYFUNCTION("""COMPUTED_VALUE"""),5000.0)</f>
        <v>5000</v>
      </c>
      <c r="D1501" s="6" t="str">
        <f>IFERROR(__xludf.DUMMYFUNCTION("""COMPUTED_VALUE"""),"Groceries")</f>
        <v>Groceries</v>
      </c>
      <c r="E1501" s="6" t="str">
        <f>IFERROR(__xludf.DUMMYFUNCTION("""COMPUTED_VALUE"""),"Split Payment")</f>
        <v>Split Payment</v>
      </c>
      <c r="F1501" s="6" t="s">
        <v>7</v>
      </c>
      <c r="G1501" s="8" t="str">
        <f t="shared" si="1"/>
        <v>202509</v>
      </c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  <c r="AA1501" s="4"/>
      <c r="AB1501" s="4"/>
      <c r="AC1501" s="4"/>
      <c r="AD1501" s="4"/>
      <c r="AE1501" s="4"/>
      <c r="AF1501" s="4"/>
      <c r="AG1501" s="4"/>
      <c r="AH1501" s="4"/>
      <c r="AI1501" s="4"/>
      <c r="AJ1501" s="4"/>
      <c r="AK1501" s="4"/>
      <c r="AL1501" s="4"/>
      <c r="AM1501" s="4"/>
      <c r="AN1501" s="4"/>
      <c r="AO1501" s="4"/>
      <c r="AP1501" s="4"/>
      <c r="AQ1501" s="4"/>
      <c r="AR1501" s="4"/>
      <c r="AS1501" s="4"/>
      <c r="AT1501" s="4"/>
      <c r="AU1501" s="4"/>
      <c r="AV1501" s="4"/>
      <c r="AW1501" s="4"/>
      <c r="AX1501" s="4"/>
      <c r="AY1501" s="4"/>
      <c r="AZ1501" s="4"/>
      <c r="BA1501" s="4"/>
      <c r="BB1501" s="4"/>
      <c r="BC1501" s="4"/>
      <c r="BD1501" s="4"/>
      <c r="BE1501" s="4"/>
      <c r="BF1501" s="4"/>
      <c r="BG1501" s="4"/>
      <c r="BH1501" s="4"/>
      <c r="BI1501" s="4"/>
      <c r="BJ1501" s="4"/>
      <c r="BK1501" s="4"/>
      <c r="BL1501" s="4"/>
      <c r="BM1501" s="4"/>
      <c r="BN1501" s="4"/>
      <c r="BO1501" s="4"/>
      <c r="BP1501" s="4"/>
      <c r="BQ1501" s="4"/>
      <c r="BR1501" s="4"/>
      <c r="BS1501" s="4"/>
      <c r="BT1501" s="4"/>
      <c r="BU1501" s="4"/>
      <c r="BV1501" s="4"/>
      <c r="BW1501" s="4"/>
      <c r="BX1501" s="4"/>
      <c r="BY1501" s="4"/>
      <c r="BZ1501" s="4"/>
      <c r="CA1501" s="4"/>
      <c r="CB1501" s="4"/>
      <c r="CC1501" s="4"/>
      <c r="CD1501" s="4"/>
      <c r="CE1501" s="4"/>
      <c r="CF1501" s="4"/>
      <c r="CG1501" s="4"/>
      <c r="CH1501" s="4"/>
      <c r="CI1501" s="4"/>
      <c r="CJ1501" s="4"/>
      <c r="CK1501" s="4"/>
      <c r="CL1501" s="4"/>
      <c r="CM1501" s="4"/>
      <c r="CN1501" s="4"/>
      <c r="CO1501" s="4"/>
      <c r="CP1501" s="4"/>
      <c r="CQ1501" s="4"/>
      <c r="CR1501" s="4"/>
      <c r="CS1501" s="4"/>
      <c r="CT1501" s="4"/>
      <c r="CU1501" s="4"/>
      <c r="CV1501" s="4"/>
      <c r="CW1501" s="4"/>
      <c r="CX1501" s="4"/>
      <c r="CY1501" s="4"/>
      <c r="CZ1501" s="4"/>
      <c r="DA1501" s="4"/>
      <c r="DB1501" s="4"/>
      <c r="DC1501" s="4"/>
      <c r="DD1501" s="4"/>
      <c r="DE1501" s="4"/>
      <c r="DF1501" s="4"/>
      <c r="DG1501" s="4"/>
      <c r="DH1501" s="4"/>
      <c r="DI1501" s="4"/>
      <c r="DJ1501" s="4"/>
      <c r="DK1501" s="4"/>
      <c r="DL1501" s="4"/>
      <c r="DM1501" s="4"/>
      <c r="DN1501" s="4"/>
      <c r="DO1501" s="4"/>
      <c r="DP1501" s="4"/>
      <c r="DQ1501" s="4"/>
      <c r="DR1501" s="4"/>
      <c r="DS1501" s="4"/>
    </row>
    <row r="1502">
      <c r="A1502" s="9">
        <f>IFERROR(__xludf.DUMMYFUNCTION("""COMPUTED_VALUE"""),45904.0)</f>
        <v>45904</v>
      </c>
      <c r="B1502" s="6" t="str">
        <f>IFERROR(__xludf.DUMMYFUNCTION("""COMPUTED_VALUE"""),"Pets")</f>
        <v>Pets</v>
      </c>
      <c r="C1502" s="7">
        <f>IFERROR(__xludf.DUMMYFUNCTION("""COMPUTED_VALUE"""),20000.0)</f>
        <v>20000</v>
      </c>
      <c r="D1502" s="6" t="str">
        <f>IFERROR(__xludf.DUMMYFUNCTION("""COMPUTED_VALUE"""),"Pets")</f>
        <v>Pets</v>
      </c>
      <c r="E1502" s="6" t="str">
        <f>IFERROR(__xludf.DUMMYFUNCTION("""COMPUTED_VALUE"""),"Virtual Wallet")</f>
        <v>Virtual Wallet</v>
      </c>
      <c r="F1502" s="6" t="s">
        <v>7</v>
      </c>
      <c r="G1502" s="8" t="str">
        <f t="shared" si="1"/>
        <v>202509</v>
      </c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  <c r="AA1502" s="4"/>
      <c r="AB1502" s="4"/>
      <c r="AC1502" s="4"/>
      <c r="AD1502" s="4"/>
      <c r="AE1502" s="4"/>
      <c r="AF1502" s="4"/>
      <c r="AG1502" s="4"/>
      <c r="AH1502" s="4"/>
      <c r="AI1502" s="4"/>
      <c r="AJ1502" s="4"/>
      <c r="AK1502" s="4"/>
      <c r="AL1502" s="4"/>
      <c r="AM1502" s="4"/>
      <c r="AN1502" s="4"/>
      <c r="AO1502" s="4"/>
      <c r="AP1502" s="4"/>
      <c r="AQ1502" s="4"/>
      <c r="AR1502" s="4"/>
      <c r="AS1502" s="4"/>
      <c r="AT1502" s="4"/>
      <c r="AU1502" s="4"/>
      <c r="AV1502" s="4"/>
      <c r="AW1502" s="4"/>
      <c r="AX1502" s="4"/>
      <c r="AY1502" s="4"/>
      <c r="AZ1502" s="4"/>
      <c r="BA1502" s="4"/>
      <c r="BB1502" s="4"/>
      <c r="BC1502" s="4"/>
      <c r="BD1502" s="4"/>
      <c r="BE1502" s="4"/>
      <c r="BF1502" s="4"/>
      <c r="BG1502" s="4"/>
      <c r="BH1502" s="4"/>
      <c r="BI1502" s="4"/>
      <c r="BJ1502" s="4"/>
      <c r="BK1502" s="4"/>
      <c r="BL1502" s="4"/>
      <c r="BM1502" s="4"/>
      <c r="BN1502" s="4"/>
      <c r="BO1502" s="4"/>
      <c r="BP1502" s="4"/>
      <c r="BQ1502" s="4"/>
      <c r="BR1502" s="4"/>
      <c r="BS1502" s="4"/>
      <c r="BT1502" s="4"/>
      <c r="BU1502" s="4"/>
      <c r="BV1502" s="4"/>
      <c r="BW1502" s="4"/>
      <c r="BX1502" s="4"/>
      <c r="BY1502" s="4"/>
      <c r="BZ1502" s="4"/>
      <c r="CA1502" s="4"/>
      <c r="CB1502" s="4"/>
      <c r="CC1502" s="4"/>
      <c r="CD1502" s="4"/>
      <c r="CE1502" s="4"/>
      <c r="CF1502" s="4"/>
      <c r="CG1502" s="4"/>
      <c r="CH1502" s="4"/>
      <c r="CI1502" s="4"/>
      <c r="CJ1502" s="4"/>
      <c r="CK1502" s="4"/>
      <c r="CL1502" s="4"/>
      <c r="CM1502" s="4"/>
      <c r="CN1502" s="4"/>
      <c r="CO1502" s="4"/>
      <c r="CP1502" s="4"/>
      <c r="CQ1502" s="4"/>
      <c r="CR1502" s="4"/>
      <c r="CS1502" s="4"/>
      <c r="CT1502" s="4"/>
      <c r="CU1502" s="4"/>
      <c r="CV1502" s="4"/>
      <c r="CW1502" s="4"/>
      <c r="CX1502" s="4"/>
      <c r="CY1502" s="4"/>
      <c r="CZ1502" s="4"/>
      <c r="DA1502" s="4"/>
      <c r="DB1502" s="4"/>
      <c r="DC1502" s="4"/>
      <c r="DD1502" s="4"/>
      <c r="DE1502" s="4"/>
      <c r="DF1502" s="4"/>
      <c r="DG1502" s="4"/>
      <c r="DH1502" s="4"/>
      <c r="DI1502" s="4"/>
      <c r="DJ1502" s="4"/>
      <c r="DK1502" s="4"/>
      <c r="DL1502" s="4"/>
      <c r="DM1502" s="4"/>
      <c r="DN1502" s="4"/>
      <c r="DO1502" s="4"/>
      <c r="DP1502" s="4"/>
      <c r="DQ1502" s="4"/>
      <c r="DR1502" s="4"/>
      <c r="DS1502" s="4"/>
    </row>
    <row r="1503">
      <c r="A1503" s="9">
        <f>IFERROR(__xludf.DUMMYFUNCTION("""COMPUTED_VALUE"""),45905.0)</f>
        <v>45905</v>
      </c>
      <c r="B1503" s="6" t="str">
        <f>IFERROR(__xludf.DUMMYFUNCTION("""COMPUTED_VALUE"""),"Home Goods")</f>
        <v>Home Goods</v>
      </c>
      <c r="C1503" s="7">
        <f>IFERROR(__xludf.DUMMYFUNCTION("""COMPUTED_VALUE"""),5500.0)</f>
        <v>5500</v>
      </c>
      <c r="D1503" s="6" t="str">
        <f>IFERROR(__xludf.DUMMYFUNCTION("""COMPUTED_VALUE"""),"Home Goods &amp; Utilities")</f>
        <v>Home Goods &amp; Utilities</v>
      </c>
      <c r="E1503" s="6" t="str">
        <f>IFERROR(__xludf.DUMMYFUNCTION("""COMPUTED_VALUE"""),"Split Payment")</f>
        <v>Split Payment</v>
      </c>
      <c r="F1503" s="6" t="s">
        <v>8</v>
      </c>
      <c r="G1503" s="8" t="str">
        <f t="shared" si="1"/>
        <v>202509</v>
      </c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  <c r="AA1503" s="4"/>
      <c r="AB1503" s="4"/>
      <c r="AC1503" s="4"/>
      <c r="AD1503" s="4"/>
      <c r="AE1503" s="4"/>
      <c r="AF1503" s="4"/>
      <c r="AG1503" s="4"/>
      <c r="AH1503" s="4"/>
      <c r="AI1503" s="4"/>
      <c r="AJ1503" s="4"/>
      <c r="AK1503" s="4"/>
      <c r="AL1503" s="4"/>
      <c r="AM1503" s="4"/>
      <c r="AN1503" s="4"/>
      <c r="AO1503" s="4"/>
      <c r="AP1503" s="4"/>
      <c r="AQ1503" s="4"/>
      <c r="AR1503" s="4"/>
      <c r="AS1503" s="4"/>
      <c r="AT1503" s="4"/>
      <c r="AU1503" s="4"/>
      <c r="AV1503" s="4"/>
      <c r="AW1503" s="4"/>
      <c r="AX1503" s="4"/>
      <c r="AY1503" s="4"/>
      <c r="AZ1503" s="4"/>
      <c r="BA1503" s="4"/>
      <c r="BB1503" s="4"/>
      <c r="BC1503" s="4"/>
      <c r="BD1503" s="4"/>
      <c r="BE1503" s="4"/>
      <c r="BF1503" s="4"/>
      <c r="BG1503" s="4"/>
      <c r="BH1503" s="4"/>
      <c r="BI1503" s="4"/>
      <c r="BJ1503" s="4"/>
      <c r="BK1503" s="4"/>
      <c r="BL1503" s="4"/>
      <c r="BM1503" s="4"/>
      <c r="BN1503" s="4"/>
      <c r="BO1503" s="4"/>
      <c r="BP1503" s="4"/>
      <c r="BQ1503" s="4"/>
      <c r="BR1503" s="4"/>
      <c r="BS1503" s="4"/>
      <c r="BT1503" s="4"/>
      <c r="BU1503" s="4"/>
      <c r="BV1503" s="4"/>
      <c r="BW1503" s="4"/>
      <c r="BX1503" s="4"/>
      <c r="BY1503" s="4"/>
      <c r="BZ1503" s="4"/>
      <c r="CA1503" s="4"/>
      <c r="CB1503" s="4"/>
      <c r="CC1503" s="4"/>
      <c r="CD1503" s="4"/>
      <c r="CE1503" s="4"/>
      <c r="CF1503" s="4"/>
      <c r="CG1503" s="4"/>
      <c r="CH1503" s="4"/>
      <c r="CI1503" s="4"/>
      <c r="CJ1503" s="4"/>
      <c r="CK1503" s="4"/>
      <c r="CL1503" s="4"/>
      <c r="CM1503" s="4"/>
      <c r="CN1503" s="4"/>
      <c r="CO1503" s="4"/>
      <c r="CP1503" s="4"/>
      <c r="CQ1503" s="4"/>
      <c r="CR1503" s="4"/>
      <c r="CS1503" s="4"/>
      <c r="CT1503" s="4"/>
      <c r="CU1503" s="4"/>
      <c r="CV1503" s="4"/>
      <c r="CW1503" s="4"/>
      <c r="CX1503" s="4"/>
      <c r="CY1503" s="4"/>
      <c r="CZ1503" s="4"/>
      <c r="DA1503" s="4"/>
      <c r="DB1503" s="4"/>
      <c r="DC1503" s="4"/>
      <c r="DD1503" s="4"/>
      <c r="DE1503" s="4"/>
      <c r="DF1503" s="4"/>
      <c r="DG1503" s="4"/>
      <c r="DH1503" s="4"/>
      <c r="DI1503" s="4"/>
      <c r="DJ1503" s="4"/>
      <c r="DK1503" s="4"/>
      <c r="DL1503" s="4"/>
      <c r="DM1503" s="4"/>
      <c r="DN1503" s="4"/>
      <c r="DO1503" s="4"/>
      <c r="DP1503" s="4"/>
      <c r="DQ1503" s="4"/>
      <c r="DR1503" s="4"/>
      <c r="DS1503" s="4"/>
    </row>
    <row r="1504">
      <c r="A1504" s="9">
        <f>IFERROR(__xludf.DUMMYFUNCTION("""COMPUTED_VALUE"""),45905.0)</f>
        <v>45905</v>
      </c>
      <c r="B1504" s="6" t="str">
        <f>IFERROR(__xludf.DUMMYFUNCTION("""COMPUTED_VALUE"""),"Car Insurance")</f>
        <v>Car Insurance</v>
      </c>
      <c r="C1504" s="7">
        <f>IFERROR(__xludf.DUMMYFUNCTION("""COMPUTED_VALUE"""),47237.0)</f>
        <v>47237</v>
      </c>
      <c r="D1504" s="6" t="str">
        <f>IFERROR(__xludf.DUMMYFUNCTION("""COMPUTED_VALUE"""),"Car Expenses")</f>
        <v>Car Expenses</v>
      </c>
      <c r="E1504" s="6" t="str">
        <f>IFERROR(__xludf.DUMMYFUNCTION("""COMPUTED_VALUE"""),"Credit Card")</f>
        <v>Credit Card</v>
      </c>
      <c r="F1504" s="6" t="s">
        <v>9</v>
      </c>
      <c r="G1504" s="8" t="str">
        <f t="shared" si="1"/>
        <v>202509</v>
      </c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  <c r="AA1504" s="4"/>
      <c r="AB1504" s="4"/>
      <c r="AC1504" s="4"/>
      <c r="AD1504" s="4"/>
      <c r="AE1504" s="4"/>
      <c r="AF1504" s="4"/>
      <c r="AG1504" s="4"/>
      <c r="AH1504" s="4"/>
      <c r="AI1504" s="4"/>
      <c r="AJ1504" s="4"/>
      <c r="AK1504" s="4"/>
      <c r="AL1504" s="4"/>
      <c r="AM1504" s="4"/>
      <c r="AN1504" s="4"/>
      <c r="AO1504" s="4"/>
      <c r="AP1504" s="4"/>
      <c r="AQ1504" s="4"/>
      <c r="AR1504" s="4"/>
      <c r="AS1504" s="4"/>
      <c r="AT1504" s="4"/>
      <c r="AU1504" s="4"/>
      <c r="AV1504" s="4"/>
      <c r="AW1504" s="4"/>
      <c r="AX1504" s="4"/>
      <c r="AY1504" s="4"/>
      <c r="AZ1504" s="4"/>
      <c r="BA1504" s="4"/>
      <c r="BB1504" s="4"/>
      <c r="BC1504" s="4"/>
      <c r="BD1504" s="4"/>
      <c r="BE1504" s="4"/>
      <c r="BF1504" s="4"/>
      <c r="BG1504" s="4"/>
      <c r="BH1504" s="4"/>
      <c r="BI1504" s="4"/>
      <c r="BJ1504" s="4"/>
      <c r="BK1504" s="4"/>
      <c r="BL1504" s="4"/>
      <c r="BM1504" s="4"/>
      <c r="BN1504" s="4"/>
      <c r="BO1504" s="4"/>
      <c r="BP1504" s="4"/>
      <c r="BQ1504" s="4"/>
      <c r="BR1504" s="4"/>
      <c r="BS1504" s="4"/>
      <c r="BT1504" s="4"/>
      <c r="BU1504" s="4"/>
      <c r="BV1504" s="4"/>
      <c r="BW1504" s="4"/>
      <c r="BX1504" s="4"/>
      <c r="BY1504" s="4"/>
      <c r="BZ1504" s="4"/>
      <c r="CA1504" s="4"/>
      <c r="CB1504" s="4"/>
      <c r="CC1504" s="4"/>
      <c r="CD1504" s="4"/>
      <c r="CE1504" s="4"/>
      <c r="CF1504" s="4"/>
      <c r="CG1504" s="4"/>
      <c r="CH1504" s="4"/>
      <c r="CI1504" s="4"/>
      <c r="CJ1504" s="4"/>
      <c r="CK1504" s="4"/>
      <c r="CL1504" s="4"/>
      <c r="CM1504" s="4"/>
      <c r="CN1504" s="4"/>
      <c r="CO1504" s="4"/>
      <c r="CP1504" s="4"/>
      <c r="CQ1504" s="4"/>
      <c r="CR1504" s="4"/>
      <c r="CS1504" s="4"/>
      <c r="CT1504" s="4"/>
      <c r="CU1504" s="4"/>
      <c r="CV1504" s="4"/>
      <c r="CW1504" s="4"/>
      <c r="CX1504" s="4"/>
      <c r="CY1504" s="4"/>
      <c r="CZ1504" s="4"/>
      <c r="DA1504" s="4"/>
      <c r="DB1504" s="4"/>
      <c r="DC1504" s="4"/>
      <c r="DD1504" s="4"/>
      <c r="DE1504" s="4"/>
      <c r="DF1504" s="4"/>
      <c r="DG1504" s="4"/>
      <c r="DH1504" s="4"/>
      <c r="DI1504" s="4"/>
      <c r="DJ1504" s="4"/>
      <c r="DK1504" s="4"/>
      <c r="DL1504" s="4"/>
      <c r="DM1504" s="4"/>
      <c r="DN1504" s="4"/>
      <c r="DO1504" s="4"/>
      <c r="DP1504" s="4"/>
      <c r="DQ1504" s="4"/>
      <c r="DR1504" s="4"/>
      <c r="DS1504" s="4"/>
    </row>
    <row r="1505">
      <c r="A1505" s="9">
        <f>IFERROR(__xludf.DUMMYFUNCTION("""COMPUTED_VALUE"""),45906.0)</f>
        <v>45906</v>
      </c>
      <c r="B1505" s="6" t="str">
        <f>IFERROR(__xludf.DUMMYFUNCTION("""COMPUTED_VALUE"""),"Restaurant")</f>
        <v>Restaurant</v>
      </c>
      <c r="C1505" s="7">
        <f>IFERROR(__xludf.DUMMYFUNCTION("""COMPUTED_VALUE"""),6847.0)</f>
        <v>6847</v>
      </c>
      <c r="D1505" s="6" t="str">
        <f>IFERROR(__xludf.DUMMYFUNCTION("""COMPUTED_VALUE"""),"Restaurant / Café")</f>
        <v>Restaurant / Café</v>
      </c>
      <c r="E1505" s="6" t="str">
        <f>IFERROR(__xludf.DUMMYFUNCTION("""COMPUTED_VALUE"""),"Split Payment")</f>
        <v>Split Payment</v>
      </c>
      <c r="F1505" s="6" t="s">
        <v>14</v>
      </c>
      <c r="G1505" s="8" t="str">
        <f t="shared" si="1"/>
        <v>202509</v>
      </c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  <c r="AA1505" s="4"/>
      <c r="AB1505" s="4"/>
      <c r="AC1505" s="4"/>
      <c r="AD1505" s="4"/>
      <c r="AE1505" s="4"/>
      <c r="AF1505" s="4"/>
      <c r="AG1505" s="4"/>
      <c r="AH1505" s="4"/>
      <c r="AI1505" s="4"/>
      <c r="AJ1505" s="4"/>
      <c r="AK1505" s="4"/>
      <c r="AL1505" s="4"/>
      <c r="AM1505" s="4"/>
      <c r="AN1505" s="4"/>
      <c r="AO1505" s="4"/>
      <c r="AP1505" s="4"/>
      <c r="AQ1505" s="4"/>
      <c r="AR1505" s="4"/>
      <c r="AS1505" s="4"/>
      <c r="AT1505" s="4"/>
      <c r="AU1505" s="4"/>
      <c r="AV1505" s="4"/>
      <c r="AW1505" s="4"/>
      <c r="AX1505" s="4"/>
      <c r="AY1505" s="4"/>
      <c r="AZ1505" s="4"/>
      <c r="BA1505" s="4"/>
      <c r="BB1505" s="4"/>
      <c r="BC1505" s="4"/>
      <c r="BD1505" s="4"/>
      <c r="BE1505" s="4"/>
      <c r="BF1505" s="4"/>
      <c r="BG1505" s="4"/>
      <c r="BH1505" s="4"/>
      <c r="BI1505" s="4"/>
      <c r="BJ1505" s="4"/>
      <c r="BK1505" s="4"/>
      <c r="BL1505" s="4"/>
      <c r="BM1505" s="4"/>
      <c r="BN1505" s="4"/>
      <c r="BO1505" s="4"/>
      <c r="BP1505" s="4"/>
      <c r="BQ1505" s="4"/>
      <c r="BR1505" s="4"/>
      <c r="BS1505" s="4"/>
      <c r="BT1505" s="4"/>
      <c r="BU1505" s="4"/>
      <c r="BV1505" s="4"/>
      <c r="BW1505" s="4"/>
      <c r="BX1505" s="4"/>
      <c r="BY1505" s="4"/>
      <c r="BZ1505" s="4"/>
      <c r="CA1505" s="4"/>
      <c r="CB1505" s="4"/>
      <c r="CC1505" s="4"/>
      <c r="CD1505" s="4"/>
      <c r="CE1505" s="4"/>
      <c r="CF1505" s="4"/>
      <c r="CG1505" s="4"/>
      <c r="CH1505" s="4"/>
      <c r="CI1505" s="4"/>
      <c r="CJ1505" s="4"/>
      <c r="CK1505" s="4"/>
      <c r="CL1505" s="4"/>
      <c r="CM1505" s="4"/>
      <c r="CN1505" s="4"/>
      <c r="CO1505" s="4"/>
      <c r="CP1505" s="4"/>
      <c r="CQ1505" s="4"/>
      <c r="CR1505" s="4"/>
      <c r="CS1505" s="4"/>
      <c r="CT1505" s="4"/>
      <c r="CU1505" s="4"/>
      <c r="CV1505" s="4"/>
      <c r="CW1505" s="4"/>
      <c r="CX1505" s="4"/>
      <c r="CY1505" s="4"/>
      <c r="CZ1505" s="4"/>
      <c r="DA1505" s="4"/>
      <c r="DB1505" s="4"/>
      <c r="DC1505" s="4"/>
      <c r="DD1505" s="4"/>
      <c r="DE1505" s="4"/>
      <c r="DF1505" s="4"/>
      <c r="DG1505" s="4"/>
      <c r="DH1505" s="4"/>
      <c r="DI1505" s="4"/>
      <c r="DJ1505" s="4"/>
      <c r="DK1505" s="4"/>
      <c r="DL1505" s="4"/>
      <c r="DM1505" s="4"/>
      <c r="DN1505" s="4"/>
      <c r="DO1505" s="4"/>
      <c r="DP1505" s="4"/>
      <c r="DQ1505" s="4"/>
      <c r="DR1505" s="4"/>
      <c r="DS1505" s="4"/>
    </row>
    <row r="1506">
      <c r="A1506" s="9">
        <f>IFERROR(__xludf.DUMMYFUNCTION("""COMPUTED_VALUE"""),45906.0)</f>
        <v>45906</v>
      </c>
      <c r="B1506" s="6" t="str">
        <f>IFERROR(__xludf.DUMMYFUNCTION("""COMPUTED_VALUE"""),"Sports")</f>
        <v>Sports</v>
      </c>
      <c r="C1506" s="7">
        <f>IFERROR(__xludf.DUMMYFUNCTION("""COMPUTED_VALUE"""),7000.0)</f>
        <v>7000</v>
      </c>
      <c r="D1506" s="6" t="str">
        <f>IFERROR(__xludf.DUMMYFUNCTION("""COMPUTED_VALUE"""),"Sports")</f>
        <v>Sports</v>
      </c>
      <c r="E1506" s="6" t="str">
        <f>IFERROR(__xludf.DUMMYFUNCTION("""COMPUTED_VALUE"""),"Cash")</f>
        <v>Cash</v>
      </c>
      <c r="F1506" s="6" t="s">
        <v>12</v>
      </c>
      <c r="G1506" s="8" t="str">
        <f t="shared" si="1"/>
        <v>202509</v>
      </c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  <c r="AA1506" s="4"/>
      <c r="AB1506" s="4"/>
      <c r="AC1506" s="4"/>
      <c r="AD1506" s="4"/>
      <c r="AE1506" s="4"/>
      <c r="AF1506" s="4"/>
      <c r="AG1506" s="4"/>
      <c r="AH1506" s="4"/>
      <c r="AI1506" s="4"/>
      <c r="AJ1506" s="4"/>
      <c r="AK1506" s="4"/>
      <c r="AL1506" s="4"/>
      <c r="AM1506" s="4"/>
      <c r="AN1506" s="4"/>
      <c r="AO1506" s="4"/>
      <c r="AP1506" s="4"/>
      <c r="AQ1506" s="4"/>
      <c r="AR1506" s="4"/>
      <c r="AS1506" s="4"/>
      <c r="AT1506" s="4"/>
      <c r="AU1506" s="4"/>
      <c r="AV1506" s="4"/>
      <c r="AW1506" s="4"/>
      <c r="AX1506" s="4"/>
      <c r="AY1506" s="4"/>
      <c r="AZ1506" s="4"/>
      <c r="BA1506" s="4"/>
      <c r="BB1506" s="4"/>
      <c r="BC1506" s="4"/>
      <c r="BD1506" s="4"/>
      <c r="BE1506" s="4"/>
      <c r="BF1506" s="4"/>
      <c r="BG1506" s="4"/>
      <c r="BH1506" s="4"/>
      <c r="BI1506" s="4"/>
      <c r="BJ1506" s="4"/>
      <c r="BK1506" s="4"/>
      <c r="BL1506" s="4"/>
      <c r="BM1506" s="4"/>
      <c r="BN1506" s="4"/>
      <c r="BO1506" s="4"/>
      <c r="BP1506" s="4"/>
      <c r="BQ1506" s="4"/>
      <c r="BR1506" s="4"/>
      <c r="BS1506" s="4"/>
      <c r="BT1506" s="4"/>
      <c r="BU1506" s="4"/>
      <c r="BV1506" s="4"/>
      <c r="BW1506" s="4"/>
      <c r="BX1506" s="4"/>
      <c r="BY1506" s="4"/>
      <c r="BZ1506" s="4"/>
      <c r="CA1506" s="4"/>
      <c r="CB1506" s="4"/>
      <c r="CC1506" s="4"/>
      <c r="CD1506" s="4"/>
      <c r="CE1506" s="4"/>
      <c r="CF1506" s="4"/>
      <c r="CG1506" s="4"/>
      <c r="CH1506" s="4"/>
      <c r="CI1506" s="4"/>
      <c r="CJ1506" s="4"/>
      <c r="CK1506" s="4"/>
      <c r="CL1506" s="4"/>
      <c r="CM1506" s="4"/>
      <c r="CN1506" s="4"/>
      <c r="CO1506" s="4"/>
      <c r="CP1506" s="4"/>
      <c r="CQ1506" s="4"/>
      <c r="CR1506" s="4"/>
      <c r="CS1506" s="4"/>
      <c r="CT1506" s="4"/>
      <c r="CU1506" s="4"/>
      <c r="CV1506" s="4"/>
      <c r="CW1506" s="4"/>
      <c r="CX1506" s="4"/>
      <c r="CY1506" s="4"/>
      <c r="CZ1506" s="4"/>
      <c r="DA1506" s="4"/>
      <c r="DB1506" s="4"/>
      <c r="DC1506" s="4"/>
      <c r="DD1506" s="4"/>
      <c r="DE1506" s="4"/>
      <c r="DF1506" s="4"/>
      <c r="DG1506" s="4"/>
      <c r="DH1506" s="4"/>
      <c r="DI1506" s="4"/>
      <c r="DJ1506" s="4"/>
      <c r="DK1506" s="4"/>
      <c r="DL1506" s="4"/>
      <c r="DM1506" s="4"/>
      <c r="DN1506" s="4"/>
      <c r="DO1506" s="4"/>
      <c r="DP1506" s="4"/>
      <c r="DQ1506" s="4"/>
      <c r="DR1506" s="4"/>
      <c r="DS1506" s="4"/>
    </row>
    <row r="1507">
      <c r="A1507" s="9">
        <f>IFERROR(__xludf.DUMMYFUNCTION("""COMPUTED_VALUE"""),45907.0)</f>
        <v>45907</v>
      </c>
      <c r="B1507" s="6" t="str">
        <f>IFERROR(__xludf.DUMMYFUNCTION("""COMPUTED_VALUE"""),"Home Goods")</f>
        <v>Home Goods</v>
      </c>
      <c r="C1507" s="7">
        <f>IFERROR(__xludf.DUMMYFUNCTION("""COMPUTED_VALUE"""),4550.0)</f>
        <v>4550</v>
      </c>
      <c r="D1507" s="6" t="str">
        <f>IFERROR(__xludf.DUMMYFUNCTION("""COMPUTED_VALUE"""),"Personal Care")</f>
        <v>Personal Care</v>
      </c>
      <c r="E1507" s="6" t="str">
        <f>IFERROR(__xludf.DUMMYFUNCTION("""COMPUTED_VALUE"""),"Virtual Wallet")</f>
        <v>Virtual Wallet</v>
      </c>
      <c r="F1507" s="6" t="s">
        <v>16</v>
      </c>
      <c r="G1507" s="8" t="str">
        <f t="shared" si="1"/>
        <v>202509</v>
      </c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  <c r="AA1507" s="4"/>
      <c r="AB1507" s="4"/>
      <c r="AC1507" s="4"/>
      <c r="AD1507" s="4"/>
      <c r="AE1507" s="4"/>
      <c r="AF1507" s="4"/>
      <c r="AG1507" s="4"/>
      <c r="AH1507" s="4"/>
      <c r="AI1507" s="4"/>
      <c r="AJ1507" s="4"/>
      <c r="AK1507" s="4"/>
      <c r="AL1507" s="4"/>
      <c r="AM1507" s="4"/>
      <c r="AN1507" s="4"/>
      <c r="AO1507" s="4"/>
      <c r="AP1507" s="4"/>
      <c r="AQ1507" s="4"/>
      <c r="AR1507" s="4"/>
      <c r="AS1507" s="4"/>
      <c r="AT1507" s="4"/>
      <c r="AU1507" s="4"/>
      <c r="AV1507" s="4"/>
      <c r="AW1507" s="4"/>
      <c r="AX1507" s="4"/>
      <c r="AY1507" s="4"/>
      <c r="AZ1507" s="4"/>
      <c r="BA1507" s="4"/>
      <c r="BB1507" s="4"/>
      <c r="BC1507" s="4"/>
      <c r="BD1507" s="4"/>
      <c r="BE1507" s="4"/>
      <c r="BF1507" s="4"/>
      <c r="BG1507" s="4"/>
      <c r="BH1507" s="4"/>
      <c r="BI1507" s="4"/>
      <c r="BJ1507" s="4"/>
      <c r="BK1507" s="4"/>
      <c r="BL1507" s="4"/>
      <c r="BM1507" s="4"/>
      <c r="BN1507" s="4"/>
      <c r="BO1507" s="4"/>
      <c r="BP1507" s="4"/>
      <c r="BQ1507" s="4"/>
      <c r="BR1507" s="4"/>
      <c r="BS1507" s="4"/>
      <c r="BT1507" s="4"/>
      <c r="BU1507" s="4"/>
      <c r="BV1507" s="4"/>
      <c r="BW1507" s="4"/>
      <c r="BX1507" s="4"/>
      <c r="BY1507" s="4"/>
      <c r="BZ1507" s="4"/>
      <c r="CA1507" s="4"/>
      <c r="CB1507" s="4"/>
      <c r="CC1507" s="4"/>
      <c r="CD1507" s="4"/>
      <c r="CE1507" s="4"/>
      <c r="CF1507" s="4"/>
      <c r="CG1507" s="4"/>
      <c r="CH1507" s="4"/>
      <c r="CI1507" s="4"/>
      <c r="CJ1507" s="4"/>
      <c r="CK1507" s="4"/>
      <c r="CL1507" s="4"/>
      <c r="CM1507" s="4"/>
      <c r="CN1507" s="4"/>
      <c r="CO1507" s="4"/>
      <c r="CP1507" s="4"/>
      <c r="CQ1507" s="4"/>
      <c r="CR1507" s="4"/>
      <c r="CS1507" s="4"/>
      <c r="CT1507" s="4"/>
      <c r="CU1507" s="4"/>
      <c r="CV1507" s="4"/>
      <c r="CW1507" s="4"/>
      <c r="CX1507" s="4"/>
      <c r="CY1507" s="4"/>
      <c r="CZ1507" s="4"/>
      <c r="DA1507" s="4"/>
      <c r="DB1507" s="4"/>
      <c r="DC1507" s="4"/>
      <c r="DD1507" s="4"/>
      <c r="DE1507" s="4"/>
      <c r="DF1507" s="4"/>
      <c r="DG1507" s="4"/>
      <c r="DH1507" s="4"/>
      <c r="DI1507" s="4"/>
      <c r="DJ1507" s="4"/>
      <c r="DK1507" s="4"/>
      <c r="DL1507" s="4"/>
      <c r="DM1507" s="4"/>
      <c r="DN1507" s="4"/>
      <c r="DO1507" s="4"/>
      <c r="DP1507" s="4"/>
      <c r="DQ1507" s="4"/>
      <c r="DR1507" s="4"/>
      <c r="DS1507" s="4"/>
    </row>
    <row r="1508">
      <c r="A1508" s="9">
        <f>IFERROR(__xludf.DUMMYFUNCTION("""COMPUTED_VALUE"""),45909.0)</f>
        <v>45909</v>
      </c>
      <c r="B1508" s="6" t="str">
        <f>IFERROR(__xludf.DUMMYFUNCTION("""COMPUTED_VALUE"""),"Doctor Visit")</f>
        <v>Doctor Visit</v>
      </c>
      <c r="C1508" s="7">
        <f>IFERROR(__xludf.DUMMYFUNCTION("""COMPUTED_VALUE"""),8500.0)</f>
        <v>8500</v>
      </c>
      <c r="D1508" s="6" t="str">
        <f>IFERROR(__xludf.DUMMYFUNCTION("""COMPUTED_VALUE"""),"Healthcare")</f>
        <v>Healthcare</v>
      </c>
      <c r="E1508" s="6" t="str">
        <f>IFERROR(__xludf.DUMMYFUNCTION("""COMPUTED_VALUE"""),"Virtual Wallet")</f>
        <v>Virtual Wallet</v>
      </c>
      <c r="F1508" s="6" t="s">
        <v>15</v>
      </c>
      <c r="G1508" s="8" t="str">
        <f t="shared" si="1"/>
        <v>202509</v>
      </c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  <c r="AA1508" s="4"/>
      <c r="AB1508" s="4"/>
      <c r="AC1508" s="4"/>
      <c r="AD1508" s="4"/>
      <c r="AE1508" s="4"/>
      <c r="AF1508" s="4"/>
      <c r="AG1508" s="4"/>
      <c r="AH1508" s="4"/>
      <c r="AI1508" s="4"/>
      <c r="AJ1508" s="4"/>
      <c r="AK1508" s="4"/>
      <c r="AL1508" s="4"/>
      <c r="AM1508" s="4"/>
      <c r="AN1508" s="4"/>
      <c r="AO1508" s="4"/>
      <c r="AP1508" s="4"/>
      <c r="AQ1508" s="4"/>
      <c r="AR1508" s="4"/>
      <c r="AS1508" s="4"/>
      <c r="AT1508" s="4"/>
      <c r="AU1508" s="4"/>
      <c r="AV1508" s="4"/>
      <c r="AW1508" s="4"/>
      <c r="AX1508" s="4"/>
      <c r="AY1508" s="4"/>
      <c r="AZ1508" s="4"/>
      <c r="BA1508" s="4"/>
      <c r="BB1508" s="4"/>
      <c r="BC1508" s="4"/>
      <c r="BD1508" s="4"/>
      <c r="BE1508" s="4"/>
      <c r="BF1508" s="4"/>
      <c r="BG1508" s="4"/>
      <c r="BH1508" s="4"/>
      <c r="BI1508" s="4"/>
      <c r="BJ1508" s="4"/>
      <c r="BK1508" s="4"/>
      <c r="BL1508" s="4"/>
      <c r="BM1508" s="4"/>
      <c r="BN1508" s="4"/>
      <c r="BO1508" s="4"/>
      <c r="BP1508" s="4"/>
      <c r="BQ1508" s="4"/>
      <c r="BR1508" s="4"/>
      <c r="BS1508" s="4"/>
      <c r="BT1508" s="4"/>
      <c r="BU1508" s="4"/>
      <c r="BV1508" s="4"/>
      <c r="BW1508" s="4"/>
      <c r="BX1508" s="4"/>
      <c r="BY1508" s="4"/>
      <c r="BZ1508" s="4"/>
      <c r="CA1508" s="4"/>
      <c r="CB1508" s="4"/>
      <c r="CC1508" s="4"/>
      <c r="CD1508" s="4"/>
      <c r="CE1508" s="4"/>
      <c r="CF1508" s="4"/>
      <c r="CG1508" s="4"/>
      <c r="CH1508" s="4"/>
      <c r="CI1508" s="4"/>
      <c r="CJ1508" s="4"/>
      <c r="CK1508" s="4"/>
      <c r="CL1508" s="4"/>
      <c r="CM1508" s="4"/>
      <c r="CN1508" s="4"/>
      <c r="CO1508" s="4"/>
      <c r="CP1508" s="4"/>
      <c r="CQ1508" s="4"/>
      <c r="CR1508" s="4"/>
      <c r="CS1508" s="4"/>
      <c r="CT1508" s="4"/>
      <c r="CU1508" s="4"/>
      <c r="CV1508" s="4"/>
      <c r="CW1508" s="4"/>
      <c r="CX1508" s="4"/>
      <c r="CY1508" s="4"/>
      <c r="CZ1508" s="4"/>
      <c r="DA1508" s="4"/>
      <c r="DB1508" s="4"/>
      <c r="DC1508" s="4"/>
      <c r="DD1508" s="4"/>
      <c r="DE1508" s="4"/>
      <c r="DF1508" s="4"/>
      <c r="DG1508" s="4"/>
      <c r="DH1508" s="4"/>
      <c r="DI1508" s="4"/>
      <c r="DJ1508" s="4"/>
      <c r="DK1508" s="4"/>
      <c r="DL1508" s="4"/>
      <c r="DM1508" s="4"/>
      <c r="DN1508" s="4"/>
      <c r="DO1508" s="4"/>
      <c r="DP1508" s="4"/>
      <c r="DQ1508" s="4"/>
      <c r="DR1508" s="4"/>
      <c r="DS1508" s="4"/>
    </row>
    <row r="1509">
      <c r="A1509" s="9">
        <f>IFERROR(__xludf.DUMMYFUNCTION("""COMPUTED_VALUE"""),45909.0)</f>
        <v>45909</v>
      </c>
      <c r="B1509" s="6" t="str">
        <f>IFERROR(__xludf.DUMMYFUNCTION("""COMPUTED_VALUE"""),"Groceries")</f>
        <v>Groceries</v>
      </c>
      <c r="C1509" s="7">
        <f>IFERROR(__xludf.DUMMYFUNCTION("""COMPUTED_VALUE"""),8000.0)</f>
        <v>8000</v>
      </c>
      <c r="D1509" s="6" t="str">
        <f>IFERROR(__xludf.DUMMYFUNCTION("""COMPUTED_VALUE"""),"Restaurant / Café")</f>
        <v>Restaurant / Café</v>
      </c>
      <c r="E1509" s="6" t="str">
        <f>IFERROR(__xludf.DUMMYFUNCTION("""COMPUTED_VALUE"""),"Virtual Wallet")</f>
        <v>Virtual Wallet</v>
      </c>
      <c r="F1509" s="6" t="s">
        <v>14</v>
      </c>
      <c r="G1509" s="8" t="str">
        <f t="shared" si="1"/>
        <v>202509</v>
      </c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  <c r="AA1509" s="4"/>
      <c r="AB1509" s="4"/>
      <c r="AC1509" s="4"/>
      <c r="AD1509" s="4"/>
      <c r="AE1509" s="4"/>
      <c r="AF1509" s="4"/>
      <c r="AG1509" s="4"/>
      <c r="AH1509" s="4"/>
      <c r="AI1509" s="4"/>
      <c r="AJ1509" s="4"/>
      <c r="AK1509" s="4"/>
      <c r="AL1509" s="4"/>
      <c r="AM1509" s="4"/>
      <c r="AN1509" s="4"/>
      <c r="AO1509" s="4"/>
      <c r="AP1509" s="4"/>
      <c r="AQ1509" s="4"/>
      <c r="AR1509" s="4"/>
      <c r="AS1509" s="4"/>
      <c r="AT1509" s="4"/>
      <c r="AU1509" s="4"/>
      <c r="AV1509" s="4"/>
      <c r="AW1509" s="4"/>
      <c r="AX1509" s="4"/>
      <c r="AY1509" s="4"/>
      <c r="AZ1509" s="4"/>
      <c r="BA1509" s="4"/>
      <c r="BB1509" s="4"/>
      <c r="BC1509" s="4"/>
      <c r="BD1509" s="4"/>
      <c r="BE1509" s="4"/>
      <c r="BF1509" s="4"/>
      <c r="BG1509" s="4"/>
      <c r="BH1509" s="4"/>
      <c r="BI1509" s="4"/>
      <c r="BJ1509" s="4"/>
      <c r="BK1509" s="4"/>
      <c r="BL1509" s="4"/>
      <c r="BM1509" s="4"/>
      <c r="BN1509" s="4"/>
      <c r="BO1509" s="4"/>
      <c r="BP1509" s="4"/>
      <c r="BQ1509" s="4"/>
      <c r="BR1509" s="4"/>
      <c r="BS1509" s="4"/>
      <c r="BT1509" s="4"/>
      <c r="BU1509" s="4"/>
      <c r="BV1509" s="4"/>
      <c r="BW1509" s="4"/>
      <c r="BX1509" s="4"/>
      <c r="BY1509" s="4"/>
      <c r="BZ1509" s="4"/>
      <c r="CA1509" s="4"/>
      <c r="CB1509" s="4"/>
      <c r="CC1509" s="4"/>
      <c r="CD1509" s="4"/>
      <c r="CE1509" s="4"/>
      <c r="CF1509" s="4"/>
      <c r="CG1509" s="4"/>
      <c r="CH1509" s="4"/>
      <c r="CI1509" s="4"/>
      <c r="CJ1509" s="4"/>
      <c r="CK1509" s="4"/>
      <c r="CL1509" s="4"/>
      <c r="CM1509" s="4"/>
      <c r="CN1509" s="4"/>
      <c r="CO1509" s="4"/>
      <c r="CP1509" s="4"/>
      <c r="CQ1509" s="4"/>
      <c r="CR1509" s="4"/>
      <c r="CS1509" s="4"/>
      <c r="CT1509" s="4"/>
      <c r="CU1509" s="4"/>
      <c r="CV1509" s="4"/>
      <c r="CW1509" s="4"/>
      <c r="CX1509" s="4"/>
      <c r="CY1509" s="4"/>
      <c r="CZ1509" s="4"/>
      <c r="DA1509" s="4"/>
      <c r="DB1509" s="4"/>
      <c r="DC1509" s="4"/>
      <c r="DD1509" s="4"/>
      <c r="DE1509" s="4"/>
      <c r="DF1509" s="4"/>
      <c r="DG1509" s="4"/>
      <c r="DH1509" s="4"/>
      <c r="DI1509" s="4"/>
      <c r="DJ1509" s="4"/>
      <c r="DK1509" s="4"/>
      <c r="DL1509" s="4"/>
      <c r="DM1509" s="4"/>
      <c r="DN1509" s="4"/>
      <c r="DO1509" s="4"/>
      <c r="DP1509" s="4"/>
      <c r="DQ1509" s="4"/>
      <c r="DR1509" s="4"/>
      <c r="DS1509" s="4"/>
    </row>
    <row r="1510">
      <c r="A1510" s="9">
        <f>IFERROR(__xludf.DUMMYFUNCTION("""COMPUTED_VALUE"""),45909.0)</f>
        <v>45909</v>
      </c>
      <c r="B1510" s="6" t="str">
        <f>IFERROR(__xludf.DUMMYFUNCTION("""COMPUTED_VALUE"""),"Restaurant")</f>
        <v>Restaurant</v>
      </c>
      <c r="C1510" s="7">
        <f>IFERROR(__xludf.DUMMYFUNCTION("""COMPUTED_VALUE"""),7800.0)</f>
        <v>7800</v>
      </c>
      <c r="D1510" s="6" t="str">
        <f>IFERROR(__xludf.DUMMYFUNCTION("""COMPUTED_VALUE"""),"Restaurant / Café")</f>
        <v>Restaurant / Café</v>
      </c>
      <c r="E1510" s="6" t="str">
        <f>IFERROR(__xludf.DUMMYFUNCTION("""COMPUTED_VALUE"""),"Virtual Wallet")</f>
        <v>Virtual Wallet</v>
      </c>
      <c r="F1510" s="6" t="s">
        <v>14</v>
      </c>
      <c r="G1510" s="8" t="str">
        <f t="shared" si="1"/>
        <v>202509</v>
      </c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  <c r="AA1510" s="4"/>
      <c r="AB1510" s="4"/>
      <c r="AC1510" s="4"/>
      <c r="AD1510" s="4"/>
      <c r="AE1510" s="4"/>
      <c r="AF1510" s="4"/>
      <c r="AG1510" s="4"/>
      <c r="AH1510" s="4"/>
      <c r="AI1510" s="4"/>
      <c r="AJ1510" s="4"/>
      <c r="AK1510" s="4"/>
      <c r="AL1510" s="4"/>
      <c r="AM1510" s="4"/>
      <c r="AN1510" s="4"/>
      <c r="AO1510" s="4"/>
      <c r="AP1510" s="4"/>
      <c r="AQ1510" s="4"/>
      <c r="AR1510" s="4"/>
      <c r="AS1510" s="4"/>
      <c r="AT1510" s="4"/>
      <c r="AU1510" s="4"/>
      <c r="AV1510" s="4"/>
      <c r="AW1510" s="4"/>
      <c r="AX1510" s="4"/>
      <c r="AY1510" s="4"/>
      <c r="AZ1510" s="4"/>
      <c r="BA1510" s="4"/>
      <c r="BB1510" s="4"/>
      <c r="BC1510" s="4"/>
      <c r="BD1510" s="4"/>
      <c r="BE1510" s="4"/>
      <c r="BF1510" s="4"/>
      <c r="BG1510" s="4"/>
      <c r="BH1510" s="4"/>
      <c r="BI1510" s="4"/>
      <c r="BJ1510" s="4"/>
      <c r="BK1510" s="4"/>
      <c r="BL1510" s="4"/>
      <c r="BM1510" s="4"/>
      <c r="BN1510" s="4"/>
      <c r="BO1510" s="4"/>
      <c r="BP1510" s="4"/>
      <c r="BQ1510" s="4"/>
      <c r="BR1510" s="4"/>
      <c r="BS1510" s="4"/>
      <c r="BT1510" s="4"/>
      <c r="BU1510" s="4"/>
      <c r="BV1510" s="4"/>
      <c r="BW1510" s="4"/>
      <c r="BX1510" s="4"/>
      <c r="BY1510" s="4"/>
      <c r="BZ1510" s="4"/>
      <c r="CA1510" s="4"/>
      <c r="CB1510" s="4"/>
      <c r="CC1510" s="4"/>
      <c r="CD1510" s="4"/>
      <c r="CE1510" s="4"/>
      <c r="CF1510" s="4"/>
      <c r="CG1510" s="4"/>
      <c r="CH1510" s="4"/>
      <c r="CI1510" s="4"/>
      <c r="CJ1510" s="4"/>
      <c r="CK1510" s="4"/>
      <c r="CL1510" s="4"/>
      <c r="CM1510" s="4"/>
      <c r="CN1510" s="4"/>
      <c r="CO1510" s="4"/>
      <c r="CP1510" s="4"/>
      <c r="CQ1510" s="4"/>
      <c r="CR1510" s="4"/>
      <c r="CS1510" s="4"/>
      <c r="CT1510" s="4"/>
      <c r="CU1510" s="4"/>
      <c r="CV1510" s="4"/>
      <c r="CW1510" s="4"/>
      <c r="CX1510" s="4"/>
      <c r="CY1510" s="4"/>
      <c r="CZ1510" s="4"/>
      <c r="DA1510" s="4"/>
      <c r="DB1510" s="4"/>
      <c r="DC1510" s="4"/>
      <c r="DD1510" s="4"/>
      <c r="DE1510" s="4"/>
      <c r="DF1510" s="4"/>
      <c r="DG1510" s="4"/>
      <c r="DH1510" s="4"/>
      <c r="DI1510" s="4"/>
      <c r="DJ1510" s="4"/>
      <c r="DK1510" s="4"/>
      <c r="DL1510" s="4"/>
      <c r="DM1510" s="4"/>
      <c r="DN1510" s="4"/>
      <c r="DO1510" s="4"/>
      <c r="DP1510" s="4"/>
      <c r="DQ1510" s="4"/>
      <c r="DR1510" s="4"/>
      <c r="DS1510" s="4"/>
    </row>
    <row r="1511">
      <c r="A1511" s="9">
        <f>IFERROR(__xludf.DUMMYFUNCTION("""COMPUTED_VALUE"""),45910.0)</f>
        <v>45910</v>
      </c>
      <c r="B1511" s="6" t="str">
        <f>IFERROR(__xludf.DUMMYFUNCTION("""COMPUTED_VALUE"""),"Home Goods")</f>
        <v>Home Goods</v>
      </c>
      <c r="C1511" s="7">
        <f>IFERROR(__xludf.DUMMYFUNCTION("""COMPUTED_VALUE"""),5500.0)</f>
        <v>5500</v>
      </c>
      <c r="D1511" s="6" t="str">
        <f>IFERROR(__xludf.DUMMYFUNCTION("""COMPUTED_VALUE"""),"Home Goods &amp; Utilities")</f>
        <v>Home Goods &amp; Utilities</v>
      </c>
      <c r="E1511" s="6" t="str">
        <f>IFERROR(__xludf.DUMMYFUNCTION("""COMPUTED_VALUE"""),"Split Payment")</f>
        <v>Split Payment</v>
      </c>
      <c r="F1511" s="6" t="s">
        <v>8</v>
      </c>
      <c r="G1511" s="8" t="str">
        <f t="shared" si="1"/>
        <v>202509</v>
      </c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  <c r="AA1511" s="4"/>
      <c r="AB1511" s="4"/>
      <c r="AC1511" s="4"/>
      <c r="AD1511" s="4"/>
      <c r="AE1511" s="4"/>
      <c r="AF1511" s="4"/>
      <c r="AG1511" s="4"/>
      <c r="AH1511" s="4"/>
      <c r="AI1511" s="4"/>
      <c r="AJ1511" s="4"/>
      <c r="AK1511" s="4"/>
      <c r="AL1511" s="4"/>
      <c r="AM1511" s="4"/>
      <c r="AN1511" s="4"/>
      <c r="AO1511" s="4"/>
      <c r="AP1511" s="4"/>
      <c r="AQ1511" s="4"/>
      <c r="AR1511" s="4"/>
      <c r="AS1511" s="4"/>
      <c r="AT1511" s="4"/>
      <c r="AU1511" s="4"/>
      <c r="AV1511" s="4"/>
      <c r="AW1511" s="4"/>
      <c r="AX1511" s="4"/>
      <c r="AY1511" s="4"/>
      <c r="AZ1511" s="4"/>
      <c r="BA1511" s="4"/>
      <c r="BB1511" s="4"/>
      <c r="BC1511" s="4"/>
      <c r="BD1511" s="4"/>
      <c r="BE1511" s="4"/>
      <c r="BF1511" s="4"/>
      <c r="BG1511" s="4"/>
      <c r="BH1511" s="4"/>
      <c r="BI1511" s="4"/>
      <c r="BJ1511" s="4"/>
      <c r="BK1511" s="4"/>
      <c r="BL1511" s="4"/>
      <c r="BM1511" s="4"/>
      <c r="BN1511" s="4"/>
      <c r="BO1511" s="4"/>
      <c r="BP1511" s="4"/>
      <c r="BQ1511" s="4"/>
      <c r="BR1511" s="4"/>
      <c r="BS1511" s="4"/>
      <c r="BT1511" s="4"/>
      <c r="BU1511" s="4"/>
      <c r="BV1511" s="4"/>
      <c r="BW1511" s="4"/>
      <c r="BX1511" s="4"/>
      <c r="BY1511" s="4"/>
      <c r="BZ1511" s="4"/>
      <c r="CA1511" s="4"/>
      <c r="CB1511" s="4"/>
      <c r="CC1511" s="4"/>
      <c r="CD1511" s="4"/>
      <c r="CE1511" s="4"/>
      <c r="CF1511" s="4"/>
      <c r="CG1511" s="4"/>
      <c r="CH1511" s="4"/>
      <c r="CI1511" s="4"/>
      <c r="CJ1511" s="4"/>
      <c r="CK1511" s="4"/>
      <c r="CL1511" s="4"/>
      <c r="CM1511" s="4"/>
      <c r="CN1511" s="4"/>
      <c r="CO1511" s="4"/>
      <c r="CP1511" s="4"/>
      <c r="CQ1511" s="4"/>
      <c r="CR1511" s="4"/>
      <c r="CS1511" s="4"/>
      <c r="CT1511" s="4"/>
      <c r="CU1511" s="4"/>
      <c r="CV1511" s="4"/>
      <c r="CW1511" s="4"/>
      <c r="CX1511" s="4"/>
      <c r="CY1511" s="4"/>
      <c r="CZ1511" s="4"/>
      <c r="DA1511" s="4"/>
      <c r="DB1511" s="4"/>
      <c r="DC1511" s="4"/>
      <c r="DD1511" s="4"/>
      <c r="DE1511" s="4"/>
      <c r="DF1511" s="4"/>
      <c r="DG1511" s="4"/>
      <c r="DH1511" s="4"/>
      <c r="DI1511" s="4"/>
      <c r="DJ1511" s="4"/>
      <c r="DK1511" s="4"/>
      <c r="DL1511" s="4"/>
      <c r="DM1511" s="4"/>
      <c r="DN1511" s="4"/>
      <c r="DO1511" s="4"/>
      <c r="DP1511" s="4"/>
      <c r="DQ1511" s="4"/>
      <c r="DR1511" s="4"/>
      <c r="DS1511" s="4"/>
    </row>
    <row r="1512">
      <c r="A1512" s="9">
        <f>IFERROR(__xludf.DUMMYFUNCTION("""COMPUTED_VALUE"""),45910.0)</f>
        <v>45910</v>
      </c>
      <c r="B1512" s="6" t="str">
        <f>IFERROR(__xludf.DUMMYFUNCTION("""COMPUTED_VALUE"""),"Groceries")</f>
        <v>Groceries</v>
      </c>
      <c r="C1512" s="7">
        <f>IFERROR(__xludf.DUMMYFUNCTION("""COMPUTED_VALUE"""),15650.0)</f>
        <v>15650</v>
      </c>
      <c r="D1512" s="6" t="str">
        <f>IFERROR(__xludf.DUMMYFUNCTION("""COMPUTED_VALUE"""),"Groceries")</f>
        <v>Groceries</v>
      </c>
      <c r="E1512" s="6" t="str">
        <f>IFERROR(__xludf.DUMMYFUNCTION("""COMPUTED_VALUE"""),"Virtual Wallet")</f>
        <v>Virtual Wallet</v>
      </c>
      <c r="F1512" s="6" t="s">
        <v>7</v>
      </c>
      <c r="G1512" s="8" t="str">
        <f t="shared" si="1"/>
        <v>202509</v>
      </c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  <c r="AA1512" s="4"/>
      <c r="AB1512" s="4"/>
      <c r="AC1512" s="4"/>
      <c r="AD1512" s="4"/>
      <c r="AE1512" s="4"/>
      <c r="AF1512" s="4"/>
      <c r="AG1512" s="4"/>
      <c r="AH1512" s="4"/>
      <c r="AI1512" s="4"/>
      <c r="AJ1512" s="4"/>
      <c r="AK1512" s="4"/>
      <c r="AL1512" s="4"/>
      <c r="AM1512" s="4"/>
      <c r="AN1512" s="4"/>
      <c r="AO1512" s="4"/>
      <c r="AP1512" s="4"/>
      <c r="AQ1512" s="4"/>
      <c r="AR1512" s="4"/>
      <c r="AS1512" s="4"/>
      <c r="AT1512" s="4"/>
      <c r="AU1512" s="4"/>
      <c r="AV1512" s="4"/>
      <c r="AW1512" s="4"/>
      <c r="AX1512" s="4"/>
      <c r="AY1512" s="4"/>
      <c r="AZ1512" s="4"/>
      <c r="BA1512" s="4"/>
      <c r="BB1512" s="4"/>
      <c r="BC1512" s="4"/>
      <c r="BD1512" s="4"/>
      <c r="BE1512" s="4"/>
      <c r="BF1512" s="4"/>
      <c r="BG1512" s="4"/>
      <c r="BH1512" s="4"/>
      <c r="BI1512" s="4"/>
      <c r="BJ1512" s="4"/>
      <c r="BK1512" s="4"/>
      <c r="BL1512" s="4"/>
      <c r="BM1512" s="4"/>
      <c r="BN1512" s="4"/>
      <c r="BO1512" s="4"/>
      <c r="BP1512" s="4"/>
      <c r="BQ1512" s="4"/>
      <c r="BR1512" s="4"/>
      <c r="BS1512" s="4"/>
      <c r="BT1512" s="4"/>
      <c r="BU1512" s="4"/>
      <c r="BV1512" s="4"/>
      <c r="BW1512" s="4"/>
      <c r="BX1512" s="4"/>
      <c r="BY1512" s="4"/>
      <c r="BZ1512" s="4"/>
      <c r="CA1512" s="4"/>
      <c r="CB1512" s="4"/>
      <c r="CC1512" s="4"/>
      <c r="CD1512" s="4"/>
      <c r="CE1512" s="4"/>
      <c r="CF1512" s="4"/>
      <c r="CG1512" s="4"/>
      <c r="CH1512" s="4"/>
      <c r="CI1512" s="4"/>
      <c r="CJ1512" s="4"/>
      <c r="CK1512" s="4"/>
      <c r="CL1512" s="4"/>
      <c r="CM1512" s="4"/>
      <c r="CN1512" s="4"/>
      <c r="CO1512" s="4"/>
      <c r="CP1512" s="4"/>
      <c r="CQ1512" s="4"/>
      <c r="CR1512" s="4"/>
      <c r="CS1512" s="4"/>
      <c r="CT1512" s="4"/>
      <c r="CU1512" s="4"/>
      <c r="CV1512" s="4"/>
      <c r="CW1512" s="4"/>
      <c r="CX1512" s="4"/>
      <c r="CY1512" s="4"/>
      <c r="CZ1512" s="4"/>
      <c r="DA1512" s="4"/>
      <c r="DB1512" s="4"/>
      <c r="DC1512" s="4"/>
      <c r="DD1512" s="4"/>
      <c r="DE1512" s="4"/>
      <c r="DF1512" s="4"/>
      <c r="DG1512" s="4"/>
      <c r="DH1512" s="4"/>
      <c r="DI1512" s="4"/>
      <c r="DJ1512" s="4"/>
      <c r="DK1512" s="4"/>
      <c r="DL1512" s="4"/>
      <c r="DM1512" s="4"/>
      <c r="DN1512" s="4"/>
      <c r="DO1512" s="4"/>
      <c r="DP1512" s="4"/>
      <c r="DQ1512" s="4"/>
      <c r="DR1512" s="4"/>
      <c r="DS1512" s="4"/>
    </row>
    <row r="1513">
      <c r="A1513" s="9">
        <f>IFERROR(__xludf.DUMMYFUNCTION("""COMPUTED_VALUE"""),45911.0)</f>
        <v>45911</v>
      </c>
      <c r="B1513" s="6" t="str">
        <f>IFERROR(__xludf.DUMMYFUNCTION("""COMPUTED_VALUE"""),"Pets")</f>
        <v>Pets</v>
      </c>
      <c r="C1513" s="7">
        <f>IFERROR(__xludf.DUMMYFUNCTION("""COMPUTED_VALUE"""),15600.0)</f>
        <v>15600</v>
      </c>
      <c r="D1513" s="6" t="str">
        <f>IFERROR(__xludf.DUMMYFUNCTION("""COMPUTED_VALUE"""),"Pets")</f>
        <v>Pets</v>
      </c>
      <c r="E1513" s="6" t="str">
        <f>IFERROR(__xludf.DUMMYFUNCTION("""COMPUTED_VALUE"""),"Virtual Wallet")</f>
        <v>Virtual Wallet</v>
      </c>
      <c r="F1513" s="6" t="s">
        <v>7</v>
      </c>
      <c r="G1513" s="8" t="str">
        <f t="shared" si="1"/>
        <v>202509</v>
      </c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  <c r="AA1513" s="4"/>
      <c r="AB1513" s="4"/>
      <c r="AC1513" s="4"/>
      <c r="AD1513" s="4"/>
      <c r="AE1513" s="4"/>
      <c r="AF1513" s="4"/>
      <c r="AG1513" s="4"/>
      <c r="AH1513" s="4"/>
      <c r="AI1513" s="4"/>
      <c r="AJ1513" s="4"/>
      <c r="AK1513" s="4"/>
      <c r="AL1513" s="4"/>
      <c r="AM1513" s="4"/>
      <c r="AN1513" s="4"/>
      <c r="AO1513" s="4"/>
      <c r="AP1513" s="4"/>
      <c r="AQ1513" s="4"/>
      <c r="AR1513" s="4"/>
      <c r="AS1513" s="4"/>
      <c r="AT1513" s="4"/>
      <c r="AU1513" s="4"/>
      <c r="AV1513" s="4"/>
      <c r="AW1513" s="4"/>
      <c r="AX1513" s="4"/>
      <c r="AY1513" s="4"/>
      <c r="AZ1513" s="4"/>
      <c r="BA1513" s="4"/>
      <c r="BB1513" s="4"/>
      <c r="BC1513" s="4"/>
      <c r="BD1513" s="4"/>
      <c r="BE1513" s="4"/>
      <c r="BF1513" s="4"/>
      <c r="BG1513" s="4"/>
      <c r="BH1513" s="4"/>
      <c r="BI1513" s="4"/>
      <c r="BJ1513" s="4"/>
      <c r="BK1513" s="4"/>
      <c r="BL1513" s="4"/>
      <c r="BM1513" s="4"/>
      <c r="BN1513" s="4"/>
      <c r="BO1513" s="4"/>
      <c r="BP1513" s="4"/>
      <c r="BQ1513" s="4"/>
      <c r="BR1513" s="4"/>
      <c r="BS1513" s="4"/>
      <c r="BT1513" s="4"/>
      <c r="BU1513" s="4"/>
      <c r="BV1513" s="4"/>
      <c r="BW1513" s="4"/>
      <c r="BX1513" s="4"/>
      <c r="BY1513" s="4"/>
      <c r="BZ1513" s="4"/>
      <c r="CA1513" s="4"/>
      <c r="CB1513" s="4"/>
      <c r="CC1513" s="4"/>
      <c r="CD1513" s="4"/>
      <c r="CE1513" s="4"/>
      <c r="CF1513" s="4"/>
      <c r="CG1513" s="4"/>
      <c r="CH1513" s="4"/>
      <c r="CI1513" s="4"/>
      <c r="CJ1513" s="4"/>
      <c r="CK1513" s="4"/>
      <c r="CL1513" s="4"/>
      <c r="CM1513" s="4"/>
      <c r="CN1513" s="4"/>
      <c r="CO1513" s="4"/>
      <c r="CP1513" s="4"/>
      <c r="CQ1513" s="4"/>
      <c r="CR1513" s="4"/>
      <c r="CS1513" s="4"/>
      <c r="CT1513" s="4"/>
      <c r="CU1513" s="4"/>
      <c r="CV1513" s="4"/>
      <c r="CW1513" s="4"/>
      <c r="CX1513" s="4"/>
      <c r="CY1513" s="4"/>
      <c r="CZ1513" s="4"/>
      <c r="DA1513" s="4"/>
      <c r="DB1513" s="4"/>
      <c r="DC1513" s="4"/>
      <c r="DD1513" s="4"/>
      <c r="DE1513" s="4"/>
      <c r="DF1513" s="4"/>
      <c r="DG1513" s="4"/>
      <c r="DH1513" s="4"/>
      <c r="DI1513" s="4"/>
      <c r="DJ1513" s="4"/>
      <c r="DK1513" s="4"/>
      <c r="DL1513" s="4"/>
      <c r="DM1513" s="4"/>
      <c r="DN1513" s="4"/>
      <c r="DO1513" s="4"/>
      <c r="DP1513" s="4"/>
      <c r="DQ1513" s="4"/>
      <c r="DR1513" s="4"/>
      <c r="DS1513" s="4"/>
    </row>
    <row r="1514">
      <c r="A1514" s="9">
        <f>IFERROR(__xludf.DUMMYFUNCTION("""COMPUTED_VALUE"""),45911.0)</f>
        <v>45911</v>
      </c>
      <c r="B1514" s="6" t="str">
        <f>IFERROR(__xludf.DUMMYFUNCTION("""COMPUTED_VALUE"""),"Pets")</f>
        <v>Pets</v>
      </c>
      <c r="C1514" s="7">
        <f>IFERROR(__xludf.DUMMYFUNCTION("""COMPUTED_VALUE"""),12750.0)</f>
        <v>12750</v>
      </c>
      <c r="D1514" s="6" t="str">
        <f>IFERROR(__xludf.DUMMYFUNCTION("""COMPUTED_VALUE"""),"Pets")</f>
        <v>Pets</v>
      </c>
      <c r="E1514" s="6" t="str">
        <f>IFERROR(__xludf.DUMMYFUNCTION("""COMPUTED_VALUE"""),"Split Payment")</f>
        <v>Split Payment</v>
      </c>
      <c r="F1514" s="6" t="s">
        <v>7</v>
      </c>
      <c r="G1514" s="8" t="str">
        <f t="shared" si="1"/>
        <v>202509</v>
      </c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  <c r="AA1514" s="4"/>
      <c r="AB1514" s="4"/>
      <c r="AC1514" s="4"/>
      <c r="AD1514" s="4"/>
      <c r="AE1514" s="4"/>
      <c r="AF1514" s="4"/>
      <c r="AG1514" s="4"/>
      <c r="AH1514" s="4"/>
      <c r="AI1514" s="4"/>
      <c r="AJ1514" s="4"/>
      <c r="AK1514" s="4"/>
      <c r="AL1514" s="4"/>
      <c r="AM1514" s="4"/>
      <c r="AN1514" s="4"/>
      <c r="AO1514" s="4"/>
      <c r="AP1514" s="4"/>
      <c r="AQ1514" s="4"/>
      <c r="AR1514" s="4"/>
      <c r="AS1514" s="4"/>
      <c r="AT1514" s="4"/>
      <c r="AU1514" s="4"/>
      <c r="AV1514" s="4"/>
      <c r="AW1514" s="4"/>
      <c r="AX1514" s="4"/>
      <c r="AY1514" s="4"/>
      <c r="AZ1514" s="4"/>
      <c r="BA1514" s="4"/>
      <c r="BB1514" s="4"/>
      <c r="BC1514" s="4"/>
      <c r="BD1514" s="4"/>
      <c r="BE1514" s="4"/>
      <c r="BF1514" s="4"/>
      <c r="BG1514" s="4"/>
      <c r="BH1514" s="4"/>
      <c r="BI1514" s="4"/>
      <c r="BJ1514" s="4"/>
      <c r="BK1514" s="4"/>
      <c r="BL1514" s="4"/>
      <c r="BM1514" s="4"/>
      <c r="BN1514" s="4"/>
      <c r="BO1514" s="4"/>
      <c r="BP1514" s="4"/>
      <c r="BQ1514" s="4"/>
      <c r="BR1514" s="4"/>
      <c r="BS1514" s="4"/>
      <c r="BT1514" s="4"/>
      <c r="BU1514" s="4"/>
      <c r="BV1514" s="4"/>
      <c r="BW1514" s="4"/>
      <c r="BX1514" s="4"/>
      <c r="BY1514" s="4"/>
      <c r="BZ1514" s="4"/>
      <c r="CA1514" s="4"/>
      <c r="CB1514" s="4"/>
      <c r="CC1514" s="4"/>
      <c r="CD1514" s="4"/>
      <c r="CE1514" s="4"/>
      <c r="CF1514" s="4"/>
      <c r="CG1514" s="4"/>
      <c r="CH1514" s="4"/>
      <c r="CI1514" s="4"/>
      <c r="CJ1514" s="4"/>
      <c r="CK1514" s="4"/>
      <c r="CL1514" s="4"/>
      <c r="CM1514" s="4"/>
      <c r="CN1514" s="4"/>
      <c r="CO1514" s="4"/>
      <c r="CP1514" s="4"/>
      <c r="CQ1514" s="4"/>
      <c r="CR1514" s="4"/>
      <c r="CS1514" s="4"/>
      <c r="CT1514" s="4"/>
      <c r="CU1514" s="4"/>
      <c r="CV1514" s="4"/>
      <c r="CW1514" s="4"/>
      <c r="CX1514" s="4"/>
      <c r="CY1514" s="4"/>
      <c r="CZ1514" s="4"/>
      <c r="DA1514" s="4"/>
      <c r="DB1514" s="4"/>
      <c r="DC1514" s="4"/>
      <c r="DD1514" s="4"/>
      <c r="DE1514" s="4"/>
      <c r="DF1514" s="4"/>
      <c r="DG1514" s="4"/>
      <c r="DH1514" s="4"/>
      <c r="DI1514" s="4"/>
      <c r="DJ1514" s="4"/>
      <c r="DK1514" s="4"/>
      <c r="DL1514" s="4"/>
      <c r="DM1514" s="4"/>
      <c r="DN1514" s="4"/>
      <c r="DO1514" s="4"/>
      <c r="DP1514" s="4"/>
      <c r="DQ1514" s="4"/>
      <c r="DR1514" s="4"/>
      <c r="DS1514" s="4"/>
    </row>
    <row r="1515">
      <c r="A1515" s="9">
        <f>IFERROR(__xludf.DUMMYFUNCTION("""COMPUTED_VALUE"""),45911.0)</f>
        <v>45911</v>
      </c>
      <c r="B1515" s="6" t="str">
        <f>IFERROR(__xludf.DUMMYFUNCTION("""COMPUTED_VALUE"""),"Restaurant")</f>
        <v>Restaurant</v>
      </c>
      <c r="C1515" s="7">
        <f>IFERROR(__xludf.DUMMYFUNCTION("""COMPUTED_VALUE"""),9870.0)</f>
        <v>9870</v>
      </c>
      <c r="D1515" s="6" t="str">
        <f>IFERROR(__xludf.DUMMYFUNCTION("""COMPUTED_VALUE"""),"Restaurant / Café")</f>
        <v>Restaurant / Café</v>
      </c>
      <c r="E1515" s="6" t="str">
        <f>IFERROR(__xludf.DUMMYFUNCTION("""COMPUTED_VALUE"""),"Virtual Wallet")</f>
        <v>Virtual Wallet</v>
      </c>
      <c r="F1515" s="6" t="s">
        <v>14</v>
      </c>
      <c r="G1515" s="8" t="str">
        <f t="shared" si="1"/>
        <v>202509</v>
      </c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  <c r="AA1515" s="4"/>
      <c r="AB1515" s="4"/>
      <c r="AC1515" s="4"/>
      <c r="AD1515" s="4"/>
      <c r="AE1515" s="4"/>
      <c r="AF1515" s="4"/>
      <c r="AG1515" s="4"/>
      <c r="AH1515" s="4"/>
      <c r="AI1515" s="4"/>
      <c r="AJ1515" s="4"/>
      <c r="AK1515" s="4"/>
      <c r="AL1515" s="4"/>
      <c r="AM1515" s="4"/>
      <c r="AN1515" s="4"/>
      <c r="AO1515" s="4"/>
      <c r="AP1515" s="4"/>
      <c r="AQ1515" s="4"/>
      <c r="AR1515" s="4"/>
      <c r="AS1515" s="4"/>
      <c r="AT1515" s="4"/>
      <c r="AU1515" s="4"/>
      <c r="AV1515" s="4"/>
      <c r="AW1515" s="4"/>
      <c r="AX1515" s="4"/>
      <c r="AY1515" s="4"/>
      <c r="AZ1515" s="4"/>
      <c r="BA1515" s="4"/>
      <c r="BB1515" s="4"/>
      <c r="BC1515" s="4"/>
      <c r="BD1515" s="4"/>
      <c r="BE1515" s="4"/>
      <c r="BF1515" s="4"/>
      <c r="BG1515" s="4"/>
      <c r="BH1515" s="4"/>
      <c r="BI1515" s="4"/>
      <c r="BJ1515" s="4"/>
      <c r="BK1515" s="4"/>
      <c r="BL1515" s="4"/>
      <c r="BM1515" s="4"/>
      <c r="BN1515" s="4"/>
      <c r="BO1515" s="4"/>
      <c r="BP1515" s="4"/>
      <c r="BQ1515" s="4"/>
      <c r="BR1515" s="4"/>
      <c r="BS1515" s="4"/>
      <c r="BT1515" s="4"/>
      <c r="BU1515" s="4"/>
      <c r="BV1515" s="4"/>
      <c r="BW1515" s="4"/>
      <c r="BX1515" s="4"/>
      <c r="BY1515" s="4"/>
      <c r="BZ1515" s="4"/>
      <c r="CA1515" s="4"/>
      <c r="CB1515" s="4"/>
      <c r="CC1515" s="4"/>
      <c r="CD1515" s="4"/>
      <c r="CE1515" s="4"/>
      <c r="CF1515" s="4"/>
      <c r="CG1515" s="4"/>
      <c r="CH1515" s="4"/>
      <c r="CI1515" s="4"/>
      <c r="CJ1515" s="4"/>
      <c r="CK1515" s="4"/>
      <c r="CL1515" s="4"/>
      <c r="CM1515" s="4"/>
      <c r="CN1515" s="4"/>
      <c r="CO1515" s="4"/>
      <c r="CP1515" s="4"/>
      <c r="CQ1515" s="4"/>
      <c r="CR1515" s="4"/>
      <c r="CS1515" s="4"/>
      <c r="CT1515" s="4"/>
      <c r="CU1515" s="4"/>
      <c r="CV1515" s="4"/>
      <c r="CW1515" s="4"/>
      <c r="CX1515" s="4"/>
      <c r="CY1515" s="4"/>
      <c r="CZ1515" s="4"/>
      <c r="DA1515" s="4"/>
      <c r="DB1515" s="4"/>
      <c r="DC1515" s="4"/>
      <c r="DD1515" s="4"/>
      <c r="DE1515" s="4"/>
      <c r="DF1515" s="4"/>
      <c r="DG1515" s="4"/>
      <c r="DH1515" s="4"/>
      <c r="DI1515" s="4"/>
      <c r="DJ1515" s="4"/>
      <c r="DK1515" s="4"/>
      <c r="DL1515" s="4"/>
      <c r="DM1515" s="4"/>
      <c r="DN1515" s="4"/>
      <c r="DO1515" s="4"/>
      <c r="DP1515" s="4"/>
      <c r="DQ1515" s="4"/>
      <c r="DR1515" s="4"/>
      <c r="DS1515" s="4"/>
    </row>
    <row r="1516">
      <c r="A1516" s="9">
        <f>IFERROR(__xludf.DUMMYFUNCTION("""COMPUTED_VALUE"""),45912.0)</f>
        <v>45912</v>
      </c>
      <c r="B1516" s="6" t="str">
        <f>IFERROR(__xludf.DUMMYFUNCTION("""COMPUTED_VALUE"""),"Home Goods")</f>
        <v>Home Goods</v>
      </c>
      <c r="C1516" s="7">
        <f>IFERROR(__xludf.DUMMYFUNCTION("""COMPUTED_VALUE"""),4935.0)</f>
        <v>4935</v>
      </c>
      <c r="D1516" s="6" t="str">
        <f>IFERROR(__xludf.DUMMYFUNCTION("""COMPUTED_VALUE"""),"Home Goods &amp; Utilities")</f>
        <v>Home Goods &amp; Utilities</v>
      </c>
      <c r="E1516" s="6" t="str">
        <f>IFERROR(__xludf.DUMMYFUNCTION("""COMPUTED_VALUE"""),"Split Payment")</f>
        <v>Split Payment</v>
      </c>
      <c r="F1516" s="6" t="s">
        <v>8</v>
      </c>
      <c r="G1516" s="8" t="str">
        <f t="shared" si="1"/>
        <v>202509</v>
      </c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  <c r="AA1516" s="4"/>
      <c r="AB1516" s="4"/>
      <c r="AC1516" s="4"/>
      <c r="AD1516" s="4"/>
      <c r="AE1516" s="4"/>
      <c r="AF1516" s="4"/>
      <c r="AG1516" s="4"/>
      <c r="AH1516" s="4"/>
      <c r="AI1516" s="4"/>
      <c r="AJ1516" s="4"/>
      <c r="AK1516" s="4"/>
      <c r="AL1516" s="4"/>
      <c r="AM1516" s="4"/>
      <c r="AN1516" s="4"/>
      <c r="AO1516" s="4"/>
      <c r="AP1516" s="4"/>
      <c r="AQ1516" s="4"/>
      <c r="AR1516" s="4"/>
      <c r="AS1516" s="4"/>
      <c r="AT1516" s="4"/>
      <c r="AU1516" s="4"/>
      <c r="AV1516" s="4"/>
      <c r="AW1516" s="4"/>
      <c r="AX1516" s="4"/>
      <c r="AY1516" s="4"/>
      <c r="AZ1516" s="4"/>
      <c r="BA1516" s="4"/>
      <c r="BB1516" s="4"/>
      <c r="BC1516" s="4"/>
      <c r="BD1516" s="4"/>
      <c r="BE1516" s="4"/>
      <c r="BF1516" s="4"/>
      <c r="BG1516" s="4"/>
      <c r="BH1516" s="4"/>
      <c r="BI1516" s="4"/>
      <c r="BJ1516" s="4"/>
      <c r="BK1516" s="4"/>
      <c r="BL1516" s="4"/>
      <c r="BM1516" s="4"/>
      <c r="BN1516" s="4"/>
      <c r="BO1516" s="4"/>
      <c r="BP1516" s="4"/>
      <c r="BQ1516" s="4"/>
      <c r="BR1516" s="4"/>
      <c r="BS1516" s="4"/>
      <c r="BT1516" s="4"/>
      <c r="BU1516" s="4"/>
      <c r="BV1516" s="4"/>
      <c r="BW1516" s="4"/>
      <c r="BX1516" s="4"/>
      <c r="BY1516" s="4"/>
      <c r="BZ1516" s="4"/>
      <c r="CA1516" s="4"/>
      <c r="CB1516" s="4"/>
      <c r="CC1516" s="4"/>
      <c r="CD1516" s="4"/>
      <c r="CE1516" s="4"/>
      <c r="CF1516" s="4"/>
      <c r="CG1516" s="4"/>
      <c r="CH1516" s="4"/>
      <c r="CI1516" s="4"/>
      <c r="CJ1516" s="4"/>
      <c r="CK1516" s="4"/>
      <c r="CL1516" s="4"/>
      <c r="CM1516" s="4"/>
      <c r="CN1516" s="4"/>
      <c r="CO1516" s="4"/>
      <c r="CP1516" s="4"/>
      <c r="CQ1516" s="4"/>
      <c r="CR1516" s="4"/>
      <c r="CS1516" s="4"/>
      <c r="CT1516" s="4"/>
      <c r="CU1516" s="4"/>
      <c r="CV1516" s="4"/>
      <c r="CW1516" s="4"/>
      <c r="CX1516" s="4"/>
      <c r="CY1516" s="4"/>
      <c r="CZ1516" s="4"/>
      <c r="DA1516" s="4"/>
      <c r="DB1516" s="4"/>
      <c r="DC1516" s="4"/>
      <c r="DD1516" s="4"/>
      <c r="DE1516" s="4"/>
      <c r="DF1516" s="4"/>
      <c r="DG1516" s="4"/>
      <c r="DH1516" s="4"/>
      <c r="DI1516" s="4"/>
      <c r="DJ1516" s="4"/>
      <c r="DK1516" s="4"/>
      <c r="DL1516" s="4"/>
      <c r="DM1516" s="4"/>
      <c r="DN1516" s="4"/>
      <c r="DO1516" s="4"/>
      <c r="DP1516" s="4"/>
      <c r="DQ1516" s="4"/>
      <c r="DR1516" s="4"/>
      <c r="DS1516" s="4"/>
    </row>
    <row r="1517">
      <c r="A1517" s="9">
        <f>IFERROR(__xludf.DUMMYFUNCTION("""COMPUTED_VALUE"""),45912.0)</f>
        <v>45912</v>
      </c>
      <c r="B1517" s="6" t="str">
        <f>IFERROR(__xludf.DUMMYFUNCTION("""COMPUTED_VALUE"""),"Mobile Plan")</f>
        <v>Mobile Plan</v>
      </c>
      <c r="C1517" s="7">
        <f>IFERROR(__xludf.DUMMYFUNCTION("""COMPUTED_VALUE"""),11000.0)</f>
        <v>11000</v>
      </c>
      <c r="D1517" s="6" t="str">
        <f>IFERROR(__xludf.DUMMYFUNCTION("""COMPUTED_VALUE"""),"Basic Services")</f>
        <v>Basic Services</v>
      </c>
      <c r="E1517" s="6" t="str">
        <f>IFERROR(__xludf.DUMMYFUNCTION("""COMPUTED_VALUE"""),"Virtual Wallet")</f>
        <v>Virtual Wallet</v>
      </c>
      <c r="F1517" s="6" t="s">
        <v>13</v>
      </c>
      <c r="G1517" s="8" t="str">
        <f t="shared" si="1"/>
        <v>202509</v>
      </c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  <c r="AA1517" s="4"/>
      <c r="AB1517" s="4"/>
      <c r="AC1517" s="4"/>
      <c r="AD1517" s="4"/>
      <c r="AE1517" s="4"/>
      <c r="AF1517" s="4"/>
      <c r="AG1517" s="4"/>
      <c r="AH1517" s="4"/>
      <c r="AI1517" s="4"/>
      <c r="AJ1517" s="4"/>
      <c r="AK1517" s="4"/>
      <c r="AL1517" s="4"/>
      <c r="AM1517" s="4"/>
      <c r="AN1517" s="4"/>
      <c r="AO1517" s="4"/>
      <c r="AP1517" s="4"/>
      <c r="AQ1517" s="4"/>
      <c r="AR1517" s="4"/>
      <c r="AS1517" s="4"/>
      <c r="AT1517" s="4"/>
      <c r="AU1517" s="4"/>
      <c r="AV1517" s="4"/>
      <c r="AW1517" s="4"/>
      <c r="AX1517" s="4"/>
      <c r="AY1517" s="4"/>
      <c r="AZ1517" s="4"/>
      <c r="BA1517" s="4"/>
      <c r="BB1517" s="4"/>
      <c r="BC1517" s="4"/>
      <c r="BD1517" s="4"/>
      <c r="BE1517" s="4"/>
      <c r="BF1517" s="4"/>
      <c r="BG1517" s="4"/>
      <c r="BH1517" s="4"/>
      <c r="BI1517" s="4"/>
      <c r="BJ1517" s="4"/>
      <c r="BK1517" s="4"/>
      <c r="BL1517" s="4"/>
      <c r="BM1517" s="4"/>
      <c r="BN1517" s="4"/>
      <c r="BO1517" s="4"/>
      <c r="BP1517" s="4"/>
      <c r="BQ1517" s="4"/>
      <c r="BR1517" s="4"/>
      <c r="BS1517" s="4"/>
      <c r="BT1517" s="4"/>
      <c r="BU1517" s="4"/>
      <c r="BV1517" s="4"/>
      <c r="BW1517" s="4"/>
      <c r="BX1517" s="4"/>
      <c r="BY1517" s="4"/>
      <c r="BZ1517" s="4"/>
      <c r="CA1517" s="4"/>
      <c r="CB1517" s="4"/>
      <c r="CC1517" s="4"/>
      <c r="CD1517" s="4"/>
      <c r="CE1517" s="4"/>
      <c r="CF1517" s="4"/>
      <c r="CG1517" s="4"/>
      <c r="CH1517" s="4"/>
      <c r="CI1517" s="4"/>
      <c r="CJ1517" s="4"/>
      <c r="CK1517" s="4"/>
      <c r="CL1517" s="4"/>
      <c r="CM1517" s="4"/>
      <c r="CN1517" s="4"/>
      <c r="CO1517" s="4"/>
      <c r="CP1517" s="4"/>
      <c r="CQ1517" s="4"/>
      <c r="CR1517" s="4"/>
      <c r="CS1517" s="4"/>
      <c r="CT1517" s="4"/>
      <c r="CU1517" s="4"/>
      <c r="CV1517" s="4"/>
      <c r="CW1517" s="4"/>
      <c r="CX1517" s="4"/>
      <c r="CY1517" s="4"/>
      <c r="CZ1517" s="4"/>
      <c r="DA1517" s="4"/>
      <c r="DB1517" s="4"/>
      <c r="DC1517" s="4"/>
      <c r="DD1517" s="4"/>
      <c r="DE1517" s="4"/>
      <c r="DF1517" s="4"/>
      <c r="DG1517" s="4"/>
      <c r="DH1517" s="4"/>
      <c r="DI1517" s="4"/>
      <c r="DJ1517" s="4"/>
      <c r="DK1517" s="4"/>
      <c r="DL1517" s="4"/>
      <c r="DM1517" s="4"/>
      <c r="DN1517" s="4"/>
      <c r="DO1517" s="4"/>
      <c r="DP1517" s="4"/>
      <c r="DQ1517" s="4"/>
      <c r="DR1517" s="4"/>
      <c r="DS1517" s="4"/>
    </row>
    <row r="1518">
      <c r="A1518" s="9">
        <f>IFERROR(__xludf.DUMMYFUNCTION("""COMPUTED_VALUE"""),45913.0)</f>
        <v>45913</v>
      </c>
      <c r="B1518" s="6" t="str">
        <f>IFERROR(__xludf.DUMMYFUNCTION("""COMPUTED_VALUE"""),"Home Goods")</f>
        <v>Home Goods</v>
      </c>
      <c r="C1518" s="7">
        <f>IFERROR(__xludf.DUMMYFUNCTION("""COMPUTED_VALUE"""),600.0)</f>
        <v>600</v>
      </c>
      <c r="D1518" s="6" t="str">
        <f>IFERROR(__xludf.DUMMYFUNCTION("""COMPUTED_VALUE"""),"Home Goods &amp; Utilities")</f>
        <v>Home Goods &amp; Utilities</v>
      </c>
      <c r="E1518" s="6" t="str">
        <f>IFERROR(__xludf.DUMMYFUNCTION("""COMPUTED_VALUE"""),"Virtual Wallet")</f>
        <v>Virtual Wallet</v>
      </c>
      <c r="F1518" s="6" t="s">
        <v>8</v>
      </c>
      <c r="G1518" s="8" t="str">
        <f t="shared" si="1"/>
        <v>202509</v>
      </c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  <c r="AA1518" s="4"/>
      <c r="AB1518" s="4"/>
      <c r="AC1518" s="4"/>
      <c r="AD1518" s="4"/>
      <c r="AE1518" s="4"/>
      <c r="AF1518" s="4"/>
      <c r="AG1518" s="4"/>
      <c r="AH1518" s="4"/>
      <c r="AI1518" s="4"/>
      <c r="AJ1518" s="4"/>
      <c r="AK1518" s="4"/>
      <c r="AL1518" s="4"/>
      <c r="AM1518" s="4"/>
      <c r="AN1518" s="4"/>
      <c r="AO1518" s="4"/>
      <c r="AP1518" s="4"/>
      <c r="AQ1518" s="4"/>
      <c r="AR1518" s="4"/>
      <c r="AS1518" s="4"/>
      <c r="AT1518" s="4"/>
      <c r="AU1518" s="4"/>
      <c r="AV1518" s="4"/>
      <c r="AW1518" s="4"/>
      <c r="AX1518" s="4"/>
      <c r="AY1518" s="4"/>
      <c r="AZ1518" s="4"/>
      <c r="BA1518" s="4"/>
      <c r="BB1518" s="4"/>
      <c r="BC1518" s="4"/>
      <c r="BD1518" s="4"/>
      <c r="BE1518" s="4"/>
      <c r="BF1518" s="4"/>
      <c r="BG1518" s="4"/>
      <c r="BH1518" s="4"/>
      <c r="BI1518" s="4"/>
      <c r="BJ1518" s="4"/>
      <c r="BK1518" s="4"/>
      <c r="BL1518" s="4"/>
      <c r="BM1518" s="4"/>
      <c r="BN1518" s="4"/>
      <c r="BO1518" s="4"/>
      <c r="BP1518" s="4"/>
      <c r="BQ1518" s="4"/>
      <c r="BR1518" s="4"/>
      <c r="BS1518" s="4"/>
      <c r="BT1518" s="4"/>
      <c r="BU1518" s="4"/>
      <c r="BV1518" s="4"/>
      <c r="BW1518" s="4"/>
      <c r="BX1518" s="4"/>
      <c r="BY1518" s="4"/>
      <c r="BZ1518" s="4"/>
      <c r="CA1518" s="4"/>
      <c r="CB1518" s="4"/>
      <c r="CC1518" s="4"/>
      <c r="CD1518" s="4"/>
      <c r="CE1518" s="4"/>
      <c r="CF1518" s="4"/>
      <c r="CG1518" s="4"/>
      <c r="CH1518" s="4"/>
      <c r="CI1518" s="4"/>
      <c r="CJ1518" s="4"/>
      <c r="CK1518" s="4"/>
      <c r="CL1518" s="4"/>
      <c r="CM1518" s="4"/>
      <c r="CN1518" s="4"/>
      <c r="CO1518" s="4"/>
      <c r="CP1518" s="4"/>
      <c r="CQ1518" s="4"/>
      <c r="CR1518" s="4"/>
      <c r="CS1518" s="4"/>
      <c r="CT1518" s="4"/>
      <c r="CU1518" s="4"/>
      <c r="CV1518" s="4"/>
      <c r="CW1518" s="4"/>
      <c r="CX1518" s="4"/>
      <c r="CY1518" s="4"/>
      <c r="CZ1518" s="4"/>
      <c r="DA1518" s="4"/>
      <c r="DB1518" s="4"/>
      <c r="DC1518" s="4"/>
      <c r="DD1518" s="4"/>
      <c r="DE1518" s="4"/>
      <c r="DF1518" s="4"/>
      <c r="DG1518" s="4"/>
      <c r="DH1518" s="4"/>
      <c r="DI1518" s="4"/>
      <c r="DJ1518" s="4"/>
      <c r="DK1518" s="4"/>
      <c r="DL1518" s="4"/>
      <c r="DM1518" s="4"/>
      <c r="DN1518" s="4"/>
      <c r="DO1518" s="4"/>
      <c r="DP1518" s="4"/>
      <c r="DQ1518" s="4"/>
      <c r="DR1518" s="4"/>
      <c r="DS1518" s="4"/>
    </row>
    <row r="1519">
      <c r="A1519" s="9">
        <f>IFERROR(__xludf.DUMMYFUNCTION("""COMPUTED_VALUE"""),45913.0)</f>
        <v>45913</v>
      </c>
      <c r="B1519" s="6" t="str">
        <f>IFERROR(__xludf.DUMMYFUNCTION("""COMPUTED_VALUE"""),"Personal Care")</f>
        <v>Personal Care</v>
      </c>
      <c r="C1519" s="7">
        <f>IFERROR(__xludf.DUMMYFUNCTION("""COMPUTED_VALUE"""),2100.0)</f>
        <v>2100</v>
      </c>
      <c r="D1519" s="6" t="str">
        <f>IFERROR(__xludf.DUMMYFUNCTION("""COMPUTED_VALUE"""),"Personal Care")</f>
        <v>Personal Care</v>
      </c>
      <c r="E1519" s="6" t="str">
        <f>IFERROR(__xludf.DUMMYFUNCTION("""COMPUTED_VALUE"""),"Split Payment")</f>
        <v>Split Payment</v>
      </c>
      <c r="F1519" s="6" t="s">
        <v>16</v>
      </c>
      <c r="G1519" s="8" t="str">
        <f t="shared" si="1"/>
        <v>202509</v>
      </c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  <c r="AA1519" s="4"/>
      <c r="AB1519" s="4"/>
      <c r="AC1519" s="4"/>
      <c r="AD1519" s="4"/>
      <c r="AE1519" s="4"/>
      <c r="AF1519" s="4"/>
      <c r="AG1519" s="4"/>
      <c r="AH1519" s="4"/>
      <c r="AI1519" s="4"/>
      <c r="AJ1519" s="4"/>
      <c r="AK1519" s="4"/>
      <c r="AL1519" s="4"/>
      <c r="AM1519" s="4"/>
      <c r="AN1519" s="4"/>
      <c r="AO1519" s="4"/>
      <c r="AP1519" s="4"/>
      <c r="AQ1519" s="4"/>
      <c r="AR1519" s="4"/>
      <c r="AS1519" s="4"/>
      <c r="AT1519" s="4"/>
      <c r="AU1519" s="4"/>
      <c r="AV1519" s="4"/>
      <c r="AW1519" s="4"/>
      <c r="AX1519" s="4"/>
      <c r="AY1519" s="4"/>
      <c r="AZ1519" s="4"/>
      <c r="BA1519" s="4"/>
      <c r="BB1519" s="4"/>
      <c r="BC1519" s="4"/>
      <c r="BD1519" s="4"/>
      <c r="BE1519" s="4"/>
      <c r="BF1519" s="4"/>
      <c r="BG1519" s="4"/>
      <c r="BH1519" s="4"/>
      <c r="BI1519" s="4"/>
      <c r="BJ1519" s="4"/>
      <c r="BK1519" s="4"/>
      <c r="BL1519" s="4"/>
      <c r="BM1519" s="4"/>
      <c r="BN1519" s="4"/>
      <c r="BO1519" s="4"/>
      <c r="BP1519" s="4"/>
      <c r="BQ1519" s="4"/>
      <c r="BR1519" s="4"/>
      <c r="BS1519" s="4"/>
      <c r="BT1519" s="4"/>
      <c r="BU1519" s="4"/>
      <c r="BV1519" s="4"/>
      <c r="BW1519" s="4"/>
      <c r="BX1519" s="4"/>
      <c r="BY1519" s="4"/>
      <c r="BZ1519" s="4"/>
      <c r="CA1519" s="4"/>
      <c r="CB1519" s="4"/>
      <c r="CC1519" s="4"/>
      <c r="CD1519" s="4"/>
      <c r="CE1519" s="4"/>
      <c r="CF1519" s="4"/>
      <c r="CG1519" s="4"/>
      <c r="CH1519" s="4"/>
      <c r="CI1519" s="4"/>
      <c r="CJ1519" s="4"/>
      <c r="CK1519" s="4"/>
      <c r="CL1519" s="4"/>
      <c r="CM1519" s="4"/>
      <c r="CN1519" s="4"/>
      <c r="CO1519" s="4"/>
      <c r="CP1519" s="4"/>
      <c r="CQ1519" s="4"/>
      <c r="CR1519" s="4"/>
      <c r="CS1519" s="4"/>
      <c r="CT1519" s="4"/>
      <c r="CU1519" s="4"/>
      <c r="CV1519" s="4"/>
      <c r="CW1519" s="4"/>
      <c r="CX1519" s="4"/>
      <c r="CY1519" s="4"/>
      <c r="CZ1519" s="4"/>
      <c r="DA1519" s="4"/>
      <c r="DB1519" s="4"/>
      <c r="DC1519" s="4"/>
      <c r="DD1519" s="4"/>
      <c r="DE1519" s="4"/>
      <c r="DF1519" s="4"/>
      <c r="DG1519" s="4"/>
      <c r="DH1519" s="4"/>
      <c r="DI1519" s="4"/>
      <c r="DJ1519" s="4"/>
      <c r="DK1519" s="4"/>
      <c r="DL1519" s="4"/>
      <c r="DM1519" s="4"/>
      <c r="DN1519" s="4"/>
      <c r="DO1519" s="4"/>
      <c r="DP1519" s="4"/>
      <c r="DQ1519" s="4"/>
      <c r="DR1519" s="4"/>
      <c r="DS1519" s="4"/>
    </row>
    <row r="1520">
      <c r="A1520" s="9">
        <f>IFERROR(__xludf.DUMMYFUNCTION("""COMPUTED_VALUE"""),45914.0)</f>
        <v>45914</v>
      </c>
      <c r="B1520" s="6" t="str">
        <f>IFERROR(__xludf.DUMMYFUNCTION("""COMPUTED_VALUE"""),"Gasoline")</f>
        <v>Gasoline</v>
      </c>
      <c r="C1520" s="7">
        <f>IFERROR(__xludf.DUMMYFUNCTION("""COMPUTED_VALUE"""),15000.0)</f>
        <v>15000</v>
      </c>
      <c r="D1520" s="6" t="str">
        <f>IFERROR(__xludf.DUMMYFUNCTION("""COMPUTED_VALUE"""),"Car Expenses")</f>
        <v>Car Expenses</v>
      </c>
      <c r="E1520" s="6" t="str">
        <f>IFERROR(__xludf.DUMMYFUNCTION("""COMPUTED_VALUE"""),"Split Payment")</f>
        <v>Split Payment</v>
      </c>
      <c r="F1520" s="6" t="s">
        <v>9</v>
      </c>
      <c r="G1520" s="8" t="str">
        <f t="shared" si="1"/>
        <v>202509</v>
      </c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  <c r="AA1520" s="4"/>
      <c r="AB1520" s="4"/>
      <c r="AC1520" s="4"/>
      <c r="AD1520" s="4"/>
      <c r="AE1520" s="4"/>
      <c r="AF1520" s="4"/>
      <c r="AG1520" s="4"/>
      <c r="AH1520" s="4"/>
      <c r="AI1520" s="4"/>
      <c r="AJ1520" s="4"/>
      <c r="AK1520" s="4"/>
      <c r="AL1520" s="4"/>
      <c r="AM1520" s="4"/>
      <c r="AN1520" s="4"/>
      <c r="AO1520" s="4"/>
      <c r="AP1520" s="4"/>
      <c r="AQ1520" s="4"/>
      <c r="AR1520" s="4"/>
      <c r="AS1520" s="4"/>
      <c r="AT1520" s="4"/>
      <c r="AU1520" s="4"/>
      <c r="AV1520" s="4"/>
      <c r="AW1520" s="4"/>
      <c r="AX1520" s="4"/>
      <c r="AY1520" s="4"/>
      <c r="AZ1520" s="4"/>
      <c r="BA1520" s="4"/>
      <c r="BB1520" s="4"/>
      <c r="BC1520" s="4"/>
      <c r="BD1520" s="4"/>
      <c r="BE1520" s="4"/>
      <c r="BF1520" s="4"/>
      <c r="BG1520" s="4"/>
      <c r="BH1520" s="4"/>
      <c r="BI1520" s="4"/>
      <c r="BJ1520" s="4"/>
      <c r="BK1520" s="4"/>
      <c r="BL1520" s="4"/>
      <c r="BM1520" s="4"/>
      <c r="BN1520" s="4"/>
      <c r="BO1520" s="4"/>
      <c r="BP1520" s="4"/>
      <c r="BQ1520" s="4"/>
      <c r="BR1520" s="4"/>
      <c r="BS1520" s="4"/>
      <c r="BT1520" s="4"/>
      <c r="BU1520" s="4"/>
      <c r="BV1520" s="4"/>
      <c r="BW1520" s="4"/>
      <c r="BX1520" s="4"/>
      <c r="BY1520" s="4"/>
      <c r="BZ1520" s="4"/>
      <c r="CA1520" s="4"/>
      <c r="CB1520" s="4"/>
      <c r="CC1520" s="4"/>
      <c r="CD1520" s="4"/>
      <c r="CE1520" s="4"/>
      <c r="CF1520" s="4"/>
      <c r="CG1520" s="4"/>
      <c r="CH1520" s="4"/>
      <c r="CI1520" s="4"/>
      <c r="CJ1520" s="4"/>
      <c r="CK1520" s="4"/>
      <c r="CL1520" s="4"/>
      <c r="CM1520" s="4"/>
      <c r="CN1520" s="4"/>
      <c r="CO1520" s="4"/>
      <c r="CP1520" s="4"/>
      <c r="CQ1520" s="4"/>
      <c r="CR1520" s="4"/>
      <c r="CS1520" s="4"/>
      <c r="CT1520" s="4"/>
      <c r="CU1520" s="4"/>
      <c r="CV1520" s="4"/>
      <c r="CW1520" s="4"/>
      <c r="CX1520" s="4"/>
      <c r="CY1520" s="4"/>
      <c r="CZ1520" s="4"/>
      <c r="DA1520" s="4"/>
      <c r="DB1520" s="4"/>
      <c r="DC1520" s="4"/>
      <c r="DD1520" s="4"/>
      <c r="DE1520" s="4"/>
      <c r="DF1520" s="4"/>
      <c r="DG1520" s="4"/>
      <c r="DH1520" s="4"/>
      <c r="DI1520" s="4"/>
      <c r="DJ1520" s="4"/>
      <c r="DK1520" s="4"/>
      <c r="DL1520" s="4"/>
      <c r="DM1520" s="4"/>
      <c r="DN1520" s="4"/>
      <c r="DO1520" s="4"/>
      <c r="DP1520" s="4"/>
      <c r="DQ1520" s="4"/>
      <c r="DR1520" s="4"/>
      <c r="DS1520" s="4"/>
    </row>
    <row r="1521">
      <c r="A1521" s="9">
        <f>IFERROR(__xludf.DUMMYFUNCTION("""COMPUTED_VALUE"""),45914.0)</f>
        <v>45914</v>
      </c>
      <c r="B1521" s="6" t="str">
        <f>IFERROR(__xludf.DUMMYFUNCTION("""COMPUTED_VALUE"""),"Home Maintenance")</f>
        <v>Home Maintenance</v>
      </c>
      <c r="C1521" s="7">
        <f>IFERROR(__xludf.DUMMYFUNCTION("""COMPUTED_VALUE"""),5000.0)</f>
        <v>5000</v>
      </c>
      <c r="D1521" s="6" t="str">
        <f>IFERROR(__xludf.DUMMYFUNCTION("""COMPUTED_VALUE"""),"Car Expenses")</f>
        <v>Car Expenses</v>
      </c>
      <c r="E1521" s="6" t="str">
        <f>IFERROR(__xludf.DUMMYFUNCTION("""COMPUTED_VALUE"""),"Split Payment")</f>
        <v>Split Payment</v>
      </c>
      <c r="F1521" s="6" t="s">
        <v>9</v>
      </c>
      <c r="G1521" s="8" t="str">
        <f t="shared" si="1"/>
        <v>202509</v>
      </c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  <c r="AA1521" s="4"/>
      <c r="AB1521" s="4"/>
      <c r="AC1521" s="4"/>
      <c r="AD1521" s="4"/>
      <c r="AE1521" s="4"/>
      <c r="AF1521" s="4"/>
      <c r="AG1521" s="4"/>
      <c r="AH1521" s="4"/>
      <c r="AI1521" s="4"/>
      <c r="AJ1521" s="4"/>
      <c r="AK1521" s="4"/>
      <c r="AL1521" s="4"/>
      <c r="AM1521" s="4"/>
      <c r="AN1521" s="4"/>
      <c r="AO1521" s="4"/>
      <c r="AP1521" s="4"/>
      <c r="AQ1521" s="4"/>
      <c r="AR1521" s="4"/>
      <c r="AS1521" s="4"/>
      <c r="AT1521" s="4"/>
      <c r="AU1521" s="4"/>
      <c r="AV1521" s="4"/>
      <c r="AW1521" s="4"/>
      <c r="AX1521" s="4"/>
      <c r="AY1521" s="4"/>
      <c r="AZ1521" s="4"/>
      <c r="BA1521" s="4"/>
      <c r="BB1521" s="4"/>
      <c r="BC1521" s="4"/>
      <c r="BD1521" s="4"/>
      <c r="BE1521" s="4"/>
      <c r="BF1521" s="4"/>
      <c r="BG1521" s="4"/>
      <c r="BH1521" s="4"/>
      <c r="BI1521" s="4"/>
      <c r="BJ1521" s="4"/>
      <c r="BK1521" s="4"/>
      <c r="BL1521" s="4"/>
      <c r="BM1521" s="4"/>
      <c r="BN1521" s="4"/>
      <c r="BO1521" s="4"/>
      <c r="BP1521" s="4"/>
      <c r="BQ1521" s="4"/>
      <c r="BR1521" s="4"/>
      <c r="BS1521" s="4"/>
      <c r="BT1521" s="4"/>
      <c r="BU1521" s="4"/>
      <c r="BV1521" s="4"/>
      <c r="BW1521" s="4"/>
      <c r="BX1521" s="4"/>
      <c r="BY1521" s="4"/>
      <c r="BZ1521" s="4"/>
      <c r="CA1521" s="4"/>
      <c r="CB1521" s="4"/>
      <c r="CC1521" s="4"/>
      <c r="CD1521" s="4"/>
      <c r="CE1521" s="4"/>
      <c r="CF1521" s="4"/>
      <c r="CG1521" s="4"/>
      <c r="CH1521" s="4"/>
      <c r="CI1521" s="4"/>
      <c r="CJ1521" s="4"/>
      <c r="CK1521" s="4"/>
      <c r="CL1521" s="4"/>
      <c r="CM1521" s="4"/>
      <c r="CN1521" s="4"/>
      <c r="CO1521" s="4"/>
      <c r="CP1521" s="4"/>
      <c r="CQ1521" s="4"/>
      <c r="CR1521" s="4"/>
      <c r="CS1521" s="4"/>
      <c r="CT1521" s="4"/>
      <c r="CU1521" s="4"/>
      <c r="CV1521" s="4"/>
      <c r="CW1521" s="4"/>
      <c r="CX1521" s="4"/>
      <c r="CY1521" s="4"/>
      <c r="CZ1521" s="4"/>
      <c r="DA1521" s="4"/>
      <c r="DB1521" s="4"/>
      <c r="DC1521" s="4"/>
      <c r="DD1521" s="4"/>
      <c r="DE1521" s="4"/>
      <c r="DF1521" s="4"/>
      <c r="DG1521" s="4"/>
      <c r="DH1521" s="4"/>
      <c r="DI1521" s="4"/>
      <c r="DJ1521" s="4"/>
      <c r="DK1521" s="4"/>
      <c r="DL1521" s="4"/>
      <c r="DM1521" s="4"/>
      <c r="DN1521" s="4"/>
      <c r="DO1521" s="4"/>
      <c r="DP1521" s="4"/>
      <c r="DQ1521" s="4"/>
      <c r="DR1521" s="4"/>
      <c r="DS1521" s="4"/>
    </row>
    <row r="1522">
      <c r="A1522" s="9">
        <f>IFERROR(__xludf.DUMMYFUNCTION("""COMPUTED_VALUE"""),45915.0)</f>
        <v>45915</v>
      </c>
      <c r="B1522" s="6" t="str">
        <f>IFERROR(__xludf.DUMMYFUNCTION("""COMPUTED_VALUE"""),"Appliances")</f>
        <v>Appliances</v>
      </c>
      <c r="C1522" s="7">
        <f>IFERROR(__xludf.DUMMYFUNCTION("""COMPUTED_VALUE"""),5965.0)</f>
        <v>5965</v>
      </c>
      <c r="D1522" s="6" t="str">
        <f>IFERROR(__xludf.DUMMYFUNCTION("""COMPUTED_VALUE"""),"Home Goods &amp; Utilities")</f>
        <v>Home Goods &amp; Utilities</v>
      </c>
      <c r="E1522" s="6" t="str">
        <f>IFERROR(__xludf.DUMMYFUNCTION("""COMPUTED_VALUE"""),"Credit Card")</f>
        <v>Credit Card</v>
      </c>
      <c r="F1522" s="6" t="s">
        <v>8</v>
      </c>
      <c r="G1522" s="8" t="str">
        <f t="shared" si="1"/>
        <v>202509</v>
      </c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  <c r="AA1522" s="4"/>
      <c r="AB1522" s="4"/>
      <c r="AC1522" s="4"/>
      <c r="AD1522" s="4"/>
      <c r="AE1522" s="4"/>
      <c r="AF1522" s="4"/>
      <c r="AG1522" s="4"/>
      <c r="AH1522" s="4"/>
      <c r="AI1522" s="4"/>
      <c r="AJ1522" s="4"/>
      <c r="AK1522" s="4"/>
      <c r="AL1522" s="4"/>
      <c r="AM1522" s="4"/>
      <c r="AN1522" s="4"/>
      <c r="AO1522" s="4"/>
      <c r="AP1522" s="4"/>
      <c r="AQ1522" s="4"/>
      <c r="AR1522" s="4"/>
      <c r="AS1522" s="4"/>
      <c r="AT1522" s="4"/>
      <c r="AU1522" s="4"/>
      <c r="AV1522" s="4"/>
      <c r="AW1522" s="4"/>
      <c r="AX1522" s="4"/>
      <c r="AY1522" s="4"/>
      <c r="AZ1522" s="4"/>
      <c r="BA1522" s="4"/>
      <c r="BB1522" s="4"/>
      <c r="BC1522" s="4"/>
      <c r="BD1522" s="4"/>
      <c r="BE1522" s="4"/>
      <c r="BF1522" s="4"/>
      <c r="BG1522" s="4"/>
      <c r="BH1522" s="4"/>
      <c r="BI1522" s="4"/>
      <c r="BJ1522" s="4"/>
      <c r="BK1522" s="4"/>
      <c r="BL1522" s="4"/>
      <c r="BM1522" s="4"/>
      <c r="BN1522" s="4"/>
      <c r="BO1522" s="4"/>
      <c r="BP1522" s="4"/>
      <c r="BQ1522" s="4"/>
      <c r="BR1522" s="4"/>
      <c r="BS1522" s="4"/>
      <c r="BT1522" s="4"/>
      <c r="BU1522" s="4"/>
      <c r="BV1522" s="4"/>
      <c r="BW1522" s="4"/>
      <c r="BX1522" s="4"/>
      <c r="BY1522" s="4"/>
      <c r="BZ1522" s="4"/>
      <c r="CA1522" s="4"/>
      <c r="CB1522" s="4"/>
      <c r="CC1522" s="4"/>
      <c r="CD1522" s="4"/>
      <c r="CE1522" s="4"/>
      <c r="CF1522" s="4"/>
      <c r="CG1522" s="4"/>
      <c r="CH1522" s="4"/>
      <c r="CI1522" s="4"/>
      <c r="CJ1522" s="4"/>
      <c r="CK1522" s="4"/>
      <c r="CL1522" s="4"/>
      <c r="CM1522" s="4"/>
      <c r="CN1522" s="4"/>
      <c r="CO1522" s="4"/>
      <c r="CP1522" s="4"/>
      <c r="CQ1522" s="4"/>
      <c r="CR1522" s="4"/>
      <c r="CS1522" s="4"/>
      <c r="CT1522" s="4"/>
      <c r="CU1522" s="4"/>
      <c r="CV1522" s="4"/>
      <c r="CW1522" s="4"/>
      <c r="CX1522" s="4"/>
      <c r="CY1522" s="4"/>
      <c r="CZ1522" s="4"/>
      <c r="DA1522" s="4"/>
      <c r="DB1522" s="4"/>
      <c r="DC1522" s="4"/>
      <c r="DD1522" s="4"/>
      <c r="DE1522" s="4"/>
      <c r="DF1522" s="4"/>
      <c r="DG1522" s="4"/>
      <c r="DH1522" s="4"/>
      <c r="DI1522" s="4"/>
      <c r="DJ1522" s="4"/>
      <c r="DK1522" s="4"/>
      <c r="DL1522" s="4"/>
      <c r="DM1522" s="4"/>
      <c r="DN1522" s="4"/>
      <c r="DO1522" s="4"/>
      <c r="DP1522" s="4"/>
      <c r="DQ1522" s="4"/>
      <c r="DR1522" s="4"/>
      <c r="DS1522" s="4"/>
    </row>
    <row r="1523">
      <c r="A1523" s="9">
        <f>IFERROR(__xludf.DUMMYFUNCTION("""COMPUTED_VALUE"""),45915.0)</f>
        <v>45915</v>
      </c>
      <c r="B1523" s="6" t="str">
        <f>IFERROR(__xludf.DUMMYFUNCTION("""COMPUTED_VALUE"""),"Home Goods")</f>
        <v>Home Goods</v>
      </c>
      <c r="C1523" s="7">
        <f>IFERROR(__xludf.DUMMYFUNCTION("""COMPUTED_VALUE"""),3100.0)</f>
        <v>3100</v>
      </c>
      <c r="D1523" s="6" t="str">
        <f>IFERROR(__xludf.DUMMYFUNCTION("""COMPUTED_VALUE"""),"Home Goods &amp; Utilities")</f>
        <v>Home Goods &amp; Utilities</v>
      </c>
      <c r="E1523" s="6" t="str">
        <f>IFERROR(__xludf.DUMMYFUNCTION("""COMPUTED_VALUE"""),"Virtual Wallet")</f>
        <v>Virtual Wallet</v>
      </c>
      <c r="F1523" s="6" t="s">
        <v>8</v>
      </c>
      <c r="G1523" s="8" t="str">
        <f t="shared" si="1"/>
        <v>202509</v>
      </c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  <c r="AA1523" s="4"/>
      <c r="AB1523" s="4"/>
      <c r="AC1523" s="4"/>
      <c r="AD1523" s="4"/>
      <c r="AE1523" s="4"/>
      <c r="AF1523" s="4"/>
      <c r="AG1523" s="4"/>
      <c r="AH1523" s="4"/>
      <c r="AI1523" s="4"/>
      <c r="AJ1523" s="4"/>
      <c r="AK1523" s="4"/>
      <c r="AL1523" s="4"/>
      <c r="AM1523" s="4"/>
      <c r="AN1523" s="4"/>
      <c r="AO1523" s="4"/>
      <c r="AP1523" s="4"/>
      <c r="AQ1523" s="4"/>
      <c r="AR1523" s="4"/>
      <c r="AS1523" s="4"/>
      <c r="AT1523" s="4"/>
      <c r="AU1523" s="4"/>
      <c r="AV1523" s="4"/>
      <c r="AW1523" s="4"/>
      <c r="AX1523" s="4"/>
      <c r="AY1523" s="4"/>
      <c r="AZ1523" s="4"/>
      <c r="BA1523" s="4"/>
      <c r="BB1523" s="4"/>
      <c r="BC1523" s="4"/>
      <c r="BD1523" s="4"/>
      <c r="BE1523" s="4"/>
      <c r="BF1523" s="4"/>
      <c r="BG1523" s="4"/>
      <c r="BH1523" s="4"/>
      <c r="BI1523" s="4"/>
      <c r="BJ1523" s="4"/>
      <c r="BK1523" s="4"/>
      <c r="BL1523" s="4"/>
      <c r="BM1523" s="4"/>
      <c r="BN1523" s="4"/>
      <c r="BO1523" s="4"/>
      <c r="BP1523" s="4"/>
      <c r="BQ1523" s="4"/>
      <c r="BR1523" s="4"/>
      <c r="BS1523" s="4"/>
      <c r="BT1523" s="4"/>
      <c r="BU1523" s="4"/>
      <c r="BV1523" s="4"/>
      <c r="BW1523" s="4"/>
      <c r="BX1523" s="4"/>
      <c r="BY1523" s="4"/>
      <c r="BZ1523" s="4"/>
      <c r="CA1523" s="4"/>
      <c r="CB1523" s="4"/>
      <c r="CC1523" s="4"/>
      <c r="CD1523" s="4"/>
      <c r="CE1523" s="4"/>
      <c r="CF1523" s="4"/>
      <c r="CG1523" s="4"/>
      <c r="CH1523" s="4"/>
      <c r="CI1523" s="4"/>
      <c r="CJ1523" s="4"/>
      <c r="CK1523" s="4"/>
      <c r="CL1523" s="4"/>
      <c r="CM1523" s="4"/>
      <c r="CN1523" s="4"/>
      <c r="CO1523" s="4"/>
      <c r="CP1523" s="4"/>
      <c r="CQ1523" s="4"/>
      <c r="CR1523" s="4"/>
      <c r="CS1523" s="4"/>
      <c r="CT1523" s="4"/>
      <c r="CU1523" s="4"/>
      <c r="CV1523" s="4"/>
      <c r="CW1523" s="4"/>
      <c r="CX1523" s="4"/>
      <c r="CY1523" s="4"/>
      <c r="CZ1523" s="4"/>
      <c r="DA1523" s="4"/>
      <c r="DB1523" s="4"/>
      <c r="DC1523" s="4"/>
      <c r="DD1523" s="4"/>
      <c r="DE1523" s="4"/>
      <c r="DF1523" s="4"/>
      <c r="DG1523" s="4"/>
      <c r="DH1523" s="4"/>
      <c r="DI1523" s="4"/>
      <c r="DJ1523" s="4"/>
      <c r="DK1523" s="4"/>
      <c r="DL1523" s="4"/>
      <c r="DM1523" s="4"/>
      <c r="DN1523" s="4"/>
      <c r="DO1523" s="4"/>
      <c r="DP1523" s="4"/>
      <c r="DQ1523" s="4"/>
      <c r="DR1523" s="4"/>
      <c r="DS1523" s="4"/>
    </row>
    <row r="1524">
      <c r="A1524" s="9">
        <f>IFERROR(__xludf.DUMMYFUNCTION("""COMPUTED_VALUE"""),45915.0)</f>
        <v>45915</v>
      </c>
      <c r="B1524" s="6" t="str">
        <f>IFERROR(__xludf.DUMMYFUNCTION("""COMPUTED_VALUE"""),"Home Goods")</f>
        <v>Home Goods</v>
      </c>
      <c r="C1524" s="7">
        <f>IFERROR(__xludf.DUMMYFUNCTION("""COMPUTED_VALUE"""),6000.0)</f>
        <v>6000</v>
      </c>
      <c r="D1524" s="6" t="str">
        <f>IFERROR(__xludf.DUMMYFUNCTION("""COMPUTED_VALUE"""),"Home Goods &amp; Utilities")</f>
        <v>Home Goods &amp; Utilities</v>
      </c>
      <c r="E1524" s="6" t="str">
        <f>IFERROR(__xludf.DUMMYFUNCTION("""COMPUTED_VALUE"""),"Virtual Wallet")</f>
        <v>Virtual Wallet</v>
      </c>
      <c r="F1524" s="6" t="s">
        <v>8</v>
      </c>
      <c r="G1524" s="8" t="str">
        <f t="shared" si="1"/>
        <v>202509</v>
      </c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  <c r="AA1524" s="4"/>
      <c r="AB1524" s="4"/>
      <c r="AC1524" s="4"/>
      <c r="AD1524" s="4"/>
      <c r="AE1524" s="4"/>
      <c r="AF1524" s="4"/>
      <c r="AG1524" s="4"/>
      <c r="AH1524" s="4"/>
      <c r="AI1524" s="4"/>
      <c r="AJ1524" s="4"/>
      <c r="AK1524" s="4"/>
      <c r="AL1524" s="4"/>
      <c r="AM1524" s="4"/>
      <c r="AN1524" s="4"/>
      <c r="AO1524" s="4"/>
      <c r="AP1524" s="4"/>
      <c r="AQ1524" s="4"/>
      <c r="AR1524" s="4"/>
      <c r="AS1524" s="4"/>
      <c r="AT1524" s="4"/>
      <c r="AU1524" s="4"/>
      <c r="AV1524" s="4"/>
      <c r="AW1524" s="4"/>
      <c r="AX1524" s="4"/>
      <c r="AY1524" s="4"/>
      <c r="AZ1524" s="4"/>
      <c r="BA1524" s="4"/>
      <c r="BB1524" s="4"/>
      <c r="BC1524" s="4"/>
      <c r="BD1524" s="4"/>
      <c r="BE1524" s="4"/>
      <c r="BF1524" s="4"/>
      <c r="BG1524" s="4"/>
      <c r="BH1524" s="4"/>
      <c r="BI1524" s="4"/>
      <c r="BJ1524" s="4"/>
      <c r="BK1524" s="4"/>
      <c r="BL1524" s="4"/>
      <c r="BM1524" s="4"/>
      <c r="BN1524" s="4"/>
      <c r="BO1524" s="4"/>
      <c r="BP1524" s="4"/>
      <c r="BQ1524" s="4"/>
      <c r="BR1524" s="4"/>
      <c r="BS1524" s="4"/>
      <c r="BT1524" s="4"/>
      <c r="BU1524" s="4"/>
      <c r="BV1524" s="4"/>
      <c r="BW1524" s="4"/>
      <c r="BX1524" s="4"/>
      <c r="BY1524" s="4"/>
      <c r="BZ1524" s="4"/>
      <c r="CA1524" s="4"/>
      <c r="CB1524" s="4"/>
      <c r="CC1524" s="4"/>
      <c r="CD1524" s="4"/>
      <c r="CE1524" s="4"/>
      <c r="CF1524" s="4"/>
      <c r="CG1524" s="4"/>
      <c r="CH1524" s="4"/>
      <c r="CI1524" s="4"/>
      <c r="CJ1524" s="4"/>
      <c r="CK1524" s="4"/>
      <c r="CL1524" s="4"/>
      <c r="CM1524" s="4"/>
      <c r="CN1524" s="4"/>
      <c r="CO1524" s="4"/>
      <c r="CP1524" s="4"/>
      <c r="CQ1524" s="4"/>
      <c r="CR1524" s="4"/>
      <c r="CS1524" s="4"/>
      <c r="CT1524" s="4"/>
      <c r="CU1524" s="4"/>
      <c r="CV1524" s="4"/>
      <c r="CW1524" s="4"/>
      <c r="CX1524" s="4"/>
      <c r="CY1524" s="4"/>
      <c r="CZ1524" s="4"/>
      <c r="DA1524" s="4"/>
      <c r="DB1524" s="4"/>
      <c r="DC1524" s="4"/>
      <c r="DD1524" s="4"/>
      <c r="DE1524" s="4"/>
      <c r="DF1524" s="4"/>
      <c r="DG1524" s="4"/>
      <c r="DH1524" s="4"/>
      <c r="DI1524" s="4"/>
      <c r="DJ1524" s="4"/>
      <c r="DK1524" s="4"/>
      <c r="DL1524" s="4"/>
      <c r="DM1524" s="4"/>
      <c r="DN1524" s="4"/>
      <c r="DO1524" s="4"/>
      <c r="DP1524" s="4"/>
      <c r="DQ1524" s="4"/>
      <c r="DR1524" s="4"/>
      <c r="DS1524" s="4"/>
    </row>
    <row r="1525">
      <c r="A1525" s="9">
        <f>IFERROR(__xludf.DUMMYFUNCTION("""COMPUTED_VALUE"""),45915.0)</f>
        <v>45915</v>
      </c>
      <c r="B1525" s="6" t="str">
        <f>IFERROR(__xludf.DUMMYFUNCTION("""COMPUTED_VALUE"""),"Pets")</f>
        <v>Pets</v>
      </c>
      <c r="C1525" s="7">
        <f>IFERROR(__xludf.DUMMYFUNCTION("""COMPUTED_VALUE"""),4500.0)</f>
        <v>4500</v>
      </c>
      <c r="D1525" s="6" t="str">
        <f>IFERROR(__xludf.DUMMYFUNCTION("""COMPUTED_VALUE"""),"Pets")</f>
        <v>Pets</v>
      </c>
      <c r="E1525" s="6" t="str">
        <f>IFERROR(__xludf.DUMMYFUNCTION("""COMPUTED_VALUE"""),"Virtual Wallet")</f>
        <v>Virtual Wallet</v>
      </c>
      <c r="F1525" s="6" t="s">
        <v>7</v>
      </c>
      <c r="G1525" s="8" t="str">
        <f t="shared" si="1"/>
        <v>202509</v>
      </c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  <c r="AA1525" s="4"/>
      <c r="AB1525" s="4"/>
      <c r="AC1525" s="4"/>
      <c r="AD1525" s="4"/>
      <c r="AE1525" s="4"/>
      <c r="AF1525" s="4"/>
      <c r="AG1525" s="4"/>
      <c r="AH1525" s="4"/>
      <c r="AI1525" s="4"/>
      <c r="AJ1525" s="4"/>
      <c r="AK1525" s="4"/>
      <c r="AL1525" s="4"/>
      <c r="AM1525" s="4"/>
      <c r="AN1525" s="4"/>
      <c r="AO1525" s="4"/>
      <c r="AP1525" s="4"/>
      <c r="AQ1525" s="4"/>
      <c r="AR1525" s="4"/>
      <c r="AS1525" s="4"/>
      <c r="AT1525" s="4"/>
      <c r="AU1525" s="4"/>
      <c r="AV1525" s="4"/>
      <c r="AW1525" s="4"/>
      <c r="AX1525" s="4"/>
      <c r="AY1525" s="4"/>
      <c r="AZ1525" s="4"/>
      <c r="BA1525" s="4"/>
      <c r="BB1525" s="4"/>
      <c r="BC1525" s="4"/>
      <c r="BD1525" s="4"/>
      <c r="BE1525" s="4"/>
      <c r="BF1525" s="4"/>
      <c r="BG1525" s="4"/>
      <c r="BH1525" s="4"/>
      <c r="BI1525" s="4"/>
      <c r="BJ1525" s="4"/>
      <c r="BK1525" s="4"/>
      <c r="BL1525" s="4"/>
      <c r="BM1525" s="4"/>
      <c r="BN1525" s="4"/>
      <c r="BO1525" s="4"/>
      <c r="BP1525" s="4"/>
      <c r="BQ1525" s="4"/>
      <c r="BR1525" s="4"/>
      <c r="BS1525" s="4"/>
      <c r="BT1525" s="4"/>
      <c r="BU1525" s="4"/>
      <c r="BV1525" s="4"/>
      <c r="BW1525" s="4"/>
      <c r="BX1525" s="4"/>
      <c r="BY1525" s="4"/>
      <c r="BZ1525" s="4"/>
      <c r="CA1525" s="4"/>
      <c r="CB1525" s="4"/>
      <c r="CC1525" s="4"/>
      <c r="CD1525" s="4"/>
      <c r="CE1525" s="4"/>
      <c r="CF1525" s="4"/>
      <c r="CG1525" s="4"/>
      <c r="CH1525" s="4"/>
      <c r="CI1525" s="4"/>
      <c r="CJ1525" s="4"/>
      <c r="CK1525" s="4"/>
      <c r="CL1525" s="4"/>
      <c r="CM1525" s="4"/>
      <c r="CN1525" s="4"/>
      <c r="CO1525" s="4"/>
      <c r="CP1525" s="4"/>
      <c r="CQ1525" s="4"/>
      <c r="CR1525" s="4"/>
      <c r="CS1525" s="4"/>
      <c r="CT1525" s="4"/>
      <c r="CU1525" s="4"/>
      <c r="CV1525" s="4"/>
      <c r="CW1525" s="4"/>
      <c r="CX1525" s="4"/>
      <c r="CY1525" s="4"/>
      <c r="CZ1525" s="4"/>
      <c r="DA1525" s="4"/>
      <c r="DB1525" s="4"/>
      <c r="DC1525" s="4"/>
      <c r="DD1525" s="4"/>
      <c r="DE1525" s="4"/>
      <c r="DF1525" s="4"/>
      <c r="DG1525" s="4"/>
      <c r="DH1525" s="4"/>
      <c r="DI1525" s="4"/>
      <c r="DJ1525" s="4"/>
      <c r="DK1525" s="4"/>
      <c r="DL1525" s="4"/>
      <c r="DM1525" s="4"/>
      <c r="DN1525" s="4"/>
      <c r="DO1525" s="4"/>
      <c r="DP1525" s="4"/>
      <c r="DQ1525" s="4"/>
      <c r="DR1525" s="4"/>
      <c r="DS1525" s="4"/>
    </row>
    <row r="1526">
      <c r="A1526" s="9">
        <f>IFERROR(__xludf.DUMMYFUNCTION("""COMPUTED_VALUE"""),45915.0)</f>
        <v>45915</v>
      </c>
      <c r="B1526" s="6" t="str">
        <f>IFERROR(__xludf.DUMMYFUNCTION("""COMPUTED_VALUE"""),"Pets")</f>
        <v>Pets</v>
      </c>
      <c r="C1526" s="7">
        <f>IFERROR(__xludf.DUMMYFUNCTION("""COMPUTED_VALUE"""),5817.0)</f>
        <v>5817</v>
      </c>
      <c r="D1526" s="6" t="str">
        <f>IFERROR(__xludf.DUMMYFUNCTION("""COMPUTED_VALUE"""),"Pets")</f>
        <v>Pets</v>
      </c>
      <c r="E1526" s="6" t="str">
        <f>IFERROR(__xludf.DUMMYFUNCTION("""COMPUTED_VALUE"""),"Split Payment")</f>
        <v>Split Payment</v>
      </c>
      <c r="F1526" s="6" t="s">
        <v>7</v>
      </c>
      <c r="G1526" s="8" t="str">
        <f t="shared" si="1"/>
        <v>202509</v>
      </c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  <c r="AA1526" s="4"/>
      <c r="AB1526" s="4"/>
      <c r="AC1526" s="4"/>
      <c r="AD1526" s="4"/>
      <c r="AE1526" s="4"/>
      <c r="AF1526" s="4"/>
      <c r="AG1526" s="4"/>
      <c r="AH1526" s="4"/>
      <c r="AI1526" s="4"/>
      <c r="AJ1526" s="4"/>
      <c r="AK1526" s="4"/>
      <c r="AL1526" s="4"/>
      <c r="AM1526" s="4"/>
      <c r="AN1526" s="4"/>
      <c r="AO1526" s="4"/>
      <c r="AP1526" s="4"/>
      <c r="AQ1526" s="4"/>
      <c r="AR1526" s="4"/>
      <c r="AS1526" s="4"/>
      <c r="AT1526" s="4"/>
      <c r="AU1526" s="4"/>
      <c r="AV1526" s="4"/>
      <c r="AW1526" s="4"/>
      <c r="AX1526" s="4"/>
      <c r="AY1526" s="4"/>
      <c r="AZ1526" s="4"/>
      <c r="BA1526" s="4"/>
      <c r="BB1526" s="4"/>
      <c r="BC1526" s="4"/>
      <c r="BD1526" s="4"/>
      <c r="BE1526" s="4"/>
      <c r="BF1526" s="4"/>
      <c r="BG1526" s="4"/>
      <c r="BH1526" s="4"/>
      <c r="BI1526" s="4"/>
      <c r="BJ1526" s="4"/>
      <c r="BK1526" s="4"/>
      <c r="BL1526" s="4"/>
      <c r="BM1526" s="4"/>
      <c r="BN1526" s="4"/>
      <c r="BO1526" s="4"/>
      <c r="BP1526" s="4"/>
      <c r="BQ1526" s="4"/>
      <c r="BR1526" s="4"/>
      <c r="BS1526" s="4"/>
      <c r="BT1526" s="4"/>
      <c r="BU1526" s="4"/>
      <c r="BV1526" s="4"/>
      <c r="BW1526" s="4"/>
      <c r="BX1526" s="4"/>
      <c r="BY1526" s="4"/>
      <c r="BZ1526" s="4"/>
      <c r="CA1526" s="4"/>
      <c r="CB1526" s="4"/>
      <c r="CC1526" s="4"/>
      <c r="CD1526" s="4"/>
      <c r="CE1526" s="4"/>
      <c r="CF1526" s="4"/>
      <c r="CG1526" s="4"/>
      <c r="CH1526" s="4"/>
      <c r="CI1526" s="4"/>
      <c r="CJ1526" s="4"/>
      <c r="CK1526" s="4"/>
      <c r="CL1526" s="4"/>
      <c r="CM1526" s="4"/>
      <c r="CN1526" s="4"/>
      <c r="CO1526" s="4"/>
      <c r="CP1526" s="4"/>
      <c r="CQ1526" s="4"/>
      <c r="CR1526" s="4"/>
      <c r="CS1526" s="4"/>
      <c r="CT1526" s="4"/>
      <c r="CU1526" s="4"/>
      <c r="CV1526" s="4"/>
      <c r="CW1526" s="4"/>
      <c r="CX1526" s="4"/>
      <c r="CY1526" s="4"/>
      <c r="CZ1526" s="4"/>
      <c r="DA1526" s="4"/>
      <c r="DB1526" s="4"/>
      <c r="DC1526" s="4"/>
      <c r="DD1526" s="4"/>
      <c r="DE1526" s="4"/>
      <c r="DF1526" s="4"/>
      <c r="DG1526" s="4"/>
      <c r="DH1526" s="4"/>
      <c r="DI1526" s="4"/>
      <c r="DJ1526" s="4"/>
      <c r="DK1526" s="4"/>
      <c r="DL1526" s="4"/>
      <c r="DM1526" s="4"/>
      <c r="DN1526" s="4"/>
      <c r="DO1526" s="4"/>
      <c r="DP1526" s="4"/>
      <c r="DQ1526" s="4"/>
      <c r="DR1526" s="4"/>
      <c r="DS1526" s="4"/>
    </row>
    <row r="1527">
      <c r="A1527" s="9">
        <f>IFERROR(__xludf.DUMMYFUNCTION("""COMPUTED_VALUE"""),45915.0)</f>
        <v>45915</v>
      </c>
      <c r="B1527" s="6" t="str">
        <f>IFERROR(__xludf.DUMMYFUNCTION("""COMPUTED_VALUE"""),"Sports")</f>
        <v>Sports</v>
      </c>
      <c r="C1527" s="7">
        <f>IFERROR(__xludf.DUMMYFUNCTION("""COMPUTED_VALUE"""),82000.0)</f>
        <v>82000</v>
      </c>
      <c r="D1527" s="6" t="str">
        <f>IFERROR(__xludf.DUMMYFUNCTION("""COMPUTED_VALUE"""),"Sports")</f>
        <v>Sports</v>
      </c>
      <c r="E1527" s="6" t="str">
        <f>IFERROR(__xludf.DUMMYFUNCTION("""COMPUTED_VALUE"""),"Cash")</f>
        <v>Cash</v>
      </c>
      <c r="F1527" s="6" t="s">
        <v>12</v>
      </c>
      <c r="G1527" s="8" t="str">
        <f t="shared" si="1"/>
        <v>202509</v>
      </c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  <c r="AA1527" s="4"/>
      <c r="AB1527" s="4"/>
      <c r="AC1527" s="4"/>
      <c r="AD1527" s="4"/>
      <c r="AE1527" s="4"/>
      <c r="AF1527" s="4"/>
      <c r="AG1527" s="4"/>
      <c r="AH1527" s="4"/>
      <c r="AI1527" s="4"/>
      <c r="AJ1527" s="4"/>
      <c r="AK1527" s="4"/>
      <c r="AL1527" s="4"/>
      <c r="AM1527" s="4"/>
      <c r="AN1527" s="4"/>
      <c r="AO1527" s="4"/>
      <c r="AP1527" s="4"/>
      <c r="AQ1527" s="4"/>
      <c r="AR1527" s="4"/>
      <c r="AS1527" s="4"/>
      <c r="AT1527" s="4"/>
      <c r="AU1527" s="4"/>
      <c r="AV1527" s="4"/>
      <c r="AW1527" s="4"/>
      <c r="AX1527" s="4"/>
      <c r="AY1527" s="4"/>
      <c r="AZ1527" s="4"/>
      <c r="BA1527" s="4"/>
      <c r="BB1527" s="4"/>
      <c r="BC1527" s="4"/>
      <c r="BD1527" s="4"/>
      <c r="BE1527" s="4"/>
      <c r="BF1527" s="4"/>
      <c r="BG1527" s="4"/>
      <c r="BH1527" s="4"/>
      <c r="BI1527" s="4"/>
      <c r="BJ1527" s="4"/>
      <c r="BK1527" s="4"/>
      <c r="BL1527" s="4"/>
      <c r="BM1527" s="4"/>
      <c r="BN1527" s="4"/>
      <c r="BO1527" s="4"/>
      <c r="BP1527" s="4"/>
      <c r="BQ1527" s="4"/>
      <c r="BR1527" s="4"/>
      <c r="BS1527" s="4"/>
      <c r="BT1527" s="4"/>
      <c r="BU1527" s="4"/>
      <c r="BV1527" s="4"/>
      <c r="BW1527" s="4"/>
      <c r="BX1527" s="4"/>
      <c r="BY1527" s="4"/>
      <c r="BZ1527" s="4"/>
      <c r="CA1527" s="4"/>
      <c r="CB1527" s="4"/>
      <c r="CC1527" s="4"/>
      <c r="CD1527" s="4"/>
      <c r="CE1527" s="4"/>
      <c r="CF1527" s="4"/>
      <c r="CG1527" s="4"/>
      <c r="CH1527" s="4"/>
      <c r="CI1527" s="4"/>
      <c r="CJ1527" s="4"/>
      <c r="CK1527" s="4"/>
      <c r="CL1527" s="4"/>
      <c r="CM1527" s="4"/>
      <c r="CN1527" s="4"/>
      <c r="CO1527" s="4"/>
      <c r="CP1527" s="4"/>
      <c r="CQ1527" s="4"/>
      <c r="CR1527" s="4"/>
      <c r="CS1527" s="4"/>
      <c r="CT1527" s="4"/>
      <c r="CU1527" s="4"/>
      <c r="CV1527" s="4"/>
      <c r="CW1527" s="4"/>
      <c r="CX1527" s="4"/>
      <c r="CY1527" s="4"/>
      <c r="CZ1527" s="4"/>
      <c r="DA1527" s="4"/>
      <c r="DB1527" s="4"/>
      <c r="DC1527" s="4"/>
      <c r="DD1527" s="4"/>
      <c r="DE1527" s="4"/>
      <c r="DF1527" s="4"/>
      <c r="DG1527" s="4"/>
      <c r="DH1527" s="4"/>
      <c r="DI1527" s="4"/>
      <c r="DJ1527" s="4"/>
      <c r="DK1527" s="4"/>
      <c r="DL1527" s="4"/>
      <c r="DM1527" s="4"/>
      <c r="DN1527" s="4"/>
      <c r="DO1527" s="4"/>
      <c r="DP1527" s="4"/>
      <c r="DQ1527" s="4"/>
      <c r="DR1527" s="4"/>
      <c r="DS1527" s="4"/>
    </row>
    <row r="1528">
      <c r="A1528" s="9">
        <f>IFERROR(__xludf.DUMMYFUNCTION("""COMPUTED_VALUE"""),45917.0)</f>
        <v>45917</v>
      </c>
      <c r="B1528" s="6" t="str">
        <f>IFERROR(__xludf.DUMMYFUNCTION("""COMPUTED_VALUE"""),"Groceries")</f>
        <v>Groceries</v>
      </c>
      <c r="C1528" s="7">
        <f>IFERROR(__xludf.DUMMYFUNCTION("""COMPUTED_VALUE"""),4775.0)</f>
        <v>4775</v>
      </c>
      <c r="D1528" s="6" t="str">
        <f>IFERROR(__xludf.DUMMYFUNCTION("""COMPUTED_VALUE"""),"Groceries")</f>
        <v>Groceries</v>
      </c>
      <c r="E1528" s="6" t="str">
        <f>IFERROR(__xludf.DUMMYFUNCTION("""COMPUTED_VALUE"""),"Virtual Wallet")</f>
        <v>Virtual Wallet</v>
      </c>
      <c r="F1528" s="6" t="s">
        <v>7</v>
      </c>
      <c r="G1528" s="8" t="str">
        <f t="shared" si="1"/>
        <v>202509</v>
      </c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  <c r="AA1528" s="4"/>
      <c r="AB1528" s="4"/>
      <c r="AC1528" s="4"/>
      <c r="AD1528" s="4"/>
      <c r="AE1528" s="4"/>
      <c r="AF1528" s="4"/>
      <c r="AG1528" s="4"/>
      <c r="AH1528" s="4"/>
      <c r="AI1528" s="4"/>
      <c r="AJ1528" s="4"/>
      <c r="AK1528" s="4"/>
      <c r="AL1528" s="4"/>
      <c r="AM1528" s="4"/>
      <c r="AN1528" s="4"/>
      <c r="AO1528" s="4"/>
      <c r="AP1528" s="4"/>
      <c r="AQ1528" s="4"/>
      <c r="AR1528" s="4"/>
      <c r="AS1528" s="4"/>
      <c r="AT1528" s="4"/>
      <c r="AU1528" s="4"/>
      <c r="AV1528" s="4"/>
      <c r="AW1528" s="4"/>
      <c r="AX1528" s="4"/>
      <c r="AY1528" s="4"/>
      <c r="AZ1528" s="4"/>
      <c r="BA1528" s="4"/>
      <c r="BB1528" s="4"/>
      <c r="BC1528" s="4"/>
      <c r="BD1528" s="4"/>
      <c r="BE1528" s="4"/>
      <c r="BF1528" s="4"/>
      <c r="BG1528" s="4"/>
      <c r="BH1528" s="4"/>
      <c r="BI1528" s="4"/>
      <c r="BJ1528" s="4"/>
      <c r="BK1528" s="4"/>
      <c r="BL1528" s="4"/>
      <c r="BM1528" s="4"/>
      <c r="BN1528" s="4"/>
      <c r="BO1528" s="4"/>
      <c r="BP1528" s="4"/>
      <c r="BQ1528" s="4"/>
      <c r="BR1528" s="4"/>
      <c r="BS1528" s="4"/>
      <c r="BT1528" s="4"/>
      <c r="BU1528" s="4"/>
      <c r="BV1528" s="4"/>
      <c r="BW1528" s="4"/>
      <c r="BX1528" s="4"/>
      <c r="BY1528" s="4"/>
      <c r="BZ1528" s="4"/>
      <c r="CA1528" s="4"/>
      <c r="CB1528" s="4"/>
      <c r="CC1528" s="4"/>
      <c r="CD1528" s="4"/>
      <c r="CE1528" s="4"/>
      <c r="CF1528" s="4"/>
      <c r="CG1528" s="4"/>
      <c r="CH1528" s="4"/>
      <c r="CI1528" s="4"/>
      <c r="CJ1528" s="4"/>
      <c r="CK1528" s="4"/>
      <c r="CL1528" s="4"/>
      <c r="CM1528" s="4"/>
      <c r="CN1528" s="4"/>
      <c r="CO1528" s="4"/>
      <c r="CP1528" s="4"/>
      <c r="CQ1528" s="4"/>
      <c r="CR1528" s="4"/>
      <c r="CS1528" s="4"/>
      <c r="CT1528" s="4"/>
      <c r="CU1528" s="4"/>
      <c r="CV1528" s="4"/>
      <c r="CW1528" s="4"/>
      <c r="CX1528" s="4"/>
      <c r="CY1528" s="4"/>
      <c r="CZ1528" s="4"/>
      <c r="DA1528" s="4"/>
      <c r="DB1528" s="4"/>
      <c r="DC1528" s="4"/>
      <c r="DD1528" s="4"/>
      <c r="DE1528" s="4"/>
      <c r="DF1528" s="4"/>
      <c r="DG1528" s="4"/>
      <c r="DH1528" s="4"/>
      <c r="DI1528" s="4"/>
      <c r="DJ1528" s="4"/>
      <c r="DK1528" s="4"/>
      <c r="DL1528" s="4"/>
      <c r="DM1528" s="4"/>
      <c r="DN1528" s="4"/>
      <c r="DO1528" s="4"/>
      <c r="DP1528" s="4"/>
      <c r="DQ1528" s="4"/>
      <c r="DR1528" s="4"/>
      <c r="DS1528" s="4"/>
    </row>
    <row r="1529">
      <c r="A1529" s="9">
        <f>IFERROR(__xludf.DUMMYFUNCTION("""COMPUTED_VALUE"""),45917.0)</f>
        <v>45917</v>
      </c>
      <c r="B1529" s="6" t="str">
        <f>IFERROR(__xludf.DUMMYFUNCTION("""COMPUTED_VALUE"""),"Groceries")</f>
        <v>Groceries</v>
      </c>
      <c r="C1529" s="7">
        <f>IFERROR(__xludf.DUMMYFUNCTION("""COMPUTED_VALUE"""),13448.0)</f>
        <v>13448</v>
      </c>
      <c r="D1529" s="6" t="str">
        <f>IFERROR(__xludf.DUMMYFUNCTION("""COMPUTED_VALUE"""),"Groceries")</f>
        <v>Groceries</v>
      </c>
      <c r="E1529" s="6" t="str">
        <f>IFERROR(__xludf.DUMMYFUNCTION("""COMPUTED_VALUE"""),"Debit Card")</f>
        <v>Debit Card</v>
      </c>
      <c r="F1529" s="6" t="s">
        <v>7</v>
      </c>
      <c r="G1529" s="8" t="str">
        <f t="shared" si="1"/>
        <v>202509</v>
      </c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  <c r="AA1529" s="4"/>
      <c r="AB1529" s="4"/>
      <c r="AC1529" s="4"/>
      <c r="AD1529" s="4"/>
      <c r="AE1529" s="4"/>
      <c r="AF1529" s="4"/>
      <c r="AG1529" s="4"/>
      <c r="AH1529" s="4"/>
      <c r="AI1529" s="4"/>
      <c r="AJ1529" s="4"/>
      <c r="AK1529" s="4"/>
      <c r="AL1529" s="4"/>
      <c r="AM1529" s="4"/>
      <c r="AN1529" s="4"/>
      <c r="AO1529" s="4"/>
      <c r="AP1529" s="4"/>
      <c r="AQ1529" s="4"/>
      <c r="AR1529" s="4"/>
      <c r="AS1529" s="4"/>
      <c r="AT1529" s="4"/>
      <c r="AU1529" s="4"/>
      <c r="AV1529" s="4"/>
      <c r="AW1529" s="4"/>
      <c r="AX1529" s="4"/>
      <c r="AY1529" s="4"/>
      <c r="AZ1529" s="4"/>
      <c r="BA1529" s="4"/>
      <c r="BB1529" s="4"/>
      <c r="BC1529" s="4"/>
      <c r="BD1529" s="4"/>
      <c r="BE1529" s="4"/>
      <c r="BF1529" s="4"/>
      <c r="BG1529" s="4"/>
      <c r="BH1529" s="4"/>
      <c r="BI1529" s="4"/>
      <c r="BJ1529" s="4"/>
      <c r="BK1529" s="4"/>
      <c r="BL1529" s="4"/>
      <c r="BM1529" s="4"/>
      <c r="BN1529" s="4"/>
      <c r="BO1529" s="4"/>
      <c r="BP1529" s="4"/>
      <c r="BQ1529" s="4"/>
      <c r="BR1529" s="4"/>
      <c r="BS1529" s="4"/>
      <c r="BT1529" s="4"/>
      <c r="BU1529" s="4"/>
      <c r="BV1529" s="4"/>
      <c r="BW1529" s="4"/>
      <c r="BX1529" s="4"/>
      <c r="BY1529" s="4"/>
      <c r="BZ1529" s="4"/>
      <c r="CA1529" s="4"/>
      <c r="CB1529" s="4"/>
      <c r="CC1529" s="4"/>
      <c r="CD1529" s="4"/>
      <c r="CE1529" s="4"/>
      <c r="CF1529" s="4"/>
      <c r="CG1529" s="4"/>
      <c r="CH1529" s="4"/>
      <c r="CI1529" s="4"/>
      <c r="CJ1529" s="4"/>
      <c r="CK1529" s="4"/>
      <c r="CL1529" s="4"/>
      <c r="CM1529" s="4"/>
      <c r="CN1529" s="4"/>
      <c r="CO1529" s="4"/>
      <c r="CP1529" s="4"/>
      <c r="CQ1529" s="4"/>
      <c r="CR1529" s="4"/>
      <c r="CS1529" s="4"/>
      <c r="CT1529" s="4"/>
      <c r="CU1529" s="4"/>
      <c r="CV1529" s="4"/>
      <c r="CW1529" s="4"/>
      <c r="CX1529" s="4"/>
      <c r="CY1529" s="4"/>
      <c r="CZ1529" s="4"/>
      <c r="DA1529" s="4"/>
      <c r="DB1529" s="4"/>
      <c r="DC1529" s="4"/>
      <c r="DD1529" s="4"/>
      <c r="DE1529" s="4"/>
      <c r="DF1529" s="4"/>
      <c r="DG1529" s="4"/>
      <c r="DH1529" s="4"/>
      <c r="DI1529" s="4"/>
      <c r="DJ1529" s="4"/>
      <c r="DK1529" s="4"/>
      <c r="DL1529" s="4"/>
      <c r="DM1529" s="4"/>
      <c r="DN1529" s="4"/>
      <c r="DO1529" s="4"/>
      <c r="DP1529" s="4"/>
      <c r="DQ1529" s="4"/>
      <c r="DR1529" s="4"/>
      <c r="DS1529" s="4"/>
    </row>
    <row r="1530">
      <c r="A1530" s="9">
        <f>IFERROR(__xludf.DUMMYFUNCTION("""COMPUTED_VALUE"""),45917.0)</f>
        <v>45917</v>
      </c>
      <c r="B1530" s="6" t="str">
        <f>IFERROR(__xludf.DUMMYFUNCTION("""COMPUTED_VALUE"""),"Home Goods")</f>
        <v>Home Goods</v>
      </c>
      <c r="C1530" s="7">
        <f>IFERROR(__xludf.DUMMYFUNCTION("""COMPUTED_VALUE"""),28867.0)</f>
        <v>28867</v>
      </c>
      <c r="D1530" s="6" t="str">
        <f>IFERROR(__xludf.DUMMYFUNCTION("""COMPUTED_VALUE"""),"Home Goods &amp; Utilities")</f>
        <v>Home Goods &amp; Utilities</v>
      </c>
      <c r="E1530" s="6" t="str">
        <f>IFERROR(__xludf.DUMMYFUNCTION("""COMPUTED_VALUE"""),"Credit Card")</f>
        <v>Credit Card</v>
      </c>
      <c r="F1530" s="6" t="s">
        <v>8</v>
      </c>
      <c r="G1530" s="8" t="str">
        <f t="shared" si="1"/>
        <v>202509</v>
      </c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  <c r="AA1530" s="4"/>
      <c r="AB1530" s="4"/>
      <c r="AC1530" s="4"/>
      <c r="AD1530" s="4"/>
      <c r="AE1530" s="4"/>
      <c r="AF1530" s="4"/>
      <c r="AG1530" s="4"/>
      <c r="AH1530" s="4"/>
      <c r="AI1530" s="4"/>
      <c r="AJ1530" s="4"/>
      <c r="AK1530" s="4"/>
      <c r="AL1530" s="4"/>
      <c r="AM1530" s="4"/>
      <c r="AN1530" s="4"/>
      <c r="AO1530" s="4"/>
      <c r="AP1530" s="4"/>
      <c r="AQ1530" s="4"/>
      <c r="AR1530" s="4"/>
      <c r="AS1530" s="4"/>
      <c r="AT1530" s="4"/>
      <c r="AU1530" s="4"/>
      <c r="AV1530" s="4"/>
      <c r="AW1530" s="4"/>
      <c r="AX1530" s="4"/>
      <c r="AY1530" s="4"/>
      <c r="AZ1530" s="4"/>
      <c r="BA1530" s="4"/>
      <c r="BB1530" s="4"/>
      <c r="BC1530" s="4"/>
      <c r="BD1530" s="4"/>
      <c r="BE1530" s="4"/>
      <c r="BF1530" s="4"/>
      <c r="BG1530" s="4"/>
      <c r="BH1530" s="4"/>
      <c r="BI1530" s="4"/>
      <c r="BJ1530" s="4"/>
      <c r="BK1530" s="4"/>
      <c r="BL1530" s="4"/>
      <c r="BM1530" s="4"/>
      <c r="BN1530" s="4"/>
      <c r="BO1530" s="4"/>
      <c r="BP1530" s="4"/>
      <c r="BQ1530" s="4"/>
      <c r="BR1530" s="4"/>
      <c r="BS1530" s="4"/>
      <c r="BT1530" s="4"/>
      <c r="BU1530" s="4"/>
      <c r="BV1530" s="4"/>
      <c r="BW1530" s="4"/>
      <c r="BX1530" s="4"/>
      <c r="BY1530" s="4"/>
      <c r="BZ1530" s="4"/>
      <c r="CA1530" s="4"/>
      <c r="CB1530" s="4"/>
      <c r="CC1530" s="4"/>
      <c r="CD1530" s="4"/>
      <c r="CE1530" s="4"/>
      <c r="CF1530" s="4"/>
      <c r="CG1530" s="4"/>
      <c r="CH1530" s="4"/>
      <c r="CI1530" s="4"/>
      <c r="CJ1530" s="4"/>
      <c r="CK1530" s="4"/>
      <c r="CL1530" s="4"/>
      <c r="CM1530" s="4"/>
      <c r="CN1530" s="4"/>
      <c r="CO1530" s="4"/>
      <c r="CP1530" s="4"/>
      <c r="CQ1530" s="4"/>
      <c r="CR1530" s="4"/>
      <c r="CS1530" s="4"/>
      <c r="CT1530" s="4"/>
      <c r="CU1530" s="4"/>
      <c r="CV1530" s="4"/>
      <c r="CW1530" s="4"/>
      <c r="CX1530" s="4"/>
      <c r="CY1530" s="4"/>
      <c r="CZ1530" s="4"/>
      <c r="DA1530" s="4"/>
      <c r="DB1530" s="4"/>
      <c r="DC1530" s="4"/>
      <c r="DD1530" s="4"/>
      <c r="DE1530" s="4"/>
      <c r="DF1530" s="4"/>
      <c r="DG1530" s="4"/>
      <c r="DH1530" s="4"/>
      <c r="DI1530" s="4"/>
      <c r="DJ1530" s="4"/>
      <c r="DK1530" s="4"/>
      <c r="DL1530" s="4"/>
      <c r="DM1530" s="4"/>
      <c r="DN1530" s="4"/>
      <c r="DO1530" s="4"/>
      <c r="DP1530" s="4"/>
      <c r="DQ1530" s="4"/>
      <c r="DR1530" s="4"/>
      <c r="DS1530" s="4"/>
    </row>
    <row r="1531">
      <c r="A1531" s="9">
        <f>IFERROR(__xludf.DUMMYFUNCTION("""COMPUTED_VALUE"""),45917.0)</f>
        <v>45917</v>
      </c>
      <c r="B1531" s="6" t="str">
        <f>IFERROR(__xludf.DUMMYFUNCTION("""COMPUTED_VALUE"""),"Restaurant")</f>
        <v>Restaurant</v>
      </c>
      <c r="C1531" s="7">
        <f>IFERROR(__xludf.DUMMYFUNCTION("""COMPUTED_VALUE"""),9020.0)</f>
        <v>9020</v>
      </c>
      <c r="D1531" s="6" t="str">
        <f>IFERROR(__xludf.DUMMYFUNCTION("""COMPUTED_VALUE"""),"Restaurant / Café")</f>
        <v>Restaurant / Café</v>
      </c>
      <c r="E1531" s="6" t="str">
        <f>IFERROR(__xludf.DUMMYFUNCTION("""COMPUTED_VALUE"""),"Virtual Wallet")</f>
        <v>Virtual Wallet</v>
      </c>
      <c r="F1531" s="6" t="s">
        <v>14</v>
      </c>
      <c r="G1531" s="8" t="str">
        <f t="shared" si="1"/>
        <v>202509</v>
      </c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  <c r="AA1531" s="4"/>
      <c r="AB1531" s="4"/>
      <c r="AC1531" s="4"/>
      <c r="AD1531" s="4"/>
      <c r="AE1531" s="4"/>
      <c r="AF1531" s="4"/>
      <c r="AG1531" s="4"/>
      <c r="AH1531" s="4"/>
      <c r="AI1531" s="4"/>
      <c r="AJ1531" s="4"/>
      <c r="AK1531" s="4"/>
      <c r="AL1531" s="4"/>
      <c r="AM1531" s="4"/>
      <c r="AN1531" s="4"/>
      <c r="AO1531" s="4"/>
      <c r="AP1531" s="4"/>
      <c r="AQ1531" s="4"/>
      <c r="AR1531" s="4"/>
      <c r="AS1531" s="4"/>
      <c r="AT1531" s="4"/>
      <c r="AU1531" s="4"/>
      <c r="AV1531" s="4"/>
      <c r="AW1531" s="4"/>
      <c r="AX1531" s="4"/>
      <c r="AY1531" s="4"/>
      <c r="AZ1531" s="4"/>
      <c r="BA1531" s="4"/>
      <c r="BB1531" s="4"/>
      <c r="BC1531" s="4"/>
      <c r="BD1531" s="4"/>
      <c r="BE1531" s="4"/>
      <c r="BF1531" s="4"/>
      <c r="BG1531" s="4"/>
      <c r="BH1531" s="4"/>
      <c r="BI1531" s="4"/>
      <c r="BJ1531" s="4"/>
      <c r="BK1531" s="4"/>
      <c r="BL1531" s="4"/>
      <c r="BM1531" s="4"/>
      <c r="BN1531" s="4"/>
      <c r="BO1531" s="4"/>
      <c r="BP1531" s="4"/>
      <c r="BQ1531" s="4"/>
      <c r="BR1531" s="4"/>
      <c r="BS1531" s="4"/>
      <c r="BT1531" s="4"/>
      <c r="BU1531" s="4"/>
      <c r="BV1531" s="4"/>
      <c r="BW1531" s="4"/>
      <c r="BX1531" s="4"/>
      <c r="BY1531" s="4"/>
      <c r="BZ1531" s="4"/>
      <c r="CA1531" s="4"/>
      <c r="CB1531" s="4"/>
      <c r="CC1531" s="4"/>
      <c r="CD1531" s="4"/>
      <c r="CE1531" s="4"/>
      <c r="CF1531" s="4"/>
      <c r="CG1531" s="4"/>
      <c r="CH1531" s="4"/>
      <c r="CI1531" s="4"/>
      <c r="CJ1531" s="4"/>
      <c r="CK1531" s="4"/>
      <c r="CL1531" s="4"/>
      <c r="CM1531" s="4"/>
      <c r="CN1531" s="4"/>
      <c r="CO1531" s="4"/>
      <c r="CP1531" s="4"/>
      <c r="CQ1531" s="4"/>
      <c r="CR1531" s="4"/>
      <c r="CS1531" s="4"/>
      <c r="CT1531" s="4"/>
      <c r="CU1531" s="4"/>
      <c r="CV1531" s="4"/>
      <c r="CW1531" s="4"/>
      <c r="CX1531" s="4"/>
      <c r="CY1531" s="4"/>
      <c r="CZ1531" s="4"/>
      <c r="DA1531" s="4"/>
      <c r="DB1531" s="4"/>
      <c r="DC1531" s="4"/>
      <c r="DD1531" s="4"/>
      <c r="DE1531" s="4"/>
      <c r="DF1531" s="4"/>
      <c r="DG1531" s="4"/>
      <c r="DH1531" s="4"/>
      <c r="DI1531" s="4"/>
      <c r="DJ1531" s="4"/>
      <c r="DK1531" s="4"/>
      <c r="DL1531" s="4"/>
      <c r="DM1531" s="4"/>
      <c r="DN1531" s="4"/>
      <c r="DO1531" s="4"/>
      <c r="DP1531" s="4"/>
      <c r="DQ1531" s="4"/>
      <c r="DR1531" s="4"/>
      <c r="DS1531" s="4"/>
    </row>
    <row r="1532">
      <c r="A1532" s="9">
        <f>IFERROR(__xludf.DUMMYFUNCTION("""COMPUTED_VALUE"""),45918.0)</f>
        <v>45918</v>
      </c>
      <c r="B1532" s="6" t="str">
        <f>IFERROR(__xludf.DUMMYFUNCTION("""COMPUTED_VALUE"""),"Home Goods")</f>
        <v>Home Goods</v>
      </c>
      <c r="C1532" s="7">
        <f>IFERROR(__xludf.DUMMYFUNCTION("""COMPUTED_VALUE"""),38000.0)</f>
        <v>38000</v>
      </c>
      <c r="D1532" s="6" t="str">
        <f>IFERROR(__xludf.DUMMYFUNCTION("""COMPUTED_VALUE"""),"Home Goods &amp; Utilities")</f>
        <v>Home Goods &amp; Utilities</v>
      </c>
      <c r="E1532" s="6" t="str">
        <f>IFERROR(__xludf.DUMMYFUNCTION("""COMPUTED_VALUE"""),"Debit Card")</f>
        <v>Debit Card</v>
      </c>
      <c r="F1532" s="6" t="s">
        <v>8</v>
      </c>
      <c r="G1532" s="8" t="str">
        <f t="shared" si="1"/>
        <v>202509</v>
      </c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  <c r="AA1532" s="4"/>
      <c r="AB1532" s="4"/>
      <c r="AC1532" s="4"/>
      <c r="AD1532" s="4"/>
      <c r="AE1532" s="4"/>
      <c r="AF1532" s="4"/>
      <c r="AG1532" s="4"/>
      <c r="AH1532" s="4"/>
      <c r="AI1532" s="4"/>
      <c r="AJ1532" s="4"/>
      <c r="AK1532" s="4"/>
      <c r="AL1532" s="4"/>
      <c r="AM1532" s="4"/>
      <c r="AN1532" s="4"/>
      <c r="AO1532" s="4"/>
      <c r="AP1532" s="4"/>
      <c r="AQ1532" s="4"/>
      <c r="AR1532" s="4"/>
      <c r="AS1532" s="4"/>
      <c r="AT1532" s="4"/>
      <c r="AU1532" s="4"/>
      <c r="AV1532" s="4"/>
      <c r="AW1532" s="4"/>
      <c r="AX1532" s="4"/>
      <c r="AY1532" s="4"/>
      <c r="AZ1532" s="4"/>
      <c r="BA1532" s="4"/>
      <c r="BB1532" s="4"/>
      <c r="BC1532" s="4"/>
      <c r="BD1532" s="4"/>
      <c r="BE1532" s="4"/>
      <c r="BF1532" s="4"/>
      <c r="BG1532" s="4"/>
      <c r="BH1532" s="4"/>
      <c r="BI1532" s="4"/>
      <c r="BJ1532" s="4"/>
      <c r="BK1532" s="4"/>
      <c r="BL1532" s="4"/>
      <c r="BM1532" s="4"/>
      <c r="BN1532" s="4"/>
      <c r="BO1532" s="4"/>
      <c r="BP1532" s="4"/>
      <c r="BQ1532" s="4"/>
      <c r="BR1532" s="4"/>
      <c r="BS1532" s="4"/>
      <c r="BT1532" s="4"/>
      <c r="BU1532" s="4"/>
      <c r="BV1532" s="4"/>
      <c r="BW1532" s="4"/>
      <c r="BX1532" s="4"/>
      <c r="BY1532" s="4"/>
      <c r="BZ1532" s="4"/>
      <c r="CA1532" s="4"/>
      <c r="CB1532" s="4"/>
      <c r="CC1532" s="4"/>
      <c r="CD1532" s="4"/>
      <c r="CE1532" s="4"/>
      <c r="CF1532" s="4"/>
      <c r="CG1532" s="4"/>
      <c r="CH1532" s="4"/>
      <c r="CI1532" s="4"/>
      <c r="CJ1532" s="4"/>
      <c r="CK1532" s="4"/>
      <c r="CL1532" s="4"/>
      <c r="CM1532" s="4"/>
      <c r="CN1532" s="4"/>
      <c r="CO1532" s="4"/>
      <c r="CP1532" s="4"/>
      <c r="CQ1532" s="4"/>
      <c r="CR1532" s="4"/>
      <c r="CS1532" s="4"/>
      <c r="CT1532" s="4"/>
      <c r="CU1532" s="4"/>
      <c r="CV1532" s="4"/>
      <c r="CW1532" s="4"/>
      <c r="CX1532" s="4"/>
      <c r="CY1532" s="4"/>
      <c r="CZ1532" s="4"/>
      <c r="DA1532" s="4"/>
      <c r="DB1532" s="4"/>
      <c r="DC1532" s="4"/>
      <c r="DD1532" s="4"/>
      <c r="DE1532" s="4"/>
      <c r="DF1532" s="4"/>
      <c r="DG1532" s="4"/>
      <c r="DH1532" s="4"/>
      <c r="DI1532" s="4"/>
      <c r="DJ1532" s="4"/>
      <c r="DK1532" s="4"/>
      <c r="DL1532" s="4"/>
      <c r="DM1532" s="4"/>
      <c r="DN1532" s="4"/>
      <c r="DO1532" s="4"/>
      <c r="DP1532" s="4"/>
      <c r="DQ1532" s="4"/>
      <c r="DR1532" s="4"/>
      <c r="DS1532" s="4"/>
    </row>
    <row r="1533">
      <c r="A1533" s="9">
        <f>IFERROR(__xludf.DUMMYFUNCTION("""COMPUTED_VALUE"""),45918.0)</f>
        <v>45918</v>
      </c>
      <c r="B1533" s="6" t="str">
        <f>IFERROR(__xludf.DUMMYFUNCTION("""COMPUTED_VALUE"""),"Stationery / Books")</f>
        <v>Stationery / Books</v>
      </c>
      <c r="C1533" s="7">
        <f>IFERROR(__xludf.DUMMYFUNCTION("""COMPUTED_VALUE"""),17200.0)</f>
        <v>17200</v>
      </c>
      <c r="D1533" s="6" t="str">
        <f>IFERROR(__xludf.DUMMYFUNCTION("""COMPUTED_VALUE"""),"Education")</f>
        <v>Education</v>
      </c>
      <c r="E1533" s="6" t="str">
        <f>IFERROR(__xludf.DUMMYFUNCTION("""COMPUTED_VALUE"""),"Credit Card")</f>
        <v>Credit Card</v>
      </c>
      <c r="F1533" s="6" t="s">
        <v>11</v>
      </c>
      <c r="G1533" s="8" t="str">
        <f t="shared" si="1"/>
        <v>202509</v>
      </c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  <c r="AA1533" s="4"/>
      <c r="AB1533" s="4"/>
      <c r="AC1533" s="4"/>
      <c r="AD1533" s="4"/>
      <c r="AE1533" s="4"/>
      <c r="AF1533" s="4"/>
      <c r="AG1533" s="4"/>
      <c r="AH1533" s="4"/>
      <c r="AI1533" s="4"/>
      <c r="AJ1533" s="4"/>
      <c r="AK1533" s="4"/>
      <c r="AL1533" s="4"/>
      <c r="AM1533" s="4"/>
      <c r="AN1533" s="4"/>
      <c r="AO1533" s="4"/>
      <c r="AP1533" s="4"/>
      <c r="AQ1533" s="4"/>
      <c r="AR1533" s="4"/>
      <c r="AS1533" s="4"/>
      <c r="AT1533" s="4"/>
      <c r="AU1533" s="4"/>
      <c r="AV1533" s="4"/>
      <c r="AW1533" s="4"/>
      <c r="AX1533" s="4"/>
      <c r="AY1533" s="4"/>
      <c r="AZ1533" s="4"/>
      <c r="BA1533" s="4"/>
      <c r="BB1533" s="4"/>
      <c r="BC1533" s="4"/>
      <c r="BD1533" s="4"/>
      <c r="BE1533" s="4"/>
      <c r="BF1533" s="4"/>
      <c r="BG1533" s="4"/>
      <c r="BH1533" s="4"/>
      <c r="BI1533" s="4"/>
      <c r="BJ1533" s="4"/>
      <c r="BK1533" s="4"/>
      <c r="BL1533" s="4"/>
      <c r="BM1533" s="4"/>
      <c r="BN1533" s="4"/>
      <c r="BO1533" s="4"/>
      <c r="BP1533" s="4"/>
      <c r="BQ1533" s="4"/>
      <c r="BR1533" s="4"/>
      <c r="BS1533" s="4"/>
      <c r="BT1533" s="4"/>
      <c r="BU1533" s="4"/>
      <c r="BV1533" s="4"/>
      <c r="BW1533" s="4"/>
      <c r="BX1533" s="4"/>
      <c r="BY1533" s="4"/>
      <c r="BZ1533" s="4"/>
      <c r="CA1533" s="4"/>
      <c r="CB1533" s="4"/>
      <c r="CC1533" s="4"/>
      <c r="CD1533" s="4"/>
      <c r="CE1533" s="4"/>
      <c r="CF1533" s="4"/>
      <c r="CG1533" s="4"/>
      <c r="CH1533" s="4"/>
      <c r="CI1533" s="4"/>
      <c r="CJ1533" s="4"/>
      <c r="CK1533" s="4"/>
      <c r="CL1533" s="4"/>
      <c r="CM1533" s="4"/>
      <c r="CN1533" s="4"/>
      <c r="CO1533" s="4"/>
      <c r="CP1533" s="4"/>
      <c r="CQ1533" s="4"/>
      <c r="CR1533" s="4"/>
      <c r="CS1533" s="4"/>
      <c r="CT1533" s="4"/>
      <c r="CU1533" s="4"/>
      <c r="CV1533" s="4"/>
      <c r="CW1533" s="4"/>
      <c r="CX1533" s="4"/>
      <c r="CY1533" s="4"/>
      <c r="CZ1533" s="4"/>
      <c r="DA1533" s="4"/>
      <c r="DB1533" s="4"/>
      <c r="DC1533" s="4"/>
      <c r="DD1533" s="4"/>
      <c r="DE1533" s="4"/>
      <c r="DF1533" s="4"/>
      <c r="DG1533" s="4"/>
      <c r="DH1533" s="4"/>
      <c r="DI1533" s="4"/>
      <c r="DJ1533" s="4"/>
      <c r="DK1533" s="4"/>
      <c r="DL1533" s="4"/>
      <c r="DM1533" s="4"/>
      <c r="DN1533" s="4"/>
      <c r="DO1533" s="4"/>
      <c r="DP1533" s="4"/>
      <c r="DQ1533" s="4"/>
      <c r="DR1533" s="4"/>
      <c r="DS1533" s="4"/>
    </row>
    <row r="1534">
      <c r="A1534" s="9">
        <f>IFERROR(__xludf.DUMMYFUNCTION("""COMPUTED_VALUE"""),45919.0)</f>
        <v>45919</v>
      </c>
      <c r="B1534" s="6" t="str">
        <f>IFERROR(__xludf.DUMMYFUNCTION("""COMPUTED_VALUE"""),"Home Goods")</f>
        <v>Home Goods</v>
      </c>
      <c r="C1534" s="7">
        <f>IFERROR(__xludf.DUMMYFUNCTION("""COMPUTED_VALUE"""),5500.0)</f>
        <v>5500</v>
      </c>
      <c r="D1534" s="6" t="str">
        <f>IFERROR(__xludf.DUMMYFUNCTION("""COMPUTED_VALUE"""),"Home Goods &amp; Utilities")</f>
        <v>Home Goods &amp; Utilities</v>
      </c>
      <c r="E1534" s="6" t="str">
        <f>IFERROR(__xludf.DUMMYFUNCTION("""COMPUTED_VALUE"""),"Credit Card")</f>
        <v>Credit Card</v>
      </c>
      <c r="F1534" s="6" t="s">
        <v>8</v>
      </c>
      <c r="G1534" s="8" t="str">
        <f t="shared" si="1"/>
        <v>202509</v>
      </c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  <c r="AA1534" s="4"/>
      <c r="AB1534" s="4"/>
      <c r="AC1534" s="4"/>
      <c r="AD1534" s="4"/>
      <c r="AE1534" s="4"/>
      <c r="AF1534" s="4"/>
      <c r="AG1534" s="4"/>
      <c r="AH1534" s="4"/>
      <c r="AI1534" s="4"/>
      <c r="AJ1534" s="4"/>
      <c r="AK1534" s="4"/>
      <c r="AL1534" s="4"/>
      <c r="AM1534" s="4"/>
      <c r="AN1534" s="4"/>
      <c r="AO1534" s="4"/>
      <c r="AP1534" s="4"/>
      <c r="AQ1534" s="4"/>
      <c r="AR1534" s="4"/>
      <c r="AS1534" s="4"/>
      <c r="AT1534" s="4"/>
      <c r="AU1534" s="4"/>
      <c r="AV1534" s="4"/>
      <c r="AW1534" s="4"/>
      <c r="AX1534" s="4"/>
      <c r="AY1534" s="4"/>
      <c r="AZ1534" s="4"/>
      <c r="BA1534" s="4"/>
      <c r="BB1534" s="4"/>
      <c r="BC1534" s="4"/>
      <c r="BD1534" s="4"/>
      <c r="BE1534" s="4"/>
      <c r="BF1534" s="4"/>
      <c r="BG1534" s="4"/>
      <c r="BH1534" s="4"/>
      <c r="BI1534" s="4"/>
      <c r="BJ1534" s="4"/>
      <c r="BK1534" s="4"/>
      <c r="BL1534" s="4"/>
      <c r="BM1534" s="4"/>
      <c r="BN1534" s="4"/>
      <c r="BO1534" s="4"/>
      <c r="BP1534" s="4"/>
      <c r="BQ1534" s="4"/>
      <c r="BR1534" s="4"/>
      <c r="BS1534" s="4"/>
      <c r="BT1534" s="4"/>
      <c r="BU1534" s="4"/>
      <c r="BV1534" s="4"/>
      <c r="BW1534" s="4"/>
      <c r="BX1534" s="4"/>
      <c r="BY1534" s="4"/>
      <c r="BZ1534" s="4"/>
      <c r="CA1534" s="4"/>
      <c r="CB1534" s="4"/>
      <c r="CC1534" s="4"/>
      <c r="CD1534" s="4"/>
      <c r="CE1534" s="4"/>
      <c r="CF1534" s="4"/>
      <c r="CG1534" s="4"/>
      <c r="CH1534" s="4"/>
      <c r="CI1534" s="4"/>
      <c r="CJ1534" s="4"/>
      <c r="CK1534" s="4"/>
      <c r="CL1534" s="4"/>
      <c r="CM1534" s="4"/>
      <c r="CN1534" s="4"/>
      <c r="CO1534" s="4"/>
      <c r="CP1534" s="4"/>
      <c r="CQ1534" s="4"/>
      <c r="CR1534" s="4"/>
      <c r="CS1534" s="4"/>
      <c r="CT1534" s="4"/>
      <c r="CU1534" s="4"/>
      <c r="CV1534" s="4"/>
      <c r="CW1534" s="4"/>
      <c r="CX1534" s="4"/>
      <c r="CY1534" s="4"/>
      <c r="CZ1534" s="4"/>
      <c r="DA1534" s="4"/>
      <c r="DB1534" s="4"/>
      <c r="DC1534" s="4"/>
      <c r="DD1534" s="4"/>
      <c r="DE1534" s="4"/>
      <c r="DF1534" s="4"/>
      <c r="DG1534" s="4"/>
      <c r="DH1534" s="4"/>
      <c r="DI1534" s="4"/>
      <c r="DJ1534" s="4"/>
      <c r="DK1534" s="4"/>
      <c r="DL1534" s="4"/>
      <c r="DM1534" s="4"/>
      <c r="DN1534" s="4"/>
      <c r="DO1534" s="4"/>
      <c r="DP1534" s="4"/>
      <c r="DQ1534" s="4"/>
      <c r="DR1534" s="4"/>
      <c r="DS1534" s="4"/>
    </row>
    <row r="1535">
      <c r="A1535" s="9">
        <f>IFERROR(__xludf.DUMMYFUNCTION("""COMPUTED_VALUE"""),45920.0)</f>
        <v>45920</v>
      </c>
      <c r="B1535" s="6" t="str">
        <f>IFERROR(__xludf.DUMMYFUNCTION("""COMPUTED_VALUE"""),"Restaurant")</f>
        <v>Restaurant</v>
      </c>
      <c r="C1535" s="7">
        <f>IFERROR(__xludf.DUMMYFUNCTION("""COMPUTED_VALUE"""),4462.0)</f>
        <v>4462</v>
      </c>
      <c r="D1535" s="6" t="str">
        <f>IFERROR(__xludf.DUMMYFUNCTION("""COMPUTED_VALUE"""),"Restaurant / Café")</f>
        <v>Restaurant / Café</v>
      </c>
      <c r="E1535" s="6" t="str">
        <f>IFERROR(__xludf.DUMMYFUNCTION("""COMPUTED_VALUE"""),"Virtual Wallet")</f>
        <v>Virtual Wallet</v>
      </c>
      <c r="F1535" s="6" t="s">
        <v>14</v>
      </c>
      <c r="G1535" s="8" t="str">
        <f t="shared" si="1"/>
        <v>202509</v>
      </c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  <c r="AA1535" s="4"/>
      <c r="AB1535" s="4"/>
      <c r="AC1535" s="4"/>
      <c r="AD1535" s="4"/>
      <c r="AE1535" s="4"/>
      <c r="AF1535" s="4"/>
      <c r="AG1535" s="4"/>
      <c r="AH1535" s="4"/>
      <c r="AI1535" s="4"/>
      <c r="AJ1535" s="4"/>
      <c r="AK1535" s="4"/>
      <c r="AL1535" s="4"/>
      <c r="AM1535" s="4"/>
      <c r="AN1535" s="4"/>
      <c r="AO1535" s="4"/>
      <c r="AP1535" s="4"/>
      <c r="AQ1535" s="4"/>
      <c r="AR1535" s="4"/>
      <c r="AS1535" s="4"/>
      <c r="AT1535" s="4"/>
      <c r="AU1535" s="4"/>
      <c r="AV1535" s="4"/>
      <c r="AW1535" s="4"/>
      <c r="AX1535" s="4"/>
      <c r="AY1535" s="4"/>
      <c r="AZ1535" s="4"/>
      <c r="BA1535" s="4"/>
      <c r="BB1535" s="4"/>
      <c r="BC1535" s="4"/>
      <c r="BD1535" s="4"/>
      <c r="BE1535" s="4"/>
      <c r="BF1535" s="4"/>
      <c r="BG1535" s="4"/>
      <c r="BH1535" s="4"/>
      <c r="BI1535" s="4"/>
      <c r="BJ1535" s="4"/>
      <c r="BK1535" s="4"/>
      <c r="BL1535" s="4"/>
      <c r="BM1535" s="4"/>
      <c r="BN1535" s="4"/>
      <c r="BO1535" s="4"/>
      <c r="BP1535" s="4"/>
      <c r="BQ1535" s="4"/>
      <c r="BR1535" s="4"/>
      <c r="BS1535" s="4"/>
      <c r="BT1535" s="4"/>
      <c r="BU1535" s="4"/>
      <c r="BV1535" s="4"/>
      <c r="BW1535" s="4"/>
      <c r="BX1535" s="4"/>
      <c r="BY1535" s="4"/>
      <c r="BZ1535" s="4"/>
      <c r="CA1535" s="4"/>
      <c r="CB1535" s="4"/>
      <c r="CC1535" s="4"/>
      <c r="CD1535" s="4"/>
      <c r="CE1535" s="4"/>
      <c r="CF1535" s="4"/>
      <c r="CG1535" s="4"/>
      <c r="CH1535" s="4"/>
      <c r="CI1535" s="4"/>
      <c r="CJ1535" s="4"/>
      <c r="CK1535" s="4"/>
      <c r="CL1535" s="4"/>
      <c r="CM1535" s="4"/>
      <c r="CN1535" s="4"/>
      <c r="CO1535" s="4"/>
      <c r="CP1535" s="4"/>
      <c r="CQ1535" s="4"/>
      <c r="CR1535" s="4"/>
      <c r="CS1535" s="4"/>
      <c r="CT1535" s="4"/>
      <c r="CU1535" s="4"/>
      <c r="CV1535" s="4"/>
      <c r="CW1535" s="4"/>
      <c r="CX1535" s="4"/>
      <c r="CY1535" s="4"/>
      <c r="CZ1535" s="4"/>
      <c r="DA1535" s="4"/>
      <c r="DB1535" s="4"/>
      <c r="DC1535" s="4"/>
      <c r="DD1535" s="4"/>
      <c r="DE1535" s="4"/>
      <c r="DF1535" s="4"/>
      <c r="DG1535" s="4"/>
      <c r="DH1535" s="4"/>
      <c r="DI1535" s="4"/>
      <c r="DJ1535" s="4"/>
      <c r="DK1535" s="4"/>
      <c r="DL1535" s="4"/>
      <c r="DM1535" s="4"/>
      <c r="DN1535" s="4"/>
      <c r="DO1535" s="4"/>
      <c r="DP1535" s="4"/>
      <c r="DQ1535" s="4"/>
      <c r="DR1535" s="4"/>
      <c r="DS1535" s="4"/>
    </row>
    <row r="1536">
      <c r="A1536" s="9">
        <f>IFERROR(__xludf.DUMMYFUNCTION("""COMPUTED_VALUE"""),45920.0)</f>
        <v>45920</v>
      </c>
      <c r="B1536" s="6" t="str">
        <f>IFERROR(__xludf.DUMMYFUNCTION("""COMPUTED_VALUE"""),"Restaurant")</f>
        <v>Restaurant</v>
      </c>
      <c r="C1536" s="7">
        <f>IFERROR(__xludf.DUMMYFUNCTION("""COMPUTED_VALUE"""),7150.0)</f>
        <v>7150</v>
      </c>
      <c r="D1536" s="6" t="str">
        <f>IFERROR(__xludf.DUMMYFUNCTION("""COMPUTED_VALUE"""),"Restaurant / Café")</f>
        <v>Restaurant / Café</v>
      </c>
      <c r="E1536" s="6" t="str">
        <f>IFERROR(__xludf.DUMMYFUNCTION("""COMPUTED_VALUE"""),"Virtual Wallet")</f>
        <v>Virtual Wallet</v>
      </c>
      <c r="F1536" s="6" t="s">
        <v>14</v>
      </c>
      <c r="G1536" s="8" t="str">
        <f t="shared" si="1"/>
        <v>202509</v>
      </c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  <c r="AA1536" s="4"/>
      <c r="AB1536" s="4"/>
      <c r="AC1536" s="4"/>
      <c r="AD1536" s="4"/>
      <c r="AE1536" s="4"/>
      <c r="AF1536" s="4"/>
      <c r="AG1536" s="4"/>
      <c r="AH1536" s="4"/>
      <c r="AI1536" s="4"/>
      <c r="AJ1536" s="4"/>
      <c r="AK1536" s="4"/>
      <c r="AL1536" s="4"/>
      <c r="AM1536" s="4"/>
      <c r="AN1536" s="4"/>
      <c r="AO1536" s="4"/>
      <c r="AP1536" s="4"/>
      <c r="AQ1536" s="4"/>
      <c r="AR1536" s="4"/>
      <c r="AS1536" s="4"/>
      <c r="AT1536" s="4"/>
      <c r="AU1536" s="4"/>
      <c r="AV1536" s="4"/>
      <c r="AW1536" s="4"/>
      <c r="AX1536" s="4"/>
      <c r="AY1536" s="4"/>
      <c r="AZ1536" s="4"/>
      <c r="BA1536" s="4"/>
      <c r="BB1536" s="4"/>
      <c r="BC1536" s="4"/>
      <c r="BD1536" s="4"/>
      <c r="BE1536" s="4"/>
      <c r="BF1536" s="4"/>
      <c r="BG1536" s="4"/>
      <c r="BH1536" s="4"/>
      <c r="BI1536" s="4"/>
      <c r="BJ1536" s="4"/>
      <c r="BK1536" s="4"/>
      <c r="BL1536" s="4"/>
      <c r="BM1536" s="4"/>
      <c r="BN1536" s="4"/>
      <c r="BO1536" s="4"/>
      <c r="BP1536" s="4"/>
      <c r="BQ1536" s="4"/>
      <c r="BR1536" s="4"/>
      <c r="BS1536" s="4"/>
      <c r="BT1536" s="4"/>
      <c r="BU1536" s="4"/>
      <c r="BV1536" s="4"/>
      <c r="BW1536" s="4"/>
      <c r="BX1536" s="4"/>
      <c r="BY1536" s="4"/>
      <c r="BZ1536" s="4"/>
      <c r="CA1536" s="4"/>
      <c r="CB1536" s="4"/>
      <c r="CC1536" s="4"/>
      <c r="CD1536" s="4"/>
      <c r="CE1536" s="4"/>
      <c r="CF1536" s="4"/>
      <c r="CG1536" s="4"/>
      <c r="CH1536" s="4"/>
      <c r="CI1536" s="4"/>
      <c r="CJ1536" s="4"/>
      <c r="CK1536" s="4"/>
      <c r="CL1536" s="4"/>
      <c r="CM1536" s="4"/>
      <c r="CN1536" s="4"/>
      <c r="CO1536" s="4"/>
      <c r="CP1536" s="4"/>
      <c r="CQ1536" s="4"/>
      <c r="CR1536" s="4"/>
      <c r="CS1536" s="4"/>
      <c r="CT1536" s="4"/>
      <c r="CU1536" s="4"/>
      <c r="CV1536" s="4"/>
      <c r="CW1536" s="4"/>
      <c r="CX1536" s="4"/>
      <c r="CY1536" s="4"/>
      <c r="CZ1536" s="4"/>
      <c r="DA1536" s="4"/>
      <c r="DB1536" s="4"/>
      <c r="DC1536" s="4"/>
      <c r="DD1536" s="4"/>
      <c r="DE1536" s="4"/>
      <c r="DF1536" s="4"/>
      <c r="DG1536" s="4"/>
      <c r="DH1536" s="4"/>
      <c r="DI1536" s="4"/>
      <c r="DJ1536" s="4"/>
      <c r="DK1536" s="4"/>
      <c r="DL1536" s="4"/>
      <c r="DM1536" s="4"/>
      <c r="DN1536" s="4"/>
      <c r="DO1536" s="4"/>
      <c r="DP1536" s="4"/>
      <c r="DQ1536" s="4"/>
      <c r="DR1536" s="4"/>
      <c r="DS1536" s="4"/>
    </row>
    <row r="1537">
      <c r="A1537" s="9">
        <f>IFERROR(__xludf.DUMMYFUNCTION("""COMPUTED_VALUE"""),45920.0)</f>
        <v>45920</v>
      </c>
      <c r="B1537" s="6" t="str">
        <f>IFERROR(__xludf.DUMMYFUNCTION("""COMPUTED_VALUE"""),"Sports")</f>
        <v>Sports</v>
      </c>
      <c r="C1537" s="7">
        <f>IFERROR(__xludf.DUMMYFUNCTION("""COMPUTED_VALUE"""),7000.0)</f>
        <v>7000</v>
      </c>
      <c r="D1537" s="6" t="str">
        <f>IFERROR(__xludf.DUMMYFUNCTION("""COMPUTED_VALUE"""),"Sports")</f>
        <v>Sports</v>
      </c>
      <c r="E1537" s="6" t="str">
        <f>IFERROR(__xludf.DUMMYFUNCTION("""COMPUTED_VALUE"""),"Bank Transfer")</f>
        <v>Bank Transfer</v>
      </c>
      <c r="F1537" s="6" t="s">
        <v>12</v>
      </c>
      <c r="G1537" s="8" t="str">
        <f t="shared" si="1"/>
        <v>202509</v>
      </c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  <c r="AA1537" s="4"/>
      <c r="AB1537" s="4"/>
      <c r="AC1537" s="4"/>
      <c r="AD1537" s="4"/>
      <c r="AE1537" s="4"/>
      <c r="AF1537" s="4"/>
      <c r="AG1537" s="4"/>
      <c r="AH1537" s="4"/>
      <c r="AI1537" s="4"/>
      <c r="AJ1537" s="4"/>
      <c r="AK1537" s="4"/>
      <c r="AL1537" s="4"/>
      <c r="AM1537" s="4"/>
      <c r="AN1537" s="4"/>
      <c r="AO1537" s="4"/>
      <c r="AP1537" s="4"/>
      <c r="AQ1537" s="4"/>
      <c r="AR1537" s="4"/>
      <c r="AS1537" s="4"/>
      <c r="AT1537" s="4"/>
      <c r="AU1537" s="4"/>
      <c r="AV1537" s="4"/>
      <c r="AW1537" s="4"/>
      <c r="AX1537" s="4"/>
      <c r="AY1537" s="4"/>
      <c r="AZ1537" s="4"/>
      <c r="BA1537" s="4"/>
      <c r="BB1537" s="4"/>
      <c r="BC1537" s="4"/>
      <c r="BD1537" s="4"/>
      <c r="BE1537" s="4"/>
      <c r="BF1537" s="4"/>
      <c r="BG1537" s="4"/>
      <c r="BH1537" s="4"/>
      <c r="BI1537" s="4"/>
      <c r="BJ1537" s="4"/>
      <c r="BK1537" s="4"/>
      <c r="BL1537" s="4"/>
      <c r="BM1537" s="4"/>
      <c r="BN1537" s="4"/>
      <c r="BO1537" s="4"/>
      <c r="BP1537" s="4"/>
      <c r="BQ1537" s="4"/>
      <c r="BR1537" s="4"/>
      <c r="BS1537" s="4"/>
      <c r="BT1537" s="4"/>
      <c r="BU1537" s="4"/>
      <c r="BV1537" s="4"/>
      <c r="BW1537" s="4"/>
      <c r="BX1537" s="4"/>
      <c r="BY1537" s="4"/>
      <c r="BZ1537" s="4"/>
      <c r="CA1537" s="4"/>
      <c r="CB1537" s="4"/>
      <c r="CC1537" s="4"/>
      <c r="CD1537" s="4"/>
      <c r="CE1537" s="4"/>
      <c r="CF1537" s="4"/>
      <c r="CG1537" s="4"/>
      <c r="CH1537" s="4"/>
      <c r="CI1537" s="4"/>
      <c r="CJ1537" s="4"/>
      <c r="CK1537" s="4"/>
      <c r="CL1537" s="4"/>
      <c r="CM1537" s="4"/>
      <c r="CN1537" s="4"/>
      <c r="CO1537" s="4"/>
      <c r="CP1537" s="4"/>
      <c r="CQ1537" s="4"/>
      <c r="CR1537" s="4"/>
      <c r="CS1537" s="4"/>
      <c r="CT1537" s="4"/>
      <c r="CU1537" s="4"/>
      <c r="CV1537" s="4"/>
      <c r="CW1537" s="4"/>
      <c r="CX1537" s="4"/>
      <c r="CY1537" s="4"/>
      <c r="CZ1537" s="4"/>
      <c r="DA1537" s="4"/>
      <c r="DB1537" s="4"/>
      <c r="DC1537" s="4"/>
      <c r="DD1537" s="4"/>
      <c r="DE1537" s="4"/>
      <c r="DF1537" s="4"/>
      <c r="DG1537" s="4"/>
      <c r="DH1537" s="4"/>
      <c r="DI1537" s="4"/>
      <c r="DJ1537" s="4"/>
      <c r="DK1537" s="4"/>
      <c r="DL1537" s="4"/>
      <c r="DM1537" s="4"/>
      <c r="DN1537" s="4"/>
      <c r="DO1537" s="4"/>
      <c r="DP1537" s="4"/>
      <c r="DQ1537" s="4"/>
      <c r="DR1537" s="4"/>
      <c r="DS1537" s="4"/>
    </row>
    <row r="1538">
      <c r="A1538" s="9">
        <f>IFERROR(__xludf.DUMMYFUNCTION("""COMPUTED_VALUE"""),45923.0)</f>
        <v>45923</v>
      </c>
      <c r="B1538" s="6" t="str">
        <f>IFERROR(__xludf.DUMMYFUNCTION("""COMPUTED_VALUE"""),"Appliances")</f>
        <v>Appliances</v>
      </c>
      <c r="C1538" s="7">
        <f>IFERROR(__xludf.DUMMYFUNCTION("""COMPUTED_VALUE"""),13889.0)</f>
        <v>13889</v>
      </c>
      <c r="D1538" s="6" t="str">
        <f>IFERROR(__xludf.DUMMYFUNCTION("""COMPUTED_VALUE"""),"Home Goods &amp; Utilities")</f>
        <v>Home Goods &amp; Utilities</v>
      </c>
      <c r="E1538" s="6" t="str">
        <f>IFERROR(__xludf.DUMMYFUNCTION("""COMPUTED_VALUE"""),"Credit Card")</f>
        <v>Credit Card</v>
      </c>
      <c r="F1538" s="6" t="s">
        <v>8</v>
      </c>
      <c r="G1538" s="8" t="str">
        <f t="shared" si="1"/>
        <v>202509</v>
      </c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  <c r="AA1538" s="4"/>
      <c r="AB1538" s="4"/>
      <c r="AC1538" s="4"/>
      <c r="AD1538" s="4"/>
      <c r="AE1538" s="4"/>
      <c r="AF1538" s="4"/>
      <c r="AG1538" s="4"/>
      <c r="AH1538" s="4"/>
      <c r="AI1538" s="4"/>
      <c r="AJ1538" s="4"/>
      <c r="AK1538" s="4"/>
      <c r="AL1538" s="4"/>
      <c r="AM1538" s="4"/>
      <c r="AN1538" s="4"/>
      <c r="AO1538" s="4"/>
      <c r="AP1538" s="4"/>
      <c r="AQ1538" s="4"/>
      <c r="AR1538" s="4"/>
      <c r="AS1538" s="4"/>
      <c r="AT1538" s="4"/>
      <c r="AU1538" s="4"/>
      <c r="AV1538" s="4"/>
      <c r="AW1538" s="4"/>
      <c r="AX1538" s="4"/>
      <c r="AY1538" s="4"/>
      <c r="AZ1538" s="4"/>
      <c r="BA1538" s="4"/>
      <c r="BB1538" s="4"/>
      <c r="BC1538" s="4"/>
      <c r="BD1538" s="4"/>
      <c r="BE1538" s="4"/>
      <c r="BF1538" s="4"/>
      <c r="BG1538" s="4"/>
      <c r="BH1538" s="4"/>
      <c r="BI1538" s="4"/>
      <c r="BJ1538" s="4"/>
      <c r="BK1538" s="4"/>
      <c r="BL1538" s="4"/>
      <c r="BM1538" s="4"/>
      <c r="BN1538" s="4"/>
      <c r="BO1538" s="4"/>
      <c r="BP1538" s="4"/>
      <c r="BQ1538" s="4"/>
      <c r="BR1538" s="4"/>
      <c r="BS1538" s="4"/>
      <c r="BT1538" s="4"/>
      <c r="BU1538" s="4"/>
      <c r="BV1538" s="4"/>
      <c r="BW1538" s="4"/>
      <c r="BX1538" s="4"/>
      <c r="BY1538" s="4"/>
      <c r="BZ1538" s="4"/>
      <c r="CA1538" s="4"/>
      <c r="CB1538" s="4"/>
      <c r="CC1538" s="4"/>
      <c r="CD1538" s="4"/>
      <c r="CE1538" s="4"/>
      <c r="CF1538" s="4"/>
      <c r="CG1538" s="4"/>
      <c r="CH1538" s="4"/>
      <c r="CI1538" s="4"/>
      <c r="CJ1538" s="4"/>
      <c r="CK1538" s="4"/>
      <c r="CL1538" s="4"/>
      <c r="CM1538" s="4"/>
      <c r="CN1538" s="4"/>
      <c r="CO1538" s="4"/>
      <c r="CP1538" s="4"/>
      <c r="CQ1538" s="4"/>
      <c r="CR1538" s="4"/>
      <c r="CS1538" s="4"/>
      <c r="CT1538" s="4"/>
      <c r="CU1538" s="4"/>
      <c r="CV1538" s="4"/>
      <c r="CW1538" s="4"/>
      <c r="CX1538" s="4"/>
      <c r="CY1538" s="4"/>
      <c r="CZ1538" s="4"/>
      <c r="DA1538" s="4"/>
      <c r="DB1538" s="4"/>
      <c r="DC1538" s="4"/>
      <c r="DD1538" s="4"/>
      <c r="DE1538" s="4"/>
      <c r="DF1538" s="4"/>
      <c r="DG1538" s="4"/>
      <c r="DH1538" s="4"/>
      <c r="DI1538" s="4"/>
      <c r="DJ1538" s="4"/>
      <c r="DK1538" s="4"/>
      <c r="DL1538" s="4"/>
      <c r="DM1538" s="4"/>
      <c r="DN1538" s="4"/>
      <c r="DO1538" s="4"/>
      <c r="DP1538" s="4"/>
      <c r="DQ1538" s="4"/>
      <c r="DR1538" s="4"/>
      <c r="DS1538" s="4"/>
    </row>
    <row r="1539">
      <c r="A1539" s="9">
        <f>IFERROR(__xludf.DUMMYFUNCTION("""COMPUTED_VALUE"""),45924.0)</f>
        <v>45924</v>
      </c>
      <c r="B1539" s="6" t="str">
        <f>IFERROR(__xludf.DUMMYFUNCTION("""COMPUTED_VALUE"""),"Recreation")</f>
        <v>Recreation</v>
      </c>
      <c r="C1539" s="7">
        <f>IFERROR(__xludf.DUMMYFUNCTION("""COMPUTED_VALUE"""),7253.0)</f>
        <v>7253</v>
      </c>
      <c r="D1539" s="6" t="str">
        <f>IFERROR(__xludf.DUMMYFUNCTION("""COMPUTED_VALUE"""),"Recreation")</f>
        <v>Recreation</v>
      </c>
      <c r="E1539" s="6" t="str">
        <f>IFERROR(__xludf.DUMMYFUNCTION("""COMPUTED_VALUE"""),"Credit Card")</f>
        <v>Credit Card</v>
      </c>
      <c r="F1539" s="6" t="s">
        <v>12</v>
      </c>
      <c r="G1539" s="8" t="str">
        <f t="shared" si="1"/>
        <v>202509</v>
      </c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  <c r="AA1539" s="4"/>
      <c r="AB1539" s="4"/>
      <c r="AC1539" s="4"/>
      <c r="AD1539" s="4"/>
      <c r="AE1539" s="4"/>
      <c r="AF1539" s="4"/>
      <c r="AG1539" s="4"/>
      <c r="AH1539" s="4"/>
      <c r="AI1539" s="4"/>
      <c r="AJ1539" s="4"/>
      <c r="AK1539" s="4"/>
      <c r="AL1539" s="4"/>
      <c r="AM1539" s="4"/>
      <c r="AN1539" s="4"/>
      <c r="AO1539" s="4"/>
      <c r="AP1539" s="4"/>
      <c r="AQ1539" s="4"/>
      <c r="AR1539" s="4"/>
      <c r="AS1539" s="4"/>
      <c r="AT1539" s="4"/>
      <c r="AU1539" s="4"/>
      <c r="AV1539" s="4"/>
      <c r="AW1539" s="4"/>
      <c r="AX1539" s="4"/>
      <c r="AY1539" s="4"/>
      <c r="AZ1539" s="4"/>
      <c r="BA1539" s="4"/>
      <c r="BB1539" s="4"/>
      <c r="BC1539" s="4"/>
      <c r="BD1539" s="4"/>
      <c r="BE1539" s="4"/>
      <c r="BF1539" s="4"/>
      <c r="BG1539" s="4"/>
      <c r="BH1539" s="4"/>
      <c r="BI1539" s="4"/>
      <c r="BJ1539" s="4"/>
      <c r="BK1539" s="4"/>
      <c r="BL1539" s="4"/>
      <c r="BM1539" s="4"/>
      <c r="BN1539" s="4"/>
      <c r="BO1539" s="4"/>
      <c r="BP1539" s="4"/>
      <c r="BQ1539" s="4"/>
      <c r="BR1539" s="4"/>
      <c r="BS1539" s="4"/>
      <c r="BT1539" s="4"/>
      <c r="BU1539" s="4"/>
      <c r="BV1539" s="4"/>
      <c r="BW1539" s="4"/>
      <c r="BX1539" s="4"/>
      <c r="BY1539" s="4"/>
      <c r="BZ1539" s="4"/>
      <c r="CA1539" s="4"/>
      <c r="CB1539" s="4"/>
      <c r="CC1539" s="4"/>
      <c r="CD1539" s="4"/>
      <c r="CE1539" s="4"/>
      <c r="CF1539" s="4"/>
      <c r="CG1539" s="4"/>
      <c r="CH1539" s="4"/>
      <c r="CI1539" s="4"/>
      <c r="CJ1539" s="4"/>
      <c r="CK1539" s="4"/>
      <c r="CL1539" s="4"/>
      <c r="CM1539" s="4"/>
      <c r="CN1539" s="4"/>
      <c r="CO1539" s="4"/>
      <c r="CP1539" s="4"/>
      <c r="CQ1539" s="4"/>
      <c r="CR1539" s="4"/>
      <c r="CS1539" s="4"/>
      <c r="CT1539" s="4"/>
      <c r="CU1539" s="4"/>
      <c r="CV1539" s="4"/>
      <c r="CW1539" s="4"/>
      <c r="CX1539" s="4"/>
      <c r="CY1539" s="4"/>
      <c r="CZ1539" s="4"/>
      <c r="DA1539" s="4"/>
      <c r="DB1539" s="4"/>
      <c r="DC1539" s="4"/>
      <c r="DD1539" s="4"/>
      <c r="DE1539" s="4"/>
      <c r="DF1539" s="4"/>
      <c r="DG1539" s="4"/>
      <c r="DH1539" s="4"/>
      <c r="DI1539" s="4"/>
      <c r="DJ1539" s="4"/>
      <c r="DK1539" s="4"/>
      <c r="DL1539" s="4"/>
      <c r="DM1539" s="4"/>
      <c r="DN1539" s="4"/>
      <c r="DO1539" s="4"/>
      <c r="DP1539" s="4"/>
      <c r="DQ1539" s="4"/>
      <c r="DR1539" s="4"/>
      <c r="DS1539" s="4"/>
    </row>
    <row r="1540">
      <c r="A1540" s="9">
        <f>IFERROR(__xludf.DUMMYFUNCTION("""COMPUTED_VALUE"""),45924.0)</f>
        <v>45924</v>
      </c>
      <c r="B1540" s="6" t="str">
        <f>IFERROR(__xludf.DUMMYFUNCTION("""COMPUTED_VALUE"""),"Electricity Bill (Edesur)")</f>
        <v>Electricity Bill (Edesur)</v>
      </c>
      <c r="C1540" s="7">
        <f>IFERROR(__xludf.DUMMYFUNCTION("""COMPUTED_VALUE"""),17336.0)</f>
        <v>17336</v>
      </c>
      <c r="D1540" s="6" t="str">
        <f>IFERROR(__xludf.DUMMYFUNCTION("""COMPUTED_VALUE"""),"Basic Services")</f>
        <v>Basic Services</v>
      </c>
      <c r="E1540" s="6" t="str">
        <f>IFERROR(__xludf.DUMMYFUNCTION("""COMPUTED_VALUE"""),"Split Payment")</f>
        <v>Split Payment</v>
      </c>
      <c r="F1540" s="6" t="s">
        <v>13</v>
      </c>
      <c r="G1540" s="8" t="str">
        <f t="shared" si="1"/>
        <v>202509</v>
      </c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  <c r="AA1540" s="4"/>
      <c r="AB1540" s="4"/>
      <c r="AC1540" s="4"/>
      <c r="AD1540" s="4"/>
      <c r="AE1540" s="4"/>
      <c r="AF1540" s="4"/>
      <c r="AG1540" s="4"/>
      <c r="AH1540" s="4"/>
      <c r="AI1540" s="4"/>
      <c r="AJ1540" s="4"/>
      <c r="AK1540" s="4"/>
      <c r="AL1540" s="4"/>
      <c r="AM1540" s="4"/>
      <c r="AN1540" s="4"/>
      <c r="AO1540" s="4"/>
      <c r="AP1540" s="4"/>
      <c r="AQ1540" s="4"/>
      <c r="AR1540" s="4"/>
      <c r="AS1540" s="4"/>
      <c r="AT1540" s="4"/>
      <c r="AU1540" s="4"/>
      <c r="AV1540" s="4"/>
      <c r="AW1540" s="4"/>
      <c r="AX1540" s="4"/>
      <c r="AY1540" s="4"/>
      <c r="AZ1540" s="4"/>
      <c r="BA1540" s="4"/>
      <c r="BB1540" s="4"/>
      <c r="BC1540" s="4"/>
      <c r="BD1540" s="4"/>
      <c r="BE1540" s="4"/>
      <c r="BF1540" s="4"/>
      <c r="BG1540" s="4"/>
      <c r="BH1540" s="4"/>
      <c r="BI1540" s="4"/>
      <c r="BJ1540" s="4"/>
      <c r="BK1540" s="4"/>
      <c r="BL1540" s="4"/>
      <c r="BM1540" s="4"/>
      <c r="BN1540" s="4"/>
      <c r="BO1540" s="4"/>
      <c r="BP1540" s="4"/>
      <c r="BQ1540" s="4"/>
      <c r="BR1540" s="4"/>
      <c r="BS1540" s="4"/>
      <c r="BT1540" s="4"/>
      <c r="BU1540" s="4"/>
      <c r="BV1540" s="4"/>
      <c r="BW1540" s="4"/>
      <c r="BX1540" s="4"/>
      <c r="BY1540" s="4"/>
      <c r="BZ1540" s="4"/>
      <c r="CA1540" s="4"/>
      <c r="CB1540" s="4"/>
      <c r="CC1540" s="4"/>
      <c r="CD1540" s="4"/>
      <c r="CE1540" s="4"/>
      <c r="CF1540" s="4"/>
      <c r="CG1540" s="4"/>
      <c r="CH1540" s="4"/>
      <c r="CI1540" s="4"/>
      <c r="CJ1540" s="4"/>
      <c r="CK1540" s="4"/>
      <c r="CL1540" s="4"/>
      <c r="CM1540" s="4"/>
      <c r="CN1540" s="4"/>
      <c r="CO1540" s="4"/>
      <c r="CP1540" s="4"/>
      <c r="CQ1540" s="4"/>
      <c r="CR1540" s="4"/>
      <c r="CS1540" s="4"/>
      <c r="CT1540" s="4"/>
      <c r="CU1540" s="4"/>
      <c r="CV1540" s="4"/>
      <c r="CW1540" s="4"/>
      <c r="CX1540" s="4"/>
      <c r="CY1540" s="4"/>
      <c r="CZ1540" s="4"/>
      <c r="DA1540" s="4"/>
      <c r="DB1540" s="4"/>
      <c r="DC1540" s="4"/>
      <c r="DD1540" s="4"/>
      <c r="DE1540" s="4"/>
      <c r="DF1540" s="4"/>
      <c r="DG1540" s="4"/>
      <c r="DH1540" s="4"/>
      <c r="DI1540" s="4"/>
      <c r="DJ1540" s="4"/>
      <c r="DK1540" s="4"/>
      <c r="DL1540" s="4"/>
      <c r="DM1540" s="4"/>
      <c r="DN1540" s="4"/>
      <c r="DO1540" s="4"/>
      <c r="DP1540" s="4"/>
      <c r="DQ1540" s="4"/>
      <c r="DR1540" s="4"/>
      <c r="DS1540" s="4"/>
    </row>
    <row r="1541">
      <c r="A1541" s="9">
        <f>IFERROR(__xludf.DUMMYFUNCTION("""COMPUTED_VALUE"""),45924.0)</f>
        <v>45924</v>
      </c>
      <c r="B1541" s="6" t="str">
        <f>IFERROR(__xludf.DUMMYFUNCTION("""COMPUTED_VALUE"""),"Home Maintenance")</f>
        <v>Home Maintenance</v>
      </c>
      <c r="C1541" s="7">
        <f>IFERROR(__xludf.DUMMYFUNCTION("""COMPUTED_VALUE"""),29944.0)</f>
        <v>29944</v>
      </c>
      <c r="D1541" s="6" t="str">
        <f>IFERROR(__xludf.DUMMYFUNCTION("""COMPUTED_VALUE"""),"Basic Services")</f>
        <v>Basic Services</v>
      </c>
      <c r="E1541" s="6" t="str">
        <f>IFERROR(__xludf.DUMMYFUNCTION("""COMPUTED_VALUE"""),"Credit Card")</f>
        <v>Credit Card</v>
      </c>
      <c r="F1541" s="6" t="s">
        <v>13</v>
      </c>
      <c r="G1541" s="8" t="str">
        <f t="shared" si="1"/>
        <v>202509</v>
      </c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  <c r="AA1541" s="4"/>
      <c r="AB1541" s="4"/>
      <c r="AC1541" s="4"/>
      <c r="AD1541" s="4"/>
      <c r="AE1541" s="4"/>
      <c r="AF1541" s="4"/>
      <c r="AG1541" s="4"/>
      <c r="AH1541" s="4"/>
      <c r="AI1541" s="4"/>
      <c r="AJ1541" s="4"/>
      <c r="AK1541" s="4"/>
      <c r="AL1541" s="4"/>
      <c r="AM1541" s="4"/>
      <c r="AN1541" s="4"/>
      <c r="AO1541" s="4"/>
      <c r="AP1541" s="4"/>
      <c r="AQ1541" s="4"/>
      <c r="AR1541" s="4"/>
      <c r="AS1541" s="4"/>
      <c r="AT1541" s="4"/>
      <c r="AU1541" s="4"/>
      <c r="AV1541" s="4"/>
      <c r="AW1541" s="4"/>
      <c r="AX1541" s="4"/>
      <c r="AY1541" s="4"/>
      <c r="AZ1541" s="4"/>
      <c r="BA1541" s="4"/>
      <c r="BB1541" s="4"/>
      <c r="BC1541" s="4"/>
      <c r="BD1541" s="4"/>
      <c r="BE1541" s="4"/>
      <c r="BF1541" s="4"/>
      <c r="BG1541" s="4"/>
      <c r="BH1541" s="4"/>
      <c r="BI1541" s="4"/>
      <c r="BJ1541" s="4"/>
      <c r="BK1541" s="4"/>
      <c r="BL1541" s="4"/>
      <c r="BM1541" s="4"/>
      <c r="BN1541" s="4"/>
      <c r="BO1541" s="4"/>
      <c r="BP1541" s="4"/>
      <c r="BQ1541" s="4"/>
      <c r="BR1541" s="4"/>
      <c r="BS1541" s="4"/>
      <c r="BT1541" s="4"/>
      <c r="BU1541" s="4"/>
      <c r="BV1541" s="4"/>
      <c r="BW1541" s="4"/>
      <c r="BX1541" s="4"/>
      <c r="BY1541" s="4"/>
      <c r="BZ1541" s="4"/>
      <c r="CA1541" s="4"/>
      <c r="CB1541" s="4"/>
      <c r="CC1541" s="4"/>
      <c r="CD1541" s="4"/>
      <c r="CE1541" s="4"/>
      <c r="CF1541" s="4"/>
      <c r="CG1541" s="4"/>
      <c r="CH1541" s="4"/>
      <c r="CI1541" s="4"/>
      <c r="CJ1541" s="4"/>
      <c r="CK1541" s="4"/>
      <c r="CL1541" s="4"/>
      <c r="CM1541" s="4"/>
      <c r="CN1541" s="4"/>
      <c r="CO1541" s="4"/>
      <c r="CP1541" s="4"/>
      <c r="CQ1541" s="4"/>
      <c r="CR1541" s="4"/>
      <c r="CS1541" s="4"/>
      <c r="CT1541" s="4"/>
      <c r="CU1541" s="4"/>
      <c r="CV1541" s="4"/>
      <c r="CW1541" s="4"/>
      <c r="CX1541" s="4"/>
      <c r="CY1541" s="4"/>
      <c r="CZ1541" s="4"/>
      <c r="DA1541" s="4"/>
      <c r="DB1541" s="4"/>
      <c r="DC1541" s="4"/>
      <c r="DD1541" s="4"/>
      <c r="DE1541" s="4"/>
      <c r="DF1541" s="4"/>
      <c r="DG1541" s="4"/>
      <c r="DH1541" s="4"/>
      <c r="DI1541" s="4"/>
      <c r="DJ1541" s="4"/>
      <c r="DK1541" s="4"/>
      <c r="DL1541" s="4"/>
      <c r="DM1541" s="4"/>
      <c r="DN1541" s="4"/>
      <c r="DO1541" s="4"/>
      <c r="DP1541" s="4"/>
      <c r="DQ1541" s="4"/>
      <c r="DR1541" s="4"/>
      <c r="DS1541" s="4"/>
    </row>
    <row r="1542">
      <c r="A1542" s="9">
        <f>IFERROR(__xludf.DUMMYFUNCTION("""COMPUTED_VALUE"""),45924.0)</f>
        <v>45924</v>
      </c>
      <c r="B1542" s="6" t="str">
        <f>IFERROR(__xludf.DUMMYFUNCTION("""COMPUTED_VALUE"""),"Restaurant")</f>
        <v>Restaurant</v>
      </c>
      <c r="C1542" s="7">
        <f>IFERROR(__xludf.DUMMYFUNCTION("""COMPUTED_VALUE"""),9620.0)</f>
        <v>9620</v>
      </c>
      <c r="D1542" s="6" t="str">
        <f>IFERROR(__xludf.DUMMYFUNCTION("""COMPUTED_VALUE"""),"Restaurant / Café")</f>
        <v>Restaurant / Café</v>
      </c>
      <c r="E1542" s="6" t="str">
        <f>IFERROR(__xludf.DUMMYFUNCTION("""COMPUTED_VALUE"""),"Virtual Wallet")</f>
        <v>Virtual Wallet</v>
      </c>
      <c r="F1542" s="6" t="s">
        <v>14</v>
      </c>
      <c r="G1542" s="8" t="str">
        <f t="shared" si="1"/>
        <v>202509</v>
      </c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  <c r="AA1542" s="4"/>
      <c r="AB1542" s="4"/>
      <c r="AC1542" s="4"/>
      <c r="AD1542" s="4"/>
      <c r="AE1542" s="4"/>
      <c r="AF1542" s="4"/>
      <c r="AG1542" s="4"/>
      <c r="AH1542" s="4"/>
      <c r="AI1542" s="4"/>
      <c r="AJ1542" s="4"/>
      <c r="AK1542" s="4"/>
      <c r="AL1542" s="4"/>
      <c r="AM1542" s="4"/>
      <c r="AN1542" s="4"/>
      <c r="AO1542" s="4"/>
      <c r="AP1542" s="4"/>
      <c r="AQ1542" s="4"/>
      <c r="AR1542" s="4"/>
      <c r="AS1542" s="4"/>
      <c r="AT1542" s="4"/>
      <c r="AU1542" s="4"/>
      <c r="AV1542" s="4"/>
      <c r="AW1542" s="4"/>
      <c r="AX1542" s="4"/>
      <c r="AY1542" s="4"/>
      <c r="AZ1542" s="4"/>
      <c r="BA1542" s="4"/>
      <c r="BB1542" s="4"/>
      <c r="BC1542" s="4"/>
      <c r="BD1542" s="4"/>
      <c r="BE1542" s="4"/>
      <c r="BF1542" s="4"/>
      <c r="BG1542" s="4"/>
      <c r="BH1542" s="4"/>
      <c r="BI1542" s="4"/>
      <c r="BJ1542" s="4"/>
      <c r="BK1542" s="4"/>
      <c r="BL1542" s="4"/>
      <c r="BM1542" s="4"/>
      <c r="BN1542" s="4"/>
      <c r="BO1542" s="4"/>
      <c r="BP1542" s="4"/>
      <c r="BQ1542" s="4"/>
      <c r="BR1542" s="4"/>
      <c r="BS1542" s="4"/>
      <c r="BT1542" s="4"/>
      <c r="BU1542" s="4"/>
      <c r="BV1542" s="4"/>
      <c r="BW1542" s="4"/>
      <c r="BX1542" s="4"/>
      <c r="BY1542" s="4"/>
      <c r="BZ1542" s="4"/>
      <c r="CA1542" s="4"/>
      <c r="CB1542" s="4"/>
      <c r="CC1542" s="4"/>
      <c r="CD1542" s="4"/>
      <c r="CE1542" s="4"/>
      <c r="CF1542" s="4"/>
      <c r="CG1542" s="4"/>
      <c r="CH1542" s="4"/>
      <c r="CI1542" s="4"/>
      <c r="CJ1542" s="4"/>
      <c r="CK1542" s="4"/>
      <c r="CL1542" s="4"/>
      <c r="CM1542" s="4"/>
      <c r="CN1542" s="4"/>
      <c r="CO1542" s="4"/>
      <c r="CP1542" s="4"/>
      <c r="CQ1542" s="4"/>
      <c r="CR1542" s="4"/>
      <c r="CS1542" s="4"/>
      <c r="CT1542" s="4"/>
      <c r="CU1542" s="4"/>
      <c r="CV1542" s="4"/>
      <c r="CW1542" s="4"/>
      <c r="CX1542" s="4"/>
      <c r="CY1542" s="4"/>
      <c r="CZ1542" s="4"/>
      <c r="DA1542" s="4"/>
      <c r="DB1542" s="4"/>
      <c r="DC1542" s="4"/>
      <c r="DD1542" s="4"/>
      <c r="DE1542" s="4"/>
      <c r="DF1542" s="4"/>
      <c r="DG1542" s="4"/>
      <c r="DH1542" s="4"/>
      <c r="DI1542" s="4"/>
      <c r="DJ1542" s="4"/>
      <c r="DK1542" s="4"/>
      <c r="DL1542" s="4"/>
      <c r="DM1542" s="4"/>
      <c r="DN1542" s="4"/>
      <c r="DO1542" s="4"/>
      <c r="DP1542" s="4"/>
      <c r="DQ1542" s="4"/>
      <c r="DR1542" s="4"/>
      <c r="DS1542" s="4"/>
    </row>
    <row r="1543">
      <c r="A1543" s="9">
        <f>IFERROR(__xludf.DUMMYFUNCTION("""COMPUTED_VALUE"""),45924.0)</f>
        <v>45924</v>
      </c>
      <c r="B1543" s="6" t="str">
        <f>IFERROR(__xludf.DUMMYFUNCTION("""COMPUTED_VALUE"""),"Restaurant")</f>
        <v>Restaurant</v>
      </c>
      <c r="C1543" s="7">
        <f>IFERROR(__xludf.DUMMYFUNCTION("""COMPUTED_VALUE"""),2100.0)</f>
        <v>2100</v>
      </c>
      <c r="D1543" s="6" t="str">
        <f>IFERROR(__xludf.DUMMYFUNCTION("""COMPUTED_VALUE"""),"Groceries")</f>
        <v>Groceries</v>
      </c>
      <c r="E1543" s="6" t="str">
        <f>IFERROR(__xludf.DUMMYFUNCTION("""COMPUTED_VALUE"""),"Virtual Wallet")</f>
        <v>Virtual Wallet</v>
      </c>
      <c r="F1543" s="6" t="s">
        <v>7</v>
      </c>
      <c r="G1543" s="8" t="str">
        <f t="shared" si="1"/>
        <v>202509</v>
      </c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  <c r="AA1543" s="4"/>
      <c r="AB1543" s="4"/>
      <c r="AC1543" s="4"/>
      <c r="AD1543" s="4"/>
      <c r="AE1543" s="4"/>
      <c r="AF1543" s="4"/>
      <c r="AG1543" s="4"/>
      <c r="AH1543" s="4"/>
      <c r="AI1543" s="4"/>
      <c r="AJ1543" s="4"/>
      <c r="AK1543" s="4"/>
      <c r="AL1543" s="4"/>
      <c r="AM1543" s="4"/>
      <c r="AN1543" s="4"/>
      <c r="AO1543" s="4"/>
      <c r="AP1543" s="4"/>
      <c r="AQ1543" s="4"/>
      <c r="AR1543" s="4"/>
      <c r="AS1543" s="4"/>
      <c r="AT1543" s="4"/>
      <c r="AU1543" s="4"/>
      <c r="AV1543" s="4"/>
      <c r="AW1543" s="4"/>
      <c r="AX1543" s="4"/>
      <c r="AY1543" s="4"/>
      <c r="AZ1543" s="4"/>
      <c r="BA1543" s="4"/>
      <c r="BB1543" s="4"/>
      <c r="BC1543" s="4"/>
      <c r="BD1543" s="4"/>
      <c r="BE1543" s="4"/>
      <c r="BF1543" s="4"/>
      <c r="BG1543" s="4"/>
      <c r="BH1543" s="4"/>
      <c r="BI1543" s="4"/>
      <c r="BJ1543" s="4"/>
      <c r="BK1543" s="4"/>
      <c r="BL1543" s="4"/>
      <c r="BM1543" s="4"/>
      <c r="BN1543" s="4"/>
      <c r="BO1543" s="4"/>
      <c r="BP1543" s="4"/>
      <c r="BQ1543" s="4"/>
      <c r="BR1543" s="4"/>
      <c r="BS1543" s="4"/>
      <c r="BT1543" s="4"/>
      <c r="BU1543" s="4"/>
      <c r="BV1543" s="4"/>
      <c r="BW1543" s="4"/>
      <c r="BX1543" s="4"/>
      <c r="BY1543" s="4"/>
      <c r="BZ1543" s="4"/>
      <c r="CA1543" s="4"/>
      <c r="CB1543" s="4"/>
      <c r="CC1543" s="4"/>
      <c r="CD1543" s="4"/>
      <c r="CE1543" s="4"/>
      <c r="CF1543" s="4"/>
      <c r="CG1543" s="4"/>
      <c r="CH1543" s="4"/>
      <c r="CI1543" s="4"/>
      <c r="CJ1543" s="4"/>
      <c r="CK1543" s="4"/>
      <c r="CL1543" s="4"/>
      <c r="CM1543" s="4"/>
      <c r="CN1543" s="4"/>
      <c r="CO1543" s="4"/>
      <c r="CP1543" s="4"/>
      <c r="CQ1543" s="4"/>
      <c r="CR1543" s="4"/>
      <c r="CS1543" s="4"/>
      <c r="CT1543" s="4"/>
      <c r="CU1543" s="4"/>
      <c r="CV1543" s="4"/>
      <c r="CW1543" s="4"/>
      <c r="CX1543" s="4"/>
      <c r="CY1543" s="4"/>
      <c r="CZ1543" s="4"/>
      <c r="DA1543" s="4"/>
      <c r="DB1543" s="4"/>
      <c r="DC1543" s="4"/>
      <c r="DD1543" s="4"/>
      <c r="DE1543" s="4"/>
      <c r="DF1543" s="4"/>
      <c r="DG1543" s="4"/>
      <c r="DH1543" s="4"/>
      <c r="DI1543" s="4"/>
      <c r="DJ1543" s="4"/>
      <c r="DK1543" s="4"/>
      <c r="DL1543" s="4"/>
      <c r="DM1543" s="4"/>
      <c r="DN1543" s="4"/>
      <c r="DO1543" s="4"/>
      <c r="DP1543" s="4"/>
      <c r="DQ1543" s="4"/>
      <c r="DR1543" s="4"/>
      <c r="DS1543" s="4"/>
    </row>
    <row r="1544">
      <c r="A1544" s="9">
        <f>IFERROR(__xludf.DUMMYFUNCTION("""COMPUTED_VALUE"""),45924.0)</f>
        <v>45924</v>
      </c>
      <c r="B1544" s="6" t="str">
        <f>IFERROR(__xludf.DUMMYFUNCTION("""COMPUTED_VALUE"""),"Water Bill (AySA)")</f>
        <v>Water Bill (AySA)</v>
      </c>
      <c r="C1544" s="7">
        <f>IFERROR(__xludf.DUMMYFUNCTION("""COMPUTED_VALUE"""),13979.0)</f>
        <v>13979</v>
      </c>
      <c r="D1544" s="6" t="str">
        <f>IFERROR(__xludf.DUMMYFUNCTION("""COMPUTED_VALUE"""),"Basic Services")</f>
        <v>Basic Services</v>
      </c>
      <c r="E1544" s="6" t="str">
        <f>IFERROR(__xludf.DUMMYFUNCTION("""COMPUTED_VALUE"""),"Split Payment")</f>
        <v>Split Payment</v>
      </c>
      <c r="F1544" s="6" t="s">
        <v>13</v>
      </c>
      <c r="G1544" s="8" t="str">
        <f t="shared" si="1"/>
        <v>202509</v>
      </c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  <c r="AA1544" s="4"/>
      <c r="AB1544" s="4"/>
      <c r="AC1544" s="4"/>
      <c r="AD1544" s="4"/>
      <c r="AE1544" s="4"/>
      <c r="AF1544" s="4"/>
      <c r="AG1544" s="4"/>
      <c r="AH1544" s="4"/>
      <c r="AI1544" s="4"/>
      <c r="AJ1544" s="4"/>
      <c r="AK1544" s="4"/>
      <c r="AL1544" s="4"/>
      <c r="AM1544" s="4"/>
      <c r="AN1544" s="4"/>
      <c r="AO1544" s="4"/>
      <c r="AP1544" s="4"/>
      <c r="AQ1544" s="4"/>
      <c r="AR1544" s="4"/>
      <c r="AS1544" s="4"/>
      <c r="AT1544" s="4"/>
      <c r="AU1544" s="4"/>
      <c r="AV1544" s="4"/>
      <c r="AW1544" s="4"/>
      <c r="AX1544" s="4"/>
      <c r="AY1544" s="4"/>
      <c r="AZ1544" s="4"/>
      <c r="BA1544" s="4"/>
      <c r="BB1544" s="4"/>
      <c r="BC1544" s="4"/>
      <c r="BD1544" s="4"/>
      <c r="BE1544" s="4"/>
      <c r="BF1544" s="4"/>
      <c r="BG1544" s="4"/>
      <c r="BH1544" s="4"/>
      <c r="BI1544" s="4"/>
      <c r="BJ1544" s="4"/>
      <c r="BK1544" s="4"/>
      <c r="BL1544" s="4"/>
      <c r="BM1544" s="4"/>
      <c r="BN1544" s="4"/>
      <c r="BO1544" s="4"/>
      <c r="BP1544" s="4"/>
      <c r="BQ1544" s="4"/>
      <c r="BR1544" s="4"/>
      <c r="BS1544" s="4"/>
      <c r="BT1544" s="4"/>
      <c r="BU1544" s="4"/>
      <c r="BV1544" s="4"/>
      <c r="BW1544" s="4"/>
      <c r="BX1544" s="4"/>
      <c r="BY1544" s="4"/>
      <c r="BZ1544" s="4"/>
      <c r="CA1544" s="4"/>
      <c r="CB1544" s="4"/>
      <c r="CC1544" s="4"/>
      <c r="CD1544" s="4"/>
      <c r="CE1544" s="4"/>
      <c r="CF1544" s="4"/>
      <c r="CG1544" s="4"/>
      <c r="CH1544" s="4"/>
      <c r="CI1544" s="4"/>
      <c r="CJ1544" s="4"/>
      <c r="CK1544" s="4"/>
      <c r="CL1544" s="4"/>
      <c r="CM1544" s="4"/>
      <c r="CN1544" s="4"/>
      <c r="CO1544" s="4"/>
      <c r="CP1544" s="4"/>
      <c r="CQ1544" s="4"/>
      <c r="CR1544" s="4"/>
      <c r="CS1544" s="4"/>
      <c r="CT1544" s="4"/>
      <c r="CU1544" s="4"/>
      <c r="CV1544" s="4"/>
      <c r="CW1544" s="4"/>
      <c r="CX1544" s="4"/>
      <c r="CY1544" s="4"/>
      <c r="CZ1544" s="4"/>
      <c r="DA1544" s="4"/>
      <c r="DB1544" s="4"/>
      <c r="DC1544" s="4"/>
      <c r="DD1544" s="4"/>
      <c r="DE1544" s="4"/>
      <c r="DF1544" s="4"/>
      <c r="DG1544" s="4"/>
      <c r="DH1544" s="4"/>
      <c r="DI1544" s="4"/>
      <c r="DJ1544" s="4"/>
      <c r="DK1544" s="4"/>
      <c r="DL1544" s="4"/>
      <c r="DM1544" s="4"/>
      <c r="DN1544" s="4"/>
      <c r="DO1544" s="4"/>
      <c r="DP1544" s="4"/>
      <c r="DQ1544" s="4"/>
      <c r="DR1544" s="4"/>
      <c r="DS1544" s="4"/>
    </row>
    <row r="1545">
      <c r="A1545" s="9">
        <f>IFERROR(__xludf.DUMMYFUNCTION("""COMPUTED_VALUE"""),45925.0)</f>
        <v>45925</v>
      </c>
      <c r="B1545" s="6" t="str">
        <f>IFERROR(__xludf.DUMMYFUNCTION("""COMPUTED_VALUE"""),"Health Insurance")</f>
        <v>Health Insurance</v>
      </c>
      <c r="C1545" s="7">
        <f>IFERROR(__xludf.DUMMYFUNCTION("""COMPUTED_VALUE"""),11650.0)</f>
        <v>11650</v>
      </c>
      <c r="D1545" s="6" t="str">
        <f>IFERROR(__xludf.DUMMYFUNCTION("""COMPUTED_VALUE"""),"Healthcare")</f>
        <v>Healthcare</v>
      </c>
      <c r="E1545" s="6" t="str">
        <f>IFERROR(__xludf.DUMMYFUNCTION("""COMPUTED_VALUE"""),"Split Payment")</f>
        <v>Split Payment</v>
      </c>
      <c r="F1545" s="6" t="s">
        <v>15</v>
      </c>
      <c r="G1545" s="8" t="str">
        <f t="shared" si="1"/>
        <v>202509</v>
      </c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  <c r="AA1545" s="4"/>
      <c r="AB1545" s="4"/>
      <c r="AC1545" s="4"/>
      <c r="AD1545" s="4"/>
      <c r="AE1545" s="4"/>
      <c r="AF1545" s="4"/>
      <c r="AG1545" s="4"/>
      <c r="AH1545" s="4"/>
      <c r="AI1545" s="4"/>
      <c r="AJ1545" s="4"/>
      <c r="AK1545" s="4"/>
      <c r="AL1545" s="4"/>
      <c r="AM1545" s="4"/>
      <c r="AN1545" s="4"/>
      <c r="AO1545" s="4"/>
      <c r="AP1545" s="4"/>
      <c r="AQ1545" s="4"/>
      <c r="AR1545" s="4"/>
      <c r="AS1545" s="4"/>
      <c r="AT1545" s="4"/>
      <c r="AU1545" s="4"/>
      <c r="AV1545" s="4"/>
      <c r="AW1545" s="4"/>
      <c r="AX1545" s="4"/>
      <c r="AY1545" s="4"/>
      <c r="AZ1545" s="4"/>
      <c r="BA1545" s="4"/>
      <c r="BB1545" s="4"/>
      <c r="BC1545" s="4"/>
      <c r="BD1545" s="4"/>
      <c r="BE1545" s="4"/>
      <c r="BF1545" s="4"/>
      <c r="BG1545" s="4"/>
      <c r="BH1545" s="4"/>
      <c r="BI1545" s="4"/>
      <c r="BJ1545" s="4"/>
      <c r="BK1545" s="4"/>
      <c r="BL1545" s="4"/>
      <c r="BM1545" s="4"/>
      <c r="BN1545" s="4"/>
      <c r="BO1545" s="4"/>
      <c r="BP1545" s="4"/>
      <c r="BQ1545" s="4"/>
      <c r="BR1545" s="4"/>
      <c r="BS1545" s="4"/>
      <c r="BT1545" s="4"/>
      <c r="BU1545" s="4"/>
      <c r="BV1545" s="4"/>
      <c r="BW1545" s="4"/>
      <c r="BX1545" s="4"/>
      <c r="BY1545" s="4"/>
      <c r="BZ1545" s="4"/>
      <c r="CA1545" s="4"/>
      <c r="CB1545" s="4"/>
      <c r="CC1545" s="4"/>
      <c r="CD1545" s="4"/>
      <c r="CE1545" s="4"/>
      <c r="CF1545" s="4"/>
      <c r="CG1545" s="4"/>
      <c r="CH1545" s="4"/>
      <c r="CI1545" s="4"/>
      <c r="CJ1545" s="4"/>
      <c r="CK1545" s="4"/>
      <c r="CL1545" s="4"/>
      <c r="CM1545" s="4"/>
      <c r="CN1545" s="4"/>
      <c r="CO1545" s="4"/>
      <c r="CP1545" s="4"/>
      <c r="CQ1545" s="4"/>
      <c r="CR1545" s="4"/>
      <c r="CS1545" s="4"/>
      <c r="CT1545" s="4"/>
      <c r="CU1545" s="4"/>
      <c r="CV1545" s="4"/>
      <c r="CW1545" s="4"/>
      <c r="CX1545" s="4"/>
      <c r="CY1545" s="4"/>
      <c r="CZ1545" s="4"/>
      <c r="DA1545" s="4"/>
      <c r="DB1545" s="4"/>
      <c r="DC1545" s="4"/>
      <c r="DD1545" s="4"/>
      <c r="DE1545" s="4"/>
      <c r="DF1545" s="4"/>
      <c r="DG1545" s="4"/>
      <c r="DH1545" s="4"/>
      <c r="DI1545" s="4"/>
      <c r="DJ1545" s="4"/>
      <c r="DK1545" s="4"/>
      <c r="DL1545" s="4"/>
      <c r="DM1545" s="4"/>
      <c r="DN1545" s="4"/>
      <c r="DO1545" s="4"/>
      <c r="DP1545" s="4"/>
      <c r="DQ1545" s="4"/>
      <c r="DR1545" s="4"/>
      <c r="DS1545" s="4"/>
    </row>
    <row r="1546">
      <c r="A1546" s="9">
        <f>IFERROR(__xludf.DUMMYFUNCTION("""COMPUTED_VALUE"""),45926.0)</f>
        <v>45926</v>
      </c>
      <c r="B1546" s="6" t="str">
        <f>IFERROR(__xludf.DUMMYFUNCTION("""COMPUTED_VALUE"""),"Lunch Out")</f>
        <v>Lunch Out</v>
      </c>
      <c r="C1546" s="7">
        <f>IFERROR(__xludf.DUMMYFUNCTION("""COMPUTED_VALUE"""),42900.0)</f>
        <v>42900</v>
      </c>
      <c r="D1546" s="6" t="str">
        <f>IFERROR(__xludf.DUMMYFUNCTION("""COMPUTED_VALUE"""),"Restaurant / Café")</f>
        <v>Restaurant / Café</v>
      </c>
      <c r="E1546" s="6" t="str">
        <f>IFERROR(__xludf.DUMMYFUNCTION("""COMPUTED_VALUE"""),"Virtual Wallet")</f>
        <v>Virtual Wallet</v>
      </c>
      <c r="F1546" s="6" t="s">
        <v>14</v>
      </c>
      <c r="G1546" s="8" t="str">
        <f t="shared" si="1"/>
        <v>202509</v>
      </c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  <c r="AA1546" s="4"/>
      <c r="AB1546" s="4"/>
      <c r="AC1546" s="4"/>
      <c r="AD1546" s="4"/>
      <c r="AE1546" s="4"/>
      <c r="AF1546" s="4"/>
      <c r="AG1546" s="4"/>
      <c r="AH1546" s="4"/>
      <c r="AI1546" s="4"/>
      <c r="AJ1546" s="4"/>
      <c r="AK1546" s="4"/>
      <c r="AL1546" s="4"/>
      <c r="AM1546" s="4"/>
      <c r="AN1546" s="4"/>
      <c r="AO1546" s="4"/>
      <c r="AP1546" s="4"/>
      <c r="AQ1546" s="4"/>
      <c r="AR1546" s="4"/>
      <c r="AS1546" s="4"/>
      <c r="AT1546" s="4"/>
      <c r="AU1546" s="4"/>
      <c r="AV1546" s="4"/>
      <c r="AW1546" s="4"/>
      <c r="AX1546" s="4"/>
      <c r="AY1546" s="4"/>
      <c r="AZ1546" s="4"/>
      <c r="BA1546" s="4"/>
      <c r="BB1546" s="4"/>
      <c r="BC1546" s="4"/>
      <c r="BD1546" s="4"/>
      <c r="BE1546" s="4"/>
      <c r="BF1546" s="4"/>
      <c r="BG1546" s="4"/>
      <c r="BH1546" s="4"/>
      <c r="BI1546" s="4"/>
      <c r="BJ1546" s="4"/>
      <c r="BK1546" s="4"/>
      <c r="BL1546" s="4"/>
      <c r="BM1546" s="4"/>
      <c r="BN1546" s="4"/>
      <c r="BO1546" s="4"/>
      <c r="BP1546" s="4"/>
      <c r="BQ1546" s="4"/>
      <c r="BR1546" s="4"/>
      <c r="BS1546" s="4"/>
      <c r="BT1546" s="4"/>
      <c r="BU1546" s="4"/>
      <c r="BV1546" s="4"/>
      <c r="BW1546" s="4"/>
      <c r="BX1546" s="4"/>
      <c r="BY1546" s="4"/>
      <c r="BZ1546" s="4"/>
      <c r="CA1546" s="4"/>
      <c r="CB1546" s="4"/>
      <c r="CC1546" s="4"/>
      <c r="CD1546" s="4"/>
      <c r="CE1546" s="4"/>
      <c r="CF1546" s="4"/>
      <c r="CG1546" s="4"/>
      <c r="CH1546" s="4"/>
      <c r="CI1546" s="4"/>
      <c r="CJ1546" s="4"/>
      <c r="CK1546" s="4"/>
      <c r="CL1546" s="4"/>
      <c r="CM1546" s="4"/>
      <c r="CN1546" s="4"/>
      <c r="CO1546" s="4"/>
      <c r="CP1546" s="4"/>
      <c r="CQ1546" s="4"/>
      <c r="CR1546" s="4"/>
      <c r="CS1546" s="4"/>
      <c r="CT1546" s="4"/>
      <c r="CU1546" s="4"/>
      <c r="CV1546" s="4"/>
      <c r="CW1546" s="4"/>
      <c r="CX1546" s="4"/>
      <c r="CY1546" s="4"/>
      <c r="CZ1546" s="4"/>
      <c r="DA1546" s="4"/>
      <c r="DB1546" s="4"/>
      <c r="DC1546" s="4"/>
      <c r="DD1546" s="4"/>
      <c r="DE1546" s="4"/>
      <c r="DF1546" s="4"/>
      <c r="DG1546" s="4"/>
      <c r="DH1546" s="4"/>
      <c r="DI1546" s="4"/>
      <c r="DJ1546" s="4"/>
      <c r="DK1546" s="4"/>
      <c r="DL1546" s="4"/>
      <c r="DM1546" s="4"/>
      <c r="DN1546" s="4"/>
      <c r="DO1546" s="4"/>
      <c r="DP1546" s="4"/>
      <c r="DQ1546" s="4"/>
      <c r="DR1546" s="4"/>
      <c r="DS1546" s="4"/>
    </row>
    <row r="1547">
      <c r="A1547" s="9">
        <f>IFERROR(__xludf.DUMMYFUNCTION("""COMPUTED_VALUE"""),45927.0)</f>
        <v>45927</v>
      </c>
      <c r="B1547" s="6" t="str">
        <f>IFERROR(__xludf.DUMMYFUNCTION("""COMPUTED_VALUE"""),"Restaurant")</f>
        <v>Restaurant</v>
      </c>
      <c r="C1547" s="7">
        <f>IFERROR(__xludf.DUMMYFUNCTION("""COMPUTED_VALUE"""),16300.0)</f>
        <v>16300</v>
      </c>
      <c r="D1547" s="6" t="str">
        <f>IFERROR(__xludf.DUMMYFUNCTION("""COMPUTED_VALUE"""),"Restaurant / Café")</f>
        <v>Restaurant / Café</v>
      </c>
      <c r="E1547" s="6" t="str">
        <f>IFERROR(__xludf.DUMMYFUNCTION("""COMPUTED_VALUE"""),"Virtual Wallet")</f>
        <v>Virtual Wallet</v>
      </c>
      <c r="F1547" s="6" t="s">
        <v>14</v>
      </c>
      <c r="G1547" s="8" t="str">
        <f t="shared" si="1"/>
        <v>202509</v>
      </c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  <c r="AA1547" s="4"/>
      <c r="AB1547" s="4"/>
      <c r="AC1547" s="4"/>
      <c r="AD1547" s="4"/>
      <c r="AE1547" s="4"/>
      <c r="AF1547" s="4"/>
      <c r="AG1547" s="4"/>
      <c r="AH1547" s="4"/>
      <c r="AI1547" s="4"/>
      <c r="AJ1547" s="4"/>
      <c r="AK1547" s="4"/>
      <c r="AL1547" s="4"/>
      <c r="AM1547" s="4"/>
      <c r="AN1547" s="4"/>
      <c r="AO1547" s="4"/>
      <c r="AP1547" s="4"/>
      <c r="AQ1547" s="4"/>
      <c r="AR1547" s="4"/>
      <c r="AS1547" s="4"/>
      <c r="AT1547" s="4"/>
      <c r="AU1547" s="4"/>
      <c r="AV1547" s="4"/>
      <c r="AW1547" s="4"/>
      <c r="AX1547" s="4"/>
      <c r="AY1547" s="4"/>
      <c r="AZ1547" s="4"/>
      <c r="BA1547" s="4"/>
      <c r="BB1547" s="4"/>
      <c r="BC1547" s="4"/>
      <c r="BD1547" s="4"/>
      <c r="BE1547" s="4"/>
      <c r="BF1547" s="4"/>
      <c r="BG1547" s="4"/>
      <c r="BH1547" s="4"/>
      <c r="BI1547" s="4"/>
      <c r="BJ1547" s="4"/>
      <c r="BK1547" s="4"/>
      <c r="BL1547" s="4"/>
      <c r="BM1547" s="4"/>
      <c r="BN1547" s="4"/>
      <c r="BO1547" s="4"/>
      <c r="BP1547" s="4"/>
      <c r="BQ1547" s="4"/>
      <c r="BR1547" s="4"/>
      <c r="BS1547" s="4"/>
      <c r="BT1547" s="4"/>
      <c r="BU1547" s="4"/>
      <c r="BV1547" s="4"/>
      <c r="BW1547" s="4"/>
      <c r="BX1547" s="4"/>
      <c r="BY1547" s="4"/>
      <c r="BZ1547" s="4"/>
      <c r="CA1547" s="4"/>
      <c r="CB1547" s="4"/>
      <c r="CC1547" s="4"/>
      <c r="CD1547" s="4"/>
      <c r="CE1547" s="4"/>
      <c r="CF1547" s="4"/>
      <c r="CG1547" s="4"/>
      <c r="CH1547" s="4"/>
      <c r="CI1547" s="4"/>
      <c r="CJ1547" s="4"/>
      <c r="CK1547" s="4"/>
      <c r="CL1547" s="4"/>
      <c r="CM1547" s="4"/>
      <c r="CN1547" s="4"/>
      <c r="CO1547" s="4"/>
      <c r="CP1547" s="4"/>
      <c r="CQ1547" s="4"/>
      <c r="CR1547" s="4"/>
      <c r="CS1547" s="4"/>
      <c r="CT1547" s="4"/>
      <c r="CU1547" s="4"/>
      <c r="CV1547" s="4"/>
      <c r="CW1547" s="4"/>
      <c r="CX1547" s="4"/>
      <c r="CY1547" s="4"/>
      <c r="CZ1547" s="4"/>
      <c r="DA1547" s="4"/>
      <c r="DB1547" s="4"/>
      <c r="DC1547" s="4"/>
      <c r="DD1547" s="4"/>
      <c r="DE1547" s="4"/>
      <c r="DF1547" s="4"/>
      <c r="DG1547" s="4"/>
      <c r="DH1547" s="4"/>
      <c r="DI1547" s="4"/>
      <c r="DJ1547" s="4"/>
      <c r="DK1547" s="4"/>
      <c r="DL1547" s="4"/>
      <c r="DM1547" s="4"/>
      <c r="DN1547" s="4"/>
      <c r="DO1547" s="4"/>
      <c r="DP1547" s="4"/>
      <c r="DQ1547" s="4"/>
      <c r="DR1547" s="4"/>
      <c r="DS1547" s="4"/>
    </row>
    <row r="1548">
      <c r="A1548" s="9">
        <f>IFERROR(__xludf.DUMMYFUNCTION("""COMPUTED_VALUE"""),45927.0)</f>
        <v>45927</v>
      </c>
      <c r="B1548" s="6" t="str">
        <f>IFERROR(__xludf.DUMMYFUNCTION("""COMPUTED_VALUE"""),"Restaurant")</f>
        <v>Restaurant</v>
      </c>
      <c r="C1548" s="7">
        <f>IFERROR(__xludf.DUMMYFUNCTION("""COMPUTED_VALUE"""),3465.0)</f>
        <v>3465</v>
      </c>
      <c r="D1548" s="6" t="str">
        <f>IFERROR(__xludf.DUMMYFUNCTION("""COMPUTED_VALUE"""),"Restaurant / Café")</f>
        <v>Restaurant / Café</v>
      </c>
      <c r="E1548" s="6" t="str">
        <f>IFERROR(__xludf.DUMMYFUNCTION("""COMPUTED_VALUE"""),"Virtual Wallet")</f>
        <v>Virtual Wallet</v>
      </c>
      <c r="F1548" s="6" t="s">
        <v>14</v>
      </c>
      <c r="G1548" s="8" t="str">
        <f t="shared" si="1"/>
        <v>202509</v>
      </c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  <c r="AA1548" s="4"/>
      <c r="AB1548" s="4"/>
      <c r="AC1548" s="4"/>
      <c r="AD1548" s="4"/>
      <c r="AE1548" s="4"/>
      <c r="AF1548" s="4"/>
      <c r="AG1548" s="4"/>
      <c r="AH1548" s="4"/>
      <c r="AI1548" s="4"/>
      <c r="AJ1548" s="4"/>
      <c r="AK1548" s="4"/>
      <c r="AL1548" s="4"/>
      <c r="AM1548" s="4"/>
      <c r="AN1548" s="4"/>
      <c r="AO1548" s="4"/>
      <c r="AP1548" s="4"/>
      <c r="AQ1548" s="4"/>
      <c r="AR1548" s="4"/>
      <c r="AS1548" s="4"/>
      <c r="AT1548" s="4"/>
      <c r="AU1548" s="4"/>
      <c r="AV1548" s="4"/>
      <c r="AW1548" s="4"/>
      <c r="AX1548" s="4"/>
      <c r="AY1548" s="4"/>
      <c r="AZ1548" s="4"/>
      <c r="BA1548" s="4"/>
      <c r="BB1548" s="4"/>
      <c r="BC1548" s="4"/>
      <c r="BD1548" s="4"/>
      <c r="BE1548" s="4"/>
      <c r="BF1548" s="4"/>
      <c r="BG1548" s="4"/>
      <c r="BH1548" s="4"/>
      <c r="BI1548" s="4"/>
      <c r="BJ1548" s="4"/>
      <c r="BK1548" s="4"/>
      <c r="BL1548" s="4"/>
      <c r="BM1548" s="4"/>
      <c r="BN1548" s="4"/>
      <c r="BO1548" s="4"/>
      <c r="BP1548" s="4"/>
      <c r="BQ1548" s="4"/>
      <c r="BR1548" s="4"/>
      <c r="BS1548" s="4"/>
      <c r="BT1548" s="4"/>
      <c r="BU1548" s="4"/>
      <c r="BV1548" s="4"/>
      <c r="BW1548" s="4"/>
      <c r="BX1548" s="4"/>
      <c r="BY1548" s="4"/>
      <c r="BZ1548" s="4"/>
      <c r="CA1548" s="4"/>
      <c r="CB1548" s="4"/>
      <c r="CC1548" s="4"/>
      <c r="CD1548" s="4"/>
      <c r="CE1548" s="4"/>
      <c r="CF1548" s="4"/>
      <c r="CG1548" s="4"/>
      <c r="CH1548" s="4"/>
      <c r="CI1548" s="4"/>
      <c r="CJ1548" s="4"/>
      <c r="CK1548" s="4"/>
      <c r="CL1548" s="4"/>
      <c r="CM1548" s="4"/>
      <c r="CN1548" s="4"/>
      <c r="CO1548" s="4"/>
      <c r="CP1548" s="4"/>
      <c r="CQ1548" s="4"/>
      <c r="CR1548" s="4"/>
      <c r="CS1548" s="4"/>
      <c r="CT1548" s="4"/>
      <c r="CU1548" s="4"/>
      <c r="CV1548" s="4"/>
      <c r="CW1548" s="4"/>
      <c r="CX1548" s="4"/>
      <c r="CY1548" s="4"/>
      <c r="CZ1548" s="4"/>
      <c r="DA1548" s="4"/>
      <c r="DB1548" s="4"/>
      <c r="DC1548" s="4"/>
      <c r="DD1548" s="4"/>
      <c r="DE1548" s="4"/>
      <c r="DF1548" s="4"/>
      <c r="DG1548" s="4"/>
      <c r="DH1548" s="4"/>
      <c r="DI1548" s="4"/>
      <c r="DJ1548" s="4"/>
      <c r="DK1548" s="4"/>
      <c r="DL1548" s="4"/>
      <c r="DM1548" s="4"/>
      <c r="DN1548" s="4"/>
      <c r="DO1548" s="4"/>
      <c r="DP1548" s="4"/>
      <c r="DQ1548" s="4"/>
      <c r="DR1548" s="4"/>
      <c r="DS1548" s="4"/>
    </row>
    <row r="1549">
      <c r="A1549" s="9">
        <f>IFERROR(__xludf.DUMMYFUNCTION("""COMPUTED_VALUE"""),45928.0)</f>
        <v>45928</v>
      </c>
      <c r="B1549" s="6" t="str">
        <f>IFERROR(__xludf.DUMMYFUNCTION("""COMPUTED_VALUE"""),"Cab/Uber")</f>
        <v>Cab/Uber</v>
      </c>
      <c r="C1549" s="7">
        <f>IFERROR(__xludf.DUMMYFUNCTION("""COMPUTED_VALUE"""),10848.0)</f>
        <v>10848</v>
      </c>
      <c r="D1549" s="6" t="str">
        <f>IFERROR(__xludf.DUMMYFUNCTION("""COMPUTED_VALUE"""),"Transportation")</f>
        <v>Transportation</v>
      </c>
      <c r="E1549" s="6" t="str">
        <f>IFERROR(__xludf.DUMMYFUNCTION("""COMPUTED_VALUE"""),"Virtual Wallet")</f>
        <v>Virtual Wallet</v>
      </c>
      <c r="F1549" s="6" t="s">
        <v>9</v>
      </c>
      <c r="G1549" s="8" t="str">
        <f t="shared" si="1"/>
        <v>202509</v>
      </c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  <c r="AA1549" s="4"/>
      <c r="AB1549" s="4"/>
      <c r="AC1549" s="4"/>
      <c r="AD1549" s="4"/>
      <c r="AE1549" s="4"/>
      <c r="AF1549" s="4"/>
      <c r="AG1549" s="4"/>
      <c r="AH1549" s="4"/>
      <c r="AI1549" s="4"/>
      <c r="AJ1549" s="4"/>
      <c r="AK1549" s="4"/>
      <c r="AL1549" s="4"/>
      <c r="AM1549" s="4"/>
      <c r="AN1549" s="4"/>
      <c r="AO1549" s="4"/>
      <c r="AP1549" s="4"/>
      <c r="AQ1549" s="4"/>
      <c r="AR1549" s="4"/>
      <c r="AS1549" s="4"/>
      <c r="AT1549" s="4"/>
      <c r="AU1549" s="4"/>
      <c r="AV1549" s="4"/>
      <c r="AW1549" s="4"/>
      <c r="AX1549" s="4"/>
      <c r="AY1549" s="4"/>
      <c r="AZ1549" s="4"/>
      <c r="BA1549" s="4"/>
      <c r="BB1549" s="4"/>
      <c r="BC1549" s="4"/>
      <c r="BD1549" s="4"/>
      <c r="BE1549" s="4"/>
      <c r="BF1549" s="4"/>
      <c r="BG1549" s="4"/>
      <c r="BH1549" s="4"/>
      <c r="BI1549" s="4"/>
      <c r="BJ1549" s="4"/>
      <c r="BK1549" s="4"/>
      <c r="BL1549" s="4"/>
      <c r="BM1549" s="4"/>
      <c r="BN1549" s="4"/>
      <c r="BO1549" s="4"/>
      <c r="BP1549" s="4"/>
      <c r="BQ1549" s="4"/>
      <c r="BR1549" s="4"/>
      <c r="BS1549" s="4"/>
      <c r="BT1549" s="4"/>
      <c r="BU1549" s="4"/>
      <c r="BV1549" s="4"/>
      <c r="BW1549" s="4"/>
      <c r="BX1549" s="4"/>
      <c r="BY1549" s="4"/>
      <c r="BZ1549" s="4"/>
      <c r="CA1549" s="4"/>
      <c r="CB1549" s="4"/>
      <c r="CC1549" s="4"/>
      <c r="CD1549" s="4"/>
      <c r="CE1549" s="4"/>
      <c r="CF1549" s="4"/>
      <c r="CG1549" s="4"/>
      <c r="CH1549" s="4"/>
      <c r="CI1549" s="4"/>
      <c r="CJ1549" s="4"/>
      <c r="CK1549" s="4"/>
      <c r="CL1549" s="4"/>
      <c r="CM1549" s="4"/>
      <c r="CN1549" s="4"/>
      <c r="CO1549" s="4"/>
      <c r="CP1549" s="4"/>
      <c r="CQ1549" s="4"/>
      <c r="CR1549" s="4"/>
      <c r="CS1549" s="4"/>
      <c r="CT1549" s="4"/>
      <c r="CU1549" s="4"/>
      <c r="CV1549" s="4"/>
      <c r="CW1549" s="4"/>
      <c r="CX1549" s="4"/>
      <c r="CY1549" s="4"/>
      <c r="CZ1549" s="4"/>
      <c r="DA1549" s="4"/>
      <c r="DB1549" s="4"/>
      <c r="DC1549" s="4"/>
      <c r="DD1549" s="4"/>
      <c r="DE1549" s="4"/>
      <c r="DF1549" s="4"/>
      <c r="DG1549" s="4"/>
      <c r="DH1549" s="4"/>
      <c r="DI1549" s="4"/>
      <c r="DJ1549" s="4"/>
      <c r="DK1549" s="4"/>
      <c r="DL1549" s="4"/>
      <c r="DM1549" s="4"/>
      <c r="DN1549" s="4"/>
      <c r="DO1549" s="4"/>
      <c r="DP1549" s="4"/>
      <c r="DQ1549" s="4"/>
      <c r="DR1549" s="4"/>
      <c r="DS1549" s="4"/>
    </row>
    <row r="1550">
      <c r="A1550" s="9">
        <f>IFERROR(__xludf.DUMMYFUNCTION("""COMPUTED_VALUE"""),45928.0)</f>
        <v>45928</v>
      </c>
      <c r="B1550" s="6" t="str">
        <f>IFERROR(__xludf.DUMMYFUNCTION("""COMPUTED_VALUE"""),"Groceries")</f>
        <v>Groceries</v>
      </c>
      <c r="C1550" s="7">
        <f>IFERROR(__xludf.DUMMYFUNCTION("""COMPUTED_VALUE"""),8605.0)</f>
        <v>8605</v>
      </c>
      <c r="D1550" s="6" t="str">
        <f>IFERROR(__xludf.DUMMYFUNCTION("""COMPUTED_VALUE"""),"Groceries")</f>
        <v>Groceries</v>
      </c>
      <c r="E1550" s="6" t="str">
        <f>IFERROR(__xludf.DUMMYFUNCTION("""COMPUTED_VALUE"""),"Virtual Wallet")</f>
        <v>Virtual Wallet</v>
      </c>
      <c r="F1550" s="6" t="s">
        <v>7</v>
      </c>
      <c r="G1550" s="8" t="str">
        <f t="shared" si="1"/>
        <v>202509</v>
      </c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  <c r="AA1550" s="4"/>
      <c r="AB1550" s="4"/>
      <c r="AC1550" s="4"/>
      <c r="AD1550" s="4"/>
      <c r="AE1550" s="4"/>
      <c r="AF1550" s="4"/>
      <c r="AG1550" s="4"/>
      <c r="AH1550" s="4"/>
      <c r="AI1550" s="4"/>
      <c r="AJ1550" s="4"/>
      <c r="AK1550" s="4"/>
      <c r="AL1550" s="4"/>
      <c r="AM1550" s="4"/>
      <c r="AN1550" s="4"/>
      <c r="AO1550" s="4"/>
      <c r="AP1550" s="4"/>
      <c r="AQ1550" s="4"/>
      <c r="AR1550" s="4"/>
      <c r="AS1550" s="4"/>
      <c r="AT1550" s="4"/>
      <c r="AU1550" s="4"/>
      <c r="AV1550" s="4"/>
      <c r="AW1550" s="4"/>
      <c r="AX1550" s="4"/>
      <c r="AY1550" s="4"/>
      <c r="AZ1550" s="4"/>
      <c r="BA1550" s="4"/>
      <c r="BB1550" s="4"/>
      <c r="BC1550" s="4"/>
      <c r="BD1550" s="4"/>
      <c r="BE1550" s="4"/>
      <c r="BF1550" s="4"/>
      <c r="BG1550" s="4"/>
      <c r="BH1550" s="4"/>
      <c r="BI1550" s="4"/>
      <c r="BJ1550" s="4"/>
      <c r="BK1550" s="4"/>
      <c r="BL1550" s="4"/>
      <c r="BM1550" s="4"/>
      <c r="BN1550" s="4"/>
      <c r="BO1550" s="4"/>
      <c r="BP1550" s="4"/>
      <c r="BQ1550" s="4"/>
      <c r="BR1550" s="4"/>
      <c r="BS1550" s="4"/>
      <c r="BT1550" s="4"/>
      <c r="BU1550" s="4"/>
      <c r="BV1550" s="4"/>
      <c r="BW1550" s="4"/>
      <c r="BX1550" s="4"/>
      <c r="BY1550" s="4"/>
      <c r="BZ1550" s="4"/>
      <c r="CA1550" s="4"/>
      <c r="CB1550" s="4"/>
      <c r="CC1550" s="4"/>
      <c r="CD1550" s="4"/>
      <c r="CE1550" s="4"/>
      <c r="CF1550" s="4"/>
      <c r="CG1550" s="4"/>
      <c r="CH1550" s="4"/>
      <c r="CI1550" s="4"/>
      <c r="CJ1550" s="4"/>
      <c r="CK1550" s="4"/>
      <c r="CL1550" s="4"/>
      <c r="CM1550" s="4"/>
      <c r="CN1550" s="4"/>
      <c r="CO1550" s="4"/>
      <c r="CP1550" s="4"/>
      <c r="CQ1550" s="4"/>
      <c r="CR1550" s="4"/>
      <c r="CS1550" s="4"/>
      <c r="CT1550" s="4"/>
      <c r="CU1550" s="4"/>
      <c r="CV1550" s="4"/>
      <c r="CW1550" s="4"/>
      <c r="CX1550" s="4"/>
      <c r="CY1550" s="4"/>
      <c r="CZ1550" s="4"/>
      <c r="DA1550" s="4"/>
      <c r="DB1550" s="4"/>
      <c r="DC1550" s="4"/>
      <c r="DD1550" s="4"/>
      <c r="DE1550" s="4"/>
      <c r="DF1550" s="4"/>
      <c r="DG1550" s="4"/>
      <c r="DH1550" s="4"/>
      <c r="DI1550" s="4"/>
      <c r="DJ1550" s="4"/>
      <c r="DK1550" s="4"/>
      <c r="DL1550" s="4"/>
      <c r="DM1550" s="4"/>
      <c r="DN1550" s="4"/>
      <c r="DO1550" s="4"/>
      <c r="DP1550" s="4"/>
      <c r="DQ1550" s="4"/>
      <c r="DR1550" s="4"/>
      <c r="DS1550" s="4"/>
    </row>
    <row r="1551">
      <c r="A1551" s="9">
        <f>IFERROR(__xludf.DUMMYFUNCTION("""COMPUTED_VALUE"""),45928.0)</f>
        <v>45928</v>
      </c>
      <c r="B1551" s="6" t="str">
        <f>IFERROR(__xludf.DUMMYFUNCTION("""COMPUTED_VALUE"""),"Home Goods")</f>
        <v>Home Goods</v>
      </c>
      <c r="C1551" s="7">
        <f>IFERROR(__xludf.DUMMYFUNCTION("""COMPUTED_VALUE"""),8750.0)</f>
        <v>8750</v>
      </c>
      <c r="D1551" s="6" t="str">
        <f>IFERROR(__xludf.DUMMYFUNCTION("""COMPUTED_VALUE"""),"Home Goods &amp; Utilities")</f>
        <v>Home Goods &amp; Utilities</v>
      </c>
      <c r="E1551" s="6" t="str">
        <f>IFERROR(__xludf.DUMMYFUNCTION("""COMPUTED_VALUE"""),"Virtual Wallet")</f>
        <v>Virtual Wallet</v>
      </c>
      <c r="F1551" s="6" t="s">
        <v>8</v>
      </c>
      <c r="G1551" s="8" t="str">
        <f t="shared" si="1"/>
        <v>202509</v>
      </c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  <c r="AA1551" s="4"/>
      <c r="AB1551" s="4"/>
      <c r="AC1551" s="4"/>
      <c r="AD1551" s="4"/>
      <c r="AE1551" s="4"/>
      <c r="AF1551" s="4"/>
      <c r="AG1551" s="4"/>
      <c r="AH1551" s="4"/>
      <c r="AI1551" s="4"/>
      <c r="AJ1551" s="4"/>
      <c r="AK1551" s="4"/>
      <c r="AL1551" s="4"/>
      <c r="AM1551" s="4"/>
      <c r="AN1551" s="4"/>
      <c r="AO1551" s="4"/>
      <c r="AP1551" s="4"/>
      <c r="AQ1551" s="4"/>
      <c r="AR1551" s="4"/>
      <c r="AS1551" s="4"/>
      <c r="AT1551" s="4"/>
      <c r="AU1551" s="4"/>
      <c r="AV1551" s="4"/>
      <c r="AW1551" s="4"/>
      <c r="AX1551" s="4"/>
      <c r="AY1551" s="4"/>
      <c r="AZ1551" s="4"/>
      <c r="BA1551" s="4"/>
      <c r="BB1551" s="4"/>
      <c r="BC1551" s="4"/>
      <c r="BD1551" s="4"/>
      <c r="BE1551" s="4"/>
      <c r="BF1551" s="4"/>
      <c r="BG1551" s="4"/>
      <c r="BH1551" s="4"/>
      <c r="BI1551" s="4"/>
      <c r="BJ1551" s="4"/>
      <c r="BK1551" s="4"/>
      <c r="BL1551" s="4"/>
      <c r="BM1551" s="4"/>
      <c r="BN1551" s="4"/>
      <c r="BO1551" s="4"/>
      <c r="BP1551" s="4"/>
      <c r="BQ1551" s="4"/>
      <c r="BR1551" s="4"/>
      <c r="BS1551" s="4"/>
      <c r="BT1551" s="4"/>
      <c r="BU1551" s="4"/>
      <c r="BV1551" s="4"/>
      <c r="BW1551" s="4"/>
      <c r="BX1551" s="4"/>
      <c r="BY1551" s="4"/>
      <c r="BZ1551" s="4"/>
      <c r="CA1551" s="4"/>
      <c r="CB1551" s="4"/>
      <c r="CC1551" s="4"/>
      <c r="CD1551" s="4"/>
      <c r="CE1551" s="4"/>
      <c r="CF1551" s="4"/>
      <c r="CG1551" s="4"/>
      <c r="CH1551" s="4"/>
      <c r="CI1551" s="4"/>
      <c r="CJ1551" s="4"/>
      <c r="CK1551" s="4"/>
      <c r="CL1551" s="4"/>
      <c r="CM1551" s="4"/>
      <c r="CN1551" s="4"/>
      <c r="CO1551" s="4"/>
      <c r="CP1551" s="4"/>
      <c r="CQ1551" s="4"/>
      <c r="CR1551" s="4"/>
      <c r="CS1551" s="4"/>
      <c r="CT1551" s="4"/>
      <c r="CU1551" s="4"/>
      <c r="CV1551" s="4"/>
      <c r="CW1551" s="4"/>
      <c r="CX1551" s="4"/>
      <c r="CY1551" s="4"/>
      <c r="CZ1551" s="4"/>
      <c r="DA1551" s="4"/>
      <c r="DB1551" s="4"/>
      <c r="DC1551" s="4"/>
      <c r="DD1551" s="4"/>
      <c r="DE1551" s="4"/>
      <c r="DF1551" s="4"/>
      <c r="DG1551" s="4"/>
      <c r="DH1551" s="4"/>
      <c r="DI1551" s="4"/>
      <c r="DJ1551" s="4"/>
      <c r="DK1551" s="4"/>
      <c r="DL1551" s="4"/>
      <c r="DM1551" s="4"/>
      <c r="DN1551" s="4"/>
      <c r="DO1551" s="4"/>
      <c r="DP1551" s="4"/>
      <c r="DQ1551" s="4"/>
      <c r="DR1551" s="4"/>
      <c r="DS1551" s="4"/>
    </row>
    <row r="1552">
      <c r="A1552" s="9">
        <f>IFERROR(__xludf.DUMMYFUNCTION("""COMPUTED_VALUE"""),45929.0)</f>
        <v>45929</v>
      </c>
      <c r="B1552" s="6" t="str">
        <f>IFERROR(__xludf.DUMMYFUNCTION("""COMPUTED_VALUE"""),"Donation")</f>
        <v>Donation</v>
      </c>
      <c r="C1552" s="7">
        <f>IFERROR(__xludf.DUMMYFUNCTION("""COMPUTED_VALUE"""),5000.0)</f>
        <v>5000</v>
      </c>
      <c r="D1552" s="6" t="str">
        <f>IFERROR(__xludf.DUMMYFUNCTION("""COMPUTED_VALUE"""),"Donation")</f>
        <v>Donation</v>
      </c>
      <c r="E1552" s="6" t="str">
        <f>IFERROR(__xludf.DUMMYFUNCTION("""COMPUTED_VALUE"""),"Virtual Wallet")</f>
        <v>Virtual Wallet</v>
      </c>
      <c r="F1552" s="6"/>
      <c r="G1552" s="8" t="str">
        <f t="shared" si="1"/>
        <v>202509</v>
      </c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  <c r="AA1552" s="4"/>
      <c r="AB1552" s="4"/>
      <c r="AC1552" s="4"/>
      <c r="AD1552" s="4"/>
      <c r="AE1552" s="4"/>
      <c r="AF1552" s="4"/>
      <c r="AG1552" s="4"/>
      <c r="AH1552" s="4"/>
      <c r="AI1552" s="4"/>
      <c r="AJ1552" s="4"/>
      <c r="AK1552" s="4"/>
      <c r="AL1552" s="4"/>
      <c r="AM1552" s="4"/>
      <c r="AN1552" s="4"/>
      <c r="AO1552" s="4"/>
      <c r="AP1552" s="4"/>
      <c r="AQ1552" s="4"/>
      <c r="AR1552" s="4"/>
      <c r="AS1552" s="4"/>
      <c r="AT1552" s="4"/>
      <c r="AU1552" s="4"/>
      <c r="AV1552" s="4"/>
      <c r="AW1552" s="4"/>
      <c r="AX1552" s="4"/>
      <c r="AY1552" s="4"/>
      <c r="AZ1552" s="4"/>
      <c r="BA1552" s="4"/>
      <c r="BB1552" s="4"/>
      <c r="BC1552" s="4"/>
      <c r="BD1552" s="4"/>
      <c r="BE1552" s="4"/>
      <c r="BF1552" s="4"/>
      <c r="BG1552" s="4"/>
      <c r="BH1552" s="4"/>
      <c r="BI1552" s="4"/>
      <c r="BJ1552" s="4"/>
      <c r="BK1552" s="4"/>
      <c r="BL1552" s="4"/>
      <c r="BM1552" s="4"/>
      <c r="BN1552" s="4"/>
      <c r="BO1552" s="4"/>
      <c r="BP1552" s="4"/>
      <c r="BQ1552" s="4"/>
      <c r="BR1552" s="4"/>
      <c r="BS1552" s="4"/>
      <c r="BT1552" s="4"/>
      <c r="BU1552" s="4"/>
      <c r="BV1552" s="4"/>
      <c r="BW1552" s="4"/>
      <c r="BX1552" s="4"/>
      <c r="BY1552" s="4"/>
      <c r="BZ1552" s="4"/>
      <c r="CA1552" s="4"/>
      <c r="CB1552" s="4"/>
      <c r="CC1552" s="4"/>
      <c r="CD1552" s="4"/>
      <c r="CE1552" s="4"/>
      <c r="CF1552" s="4"/>
      <c r="CG1552" s="4"/>
      <c r="CH1552" s="4"/>
      <c r="CI1552" s="4"/>
      <c r="CJ1552" s="4"/>
      <c r="CK1552" s="4"/>
      <c r="CL1552" s="4"/>
      <c r="CM1552" s="4"/>
      <c r="CN1552" s="4"/>
      <c r="CO1552" s="4"/>
      <c r="CP1552" s="4"/>
      <c r="CQ1552" s="4"/>
      <c r="CR1552" s="4"/>
      <c r="CS1552" s="4"/>
      <c r="CT1552" s="4"/>
      <c r="CU1552" s="4"/>
      <c r="CV1552" s="4"/>
      <c r="CW1552" s="4"/>
      <c r="CX1552" s="4"/>
      <c r="CY1552" s="4"/>
      <c r="CZ1552" s="4"/>
      <c r="DA1552" s="4"/>
      <c r="DB1552" s="4"/>
      <c r="DC1552" s="4"/>
      <c r="DD1552" s="4"/>
      <c r="DE1552" s="4"/>
      <c r="DF1552" s="4"/>
      <c r="DG1552" s="4"/>
      <c r="DH1552" s="4"/>
      <c r="DI1552" s="4"/>
      <c r="DJ1552" s="4"/>
      <c r="DK1552" s="4"/>
      <c r="DL1552" s="4"/>
      <c r="DM1552" s="4"/>
      <c r="DN1552" s="4"/>
      <c r="DO1552" s="4"/>
      <c r="DP1552" s="4"/>
      <c r="DQ1552" s="4"/>
      <c r="DR1552" s="4"/>
      <c r="DS1552" s="4"/>
    </row>
    <row r="1553">
      <c r="A1553" s="9">
        <f>IFERROR(__xludf.DUMMYFUNCTION("""COMPUTED_VALUE"""),45930.0)</f>
        <v>45930</v>
      </c>
      <c r="B1553" s="6" t="str">
        <f>IFERROR(__xludf.DUMMYFUNCTION("""COMPUTED_VALUE"""),"Car Insurance")</f>
        <v>Car Insurance</v>
      </c>
      <c r="C1553" s="7">
        <f>IFERROR(__xludf.DUMMYFUNCTION("""COMPUTED_VALUE"""),33208.0)</f>
        <v>33208</v>
      </c>
      <c r="D1553" s="6" t="str">
        <f>IFERROR(__xludf.DUMMYFUNCTION("""COMPUTED_VALUE"""),"Car Expenses")</f>
        <v>Car Expenses</v>
      </c>
      <c r="E1553" s="6" t="str">
        <f>IFERROR(__xludf.DUMMYFUNCTION("""COMPUTED_VALUE"""),"Split Payment")</f>
        <v>Split Payment</v>
      </c>
      <c r="F1553" s="6" t="s">
        <v>9</v>
      </c>
      <c r="G1553" s="8" t="str">
        <f t="shared" si="1"/>
        <v>202509</v>
      </c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  <c r="AA1553" s="4"/>
      <c r="AB1553" s="4"/>
      <c r="AC1553" s="4"/>
      <c r="AD1553" s="4"/>
      <c r="AE1553" s="4"/>
      <c r="AF1553" s="4"/>
      <c r="AG1553" s="4"/>
      <c r="AH1553" s="4"/>
      <c r="AI1553" s="4"/>
      <c r="AJ1553" s="4"/>
      <c r="AK1553" s="4"/>
      <c r="AL1553" s="4"/>
      <c r="AM1553" s="4"/>
      <c r="AN1553" s="4"/>
      <c r="AO1553" s="4"/>
      <c r="AP1553" s="4"/>
      <c r="AQ1553" s="4"/>
      <c r="AR1553" s="4"/>
      <c r="AS1553" s="4"/>
      <c r="AT1553" s="4"/>
      <c r="AU1553" s="4"/>
      <c r="AV1553" s="4"/>
      <c r="AW1553" s="4"/>
      <c r="AX1553" s="4"/>
      <c r="AY1553" s="4"/>
      <c r="AZ1553" s="4"/>
      <c r="BA1553" s="4"/>
      <c r="BB1553" s="4"/>
      <c r="BC1553" s="4"/>
      <c r="BD1553" s="4"/>
      <c r="BE1553" s="4"/>
      <c r="BF1553" s="4"/>
      <c r="BG1553" s="4"/>
      <c r="BH1553" s="4"/>
      <c r="BI1553" s="4"/>
      <c r="BJ1553" s="4"/>
      <c r="BK1553" s="4"/>
      <c r="BL1553" s="4"/>
      <c r="BM1553" s="4"/>
      <c r="BN1553" s="4"/>
      <c r="BO1553" s="4"/>
      <c r="BP1553" s="4"/>
      <c r="BQ1553" s="4"/>
      <c r="BR1553" s="4"/>
      <c r="BS1553" s="4"/>
      <c r="BT1553" s="4"/>
      <c r="BU1553" s="4"/>
      <c r="BV1553" s="4"/>
      <c r="BW1553" s="4"/>
      <c r="BX1553" s="4"/>
      <c r="BY1553" s="4"/>
      <c r="BZ1553" s="4"/>
      <c r="CA1553" s="4"/>
      <c r="CB1553" s="4"/>
      <c r="CC1553" s="4"/>
      <c r="CD1553" s="4"/>
      <c r="CE1553" s="4"/>
      <c r="CF1553" s="4"/>
      <c r="CG1553" s="4"/>
      <c r="CH1553" s="4"/>
      <c r="CI1553" s="4"/>
      <c r="CJ1553" s="4"/>
      <c r="CK1553" s="4"/>
      <c r="CL1553" s="4"/>
      <c r="CM1553" s="4"/>
      <c r="CN1553" s="4"/>
      <c r="CO1553" s="4"/>
      <c r="CP1553" s="4"/>
      <c r="CQ1553" s="4"/>
      <c r="CR1553" s="4"/>
      <c r="CS1553" s="4"/>
      <c r="CT1553" s="4"/>
      <c r="CU1553" s="4"/>
      <c r="CV1553" s="4"/>
      <c r="CW1553" s="4"/>
      <c r="CX1553" s="4"/>
      <c r="CY1553" s="4"/>
      <c r="CZ1553" s="4"/>
      <c r="DA1553" s="4"/>
      <c r="DB1553" s="4"/>
      <c r="DC1553" s="4"/>
      <c r="DD1553" s="4"/>
      <c r="DE1553" s="4"/>
      <c r="DF1553" s="4"/>
      <c r="DG1553" s="4"/>
      <c r="DH1553" s="4"/>
      <c r="DI1553" s="4"/>
      <c r="DJ1553" s="4"/>
      <c r="DK1553" s="4"/>
      <c r="DL1553" s="4"/>
      <c r="DM1553" s="4"/>
      <c r="DN1553" s="4"/>
      <c r="DO1553" s="4"/>
      <c r="DP1553" s="4"/>
      <c r="DQ1553" s="4"/>
      <c r="DR1553" s="4"/>
      <c r="DS1553" s="4"/>
    </row>
    <row r="1554">
      <c r="A1554" s="9">
        <f>IFERROR(__xludf.DUMMYFUNCTION("""COMPUTED_VALUE"""),45930.0)</f>
        <v>45930</v>
      </c>
      <c r="B1554" s="6" t="str">
        <f>IFERROR(__xludf.DUMMYFUNCTION("""COMPUTED_VALUE"""),"Restaurant")</f>
        <v>Restaurant</v>
      </c>
      <c r="C1554" s="7">
        <f>IFERROR(__xludf.DUMMYFUNCTION("""COMPUTED_VALUE"""),18480.0)</f>
        <v>18480</v>
      </c>
      <c r="D1554" s="6" t="str">
        <f>IFERROR(__xludf.DUMMYFUNCTION("""COMPUTED_VALUE"""),"Restaurant / Café")</f>
        <v>Restaurant / Café</v>
      </c>
      <c r="E1554" s="6" t="str">
        <f>IFERROR(__xludf.DUMMYFUNCTION("""COMPUTED_VALUE"""),"Virtual Wallet")</f>
        <v>Virtual Wallet</v>
      </c>
      <c r="F1554" s="6" t="s">
        <v>14</v>
      </c>
      <c r="G1554" s="8" t="str">
        <f t="shared" si="1"/>
        <v>202509</v>
      </c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  <c r="AA1554" s="4"/>
      <c r="AB1554" s="4"/>
      <c r="AC1554" s="4"/>
      <c r="AD1554" s="4"/>
      <c r="AE1554" s="4"/>
      <c r="AF1554" s="4"/>
      <c r="AG1554" s="4"/>
      <c r="AH1554" s="4"/>
      <c r="AI1554" s="4"/>
      <c r="AJ1554" s="4"/>
      <c r="AK1554" s="4"/>
      <c r="AL1554" s="4"/>
      <c r="AM1554" s="4"/>
      <c r="AN1554" s="4"/>
      <c r="AO1554" s="4"/>
      <c r="AP1554" s="4"/>
      <c r="AQ1554" s="4"/>
      <c r="AR1554" s="4"/>
      <c r="AS1554" s="4"/>
      <c r="AT1554" s="4"/>
      <c r="AU1554" s="4"/>
      <c r="AV1554" s="4"/>
      <c r="AW1554" s="4"/>
      <c r="AX1554" s="4"/>
      <c r="AY1554" s="4"/>
      <c r="AZ1554" s="4"/>
      <c r="BA1554" s="4"/>
      <c r="BB1554" s="4"/>
      <c r="BC1554" s="4"/>
      <c r="BD1554" s="4"/>
      <c r="BE1554" s="4"/>
      <c r="BF1554" s="4"/>
      <c r="BG1554" s="4"/>
      <c r="BH1554" s="4"/>
      <c r="BI1554" s="4"/>
      <c r="BJ1554" s="4"/>
      <c r="BK1554" s="4"/>
      <c r="BL1554" s="4"/>
      <c r="BM1554" s="4"/>
      <c r="BN1554" s="4"/>
      <c r="BO1554" s="4"/>
      <c r="BP1554" s="4"/>
      <c r="BQ1554" s="4"/>
      <c r="BR1554" s="4"/>
      <c r="BS1554" s="4"/>
      <c r="BT1554" s="4"/>
      <c r="BU1554" s="4"/>
      <c r="BV1554" s="4"/>
      <c r="BW1554" s="4"/>
      <c r="BX1554" s="4"/>
      <c r="BY1554" s="4"/>
      <c r="BZ1554" s="4"/>
      <c r="CA1554" s="4"/>
      <c r="CB1554" s="4"/>
      <c r="CC1554" s="4"/>
      <c r="CD1554" s="4"/>
      <c r="CE1554" s="4"/>
      <c r="CF1554" s="4"/>
      <c r="CG1554" s="4"/>
      <c r="CH1554" s="4"/>
      <c r="CI1554" s="4"/>
      <c r="CJ1554" s="4"/>
      <c r="CK1554" s="4"/>
      <c r="CL1554" s="4"/>
      <c r="CM1554" s="4"/>
      <c r="CN1554" s="4"/>
      <c r="CO1554" s="4"/>
      <c r="CP1554" s="4"/>
      <c r="CQ1554" s="4"/>
      <c r="CR1554" s="4"/>
      <c r="CS1554" s="4"/>
      <c r="CT1554" s="4"/>
      <c r="CU1554" s="4"/>
      <c r="CV1554" s="4"/>
      <c r="CW1554" s="4"/>
      <c r="CX1554" s="4"/>
      <c r="CY1554" s="4"/>
      <c r="CZ1554" s="4"/>
      <c r="DA1554" s="4"/>
      <c r="DB1554" s="4"/>
      <c r="DC1554" s="4"/>
      <c r="DD1554" s="4"/>
      <c r="DE1554" s="4"/>
      <c r="DF1554" s="4"/>
      <c r="DG1554" s="4"/>
      <c r="DH1554" s="4"/>
      <c r="DI1554" s="4"/>
      <c r="DJ1554" s="4"/>
      <c r="DK1554" s="4"/>
      <c r="DL1554" s="4"/>
      <c r="DM1554" s="4"/>
      <c r="DN1554" s="4"/>
      <c r="DO1554" s="4"/>
      <c r="DP1554" s="4"/>
      <c r="DQ1554" s="4"/>
      <c r="DR1554" s="4"/>
      <c r="DS1554" s="4"/>
    </row>
    <row r="1555">
      <c r="A1555" s="5">
        <f>IFERROR(__xludf.DUMMYFUNCTION("""COMPUTED_VALUE"""),45931.0)</f>
        <v>45931</v>
      </c>
      <c r="B1555" s="6" t="str">
        <f>IFERROR(__xludf.DUMMYFUNCTION("""COMPUTED_VALUE"""),"Gift")</f>
        <v>Gift</v>
      </c>
      <c r="C1555" s="7">
        <f>IFERROR(__xludf.DUMMYFUNCTION("""COMPUTED_VALUE"""),11667.0)</f>
        <v>11667</v>
      </c>
      <c r="D1555" s="6" t="str">
        <f>IFERROR(__xludf.DUMMYFUNCTION("""COMPUTED_VALUE"""),"Gifts")</f>
        <v>Gifts</v>
      </c>
      <c r="E1555" s="6" t="str">
        <f>IFERROR(__xludf.DUMMYFUNCTION("""COMPUTED_VALUE"""),"Credit Card")</f>
        <v>Credit Card</v>
      </c>
      <c r="F1555" s="6"/>
      <c r="G1555" s="8" t="str">
        <f t="shared" si="1"/>
        <v>202510</v>
      </c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  <c r="AA1555" s="4"/>
      <c r="AB1555" s="4"/>
      <c r="AC1555" s="4"/>
      <c r="AD1555" s="4"/>
      <c r="AE1555" s="4"/>
      <c r="AF1555" s="4"/>
      <c r="AG1555" s="4"/>
      <c r="AH1555" s="4"/>
      <c r="AI1555" s="4"/>
      <c r="AJ1555" s="4"/>
      <c r="AK1555" s="4"/>
      <c r="AL1555" s="4"/>
      <c r="AM1555" s="4"/>
      <c r="AN1555" s="4"/>
      <c r="AO1555" s="4"/>
      <c r="AP1555" s="4"/>
      <c r="AQ1555" s="4"/>
      <c r="AR1555" s="4"/>
      <c r="AS1555" s="4"/>
      <c r="AT1555" s="4"/>
      <c r="AU1555" s="4"/>
      <c r="AV1555" s="4"/>
      <c r="AW1555" s="4"/>
      <c r="AX1555" s="4"/>
      <c r="AY1555" s="4"/>
      <c r="AZ1555" s="4"/>
      <c r="BA1555" s="4"/>
      <c r="BB1555" s="4"/>
      <c r="BC1555" s="4"/>
      <c r="BD1555" s="4"/>
      <c r="BE1555" s="4"/>
      <c r="BF1555" s="4"/>
      <c r="BG1555" s="4"/>
      <c r="BH1555" s="4"/>
      <c r="BI1555" s="4"/>
      <c r="BJ1555" s="4"/>
      <c r="BK1555" s="4"/>
      <c r="BL1555" s="4"/>
      <c r="BM1555" s="4"/>
      <c r="BN1555" s="4"/>
      <c r="BO1555" s="4"/>
      <c r="BP1555" s="4"/>
      <c r="BQ1555" s="4"/>
      <c r="BR1555" s="4"/>
      <c r="BS1555" s="4"/>
      <c r="BT1555" s="4"/>
      <c r="BU1555" s="4"/>
      <c r="BV1555" s="4"/>
      <c r="BW1555" s="4"/>
      <c r="BX1555" s="4"/>
      <c r="BY1555" s="4"/>
      <c r="BZ1555" s="4"/>
      <c r="CA1555" s="4"/>
      <c r="CB1555" s="4"/>
      <c r="CC1555" s="4"/>
      <c r="CD1555" s="4"/>
      <c r="CE1555" s="4"/>
      <c r="CF1555" s="4"/>
      <c r="CG1555" s="4"/>
      <c r="CH1555" s="4"/>
      <c r="CI1555" s="4"/>
      <c r="CJ1555" s="4"/>
      <c r="CK1555" s="4"/>
      <c r="CL1555" s="4"/>
      <c r="CM1555" s="4"/>
      <c r="CN1555" s="4"/>
      <c r="CO1555" s="4"/>
      <c r="CP1555" s="4"/>
      <c r="CQ1555" s="4"/>
      <c r="CR1555" s="4"/>
      <c r="CS1555" s="4"/>
      <c r="CT1555" s="4"/>
      <c r="CU1555" s="4"/>
      <c r="CV1555" s="4"/>
      <c r="CW1555" s="4"/>
      <c r="CX1555" s="4"/>
      <c r="CY1555" s="4"/>
      <c r="CZ1555" s="4"/>
      <c r="DA1555" s="4"/>
      <c r="DB1555" s="4"/>
      <c r="DC1555" s="4"/>
      <c r="DD1555" s="4"/>
      <c r="DE1555" s="4"/>
      <c r="DF1555" s="4"/>
      <c r="DG1555" s="4"/>
      <c r="DH1555" s="4"/>
      <c r="DI1555" s="4"/>
      <c r="DJ1555" s="4"/>
      <c r="DK1555" s="4"/>
      <c r="DL1555" s="4"/>
      <c r="DM1555" s="4"/>
      <c r="DN1555" s="4"/>
      <c r="DO1555" s="4"/>
      <c r="DP1555" s="4"/>
      <c r="DQ1555" s="4"/>
      <c r="DR1555" s="4"/>
      <c r="DS1555" s="4"/>
    </row>
    <row r="1556">
      <c r="A1556" s="5">
        <f>IFERROR(__xludf.DUMMYFUNCTION("""COMPUTED_VALUE"""),45931.0)</f>
        <v>45931</v>
      </c>
      <c r="B1556" s="6" t="str">
        <f>IFERROR(__xludf.DUMMYFUNCTION("""COMPUTED_VALUE"""),"Education")</f>
        <v>Education</v>
      </c>
      <c r="C1556" s="7">
        <f>IFERROR(__xludf.DUMMYFUNCTION("""COMPUTED_VALUE"""),20000.0)</f>
        <v>20000</v>
      </c>
      <c r="D1556" s="6" t="str">
        <f>IFERROR(__xludf.DUMMYFUNCTION("""COMPUTED_VALUE"""),"Education")</f>
        <v>Education</v>
      </c>
      <c r="E1556" s="6" t="str">
        <f>IFERROR(__xludf.DUMMYFUNCTION("""COMPUTED_VALUE"""),"Credit Card")</f>
        <v>Credit Card</v>
      </c>
      <c r="F1556" s="6" t="s">
        <v>11</v>
      </c>
      <c r="G1556" s="8" t="str">
        <f t="shared" si="1"/>
        <v>202510</v>
      </c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  <c r="AA1556" s="4"/>
      <c r="AB1556" s="4"/>
      <c r="AC1556" s="4"/>
      <c r="AD1556" s="4"/>
      <c r="AE1556" s="4"/>
      <c r="AF1556" s="4"/>
      <c r="AG1556" s="4"/>
      <c r="AH1556" s="4"/>
      <c r="AI1556" s="4"/>
      <c r="AJ1556" s="4"/>
      <c r="AK1556" s="4"/>
      <c r="AL1556" s="4"/>
      <c r="AM1556" s="4"/>
      <c r="AN1556" s="4"/>
      <c r="AO1556" s="4"/>
      <c r="AP1556" s="4"/>
      <c r="AQ1556" s="4"/>
      <c r="AR1556" s="4"/>
      <c r="AS1556" s="4"/>
      <c r="AT1556" s="4"/>
      <c r="AU1556" s="4"/>
      <c r="AV1556" s="4"/>
      <c r="AW1556" s="4"/>
      <c r="AX1556" s="4"/>
      <c r="AY1556" s="4"/>
      <c r="AZ1556" s="4"/>
      <c r="BA1556" s="4"/>
      <c r="BB1556" s="4"/>
      <c r="BC1556" s="4"/>
      <c r="BD1556" s="4"/>
      <c r="BE1556" s="4"/>
      <c r="BF1556" s="4"/>
      <c r="BG1556" s="4"/>
      <c r="BH1556" s="4"/>
      <c r="BI1556" s="4"/>
      <c r="BJ1556" s="4"/>
      <c r="BK1556" s="4"/>
      <c r="BL1556" s="4"/>
      <c r="BM1556" s="4"/>
      <c r="BN1556" s="4"/>
      <c r="BO1556" s="4"/>
      <c r="BP1556" s="4"/>
      <c r="BQ1556" s="4"/>
      <c r="BR1556" s="4"/>
      <c r="BS1556" s="4"/>
      <c r="BT1556" s="4"/>
      <c r="BU1556" s="4"/>
      <c r="BV1556" s="4"/>
      <c r="BW1556" s="4"/>
      <c r="BX1556" s="4"/>
      <c r="BY1556" s="4"/>
      <c r="BZ1556" s="4"/>
      <c r="CA1556" s="4"/>
      <c r="CB1556" s="4"/>
      <c r="CC1556" s="4"/>
      <c r="CD1556" s="4"/>
      <c r="CE1556" s="4"/>
      <c r="CF1556" s="4"/>
      <c r="CG1556" s="4"/>
      <c r="CH1556" s="4"/>
      <c r="CI1556" s="4"/>
      <c r="CJ1556" s="4"/>
      <c r="CK1556" s="4"/>
      <c r="CL1556" s="4"/>
      <c r="CM1556" s="4"/>
      <c r="CN1556" s="4"/>
      <c r="CO1556" s="4"/>
      <c r="CP1556" s="4"/>
      <c r="CQ1556" s="4"/>
      <c r="CR1556" s="4"/>
      <c r="CS1556" s="4"/>
      <c r="CT1556" s="4"/>
      <c r="CU1556" s="4"/>
      <c r="CV1556" s="4"/>
      <c r="CW1556" s="4"/>
      <c r="CX1556" s="4"/>
      <c r="CY1556" s="4"/>
      <c r="CZ1556" s="4"/>
      <c r="DA1556" s="4"/>
      <c r="DB1556" s="4"/>
      <c r="DC1556" s="4"/>
      <c r="DD1556" s="4"/>
      <c r="DE1556" s="4"/>
      <c r="DF1556" s="4"/>
      <c r="DG1556" s="4"/>
      <c r="DH1556" s="4"/>
      <c r="DI1556" s="4"/>
      <c r="DJ1556" s="4"/>
      <c r="DK1556" s="4"/>
      <c r="DL1556" s="4"/>
      <c r="DM1556" s="4"/>
      <c r="DN1556" s="4"/>
      <c r="DO1556" s="4"/>
      <c r="DP1556" s="4"/>
      <c r="DQ1556" s="4"/>
      <c r="DR1556" s="4"/>
      <c r="DS1556" s="4"/>
    </row>
    <row r="1557">
      <c r="A1557" s="5">
        <f>IFERROR(__xludf.DUMMYFUNCTION("""COMPUTED_VALUE"""),45931.0)</f>
        <v>45931</v>
      </c>
      <c r="B1557" s="6" t="str">
        <f>IFERROR(__xludf.DUMMYFUNCTION("""COMPUTED_VALUE"""),"Education")</f>
        <v>Education</v>
      </c>
      <c r="C1557" s="7">
        <f>IFERROR(__xludf.DUMMYFUNCTION("""COMPUTED_VALUE"""),3000.0)</f>
        <v>3000</v>
      </c>
      <c r="D1557" s="6" t="str">
        <f>IFERROR(__xludf.DUMMYFUNCTION("""COMPUTED_VALUE"""),"Education")</f>
        <v>Education</v>
      </c>
      <c r="E1557" s="6" t="str">
        <f>IFERROR(__xludf.DUMMYFUNCTION("""COMPUTED_VALUE"""),"Credit Card")</f>
        <v>Credit Card</v>
      </c>
      <c r="F1557" s="6" t="s">
        <v>11</v>
      </c>
      <c r="G1557" s="8" t="str">
        <f t="shared" si="1"/>
        <v>202510</v>
      </c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  <c r="AA1557" s="4"/>
      <c r="AB1557" s="4"/>
      <c r="AC1557" s="4"/>
      <c r="AD1557" s="4"/>
      <c r="AE1557" s="4"/>
      <c r="AF1557" s="4"/>
      <c r="AG1557" s="4"/>
      <c r="AH1557" s="4"/>
      <c r="AI1557" s="4"/>
      <c r="AJ1557" s="4"/>
      <c r="AK1557" s="4"/>
      <c r="AL1557" s="4"/>
      <c r="AM1557" s="4"/>
      <c r="AN1557" s="4"/>
      <c r="AO1557" s="4"/>
      <c r="AP1557" s="4"/>
      <c r="AQ1557" s="4"/>
      <c r="AR1557" s="4"/>
      <c r="AS1557" s="4"/>
      <c r="AT1557" s="4"/>
      <c r="AU1557" s="4"/>
      <c r="AV1557" s="4"/>
      <c r="AW1557" s="4"/>
      <c r="AX1557" s="4"/>
      <c r="AY1557" s="4"/>
      <c r="AZ1557" s="4"/>
      <c r="BA1557" s="4"/>
      <c r="BB1557" s="4"/>
      <c r="BC1557" s="4"/>
      <c r="BD1557" s="4"/>
      <c r="BE1557" s="4"/>
      <c r="BF1557" s="4"/>
      <c r="BG1557" s="4"/>
      <c r="BH1557" s="4"/>
      <c r="BI1557" s="4"/>
      <c r="BJ1557" s="4"/>
      <c r="BK1557" s="4"/>
      <c r="BL1557" s="4"/>
      <c r="BM1557" s="4"/>
      <c r="BN1557" s="4"/>
      <c r="BO1557" s="4"/>
      <c r="BP1557" s="4"/>
      <c r="BQ1557" s="4"/>
      <c r="BR1557" s="4"/>
      <c r="BS1557" s="4"/>
      <c r="BT1557" s="4"/>
      <c r="BU1557" s="4"/>
      <c r="BV1557" s="4"/>
      <c r="BW1557" s="4"/>
      <c r="BX1557" s="4"/>
      <c r="BY1557" s="4"/>
      <c r="BZ1557" s="4"/>
      <c r="CA1557" s="4"/>
      <c r="CB1557" s="4"/>
      <c r="CC1557" s="4"/>
      <c r="CD1557" s="4"/>
      <c r="CE1557" s="4"/>
      <c r="CF1557" s="4"/>
      <c r="CG1557" s="4"/>
      <c r="CH1557" s="4"/>
      <c r="CI1557" s="4"/>
      <c r="CJ1557" s="4"/>
      <c r="CK1557" s="4"/>
      <c r="CL1557" s="4"/>
      <c r="CM1557" s="4"/>
      <c r="CN1557" s="4"/>
      <c r="CO1557" s="4"/>
      <c r="CP1557" s="4"/>
      <c r="CQ1557" s="4"/>
      <c r="CR1557" s="4"/>
      <c r="CS1557" s="4"/>
      <c r="CT1557" s="4"/>
      <c r="CU1557" s="4"/>
      <c r="CV1557" s="4"/>
      <c r="CW1557" s="4"/>
      <c r="CX1557" s="4"/>
      <c r="CY1557" s="4"/>
      <c r="CZ1557" s="4"/>
      <c r="DA1557" s="4"/>
      <c r="DB1557" s="4"/>
      <c r="DC1557" s="4"/>
      <c r="DD1557" s="4"/>
      <c r="DE1557" s="4"/>
      <c r="DF1557" s="4"/>
      <c r="DG1557" s="4"/>
      <c r="DH1557" s="4"/>
      <c r="DI1557" s="4"/>
      <c r="DJ1557" s="4"/>
      <c r="DK1557" s="4"/>
      <c r="DL1557" s="4"/>
      <c r="DM1557" s="4"/>
      <c r="DN1557" s="4"/>
      <c r="DO1557" s="4"/>
      <c r="DP1557" s="4"/>
      <c r="DQ1557" s="4"/>
      <c r="DR1557" s="4"/>
      <c r="DS1557" s="4"/>
    </row>
    <row r="1558">
      <c r="A1558" s="5">
        <f>IFERROR(__xludf.DUMMYFUNCTION("""COMPUTED_VALUE"""),45931.0)</f>
        <v>45931</v>
      </c>
      <c r="B1558" s="6" t="str">
        <f>IFERROR(__xludf.DUMMYFUNCTION("""COMPUTED_VALUE"""),"Education")</f>
        <v>Education</v>
      </c>
      <c r="C1558" s="7">
        <f>IFERROR(__xludf.DUMMYFUNCTION("""COMPUTED_VALUE"""),1800.0)</f>
        <v>1800</v>
      </c>
      <c r="D1558" s="6" t="str">
        <f>IFERROR(__xludf.DUMMYFUNCTION("""COMPUTED_VALUE"""),"Education")</f>
        <v>Education</v>
      </c>
      <c r="E1558" s="6" t="str">
        <f>IFERROR(__xludf.DUMMYFUNCTION("""COMPUTED_VALUE"""),"Credit Card")</f>
        <v>Credit Card</v>
      </c>
      <c r="F1558" s="6" t="s">
        <v>11</v>
      </c>
      <c r="G1558" s="8" t="str">
        <f t="shared" si="1"/>
        <v>202510</v>
      </c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  <c r="AA1558" s="4"/>
      <c r="AB1558" s="4"/>
      <c r="AC1558" s="4"/>
      <c r="AD1558" s="4"/>
      <c r="AE1558" s="4"/>
      <c r="AF1558" s="4"/>
      <c r="AG1558" s="4"/>
      <c r="AH1558" s="4"/>
      <c r="AI1558" s="4"/>
      <c r="AJ1558" s="4"/>
      <c r="AK1558" s="4"/>
      <c r="AL1558" s="4"/>
      <c r="AM1558" s="4"/>
      <c r="AN1558" s="4"/>
      <c r="AO1558" s="4"/>
      <c r="AP1558" s="4"/>
      <c r="AQ1558" s="4"/>
      <c r="AR1558" s="4"/>
      <c r="AS1558" s="4"/>
      <c r="AT1558" s="4"/>
      <c r="AU1558" s="4"/>
      <c r="AV1558" s="4"/>
      <c r="AW1558" s="4"/>
      <c r="AX1558" s="4"/>
      <c r="AY1558" s="4"/>
      <c r="AZ1558" s="4"/>
      <c r="BA1558" s="4"/>
      <c r="BB1558" s="4"/>
      <c r="BC1558" s="4"/>
      <c r="BD1558" s="4"/>
      <c r="BE1558" s="4"/>
      <c r="BF1558" s="4"/>
      <c r="BG1558" s="4"/>
      <c r="BH1558" s="4"/>
      <c r="BI1558" s="4"/>
      <c r="BJ1558" s="4"/>
      <c r="BK1558" s="4"/>
      <c r="BL1558" s="4"/>
      <c r="BM1558" s="4"/>
      <c r="BN1558" s="4"/>
      <c r="BO1558" s="4"/>
      <c r="BP1558" s="4"/>
      <c r="BQ1558" s="4"/>
      <c r="BR1558" s="4"/>
      <c r="BS1558" s="4"/>
      <c r="BT1558" s="4"/>
      <c r="BU1558" s="4"/>
      <c r="BV1558" s="4"/>
      <c r="BW1558" s="4"/>
      <c r="BX1558" s="4"/>
      <c r="BY1558" s="4"/>
      <c r="BZ1558" s="4"/>
      <c r="CA1558" s="4"/>
      <c r="CB1558" s="4"/>
      <c r="CC1558" s="4"/>
      <c r="CD1558" s="4"/>
      <c r="CE1558" s="4"/>
      <c r="CF1558" s="4"/>
      <c r="CG1558" s="4"/>
      <c r="CH1558" s="4"/>
      <c r="CI1558" s="4"/>
      <c r="CJ1558" s="4"/>
      <c r="CK1558" s="4"/>
      <c r="CL1558" s="4"/>
      <c r="CM1558" s="4"/>
      <c r="CN1558" s="4"/>
      <c r="CO1558" s="4"/>
      <c r="CP1558" s="4"/>
      <c r="CQ1558" s="4"/>
      <c r="CR1558" s="4"/>
      <c r="CS1558" s="4"/>
      <c r="CT1558" s="4"/>
      <c r="CU1558" s="4"/>
      <c r="CV1558" s="4"/>
      <c r="CW1558" s="4"/>
      <c r="CX1558" s="4"/>
      <c r="CY1558" s="4"/>
      <c r="CZ1558" s="4"/>
      <c r="DA1558" s="4"/>
      <c r="DB1558" s="4"/>
      <c r="DC1558" s="4"/>
      <c r="DD1558" s="4"/>
      <c r="DE1558" s="4"/>
      <c r="DF1558" s="4"/>
      <c r="DG1558" s="4"/>
      <c r="DH1558" s="4"/>
      <c r="DI1558" s="4"/>
      <c r="DJ1558" s="4"/>
      <c r="DK1558" s="4"/>
      <c r="DL1558" s="4"/>
      <c r="DM1558" s="4"/>
      <c r="DN1558" s="4"/>
      <c r="DO1558" s="4"/>
      <c r="DP1558" s="4"/>
      <c r="DQ1558" s="4"/>
      <c r="DR1558" s="4"/>
      <c r="DS1558" s="4"/>
    </row>
    <row r="1559">
      <c r="A1559" s="5">
        <f>IFERROR(__xludf.DUMMYFUNCTION("""COMPUTED_VALUE"""),45931.0)</f>
        <v>45931</v>
      </c>
      <c r="B1559" s="6" t="str">
        <f>IFERROR(__xludf.DUMMYFUNCTION("""COMPUTED_VALUE"""),"Streaming Services")</f>
        <v>Streaming Services</v>
      </c>
      <c r="C1559" s="7">
        <f>IFERROR(__xludf.DUMMYFUNCTION("""COMPUTED_VALUE"""),9059.0)</f>
        <v>9059</v>
      </c>
      <c r="D1559" s="6" t="str">
        <f>IFERROR(__xludf.DUMMYFUNCTION("""COMPUTED_VALUE"""),"Streaming Services")</f>
        <v>Streaming Services</v>
      </c>
      <c r="E1559" s="6" t="str">
        <f>IFERROR(__xludf.DUMMYFUNCTION("""COMPUTED_VALUE"""),"Credit Card")</f>
        <v>Credit Card</v>
      </c>
      <c r="F1559" s="6" t="s">
        <v>12</v>
      </c>
      <c r="G1559" s="8" t="str">
        <f t="shared" si="1"/>
        <v>202510</v>
      </c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  <c r="AA1559" s="4"/>
      <c r="AB1559" s="4"/>
      <c r="AC1559" s="4"/>
      <c r="AD1559" s="4"/>
      <c r="AE1559" s="4"/>
      <c r="AF1559" s="4"/>
      <c r="AG1559" s="4"/>
      <c r="AH1559" s="4"/>
      <c r="AI1559" s="4"/>
      <c r="AJ1559" s="4"/>
      <c r="AK1559" s="4"/>
      <c r="AL1559" s="4"/>
      <c r="AM1559" s="4"/>
      <c r="AN1559" s="4"/>
      <c r="AO1559" s="4"/>
      <c r="AP1559" s="4"/>
      <c r="AQ1559" s="4"/>
      <c r="AR1559" s="4"/>
      <c r="AS1559" s="4"/>
      <c r="AT1559" s="4"/>
      <c r="AU1559" s="4"/>
      <c r="AV1559" s="4"/>
      <c r="AW1559" s="4"/>
      <c r="AX1559" s="4"/>
      <c r="AY1559" s="4"/>
      <c r="AZ1559" s="4"/>
      <c r="BA1559" s="4"/>
      <c r="BB1559" s="4"/>
      <c r="BC1559" s="4"/>
      <c r="BD1559" s="4"/>
      <c r="BE1559" s="4"/>
      <c r="BF1559" s="4"/>
      <c r="BG1559" s="4"/>
      <c r="BH1559" s="4"/>
      <c r="BI1559" s="4"/>
      <c r="BJ1559" s="4"/>
      <c r="BK1559" s="4"/>
      <c r="BL1559" s="4"/>
      <c r="BM1559" s="4"/>
      <c r="BN1559" s="4"/>
      <c r="BO1559" s="4"/>
      <c r="BP1559" s="4"/>
      <c r="BQ1559" s="4"/>
      <c r="BR1559" s="4"/>
      <c r="BS1559" s="4"/>
      <c r="BT1559" s="4"/>
      <c r="BU1559" s="4"/>
      <c r="BV1559" s="4"/>
      <c r="BW1559" s="4"/>
      <c r="BX1559" s="4"/>
      <c r="BY1559" s="4"/>
      <c r="BZ1559" s="4"/>
      <c r="CA1559" s="4"/>
      <c r="CB1559" s="4"/>
      <c r="CC1559" s="4"/>
      <c r="CD1559" s="4"/>
      <c r="CE1559" s="4"/>
      <c r="CF1559" s="4"/>
      <c r="CG1559" s="4"/>
      <c r="CH1559" s="4"/>
      <c r="CI1559" s="4"/>
      <c r="CJ1559" s="4"/>
      <c r="CK1559" s="4"/>
      <c r="CL1559" s="4"/>
      <c r="CM1559" s="4"/>
      <c r="CN1559" s="4"/>
      <c r="CO1559" s="4"/>
      <c r="CP1559" s="4"/>
      <c r="CQ1559" s="4"/>
      <c r="CR1559" s="4"/>
      <c r="CS1559" s="4"/>
      <c r="CT1559" s="4"/>
      <c r="CU1559" s="4"/>
      <c r="CV1559" s="4"/>
      <c r="CW1559" s="4"/>
      <c r="CX1559" s="4"/>
      <c r="CY1559" s="4"/>
      <c r="CZ1559" s="4"/>
      <c r="DA1559" s="4"/>
      <c r="DB1559" s="4"/>
      <c r="DC1559" s="4"/>
      <c r="DD1559" s="4"/>
      <c r="DE1559" s="4"/>
      <c r="DF1559" s="4"/>
      <c r="DG1559" s="4"/>
      <c r="DH1559" s="4"/>
      <c r="DI1559" s="4"/>
      <c r="DJ1559" s="4"/>
      <c r="DK1559" s="4"/>
      <c r="DL1559" s="4"/>
      <c r="DM1559" s="4"/>
      <c r="DN1559" s="4"/>
      <c r="DO1559" s="4"/>
      <c r="DP1559" s="4"/>
      <c r="DQ1559" s="4"/>
      <c r="DR1559" s="4"/>
      <c r="DS1559" s="4"/>
    </row>
    <row r="1560">
      <c r="A1560" s="5">
        <f>IFERROR(__xludf.DUMMYFUNCTION("""COMPUTED_VALUE"""),45931.0)</f>
        <v>45931</v>
      </c>
      <c r="B1560" s="6" t="str">
        <f>IFERROR(__xludf.DUMMYFUNCTION("""COMPUTED_VALUE"""),"Streaming Services")</f>
        <v>Streaming Services</v>
      </c>
      <c r="C1560" s="7">
        <f>IFERROR(__xludf.DUMMYFUNCTION("""COMPUTED_VALUE"""),7497.0)</f>
        <v>7497</v>
      </c>
      <c r="D1560" s="6" t="str">
        <f>IFERROR(__xludf.DUMMYFUNCTION("""COMPUTED_VALUE"""),"Streaming Services")</f>
        <v>Streaming Services</v>
      </c>
      <c r="E1560" s="6" t="str">
        <f>IFERROR(__xludf.DUMMYFUNCTION("""COMPUTED_VALUE"""),"Credit Card")</f>
        <v>Credit Card</v>
      </c>
      <c r="F1560" s="6" t="s">
        <v>12</v>
      </c>
      <c r="G1560" s="8" t="str">
        <f t="shared" si="1"/>
        <v>202510</v>
      </c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  <c r="AA1560" s="4"/>
      <c r="AB1560" s="4"/>
      <c r="AC1560" s="4"/>
      <c r="AD1560" s="4"/>
      <c r="AE1560" s="4"/>
      <c r="AF1560" s="4"/>
      <c r="AG1560" s="4"/>
      <c r="AH1560" s="4"/>
      <c r="AI1560" s="4"/>
      <c r="AJ1560" s="4"/>
      <c r="AK1560" s="4"/>
      <c r="AL1560" s="4"/>
      <c r="AM1560" s="4"/>
      <c r="AN1560" s="4"/>
      <c r="AO1560" s="4"/>
      <c r="AP1560" s="4"/>
      <c r="AQ1560" s="4"/>
      <c r="AR1560" s="4"/>
      <c r="AS1560" s="4"/>
      <c r="AT1560" s="4"/>
      <c r="AU1560" s="4"/>
      <c r="AV1560" s="4"/>
      <c r="AW1560" s="4"/>
      <c r="AX1560" s="4"/>
      <c r="AY1560" s="4"/>
      <c r="AZ1560" s="4"/>
      <c r="BA1560" s="4"/>
      <c r="BB1560" s="4"/>
      <c r="BC1560" s="4"/>
      <c r="BD1560" s="4"/>
      <c r="BE1560" s="4"/>
      <c r="BF1560" s="4"/>
      <c r="BG1560" s="4"/>
      <c r="BH1560" s="4"/>
      <c r="BI1560" s="4"/>
      <c r="BJ1560" s="4"/>
      <c r="BK1560" s="4"/>
      <c r="BL1560" s="4"/>
      <c r="BM1560" s="4"/>
      <c r="BN1560" s="4"/>
      <c r="BO1560" s="4"/>
      <c r="BP1560" s="4"/>
      <c r="BQ1560" s="4"/>
      <c r="BR1560" s="4"/>
      <c r="BS1560" s="4"/>
      <c r="BT1560" s="4"/>
      <c r="BU1560" s="4"/>
      <c r="BV1560" s="4"/>
      <c r="BW1560" s="4"/>
      <c r="BX1560" s="4"/>
      <c r="BY1560" s="4"/>
      <c r="BZ1560" s="4"/>
      <c r="CA1560" s="4"/>
      <c r="CB1560" s="4"/>
      <c r="CC1560" s="4"/>
      <c r="CD1560" s="4"/>
      <c r="CE1560" s="4"/>
      <c r="CF1560" s="4"/>
      <c r="CG1560" s="4"/>
      <c r="CH1560" s="4"/>
      <c r="CI1560" s="4"/>
      <c r="CJ1560" s="4"/>
      <c r="CK1560" s="4"/>
      <c r="CL1560" s="4"/>
      <c r="CM1560" s="4"/>
      <c r="CN1560" s="4"/>
      <c r="CO1560" s="4"/>
      <c r="CP1560" s="4"/>
      <c r="CQ1560" s="4"/>
      <c r="CR1560" s="4"/>
      <c r="CS1560" s="4"/>
      <c r="CT1560" s="4"/>
      <c r="CU1560" s="4"/>
      <c r="CV1560" s="4"/>
      <c r="CW1560" s="4"/>
      <c r="CX1560" s="4"/>
      <c r="CY1560" s="4"/>
      <c r="CZ1560" s="4"/>
      <c r="DA1560" s="4"/>
      <c r="DB1560" s="4"/>
      <c r="DC1560" s="4"/>
      <c r="DD1560" s="4"/>
      <c r="DE1560" s="4"/>
      <c r="DF1560" s="4"/>
      <c r="DG1560" s="4"/>
      <c r="DH1560" s="4"/>
      <c r="DI1560" s="4"/>
      <c r="DJ1560" s="4"/>
      <c r="DK1560" s="4"/>
      <c r="DL1560" s="4"/>
      <c r="DM1560" s="4"/>
      <c r="DN1560" s="4"/>
      <c r="DO1560" s="4"/>
      <c r="DP1560" s="4"/>
      <c r="DQ1560" s="4"/>
      <c r="DR1560" s="4"/>
      <c r="DS1560" s="4"/>
    </row>
    <row r="1561">
      <c r="A1561" s="5">
        <f>IFERROR(__xludf.DUMMYFUNCTION("""COMPUTED_VALUE"""),45932.0)</f>
        <v>45932</v>
      </c>
      <c r="B1561" s="6" t="str">
        <f>IFERROR(__xludf.DUMMYFUNCTION("""COMPUTED_VALUE"""),"Streaming Services")</f>
        <v>Streaming Services</v>
      </c>
      <c r="C1561" s="7">
        <f>IFERROR(__xludf.DUMMYFUNCTION("""COMPUTED_VALUE"""),3321.0)</f>
        <v>3321</v>
      </c>
      <c r="D1561" s="6" t="str">
        <f>IFERROR(__xludf.DUMMYFUNCTION("""COMPUTED_VALUE"""),"Streaming Services")</f>
        <v>Streaming Services</v>
      </c>
      <c r="E1561" s="6" t="str">
        <f>IFERROR(__xludf.DUMMYFUNCTION("""COMPUTED_VALUE"""),"Credit Card")</f>
        <v>Credit Card</v>
      </c>
      <c r="F1561" s="6" t="s">
        <v>12</v>
      </c>
      <c r="G1561" s="8" t="str">
        <f t="shared" si="1"/>
        <v>202510</v>
      </c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  <c r="AA1561" s="4"/>
      <c r="AB1561" s="4"/>
      <c r="AC1561" s="4"/>
      <c r="AD1561" s="4"/>
      <c r="AE1561" s="4"/>
      <c r="AF1561" s="4"/>
      <c r="AG1561" s="4"/>
      <c r="AH1561" s="4"/>
      <c r="AI1561" s="4"/>
      <c r="AJ1561" s="4"/>
      <c r="AK1561" s="4"/>
      <c r="AL1561" s="4"/>
      <c r="AM1561" s="4"/>
      <c r="AN1561" s="4"/>
      <c r="AO1561" s="4"/>
      <c r="AP1561" s="4"/>
      <c r="AQ1561" s="4"/>
      <c r="AR1561" s="4"/>
      <c r="AS1561" s="4"/>
      <c r="AT1561" s="4"/>
      <c r="AU1561" s="4"/>
      <c r="AV1561" s="4"/>
      <c r="AW1561" s="4"/>
      <c r="AX1561" s="4"/>
      <c r="AY1561" s="4"/>
      <c r="AZ1561" s="4"/>
      <c r="BA1561" s="4"/>
      <c r="BB1561" s="4"/>
      <c r="BC1561" s="4"/>
      <c r="BD1561" s="4"/>
      <c r="BE1561" s="4"/>
      <c r="BF1561" s="4"/>
      <c r="BG1561" s="4"/>
      <c r="BH1561" s="4"/>
      <c r="BI1561" s="4"/>
      <c r="BJ1561" s="4"/>
      <c r="BK1561" s="4"/>
      <c r="BL1561" s="4"/>
      <c r="BM1561" s="4"/>
      <c r="BN1561" s="4"/>
      <c r="BO1561" s="4"/>
      <c r="BP1561" s="4"/>
      <c r="BQ1561" s="4"/>
      <c r="BR1561" s="4"/>
      <c r="BS1561" s="4"/>
      <c r="BT1561" s="4"/>
      <c r="BU1561" s="4"/>
      <c r="BV1561" s="4"/>
      <c r="BW1561" s="4"/>
      <c r="BX1561" s="4"/>
      <c r="BY1561" s="4"/>
      <c r="BZ1561" s="4"/>
      <c r="CA1561" s="4"/>
      <c r="CB1561" s="4"/>
      <c r="CC1561" s="4"/>
      <c r="CD1561" s="4"/>
      <c r="CE1561" s="4"/>
      <c r="CF1561" s="4"/>
      <c r="CG1561" s="4"/>
      <c r="CH1561" s="4"/>
      <c r="CI1561" s="4"/>
      <c r="CJ1561" s="4"/>
      <c r="CK1561" s="4"/>
      <c r="CL1561" s="4"/>
      <c r="CM1561" s="4"/>
      <c r="CN1561" s="4"/>
      <c r="CO1561" s="4"/>
      <c r="CP1561" s="4"/>
      <c r="CQ1561" s="4"/>
      <c r="CR1561" s="4"/>
      <c r="CS1561" s="4"/>
      <c r="CT1561" s="4"/>
      <c r="CU1561" s="4"/>
      <c r="CV1561" s="4"/>
      <c r="CW1561" s="4"/>
      <c r="CX1561" s="4"/>
      <c r="CY1561" s="4"/>
      <c r="CZ1561" s="4"/>
      <c r="DA1561" s="4"/>
      <c r="DB1561" s="4"/>
      <c r="DC1561" s="4"/>
      <c r="DD1561" s="4"/>
      <c r="DE1561" s="4"/>
      <c r="DF1561" s="4"/>
      <c r="DG1561" s="4"/>
      <c r="DH1561" s="4"/>
      <c r="DI1561" s="4"/>
      <c r="DJ1561" s="4"/>
      <c r="DK1561" s="4"/>
      <c r="DL1561" s="4"/>
      <c r="DM1561" s="4"/>
      <c r="DN1561" s="4"/>
      <c r="DO1561" s="4"/>
      <c r="DP1561" s="4"/>
      <c r="DQ1561" s="4"/>
      <c r="DR1561" s="4"/>
      <c r="DS1561" s="4"/>
    </row>
    <row r="1562">
      <c r="A1562" s="5">
        <f>IFERROR(__xludf.DUMMYFUNCTION("""COMPUTED_VALUE"""),45933.0)</f>
        <v>45933</v>
      </c>
      <c r="B1562" s="6" t="str">
        <f>IFERROR(__xludf.DUMMYFUNCTION("""COMPUTED_VALUE"""),"Gas Bill (Metrogas)")</f>
        <v>Gas Bill (Metrogas)</v>
      </c>
      <c r="C1562" s="7">
        <f>IFERROR(__xludf.DUMMYFUNCTION("""COMPUTED_VALUE"""),11210.0)</f>
        <v>11210</v>
      </c>
      <c r="D1562" s="6" t="str">
        <f>IFERROR(__xludf.DUMMYFUNCTION("""COMPUTED_VALUE"""),"Basic Services")</f>
        <v>Basic Services</v>
      </c>
      <c r="E1562" s="6" t="str">
        <f>IFERROR(__xludf.DUMMYFUNCTION("""COMPUTED_VALUE"""),"Split Payment")</f>
        <v>Split Payment</v>
      </c>
      <c r="F1562" s="6" t="s">
        <v>13</v>
      </c>
      <c r="G1562" s="8" t="str">
        <f t="shared" si="1"/>
        <v>202510</v>
      </c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  <c r="AA1562" s="4"/>
      <c r="AB1562" s="4"/>
      <c r="AC1562" s="4"/>
      <c r="AD1562" s="4"/>
      <c r="AE1562" s="4"/>
      <c r="AF1562" s="4"/>
      <c r="AG1562" s="4"/>
      <c r="AH1562" s="4"/>
      <c r="AI1562" s="4"/>
      <c r="AJ1562" s="4"/>
      <c r="AK1562" s="4"/>
      <c r="AL1562" s="4"/>
      <c r="AM1562" s="4"/>
      <c r="AN1562" s="4"/>
      <c r="AO1562" s="4"/>
      <c r="AP1562" s="4"/>
      <c r="AQ1562" s="4"/>
      <c r="AR1562" s="4"/>
      <c r="AS1562" s="4"/>
      <c r="AT1562" s="4"/>
      <c r="AU1562" s="4"/>
      <c r="AV1562" s="4"/>
      <c r="AW1562" s="4"/>
      <c r="AX1562" s="4"/>
      <c r="AY1562" s="4"/>
      <c r="AZ1562" s="4"/>
      <c r="BA1562" s="4"/>
      <c r="BB1562" s="4"/>
      <c r="BC1562" s="4"/>
      <c r="BD1562" s="4"/>
      <c r="BE1562" s="4"/>
      <c r="BF1562" s="4"/>
      <c r="BG1562" s="4"/>
      <c r="BH1562" s="4"/>
      <c r="BI1562" s="4"/>
      <c r="BJ1562" s="4"/>
      <c r="BK1562" s="4"/>
      <c r="BL1562" s="4"/>
      <c r="BM1562" s="4"/>
      <c r="BN1562" s="4"/>
      <c r="BO1562" s="4"/>
      <c r="BP1562" s="4"/>
      <c r="BQ1562" s="4"/>
      <c r="BR1562" s="4"/>
      <c r="BS1562" s="4"/>
      <c r="BT1562" s="4"/>
      <c r="BU1562" s="4"/>
      <c r="BV1562" s="4"/>
      <c r="BW1562" s="4"/>
      <c r="BX1562" s="4"/>
      <c r="BY1562" s="4"/>
      <c r="BZ1562" s="4"/>
      <c r="CA1562" s="4"/>
      <c r="CB1562" s="4"/>
      <c r="CC1562" s="4"/>
      <c r="CD1562" s="4"/>
      <c r="CE1562" s="4"/>
      <c r="CF1562" s="4"/>
      <c r="CG1562" s="4"/>
      <c r="CH1562" s="4"/>
      <c r="CI1562" s="4"/>
      <c r="CJ1562" s="4"/>
      <c r="CK1562" s="4"/>
      <c r="CL1562" s="4"/>
      <c r="CM1562" s="4"/>
      <c r="CN1562" s="4"/>
      <c r="CO1562" s="4"/>
      <c r="CP1562" s="4"/>
      <c r="CQ1562" s="4"/>
      <c r="CR1562" s="4"/>
      <c r="CS1562" s="4"/>
      <c r="CT1562" s="4"/>
      <c r="CU1562" s="4"/>
      <c r="CV1562" s="4"/>
      <c r="CW1562" s="4"/>
      <c r="CX1562" s="4"/>
      <c r="CY1562" s="4"/>
      <c r="CZ1562" s="4"/>
      <c r="DA1562" s="4"/>
      <c r="DB1562" s="4"/>
      <c r="DC1562" s="4"/>
      <c r="DD1562" s="4"/>
      <c r="DE1562" s="4"/>
      <c r="DF1562" s="4"/>
      <c r="DG1562" s="4"/>
      <c r="DH1562" s="4"/>
      <c r="DI1562" s="4"/>
      <c r="DJ1562" s="4"/>
      <c r="DK1562" s="4"/>
      <c r="DL1562" s="4"/>
      <c r="DM1562" s="4"/>
      <c r="DN1562" s="4"/>
      <c r="DO1562" s="4"/>
      <c r="DP1562" s="4"/>
      <c r="DQ1562" s="4"/>
      <c r="DR1562" s="4"/>
      <c r="DS1562" s="4"/>
    </row>
    <row r="1563">
      <c r="A1563" s="5">
        <f>IFERROR(__xludf.DUMMYFUNCTION("""COMPUTED_VALUE"""),45933.0)</f>
        <v>45933</v>
      </c>
      <c r="B1563" s="6" t="str">
        <f>IFERROR(__xludf.DUMMYFUNCTION("""COMPUTED_VALUE"""),"Municipal Tax (Agip)")</f>
        <v>Municipal Tax (Agip)</v>
      </c>
      <c r="C1563" s="7">
        <f>IFERROR(__xludf.DUMMYFUNCTION("""COMPUTED_VALUE"""),9960.0)</f>
        <v>9960</v>
      </c>
      <c r="D1563" s="6" t="str">
        <f>IFERROR(__xludf.DUMMYFUNCTION("""COMPUTED_VALUE"""),"Basic Services")</f>
        <v>Basic Services</v>
      </c>
      <c r="E1563" s="6" t="str">
        <f>IFERROR(__xludf.DUMMYFUNCTION("""COMPUTED_VALUE"""),"Split Payment")</f>
        <v>Split Payment</v>
      </c>
      <c r="F1563" s="6" t="s">
        <v>13</v>
      </c>
      <c r="G1563" s="8" t="str">
        <f t="shared" si="1"/>
        <v>202510</v>
      </c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  <c r="AA1563" s="4"/>
      <c r="AB1563" s="4"/>
      <c r="AC1563" s="4"/>
      <c r="AD1563" s="4"/>
      <c r="AE1563" s="4"/>
      <c r="AF1563" s="4"/>
      <c r="AG1563" s="4"/>
      <c r="AH1563" s="4"/>
      <c r="AI1563" s="4"/>
      <c r="AJ1563" s="4"/>
      <c r="AK1563" s="4"/>
      <c r="AL1563" s="4"/>
      <c r="AM1563" s="4"/>
      <c r="AN1563" s="4"/>
      <c r="AO1563" s="4"/>
      <c r="AP1563" s="4"/>
      <c r="AQ1563" s="4"/>
      <c r="AR1563" s="4"/>
      <c r="AS1563" s="4"/>
      <c r="AT1563" s="4"/>
      <c r="AU1563" s="4"/>
      <c r="AV1563" s="4"/>
      <c r="AW1563" s="4"/>
      <c r="AX1563" s="4"/>
      <c r="AY1563" s="4"/>
      <c r="AZ1563" s="4"/>
      <c r="BA1563" s="4"/>
      <c r="BB1563" s="4"/>
      <c r="BC1563" s="4"/>
      <c r="BD1563" s="4"/>
      <c r="BE1563" s="4"/>
      <c r="BF1563" s="4"/>
      <c r="BG1563" s="4"/>
      <c r="BH1563" s="4"/>
      <c r="BI1563" s="4"/>
      <c r="BJ1563" s="4"/>
      <c r="BK1563" s="4"/>
      <c r="BL1563" s="4"/>
      <c r="BM1563" s="4"/>
      <c r="BN1563" s="4"/>
      <c r="BO1563" s="4"/>
      <c r="BP1563" s="4"/>
      <c r="BQ1563" s="4"/>
      <c r="BR1563" s="4"/>
      <c r="BS1563" s="4"/>
      <c r="BT1563" s="4"/>
      <c r="BU1563" s="4"/>
      <c r="BV1563" s="4"/>
      <c r="BW1563" s="4"/>
      <c r="BX1563" s="4"/>
      <c r="BY1563" s="4"/>
      <c r="BZ1563" s="4"/>
      <c r="CA1563" s="4"/>
      <c r="CB1563" s="4"/>
      <c r="CC1563" s="4"/>
      <c r="CD1563" s="4"/>
      <c r="CE1563" s="4"/>
      <c r="CF1563" s="4"/>
      <c r="CG1563" s="4"/>
      <c r="CH1563" s="4"/>
      <c r="CI1563" s="4"/>
      <c r="CJ1563" s="4"/>
      <c r="CK1563" s="4"/>
      <c r="CL1563" s="4"/>
      <c r="CM1563" s="4"/>
      <c r="CN1563" s="4"/>
      <c r="CO1563" s="4"/>
      <c r="CP1563" s="4"/>
      <c r="CQ1563" s="4"/>
      <c r="CR1563" s="4"/>
      <c r="CS1563" s="4"/>
      <c r="CT1563" s="4"/>
      <c r="CU1563" s="4"/>
      <c r="CV1563" s="4"/>
      <c r="CW1563" s="4"/>
      <c r="CX1563" s="4"/>
      <c r="CY1563" s="4"/>
      <c r="CZ1563" s="4"/>
      <c r="DA1563" s="4"/>
      <c r="DB1563" s="4"/>
      <c r="DC1563" s="4"/>
      <c r="DD1563" s="4"/>
      <c r="DE1563" s="4"/>
      <c r="DF1563" s="4"/>
      <c r="DG1563" s="4"/>
      <c r="DH1563" s="4"/>
      <c r="DI1563" s="4"/>
      <c r="DJ1563" s="4"/>
      <c r="DK1563" s="4"/>
      <c r="DL1563" s="4"/>
      <c r="DM1563" s="4"/>
      <c r="DN1563" s="4"/>
      <c r="DO1563" s="4"/>
      <c r="DP1563" s="4"/>
      <c r="DQ1563" s="4"/>
      <c r="DR1563" s="4"/>
      <c r="DS1563" s="4"/>
    </row>
    <row r="1564">
      <c r="A1564" s="5">
        <f>IFERROR(__xludf.DUMMYFUNCTION("""COMPUTED_VALUE"""),45934.0)</f>
        <v>45934</v>
      </c>
      <c r="B1564" s="6" t="str">
        <f>IFERROR(__xludf.DUMMYFUNCTION("""COMPUTED_VALUE"""),"Clothing")</f>
        <v>Clothing</v>
      </c>
      <c r="C1564" s="7">
        <f>IFERROR(__xludf.DUMMYFUNCTION("""COMPUTED_VALUE"""),16000.0)</f>
        <v>16000</v>
      </c>
      <c r="D1564" s="6" t="str">
        <f>IFERROR(__xludf.DUMMYFUNCTION("""COMPUTED_VALUE"""),"Clothing")</f>
        <v>Clothing</v>
      </c>
      <c r="E1564" s="6" t="str">
        <f>IFERROR(__xludf.DUMMYFUNCTION("""COMPUTED_VALUE"""),"Credit Card")</f>
        <v>Credit Card</v>
      </c>
      <c r="F1564" s="6" t="s">
        <v>10</v>
      </c>
      <c r="G1564" s="8" t="str">
        <f t="shared" si="1"/>
        <v>202510</v>
      </c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  <c r="AA1564" s="4"/>
      <c r="AB1564" s="4"/>
      <c r="AC1564" s="4"/>
      <c r="AD1564" s="4"/>
      <c r="AE1564" s="4"/>
      <c r="AF1564" s="4"/>
      <c r="AG1564" s="4"/>
      <c r="AH1564" s="4"/>
      <c r="AI1564" s="4"/>
      <c r="AJ1564" s="4"/>
      <c r="AK1564" s="4"/>
      <c r="AL1564" s="4"/>
      <c r="AM1564" s="4"/>
      <c r="AN1564" s="4"/>
      <c r="AO1564" s="4"/>
      <c r="AP1564" s="4"/>
      <c r="AQ1564" s="4"/>
      <c r="AR1564" s="4"/>
      <c r="AS1564" s="4"/>
      <c r="AT1564" s="4"/>
      <c r="AU1564" s="4"/>
      <c r="AV1564" s="4"/>
      <c r="AW1564" s="4"/>
      <c r="AX1564" s="4"/>
      <c r="AY1564" s="4"/>
      <c r="AZ1564" s="4"/>
      <c r="BA1564" s="4"/>
      <c r="BB1564" s="4"/>
      <c r="BC1564" s="4"/>
      <c r="BD1564" s="4"/>
      <c r="BE1564" s="4"/>
      <c r="BF1564" s="4"/>
      <c r="BG1564" s="4"/>
      <c r="BH1564" s="4"/>
      <c r="BI1564" s="4"/>
      <c r="BJ1564" s="4"/>
      <c r="BK1564" s="4"/>
      <c r="BL1564" s="4"/>
      <c r="BM1564" s="4"/>
      <c r="BN1564" s="4"/>
      <c r="BO1564" s="4"/>
      <c r="BP1564" s="4"/>
      <c r="BQ1564" s="4"/>
      <c r="BR1564" s="4"/>
      <c r="BS1564" s="4"/>
      <c r="BT1564" s="4"/>
      <c r="BU1564" s="4"/>
      <c r="BV1564" s="4"/>
      <c r="BW1564" s="4"/>
      <c r="BX1564" s="4"/>
      <c r="BY1564" s="4"/>
      <c r="BZ1564" s="4"/>
      <c r="CA1564" s="4"/>
      <c r="CB1564" s="4"/>
      <c r="CC1564" s="4"/>
      <c r="CD1564" s="4"/>
      <c r="CE1564" s="4"/>
      <c r="CF1564" s="4"/>
      <c r="CG1564" s="4"/>
      <c r="CH1564" s="4"/>
      <c r="CI1564" s="4"/>
      <c r="CJ1564" s="4"/>
      <c r="CK1564" s="4"/>
      <c r="CL1564" s="4"/>
      <c r="CM1564" s="4"/>
      <c r="CN1564" s="4"/>
      <c r="CO1564" s="4"/>
      <c r="CP1564" s="4"/>
      <c r="CQ1564" s="4"/>
      <c r="CR1564" s="4"/>
      <c r="CS1564" s="4"/>
      <c r="CT1564" s="4"/>
      <c r="CU1564" s="4"/>
      <c r="CV1564" s="4"/>
      <c r="CW1564" s="4"/>
      <c r="CX1564" s="4"/>
      <c r="CY1564" s="4"/>
      <c r="CZ1564" s="4"/>
      <c r="DA1564" s="4"/>
      <c r="DB1564" s="4"/>
      <c r="DC1564" s="4"/>
      <c r="DD1564" s="4"/>
      <c r="DE1564" s="4"/>
      <c r="DF1564" s="4"/>
      <c r="DG1564" s="4"/>
      <c r="DH1564" s="4"/>
      <c r="DI1564" s="4"/>
      <c r="DJ1564" s="4"/>
      <c r="DK1564" s="4"/>
      <c r="DL1564" s="4"/>
      <c r="DM1564" s="4"/>
      <c r="DN1564" s="4"/>
      <c r="DO1564" s="4"/>
      <c r="DP1564" s="4"/>
      <c r="DQ1564" s="4"/>
      <c r="DR1564" s="4"/>
      <c r="DS1564" s="4"/>
    </row>
    <row r="1565">
      <c r="A1565" s="5">
        <f>IFERROR(__xludf.DUMMYFUNCTION("""COMPUTED_VALUE"""),45934.0)</f>
        <v>45934</v>
      </c>
      <c r="B1565" s="6" t="str">
        <f>IFERROR(__xludf.DUMMYFUNCTION("""COMPUTED_VALUE"""),"Clothing")</f>
        <v>Clothing</v>
      </c>
      <c r="C1565" s="7">
        <f>IFERROR(__xludf.DUMMYFUNCTION("""COMPUTED_VALUE"""),79998.0)</f>
        <v>79998</v>
      </c>
      <c r="D1565" s="6" t="str">
        <f>IFERROR(__xludf.DUMMYFUNCTION("""COMPUTED_VALUE"""),"Clothing")</f>
        <v>Clothing</v>
      </c>
      <c r="E1565" s="6" t="str">
        <f>IFERROR(__xludf.DUMMYFUNCTION("""COMPUTED_VALUE"""),"Credit Card")</f>
        <v>Credit Card</v>
      </c>
      <c r="F1565" s="6" t="s">
        <v>10</v>
      </c>
      <c r="G1565" s="8" t="str">
        <f t="shared" si="1"/>
        <v>202510</v>
      </c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  <c r="AA1565" s="4"/>
      <c r="AB1565" s="4"/>
      <c r="AC1565" s="4"/>
      <c r="AD1565" s="4"/>
      <c r="AE1565" s="4"/>
      <c r="AF1565" s="4"/>
      <c r="AG1565" s="4"/>
      <c r="AH1565" s="4"/>
      <c r="AI1565" s="4"/>
      <c r="AJ1565" s="4"/>
      <c r="AK1565" s="4"/>
      <c r="AL1565" s="4"/>
      <c r="AM1565" s="4"/>
      <c r="AN1565" s="4"/>
      <c r="AO1565" s="4"/>
      <c r="AP1565" s="4"/>
      <c r="AQ1565" s="4"/>
      <c r="AR1565" s="4"/>
      <c r="AS1565" s="4"/>
      <c r="AT1565" s="4"/>
      <c r="AU1565" s="4"/>
      <c r="AV1565" s="4"/>
      <c r="AW1565" s="4"/>
      <c r="AX1565" s="4"/>
      <c r="AY1565" s="4"/>
      <c r="AZ1565" s="4"/>
      <c r="BA1565" s="4"/>
      <c r="BB1565" s="4"/>
      <c r="BC1565" s="4"/>
      <c r="BD1565" s="4"/>
      <c r="BE1565" s="4"/>
      <c r="BF1565" s="4"/>
      <c r="BG1565" s="4"/>
      <c r="BH1565" s="4"/>
      <c r="BI1565" s="4"/>
      <c r="BJ1565" s="4"/>
      <c r="BK1565" s="4"/>
      <c r="BL1565" s="4"/>
      <c r="BM1565" s="4"/>
      <c r="BN1565" s="4"/>
      <c r="BO1565" s="4"/>
      <c r="BP1565" s="4"/>
      <c r="BQ1565" s="4"/>
      <c r="BR1565" s="4"/>
      <c r="BS1565" s="4"/>
      <c r="BT1565" s="4"/>
      <c r="BU1565" s="4"/>
      <c r="BV1565" s="4"/>
      <c r="BW1565" s="4"/>
      <c r="BX1565" s="4"/>
      <c r="BY1565" s="4"/>
      <c r="BZ1565" s="4"/>
      <c r="CA1565" s="4"/>
      <c r="CB1565" s="4"/>
      <c r="CC1565" s="4"/>
      <c r="CD1565" s="4"/>
      <c r="CE1565" s="4"/>
      <c r="CF1565" s="4"/>
      <c r="CG1565" s="4"/>
      <c r="CH1565" s="4"/>
      <c r="CI1565" s="4"/>
      <c r="CJ1565" s="4"/>
      <c r="CK1565" s="4"/>
      <c r="CL1565" s="4"/>
      <c r="CM1565" s="4"/>
      <c r="CN1565" s="4"/>
      <c r="CO1565" s="4"/>
      <c r="CP1565" s="4"/>
      <c r="CQ1565" s="4"/>
      <c r="CR1565" s="4"/>
      <c r="CS1565" s="4"/>
      <c r="CT1565" s="4"/>
      <c r="CU1565" s="4"/>
      <c r="CV1565" s="4"/>
      <c r="CW1565" s="4"/>
      <c r="CX1565" s="4"/>
      <c r="CY1565" s="4"/>
      <c r="CZ1565" s="4"/>
      <c r="DA1565" s="4"/>
      <c r="DB1565" s="4"/>
      <c r="DC1565" s="4"/>
      <c r="DD1565" s="4"/>
      <c r="DE1565" s="4"/>
      <c r="DF1565" s="4"/>
      <c r="DG1565" s="4"/>
      <c r="DH1565" s="4"/>
      <c r="DI1565" s="4"/>
      <c r="DJ1565" s="4"/>
      <c r="DK1565" s="4"/>
      <c r="DL1565" s="4"/>
      <c r="DM1565" s="4"/>
      <c r="DN1565" s="4"/>
      <c r="DO1565" s="4"/>
      <c r="DP1565" s="4"/>
      <c r="DQ1565" s="4"/>
      <c r="DR1565" s="4"/>
      <c r="DS1565" s="4"/>
    </row>
    <row r="1566">
      <c r="A1566" s="5">
        <f>IFERROR(__xludf.DUMMYFUNCTION("""COMPUTED_VALUE"""),45934.0)</f>
        <v>45934</v>
      </c>
      <c r="B1566" s="6" t="str">
        <f>IFERROR(__xludf.DUMMYFUNCTION("""COMPUTED_VALUE"""),"Gasoline")</f>
        <v>Gasoline</v>
      </c>
      <c r="C1566" s="7">
        <f>IFERROR(__xludf.DUMMYFUNCTION("""COMPUTED_VALUE"""),15000.0)</f>
        <v>15000</v>
      </c>
      <c r="D1566" s="6" t="str">
        <f>IFERROR(__xludf.DUMMYFUNCTION("""COMPUTED_VALUE"""),"Car Expenses")</f>
        <v>Car Expenses</v>
      </c>
      <c r="E1566" s="6" t="str">
        <f>IFERROR(__xludf.DUMMYFUNCTION("""COMPUTED_VALUE"""),"Credit Card")</f>
        <v>Credit Card</v>
      </c>
      <c r="F1566" s="6" t="s">
        <v>9</v>
      </c>
      <c r="G1566" s="8" t="str">
        <f t="shared" si="1"/>
        <v>202510</v>
      </c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  <c r="AA1566" s="4"/>
      <c r="AB1566" s="4"/>
      <c r="AC1566" s="4"/>
      <c r="AD1566" s="4"/>
      <c r="AE1566" s="4"/>
      <c r="AF1566" s="4"/>
      <c r="AG1566" s="4"/>
      <c r="AH1566" s="4"/>
      <c r="AI1566" s="4"/>
      <c r="AJ1566" s="4"/>
      <c r="AK1566" s="4"/>
      <c r="AL1566" s="4"/>
      <c r="AM1566" s="4"/>
      <c r="AN1566" s="4"/>
      <c r="AO1566" s="4"/>
      <c r="AP1566" s="4"/>
      <c r="AQ1566" s="4"/>
      <c r="AR1566" s="4"/>
      <c r="AS1566" s="4"/>
      <c r="AT1566" s="4"/>
      <c r="AU1566" s="4"/>
      <c r="AV1566" s="4"/>
      <c r="AW1566" s="4"/>
      <c r="AX1566" s="4"/>
      <c r="AY1566" s="4"/>
      <c r="AZ1566" s="4"/>
      <c r="BA1566" s="4"/>
      <c r="BB1566" s="4"/>
      <c r="BC1566" s="4"/>
      <c r="BD1566" s="4"/>
      <c r="BE1566" s="4"/>
      <c r="BF1566" s="4"/>
      <c r="BG1566" s="4"/>
      <c r="BH1566" s="4"/>
      <c r="BI1566" s="4"/>
      <c r="BJ1566" s="4"/>
      <c r="BK1566" s="4"/>
      <c r="BL1566" s="4"/>
      <c r="BM1566" s="4"/>
      <c r="BN1566" s="4"/>
      <c r="BO1566" s="4"/>
      <c r="BP1566" s="4"/>
      <c r="BQ1566" s="4"/>
      <c r="BR1566" s="4"/>
      <c r="BS1566" s="4"/>
      <c r="BT1566" s="4"/>
      <c r="BU1566" s="4"/>
      <c r="BV1566" s="4"/>
      <c r="BW1566" s="4"/>
      <c r="BX1566" s="4"/>
      <c r="BY1566" s="4"/>
      <c r="BZ1566" s="4"/>
      <c r="CA1566" s="4"/>
      <c r="CB1566" s="4"/>
      <c r="CC1566" s="4"/>
      <c r="CD1566" s="4"/>
      <c r="CE1566" s="4"/>
      <c r="CF1566" s="4"/>
      <c r="CG1566" s="4"/>
      <c r="CH1566" s="4"/>
      <c r="CI1566" s="4"/>
      <c r="CJ1566" s="4"/>
      <c r="CK1566" s="4"/>
      <c r="CL1566" s="4"/>
      <c r="CM1566" s="4"/>
      <c r="CN1566" s="4"/>
      <c r="CO1566" s="4"/>
      <c r="CP1566" s="4"/>
      <c r="CQ1566" s="4"/>
      <c r="CR1566" s="4"/>
      <c r="CS1566" s="4"/>
      <c r="CT1566" s="4"/>
      <c r="CU1566" s="4"/>
      <c r="CV1566" s="4"/>
      <c r="CW1566" s="4"/>
      <c r="CX1566" s="4"/>
      <c r="CY1566" s="4"/>
      <c r="CZ1566" s="4"/>
      <c r="DA1566" s="4"/>
      <c r="DB1566" s="4"/>
      <c r="DC1566" s="4"/>
      <c r="DD1566" s="4"/>
      <c r="DE1566" s="4"/>
      <c r="DF1566" s="4"/>
      <c r="DG1566" s="4"/>
      <c r="DH1566" s="4"/>
      <c r="DI1566" s="4"/>
      <c r="DJ1566" s="4"/>
      <c r="DK1566" s="4"/>
      <c r="DL1566" s="4"/>
      <c r="DM1566" s="4"/>
      <c r="DN1566" s="4"/>
      <c r="DO1566" s="4"/>
      <c r="DP1566" s="4"/>
      <c r="DQ1566" s="4"/>
      <c r="DR1566" s="4"/>
      <c r="DS1566" s="4"/>
    </row>
    <row r="1567">
      <c r="A1567" s="5">
        <f>IFERROR(__xludf.DUMMYFUNCTION("""COMPUTED_VALUE"""),45934.0)</f>
        <v>45934</v>
      </c>
      <c r="B1567" s="6" t="str">
        <f>IFERROR(__xludf.DUMMYFUNCTION("""COMPUTED_VALUE"""),"Pets")</f>
        <v>Pets</v>
      </c>
      <c r="C1567" s="7">
        <f>IFERROR(__xludf.DUMMYFUNCTION("""COMPUTED_VALUE"""),28750.0)</f>
        <v>28750</v>
      </c>
      <c r="D1567" s="6" t="str">
        <f>IFERROR(__xludf.DUMMYFUNCTION("""COMPUTED_VALUE"""),"Pets")</f>
        <v>Pets</v>
      </c>
      <c r="E1567" s="6" t="str">
        <f>IFERROR(__xludf.DUMMYFUNCTION("""COMPUTED_VALUE"""),"Split Payment")</f>
        <v>Split Payment</v>
      </c>
      <c r="F1567" s="6" t="s">
        <v>7</v>
      </c>
      <c r="G1567" s="8" t="str">
        <f t="shared" si="1"/>
        <v>202510</v>
      </c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  <c r="AA1567" s="4"/>
      <c r="AB1567" s="4"/>
      <c r="AC1567" s="4"/>
      <c r="AD1567" s="4"/>
      <c r="AE1567" s="4"/>
      <c r="AF1567" s="4"/>
      <c r="AG1567" s="4"/>
      <c r="AH1567" s="4"/>
      <c r="AI1567" s="4"/>
      <c r="AJ1567" s="4"/>
      <c r="AK1567" s="4"/>
      <c r="AL1567" s="4"/>
      <c r="AM1567" s="4"/>
      <c r="AN1567" s="4"/>
      <c r="AO1567" s="4"/>
      <c r="AP1567" s="4"/>
      <c r="AQ1567" s="4"/>
      <c r="AR1567" s="4"/>
      <c r="AS1567" s="4"/>
      <c r="AT1567" s="4"/>
      <c r="AU1567" s="4"/>
      <c r="AV1567" s="4"/>
      <c r="AW1567" s="4"/>
      <c r="AX1567" s="4"/>
      <c r="AY1567" s="4"/>
      <c r="AZ1567" s="4"/>
      <c r="BA1567" s="4"/>
      <c r="BB1567" s="4"/>
      <c r="BC1567" s="4"/>
      <c r="BD1567" s="4"/>
      <c r="BE1567" s="4"/>
      <c r="BF1567" s="4"/>
      <c r="BG1567" s="4"/>
      <c r="BH1567" s="4"/>
      <c r="BI1567" s="4"/>
      <c r="BJ1567" s="4"/>
      <c r="BK1567" s="4"/>
      <c r="BL1567" s="4"/>
      <c r="BM1567" s="4"/>
      <c r="BN1567" s="4"/>
      <c r="BO1567" s="4"/>
      <c r="BP1567" s="4"/>
      <c r="BQ1567" s="4"/>
      <c r="BR1567" s="4"/>
      <c r="BS1567" s="4"/>
      <c r="BT1567" s="4"/>
      <c r="BU1567" s="4"/>
      <c r="BV1567" s="4"/>
      <c r="BW1567" s="4"/>
      <c r="BX1567" s="4"/>
      <c r="BY1567" s="4"/>
      <c r="BZ1567" s="4"/>
      <c r="CA1567" s="4"/>
      <c r="CB1567" s="4"/>
      <c r="CC1567" s="4"/>
      <c r="CD1567" s="4"/>
      <c r="CE1567" s="4"/>
      <c r="CF1567" s="4"/>
      <c r="CG1567" s="4"/>
      <c r="CH1567" s="4"/>
      <c r="CI1567" s="4"/>
      <c r="CJ1567" s="4"/>
      <c r="CK1567" s="4"/>
      <c r="CL1567" s="4"/>
      <c r="CM1567" s="4"/>
      <c r="CN1567" s="4"/>
      <c r="CO1567" s="4"/>
      <c r="CP1567" s="4"/>
      <c r="CQ1567" s="4"/>
      <c r="CR1567" s="4"/>
      <c r="CS1567" s="4"/>
      <c r="CT1567" s="4"/>
      <c r="CU1567" s="4"/>
      <c r="CV1567" s="4"/>
      <c r="CW1567" s="4"/>
      <c r="CX1567" s="4"/>
      <c r="CY1567" s="4"/>
      <c r="CZ1567" s="4"/>
      <c r="DA1567" s="4"/>
      <c r="DB1567" s="4"/>
      <c r="DC1567" s="4"/>
      <c r="DD1567" s="4"/>
      <c r="DE1567" s="4"/>
      <c r="DF1567" s="4"/>
      <c r="DG1567" s="4"/>
      <c r="DH1567" s="4"/>
      <c r="DI1567" s="4"/>
      <c r="DJ1567" s="4"/>
      <c r="DK1567" s="4"/>
      <c r="DL1567" s="4"/>
      <c r="DM1567" s="4"/>
      <c r="DN1567" s="4"/>
      <c r="DO1567" s="4"/>
      <c r="DP1567" s="4"/>
      <c r="DQ1567" s="4"/>
      <c r="DR1567" s="4"/>
      <c r="DS1567" s="4"/>
    </row>
    <row r="1568">
      <c r="A1568" s="5">
        <f>IFERROR(__xludf.DUMMYFUNCTION("""COMPUTED_VALUE"""),45935.0)</f>
        <v>45935</v>
      </c>
      <c r="B1568" s="6" t="str">
        <f>IFERROR(__xludf.DUMMYFUNCTION("""COMPUTED_VALUE"""),"Home Goods")</f>
        <v>Home Goods</v>
      </c>
      <c r="C1568" s="7">
        <f>IFERROR(__xludf.DUMMYFUNCTION("""COMPUTED_VALUE"""),5500.0)</f>
        <v>5500</v>
      </c>
      <c r="D1568" s="6" t="str">
        <f>IFERROR(__xludf.DUMMYFUNCTION("""COMPUTED_VALUE"""),"Home Goods &amp; Utilities")</f>
        <v>Home Goods &amp; Utilities</v>
      </c>
      <c r="E1568" s="6" t="str">
        <f>IFERROR(__xludf.DUMMYFUNCTION("""COMPUTED_VALUE"""),"Split Payment")</f>
        <v>Split Payment</v>
      </c>
      <c r="F1568" s="6" t="s">
        <v>8</v>
      </c>
      <c r="G1568" s="8" t="str">
        <f t="shared" si="1"/>
        <v>202510</v>
      </c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  <c r="AA1568" s="4"/>
      <c r="AB1568" s="4"/>
      <c r="AC1568" s="4"/>
      <c r="AD1568" s="4"/>
      <c r="AE1568" s="4"/>
      <c r="AF1568" s="4"/>
      <c r="AG1568" s="4"/>
      <c r="AH1568" s="4"/>
      <c r="AI1568" s="4"/>
      <c r="AJ1568" s="4"/>
      <c r="AK1568" s="4"/>
      <c r="AL1568" s="4"/>
      <c r="AM1568" s="4"/>
      <c r="AN1568" s="4"/>
      <c r="AO1568" s="4"/>
      <c r="AP1568" s="4"/>
      <c r="AQ1568" s="4"/>
      <c r="AR1568" s="4"/>
      <c r="AS1568" s="4"/>
      <c r="AT1568" s="4"/>
      <c r="AU1568" s="4"/>
      <c r="AV1568" s="4"/>
      <c r="AW1568" s="4"/>
      <c r="AX1568" s="4"/>
      <c r="AY1568" s="4"/>
      <c r="AZ1568" s="4"/>
      <c r="BA1568" s="4"/>
      <c r="BB1568" s="4"/>
      <c r="BC1568" s="4"/>
      <c r="BD1568" s="4"/>
      <c r="BE1568" s="4"/>
      <c r="BF1568" s="4"/>
      <c r="BG1568" s="4"/>
      <c r="BH1568" s="4"/>
      <c r="BI1568" s="4"/>
      <c r="BJ1568" s="4"/>
      <c r="BK1568" s="4"/>
      <c r="BL1568" s="4"/>
      <c r="BM1568" s="4"/>
      <c r="BN1568" s="4"/>
      <c r="BO1568" s="4"/>
      <c r="BP1568" s="4"/>
      <c r="BQ1568" s="4"/>
      <c r="BR1568" s="4"/>
      <c r="BS1568" s="4"/>
      <c r="BT1568" s="4"/>
      <c r="BU1568" s="4"/>
      <c r="BV1568" s="4"/>
      <c r="BW1568" s="4"/>
      <c r="BX1568" s="4"/>
      <c r="BY1568" s="4"/>
      <c r="BZ1568" s="4"/>
      <c r="CA1568" s="4"/>
      <c r="CB1568" s="4"/>
      <c r="CC1568" s="4"/>
      <c r="CD1568" s="4"/>
      <c r="CE1568" s="4"/>
      <c r="CF1568" s="4"/>
      <c r="CG1568" s="4"/>
      <c r="CH1568" s="4"/>
      <c r="CI1568" s="4"/>
      <c r="CJ1568" s="4"/>
      <c r="CK1568" s="4"/>
      <c r="CL1568" s="4"/>
      <c r="CM1568" s="4"/>
      <c r="CN1568" s="4"/>
      <c r="CO1568" s="4"/>
      <c r="CP1568" s="4"/>
      <c r="CQ1568" s="4"/>
      <c r="CR1568" s="4"/>
      <c r="CS1568" s="4"/>
      <c r="CT1568" s="4"/>
      <c r="CU1568" s="4"/>
      <c r="CV1568" s="4"/>
      <c r="CW1568" s="4"/>
      <c r="CX1568" s="4"/>
      <c r="CY1568" s="4"/>
      <c r="CZ1568" s="4"/>
      <c r="DA1568" s="4"/>
      <c r="DB1568" s="4"/>
      <c r="DC1568" s="4"/>
      <c r="DD1568" s="4"/>
      <c r="DE1568" s="4"/>
      <c r="DF1568" s="4"/>
      <c r="DG1568" s="4"/>
      <c r="DH1568" s="4"/>
      <c r="DI1568" s="4"/>
      <c r="DJ1568" s="4"/>
      <c r="DK1568" s="4"/>
      <c r="DL1568" s="4"/>
      <c r="DM1568" s="4"/>
      <c r="DN1568" s="4"/>
      <c r="DO1568" s="4"/>
      <c r="DP1568" s="4"/>
      <c r="DQ1568" s="4"/>
      <c r="DR1568" s="4"/>
      <c r="DS1568" s="4"/>
    </row>
    <row r="1569">
      <c r="A1569" s="5">
        <f>IFERROR(__xludf.DUMMYFUNCTION("""COMPUTED_VALUE"""),45940.0)</f>
        <v>45940</v>
      </c>
      <c r="B1569" s="6" t="str">
        <f>IFERROR(__xludf.DUMMYFUNCTION("""COMPUTED_VALUE"""),"Home Goods")</f>
        <v>Home Goods</v>
      </c>
      <c r="C1569" s="7">
        <f>IFERROR(__xludf.DUMMYFUNCTION("""COMPUTED_VALUE"""),5500.0)</f>
        <v>5500</v>
      </c>
      <c r="D1569" s="6" t="str">
        <f>IFERROR(__xludf.DUMMYFUNCTION("""COMPUTED_VALUE"""),"Home Goods &amp; Utilities")</f>
        <v>Home Goods &amp; Utilities</v>
      </c>
      <c r="E1569" s="6" t="str">
        <f>IFERROR(__xludf.DUMMYFUNCTION("""COMPUTED_VALUE"""),"Split Payment")</f>
        <v>Split Payment</v>
      </c>
      <c r="F1569" s="6" t="s">
        <v>8</v>
      </c>
      <c r="G1569" s="8" t="str">
        <f t="shared" si="1"/>
        <v>202510</v>
      </c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  <c r="AA1569" s="4"/>
      <c r="AB1569" s="4"/>
      <c r="AC1569" s="4"/>
      <c r="AD1569" s="4"/>
      <c r="AE1569" s="4"/>
      <c r="AF1569" s="4"/>
      <c r="AG1569" s="4"/>
      <c r="AH1569" s="4"/>
      <c r="AI1569" s="4"/>
      <c r="AJ1569" s="4"/>
      <c r="AK1569" s="4"/>
      <c r="AL1569" s="4"/>
      <c r="AM1569" s="4"/>
      <c r="AN1569" s="4"/>
      <c r="AO1569" s="4"/>
      <c r="AP1569" s="4"/>
      <c r="AQ1569" s="4"/>
      <c r="AR1569" s="4"/>
      <c r="AS1569" s="4"/>
      <c r="AT1569" s="4"/>
      <c r="AU1569" s="4"/>
      <c r="AV1569" s="4"/>
      <c r="AW1569" s="4"/>
      <c r="AX1569" s="4"/>
      <c r="AY1569" s="4"/>
      <c r="AZ1569" s="4"/>
      <c r="BA1569" s="4"/>
      <c r="BB1569" s="4"/>
      <c r="BC1569" s="4"/>
      <c r="BD1569" s="4"/>
      <c r="BE1569" s="4"/>
      <c r="BF1569" s="4"/>
      <c r="BG1569" s="4"/>
      <c r="BH1569" s="4"/>
      <c r="BI1569" s="4"/>
      <c r="BJ1569" s="4"/>
      <c r="BK1569" s="4"/>
      <c r="BL1569" s="4"/>
      <c r="BM1569" s="4"/>
      <c r="BN1569" s="4"/>
      <c r="BO1569" s="4"/>
      <c r="BP1569" s="4"/>
      <c r="BQ1569" s="4"/>
      <c r="BR1569" s="4"/>
      <c r="BS1569" s="4"/>
      <c r="BT1569" s="4"/>
      <c r="BU1569" s="4"/>
      <c r="BV1569" s="4"/>
      <c r="BW1569" s="4"/>
      <c r="BX1569" s="4"/>
      <c r="BY1569" s="4"/>
      <c r="BZ1569" s="4"/>
      <c r="CA1569" s="4"/>
      <c r="CB1569" s="4"/>
      <c r="CC1569" s="4"/>
      <c r="CD1569" s="4"/>
      <c r="CE1569" s="4"/>
      <c r="CF1569" s="4"/>
      <c r="CG1569" s="4"/>
      <c r="CH1569" s="4"/>
      <c r="CI1569" s="4"/>
      <c r="CJ1569" s="4"/>
      <c r="CK1569" s="4"/>
      <c r="CL1569" s="4"/>
      <c r="CM1569" s="4"/>
      <c r="CN1569" s="4"/>
      <c r="CO1569" s="4"/>
      <c r="CP1569" s="4"/>
      <c r="CQ1569" s="4"/>
      <c r="CR1569" s="4"/>
      <c r="CS1569" s="4"/>
      <c r="CT1569" s="4"/>
      <c r="CU1569" s="4"/>
      <c r="CV1569" s="4"/>
      <c r="CW1569" s="4"/>
      <c r="CX1569" s="4"/>
      <c r="CY1569" s="4"/>
      <c r="CZ1569" s="4"/>
      <c r="DA1569" s="4"/>
      <c r="DB1569" s="4"/>
      <c r="DC1569" s="4"/>
      <c r="DD1569" s="4"/>
      <c r="DE1569" s="4"/>
      <c r="DF1569" s="4"/>
      <c r="DG1569" s="4"/>
      <c r="DH1569" s="4"/>
      <c r="DI1569" s="4"/>
      <c r="DJ1569" s="4"/>
      <c r="DK1569" s="4"/>
      <c r="DL1569" s="4"/>
      <c r="DM1569" s="4"/>
      <c r="DN1569" s="4"/>
      <c r="DO1569" s="4"/>
      <c r="DP1569" s="4"/>
      <c r="DQ1569" s="4"/>
      <c r="DR1569" s="4"/>
      <c r="DS1569" s="4"/>
    </row>
    <row r="1570">
      <c r="A1570" s="5">
        <f>IFERROR(__xludf.DUMMYFUNCTION("""COMPUTED_VALUE"""),45940.0)</f>
        <v>45940</v>
      </c>
      <c r="B1570" s="6" t="str">
        <f>IFERROR(__xludf.DUMMYFUNCTION("""COMPUTED_VALUE"""),"Internet Services")</f>
        <v>Internet Services</v>
      </c>
      <c r="C1570" s="7">
        <f>IFERROR(__xludf.DUMMYFUNCTION("""COMPUTED_VALUE"""),26123.0)</f>
        <v>26123</v>
      </c>
      <c r="D1570" s="6" t="str">
        <f>IFERROR(__xludf.DUMMYFUNCTION("""COMPUTED_VALUE"""),"Basic Services")</f>
        <v>Basic Services</v>
      </c>
      <c r="E1570" s="6" t="str">
        <f>IFERROR(__xludf.DUMMYFUNCTION("""COMPUTED_VALUE"""),"Credit Card")</f>
        <v>Credit Card</v>
      </c>
      <c r="F1570" s="6" t="s">
        <v>13</v>
      </c>
      <c r="G1570" s="8" t="str">
        <f t="shared" si="1"/>
        <v>202510</v>
      </c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  <c r="AA1570" s="4"/>
      <c r="AB1570" s="4"/>
      <c r="AC1570" s="4"/>
      <c r="AD1570" s="4"/>
      <c r="AE1570" s="4"/>
      <c r="AF1570" s="4"/>
      <c r="AG1570" s="4"/>
      <c r="AH1570" s="4"/>
      <c r="AI1570" s="4"/>
      <c r="AJ1570" s="4"/>
      <c r="AK1570" s="4"/>
      <c r="AL1570" s="4"/>
      <c r="AM1570" s="4"/>
      <c r="AN1570" s="4"/>
      <c r="AO1570" s="4"/>
      <c r="AP1570" s="4"/>
      <c r="AQ1570" s="4"/>
      <c r="AR1570" s="4"/>
      <c r="AS1570" s="4"/>
      <c r="AT1570" s="4"/>
      <c r="AU1570" s="4"/>
      <c r="AV1570" s="4"/>
      <c r="AW1570" s="4"/>
      <c r="AX1570" s="4"/>
      <c r="AY1570" s="4"/>
      <c r="AZ1570" s="4"/>
      <c r="BA1570" s="4"/>
      <c r="BB1570" s="4"/>
      <c r="BC1570" s="4"/>
      <c r="BD1570" s="4"/>
      <c r="BE1570" s="4"/>
      <c r="BF1570" s="4"/>
      <c r="BG1570" s="4"/>
      <c r="BH1570" s="4"/>
      <c r="BI1570" s="4"/>
      <c r="BJ1570" s="4"/>
      <c r="BK1570" s="4"/>
      <c r="BL1570" s="4"/>
      <c r="BM1570" s="4"/>
      <c r="BN1570" s="4"/>
      <c r="BO1570" s="4"/>
      <c r="BP1570" s="4"/>
      <c r="BQ1570" s="4"/>
      <c r="BR1570" s="4"/>
      <c r="BS1570" s="4"/>
      <c r="BT1570" s="4"/>
      <c r="BU1570" s="4"/>
      <c r="BV1570" s="4"/>
      <c r="BW1570" s="4"/>
      <c r="BX1570" s="4"/>
      <c r="BY1570" s="4"/>
      <c r="BZ1570" s="4"/>
      <c r="CA1570" s="4"/>
      <c r="CB1570" s="4"/>
      <c r="CC1570" s="4"/>
      <c r="CD1570" s="4"/>
      <c r="CE1570" s="4"/>
      <c r="CF1570" s="4"/>
      <c r="CG1570" s="4"/>
      <c r="CH1570" s="4"/>
      <c r="CI1570" s="4"/>
      <c r="CJ1570" s="4"/>
      <c r="CK1570" s="4"/>
      <c r="CL1570" s="4"/>
      <c r="CM1570" s="4"/>
      <c r="CN1570" s="4"/>
      <c r="CO1570" s="4"/>
      <c r="CP1570" s="4"/>
      <c r="CQ1570" s="4"/>
      <c r="CR1570" s="4"/>
      <c r="CS1570" s="4"/>
      <c r="CT1570" s="4"/>
      <c r="CU1570" s="4"/>
      <c r="CV1570" s="4"/>
      <c r="CW1570" s="4"/>
      <c r="CX1570" s="4"/>
      <c r="CY1570" s="4"/>
      <c r="CZ1570" s="4"/>
      <c r="DA1570" s="4"/>
      <c r="DB1570" s="4"/>
      <c r="DC1570" s="4"/>
      <c r="DD1570" s="4"/>
      <c r="DE1570" s="4"/>
      <c r="DF1570" s="4"/>
      <c r="DG1570" s="4"/>
      <c r="DH1570" s="4"/>
      <c r="DI1570" s="4"/>
      <c r="DJ1570" s="4"/>
      <c r="DK1570" s="4"/>
      <c r="DL1570" s="4"/>
      <c r="DM1570" s="4"/>
      <c r="DN1570" s="4"/>
      <c r="DO1570" s="4"/>
      <c r="DP1570" s="4"/>
      <c r="DQ1570" s="4"/>
      <c r="DR1570" s="4"/>
      <c r="DS1570" s="4"/>
    </row>
    <row r="1571">
      <c r="A1571" s="5">
        <f>IFERROR(__xludf.DUMMYFUNCTION("""COMPUTED_VALUE"""),45945.0)</f>
        <v>45945</v>
      </c>
      <c r="B1571" s="6" t="str">
        <f>IFERROR(__xludf.DUMMYFUNCTION("""COMPUTED_VALUE"""),"Appliances")</f>
        <v>Appliances</v>
      </c>
      <c r="C1571" s="7">
        <f>IFERROR(__xludf.DUMMYFUNCTION("""COMPUTED_VALUE"""),5965.0)</f>
        <v>5965</v>
      </c>
      <c r="D1571" s="6" t="str">
        <f>IFERROR(__xludf.DUMMYFUNCTION("""COMPUTED_VALUE"""),"Home Goods &amp; Utilities")</f>
        <v>Home Goods &amp; Utilities</v>
      </c>
      <c r="E1571" s="6" t="str">
        <f>IFERROR(__xludf.DUMMYFUNCTION("""COMPUTED_VALUE"""),"Credit Card")</f>
        <v>Credit Card</v>
      </c>
      <c r="F1571" s="6" t="s">
        <v>8</v>
      </c>
      <c r="G1571" s="8" t="str">
        <f t="shared" si="1"/>
        <v>202510</v>
      </c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  <c r="AA1571" s="4"/>
      <c r="AB1571" s="4"/>
      <c r="AC1571" s="4"/>
      <c r="AD1571" s="4"/>
      <c r="AE1571" s="4"/>
      <c r="AF1571" s="4"/>
      <c r="AG1571" s="4"/>
      <c r="AH1571" s="4"/>
      <c r="AI1571" s="4"/>
      <c r="AJ1571" s="4"/>
      <c r="AK1571" s="4"/>
      <c r="AL1571" s="4"/>
      <c r="AM1571" s="4"/>
      <c r="AN1571" s="4"/>
      <c r="AO1571" s="4"/>
      <c r="AP1571" s="4"/>
      <c r="AQ1571" s="4"/>
      <c r="AR1571" s="4"/>
      <c r="AS1571" s="4"/>
      <c r="AT1571" s="4"/>
      <c r="AU1571" s="4"/>
      <c r="AV1571" s="4"/>
      <c r="AW1571" s="4"/>
      <c r="AX1571" s="4"/>
      <c r="AY1571" s="4"/>
      <c r="AZ1571" s="4"/>
      <c r="BA1571" s="4"/>
      <c r="BB1571" s="4"/>
      <c r="BC1571" s="4"/>
      <c r="BD1571" s="4"/>
      <c r="BE1571" s="4"/>
      <c r="BF1571" s="4"/>
      <c r="BG1571" s="4"/>
      <c r="BH1571" s="4"/>
      <c r="BI1571" s="4"/>
      <c r="BJ1571" s="4"/>
      <c r="BK1571" s="4"/>
      <c r="BL1571" s="4"/>
      <c r="BM1571" s="4"/>
      <c r="BN1571" s="4"/>
      <c r="BO1571" s="4"/>
      <c r="BP1571" s="4"/>
      <c r="BQ1571" s="4"/>
      <c r="BR1571" s="4"/>
      <c r="BS1571" s="4"/>
      <c r="BT1571" s="4"/>
      <c r="BU1571" s="4"/>
      <c r="BV1571" s="4"/>
      <c r="BW1571" s="4"/>
      <c r="BX1571" s="4"/>
      <c r="BY1571" s="4"/>
      <c r="BZ1571" s="4"/>
      <c r="CA1571" s="4"/>
      <c r="CB1571" s="4"/>
      <c r="CC1571" s="4"/>
      <c r="CD1571" s="4"/>
      <c r="CE1571" s="4"/>
      <c r="CF1571" s="4"/>
      <c r="CG1571" s="4"/>
      <c r="CH1571" s="4"/>
      <c r="CI1571" s="4"/>
      <c r="CJ1571" s="4"/>
      <c r="CK1571" s="4"/>
      <c r="CL1571" s="4"/>
      <c r="CM1571" s="4"/>
      <c r="CN1571" s="4"/>
      <c r="CO1571" s="4"/>
      <c r="CP1571" s="4"/>
      <c r="CQ1571" s="4"/>
      <c r="CR1571" s="4"/>
      <c r="CS1571" s="4"/>
      <c r="CT1571" s="4"/>
      <c r="CU1571" s="4"/>
      <c r="CV1571" s="4"/>
      <c r="CW1571" s="4"/>
      <c r="CX1571" s="4"/>
      <c r="CY1571" s="4"/>
      <c r="CZ1571" s="4"/>
      <c r="DA1571" s="4"/>
      <c r="DB1571" s="4"/>
      <c r="DC1571" s="4"/>
      <c r="DD1571" s="4"/>
      <c r="DE1571" s="4"/>
      <c r="DF1571" s="4"/>
      <c r="DG1571" s="4"/>
      <c r="DH1571" s="4"/>
      <c r="DI1571" s="4"/>
      <c r="DJ1571" s="4"/>
      <c r="DK1571" s="4"/>
      <c r="DL1571" s="4"/>
      <c r="DM1571" s="4"/>
      <c r="DN1571" s="4"/>
      <c r="DO1571" s="4"/>
      <c r="DP1571" s="4"/>
      <c r="DQ1571" s="4"/>
      <c r="DR1571" s="4"/>
      <c r="DS1571" s="4"/>
    </row>
    <row r="1572">
      <c r="A1572" s="10">
        <f>IFERROR(__xludf.DUMMYFUNCTION("""COMPUTED_VALUE"""),45946.0)</f>
        <v>45946</v>
      </c>
      <c r="B1572" s="6" t="str">
        <f>IFERROR(__xludf.DUMMYFUNCTION("""COMPUTED_VALUE"""),"Personal Care")</f>
        <v>Personal Care</v>
      </c>
      <c r="C1572" s="7">
        <f>IFERROR(__xludf.DUMMYFUNCTION("""COMPUTED_VALUE"""),25289.99)</f>
        <v>25289.99</v>
      </c>
      <c r="D1572" s="6" t="str">
        <f>IFERROR(__xludf.DUMMYFUNCTION("""COMPUTED_VALUE"""),"Personal Care")</f>
        <v>Personal Care</v>
      </c>
      <c r="E1572" s="6" t="str">
        <f>IFERROR(__xludf.DUMMYFUNCTION("""COMPUTED_VALUE"""),"Credit Card")</f>
        <v>Credit Card</v>
      </c>
      <c r="F1572" s="6" t="s">
        <v>16</v>
      </c>
      <c r="G1572" s="8" t="str">
        <f t="shared" si="1"/>
        <v>202510</v>
      </c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  <c r="AA1572" s="4"/>
      <c r="AB1572" s="4"/>
      <c r="AC1572" s="4"/>
      <c r="AD1572" s="4"/>
      <c r="AE1572" s="4"/>
      <c r="AF1572" s="4"/>
      <c r="AG1572" s="4"/>
      <c r="AH1572" s="4"/>
      <c r="AI1572" s="4"/>
      <c r="AJ1572" s="4"/>
      <c r="AK1572" s="4"/>
      <c r="AL1572" s="4"/>
      <c r="AM1572" s="4"/>
      <c r="AN1572" s="4"/>
      <c r="AO1572" s="4"/>
      <c r="AP1572" s="4"/>
      <c r="AQ1572" s="4"/>
      <c r="AR1572" s="4"/>
      <c r="AS1572" s="4"/>
      <c r="AT1572" s="4"/>
      <c r="AU1572" s="4"/>
      <c r="AV1572" s="4"/>
      <c r="AW1572" s="4"/>
      <c r="AX1572" s="4"/>
      <c r="AY1572" s="4"/>
      <c r="AZ1572" s="4"/>
      <c r="BA1572" s="4"/>
      <c r="BB1572" s="4"/>
      <c r="BC1572" s="4"/>
      <c r="BD1572" s="4"/>
      <c r="BE1572" s="4"/>
      <c r="BF1572" s="4"/>
      <c r="BG1572" s="4"/>
      <c r="BH1572" s="4"/>
      <c r="BI1572" s="4"/>
      <c r="BJ1572" s="4"/>
      <c r="BK1572" s="4"/>
      <c r="BL1572" s="4"/>
      <c r="BM1572" s="4"/>
      <c r="BN1572" s="4"/>
      <c r="BO1572" s="4"/>
      <c r="BP1572" s="4"/>
      <c r="BQ1572" s="4"/>
      <c r="BR1572" s="4"/>
      <c r="BS1572" s="4"/>
      <c r="BT1572" s="4"/>
      <c r="BU1572" s="4"/>
      <c r="BV1572" s="4"/>
      <c r="BW1572" s="4"/>
      <c r="BX1572" s="4"/>
      <c r="BY1572" s="4"/>
      <c r="BZ1572" s="4"/>
      <c r="CA1572" s="4"/>
      <c r="CB1572" s="4"/>
      <c r="CC1572" s="4"/>
      <c r="CD1572" s="4"/>
      <c r="CE1572" s="4"/>
      <c r="CF1572" s="4"/>
      <c r="CG1572" s="4"/>
      <c r="CH1572" s="4"/>
      <c r="CI1572" s="4"/>
      <c r="CJ1572" s="4"/>
      <c r="CK1572" s="4"/>
      <c r="CL1572" s="4"/>
      <c r="CM1572" s="4"/>
      <c r="CN1572" s="4"/>
      <c r="CO1572" s="4"/>
      <c r="CP1572" s="4"/>
      <c r="CQ1572" s="4"/>
      <c r="CR1572" s="4"/>
      <c r="CS1572" s="4"/>
      <c r="CT1572" s="4"/>
      <c r="CU1572" s="4"/>
      <c r="CV1572" s="4"/>
      <c r="CW1572" s="4"/>
      <c r="CX1572" s="4"/>
      <c r="CY1572" s="4"/>
      <c r="CZ1572" s="4"/>
      <c r="DA1572" s="4"/>
      <c r="DB1572" s="4"/>
      <c r="DC1572" s="4"/>
      <c r="DD1572" s="4"/>
      <c r="DE1572" s="4"/>
      <c r="DF1572" s="4"/>
      <c r="DG1572" s="4"/>
      <c r="DH1572" s="4"/>
      <c r="DI1572" s="4"/>
      <c r="DJ1572" s="4"/>
      <c r="DK1572" s="4"/>
      <c r="DL1572" s="4"/>
      <c r="DM1572" s="4"/>
      <c r="DN1572" s="4"/>
      <c r="DO1572" s="4"/>
      <c r="DP1572" s="4"/>
      <c r="DQ1572" s="4"/>
      <c r="DR1572" s="4"/>
      <c r="DS1572" s="4"/>
    </row>
    <row r="1573">
      <c r="A1573" s="10">
        <f>IFERROR(__xludf.DUMMYFUNCTION("""COMPUTED_VALUE"""),45947.0)</f>
        <v>45947</v>
      </c>
      <c r="B1573" s="6" t="str">
        <f>IFERROR(__xludf.DUMMYFUNCTION("""COMPUTED_VALUE"""),"Groceries")</f>
        <v>Groceries</v>
      </c>
      <c r="C1573" s="7">
        <f>IFERROR(__xludf.DUMMYFUNCTION("""COMPUTED_VALUE"""),8902.0)</f>
        <v>8902</v>
      </c>
      <c r="D1573" s="6" t="str">
        <f>IFERROR(__xludf.DUMMYFUNCTION("""COMPUTED_VALUE"""),"Groceries")</f>
        <v>Groceries</v>
      </c>
      <c r="E1573" s="6" t="str">
        <f>IFERROR(__xludf.DUMMYFUNCTION("""COMPUTED_VALUE"""),"Split Payment")</f>
        <v>Split Payment</v>
      </c>
      <c r="F1573" s="6" t="s">
        <v>7</v>
      </c>
      <c r="G1573" s="8" t="str">
        <f t="shared" si="1"/>
        <v>202510</v>
      </c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  <c r="AA1573" s="4"/>
      <c r="AB1573" s="4"/>
      <c r="AC1573" s="4"/>
      <c r="AD1573" s="4"/>
      <c r="AE1573" s="4"/>
      <c r="AF1573" s="4"/>
      <c r="AG1573" s="4"/>
      <c r="AH1573" s="4"/>
      <c r="AI1573" s="4"/>
      <c r="AJ1573" s="4"/>
      <c r="AK1573" s="4"/>
      <c r="AL1573" s="4"/>
      <c r="AM1573" s="4"/>
      <c r="AN1573" s="4"/>
      <c r="AO1573" s="4"/>
      <c r="AP1573" s="4"/>
      <c r="AQ1573" s="4"/>
      <c r="AR1573" s="4"/>
      <c r="AS1573" s="4"/>
      <c r="AT1573" s="4"/>
      <c r="AU1573" s="4"/>
      <c r="AV1573" s="4"/>
      <c r="AW1573" s="4"/>
      <c r="AX1573" s="4"/>
      <c r="AY1573" s="4"/>
      <c r="AZ1573" s="4"/>
      <c r="BA1573" s="4"/>
      <c r="BB1573" s="4"/>
      <c r="BC1573" s="4"/>
      <c r="BD1573" s="4"/>
      <c r="BE1573" s="4"/>
      <c r="BF1573" s="4"/>
      <c r="BG1573" s="4"/>
      <c r="BH1573" s="4"/>
      <c r="BI1573" s="4"/>
      <c r="BJ1573" s="4"/>
      <c r="BK1573" s="4"/>
      <c r="BL1573" s="4"/>
      <c r="BM1573" s="4"/>
      <c r="BN1573" s="4"/>
      <c r="BO1573" s="4"/>
      <c r="BP1573" s="4"/>
      <c r="BQ1573" s="4"/>
      <c r="BR1573" s="4"/>
      <c r="BS1573" s="4"/>
      <c r="BT1573" s="4"/>
      <c r="BU1573" s="4"/>
      <c r="BV1573" s="4"/>
      <c r="BW1573" s="4"/>
      <c r="BX1573" s="4"/>
      <c r="BY1573" s="4"/>
      <c r="BZ1573" s="4"/>
      <c r="CA1573" s="4"/>
      <c r="CB1573" s="4"/>
      <c r="CC1573" s="4"/>
      <c r="CD1573" s="4"/>
      <c r="CE1573" s="4"/>
      <c r="CF1573" s="4"/>
      <c r="CG1573" s="4"/>
      <c r="CH1573" s="4"/>
      <c r="CI1573" s="4"/>
      <c r="CJ1573" s="4"/>
      <c r="CK1573" s="4"/>
      <c r="CL1573" s="4"/>
      <c r="CM1573" s="4"/>
      <c r="CN1573" s="4"/>
      <c r="CO1573" s="4"/>
      <c r="CP1573" s="4"/>
      <c r="CQ1573" s="4"/>
      <c r="CR1573" s="4"/>
      <c r="CS1573" s="4"/>
      <c r="CT1573" s="4"/>
      <c r="CU1573" s="4"/>
      <c r="CV1573" s="4"/>
      <c r="CW1573" s="4"/>
      <c r="CX1573" s="4"/>
      <c r="CY1573" s="4"/>
      <c r="CZ1573" s="4"/>
      <c r="DA1573" s="4"/>
      <c r="DB1573" s="4"/>
      <c r="DC1573" s="4"/>
      <c r="DD1573" s="4"/>
      <c r="DE1573" s="4"/>
      <c r="DF1573" s="4"/>
      <c r="DG1573" s="4"/>
      <c r="DH1573" s="4"/>
      <c r="DI1573" s="4"/>
      <c r="DJ1573" s="4"/>
      <c r="DK1573" s="4"/>
      <c r="DL1573" s="4"/>
      <c r="DM1573" s="4"/>
      <c r="DN1573" s="4"/>
      <c r="DO1573" s="4"/>
      <c r="DP1573" s="4"/>
      <c r="DQ1573" s="4"/>
      <c r="DR1573" s="4"/>
      <c r="DS1573" s="4"/>
    </row>
    <row r="1574">
      <c r="A1574" s="10">
        <f>IFERROR(__xludf.DUMMYFUNCTION("""COMPUTED_VALUE"""),45947.0)</f>
        <v>45947</v>
      </c>
      <c r="B1574" s="6" t="str">
        <f>IFERROR(__xludf.DUMMYFUNCTION("""COMPUTED_VALUE"""),"Home Goods")</f>
        <v>Home Goods</v>
      </c>
      <c r="C1574" s="7">
        <f>IFERROR(__xludf.DUMMYFUNCTION("""COMPUTED_VALUE"""),73532.0)</f>
        <v>73532</v>
      </c>
      <c r="D1574" s="6" t="str">
        <f>IFERROR(__xludf.DUMMYFUNCTION("""COMPUTED_VALUE"""),"Home Goods &amp; Utilities")</f>
        <v>Home Goods &amp; Utilities</v>
      </c>
      <c r="E1574" s="6" t="str">
        <f>IFERROR(__xludf.DUMMYFUNCTION("""COMPUTED_VALUE"""),"Credit Card")</f>
        <v>Credit Card</v>
      </c>
      <c r="F1574" s="6" t="s">
        <v>8</v>
      </c>
      <c r="G1574" s="8" t="str">
        <f t="shared" si="1"/>
        <v>202510</v>
      </c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  <c r="AA1574" s="4"/>
      <c r="AB1574" s="4"/>
      <c r="AC1574" s="4"/>
      <c r="AD1574" s="4"/>
      <c r="AE1574" s="4"/>
      <c r="AF1574" s="4"/>
      <c r="AG1574" s="4"/>
      <c r="AH1574" s="4"/>
      <c r="AI1574" s="4"/>
      <c r="AJ1574" s="4"/>
      <c r="AK1574" s="4"/>
      <c r="AL1574" s="4"/>
      <c r="AM1574" s="4"/>
      <c r="AN1574" s="4"/>
      <c r="AO1574" s="4"/>
      <c r="AP1574" s="4"/>
      <c r="AQ1574" s="4"/>
      <c r="AR1574" s="4"/>
      <c r="AS1574" s="4"/>
      <c r="AT1574" s="4"/>
      <c r="AU1574" s="4"/>
      <c r="AV1574" s="4"/>
      <c r="AW1574" s="4"/>
      <c r="AX1574" s="4"/>
      <c r="AY1574" s="4"/>
      <c r="AZ1574" s="4"/>
      <c r="BA1574" s="4"/>
      <c r="BB1574" s="4"/>
      <c r="BC1574" s="4"/>
      <c r="BD1574" s="4"/>
      <c r="BE1574" s="4"/>
      <c r="BF1574" s="4"/>
      <c r="BG1574" s="4"/>
      <c r="BH1574" s="4"/>
      <c r="BI1574" s="4"/>
      <c r="BJ1574" s="4"/>
      <c r="BK1574" s="4"/>
      <c r="BL1574" s="4"/>
      <c r="BM1574" s="4"/>
      <c r="BN1574" s="4"/>
      <c r="BO1574" s="4"/>
      <c r="BP1574" s="4"/>
      <c r="BQ1574" s="4"/>
      <c r="BR1574" s="4"/>
      <c r="BS1574" s="4"/>
      <c r="BT1574" s="4"/>
      <c r="BU1574" s="4"/>
      <c r="BV1574" s="4"/>
      <c r="BW1574" s="4"/>
      <c r="BX1574" s="4"/>
      <c r="BY1574" s="4"/>
      <c r="BZ1574" s="4"/>
      <c r="CA1574" s="4"/>
      <c r="CB1574" s="4"/>
      <c r="CC1574" s="4"/>
      <c r="CD1574" s="4"/>
      <c r="CE1574" s="4"/>
      <c r="CF1574" s="4"/>
      <c r="CG1574" s="4"/>
      <c r="CH1574" s="4"/>
      <c r="CI1574" s="4"/>
      <c r="CJ1574" s="4"/>
      <c r="CK1574" s="4"/>
      <c r="CL1574" s="4"/>
      <c r="CM1574" s="4"/>
      <c r="CN1574" s="4"/>
      <c r="CO1574" s="4"/>
      <c r="CP1574" s="4"/>
      <c r="CQ1574" s="4"/>
      <c r="CR1574" s="4"/>
      <c r="CS1574" s="4"/>
      <c r="CT1574" s="4"/>
      <c r="CU1574" s="4"/>
      <c r="CV1574" s="4"/>
      <c r="CW1574" s="4"/>
      <c r="CX1574" s="4"/>
      <c r="CY1574" s="4"/>
      <c r="CZ1574" s="4"/>
      <c r="DA1574" s="4"/>
      <c r="DB1574" s="4"/>
      <c r="DC1574" s="4"/>
      <c r="DD1574" s="4"/>
      <c r="DE1574" s="4"/>
      <c r="DF1574" s="4"/>
      <c r="DG1574" s="4"/>
      <c r="DH1574" s="4"/>
      <c r="DI1574" s="4"/>
      <c r="DJ1574" s="4"/>
      <c r="DK1574" s="4"/>
      <c r="DL1574" s="4"/>
      <c r="DM1574" s="4"/>
      <c r="DN1574" s="4"/>
      <c r="DO1574" s="4"/>
      <c r="DP1574" s="4"/>
      <c r="DQ1574" s="4"/>
      <c r="DR1574" s="4"/>
      <c r="DS1574" s="4"/>
    </row>
    <row r="1575">
      <c r="A1575" s="10">
        <f>IFERROR(__xludf.DUMMYFUNCTION("""COMPUTED_VALUE"""),45947.0)</f>
        <v>45947</v>
      </c>
      <c r="B1575" s="6" t="str">
        <f>IFERROR(__xludf.DUMMYFUNCTION("""COMPUTED_VALUE"""),"Pets")</f>
        <v>Pets</v>
      </c>
      <c r="C1575" s="7">
        <f>IFERROR(__xludf.DUMMYFUNCTION("""COMPUTED_VALUE"""),4500.0)</f>
        <v>4500</v>
      </c>
      <c r="D1575" s="6" t="str">
        <f>IFERROR(__xludf.DUMMYFUNCTION("""COMPUTED_VALUE"""),"Pets")</f>
        <v>Pets</v>
      </c>
      <c r="E1575" s="6" t="str">
        <f>IFERROR(__xludf.DUMMYFUNCTION("""COMPUTED_VALUE"""),"Split Payment")</f>
        <v>Split Payment</v>
      </c>
      <c r="F1575" s="6" t="s">
        <v>7</v>
      </c>
      <c r="G1575" s="8" t="str">
        <f t="shared" si="1"/>
        <v>202510</v>
      </c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  <c r="AA1575" s="4"/>
      <c r="AB1575" s="4"/>
      <c r="AC1575" s="4"/>
      <c r="AD1575" s="4"/>
      <c r="AE1575" s="4"/>
      <c r="AF1575" s="4"/>
      <c r="AG1575" s="4"/>
      <c r="AH1575" s="4"/>
      <c r="AI1575" s="4"/>
      <c r="AJ1575" s="4"/>
      <c r="AK1575" s="4"/>
      <c r="AL1575" s="4"/>
      <c r="AM1575" s="4"/>
      <c r="AN1575" s="4"/>
      <c r="AO1575" s="4"/>
      <c r="AP1575" s="4"/>
      <c r="AQ1575" s="4"/>
      <c r="AR1575" s="4"/>
      <c r="AS1575" s="4"/>
      <c r="AT1575" s="4"/>
      <c r="AU1575" s="4"/>
      <c r="AV1575" s="4"/>
      <c r="AW1575" s="4"/>
      <c r="AX1575" s="4"/>
      <c r="AY1575" s="4"/>
      <c r="AZ1575" s="4"/>
      <c r="BA1575" s="4"/>
      <c r="BB1575" s="4"/>
      <c r="BC1575" s="4"/>
      <c r="BD1575" s="4"/>
      <c r="BE1575" s="4"/>
      <c r="BF1575" s="4"/>
      <c r="BG1575" s="4"/>
      <c r="BH1575" s="4"/>
      <c r="BI1575" s="4"/>
      <c r="BJ1575" s="4"/>
      <c r="BK1575" s="4"/>
      <c r="BL1575" s="4"/>
      <c r="BM1575" s="4"/>
      <c r="BN1575" s="4"/>
      <c r="BO1575" s="4"/>
      <c r="BP1575" s="4"/>
      <c r="BQ1575" s="4"/>
      <c r="BR1575" s="4"/>
      <c r="BS1575" s="4"/>
      <c r="BT1575" s="4"/>
      <c r="BU1575" s="4"/>
      <c r="BV1575" s="4"/>
      <c r="BW1575" s="4"/>
      <c r="BX1575" s="4"/>
      <c r="BY1575" s="4"/>
      <c r="BZ1575" s="4"/>
      <c r="CA1575" s="4"/>
      <c r="CB1575" s="4"/>
      <c r="CC1575" s="4"/>
      <c r="CD1575" s="4"/>
      <c r="CE1575" s="4"/>
      <c r="CF1575" s="4"/>
      <c r="CG1575" s="4"/>
      <c r="CH1575" s="4"/>
      <c r="CI1575" s="4"/>
      <c r="CJ1575" s="4"/>
      <c r="CK1575" s="4"/>
      <c r="CL1575" s="4"/>
      <c r="CM1575" s="4"/>
      <c r="CN1575" s="4"/>
      <c r="CO1575" s="4"/>
      <c r="CP1575" s="4"/>
      <c r="CQ1575" s="4"/>
      <c r="CR1575" s="4"/>
      <c r="CS1575" s="4"/>
      <c r="CT1575" s="4"/>
      <c r="CU1575" s="4"/>
      <c r="CV1575" s="4"/>
      <c r="CW1575" s="4"/>
      <c r="CX1575" s="4"/>
      <c r="CY1575" s="4"/>
      <c r="CZ1575" s="4"/>
      <c r="DA1575" s="4"/>
      <c r="DB1575" s="4"/>
      <c r="DC1575" s="4"/>
      <c r="DD1575" s="4"/>
      <c r="DE1575" s="4"/>
      <c r="DF1575" s="4"/>
      <c r="DG1575" s="4"/>
      <c r="DH1575" s="4"/>
      <c r="DI1575" s="4"/>
      <c r="DJ1575" s="4"/>
      <c r="DK1575" s="4"/>
      <c r="DL1575" s="4"/>
      <c r="DM1575" s="4"/>
      <c r="DN1575" s="4"/>
      <c r="DO1575" s="4"/>
      <c r="DP1575" s="4"/>
      <c r="DQ1575" s="4"/>
      <c r="DR1575" s="4"/>
      <c r="DS1575" s="4"/>
    </row>
    <row r="1576">
      <c r="A1576" s="10">
        <f>IFERROR(__xludf.DUMMYFUNCTION("""COMPUTED_VALUE"""),45948.0)</f>
        <v>45948</v>
      </c>
      <c r="B1576" s="6" t="str">
        <f>IFERROR(__xludf.DUMMYFUNCTION("""COMPUTED_VALUE"""),"Groceries")</f>
        <v>Groceries</v>
      </c>
      <c r="C1576" s="7">
        <f>IFERROR(__xludf.DUMMYFUNCTION("""COMPUTED_VALUE"""),14200.0)</f>
        <v>14200</v>
      </c>
      <c r="D1576" s="6" t="str">
        <f>IFERROR(__xludf.DUMMYFUNCTION("""COMPUTED_VALUE"""),"Groceries")</f>
        <v>Groceries</v>
      </c>
      <c r="E1576" s="6" t="str">
        <f>IFERROR(__xludf.DUMMYFUNCTION("""COMPUTED_VALUE"""),"Split Payment")</f>
        <v>Split Payment</v>
      </c>
      <c r="F1576" s="6" t="s">
        <v>7</v>
      </c>
      <c r="G1576" s="8" t="str">
        <f t="shared" si="1"/>
        <v>202510</v>
      </c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  <c r="AA1576" s="4"/>
      <c r="AB1576" s="4"/>
      <c r="AC1576" s="4"/>
      <c r="AD1576" s="4"/>
      <c r="AE1576" s="4"/>
      <c r="AF1576" s="4"/>
      <c r="AG1576" s="4"/>
      <c r="AH1576" s="4"/>
      <c r="AI1576" s="4"/>
      <c r="AJ1576" s="4"/>
      <c r="AK1576" s="4"/>
      <c r="AL1576" s="4"/>
      <c r="AM1576" s="4"/>
      <c r="AN1576" s="4"/>
      <c r="AO1576" s="4"/>
      <c r="AP1576" s="4"/>
      <c r="AQ1576" s="4"/>
      <c r="AR1576" s="4"/>
      <c r="AS1576" s="4"/>
      <c r="AT1576" s="4"/>
      <c r="AU1576" s="4"/>
      <c r="AV1576" s="4"/>
      <c r="AW1576" s="4"/>
      <c r="AX1576" s="4"/>
      <c r="AY1576" s="4"/>
      <c r="AZ1576" s="4"/>
      <c r="BA1576" s="4"/>
      <c r="BB1576" s="4"/>
      <c r="BC1576" s="4"/>
      <c r="BD1576" s="4"/>
      <c r="BE1576" s="4"/>
      <c r="BF1576" s="4"/>
      <c r="BG1576" s="4"/>
      <c r="BH1576" s="4"/>
      <c r="BI1576" s="4"/>
      <c r="BJ1576" s="4"/>
      <c r="BK1576" s="4"/>
      <c r="BL1576" s="4"/>
      <c r="BM1576" s="4"/>
      <c r="BN1576" s="4"/>
      <c r="BO1576" s="4"/>
      <c r="BP1576" s="4"/>
      <c r="BQ1576" s="4"/>
      <c r="BR1576" s="4"/>
      <c r="BS1576" s="4"/>
      <c r="BT1576" s="4"/>
      <c r="BU1576" s="4"/>
      <c r="BV1576" s="4"/>
      <c r="BW1576" s="4"/>
      <c r="BX1576" s="4"/>
      <c r="BY1576" s="4"/>
      <c r="BZ1576" s="4"/>
      <c r="CA1576" s="4"/>
      <c r="CB1576" s="4"/>
      <c r="CC1576" s="4"/>
      <c r="CD1576" s="4"/>
      <c r="CE1576" s="4"/>
      <c r="CF1576" s="4"/>
      <c r="CG1576" s="4"/>
      <c r="CH1576" s="4"/>
      <c r="CI1576" s="4"/>
      <c r="CJ1576" s="4"/>
      <c r="CK1576" s="4"/>
      <c r="CL1576" s="4"/>
      <c r="CM1576" s="4"/>
      <c r="CN1576" s="4"/>
      <c r="CO1576" s="4"/>
      <c r="CP1576" s="4"/>
      <c r="CQ1576" s="4"/>
      <c r="CR1576" s="4"/>
      <c r="CS1576" s="4"/>
      <c r="CT1576" s="4"/>
      <c r="CU1576" s="4"/>
      <c r="CV1576" s="4"/>
      <c r="CW1576" s="4"/>
      <c r="CX1576" s="4"/>
      <c r="CY1576" s="4"/>
      <c r="CZ1576" s="4"/>
      <c r="DA1576" s="4"/>
      <c r="DB1576" s="4"/>
      <c r="DC1576" s="4"/>
      <c r="DD1576" s="4"/>
      <c r="DE1576" s="4"/>
      <c r="DF1576" s="4"/>
      <c r="DG1576" s="4"/>
      <c r="DH1576" s="4"/>
      <c r="DI1576" s="4"/>
      <c r="DJ1576" s="4"/>
      <c r="DK1576" s="4"/>
      <c r="DL1576" s="4"/>
      <c r="DM1576" s="4"/>
      <c r="DN1576" s="4"/>
      <c r="DO1576" s="4"/>
      <c r="DP1576" s="4"/>
      <c r="DQ1576" s="4"/>
      <c r="DR1576" s="4"/>
      <c r="DS1576" s="4"/>
    </row>
    <row r="1577">
      <c r="A1577" s="10">
        <f>IFERROR(__xludf.DUMMYFUNCTION("""COMPUTED_VALUE"""),45948.0)</f>
        <v>45948</v>
      </c>
      <c r="B1577" s="6" t="str">
        <f>IFERROR(__xludf.DUMMYFUNCTION("""COMPUTED_VALUE"""),"Groceries")</f>
        <v>Groceries</v>
      </c>
      <c r="C1577" s="7">
        <f>IFERROR(__xludf.DUMMYFUNCTION("""COMPUTED_VALUE"""),19050.0)</f>
        <v>19050</v>
      </c>
      <c r="D1577" s="6" t="str">
        <f>IFERROR(__xludf.DUMMYFUNCTION("""COMPUTED_VALUE"""),"Groceries")</f>
        <v>Groceries</v>
      </c>
      <c r="E1577" s="6" t="str">
        <f>IFERROR(__xludf.DUMMYFUNCTION("""COMPUTED_VALUE"""),"Split Payment")</f>
        <v>Split Payment</v>
      </c>
      <c r="F1577" s="6" t="s">
        <v>7</v>
      </c>
      <c r="G1577" s="8" t="str">
        <f t="shared" si="1"/>
        <v>202510</v>
      </c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  <c r="AA1577" s="4"/>
      <c r="AB1577" s="4"/>
      <c r="AC1577" s="4"/>
      <c r="AD1577" s="4"/>
      <c r="AE1577" s="4"/>
      <c r="AF1577" s="4"/>
      <c r="AG1577" s="4"/>
      <c r="AH1577" s="4"/>
      <c r="AI1577" s="4"/>
      <c r="AJ1577" s="4"/>
      <c r="AK1577" s="4"/>
      <c r="AL1577" s="4"/>
      <c r="AM1577" s="4"/>
      <c r="AN1577" s="4"/>
      <c r="AO1577" s="4"/>
      <c r="AP1577" s="4"/>
      <c r="AQ1577" s="4"/>
      <c r="AR1577" s="4"/>
      <c r="AS1577" s="4"/>
      <c r="AT1577" s="4"/>
      <c r="AU1577" s="4"/>
      <c r="AV1577" s="4"/>
      <c r="AW1577" s="4"/>
      <c r="AX1577" s="4"/>
      <c r="AY1577" s="4"/>
      <c r="AZ1577" s="4"/>
      <c r="BA1577" s="4"/>
      <c r="BB1577" s="4"/>
      <c r="BC1577" s="4"/>
      <c r="BD1577" s="4"/>
      <c r="BE1577" s="4"/>
      <c r="BF1577" s="4"/>
      <c r="BG1577" s="4"/>
      <c r="BH1577" s="4"/>
      <c r="BI1577" s="4"/>
      <c r="BJ1577" s="4"/>
      <c r="BK1577" s="4"/>
      <c r="BL1577" s="4"/>
      <c r="BM1577" s="4"/>
      <c r="BN1577" s="4"/>
      <c r="BO1577" s="4"/>
      <c r="BP1577" s="4"/>
      <c r="BQ1577" s="4"/>
      <c r="BR1577" s="4"/>
      <c r="BS1577" s="4"/>
      <c r="BT1577" s="4"/>
      <c r="BU1577" s="4"/>
      <c r="BV1577" s="4"/>
      <c r="BW1577" s="4"/>
      <c r="BX1577" s="4"/>
      <c r="BY1577" s="4"/>
      <c r="BZ1577" s="4"/>
      <c r="CA1577" s="4"/>
      <c r="CB1577" s="4"/>
      <c r="CC1577" s="4"/>
      <c r="CD1577" s="4"/>
      <c r="CE1577" s="4"/>
      <c r="CF1577" s="4"/>
      <c r="CG1577" s="4"/>
      <c r="CH1577" s="4"/>
      <c r="CI1577" s="4"/>
      <c r="CJ1577" s="4"/>
      <c r="CK1577" s="4"/>
      <c r="CL1577" s="4"/>
      <c r="CM1577" s="4"/>
      <c r="CN1577" s="4"/>
      <c r="CO1577" s="4"/>
      <c r="CP1577" s="4"/>
      <c r="CQ1577" s="4"/>
      <c r="CR1577" s="4"/>
      <c r="CS1577" s="4"/>
      <c r="CT1577" s="4"/>
      <c r="CU1577" s="4"/>
      <c r="CV1577" s="4"/>
      <c r="CW1577" s="4"/>
      <c r="CX1577" s="4"/>
      <c r="CY1577" s="4"/>
      <c r="CZ1577" s="4"/>
      <c r="DA1577" s="4"/>
      <c r="DB1577" s="4"/>
      <c r="DC1577" s="4"/>
      <c r="DD1577" s="4"/>
      <c r="DE1577" s="4"/>
      <c r="DF1577" s="4"/>
      <c r="DG1577" s="4"/>
      <c r="DH1577" s="4"/>
      <c r="DI1577" s="4"/>
      <c r="DJ1577" s="4"/>
      <c r="DK1577" s="4"/>
      <c r="DL1577" s="4"/>
      <c r="DM1577" s="4"/>
      <c r="DN1577" s="4"/>
      <c r="DO1577" s="4"/>
      <c r="DP1577" s="4"/>
      <c r="DQ1577" s="4"/>
      <c r="DR1577" s="4"/>
      <c r="DS1577" s="4"/>
    </row>
    <row r="1578">
      <c r="A1578" s="10">
        <f>IFERROR(__xludf.DUMMYFUNCTION("""COMPUTED_VALUE"""),45948.0)</f>
        <v>45948</v>
      </c>
      <c r="B1578" s="6" t="str">
        <f>IFERROR(__xludf.DUMMYFUNCTION("""COMPUTED_VALUE"""),"Home Goods")</f>
        <v>Home Goods</v>
      </c>
      <c r="C1578" s="7">
        <f>IFERROR(__xludf.DUMMYFUNCTION("""COMPUTED_VALUE"""),4300.0)</f>
        <v>4300</v>
      </c>
      <c r="D1578" s="6" t="str">
        <f>IFERROR(__xludf.DUMMYFUNCTION("""COMPUTED_VALUE"""),"Groceries")</f>
        <v>Groceries</v>
      </c>
      <c r="E1578" s="6" t="str">
        <f>IFERROR(__xludf.DUMMYFUNCTION("""COMPUTED_VALUE"""),"Split Payment")</f>
        <v>Split Payment</v>
      </c>
      <c r="F1578" s="6" t="s">
        <v>7</v>
      </c>
      <c r="G1578" s="8" t="str">
        <f t="shared" si="1"/>
        <v>202510</v>
      </c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  <c r="AA1578" s="4"/>
      <c r="AB1578" s="4"/>
      <c r="AC1578" s="4"/>
      <c r="AD1578" s="4"/>
      <c r="AE1578" s="4"/>
      <c r="AF1578" s="4"/>
      <c r="AG1578" s="4"/>
      <c r="AH1578" s="4"/>
      <c r="AI1578" s="4"/>
      <c r="AJ1578" s="4"/>
      <c r="AK1578" s="4"/>
      <c r="AL1578" s="4"/>
      <c r="AM1578" s="4"/>
      <c r="AN1578" s="4"/>
      <c r="AO1578" s="4"/>
      <c r="AP1578" s="4"/>
      <c r="AQ1578" s="4"/>
      <c r="AR1578" s="4"/>
      <c r="AS1578" s="4"/>
      <c r="AT1578" s="4"/>
      <c r="AU1578" s="4"/>
      <c r="AV1578" s="4"/>
      <c r="AW1578" s="4"/>
      <c r="AX1578" s="4"/>
      <c r="AY1578" s="4"/>
      <c r="AZ1578" s="4"/>
      <c r="BA1578" s="4"/>
      <c r="BB1578" s="4"/>
      <c r="BC1578" s="4"/>
      <c r="BD1578" s="4"/>
      <c r="BE1578" s="4"/>
      <c r="BF1578" s="4"/>
      <c r="BG1578" s="4"/>
      <c r="BH1578" s="4"/>
      <c r="BI1578" s="4"/>
      <c r="BJ1578" s="4"/>
      <c r="BK1578" s="4"/>
      <c r="BL1578" s="4"/>
      <c r="BM1578" s="4"/>
      <c r="BN1578" s="4"/>
      <c r="BO1578" s="4"/>
      <c r="BP1578" s="4"/>
      <c r="BQ1578" s="4"/>
      <c r="BR1578" s="4"/>
      <c r="BS1578" s="4"/>
      <c r="BT1578" s="4"/>
      <c r="BU1578" s="4"/>
      <c r="BV1578" s="4"/>
      <c r="BW1578" s="4"/>
      <c r="BX1578" s="4"/>
      <c r="BY1578" s="4"/>
      <c r="BZ1578" s="4"/>
      <c r="CA1578" s="4"/>
      <c r="CB1578" s="4"/>
      <c r="CC1578" s="4"/>
      <c r="CD1578" s="4"/>
      <c r="CE1578" s="4"/>
      <c r="CF1578" s="4"/>
      <c r="CG1578" s="4"/>
      <c r="CH1578" s="4"/>
      <c r="CI1578" s="4"/>
      <c r="CJ1578" s="4"/>
      <c r="CK1578" s="4"/>
      <c r="CL1578" s="4"/>
      <c r="CM1578" s="4"/>
      <c r="CN1578" s="4"/>
      <c r="CO1578" s="4"/>
      <c r="CP1578" s="4"/>
      <c r="CQ1578" s="4"/>
      <c r="CR1578" s="4"/>
      <c r="CS1578" s="4"/>
      <c r="CT1578" s="4"/>
      <c r="CU1578" s="4"/>
      <c r="CV1578" s="4"/>
      <c r="CW1578" s="4"/>
      <c r="CX1578" s="4"/>
      <c r="CY1578" s="4"/>
      <c r="CZ1578" s="4"/>
      <c r="DA1578" s="4"/>
      <c r="DB1578" s="4"/>
      <c r="DC1578" s="4"/>
      <c r="DD1578" s="4"/>
      <c r="DE1578" s="4"/>
      <c r="DF1578" s="4"/>
      <c r="DG1578" s="4"/>
      <c r="DH1578" s="4"/>
      <c r="DI1578" s="4"/>
      <c r="DJ1578" s="4"/>
      <c r="DK1578" s="4"/>
      <c r="DL1578" s="4"/>
      <c r="DM1578" s="4"/>
      <c r="DN1578" s="4"/>
      <c r="DO1578" s="4"/>
      <c r="DP1578" s="4"/>
      <c r="DQ1578" s="4"/>
      <c r="DR1578" s="4"/>
      <c r="DS1578" s="4"/>
    </row>
    <row r="1579">
      <c r="A1579" s="10">
        <f>IFERROR(__xludf.DUMMYFUNCTION("""COMPUTED_VALUE"""),45950.0)</f>
        <v>45950</v>
      </c>
      <c r="B1579" s="6" t="str">
        <f>IFERROR(__xludf.DUMMYFUNCTION("""COMPUTED_VALUE"""),"Electricity Bill (Edesur)")</f>
        <v>Electricity Bill (Edesur)</v>
      </c>
      <c r="C1579" s="7">
        <f>IFERROR(__xludf.DUMMYFUNCTION("""COMPUTED_VALUE"""),10369.0)</f>
        <v>10369</v>
      </c>
      <c r="D1579" s="6" t="str">
        <f>IFERROR(__xludf.DUMMYFUNCTION("""COMPUTED_VALUE"""),"Basic Services")</f>
        <v>Basic Services</v>
      </c>
      <c r="E1579" s="6" t="str">
        <f>IFERROR(__xludf.DUMMYFUNCTION("""COMPUTED_VALUE"""),"Split Payment")</f>
        <v>Split Payment</v>
      </c>
      <c r="F1579" s="6" t="s">
        <v>13</v>
      </c>
      <c r="G1579" s="8" t="str">
        <f t="shared" si="1"/>
        <v>202510</v>
      </c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  <c r="AA1579" s="4"/>
      <c r="AB1579" s="4"/>
      <c r="AC1579" s="4"/>
      <c r="AD1579" s="4"/>
      <c r="AE1579" s="4"/>
      <c r="AF1579" s="4"/>
      <c r="AG1579" s="4"/>
      <c r="AH1579" s="4"/>
      <c r="AI1579" s="4"/>
      <c r="AJ1579" s="4"/>
      <c r="AK1579" s="4"/>
      <c r="AL1579" s="4"/>
      <c r="AM1579" s="4"/>
      <c r="AN1579" s="4"/>
      <c r="AO1579" s="4"/>
      <c r="AP1579" s="4"/>
      <c r="AQ1579" s="4"/>
      <c r="AR1579" s="4"/>
      <c r="AS1579" s="4"/>
      <c r="AT1579" s="4"/>
      <c r="AU1579" s="4"/>
      <c r="AV1579" s="4"/>
      <c r="AW1579" s="4"/>
      <c r="AX1579" s="4"/>
      <c r="AY1579" s="4"/>
      <c r="AZ1579" s="4"/>
      <c r="BA1579" s="4"/>
      <c r="BB1579" s="4"/>
      <c r="BC1579" s="4"/>
      <c r="BD1579" s="4"/>
      <c r="BE1579" s="4"/>
      <c r="BF1579" s="4"/>
      <c r="BG1579" s="4"/>
      <c r="BH1579" s="4"/>
      <c r="BI1579" s="4"/>
      <c r="BJ1579" s="4"/>
      <c r="BK1579" s="4"/>
      <c r="BL1579" s="4"/>
      <c r="BM1579" s="4"/>
      <c r="BN1579" s="4"/>
      <c r="BO1579" s="4"/>
      <c r="BP1579" s="4"/>
      <c r="BQ1579" s="4"/>
      <c r="BR1579" s="4"/>
      <c r="BS1579" s="4"/>
      <c r="BT1579" s="4"/>
      <c r="BU1579" s="4"/>
      <c r="BV1579" s="4"/>
      <c r="BW1579" s="4"/>
      <c r="BX1579" s="4"/>
      <c r="BY1579" s="4"/>
      <c r="BZ1579" s="4"/>
      <c r="CA1579" s="4"/>
      <c r="CB1579" s="4"/>
      <c r="CC1579" s="4"/>
      <c r="CD1579" s="4"/>
      <c r="CE1579" s="4"/>
      <c r="CF1579" s="4"/>
      <c r="CG1579" s="4"/>
      <c r="CH1579" s="4"/>
      <c r="CI1579" s="4"/>
      <c r="CJ1579" s="4"/>
      <c r="CK1579" s="4"/>
      <c r="CL1579" s="4"/>
      <c r="CM1579" s="4"/>
      <c r="CN1579" s="4"/>
      <c r="CO1579" s="4"/>
      <c r="CP1579" s="4"/>
      <c r="CQ1579" s="4"/>
      <c r="CR1579" s="4"/>
      <c r="CS1579" s="4"/>
      <c r="CT1579" s="4"/>
      <c r="CU1579" s="4"/>
      <c r="CV1579" s="4"/>
      <c r="CW1579" s="4"/>
      <c r="CX1579" s="4"/>
      <c r="CY1579" s="4"/>
      <c r="CZ1579" s="4"/>
      <c r="DA1579" s="4"/>
      <c r="DB1579" s="4"/>
      <c r="DC1579" s="4"/>
      <c r="DD1579" s="4"/>
      <c r="DE1579" s="4"/>
      <c r="DF1579" s="4"/>
      <c r="DG1579" s="4"/>
      <c r="DH1579" s="4"/>
      <c r="DI1579" s="4"/>
      <c r="DJ1579" s="4"/>
      <c r="DK1579" s="4"/>
      <c r="DL1579" s="4"/>
      <c r="DM1579" s="4"/>
      <c r="DN1579" s="4"/>
      <c r="DO1579" s="4"/>
      <c r="DP1579" s="4"/>
      <c r="DQ1579" s="4"/>
      <c r="DR1579" s="4"/>
      <c r="DS1579" s="4"/>
    </row>
    <row r="1580">
      <c r="A1580" s="10">
        <f>IFERROR(__xludf.DUMMYFUNCTION("""COMPUTED_VALUE"""),45950.0)</f>
        <v>45950</v>
      </c>
      <c r="B1580" s="6" t="str">
        <f>IFERROR(__xludf.DUMMYFUNCTION("""COMPUTED_VALUE"""),"Water Bill (AySA)")</f>
        <v>Water Bill (AySA)</v>
      </c>
      <c r="C1580" s="7">
        <f>IFERROR(__xludf.DUMMYFUNCTION("""COMPUTED_VALUE"""),13601.0)</f>
        <v>13601</v>
      </c>
      <c r="D1580" s="6" t="str">
        <f>IFERROR(__xludf.DUMMYFUNCTION("""COMPUTED_VALUE"""),"Basic Services")</f>
        <v>Basic Services</v>
      </c>
      <c r="E1580" s="6" t="str">
        <f>IFERROR(__xludf.DUMMYFUNCTION("""COMPUTED_VALUE"""),"Split Payment")</f>
        <v>Split Payment</v>
      </c>
      <c r="F1580" s="6" t="s">
        <v>13</v>
      </c>
      <c r="G1580" s="8" t="str">
        <f t="shared" si="1"/>
        <v>202510</v>
      </c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  <c r="AA1580" s="4"/>
      <c r="AB1580" s="4"/>
      <c r="AC1580" s="4"/>
      <c r="AD1580" s="4"/>
      <c r="AE1580" s="4"/>
      <c r="AF1580" s="4"/>
      <c r="AG1580" s="4"/>
      <c r="AH1580" s="4"/>
      <c r="AI1580" s="4"/>
      <c r="AJ1580" s="4"/>
      <c r="AK1580" s="4"/>
      <c r="AL1580" s="4"/>
      <c r="AM1580" s="4"/>
      <c r="AN1580" s="4"/>
      <c r="AO1580" s="4"/>
      <c r="AP1580" s="4"/>
      <c r="AQ1580" s="4"/>
      <c r="AR1580" s="4"/>
      <c r="AS1580" s="4"/>
      <c r="AT1580" s="4"/>
      <c r="AU1580" s="4"/>
      <c r="AV1580" s="4"/>
      <c r="AW1580" s="4"/>
      <c r="AX1580" s="4"/>
      <c r="AY1580" s="4"/>
      <c r="AZ1580" s="4"/>
      <c r="BA1580" s="4"/>
      <c r="BB1580" s="4"/>
      <c r="BC1580" s="4"/>
      <c r="BD1580" s="4"/>
      <c r="BE1580" s="4"/>
      <c r="BF1580" s="4"/>
      <c r="BG1580" s="4"/>
      <c r="BH1580" s="4"/>
      <c r="BI1580" s="4"/>
      <c r="BJ1580" s="4"/>
      <c r="BK1580" s="4"/>
      <c r="BL1580" s="4"/>
      <c r="BM1580" s="4"/>
      <c r="BN1580" s="4"/>
      <c r="BO1580" s="4"/>
      <c r="BP1580" s="4"/>
      <c r="BQ1580" s="4"/>
      <c r="BR1580" s="4"/>
      <c r="BS1580" s="4"/>
      <c r="BT1580" s="4"/>
      <c r="BU1580" s="4"/>
      <c r="BV1580" s="4"/>
      <c r="BW1580" s="4"/>
      <c r="BX1580" s="4"/>
      <c r="BY1580" s="4"/>
      <c r="BZ1580" s="4"/>
      <c r="CA1580" s="4"/>
      <c r="CB1580" s="4"/>
      <c r="CC1580" s="4"/>
      <c r="CD1580" s="4"/>
      <c r="CE1580" s="4"/>
      <c r="CF1580" s="4"/>
      <c r="CG1580" s="4"/>
      <c r="CH1580" s="4"/>
      <c r="CI1580" s="4"/>
      <c r="CJ1580" s="4"/>
      <c r="CK1580" s="4"/>
      <c r="CL1580" s="4"/>
      <c r="CM1580" s="4"/>
      <c r="CN1580" s="4"/>
      <c r="CO1580" s="4"/>
      <c r="CP1580" s="4"/>
      <c r="CQ1580" s="4"/>
      <c r="CR1580" s="4"/>
      <c r="CS1580" s="4"/>
      <c r="CT1580" s="4"/>
      <c r="CU1580" s="4"/>
      <c r="CV1580" s="4"/>
      <c r="CW1580" s="4"/>
      <c r="CX1580" s="4"/>
      <c r="CY1580" s="4"/>
      <c r="CZ1580" s="4"/>
      <c r="DA1580" s="4"/>
      <c r="DB1580" s="4"/>
      <c r="DC1580" s="4"/>
      <c r="DD1580" s="4"/>
      <c r="DE1580" s="4"/>
      <c r="DF1580" s="4"/>
      <c r="DG1580" s="4"/>
      <c r="DH1580" s="4"/>
      <c r="DI1580" s="4"/>
      <c r="DJ1580" s="4"/>
      <c r="DK1580" s="4"/>
      <c r="DL1580" s="4"/>
      <c r="DM1580" s="4"/>
      <c r="DN1580" s="4"/>
      <c r="DO1580" s="4"/>
      <c r="DP1580" s="4"/>
      <c r="DQ1580" s="4"/>
      <c r="DR1580" s="4"/>
      <c r="DS1580" s="4"/>
    </row>
    <row r="1581">
      <c r="A1581" s="10">
        <f>IFERROR(__xludf.DUMMYFUNCTION("""COMPUTED_VALUE"""),45951.0)</f>
        <v>45951</v>
      </c>
      <c r="B1581" s="6" t="str">
        <f>IFERROR(__xludf.DUMMYFUNCTION("""COMPUTED_VALUE"""),"Pets")</f>
        <v>Pets</v>
      </c>
      <c r="C1581" s="7">
        <f>IFERROR(__xludf.DUMMYFUNCTION("""COMPUTED_VALUE"""),28995.0)</f>
        <v>28995</v>
      </c>
      <c r="D1581" s="6" t="str">
        <f>IFERROR(__xludf.DUMMYFUNCTION("""COMPUTED_VALUE"""),"Pets")</f>
        <v>Pets</v>
      </c>
      <c r="E1581" s="6" t="str">
        <f>IFERROR(__xludf.DUMMYFUNCTION("""COMPUTED_VALUE"""),"Split Payment")</f>
        <v>Split Payment</v>
      </c>
      <c r="F1581" s="6" t="s">
        <v>7</v>
      </c>
      <c r="G1581" s="8" t="str">
        <f t="shared" si="1"/>
        <v>202510</v>
      </c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  <c r="AA1581" s="4"/>
      <c r="AB1581" s="4"/>
      <c r="AC1581" s="4"/>
      <c r="AD1581" s="4"/>
      <c r="AE1581" s="4"/>
      <c r="AF1581" s="4"/>
      <c r="AG1581" s="4"/>
      <c r="AH1581" s="4"/>
      <c r="AI1581" s="4"/>
      <c r="AJ1581" s="4"/>
      <c r="AK1581" s="4"/>
      <c r="AL1581" s="4"/>
      <c r="AM1581" s="4"/>
      <c r="AN1581" s="4"/>
      <c r="AO1581" s="4"/>
      <c r="AP1581" s="4"/>
      <c r="AQ1581" s="4"/>
      <c r="AR1581" s="4"/>
      <c r="AS1581" s="4"/>
      <c r="AT1581" s="4"/>
      <c r="AU1581" s="4"/>
      <c r="AV1581" s="4"/>
      <c r="AW1581" s="4"/>
      <c r="AX1581" s="4"/>
      <c r="AY1581" s="4"/>
      <c r="AZ1581" s="4"/>
      <c r="BA1581" s="4"/>
      <c r="BB1581" s="4"/>
      <c r="BC1581" s="4"/>
      <c r="BD1581" s="4"/>
      <c r="BE1581" s="4"/>
      <c r="BF1581" s="4"/>
      <c r="BG1581" s="4"/>
      <c r="BH1581" s="4"/>
      <c r="BI1581" s="4"/>
      <c r="BJ1581" s="4"/>
      <c r="BK1581" s="4"/>
      <c r="BL1581" s="4"/>
      <c r="BM1581" s="4"/>
      <c r="BN1581" s="4"/>
      <c r="BO1581" s="4"/>
      <c r="BP1581" s="4"/>
      <c r="BQ1581" s="4"/>
      <c r="BR1581" s="4"/>
      <c r="BS1581" s="4"/>
      <c r="BT1581" s="4"/>
      <c r="BU1581" s="4"/>
      <c r="BV1581" s="4"/>
      <c r="BW1581" s="4"/>
      <c r="BX1581" s="4"/>
      <c r="BY1581" s="4"/>
      <c r="BZ1581" s="4"/>
      <c r="CA1581" s="4"/>
      <c r="CB1581" s="4"/>
      <c r="CC1581" s="4"/>
      <c r="CD1581" s="4"/>
      <c r="CE1581" s="4"/>
      <c r="CF1581" s="4"/>
      <c r="CG1581" s="4"/>
      <c r="CH1581" s="4"/>
      <c r="CI1581" s="4"/>
      <c r="CJ1581" s="4"/>
      <c r="CK1581" s="4"/>
      <c r="CL1581" s="4"/>
      <c r="CM1581" s="4"/>
      <c r="CN1581" s="4"/>
      <c r="CO1581" s="4"/>
      <c r="CP1581" s="4"/>
      <c r="CQ1581" s="4"/>
      <c r="CR1581" s="4"/>
      <c r="CS1581" s="4"/>
      <c r="CT1581" s="4"/>
      <c r="CU1581" s="4"/>
      <c r="CV1581" s="4"/>
      <c r="CW1581" s="4"/>
      <c r="CX1581" s="4"/>
      <c r="CY1581" s="4"/>
      <c r="CZ1581" s="4"/>
      <c r="DA1581" s="4"/>
      <c r="DB1581" s="4"/>
      <c r="DC1581" s="4"/>
      <c r="DD1581" s="4"/>
      <c r="DE1581" s="4"/>
      <c r="DF1581" s="4"/>
      <c r="DG1581" s="4"/>
      <c r="DH1581" s="4"/>
      <c r="DI1581" s="4"/>
      <c r="DJ1581" s="4"/>
      <c r="DK1581" s="4"/>
      <c r="DL1581" s="4"/>
      <c r="DM1581" s="4"/>
      <c r="DN1581" s="4"/>
      <c r="DO1581" s="4"/>
      <c r="DP1581" s="4"/>
      <c r="DQ1581" s="4"/>
      <c r="DR1581" s="4"/>
      <c r="DS1581" s="4"/>
    </row>
    <row r="1582">
      <c r="A1582" s="10">
        <f>IFERROR(__xludf.DUMMYFUNCTION("""COMPUTED_VALUE"""),45951.0)</f>
        <v>45951</v>
      </c>
      <c r="B1582" s="6" t="str">
        <f>IFERROR(__xludf.DUMMYFUNCTION("""COMPUTED_VALUE"""),"Streaming Services")</f>
        <v>Streaming Services</v>
      </c>
      <c r="C1582" s="7">
        <f>IFERROR(__xludf.DUMMYFUNCTION("""COMPUTED_VALUE"""),9059.0)</f>
        <v>9059</v>
      </c>
      <c r="D1582" s="6" t="str">
        <f>IFERROR(__xludf.DUMMYFUNCTION("""COMPUTED_VALUE"""),"Streaming Services")</f>
        <v>Streaming Services</v>
      </c>
      <c r="E1582" s="6" t="str">
        <f>IFERROR(__xludf.DUMMYFUNCTION("""COMPUTED_VALUE"""),"Credit Card")</f>
        <v>Credit Card</v>
      </c>
      <c r="F1582" s="6" t="s">
        <v>12</v>
      </c>
      <c r="G1582" s="8" t="str">
        <f t="shared" si="1"/>
        <v>202510</v>
      </c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  <c r="AA1582" s="4"/>
      <c r="AB1582" s="4"/>
      <c r="AC1582" s="4"/>
      <c r="AD1582" s="4"/>
      <c r="AE1582" s="4"/>
      <c r="AF1582" s="4"/>
      <c r="AG1582" s="4"/>
      <c r="AH1582" s="4"/>
      <c r="AI1582" s="4"/>
      <c r="AJ1582" s="4"/>
      <c r="AK1582" s="4"/>
      <c r="AL1582" s="4"/>
      <c r="AM1582" s="4"/>
      <c r="AN1582" s="4"/>
      <c r="AO1582" s="4"/>
      <c r="AP1582" s="4"/>
      <c r="AQ1582" s="4"/>
      <c r="AR1582" s="4"/>
      <c r="AS1582" s="4"/>
      <c r="AT1582" s="4"/>
      <c r="AU1582" s="4"/>
      <c r="AV1582" s="4"/>
      <c r="AW1582" s="4"/>
      <c r="AX1582" s="4"/>
      <c r="AY1582" s="4"/>
      <c r="AZ1582" s="4"/>
      <c r="BA1582" s="4"/>
      <c r="BB1582" s="4"/>
      <c r="BC1582" s="4"/>
      <c r="BD1582" s="4"/>
      <c r="BE1582" s="4"/>
      <c r="BF1582" s="4"/>
      <c r="BG1582" s="4"/>
      <c r="BH1582" s="4"/>
      <c r="BI1582" s="4"/>
      <c r="BJ1582" s="4"/>
      <c r="BK1582" s="4"/>
      <c r="BL1582" s="4"/>
      <c r="BM1582" s="4"/>
      <c r="BN1582" s="4"/>
      <c r="BO1582" s="4"/>
      <c r="BP1582" s="4"/>
      <c r="BQ1582" s="4"/>
      <c r="BR1582" s="4"/>
      <c r="BS1582" s="4"/>
      <c r="BT1582" s="4"/>
      <c r="BU1582" s="4"/>
      <c r="BV1582" s="4"/>
      <c r="BW1582" s="4"/>
      <c r="BX1582" s="4"/>
      <c r="BY1582" s="4"/>
      <c r="BZ1582" s="4"/>
      <c r="CA1582" s="4"/>
      <c r="CB1582" s="4"/>
      <c r="CC1582" s="4"/>
      <c r="CD1582" s="4"/>
      <c r="CE1582" s="4"/>
      <c r="CF1582" s="4"/>
      <c r="CG1582" s="4"/>
      <c r="CH1582" s="4"/>
      <c r="CI1582" s="4"/>
      <c r="CJ1582" s="4"/>
      <c r="CK1582" s="4"/>
      <c r="CL1582" s="4"/>
      <c r="CM1582" s="4"/>
      <c r="CN1582" s="4"/>
      <c r="CO1582" s="4"/>
      <c r="CP1582" s="4"/>
      <c r="CQ1582" s="4"/>
      <c r="CR1582" s="4"/>
      <c r="CS1582" s="4"/>
      <c r="CT1582" s="4"/>
      <c r="CU1582" s="4"/>
      <c r="CV1582" s="4"/>
      <c r="CW1582" s="4"/>
      <c r="CX1582" s="4"/>
      <c r="CY1582" s="4"/>
      <c r="CZ1582" s="4"/>
      <c r="DA1582" s="4"/>
      <c r="DB1582" s="4"/>
      <c r="DC1582" s="4"/>
      <c r="DD1582" s="4"/>
      <c r="DE1582" s="4"/>
      <c r="DF1582" s="4"/>
      <c r="DG1582" s="4"/>
      <c r="DH1582" s="4"/>
      <c r="DI1582" s="4"/>
      <c r="DJ1582" s="4"/>
      <c r="DK1582" s="4"/>
      <c r="DL1582" s="4"/>
      <c r="DM1582" s="4"/>
      <c r="DN1582" s="4"/>
      <c r="DO1582" s="4"/>
      <c r="DP1582" s="4"/>
      <c r="DQ1582" s="4"/>
      <c r="DR1582" s="4"/>
      <c r="DS1582" s="4"/>
    </row>
    <row r="1583">
      <c r="A1583" s="10">
        <f>IFERROR(__xludf.DUMMYFUNCTION("""COMPUTED_VALUE"""),45952.0)</f>
        <v>45952</v>
      </c>
      <c r="B1583" s="6" t="str">
        <f>IFERROR(__xludf.DUMMYFUNCTION("""COMPUTED_VALUE"""),"Groceries")</f>
        <v>Groceries</v>
      </c>
      <c r="C1583" s="7">
        <f>IFERROR(__xludf.DUMMYFUNCTION("""COMPUTED_VALUE"""),14850.0)</f>
        <v>14850</v>
      </c>
      <c r="D1583" s="6" t="str">
        <f>IFERROR(__xludf.DUMMYFUNCTION("""COMPUTED_VALUE"""),"Groceries")</f>
        <v>Groceries</v>
      </c>
      <c r="E1583" s="6" t="str">
        <f>IFERROR(__xludf.DUMMYFUNCTION("""COMPUTED_VALUE"""),"Virtual Wallet")</f>
        <v>Virtual Wallet</v>
      </c>
      <c r="F1583" s="6" t="s">
        <v>7</v>
      </c>
      <c r="G1583" s="8" t="str">
        <f t="shared" si="1"/>
        <v>202510</v>
      </c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  <c r="AA1583" s="4"/>
      <c r="AB1583" s="4"/>
      <c r="AC1583" s="4"/>
      <c r="AD1583" s="4"/>
      <c r="AE1583" s="4"/>
      <c r="AF1583" s="4"/>
      <c r="AG1583" s="4"/>
      <c r="AH1583" s="4"/>
      <c r="AI1583" s="4"/>
      <c r="AJ1583" s="4"/>
      <c r="AK1583" s="4"/>
      <c r="AL1583" s="4"/>
      <c r="AM1583" s="4"/>
      <c r="AN1583" s="4"/>
      <c r="AO1583" s="4"/>
      <c r="AP1583" s="4"/>
      <c r="AQ1583" s="4"/>
      <c r="AR1583" s="4"/>
      <c r="AS1583" s="4"/>
      <c r="AT1583" s="4"/>
      <c r="AU1583" s="4"/>
      <c r="AV1583" s="4"/>
      <c r="AW1583" s="4"/>
      <c r="AX1583" s="4"/>
      <c r="AY1583" s="4"/>
      <c r="AZ1583" s="4"/>
      <c r="BA1583" s="4"/>
      <c r="BB1583" s="4"/>
      <c r="BC1583" s="4"/>
      <c r="BD1583" s="4"/>
      <c r="BE1583" s="4"/>
      <c r="BF1583" s="4"/>
      <c r="BG1583" s="4"/>
      <c r="BH1583" s="4"/>
      <c r="BI1583" s="4"/>
      <c r="BJ1583" s="4"/>
      <c r="BK1583" s="4"/>
      <c r="BL1583" s="4"/>
      <c r="BM1583" s="4"/>
      <c r="BN1583" s="4"/>
      <c r="BO1583" s="4"/>
      <c r="BP1583" s="4"/>
      <c r="BQ1583" s="4"/>
      <c r="BR1583" s="4"/>
      <c r="BS1583" s="4"/>
      <c r="BT1583" s="4"/>
      <c r="BU1583" s="4"/>
      <c r="BV1583" s="4"/>
      <c r="BW1583" s="4"/>
      <c r="BX1583" s="4"/>
      <c r="BY1583" s="4"/>
      <c r="BZ1583" s="4"/>
      <c r="CA1583" s="4"/>
      <c r="CB1583" s="4"/>
      <c r="CC1583" s="4"/>
      <c r="CD1583" s="4"/>
      <c r="CE1583" s="4"/>
      <c r="CF1583" s="4"/>
      <c r="CG1583" s="4"/>
      <c r="CH1583" s="4"/>
      <c r="CI1583" s="4"/>
      <c r="CJ1583" s="4"/>
      <c r="CK1583" s="4"/>
      <c r="CL1583" s="4"/>
      <c r="CM1583" s="4"/>
      <c r="CN1583" s="4"/>
      <c r="CO1583" s="4"/>
      <c r="CP1583" s="4"/>
      <c r="CQ1583" s="4"/>
      <c r="CR1583" s="4"/>
      <c r="CS1583" s="4"/>
      <c r="CT1583" s="4"/>
      <c r="CU1583" s="4"/>
      <c r="CV1583" s="4"/>
      <c r="CW1583" s="4"/>
      <c r="CX1583" s="4"/>
      <c r="CY1583" s="4"/>
      <c r="CZ1583" s="4"/>
      <c r="DA1583" s="4"/>
      <c r="DB1583" s="4"/>
      <c r="DC1583" s="4"/>
      <c r="DD1583" s="4"/>
      <c r="DE1583" s="4"/>
      <c r="DF1583" s="4"/>
      <c r="DG1583" s="4"/>
      <c r="DH1583" s="4"/>
      <c r="DI1583" s="4"/>
      <c r="DJ1583" s="4"/>
      <c r="DK1583" s="4"/>
      <c r="DL1583" s="4"/>
      <c r="DM1583" s="4"/>
      <c r="DN1583" s="4"/>
      <c r="DO1583" s="4"/>
      <c r="DP1583" s="4"/>
      <c r="DQ1583" s="4"/>
      <c r="DR1583" s="4"/>
      <c r="DS1583" s="4"/>
    </row>
    <row r="1584">
      <c r="A1584" s="10">
        <f>IFERROR(__xludf.DUMMYFUNCTION("""COMPUTED_VALUE"""),45952.0)</f>
        <v>45952</v>
      </c>
      <c r="B1584" s="6" t="str">
        <f>IFERROR(__xludf.DUMMYFUNCTION("""COMPUTED_VALUE"""),"Groceries")</f>
        <v>Groceries</v>
      </c>
      <c r="C1584" s="7">
        <f>IFERROR(__xludf.DUMMYFUNCTION("""COMPUTED_VALUE"""),3000.0)</f>
        <v>3000</v>
      </c>
      <c r="D1584" s="6" t="str">
        <f>IFERROR(__xludf.DUMMYFUNCTION("""COMPUTED_VALUE"""),"Groceries")</f>
        <v>Groceries</v>
      </c>
      <c r="E1584" s="6" t="str">
        <f>IFERROR(__xludf.DUMMYFUNCTION("""COMPUTED_VALUE"""),"Split Payment")</f>
        <v>Split Payment</v>
      </c>
      <c r="F1584" s="6" t="s">
        <v>7</v>
      </c>
      <c r="G1584" s="8" t="str">
        <f t="shared" si="1"/>
        <v>202510</v>
      </c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  <c r="AA1584" s="4"/>
      <c r="AB1584" s="4"/>
      <c r="AC1584" s="4"/>
      <c r="AD1584" s="4"/>
      <c r="AE1584" s="4"/>
      <c r="AF1584" s="4"/>
      <c r="AG1584" s="4"/>
      <c r="AH1584" s="4"/>
      <c r="AI1584" s="4"/>
      <c r="AJ1584" s="4"/>
      <c r="AK1584" s="4"/>
      <c r="AL1584" s="4"/>
      <c r="AM1584" s="4"/>
      <c r="AN1584" s="4"/>
      <c r="AO1584" s="4"/>
      <c r="AP1584" s="4"/>
      <c r="AQ1584" s="4"/>
      <c r="AR1584" s="4"/>
      <c r="AS1584" s="4"/>
      <c r="AT1584" s="4"/>
      <c r="AU1584" s="4"/>
      <c r="AV1584" s="4"/>
      <c r="AW1584" s="4"/>
      <c r="AX1584" s="4"/>
      <c r="AY1584" s="4"/>
      <c r="AZ1584" s="4"/>
      <c r="BA1584" s="4"/>
      <c r="BB1584" s="4"/>
      <c r="BC1584" s="4"/>
      <c r="BD1584" s="4"/>
      <c r="BE1584" s="4"/>
      <c r="BF1584" s="4"/>
      <c r="BG1584" s="4"/>
      <c r="BH1584" s="4"/>
      <c r="BI1584" s="4"/>
      <c r="BJ1584" s="4"/>
      <c r="BK1584" s="4"/>
      <c r="BL1584" s="4"/>
      <c r="BM1584" s="4"/>
      <c r="BN1584" s="4"/>
      <c r="BO1584" s="4"/>
      <c r="BP1584" s="4"/>
      <c r="BQ1584" s="4"/>
      <c r="BR1584" s="4"/>
      <c r="BS1584" s="4"/>
      <c r="BT1584" s="4"/>
      <c r="BU1584" s="4"/>
      <c r="BV1584" s="4"/>
      <c r="BW1584" s="4"/>
      <c r="BX1584" s="4"/>
      <c r="BY1584" s="4"/>
      <c r="BZ1584" s="4"/>
      <c r="CA1584" s="4"/>
      <c r="CB1584" s="4"/>
      <c r="CC1584" s="4"/>
      <c r="CD1584" s="4"/>
      <c r="CE1584" s="4"/>
      <c r="CF1584" s="4"/>
      <c r="CG1584" s="4"/>
      <c r="CH1584" s="4"/>
      <c r="CI1584" s="4"/>
      <c r="CJ1584" s="4"/>
      <c r="CK1584" s="4"/>
      <c r="CL1584" s="4"/>
      <c r="CM1584" s="4"/>
      <c r="CN1584" s="4"/>
      <c r="CO1584" s="4"/>
      <c r="CP1584" s="4"/>
      <c r="CQ1584" s="4"/>
      <c r="CR1584" s="4"/>
      <c r="CS1584" s="4"/>
      <c r="CT1584" s="4"/>
      <c r="CU1584" s="4"/>
      <c r="CV1584" s="4"/>
      <c r="CW1584" s="4"/>
      <c r="CX1584" s="4"/>
      <c r="CY1584" s="4"/>
      <c r="CZ1584" s="4"/>
      <c r="DA1584" s="4"/>
      <c r="DB1584" s="4"/>
      <c r="DC1584" s="4"/>
      <c r="DD1584" s="4"/>
      <c r="DE1584" s="4"/>
      <c r="DF1584" s="4"/>
      <c r="DG1584" s="4"/>
      <c r="DH1584" s="4"/>
      <c r="DI1584" s="4"/>
      <c r="DJ1584" s="4"/>
      <c r="DK1584" s="4"/>
      <c r="DL1584" s="4"/>
      <c r="DM1584" s="4"/>
      <c r="DN1584" s="4"/>
      <c r="DO1584" s="4"/>
      <c r="DP1584" s="4"/>
      <c r="DQ1584" s="4"/>
      <c r="DR1584" s="4"/>
      <c r="DS1584" s="4"/>
    </row>
    <row r="1585">
      <c r="A1585" s="10">
        <f>IFERROR(__xludf.DUMMYFUNCTION("""COMPUTED_VALUE"""),45953.0)</f>
        <v>45953</v>
      </c>
      <c r="B1585" s="6" t="str">
        <f>IFERROR(__xludf.DUMMYFUNCTION("""COMPUTED_VALUE"""),"Appliances")</f>
        <v>Appliances</v>
      </c>
      <c r="C1585" s="7">
        <f>IFERROR(__xludf.DUMMYFUNCTION("""COMPUTED_VALUE"""),13889.0)</f>
        <v>13889</v>
      </c>
      <c r="D1585" s="6" t="str">
        <f>IFERROR(__xludf.DUMMYFUNCTION("""COMPUTED_VALUE"""),"Home Goods &amp; Utilities")</f>
        <v>Home Goods &amp; Utilities</v>
      </c>
      <c r="E1585" s="6" t="str">
        <f>IFERROR(__xludf.DUMMYFUNCTION("""COMPUTED_VALUE"""),"Credit Card")</f>
        <v>Credit Card</v>
      </c>
      <c r="F1585" s="6" t="s">
        <v>8</v>
      </c>
      <c r="G1585" s="8" t="str">
        <f t="shared" si="1"/>
        <v>202510</v>
      </c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  <c r="AA1585" s="4"/>
      <c r="AB1585" s="4"/>
      <c r="AC1585" s="4"/>
      <c r="AD1585" s="4"/>
      <c r="AE1585" s="4"/>
      <c r="AF1585" s="4"/>
      <c r="AG1585" s="4"/>
      <c r="AH1585" s="4"/>
      <c r="AI1585" s="4"/>
      <c r="AJ1585" s="4"/>
      <c r="AK1585" s="4"/>
      <c r="AL1585" s="4"/>
      <c r="AM1585" s="4"/>
      <c r="AN1585" s="4"/>
      <c r="AO1585" s="4"/>
      <c r="AP1585" s="4"/>
      <c r="AQ1585" s="4"/>
      <c r="AR1585" s="4"/>
      <c r="AS1585" s="4"/>
      <c r="AT1585" s="4"/>
      <c r="AU1585" s="4"/>
      <c r="AV1585" s="4"/>
      <c r="AW1585" s="4"/>
      <c r="AX1585" s="4"/>
      <c r="AY1585" s="4"/>
      <c r="AZ1585" s="4"/>
      <c r="BA1585" s="4"/>
      <c r="BB1585" s="4"/>
      <c r="BC1585" s="4"/>
      <c r="BD1585" s="4"/>
      <c r="BE1585" s="4"/>
      <c r="BF1585" s="4"/>
      <c r="BG1585" s="4"/>
      <c r="BH1585" s="4"/>
      <c r="BI1585" s="4"/>
      <c r="BJ1585" s="4"/>
      <c r="BK1585" s="4"/>
      <c r="BL1585" s="4"/>
      <c r="BM1585" s="4"/>
      <c r="BN1585" s="4"/>
      <c r="BO1585" s="4"/>
      <c r="BP1585" s="4"/>
      <c r="BQ1585" s="4"/>
      <c r="BR1585" s="4"/>
      <c r="BS1585" s="4"/>
      <c r="BT1585" s="4"/>
      <c r="BU1585" s="4"/>
      <c r="BV1585" s="4"/>
      <c r="BW1585" s="4"/>
      <c r="BX1585" s="4"/>
      <c r="BY1585" s="4"/>
      <c r="BZ1585" s="4"/>
      <c r="CA1585" s="4"/>
      <c r="CB1585" s="4"/>
      <c r="CC1585" s="4"/>
      <c r="CD1585" s="4"/>
      <c r="CE1585" s="4"/>
      <c r="CF1585" s="4"/>
      <c r="CG1585" s="4"/>
      <c r="CH1585" s="4"/>
      <c r="CI1585" s="4"/>
      <c r="CJ1585" s="4"/>
      <c r="CK1585" s="4"/>
      <c r="CL1585" s="4"/>
      <c r="CM1585" s="4"/>
      <c r="CN1585" s="4"/>
      <c r="CO1585" s="4"/>
      <c r="CP1585" s="4"/>
      <c r="CQ1585" s="4"/>
      <c r="CR1585" s="4"/>
      <c r="CS1585" s="4"/>
      <c r="CT1585" s="4"/>
      <c r="CU1585" s="4"/>
      <c r="CV1585" s="4"/>
      <c r="CW1585" s="4"/>
      <c r="CX1585" s="4"/>
      <c r="CY1585" s="4"/>
      <c r="CZ1585" s="4"/>
      <c r="DA1585" s="4"/>
      <c r="DB1585" s="4"/>
      <c r="DC1585" s="4"/>
      <c r="DD1585" s="4"/>
      <c r="DE1585" s="4"/>
      <c r="DF1585" s="4"/>
      <c r="DG1585" s="4"/>
      <c r="DH1585" s="4"/>
      <c r="DI1585" s="4"/>
      <c r="DJ1585" s="4"/>
      <c r="DK1585" s="4"/>
      <c r="DL1585" s="4"/>
      <c r="DM1585" s="4"/>
      <c r="DN1585" s="4"/>
      <c r="DO1585" s="4"/>
      <c r="DP1585" s="4"/>
      <c r="DQ1585" s="4"/>
      <c r="DR1585" s="4"/>
      <c r="DS1585" s="4"/>
    </row>
    <row r="1586">
      <c r="A1586" s="10">
        <f>IFERROR(__xludf.DUMMYFUNCTION("""COMPUTED_VALUE"""),45953.0)</f>
        <v>45953</v>
      </c>
      <c r="B1586" s="6" t="str">
        <f>IFERROR(__xludf.DUMMYFUNCTION("""COMPUTED_VALUE"""),"Health Insurance")</f>
        <v>Health Insurance</v>
      </c>
      <c r="C1586" s="7">
        <f>IFERROR(__xludf.DUMMYFUNCTION("""COMPUTED_VALUE"""),186054.0)</f>
        <v>186054</v>
      </c>
      <c r="D1586" s="6" t="str">
        <f>IFERROR(__xludf.DUMMYFUNCTION("""COMPUTED_VALUE"""),"Healthcare")</f>
        <v>Healthcare</v>
      </c>
      <c r="E1586" s="6" t="str">
        <f>IFERROR(__xludf.DUMMYFUNCTION("""COMPUTED_VALUE"""),"Credit Card")</f>
        <v>Credit Card</v>
      </c>
      <c r="F1586" s="6" t="s">
        <v>15</v>
      </c>
      <c r="G1586" s="8" t="str">
        <f t="shared" si="1"/>
        <v>202510</v>
      </c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  <c r="AA1586" s="4"/>
      <c r="AB1586" s="4"/>
      <c r="AC1586" s="4"/>
      <c r="AD1586" s="4"/>
      <c r="AE1586" s="4"/>
      <c r="AF1586" s="4"/>
      <c r="AG1586" s="4"/>
      <c r="AH1586" s="4"/>
      <c r="AI1586" s="4"/>
      <c r="AJ1586" s="4"/>
      <c r="AK1586" s="4"/>
      <c r="AL1586" s="4"/>
      <c r="AM1586" s="4"/>
      <c r="AN1586" s="4"/>
      <c r="AO1586" s="4"/>
      <c r="AP1586" s="4"/>
      <c r="AQ1586" s="4"/>
      <c r="AR1586" s="4"/>
      <c r="AS1586" s="4"/>
      <c r="AT1586" s="4"/>
      <c r="AU1586" s="4"/>
      <c r="AV1586" s="4"/>
      <c r="AW1586" s="4"/>
      <c r="AX1586" s="4"/>
      <c r="AY1586" s="4"/>
      <c r="AZ1586" s="4"/>
      <c r="BA1586" s="4"/>
      <c r="BB1586" s="4"/>
      <c r="BC1586" s="4"/>
      <c r="BD1586" s="4"/>
      <c r="BE1586" s="4"/>
      <c r="BF1586" s="4"/>
      <c r="BG1586" s="4"/>
      <c r="BH1586" s="4"/>
      <c r="BI1586" s="4"/>
      <c r="BJ1586" s="4"/>
      <c r="BK1586" s="4"/>
      <c r="BL1586" s="4"/>
      <c r="BM1586" s="4"/>
      <c r="BN1586" s="4"/>
      <c r="BO1586" s="4"/>
      <c r="BP1586" s="4"/>
      <c r="BQ1586" s="4"/>
      <c r="BR1586" s="4"/>
      <c r="BS1586" s="4"/>
      <c r="BT1586" s="4"/>
      <c r="BU1586" s="4"/>
      <c r="BV1586" s="4"/>
      <c r="BW1586" s="4"/>
      <c r="BX1586" s="4"/>
      <c r="BY1586" s="4"/>
      <c r="BZ1586" s="4"/>
      <c r="CA1586" s="4"/>
      <c r="CB1586" s="4"/>
      <c r="CC1586" s="4"/>
      <c r="CD1586" s="4"/>
      <c r="CE1586" s="4"/>
      <c r="CF1586" s="4"/>
      <c r="CG1586" s="4"/>
      <c r="CH1586" s="4"/>
      <c r="CI1586" s="4"/>
      <c r="CJ1586" s="4"/>
      <c r="CK1586" s="4"/>
      <c r="CL1586" s="4"/>
      <c r="CM1586" s="4"/>
      <c r="CN1586" s="4"/>
      <c r="CO1586" s="4"/>
      <c r="CP1586" s="4"/>
      <c r="CQ1586" s="4"/>
      <c r="CR1586" s="4"/>
      <c r="CS1586" s="4"/>
      <c r="CT1586" s="4"/>
      <c r="CU1586" s="4"/>
      <c r="CV1586" s="4"/>
      <c r="CW1586" s="4"/>
      <c r="CX1586" s="4"/>
      <c r="CY1586" s="4"/>
      <c r="CZ1586" s="4"/>
      <c r="DA1586" s="4"/>
      <c r="DB1586" s="4"/>
      <c r="DC1586" s="4"/>
      <c r="DD1586" s="4"/>
      <c r="DE1586" s="4"/>
      <c r="DF1586" s="4"/>
      <c r="DG1586" s="4"/>
      <c r="DH1586" s="4"/>
      <c r="DI1586" s="4"/>
      <c r="DJ1586" s="4"/>
      <c r="DK1586" s="4"/>
      <c r="DL1586" s="4"/>
      <c r="DM1586" s="4"/>
      <c r="DN1586" s="4"/>
      <c r="DO1586" s="4"/>
      <c r="DP1586" s="4"/>
      <c r="DQ1586" s="4"/>
      <c r="DR1586" s="4"/>
      <c r="DS1586" s="4"/>
    </row>
    <row r="1587">
      <c r="A1587" s="5">
        <f>IFERROR(__xludf.DUMMYFUNCTION("""COMPUTED_VALUE"""),45954.0)</f>
        <v>45954</v>
      </c>
      <c r="B1587" s="6" t="str">
        <f>IFERROR(__xludf.DUMMYFUNCTION("""COMPUTED_VALUE"""),"Recreation")</f>
        <v>Recreation</v>
      </c>
      <c r="C1587" s="7">
        <f>IFERROR(__xludf.DUMMYFUNCTION("""COMPUTED_VALUE"""),7253.0)</f>
        <v>7253</v>
      </c>
      <c r="D1587" s="6" t="str">
        <f>IFERROR(__xludf.DUMMYFUNCTION("""COMPUTED_VALUE"""),"Recreation")</f>
        <v>Recreation</v>
      </c>
      <c r="E1587" s="6" t="str">
        <f>IFERROR(__xludf.DUMMYFUNCTION("""COMPUTED_VALUE"""),"Credit Card")</f>
        <v>Credit Card</v>
      </c>
      <c r="F1587" s="6" t="s">
        <v>12</v>
      </c>
      <c r="G1587" s="8" t="str">
        <f t="shared" si="1"/>
        <v>202510</v>
      </c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  <c r="AA1587" s="4"/>
      <c r="AB1587" s="4"/>
      <c r="AC1587" s="4"/>
      <c r="AD1587" s="4"/>
      <c r="AE1587" s="4"/>
      <c r="AF1587" s="4"/>
      <c r="AG1587" s="4"/>
      <c r="AH1587" s="4"/>
      <c r="AI1587" s="4"/>
      <c r="AJ1587" s="4"/>
      <c r="AK1587" s="4"/>
      <c r="AL1587" s="4"/>
      <c r="AM1587" s="4"/>
      <c r="AN1587" s="4"/>
      <c r="AO1587" s="4"/>
      <c r="AP1587" s="4"/>
      <c r="AQ1587" s="4"/>
      <c r="AR1587" s="4"/>
      <c r="AS1587" s="4"/>
      <c r="AT1587" s="4"/>
      <c r="AU1587" s="4"/>
      <c r="AV1587" s="4"/>
      <c r="AW1587" s="4"/>
      <c r="AX1587" s="4"/>
      <c r="AY1587" s="4"/>
      <c r="AZ1587" s="4"/>
      <c r="BA1587" s="4"/>
      <c r="BB1587" s="4"/>
      <c r="BC1587" s="4"/>
      <c r="BD1587" s="4"/>
      <c r="BE1587" s="4"/>
      <c r="BF1587" s="4"/>
      <c r="BG1587" s="4"/>
      <c r="BH1587" s="4"/>
      <c r="BI1587" s="4"/>
      <c r="BJ1587" s="4"/>
      <c r="BK1587" s="4"/>
      <c r="BL1587" s="4"/>
      <c r="BM1587" s="4"/>
      <c r="BN1587" s="4"/>
      <c r="BO1587" s="4"/>
      <c r="BP1587" s="4"/>
      <c r="BQ1587" s="4"/>
      <c r="BR1587" s="4"/>
      <c r="BS1587" s="4"/>
      <c r="BT1587" s="4"/>
      <c r="BU1587" s="4"/>
      <c r="BV1587" s="4"/>
      <c r="BW1587" s="4"/>
      <c r="BX1587" s="4"/>
      <c r="BY1587" s="4"/>
      <c r="BZ1587" s="4"/>
      <c r="CA1587" s="4"/>
      <c r="CB1587" s="4"/>
      <c r="CC1587" s="4"/>
      <c r="CD1587" s="4"/>
      <c r="CE1587" s="4"/>
      <c r="CF1587" s="4"/>
      <c r="CG1587" s="4"/>
      <c r="CH1587" s="4"/>
      <c r="CI1587" s="4"/>
      <c r="CJ1587" s="4"/>
      <c r="CK1587" s="4"/>
      <c r="CL1587" s="4"/>
      <c r="CM1587" s="4"/>
      <c r="CN1587" s="4"/>
      <c r="CO1587" s="4"/>
      <c r="CP1587" s="4"/>
      <c r="CQ1587" s="4"/>
      <c r="CR1587" s="4"/>
      <c r="CS1587" s="4"/>
      <c r="CT1587" s="4"/>
      <c r="CU1587" s="4"/>
      <c r="CV1587" s="4"/>
      <c r="CW1587" s="4"/>
      <c r="CX1587" s="4"/>
      <c r="CY1587" s="4"/>
      <c r="CZ1587" s="4"/>
      <c r="DA1587" s="4"/>
      <c r="DB1587" s="4"/>
      <c r="DC1587" s="4"/>
      <c r="DD1587" s="4"/>
      <c r="DE1587" s="4"/>
      <c r="DF1587" s="4"/>
      <c r="DG1587" s="4"/>
      <c r="DH1587" s="4"/>
      <c r="DI1587" s="4"/>
      <c r="DJ1587" s="4"/>
      <c r="DK1587" s="4"/>
      <c r="DL1587" s="4"/>
      <c r="DM1587" s="4"/>
      <c r="DN1587" s="4"/>
      <c r="DO1587" s="4"/>
      <c r="DP1587" s="4"/>
      <c r="DQ1587" s="4"/>
      <c r="DR1587" s="4"/>
      <c r="DS1587" s="4"/>
    </row>
    <row r="1588">
      <c r="A1588" s="10">
        <f>IFERROR(__xludf.DUMMYFUNCTION("""COMPUTED_VALUE"""),45954.0)</f>
        <v>45954</v>
      </c>
      <c r="B1588" s="6" t="str">
        <f>IFERROR(__xludf.DUMMYFUNCTION("""COMPUTED_VALUE"""),"Groceries")</f>
        <v>Groceries</v>
      </c>
      <c r="C1588" s="7">
        <f>IFERROR(__xludf.DUMMYFUNCTION("""COMPUTED_VALUE"""),4900.0)</f>
        <v>4900</v>
      </c>
      <c r="D1588" s="6" t="str">
        <f>IFERROR(__xludf.DUMMYFUNCTION("""COMPUTED_VALUE"""),"Groceries")</f>
        <v>Groceries</v>
      </c>
      <c r="E1588" s="6" t="str">
        <f>IFERROR(__xludf.DUMMYFUNCTION("""COMPUTED_VALUE"""),"Split Payment")</f>
        <v>Split Payment</v>
      </c>
      <c r="F1588" s="6" t="s">
        <v>7</v>
      </c>
      <c r="G1588" s="8" t="str">
        <f t="shared" si="1"/>
        <v>202510</v>
      </c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  <c r="AA1588" s="4"/>
      <c r="AB1588" s="4"/>
      <c r="AC1588" s="4"/>
      <c r="AD1588" s="4"/>
      <c r="AE1588" s="4"/>
      <c r="AF1588" s="4"/>
      <c r="AG1588" s="4"/>
      <c r="AH1588" s="4"/>
      <c r="AI1588" s="4"/>
      <c r="AJ1588" s="4"/>
      <c r="AK1588" s="4"/>
      <c r="AL1588" s="4"/>
      <c r="AM1588" s="4"/>
      <c r="AN1588" s="4"/>
      <c r="AO1588" s="4"/>
      <c r="AP1588" s="4"/>
      <c r="AQ1588" s="4"/>
      <c r="AR1588" s="4"/>
      <c r="AS1588" s="4"/>
      <c r="AT1588" s="4"/>
      <c r="AU1588" s="4"/>
      <c r="AV1588" s="4"/>
      <c r="AW1588" s="4"/>
      <c r="AX1588" s="4"/>
      <c r="AY1588" s="4"/>
      <c r="AZ1588" s="4"/>
      <c r="BA1588" s="4"/>
      <c r="BB1588" s="4"/>
      <c r="BC1588" s="4"/>
      <c r="BD1588" s="4"/>
      <c r="BE1588" s="4"/>
      <c r="BF1588" s="4"/>
      <c r="BG1588" s="4"/>
      <c r="BH1588" s="4"/>
      <c r="BI1588" s="4"/>
      <c r="BJ1588" s="4"/>
      <c r="BK1588" s="4"/>
      <c r="BL1588" s="4"/>
      <c r="BM1588" s="4"/>
      <c r="BN1588" s="4"/>
      <c r="BO1588" s="4"/>
      <c r="BP1588" s="4"/>
      <c r="BQ1588" s="4"/>
      <c r="BR1588" s="4"/>
      <c r="BS1588" s="4"/>
      <c r="BT1588" s="4"/>
      <c r="BU1588" s="4"/>
      <c r="BV1588" s="4"/>
      <c r="BW1588" s="4"/>
      <c r="BX1588" s="4"/>
      <c r="BY1588" s="4"/>
      <c r="BZ1588" s="4"/>
      <c r="CA1588" s="4"/>
      <c r="CB1588" s="4"/>
      <c r="CC1588" s="4"/>
      <c r="CD1588" s="4"/>
      <c r="CE1588" s="4"/>
      <c r="CF1588" s="4"/>
      <c r="CG1588" s="4"/>
      <c r="CH1588" s="4"/>
      <c r="CI1588" s="4"/>
      <c r="CJ1588" s="4"/>
      <c r="CK1588" s="4"/>
      <c r="CL1588" s="4"/>
      <c r="CM1588" s="4"/>
      <c r="CN1588" s="4"/>
      <c r="CO1588" s="4"/>
      <c r="CP1588" s="4"/>
      <c r="CQ1588" s="4"/>
      <c r="CR1588" s="4"/>
      <c r="CS1588" s="4"/>
      <c r="CT1588" s="4"/>
      <c r="CU1588" s="4"/>
      <c r="CV1588" s="4"/>
      <c r="CW1588" s="4"/>
      <c r="CX1588" s="4"/>
      <c r="CY1588" s="4"/>
      <c r="CZ1588" s="4"/>
      <c r="DA1588" s="4"/>
      <c r="DB1588" s="4"/>
      <c r="DC1588" s="4"/>
      <c r="DD1588" s="4"/>
      <c r="DE1588" s="4"/>
      <c r="DF1588" s="4"/>
      <c r="DG1588" s="4"/>
      <c r="DH1588" s="4"/>
      <c r="DI1588" s="4"/>
      <c r="DJ1588" s="4"/>
      <c r="DK1588" s="4"/>
      <c r="DL1588" s="4"/>
      <c r="DM1588" s="4"/>
      <c r="DN1588" s="4"/>
      <c r="DO1588" s="4"/>
      <c r="DP1588" s="4"/>
      <c r="DQ1588" s="4"/>
      <c r="DR1588" s="4"/>
      <c r="DS1588" s="4"/>
    </row>
    <row r="1589">
      <c r="A1589" s="10">
        <f>IFERROR(__xludf.DUMMYFUNCTION("""COMPUTED_VALUE"""),45955.0)</f>
        <v>45955</v>
      </c>
      <c r="B1589" s="6" t="str">
        <f>IFERROR(__xludf.DUMMYFUNCTION("""COMPUTED_VALUE"""),"Gasoline")</f>
        <v>Gasoline</v>
      </c>
      <c r="C1589" s="7">
        <f>IFERROR(__xludf.DUMMYFUNCTION("""COMPUTED_VALUE"""),10000.0)</f>
        <v>10000</v>
      </c>
      <c r="D1589" s="6" t="str">
        <f>IFERROR(__xludf.DUMMYFUNCTION("""COMPUTED_VALUE"""),"Car Expenses")</f>
        <v>Car Expenses</v>
      </c>
      <c r="E1589" s="6" t="str">
        <f>IFERROR(__xludf.DUMMYFUNCTION("""COMPUTED_VALUE"""),"Split Payment")</f>
        <v>Split Payment</v>
      </c>
      <c r="F1589" s="6" t="s">
        <v>9</v>
      </c>
      <c r="G1589" s="8" t="str">
        <f t="shared" si="1"/>
        <v>202510</v>
      </c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  <c r="AA1589" s="4"/>
      <c r="AB1589" s="4"/>
      <c r="AC1589" s="4"/>
      <c r="AD1589" s="4"/>
      <c r="AE1589" s="4"/>
      <c r="AF1589" s="4"/>
      <c r="AG1589" s="4"/>
      <c r="AH1589" s="4"/>
      <c r="AI1589" s="4"/>
      <c r="AJ1589" s="4"/>
      <c r="AK1589" s="4"/>
      <c r="AL1589" s="4"/>
      <c r="AM1589" s="4"/>
      <c r="AN1589" s="4"/>
      <c r="AO1589" s="4"/>
      <c r="AP1589" s="4"/>
      <c r="AQ1589" s="4"/>
      <c r="AR1589" s="4"/>
      <c r="AS1589" s="4"/>
      <c r="AT1589" s="4"/>
      <c r="AU1589" s="4"/>
      <c r="AV1589" s="4"/>
      <c r="AW1589" s="4"/>
      <c r="AX1589" s="4"/>
      <c r="AY1589" s="4"/>
      <c r="AZ1589" s="4"/>
      <c r="BA1589" s="4"/>
      <c r="BB1589" s="4"/>
      <c r="BC1589" s="4"/>
      <c r="BD1589" s="4"/>
      <c r="BE1589" s="4"/>
      <c r="BF1589" s="4"/>
      <c r="BG1589" s="4"/>
      <c r="BH1589" s="4"/>
      <c r="BI1589" s="4"/>
      <c r="BJ1589" s="4"/>
      <c r="BK1589" s="4"/>
      <c r="BL1589" s="4"/>
      <c r="BM1589" s="4"/>
      <c r="BN1589" s="4"/>
      <c r="BO1589" s="4"/>
      <c r="BP1589" s="4"/>
      <c r="BQ1589" s="4"/>
      <c r="BR1589" s="4"/>
      <c r="BS1589" s="4"/>
      <c r="BT1589" s="4"/>
      <c r="BU1589" s="4"/>
      <c r="BV1589" s="4"/>
      <c r="BW1589" s="4"/>
      <c r="BX1589" s="4"/>
      <c r="BY1589" s="4"/>
      <c r="BZ1589" s="4"/>
      <c r="CA1589" s="4"/>
      <c r="CB1589" s="4"/>
      <c r="CC1589" s="4"/>
      <c r="CD1589" s="4"/>
      <c r="CE1589" s="4"/>
      <c r="CF1589" s="4"/>
      <c r="CG1589" s="4"/>
      <c r="CH1589" s="4"/>
      <c r="CI1589" s="4"/>
      <c r="CJ1589" s="4"/>
      <c r="CK1589" s="4"/>
      <c r="CL1589" s="4"/>
      <c r="CM1589" s="4"/>
      <c r="CN1589" s="4"/>
      <c r="CO1589" s="4"/>
      <c r="CP1589" s="4"/>
      <c r="CQ1589" s="4"/>
      <c r="CR1589" s="4"/>
      <c r="CS1589" s="4"/>
      <c r="CT1589" s="4"/>
      <c r="CU1589" s="4"/>
      <c r="CV1589" s="4"/>
      <c r="CW1589" s="4"/>
      <c r="CX1589" s="4"/>
      <c r="CY1589" s="4"/>
      <c r="CZ1589" s="4"/>
      <c r="DA1589" s="4"/>
      <c r="DB1589" s="4"/>
      <c r="DC1589" s="4"/>
      <c r="DD1589" s="4"/>
      <c r="DE1589" s="4"/>
      <c r="DF1589" s="4"/>
      <c r="DG1589" s="4"/>
      <c r="DH1589" s="4"/>
      <c r="DI1589" s="4"/>
      <c r="DJ1589" s="4"/>
      <c r="DK1589" s="4"/>
      <c r="DL1589" s="4"/>
      <c r="DM1589" s="4"/>
      <c r="DN1589" s="4"/>
      <c r="DO1589" s="4"/>
      <c r="DP1589" s="4"/>
      <c r="DQ1589" s="4"/>
      <c r="DR1589" s="4"/>
      <c r="DS1589" s="4"/>
    </row>
    <row r="1590">
      <c r="A1590" s="10">
        <f>IFERROR(__xludf.DUMMYFUNCTION("""COMPUTED_VALUE"""),45955.0)</f>
        <v>45955</v>
      </c>
      <c r="B1590" s="6" t="str">
        <f>IFERROR(__xludf.DUMMYFUNCTION("""COMPUTED_VALUE"""),"Groceries")</f>
        <v>Groceries</v>
      </c>
      <c r="C1590" s="7">
        <f>IFERROR(__xludf.DUMMYFUNCTION("""COMPUTED_VALUE"""),2100.0)</f>
        <v>2100</v>
      </c>
      <c r="D1590" s="6" t="str">
        <f>IFERROR(__xludf.DUMMYFUNCTION("""COMPUTED_VALUE"""),"Groceries")</f>
        <v>Groceries</v>
      </c>
      <c r="E1590" s="6" t="str">
        <f>IFERROR(__xludf.DUMMYFUNCTION("""COMPUTED_VALUE"""),"Split Payment")</f>
        <v>Split Payment</v>
      </c>
      <c r="F1590" s="6" t="s">
        <v>7</v>
      </c>
      <c r="G1590" s="8" t="str">
        <f t="shared" si="1"/>
        <v>202510</v>
      </c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  <c r="AA1590" s="4"/>
      <c r="AB1590" s="4"/>
      <c r="AC1590" s="4"/>
      <c r="AD1590" s="4"/>
      <c r="AE1590" s="4"/>
      <c r="AF1590" s="4"/>
      <c r="AG1590" s="4"/>
      <c r="AH1590" s="4"/>
      <c r="AI1590" s="4"/>
      <c r="AJ1590" s="4"/>
      <c r="AK1590" s="4"/>
      <c r="AL1590" s="4"/>
      <c r="AM1590" s="4"/>
      <c r="AN1590" s="4"/>
      <c r="AO1590" s="4"/>
      <c r="AP1590" s="4"/>
      <c r="AQ1590" s="4"/>
      <c r="AR1590" s="4"/>
      <c r="AS1590" s="4"/>
      <c r="AT1590" s="4"/>
      <c r="AU1590" s="4"/>
      <c r="AV1590" s="4"/>
      <c r="AW1590" s="4"/>
      <c r="AX1590" s="4"/>
      <c r="AY1590" s="4"/>
      <c r="AZ1590" s="4"/>
      <c r="BA1590" s="4"/>
      <c r="BB1590" s="4"/>
      <c r="BC1590" s="4"/>
      <c r="BD1590" s="4"/>
      <c r="BE1590" s="4"/>
      <c r="BF1590" s="4"/>
      <c r="BG1590" s="4"/>
      <c r="BH1590" s="4"/>
      <c r="BI1590" s="4"/>
      <c r="BJ1590" s="4"/>
      <c r="BK1590" s="4"/>
      <c r="BL1590" s="4"/>
      <c r="BM1590" s="4"/>
      <c r="BN1590" s="4"/>
      <c r="BO1590" s="4"/>
      <c r="BP1590" s="4"/>
      <c r="BQ1590" s="4"/>
      <c r="BR1590" s="4"/>
      <c r="BS1590" s="4"/>
      <c r="BT1590" s="4"/>
      <c r="BU1590" s="4"/>
      <c r="BV1590" s="4"/>
      <c r="BW1590" s="4"/>
      <c r="BX1590" s="4"/>
      <c r="BY1590" s="4"/>
      <c r="BZ1590" s="4"/>
      <c r="CA1590" s="4"/>
      <c r="CB1590" s="4"/>
      <c r="CC1590" s="4"/>
      <c r="CD1590" s="4"/>
      <c r="CE1590" s="4"/>
      <c r="CF1590" s="4"/>
      <c r="CG1590" s="4"/>
      <c r="CH1590" s="4"/>
      <c r="CI1590" s="4"/>
      <c r="CJ1590" s="4"/>
      <c r="CK1590" s="4"/>
      <c r="CL1590" s="4"/>
      <c r="CM1590" s="4"/>
      <c r="CN1590" s="4"/>
      <c r="CO1590" s="4"/>
      <c r="CP1590" s="4"/>
      <c r="CQ1590" s="4"/>
      <c r="CR1590" s="4"/>
      <c r="CS1590" s="4"/>
      <c r="CT1590" s="4"/>
      <c r="CU1590" s="4"/>
      <c r="CV1590" s="4"/>
      <c r="CW1590" s="4"/>
      <c r="CX1590" s="4"/>
      <c r="CY1590" s="4"/>
      <c r="CZ1590" s="4"/>
      <c r="DA1590" s="4"/>
      <c r="DB1590" s="4"/>
      <c r="DC1590" s="4"/>
      <c r="DD1590" s="4"/>
      <c r="DE1590" s="4"/>
      <c r="DF1590" s="4"/>
      <c r="DG1590" s="4"/>
      <c r="DH1590" s="4"/>
      <c r="DI1590" s="4"/>
      <c r="DJ1590" s="4"/>
      <c r="DK1590" s="4"/>
      <c r="DL1590" s="4"/>
      <c r="DM1590" s="4"/>
      <c r="DN1590" s="4"/>
      <c r="DO1590" s="4"/>
      <c r="DP1590" s="4"/>
      <c r="DQ1590" s="4"/>
      <c r="DR1590" s="4"/>
      <c r="DS1590" s="4"/>
    </row>
    <row r="1591">
      <c r="A1591" s="10">
        <f>IFERROR(__xludf.DUMMYFUNCTION("""COMPUTED_VALUE"""),45956.0)</f>
        <v>45956</v>
      </c>
      <c r="B1591" s="6" t="str">
        <f>IFERROR(__xludf.DUMMYFUNCTION("""COMPUTED_VALUE"""),"Home Goods")</f>
        <v>Home Goods</v>
      </c>
      <c r="C1591" s="7">
        <f>IFERROR(__xludf.DUMMYFUNCTION("""COMPUTED_VALUE"""),5650.0)</f>
        <v>5650</v>
      </c>
      <c r="D1591" s="6" t="str">
        <f>IFERROR(__xludf.DUMMYFUNCTION("""COMPUTED_VALUE"""),"Home Goods &amp; Utilities")</f>
        <v>Home Goods &amp; Utilities</v>
      </c>
      <c r="E1591" s="6" t="str">
        <f>IFERROR(__xludf.DUMMYFUNCTION("""COMPUTED_VALUE"""),"Split Payment")</f>
        <v>Split Payment</v>
      </c>
      <c r="F1591" s="6" t="s">
        <v>8</v>
      </c>
      <c r="G1591" s="8" t="str">
        <f t="shared" si="1"/>
        <v>202510</v>
      </c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  <c r="AA1591" s="4"/>
      <c r="AB1591" s="4"/>
      <c r="AC1591" s="4"/>
      <c r="AD1591" s="4"/>
      <c r="AE1591" s="4"/>
      <c r="AF1591" s="4"/>
      <c r="AG1591" s="4"/>
      <c r="AH1591" s="4"/>
      <c r="AI1591" s="4"/>
      <c r="AJ1591" s="4"/>
      <c r="AK1591" s="4"/>
      <c r="AL1591" s="4"/>
      <c r="AM1591" s="4"/>
      <c r="AN1591" s="4"/>
      <c r="AO1591" s="4"/>
      <c r="AP1591" s="4"/>
      <c r="AQ1591" s="4"/>
      <c r="AR1591" s="4"/>
      <c r="AS1591" s="4"/>
      <c r="AT1591" s="4"/>
      <c r="AU1591" s="4"/>
      <c r="AV1591" s="4"/>
      <c r="AW1591" s="4"/>
      <c r="AX1591" s="4"/>
      <c r="AY1591" s="4"/>
      <c r="AZ1591" s="4"/>
      <c r="BA1591" s="4"/>
      <c r="BB1591" s="4"/>
      <c r="BC1591" s="4"/>
      <c r="BD1591" s="4"/>
      <c r="BE1591" s="4"/>
      <c r="BF1591" s="4"/>
      <c r="BG1591" s="4"/>
      <c r="BH1591" s="4"/>
      <c r="BI1591" s="4"/>
      <c r="BJ1591" s="4"/>
      <c r="BK1591" s="4"/>
      <c r="BL1591" s="4"/>
      <c r="BM1591" s="4"/>
      <c r="BN1591" s="4"/>
      <c r="BO1591" s="4"/>
      <c r="BP1591" s="4"/>
      <c r="BQ1591" s="4"/>
      <c r="BR1591" s="4"/>
      <c r="BS1591" s="4"/>
      <c r="BT1591" s="4"/>
      <c r="BU1591" s="4"/>
      <c r="BV1591" s="4"/>
      <c r="BW1591" s="4"/>
      <c r="BX1591" s="4"/>
      <c r="BY1591" s="4"/>
      <c r="BZ1591" s="4"/>
      <c r="CA1591" s="4"/>
      <c r="CB1591" s="4"/>
      <c r="CC1591" s="4"/>
      <c r="CD1591" s="4"/>
      <c r="CE1591" s="4"/>
      <c r="CF1591" s="4"/>
      <c r="CG1591" s="4"/>
      <c r="CH1591" s="4"/>
      <c r="CI1591" s="4"/>
      <c r="CJ1591" s="4"/>
      <c r="CK1591" s="4"/>
      <c r="CL1591" s="4"/>
      <c r="CM1591" s="4"/>
      <c r="CN1591" s="4"/>
      <c r="CO1591" s="4"/>
      <c r="CP1591" s="4"/>
      <c r="CQ1591" s="4"/>
      <c r="CR1591" s="4"/>
      <c r="CS1591" s="4"/>
      <c r="CT1591" s="4"/>
      <c r="CU1591" s="4"/>
      <c r="CV1591" s="4"/>
      <c r="CW1591" s="4"/>
      <c r="CX1591" s="4"/>
      <c r="CY1591" s="4"/>
      <c r="CZ1591" s="4"/>
      <c r="DA1591" s="4"/>
      <c r="DB1591" s="4"/>
      <c r="DC1591" s="4"/>
      <c r="DD1591" s="4"/>
      <c r="DE1591" s="4"/>
      <c r="DF1591" s="4"/>
      <c r="DG1591" s="4"/>
      <c r="DH1591" s="4"/>
      <c r="DI1591" s="4"/>
      <c r="DJ1591" s="4"/>
      <c r="DK1591" s="4"/>
      <c r="DL1591" s="4"/>
      <c r="DM1591" s="4"/>
      <c r="DN1591" s="4"/>
      <c r="DO1591" s="4"/>
      <c r="DP1591" s="4"/>
      <c r="DQ1591" s="4"/>
      <c r="DR1591" s="4"/>
      <c r="DS1591" s="4"/>
    </row>
    <row r="1592">
      <c r="A1592" s="10">
        <f>IFERROR(__xludf.DUMMYFUNCTION("""COMPUTED_VALUE"""),45956.0)</f>
        <v>45956</v>
      </c>
      <c r="B1592" s="6" t="str">
        <f>IFERROR(__xludf.DUMMYFUNCTION("""COMPUTED_VALUE"""),"Pets")</f>
        <v>Pets</v>
      </c>
      <c r="C1592" s="7">
        <f>IFERROR(__xludf.DUMMYFUNCTION("""COMPUTED_VALUE"""),600.0)</f>
        <v>600</v>
      </c>
      <c r="D1592" s="6" t="str">
        <f>IFERROR(__xludf.DUMMYFUNCTION("""COMPUTED_VALUE"""),"Pets")</f>
        <v>Pets</v>
      </c>
      <c r="E1592" s="6" t="str">
        <f>IFERROR(__xludf.DUMMYFUNCTION("""COMPUTED_VALUE"""),"Virtual Wallet")</f>
        <v>Virtual Wallet</v>
      </c>
      <c r="F1592" s="6" t="s">
        <v>7</v>
      </c>
      <c r="G1592" s="8" t="str">
        <f t="shared" si="1"/>
        <v>202510</v>
      </c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  <c r="AA1592" s="4"/>
      <c r="AB1592" s="4"/>
      <c r="AC1592" s="4"/>
      <c r="AD1592" s="4"/>
      <c r="AE1592" s="4"/>
      <c r="AF1592" s="4"/>
      <c r="AG1592" s="4"/>
      <c r="AH1592" s="4"/>
      <c r="AI1592" s="4"/>
      <c r="AJ1592" s="4"/>
      <c r="AK1592" s="4"/>
      <c r="AL1592" s="4"/>
      <c r="AM1592" s="4"/>
      <c r="AN1592" s="4"/>
      <c r="AO1592" s="4"/>
      <c r="AP1592" s="4"/>
      <c r="AQ1592" s="4"/>
      <c r="AR1592" s="4"/>
      <c r="AS1592" s="4"/>
      <c r="AT1592" s="4"/>
      <c r="AU1592" s="4"/>
      <c r="AV1592" s="4"/>
      <c r="AW1592" s="4"/>
      <c r="AX1592" s="4"/>
      <c r="AY1592" s="4"/>
      <c r="AZ1592" s="4"/>
      <c r="BA1592" s="4"/>
      <c r="BB1592" s="4"/>
      <c r="BC1592" s="4"/>
      <c r="BD1592" s="4"/>
      <c r="BE1592" s="4"/>
      <c r="BF1592" s="4"/>
      <c r="BG1592" s="4"/>
      <c r="BH1592" s="4"/>
      <c r="BI1592" s="4"/>
      <c r="BJ1592" s="4"/>
      <c r="BK1592" s="4"/>
      <c r="BL1592" s="4"/>
      <c r="BM1592" s="4"/>
      <c r="BN1592" s="4"/>
      <c r="BO1592" s="4"/>
      <c r="BP1592" s="4"/>
      <c r="BQ1592" s="4"/>
      <c r="BR1592" s="4"/>
      <c r="BS1592" s="4"/>
      <c r="BT1592" s="4"/>
      <c r="BU1592" s="4"/>
      <c r="BV1592" s="4"/>
      <c r="BW1592" s="4"/>
      <c r="BX1592" s="4"/>
      <c r="BY1592" s="4"/>
      <c r="BZ1592" s="4"/>
      <c r="CA1592" s="4"/>
      <c r="CB1592" s="4"/>
      <c r="CC1592" s="4"/>
      <c r="CD1592" s="4"/>
      <c r="CE1592" s="4"/>
      <c r="CF1592" s="4"/>
      <c r="CG1592" s="4"/>
      <c r="CH1592" s="4"/>
      <c r="CI1592" s="4"/>
      <c r="CJ1592" s="4"/>
      <c r="CK1592" s="4"/>
      <c r="CL1592" s="4"/>
      <c r="CM1592" s="4"/>
      <c r="CN1592" s="4"/>
      <c r="CO1592" s="4"/>
      <c r="CP1592" s="4"/>
      <c r="CQ1592" s="4"/>
      <c r="CR1592" s="4"/>
      <c r="CS1592" s="4"/>
      <c r="CT1592" s="4"/>
      <c r="CU1592" s="4"/>
      <c r="CV1592" s="4"/>
      <c r="CW1592" s="4"/>
      <c r="CX1592" s="4"/>
      <c r="CY1592" s="4"/>
      <c r="CZ1592" s="4"/>
      <c r="DA1592" s="4"/>
      <c r="DB1592" s="4"/>
      <c r="DC1592" s="4"/>
      <c r="DD1592" s="4"/>
      <c r="DE1592" s="4"/>
      <c r="DF1592" s="4"/>
      <c r="DG1592" s="4"/>
      <c r="DH1592" s="4"/>
      <c r="DI1592" s="4"/>
      <c r="DJ1592" s="4"/>
      <c r="DK1592" s="4"/>
      <c r="DL1592" s="4"/>
      <c r="DM1592" s="4"/>
      <c r="DN1592" s="4"/>
      <c r="DO1592" s="4"/>
      <c r="DP1592" s="4"/>
      <c r="DQ1592" s="4"/>
      <c r="DR1592" s="4"/>
      <c r="DS1592" s="4"/>
    </row>
    <row r="1593">
      <c r="A1593" s="10">
        <f>IFERROR(__xludf.DUMMYFUNCTION("""COMPUTED_VALUE"""),45958.0)</f>
        <v>45958</v>
      </c>
      <c r="B1593" s="6" t="str">
        <f>IFERROR(__xludf.DUMMYFUNCTION("""COMPUTED_VALUE"""),"Groceries")</f>
        <v>Groceries</v>
      </c>
      <c r="C1593" s="7">
        <f>IFERROR(__xludf.DUMMYFUNCTION("""COMPUTED_VALUE"""),4600.0)</f>
        <v>4600</v>
      </c>
      <c r="D1593" s="6" t="str">
        <f>IFERROR(__xludf.DUMMYFUNCTION("""COMPUTED_VALUE"""),"Groceries")</f>
        <v>Groceries</v>
      </c>
      <c r="E1593" s="6" t="str">
        <f>IFERROR(__xludf.DUMMYFUNCTION("""COMPUTED_VALUE"""),"Split Payment")</f>
        <v>Split Payment</v>
      </c>
      <c r="F1593" s="6" t="s">
        <v>7</v>
      </c>
      <c r="G1593" s="8" t="str">
        <f t="shared" si="1"/>
        <v>202510</v>
      </c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  <c r="AA1593" s="4"/>
      <c r="AB1593" s="4"/>
      <c r="AC1593" s="4"/>
      <c r="AD1593" s="4"/>
      <c r="AE1593" s="4"/>
      <c r="AF1593" s="4"/>
      <c r="AG1593" s="4"/>
      <c r="AH1593" s="4"/>
      <c r="AI1593" s="4"/>
      <c r="AJ1593" s="4"/>
      <c r="AK1593" s="4"/>
      <c r="AL1593" s="4"/>
      <c r="AM1593" s="4"/>
      <c r="AN1593" s="4"/>
      <c r="AO1593" s="4"/>
      <c r="AP1593" s="4"/>
      <c r="AQ1593" s="4"/>
      <c r="AR1593" s="4"/>
      <c r="AS1593" s="4"/>
      <c r="AT1593" s="4"/>
      <c r="AU1593" s="4"/>
      <c r="AV1593" s="4"/>
      <c r="AW1593" s="4"/>
      <c r="AX1593" s="4"/>
      <c r="AY1593" s="4"/>
      <c r="AZ1593" s="4"/>
      <c r="BA1593" s="4"/>
      <c r="BB1593" s="4"/>
      <c r="BC1593" s="4"/>
      <c r="BD1593" s="4"/>
      <c r="BE1593" s="4"/>
      <c r="BF1593" s="4"/>
      <c r="BG1593" s="4"/>
      <c r="BH1593" s="4"/>
      <c r="BI1593" s="4"/>
      <c r="BJ1593" s="4"/>
      <c r="BK1593" s="4"/>
      <c r="BL1593" s="4"/>
      <c r="BM1593" s="4"/>
      <c r="BN1593" s="4"/>
      <c r="BO1593" s="4"/>
      <c r="BP1593" s="4"/>
      <c r="BQ1593" s="4"/>
      <c r="BR1593" s="4"/>
      <c r="BS1593" s="4"/>
      <c r="BT1593" s="4"/>
      <c r="BU1593" s="4"/>
      <c r="BV1593" s="4"/>
      <c r="BW1593" s="4"/>
      <c r="BX1593" s="4"/>
      <c r="BY1593" s="4"/>
      <c r="BZ1593" s="4"/>
      <c r="CA1593" s="4"/>
      <c r="CB1593" s="4"/>
      <c r="CC1593" s="4"/>
      <c r="CD1593" s="4"/>
      <c r="CE1593" s="4"/>
      <c r="CF1593" s="4"/>
      <c r="CG1593" s="4"/>
      <c r="CH1593" s="4"/>
      <c r="CI1593" s="4"/>
      <c r="CJ1593" s="4"/>
      <c r="CK1593" s="4"/>
      <c r="CL1593" s="4"/>
      <c r="CM1593" s="4"/>
      <c r="CN1593" s="4"/>
      <c r="CO1593" s="4"/>
      <c r="CP1593" s="4"/>
      <c r="CQ1593" s="4"/>
      <c r="CR1593" s="4"/>
      <c r="CS1593" s="4"/>
      <c r="CT1593" s="4"/>
      <c r="CU1593" s="4"/>
      <c r="CV1593" s="4"/>
      <c r="CW1593" s="4"/>
      <c r="CX1593" s="4"/>
      <c r="CY1593" s="4"/>
      <c r="CZ1593" s="4"/>
      <c r="DA1593" s="4"/>
      <c r="DB1593" s="4"/>
      <c r="DC1593" s="4"/>
      <c r="DD1593" s="4"/>
      <c r="DE1593" s="4"/>
      <c r="DF1593" s="4"/>
      <c r="DG1593" s="4"/>
      <c r="DH1593" s="4"/>
      <c r="DI1593" s="4"/>
      <c r="DJ1593" s="4"/>
      <c r="DK1593" s="4"/>
      <c r="DL1593" s="4"/>
      <c r="DM1593" s="4"/>
      <c r="DN1593" s="4"/>
      <c r="DO1593" s="4"/>
      <c r="DP1593" s="4"/>
      <c r="DQ1593" s="4"/>
      <c r="DR1593" s="4"/>
      <c r="DS1593" s="4"/>
    </row>
    <row r="1594">
      <c r="A1594" s="10">
        <f>IFERROR(__xludf.DUMMYFUNCTION("""COMPUTED_VALUE"""),45958.0)</f>
        <v>45958</v>
      </c>
      <c r="B1594" s="6" t="str">
        <f>IFERROR(__xludf.DUMMYFUNCTION("""COMPUTED_VALUE"""),"Restaurant")</f>
        <v>Restaurant</v>
      </c>
      <c r="C1594" s="7">
        <f>IFERROR(__xludf.DUMMYFUNCTION("""COMPUTED_VALUE"""),16500.0)</f>
        <v>16500</v>
      </c>
      <c r="D1594" s="6" t="str">
        <f>IFERROR(__xludf.DUMMYFUNCTION("""COMPUTED_VALUE"""),"Restaurant / Café")</f>
        <v>Restaurant / Café</v>
      </c>
      <c r="E1594" s="6" t="str">
        <f>IFERROR(__xludf.DUMMYFUNCTION("""COMPUTED_VALUE"""),"Virtual Wallet")</f>
        <v>Virtual Wallet</v>
      </c>
      <c r="F1594" s="6" t="s">
        <v>14</v>
      </c>
      <c r="G1594" s="8" t="str">
        <f t="shared" si="1"/>
        <v>202510</v>
      </c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  <c r="AA1594" s="4"/>
      <c r="AB1594" s="4"/>
      <c r="AC1594" s="4"/>
      <c r="AD1594" s="4"/>
      <c r="AE1594" s="4"/>
      <c r="AF1594" s="4"/>
      <c r="AG1594" s="4"/>
      <c r="AH1594" s="4"/>
      <c r="AI1594" s="4"/>
      <c r="AJ1594" s="4"/>
      <c r="AK1594" s="4"/>
      <c r="AL1594" s="4"/>
      <c r="AM1594" s="4"/>
      <c r="AN1594" s="4"/>
      <c r="AO1594" s="4"/>
      <c r="AP1594" s="4"/>
      <c r="AQ1594" s="4"/>
      <c r="AR1594" s="4"/>
      <c r="AS1594" s="4"/>
      <c r="AT1594" s="4"/>
      <c r="AU1594" s="4"/>
      <c r="AV1594" s="4"/>
      <c r="AW1594" s="4"/>
      <c r="AX1594" s="4"/>
      <c r="AY1594" s="4"/>
      <c r="AZ1594" s="4"/>
      <c r="BA1594" s="4"/>
      <c r="BB1594" s="4"/>
      <c r="BC1594" s="4"/>
      <c r="BD1594" s="4"/>
      <c r="BE1594" s="4"/>
      <c r="BF1594" s="4"/>
      <c r="BG1594" s="4"/>
      <c r="BH1594" s="4"/>
      <c r="BI1594" s="4"/>
      <c r="BJ1594" s="4"/>
      <c r="BK1594" s="4"/>
      <c r="BL1594" s="4"/>
      <c r="BM1594" s="4"/>
      <c r="BN1594" s="4"/>
      <c r="BO1594" s="4"/>
      <c r="BP1594" s="4"/>
      <c r="BQ1594" s="4"/>
      <c r="BR1594" s="4"/>
      <c r="BS1594" s="4"/>
      <c r="BT1594" s="4"/>
      <c r="BU1594" s="4"/>
      <c r="BV1594" s="4"/>
      <c r="BW1594" s="4"/>
      <c r="BX1594" s="4"/>
      <c r="BY1594" s="4"/>
      <c r="BZ1594" s="4"/>
      <c r="CA1594" s="4"/>
      <c r="CB1594" s="4"/>
      <c r="CC1594" s="4"/>
      <c r="CD1594" s="4"/>
      <c r="CE1594" s="4"/>
      <c r="CF1594" s="4"/>
      <c r="CG1594" s="4"/>
      <c r="CH1594" s="4"/>
      <c r="CI1594" s="4"/>
      <c r="CJ1594" s="4"/>
      <c r="CK1594" s="4"/>
      <c r="CL1594" s="4"/>
      <c r="CM1594" s="4"/>
      <c r="CN1594" s="4"/>
      <c r="CO1594" s="4"/>
      <c r="CP1594" s="4"/>
      <c r="CQ1594" s="4"/>
      <c r="CR1594" s="4"/>
      <c r="CS1594" s="4"/>
      <c r="CT1594" s="4"/>
      <c r="CU1594" s="4"/>
      <c r="CV1594" s="4"/>
      <c r="CW1594" s="4"/>
      <c r="CX1594" s="4"/>
      <c r="CY1594" s="4"/>
      <c r="CZ1594" s="4"/>
      <c r="DA1594" s="4"/>
      <c r="DB1594" s="4"/>
      <c r="DC1594" s="4"/>
      <c r="DD1594" s="4"/>
      <c r="DE1594" s="4"/>
      <c r="DF1594" s="4"/>
      <c r="DG1594" s="4"/>
      <c r="DH1594" s="4"/>
      <c r="DI1594" s="4"/>
      <c r="DJ1594" s="4"/>
      <c r="DK1594" s="4"/>
      <c r="DL1594" s="4"/>
      <c r="DM1594" s="4"/>
      <c r="DN1594" s="4"/>
      <c r="DO1594" s="4"/>
      <c r="DP1594" s="4"/>
      <c r="DQ1594" s="4"/>
      <c r="DR1594" s="4"/>
      <c r="DS1594" s="4"/>
    </row>
    <row r="1595">
      <c r="A1595" s="10">
        <f>IFERROR(__xludf.DUMMYFUNCTION("""COMPUTED_VALUE"""),45958.0)</f>
        <v>45958</v>
      </c>
      <c r="B1595" s="6" t="str">
        <f>IFERROR(__xludf.DUMMYFUNCTION("""COMPUTED_VALUE"""),"Restaurant")</f>
        <v>Restaurant</v>
      </c>
      <c r="C1595" s="7">
        <f>IFERROR(__xludf.DUMMYFUNCTION("""COMPUTED_VALUE"""),10370.0)</f>
        <v>10370</v>
      </c>
      <c r="D1595" s="6" t="str">
        <f>IFERROR(__xludf.DUMMYFUNCTION("""COMPUTED_VALUE"""),"Restaurant / Café")</f>
        <v>Restaurant / Café</v>
      </c>
      <c r="E1595" s="6" t="str">
        <f>IFERROR(__xludf.DUMMYFUNCTION("""COMPUTED_VALUE"""),"Split Payment")</f>
        <v>Split Payment</v>
      </c>
      <c r="F1595" s="6" t="s">
        <v>14</v>
      </c>
      <c r="G1595" s="8" t="str">
        <f t="shared" si="1"/>
        <v>202510</v>
      </c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  <c r="AA1595" s="4"/>
      <c r="AB1595" s="4"/>
      <c r="AC1595" s="4"/>
      <c r="AD1595" s="4"/>
      <c r="AE1595" s="4"/>
      <c r="AF1595" s="4"/>
      <c r="AG1595" s="4"/>
      <c r="AH1595" s="4"/>
      <c r="AI1595" s="4"/>
      <c r="AJ1595" s="4"/>
      <c r="AK1595" s="4"/>
      <c r="AL1595" s="4"/>
      <c r="AM1595" s="4"/>
      <c r="AN1595" s="4"/>
      <c r="AO1595" s="4"/>
      <c r="AP1595" s="4"/>
      <c r="AQ1595" s="4"/>
      <c r="AR1595" s="4"/>
      <c r="AS1595" s="4"/>
      <c r="AT1595" s="4"/>
      <c r="AU1595" s="4"/>
      <c r="AV1595" s="4"/>
      <c r="AW1595" s="4"/>
      <c r="AX1595" s="4"/>
      <c r="AY1595" s="4"/>
      <c r="AZ1595" s="4"/>
      <c r="BA1595" s="4"/>
      <c r="BB1595" s="4"/>
      <c r="BC1595" s="4"/>
      <c r="BD1595" s="4"/>
      <c r="BE1595" s="4"/>
      <c r="BF1595" s="4"/>
      <c r="BG1595" s="4"/>
      <c r="BH1595" s="4"/>
      <c r="BI1595" s="4"/>
      <c r="BJ1595" s="4"/>
      <c r="BK1595" s="4"/>
      <c r="BL1595" s="4"/>
      <c r="BM1595" s="4"/>
      <c r="BN1595" s="4"/>
      <c r="BO1595" s="4"/>
      <c r="BP1595" s="4"/>
      <c r="BQ1595" s="4"/>
      <c r="BR1595" s="4"/>
      <c r="BS1595" s="4"/>
      <c r="BT1595" s="4"/>
      <c r="BU1595" s="4"/>
      <c r="BV1595" s="4"/>
      <c r="BW1595" s="4"/>
      <c r="BX1595" s="4"/>
      <c r="BY1595" s="4"/>
      <c r="BZ1595" s="4"/>
      <c r="CA1595" s="4"/>
      <c r="CB1595" s="4"/>
      <c r="CC1595" s="4"/>
      <c r="CD1595" s="4"/>
      <c r="CE1595" s="4"/>
      <c r="CF1595" s="4"/>
      <c r="CG1595" s="4"/>
      <c r="CH1595" s="4"/>
      <c r="CI1595" s="4"/>
      <c r="CJ1595" s="4"/>
      <c r="CK1595" s="4"/>
      <c r="CL1595" s="4"/>
      <c r="CM1595" s="4"/>
      <c r="CN1595" s="4"/>
      <c r="CO1595" s="4"/>
      <c r="CP1595" s="4"/>
      <c r="CQ1595" s="4"/>
      <c r="CR1595" s="4"/>
      <c r="CS1595" s="4"/>
      <c r="CT1595" s="4"/>
      <c r="CU1595" s="4"/>
      <c r="CV1595" s="4"/>
      <c r="CW1595" s="4"/>
      <c r="CX1595" s="4"/>
      <c r="CY1595" s="4"/>
      <c r="CZ1595" s="4"/>
      <c r="DA1595" s="4"/>
      <c r="DB1595" s="4"/>
      <c r="DC1595" s="4"/>
      <c r="DD1595" s="4"/>
      <c r="DE1595" s="4"/>
      <c r="DF1595" s="4"/>
      <c r="DG1595" s="4"/>
      <c r="DH1595" s="4"/>
      <c r="DI1595" s="4"/>
      <c r="DJ1595" s="4"/>
      <c r="DK1595" s="4"/>
      <c r="DL1595" s="4"/>
      <c r="DM1595" s="4"/>
      <c r="DN1595" s="4"/>
      <c r="DO1595" s="4"/>
      <c r="DP1595" s="4"/>
      <c r="DQ1595" s="4"/>
      <c r="DR1595" s="4"/>
      <c r="DS1595" s="4"/>
    </row>
    <row r="1596">
      <c r="A1596" s="10">
        <f>IFERROR(__xludf.DUMMYFUNCTION("""COMPUTED_VALUE"""),45958.0)</f>
        <v>45958</v>
      </c>
      <c r="B1596" s="6" t="str">
        <f>IFERROR(__xludf.DUMMYFUNCTION("""COMPUTED_VALUE"""),"Stationery / Books")</f>
        <v>Stationery / Books</v>
      </c>
      <c r="C1596" s="7">
        <f>IFERROR(__xludf.DUMMYFUNCTION("""COMPUTED_VALUE"""),10800.0)</f>
        <v>10800</v>
      </c>
      <c r="D1596" s="6" t="str">
        <f>IFERROR(__xludf.DUMMYFUNCTION("""COMPUTED_VALUE"""),"Education")</f>
        <v>Education</v>
      </c>
      <c r="E1596" s="6" t="str">
        <f>IFERROR(__xludf.DUMMYFUNCTION("""COMPUTED_VALUE"""),"Virtual Wallet")</f>
        <v>Virtual Wallet</v>
      </c>
      <c r="F1596" s="6" t="s">
        <v>11</v>
      </c>
      <c r="G1596" s="8" t="str">
        <f t="shared" si="1"/>
        <v>202510</v>
      </c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  <c r="AA1596" s="4"/>
      <c r="AB1596" s="4"/>
      <c r="AC1596" s="4"/>
      <c r="AD1596" s="4"/>
      <c r="AE1596" s="4"/>
      <c r="AF1596" s="4"/>
      <c r="AG1596" s="4"/>
      <c r="AH1596" s="4"/>
      <c r="AI1596" s="4"/>
      <c r="AJ1596" s="4"/>
      <c r="AK1596" s="4"/>
      <c r="AL1596" s="4"/>
      <c r="AM1596" s="4"/>
      <c r="AN1596" s="4"/>
      <c r="AO1596" s="4"/>
      <c r="AP1596" s="4"/>
      <c r="AQ1596" s="4"/>
      <c r="AR1596" s="4"/>
      <c r="AS1596" s="4"/>
      <c r="AT1596" s="4"/>
      <c r="AU1596" s="4"/>
      <c r="AV1596" s="4"/>
      <c r="AW1596" s="4"/>
      <c r="AX1596" s="4"/>
      <c r="AY1596" s="4"/>
      <c r="AZ1596" s="4"/>
      <c r="BA1596" s="4"/>
      <c r="BB1596" s="4"/>
      <c r="BC1596" s="4"/>
      <c r="BD1596" s="4"/>
      <c r="BE1596" s="4"/>
      <c r="BF1596" s="4"/>
      <c r="BG1596" s="4"/>
      <c r="BH1596" s="4"/>
      <c r="BI1596" s="4"/>
      <c r="BJ1596" s="4"/>
      <c r="BK1596" s="4"/>
      <c r="BL1596" s="4"/>
      <c r="BM1596" s="4"/>
      <c r="BN1596" s="4"/>
      <c r="BO1596" s="4"/>
      <c r="BP1596" s="4"/>
      <c r="BQ1596" s="4"/>
      <c r="BR1596" s="4"/>
      <c r="BS1596" s="4"/>
      <c r="BT1596" s="4"/>
      <c r="BU1596" s="4"/>
      <c r="BV1596" s="4"/>
      <c r="BW1596" s="4"/>
      <c r="BX1596" s="4"/>
      <c r="BY1596" s="4"/>
      <c r="BZ1596" s="4"/>
      <c r="CA1596" s="4"/>
      <c r="CB1596" s="4"/>
      <c r="CC1596" s="4"/>
      <c r="CD1596" s="4"/>
      <c r="CE1596" s="4"/>
      <c r="CF1596" s="4"/>
      <c r="CG1596" s="4"/>
      <c r="CH1596" s="4"/>
      <c r="CI1596" s="4"/>
      <c r="CJ1596" s="4"/>
      <c r="CK1596" s="4"/>
      <c r="CL1596" s="4"/>
      <c r="CM1596" s="4"/>
      <c r="CN1596" s="4"/>
      <c r="CO1596" s="4"/>
      <c r="CP1596" s="4"/>
      <c r="CQ1596" s="4"/>
      <c r="CR1596" s="4"/>
      <c r="CS1596" s="4"/>
      <c r="CT1596" s="4"/>
      <c r="CU1596" s="4"/>
      <c r="CV1596" s="4"/>
      <c r="CW1596" s="4"/>
      <c r="CX1596" s="4"/>
      <c r="CY1596" s="4"/>
      <c r="CZ1596" s="4"/>
      <c r="DA1596" s="4"/>
      <c r="DB1596" s="4"/>
      <c r="DC1596" s="4"/>
      <c r="DD1596" s="4"/>
      <c r="DE1596" s="4"/>
      <c r="DF1596" s="4"/>
      <c r="DG1596" s="4"/>
      <c r="DH1596" s="4"/>
      <c r="DI1596" s="4"/>
      <c r="DJ1596" s="4"/>
      <c r="DK1596" s="4"/>
      <c r="DL1596" s="4"/>
      <c r="DM1596" s="4"/>
      <c r="DN1596" s="4"/>
      <c r="DO1596" s="4"/>
      <c r="DP1596" s="4"/>
      <c r="DQ1596" s="4"/>
      <c r="DR1596" s="4"/>
      <c r="DS1596" s="4"/>
    </row>
    <row r="1597">
      <c r="A1597" s="10">
        <f>IFERROR(__xludf.DUMMYFUNCTION("""COMPUTED_VALUE"""),45959.0)</f>
        <v>45959</v>
      </c>
      <c r="B1597" s="6" t="str">
        <f>IFERROR(__xludf.DUMMYFUNCTION("""COMPUTED_VALUE"""),"Cab/Uber")</f>
        <v>Cab/Uber</v>
      </c>
      <c r="C1597" s="7">
        <f>IFERROR(__xludf.DUMMYFUNCTION("""COMPUTED_VALUE"""),502.0)</f>
        <v>502</v>
      </c>
      <c r="D1597" s="6" t="str">
        <f>IFERROR(__xludf.DUMMYFUNCTION("""COMPUTED_VALUE"""),"Transportation")</f>
        <v>Transportation</v>
      </c>
      <c r="E1597" s="6" t="str">
        <f>IFERROR(__xludf.DUMMYFUNCTION("""COMPUTED_VALUE"""),"Virtual Wallet")</f>
        <v>Virtual Wallet</v>
      </c>
      <c r="F1597" s="6" t="s">
        <v>9</v>
      </c>
      <c r="G1597" s="8" t="str">
        <f t="shared" si="1"/>
        <v>202510</v>
      </c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  <c r="AA1597" s="4"/>
      <c r="AB1597" s="4"/>
      <c r="AC1597" s="4"/>
      <c r="AD1597" s="4"/>
      <c r="AE1597" s="4"/>
      <c r="AF1597" s="4"/>
      <c r="AG1597" s="4"/>
      <c r="AH1597" s="4"/>
      <c r="AI1597" s="4"/>
      <c r="AJ1597" s="4"/>
      <c r="AK1597" s="4"/>
      <c r="AL1597" s="4"/>
      <c r="AM1597" s="4"/>
      <c r="AN1597" s="4"/>
      <c r="AO1597" s="4"/>
      <c r="AP1597" s="4"/>
      <c r="AQ1597" s="4"/>
      <c r="AR1597" s="4"/>
      <c r="AS1597" s="4"/>
      <c r="AT1597" s="4"/>
      <c r="AU1597" s="4"/>
      <c r="AV1597" s="4"/>
      <c r="AW1597" s="4"/>
      <c r="AX1597" s="4"/>
      <c r="AY1597" s="4"/>
      <c r="AZ1597" s="4"/>
      <c r="BA1597" s="4"/>
      <c r="BB1597" s="4"/>
      <c r="BC1597" s="4"/>
      <c r="BD1597" s="4"/>
      <c r="BE1597" s="4"/>
      <c r="BF1597" s="4"/>
      <c r="BG1597" s="4"/>
      <c r="BH1597" s="4"/>
      <c r="BI1597" s="4"/>
      <c r="BJ1597" s="4"/>
      <c r="BK1597" s="4"/>
      <c r="BL1597" s="4"/>
      <c r="BM1597" s="4"/>
      <c r="BN1597" s="4"/>
      <c r="BO1597" s="4"/>
      <c r="BP1597" s="4"/>
      <c r="BQ1597" s="4"/>
      <c r="BR1597" s="4"/>
      <c r="BS1597" s="4"/>
      <c r="BT1597" s="4"/>
      <c r="BU1597" s="4"/>
      <c r="BV1597" s="4"/>
      <c r="BW1597" s="4"/>
      <c r="BX1597" s="4"/>
      <c r="BY1597" s="4"/>
      <c r="BZ1597" s="4"/>
      <c r="CA1597" s="4"/>
      <c r="CB1597" s="4"/>
      <c r="CC1597" s="4"/>
      <c r="CD1597" s="4"/>
      <c r="CE1597" s="4"/>
      <c r="CF1597" s="4"/>
      <c r="CG1597" s="4"/>
      <c r="CH1597" s="4"/>
      <c r="CI1597" s="4"/>
      <c r="CJ1597" s="4"/>
      <c r="CK1597" s="4"/>
      <c r="CL1597" s="4"/>
      <c r="CM1597" s="4"/>
      <c r="CN1597" s="4"/>
      <c r="CO1597" s="4"/>
      <c r="CP1597" s="4"/>
      <c r="CQ1597" s="4"/>
      <c r="CR1597" s="4"/>
      <c r="CS1597" s="4"/>
      <c r="CT1597" s="4"/>
      <c r="CU1597" s="4"/>
      <c r="CV1597" s="4"/>
      <c r="CW1597" s="4"/>
      <c r="CX1597" s="4"/>
      <c r="CY1597" s="4"/>
      <c r="CZ1597" s="4"/>
      <c r="DA1597" s="4"/>
      <c r="DB1597" s="4"/>
      <c r="DC1597" s="4"/>
      <c r="DD1597" s="4"/>
      <c r="DE1597" s="4"/>
      <c r="DF1597" s="4"/>
      <c r="DG1597" s="4"/>
      <c r="DH1597" s="4"/>
      <c r="DI1597" s="4"/>
      <c r="DJ1597" s="4"/>
      <c r="DK1597" s="4"/>
      <c r="DL1597" s="4"/>
      <c r="DM1597" s="4"/>
      <c r="DN1597" s="4"/>
      <c r="DO1597" s="4"/>
      <c r="DP1597" s="4"/>
      <c r="DQ1597" s="4"/>
      <c r="DR1597" s="4"/>
      <c r="DS1597" s="4"/>
    </row>
    <row r="1598">
      <c r="A1598" s="10">
        <f>IFERROR(__xludf.DUMMYFUNCTION("""COMPUTED_VALUE"""),45959.0)</f>
        <v>45959</v>
      </c>
      <c r="B1598" s="6" t="str">
        <f>IFERROR(__xludf.DUMMYFUNCTION("""COMPUTED_VALUE"""),"Groceries")</f>
        <v>Groceries</v>
      </c>
      <c r="C1598" s="7">
        <f>IFERROR(__xludf.DUMMYFUNCTION("""COMPUTED_VALUE"""),4500.0)</f>
        <v>4500</v>
      </c>
      <c r="D1598" s="6" t="str">
        <f>IFERROR(__xludf.DUMMYFUNCTION("""COMPUTED_VALUE"""),"Groceries")</f>
        <v>Groceries</v>
      </c>
      <c r="E1598" s="6" t="str">
        <f>IFERROR(__xludf.DUMMYFUNCTION("""COMPUTED_VALUE"""),"Virtual Wallet")</f>
        <v>Virtual Wallet</v>
      </c>
      <c r="F1598" s="6" t="s">
        <v>7</v>
      </c>
      <c r="G1598" s="8" t="str">
        <f t="shared" si="1"/>
        <v>202510</v>
      </c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  <c r="AA1598" s="4"/>
      <c r="AB1598" s="4"/>
      <c r="AC1598" s="4"/>
      <c r="AD1598" s="4"/>
      <c r="AE1598" s="4"/>
      <c r="AF1598" s="4"/>
      <c r="AG1598" s="4"/>
      <c r="AH1598" s="4"/>
      <c r="AI1598" s="4"/>
      <c r="AJ1598" s="4"/>
      <c r="AK1598" s="4"/>
      <c r="AL1598" s="4"/>
      <c r="AM1598" s="4"/>
      <c r="AN1598" s="4"/>
      <c r="AO1598" s="4"/>
      <c r="AP1598" s="4"/>
      <c r="AQ1598" s="4"/>
      <c r="AR1598" s="4"/>
      <c r="AS1598" s="4"/>
      <c r="AT1598" s="4"/>
      <c r="AU1598" s="4"/>
      <c r="AV1598" s="4"/>
      <c r="AW1598" s="4"/>
      <c r="AX1598" s="4"/>
      <c r="AY1598" s="4"/>
      <c r="AZ1598" s="4"/>
      <c r="BA1598" s="4"/>
      <c r="BB1598" s="4"/>
      <c r="BC1598" s="4"/>
      <c r="BD1598" s="4"/>
      <c r="BE1598" s="4"/>
      <c r="BF1598" s="4"/>
      <c r="BG1598" s="4"/>
      <c r="BH1598" s="4"/>
      <c r="BI1598" s="4"/>
      <c r="BJ1598" s="4"/>
      <c r="BK1598" s="4"/>
      <c r="BL1598" s="4"/>
      <c r="BM1598" s="4"/>
      <c r="BN1598" s="4"/>
      <c r="BO1598" s="4"/>
      <c r="BP1598" s="4"/>
      <c r="BQ1598" s="4"/>
      <c r="BR1598" s="4"/>
      <c r="BS1598" s="4"/>
      <c r="BT1598" s="4"/>
      <c r="BU1598" s="4"/>
      <c r="BV1598" s="4"/>
      <c r="BW1598" s="4"/>
      <c r="BX1598" s="4"/>
      <c r="BY1598" s="4"/>
      <c r="BZ1598" s="4"/>
      <c r="CA1598" s="4"/>
      <c r="CB1598" s="4"/>
      <c r="CC1598" s="4"/>
      <c r="CD1598" s="4"/>
      <c r="CE1598" s="4"/>
      <c r="CF1598" s="4"/>
      <c r="CG1598" s="4"/>
      <c r="CH1598" s="4"/>
      <c r="CI1598" s="4"/>
      <c r="CJ1598" s="4"/>
      <c r="CK1598" s="4"/>
      <c r="CL1598" s="4"/>
      <c r="CM1598" s="4"/>
      <c r="CN1598" s="4"/>
      <c r="CO1598" s="4"/>
      <c r="CP1598" s="4"/>
      <c r="CQ1598" s="4"/>
      <c r="CR1598" s="4"/>
      <c r="CS1598" s="4"/>
      <c r="CT1598" s="4"/>
      <c r="CU1598" s="4"/>
      <c r="CV1598" s="4"/>
      <c r="CW1598" s="4"/>
      <c r="CX1598" s="4"/>
      <c r="CY1598" s="4"/>
      <c r="CZ1598" s="4"/>
      <c r="DA1598" s="4"/>
      <c r="DB1598" s="4"/>
      <c r="DC1598" s="4"/>
      <c r="DD1598" s="4"/>
      <c r="DE1598" s="4"/>
      <c r="DF1598" s="4"/>
      <c r="DG1598" s="4"/>
      <c r="DH1598" s="4"/>
      <c r="DI1598" s="4"/>
      <c r="DJ1598" s="4"/>
      <c r="DK1598" s="4"/>
      <c r="DL1598" s="4"/>
      <c r="DM1598" s="4"/>
      <c r="DN1598" s="4"/>
      <c r="DO1598" s="4"/>
      <c r="DP1598" s="4"/>
      <c r="DQ1598" s="4"/>
      <c r="DR1598" s="4"/>
      <c r="DS1598" s="4"/>
    </row>
    <row r="1599">
      <c r="A1599" s="10">
        <f>IFERROR(__xludf.DUMMYFUNCTION("""COMPUTED_VALUE"""),45959.0)</f>
        <v>45959</v>
      </c>
      <c r="B1599" s="6" t="str">
        <f>IFERROR(__xludf.DUMMYFUNCTION("""COMPUTED_VALUE"""),"Groceries")</f>
        <v>Groceries</v>
      </c>
      <c r="C1599" s="7">
        <f>IFERROR(__xludf.DUMMYFUNCTION("""COMPUTED_VALUE"""),4450.0)</f>
        <v>4450</v>
      </c>
      <c r="D1599" s="6" t="str">
        <f>IFERROR(__xludf.DUMMYFUNCTION("""COMPUTED_VALUE"""),"Groceries")</f>
        <v>Groceries</v>
      </c>
      <c r="E1599" s="6" t="str">
        <f>IFERROR(__xludf.DUMMYFUNCTION("""COMPUTED_VALUE"""),"Virtual Wallet")</f>
        <v>Virtual Wallet</v>
      </c>
      <c r="F1599" s="6" t="s">
        <v>7</v>
      </c>
      <c r="G1599" s="8" t="str">
        <f t="shared" si="1"/>
        <v>202510</v>
      </c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  <c r="AA1599" s="4"/>
      <c r="AB1599" s="4"/>
      <c r="AC1599" s="4"/>
      <c r="AD1599" s="4"/>
      <c r="AE1599" s="4"/>
      <c r="AF1599" s="4"/>
      <c r="AG1599" s="4"/>
      <c r="AH1599" s="4"/>
      <c r="AI1599" s="4"/>
      <c r="AJ1599" s="4"/>
      <c r="AK1599" s="4"/>
      <c r="AL1599" s="4"/>
      <c r="AM1599" s="4"/>
      <c r="AN1599" s="4"/>
      <c r="AO1599" s="4"/>
      <c r="AP1599" s="4"/>
      <c r="AQ1599" s="4"/>
      <c r="AR1599" s="4"/>
      <c r="AS1599" s="4"/>
      <c r="AT1599" s="4"/>
      <c r="AU1599" s="4"/>
      <c r="AV1599" s="4"/>
      <c r="AW1599" s="4"/>
      <c r="AX1599" s="4"/>
      <c r="AY1599" s="4"/>
      <c r="AZ1599" s="4"/>
      <c r="BA1599" s="4"/>
      <c r="BB1599" s="4"/>
      <c r="BC1599" s="4"/>
      <c r="BD1599" s="4"/>
      <c r="BE1599" s="4"/>
      <c r="BF1599" s="4"/>
      <c r="BG1599" s="4"/>
      <c r="BH1599" s="4"/>
      <c r="BI1599" s="4"/>
      <c r="BJ1599" s="4"/>
      <c r="BK1599" s="4"/>
      <c r="BL1599" s="4"/>
      <c r="BM1599" s="4"/>
      <c r="BN1599" s="4"/>
      <c r="BO1599" s="4"/>
      <c r="BP1599" s="4"/>
      <c r="BQ1599" s="4"/>
      <c r="BR1599" s="4"/>
      <c r="BS1599" s="4"/>
      <c r="BT1599" s="4"/>
      <c r="BU1599" s="4"/>
      <c r="BV1599" s="4"/>
      <c r="BW1599" s="4"/>
      <c r="BX1599" s="4"/>
      <c r="BY1599" s="4"/>
      <c r="BZ1599" s="4"/>
      <c r="CA1599" s="4"/>
      <c r="CB1599" s="4"/>
      <c r="CC1599" s="4"/>
      <c r="CD1599" s="4"/>
      <c r="CE1599" s="4"/>
      <c r="CF1599" s="4"/>
      <c r="CG1599" s="4"/>
      <c r="CH1599" s="4"/>
      <c r="CI1599" s="4"/>
      <c r="CJ1599" s="4"/>
      <c r="CK1599" s="4"/>
      <c r="CL1599" s="4"/>
      <c r="CM1599" s="4"/>
      <c r="CN1599" s="4"/>
      <c r="CO1599" s="4"/>
      <c r="CP1599" s="4"/>
      <c r="CQ1599" s="4"/>
      <c r="CR1599" s="4"/>
      <c r="CS1599" s="4"/>
      <c r="CT1599" s="4"/>
      <c r="CU1599" s="4"/>
      <c r="CV1599" s="4"/>
      <c r="CW1599" s="4"/>
      <c r="CX1599" s="4"/>
      <c r="CY1599" s="4"/>
      <c r="CZ1599" s="4"/>
      <c r="DA1599" s="4"/>
      <c r="DB1599" s="4"/>
      <c r="DC1599" s="4"/>
      <c r="DD1599" s="4"/>
      <c r="DE1599" s="4"/>
      <c r="DF1599" s="4"/>
      <c r="DG1599" s="4"/>
      <c r="DH1599" s="4"/>
      <c r="DI1599" s="4"/>
      <c r="DJ1599" s="4"/>
      <c r="DK1599" s="4"/>
      <c r="DL1599" s="4"/>
      <c r="DM1599" s="4"/>
      <c r="DN1599" s="4"/>
      <c r="DO1599" s="4"/>
      <c r="DP1599" s="4"/>
      <c r="DQ1599" s="4"/>
      <c r="DR1599" s="4"/>
      <c r="DS1599" s="4"/>
    </row>
    <row r="1600">
      <c r="A1600" s="10">
        <f>IFERROR(__xludf.DUMMYFUNCTION("""COMPUTED_VALUE"""),45959.0)</f>
        <v>45959</v>
      </c>
      <c r="B1600" s="6" t="str">
        <f>IFERROR(__xludf.DUMMYFUNCTION("""COMPUTED_VALUE"""),"Pets")</f>
        <v>Pets</v>
      </c>
      <c r="C1600" s="7">
        <f>IFERROR(__xludf.DUMMYFUNCTION("""COMPUTED_VALUE"""),25750.0)</f>
        <v>25750</v>
      </c>
      <c r="D1600" s="6" t="str">
        <f>IFERROR(__xludf.DUMMYFUNCTION("""COMPUTED_VALUE"""),"Pets")</f>
        <v>Pets</v>
      </c>
      <c r="E1600" s="6" t="str">
        <f>IFERROR(__xludf.DUMMYFUNCTION("""COMPUTED_VALUE"""),"Split Payment")</f>
        <v>Split Payment</v>
      </c>
      <c r="F1600" s="6" t="s">
        <v>7</v>
      </c>
      <c r="G1600" s="8" t="str">
        <f t="shared" si="1"/>
        <v>202510</v>
      </c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  <c r="AA1600" s="4"/>
      <c r="AB1600" s="4"/>
      <c r="AC1600" s="4"/>
      <c r="AD1600" s="4"/>
      <c r="AE1600" s="4"/>
      <c r="AF1600" s="4"/>
      <c r="AG1600" s="4"/>
      <c r="AH1600" s="4"/>
      <c r="AI1600" s="4"/>
      <c r="AJ1600" s="4"/>
      <c r="AK1600" s="4"/>
      <c r="AL1600" s="4"/>
      <c r="AM1600" s="4"/>
      <c r="AN1600" s="4"/>
      <c r="AO1600" s="4"/>
      <c r="AP1600" s="4"/>
      <c r="AQ1600" s="4"/>
      <c r="AR1600" s="4"/>
      <c r="AS1600" s="4"/>
      <c r="AT1600" s="4"/>
      <c r="AU1600" s="4"/>
      <c r="AV1600" s="4"/>
      <c r="AW1600" s="4"/>
      <c r="AX1600" s="4"/>
      <c r="AY1600" s="4"/>
      <c r="AZ1600" s="4"/>
      <c r="BA1600" s="4"/>
      <c r="BB1600" s="4"/>
      <c r="BC1600" s="4"/>
      <c r="BD1600" s="4"/>
      <c r="BE1600" s="4"/>
      <c r="BF1600" s="4"/>
      <c r="BG1600" s="4"/>
      <c r="BH1600" s="4"/>
      <c r="BI1600" s="4"/>
      <c r="BJ1600" s="4"/>
      <c r="BK1600" s="4"/>
      <c r="BL1600" s="4"/>
      <c r="BM1600" s="4"/>
      <c r="BN1600" s="4"/>
      <c r="BO1600" s="4"/>
      <c r="BP1600" s="4"/>
      <c r="BQ1600" s="4"/>
      <c r="BR1600" s="4"/>
      <c r="BS1600" s="4"/>
      <c r="BT1600" s="4"/>
      <c r="BU1600" s="4"/>
      <c r="BV1600" s="4"/>
      <c r="BW1600" s="4"/>
      <c r="BX1600" s="4"/>
      <c r="BY1600" s="4"/>
      <c r="BZ1600" s="4"/>
      <c r="CA1600" s="4"/>
      <c r="CB1600" s="4"/>
      <c r="CC1600" s="4"/>
      <c r="CD1600" s="4"/>
      <c r="CE1600" s="4"/>
      <c r="CF1600" s="4"/>
      <c r="CG1600" s="4"/>
      <c r="CH1600" s="4"/>
      <c r="CI1600" s="4"/>
      <c r="CJ1600" s="4"/>
      <c r="CK1600" s="4"/>
      <c r="CL1600" s="4"/>
      <c r="CM1600" s="4"/>
      <c r="CN1600" s="4"/>
      <c r="CO1600" s="4"/>
      <c r="CP1600" s="4"/>
      <c r="CQ1600" s="4"/>
      <c r="CR1600" s="4"/>
      <c r="CS1600" s="4"/>
      <c r="CT1600" s="4"/>
      <c r="CU1600" s="4"/>
      <c r="CV1600" s="4"/>
      <c r="CW1600" s="4"/>
      <c r="CX1600" s="4"/>
      <c r="CY1600" s="4"/>
      <c r="CZ1600" s="4"/>
      <c r="DA1600" s="4"/>
      <c r="DB1600" s="4"/>
      <c r="DC1600" s="4"/>
      <c r="DD1600" s="4"/>
      <c r="DE1600" s="4"/>
      <c r="DF1600" s="4"/>
      <c r="DG1600" s="4"/>
      <c r="DH1600" s="4"/>
      <c r="DI1600" s="4"/>
      <c r="DJ1600" s="4"/>
      <c r="DK1600" s="4"/>
      <c r="DL1600" s="4"/>
      <c r="DM1600" s="4"/>
      <c r="DN1600" s="4"/>
      <c r="DO1600" s="4"/>
      <c r="DP1600" s="4"/>
      <c r="DQ1600" s="4"/>
      <c r="DR1600" s="4"/>
      <c r="DS1600" s="4"/>
    </row>
    <row r="1601">
      <c r="A1601" s="10">
        <f>IFERROR(__xludf.DUMMYFUNCTION("""COMPUTED_VALUE"""),45960.0)</f>
        <v>45960</v>
      </c>
      <c r="B1601" s="6" t="str">
        <f>IFERROR(__xludf.DUMMYFUNCTION("""COMPUTED_VALUE"""),"Delivery")</f>
        <v>Delivery</v>
      </c>
      <c r="C1601" s="7">
        <f>IFERROR(__xludf.DUMMYFUNCTION("""COMPUTED_VALUE"""),18680.0)</f>
        <v>18680</v>
      </c>
      <c r="D1601" s="6" t="str">
        <f>IFERROR(__xludf.DUMMYFUNCTION("""COMPUTED_VALUE"""),"Restaurant / Café")</f>
        <v>Restaurant / Café</v>
      </c>
      <c r="E1601" s="6" t="str">
        <f>IFERROR(__xludf.DUMMYFUNCTION("""COMPUTED_VALUE"""),"Virtual Wallet")</f>
        <v>Virtual Wallet</v>
      </c>
      <c r="F1601" s="6" t="s">
        <v>14</v>
      </c>
      <c r="G1601" s="8" t="str">
        <f t="shared" si="1"/>
        <v>202510</v>
      </c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  <c r="AA1601" s="4"/>
      <c r="AB1601" s="4"/>
      <c r="AC1601" s="4"/>
      <c r="AD1601" s="4"/>
      <c r="AE1601" s="4"/>
      <c r="AF1601" s="4"/>
      <c r="AG1601" s="4"/>
      <c r="AH1601" s="4"/>
      <c r="AI1601" s="4"/>
      <c r="AJ1601" s="4"/>
      <c r="AK1601" s="4"/>
      <c r="AL1601" s="4"/>
      <c r="AM1601" s="4"/>
      <c r="AN1601" s="4"/>
      <c r="AO1601" s="4"/>
      <c r="AP1601" s="4"/>
      <c r="AQ1601" s="4"/>
      <c r="AR1601" s="4"/>
      <c r="AS1601" s="4"/>
      <c r="AT1601" s="4"/>
      <c r="AU1601" s="4"/>
      <c r="AV1601" s="4"/>
      <c r="AW1601" s="4"/>
      <c r="AX1601" s="4"/>
      <c r="AY1601" s="4"/>
      <c r="AZ1601" s="4"/>
      <c r="BA1601" s="4"/>
      <c r="BB1601" s="4"/>
      <c r="BC1601" s="4"/>
      <c r="BD1601" s="4"/>
      <c r="BE1601" s="4"/>
      <c r="BF1601" s="4"/>
      <c r="BG1601" s="4"/>
      <c r="BH1601" s="4"/>
      <c r="BI1601" s="4"/>
      <c r="BJ1601" s="4"/>
      <c r="BK1601" s="4"/>
      <c r="BL1601" s="4"/>
      <c r="BM1601" s="4"/>
      <c r="BN1601" s="4"/>
      <c r="BO1601" s="4"/>
      <c r="BP1601" s="4"/>
      <c r="BQ1601" s="4"/>
      <c r="BR1601" s="4"/>
      <c r="BS1601" s="4"/>
      <c r="BT1601" s="4"/>
      <c r="BU1601" s="4"/>
      <c r="BV1601" s="4"/>
      <c r="BW1601" s="4"/>
      <c r="BX1601" s="4"/>
      <c r="BY1601" s="4"/>
      <c r="BZ1601" s="4"/>
      <c r="CA1601" s="4"/>
      <c r="CB1601" s="4"/>
      <c r="CC1601" s="4"/>
      <c r="CD1601" s="4"/>
      <c r="CE1601" s="4"/>
      <c r="CF1601" s="4"/>
      <c r="CG1601" s="4"/>
      <c r="CH1601" s="4"/>
      <c r="CI1601" s="4"/>
      <c r="CJ1601" s="4"/>
      <c r="CK1601" s="4"/>
      <c r="CL1601" s="4"/>
      <c r="CM1601" s="4"/>
      <c r="CN1601" s="4"/>
      <c r="CO1601" s="4"/>
      <c r="CP1601" s="4"/>
      <c r="CQ1601" s="4"/>
      <c r="CR1601" s="4"/>
      <c r="CS1601" s="4"/>
      <c r="CT1601" s="4"/>
      <c r="CU1601" s="4"/>
      <c r="CV1601" s="4"/>
      <c r="CW1601" s="4"/>
      <c r="CX1601" s="4"/>
      <c r="CY1601" s="4"/>
      <c r="CZ1601" s="4"/>
      <c r="DA1601" s="4"/>
      <c r="DB1601" s="4"/>
      <c r="DC1601" s="4"/>
      <c r="DD1601" s="4"/>
      <c r="DE1601" s="4"/>
      <c r="DF1601" s="4"/>
      <c r="DG1601" s="4"/>
      <c r="DH1601" s="4"/>
      <c r="DI1601" s="4"/>
      <c r="DJ1601" s="4"/>
      <c r="DK1601" s="4"/>
      <c r="DL1601" s="4"/>
      <c r="DM1601" s="4"/>
      <c r="DN1601" s="4"/>
      <c r="DO1601" s="4"/>
      <c r="DP1601" s="4"/>
      <c r="DQ1601" s="4"/>
      <c r="DR1601" s="4"/>
      <c r="DS1601" s="4"/>
    </row>
    <row r="1602">
      <c r="A1602" s="10">
        <f>IFERROR(__xludf.DUMMYFUNCTION("""COMPUTED_VALUE"""),45960.0)</f>
        <v>45960</v>
      </c>
      <c r="B1602" s="6" t="str">
        <f>IFERROR(__xludf.DUMMYFUNCTION("""COMPUTED_VALUE"""),"Doctor Visit")</f>
        <v>Doctor Visit</v>
      </c>
      <c r="C1602" s="7">
        <f>IFERROR(__xludf.DUMMYFUNCTION("""COMPUTED_VALUE"""),9000.0)</f>
        <v>9000</v>
      </c>
      <c r="D1602" s="6" t="str">
        <f>IFERROR(__xludf.DUMMYFUNCTION("""COMPUTED_VALUE"""),"Healthcare")</f>
        <v>Healthcare</v>
      </c>
      <c r="E1602" s="6" t="str">
        <f>IFERROR(__xludf.DUMMYFUNCTION("""COMPUTED_VALUE"""),"Virtual Wallet")</f>
        <v>Virtual Wallet</v>
      </c>
      <c r="F1602" s="6" t="s">
        <v>15</v>
      </c>
      <c r="G1602" s="8" t="str">
        <f t="shared" si="1"/>
        <v>202510</v>
      </c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  <c r="AA1602" s="4"/>
      <c r="AB1602" s="4"/>
      <c r="AC1602" s="4"/>
      <c r="AD1602" s="4"/>
      <c r="AE1602" s="4"/>
      <c r="AF1602" s="4"/>
      <c r="AG1602" s="4"/>
      <c r="AH1602" s="4"/>
      <c r="AI1602" s="4"/>
      <c r="AJ1602" s="4"/>
      <c r="AK1602" s="4"/>
      <c r="AL1602" s="4"/>
      <c r="AM1602" s="4"/>
      <c r="AN1602" s="4"/>
      <c r="AO1602" s="4"/>
      <c r="AP1602" s="4"/>
      <c r="AQ1602" s="4"/>
      <c r="AR1602" s="4"/>
      <c r="AS1602" s="4"/>
      <c r="AT1602" s="4"/>
      <c r="AU1602" s="4"/>
      <c r="AV1602" s="4"/>
      <c r="AW1602" s="4"/>
      <c r="AX1602" s="4"/>
      <c r="AY1602" s="4"/>
      <c r="AZ1602" s="4"/>
      <c r="BA1602" s="4"/>
      <c r="BB1602" s="4"/>
      <c r="BC1602" s="4"/>
      <c r="BD1602" s="4"/>
      <c r="BE1602" s="4"/>
      <c r="BF1602" s="4"/>
      <c r="BG1602" s="4"/>
      <c r="BH1602" s="4"/>
      <c r="BI1602" s="4"/>
      <c r="BJ1602" s="4"/>
      <c r="BK1602" s="4"/>
      <c r="BL1602" s="4"/>
      <c r="BM1602" s="4"/>
      <c r="BN1602" s="4"/>
      <c r="BO1602" s="4"/>
      <c r="BP1602" s="4"/>
      <c r="BQ1602" s="4"/>
      <c r="BR1602" s="4"/>
      <c r="BS1602" s="4"/>
      <c r="BT1602" s="4"/>
      <c r="BU1602" s="4"/>
      <c r="BV1602" s="4"/>
      <c r="BW1602" s="4"/>
      <c r="BX1602" s="4"/>
      <c r="BY1602" s="4"/>
      <c r="BZ1602" s="4"/>
      <c r="CA1602" s="4"/>
      <c r="CB1602" s="4"/>
      <c r="CC1602" s="4"/>
      <c r="CD1602" s="4"/>
      <c r="CE1602" s="4"/>
      <c r="CF1602" s="4"/>
      <c r="CG1602" s="4"/>
      <c r="CH1602" s="4"/>
      <c r="CI1602" s="4"/>
      <c r="CJ1602" s="4"/>
      <c r="CK1602" s="4"/>
      <c r="CL1602" s="4"/>
      <c r="CM1602" s="4"/>
      <c r="CN1602" s="4"/>
      <c r="CO1602" s="4"/>
      <c r="CP1602" s="4"/>
      <c r="CQ1602" s="4"/>
      <c r="CR1602" s="4"/>
      <c r="CS1602" s="4"/>
      <c r="CT1602" s="4"/>
      <c r="CU1602" s="4"/>
      <c r="CV1602" s="4"/>
      <c r="CW1602" s="4"/>
      <c r="CX1602" s="4"/>
      <c r="CY1602" s="4"/>
      <c r="CZ1602" s="4"/>
      <c r="DA1602" s="4"/>
      <c r="DB1602" s="4"/>
      <c r="DC1602" s="4"/>
      <c r="DD1602" s="4"/>
      <c r="DE1602" s="4"/>
      <c r="DF1602" s="4"/>
      <c r="DG1602" s="4"/>
      <c r="DH1602" s="4"/>
      <c r="DI1602" s="4"/>
      <c r="DJ1602" s="4"/>
      <c r="DK1602" s="4"/>
      <c r="DL1602" s="4"/>
      <c r="DM1602" s="4"/>
      <c r="DN1602" s="4"/>
      <c r="DO1602" s="4"/>
      <c r="DP1602" s="4"/>
      <c r="DQ1602" s="4"/>
      <c r="DR1602" s="4"/>
      <c r="DS1602" s="4"/>
    </row>
    <row r="1603">
      <c r="A1603" s="10">
        <f>IFERROR(__xludf.DUMMYFUNCTION("""COMPUTED_VALUE"""),45960.0)</f>
        <v>45960</v>
      </c>
      <c r="B1603" s="6" t="str">
        <f>IFERROR(__xludf.DUMMYFUNCTION("""COMPUTED_VALUE"""),"Restaurant")</f>
        <v>Restaurant</v>
      </c>
      <c r="C1603" s="7">
        <f>IFERROR(__xludf.DUMMYFUNCTION("""COMPUTED_VALUE"""),16300.0)</f>
        <v>16300</v>
      </c>
      <c r="D1603" s="6" t="str">
        <f>IFERROR(__xludf.DUMMYFUNCTION("""COMPUTED_VALUE"""),"Restaurant / Café")</f>
        <v>Restaurant / Café</v>
      </c>
      <c r="E1603" s="6" t="str">
        <f>IFERROR(__xludf.DUMMYFUNCTION("""COMPUTED_VALUE"""),"Debit Card")</f>
        <v>Debit Card</v>
      </c>
      <c r="F1603" s="6" t="s">
        <v>14</v>
      </c>
      <c r="G1603" s="8" t="str">
        <f t="shared" si="1"/>
        <v>202510</v>
      </c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  <c r="AA1603" s="4"/>
      <c r="AB1603" s="4"/>
      <c r="AC1603" s="4"/>
      <c r="AD1603" s="4"/>
      <c r="AE1603" s="4"/>
      <c r="AF1603" s="4"/>
      <c r="AG1603" s="4"/>
      <c r="AH1603" s="4"/>
      <c r="AI1603" s="4"/>
      <c r="AJ1603" s="4"/>
      <c r="AK1603" s="4"/>
      <c r="AL1603" s="4"/>
      <c r="AM1603" s="4"/>
      <c r="AN1603" s="4"/>
      <c r="AO1603" s="4"/>
      <c r="AP1603" s="4"/>
      <c r="AQ1603" s="4"/>
      <c r="AR1603" s="4"/>
      <c r="AS1603" s="4"/>
      <c r="AT1603" s="4"/>
      <c r="AU1603" s="4"/>
      <c r="AV1603" s="4"/>
      <c r="AW1603" s="4"/>
      <c r="AX1603" s="4"/>
      <c r="AY1603" s="4"/>
      <c r="AZ1603" s="4"/>
      <c r="BA1603" s="4"/>
      <c r="BB1603" s="4"/>
      <c r="BC1603" s="4"/>
      <c r="BD1603" s="4"/>
      <c r="BE1603" s="4"/>
      <c r="BF1603" s="4"/>
      <c r="BG1603" s="4"/>
      <c r="BH1603" s="4"/>
      <c r="BI1603" s="4"/>
      <c r="BJ1603" s="4"/>
      <c r="BK1603" s="4"/>
      <c r="BL1603" s="4"/>
      <c r="BM1603" s="4"/>
      <c r="BN1603" s="4"/>
      <c r="BO1603" s="4"/>
      <c r="BP1603" s="4"/>
      <c r="BQ1603" s="4"/>
      <c r="BR1603" s="4"/>
      <c r="BS1603" s="4"/>
      <c r="BT1603" s="4"/>
      <c r="BU1603" s="4"/>
      <c r="BV1603" s="4"/>
      <c r="BW1603" s="4"/>
      <c r="BX1603" s="4"/>
      <c r="BY1603" s="4"/>
      <c r="BZ1603" s="4"/>
      <c r="CA1603" s="4"/>
      <c r="CB1603" s="4"/>
      <c r="CC1603" s="4"/>
      <c r="CD1603" s="4"/>
      <c r="CE1603" s="4"/>
      <c r="CF1603" s="4"/>
      <c r="CG1603" s="4"/>
      <c r="CH1603" s="4"/>
      <c r="CI1603" s="4"/>
      <c r="CJ1603" s="4"/>
      <c r="CK1603" s="4"/>
      <c r="CL1603" s="4"/>
      <c r="CM1603" s="4"/>
      <c r="CN1603" s="4"/>
      <c r="CO1603" s="4"/>
      <c r="CP1603" s="4"/>
      <c r="CQ1603" s="4"/>
      <c r="CR1603" s="4"/>
      <c r="CS1603" s="4"/>
      <c r="CT1603" s="4"/>
      <c r="CU1603" s="4"/>
      <c r="CV1603" s="4"/>
      <c r="CW1603" s="4"/>
      <c r="CX1603" s="4"/>
      <c r="CY1603" s="4"/>
      <c r="CZ1603" s="4"/>
      <c r="DA1603" s="4"/>
      <c r="DB1603" s="4"/>
      <c r="DC1603" s="4"/>
      <c r="DD1603" s="4"/>
      <c r="DE1603" s="4"/>
      <c r="DF1603" s="4"/>
      <c r="DG1603" s="4"/>
      <c r="DH1603" s="4"/>
      <c r="DI1603" s="4"/>
      <c r="DJ1603" s="4"/>
      <c r="DK1603" s="4"/>
      <c r="DL1603" s="4"/>
      <c r="DM1603" s="4"/>
      <c r="DN1603" s="4"/>
      <c r="DO1603" s="4"/>
      <c r="DP1603" s="4"/>
      <c r="DQ1603" s="4"/>
      <c r="DR1603" s="4"/>
      <c r="DS1603" s="4"/>
    </row>
    <row r="1604">
      <c r="A1604" s="10">
        <f>IFERROR(__xludf.DUMMYFUNCTION("""COMPUTED_VALUE"""),45991.0)</f>
        <v>45991</v>
      </c>
      <c r="B1604" s="6" t="str">
        <f>IFERROR(__xludf.DUMMYFUNCTION("""COMPUTED_VALUE"""),"Sports")</f>
        <v>Sports</v>
      </c>
      <c r="C1604" s="7">
        <f>IFERROR(__xludf.DUMMYFUNCTION("""COMPUTED_VALUE"""),90000.0)</f>
        <v>90000</v>
      </c>
      <c r="D1604" s="6" t="str">
        <f>IFERROR(__xludf.DUMMYFUNCTION("""COMPUTED_VALUE"""),"Sports")</f>
        <v>Sports</v>
      </c>
      <c r="E1604" s="6" t="str">
        <f>IFERROR(__xludf.DUMMYFUNCTION("""COMPUTED_VALUE"""),"Cash")</f>
        <v>Cash</v>
      </c>
      <c r="F1604" s="6" t="s">
        <v>12</v>
      </c>
      <c r="G1604" s="8" t="str">
        <f t="shared" si="1"/>
        <v>202511</v>
      </c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  <c r="AA1604" s="4"/>
      <c r="AB1604" s="4"/>
      <c r="AC1604" s="4"/>
      <c r="AD1604" s="4"/>
      <c r="AE1604" s="4"/>
      <c r="AF1604" s="4"/>
      <c r="AG1604" s="4"/>
      <c r="AH1604" s="4"/>
      <c r="AI1604" s="4"/>
      <c r="AJ1604" s="4"/>
      <c r="AK1604" s="4"/>
      <c r="AL1604" s="4"/>
      <c r="AM1604" s="4"/>
      <c r="AN1604" s="4"/>
      <c r="AO1604" s="4"/>
      <c r="AP1604" s="4"/>
      <c r="AQ1604" s="4"/>
      <c r="AR1604" s="4"/>
      <c r="AS1604" s="4"/>
      <c r="AT1604" s="4"/>
      <c r="AU1604" s="4"/>
      <c r="AV1604" s="4"/>
      <c r="AW1604" s="4"/>
      <c r="AX1604" s="4"/>
      <c r="AY1604" s="4"/>
      <c r="AZ1604" s="4"/>
      <c r="BA1604" s="4"/>
      <c r="BB1604" s="4"/>
      <c r="BC1604" s="4"/>
      <c r="BD1604" s="4"/>
      <c r="BE1604" s="4"/>
      <c r="BF1604" s="4"/>
      <c r="BG1604" s="4"/>
      <c r="BH1604" s="4"/>
      <c r="BI1604" s="4"/>
      <c r="BJ1604" s="4"/>
      <c r="BK1604" s="4"/>
      <c r="BL1604" s="4"/>
      <c r="BM1604" s="4"/>
      <c r="BN1604" s="4"/>
      <c r="BO1604" s="4"/>
      <c r="BP1604" s="4"/>
      <c r="BQ1604" s="4"/>
      <c r="BR1604" s="4"/>
      <c r="BS1604" s="4"/>
      <c r="BT1604" s="4"/>
      <c r="BU1604" s="4"/>
      <c r="BV1604" s="4"/>
      <c r="BW1604" s="4"/>
      <c r="BX1604" s="4"/>
      <c r="BY1604" s="4"/>
      <c r="BZ1604" s="4"/>
      <c r="CA1604" s="4"/>
      <c r="CB1604" s="4"/>
      <c r="CC1604" s="4"/>
      <c r="CD1604" s="4"/>
      <c r="CE1604" s="4"/>
      <c r="CF1604" s="4"/>
      <c r="CG1604" s="4"/>
      <c r="CH1604" s="4"/>
      <c r="CI1604" s="4"/>
      <c r="CJ1604" s="4"/>
      <c r="CK1604" s="4"/>
      <c r="CL1604" s="4"/>
      <c r="CM1604" s="4"/>
      <c r="CN1604" s="4"/>
      <c r="CO1604" s="4"/>
      <c r="CP1604" s="4"/>
      <c r="CQ1604" s="4"/>
      <c r="CR1604" s="4"/>
      <c r="CS1604" s="4"/>
      <c r="CT1604" s="4"/>
      <c r="CU1604" s="4"/>
      <c r="CV1604" s="4"/>
      <c r="CW1604" s="4"/>
      <c r="CX1604" s="4"/>
      <c r="CY1604" s="4"/>
      <c r="CZ1604" s="4"/>
      <c r="DA1604" s="4"/>
      <c r="DB1604" s="4"/>
      <c r="DC1604" s="4"/>
      <c r="DD1604" s="4"/>
      <c r="DE1604" s="4"/>
      <c r="DF1604" s="4"/>
      <c r="DG1604" s="4"/>
      <c r="DH1604" s="4"/>
      <c r="DI1604" s="4"/>
      <c r="DJ1604" s="4"/>
      <c r="DK1604" s="4"/>
      <c r="DL1604" s="4"/>
      <c r="DM1604" s="4"/>
      <c r="DN1604" s="4"/>
      <c r="DO1604" s="4"/>
      <c r="DP1604" s="4"/>
      <c r="DQ1604" s="4"/>
      <c r="DR1604" s="4"/>
      <c r="DS1604" s="4"/>
    </row>
    <row r="1605">
      <c r="A1605" s="9">
        <f>IFERROR(__xludf.DUMMYFUNCTION("""COMPUTED_VALUE"""),45962.0)</f>
        <v>45962</v>
      </c>
      <c r="B1605" s="6" t="str">
        <f>IFERROR(__xludf.DUMMYFUNCTION("""COMPUTED_VALUE"""),"Gift")</f>
        <v>Gift</v>
      </c>
      <c r="C1605" s="7">
        <f>IFERROR(__xludf.DUMMYFUNCTION("""COMPUTED_VALUE"""),11667.0)</f>
        <v>11667</v>
      </c>
      <c r="D1605" s="6" t="str">
        <f>IFERROR(__xludf.DUMMYFUNCTION("""COMPUTED_VALUE"""),"Gifts")</f>
        <v>Gifts</v>
      </c>
      <c r="E1605" s="6" t="str">
        <f>IFERROR(__xludf.DUMMYFUNCTION("""COMPUTED_VALUE"""),"Credit Card")</f>
        <v>Credit Card</v>
      </c>
      <c r="F1605" s="6"/>
      <c r="G1605" s="8" t="str">
        <f t="shared" si="1"/>
        <v>202511</v>
      </c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  <c r="AA1605" s="4"/>
      <c r="AB1605" s="4"/>
      <c r="AC1605" s="4"/>
      <c r="AD1605" s="4"/>
      <c r="AE1605" s="4"/>
      <c r="AF1605" s="4"/>
      <c r="AG1605" s="4"/>
      <c r="AH1605" s="4"/>
      <c r="AI1605" s="4"/>
      <c r="AJ1605" s="4"/>
      <c r="AK1605" s="4"/>
      <c r="AL1605" s="4"/>
      <c r="AM1605" s="4"/>
      <c r="AN1605" s="4"/>
      <c r="AO1605" s="4"/>
      <c r="AP1605" s="4"/>
      <c r="AQ1605" s="4"/>
      <c r="AR1605" s="4"/>
      <c r="AS1605" s="4"/>
      <c r="AT1605" s="4"/>
      <c r="AU1605" s="4"/>
      <c r="AV1605" s="4"/>
      <c r="AW1605" s="4"/>
      <c r="AX1605" s="4"/>
      <c r="AY1605" s="4"/>
      <c r="AZ1605" s="4"/>
      <c r="BA1605" s="4"/>
      <c r="BB1605" s="4"/>
      <c r="BC1605" s="4"/>
      <c r="BD1605" s="4"/>
      <c r="BE1605" s="4"/>
      <c r="BF1605" s="4"/>
      <c r="BG1605" s="4"/>
      <c r="BH1605" s="4"/>
      <c r="BI1605" s="4"/>
      <c r="BJ1605" s="4"/>
      <c r="BK1605" s="4"/>
      <c r="BL1605" s="4"/>
      <c r="BM1605" s="4"/>
      <c r="BN1605" s="4"/>
      <c r="BO1605" s="4"/>
      <c r="BP1605" s="4"/>
      <c r="BQ1605" s="4"/>
      <c r="BR1605" s="4"/>
      <c r="BS1605" s="4"/>
      <c r="BT1605" s="4"/>
      <c r="BU1605" s="4"/>
      <c r="BV1605" s="4"/>
      <c r="BW1605" s="4"/>
      <c r="BX1605" s="4"/>
      <c r="BY1605" s="4"/>
      <c r="BZ1605" s="4"/>
      <c r="CA1605" s="4"/>
      <c r="CB1605" s="4"/>
      <c r="CC1605" s="4"/>
      <c r="CD1605" s="4"/>
      <c r="CE1605" s="4"/>
      <c r="CF1605" s="4"/>
      <c r="CG1605" s="4"/>
      <c r="CH1605" s="4"/>
      <c r="CI1605" s="4"/>
      <c r="CJ1605" s="4"/>
      <c r="CK1605" s="4"/>
      <c r="CL1605" s="4"/>
      <c r="CM1605" s="4"/>
      <c r="CN1605" s="4"/>
      <c r="CO1605" s="4"/>
      <c r="CP1605" s="4"/>
      <c r="CQ1605" s="4"/>
      <c r="CR1605" s="4"/>
      <c r="CS1605" s="4"/>
      <c r="CT1605" s="4"/>
      <c r="CU1605" s="4"/>
      <c r="CV1605" s="4"/>
      <c r="CW1605" s="4"/>
      <c r="CX1605" s="4"/>
      <c r="CY1605" s="4"/>
      <c r="CZ1605" s="4"/>
      <c r="DA1605" s="4"/>
      <c r="DB1605" s="4"/>
      <c r="DC1605" s="4"/>
      <c r="DD1605" s="4"/>
      <c r="DE1605" s="4"/>
      <c r="DF1605" s="4"/>
      <c r="DG1605" s="4"/>
      <c r="DH1605" s="4"/>
      <c r="DI1605" s="4"/>
      <c r="DJ1605" s="4"/>
      <c r="DK1605" s="4"/>
      <c r="DL1605" s="4"/>
      <c r="DM1605" s="4"/>
      <c r="DN1605" s="4"/>
      <c r="DO1605" s="4"/>
      <c r="DP1605" s="4"/>
      <c r="DQ1605" s="4"/>
      <c r="DR1605" s="4"/>
      <c r="DS1605" s="4"/>
    </row>
    <row r="1606">
      <c r="A1606" s="9">
        <f>IFERROR(__xludf.DUMMYFUNCTION("""COMPUTED_VALUE"""),45962.0)</f>
        <v>45962</v>
      </c>
      <c r="B1606" s="6" t="str">
        <f>IFERROR(__xludf.DUMMYFUNCTION("""COMPUTED_VALUE"""),"Education")</f>
        <v>Education</v>
      </c>
      <c r="C1606" s="7">
        <f>IFERROR(__xludf.DUMMYFUNCTION("""COMPUTED_VALUE"""),3000.0)</f>
        <v>3000</v>
      </c>
      <c r="D1606" s="6" t="str">
        <f>IFERROR(__xludf.DUMMYFUNCTION("""COMPUTED_VALUE"""),"Education")</f>
        <v>Education</v>
      </c>
      <c r="E1606" s="6" t="str">
        <f>IFERROR(__xludf.DUMMYFUNCTION("""COMPUTED_VALUE"""),"Credit Card")</f>
        <v>Credit Card</v>
      </c>
      <c r="F1606" s="6" t="s">
        <v>11</v>
      </c>
      <c r="G1606" s="8" t="str">
        <f t="shared" si="1"/>
        <v>202511</v>
      </c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  <c r="AA1606" s="4"/>
      <c r="AB1606" s="4"/>
      <c r="AC1606" s="4"/>
      <c r="AD1606" s="4"/>
      <c r="AE1606" s="4"/>
      <c r="AF1606" s="4"/>
      <c r="AG1606" s="4"/>
      <c r="AH1606" s="4"/>
      <c r="AI1606" s="4"/>
      <c r="AJ1606" s="4"/>
      <c r="AK1606" s="4"/>
      <c r="AL1606" s="4"/>
      <c r="AM1606" s="4"/>
      <c r="AN1606" s="4"/>
      <c r="AO1606" s="4"/>
      <c r="AP1606" s="4"/>
      <c r="AQ1606" s="4"/>
      <c r="AR1606" s="4"/>
      <c r="AS1606" s="4"/>
      <c r="AT1606" s="4"/>
      <c r="AU1606" s="4"/>
      <c r="AV1606" s="4"/>
      <c r="AW1606" s="4"/>
      <c r="AX1606" s="4"/>
      <c r="AY1606" s="4"/>
      <c r="AZ1606" s="4"/>
      <c r="BA1606" s="4"/>
      <c r="BB1606" s="4"/>
      <c r="BC1606" s="4"/>
      <c r="BD1606" s="4"/>
      <c r="BE1606" s="4"/>
      <c r="BF1606" s="4"/>
      <c r="BG1606" s="4"/>
      <c r="BH1606" s="4"/>
      <c r="BI1606" s="4"/>
      <c r="BJ1606" s="4"/>
      <c r="BK1606" s="4"/>
      <c r="BL1606" s="4"/>
      <c r="BM1606" s="4"/>
      <c r="BN1606" s="4"/>
      <c r="BO1606" s="4"/>
      <c r="BP1606" s="4"/>
      <c r="BQ1606" s="4"/>
      <c r="BR1606" s="4"/>
      <c r="BS1606" s="4"/>
      <c r="BT1606" s="4"/>
      <c r="BU1606" s="4"/>
      <c r="BV1606" s="4"/>
      <c r="BW1606" s="4"/>
      <c r="BX1606" s="4"/>
      <c r="BY1606" s="4"/>
      <c r="BZ1606" s="4"/>
      <c r="CA1606" s="4"/>
      <c r="CB1606" s="4"/>
      <c r="CC1606" s="4"/>
      <c r="CD1606" s="4"/>
      <c r="CE1606" s="4"/>
      <c r="CF1606" s="4"/>
      <c r="CG1606" s="4"/>
      <c r="CH1606" s="4"/>
      <c r="CI1606" s="4"/>
      <c r="CJ1606" s="4"/>
      <c r="CK1606" s="4"/>
      <c r="CL1606" s="4"/>
      <c r="CM1606" s="4"/>
      <c r="CN1606" s="4"/>
      <c r="CO1606" s="4"/>
      <c r="CP1606" s="4"/>
      <c r="CQ1606" s="4"/>
      <c r="CR1606" s="4"/>
      <c r="CS1606" s="4"/>
      <c r="CT1606" s="4"/>
      <c r="CU1606" s="4"/>
      <c r="CV1606" s="4"/>
      <c r="CW1606" s="4"/>
      <c r="CX1606" s="4"/>
      <c r="CY1606" s="4"/>
      <c r="CZ1606" s="4"/>
      <c r="DA1606" s="4"/>
      <c r="DB1606" s="4"/>
      <c r="DC1606" s="4"/>
      <c r="DD1606" s="4"/>
      <c r="DE1606" s="4"/>
      <c r="DF1606" s="4"/>
      <c r="DG1606" s="4"/>
      <c r="DH1606" s="4"/>
      <c r="DI1606" s="4"/>
      <c r="DJ1606" s="4"/>
      <c r="DK1606" s="4"/>
      <c r="DL1606" s="4"/>
      <c r="DM1606" s="4"/>
      <c r="DN1606" s="4"/>
      <c r="DO1606" s="4"/>
      <c r="DP1606" s="4"/>
      <c r="DQ1606" s="4"/>
      <c r="DR1606" s="4"/>
      <c r="DS1606" s="4"/>
    </row>
    <row r="1607">
      <c r="A1607" s="9">
        <f>IFERROR(__xludf.DUMMYFUNCTION("""COMPUTED_VALUE"""),45962.0)</f>
        <v>45962</v>
      </c>
      <c r="B1607" s="6" t="str">
        <f>IFERROR(__xludf.DUMMYFUNCTION("""COMPUTED_VALUE"""),"Education")</f>
        <v>Education</v>
      </c>
      <c r="C1607" s="7">
        <f>IFERROR(__xludf.DUMMYFUNCTION("""COMPUTED_VALUE"""),1800.0)</f>
        <v>1800</v>
      </c>
      <c r="D1607" s="6" t="str">
        <f>IFERROR(__xludf.DUMMYFUNCTION("""COMPUTED_VALUE"""),"Education")</f>
        <v>Education</v>
      </c>
      <c r="E1607" s="6" t="str">
        <f>IFERROR(__xludf.DUMMYFUNCTION("""COMPUTED_VALUE"""),"Credit Card")</f>
        <v>Credit Card</v>
      </c>
      <c r="F1607" s="6" t="s">
        <v>11</v>
      </c>
      <c r="G1607" s="8" t="str">
        <f t="shared" si="1"/>
        <v>202511</v>
      </c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  <c r="AA1607" s="4"/>
      <c r="AB1607" s="4"/>
      <c r="AC1607" s="4"/>
      <c r="AD1607" s="4"/>
      <c r="AE1607" s="4"/>
      <c r="AF1607" s="4"/>
      <c r="AG1607" s="4"/>
      <c r="AH1607" s="4"/>
      <c r="AI1607" s="4"/>
      <c r="AJ1607" s="4"/>
      <c r="AK1607" s="4"/>
      <c r="AL1607" s="4"/>
      <c r="AM1607" s="4"/>
      <c r="AN1607" s="4"/>
      <c r="AO1607" s="4"/>
      <c r="AP1607" s="4"/>
      <c r="AQ1607" s="4"/>
      <c r="AR1607" s="4"/>
      <c r="AS1607" s="4"/>
      <c r="AT1607" s="4"/>
      <c r="AU1607" s="4"/>
      <c r="AV1607" s="4"/>
      <c r="AW1607" s="4"/>
      <c r="AX1607" s="4"/>
      <c r="AY1607" s="4"/>
      <c r="AZ1607" s="4"/>
      <c r="BA1607" s="4"/>
      <c r="BB1607" s="4"/>
      <c r="BC1607" s="4"/>
      <c r="BD1607" s="4"/>
      <c r="BE1607" s="4"/>
      <c r="BF1607" s="4"/>
      <c r="BG1607" s="4"/>
      <c r="BH1607" s="4"/>
      <c r="BI1607" s="4"/>
      <c r="BJ1607" s="4"/>
      <c r="BK1607" s="4"/>
      <c r="BL1607" s="4"/>
      <c r="BM1607" s="4"/>
      <c r="BN1607" s="4"/>
      <c r="BO1607" s="4"/>
      <c r="BP1607" s="4"/>
      <c r="BQ1607" s="4"/>
      <c r="BR1607" s="4"/>
      <c r="BS1607" s="4"/>
      <c r="BT1607" s="4"/>
      <c r="BU1607" s="4"/>
      <c r="BV1607" s="4"/>
      <c r="BW1607" s="4"/>
      <c r="BX1607" s="4"/>
      <c r="BY1607" s="4"/>
      <c r="BZ1607" s="4"/>
      <c r="CA1607" s="4"/>
      <c r="CB1607" s="4"/>
      <c r="CC1607" s="4"/>
      <c r="CD1607" s="4"/>
      <c r="CE1607" s="4"/>
      <c r="CF1607" s="4"/>
      <c r="CG1607" s="4"/>
      <c r="CH1607" s="4"/>
      <c r="CI1607" s="4"/>
      <c r="CJ1607" s="4"/>
      <c r="CK1607" s="4"/>
      <c r="CL1607" s="4"/>
      <c r="CM1607" s="4"/>
      <c r="CN1607" s="4"/>
      <c r="CO1607" s="4"/>
      <c r="CP1607" s="4"/>
      <c r="CQ1607" s="4"/>
      <c r="CR1607" s="4"/>
      <c r="CS1607" s="4"/>
      <c r="CT1607" s="4"/>
      <c r="CU1607" s="4"/>
      <c r="CV1607" s="4"/>
      <c r="CW1607" s="4"/>
      <c r="CX1607" s="4"/>
      <c r="CY1607" s="4"/>
      <c r="CZ1607" s="4"/>
      <c r="DA1607" s="4"/>
      <c r="DB1607" s="4"/>
      <c r="DC1607" s="4"/>
      <c r="DD1607" s="4"/>
      <c r="DE1607" s="4"/>
      <c r="DF1607" s="4"/>
      <c r="DG1607" s="4"/>
      <c r="DH1607" s="4"/>
      <c r="DI1607" s="4"/>
      <c r="DJ1607" s="4"/>
      <c r="DK1607" s="4"/>
      <c r="DL1607" s="4"/>
      <c r="DM1607" s="4"/>
      <c r="DN1607" s="4"/>
      <c r="DO1607" s="4"/>
      <c r="DP1607" s="4"/>
      <c r="DQ1607" s="4"/>
      <c r="DR1607" s="4"/>
      <c r="DS1607" s="4"/>
    </row>
    <row r="1608">
      <c r="A1608" s="9">
        <f>IFERROR(__xludf.DUMMYFUNCTION("""COMPUTED_VALUE"""),45962.0)</f>
        <v>45962</v>
      </c>
      <c r="B1608" s="6" t="str">
        <f>IFERROR(__xludf.DUMMYFUNCTION("""COMPUTED_VALUE"""),"Education")</f>
        <v>Education</v>
      </c>
      <c r="C1608" s="7">
        <f>IFERROR(__xludf.DUMMYFUNCTION("""COMPUTED_VALUE"""),20000.0)</f>
        <v>20000</v>
      </c>
      <c r="D1608" s="6" t="str">
        <f>IFERROR(__xludf.DUMMYFUNCTION("""COMPUTED_VALUE"""),"Education")</f>
        <v>Education</v>
      </c>
      <c r="E1608" s="6" t="str">
        <f>IFERROR(__xludf.DUMMYFUNCTION("""COMPUTED_VALUE"""),"Credit Card")</f>
        <v>Credit Card</v>
      </c>
      <c r="F1608" s="6" t="s">
        <v>11</v>
      </c>
      <c r="G1608" s="8" t="str">
        <f t="shared" si="1"/>
        <v>202511</v>
      </c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  <c r="AA1608" s="4"/>
      <c r="AB1608" s="4"/>
      <c r="AC1608" s="4"/>
      <c r="AD1608" s="4"/>
      <c r="AE1608" s="4"/>
      <c r="AF1608" s="4"/>
      <c r="AG1608" s="4"/>
      <c r="AH1608" s="4"/>
      <c r="AI1608" s="4"/>
      <c r="AJ1608" s="4"/>
      <c r="AK1608" s="4"/>
      <c r="AL1608" s="4"/>
      <c r="AM1608" s="4"/>
      <c r="AN1608" s="4"/>
      <c r="AO1608" s="4"/>
      <c r="AP1608" s="4"/>
      <c r="AQ1608" s="4"/>
      <c r="AR1608" s="4"/>
      <c r="AS1608" s="4"/>
      <c r="AT1608" s="4"/>
      <c r="AU1608" s="4"/>
      <c r="AV1608" s="4"/>
      <c r="AW1608" s="4"/>
      <c r="AX1608" s="4"/>
      <c r="AY1608" s="4"/>
      <c r="AZ1608" s="4"/>
      <c r="BA1608" s="4"/>
      <c r="BB1608" s="4"/>
      <c r="BC1608" s="4"/>
      <c r="BD1608" s="4"/>
      <c r="BE1608" s="4"/>
      <c r="BF1608" s="4"/>
      <c r="BG1608" s="4"/>
      <c r="BH1608" s="4"/>
      <c r="BI1608" s="4"/>
      <c r="BJ1608" s="4"/>
      <c r="BK1608" s="4"/>
      <c r="BL1608" s="4"/>
      <c r="BM1608" s="4"/>
      <c r="BN1608" s="4"/>
      <c r="BO1608" s="4"/>
      <c r="BP1608" s="4"/>
      <c r="BQ1608" s="4"/>
      <c r="BR1608" s="4"/>
      <c r="BS1608" s="4"/>
      <c r="BT1608" s="4"/>
      <c r="BU1608" s="4"/>
      <c r="BV1608" s="4"/>
      <c r="BW1608" s="4"/>
      <c r="BX1608" s="4"/>
      <c r="BY1608" s="4"/>
      <c r="BZ1608" s="4"/>
      <c r="CA1608" s="4"/>
      <c r="CB1608" s="4"/>
      <c r="CC1608" s="4"/>
      <c r="CD1608" s="4"/>
      <c r="CE1608" s="4"/>
      <c r="CF1608" s="4"/>
      <c r="CG1608" s="4"/>
      <c r="CH1608" s="4"/>
      <c r="CI1608" s="4"/>
      <c r="CJ1608" s="4"/>
      <c r="CK1608" s="4"/>
      <c r="CL1608" s="4"/>
      <c r="CM1608" s="4"/>
      <c r="CN1608" s="4"/>
      <c r="CO1608" s="4"/>
      <c r="CP1608" s="4"/>
      <c r="CQ1608" s="4"/>
      <c r="CR1608" s="4"/>
      <c r="CS1608" s="4"/>
      <c r="CT1608" s="4"/>
      <c r="CU1608" s="4"/>
      <c r="CV1608" s="4"/>
      <c r="CW1608" s="4"/>
      <c r="CX1608" s="4"/>
      <c r="CY1608" s="4"/>
      <c r="CZ1608" s="4"/>
      <c r="DA1608" s="4"/>
      <c r="DB1608" s="4"/>
      <c r="DC1608" s="4"/>
      <c r="DD1608" s="4"/>
      <c r="DE1608" s="4"/>
      <c r="DF1608" s="4"/>
      <c r="DG1608" s="4"/>
      <c r="DH1608" s="4"/>
      <c r="DI1608" s="4"/>
      <c r="DJ1608" s="4"/>
      <c r="DK1608" s="4"/>
      <c r="DL1608" s="4"/>
      <c r="DM1608" s="4"/>
      <c r="DN1608" s="4"/>
      <c r="DO1608" s="4"/>
      <c r="DP1608" s="4"/>
      <c r="DQ1608" s="4"/>
      <c r="DR1608" s="4"/>
      <c r="DS1608" s="4"/>
    </row>
    <row r="1609">
      <c r="A1609" s="9">
        <f>IFERROR(__xludf.DUMMYFUNCTION("""COMPUTED_VALUE"""),45962.0)</f>
        <v>45962</v>
      </c>
      <c r="B1609" s="6" t="str">
        <f>IFERROR(__xludf.DUMMYFUNCTION("""COMPUTED_VALUE"""),"Cab/Uber")</f>
        <v>Cab/Uber</v>
      </c>
      <c r="C1609" s="7">
        <f>IFERROR(__xludf.DUMMYFUNCTION("""COMPUTED_VALUE"""),502.0)</f>
        <v>502</v>
      </c>
      <c r="D1609" s="6" t="str">
        <f>IFERROR(__xludf.DUMMYFUNCTION("""COMPUTED_VALUE"""),"Transportation")</f>
        <v>Transportation</v>
      </c>
      <c r="E1609" s="6" t="str">
        <f>IFERROR(__xludf.DUMMYFUNCTION("""COMPUTED_VALUE"""),"Virtual Wallet")</f>
        <v>Virtual Wallet</v>
      </c>
      <c r="F1609" s="6" t="s">
        <v>9</v>
      </c>
      <c r="G1609" s="8" t="str">
        <f t="shared" si="1"/>
        <v>202511</v>
      </c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  <c r="AA1609" s="4"/>
      <c r="AB1609" s="4"/>
      <c r="AC1609" s="4"/>
      <c r="AD1609" s="4"/>
      <c r="AE1609" s="4"/>
      <c r="AF1609" s="4"/>
      <c r="AG1609" s="4"/>
      <c r="AH1609" s="4"/>
      <c r="AI1609" s="4"/>
      <c r="AJ1609" s="4"/>
      <c r="AK1609" s="4"/>
      <c r="AL1609" s="4"/>
      <c r="AM1609" s="4"/>
      <c r="AN1609" s="4"/>
      <c r="AO1609" s="4"/>
      <c r="AP1609" s="4"/>
      <c r="AQ1609" s="4"/>
      <c r="AR1609" s="4"/>
      <c r="AS1609" s="4"/>
      <c r="AT1609" s="4"/>
      <c r="AU1609" s="4"/>
      <c r="AV1609" s="4"/>
      <c r="AW1609" s="4"/>
      <c r="AX1609" s="4"/>
      <c r="AY1609" s="4"/>
      <c r="AZ1609" s="4"/>
      <c r="BA1609" s="4"/>
      <c r="BB1609" s="4"/>
      <c r="BC1609" s="4"/>
      <c r="BD1609" s="4"/>
      <c r="BE1609" s="4"/>
      <c r="BF1609" s="4"/>
      <c r="BG1609" s="4"/>
      <c r="BH1609" s="4"/>
      <c r="BI1609" s="4"/>
      <c r="BJ1609" s="4"/>
      <c r="BK1609" s="4"/>
      <c r="BL1609" s="4"/>
      <c r="BM1609" s="4"/>
      <c r="BN1609" s="4"/>
      <c r="BO1609" s="4"/>
      <c r="BP1609" s="4"/>
      <c r="BQ1609" s="4"/>
      <c r="BR1609" s="4"/>
      <c r="BS1609" s="4"/>
      <c r="BT1609" s="4"/>
      <c r="BU1609" s="4"/>
      <c r="BV1609" s="4"/>
      <c r="BW1609" s="4"/>
      <c r="BX1609" s="4"/>
      <c r="BY1609" s="4"/>
      <c r="BZ1609" s="4"/>
      <c r="CA1609" s="4"/>
      <c r="CB1609" s="4"/>
      <c r="CC1609" s="4"/>
      <c r="CD1609" s="4"/>
      <c r="CE1609" s="4"/>
      <c r="CF1609" s="4"/>
      <c r="CG1609" s="4"/>
      <c r="CH1609" s="4"/>
      <c r="CI1609" s="4"/>
      <c r="CJ1609" s="4"/>
      <c r="CK1609" s="4"/>
      <c r="CL1609" s="4"/>
      <c r="CM1609" s="4"/>
      <c r="CN1609" s="4"/>
      <c r="CO1609" s="4"/>
      <c r="CP1609" s="4"/>
      <c r="CQ1609" s="4"/>
      <c r="CR1609" s="4"/>
      <c r="CS1609" s="4"/>
      <c r="CT1609" s="4"/>
      <c r="CU1609" s="4"/>
      <c r="CV1609" s="4"/>
      <c r="CW1609" s="4"/>
      <c r="CX1609" s="4"/>
      <c r="CY1609" s="4"/>
      <c r="CZ1609" s="4"/>
      <c r="DA1609" s="4"/>
      <c r="DB1609" s="4"/>
      <c r="DC1609" s="4"/>
      <c r="DD1609" s="4"/>
      <c r="DE1609" s="4"/>
      <c r="DF1609" s="4"/>
      <c r="DG1609" s="4"/>
      <c r="DH1609" s="4"/>
      <c r="DI1609" s="4"/>
      <c r="DJ1609" s="4"/>
      <c r="DK1609" s="4"/>
      <c r="DL1609" s="4"/>
      <c r="DM1609" s="4"/>
      <c r="DN1609" s="4"/>
      <c r="DO1609" s="4"/>
      <c r="DP1609" s="4"/>
      <c r="DQ1609" s="4"/>
      <c r="DR1609" s="4"/>
      <c r="DS1609" s="4"/>
    </row>
    <row r="1610">
      <c r="A1610" s="9">
        <f>IFERROR(__xludf.DUMMYFUNCTION("""COMPUTED_VALUE"""),45962.0)</f>
        <v>45962</v>
      </c>
      <c r="B1610" s="6" t="str">
        <f>IFERROR(__xludf.DUMMYFUNCTION("""COMPUTED_VALUE"""),"Car Insurance")</f>
        <v>Car Insurance</v>
      </c>
      <c r="C1610" s="7">
        <f>IFERROR(__xludf.DUMMYFUNCTION("""COMPUTED_VALUE"""),33208.0)</f>
        <v>33208</v>
      </c>
      <c r="D1610" s="6" t="str">
        <f>IFERROR(__xludf.DUMMYFUNCTION("""COMPUTED_VALUE"""),"Car Expenses")</f>
        <v>Car Expenses</v>
      </c>
      <c r="E1610" s="6" t="str">
        <f>IFERROR(__xludf.DUMMYFUNCTION("""COMPUTED_VALUE"""),"Split Payment")</f>
        <v>Split Payment</v>
      </c>
      <c r="F1610" s="6" t="s">
        <v>9</v>
      </c>
      <c r="G1610" s="8" t="str">
        <f t="shared" si="1"/>
        <v>202511</v>
      </c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  <c r="AA1610" s="4"/>
      <c r="AB1610" s="4"/>
      <c r="AC1610" s="4"/>
      <c r="AD1610" s="4"/>
      <c r="AE1610" s="4"/>
      <c r="AF1610" s="4"/>
      <c r="AG1610" s="4"/>
      <c r="AH1610" s="4"/>
      <c r="AI1610" s="4"/>
      <c r="AJ1610" s="4"/>
      <c r="AK1610" s="4"/>
      <c r="AL1610" s="4"/>
      <c r="AM1610" s="4"/>
      <c r="AN1610" s="4"/>
      <c r="AO1610" s="4"/>
      <c r="AP1610" s="4"/>
      <c r="AQ1610" s="4"/>
      <c r="AR1610" s="4"/>
      <c r="AS1610" s="4"/>
      <c r="AT1610" s="4"/>
      <c r="AU1610" s="4"/>
      <c r="AV1610" s="4"/>
      <c r="AW1610" s="4"/>
      <c r="AX1610" s="4"/>
      <c r="AY1610" s="4"/>
      <c r="AZ1610" s="4"/>
      <c r="BA1610" s="4"/>
      <c r="BB1610" s="4"/>
      <c r="BC1610" s="4"/>
      <c r="BD1610" s="4"/>
      <c r="BE1610" s="4"/>
      <c r="BF1610" s="4"/>
      <c r="BG1610" s="4"/>
      <c r="BH1610" s="4"/>
      <c r="BI1610" s="4"/>
      <c r="BJ1610" s="4"/>
      <c r="BK1610" s="4"/>
      <c r="BL1610" s="4"/>
      <c r="BM1610" s="4"/>
      <c r="BN1610" s="4"/>
      <c r="BO1610" s="4"/>
      <c r="BP1610" s="4"/>
      <c r="BQ1610" s="4"/>
      <c r="BR1610" s="4"/>
      <c r="BS1610" s="4"/>
      <c r="BT1610" s="4"/>
      <c r="BU1610" s="4"/>
      <c r="BV1610" s="4"/>
      <c r="BW1610" s="4"/>
      <c r="BX1610" s="4"/>
      <c r="BY1610" s="4"/>
      <c r="BZ1610" s="4"/>
      <c r="CA1610" s="4"/>
      <c r="CB1610" s="4"/>
      <c r="CC1610" s="4"/>
      <c r="CD1610" s="4"/>
      <c r="CE1610" s="4"/>
      <c r="CF1610" s="4"/>
      <c r="CG1610" s="4"/>
      <c r="CH1610" s="4"/>
      <c r="CI1610" s="4"/>
      <c r="CJ1610" s="4"/>
      <c r="CK1610" s="4"/>
      <c r="CL1610" s="4"/>
      <c r="CM1610" s="4"/>
      <c r="CN1610" s="4"/>
      <c r="CO1610" s="4"/>
      <c r="CP1610" s="4"/>
      <c r="CQ1610" s="4"/>
      <c r="CR1610" s="4"/>
      <c r="CS1610" s="4"/>
      <c r="CT1610" s="4"/>
      <c r="CU1610" s="4"/>
      <c r="CV1610" s="4"/>
      <c r="CW1610" s="4"/>
      <c r="CX1610" s="4"/>
      <c r="CY1610" s="4"/>
      <c r="CZ1610" s="4"/>
      <c r="DA1610" s="4"/>
      <c r="DB1610" s="4"/>
      <c r="DC1610" s="4"/>
      <c r="DD1610" s="4"/>
      <c r="DE1610" s="4"/>
      <c r="DF1610" s="4"/>
      <c r="DG1610" s="4"/>
      <c r="DH1610" s="4"/>
      <c r="DI1610" s="4"/>
      <c r="DJ1610" s="4"/>
      <c r="DK1610" s="4"/>
      <c r="DL1610" s="4"/>
      <c r="DM1610" s="4"/>
      <c r="DN1610" s="4"/>
      <c r="DO1610" s="4"/>
      <c r="DP1610" s="4"/>
      <c r="DQ1610" s="4"/>
      <c r="DR1610" s="4"/>
      <c r="DS1610" s="4"/>
    </row>
    <row r="1611">
      <c r="A1611" s="9">
        <f>IFERROR(__xludf.DUMMYFUNCTION("""COMPUTED_VALUE"""),45962.0)</f>
        <v>45962</v>
      </c>
      <c r="B1611" s="6" t="str">
        <f>IFERROR(__xludf.DUMMYFUNCTION("""COMPUTED_VALUE"""),"Groceries")</f>
        <v>Groceries</v>
      </c>
      <c r="C1611" s="7">
        <f>IFERROR(__xludf.DUMMYFUNCTION("""COMPUTED_VALUE"""),19400.0)</f>
        <v>19400</v>
      </c>
      <c r="D1611" s="6" t="str">
        <f>IFERROR(__xludf.DUMMYFUNCTION("""COMPUTED_VALUE"""),"Groceries")</f>
        <v>Groceries</v>
      </c>
      <c r="E1611" s="6" t="str">
        <f>IFERROR(__xludf.DUMMYFUNCTION("""COMPUTED_VALUE"""),"Split Payment")</f>
        <v>Split Payment</v>
      </c>
      <c r="F1611" s="6" t="s">
        <v>7</v>
      </c>
      <c r="G1611" s="8" t="str">
        <f t="shared" si="1"/>
        <v>202511</v>
      </c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  <c r="AA1611" s="4"/>
      <c r="AB1611" s="4"/>
      <c r="AC1611" s="4"/>
      <c r="AD1611" s="4"/>
      <c r="AE1611" s="4"/>
      <c r="AF1611" s="4"/>
      <c r="AG1611" s="4"/>
      <c r="AH1611" s="4"/>
      <c r="AI1611" s="4"/>
      <c r="AJ1611" s="4"/>
      <c r="AK1611" s="4"/>
      <c r="AL1611" s="4"/>
      <c r="AM1611" s="4"/>
      <c r="AN1611" s="4"/>
      <c r="AO1611" s="4"/>
      <c r="AP1611" s="4"/>
      <c r="AQ1611" s="4"/>
      <c r="AR1611" s="4"/>
      <c r="AS1611" s="4"/>
      <c r="AT1611" s="4"/>
      <c r="AU1611" s="4"/>
      <c r="AV1611" s="4"/>
      <c r="AW1611" s="4"/>
      <c r="AX1611" s="4"/>
      <c r="AY1611" s="4"/>
      <c r="AZ1611" s="4"/>
      <c r="BA1611" s="4"/>
      <c r="BB1611" s="4"/>
      <c r="BC1611" s="4"/>
      <c r="BD1611" s="4"/>
      <c r="BE1611" s="4"/>
      <c r="BF1611" s="4"/>
      <c r="BG1611" s="4"/>
      <c r="BH1611" s="4"/>
      <c r="BI1611" s="4"/>
      <c r="BJ1611" s="4"/>
      <c r="BK1611" s="4"/>
      <c r="BL1611" s="4"/>
      <c r="BM1611" s="4"/>
      <c r="BN1611" s="4"/>
      <c r="BO1611" s="4"/>
      <c r="BP1611" s="4"/>
      <c r="BQ1611" s="4"/>
      <c r="BR1611" s="4"/>
      <c r="BS1611" s="4"/>
      <c r="BT1611" s="4"/>
      <c r="BU1611" s="4"/>
      <c r="BV1611" s="4"/>
      <c r="BW1611" s="4"/>
      <c r="BX1611" s="4"/>
      <c r="BY1611" s="4"/>
      <c r="BZ1611" s="4"/>
      <c r="CA1611" s="4"/>
      <c r="CB1611" s="4"/>
      <c r="CC1611" s="4"/>
      <c r="CD1611" s="4"/>
      <c r="CE1611" s="4"/>
      <c r="CF1611" s="4"/>
      <c r="CG1611" s="4"/>
      <c r="CH1611" s="4"/>
      <c r="CI1611" s="4"/>
      <c r="CJ1611" s="4"/>
      <c r="CK1611" s="4"/>
      <c r="CL1611" s="4"/>
      <c r="CM1611" s="4"/>
      <c r="CN1611" s="4"/>
      <c r="CO1611" s="4"/>
      <c r="CP1611" s="4"/>
      <c r="CQ1611" s="4"/>
      <c r="CR1611" s="4"/>
      <c r="CS1611" s="4"/>
      <c r="CT1611" s="4"/>
      <c r="CU1611" s="4"/>
      <c r="CV1611" s="4"/>
      <c r="CW1611" s="4"/>
      <c r="CX1611" s="4"/>
      <c r="CY1611" s="4"/>
      <c r="CZ1611" s="4"/>
      <c r="DA1611" s="4"/>
      <c r="DB1611" s="4"/>
      <c r="DC1611" s="4"/>
      <c r="DD1611" s="4"/>
      <c r="DE1611" s="4"/>
      <c r="DF1611" s="4"/>
      <c r="DG1611" s="4"/>
      <c r="DH1611" s="4"/>
      <c r="DI1611" s="4"/>
      <c r="DJ1611" s="4"/>
      <c r="DK1611" s="4"/>
      <c r="DL1611" s="4"/>
      <c r="DM1611" s="4"/>
      <c r="DN1611" s="4"/>
      <c r="DO1611" s="4"/>
      <c r="DP1611" s="4"/>
      <c r="DQ1611" s="4"/>
      <c r="DR1611" s="4"/>
      <c r="DS1611" s="4"/>
    </row>
    <row r="1612">
      <c r="A1612" s="9">
        <f>IFERROR(__xludf.DUMMYFUNCTION("""COMPUTED_VALUE"""),45962.0)</f>
        <v>45962</v>
      </c>
      <c r="B1612" s="6" t="str">
        <f>IFERROR(__xludf.DUMMYFUNCTION("""COMPUTED_VALUE"""),"Groceries")</f>
        <v>Groceries</v>
      </c>
      <c r="C1612" s="7">
        <f>IFERROR(__xludf.DUMMYFUNCTION("""COMPUTED_VALUE"""),17400.0)</f>
        <v>17400</v>
      </c>
      <c r="D1612" s="6" t="str">
        <f>IFERROR(__xludf.DUMMYFUNCTION("""COMPUTED_VALUE"""),"Groceries")</f>
        <v>Groceries</v>
      </c>
      <c r="E1612" s="6" t="str">
        <f>IFERROR(__xludf.DUMMYFUNCTION("""COMPUTED_VALUE"""),"Split Payment")</f>
        <v>Split Payment</v>
      </c>
      <c r="F1612" s="6" t="s">
        <v>7</v>
      </c>
      <c r="G1612" s="8" t="str">
        <f t="shared" si="1"/>
        <v>202511</v>
      </c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  <c r="AA1612" s="4"/>
      <c r="AB1612" s="4"/>
      <c r="AC1612" s="4"/>
      <c r="AD1612" s="4"/>
      <c r="AE1612" s="4"/>
      <c r="AF1612" s="4"/>
      <c r="AG1612" s="4"/>
      <c r="AH1612" s="4"/>
      <c r="AI1612" s="4"/>
      <c r="AJ1612" s="4"/>
      <c r="AK1612" s="4"/>
      <c r="AL1612" s="4"/>
      <c r="AM1612" s="4"/>
      <c r="AN1612" s="4"/>
      <c r="AO1612" s="4"/>
      <c r="AP1612" s="4"/>
      <c r="AQ1612" s="4"/>
      <c r="AR1612" s="4"/>
      <c r="AS1612" s="4"/>
      <c r="AT1612" s="4"/>
      <c r="AU1612" s="4"/>
      <c r="AV1612" s="4"/>
      <c r="AW1612" s="4"/>
      <c r="AX1612" s="4"/>
      <c r="AY1612" s="4"/>
      <c r="AZ1612" s="4"/>
      <c r="BA1612" s="4"/>
      <c r="BB1612" s="4"/>
      <c r="BC1612" s="4"/>
      <c r="BD1612" s="4"/>
      <c r="BE1612" s="4"/>
      <c r="BF1612" s="4"/>
      <c r="BG1612" s="4"/>
      <c r="BH1612" s="4"/>
      <c r="BI1612" s="4"/>
      <c r="BJ1612" s="4"/>
      <c r="BK1612" s="4"/>
      <c r="BL1612" s="4"/>
      <c r="BM1612" s="4"/>
      <c r="BN1612" s="4"/>
      <c r="BO1612" s="4"/>
      <c r="BP1612" s="4"/>
      <c r="BQ1612" s="4"/>
      <c r="BR1612" s="4"/>
      <c r="BS1612" s="4"/>
      <c r="BT1612" s="4"/>
      <c r="BU1612" s="4"/>
      <c r="BV1612" s="4"/>
      <c r="BW1612" s="4"/>
      <c r="BX1612" s="4"/>
      <c r="BY1612" s="4"/>
      <c r="BZ1612" s="4"/>
      <c r="CA1612" s="4"/>
      <c r="CB1612" s="4"/>
      <c r="CC1612" s="4"/>
      <c r="CD1612" s="4"/>
      <c r="CE1612" s="4"/>
      <c r="CF1612" s="4"/>
      <c r="CG1612" s="4"/>
      <c r="CH1612" s="4"/>
      <c r="CI1612" s="4"/>
      <c r="CJ1612" s="4"/>
      <c r="CK1612" s="4"/>
      <c r="CL1612" s="4"/>
      <c r="CM1612" s="4"/>
      <c r="CN1612" s="4"/>
      <c r="CO1612" s="4"/>
      <c r="CP1612" s="4"/>
      <c r="CQ1612" s="4"/>
      <c r="CR1612" s="4"/>
      <c r="CS1612" s="4"/>
      <c r="CT1612" s="4"/>
      <c r="CU1612" s="4"/>
      <c r="CV1612" s="4"/>
      <c r="CW1612" s="4"/>
      <c r="CX1612" s="4"/>
      <c r="CY1612" s="4"/>
      <c r="CZ1612" s="4"/>
      <c r="DA1612" s="4"/>
      <c r="DB1612" s="4"/>
      <c r="DC1612" s="4"/>
      <c r="DD1612" s="4"/>
      <c r="DE1612" s="4"/>
      <c r="DF1612" s="4"/>
      <c r="DG1612" s="4"/>
      <c r="DH1612" s="4"/>
      <c r="DI1612" s="4"/>
      <c r="DJ1612" s="4"/>
      <c r="DK1612" s="4"/>
      <c r="DL1612" s="4"/>
      <c r="DM1612" s="4"/>
      <c r="DN1612" s="4"/>
      <c r="DO1612" s="4"/>
      <c r="DP1612" s="4"/>
      <c r="DQ1612" s="4"/>
      <c r="DR1612" s="4"/>
      <c r="DS1612" s="4"/>
    </row>
    <row r="1613">
      <c r="A1613" s="9">
        <f>IFERROR(__xludf.DUMMYFUNCTION("""COMPUTED_VALUE"""),45962.0)</f>
        <v>45962</v>
      </c>
      <c r="B1613" s="6" t="str">
        <f>IFERROR(__xludf.DUMMYFUNCTION("""COMPUTED_VALUE"""),"Pets")</f>
        <v>Pets</v>
      </c>
      <c r="C1613" s="7">
        <f>IFERROR(__xludf.DUMMYFUNCTION("""COMPUTED_VALUE"""),8827.0)</f>
        <v>8827</v>
      </c>
      <c r="D1613" s="6" t="str">
        <f>IFERROR(__xludf.DUMMYFUNCTION("""COMPUTED_VALUE"""),"Groceries")</f>
        <v>Groceries</v>
      </c>
      <c r="E1613" s="6" t="str">
        <f>IFERROR(__xludf.DUMMYFUNCTION("""COMPUTED_VALUE"""),"Split Payment")</f>
        <v>Split Payment</v>
      </c>
      <c r="F1613" s="6" t="s">
        <v>7</v>
      </c>
      <c r="G1613" s="8" t="str">
        <f t="shared" si="1"/>
        <v>202511</v>
      </c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  <c r="AA1613" s="4"/>
      <c r="AB1613" s="4"/>
      <c r="AC1613" s="4"/>
      <c r="AD1613" s="4"/>
      <c r="AE1613" s="4"/>
      <c r="AF1613" s="4"/>
      <c r="AG1613" s="4"/>
      <c r="AH1613" s="4"/>
      <c r="AI1613" s="4"/>
      <c r="AJ1613" s="4"/>
      <c r="AK1613" s="4"/>
      <c r="AL1613" s="4"/>
      <c r="AM1613" s="4"/>
      <c r="AN1613" s="4"/>
      <c r="AO1613" s="4"/>
      <c r="AP1613" s="4"/>
      <c r="AQ1613" s="4"/>
      <c r="AR1613" s="4"/>
      <c r="AS1613" s="4"/>
      <c r="AT1613" s="4"/>
      <c r="AU1613" s="4"/>
      <c r="AV1613" s="4"/>
      <c r="AW1613" s="4"/>
      <c r="AX1613" s="4"/>
      <c r="AY1613" s="4"/>
      <c r="AZ1613" s="4"/>
      <c r="BA1613" s="4"/>
      <c r="BB1613" s="4"/>
      <c r="BC1613" s="4"/>
      <c r="BD1613" s="4"/>
      <c r="BE1613" s="4"/>
      <c r="BF1613" s="4"/>
      <c r="BG1613" s="4"/>
      <c r="BH1613" s="4"/>
      <c r="BI1613" s="4"/>
      <c r="BJ1613" s="4"/>
      <c r="BK1613" s="4"/>
      <c r="BL1613" s="4"/>
      <c r="BM1613" s="4"/>
      <c r="BN1613" s="4"/>
      <c r="BO1613" s="4"/>
      <c r="BP1613" s="4"/>
      <c r="BQ1613" s="4"/>
      <c r="BR1613" s="4"/>
      <c r="BS1613" s="4"/>
      <c r="BT1613" s="4"/>
      <c r="BU1613" s="4"/>
      <c r="BV1613" s="4"/>
      <c r="BW1613" s="4"/>
      <c r="BX1613" s="4"/>
      <c r="BY1613" s="4"/>
      <c r="BZ1613" s="4"/>
      <c r="CA1613" s="4"/>
      <c r="CB1613" s="4"/>
      <c r="CC1613" s="4"/>
      <c r="CD1613" s="4"/>
      <c r="CE1613" s="4"/>
      <c r="CF1613" s="4"/>
      <c r="CG1613" s="4"/>
      <c r="CH1613" s="4"/>
      <c r="CI1613" s="4"/>
      <c r="CJ1613" s="4"/>
      <c r="CK1613" s="4"/>
      <c r="CL1613" s="4"/>
      <c r="CM1613" s="4"/>
      <c r="CN1613" s="4"/>
      <c r="CO1613" s="4"/>
      <c r="CP1613" s="4"/>
      <c r="CQ1613" s="4"/>
      <c r="CR1613" s="4"/>
      <c r="CS1613" s="4"/>
      <c r="CT1613" s="4"/>
      <c r="CU1613" s="4"/>
      <c r="CV1613" s="4"/>
      <c r="CW1613" s="4"/>
      <c r="CX1613" s="4"/>
      <c r="CY1613" s="4"/>
      <c r="CZ1613" s="4"/>
      <c r="DA1613" s="4"/>
      <c r="DB1613" s="4"/>
      <c r="DC1613" s="4"/>
      <c r="DD1613" s="4"/>
      <c r="DE1613" s="4"/>
      <c r="DF1613" s="4"/>
      <c r="DG1613" s="4"/>
      <c r="DH1613" s="4"/>
      <c r="DI1613" s="4"/>
      <c r="DJ1613" s="4"/>
      <c r="DK1613" s="4"/>
      <c r="DL1613" s="4"/>
      <c r="DM1613" s="4"/>
      <c r="DN1613" s="4"/>
      <c r="DO1613" s="4"/>
      <c r="DP1613" s="4"/>
      <c r="DQ1613" s="4"/>
      <c r="DR1613" s="4"/>
      <c r="DS1613" s="4"/>
    </row>
    <row r="1614">
      <c r="A1614" s="9">
        <f>IFERROR(__xludf.DUMMYFUNCTION("""COMPUTED_VALUE"""),45962.0)</f>
        <v>45962</v>
      </c>
      <c r="B1614" s="6" t="str">
        <f>IFERROR(__xludf.DUMMYFUNCTION("""COMPUTED_VALUE"""),"Recreation")</f>
        <v>Recreation</v>
      </c>
      <c r="C1614" s="7">
        <f>IFERROR(__xludf.DUMMYFUNCTION("""COMPUTED_VALUE"""),15500.0)</f>
        <v>15500</v>
      </c>
      <c r="D1614" s="6" t="str">
        <f>IFERROR(__xludf.DUMMYFUNCTION("""COMPUTED_VALUE"""),"Recreation")</f>
        <v>Recreation</v>
      </c>
      <c r="E1614" s="6" t="str">
        <f>IFERROR(__xludf.DUMMYFUNCTION("""COMPUTED_VALUE"""),"Virtual Wallet")</f>
        <v>Virtual Wallet</v>
      </c>
      <c r="F1614" s="6" t="s">
        <v>12</v>
      </c>
      <c r="G1614" s="8" t="str">
        <f t="shared" si="1"/>
        <v>202511</v>
      </c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  <c r="AA1614" s="4"/>
      <c r="AB1614" s="4"/>
      <c r="AC1614" s="4"/>
      <c r="AD1614" s="4"/>
      <c r="AE1614" s="4"/>
      <c r="AF1614" s="4"/>
      <c r="AG1614" s="4"/>
      <c r="AH1614" s="4"/>
      <c r="AI1614" s="4"/>
      <c r="AJ1614" s="4"/>
      <c r="AK1614" s="4"/>
      <c r="AL1614" s="4"/>
      <c r="AM1614" s="4"/>
      <c r="AN1614" s="4"/>
      <c r="AO1614" s="4"/>
      <c r="AP1614" s="4"/>
      <c r="AQ1614" s="4"/>
      <c r="AR1614" s="4"/>
      <c r="AS1614" s="4"/>
      <c r="AT1614" s="4"/>
      <c r="AU1614" s="4"/>
      <c r="AV1614" s="4"/>
      <c r="AW1614" s="4"/>
      <c r="AX1614" s="4"/>
      <c r="AY1614" s="4"/>
      <c r="AZ1614" s="4"/>
      <c r="BA1614" s="4"/>
      <c r="BB1614" s="4"/>
      <c r="BC1614" s="4"/>
      <c r="BD1614" s="4"/>
      <c r="BE1614" s="4"/>
      <c r="BF1614" s="4"/>
      <c r="BG1614" s="4"/>
      <c r="BH1614" s="4"/>
      <c r="BI1614" s="4"/>
      <c r="BJ1614" s="4"/>
      <c r="BK1614" s="4"/>
      <c r="BL1614" s="4"/>
      <c r="BM1614" s="4"/>
      <c r="BN1614" s="4"/>
      <c r="BO1614" s="4"/>
      <c r="BP1614" s="4"/>
      <c r="BQ1614" s="4"/>
      <c r="BR1614" s="4"/>
      <c r="BS1614" s="4"/>
      <c r="BT1614" s="4"/>
      <c r="BU1614" s="4"/>
      <c r="BV1614" s="4"/>
      <c r="BW1614" s="4"/>
      <c r="BX1614" s="4"/>
      <c r="BY1614" s="4"/>
      <c r="BZ1614" s="4"/>
      <c r="CA1614" s="4"/>
      <c r="CB1614" s="4"/>
      <c r="CC1614" s="4"/>
      <c r="CD1614" s="4"/>
      <c r="CE1614" s="4"/>
      <c r="CF1614" s="4"/>
      <c r="CG1614" s="4"/>
      <c r="CH1614" s="4"/>
      <c r="CI1614" s="4"/>
      <c r="CJ1614" s="4"/>
      <c r="CK1614" s="4"/>
      <c r="CL1614" s="4"/>
      <c r="CM1614" s="4"/>
      <c r="CN1614" s="4"/>
      <c r="CO1614" s="4"/>
      <c r="CP1614" s="4"/>
      <c r="CQ1614" s="4"/>
      <c r="CR1614" s="4"/>
      <c r="CS1614" s="4"/>
      <c r="CT1614" s="4"/>
      <c r="CU1614" s="4"/>
      <c r="CV1614" s="4"/>
      <c r="CW1614" s="4"/>
      <c r="CX1614" s="4"/>
      <c r="CY1614" s="4"/>
      <c r="CZ1614" s="4"/>
      <c r="DA1614" s="4"/>
      <c r="DB1614" s="4"/>
      <c r="DC1614" s="4"/>
      <c r="DD1614" s="4"/>
      <c r="DE1614" s="4"/>
      <c r="DF1614" s="4"/>
      <c r="DG1614" s="4"/>
      <c r="DH1614" s="4"/>
      <c r="DI1614" s="4"/>
      <c r="DJ1614" s="4"/>
      <c r="DK1614" s="4"/>
      <c r="DL1614" s="4"/>
      <c r="DM1614" s="4"/>
      <c r="DN1614" s="4"/>
      <c r="DO1614" s="4"/>
      <c r="DP1614" s="4"/>
      <c r="DQ1614" s="4"/>
      <c r="DR1614" s="4"/>
      <c r="DS1614" s="4"/>
    </row>
    <row r="1615">
      <c r="A1615" s="9">
        <f>IFERROR(__xludf.DUMMYFUNCTION("""COMPUTED_VALUE"""),45962.0)</f>
        <v>45962</v>
      </c>
      <c r="B1615" s="6" t="str">
        <f>IFERROR(__xludf.DUMMYFUNCTION("""COMPUTED_VALUE"""),"Restaurant")</f>
        <v>Restaurant</v>
      </c>
      <c r="C1615" s="7">
        <f>IFERROR(__xludf.DUMMYFUNCTION("""COMPUTED_VALUE"""),4000.0)</f>
        <v>4000</v>
      </c>
      <c r="D1615" s="6" t="str">
        <f>IFERROR(__xludf.DUMMYFUNCTION("""COMPUTED_VALUE"""),"Restaurant / Café")</f>
        <v>Restaurant / Café</v>
      </c>
      <c r="E1615" s="6" t="str">
        <f>IFERROR(__xludf.DUMMYFUNCTION("""COMPUTED_VALUE"""),"Virtual Wallet")</f>
        <v>Virtual Wallet</v>
      </c>
      <c r="F1615" s="6" t="s">
        <v>14</v>
      </c>
      <c r="G1615" s="8" t="str">
        <f t="shared" si="1"/>
        <v>202511</v>
      </c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  <c r="AA1615" s="4"/>
      <c r="AB1615" s="4"/>
      <c r="AC1615" s="4"/>
      <c r="AD1615" s="4"/>
      <c r="AE1615" s="4"/>
      <c r="AF1615" s="4"/>
      <c r="AG1615" s="4"/>
      <c r="AH1615" s="4"/>
      <c r="AI1615" s="4"/>
      <c r="AJ1615" s="4"/>
      <c r="AK1615" s="4"/>
      <c r="AL1615" s="4"/>
      <c r="AM1615" s="4"/>
      <c r="AN1615" s="4"/>
      <c r="AO1615" s="4"/>
      <c r="AP1615" s="4"/>
      <c r="AQ1615" s="4"/>
      <c r="AR1615" s="4"/>
      <c r="AS1615" s="4"/>
      <c r="AT1615" s="4"/>
      <c r="AU1615" s="4"/>
      <c r="AV1615" s="4"/>
      <c r="AW1615" s="4"/>
      <c r="AX1615" s="4"/>
      <c r="AY1615" s="4"/>
      <c r="AZ1615" s="4"/>
      <c r="BA1615" s="4"/>
      <c r="BB1615" s="4"/>
      <c r="BC1615" s="4"/>
      <c r="BD1615" s="4"/>
      <c r="BE1615" s="4"/>
      <c r="BF1615" s="4"/>
      <c r="BG1615" s="4"/>
      <c r="BH1615" s="4"/>
      <c r="BI1615" s="4"/>
      <c r="BJ1615" s="4"/>
      <c r="BK1615" s="4"/>
      <c r="BL1615" s="4"/>
      <c r="BM1615" s="4"/>
      <c r="BN1615" s="4"/>
      <c r="BO1615" s="4"/>
      <c r="BP1615" s="4"/>
      <c r="BQ1615" s="4"/>
      <c r="BR1615" s="4"/>
      <c r="BS1615" s="4"/>
      <c r="BT1615" s="4"/>
      <c r="BU1615" s="4"/>
      <c r="BV1615" s="4"/>
      <c r="BW1615" s="4"/>
      <c r="BX1615" s="4"/>
      <c r="BY1615" s="4"/>
      <c r="BZ1615" s="4"/>
      <c r="CA1615" s="4"/>
      <c r="CB1615" s="4"/>
      <c r="CC1615" s="4"/>
      <c r="CD1615" s="4"/>
      <c r="CE1615" s="4"/>
      <c r="CF1615" s="4"/>
      <c r="CG1615" s="4"/>
      <c r="CH1615" s="4"/>
      <c r="CI1615" s="4"/>
      <c r="CJ1615" s="4"/>
      <c r="CK1615" s="4"/>
      <c r="CL1615" s="4"/>
      <c r="CM1615" s="4"/>
      <c r="CN1615" s="4"/>
      <c r="CO1615" s="4"/>
      <c r="CP1615" s="4"/>
      <c r="CQ1615" s="4"/>
      <c r="CR1615" s="4"/>
      <c r="CS1615" s="4"/>
      <c r="CT1615" s="4"/>
      <c r="CU1615" s="4"/>
      <c r="CV1615" s="4"/>
      <c r="CW1615" s="4"/>
      <c r="CX1615" s="4"/>
      <c r="CY1615" s="4"/>
      <c r="CZ1615" s="4"/>
      <c r="DA1615" s="4"/>
      <c r="DB1615" s="4"/>
      <c r="DC1615" s="4"/>
      <c r="DD1615" s="4"/>
      <c r="DE1615" s="4"/>
      <c r="DF1615" s="4"/>
      <c r="DG1615" s="4"/>
      <c r="DH1615" s="4"/>
      <c r="DI1615" s="4"/>
      <c r="DJ1615" s="4"/>
      <c r="DK1615" s="4"/>
      <c r="DL1615" s="4"/>
      <c r="DM1615" s="4"/>
      <c r="DN1615" s="4"/>
      <c r="DO1615" s="4"/>
      <c r="DP1615" s="4"/>
      <c r="DQ1615" s="4"/>
      <c r="DR1615" s="4"/>
      <c r="DS1615" s="4"/>
    </row>
    <row r="1616">
      <c r="A1616" s="9">
        <f>IFERROR(__xludf.DUMMYFUNCTION("""COMPUTED_VALUE"""),45963.0)</f>
        <v>45963</v>
      </c>
      <c r="B1616" s="6" t="str">
        <f>IFERROR(__xludf.DUMMYFUNCTION("""COMPUTED_VALUE"""),"Home Goods")</f>
        <v>Home Goods</v>
      </c>
      <c r="C1616" s="7">
        <f>IFERROR(__xludf.DUMMYFUNCTION("""COMPUTED_VALUE"""),9553.0)</f>
        <v>9553</v>
      </c>
      <c r="D1616" s="6" t="str">
        <f>IFERROR(__xludf.DUMMYFUNCTION("""COMPUTED_VALUE"""),"Home Goods &amp; Utilities")</f>
        <v>Home Goods &amp; Utilities</v>
      </c>
      <c r="E1616" s="6" t="str">
        <f>IFERROR(__xludf.DUMMYFUNCTION("""COMPUTED_VALUE"""),"Split Payment")</f>
        <v>Split Payment</v>
      </c>
      <c r="F1616" s="6" t="s">
        <v>8</v>
      </c>
      <c r="G1616" s="8" t="str">
        <f t="shared" si="1"/>
        <v>202511</v>
      </c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  <c r="AA1616" s="4"/>
      <c r="AB1616" s="4"/>
      <c r="AC1616" s="4"/>
      <c r="AD1616" s="4"/>
      <c r="AE1616" s="4"/>
      <c r="AF1616" s="4"/>
      <c r="AG1616" s="4"/>
      <c r="AH1616" s="4"/>
      <c r="AI1616" s="4"/>
      <c r="AJ1616" s="4"/>
      <c r="AK1616" s="4"/>
      <c r="AL1616" s="4"/>
      <c r="AM1616" s="4"/>
      <c r="AN1616" s="4"/>
      <c r="AO1616" s="4"/>
      <c r="AP1616" s="4"/>
      <c r="AQ1616" s="4"/>
      <c r="AR1616" s="4"/>
      <c r="AS1616" s="4"/>
      <c r="AT1616" s="4"/>
      <c r="AU1616" s="4"/>
      <c r="AV1616" s="4"/>
      <c r="AW1616" s="4"/>
      <c r="AX1616" s="4"/>
      <c r="AY1616" s="4"/>
      <c r="AZ1616" s="4"/>
      <c r="BA1616" s="4"/>
      <c r="BB1616" s="4"/>
      <c r="BC1616" s="4"/>
      <c r="BD1616" s="4"/>
      <c r="BE1616" s="4"/>
      <c r="BF1616" s="4"/>
      <c r="BG1616" s="4"/>
      <c r="BH1616" s="4"/>
      <c r="BI1616" s="4"/>
      <c r="BJ1616" s="4"/>
      <c r="BK1616" s="4"/>
      <c r="BL1616" s="4"/>
      <c r="BM1616" s="4"/>
      <c r="BN1616" s="4"/>
      <c r="BO1616" s="4"/>
      <c r="BP1616" s="4"/>
      <c r="BQ1616" s="4"/>
      <c r="BR1616" s="4"/>
      <c r="BS1616" s="4"/>
      <c r="BT1616" s="4"/>
      <c r="BU1616" s="4"/>
      <c r="BV1616" s="4"/>
      <c r="BW1616" s="4"/>
      <c r="BX1616" s="4"/>
      <c r="BY1616" s="4"/>
      <c r="BZ1616" s="4"/>
      <c r="CA1616" s="4"/>
      <c r="CB1616" s="4"/>
      <c r="CC1616" s="4"/>
      <c r="CD1616" s="4"/>
      <c r="CE1616" s="4"/>
      <c r="CF1616" s="4"/>
      <c r="CG1616" s="4"/>
      <c r="CH1616" s="4"/>
      <c r="CI1616" s="4"/>
      <c r="CJ1616" s="4"/>
      <c r="CK1616" s="4"/>
      <c r="CL1616" s="4"/>
      <c r="CM1616" s="4"/>
      <c r="CN1616" s="4"/>
      <c r="CO1616" s="4"/>
      <c r="CP1616" s="4"/>
      <c r="CQ1616" s="4"/>
      <c r="CR1616" s="4"/>
      <c r="CS1616" s="4"/>
      <c r="CT1616" s="4"/>
      <c r="CU1616" s="4"/>
      <c r="CV1616" s="4"/>
      <c r="CW1616" s="4"/>
      <c r="CX1616" s="4"/>
      <c r="CY1616" s="4"/>
      <c r="CZ1616" s="4"/>
      <c r="DA1616" s="4"/>
      <c r="DB1616" s="4"/>
      <c r="DC1616" s="4"/>
      <c r="DD1616" s="4"/>
      <c r="DE1616" s="4"/>
      <c r="DF1616" s="4"/>
      <c r="DG1616" s="4"/>
      <c r="DH1616" s="4"/>
      <c r="DI1616" s="4"/>
      <c r="DJ1616" s="4"/>
      <c r="DK1616" s="4"/>
      <c r="DL1616" s="4"/>
      <c r="DM1616" s="4"/>
      <c r="DN1616" s="4"/>
      <c r="DO1616" s="4"/>
      <c r="DP1616" s="4"/>
      <c r="DQ1616" s="4"/>
      <c r="DR1616" s="4"/>
      <c r="DS1616" s="4"/>
    </row>
    <row r="1617">
      <c r="A1617" s="9">
        <f>IFERROR(__xludf.DUMMYFUNCTION("""COMPUTED_VALUE"""),45963.0)</f>
        <v>45963</v>
      </c>
      <c r="B1617" s="6" t="str">
        <f>IFERROR(__xludf.DUMMYFUNCTION("""COMPUTED_VALUE"""),"Gas Bill (Metrogas)")</f>
        <v>Gas Bill (Metrogas)</v>
      </c>
      <c r="C1617" s="7">
        <f>IFERROR(__xludf.DUMMYFUNCTION("""COMPUTED_VALUE"""),11196.0)</f>
        <v>11196</v>
      </c>
      <c r="D1617" s="6" t="str">
        <f>IFERROR(__xludf.DUMMYFUNCTION("""COMPUTED_VALUE"""),"Basic Services")</f>
        <v>Basic Services</v>
      </c>
      <c r="E1617" s="6" t="str">
        <f>IFERROR(__xludf.DUMMYFUNCTION("""COMPUTED_VALUE"""),"Split Payment")</f>
        <v>Split Payment</v>
      </c>
      <c r="F1617" s="6" t="s">
        <v>13</v>
      </c>
      <c r="G1617" s="8" t="str">
        <f t="shared" si="1"/>
        <v>202511</v>
      </c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  <c r="AA1617" s="4"/>
      <c r="AB1617" s="4"/>
      <c r="AC1617" s="4"/>
      <c r="AD1617" s="4"/>
      <c r="AE1617" s="4"/>
      <c r="AF1617" s="4"/>
      <c r="AG1617" s="4"/>
      <c r="AH1617" s="4"/>
      <c r="AI1617" s="4"/>
      <c r="AJ1617" s="4"/>
      <c r="AK1617" s="4"/>
      <c r="AL1617" s="4"/>
      <c r="AM1617" s="4"/>
      <c r="AN1617" s="4"/>
      <c r="AO1617" s="4"/>
      <c r="AP1617" s="4"/>
      <c r="AQ1617" s="4"/>
      <c r="AR1617" s="4"/>
      <c r="AS1617" s="4"/>
      <c r="AT1617" s="4"/>
      <c r="AU1617" s="4"/>
      <c r="AV1617" s="4"/>
      <c r="AW1617" s="4"/>
      <c r="AX1617" s="4"/>
      <c r="AY1617" s="4"/>
      <c r="AZ1617" s="4"/>
      <c r="BA1617" s="4"/>
      <c r="BB1617" s="4"/>
      <c r="BC1617" s="4"/>
      <c r="BD1617" s="4"/>
      <c r="BE1617" s="4"/>
      <c r="BF1617" s="4"/>
      <c r="BG1617" s="4"/>
      <c r="BH1617" s="4"/>
      <c r="BI1617" s="4"/>
      <c r="BJ1617" s="4"/>
      <c r="BK1617" s="4"/>
      <c r="BL1617" s="4"/>
      <c r="BM1617" s="4"/>
      <c r="BN1617" s="4"/>
      <c r="BO1617" s="4"/>
      <c r="BP1617" s="4"/>
      <c r="BQ1617" s="4"/>
      <c r="BR1617" s="4"/>
      <c r="BS1617" s="4"/>
      <c r="BT1617" s="4"/>
      <c r="BU1617" s="4"/>
      <c r="BV1617" s="4"/>
      <c r="BW1617" s="4"/>
      <c r="BX1617" s="4"/>
      <c r="BY1617" s="4"/>
      <c r="BZ1617" s="4"/>
      <c r="CA1617" s="4"/>
      <c r="CB1617" s="4"/>
      <c r="CC1617" s="4"/>
      <c r="CD1617" s="4"/>
      <c r="CE1617" s="4"/>
      <c r="CF1617" s="4"/>
      <c r="CG1617" s="4"/>
      <c r="CH1617" s="4"/>
      <c r="CI1617" s="4"/>
      <c r="CJ1617" s="4"/>
      <c r="CK1617" s="4"/>
      <c r="CL1617" s="4"/>
      <c r="CM1617" s="4"/>
      <c r="CN1617" s="4"/>
      <c r="CO1617" s="4"/>
      <c r="CP1617" s="4"/>
      <c r="CQ1617" s="4"/>
      <c r="CR1617" s="4"/>
      <c r="CS1617" s="4"/>
      <c r="CT1617" s="4"/>
      <c r="CU1617" s="4"/>
      <c r="CV1617" s="4"/>
      <c r="CW1617" s="4"/>
      <c r="CX1617" s="4"/>
      <c r="CY1617" s="4"/>
      <c r="CZ1617" s="4"/>
      <c r="DA1617" s="4"/>
      <c r="DB1617" s="4"/>
      <c r="DC1617" s="4"/>
      <c r="DD1617" s="4"/>
      <c r="DE1617" s="4"/>
      <c r="DF1617" s="4"/>
      <c r="DG1617" s="4"/>
      <c r="DH1617" s="4"/>
      <c r="DI1617" s="4"/>
      <c r="DJ1617" s="4"/>
      <c r="DK1617" s="4"/>
      <c r="DL1617" s="4"/>
      <c r="DM1617" s="4"/>
      <c r="DN1617" s="4"/>
      <c r="DO1617" s="4"/>
      <c r="DP1617" s="4"/>
      <c r="DQ1617" s="4"/>
      <c r="DR1617" s="4"/>
      <c r="DS1617" s="4"/>
    </row>
    <row r="1618">
      <c r="A1618" s="9">
        <f>IFERROR(__xludf.DUMMYFUNCTION("""COMPUTED_VALUE"""),45963.0)</f>
        <v>45963</v>
      </c>
      <c r="B1618" s="6" t="str">
        <f>IFERROR(__xludf.DUMMYFUNCTION("""COMPUTED_VALUE"""),"Groceries")</f>
        <v>Groceries</v>
      </c>
      <c r="C1618" s="7">
        <f>IFERROR(__xludf.DUMMYFUNCTION("""COMPUTED_VALUE"""),2500.0)</f>
        <v>2500</v>
      </c>
      <c r="D1618" s="6" t="str">
        <f>IFERROR(__xludf.DUMMYFUNCTION("""COMPUTED_VALUE"""),"Groceries")</f>
        <v>Groceries</v>
      </c>
      <c r="E1618" s="6" t="str">
        <f>IFERROR(__xludf.DUMMYFUNCTION("""COMPUTED_VALUE"""),"Virtual Wallet")</f>
        <v>Virtual Wallet</v>
      </c>
      <c r="F1618" s="6" t="s">
        <v>7</v>
      </c>
      <c r="G1618" s="8" t="str">
        <f t="shared" si="1"/>
        <v>202511</v>
      </c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  <c r="AA1618" s="4"/>
      <c r="AB1618" s="4"/>
      <c r="AC1618" s="4"/>
      <c r="AD1618" s="4"/>
      <c r="AE1618" s="4"/>
      <c r="AF1618" s="4"/>
      <c r="AG1618" s="4"/>
      <c r="AH1618" s="4"/>
      <c r="AI1618" s="4"/>
      <c r="AJ1618" s="4"/>
      <c r="AK1618" s="4"/>
      <c r="AL1618" s="4"/>
      <c r="AM1618" s="4"/>
      <c r="AN1618" s="4"/>
      <c r="AO1618" s="4"/>
      <c r="AP1618" s="4"/>
      <c r="AQ1618" s="4"/>
      <c r="AR1618" s="4"/>
      <c r="AS1618" s="4"/>
      <c r="AT1618" s="4"/>
      <c r="AU1618" s="4"/>
      <c r="AV1618" s="4"/>
      <c r="AW1618" s="4"/>
      <c r="AX1618" s="4"/>
      <c r="AY1618" s="4"/>
      <c r="AZ1618" s="4"/>
      <c r="BA1618" s="4"/>
      <c r="BB1618" s="4"/>
      <c r="BC1618" s="4"/>
      <c r="BD1618" s="4"/>
      <c r="BE1618" s="4"/>
      <c r="BF1618" s="4"/>
      <c r="BG1618" s="4"/>
      <c r="BH1618" s="4"/>
      <c r="BI1618" s="4"/>
      <c r="BJ1618" s="4"/>
      <c r="BK1618" s="4"/>
      <c r="BL1618" s="4"/>
      <c r="BM1618" s="4"/>
      <c r="BN1618" s="4"/>
      <c r="BO1618" s="4"/>
      <c r="BP1618" s="4"/>
      <c r="BQ1618" s="4"/>
      <c r="BR1618" s="4"/>
      <c r="BS1618" s="4"/>
      <c r="BT1618" s="4"/>
      <c r="BU1618" s="4"/>
      <c r="BV1618" s="4"/>
      <c r="BW1618" s="4"/>
      <c r="BX1618" s="4"/>
      <c r="BY1618" s="4"/>
      <c r="BZ1618" s="4"/>
      <c r="CA1618" s="4"/>
      <c r="CB1618" s="4"/>
      <c r="CC1618" s="4"/>
      <c r="CD1618" s="4"/>
      <c r="CE1618" s="4"/>
      <c r="CF1618" s="4"/>
      <c r="CG1618" s="4"/>
      <c r="CH1618" s="4"/>
      <c r="CI1618" s="4"/>
      <c r="CJ1618" s="4"/>
      <c r="CK1618" s="4"/>
      <c r="CL1618" s="4"/>
      <c r="CM1618" s="4"/>
      <c r="CN1618" s="4"/>
      <c r="CO1618" s="4"/>
      <c r="CP1618" s="4"/>
      <c r="CQ1618" s="4"/>
      <c r="CR1618" s="4"/>
      <c r="CS1618" s="4"/>
      <c r="CT1618" s="4"/>
      <c r="CU1618" s="4"/>
      <c r="CV1618" s="4"/>
      <c r="CW1618" s="4"/>
      <c r="CX1618" s="4"/>
      <c r="CY1618" s="4"/>
      <c r="CZ1618" s="4"/>
      <c r="DA1618" s="4"/>
      <c r="DB1618" s="4"/>
      <c r="DC1618" s="4"/>
      <c r="DD1618" s="4"/>
      <c r="DE1618" s="4"/>
      <c r="DF1618" s="4"/>
      <c r="DG1618" s="4"/>
      <c r="DH1618" s="4"/>
      <c r="DI1618" s="4"/>
      <c r="DJ1618" s="4"/>
      <c r="DK1618" s="4"/>
      <c r="DL1618" s="4"/>
      <c r="DM1618" s="4"/>
      <c r="DN1618" s="4"/>
      <c r="DO1618" s="4"/>
      <c r="DP1618" s="4"/>
      <c r="DQ1618" s="4"/>
      <c r="DR1618" s="4"/>
      <c r="DS1618" s="4"/>
    </row>
    <row r="1619">
      <c r="A1619" s="9">
        <f>IFERROR(__xludf.DUMMYFUNCTION("""COMPUTED_VALUE"""),45963.0)</f>
        <v>45963</v>
      </c>
      <c r="B1619" s="6" t="str">
        <f>IFERROR(__xludf.DUMMYFUNCTION("""COMPUTED_VALUE"""),"Home Goods")</f>
        <v>Home Goods</v>
      </c>
      <c r="C1619" s="7">
        <f>IFERROR(__xludf.DUMMYFUNCTION("""COMPUTED_VALUE"""),2500.0)</f>
        <v>2500</v>
      </c>
      <c r="D1619" s="6" t="str">
        <f>IFERROR(__xludf.DUMMYFUNCTION("""COMPUTED_VALUE"""),"Home Goods &amp; Utilities")</f>
        <v>Home Goods &amp; Utilities</v>
      </c>
      <c r="E1619" s="6" t="str">
        <f>IFERROR(__xludf.DUMMYFUNCTION("""COMPUTED_VALUE"""),"Virtual Wallet")</f>
        <v>Virtual Wallet</v>
      </c>
      <c r="F1619" s="6" t="s">
        <v>8</v>
      </c>
      <c r="G1619" s="8" t="str">
        <f t="shared" si="1"/>
        <v>202511</v>
      </c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  <c r="AA1619" s="4"/>
      <c r="AB1619" s="4"/>
      <c r="AC1619" s="4"/>
      <c r="AD1619" s="4"/>
      <c r="AE1619" s="4"/>
      <c r="AF1619" s="4"/>
      <c r="AG1619" s="4"/>
      <c r="AH1619" s="4"/>
      <c r="AI1619" s="4"/>
      <c r="AJ1619" s="4"/>
      <c r="AK1619" s="4"/>
      <c r="AL1619" s="4"/>
      <c r="AM1619" s="4"/>
      <c r="AN1619" s="4"/>
      <c r="AO1619" s="4"/>
      <c r="AP1619" s="4"/>
      <c r="AQ1619" s="4"/>
      <c r="AR1619" s="4"/>
      <c r="AS1619" s="4"/>
      <c r="AT1619" s="4"/>
      <c r="AU1619" s="4"/>
      <c r="AV1619" s="4"/>
      <c r="AW1619" s="4"/>
      <c r="AX1619" s="4"/>
      <c r="AY1619" s="4"/>
      <c r="AZ1619" s="4"/>
      <c r="BA1619" s="4"/>
      <c r="BB1619" s="4"/>
      <c r="BC1619" s="4"/>
      <c r="BD1619" s="4"/>
      <c r="BE1619" s="4"/>
      <c r="BF1619" s="4"/>
      <c r="BG1619" s="4"/>
      <c r="BH1619" s="4"/>
      <c r="BI1619" s="4"/>
      <c r="BJ1619" s="4"/>
      <c r="BK1619" s="4"/>
      <c r="BL1619" s="4"/>
      <c r="BM1619" s="4"/>
      <c r="BN1619" s="4"/>
      <c r="BO1619" s="4"/>
      <c r="BP1619" s="4"/>
      <c r="BQ1619" s="4"/>
      <c r="BR1619" s="4"/>
      <c r="BS1619" s="4"/>
      <c r="BT1619" s="4"/>
      <c r="BU1619" s="4"/>
      <c r="BV1619" s="4"/>
      <c r="BW1619" s="4"/>
      <c r="BX1619" s="4"/>
      <c r="BY1619" s="4"/>
      <c r="BZ1619" s="4"/>
      <c r="CA1619" s="4"/>
      <c r="CB1619" s="4"/>
      <c r="CC1619" s="4"/>
      <c r="CD1619" s="4"/>
      <c r="CE1619" s="4"/>
      <c r="CF1619" s="4"/>
      <c r="CG1619" s="4"/>
      <c r="CH1619" s="4"/>
      <c r="CI1619" s="4"/>
      <c r="CJ1619" s="4"/>
      <c r="CK1619" s="4"/>
      <c r="CL1619" s="4"/>
      <c r="CM1619" s="4"/>
      <c r="CN1619" s="4"/>
      <c r="CO1619" s="4"/>
      <c r="CP1619" s="4"/>
      <c r="CQ1619" s="4"/>
      <c r="CR1619" s="4"/>
      <c r="CS1619" s="4"/>
      <c r="CT1619" s="4"/>
      <c r="CU1619" s="4"/>
      <c r="CV1619" s="4"/>
      <c r="CW1619" s="4"/>
      <c r="CX1619" s="4"/>
      <c r="CY1619" s="4"/>
      <c r="CZ1619" s="4"/>
      <c r="DA1619" s="4"/>
      <c r="DB1619" s="4"/>
      <c r="DC1619" s="4"/>
      <c r="DD1619" s="4"/>
      <c r="DE1619" s="4"/>
      <c r="DF1619" s="4"/>
      <c r="DG1619" s="4"/>
      <c r="DH1619" s="4"/>
      <c r="DI1619" s="4"/>
      <c r="DJ1619" s="4"/>
      <c r="DK1619" s="4"/>
      <c r="DL1619" s="4"/>
      <c r="DM1619" s="4"/>
      <c r="DN1619" s="4"/>
      <c r="DO1619" s="4"/>
      <c r="DP1619" s="4"/>
      <c r="DQ1619" s="4"/>
      <c r="DR1619" s="4"/>
      <c r="DS1619" s="4"/>
    </row>
    <row r="1620">
      <c r="A1620" s="9">
        <f>IFERROR(__xludf.DUMMYFUNCTION("""COMPUTED_VALUE"""),45963.0)</f>
        <v>45963</v>
      </c>
      <c r="B1620" s="6" t="str">
        <f>IFERROR(__xludf.DUMMYFUNCTION("""COMPUTED_VALUE"""),"Personal Care")</f>
        <v>Personal Care</v>
      </c>
      <c r="C1620" s="7">
        <f>IFERROR(__xludf.DUMMYFUNCTION("""COMPUTED_VALUE"""),28700.0)</f>
        <v>28700</v>
      </c>
      <c r="D1620" s="6" t="str">
        <f>IFERROR(__xludf.DUMMYFUNCTION("""COMPUTED_VALUE"""),"Personal Care")</f>
        <v>Personal Care</v>
      </c>
      <c r="E1620" s="6" t="str">
        <f>IFERROR(__xludf.DUMMYFUNCTION("""COMPUTED_VALUE"""),"Virtual Wallet")</f>
        <v>Virtual Wallet</v>
      </c>
      <c r="F1620" s="6" t="s">
        <v>16</v>
      </c>
      <c r="G1620" s="8" t="str">
        <f t="shared" si="1"/>
        <v>202511</v>
      </c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  <c r="AA1620" s="4"/>
      <c r="AB1620" s="4"/>
      <c r="AC1620" s="4"/>
      <c r="AD1620" s="4"/>
      <c r="AE1620" s="4"/>
      <c r="AF1620" s="4"/>
      <c r="AG1620" s="4"/>
      <c r="AH1620" s="4"/>
      <c r="AI1620" s="4"/>
      <c r="AJ1620" s="4"/>
      <c r="AK1620" s="4"/>
      <c r="AL1620" s="4"/>
      <c r="AM1620" s="4"/>
      <c r="AN1620" s="4"/>
      <c r="AO1620" s="4"/>
      <c r="AP1620" s="4"/>
      <c r="AQ1620" s="4"/>
      <c r="AR1620" s="4"/>
      <c r="AS1620" s="4"/>
      <c r="AT1620" s="4"/>
      <c r="AU1620" s="4"/>
      <c r="AV1620" s="4"/>
      <c r="AW1620" s="4"/>
      <c r="AX1620" s="4"/>
      <c r="AY1620" s="4"/>
      <c r="AZ1620" s="4"/>
      <c r="BA1620" s="4"/>
      <c r="BB1620" s="4"/>
      <c r="BC1620" s="4"/>
      <c r="BD1620" s="4"/>
      <c r="BE1620" s="4"/>
      <c r="BF1620" s="4"/>
      <c r="BG1620" s="4"/>
      <c r="BH1620" s="4"/>
      <c r="BI1620" s="4"/>
      <c r="BJ1620" s="4"/>
      <c r="BK1620" s="4"/>
      <c r="BL1620" s="4"/>
      <c r="BM1620" s="4"/>
      <c r="BN1620" s="4"/>
      <c r="BO1620" s="4"/>
      <c r="BP1620" s="4"/>
      <c r="BQ1620" s="4"/>
      <c r="BR1620" s="4"/>
      <c r="BS1620" s="4"/>
      <c r="BT1620" s="4"/>
      <c r="BU1620" s="4"/>
      <c r="BV1620" s="4"/>
      <c r="BW1620" s="4"/>
      <c r="BX1620" s="4"/>
      <c r="BY1620" s="4"/>
      <c r="BZ1620" s="4"/>
      <c r="CA1620" s="4"/>
      <c r="CB1620" s="4"/>
      <c r="CC1620" s="4"/>
      <c r="CD1620" s="4"/>
      <c r="CE1620" s="4"/>
      <c r="CF1620" s="4"/>
      <c r="CG1620" s="4"/>
      <c r="CH1620" s="4"/>
      <c r="CI1620" s="4"/>
      <c r="CJ1620" s="4"/>
      <c r="CK1620" s="4"/>
      <c r="CL1620" s="4"/>
      <c r="CM1620" s="4"/>
      <c r="CN1620" s="4"/>
      <c r="CO1620" s="4"/>
      <c r="CP1620" s="4"/>
      <c r="CQ1620" s="4"/>
      <c r="CR1620" s="4"/>
      <c r="CS1620" s="4"/>
      <c r="CT1620" s="4"/>
      <c r="CU1620" s="4"/>
      <c r="CV1620" s="4"/>
      <c r="CW1620" s="4"/>
      <c r="CX1620" s="4"/>
      <c r="CY1620" s="4"/>
      <c r="CZ1620" s="4"/>
      <c r="DA1620" s="4"/>
      <c r="DB1620" s="4"/>
      <c r="DC1620" s="4"/>
      <c r="DD1620" s="4"/>
      <c r="DE1620" s="4"/>
      <c r="DF1620" s="4"/>
      <c r="DG1620" s="4"/>
      <c r="DH1620" s="4"/>
      <c r="DI1620" s="4"/>
      <c r="DJ1620" s="4"/>
      <c r="DK1620" s="4"/>
      <c r="DL1620" s="4"/>
      <c r="DM1620" s="4"/>
      <c r="DN1620" s="4"/>
      <c r="DO1620" s="4"/>
      <c r="DP1620" s="4"/>
      <c r="DQ1620" s="4"/>
      <c r="DR1620" s="4"/>
      <c r="DS1620" s="4"/>
    </row>
    <row r="1621">
      <c r="A1621" s="9">
        <f>IFERROR(__xludf.DUMMYFUNCTION("""COMPUTED_VALUE"""),45964.0)</f>
        <v>45964</v>
      </c>
      <c r="B1621" s="6" t="str">
        <f>IFERROR(__xludf.DUMMYFUNCTION("""COMPUTED_VALUE"""),"Groceries")</f>
        <v>Groceries</v>
      </c>
      <c r="C1621" s="7">
        <f>IFERROR(__xludf.DUMMYFUNCTION("""COMPUTED_VALUE"""),2750.0)</f>
        <v>2750</v>
      </c>
      <c r="D1621" s="6" t="str">
        <f>IFERROR(__xludf.DUMMYFUNCTION("""COMPUTED_VALUE"""),"Groceries")</f>
        <v>Groceries</v>
      </c>
      <c r="E1621" s="6" t="str">
        <f>IFERROR(__xludf.DUMMYFUNCTION("""COMPUTED_VALUE"""),"Virtual Wallet")</f>
        <v>Virtual Wallet</v>
      </c>
      <c r="F1621" s="6" t="s">
        <v>7</v>
      </c>
      <c r="G1621" s="8" t="str">
        <f t="shared" si="1"/>
        <v>202511</v>
      </c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  <c r="AA1621" s="4"/>
      <c r="AB1621" s="4"/>
      <c r="AC1621" s="4"/>
      <c r="AD1621" s="4"/>
      <c r="AE1621" s="4"/>
      <c r="AF1621" s="4"/>
      <c r="AG1621" s="4"/>
      <c r="AH1621" s="4"/>
      <c r="AI1621" s="4"/>
      <c r="AJ1621" s="4"/>
      <c r="AK1621" s="4"/>
      <c r="AL1621" s="4"/>
      <c r="AM1621" s="4"/>
      <c r="AN1621" s="4"/>
      <c r="AO1621" s="4"/>
      <c r="AP1621" s="4"/>
      <c r="AQ1621" s="4"/>
      <c r="AR1621" s="4"/>
      <c r="AS1621" s="4"/>
      <c r="AT1621" s="4"/>
      <c r="AU1621" s="4"/>
      <c r="AV1621" s="4"/>
      <c r="AW1621" s="4"/>
      <c r="AX1621" s="4"/>
      <c r="AY1621" s="4"/>
      <c r="AZ1621" s="4"/>
      <c r="BA1621" s="4"/>
      <c r="BB1621" s="4"/>
      <c r="BC1621" s="4"/>
      <c r="BD1621" s="4"/>
      <c r="BE1621" s="4"/>
      <c r="BF1621" s="4"/>
      <c r="BG1621" s="4"/>
      <c r="BH1621" s="4"/>
      <c r="BI1621" s="4"/>
      <c r="BJ1621" s="4"/>
      <c r="BK1621" s="4"/>
      <c r="BL1621" s="4"/>
      <c r="BM1621" s="4"/>
      <c r="BN1621" s="4"/>
      <c r="BO1621" s="4"/>
      <c r="BP1621" s="4"/>
      <c r="BQ1621" s="4"/>
      <c r="BR1621" s="4"/>
      <c r="BS1621" s="4"/>
      <c r="BT1621" s="4"/>
      <c r="BU1621" s="4"/>
      <c r="BV1621" s="4"/>
      <c r="BW1621" s="4"/>
      <c r="BX1621" s="4"/>
      <c r="BY1621" s="4"/>
      <c r="BZ1621" s="4"/>
      <c r="CA1621" s="4"/>
      <c r="CB1621" s="4"/>
      <c r="CC1621" s="4"/>
      <c r="CD1621" s="4"/>
      <c r="CE1621" s="4"/>
      <c r="CF1621" s="4"/>
      <c r="CG1621" s="4"/>
      <c r="CH1621" s="4"/>
      <c r="CI1621" s="4"/>
      <c r="CJ1621" s="4"/>
      <c r="CK1621" s="4"/>
      <c r="CL1621" s="4"/>
      <c r="CM1621" s="4"/>
      <c r="CN1621" s="4"/>
      <c r="CO1621" s="4"/>
      <c r="CP1621" s="4"/>
      <c r="CQ1621" s="4"/>
      <c r="CR1621" s="4"/>
      <c r="CS1621" s="4"/>
      <c r="CT1621" s="4"/>
      <c r="CU1621" s="4"/>
      <c r="CV1621" s="4"/>
      <c r="CW1621" s="4"/>
      <c r="CX1621" s="4"/>
      <c r="CY1621" s="4"/>
      <c r="CZ1621" s="4"/>
      <c r="DA1621" s="4"/>
      <c r="DB1621" s="4"/>
      <c r="DC1621" s="4"/>
      <c r="DD1621" s="4"/>
      <c r="DE1621" s="4"/>
      <c r="DF1621" s="4"/>
      <c r="DG1621" s="4"/>
      <c r="DH1621" s="4"/>
      <c r="DI1621" s="4"/>
      <c r="DJ1621" s="4"/>
      <c r="DK1621" s="4"/>
      <c r="DL1621" s="4"/>
      <c r="DM1621" s="4"/>
      <c r="DN1621" s="4"/>
      <c r="DO1621" s="4"/>
      <c r="DP1621" s="4"/>
      <c r="DQ1621" s="4"/>
      <c r="DR1621" s="4"/>
      <c r="DS1621" s="4"/>
    </row>
    <row r="1622">
      <c r="A1622" s="9">
        <f>IFERROR(__xludf.DUMMYFUNCTION("""COMPUTED_VALUE"""),45964.0)</f>
        <v>45964</v>
      </c>
      <c r="B1622" s="6" t="str">
        <f>IFERROR(__xludf.DUMMYFUNCTION("""COMPUTED_VALUE"""),"Home Goods")</f>
        <v>Home Goods</v>
      </c>
      <c r="C1622" s="7">
        <f>IFERROR(__xludf.DUMMYFUNCTION("""COMPUTED_VALUE"""),7042.0)</f>
        <v>7042</v>
      </c>
      <c r="D1622" s="6" t="str">
        <f>IFERROR(__xludf.DUMMYFUNCTION("""COMPUTED_VALUE"""),"Home Goods &amp; Utilities")</f>
        <v>Home Goods &amp; Utilities</v>
      </c>
      <c r="E1622" s="6" t="str">
        <f>IFERROR(__xludf.DUMMYFUNCTION("""COMPUTED_VALUE"""),"Credit Card")</f>
        <v>Credit Card</v>
      </c>
      <c r="F1622" s="6" t="s">
        <v>8</v>
      </c>
      <c r="G1622" s="8" t="str">
        <f t="shared" si="1"/>
        <v>202511</v>
      </c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  <c r="AA1622" s="4"/>
      <c r="AB1622" s="4"/>
      <c r="AC1622" s="4"/>
      <c r="AD1622" s="4"/>
      <c r="AE1622" s="4"/>
      <c r="AF1622" s="4"/>
      <c r="AG1622" s="4"/>
      <c r="AH1622" s="4"/>
      <c r="AI1622" s="4"/>
      <c r="AJ1622" s="4"/>
      <c r="AK1622" s="4"/>
      <c r="AL1622" s="4"/>
      <c r="AM1622" s="4"/>
      <c r="AN1622" s="4"/>
      <c r="AO1622" s="4"/>
      <c r="AP1622" s="4"/>
      <c r="AQ1622" s="4"/>
      <c r="AR1622" s="4"/>
      <c r="AS1622" s="4"/>
      <c r="AT1622" s="4"/>
      <c r="AU1622" s="4"/>
      <c r="AV1622" s="4"/>
      <c r="AW1622" s="4"/>
      <c r="AX1622" s="4"/>
      <c r="AY1622" s="4"/>
      <c r="AZ1622" s="4"/>
      <c r="BA1622" s="4"/>
      <c r="BB1622" s="4"/>
      <c r="BC1622" s="4"/>
      <c r="BD1622" s="4"/>
      <c r="BE1622" s="4"/>
      <c r="BF1622" s="4"/>
      <c r="BG1622" s="4"/>
      <c r="BH1622" s="4"/>
      <c r="BI1622" s="4"/>
      <c r="BJ1622" s="4"/>
      <c r="BK1622" s="4"/>
      <c r="BL1622" s="4"/>
      <c r="BM1622" s="4"/>
      <c r="BN1622" s="4"/>
      <c r="BO1622" s="4"/>
      <c r="BP1622" s="4"/>
      <c r="BQ1622" s="4"/>
      <c r="BR1622" s="4"/>
      <c r="BS1622" s="4"/>
      <c r="BT1622" s="4"/>
      <c r="BU1622" s="4"/>
      <c r="BV1622" s="4"/>
      <c r="BW1622" s="4"/>
      <c r="BX1622" s="4"/>
      <c r="BY1622" s="4"/>
      <c r="BZ1622" s="4"/>
      <c r="CA1622" s="4"/>
      <c r="CB1622" s="4"/>
      <c r="CC1622" s="4"/>
      <c r="CD1622" s="4"/>
      <c r="CE1622" s="4"/>
      <c r="CF1622" s="4"/>
      <c r="CG1622" s="4"/>
      <c r="CH1622" s="4"/>
      <c r="CI1622" s="4"/>
      <c r="CJ1622" s="4"/>
      <c r="CK1622" s="4"/>
      <c r="CL1622" s="4"/>
      <c r="CM1622" s="4"/>
      <c r="CN1622" s="4"/>
      <c r="CO1622" s="4"/>
      <c r="CP1622" s="4"/>
      <c r="CQ1622" s="4"/>
      <c r="CR1622" s="4"/>
      <c r="CS1622" s="4"/>
      <c r="CT1622" s="4"/>
      <c r="CU1622" s="4"/>
      <c r="CV1622" s="4"/>
      <c r="CW1622" s="4"/>
      <c r="CX1622" s="4"/>
      <c r="CY1622" s="4"/>
      <c r="CZ1622" s="4"/>
      <c r="DA1622" s="4"/>
      <c r="DB1622" s="4"/>
      <c r="DC1622" s="4"/>
      <c r="DD1622" s="4"/>
      <c r="DE1622" s="4"/>
      <c r="DF1622" s="4"/>
      <c r="DG1622" s="4"/>
      <c r="DH1622" s="4"/>
      <c r="DI1622" s="4"/>
      <c r="DJ1622" s="4"/>
      <c r="DK1622" s="4"/>
      <c r="DL1622" s="4"/>
      <c r="DM1622" s="4"/>
      <c r="DN1622" s="4"/>
      <c r="DO1622" s="4"/>
      <c r="DP1622" s="4"/>
      <c r="DQ1622" s="4"/>
      <c r="DR1622" s="4"/>
      <c r="DS1622" s="4"/>
    </row>
    <row r="1623">
      <c r="A1623" s="9">
        <f>IFERROR(__xludf.DUMMYFUNCTION("""COMPUTED_VALUE"""),45964.0)</f>
        <v>45964</v>
      </c>
      <c r="B1623" s="6" t="str">
        <f>IFERROR(__xludf.DUMMYFUNCTION("""COMPUTED_VALUE"""),"Home Goods")</f>
        <v>Home Goods</v>
      </c>
      <c r="C1623" s="7">
        <f>IFERROR(__xludf.DUMMYFUNCTION("""COMPUTED_VALUE"""),16359.0)</f>
        <v>16359</v>
      </c>
      <c r="D1623" s="6" t="str">
        <f>IFERROR(__xludf.DUMMYFUNCTION("""COMPUTED_VALUE"""),"Home Goods &amp; Utilities")</f>
        <v>Home Goods &amp; Utilities</v>
      </c>
      <c r="E1623" s="6" t="str">
        <f>IFERROR(__xludf.DUMMYFUNCTION("""COMPUTED_VALUE"""),"Credit Card")</f>
        <v>Credit Card</v>
      </c>
      <c r="F1623" s="6" t="s">
        <v>8</v>
      </c>
      <c r="G1623" s="8" t="str">
        <f t="shared" si="1"/>
        <v>202511</v>
      </c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  <c r="AA1623" s="4"/>
      <c r="AB1623" s="4"/>
      <c r="AC1623" s="4"/>
      <c r="AD1623" s="4"/>
      <c r="AE1623" s="4"/>
      <c r="AF1623" s="4"/>
      <c r="AG1623" s="4"/>
      <c r="AH1623" s="4"/>
      <c r="AI1623" s="4"/>
      <c r="AJ1623" s="4"/>
      <c r="AK1623" s="4"/>
      <c r="AL1623" s="4"/>
      <c r="AM1623" s="4"/>
      <c r="AN1623" s="4"/>
      <c r="AO1623" s="4"/>
      <c r="AP1623" s="4"/>
      <c r="AQ1623" s="4"/>
      <c r="AR1623" s="4"/>
      <c r="AS1623" s="4"/>
      <c r="AT1623" s="4"/>
      <c r="AU1623" s="4"/>
      <c r="AV1623" s="4"/>
      <c r="AW1623" s="4"/>
      <c r="AX1623" s="4"/>
      <c r="AY1623" s="4"/>
      <c r="AZ1623" s="4"/>
      <c r="BA1623" s="4"/>
      <c r="BB1623" s="4"/>
      <c r="BC1623" s="4"/>
      <c r="BD1623" s="4"/>
      <c r="BE1623" s="4"/>
      <c r="BF1623" s="4"/>
      <c r="BG1623" s="4"/>
      <c r="BH1623" s="4"/>
      <c r="BI1623" s="4"/>
      <c r="BJ1623" s="4"/>
      <c r="BK1623" s="4"/>
      <c r="BL1623" s="4"/>
      <c r="BM1623" s="4"/>
      <c r="BN1623" s="4"/>
      <c r="BO1623" s="4"/>
      <c r="BP1623" s="4"/>
      <c r="BQ1623" s="4"/>
      <c r="BR1623" s="4"/>
      <c r="BS1623" s="4"/>
      <c r="BT1623" s="4"/>
      <c r="BU1623" s="4"/>
      <c r="BV1623" s="4"/>
      <c r="BW1623" s="4"/>
      <c r="BX1623" s="4"/>
      <c r="BY1623" s="4"/>
      <c r="BZ1623" s="4"/>
      <c r="CA1623" s="4"/>
      <c r="CB1623" s="4"/>
      <c r="CC1623" s="4"/>
      <c r="CD1623" s="4"/>
      <c r="CE1623" s="4"/>
      <c r="CF1623" s="4"/>
      <c r="CG1623" s="4"/>
      <c r="CH1623" s="4"/>
      <c r="CI1623" s="4"/>
      <c r="CJ1623" s="4"/>
      <c r="CK1623" s="4"/>
      <c r="CL1623" s="4"/>
      <c r="CM1623" s="4"/>
      <c r="CN1623" s="4"/>
      <c r="CO1623" s="4"/>
      <c r="CP1623" s="4"/>
      <c r="CQ1623" s="4"/>
      <c r="CR1623" s="4"/>
      <c r="CS1623" s="4"/>
      <c r="CT1623" s="4"/>
      <c r="CU1623" s="4"/>
      <c r="CV1623" s="4"/>
      <c r="CW1623" s="4"/>
      <c r="CX1623" s="4"/>
      <c r="CY1623" s="4"/>
      <c r="CZ1623" s="4"/>
      <c r="DA1623" s="4"/>
      <c r="DB1623" s="4"/>
      <c r="DC1623" s="4"/>
      <c r="DD1623" s="4"/>
      <c r="DE1623" s="4"/>
      <c r="DF1623" s="4"/>
      <c r="DG1623" s="4"/>
      <c r="DH1623" s="4"/>
      <c r="DI1623" s="4"/>
      <c r="DJ1623" s="4"/>
      <c r="DK1623" s="4"/>
      <c r="DL1623" s="4"/>
      <c r="DM1623" s="4"/>
      <c r="DN1623" s="4"/>
      <c r="DO1623" s="4"/>
      <c r="DP1623" s="4"/>
      <c r="DQ1623" s="4"/>
      <c r="DR1623" s="4"/>
      <c r="DS1623" s="4"/>
    </row>
    <row r="1624">
      <c r="A1624" s="9">
        <f>IFERROR(__xludf.DUMMYFUNCTION("""COMPUTED_VALUE"""),45964.0)</f>
        <v>45964</v>
      </c>
      <c r="B1624" s="6" t="str">
        <f>IFERROR(__xludf.DUMMYFUNCTION("""COMPUTED_VALUE"""),"Municipal Tax (Agip)")</f>
        <v>Municipal Tax (Agip)</v>
      </c>
      <c r="C1624" s="7">
        <f>IFERROR(__xludf.DUMMYFUNCTION("""COMPUTED_VALUE"""),9960.0)</f>
        <v>9960</v>
      </c>
      <c r="D1624" s="6" t="str">
        <f>IFERROR(__xludf.DUMMYFUNCTION("""COMPUTED_VALUE"""),"Basic Services")</f>
        <v>Basic Services</v>
      </c>
      <c r="E1624" s="6" t="str">
        <f>IFERROR(__xludf.DUMMYFUNCTION("""COMPUTED_VALUE"""),"Split Payment")</f>
        <v>Split Payment</v>
      </c>
      <c r="F1624" s="6" t="s">
        <v>13</v>
      </c>
      <c r="G1624" s="8" t="str">
        <f t="shared" si="1"/>
        <v>202511</v>
      </c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  <c r="AA1624" s="4"/>
      <c r="AB1624" s="4"/>
      <c r="AC1624" s="4"/>
      <c r="AD1624" s="4"/>
      <c r="AE1624" s="4"/>
      <c r="AF1624" s="4"/>
      <c r="AG1624" s="4"/>
      <c r="AH1624" s="4"/>
      <c r="AI1624" s="4"/>
      <c r="AJ1624" s="4"/>
      <c r="AK1624" s="4"/>
      <c r="AL1624" s="4"/>
      <c r="AM1624" s="4"/>
      <c r="AN1624" s="4"/>
      <c r="AO1624" s="4"/>
      <c r="AP1624" s="4"/>
      <c r="AQ1624" s="4"/>
      <c r="AR1624" s="4"/>
      <c r="AS1624" s="4"/>
      <c r="AT1624" s="4"/>
      <c r="AU1624" s="4"/>
      <c r="AV1624" s="4"/>
      <c r="AW1624" s="4"/>
      <c r="AX1624" s="4"/>
      <c r="AY1624" s="4"/>
      <c r="AZ1624" s="4"/>
      <c r="BA1624" s="4"/>
      <c r="BB1624" s="4"/>
      <c r="BC1624" s="4"/>
      <c r="BD1624" s="4"/>
      <c r="BE1624" s="4"/>
      <c r="BF1624" s="4"/>
      <c r="BG1624" s="4"/>
      <c r="BH1624" s="4"/>
      <c r="BI1624" s="4"/>
      <c r="BJ1624" s="4"/>
      <c r="BK1624" s="4"/>
      <c r="BL1624" s="4"/>
      <c r="BM1624" s="4"/>
      <c r="BN1624" s="4"/>
      <c r="BO1624" s="4"/>
      <c r="BP1624" s="4"/>
      <c r="BQ1624" s="4"/>
      <c r="BR1624" s="4"/>
      <c r="BS1624" s="4"/>
      <c r="BT1624" s="4"/>
      <c r="BU1624" s="4"/>
      <c r="BV1624" s="4"/>
      <c r="BW1624" s="4"/>
      <c r="BX1624" s="4"/>
      <c r="BY1624" s="4"/>
      <c r="BZ1624" s="4"/>
      <c r="CA1624" s="4"/>
      <c r="CB1624" s="4"/>
      <c r="CC1624" s="4"/>
      <c r="CD1624" s="4"/>
      <c r="CE1624" s="4"/>
      <c r="CF1624" s="4"/>
      <c r="CG1624" s="4"/>
      <c r="CH1624" s="4"/>
      <c r="CI1624" s="4"/>
      <c r="CJ1624" s="4"/>
      <c r="CK1624" s="4"/>
      <c r="CL1624" s="4"/>
      <c r="CM1624" s="4"/>
      <c r="CN1624" s="4"/>
      <c r="CO1624" s="4"/>
      <c r="CP1624" s="4"/>
      <c r="CQ1624" s="4"/>
      <c r="CR1624" s="4"/>
      <c r="CS1624" s="4"/>
      <c r="CT1624" s="4"/>
      <c r="CU1624" s="4"/>
      <c r="CV1624" s="4"/>
      <c r="CW1624" s="4"/>
      <c r="CX1624" s="4"/>
      <c r="CY1624" s="4"/>
      <c r="CZ1624" s="4"/>
      <c r="DA1624" s="4"/>
      <c r="DB1624" s="4"/>
      <c r="DC1624" s="4"/>
      <c r="DD1624" s="4"/>
      <c r="DE1624" s="4"/>
      <c r="DF1624" s="4"/>
      <c r="DG1624" s="4"/>
      <c r="DH1624" s="4"/>
      <c r="DI1624" s="4"/>
      <c r="DJ1624" s="4"/>
      <c r="DK1624" s="4"/>
      <c r="DL1624" s="4"/>
      <c r="DM1624" s="4"/>
      <c r="DN1624" s="4"/>
      <c r="DO1624" s="4"/>
      <c r="DP1624" s="4"/>
      <c r="DQ1624" s="4"/>
      <c r="DR1624" s="4"/>
      <c r="DS1624" s="4"/>
    </row>
    <row r="1625">
      <c r="A1625" s="9">
        <f>IFERROR(__xludf.DUMMYFUNCTION("""COMPUTED_VALUE"""),45964.0)</f>
        <v>45964</v>
      </c>
      <c r="B1625" s="6" t="str">
        <f>IFERROR(__xludf.DUMMYFUNCTION("""COMPUTED_VALUE"""),"Pharmacy")</f>
        <v>Pharmacy</v>
      </c>
      <c r="C1625" s="7">
        <f>IFERROR(__xludf.DUMMYFUNCTION("""COMPUTED_VALUE"""),13226.0)</f>
        <v>13226</v>
      </c>
      <c r="D1625" s="6" t="str">
        <f>IFERROR(__xludf.DUMMYFUNCTION("""COMPUTED_VALUE"""),"Groceries")</f>
        <v>Groceries</v>
      </c>
      <c r="E1625" s="6" t="str">
        <f>IFERROR(__xludf.DUMMYFUNCTION("""COMPUTED_VALUE"""),"Split Payment")</f>
        <v>Split Payment</v>
      </c>
      <c r="F1625" s="6" t="s">
        <v>7</v>
      </c>
      <c r="G1625" s="8" t="str">
        <f t="shared" si="1"/>
        <v>202511</v>
      </c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  <c r="AA1625" s="4"/>
      <c r="AB1625" s="4"/>
      <c r="AC1625" s="4"/>
      <c r="AD1625" s="4"/>
      <c r="AE1625" s="4"/>
      <c r="AF1625" s="4"/>
      <c r="AG1625" s="4"/>
      <c r="AH1625" s="4"/>
      <c r="AI1625" s="4"/>
      <c r="AJ1625" s="4"/>
      <c r="AK1625" s="4"/>
      <c r="AL1625" s="4"/>
      <c r="AM1625" s="4"/>
      <c r="AN1625" s="4"/>
      <c r="AO1625" s="4"/>
      <c r="AP1625" s="4"/>
      <c r="AQ1625" s="4"/>
      <c r="AR1625" s="4"/>
      <c r="AS1625" s="4"/>
      <c r="AT1625" s="4"/>
      <c r="AU1625" s="4"/>
      <c r="AV1625" s="4"/>
      <c r="AW1625" s="4"/>
      <c r="AX1625" s="4"/>
      <c r="AY1625" s="4"/>
      <c r="AZ1625" s="4"/>
      <c r="BA1625" s="4"/>
      <c r="BB1625" s="4"/>
      <c r="BC1625" s="4"/>
      <c r="BD1625" s="4"/>
      <c r="BE1625" s="4"/>
      <c r="BF1625" s="4"/>
      <c r="BG1625" s="4"/>
      <c r="BH1625" s="4"/>
      <c r="BI1625" s="4"/>
      <c r="BJ1625" s="4"/>
      <c r="BK1625" s="4"/>
      <c r="BL1625" s="4"/>
      <c r="BM1625" s="4"/>
      <c r="BN1625" s="4"/>
      <c r="BO1625" s="4"/>
      <c r="BP1625" s="4"/>
      <c r="BQ1625" s="4"/>
      <c r="BR1625" s="4"/>
      <c r="BS1625" s="4"/>
      <c r="BT1625" s="4"/>
      <c r="BU1625" s="4"/>
      <c r="BV1625" s="4"/>
      <c r="BW1625" s="4"/>
      <c r="BX1625" s="4"/>
      <c r="BY1625" s="4"/>
      <c r="BZ1625" s="4"/>
      <c r="CA1625" s="4"/>
      <c r="CB1625" s="4"/>
      <c r="CC1625" s="4"/>
      <c r="CD1625" s="4"/>
      <c r="CE1625" s="4"/>
      <c r="CF1625" s="4"/>
      <c r="CG1625" s="4"/>
      <c r="CH1625" s="4"/>
      <c r="CI1625" s="4"/>
      <c r="CJ1625" s="4"/>
      <c r="CK1625" s="4"/>
      <c r="CL1625" s="4"/>
      <c r="CM1625" s="4"/>
      <c r="CN1625" s="4"/>
      <c r="CO1625" s="4"/>
      <c r="CP1625" s="4"/>
      <c r="CQ1625" s="4"/>
      <c r="CR1625" s="4"/>
      <c r="CS1625" s="4"/>
      <c r="CT1625" s="4"/>
      <c r="CU1625" s="4"/>
      <c r="CV1625" s="4"/>
      <c r="CW1625" s="4"/>
      <c r="CX1625" s="4"/>
      <c r="CY1625" s="4"/>
      <c r="CZ1625" s="4"/>
      <c r="DA1625" s="4"/>
      <c r="DB1625" s="4"/>
      <c r="DC1625" s="4"/>
      <c r="DD1625" s="4"/>
      <c r="DE1625" s="4"/>
      <c r="DF1625" s="4"/>
      <c r="DG1625" s="4"/>
      <c r="DH1625" s="4"/>
      <c r="DI1625" s="4"/>
      <c r="DJ1625" s="4"/>
      <c r="DK1625" s="4"/>
      <c r="DL1625" s="4"/>
      <c r="DM1625" s="4"/>
      <c r="DN1625" s="4"/>
      <c r="DO1625" s="4"/>
      <c r="DP1625" s="4"/>
      <c r="DQ1625" s="4"/>
      <c r="DR1625" s="4"/>
      <c r="DS1625" s="4"/>
    </row>
    <row r="1626">
      <c r="A1626" s="9">
        <f>IFERROR(__xludf.DUMMYFUNCTION("""COMPUTED_VALUE"""),45964.0)</f>
        <v>45964</v>
      </c>
      <c r="B1626" s="6" t="str">
        <f>IFERROR(__xludf.DUMMYFUNCTION("""COMPUTED_VALUE"""),"Rent &amp; Building Expenses")</f>
        <v>Rent &amp; Building Expenses</v>
      </c>
      <c r="C1626" s="7">
        <f>IFERROR(__xludf.DUMMYFUNCTION("""COMPUTED_VALUE"""),470000.0)</f>
        <v>470000</v>
      </c>
      <c r="D1626" s="6" t="str">
        <f>IFERROR(__xludf.DUMMYFUNCTION("""COMPUTED_VALUE"""),"Rent &amp; Utilities")</f>
        <v>Rent &amp; Utilities</v>
      </c>
      <c r="E1626" s="6" t="str">
        <f>IFERROR(__xludf.DUMMYFUNCTION("""COMPUTED_VALUE"""),"Virtual Wallet")</f>
        <v>Virtual Wallet</v>
      </c>
      <c r="F1626" s="6" t="s">
        <v>13</v>
      </c>
      <c r="G1626" s="8" t="str">
        <f t="shared" si="1"/>
        <v>202511</v>
      </c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  <c r="AA1626" s="4"/>
      <c r="AB1626" s="4"/>
      <c r="AC1626" s="4"/>
      <c r="AD1626" s="4"/>
      <c r="AE1626" s="4"/>
      <c r="AF1626" s="4"/>
      <c r="AG1626" s="4"/>
      <c r="AH1626" s="4"/>
      <c r="AI1626" s="4"/>
      <c r="AJ1626" s="4"/>
      <c r="AK1626" s="4"/>
      <c r="AL1626" s="4"/>
      <c r="AM1626" s="4"/>
      <c r="AN1626" s="4"/>
      <c r="AO1626" s="4"/>
      <c r="AP1626" s="4"/>
      <c r="AQ1626" s="4"/>
      <c r="AR1626" s="4"/>
      <c r="AS1626" s="4"/>
      <c r="AT1626" s="4"/>
      <c r="AU1626" s="4"/>
      <c r="AV1626" s="4"/>
      <c r="AW1626" s="4"/>
      <c r="AX1626" s="4"/>
      <c r="AY1626" s="4"/>
      <c r="AZ1626" s="4"/>
      <c r="BA1626" s="4"/>
      <c r="BB1626" s="4"/>
      <c r="BC1626" s="4"/>
      <c r="BD1626" s="4"/>
      <c r="BE1626" s="4"/>
      <c r="BF1626" s="4"/>
      <c r="BG1626" s="4"/>
      <c r="BH1626" s="4"/>
      <c r="BI1626" s="4"/>
      <c r="BJ1626" s="4"/>
      <c r="BK1626" s="4"/>
      <c r="BL1626" s="4"/>
      <c r="BM1626" s="4"/>
      <c r="BN1626" s="4"/>
      <c r="BO1626" s="4"/>
      <c r="BP1626" s="4"/>
      <c r="BQ1626" s="4"/>
      <c r="BR1626" s="4"/>
      <c r="BS1626" s="4"/>
      <c r="BT1626" s="4"/>
      <c r="BU1626" s="4"/>
      <c r="BV1626" s="4"/>
      <c r="BW1626" s="4"/>
      <c r="BX1626" s="4"/>
      <c r="BY1626" s="4"/>
      <c r="BZ1626" s="4"/>
      <c r="CA1626" s="4"/>
      <c r="CB1626" s="4"/>
      <c r="CC1626" s="4"/>
      <c r="CD1626" s="4"/>
      <c r="CE1626" s="4"/>
      <c r="CF1626" s="4"/>
      <c r="CG1626" s="4"/>
      <c r="CH1626" s="4"/>
      <c r="CI1626" s="4"/>
      <c r="CJ1626" s="4"/>
      <c r="CK1626" s="4"/>
      <c r="CL1626" s="4"/>
      <c r="CM1626" s="4"/>
      <c r="CN1626" s="4"/>
      <c r="CO1626" s="4"/>
      <c r="CP1626" s="4"/>
      <c r="CQ1626" s="4"/>
      <c r="CR1626" s="4"/>
      <c r="CS1626" s="4"/>
      <c r="CT1626" s="4"/>
      <c r="CU1626" s="4"/>
      <c r="CV1626" s="4"/>
      <c r="CW1626" s="4"/>
      <c r="CX1626" s="4"/>
      <c r="CY1626" s="4"/>
      <c r="CZ1626" s="4"/>
      <c r="DA1626" s="4"/>
      <c r="DB1626" s="4"/>
      <c r="DC1626" s="4"/>
      <c r="DD1626" s="4"/>
      <c r="DE1626" s="4"/>
      <c r="DF1626" s="4"/>
      <c r="DG1626" s="4"/>
      <c r="DH1626" s="4"/>
      <c r="DI1626" s="4"/>
      <c r="DJ1626" s="4"/>
      <c r="DK1626" s="4"/>
      <c r="DL1626" s="4"/>
      <c r="DM1626" s="4"/>
      <c r="DN1626" s="4"/>
      <c r="DO1626" s="4"/>
      <c r="DP1626" s="4"/>
      <c r="DQ1626" s="4"/>
      <c r="DR1626" s="4"/>
      <c r="DS1626" s="4"/>
    </row>
    <row r="1627">
      <c r="A1627" s="9">
        <f>IFERROR(__xludf.DUMMYFUNCTION("""COMPUTED_VALUE"""),45965.0)</f>
        <v>45965</v>
      </c>
      <c r="B1627" s="6" t="str">
        <f>IFERROR(__xludf.DUMMYFUNCTION("""COMPUTED_VALUE"""),"Clothing")</f>
        <v>Clothing</v>
      </c>
      <c r="C1627" s="7">
        <f>IFERROR(__xludf.DUMMYFUNCTION("""COMPUTED_VALUE"""),16000.0)</f>
        <v>16000</v>
      </c>
      <c r="D1627" s="6" t="str">
        <f>IFERROR(__xludf.DUMMYFUNCTION("""COMPUTED_VALUE"""),"Clothing")</f>
        <v>Clothing</v>
      </c>
      <c r="E1627" s="6" t="str">
        <f>IFERROR(__xludf.DUMMYFUNCTION("""COMPUTED_VALUE"""),"Credit Card")</f>
        <v>Credit Card</v>
      </c>
      <c r="F1627" s="6" t="s">
        <v>10</v>
      </c>
      <c r="G1627" s="8" t="str">
        <f t="shared" si="1"/>
        <v>202511</v>
      </c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  <c r="AA1627" s="4"/>
      <c r="AB1627" s="4"/>
      <c r="AC1627" s="4"/>
      <c r="AD1627" s="4"/>
      <c r="AE1627" s="4"/>
      <c r="AF1627" s="4"/>
      <c r="AG1627" s="4"/>
      <c r="AH1627" s="4"/>
      <c r="AI1627" s="4"/>
      <c r="AJ1627" s="4"/>
      <c r="AK1627" s="4"/>
      <c r="AL1627" s="4"/>
      <c r="AM1627" s="4"/>
      <c r="AN1627" s="4"/>
      <c r="AO1627" s="4"/>
      <c r="AP1627" s="4"/>
      <c r="AQ1627" s="4"/>
      <c r="AR1627" s="4"/>
      <c r="AS1627" s="4"/>
      <c r="AT1627" s="4"/>
      <c r="AU1627" s="4"/>
      <c r="AV1627" s="4"/>
      <c r="AW1627" s="4"/>
      <c r="AX1627" s="4"/>
      <c r="AY1627" s="4"/>
      <c r="AZ1627" s="4"/>
      <c r="BA1627" s="4"/>
      <c r="BB1627" s="4"/>
      <c r="BC1627" s="4"/>
      <c r="BD1627" s="4"/>
      <c r="BE1627" s="4"/>
      <c r="BF1627" s="4"/>
      <c r="BG1627" s="4"/>
      <c r="BH1627" s="4"/>
      <c r="BI1627" s="4"/>
      <c r="BJ1627" s="4"/>
      <c r="BK1627" s="4"/>
      <c r="BL1627" s="4"/>
      <c r="BM1627" s="4"/>
      <c r="BN1627" s="4"/>
      <c r="BO1627" s="4"/>
      <c r="BP1627" s="4"/>
      <c r="BQ1627" s="4"/>
      <c r="BR1627" s="4"/>
      <c r="BS1627" s="4"/>
      <c r="BT1627" s="4"/>
      <c r="BU1627" s="4"/>
      <c r="BV1627" s="4"/>
      <c r="BW1627" s="4"/>
      <c r="BX1627" s="4"/>
      <c r="BY1627" s="4"/>
      <c r="BZ1627" s="4"/>
      <c r="CA1627" s="4"/>
      <c r="CB1627" s="4"/>
      <c r="CC1627" s="4"/>
      <c r="CD1627" s="4"/>
      <c r="CE1627" s="4"/>
      <c r="CF1627" s="4"/>
      <c r="CG1627" s="4"/>
      <c r="CH1627" s="4"/>
      <c r="CI1627" s="4"/>
      <c r="CJ1627" s="4"/>
      <c r="CK1627" s="4"/>
      <c r="CL1627" s="4"/>
      <c r="CM1627" s="4"/>
      <c r="CN1627" s="4"/>
      <c r="CO1627" s="4"/>
      <c r="CP1627" s="4"/>
      <c r="CQ1627" s="4"/>
      <c r="CR1627" s="4"/>
      <c r="CS1627" s="4"/>
      <c r="CT1627" s="4"/>
      <c r="CU1627" s="4"/>
      <c r="CV1627" s="4"/>
      <c r="CW1627" s="4"/>
      <c r="CX1627" s="4"/>
      <c r="CY1627" s="4"/>
      <c r="CZ1627" s="4"/>
      <c r="DA1627" s="4"/>
      <c r="DB1627" s="4"/>
      <c r="DC1627" s="4"/>
      <c r="DD1627" s="4"/>
      <c r="DE1627" s="4"/>
      <c r="DF1627" s="4"/>
      <c r="DG1627" s="4"/>
      <c r="DH1627" s="4"/>
      <c r="DI1627" s="4"/>
      <c r="DJ1627" s="4"/>
      <c r="DK1627" s="4"/>
      <c r="DL1627" s="4"/>
      <c r="DM1627" s="4"/>
      <c r="DN1627" s="4"/>
      <c r="DO1627" s="4"/>
      <c r="DP1627" s="4"/>
      <c r="DQ1627" s="4"/>
      <c r="DR1627" s="4"/>
      <c r="DS1627" s="4"/>
    </row>
    <row r="1628">
      <c r="A1628" s="9">
        <f>IFERROR(__xludf.DUMMYFUNCTION("""COMPUTED_VALUE"""),45965.0)</f>
        <v>45965</v>
      </c>
      <c r="B1628" s="6" t="str">
        <f>IFERROR(__xludf.DUMMYFUNCTION("""COMPUTED_VALUE"""),"Groceries")</f>
        <v>Groceries</v>
      </c>
      <c r="C1628" s="7">
        <f>IFERROR(__xludf.DUMMYFUNCTION("""COMPUTED_VALUE"""),1350.0)</f>
        <v>1350</v>
      </c>
      <c r="D1628" s="6" t="str">
        <f>IFERROR(__xludf.DUMMYFUNCTION("""COMPUTED_VALUE"""),"Groceries")</f>
        <v>Groceries</v>
      </c>
      <c r="E1628" s="6" t="str">
        <f>IFERROR(__xludf.DUMMYFUNCTION("""COMPUTED_VALUE"""),"Split Payment")</f>
        <v>Split Payment</v>
      </c>
      <c r="F1628" s="6" t="s">
        <v>7</v>
      </c>
      <c r="G1628" s="8" t="str">
        <f t="shared" si="1"/>
        <v>202511</v>
      </c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  <c r="AA1628" s="4"/>
      <c r="AB1628" s="4"/>
      <c r="AC1628" s="4"/>
      <c r="AD1628" s="4"/>
      <c r="AE1628" s="4"/>
      <c r="AF1628" s="4"/>
      <c r="AG1628" s="4"/>
      <c r="AH1628" s="4"/>
      <c r="AI1628" s="4"/>
      <c r="AJ1628" s="4"/>
      <c r="AK1628" s="4"/>
      <c r="AL1628" s="4"/>
      <c r="AM1628" s="4"/>
      <c r="AN1628" s="4"/>
      <c r="AO1628" s="4"/>
      <c r="AP1628" s="4"/>
      <c r="AQ1628" s="4"/>
      <c r="AR1628" s="4"/>
      <c r="AS1628" s="4"/>
      <c r="AT1628" s="4"/>
      <c r="AU1628" s="4"/>
      <c r="AV1628" s="4"/>
      <c r="AW1628" s="4"/>
      <c r="AX1628" s="4"/>
      <c r="AY1628" s="4"/>
      <c r="AZ1628" s="4"/>
      <c r="BA1628" s="4"/>
      <c r="BB1628" s="4"/>
      <c r="BC1628" s="4"/>
      <c r="BD1628" s="4"/>
      <c r="BE1628" s="4"/>
      <c r="BF1628" s="4"/>
      <c r="BG1628" s="4"/>
      <c r="BH1628" s="4"/>
      <c r="BI1628" s="4"/>
      <c r="BJ1628" s="4"/>
      <c r="BK1628" s="4"/>
      <c r="BL1628" s="4"/>
      <c r="BM1628" s="4"/>
      <c r="BN1628" s="4"/>
      <c r="BO1628" s="4"/>
      <c r="BP1628" s="4"/>
      <c r="BQ1628" s="4"/>
      <c r="BR1628" s="4"/>
      <c r="BS1628" s="4"/>
      <c r="BT1628" s="4"/>
      <c r="BU1628" s="4"/>
      <c r="BV1628" s="4"/>
      <c r="BW1628" s="4"/>
      <c r="BX1628" s="4"/>
      <c r="BY1628" s="4"/>
      <c r="BZ1628" s="4"/>
      <c r="CA1628" s="4"/>
      <c r="CB1628" s="4"/>
      <c r="CC1628" s="4"/>
      <c r="CD1628" s="4"/>
      <c r="CE1628" s="4"/>
      <c r="CF1628" s="4"/>
      <c r="CG1628" s="4"/>
      <c r="CH1628" s="4"/>
      <c r="CI1628" s="4"/>
      <c r="CJ1628" s="4"/>
      <c r="CK1628" s="4"/>
      <c r="CL1628" s="4"/>
      <c r="CM1628" s="4"/>
      <c r="CN1628" s="4"/>
      <c r="CO1628" s="4"/>
      <c r="CP1628" s="4"/>
      <c r="CQ1628" s="4"/>
      <c r="CR1628" s="4"/>
      <c r="CS1628" s="4"/>
      <c r="CT1628" s="4"/>
      <c r="CU1628" s="4"/>
      <c r="CV1628" s="4"/>
      <c r="CW1628" s="4"/>
      <c r="CX1628" s="4"/>
      <c r="CY1628" s="4"/>
      <c r="CZ1628" s="4"/>
      <c r="DA1628" s="4"/>
      <c r="DB1628" s="4"/>
      <c r="DC1628" s="4"/>
      <c r="DD1628" s="4"/>
      <c r="DE1628" s="4"/>
      <c r="DF1628" s="4"/>
      <c r="DG1628" s="4"/>
      <c r="DH1628" s="4"/>
      <c r="DI1628" s="4"/>
      <c r="DJ1628" s="4"/>
      <c r="DK1628" s="4"/>
      <c r="DL1628" s="4"/>
      <c r="DM1628" s="4"/>
      <c r="DN1628" s="4"/>
      <c r="DO1628" s="4"/>
      <c r="DP1628" s="4"/>
      <c r="DQ1628" s="4"/>
      <c r="DR1628" s="4"/>
      <c r="DS1628" s="4"/>
    </row>
    <row r="1629">
      <c r="A1629" s="9">
        <f>IFERROR(__xludf.DUMMYFUNCTION("""COMPUTED_VALUE"""),45965.0)</f>
        <v>45965</v>
      </c>
      <c r="B1629" s="6" t="str">
        <f>IFERROR(__xludf.DUMMYFUNCTION("""COMPUTED_VALUE"""),"Groceries")</f>
        <v>Groceries</v>
      </c>
      <c r="C1629" s="7">
        <f>IFERROR(__xludf.DUMMYFUNCTION("""COMPUTED_VALUE"""),3000.0)</f>
        <v>3000</v>
      </c>
      <c r="D1629" s="6" t="str">
        <f>IFERROR(__xludf.DUMMYFUNCTION("""COMPUTED_VALUE"""),"Restaurant / Café")</f>
        <v>Restaurant / Café</v>
      </c>
      <c r="E1629" s="6" t="str">
        <f>IFERROR(__xludf.DUMMYFUNCTION("""COMPUTED_VALUE"""),"Virtual Wallet")</f>
        <v>Virtual Wallet</v>
      </c>
      <c r="F1629" s="6" t="s">
        <v>14</v>
      </c>
      <c r="G1629" s="8" t="str">
        <f t="shared" si="1"/>
        <v>202511</v>
      </c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  <c r="AA1629" s="4"/>
      <c r="AB1629" s="4"/>
      <c r="AC1629" s="4"/>
      <c r="AD1629" s="4"/>
      <c r="AE1629" s="4"/>
      <c r="AF1629" s="4"/>
      <c r="AG1629" s="4"/>
      <c r="AH1629" s="4"/>
      <c r="AI1629" s="4"/>
      <c r="AJ1629" s="4"/>
      <c r="AK1629" s="4"/>
      <c r="AL1629" s="4"/>
      <c r="AM1629" s="4"/>
      <c r="AN1629" s="4"/>
      <c r="AO1629" s="4"/>
      <c r="AP1629" s="4"/>
      <c r="AQ1629" s="4"/>
      <c r="AR1629" s="4"/>
      <c r="AS1629" s="4"/>
      <c r="AT1629" s="4"/>
      <c r="AU1629" s="4"/>
      <c r="AV1629" s="4"/>
      <c r="AW1629" s="4"/>
      <c r="AX1629" s="4"/>
      <c r="AY1629" s="4"/>
      <c r="AZ1629" s="4"/>
      <c r="BA1629" s="4"/>
      <c r="BB1629" s="4"/>
      <c r="BC1629" s="4"/>
      <c r="BD1629" s="4"/>
      <c r="BE1629" s="4"/>
      <c r="BF1629" s="4"/>
      <c r="BG1629" s="4"/>
      <c r="BH1629" s="4"/>
      <c r="BI1629" s="4"/>
      <c r="BJ1629" s="4"/>
      <c r="BK1629" s="4"/>
      <c r="BL1629" s="4"/>
      <c r="BM1629" s="4"/>
      <c r="BN1629" s="4"/>
      <c r="BO1629" s="4"/>
      <c r="BP1629" s="4"/>
      <c r="BQ1629" s="4"/>
      <c r="BR1629" s="4"/>
      <c r="BS1629" s="4"/>
      <c r="BT1629" s="4"/>
      <c r="BU1629" s="4"/>
      <c r="BV1629" s="4"/>
      <c r="BW1629" s="4"/>
      <c r="BX1629" s="4"/>
      <c r="BY1629" s="4"/>
      <c r="BZ1629" s="4"/>
      <c r="CA1629" s="4"/>
      <c r="CB1629" s="4"/>
      <c r="CC1629" s="4"/>
      <c r="CD1629" s="4"/>
      <c r="CE1629" s="4"/>
      <c r="CF1629" s="4"/>
      <c r="CG1629" s="4"/>
      <c r="CH1629" s="4"/>
      <c r="CI1629" s="4"/>
      <c r="CJ1629" s="4"/>
      <c r="CK1629" s="4"/>
      <c r="CL1629" s="4"/>
      <c r="CM1629" s="4"/>
      <c r="CN1629" s="4"/>
      <c r="CO1629" s="4"/>
      <c r="CP1629" s="4"/>
      <c r="CQ1629" s="4"/>
      <c r="CR1629" s="4"/>
      <c r="CS1629" s="4"/>
      <c r="CT1629" s="4"/>
      <c r="CU1629" s="4"/>
      <c r="CV1629" s="4"/>
      <c r="CW1629" s="4"/>
      <c r="CX1629" s="4"/>
      <c r="CY1629" s="4"/>
      <c r="CZ1629" s="4"/>
      <c r="DA1629" s="4"/>
      <c r="DB1629" s="4"/>
      <c r="DC1629" s="4"/>
      <c r="DD1629" s="4"/>
      <c r="DE1629" s="4"/>
      <c r="DF1629" s="4"/>
      <c r="DG1629" s="4"/>
      <c r="DH1629" s="4"/>
      <c r="DI1629" s="4"/>
      <c r="DJ1629" s="4"/>
      <c r="DK1629" s="4"/>
      <c r="DL1629" s="4"/>
      <c r="DM1629" s="4"/>
      <c r="DN1629" s="4"/>
      <c r="DO1629" s="4"/>
      <c r="DP1629" s="4"/>
      <c r="DQ1629" s="4"/>
      <c r="DR1629" s="4"/>
      <c r="DS1629" s="4"/>
    </row>
    <row r="1630">
      <c r="A1630" s="9">
        <f>IFERROR(__xludf.DUMMYFUNCTION("""COMPUTED_VALUE"""),45965.0)</f>
        <v>45965</v>
      </c>
      <c r="B1630" s="6" t="str">
        <f>IFERROR(__xludf.DUMMYFUNCTION("""COMPUTED_VALUE"""),"Personal Care")</f>
        <v>Personal Care</v>
      </c>
      <c r="C1630" s="7">
        <f>IFERROR(__xludf.DUMMYFUNCTION("""COMPUTED_VALUE"""),17500.0)</f>
        <v>17500</v>
      </c>
      <c r="D1630" s="6" t="str">
        <f>IFERROR(__xludf.DUMMYFUNCTION("""COMPUTED_VALUE"""),"Personal Care")</f>
        <v>Personal Care</v>
      </c>
      <c r="E1630" s="6" t="str">
        <f>IFERROR(__xludf.DUMMYFUNCTION("""COMPUTED_VALUE"""),"Virtual Wallet")</f>
        <v>Virtual Wallet</v>
      </c>
      <c r="F1630" s="6" t="s">
        <v>16</v>
      </c>
      <c r="G1630" s="8" t="str">
        <f t="shared" si="1"/>
        <v>202511</v>
      </c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  <c r="AA1630" s="4"/>
      <c r="AB1630" s="4"/>
      <c r="AC1630" s="4"/>
      <c r="AD1630" s="4"/>
      <c r="AE1630" s="4"/>
      <c r="AF1630" s="4"/>
      <c r="AG1630" s="4"/>
      <c r="AH1630" s="4"/>
      <c r="AI1630" s="4"/>
      <c r="AJ1630" s="4"/>
      <c r="AK1630" s="4"/>
      <c r="AL1630" s="4"/>
      <c r="AM1630" s="4"/>
      <c r="AN1630" s="4"/>
      <c r="AO1630" s="4"/>
      <c r="AP1630" s="4"/>
      <c r="AQ1630" s="4"/>
      <c r="AR1630" s="4"/>
      <c r="AS1630" s="4"/>
      <c r="AT1630" s="4"/>
      <c r="AU1630" s="4"/>
      <c r="AV1630" s="4"/>
      <c r="AW1630" s="4"/>
      <c r="AX1630" s="4"/>
      <c r="AY1630" s="4"/>
      <c r="AZ1630" s="4"/>
      <c r="BA1630" s="4"/>
      <c r="BB1630" s="4"/>
      <c r="BC1630" s="4"/>
      <c r="BD1630" s="4"/>
      <c r="BE1630" s="4"/>
      <c r="BF1630" s="4"/>
      <c r="BG1630" s="4"/>
      <c r="BH1630" s="4"/>
      <c r="BI1630" s="4"/>
      <c r="BJ1630" s="4"/>
      <c r="BK1630" s="4"/>
      <c r="BL1630" s="4"/>
      <c r="BM1630" s="4"/>
      <c r="BN1630" s="4"/>
      <c r="BO1630" s="4"/>
      <c r="BP1630" s="4"/>
      <c r="BQ1630" s="4"/>
      <c r="BR1630" s="4"/>
      <c r="BS1630" s="4"/>
      <c r="BT1630" s="4"/>
      <c r="BU1630" s="4"/>
      <c r="BV1630" s="4"/>
      <c r="BW1630" s="4"/>
      <c r="BX1630" s="4"/>
      <c r="BY1630" s="4"/>
      <c r="BZ1630" s="4"/>
      <c r="CA1630" s="4"/>
      <c r="CB1630" s="4"/>
      <c r="CC1630" s="4"/>
      <c r="CD1630" s="4"/>
      <c r="CE1630" s="4"/>
      <c r="CF1630" s="4"/>
      <c r="CG1630" s="4"/>
      <c r="CH1630" s="4"/>
      <c r="CI1630" s="4"/>
      <c r="CJ1630" s="4"/>
      <c r="CK1630" s="4"/>
      <c r="CL1630" s="4"/>
      <c r="CM1630" s="4"/>
      <c r="CN1630" s="4"/>
      <c r="CO1630" s="4"/>
      <c r="CP1630" s="4"/>
      <c r="CQ1630" s="4"/>
      <c r="CR1630" s="4"/>
      <c r="CS1630" s="4"/>
      <c r="CT1630" s="4"/>
      <c r="CU1630" s="4"/>
      <c r="CV1630" s="4"/>
      <c r="CW1630" s="4"/>
      <c r="CX1630" s="4"/>
      <c r="CY1630" s="4"/>
      <c r="CZ1630" s="4"/>
      <c r="DA1630" s="4"/>
      <c r="DB1630" s="4"/>
      <c r="DC1630" s="4"/>
      <c r="DD1630" s="4"/>
      <c r="DE1630" s="4"/>
      <c r="DF1630" s="4"/>
      <c r="DG1630" s="4"/>
      <c r="DH1630" s="4"/>
      <c r="DI1630" s="4"/>
      <c r="DJ1630" s="4"/>
      <c r="DK1630" s="4"/>
      <c r="DL1630" s="4"/>
      <c r="DM1630" s="4"/>
      <c r="DN1630" s="4"/>
      <c r="DO1630" s="4"/>
      <c r="DP1630" s="4"/>
      <c r="DQ1630" s="4"/>
      <c r="DR1630" s="4"/>
      <c r="DS1630" s="4"/>
    </row>
    <row r="1631">
      <c r="A1631" s="9">
        <f>IFERROR(__xludf.DUMMYFUNCTION("""COMPUTED_VALUE"""),45965.0)</f>
        <v>45965</v>
      </c>
      <c r="B1631" s="6" t="str">
        <f>IFERROR(__xludf.DUMMYFUNCTION("""COMPUTED_VALUE"""),"Pets")</f>
        <v>Pets</v>
      </c>
      <c r="C1631" s="7">
        <f>IFERROR(__xludf.DUMMYFUNCTION("""COMPUTED_VALUE"""),12000.0)</f>
        <v>12000</v>
      </c>
      <c r="D1631" s="6" t="str">
        <f>IFERROR(__xludf.DUMMYFUNCTION("""COMPUTED_VALUE"""),"Pets")</f>
        <v>Pets</v>
      </c>
      <c r="E1631" s="6" t="str">
        <f>IFERROR(__xludf.DUMMYFUNCTION("""COMPUTED_VALUE"""),"Split Payment")</f>
        <v>Split Payment</v>
      </c>
      <c r="F1631" s="6" t="s">
        <v>7</v>
      </c>
      <c r="G1631" s="8" t="str">
        <f t="shared" si="1"/>
        <v>202511</v>
      </c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  <c r="AA1631" s="4"/>
      <c r="AB1631" s="4"/>
      <c r="AC1631" s="4"/>
      <c r="AD1631" s="4"/>
      <c r="AE1631" s="4"/>
      <c r="AF1631" s="4"/>
      <c r="AG1631" s="4"/>
      <c r="AH1631" s="4"/>
      <c r="AI1631" s="4"/>
      <c r="AJ1631" s="4"/>
      <c r="AK1631" s="4"/>
      <c r="AL1631" s="4"/>
      <c r="AM1631" s="4"/>
      <c r="AN1631" s="4"/>
      <c r="AO1631" s="4"/>
      <c r="AP1631" s="4"/>
      <c r="AQ1631" s="4"/>
      <c r="AR1631" s="4"/>
      <c r="AS1631" s="4"/>
      <c r="AT1631" s="4"/>
      <c r="AU1631" s="4"/>
      <c r="AV1631" s="4"/>
      <c r="AW1631" s="4"/>
      <c r="AX1631" s="4"/>
      <c r="AY1631" s="4"/>
      <c r="AZ1631" s="4"/>
      <c r="BA1631" s="4"/>
      <c r="BB1631" s="4"/>
      <c r="BC1631" s="4"/>
      <c r="BD1631" s="4"/>
      <c r="BE1631" s="4"/>
      <c r="BF1631" s="4"/>
      <c r="BG1631" s="4"/>
      <c r="BH1631" s="4"/>
      <c r="BI1631" s="4"/>
      <c r="BJ1631" s="4"/>
      <c r="BK1631" s="4"/>
      <c r="BL1631" s="4"/>
      <c r="BM1631" s="4"/>
      <c r="BN1631" s="4"/>
      <c r="BO1631" s="4"/>
      <c r="BP1631" s="4"/>
      <c r="BQ1631" s="4"/>
      <c r="BR1631" s="4"/>
      <c r="BS1631" s="4"/>
      <c r="BT1631" s="4"/>
      <c r="BU1631" s="4"/>
      <c r="BV1631" s="4"/>
      <c r="BW1631" s="4"/>
      <c r="BX1631" s="4"/>
      <c r="BY1631" s="4"/>
      <c r="BZ1631" s="4"/>
      <c r="CA1631" s="4"/>
      <c r="CB1631" s="4"/>
      <c r="CC1631" s="4"/>
      <c r="CD1631" s="4"/>
      <c r="CE1631" s="4"/>
      <c r="CF1631" s="4"/>
      <c r="CG1631" s="4"/>
      <c r="CH1631" s="4"/>
      <c r="CI1631" s="4"/>
      <c r="CJ1631" s="4"/>
      <c r="CK1631" s="4"/>
      <c r="CL1631" s="4"/>
      <c r="CM1631" s="4"/>
      <c r="CN1631" s="4"/>
      <c r="CO1631" s="4"/>
      <c r="CP1631" s="4"/>
      <c r="CQ1631" s="4"/>
      <c r="CR1631" s="4"/>
      <c r="CS1631" s="4"/>
      <c r="CT1631" s="4"/>
      <c r="CU1631" s="4"/>
      <c r="CV1631" s="4"/>
      <c r="CW1631" s="4"/>
      <c r="CX1631" s="4"/>
      <c r="CY1631" s="4"/>
      <c r="CZ1631" s="4"/>
      <c r="DA1631" s="4"/>
      <c r="DB1631" s="4"/>
      <c r="DC1631" s="4"/>
      <c r="DD1631" s="4"/>
      <c r="DE1631" s="4"/>
      <c r="DF1631" s="4"/>
      <c r="DG1631" s="4"/>
      <c r="DH1631" s="4"/>
      <c r="DI1631" s="4"/>
      <c r="DJ1631" s="4"/>
      <c r="DK1631" s="4"/>
      <c r="DL1631" s="4"/>
      <c r="DM1631" s="4"/>
      <c r="DN1631" s="4"/>
      <c r="DO1631" s="4"/>
      <c r="DP1631" s="4"/>
      <c r="DQ1631" s="4"/>
      <c r="DR1631" s="4"/>
      <c r="DS1631" s="4"/>
    </row>
    <row r="1632">
      <c r="A1632" s="9">
        <f>IFERROR(__xludf.DUMMYFUNCTION("""COMPUTED_VALUE"""),45965.0)</f>
        <v>45965</v>
      </c>
      <c r="B1632" s="6" t="str">
        <f>IFERROR(__xludf.DUMMYFUNCTION("""COMPUTED_VALUE"""),"Pets")</f>
        <v>Pets</v>
      </c>
      <c r="C1632" s="7">
        <f>IFERROR(__xludf.DUMMYFUNCTION("""COMPUTED_VALUE"""),3400.0)</f>
        <v>3400</v>
      </c>
      <c r="D1632" s="6" t="str">
        <f>IFERROR(__xludf.DUMMYFUNCTION("""COMPUTED_VALUE"""),"Pets")</f>
        <v>Pets</v>
      </c>
      <c r="E1632" s="6" t="str">
        <f>IFERROR(__xludf.DUMMYFUNCTION("""COMPUTED_VALUE"""),"Virtual Wallet")</f>
        <v>Virtual Wallet</v>
      </c>
      <c r="F1632" s="6" t="s">
        <v>7</v>
      </c>
      <c r="G1632" s="8" t="str">
        <f t="shared" si="1"/>
        <v>202511</v>
      </c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  <c r="AA1632" s="4"/>
      <c r="AB1632" s="4"/>
      <c r="AC1632" s="4"/>
      <c r="AD1632" s="4"/>
      <c r="AE1632" s="4"/>
      <c r="AF1632" s="4"/>
      <c r="AG1632" s="4"/>
      <c r="AH1632" s="4"/>
      <c r="AI1632" s="4"/>
      <c r="AJ1632" s="4"/>
      <c r="AK1632" s="4"/>
      <c r="AL1632" s="4"/>
      <c r="AM1632" s="4"/>
      <c r="AN1632" s="4"/>
      <c r="AO1632" s="4"/>
      <c r="AP1632" s="4"/>
      <c r="AQ1632" s="4"/>
      <c r="AR1632" s="4"/>
      <c r="AS1632" s="4"/>
      <c r="AT1632" s="4"/>
      <c r="AU1632" s="4"/>
      <c r="AV1632" s="4"/>
      <c r="AW1632" s="4"/>
      <c r="AX1632" s="4"/>
      <c r="AY1632" s="4"/>
      <c r="AZ1632" s="4"/>
      <c r="BA1632" s="4"/>
      <c r="BB1632" s="4"/>
      <c r="BC1632" s="4"/>
      <c r="BD1632" s="4"/>
      <c r="BE1632" s="4"/>
      <c r="BF1632" s="4"/>
      <c r="BG1632" s="4"/>
      <c r="BH1632" s="4"/>
      <c r="BI1632" s="4"/>
      <c r="BJ1632" s="4"/>
      <c r="BK1632" s="4"/>
      <c r="BL1632" s="4"/>
      <c r="BM1632" s="4"/>
      <c r="BN1632" s="4"/>
      <c r="BO1632" s="4"/>
      <c r="BP1632" s="4"/>
      <c r="BQ1632" s="4"/>
      <c r="BR1632" s="4"/>
      <c r="BS1632" s="4"/>
      <c r="BT1632" s="4"/>
      <c r="BU1632" s="4"/>
      <c r="BV1632" s="4"/>
      <c r="BW1632" s="4"/>
      <c r="BX1632" s="4"/>
      <c r="BY1632" s="4"/>
      <c r="BZ1632" s="4"/>
      <c r="CA1632" s="4"/>
      <c r="CB1632" s="4"/>
      <c r="CC1632" s="4"/>
      <c r="CD1632" s="4"/>
      <c r="CE1632" s="4"/>
      <c r="CF1632" s="4"/>
      <c r="CG1632" s="4"/>
      <c r="CH1632" s="4"/>
      <c r="CI1632" s="4"/>
      <c r="CJ1632" s="4"/>
      <c r="CK1632" s="4"/>
      <c r="CL1632" s="4"/>
      <c r="CM1632" s="4"/>
      <c r="CN1632" s="4"/>
      <c r="CO1632" s="4"/>
      <c r="CP1632" s="4"/>
      <c r="CQ1632" s="4"/>
      <c r="CR1632" s="4"/>
      <c r="CS1632" s="4"/>
      <c r="CT1632" s="4"/>
      <c r="CU1632" s="4"/>
      <c r="CV1632" s="4"/>
      <c r="CW1632" s="4"/>
      <c r="CX1632" s="4"/>
      <c r="CY1632" s="4"/>
      <c r="CZ1632" s="4"/>
      <c r="DA1632" s="4"/>
      <c r="DB1632" s="4"/>
      <c r="DC1632" s="4"/>
      <c r="DD1632" s="4"/>
      <c r="DE1632" s="4"/>
      <c r="DF1632" s="4"/>
      <c r="DG1632" s="4"/>
      <c r="DH1632" s="4"/>
      <c r="DI1632" s="4"/>
      <c r="DJ1632" s="4"/>
      <c r="DK1632" s="4"/>
      <c r="DL1632" s="4"/>
      <c r="DM1632" s="4"/>
      <c r="DN1632" s="4"/>
      <c r="DO1632" s="4"/>
      <c r="DP1632" s="4"/>
      <c r="DQ1632" s="4"/>
      <c r="DR1632" s="4"/>
      <c r="DS1632" s="4"/>
    </row>
    <row r="1633">
      <c r="A1633" s="9">
        <f>IFERROR(__xludf.DUMMYFUNCTION("""COMPUTED_VALUE"""),45965.0)</f>
        <v>45965</v>
      </c>
      <c r="B1633" s="6" t="str">
        <f>IFERROR(__xludf.DUMMYFUNCTION("""COMPUTED_VALUE"""),"Pets")</f>
        <v>Pets</v>
      </c>
      <c r="C1633" s="7">
        <f>IFERROR(__xludf.DUMMYFUNCTION("""COMPUTED_VALUE"""),20000.0)</f>
        <v>20000</v>
      </c>
      <c r="D1633" s="6" t="str">
        <f>IFERROR(__xludf.DUMMYFUNCTION("""COMPUTED_VALUE"""),"Pets")</f>
        <v>Pets</v>
      </c>
      <c r="E1633" s="6" t="str">
        <f>IFERROR(__xludf.DUMMYFUNCTION("""COMPUTED_VALUE"""),"Virtual Wallet")</f>
        <v>Virtual Wallet</v>
      </c>
      <c r="F1633" s="6" t="s">
        <v>7</v>
      </c>
      <c r="G1633" s="8" t="str">
        <f t="shared" si="1"/>
        <v>202511</v>
      </c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  <c r="AA1633" s="4"/>
      <c r="AB1633" s="4"/>
      <c r="AC1633" s="4"/>
      <c r="AD1633" s="4"/>
      <c r="AE1633" s="4"/>
      <c r="AF1633" s="4"/>
      <c r="AG1633" s="4"/>
      <c r="AH1633" s="4"/>
      <c r="AI1633" s="4"/>
      <c r="AJ1633" s="4"/>
      <c r="AK1633" s="4"/>
      <c r="AL1633" s="4"/>
      <c r="AM1633" s="4"/>
      <c r="AN1633" s="4"/>
      <c r="AO1633" s="4"/>
      <c r="AP1633" s="4"/>
      <c r="AQ1633" s="4"/>
      <c r="AR1633" s="4"/>
      <c r="AS1633" s="4"/>
      <c r="AT1633" s="4"/>
      <c r="AU1633" s="4"/>
      <c r="AV1633" s="4"/>
      <c r="AW1633" s="4"/>
      <c r="AX1633" s="4"/>
      <c r="AY1633" s="4"/>
      <c r="AZ1633" s="4"/>
      <c r="BA1633" s="4"/>
      <c r="BB1633" s="4"/>
      <c r="BC1633" s="4"/>
      <c r="BD1633" s="4"/>
      <c r="BE1633" s="4"/>
      <c r="BF1633" s="4"/>
      <c r="BG1633" s="4"/>
      <c r="BH1633" s="4"/>
      <c r="BI1633" s="4"/>
      <c r="BJ1633" s="4"/>
      <c r="BK1633" s="4"/>
      <c r="BL1633" s="4"/>
      <c r="BM1633" s="4"/>
      <c r="BN1633" s="4"/>
      <c r="BO1633" s="4"/>
      <c r="BP1633" s="4"/>
      <c r="BQ1633" s="4"/>
      <c r="BR1633" s="4"/>
      <c r="BS1633" s="4"/>
      <c r="BT1633" s="4"/>
      <c r="BU1633" s="4"/>
      <c r="BV1633" s="4"/>
      <c r="BW1633" s="4"/>
      <c r="BX1633" s="4"/>
      <c r="BY1633" s="4"/>
      <c r="BZ1633" s="4"/>
      <c r="CA1633" s="4"/>
      <c r="CB1633" s="4"/>
      <c r="CC1633" s="4"/>
      <c r="CD1633" s="4"/>
      <c r="CE1633" s="4"/>
      <c r="CF1633" s="4"/>
      <c r="CG1633" s="4"/>
      <c r="CH1633" s="4"/>
      <c r="CI1633" s="4"/>
      <c r="CJ1633" s="4"/>
      <c r="CK1633" s="4"/>
      <c r="CL1633" s="4"/>
      <c r="CM1633" s="4"/>
      <c r="CN1633" s="4"/>
      <c r="CO1633" s="4"/>
      <c r="CP1633" s="4"/>
      <c r="CQ1633" s="4"/>
      <c r="CR1633" s="4"/>
      <c r="CS1633" s="4"/>
      <c r="CT1633" s="4"/>
      <c r="CU1633" s="4"/>
      <c r="CV1633" s="4"/>
      <c r="CW1633" s="4"/>
      <c r="CX1633" s="4"/>
      <c r="CY1633" s="4"/>
      <c r="CZ1633" s="4"/>
      <c r="DA1633" s="4"/>
      <c r="DB1633" s="4"/>
      <c r="DC1633" s="4"/>
      <c r="DD1633" s="4"/>
      <c r="DE1633" s="4"/>
      <c r="DF1633" s="4"/>
      <c r="DG1633" s="4"/>
      <c r="DH1633" s="4"/>
      <c r="DI1633" s="4"/>
      <c r="DJ1633" s="4"/>
      <c r="DK1633" s="4"/>
      <c r="DL1633" s="4"/>
      <c r="DM1633" s="4"/>
      <c r="DN1633" s="4"/>
      <c r="DO1633" s="4"/>
      <c r="DP1633" s="4"/>
      <c r="DQ1633" s="4"/>
      <c r="DR1633" s="4"/>
      <c r="DS1633" s="4"/>
    </row>
    <row r="1634">
      <c r="A1634" s="9">
        <f>IFERROR(__xludf.DUMMYFUNCTION("""COMPUTED_VALUE"""),45966.0)</f>
        <v>45966</v>
      </c>
      <c r="B1634" s="6" t="str">
        <f>IFERROR(__xludf.DUMMYFUNCTION("""COMPUTED_VALUE"""),"Home Goods")</f>
        <v>Home Goods</v>
      </c>
      <c r="C1634" s="7">
        <f>IFERROR(__xludf.DUMMYFUNCTION("""COMPUTED_VALUE"""),5500.0)</f>
        <v>5500</v>
      </c>
      <c r="D1634" s="6" t="str">
        <f>IFERROR(__xludf.DUMMYFUNCTION("""COMPUTED_VALUE"""),"Home Goods &amp; Utilities")</f>
        <v>Home Goods &amp; Utilities</v>
      </c>
      <c r="E1634" s="6" t="str">
        <f>IFERROR(__xludf.DUMMYFUNCTION("""COMPUTED_VALUE"""),"Split Payment")</f>
        <v>Split Payment</v>
      </c>
      <c r="F1634" s="6" t="s">
        <v>8</v>
      </c>
      <c r="G1634" s="8" t="str">
        <f t="shared" si="1"/>
        <v>202511</v>
      </c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  <c r="AA1634" s="4"/>
      <c r="AB1634" s="4"/>
      <c r="AC1634" s="4"/>
      <c r="AD1634" s="4"/>
      <c r="AE1634" s="4"/>
      <c r="AF1634" s="4"/>
      <c r="AG1634" s="4"/>
      <c r="AH1634" s="4"/>
      <c r="AI1634" s="4"/>
      <c r="AJ1634" s="4"/>
      <c r="AK1634" s="4"/>
      <c r="AL1634" s="4"/>
      <c r="AM1634" s="4"/>
      <c r="AN1634" s="4"/>
      <c r="AO1634" s="4"/>
      <c r="AP1634" s="4"/>
      <c r="AQ1634" s="4"/>
      <c r="AR1634" s="4"/>
      <c r="AS1634" s="4"/>
      <c r="AT1634" s="4"/>
      <c r="AU1634" s="4"/>
      <c r="AV1634" s="4"/>
      <c r="AW1634" s="4"/>
      <c r="AX1634" s="4"/>
      <c r="AY1634" s="4"/>
      <c r="AZ1634" s="4"/>
      <c r="BA1634" s="4"/>
      <c r="BB1634" s="4"/>
      <c r="BC1634" s="4"/>
      <c r="BD1634" s="4"/>
      <c r="BE1634" s="4"/>
      <c r="BF1634" s="4"/>
      <c r="BG1634" s="4"/>
      <c r="BH1634" s="4"/>
      <c r="BI1634" s="4"/>
      <c r="BJ1634" s="4"/>
      <c r="BK1634" s="4"/>
      <c r="BL1634" s="4"/>
      <c r="BM1634" s="4"/>
      <c r="BN1634" s="4"/>
      <c r="BO1634" s="4"/>
      <c r="BP1634" s="4"/>
      <c r="BQ1634" s="4"/>
      <c r="BR1634" s="4"/>
      <c r="BS1634" s="4"/>
      <c r="BT1634" s="4"/>
      <c r="BU1634" s="4"/>
      <c r="BV1634" s="4"/>
      <c r="BW1634" s="4"/>
      <c r="BX1634" s="4"/>
      <c r="BY1634" s="4"/>
      <c r="BZ1634" s="4"/>
      <c r="CA1634" s="4"/>
      <c r="CB1634" s="4"/>
      <c r="CC1634" s="4"/>
      <c r="CD1634" s="4"/>
      <c r="CE1634" s="4"/>
      <c r="CF1634" s="4"/>
      <c r="CG1634" s="4"/>
      <c r="CH1634" s="4"/>
      <c r="CI1634" s="4"/>
      <c r="CJ1634" s="4"/>
      <c r="CK1634" s="4"/>
      <c r="CL1634" s="4"/>
      <c r="CM1634" s="4"/>
      <c r="CN1634" s="4"/>
      <c r="CO1634" s="4"/>
      <c r="CP1634" s="4"/>
      <c r="CQ1634" s="4"/>
      <c r="CR1634" s="4"/>
      <c r="CS1634" s="4"/>
      <c r="CT1634" s="4"/>
      <c r="CU1634" s="4"/>
      <c r="CV1634" s="4"/>
      <c r="CW1634" s="4"/>
      <c r="CX1634" s="4"/>
      <c r="CY1634" s="4"/>
      <c r="CZ1634" s="4"/>
      <c r="DA1634" s="4"/>
      <c r="DB1634" s="4"/>
      <c r="DC1634" s="4"/>
      <c r="DD1634" s="4"/>
      <c r="DE1634" s="4"/>
      <c r="DF1634" s="4"/>
      <c r="DG1634" s="4"/>
      <c r="DH1634" s="4"/>
      <c r="DI1634" s="4"/>
      <c r="DJ1634" s="4"/>
      <c r="DK1634" s="4"/>
      <c r="DL1634" s="4"/>
      <c r="DM1634" s="4"/>
      <c r="DN1634" s="4"/>
      <c r="DO1634" s="4"/>
      <c r="DP1634" s="4"/>
      <c r="DQ1634" s="4"/>
      <c r="DR1634" s="4"/>
      <c r="DS1634" s="4"/>
    </row>
    <row r="1635">
      <c r="A1635" s="9">
        <f>IFERROR(__xludf.DUMMYFUNCTION("""COMPUTED_VALUE"""),45966.0)</f>
        <v>45966</v>
      </c>
      <c r="B1635" s="6" t="str">
        <f>IFERROR(__xludf.DUMMYFUNCTION("""COMPUTED_VALUE"""),"Delivery")</f>
        <v>Delivery</v>
      </c>
      <c r="C1635" s="7">
        <f>IFERROR(__xludf.DUMMYFUNCTION("""COMPUTED_VALUE"""),10040.0)</f>
        <v>10040</v>
      </c>
      <c r="D1635" s="6" t="str">
        <f>IFERROR(__xludf.DUMMYFUNCTION("""COMPUTED_VALUE"""),"Restaurant / Café")</f>
        <v>Restaurant / Café</v>
      </c>
      <c r="E1635" s="6" t="str">
        <f>IFERROR(__xludf.DUMMYFUNCTION("""COMPUTED_VALUE"""),"Virtual Wallet")</f>
        <v>Virtual Wallet</v>
      </c>
      <c r="F1635" s="6" t="s">
        <v>14</v>
      </c>
      <c r="G1635" s="8" t="str">
        <f t="shared" si="1"/>
        <v>202511</v>
      </c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  <c r="AA1635" s="4"/>
      <c r="AB1635" s="4"/>
      <c r="AC1635" s="4"/>
      <c r="AD1635" s="4"/>
      <c r="AE1635" s="4"/>
      <c r="AF1635" s="4"/>
      <c r="AG1635" s="4"/>
      <c r="AH1635" s="4"/>
      <c r="AI1635" s="4"/>
      <c r="AJ1635" s="4"/>
      <c r="AK1635" s="4"/>
      <c r="AL1635" s="4"/>
      <c r="AM1635" s="4"/>
      <c r="AN1635" s="4"/>
      <c r="AO1635" s="4"/>
      <c r="AP1635" s="4"/>
      <c r="AQ1635" s="4"/>
      <c r="AR1635" s="4"/>
      <c r="AS1635" s="4"/>
      <c r="AT1635" s="4"/>
      <c r="AU1635" s="4"/>
      <c r="AV1635" s="4"/>
      <c r="AW1635" s="4"/>
      <c r="AX1635" s="4"/>
      <c r="AY1635" s="4"/>
      <c r="AZ1635" s="4"/>
      <c r="BA1635" s="4"/>
      <c r="BB1635" s="4"/>
      <c r="BC1635" s="4"/>
      <c r="BD1635" s="4"/>
      <c r="BE1635" s="4"/>
      <c r="BF1635" s="4"/>
      <c r="BG1635" s="4"/>
      <c r="BH1635" s="4"/>
      <c r="BI1635" s="4"/>
      <c r="BJ1635" s="4"/>
      <c r="BK1635" s="4"/>
      <c r="BL1635" s="4"/>
      <c r="BM1635" s="4"/>
      <c r="BN1635" s="4"/>
      <c r="BO1635" s="4"/>
      <c r="BP1635" s="4"/>
      <c r="BQ1635" s="4"/>
      <c r="BR1635" s="4"/>
      <c r="BS1635" s="4"/>
      <c r="BT1635" s="4"/>
      <c r="BU1635" s="4"/>
      <c r="BV1635" s="4"/>
      <c r="BW1635" s="4"/>
      <c r="BX1635" s="4"/>
      <c r="BY1635" s="4"/>
      <c r="BZ1635" s="4"/>
      <c r="CA1635" s="4"/>
      <c r="CB1635" s="4"/>
      <c r="CC1635" s="4"/>
      <c r="CD1635" s="4"/>
      <c r="CE1635" s="4"/>
      <c r="CF1635" s="4"/>
      <c r="CG1635" s="4"/>
      <c r="CH1635" s="4"/>
      <c r="CI1635" s="4"/>
      <c r="CJ1635" s="4"/>
      <c r="CK1635" s="4"/>
      <c r="CL1635" s="4"/>
      <c r="CM1635" s="4"/>
      <c r="CN1635" s="4"/>
      <c r="CO1635" s="4"/>
      <c r="CP1635" s="4"/>
      <c r="CQ1635" s="4"/>
      <c r="CR1635" s="4"/>
      <c r="CS1635" s="4"/>
      <c r="CT1635" s="4"/>
      <c r="CU1635" s="4"/>
      <c r="CV1635" s="4"/>
      <c r="CW1635" s="4"/>
      <c r="CX1635" s="4"/>
      <c r="CY1635" s="4"/>
      <c r="CZ1635" s="4"/>
      <c r="DA1635" s="4"/>
      <c r="DB1635" s="4"/>
      <c r="DC1635" s="4"/>
      <c r="DD1635" s="4"/>
      <c r="DE1635" s="4"/>
      <c r="DF1635" s="4"/>
      <c r="DG1635" s="4"/>
      <c r="DH1635" s="4"/>
      <c r="DI1635" s="4"/>
      <c r="DJ1635" s="4"/>
      <c r="DK1635" s="4"/>
      <c r="DL1635" s="4"/>
      <c r="DM1635" s="4"/>
      <c r="DN1635" s="4"/>
      <c r="DO1635" s="4"/>
      <c r="DP1635" s="4"/>
      <c r="DQ1635" s="4"/>
      <c r="DR1635" s="4"/>
      <c r="DS1635" s="4"/>
    </row>
    <row r="1636">
      <c r="A1636" s="9">
        <f>IFERROR(__xludf.DUMMYFUNCTION("""COMPUTED_VALUE"""),45966.0)</f>
        <v>45966</v>
      </c>
      <c r="B1636" s="6" t="str">
        <f>IFERROR(__xludf.DUMMYFUNCTION("""COMPUTED_VALUE"""),"Groceries")</f>
        <v>Groceries</v>
      </c>
      <c r="C1636" s="7">
        <f>IFERROR(__xludf.DUMMYFUNCTION("""COMPUTED_VALUE"""),6000.0)</f>
        <v>6000</v>
      </c>
      <c r="D1636" s="6" t="str">
        <f>IFERROR(__xludf.DUMMYFUNCTION("""COMPUTED_VALUE"""),"Restaurant / Café")</f>
        <v>Restaurant / Café</v>
      </c>
      <c r="E1636" s="6" t="str">
        <f>IFERROR(__xludf.DUMMYFUNCTION("""COMPUTED_VALUE"""),"Virtual Wallet")</f>
        <v>Virtual Wallet</v>
      </c>
      <c r="F1636" s="6" t="s">
        <v>14</v>
      </c>
      <c r="G1636" s="8" t="str">
        <f t="shared" si="1"/>
        <v>202511</v>
      </c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  <c r="AA1636" s="4"/>
      <c r="AB1636" s="4"/>
      <c r="AC1636" s="4"/>
      <c r="AD1636" s="4"/>
      <c r="AE1636" s="4"/>
      <c r="AF1636" s="4"/>
      <c r="AG1636" s="4"/>
      <c r="AH1636" s="4"/>
      <c r="AI1636" s="4"/>
      <c r="AJ1636" s="4"/>
      <c r="AK1636" s="4"/>
      <c r="AL1636" s="4"/>
      <c r="AM1636" s="4"/>
      <c r="AN1636" s="4"/>
      <c r="AO1636" s="4"/>
      <c r="AP1636" s="4"/>
      <c r="AQ1636" s="4"/>
      <c r="AR1636" s="4"/>
      <c r="AS1636" s="4"/>
      <c r="AT1636" s="4"/>
      <c r="AU1636" s="4"/>
      <c r="AV1636" s="4"/>
      <c r="AW1636" s="4"/>
      <c r="AX1636" s="4"/>
      <c r="AY1636" s="4"/>
      <c r="AZ1636" s="4"/>
      <c r="BA1636" s="4"/>
      <c r="BB1636" s="4"/>
      <c r="BC1636" s="4"/>
      <c r="BD1636" s="4"/>
      <c r="BE1636" s="4"/>
      <c r="BF1636" s="4"/>
      <c r="BG1636" s="4"/>
      <c r="BH1636" s="4"/>
      <c r="BI1636" s="4"/>
      <c r="BJ1636" s="4"/>
      <c r="BK1636" s="4"/>
      <c r="BL1636" s="4"/>
      <c r="BM1636" s="4"/>
      <c r="BN1636" s="4"/>
      <c r="BO1636" s="4"/>
      <c r="BP1636" s="4"/>
      <c r="BQ1636" s="4"/>
      <c r="BR1636" s="4"/>
      <c r="BS1636" s="4"/>
      <c r="BT1636" s="4"/>
      <c r="BU1636" s="4"/>
      <c r="BV1636" s="4"/>
      <c r="BW1636" s="4"/>
      <c r="BX1636" s="4"/>
      <c r="BY1636" s="4"/>
      <c r="BZ1636" s="4"/>
      <c r="CA1636" s="4"/>
      <c r="CB1636" s="4"/>
      <c r="CC1636" s="4"/>
      <c r="CD1636" s="4"/>
      <c r="CE1636" s="4"/>
      <c r="CF1636" s="4"/>
      <c r="CG1636" s="4"/>
      <c r="CH1636" s="4"/>
      <c r="CI1636" s="4"/>
      <c r="CJ1636" s="4"/>
      <c r="CK1636" s="4"/>
      <c r="CL1636" s="4"/>
      <c r="CM1636" s="4"/>
      <c r="CN1636" s="4"/>
      <c r="CO1636" s="4"/>
      <c r="CP1636" s="4"/>
      <c r="CQ1636" s="4"/>
      <c r="CR1636" s="4"/>
      <c r="CS1636" s="4"/>
      <c r="CT1636" s="4"/>
      <c r="CU1636" s="4"/>
      <c r="CV1636" s="4"/>
      <c r="CW1636" s="4"/>
      <c r="CX1636" s="4"/>
      <c r="CY1636" s="4"/>
      <c r="CZ1636" s="4"/>
      <c r="DA1636" s="4"/>
      <c r="DB1636" s="4"/>
      <c r="DC1636" s="4"/>
      <c r="DD1636" s="4"/>
      <c r="DE1636" s="4"/>
      <c r="DF1636" s="4"/>
      <c r="DG1636" s="4"/>
      <c r="DH1636" s="4"/>
      <c r="DI1636" s="4"/>
      <c r="DJ1636" s="4"/>
      <c r="DK1636" s="4"/>
      <c r="DL1636" s="4"/>
      <c r="DM1636" s="4"/>
      <c r="DN1636" s="4"/>
      <c r="DO1636" s="4"/>
      <c r="DP1636" s="4"/>
      <c r="DQ1636" s="4"/>
      <c r="DR1636" s="4"/>
      <c r="DS1636" s="4"/>
    </row>
    <row r="1637">
      <c r="A1637" s="9">
        <f>IFERROR(__xludf.DUMMYFUNCTION("""COMPUTED_VALUE"""),45966.0)</f>
        <v>45966</v>
      </c>
      <c r="B1637" s="6" t="str">
        <f>IFERROR(__xludf.DUMMYFUNCTION("""COMPUTED_VALUE"""),"Pets")</f>
        <v>Pets</v>
      </c>
      <c r="C1637" s="7">
        <f>IFERROR(__xludf.DUMMYFUNCTION("""COMPUTED_VALUE"""),17500.0)</f>
        <v>17500</v>
      </c>
      <c r="D1637" s="6" t="str">
        <f>IFERROR(__xludf.DUMMYFUNCTION("""COMPUTED_VALUE"""),"Pets")</f>
        <v>Pets</v>
      </c>
      <c r="E1637" s="6" t="str">
        <f>IFERROR(__xludf.DUMMYFUNCTION("""COMPUTED_VALUE"""),"Virtual Wallet")</f>
        <v>Virtual Wallet</v>
      </c>
      <c r="F1637" s="6" t="s">
        <v>7</v>
      </c>
      <c r="G1637" s="8" t="str">
        <f t="shared" si="1"/>
        <v>202511</v>
      </c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  <c r="AA1637" s="4"/>
      <c r="AB1637" s="4"/>
      <c r="AC1637" s="4"/>
      <c r="AD1637" s="4"/>
      <c r="AE1637" s="4"/>
      <c r="AF1637" s="4"/>
      <c r="AG1637" s="4"/>
      <c r="AH1637" s="4"/>
      <c r="AI1637" s="4"/>
      <c r="AJ1637" s="4"/>
      <c r="AK1637" s="4"/>
      <c r="AL1637" s="4"/>
      <c r="AM1637" s="4"/>
      <c r="AN1637" s="4"/>
      <c r="AO1637" s="4"/>
      <c r="AP1637" s="4"/>
      <c r="AQ1637" s="4"/>
      <c r="AR1637" s="4"/>
      <c r="AS1637" s="4"/>
      <c r="AT1637" s="4"/>
      <c r="AU1637" s="4"/>
      <c r="AV1637" s="4"/>
      <c r="AW1637" s="4"/>
      <c r="AX1637" s="4"/>
      <c r="AY1637" s="4"/>
      <c r="AZ1637" s="4"/>
      <c r="BA1637" s="4"/>
      <c r="BB1637" s="4"/>
      <c r="BC1637" s="4"/>
      <c r="BD1637" s="4"/>
      <c r="BE1637" s="4"/>
      <c r="BF1637" s="4"/>
      <c r="BG1637" s="4"/>
      <c r="BH1637" s="4"/>
      <c r="BI1637" s="4"/>
      <c r="BJ1637" s="4"/>
      <c r="BK1637" s="4"/>
      <c r="BL1637" s="4"/>
      <c r="BM1637" s="4"/>
      <c r="BN1637" s="4"/>
      <c r="BO1637" s="4"/>
      <c r="BP1637" s="4"/>
      <c r="BQ1637" s="4"/>
      <c r="BR1637" s="4"/>
      <c r="BS1637" s="4"/>
      <c r="BT1637" s="4"/>
      <c r="BU1637" s="4"/>
      <c r="BV1637" s="4"/>
      <c r="BW1637" s="4"/>
      <c r="BX1637" s="4"/>
      <c r="BY1637" s="4"/>
      <c r="BZ1637" s="4"/>
      <c r="CA1637" s="4"/>
      <c r="CB1637" s="4"/>
      <c r="CC1637" s="4"/>
      <c r="CD1637" s="4"/>
      <c r="CE1637" s="4"/>
      <c r="CF1637" s="4"/>
      <c r="CG1637" s="4"/>
      <c r="CH1637" s="4"/>
      <c r="CI1637" s="4"/>
      <c r="CJ1637" s="4"/>
      <c r="CK1637" s="4"/>
      <c r="CL1637" s="4"/>
      <c r="CM1637" s="4"/>
      <c r="CN1637" s="4"/>
      <c r="CO1637" s="4"/>
      <c r="CP1637" s="4"/>
      <c r="CQ1637" s="4"/>
      <c r="CR1637" s="4"/>
      <c r="CS1637" s="4"/>
      <c r="CT1637" s="4"/>
      <c r="CU1637" s="4"/>
      <c r="CV1637" s="4"/>
      <c r="CW1637" s="4"/>
      <c r="CX1637" s="4"/>
      <c r="CY1637" s="4"/>
      <c r="CZ1637" s="4"/>
      <c r="DA1637" s="4"/>
      <c r="DB1637" s="4"/>
      <c r="DC1637" s="4"/>
      <c r="DD1637" s="4"/>
      <c r="DE1637" s="4"/>
      <c r="DF1637" s="4"/>
      <c r="DG1637" s="4"/>
      <c r="DH1637" s="4"/>
      <c r="DI1637" s="4"/>
      <c r="DJ1637" s="4"/>
      <c r="DK1637" s="4"/>
      <c r="DL1637" s="4"/>
      <c r="DM1637" s="4"/>
      <c r="DN1637" s="4"/>
      <c r="DO1637" s="4"/>
      <c r="DP1637" s="4"/>
      <c r="DQ1637" s="4"/>
      <c r="DR1637" s="4"/>
      <c r="DS1637" s="4"/>
    </row>
    <row r="1638">
      <c r="A1638" s="9">
        <f>IFERROR(__xludf.DUMMYFUNCTION("""COMPUTED_VALUE"""),45967.0)</f>
        <v>45967</v>
      </c>
      <c r="B1638" s="6" t="str">
        <f>IFERROR(__xludf.DUMMYFUNCTION("""COMPUTED_VALUE"""),"Gasoline")</f>
        <v>Gasoline</v>
      </c>
      <c r="C1638" s="7">
        <f>IFERROR(__xludf.DUMMYFUNCTION("""COMPUTED_VALUE"""),15000.0)</f>
        <v>15000</v>
      </c>
      <c r="D1638" s="6" t="str">
        <f>IFERROR(__xludf.DUMMYFUNCTION("""COMPUTED_VALUE"""),"Car Expenses")</f>
        <v>Car Expenses</v>
      </c>
      <c r="E1638" s="6" t="str">
        <f>IFERROR(__xludf.DUMMYFUNCTION("""COMPUTED_VALUE"""),"Virtual Wallet")</f>
        <v>Virtual Wallet</v>
      </c>
      <c r="F1638" s="6" t="s">
        <v>9</v>
      </c>
      <c r="G1638" s="8" t="str">
        <f t="shared" si="1"/>
        <v>202511</v>
      </c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  <c r="AA1638" s="4"/>
      <c r="AB1638" s="4"/>
      <c r="AC1638" s="4"/>
      <c r="AD1638" s="4"/>
      <c r="AE1638" s="4"/>
      <c r="AF1638" s="4"/>
      <c r="AG1638" s="4"/>
      <c r="AH1638" s="4"/>
      <c r="AI1638" s="4"/>
      <c r="AJ1638" s="4"/>
      <c r="AK1638" s="4"/>
      <c r="AL1638" s="4"/>
      <c r="AM1638" s="4"/>
      <c r="AN1638" s="4"/>
      <c r="AO1638" s="4"/>
      <c r="AP1638" s="4"/>
      <c r="AQ1638" s="4"/>
      <c r="AR1638" s="4"/>
      <c r="AS1638" s="4"/>
      <c r="AT1638" s="4"/>
      <c r="AU1638" s="4"/>
      <c r="AV1638" s="4"/>
      <c r="AW1638" s="4"/>
      <c r="AX1638" s="4"/>
      <c r="AY1638" s="4"/>
      <c r="AZ1638" s="4"/>
      <c r="BA1638" s="4"/>
      <c r="BB1638" s="4"/>
      <c r="BC1638" s="4"/>
      <c r="BD1638" s="4"/>
      <c r="BE1638" s="4"/>
      <c r="BF1638" s="4"/>
      <c r="BG1638" s="4"/>
      <c r="BH1638" s="4"/>
      <c r="BI1638" s="4"/>
      <c r="BJ1638" s="4"/>
      <c r="BK1638" s="4"/>
      <c r="BL1638" s="4"/>
      <c r="BM1638" s="4"/>
      <c r="BN1638" s="4"/>
      <c r="BO1638" s="4"/>
      <c r="BP1638" s="4"/>
      <c r="BQ1638" s="4"/>
      <c r="BR1638" s="4"/>
      <c r="BS1638" s="4"/>
      <c r="BT1638" s="4"/>
      <c r="BU1638" s="4"/>
      <c r="BV1638" s="4"/>
      <c r="BW1638" s="4"/>
      <c r="BX1638" s="4"/>
      <c r="BY1638" s="4"/>
      <c r="BZ1638" s="4"/>
      <c r="CA1638" s="4"/>
      <c r="CB1638" s="4"/>
      <c r="CC1638" s="4"/>
      <c r="CD1638" s="4"/>
      <c r="CE1638" s="4"/>
      <c r="CF1638" s="4"/>
      <c r="CG1638" s="4"/>
      <c r="CH1638" s="4"/>
      <c r="CI1638" s="4"/>
      <c r="CJ1638" s="4"/>
      <c r="CK1638" s="4"/>
      <c r="CL1638" s="4"/>
      <c r="CM1638" s="4"/>
      <c r="CN1638" s="4"/>
      <c r="CO1638" s="4"/>
      <c r="CP1638" s="4"/>
      <c r="CQ1638" s="4"/>
      <c r="CR1638" s="4"/>
      <c r="CS1638" s="4"/>
      <c r="CT1638" s="4"/>
      <c r="CU1638" s="4"/>
      <c r="CV1638" s="4"/>
      <c r="CW1638" s="4"/>
      <c r="CX1638" s="4"/>
      <c r="CY1638" s="4"/>
      <c r="CZ1638" s="4"/>
      <c r="DA1638" s="4"/>
      <c r="DB1638" s="4"/>
      <c r="DC1638" s="4"/>
      <c r="DD1638" s="4"/>
      <c r="DE1638" s="4"/>
      <c r="DF1638" s="4"/>
      <c r="DG1638" s="4"/>
      <c r="DH1638" s="4"/>
      <c r="DI1638" s="4"/>
      <c r="DJ1638" s="4"/>
      <c r="DK1638" s="4"/>
      <c r="DL1638" s="4"/>
      <c r="DM1638" s="4"/>
      <c r="DN1638" s="4"/>
      <c r="DO1638" s="4"/>
      <c r="DP1638" s="4"/>
      <c r="DQ1638" s="4"/>
      <c r="DR1638" s="4"/>
      <c r="DS1638" s="4"/>
    </row>
    <row r="1639">
      <c r="A1639" s="9">
        <f>IFERROR(__xludf.DUMMYFUNCTION("""COMPUTED_VALUE"""),45967.0)</f>
        <v>45967</v>
      </c>
      <c r="B1639" s="6" t="str">
        <f>IFERROR(__xludf.DUMMYFUNCTION("""COMPUTED_VALUE"""),"Groceries")</f>
        <v>Groceries</v>
      </c>
      <c r="C1639" s="7">
        <f>IFERROR(__xludf.DUMMYFUNCTION("""COMPUTED_VALUE"""),3800.0)</f>
        <v>3800</v>
      </c>
      <c r="D1639" s="6" t="str">
        <f>IFERROR(__xludf.DUMMYFUNCTION("""COMPUTED_VALUE"""),"Groceries")</f>
        <v>Groceries</v>
      </c>
      <c r="E1639" s="6" t="str">
        <f>IFERROR(__xludf.DUMMYFUNCTION("""COMPUTED_VALUE"""),"Virtual Wallet")</f>
        <v>Virtual Wallet</v>
      </c>
      <c r="F1639" s="6" t="s">
        <v>7</v>
      </c>
      <c r="G1639" s="8" t="str">
        <f t="shared" si="1"/>
        <v>202511</v>
      </c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  <c r="AA1639" s="4"/>
      <c r="AB1639" s="4"/>
      <c r="AC1639" s="4"/>
      <c r="AD1639" s="4"/>
      <c r="AE1639" s="4"/>
      <c r="AF1639" s="4"/>
      <c r="AG1639" s="4"/>
      <c r="AH1639" s="4"/>
      <c r="AI1639" s="4"/>
      <c r="AJ1639" s="4"/>
      <c r="AK1639" s="4"/>
      <c r="AL1639" s="4"/>
      <c r="AM1639" s="4"/>
      <c r="AN1639" s="4"/>
      <c r="AO1639" s="4"/>
      <c r="AP1639" s="4"/>
      <c r="AQ1639" s="4"/>
      <c r="AR1639" s="4"/>
      <c r="AS1639" s="4"/>
      <c r="AT1639" s="4"/>
      <c r="AU1639" s="4"/>
      <c r="AV1639" s="4"/>
      <c r="AW1639" s="4"/>
      <c r="AX1639" s="4"/>
      <c r="AY1639" s="4"/>
      <c r="AZ1639" s="4"/>
      <c r="BA1639" s="4"/>
      <c r="BB1639" s="4"/>
      <c r="BC1639" s="4"/>
      <c r="BD1639" s="4"/>
      <c r="BE1639" s="4"/>
      <c r="BF1639" s="4"/>
      <c r="BG1639" s="4"/>
      <c r="BH1639" s="4"/>
      <c r="BI1639" s="4"/>
      <c r="BJ1639" s="4"/>
      <c r="BK1639" s="4"/>
      <c r="BL1639" s="4"/>
      <c r="BM1639" s="4"/>
      <c r="BN1639" s="4"/>
      <c r="BO1639" s="4"/>
      <c r="BP1639" s="4"/>
      <c r="BQ1639" s="4"/>
      <c r="BR1639" s="4"/>
      <c r="BS1639" s="4"/>
      <c r="BT1639" s="4"/>
      <c r="BU1639" s="4"/>
      <c r="BV1639" s="4"/>
      <c r="BW1639" s="4"/>
      <c r="BX1639" s="4"/>
      <c r="BY1639" s="4"/>
      <c r="BZ1639" s="4"/>
      <c r="CA1639" s="4"/>
      <c r="CB1639" s="4"/>
      <c r="CC1639" s="4"/>
      <c r="CD1639" s="4"/>
      <c r="CE1639" s="4"/>
      <c r="CF1639" s="4"/>
      <c r="CG1639" s="4"/>
      <c r="CH1639" s="4"/>
      <c r="CI1639" s="4"/>
      <c r="CJ1639" s="4"/>
      <c r="CK1639" s="4"/>
      <c r="CL1639" s="4"/>
      <c r="CM1639" s="4"/>
      <c r="CN1639" s="4"/>
      <c r="CO1639" s="4"/>
      <c r="CP1639" s="4"/>
      <c r="CQ1639" s="4"/>
      <c r="CR1639" s="4"/>
      <c r="CS1639" s="4"/>
      <c r="CT1639" s="4"/>
      <c r="CU1639" s="4"/>
      <c r="CV1639" s="4"/>
      <c r="CW1639" s="4"/>
      <c r="CX1639" s="4"/>
      <c r="CY1639" s="4"/>
      <c r="CZ1639" s="4"/>
      <c r="DA1639" s="4"/>
      <c r="DB1639" s="4"/>
      <c r="DC1639" s="4"/>
      <c r="DD1639" s="4"/>
      <c r="DE1639" s="4"/>
      <c r="DF1639" s="4"/>
      <c r="DG1639" s="4"/>
      <c r="DH1639" s="4"/>
      <c r="DI1639" s="4"/>
      <c r="DJ1639" s="4"/>
      <c r="DK1639" s="4"/>
      <c r="DL1639" s="4"/>
      <c r="DM1639" s="4"/>
      <c r="DN1639" s="4"/>
      <c r="DO1639" s="4"/>
      <c r="DP1639" s="4"/>
      <c r="DQ1639" s="4"/>
      <c r="DR1639" s="4"/>
      <c r="DS1639" s="4"/>
    </row>
    <row r="1640">
      <c r="A1640" s="9">
        <f>IFERROR(__xludf.DUMMYFUNCTION("""COMPUTED_VALUE"""),45967.0)</f>
        <v>45967</v>
      </c>
      <c r="B1640" s="6" t="str">
        <f>IFERROR(__xludf.DUMMYFUNCTION("""COMPUTED_VALUE"""),"Recreation")</f>
        <v>Recreation</v>
      </c>
      <c r="C1640" s="7">
        <f>IFERROR(__xludf.DUMMYFUNCTION("""COMPUTED_VALUE"""),9900.0)</f>
        <v>9900</v>
      </c>
      <c r="D1640" s="6" t="str">
        <f>IFERROR(__xludf.DUMMYFUNCTION("""COMPUTED_VALUE"""),"Recreation")</f>
        <v>Recreation</v>
      </c>
      <c r="E1640" s="6" t="str">
        <f>IFERROR(__xludf.DUMMYFUNCTION("""COMPUTED_VALUE"""),"Virtual Wallet")</f>
        <v>Virtual Wallet</v>
      </c>
      <c r="F1640" s="6" t="s">
        <v>12</v>
      </c>
      <c r="G1640" s="8" t="str">
        <f t="shared" si="1"/>
        <v>202511</v>
      </c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  <c r="AA1640" s="4"/>
      <c r="AB1640" s="4"/>
      <c r="AC1640" s="4"/>
      <c r="AD1640" s="4"/>
      <c r="AE1640" s="4"/>
      <c r="AF1640" s="4"/>
      <c r="AG1640" s="4"/>
      <c r="AH1640" s="4"/>
      <c r="AI1640" s="4"/>
      <c r="AJ1640" s="4"/>
      <c r="AK1640" s="4"/>
      <c r="AL1640" s="4"/>
      <c r="AM1640" s="4"/>
      <c r="AN1640" s="4"/>
      <c r="AO1640" s="4"/>
      <c r="AP1640" s="4"/>
      <c r="AQ1640" s="4"/>
      <c r="AR1640" s="4"/>
      <c r="AS1640" s="4"/>
      <c r="AT1640" s="4"/>
      <c r="AU1640" s="4"/>
      <c r="AV1640" s="4"/>
      <c r="AW1640" s="4"/>
      <c r="AX1640" s="4"/>
      <c r="AY1640" s="4"/>
      <c r="AZ1640" s="4"/>
      <c r="BA1640" s="4"/>
      <c r="BB1640" s="4"/>
      <c r="BC1640" s="4"/>
      <c r="BD1640" s="4"/>
      <c r="BE1640" s="4"/>
      <c r="BF1640" s="4"/>
      <c r="BG1640" s="4"/>
      <c r="BH1640" s="4"/>
      <c r="BI1640" s="4"/>
      <c r="BJ1640" s="4"/>
      <c r="BK1640" s="4"/>
      <c r="BL1640" s="4"/>
      <c r="BM1640" s="4"/>
      <c r="BN1640" s="4"/>
      <c r="BO1640" s="4"/>
      <c r="BP1640" s="4"/>
      <c r="BQ1640" s="4"/>
      <c r="BR1640" s="4"/>
      <c r="BS1640" s="4"/>
      <c r="BT1640" s="4"/>
      <c r="BU1640" s="4"/>
      <c r="BV1640" s="4"/>
      <c r="BW1640" s="4"/>
      <c r="BX1640" s="4"/>
      <c r="BY1640" s="4"/>
      <c r="BZ1640" s="4"/>
      <c r="CA1640" s="4"/>
      <c r="CB1640" s="4"/>
      <c r="CC1640" s="4"/>
      <c r="CD1640" s="4"/>
      <c r="CE1640" s="4"/>
      <c r="CF1640" s="4"/>
      <c r="CG1640" s="4"/>
      <c r="CH1640" s="4"/>
      <c r="CI1640" s="4"/>
      <c r="CJ1640" s="4"/>
      <c r="CK1640" s="4"/>
      <c r="CL1640" s="4"/>
      <c r="CM1640" s="4"/>
      <c r="CN1640" s="4"/>
      <c r="CO1640" s="4"/>
      <c r="CP1640" s="4"/>
      <c r="CQ1640" s="4"/>
      <c r="CR1640" s="4"/>
      <c r="CS1640" s="4"/>
      <c r="CT1640" s="4"/>
      <c r="CU1640" s="4"/>
      <c r="CV1640" s="4"/>
      <c r="CW1640" s="4"/>
      <c r="CX1640" s="4"/>
      <c r="CY1640" s="4"/>
      <c r="CZ1640" s="4"/>
      <c r="DA1640" s="4"/>
      <c r="DB1640" s="4"/>
      <c r="DC1640" s="4"/>
      <c r="DD1640" s="4"/>
      <c r="DE1640" s="4"/>
      <c r="DF1640" s="4"/>
      <c r="DG1640" s="4"/>
      <c r="DH1640" s="4"/>
      <c r="DI1640" s="4"/>
      <c r="DJ1640" s="4"/>
      <c r="DK1640" s="4"/>
      <c r="DL1640" s="4"/>
      <c r="DM1640" s="4"/>
      <c r="DN1640" s="4"/>
      <c r="DO1640" s="4"/>
      <c r="DP1640" s="4"/>
      <c r="DQ1640" s="4"/>
      <c r="DR1640" s="4"/>
      <c r="DS1640" s="4"/>
    </row>
    <row r="1641">
      <c r="A1641" s="9">
        <f>IFERROR(__xludf.DUMMYFUNCTION("""COMPUTED_VALUE"""),45967.0)</f>
        <v>45967</v>
      </c>
      <c r="B1641" s="6" t="str">
        <f>IFERROR(__xludf.DUMMYFUNCTION("""COMPUTED_VALUE"""),"Streaming Services")</f>
        <v>Streaming Services</v>
      </c>
      <c r="C1641" s="7">
        <f>IFERROR(__xludf.DUMMYFUNCTION("""COMPUTED_VALUE"""),9059.0)</f>
        <v>9059</v>
      </c>
      <c r="D1641" s="6" t="str">
        <f>IFERROR(__xludf.DUMMYFUNCTION("""COMPUTED_VALUE"""),"Streaming Services")</f>
        <v>Streaming Services</v>
      </c>
      <c r="E1641" s="6" t="str">
        <f>IFERROR(__xludf.DUMMYFUNCTION("""COMPUTED_VALUE"""),"Credit Card")</f>
        <v>Credit Card</v>
      </c>
      <c r="F1641" s="6" t="s">
        <v>12</v>
      </c>
      <c r="G1641" s="8" t="str">
        <f t="shared" si="1"/>
        <v>202511</v>
      </c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  <c r="AA1641" s="4"/>
      <c r="AB1641" s="4"/>
      <c r="AC1641" s="4"/>
      <c r="AD1641" s="4"/>
      <c r="AE1641" s="4"/>
      <c r="AF1641" s="4"/>
      <c r="AG1641" s="4"/>
      <c r="AH1641" s="4"/>
      <c r="AI1641" s="4"/>
      <c r="AJ1641" s="4"/>
      <c r="AK1641" s="4"/>
      <c r="AL1641" s="4"/>
      <c r="AM1641" s="4"/>
      <c r="AN1641" s="4"/>
      <c r="AO1641" s="4"/>
      <c r="AP1641" s="4"/>
      <c r="AQ1641" s="4"/>
      <c r="AR1641" s="4"/>
      <c r="AS1641" s="4"/>
      <c r="AT1641" s="4"/>
      <c r="AU1641" s="4"/>
      <c r="AV1641" s="4"/>
      <c r="AW1641" s="4"/>
      <c r="AX1641" s="4"/>
      <c r="AY1641" s="4"/>
      <c r="AZ1641" s="4"/>
      <c r="BA1641" s="4"/>
      <c r="BB1641" s="4"/>
      <c r="BC1641" s="4"/>
      <c r="BD1641" s="4"/>
      <c r="BE1641" s="4"/>
      <c r="BF1641" s="4"/>
      <c r="BG1641" s="4"/>
      <c r="BH1641" s="4"/>
      <c r="BI1641" s="4"/>
      <c r="BJ1641" s="4"/>
      <c r="BK1641" s="4"/>
      <c r="BL1641" s="4"/>
      <c r="BM1641" s="4"/>
      <c r="BN1641" s="4"/>
      <c r="BO1641" s="4"/>
      <c r="BP1641" s="4"/>
      <c r="BQ1641" s="4"/>
      <c r="BR1641" s="4"/>
      <c r="BS1641" s="4"/>
      <c r="BT1641" s="4"/>
      <c r="BU1641" s="4"/>
      <c r="BV1641" s="4"/>
      <c r="BW1641" s="4"/>
      <c r="BX1641" s="4"/>
      <c r="BY1641" s="4"/>
      <c r="BZ1641" s="4"/>
      <c r="CA1641" s="4"/>
      <c r="CB1641" s="4"/>
      <c r="CC1641" s="4"/>
      <c r="CD1641" s="4"/>
      <c r="CE1641" s="4"/>
      <c r="CF1641" s="4"/>
      <c r="CG1641" s="4"/>
      <c r="CH1641" s="4"/>
      <c r="CI1641" s="4"/>
      <c r="CJ1641" s="4"/>
      <c r="CK1641" s="4"/>
      <c r="CL1641" s="4"/>
      <c r="CM1641" s="4"/>
      <c r="CN1641" s="4"/>
      <c r="CO1641" s="4"/>
      <c r="CP1641" s="4"/>
      <c r="CQ1641" s="4"/>
      <c r="CR1641" s="4"/>
      <c r="CS1641" s="4"/>
      <c r="CT1641" s="4"/>
      <c r="CU1641" s="4"/>
      <c r="CV1641" s="4"/>
      <c r="CW1641" s="4"/>
      <c r="CX1641" s="4"/>
      <c r="CY1641" s="4"/>
      <c r="CZ1641" s="4"/>
      <c r="DA1641" s="4"/>
      <c r="DB1641" s="4"/>
      <c r="DC1641" s="4"/>
      <c r="DD1641" s="4"/>
      <c r="DE1641" s="4"/>
      <c r="DF1641" s="4"/>
      <c r="DG1641" s="4"/>
      <c r="DH1641" s="4"/>
      <c r="DI1641" s="4"/>
      <c r="DJ1641" s="4"/>
      <c r="DK1641" s="4"/>
      <c r="DL1641" s="4"/>
      <c r="DM1641" s="4"/>
      <c r="DN1641" s="4"/>
      <c r="DO1641" s="4"/>
      <c r="DP1641" s="4"/>
      <c r="DQ1641" s="4"/>
      <c r="DR1641" s="4"/>
      <c r="DS1641" s="4"/>
    </row>
    <row r="1642">
      <c r="A1642" s="9">
        <f>IFERROR(__xludf.DUMMYFUNCTION("""COMPUTED_VALUE"""),45968.0)</f>
        <v>45968</v>
      </c>
      <c r="B1642" s="6" t="str">
        <f>IFERROR(__xludf.DUMMYFUNCTION("""COMPUTED_VALUE"""),"Groceries")</f>
        <v>Groceries</v>
      </c>
      <c r="C1642" s="7">
        <f>IFERROR(__xludf.DUMMYFUNCTION("""COMPUTED_VALUE"""),3000.0)</f>
        <v>3000</v>
      </c>
      <c r="D1642" s="6" t="str">
        <f>IFERROR(__xludf.DUMMYFUNCTION("""COMPUTED_VALUE"""),"Restaurant / Café")</f>
        <v>Restaurant / Café</v>
      </c>
      <c r="E1642" s="6" t="str">
        <f>IFERROR(__xludf.DUMMYFUNCTION("""COMPUTED_VALUE"""),"Virtual Wallet")</f>
        <v>Virtual Wallet</v>
      </c>
      <c r="F1642" s="6" t="s">
        <v>14</v>
      </c>
      <c r="G1642" s="8" t="str">
        <f t="shared" si="1"/>
        <v>202511</v>
      </c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  <c r="AA1642" s="4"/>
      <c r="AB1642" s="4"/>
      <c r="AC1642" s="4"/>
      <c r="AD1642" s="4"/>
      <c r="AE1642" s="4"/>
      <c r="AF1642" s="4"/>
      <c r="AG1642" s="4"/>
      <c r="AH1642" s="4"/>
      <c r="AI1642" s="4"/>
      <c r="AJ1642" s="4"/>
      <c r="AK1642" s="4"/>
      <c r="AL1642" s="4"/>
      <c r="AM1642" s="4"/>
      <c r="AN1642" s="4"/>
      <c r="AO1642" s="4"/>
      <c r="AP1642" s="4"/>
      <c r="AQ1642" s="4"/>
      <c r="AR1642" s="4"/>
      <c r="AS1642" s="4"/>
      <c r="AT1642" s="4"/>
      <c r="AU1642" s="4"/>
      <c r="AV1642" s="4"/>
      <c r="AW1642" s="4"/>
      <c r="AX1642" s="4"/>
      <c r="AY1642" s="4"/>
      <c r="AZ1642" s="4"/>
      <c r="BA1642" s="4"/>
      <c r="BB1642" s="4"/>
      <c r="BC1642" s="4"/>
      <c r="BD1642" s="4"/>
      <c r="BE1642" s="4"/>
      <c r="BF1642" s="4"/>
      <c r="BG1642" s="4"/>
      <c r="BH1642" s="4"/>
      <c r="BI1642" s="4"/>
      <c r="BJ1642" s="4"/>
      <c r="BK1642" s="4"/>
      <c r="BL1642" s="4"/>
      <c r="BM1642" s="4"/>
      <c r="BN1642" s="4"/>
      <c r="BO1642" s="4"/>
      <c r="BP1642" s="4"/>
      <c r="BQ1642" s="4"/>
      <c r="BR1642" s="4"/>
      <c r="BS1642" s="4"/>
      <c r="BT1642" s="4"/>
      <c r="BU1642" s="4"/>
      <c r="BV1642" s="4"/>
      <c r="BW1642" s="4"/>
      <c r="BX1642" s="4"/>
      <c r="BY1642" s="4"/>
      <c r="BZ1642" s="4"/>
      <c r="CA1642" s="4"/>
      <c r="CB1642" s="4"/>
      <c r="CC1642" s="4"/>
      <c r="CD1642" s="4"/>
      <c r="CE1642" s="4"/>
      <c r="CF1642" s="4"/>
      <c r="CG1642" s="4"/>
      <c r="CH1642" s="4"/>
      <c r="CI1642" s="4"/>
      <c r="CJ1642" s="4"/>
      <c r="CK1642" s="4"/>
      <c r="CL1642" s="4"/>
      <c r="CM1642" s="4"/>
      <c r="CN1642" s="4"/>
      <c r="CO1642" s="4"/>
      <c r="CP1642" s="4"/>
      <c r="CQ1642" s="4"/>
      <c r="CR1642" s="4"/>
      <c r="CS1642" s="4"/>
      <c r="CT1642" s="4"/>
      <c r="CU1642" s="4"/>
      <c r="CV1642" s="4"/>
      <c r="CW1642" s="4"/>
      <c r="CX1642" s="4"/>
      <c r="CY1642" s="4"/>
      <c r="CZ1642" s="4"/>
      <c r="DA1642" s="4"/>
      <c r="DB1642" s="4"/>
      <c r="DC1642" s="4"/>
      <c r="DD1642" s="4"/>
      <c r="DE1642" s="4"/>
      <c r="DF1642" s="4"/>
      <c r="DG1642" s="4"/>
      <c r="DH1642" s="4"/>
      <c r="DI1642" s="4"/>
      <c r="DJ1642" s="4"/>
      <c r="DK1642" s="4"/>
      <c r="DL1642" s="4"/>
      <c r="DM1642" s="4"/>
      <c r="DN1642" s="4"/>
      <c r="DO1642" s="4"/>
      <c r="DP1642" s="4"/>
      <c r="DQ1642" s="4"/>
      <c r="DR1642" s="4"/>
      <c r="DS1642" s="4"/>
    </row>
    <row r="1643">
      <c r="A1643" s="9">
        <f>IFERROR(__xludf.DUMMYFUNCTION("""COMPUTED_VALUE"""),45968.0)</f>
        <v>45968</v>
      </c>
      <c r="B1643" s="6" t="str">
        <f>IFERROR(__xludf.DUMMYFUNCTION("""COMPUTED_VALUE"""),"Healthcare")</f>
        <v>Healthcare</v>
      </c>
      <c r="C1643" s="7">
        <f>IFERROR(__xludf.DUMMYFUNCTION("""COMPUTED_VALUE"""),25000.0)</f>
        <v>25000</v>
      </c>
      <c r="D1643" s="6" t="str">
        <f>IFERROR(__xludf.DUMMYFUNCTION("""COMPUTED_VALUE"""),"Healthcare")</f>
        <v>Healthcare</v>
      </c>
      <c r="E1643" s="6" t="str">
        <f>IFERROR(__xludf.DUMMYFUNCTION("""COMPUTED_VALUE"""),"Virtual Wallet")</f>
        <v>Virtual Wallet</v>
      </c>
      <c r="F1643" s="6" t="s">
        <v>15</v>
      </c>
      <c r="G1643" s="8" t="str">
        <f t="shared" si="1"/>
        <v>202511</v>
      </c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  <c r="AA1643" s="4"/>
      <c r="AB1643" s="4"/>
      <c r="AC1643" s="4"/>
      <c r="AD1643" s="4"/>
      <c r="AE1643" s="4"/>
      <c r="AF1643" s="4"/>
      <c r="AG1643" s="4"/>
      <c r="AH1643" s="4"/>
      <c r="AI1643" s="4"/>
      <c r="AJ1643" s="4"/>
      <c r="AK1643" s="4"/>
      <c r="AL1643" s="4"/>
      <c r="AM1643" s="4"/>
      <c r="AN1643" s="4"/>
      <c r="AO1643" s="4"/>
      <c r="AP1643" s="4"/>
      <c r="AQ1643" s="4"/>
      <c r="AR1643" s="4"/>
      <c r="AS1643" s="4"/>
      <c r="AT1643" s="4"/>
      <c r="AU1643" s="4"/>
      <c r="AV1643" s="4"/>
      <c r="AW1643" s="4"/>
      <c r="AX1643" s="4"/>
      <c r="AY1643" s="4"/>
      <c r="AZ1643" s="4"/>
      <c r="BA1643" s="4"/>
      <c r="BB1643" s="4"/>
      <c r="BC1643" s="4"/>
      <c r="BD1643" s="4"/>
      <c r="BE1643" s="4"/>
      <c r="BF1643" s="4"/>
      <c r="BG1643" s="4"/>
      <c r="BH1643" s="4"/>
      <c r="BI1643" s="4"/>
      <c r="BJ1643" s="4"/>
      <c r="BK1643" s="4"/>
      <c r="BL1643" s="4"/>
      <c r="BM1643" s="4"/>
      <c r="BN1643" s="4"/>
      <c r="BO1643" s="4"/>
      <c r="BP1643" s="4"/>
      <c r="BQ1643" s="4"/>
      <c r="BR1643" s="4"/>
      <c r="BS1643" s="4"/>
      <c r="BT1643" s="4"/>
      <c r="BU1643" s="4"/>
      <c r="BV1643" s="4"/>
      <c r="BW1643" s="4"/>
      <c r="BX1643" s="4"/>
      <c r="BY1643" s="4"/>
      <c r="BZ1643" s="4"/>
      <c r="CA1643" s="4"/>
      <c r="CB1643" s="4"/>
      <c r="CC1643" s="4"/>
      <c r="CD1643" s="4"/>
      <c r="CE1643" s="4"/>
      <c r="CF1643" s="4"/>
      <c r="CG1643" s="4"/>
      <c r="CH1643" s="4"/>
      <c r="CI1643" s="4"/>
      <c r="CJ1643" s="4"/>
      <c r="CK1643" s="4"/>
      <c r="CL1643" s="4"/>
      <c r="CM1643" s="4"/>
      <c r="CN1643" s="4"/>
      <c r="CO1643" s="4"/>
      <c r="CP1643" s="4"/>
      <c r="CQ1643" s="4"/>
      <c r="CR1643" s="4"/>
      <c r="CS1643" s="4"/>
      <c r="CT1643" s="4"/>
      <c r="CU1643" s="4"/>
      <c r="CV1643" s="4"/>
      <c r="CW1643" s="4"/>
      <c r="CX1643" s="4"/>
      <c r="CY1643" s="4"/>
      <c r="CZ1643" s="4"/>
      <c r="DA1643" s="4"/>
      <c r="DB1643" s="4"/>
      <c r="DC1643" s="4"/>
      <c r="DD1643" s="4"/>
      <c r="DE1643" s="4"/>
      <c r="DF1643" s="4"/>
      <c r="DG1643" s="4"/>
      <c r="DH1643" s="4"/>
      <c r="DI1643" s="4"/>
      <c r="DJ1643" s="4"/>
      <c r="DK1643" s="4"/>
      <c r="DL1643" s="4"/>
      <c r="DM1643" s="4"/>
      <c r="DN1643" s="4"/>
      <c r="DO1643" s="4"/>
      <c r="DP1643" s="4"/>
      <c r="DQ1643" s="4"/>
      <c r="DR1643" s="4"/>
      <c r="DS1643" s="4"/>
    </row>
    <row r="1644">
      <c r="A1644" s="9">
        <f>IFERROR(__xludf.DUMMYFUNCTION("""COMPUTED_VALUE"""),45969.0)</f>
        <v>45969</v>
      </c>
      <c r="B1644" s="6" t="str">
        <f>IFERROR(__xludf.DUMMYFUNCTION("""COMPUTED_VALUE"""),"Delivery")</f>
        <v>Delivery</v>
      </c>
      <c r="C1644" s="7">
        <f>IFERROR(__xludf.DUMMYFUNCTION("""COMPUTED_VALUE"""),18380.0)</f>
        <v>18380</v>
      </c>
      <c r="D1644" s="6" t="str">
        <f>IFERROR(__xludf.DUMMYFUNCTION("""COMPUTED_VALUE"""),"Restaurant / Café")</f>
        <v>Restaurant / Café</v>
      </c>
      <c r="E1644" s="6" t="str">
        <f>IFERROR(__xludf.DUMMYFUNCTION("""COMPUTED_VALUE"""),"Virtual Wallet")</f>
        <v>Virtual Wallet</v>
      </c>
      <c r="F1644" s="6" t="s">
        <v>14</v>
      </c>
      <c r="G1644" s="8" t="str">
        <f t="shared" si="1"/>
        <v>202511</v>
      </c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  <c r="AA1644" s="4"/>
      <c r="AB1644" s="4"/>
      <c r="AC1644" s="4"/>
      <c r="AD1644" s="4"/>
      <c r="AE1644" s="4"/>
      <c r="AF1644" s="4"/>
      <c r="AG1644" s="4"/>
      <c r="AH1644" s="4"/>
      <c r="AI1644" s="4"/>
      <c r="AJ1644" s="4"/>
      <c r="AK1644" s="4"/>
      <c r="AL1644" s="4"/>
      <c r="AM1644" s="4"/>
      <c r="AN1644" s="4"/>
      <c r="AO1644" s="4"/>
      <c r="AP1644" s="4"/>
      <c r="AQ1644" s="4"/>
      <c r="AR1644" s="4"/>
      <c r="AS1644" s="4"/>
      <c r="AT1644" s="4"/>
      <c r="AU1644" s="4"/>
      <c r="AV1644" s="4"/>
      <c r="AW1644" s="4"/>
      <c r="AX1644" s="4"/>
      <c r="AY1644" s="4"/>
      <c r="AZ1644" s="4"/>
      <c r="BA1644" s="4"/>
      <c r="BB1644" s="4"/>
      <c r="BC1644" s="4"/>
      <c r="BD1644" s="4"/>
      <c r="BE1644" s="4"/>
      <c r="BF1644" s="4"/>
      <c r="BG1644" s="4"/>
      <c r="BH1644" s="4"/>
      <c r="BI1644" s="4"/>
      <c r="BJ1644" s="4"/>
      <c r="BK1644" s="4"/>
      <c r="BL1644" s="4"/>
      <c r="BM1644" s="4"/>
      <c r="BN1644" s="4"/>
      <c r="BO1644" s="4"/>
      <c r="BP1644" s="4"/>
      <c r="BQ1644" s="4"/>
      <c r="BR1644" s="4"/>
      <c r="BS1644" s="4"/>
      <c r="BT1644" s="4"/>
      <c r="BU1644" s="4"/>
      <c r="BV1644" s="4"/>
      <c r="BW1644" s="4"/>
      <c r="BX1644" s="4"/>
      <c r="BY1644" s="4"/>
      <c r="BZ1644" s="4"/>
      <c r="CA1644" s="4"/>
      <c r="CB1644" s="4"/>
      <c r="CC1644" s="4"/>
      <c r="CD1644" s="4"/>
      <c r="CE1644" s="4"/>
      <c r="CF1644" s="4"/>
      <c r="CG1644" s="4"/>
      <c r="CH1644" s="4"/>
      <c r="CI1644" s="4"/>
      <c r="CJ1644" s="4"/>
      <c r="CK1644" s="4"/>
      <c r="CL1644" s="4"/>
      <c r="CM1644" s="4"/>
      <c r="CN1644" s="4"/>
      <c r="CO1644" s="4"/>
      <c r="CP1644" s="4"/>
      <c r="CQ1644" s="4"/>
      <c r="CR1644" s="4"/>
      <c r="CS1644" s="4"/>
      <c r="CT1644" s="4"/>
      <c r="CU1644" s="4"/>
      <c r="CV1644" s="4"/>
      <c r="CW1644" s="4"/>
      <c r="CX1644" s="4"/>
      <c r="CY1644" s="4"/>
      <c r="CZ1644" s="4"/>
      <c r="DA1644" s="4"/>
      <c r="DB1644" s="4"/>
      <c r="DC1644" s="4"/>
      <c r="DD1644" s="4"/>
      <c r="DE1644" s="4"/>
      <c r="DF1644" s="4"/>
      <c r="DG1644" s="4"/>
      <c r="DH1644" s="4"/>
      <c r="DI1644" s="4"/>
      <c r="DJ1644" s="4"/>
      <c r="DK1644" s="4"/>
      <c r="DL1644" s="4"/>
      <c r="DM1644" s="4"/>
      <c r="DN1644" s="4"/>
      <c r="DO1644" s="4"/>
      <c r="DP1644" s="4"/>
      <c r="DQ1644" s="4"/>
      <c r="DR1644" s="4"/>
      <c r="DS1644" s="4"/>
    </row>
    <row r="1645">
      <c r="A1645" s="9">
        <f>IFERROR(__xludf.DUMMYFUNCTION("""COMPUTED_VALUE"""),45969.0)</f>
        <v>45969</v>
      </c>
      <c r="B1645" s="6" t="str">
        <f>IFERROR(__xludf.DUMMYFUNCTION("""COMPUTED_VALUE"""),"Groceries")</f>
        <v>Groceries</v>
      </c>
      <c r="C1645" s="7">
        <f>IFERROR(__xludf.DUMMYFUNCTION("""COMPUTED_VALUE"""),900.0)</f>
        <v>900</v>
      </c>
      <c r="D1645" s="6" t="str">
        <f>IFERROR(__xludf.DUMMYFUNCTION("""COMPUTED_VALUE"""),"Groceries")</f>
        <v>Groceries</v>
      </c>
      <c r="E1645" s="6" t="str">
        <f>IFERROR(__xludf.DUMMYFUNCTION("""COMPUTED_VALUE"""),"Virtual Wallet")</f>
        <v>Virtual Wallet</v>
      </c>
      <c r="F1645" s="6" t="s">
        <v>7</v>
      </c>
      <c r="G1645" s="8" t="str">
        <f t="shared" si="1"/>
        <v>202511</v>
      </c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  <c r="AA1645" s="4"/>
      <c r="AB1645" s="4"/>
      <c r="AC1645" s="4"/>
      <c r="AD1645" s="4"/>
      <c r="AE1645" s="4"/>
      <c r="AF1645" s="4"/>
      <c r="AG1645" s="4"/>
      <c r="AH1645" s="4"/>
      <c r="AI1645" s="4"/>
      <c r="AJ1645" s="4"/>
      <c r="AK1645" s="4"/>
      <c r="AL1645" s="4"/>
      <c r="AM1645" s="4"/>
      <c r="AN1645" s="4"/>
      <c r="AO1645" s="4"/>
      <c r="AP1645" s="4"/>
      <c r="AQ1645" s="4"/>
      <c r="AR1645" s="4"/>
      <c r="AS1645" s="4"/>
      <c r="AT1645" s="4"/>
      <c r="AU1645" s="4"/>
      <c r="AV1645" s="4"/>
      <c r="AW1645" s="4"/>
      <c r="AX1645" s="4"/>
      <c r="AY1645" s="4"/>
      <c r="AZ1645" s="4"/>
      <c r="BA1645" s="4"/>
      <c r="BB1645" s="4"/>
      <c r="BC1645" s="4"/>
      <c r="BD1645" s="4"/>
      <c r="BE1645" s="4"/>
      <c r="BF1645" s="4"/>
      <c r="BG1645" s="4"/>
      <c r="BH1645" s="4"/>
      <c r="BI1645" s="4"/>
      <c r="BJ1645" s="4"/>
      <c r="BK1645" s="4"/>
      <c r="BL1645" s="4"/>
      <c r="BM1645" s="4"/>
      <c r="BN1645" s="4"/>
      <c r="BO1645" s="4"/>
      <c r="BP1645" s="4"/>
      <c r="BQ1645" s="4"/>
      <c r="BR1645" s="4"/>
      <c r="BS1645" s="4"/>
      <c r="BT1645" s="4"/>
      <c r="BU1645" s="4"/>
      <c r="BV1645" s="4"/>
      <c r="BW1645" s="4"/>
      <c r="BX1645" s="4"/>
      <c r="BY1645" s="4"/>
      <c r="BZ1645" s="4"/>
      <c r="CA1645" s="4"/>
      <c r="CB1645" s="4"/>
      <c r="CC1645" s="4"/>
      <c r="CD1645" s="4"/>
      <c r="CE1645" s="4"/>
      <c r="CF1645" s="4"/>
      <c r="CG1645" s="4"/>
      <c r="CH1645" s="4"/>
      <c r="CI1645" s="4"/>
      <c r="CJ1645" s="4"/>
      <c r="CK1645" s="4"/>
      <c r="CL1645" s="4"/>
      <c r="CM1645" s="4"/>
      <c r="CN1645" s="4"/>
      <c r="CO1645" s="4"/>
      <c r="CP1645" s="4"/>
      <c r="CQ1645" s="4"/>
      <c r="CR1645" s="4"/>
      <c r="CS1645" s="4"/>
      <c r="CT1645" s="4"/>
      <c r="CU1645" s="4"/>
      <c r="CV1645" s="4"/>
      <c r="CW1645" s="4"/>
      <c r="CX1645" s="4"/>
      <c r="CY1645" s="4"/>
      <c r="CZ1645" s="4"/>
      <c r="DA1645" s="4"/>
      <c r="DB1645" s="4"/>
      <c r="DC1645" s="4"/>
      <c r="DD1645" s="4"/>
      <c r="DE1645" s="4"/>
      <c r="DF1645" s="4"/>
      <c r="DG1645" s="4"/>
      <c r="DH1645" s="4"/>
      <c r="DI1645" s="4"/>
      <c r="DJ1645" s="4"/>
      <c r="DK1645" s="4"/>
      <c r="DL1645" s="4"/>
      <c r="DM1645" s="4"/>
      <c r="DN1645" s="4"/>
      <c r="DO1645" s="4"/>
      <c r="DP1645" s="4"/>
      <c r="DQ1645" s="4"/>
      <c r="DR1645" s="4"/>
      <c r="DS1645" s="4"/>
    </row>
    <row r="1646">
      <c r="A1646" s="9">
        <f>IFERROR(__xludf.DUMMYFUNCTION("""COMPUTED_VALUE"""),45970.0)</f>
        <v>45970</v>
      </c>
      <c r="B1646" s="6" t="str">
        <f>IFERROR(__xludf.DUMMYFUNCTION("""COMPUTED_VALUE"""),"Groceries")</f>
        <v>Groceries</v>
      </c>
      <c r="C1646" s="7">
        <f>IFERROR(__xludf.DUMMYFUNCTION("""COMPUTED_VALUE"""),18000.0)</f>
        <v>18000</v>
      </c>
      <c r="D1646" s="6" t="str">
        <f>IFERROR(__xludf.DUMMYFUNCTION("""COMPUTED_VALUE"""),"Restaurant / Café")</f>
        <v>Restaurant / Café</v>
      </c>
      <c r="E1646" s="6" t="str">
        <f>IFERROR(__xludf.DUMMYFUNCTION("""COMPUTED_VALUE"""),"Split Payment")</f>
        <v>Split Payment</v>
      </c>
      <c r="F1646" s="6" t="s">
        <v>14</v>
      </c>
      <c r="G1646" s="8" t="str">
        <f t="shared" si="1"/>
        <v>202511</v>
      </c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  <c r="AA1646" s="4"/>
      <c r="AB1646" s="4"/>
      <c r="AC1646" s="4"/>
      <c r="AD1646" s="4"/>
      <c r="AE1646" s="4"/>
      <c r="AF1646" s="4"/>
      <c r="AG1646" s="4"/>
      <c r="AH1646" s="4"/>
      <c r="AI1646" s="4"/>
      <c r="AJ1646" s="4"/>
      <c r="AK1646" s="4"/>
      <c r="AL1646" s="4"/>
      <c r="AM1646" s="4"/>
      <c r="AN1646" s="4"/>
      <c r="AO1646" s="4"/>
      <c r="AP1646" s="4"/>
      <c r="AQ1646" s="4"/>
      <c r="AR1646" s="4"/>
      <c r="AS1646" s="4"/>
      <c r="AT1646" s="4"/>
      <c r="AU1646" s="4"/>
      <c r="AV1646" s="4"/>
      <c r="AW1646" s="4"/>
      <c r="AX1646" s="4"/>
      <c r="AY1646" s="4"/>
      <c r="AZ1646" s="4"/>
      <c r="BA1646" s="4"/>
      <c r="BB1646" s="4"/>
      <c r="BC1646" s="4"/>
      <c r="BD1646" s="4"/>
      <c r="BE1646" s="4"/>
      <c r="BF1646" s="4"/>
      <c r="BG1646" s="4"/>
      <c r="BH1646" s="4"/>
      <c r="BI1646" s="4"/>
      <c r="BJ1646" s="4"/>
      <c r="BK1646" s="4"/>
      <c r="BL1646" s="4"/>
      <c r="BM1646" s="4"/>
      <c r="BN1646" s="4"/>
      <c r="BO1646" s="4"/>
      <c r="BP1646" s="4"/>
      <c r="BQ1646" s="4"/>
      <c r="BR1646" s="4"/>
      <c r="BS1646" s="4"/>
      <c r="BT1646" s="4"/>
      <c r="BU1646" s="4"/>
      <c r="BV1646" s="4"/>
      <c r="BW1646" s="4"/>
      <c r="BX1646" s="4"/>
      <c r="BY1646" s="4"/>
      <c r="BZ1646" s="4"/>
      <c r="CA1646" s="4"/>
      <c r="CB1646" s="4"/>
      <c r="CC1646" s="4"/>
      <c r="CD1646" s="4"/>
      <c r="CE1646" s="4"/>
      <c r="CF1646" s="4"/>
      <c r="CG1646" s="4"/>
      <c r="CH1646" s="4"/>
      <c r="CI1646" s="4"/>
      <c r="CJ1646" s="4"/>
      <c r="CK1646" s="4"/>
      <c r="CL1646" s="4"/>
      <c r="CM1646" s="4"/>
      <c r="CN1646" s="4"/>
      <c r="CO1646" s="4"/>
      <c r="CP1646" s="4"/>
      <c r="CQ1646" s="4"/>
      <c r="CR1646" s="4"/>
      <c r="CS1646" s="4"/>
      <c r="CT1646" s="4"/>
      <c r="CU1646" s="4"/>
      <c r="CV1646" s="4"/>
      <c r="CW1646" s="4"/>
      <c r="CX1646" s="4"/>
      <c r="CY1646" s="4"/>
      <c r="CZ1646" s="4"/>
      <c r="DA1646" s="4"/>
      <c r="DB1646" s="4"/>
      <c r="DC1646" s="4"/>
      <c r="DD1646" s="4"/>
      <c r="DE1646" s="4"/>
      <c r="DF1646" s="4"/>
      <c r="DG1646" s="4"/>
      <c r="DH1646" s="4"/>
      <c r="DI1646" s="4"/>
      <c r="DJ1646" s="4"/>
      <c r="DK1646" s="4"/>
      <c r="DL1646" s="4"/>
      <c r="DM1646" s="4"/>
      <c r="DN1646" s="4"/>
      <c r="DO1646" s="4"/>
      <c r="DP1646" s="4"/>
      <c r="DQ1646" s="4"/>
      <c r="DR1646" s="4"/>
      <c r="DS1646" s="4"/>
    </row>
    <row r="1647">
      <c r="A1647" s="9">
        <f>IFERROR(__xludf.DUMMYFUNCTION("""COMPUTED_VALUE"""),45970.0)</f>
        <v>45970</v>
      </c>
      <c r="B1647" s="6" t="str">
        <f>IFERROR(__xludf.DUMMYFUNCTION("""COMPUTED_VALUE"""),"Streaming Services")</f>
        <v>Streaming Services</v>
      </c>
      <c r="C1647" s="7">
        <f>IFERROR(__xludf.DUMMYFUNCTION("""COMPUTED_VALUE"""),3321.0)</f>
        <v>3321</v>
      </c>
      <c r="D1647" s="6" t="str">
        <f>IFERROR(__xludf.DUMMYFUNCTION("""COMPUTED_VALUE"""),"Streaming Services")</f>
        <v>Streaming Services</v>
      </c>
      <c r="E1647" s="6" t="str">
        <f>IFERROR(__xludf.DUMMYFUNCTION("""COMPUTED_VALUE"""),"Credit Card")</f>
        <v>Credit Card</v>
      </c>
      <c r="F1647" s="6" t="s">
        <v>12</v>
      </c>
      <c r="G1647" s="8" t="str">
        <f t="shared" si="1"/>
        <v>202511</v>
      </c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  <c r="AA1647" s="4"/>
      <c r="AB1647" s="4"/>
      <c r="AC1647" s="4"/>
      <c r="AD1647" s="4"/>
      <c r="AE1647" s="4"/>
      <c r="AF1647" s="4"/>
      <c r="AG1647" s="4"/>
      <c r="AH1647" s="4"/>
      <c r="AI1647" s="4"/>
      <c r="AJ1647" s="4"/>
      <c r="AK1647" s="4"/>
      <c r="AL1647" s="4"/>
      <c r="AM1647" s="4"/>
      <c r="AN1647" s="4"/>
      <c r="AO1647" s="4"/>
      <c r="AP1647" s="4"/>
      <c r="AQ1647" s="4"/>
      <c r="AR1647" s="4"/>
      <c r="AS1647" s="4"/>
      <c r="AT1647" s="4"/>
      <c r="AU1647" s="4"/>
      <c r="AV1647" s="4"/>
      <c r="AW1647" s="4"/>
      <c r="AX1647" s="4"/>
      <c r="AY1647" s="4"/>
      <c r="AZ1647" s="4"/>
      <c r="BA1647" s="4"/>
      <c r="BB1647" s="4"/>
      <c r="BC1647" s="4"/>
      <c r="BD1647" s="4"/>
      <c r="BE1647" s="4"/>
      <c r="BF1647" s="4"/>
      <c r="BG1647" s="4"/>
      <c r="BH1647" s="4"/>
      <c r="BI1647" s="4"/>
      <c r="BJ1647" s="4"/>
      <c r="BK1647" s="4"/>
      <c r="BL1647" s="4"/>
      <c r="BM1647" s="4"/>
      <c r="BN1647" s="4"/>
      <c r="BO1647" s="4"/>
      <c r="BP1647" s="4"/>
      <c r="BQ1647" s="4"/>
      <c r="BR1647" s="4"/>
      <c r="BS1647" s="4"/>
      <c r="BT1647" s="4"/>
      <c r="BU1647" s="4"/>
      <c r="BV1647" s="4"/>
      <c r="BW1647" s="4"/>
      <c r="BX1647" s="4"/>
      <c r="BY1647" s="4"/>
      <c r="BZ1647" s="4"/>
      <c r="CA1647" s="4"/>
      <c r="CB1647" s="4"/>
      <c r="CC1647" s="4"/>
      <c r="CD1647" s="4"/>
      <c r="CE1647" s="4"/>
      <c r="CF1647" s="4"/>
      <c r="CG1647" s="4"/>
      <c r="CH1647" s="4"/>
      <c r="CI1647" s="4"/>
      <c r="CJ1647" s="4"/>
      <c r="CK1647" s="4"/>
      <c r="CL1647" s="4"/>
      <c r="CM1647" s="4"/>
      <c r="CN1647" s="4"/>
      <c r="CO1647" s="4"/>
      <c r="CP1647" s="4"/>
      <c r="CQ1647" s="4"/>
      <c r="CR1647" s="4"/>
      <c r="CS1647" s="4"/>
      <c r="CT1647" s="4"/>
      <c r="CU1647" s="4"/>
      <c r="CV1647" s="4"/>
      <c r="CW1647" s="4"/>
      <c r="CX1647" s="4"/>
      <c r="CY1647" s="4"/>
      <c r="CZ1647" s="4"/>
      <c r="DA1647" s="4"/>
      <c r="DB1647" s="4"/>
      <c r="DC1647" s="4"/>
      <c r="DD1647" s="4"/>
      <c r="DE1647" s="4"/>
      <c r="DF1647" s="4"/>
      <c r="DG1647" s="4"/>
      <c r="DH1647" s="4"/>
      <c r="DI1647" s="4"/>
      <c r="DJ1647" s="4"/>
      <c r="DK1647" s="4"/>
      <c r="DL1647" s="4"/>
      <c r="DM1647" s="4"/>
      <c r="DN1647" s="4"/>
      <c r="DO1647" s="4"/>
      <c r="DP1647" s="4"/>
      <c r="DQ1647" s="4"/>
      <c r="DR1647" s="4"/>
      <c r="DS1647" s="4"/>
    </row>
    <row r="1648">
      <c r="A1648" s="9">
        <f>IFERROR(__xludf.DUMMYFUNCTION("""COMPUTED_VALUE"""),45971.0)</f>
        <v>45971</v>
      </c>
      <c r="B1648" s="6" t="str">
        <f>IFERROR(__xludf.DUMMYFUNCTION("""COMPUTED_VALUE"""),"Groceries")</f>
        <v>Groceries</v>
      </c>
      <c r="C1648" s="7">
        <f>IFERROR(__xludf.DUMMYFUNCTION("""COMPUTED_VALUE"""),1350.0)</f>
        <v>1350</v>
      </c>
      <c r="D1648" s="6" t="str">
        <f>IFERROR(__xludf.DUMMYFUNCTION("""COMPUTED_VALUE"""),"Groceries")</f>
        <v>Groceries</v>
      </c>
      <c r="E1648" s="6" t="str">
        <f>IFERROR(__xludf.DUMMYFUNCTION("""COMPUTED_VALUE"""),"Split Payment")</f>
        <v>Split Payment</v>
      </c>
      <c r="F1648" s="6" t="s">
        <v>7</v>
      </c>
      <c r="G1648" s="8" t="str">
        <f t="shared" si="1"/>
        <v>202511</v>
      </c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  <c r="AA1648" s="4"/>
      <c r="AB1648" s="4"/>
      <c r="AC1648" s="4"/>
      <c r="AD1648" s="4"/>
      <c r="AE1648" s="4"/>
      <c r="AF1648" s="4"/>
      <c r="AG1648" s="4"/>
      <c r="AH1648" s="4"/>
      <c r="AI1648" s="4"/>
      <c r="AJ1648" s="4"/>
      <c r="AK1648" s="4"/>
      <c r="AL1648" s="4"/>
      <c r="AM1648" s="4"/>
      <c r="AN1648" s="4"/>
      <c r="AO1648" s="4"/>
      <c r="AP1648" s="4"/>
      <c r="AQ1648" s="4"/>
      <c r="AR1648" s="4"/>
      <c r="AS1648" s="4"/>
      <c r="AT1648" s="4"/>
      <c r="AU1648" s="4"/>
      <c r="AV1648" s="4"/>
      <c r="AW1648" s="4"/>
      <c r="AX1648" s="4"/>
      <c r="AY1648" s="4"/>
      <c r="AZ1648" s="4"/>
      <c r="BA1648" s="4"/>
      <c r="BB1648" s="4"/>
      <c r="BC1648" s="4"/>
      <c r="BD1648" s="4"/>
      <c r="BE1648" s="4"/>
      <c r="BF1648" s="4"/>
      <c r="BG1648" s="4"/>
      <c r="BH1648" s="4"/>
      <c r="BI1648" s="4"/>
      <c r="BJ1648" s="4"/>
      <c r="BK1648" s="4"/>
      <c r="BL1648" s="4"/>
      <c r="BM1648" s="4"/>
      <c r="BN1648" s="4"/>
      <c r="BO1648" s="4"/>
      <c r="BP1648" s="4"/>
      <c r="BQ1648" s="4"/>
      <c r="BR1648" s="4"/>
      <c r="BS1648" s="4"/>
      <c r="BT1648" s="4"/>
      <c r="BU1648" s="4"/>
      <c r="BV1648" s="4"/>
      <c r="BW1648" s="4"/>
      <c r="BX1648" s="4"/>
      <c r="BY1648" s="4"/>
      <c r="BZ1648" s="4"/>
      <c r="CA1648" s="4"/>
      <c r="CB1648" s="4"/>
      <c r="CC1648" s="4"/>
      <c r="CD1648" s="4"/>
      <c r="CE1648" s="4"/>
      <c r="CF1648" s="4"/>
      <c r="CG1648" s="4"/>
      <c r="CH1648" s="4"/>
      <c r="CI1648" s="4"/>
      <c r="CJ1648" s="4"/>
      <c r="CK1648" s="4"/>
      <c r="CL1648" s="4"/>
      <c r="CM1648" s="4"/>
      <c r="CN1648" s="4"/>
      <c r="CO1648" s="4"/>
      <c r="CP1648" s="4"/>
      <c r="CQ1648" s="4"/>
      <c r="CR1648" s="4"/>
      <c r="CS1648" s="4"/>
      <c r="CT1648" s="4"/>
      <c r="CU1648" s="4"/>
      <c r="CV1648" s="4"/>
      <c r="CW1648" s="4"/>
      <c r="CX1648" s="4"/>
      <c r="CY1648" s="4"/>
      <c r="CZ1648" s="4"/>
      <c r="DA1648" s="4"/>
      <c r="DB1648" s="4"/>
      <c r="DC1648" s="4"/>
      <c r="DD1648" s="4"/>
      <c r="DE1648" s="4"/>
      <c r="DF1648" s="4"/>
      <c r="DG1648" s="4"/>
      <c r="DH1648" s="4"/>
      <c r="DI1648" s="4"/>
      <c r="DJ1648" s="4"/>
      <c r="DK1648" s="4"/>
      <c r="DL1648" s="4"/>
      <c r="DM1648" s="4"/>
      <c r="DN1648" s="4"/>
      <c r="DO1648" s="4"/>
      <c r="DP1648" s="4"/>
      <c r="DQ1648" s="4"/>
      <c r="DR1648" s="4"/>
      <c r="DS1648" s="4"/>
    </row>
    <row r="1649">
      <c r="A1649" s="9">
        <f>IFERROR(__xludf.DUMMYFUNCTION("""COMPUTED_VALUE"""),45971.0)</f>
        <v>45971</v>
      </c>
      <c r="B1649" s="6" t="str">
        <f>IFERROR(__xludf.DUMMYFUNCTION("""COMPUTED_VALUE"""),"Groceries")</f>
        <v>Groceries</v>
      </c>
      <c r="C1649" s="7">
        <f>IFERROR(__xludf.DUMMYFUNCTION("""COMPUTED_VALUE"""),2050.0)</f>
        <v>2050</v>
      </c>
      <c r="D1649" s="6" t="str">
        <f>IFERROR(__xludf.DUMMYFUNCTION("""COMPUTED_VALUE"""),"Groceries")</f>
        <v>Groceries</v>
      </c>
      <c r="E1649" s="6" t="str">
        <f>IFERROR(__xludf.DUMMYFUNCTION("""COMPUTED_VALUE"""),"Virtual Wallet")</f>
        <v>Virtual Wallet</v>
      </c>
      <c r="F1649" s="6" t="s">
        <v>7</v>
      </c>
      <c r="G1649" s="8" t="str">
        <f t="shared" si="1"/>
        <v>202511</v>
      </c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  <c r="AA1649" s="4"/>
      <c r="AB1649" s="4"/>
      <c r="AC1649" s="4"/>
      <c r="AD1649" s="4"/>
      <c r="AE1649" s="4"/>
      <c r="AF1649" s="4"/>
      <c r="AG1649" s="4"/>
      <c r="AH1649" s="4"/>
      <c r="AI1649" s="4"/>
      <c r="AJ1649" s="4"/>
      <c r="AK1649" s="4"/>
      <c r="AL1649" s="4"/>
      <c r="AM1649" s="4"/>
      <c r="AN1649" s="4"/>
      <c r="AO1649" s="4"/>
      <c r="AP1649" s="4"/>
      <c r="AQ1649" s="4"/>
      <c r="AR1649" s="4"/>
      <c r="AS1649" s="4"/>
      <c r="AT1649" s="4"/>
      <c r="AU1649" s="4"/>
      <c r="AV1649" s="4"/>
      <c r="AW1649" s="4"/>
      <c r="AX1649" s="4"/>
      <c r="AY1649" s="4"/>
      <c r="AZ1649" s="4"/>
      <c r="BA1649" s="4"/>
      <c r="BB1649" s="4"/>
      <c r="BC1649" s="4"/>
      <c r="BD1649" s="4"/>
      <c r="BE1649" s="4"/>
      <c r="BF1649" s="4"/>
      <c r="BG1649" s="4"/>
      <c r="BH1649" s="4"/>
      <c r="BI1649" s="4"/>
      <c r="BJ1649" s="4"/>
      <c r="BK1649" s="4"/>
      <c r="BL1649" s="4"/>
      <c r="BM1649" s="4"/>
      <c r="BN1649" s="4"/>
      <c r="BO1649" s="4"/>
      <c r="BP1649" s="4"/>
      <c r="BQ1649" s="4"/>
      <c r="BR1649" s="4"/>
      <c r="BS1649" s="4"/>
      <c r="BT1649" s="4"/>
      <c r="BU1649" s="4"/>
      <c r="BV1649" s="4"/>
      <c r="BW1649" s="4"/>
      <c r="BX1649" s="4"/>
      <c r="BY1649" s="4"/>
      <c r="BZ1649" s="4"/>
      <c r="CA1649" s="4"/>
      <c r="CB1649" s="4"/>
      <c r="CC1649" s="4"/>
      <c r="CD1649" s="4"/>
      <c r="CE1649" s="4"/>
      <c r="CF1649" s="4"/>
      <c r="CG1649" s="4"/>
      <c r="CH1649" s="4"/>
      <c r="CI1649" s="4"/>
      <c r="CJ1649" s="4"/>
      <c r="CK1649" s="4"/>
      <c r="CL1649" s="4"/>
      <c r="CM1649" s="4"/>
      <c r="CN1649" s="4"/>
      <c r="CO1649" s="4"/>
      <c r="CP1649" s="4"/>
      <c r="CQ1649" s="4"/>
      <c r="CR1649" s="4"/>
      <c r="CS1649" s="4"/>
      <c r="CT1649" s="4"/>
      <c r="CU1649" s="4"/>
      <c r="CV1649" s="4"/>
      <c r="CW1649" s="4"/>
      <c r="CX1649" s="4"/>
      <c r="CY1649" s="4"/>
      <c r="CZ1649" s="4"/>
      <c r="DA1649" s="4"/>
      <c r="DB1649" s="4"/>
      <c r="DC1649" s="4"/>
      <c r="DD1649" s="4"/>
      <c r="DE1649" s="4"/>
      <c r="DF1649" s="4"/>
      <c r="DG1649" s="4"/>
      <c r="DH1649" s="4"/>
      <c r="DI1649" s="4"/>
      <c r="DJ1649" s="4"/>
      <c r="DK1649" s="4"/>
      <c r="DL1649" s="4"/>
      <c r="DM1649" s="4"/>
      <c r="DN1649" s="4"/>
      <c r="DO1649" s="4"/>
      <c r="DP1649" s="4"/>
      <c r="DQ1649" s="4"/>
      <c r="DR1649" s="4"/>
      <c r="DS1649" s="4"/>
    </row>
    <row r="1650">
      <c r="A1650" s="9">
        <f>IFERROR(__xludf.DUMMYFUNCTION("""COMPUTED_VALUE"""),45971.0)</f>
        <v>45971</v>
      </c>
      <c r="B1650" s="6" t="str">
        <f>IFERROR(__xludf.DUMMYFUNCTION("""COMPUTED_VALUE"""),"Groceries")</f>
        <v>Groceries</v>
      </c>
      <c r="C1650" s="7">
        <f>IFERROR(__xludf.DUMMYFUNCTION("""COMPUTED_VALUE"""),3250.0)</f>
        <v>3250</v>
      </c>
      <c r="D1650" s="6" t="str">
        <f>IFERROR(__xludf.DUMMYFUNCTION("""COMPUTED_VALUE"""),"Groceries")</f>
        <v>Groceries</v>
      </c>
      <c r="E1650" s="6" t="str">
        <f>IFERROR(__xludf.DUMMYFUNCTION("""COMPUTED_VALUE"""),"Virtual Wallet")</f>
        <v>Virtual Wallet</v>
      </c>
      <c r="F1650" s="6" t="s">
        <v>7</v>
      </c>
      <c r="G1650" s="8" t="str">
        <f t="shared" si="1"/>
        <v>202511</v>
      </c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  <c r="AA1650" s="4"/>
      <c r="AB1650" s="4"/>
      <c r="AC1650" s="4"/>
      <c r="AD1650" s="4"/>
      <c r="AE1650" s="4"/>
      <c r="AF1650" s="4"/>
      <c r="AG1650" s="4"/>
      <c r="AH1650" s="4"/>
      <c r="AI1650" s="4"/>
      <c r="AJ1650" s="4"/>
      <c r="AK1650" s="4"/>
      <c r="AL1650" s="4"/>
      <c r="AM1650" s="4"/>
      <c r="AN1650" s="4"/>
      <c r="AO1650" s="4"/>
      <c r="AP1650" s="4"/>
      <c r="AQ1650" s="4"/>
      <c r="AR1650" s="4"/>
      <c r="AS1650" s="4"/>
      <c r="AT1650" s="4"/>
      <c r="AU1650" s="4"/>
      <c r="AV1650" s="4"/>
      <c r="AW1650" s="4"/>
      <c r="AX1650" s="4"/>
      <c r="AY1650" s="4"/>
      <c r="AZ1650" s="4"/>
      <c r="BA1650" s="4"/>
      <c r="BB1650" s="4"/>
      <c r="BC1650" s="4"/>
      <c r="BD1650" s="4"/>
      <c r="BE1650" s="4"/>
      <c r="BF1650" s="4"/>
      <c r="BG1650" s="4"/>
      <c r="BH1650" s="4"/>
      <c r="BI1650" s="4"/>
      <c r="BJ1650" s="4"/>
      <c r="BK1650" s="4"/>
      <c r="BL1650" s="4"/>
      <c r="BM1650" s="4"/>
      <c r="BN1650" s="4"/>
      <c r="BO1650" s="4"/>
      <c r="BP1650" s="4"/>
      <c r="BQ1650" s="4"/>
      <c r="BR1650" s="4"/>
      <c r="BS1650" s="4"/>
      <c r="BT1650" s="4"/>
      <c r="BU1650" s="4"/>
      <c r="BV1650" s="4"/>
      <c r="BW1650" s="4"/>
      <c r="BX1650" s="4"/>
      <c r="BY1650" s="4"/>
      <c r="BZ1650" s="4"/>
      <c r="CA1650" s="4"/>
      <c r="CB1650" s="4"/>
      <c r="CC1650" s="4"/>
      <c r="CD1650" s="4"/>
      <c r="CE1650" s="4"/>
      <c r="CF1650" s="4"/>
      <c r="CG1650" s="4"/>
      <c r="CH1650" s="4"/>
      <c r="CI1650" s="4"/>
      <c r="CJ1650" s="4"/>
      <c r="CK1650" s="4"/>
      <c r="CL1650" s="4"/>
      <c r="CM1650" s="4"/>
      <c r="CN1650" s="4"/>
      <c r="CO1650" s="4"/>
      <c r="CP1650" s="4"/>
      <c r="CQ1650" s="4"/>
      <c r="CR1650" s="4"/>
      <c r="CS1650" s="4"/>
      <c r="CT1650" s="4"/>
      <c r="CU1650" s="4"/>
      <c r="CV1650" s="4"/>
      <c r="CW1650" s="4"/>
      <c r="CX1650" s="4"/>
      <c r="CY1650" s="4"/>
      <c r="CZ1650" s="4"/>
      <c r="DA1650" s="4"/>
      <c r="DB1650" s="4"/>
      <c r="DC1650" s="4"/>
      <c r="DD1650" s="4"/>
      <c r="DE1650" s="4"/>
      <c r="DF1650" s="4"/>
      <c r="DG1650" s="4"/>
      <c r="DH1650" s="4"/>
      <c r="DI1650" s="4"/>
      <c r="DJ1650" s="4"/>
      <c r="DK1650" s="4"/>
      <c r="DL1650" s="4"/>
      <c r="DM1650" s="4"/>
      <c r="DN1650" s="4"/>
      <c r="DO1650" s="4"/>
      <c r="DP1650" s="4"/>
      <c r="DQ1650" s="4"/>
      <c r="DR1650" s="4"/>
      <c r="DS1650" s="4"/>
    </row>
    <row r="1651">
      <c r="A1651" s="9">
        <f>IFERROR(__xludf.DUMMYFUNCTION("""COMPUTED_VALUE"""),45972.0)</f>
        <v>45972</v>
      </c>
      <c r="B1651" s="6" t="str">
        <f>IFERROR(__xludf.DUMMYFUNCTION("""COMPUTED_VALUE"""),"Groceries")</f>
        <v>Groceries</v>
      </c>
      <c r="C1651" s="7">
        <f>IFERROR(__xludf.DUMMYFUNCTION("""COMPUTED_VALUE"""),4000.0)</f>
        <v>4000</v>
      </c>
      <c r="D1651" s="6" t="str">
        <f>IFERROR(__xludf.DUMMYFUNCTION("""COMPUTED_VALUE"""),"Restaurant / Café")</f>
        <v>Restaurant / Café</v>
      </c>
      <c r="E1651" s="6" t="str">
        <f>IFERROR(__xludf.DUMMYFUNCTION("""COMPUTED_VALUE"""),"Virtual Wallet")</f>
        <v>Virtual Wallet</v>
      </c>
      <c r="F1651" s="6" t="s">
        <v>14</v>
      </c>
      <c r="G1651" s="8" t="str">
        <f t="shared" si="1"/>
        <v>202511</v>
      </c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  <c r="AA1651" s="4"/>
      <c r="AB1651" s="4"/>
      <c r="AC1651" s="4"/>
      <c r="AD1651" s="4"/>
      <c r="AE1651" s="4"/>
      <c r="AF1651" s="4"/>
      <c r="AG1651" s="4"/>
      <c r="AH1651" s="4"/>
      <c r="AI1651" s="4"/>
      <c r="AJ1651" s="4"/>
      <c r="AK1651" s="4"/>
      <c r="AL1651" s="4"/>
      <c r="AM1651" s="4"/>
      <c r="AN1651" s="4"/>
      <c r="AO1651" s="4"/>
      <c r="AP1651" s="4"/>
      <c r="AQ1651" s="4"/>
      <c r="AR1651" s="4"/>
      <c r="AS1651" s="4"/>
      <c r="AT1651" s="4"/>
      <c r="AU1651" s="4"/>
      <c r="AV1651" s="4"/>
      <c r="AW1651" s="4"/>
      <c r="AX1651" s="4"/>
      <c r="AY1651" s="4"/>
      <c r="AZ1651" s="4"/>
      <c r="BA1651" s="4"/>
      <c r="BB1651" s="4"/>
      <c r="BC1651" s="4"/>
      <c r="BD1651" s="4"/>
      <c r="BE1651" s="4"/>
      <c r="BF1651" s="4"/>
      <c r="BG1651" s="4"/>
      <c r="BH1651" s="4"/>
      <c r="BI1651" s="4"/>
      <c r="BJ1651" s="4"/>
      <c r="BK1651" s="4"/>
      <c r="BL1651" s="4"/>
      <c r="BM1651" s="4"/>
      <c r="BN1651" s="4"/>
      <c r="BO1651" s="4"/>
      <c r="BP1651" s="4"/>
      <c r="BQ1651" s="4"/>
      <c r="BR1651" s="4"/>
      <c r="BS1651" s="4"/>
      <c r="BT1651" s="4"/>
      <c r="BU1651" s="4"/>
      <c r="BV1651" s="4"/>
      <c r="BW1651" s="4"/>
      <c r="BX1651" s="4"/>
      <c r="BY1651" s="4"/>
      <c r="BZ1651" s="4"/>
      <c r="CA1651" s="4"/>
      <c r="CB1651" s="4"/>
      <c r="CC1651" s="4"/>
      <c r="CD1651" s="4"/>
      <c r="CE1651" s="4"/>
      <c r="CF1651" s="4"/>
      <c r="CG1651" s="4"/>
      <c r="CH1651" s="4"/>
      <c r="CI1651" s="4"/>
      <c r="CJ1651" s="4"/>
      <c r="CK1651" s="4"/>
      <c r="CL1651" s="4"/>
      <c r="CM1651" s="4"/>
      <c r="CN1651" s="4"/>
      <c r="CO1651" s="4"/>
      <c r="CP1651" s="4"/>
      <c r="CQ1651" s="4"/>
      <c r="CR1651" s="4"/>
      <c r="CS1651" s="4"/>
      <c r="CT1651" s="4"/>
      <c r="CU1651" s="4"/>
      <c r="CV1651" s="4"/>
      <c r="CW1651" s="4"/>
      <c r="CX1651" s="4"/>
      <c r="CY1651" s="4"/>
      <c r="CZ1651" s="4"/>
      <c r="DA1651" s="4"/>
      <c r="DB1651" s="4"/>
      <c r="DC1651" s="4"/>
      <c r="DD1651" s="4"/>
      <c r="DE1651" s="4"/>
      <c r="DF1651" s="4"/>
      <c r="DG1651" s="4"/>
      <c r="DH1651" s="4"/>
      <c r="DI1651" s="4"/>
      <c r="DJ1651" s="4"/>
      <c r="DK1651" s="4"/>
      <c r="DL1651" s="4"/>
      <c r="DM1651" s="4"/>
      <c r="DN1651" s="4"/>
      <c r="DO1651" s="4"/>
      <c r="DP1651" s="4"/>
      <c r="DQ1651" s="4"/>
      <c r="DR1651" s="4"/>
      <c r="DS1651" s="4"/>
    </row>
    <row r="1652">
      <c r="A1652" s="9">
        <f>IFERROR(__xludf.DUMMYFUNCTION("""COMPUTED_VALUE"""),45972.0)</f>
        <v>45972</v>
      </c>
      <c r="B1652" s="6" t="str">
        <f>IFERROR(__xludf.DUMMYFUNCTION("""COMPUTED_VALUE"""),"Pharmacy")</f>
        <v>Pharmacy</v>
      </c>
      <c r="C1652" s="7">
        <f>IFERROR(__xludf.DUMMYFUNCTION("""COMPUTED_VALUE"""),32840.0)</f>
        <v>32840</v>
      </c>
      <c r="D1652" s="6" t="str">
        <f>IFERROR(__xludf.DUMMYFUNCTION("""COMPUTED_VALUE"""),"Personal Care")</f>
        <v>Personal Care</v>
      </c>
      <c r="E1652" s="6" t="str">
        <f>IFERROR(__xludf.DUMMYFUNCTION("""COMPUTED_VALUE"""),"Virtual Wallet")</f>
        <v>Virtual Wallet</v>
      </c>
      <c r="F1652" s="6" t="s">
        <v>16</v>
      </c>
      <c r="G1652" s="8" t="str">
        <f t="shared" si="1"/>
        <v>202511</v>
      </c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  <c r="AA1652" s="4"/>
      <c r="AB1652" s="4"/>
      <c r="AC1652" s="4"/>
      <c r="AD1652" s="4"/>
      <c r="AE1652" s="4"/>
      <c r="AF1652" s="4"/>
      <c r="AG1652" s="4"/>
      <c r="AH1652" s="4"/>
      <c r="AI1652" s="4"/>
      <c r="AJ1652" s="4"/>
      <c r="AK1652" s="4"/>
      <c r="AL1652" s="4"/>
      <c r="AM1652" s="4"/>
      <c r="AN1652" s="4"/>
      <c r="AO1652" s="4"/>
      <c r="AP1652" s="4"/>
      <c r="AQ1652" s="4"/>
      <c r="AR1652" s="4"/>
      <c r="AS1652" s="4"/>
      <c r="AT1652" s="4"/>
      <c r="AU1652" s="4"/>
      <c r="AV1652" s="4"/>
      <c r="AW1652" s="4"/>
      <c r="AX1652" s="4"/>
      <c r="AY1652" s="4"/>
      <c r="AZ1652" s="4"/>
      <c r="BA1652" s="4"/>
      <c r="BB1652" s="4"/>
      <c r="BC1652" s="4"/>
      <c r="BD1652" s="4"/>
      <c r="BE1652" s="4"/>
      <c r="BF1652" s="4"/>
      <c r="BG1652" s="4"/>
      <c r="BH1652" s="4"/>
      <c r="BI1652" s="4"/>
      <c r="BJ1652" s="4"/>
      <c r="BK1652" s="4"/>
      <c r="BL1652" s="4"/>
      <c r="BM1652" s="4"/>
      <c r="BN1652" s="4"/>
      <c r="BO1652" s="4"/>
      <c r="BP1652" s="4"/>
      <c r="BQ1652" s="4"/>
      <c r="BR1652" s="4"/>
      <c r="BS1652" s="4"/>
      <c r="BT1652" s="4"/>
      <c r="BU1652" s="4"/>
      <c r="BV1652" s="4"/>
      <c r="BW1652" s="4"/>
      <c r="BX1652" s="4"/>
      <c r="BY1652" s="4"/>
      <c r="BZ1652" s="4"/>
      <c r="CA1652" s="4"/>
      <c r="CB1652" s="4"/>
      <c r="CC1652" s="4"/>
      <c r="CD1652" s="4"/>
      <c r="CE1652" s="4"/>
      <c r="CF1652" s="4"/>
      <c r="CG1652" s="4"/>
      <c r="CH1652" s="4"/>
      <c r="CI1652" s="4"/>
      <c r="CJ1652" s="4"/>
      <c r="CK1652" s="4"/>
      <c r="CL1652" s="4"/>
      <c r="CM1652" s="4"/>
      <c r="CN1652" s="4"/>
      <c r="CO1652" s="4"/>
      <c r="CP1652" s="4"/>
      <c r="CQ1652" s="4"/>
      <c r="CR1652" s="4"/>
      <c r="CS1652" s="4"/>
      <c r="CT1652" s="4"/>
      <c r="CU1652" s="4"/>
      <c r="CV1652" s="4"/>
      <c r="CW1652" s="4"/>
      <c r="CX1652" s="4"/>
      <c r="CY1652" s="4"/>
      <c r="CZ1652" s="4"/>
      <c r="DA1652" s="4"/>
      <c r="DB1652" s="4"/>
      <c r="DC1652" s="4"/>
      <c r="DD1652" s="4"/>
      <c r="DE1652" s="4"/>
      <c r="DF1652" s="4"/>
      <c r="DG1652" s="4"/>
      <c r="DH1652" s="4"/>
      <c r="DI1652" s="4"/>
      <c r="DJ1652" s="4"/>
      <c r="DK1652" s="4"/>
      <c r="DL1652" s="4"/>
      <c r="DM1652" s="4"/>
      <c r="DN1652" s="4"/>
      <c r="DO1652" s="4"/>
      <c r="DP1652" s="4"/>
      <c r="DQ1652" s="4"/>
      <c r="DR1652" s="4"/>
      <c r="DS1652" s="4"/>
    </row>
    <row r="1653">
      <c r="A1653" s="9">
        <f>IFERROR(__xludf.DUMMYFUNCTION("""COMPUTED_VALUE"""),45972.0)</f>
        <v>45972</v>
      </c>
      <c r="B1653" s="6" t="str">
        <f>IFERROR(__xludf.DUMMYFUNCTION("""COMPUTED_VALUE"""),"Restaurant")</f>
        <v>Restaurant</v>
      </c>
      <c r="C1653" s="7">
        <f>IFERROR(__xludf.DUMMYFUNCTION("""COMPUTED_VALUE"""),27300.0)</f>
        <v>27300</v>
      </c>
      <c r="D1653" s="6" t="str">
        <f>IFERROR(__xludf.DUMMYFUNCTION("""COMPUTED_VALUE"""),"Restaurant / Café")</f>
        <v>Restaurant / Café</v>
      </c>
      <c r="E1653" s="6" t="str">
        <f>IFERROR(__xludf.DUMMYFUNCTION("""COMPUTED_VALUE"""),"Virtual Wallet")</f>
        <v>Virtual Wallet</v>
      </c>
      <c r="F1653" s="6" t="s">
        <v>14</v>
      </c>
      <c r="G1653" s="8" t="str">
        <f t="shared" si="1"/>
        <v>202511</v>
      </c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  <c r="AA1653" s="4"/>
      <c r="AB1653" s="4"/>
      <c r="AC1653" s="4"/>
      <c r="AD1653" s="4"/>
      <c r="AE1653" s="4"/>
      <c r="AF1653" s="4"/>
      <c r="AG1653" s="4"/>
      <c r="AH1653" s="4"/>
      <c r="AI1653" s="4"/>
      <c r="AJ1653" s="4"/>
      <c r="AK1653" s="4"/>
      <c r="AL1653" s="4"/>
      <c r="AM1653" s="4"/>
      <c r="AN1653" s="4"/>
      <c r="AO1653" s="4"/>
      <c r="AP1653" s="4"/>
      <c r="AQ1653" s="4"/>
      <c r="AR1653" s="4"/>
      <c r="AS1653" s="4"/>
      <c r="AT1653" s="4"/>
      <c r="AU1653" s="4"/>
      <c r="AV1653" s="4"/>
      <c r="AW1653" s="4"/>
      <c r="AX1653" s="4"/>
      <c r="AY1653" s="4"/>
      <c r="AZ1653" s="4"/>
      <c r="BA1653" s="4"/>
      <c r="BB1653" s="4"/>
      <c r="BC1653" s="4"/>
      <c r="BD1653" s="4"/>
      <c r="BE1653" s="4"/>
      <c r="BF1653" s="4"/>
      <c r="BG1653" s="4"/>
      <c r="BH1653" s="4"/>
      <c r="BI1653" s="4"/>
      <c r="BJ1653" s="4"/>
      <c r="BK1653" s="4"/>
      <c r="BL1653" s="4"/>
      <c r="BM1653" s="4"/>
      <c r="BN1653" s="4"/>
      <c r="BO1653" s="4"/>
      <c r="BP1653" s="4"/>
      <c r="BQ1653" s="4"/>
      <c r="BR1653" s="4"/>
      <c r="BS1653" s="4"/>
      <c r="BT1653" s="4"/>
      <c r="BU1653" s="4"/>
      <c r="BV1653" s="4"/>
      <c r="BW1653" s="4"/>
      <c r="BX1653" s="4"/>
      <c r="BY1653" s="4"/>
      <c r="BZ1653" s="4"/>
      <c r="CA1653" s="4"/>
      <c r="CB1653" s="4"/>
      <c r="CC1653" s="4"/>
      <c r="CD1653" s="4"/>
      <c r="CE1653" s="4"/>
      <c r="CF1653" s="4"/>
      <c r="CG1653" s="4"/>
      <c r="CH1653" s="4"/>
      <c r="CI1653" s="4"/>
      <c r="CJ1653" s="4"/>
      <c r="CK1653" s="4"/>
      <c r="CL1653" s="4"/>
      <c r="CM1653" s="4"/>
      <c r="CN1653" s="4"/>
      <c r="CO1653" s="4"/>
      <c r="CP1653" s="4"/>
      <c r="CQ1653" s="4"/>
      <c r="CR1653" s="4"/>
      <c r="CS1653" s="4"/>
      <c r="CT1653" s="4"/>
      <c r="CU1653" s="4"/>
      <c r="CV1653" s="4"/>
      <c r="CW1653" s="4"/>
      <c r="CX1653" s="4"/>
      <c r="CY1653" s="4"/>
      <c r="CZ1653" s="4"/>
      <c r="DA1653" s="4"/>
      <c r="DB1653" s="4"/>
      <c r="DC1653" s="4"/>
      <c r="DD1653" s="4"/>
      <c r="DE1653" s="4"/>
      <c r="DF1653" s="4"/>
      <c r="DG1653" s="4"/>
      <c r="DH1653" s="4"/>
      <c r="DI1653" s="4"/>
      <c r="DJ1653" s="4"/>
      <c r="DK1653" s="4"/>
      <c r="DL1653" s="4"/>
      <c r="DM1653" s="4"/>
      <c r="DN1653" s="4"/>
      <c r="DO1653" s="4"/>
      <c r="DP1653" s="4"/>
      <c r="DQ1653" s="4"/>
      <c r="DR1653" s="4"/>
      <c r="DS1653" s="4"/>
    </row>
    <row r="1654">
      <c r="A1654" s="9">
        <f>IFERROR(__xludf.DUMMYFUNCTION("""COMPUTED_VALUE"""),45972.0)</f>
        <v>45972</v>
      </c>
      <c r="B1654" s="6" t="str">
        <f>IFERROR(__xludf.DUMMYFUNCTION("""COMPUTED_VALUE"""),"Restaurant")</f>
        <v>Restaurant</v>
      </c>
      <c r="C1654" s="7">
        <f>IFERROR(__xludf.DUMMYFUNCTION("""COMPUTED_VALUE"""),5000.0)</f>
        <v>5000</v>
      </c>
      <c r="D1654" s="6" t="str">
        <f>IFERROR(__xludf.DUMMYFUNCTION("""COMPUTED_VALUE"""),"Restaurant / Café")</f>
        <v>Restaurant / Café</v>
      </c>
      <c r="E1654" s="6" t="str">
        <f>IFERROR(__xludf.DUMMYFUNCTION("""COMPUTED_VALUE"""),"Virtual Wallet")</f>
        <v>Virtual Wallet</v>
      </c>
      <c r="F1654" s="6" t="s">
        <v>14</v>
      </c>
      <c r="G1654" s="8" t="str">
        <f t="shared" si="1"/>
        <v>202511</v>
      </c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  <c r="AA1654" s="4"/>
      <c r="AB1654" s="4"/>
      <c r="AC1654" s="4"/>
      <c r="AD1654" s="4"/>
      <c r="AE1654" s="4"/>
      <c r="AF1654" s="4"/>
      <c r="AG1654" s="4"/>
      <c r="AH1654" s="4"/>
      <c r="AI1654" s="4"/>
      <c r="AJ1654" s="4"/>
      <c r="AK1654" s="4"/>
      <c r="AL1654" s="4"/>
      <c r="AM1654" s="4"/>
      <c r="AN1654" s="4"/>
      <c r="AO1654" s="4"/>
      <c r="AP1654" s="4"/>
      <c r="AQ1654" s="4"/>
      <c r="AR1654" s="4"/>
      <c r="AS1654" s="4"/>
      <c r="AT1654" s="4"/>
      <c r="AU1654" s="4"/>
      <c r="AV1654" s="4"/>
      <c r="AW1654" s="4"/>
      <c r="AX1654" s="4"/>
      <c r="AY1654" s="4"/>
      <c r="AZ1654" s="4"/>
      <c r="BA1654" s="4"/>
      <c r="BB1654" s="4"/>
      <c r="BC1654" s="4"/>
      <c r="BD1654" s="4"/>
      <c r="BE1654" s="4"/>
      <c r="BF1654" s="4"/>
      <c r="BG1654" s="4"/>
      <c r="BH1654" s="4"/>
      <c r="BI1654" s="4"/>
      <c r="BJ1654" s="4"/>
      <c r="BK1654" s="4"/>
      <c r="BL1654" s="4"/>
      <c r="BM1654" s="4"/>
      <c r="BN1654" s="4"/>
      <c r="BO1654" s="4"/>
      <c r="BP1654" s="4"/>
      <c r="BQ1654" s="4"/>
      <c r="BR1654" s="4"/>
      <c r="BS1654" s="4"/>
      <c r="BT1654" s="4"/>
      <c r="BU1654" s="4"/>
      <c r="BV1654" s="4"/>
      <c r="BW1654" s="4"/>
      <c r="BX1654" s="4"/>
      <c r="BY1654" s="4"/>
      <c r="BZ1654" s="4"/>
      <c r="CA1654" s="4"/>
      <c r="CB1654" s="4"/>
      <c r="CC1654" s="4"/>
      <c r="CD1654" s="4"/>
      <c r="CE1654" s="4"/>
      <c r="CF1654" s="4"/>
      <c r="CG1654" s="4"/>
      <c r="CH1654" s="4"/>
      <c r="CI1654" s="4"/>
      <c r="CJ1654" s="4"/>
      <c r="CK1654" s="4"/>
      <c r="CL1654" s="4"/>
      <c r="CM1654" s="4"/>
      <c r="CN1654" s="4"/>
      <c r="CO1654" s="4"/>
      <c r="CP1654" s="4"/>
      <c r="CQ1654" s="4"/>
      <c r="CR1654" s="4"/>
      <c r="CS1654" s="4"/>
      <c r="CT1654" s="4"/>
      <c r="CU1654" s="4"/>
      <c r="CV1654" s="4"/>
      <c r="CW1654" s="4"/>
      <c r="CX1654" s="4"/>
      <c r="CY1654" s="4"/>
      <c r="CZ1654" s="4"/>
      <c r="DA1654" s="4"/>
      <c r="DB1654" s="4"/>
      <c r="DC1654" s="4"/>
      <c r="DD1654" s="4"/>
      <c r="DE1654" s="4"/>
      <c r="DF1654" s="4"/>
      <c r="DG1654" s="4"/>
      <c r="DH1654" s="4"/>
      <c r="DI1654" s="4"/>
      <c r="DJ1654" s="4"/>
      <c r="DK1654" s="4"/>
      <c r="DL1654" s="4"/>
      <c r="DM1654" s="4"/>
      <c r="DN1654" s="4"/>
      <c r="DO1654" s="4"/>
      <c r="DP1654" s="4"/>
      <c r="DQ1654" s="4"/>
      <c r="DR1654" s="4"/>
      <c r="DS1654" s="4"/>
    </row>
    <row r="1655">
      <c r="A1655" s="9">
        <f>IFERROR(__xludf.DUMMYFUNCTION("""COMPUTED_VALUE"""),45973.0)</f>
        <v>45973</v>
      </c>
      <c r="B1655" s="6" t="str">
        <f>IFERROR(__xludf.DUMMYFUNCTION("""COMPUTED_VALUE"""),"Cab/Uber")</f>
        <v>Cab/Uber</v>
      </c>
      <c r="C1655" s="7">
        <f>IFERROR(__xludf.DUMMYFUNCTION("""COMPUTED_VALUE"""),451.0)</f>
        <v>451</v>
      </c>
      <c r="D1655" s="6" t="str">
        <f>IFERROR(__xludf.DUMMYFUNCTION("""COMPUTED_VALUE"""),"Transportation")</f>
        <v>Transportation</v>
      </c>
      <c r="E1655" s="6" t="str">
        <f>IFERROR(__xludf.DUMMYFUNCTION("""COMPUTED_VALUE"""),"Virtual Wallet")</f>
        <v>Virtual Wallet</v>
      </c>
      <c r="F1655" s="6" t="s">
        <v>9</v>
      </c>
      <c r="G1655" s="8" t="str">
        <f t="shared" si="1"/>
        <v>202511</v>
      </c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  <c r="AA1655" s="4"/>
      <c r="AB1655" s="4"/>
      <c r="AC1655" s="4"/>
      <c r="AD1655" s="4"/>
      <c r="AE1655" s="4"/>
      <c r="AF1655" s="4"/>
      <c r="AG1655" s="4"/>
      <c r="AH1655" s="4"/>
      <c r="AI1655" s="4"/>
      <c r="AJ1655" s="4"/>
      <c r="AK1655" s="4"/>
      <c r="AL1655" s="4"/>
      <c r="AM1655" s="4"/>
      <c r="AN1655" s="4"/>
      <c r="AO1655" s="4"/>
      <c r="AP1655" s="4"/>
      <c r="AQ1655" s="4"/>
      <c r="AR1655" s="4"/>
      <c r="AS1655" s="4"/>
      <c r="AT1655" s="4"/>
      <c r="AU1655" s="4"/>
      <c r="AV1655" s="4"/>
      <c r="AW1655" s="4"/>
      <c r="AX1655" s="4"/>
      <c r="AY1655" s="4"/>
      <c r="AZ1655" s="4"/>
      <c r="BA1655" s="4"/>
      <c r="BB1655" s="4"/>
      <c r="BC1655" s="4"/>
      <c r="BD1655" s="4"/>
      <c r="BE1655" s="4"/>
      <c r="BF1655" s="4"/>
      <c r="BG1655" s="4"/>
      <c r="BH1655" s="4"/>
      <c r="BI1655" s="4"/>
      <c r="BJ1655" s="4"/>
      <c r="BK1655" s="4"/>
      <c r="BL1655" s="4"/>
      <c r="BM1655" s="4"/>
      <c r="BN1655" s="4"/>
      <c r="BO1655" s="4"/>
      <c r="BP1655" s="4"/>
      <c r="BQ1655" s="4"/>
      <c r="BR1655" s="4"/>
      <c r="BS1655" s="4"/>
      <c r="BT1655" s="4"/>
      <c r="BU1655" s="4"/>
      <c r="BV1655" s="4"/>
      <c r="BW1655" s="4"/>
      <c r="BX1655" s="4"/>
      <c r="BY1655" s="4"/>
      <c r="BZ1655" s="4"/>
      <c r="CA1655" s="4"/>
      <c r="CB1655" s="4"/>
      <c r="CC1655" s="4"/>
      <c r="CD1655" s="4"/>
      <c r="CE1655" s="4"/>
      <c r="CF1655" s="4"/>
      <c r="CG1655" s="4"/>
      <c r="CH1655" s="4"/>
      <c r="CI1655" s="4"/>
      <c r="CJ1655" s="4"/>
      <c r="CK1655" s="4"/>
      <c r="CL1655" s="4"/>
      <c r="CM1655" s="4"/>
      <c r="CN1655" s="4"/>
      <c r="CO1655" s="4"/>
      <c r="CP1655" s="4"/>
      <c r="CQ1655" s="4"/>
      <c r="CR1655" s="4"/>
      <c r="CS1655" s="4"/>
      <c r="CT1655" s="4"/>
      <c r="CU1655" s="4"/>
      <c r="CV1655" s="4"/>
      <c r="CW1655" s="4"/>
      <c r="CX1655" s="4"/>
      <c r="CY1655" s="4"/>
      <c r="CZ1655" s="4"/>
      <c r="DA1655" s="4"/>
      <c r="DB1655" s="4"/>
      <c r="DC1655" s="4"/>
      <c r="DD1655" s="4"/>
      <c r="DE1655" s="4"/>
      <c r="DF1655" s="4"/>
      <c r="DG1655" s="4"/>
      <c r="DH1655" s="4"/>
      <c r="DI1655" s="4"/>
      <c r="DJ1655" s="4"/>
      <c r="DK1655" s="4"/>
      <c r="DL1655" s="4"/>
      <c r="DM1655" s="4"/>
      <c r="DN1655" s="4"/>
      <c r="DO1655" s="4"/>
      <c r="DP1655" s="4"/>
      <c r="DQ1655" s="4"/>
      <c r="DR1655" s="4"/>
      <c r="DS1655" s="4"/>
    </row>
    <row r="1656">
      <c r="A1656" s="9">
        <f>IFERROR(__xludf.DUMMYFUNCTION("""COMPUTED_VALUE"""),45973.0)</f>
        <v>45973</v>
      </c>
      <c r="B1656" s="6" t="str">
        <f>IFERROR(__xludf.DUMMYFUNCTION("""COMPUTED_VALUE"""),"Cab/Uber")</f>
        <v>Cab/Uber</v>
      </c>
      <c r="C1656" s="7">
        <f>IFERROR(__xludf.DUMMYFUNCTION("""COMPUTED_VALUE"""),4630.0)</f>
        <v>4630</v>
      </c>
      <c r="D1656" s="6" t="str">
        <f>IFERROR(__xludf.DUMMYFUNCTION("""COMPUTED_VALUE"""),"Transportation")</f>
        <v>Transportation</v>
      </c>
      <c r="E1656" s="6" t="str">
        <f>IFERROR(__xludf.DUMMYFUNCTION("""COMPUTED_VALUE"""),"Virtual Wallet")</f>
        <v>Virtual Wallet</v>
      </c>
      <c r="F1656" s="6" t="s">
        <v>9</v>
      </c>
      <c r="G1656" s="8" t="str">
        <f t="shared" si="1"/>
        <v>202511</v>
      </c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  <c r="AA1656" s="4"/>
      <c r="AB1656" s="4"/>
      <c r="AC1656" s="4"/>
      <c r="AD1656" s="4"/>
      <c r="AE1656" s="4"/>
      <c r="AF1656" s="4"/>
      <c r="AG1656" s="4"/>
      <c r="AH1656" s="4"/>
      <c r="AI1656" s="4"/>
      <c r="AJ1656" s="4"/>
      <c r="AK1656" s="4"/>
      <c r="AL1656" s="4"/>
      <c r="AM1656" s="4"/>
      <c r="AN1656" s="4"/>
      <c r="AO1656" s="4"/>
      <c r="AP1656" s="4"/>
      <c r="AQ1656" s="4"/>
      <c r="AR1656" s="4"/>
      <c r="AS1656" s="4"/>
      <c r="AT1656" s="4"/>
      <c r="AU1656" s="4"/>
      <c r="AV1656" s="4"/>
      <c r="AW1656" s="4"/>
      <c r="AX1656" s="4"/>
      <c r="AY1656" s="4"/>
      <c r="AZ1656" s="4"/>
      <c r="BA1656" s="4"/>
      <c r="BB1656" s="4"/>
      <c r="BC1656" s="4"/>
      <c r="BD1656" s="4"/>
      <c r="BE1656" s="4"/>
      <c r="BF1656" s="4"/>
      <c r="BG1656" s="4"/>
      <c r="BH1656" s="4"/>
      <c r="BI1656" s="4"/>
      <c r="BJ1656" s="4"/>
      <c r="BK1656" s="4"/>
      <c r="BL1656" s="4"/>
      <c r="BM1656" s="4"/>
      <c r="BN1656" s="4"/>
      <c r="BO1656" s="4"/>
      <c r="BP1656" s="4"/>
      <c r="BQ1656" s="4"/>
      <c r="BR1656" s="4"/>
      <c r="BS1656" s="4"/>
      <c r="BT1656" s="4"/>
      <c r="BU1656" s="4"/>
      <c r="BV1656" s="4"/>
      <c r="BW1656" s="4"/>
      <c r="BX1656" s="4"/>
      <c r="BY1656" s="4"/>
      <c r="BZ1656" s="4"/>
      <c r="CA1656" s="4"/>
      <c r="CB1656" s="4"/>
      <c r="CC1656" s="4"/>
      <c r="CD1656" s="4"/>
      <c r="CE1656" s="4"/>
      <c r="CF1656" s="4"/>
      <c r="CG1656" s="4"/>
      <c r="CH1656" s="4"/>
      <c r="CI1656" s="4"/>
      <c r="CJ1656" s="4"/>
      <c r="CK1656" s="4"/>
      <c r="CL1656" s="4"/>
      <c r="CM1656" s="4"/>
      <c r="CN1656" s="4"/>
      <c r="CO1656" s="4"/>
      <c r="CP1656" s="4"/>
      <c r="CQ1656" s="4"/>
      <c r="CR1656" s="4"/>
      <c r="CS1656" s="4"/>
      <c r="CT1656" s="4"/>
      <c r="CU1656" s="4"/>
      <c r="CV1656" s="4"/>
      <c r="CW1656" s="4"/>
      <c r="CX1656" s="4"/>
      <c r="CY1656" s="4"/>
      <c r="CZ1656" s="4"/>
      <c r="DA1656" s="4"/>
      <c r="DB1656" s="4"/>
      <c r="DC1656" s="4"/>
      <c r="DD1656" s="4"/>
      <c r="DE1656" s="4"/>
      <c r="DF1656" s="4"/>
      <c r="DG1656" s="4"/>
      <c r="DH1656" s="4"/>
      <c r="DI1656" s="4"/>
      <c r="DJ1656" s="4"/>
      <c r="DK1656" s="4"/>
      <c r="DL1656" s="4"/>
      <c r="DM1656" s="4"/>
      <c r="DN1656" s="4"/>
      <c r="DO1656" s="4"/>
      <c r="DP1656" s="4"/>
      <c r="DQ1656" s="4"/>
      <c r="DR1656" s="4"/>
      <c r="DS1656" s="4"/>
    </row>
    <row r="1657">
      <c r="A1657" s="9">
        <f>IFERROR(__xludf.DUMMYFUNCTION("""COMPUTED_VALUE"""),45973.0)</f>
        <v>45973</v>
      </c>
      <c r="B1657" s="6" t="str">
        <f>IFERROR(__xludf.DUMMYFUNCTION("""COMPUTED_VALUE"""),"Groceries")</f>
        <v>Groceries</v>
      </c>
      <c r="C1657" s="7">
        <f>IFERROR(__xludf.DUMMYFUNCTION("""COMPUTED_VALUE"""),10000.0)</f>
        <v>10000</v>
      </c>
      <c r="D1657" s="6" t="str">
        <f>IFERROR(__xludf.DUMMYFUNCTION("""COMPUTED_VALUE"""),"Groceries")</f>
        <v>Groceries</v>
      </c>
      <c r="E1657" s="6" t="str">
        <f>IFERROR(__xludf.DUMMYFUNCTION("""COMPUTED_VALUE"""),"Virtual Wallet")</f>
        <v>Virtual Wallet</v>
      </c>
      <c r="F1657" s="6" t="s">
        <v>7</v>
      </c>
      <c r="G1657" s="8" t="str">
        <f t="shared" si="1"/>
        <v>202511</v>
      </c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  <c r="AA1657" s="4"/>
      <c r="AB1657" s="4"/>
      <c r="AC1657" s="4"/>
      <c r="AD1657" s="4"/>
      <c r="AE1657" s="4"/>
      <c r="AF1657" s="4"/>
      <c r="AG1657" s="4"/>
      <c r="AH1657" s="4"/>
      <c r="AI1657" s="4"/>
      <c r="AJ1657" s="4"/>
      <c r="AK1657" s="4"/>
      <c r="AL1657" s="4"/>
      <c r="AM1657" s="4"/>
      <c r="AN1657" s="4"/>
      <c r="AO1657" s="4"/>
      <c r="AP1657" s="4"/>
      <c r="AQ1657" s="4"/>
      <c r="AR1657" s="4"/>
      <c r="AS1657" s="4"/>
      <c r="AT1657" s="4"/>
      <c r="AU1657" s="4"/>
      <c r="AV1657" s="4"/>
      <c r="AW1657" s="4"/>
      <c r="AX1657" s="4"/>
      <c r="AY1657" s="4"/>
      <c r="AZ1657" s="4"/>
      <c r="BA1657" s="4"/>
      <c r="BB1657" s="4"/>
      <c r="BC1657" s="4"/>
      <c r="BD1657" s="4"/>
      <c r="BE1657" s="4"/>
      <c r="BF1657" s="4"/>
      <c r="BG1657" s="4"/>
      <c r="BH1657" s="4"/>
      <c r="BI1657" s="4"/>
      <c r="BJ1657" s="4"/>
      <c r="BK1657" s="4"/>
      <c r="BL1657" s="4"/>
      <c r="BM1657" s="4"/>
      <c r="BN1657" s="4"/>
      <c r="BO1657" s="4"/>
      <c r="BP1657" s="4"/>
      <c r="BQ1657" s="4"/>
      <c r="BR1657" s="4"/>
      <c r="BS1657" s="4"/>
      <c r="BT1657" s="4"/>
      <c r="BU1657" s="4"/>
      <c r="BV1657" s="4"/>
      <c r="BW1657" s="4"/>
      <c r="BX1657" s="4"/>
      <c r="BY1657" s="4"/>
      <c r="BZ1657" s="4"/>
      <c r="CA1657" s="4"/>
      <c r="CB1657" s="4"/>
      <c r="CC1657" s="4"/>
      <c r="CD1657" s="4"/>
      <c r="CE1657" s="4"/>
      <c r="CF1657" s="4"/>
      <c r="CG1657" s="4"/>
      <c r="CH1657" s="4"/>
      <c r="CI1657" s="4"/>
      <c r="CJ1657" s="4"/>
      <c r="CK1657" s="4"/>
      <c r="CL1657" s="4"/>
      <c r="CM1657" s="4"/>
      <c r="CN1657" s="4"/>
      <c r="CO1657" s="4"/>
      <c r="CP1657" s="4"/>
      <c r="CQ1657" s="4"/>
      <c r="CR1657" s="4"/>
      <c r="CS1657" s="4"/>
      <c r="CT1657" s="4"/>
      <c r="CU1657" s="4"/>
      <c r="CV1657" s="4"/>
      <c r="CW1657" s="4"/>
      <c r="CX1657" s="4"/>
      <c r="CY1657" s="4"/>
      <c r="CZ1657" s="4"/>
      <c r="DA1657" s="4"/>
      <c r="DB1657" s="4"/>
      <c r="DC1657" s="4"/>
      <c r="DD1657" s="4"/>
      <c r="DE1657" s="4"/>
      <c r="DF1657" s="4"/>
      <c r="DG1657" s="4"/>
      <c r="DH1657" s="4"/>
      <c r="DI1657" s="4"/>
      <c r="DJ1657" s="4"/>
      <c r="DK1657" s="4"/>
      <c r="DL1657" s="4"/>
      <c r="DM1657" s="4"/>
      <c r="DN1657" s="4"/>
      <c r="DO1657" s="4"/>
      <c r="DP1657" s="4"/>
      <c r="DQ1657" s="4"/>
      <c r="DR1657" s="4"/>
      <c r="DS1657" s="4"/>
    </row>
    <row r="1658">
      <c r="A1658" s="9">
        <f>IFERROR(__xludf.DUMMYFUNCTION("""COMPUTED_VALUE"""),45973.0)</f>
        <v>45973</v>
      </c>
      <c r="B1658" s="6" t="str">
        <f>IFERROR(__xludf.DUMMYFUNCTION("""COMPUTED_VALUE"""),"Pets")</f>
        <v>Pets</v>
      </c>
      <c r="C1658" s="7">
        <f>IFERROR(__xludf.DUMMYFUNCTION("""COMPUTED_VALUE"""),8232.0)</f>
        <v>8232</v>
      </c>
      <c r="D1658" s="6" t="str">
        <f>IFERROR(__xludf.DUMMYFUNCTION("""COMPUTED_VALUE"""),"Pets")</f>
        <v>Pets</v>
      </c>
      <c r="E1658" s="6" t="str">
        <f>IFERROR(__xludf.DUMMYFUNCTION("""COMPUTED_VALUE"""),"Credit Card")</f>
        <v>Credit Card</v>
      </c>
      <c r="F1658" s="6" t="s">
        <v>7</v>
      </c>
      <c r="G1658" s="8" t="str">
        <f t="shared" si="1"/>
        <v>202511</v>
      </c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  <c r="AA1658" s="4"/>
      <c r="AB1658" s="4"/>
      <c r="AC1658" s="4"/>
      <c r="AD1658" s="4"/>
      <c r="AE1658" s="4"/>
      <c r="AF1658" s="4"/>
      <c r="AG1658" s="4"/>
      <c r="AH1658" s="4"/>
      <c r="AI1658" s="4"/>
      <c r="AJ1658" s="4"/>
      <c r="AK1658" s="4"/>
      <c r="AL1658" s="4"/>
      <c r="AM1658" s="4"/>
      <c r="AN1658" s="4"/>
      <c r="AO1658" s="4"/>
      <c r="AP1658" s="4"/>
      <c r="AQ1658" s="4"/>
      <c r="AR1658" s="4"/>
      <c r="AS1658" s="4"/>
      <c r="AT1658" s="4"/>
      <c r="AU1658" s="4"/>
      <c r="AV1658" s="4"/>
      <c r="AW1658" s="4"/>
      <c r="AX1658" s="4"/>
      <c r="AY1658" s="4"/>
      <c r="AZ1658" s="4"/>
      <c r="BA1658" s="4"/>
      <c r="BB1658" s="4"/>
      <c r="BC1658" s="4"/>
      <c r="BD1658" s="4"/>
      <c r="BE1658" s="4"/>
      <c r="BF1658" s="4"/>
      <c r="BG1658" s="4"/>
      <c r="BH1658" s="4"/>
      <c r="BI1658" s="4"/>
      <c r="BJ1658" s="4"/>
      <c r="BK1658" s="4"/>
      <c r="BL1658" s="4"/>
      <c r="BM1658" s="4"/>
      <c r="BN1658" s="4"/>
      <c r="BO1658" s="4"/>
      <c r="BP1658" s="4"/>
      <c r="BQ1658" s="4"/>
      <c r="BR1658" s="4"/>
      <c r="BS1658" s="4"/>
      <c r="BT1658" s="4"/>
      <c r="BU1658" s="4"/>
      <c r="BV1658" s="4"/>
      <c r="BW1658" s="4"/>
      <c r="BX1658" s="4"/>
      <c r="BY1658" s="4"/>
      <c r="BZ1658" s="4"/>
      <c r="CA1658" s="4"/>
      <c r="CB1658" s="4"/>
      <c r="CC1658" s="4"/>
      <c r="CD1658" s="4"/>
      <c r="CE1658" s="4"/>
      <c r="CF1658" s="4"/>
      <c r="CG1658" s="4"/>
      <c r="CH1658" s="4"/>
      <c r="CI1658" s="4"/>
      <c r="CJ1658" s="4"/>
      <c r="CK1658" s="4"/>
      <c r="CL1658" s="4"/>
      <c r="CM1658" s="4"/>
      <c r="CN1658" s="4"/>
      <c r="CO1658" s="4"/>
      <c r="CP1658" s="4"/>
      <c r="CQ1658" s="4"/>
      <c r="CR1658" s="4"/>
      <c r="CS1658" s="4"/>
      <c r="CT1658" s="4"/>
      <c r="CU1658" s="4"/>
      <c r="CV1658" s="4"/>
      <c r="CW1658" s="4"/>
      <c r="CX1658" s="4"/>
      <c r="CY1658" s="4"/>
      <c r="CZ1658" s="4"/>
      <c r="DA1658" s="4"/>
      <c r="DB1658" s="4"/>
      <c r="DC1658" s="4"/>
      <c r="DD1658" s="4"/>
      <c r="DE1658" s="4"/>
      <c r="DF1658" s="4"/>
      <c r="DG1658" s="4"/>
      <c r="DH1658" s="4"/>
      <c r="DI1658" s="4"/>
      <c r="DJ1658" s="4"/>
      <c r="DK1658" s="4"/>
      <c r="DL1658" s="4"/>
      <c r="DM1658" s="4"/>
      <c r="DN1658" s="4"/>
      <c r="DO1658" s="4"/>
      <c r="DP1658" s="4"/>
      <c r="DQ1658" s="4"/>
      <c r="DR1658" s="4"/>
      <c r="DS1658" s="4"/>
    </row>
    <row r="1659">
      <c r="A1659" s="9">
        <f>IFERROR(__xludf.DUMMYFUNCTION("""COMPUTED_VALUE"""),45974.0)</f>
        <v>45974</v>
      </c>
      <c r="B1659" s="6" t="str">
        <f>IFERROR(__xludf.DUMMYFUNCTION("""COMPUTED_VALUE"""),"Doctor Visit")</f>
        <v>Doctor Visit</v>
      </c>
      <c r="C1659" s="7">
        <f>IFERROR(__xludf.DUMMYFUNCTION("""COMPUTED_VALUE"""),9000.0)</f>
        <v>9000</v>
      </c>
      <c r="D1659" s="6" t="str">
        <f>IFERROR(__xludf.DUMMYFUNCTION("""COMPUTED_VALUE"""),"Healthcare")</f>
        <v>Healthcare</v>
      </c>
      <c r="E1659" s="6" t="str">
        <f>IFERROR(__xludf.DUMMYFUNCTION("""COMPUTED_VALUE"""),"Bank Transfer")</f>
        <v>Bank Transfer</v>
      </c>
      <c r="F1659" s="6" t="s">
        <v>15</v>
      </c>
      <c r="G1659" s="8" t="str">
        <f t="shared" si="1"/>
        <v>202511</v>
      </c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  <c r="AA1659" s="4"/>
      <c r="AB1659" s="4"/>
      <c r="AC1659" s="4"/>
      <c r="AD1659" s="4"/>
      <c r="AE1659" s="4"/>
      <c r="AF1659" s="4"/>
      <c r="AG1659" s="4"/>
      <c r="AH1659" s="4"/>
      <c r="AI1659" s="4"/>
      <c r="AJ1659" s="4"/>
      <c r="AK1659" s="4"/>
      <c r="AL1659" s="4"/>
      <c r="AM1659" s="4"/>
      <c r="AN1659" s="4"/>
      <c r="AO1659" s="4"/>
      <c r="AP1659" s="4"/>
      <c r="AQ1659" s="4"/>
      <c r="AR1659" s="4"/>
      <c r="AS1659" s="4"/>
      <c r="AT1659" s="4"/>
      <c r="AU1659" s="4"/>
      <c r="AV1659" s="4"/>
      <c r="AW1659" s="4"/>
      <c r="AX1659" s="4"/>
      <c r="AY1659" s="4"/>
      <c r="AZ1659" s="4"/>
      <c r="BA1659" s="4"/>
      <c r="BB1659" s="4"/>
      <c r="BC1659" s="4"/>
      <c r="BD1659" s="4"/>
      <c r="BE1659" s="4"/>
      <c r="BF1659" s="4"/>
      <c r="BG1659" s="4"/>
      <c r="BH1659" s="4"/>
      <c r="BI1659" s="4"/>
      <c r="BJ1659" s="4"/>
      <c r="BK1659" s="4"/>
      <c r="BL1659" s="4"/>
      <c r="BM1659" s="4"/>
      <c r="BN1659" s="4"/>
      <c r="BO1659" s="4"/>
      <c r="BP1659" s="4"/>
      <c r="BQ1659" s="4"/>
      <c r="BR1659" s="4"/>
      <c r="BS1659" s="4"/>
      <c r="BT1659" s="4"/>
      <c r="BU1659" s="4"/>
      <c r="BV1659" s="4"/>
      <c r="BW1659" s="4"/>
      <c r="BX1659" s="4"/>
      <c r="BY1659" s="4"/>
      <c r="BZ1659" s="4"/>
      <c r="CA1659" s="4"/>
      <c r="CB1659" s="4"/>
      <c r="CC1659" s="4"/>
      <c r="CD1659" s="4"/>
      <c r="CE1659" s="4"/>
      <c r="CF1659" s="4"/>
      <c r="CG1659" s="4"/>
      <c r="CH1659" s="4"/>
      <c r="CI1659" s="4"/>
      <c r="CJ1659" s="4"/>
      <c r="CK1659" s="4"/>
      <c r="CL1659" s="4"/>
      <c r="CM1659" s="4"/>
      <c r="CN1659" s="4"/>
      <c r="CO1659" s="4"/>
      <c r="CP1659" s="4"/>
      <c r="CQ1659" s="4"/>
      <c r="CR1659" s="4"/>
      <c r="CS1659" s="4"/>
      <c r="CT1659" s="4"/>
      <c r="CU1659" s="4"/>
      <c r="CV1659" s="4"/>
      <c r="CW1659" s="4"/>
      <c r="CX1659" s="4"/>
      <c r="CY1659" s="4"/>
      <c r="CZ1659" s="4"/>
      <c r="DA1659" s="4"/>
      <c r="DB1659" s="4"/>
      <c r="DC1659" s="4"/>
      <c r="DD1659" s="4"/>
      <c r="DE1659" s="4"/>
      <c r="DF1659" s="4"/>
      <c r="DG1659" s="4"/>
      <c r="DH1659" s="4"/>
      <c r="DI1659" s="4"/>
      <c r="DJ1659" s="4"/>
      <c r="DK1659" s="4"/>
      <c r="DL1659" s="4"/>
      <c r="DM1659" s="4"/>
      <c r="DN1659" s="4"/>
      <c r="DO1659" s="4"/>
      <c r="DP1659" s="4"/>
      <c r="DQ1659" s="4"/>
      <c r="DR1659" s="4"/>
      <c r="DS1659" s="4"/>
    </row>
    <row r="1660">
      <c r="A1660" s="9">
        <f>IFERROR(__xludf.DUMMYFUNCTION("""COMPUTED_VALUE"""),45974.0)</f>
        <v>45974</v>
      </c>
      <c r="B1660" s="6" t="str">
        <f>IFERROR(__xludf.DUMMYFUNCTION("""COMPUTED_VALUE"""),"Groceries")</f>
        <v>Groceries</v>
      </c>
      <c r="C1660" s="7">
        <f>IFERROR(__xludf.DUMMYFUNCTION("""COMPUTED_VALUE"""),2900.0)</f>
        <v>2900</v>
      </c>
      <c r="D1660" s="6" t="str">
        <f>IFERROR(__xludf.DUMMYFUNCTION("""COMPUTED_VALUE"""),"Groceries")</f>
        <v>Groceries</v>
      </c>
      <c r="E1660" s="6" t="str">
        <f>IFERROR(__xludf.DUMMYFUNCTION("""COMPUTED_VALUE"""),"Split Payment")</f>
        <v>Split Payment</v>
      </c>
      <c r="F1660" s="6" t="s">
        <v>7</v>
      </c>
      <c r="G1660" s="8" t="str">
        <f t="shared" si="1"/>
        <v>202511</v>
      </c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  <c r="AA1660" s="4"/>
      <c r="AB1660" s="4"/>
      <c r="AC1660" s="4"/>
      <c r="AD1660" s="4"/>
      <c r="AE1660" s="4"/>
      <c r="AF1660" s="4"/>
      <c r="AG1660" s="4"/>
      <c r="AH1660" s="4"/>
      <c r="AI1660" s="4"/>
      <c r="AJ1660" s="4"/>
      <c r="AK1660" s="4"/>
      <c r="AL1660" s="4"/>
      <c r="AM1660" s="4"/>
      <c r="AN1660" s="4"/>
      <c r="AO1660" s="4"/>
      <c r="AP1660" s="4"/>
      <c r="AQ1660" s="4"/>
      <c r="AR1660" s="4"/>
      <c r="AS1660" s="4"/>
      <c r="AT1660" s="4"/>
      <c r="AU1660" s="4"/>
      <c r="AV1660" s="4"/>
      <c r="AW1660" s="4"/>
      <c r="AX1660" s="4"/>
      <c r="AY1660" s="4"/>
      <c r="AZ1660" s="4"/>
      <c r="BA1660" s="4"/>
      <c r="BB1660" s="4"/>
      <c r="BC1660" s="4"/>
      <c r="BD1660" s="4"/>
      <c r="BE1660" s="4"/>
      <c r="BF1660" s="4"/>
      <c r="BG1660" s="4"/>
      <c r="BH1660" s="4"/>
      <c r="BI1660" s="4"/>
      <c r="BJ1660" s="4"/>
      <c r="BK1660" s="4"/>
      <c r="BL1660" s="4"/>
      <c r="BM1660" s="4"/>
      <c r="BN1660" s="4"/>
      <c r="BO1660" s="4"/>
      <c r="BP1660" s="4"/>
      <c r="BQ1660" s="4"/>
      <c r="BR1660" s="4"/>
      <c r="BS1660" s="4"/>
      <c r="BT1660" s="4"/>
      <c r="BU1660" s="4"/>
      <c r="BV1660" s="4"/>
      <c r="BW1660" s="4"/>
      <c r="BX1660" s="4"/>
      <c r="BY1660" s="4"/>
      <c r="BZ1660" s="4"/>
      <c r="CA1660" s="4"/>
      <c r="CB1660" s="4"/>
      <c r="CC1660" s="4"/>
      <c r="CD1660" s="4"/>
      <c r="CE1660" s="4"/>
      <c r="CF1660" s="4"/>
      <c r="CG1660" s="4"/>
      <c r="CH1660" s="4"/>
      <c r="CI1660" s="4"/>
      <c r="CJ1660" s="4"/>
      <c r="CK1660" s="4"/>
      <c r="CL1660" s="4"/>
      <c r="CM1660" s="4"/>
      <c r="CN1660" s="4"/>
      <c r="CO1660" s="4"/>
      <c r="CP1660" s="4"/>
      <c r="CQ1660" s="4"/>
      <c r="CR1660" s="4"/>
      <c r="CS1660" s="4"/>
      <c r="CT1660" s="4"/>
      <c r="CU1660" s="4"/>
      <c r="CV1660" s="4"/>
      <c r="CW1660" s="4"/>
      <c r="CX1660" s="4"/>
      <c r="CY1660" s="4"/>
      <c r="CZ1660" s="4"/>
      <c r="DA1660" s="4"/>
      <c r="DB1660" s="4"/>
      <c r="DC1660" s="4"/>
      <c r="DD1660" s="4"/>
      <c r="DE1660" s="4"/>
      <c r="DF1660" s="4"/>
      <c r="DG1660" s="4"/>
      <c r="DH1660" s="4"/>
      <c r="DI1660" s="4"/>
      <c r="DJ1660" s="4"/>
      <c r="DK1660" s="4"/>
      <c r="DL1660" s="4"/>
      <c r="DM1660" s="4"/>
      <c r="DN1660" s="4"/>
      <c r="DO1660" s="4"/>
      <c r="DP1660" s="4"/>
      <c r="DQ1660" s="4"/>
      <c r="DR1660" s="4"/>
      <c r="DS1660" s="4"/>
    </row>
    <row r="1661">
      <c r="A1661" s="9">
        <f>IFERROR(__xludf.DUMMYFUNCTION("""COMPUTED_VALUE"""),45974.0)</f>
        <v>45974</v>
      </c>
      <c r="B1661" s="6" t="str">
        <f>IFERROR(__xludf.DUMMYFUNCTION("""COMPUTED_VALUE"""),"Groceries")</f>
        <v>Groceries</v>
      </c>
      <c r="C1661" s="7">
        <f>IFERROR(__xludf.DUMMYFUNCTION("""COMPUTED_VALUE"""),2009.0)</f>
        <v>2009</v>
      </c>
      <c r="D1661" s="6" t="str">
        <f>IFERROR(__xludf.DUMMYFUNCTION("""COMPUTED_VALUE"""),"Groceries")</f>
        <v>Groceries</v>
      </c>
      <c r="E1661" s="6" t="str">
        <f>IFERROR(__xludf.DUMMYFUNCTION("""COMPUTED_VALUE"""),"Split Payment")</f>
        <v>Split Payment</v>
      </c>
      <c r="F1661" s="6" t="s">
        <v>7</v>
      </c>
      <c r="G1661" s="8" t="str">
        <f t="shared" si="1"/>
        <v>202511</v>
      </c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  <c r="AA1661" s="4"/>
      <c r="AB1661" s="4"/>
      <c r="AC1661" s="4"/>
      <c r="AD1661" s="4"/>
      <c r="AE1661" s="4"/>
      <c r="AF1661" s="4"/>
      <c r="AG1661" s="4"/>
      <c r="AH1661" s="4"/>
      <c r="AI1661" s="4"/>
      <c r="AJ1661" s="4"/>
      <c r="AK1661" s="4"/>
      <c r="AL1661" s="4"/>
      <c r="AM1661" s="4"/>
      <c r="AN1661" s="4"/>
      <c r="AO1661" s="4"/>
      <c r="AP1661" s="4"/>
      <c r="AQ1661" s="4"/>
      <c r="AR1661" s="4"/>
      <c r="AS1661" s="4"/>
      <c r="AT1661" s="4"/>
      <c r="AU1661" s="4"/>
      <c r="AV1661" s="4"/>
      <c r="AW1661" s="4"/>
      <c r="AX1661" s="4"/>
      <c r="AY1661" s="4"/>
      <c r="AZ1661" s="4"/>
      <c r="BA1661" s="4"/>
      <c r="BB1661" s="4"/>
      <c r="BC1661" s="4"/>
      <c r="BD1661" s="4"/>
      <c r="BE1661" s="4"/>
      <c r="BF1661" s="4"/>
      <c r="BG1661" s="4"/>
      <c r="BH1661" s="4"/>
      <c r="BI1661" s="4"/>
      <c r="BJ1661" s="4"/>
      <c r="BK1661" s="4"/>
      <c r="BL1661" s="4"/>
      <c r="BM1661" s="4"/>
      <c r="BN1661" s="4"/>
      <c r="BO1661" s="4"/>
      <c r="BP1661" s="4"/>
      <c r="BQ1661" s="4"/>
      <c r="BR1661" s="4"/>
      <c r="BS1661" s="4"/>
      <c r="BT1661" s="4"/>
      <c r="BU1661" s="4"/>
      <c r="BV1661" s="4"/>
      <c r="BW1661" s="4"/>
      <c r="BX1661" s="4"/>
      <c r="BY1661" s="4"/>
      <c r="BZ1661" s="4"/>
      <c r="CA1661" s="4"/>
      <c r="CB1661" s="4"/>
      <c r="CC1661" s="4"/>
      <c r="CD1661" s="4"/>
      <c r="CE1661" s="4"/>
      <c r="CF1661" s="4"/>
      <c r="CG1661" s="4"/>
      <c r="CH1661" s="4"/>
      <c r="CI1661" s="4"/>
      <c r="CJ1661" s="4"/>
      <c r="CK1661" s="4"/>
      <c r="CL1661" s="4"/>
      <c r="CM1661" s="4"/>
      <c r="CN1661" s="4"/>
      <c r="CO1661" s="4"/>
      <c r="CP1661" s="4"/>
      <c r="CQ1661" s="4"/>
      <c r="CR1661" s="4"/>
      <c r="CS1661" s="4"/>
      <c r="CT1661" s="4"/>
      <c r="CU1661" s="4"/>
      <c r="CV1661" s="4"/>
      <c r="CW1661" s="4"/>
      <c r="CX1661" s="4"/>
      <c r="CY1661" s="4"/>
      <c r="CZ1661" s="4"/>
      <c r="DA1661" s="4"/>
      <c r="DB1661" s="4"/>
      <c r="DC1661" s="4"/>
      <c r="DD1661" s="4"/>
      <c r="DE1661" s="4"/>
      <c r="DF1661" s="4"/>
      <c r="DG1661" s="4"/>
      <c r="DH1661" s="4"/>
      <c r="DI1661" s="4"/>
      <c r="DJ1661" s="4"/>
      <c r="DK1661" s="4"/>
      <c r="DL1661" s="4"/>
      <c r="DM1661" s="4"/>
      <c r="DN1661" s="4"/>
      <c r="DO1661" s="4"/>
      <c r="DP1661" s="4"/>
      <c r="DQ1661" s="4"/>
      <c r="DR1661" s="4"/>
      <c r="DS1661" s="4"/>
    </row>
    <row r="1662">
      <c r="A1662" s="9">
        <f>IFERROR(__xludf.DUMMYFUNCTION("""COMPUTED_VALUE"""),45975.0)</f>
        <v>45975</v>
      </c>
      <c r="B1662" s="6" t="str">
        <f>IFERROR(__xludf.DUMMYFUNCTION("""COMPUTED_VALUE"""),"Electricity Bill (Edesur)")</f>
        <v>Electricity Bill (Edesur)</v>
      </c>
      <c r="C1662" s="7">
        <f>IFERROR(__xludf.DUMMYFUNCTION("""COMPUTED_VALUE"""),10815.0)</f>
        <v>10815</v>
      </c>
      <c r="D1662" s="6" t="str">
        <f>IFERROR(__xludf.DUMMYFUNCTION("""COMPUTED_VALUE"""),"Basic Services")</f>
        <v>Basic Services</v>
      </c>
      <c r="E1662" s="6" t="str">
        <f>IFERROR(__xludf.DUMMYFUNCTION("""COMPUTED_VALUE"""),"Split Payment")</f>
        <v>Split Payment</v>
      </c>
      <c r="F1662" s="6" t="s">
        <v>13</v>
      </c>
      <c r="G1662" s="8" t="str">
        <f t="shared" si="1"/>
        <v>202511</v>
      </c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  <c r="AA1662" s="4"/>
      <c r="AB1662" s="4"/>
      <c r="AC1662" s="4"/>
      <c r="AD1662" s="4"/>
      <c r="AE1662" s="4"/>
      <c r="AF1662" s="4"/>
      <c r="AG1662" s="4"/>
      <c r="AH1662" s="4"/>
      <c r="AI1662" s="4"/>
      <c r="AJ1662" s="4"/>
      <c r="AK1662" s="4"/>
      <c r="AL1662" s="4"/>
      <c r="AM1662" s="4"/>
      <c r="AN1662" s="4"/>
      <c r="AO1662" s="4"/>
      <c r="AP1662" s="4"/>
      <c r="AQ1662" s="4"/>
      <c r="AR1662" s="4"/>
      <c r="AS1662" s="4"/>
      <c r="AT1662" s="4"/>
      <c r="AU1662" s="4"/>
      <c r="AV1662" s="4"/>
      <c r="AW1662" s="4"/>
      <c r="AX1662" s="4"/>
      <c r="AY1662" s="4"/>
      <c r="AZ1662" s="4"/>
      <c r="BA1662" s="4"/>
      <c r="BB1662" s="4"/>
      <c r="BC1662" s="4"/>
      <c r="BD1662" s="4"/>
      <c r="BE1662" s="4"/>
      <c r="BF1662" s="4"/>
      <c r="BG1662" s="4"/>
      <c r="BH1662" s="4"/>
      <c r="BI1662" s="4"/>
      <c r="BJ1662" s="4"/>
      <c r="BK1662" s="4"/>
      <c r="BL1662" s="4"/>
      <c r="BM1662" s="4"/>
      <c r="BN1662" s="4"/>
      <c r="BO1662" s="4"/>
      <c r="BP1662" s="4"/>
      <c r="BQ1662" s="4"/>
      <c r="BR1662" s="4"/>
      <c r="BS1662" s="4"/>
      <c r="BT1662" s="4"/>
      <c r="BU1662" s="4"/>
      <c r="BV1662" s="4"/>
      <c r="BW1662" s="4"/>
      <c r="BX1662" s="4"/>
      <c r="BY1662" s="4"/>
      <c r="BZ1662" s="4"/>
      <c r="CA1662" s="4"/>
      <c r="CB1662" s="4"/>
      <c r="CC1662" s="4"/>
      <c r="CD1662" s="4"/>
      <c r="CE1662" s="4"/>
      <c r="CF1662" s="4"/>
      <c r="CG1662" s="4"/>
      <c r="CH1662" s="4"/>
      <c r="CI1662" s="4"/>
      <c r="CJ1662" s="4"/>
      <c r="CK1662" s="4"/>
      <c r="CL1662" s="4"/>
      <c r="CM1662" s="4"/>
      <c r="CN1662" s="4"/>
      <c r="CO1662" s="4"/>
      <c r="CP1662" s="4"/>
      <c r="CQ1662" s="4"/>
      <c r="CR1662" s="4"/>
      <c r="CS1662" s="4"/>
      <c r="CT1662" s="4"/>
      <c r="CU1662" s="4"/>
      <c r="CV1662" s="4"/>
      <c r="CW1662" s="4"/>
      <c r="CX1662" s="4"/>
      <c r="CY1662" s="4"/>
      <c r="CZ1662" s="4"/>
      <c r="DA1662" s="4"/>
      <c r="DB1662" s="4"/>
      <c r="DC1662" s="4"/>
      <c r="DD1662" s="4"/>
      <c r="DE1662" s="4"/>
      <c r="DF1662" s="4"/>
      <c r="DG1662" s="4"/>
      <c r="DH1662" s="4"/>
      <c r="DI1662" s="4"/>
      <c r="DJ1662" s="4"/>
      <c r="DK1662" s="4"/>
      <c r="DL1662" s="4"/>
      <c r="DM1662" s="4"/>
      <c r="DN1662" s="4"/>
      <c r="DO1662" s="4"/>
      <c r="DP1662" s="4"/>
      <c r="DQ1662" s="4"/>
      <c r="DR1662" s="4"/>
      <c r="DS1662" s="4"/>
    </row>
    <row r="1663">
      <c r="A1663" s="9">
        <f>IFERROR(__xludf.DUMMYFUNCTION("""COMPUTED_VALUE"""),45975.0)</f>
        <v>45975</v>
      </c>
      <c r="B1663" s="6" t="str">
        <f>IFERROR(__xludf.DUMMYFUNCTION("""COMPUTED_VALUE"""),"Restaurant")</f>
        <v>Restaurant</v>
      </c>
      <c r="C1663" s="7">
        <f>IFERROR(__xludf.DUMMYFUNCTION("""COMPUTED_VALUE"""),49500.0)</f>
        <v>49500</v>
      </c>
      <c r="D1663" s="6" t="str">
        <f>IFERROR(__xludf.DUMMYFUNCTION("""COMPUTED_VALUE"""),"Restaurant / Café")</f>
        <v>Restaurant / Café</v>
      </c>
      <c r="E1663" s="6" t="str">
        <f>IFERROR(__xludf.DUMMYFUNCTION("""COMPUTED_VALUE"""),"Debit Card")</f>
        <v>Debit Card</v>
      </c>
      <c r="F1663" s="6" t="s">
        <v>14</v>
      </c>
      <c r="G1663" s="8" t="str">
        <f t="shared" si="1"/>
        <v>202511</v>
      </c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  <c r="AA1663" s="4"/>
      <c r="AB1663" s="4"/>
      <c r="AC1663" s="4"/>
      <c r="AD1663" s="4"/>
      <c r="AE1663" s="4"/>
      <c r="AF1663" s="4"/>
      <c r="AG1663" s="4"/>
      <c r="AH1663" s="4"/>
      <c r="AI1663" s="4"/>
      <c r="AJ1663" s="4"/>
      <c r="AK1663" s="4"/>
      <c r="AL1663" s="4"/>
      <c r="AM1663" s="4"/>
      <c r="AN1663" s="4"/>
      <c r="AO1663" s="4"/>
      <c r="AP1663" s="4"/>
      <c r="AQ1663" s="4"/>
      <c r="AR1663" s="4"/>
      <c r="AS1663" s="4"/>
      <c r="AT1663" s="4"/>
      <c r="AU1663" s="4"/>
      <c r="AV1663" s="4"/>
      <c r="AW1663" s="4"/>
      <c r="AX1663" s="4"/>
      <c r="AY1663" s="4"/>
      <c r="AZ1663" s="4"/>
      <c r="BA1663" s="4"/>
      <c r="BB1663" s="4"/>
      <c r="BC1663" s="4"/>
      <c r="BD1663" s="4"/>
      <c r="BE1663" s="4"/>
      <c r="BF1663" s="4"/>
      <c r="BG1663" s="4"/>
      <c r="BH1663" s="4"/>
      <c r="BI1663" s="4"/>
      <c r="BJ1663" s="4"/>
      <c r="BK1663" s="4"/>
      <c r="BL1663" s="4"/>
      <c r="BM1663" s="4"/>
      <c r="BN1663" s="4"/>
      <c r="BO1663" s="4"/>
      <c r="BP1663" s="4"/>
      <c r="BQ1663" s="4"/>
      <c r="BR1663" s="4"/>
      <c r="BS1663" s="4"/>
      <c r="BT1663" s="4"/>
      <c r="BU1663" s="4"/>
      <c r="BV1663" s="4"/>
      <c r="BW1663" s="4"/>
      <c r="BX1663" s="4"/>
      <c r="BY1663" s="4"/>
      <c r="BZ1663" s="4"/>
      <c r="CA1663" s="4"/>
      <c r="CB1663" s="4"/>
      <c r="CC1663" s="4"/>
      <c r="CD1663" s="4"/>
      <c r="CE1663" s="4"/>
      <c r="CF1663" s="4"/>
      <c r="CG1663" s="4"/>
      <c r="CH1663" s="4"/>
      <c r="CI1663" s="4"/>
      <c r="CJ1663" s="4"/>
      <c r="CK1663" s="4"/>
      <c r="CL1663" s="4"/>
      <c r="CM1663" s="4"/>
      <c r="CN1663" s="4"/>
      <c r="CO1663" s="4"/>
      <c r="CP1663" s="4"/>
      <c r="CQ1663" s="4"/>
      <c r="CR1663" s="4"/>
      <c r="CS1663" s="4"/>
      <c r="CT1663" s="4"/>
      <c r="CU1663" s="4"/>
      <c r="CV1663" s="4"/>
      <c r="CW1663" s="4"/>
      <c r="CX1663" s="4"/>
      <c r="CY1663" s="4"/>
      <c r="CZ1663" s="4"/>
      <c r="DA1663" s="4"/>
      <c r="DB1663" s="4"/>
      <c r="DC1663" s="4"/>
      <c r="DD1663" s="4"/>
      <c r="DE1663" s="4"/>
      <c r="DF1663" s="4"/>
      <c r="DG1663" s="4"/>
      <c r="DH1663" s="4"/>
      <c r="DI1663" s="4"/>
      <c r="DJ1663" s="4"/>
      <c r="DK1663" s="4"/>
      <c r="DL1663" s="4"/>
      <c r="DM1663" s="4"/>
      <c r="DN1663" s="4"/>
      <c r="DO1663" s="4"/>
      <c r="DP1663" s="4"/>
      <c r="DQ1663" s="4"/>
      <c r="DR1663" s="4"/>
      <c r="DS1663" s="4"/>
    </row>
    <row r="1664">
      <c r="A1664" s="9">
        <f>IFERROR(__xludf.DUMMYFUNCTION("""COMPUTED_VALUE"""),45975.0)</f>
        <v>45975</v>
      </c>
      <c r="B1664" s="6" t="str">
        <f>IFERROR(__xludf.DUMMYFUNCTION("""COMPUTED_VALUE"""),"Water Bill (AySA)")</f>
        <v>Water Bill (AySA)</v>
      </c>
      <c r="C1664" s="7">
        <f>IFERROR(__xludf.DUMMYFUNCTION("""COMPUTED_VALUE"""),13737.0)</f>
        <v>13737</v>
      </c>
      <c r="D1664" s="6" t="str">
        <f>IFERROR(__xludf.DUMMYFUNCTION("""COMPUTED_VALUE"""),"Basic Services")</f>
        <v>Basic Services</v>
      </c>
      <c r="E1664" s="6" t="str">
        <f>IFERROR(__xludf.DUMMYFUNCTION("""COMPUTED_VALUE"""),"Split Payment")</f>
        <v>Split Payment</v>
      </c>
      <c r="F1664" s="6" t="s">
        <v>13</v>
      </c>
      <c r="G1664" s="8" t="str">
        <f t="shared" si="1"/>
        <v>202511</v>
      </c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  <c r="AA1664" s="4"/>
      <c r="AB1664" s="4"/>
      <c r="AC1664" s="4"/>
      <c r="AD1664" s="4"/>
      <c r="AE1664" s="4"/>
      <c r="AF1664" s="4"/>
      <c r="AG1664" s="4"/>
      <c r="AH1664" s="4"/>
      <c r="AI1664" s="4"/>
      <c r="AJ1664" s="4"/>
      <c r="AK1664" s="4"/>
      <c r="AL1664" s="4"/>
      <c r="AM1664" s="4"/>
      <c r="AN1664" s="4"/>
      <c r="AO1664" s="4"/>
      <c r="AP1664" s="4"/>
      <c r="AQ1664" s="4"/>
      <c r="AR1664" s="4"/>
      <c r="AS1664" s="4"/>
      <c r="AT1664" s="4"/>
      <c r="AU1664" s="4"/>
      <c r="AV1664" s="4"/>
      <c r="AW1664" s="4"/>
      <c r="AX1664" s="4"/>
      <c r="AY1664" s="4"/>
      <c r="AZ1664" s="4"/>
      <c r="BA1664" s="4"/>
      <c r="BB1664" s="4"/>
      <c r="BC1664" s="4"/>
      <c r="BD1664" s="4"/>
      <c r="BE1664" s="4"/>
      <c r="BF1664" s="4"/>
      <c r="BG1664" s="4"/>
      <c r="BH1664" s="4"/>
      <c r="BI1664" s="4"/>
      <c r="BJ1664" s="4"/>
      <c r="BK1664" s="4"/>
      <c r="BL1664" s="4"/>
      <c r="BM1664" s="4"/>
      <c r="BN1664" s="4"/>
      <c r="BO1664" s="4"/>
      <c r="BP1664" s="4"/>
      <c r="BQ1664" s="4"/>
      <c r="BR1664" s="4"/>
      <c r="BS1664" s="4"/>
      <c r="BT1664" s="4"/>
      <c r="BU1664" s="4"/>
      <c r="BV1664" s="4"/>
      <c r="BW1664" s="4"/>
      <c r="BX1664" s="4"/>
      <c r="BY1664" s="4"/>
      <c r="BZ1664" s="4"/>
      <c r="CA1664" s="4"/>
      <c r="CB1664" s="4"/>
      <c r="CC1664" s="4"/>
      <c r="CD1664" s="4"/>
      <c r="CE1664" s="4"/>
      <c r="CF1664" s="4"/>
      <c r="CG1664" s="4"/>
      <c r="CH1664" s="4"/>
      <c r="CI1664" s="4"/>
      <c r="CJ1664" s="4"/>
      <c r="CK1664" s="4"/>
      <c r="CL1664" s="4"/>
      <c r="CM1664" s="4"/>
      <c r="CN1664" s="4"/>
      <c r="CO1664" s="4"/>
      <c r="CP1664" s="4"/>
      <c r="CQ1664" s="4"/>
      <c r="CR1664" s="4"/>
      <c r="CS1664" s="4"/>
      <c r="CT1664" s="4"/>
      <c r="CU1664" s="4"/>
      <c r="CV1664" s="4"/>
      <c r="CW1664" s="4"/>
      <c r="CX1664" s="4"/>
      <c r="CY1664" s="4"/>
      <c r="CZ1664" s="4"/>
      <c r="DA1664" s="4"/>
      <c r="DB1664" s="4"/>
      <c r="DC1664" s="4"/>
      <c r="DD1664" s="4"/>
      <c r="DE1664" s="4"/>
      <c r="DF1664" s="4"/>
      <c r="DG1664" s="4"/>
      <c r="DH1664" s="4"/>
      <c r="DI1664" s="4"/>
      <c r="DJ1664" s="4"/>
      <c r="DK1664" s="4"/>
      <c r="DL1664" s="4"/>
      <c r="DM1664" s="4"/>
      <c r="DN1664" s="4"/>
      <c r="DO1664" s="4"/>
      <c r="DP1664" s="4"/>
      <c r="DQ1664" s="4"/>
      <c r="DR1664" s="4"/>
      <c r="DS1664" s="4"/>
    </row>
    <row r="1665">
      <c r="A1665" s="9">
        <f>IFERROR(__xludf.DUMMYFUNCTION("""COMPUTED_VALUE"""),45976.0)</f>
        <v>45976</v>
      </c>
      <c r="B1665" s="6" t="str">
        <f>IFERROR(__xludf.DUMMYFUNCTION("""COMPUTED_VALUE"""),"Appliances")</f>
        <v>Appliances</v>
      </c>
      <c r="C1665" s="7">
        <f>IFERROR(__xludf.DUMMYFUNCTION("""COMPUTED_VALUE"""),5965.0)</f>
        <v>5965</v>
      </c>
      <c r="D1665" s="6" t="str">
        <f>IFERROR(__xludf.DUMMYFUNCTION("""COMPUTED_VALUE"""),"Home Goods &amp; Utilities")</f>
        <v>Home Goods &amp; Utilities</v>
      </c>
      <c r="E1665" s="6" t="str">
        <f>IFERROR(__xludf.DUMMYFUNCTION("""COMPUTED_VALUE"""),"Credit Card")</f>
        <v>Credit Card</v>
      </c>
      <c r="F1665" s="6" t="s">
        <v>8</v>
      </c>
      <c r="G1665" s="8" t="str">
        <f t="shared" si="1"/>
        <v>202511</v>
      </c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  <c r="AA1665" s="4"/>
      <c r="AB1665" s="4"/>
      <c r="AC1665" s="4"/>
      <c r="AD1665" s="4"/>
      <c r="AE1665" s="4"/>
      <c r="AF1665" s="4"/>
      <c r="AG1665" s="4"/>
      <c r="AH1665" s="4"/>
      <c r="AI1665" s="4"/>
      <c r="AJ1665" s="4"/>
      <c r="AK1665" s="4"/>
      <c r="AL1665" s="4"/>
      <c r="AM1665" s="4"/>
      <c r="AN1665" s="4"/>
      <c r="AO1665" s="4"/>
      <c r="AP1665" s="4"/>
      <c r="AQ1665" s="4"/>
      <c r="AR1665" s="4"/>
      <c r="AS1665" s="4"/>
      <c r="AT1665" s="4"/>
      <c r="AU1665" s="4"/>
      <c r="AV1665" s="4"/>
      <c r="AW1665" s="4"/>
      <c r="AX1665" s="4"/>
      <c r="AY1665" s="4"/>
      <c r="AZ1665" s="4"/>
      <c r="BA1665" s="4"/>
      <c r="BB1665" s="4"/>
      <c r="BC1665" s="4"/>
      <c r="BD1665" s="4"/>
      <c r="BE1665" s="4"/>
      <c r="BF1665" s="4"/>
      <c r="BG1665" s="4"/>
      <c r="BH1665" s="4"/>
      <c r="BI1665" s="4"/>
      <c r="BJ1665" s="4"/>
      <c r="BK1665" s="4"/>
      <c r="BL1665" s="4"/>
      <c r="BM1665" s="4"/>
      <c r="BN1665" s="4"/>
      <c r="BO1665" s="4"/>
      <c r="BP1665" s="4"/>
      <c r="BQ1665" s="4"/>
      <c r="BR1665" s="4"/>
      <c r="BS1665" s="4"/>
      <c r="BT1665" s="4"/>
      <c r="BU1665" s="4"/>
      <c r="BV1665" s="4"/>
      <c r="BW1665" s="4"/>
      <c r="BX1665" s="4"/>
      <c r="BY1665" s="4"/>
      <c r="BZ1665" s="4"/>
      <c r="CA1665" s="4"/>
      <c r="CB1665" s="4"/>
      <c r="CC1665" s="4"/>
      <c r="CD1665" s="4"/>
      <c r="CE1665" s="4"/>
      <c r="CF1665" s="4"/>
      <c r="CG1665" s="4"/>
      <c r="CH1665" s="4"/>
      <c r="CI1665" s="4"/>
      <c r="CJ1665" s="4"/>
      <c r="CK1665" s="4"/>
      <c r="CL1665" s="4"/>
      <c r="CM1665" s="4"/>
      <c r="CN1665" s="4"/>
      <c r="CO1665" s="4"/>
      <c r="CP1665" s="4"/>
      <c r="CQ1665" s="4"/>
      <c r="CR1665" s="4"/>
      <c r="CS1665" s="4"/>
      <c r="CT1665" s="4"/>
      <c r="CU1665" s="4"/>
      <c r="CV1665" s="4"/>
      <c r="CW1665" s="4"/>
      <c r="CX1665" s="4"/>
      <c r="CY1665" s="4"/>
      <c r="CZ1665" s="4"/>
      <c r="DA1665" s="4"/>
      <c r="DB1665" s="4"/>
      <c r="DC1665" s="4"/>
      <c r="DD1665" s="4"/>
      <c r="DE1665" s="4"/>
      <c r="DF1665" s="4"/>
      <c r="DG1665" s="4"/>
      <c r="DH1665" s="4"/>
      <c r="DI1665" s="4"/>
      <c r="DJ1665" s="4"/>
      <c r="DK1665" s="4"/>
      <c r="DL1665" s="4"/>
      <c r="DM1665" s="4"/>
      <c r="DN1665" s="4"/>
      <c r="DO1665" s="4"/>
      <c r="DP1665" s="4"/>
      <c r="DQ1665" s="4"/>
      <c r="DR1665" s="4"/>
      <c r="DS1665" s="4"/>
    </row>
    <row r="1666">
      <c r="A1666" s="9">
        <f>IFERROR(__xludf.DUMMYFUNCTION("""COMPUTED_VALUE"""),45976.0)</f>
        <v>45976</v>
      </c>
      <c r="B1666" s="6" t="str">
        <f>IFERROR(__xludf.DUMMYFUNCTION("""COMPUTED_VALUE"""),"Mobile Plan")</f>
        <v>Mobile Plan</v>
      </c>
      <c r="C1666" s="7">
        <f>IFERROR(__xludf.DUMMYFUNCTION("""COMPUTED_VALUE"""),11500.0)</f>
        <v>11500</v>
      </c>
      <c r="D1666" s="6" t="str">
        <f>IFERROR(__xludf.DUMMYFUNCTION("""COMPUTED_VALUE"""),"Basic Services")</f>
        <v>Basic Services</v>
      </c>
      <c r="E1666" s="6" t="str">
        <f>IFERROR(__xludf.DUMMYFUNCTION("""COMPUTED_VALUE"""),"Virtual Wallet")</f>
        <v>Virtual Wallet</v>
      </c>
      <c r="F1666" s="6" t="s">
        <v>13</v>
      </c>
      <c r="G1666" s="8" t="str">
        <f t="shared" si="1"/>
        <v>202511</v>
      </c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  <c r="AA1666" s="4"/>
      <c r="AB1666" s="4"/>
      <c r="AC1666" s="4"/>
      <c r="AD1666" s="4"/>
      <c r="AE1666" s="4"/>
      <c r="AF1666" s="4"/>
      <c r="AG1666" s="4"/>
      <c r="AH1666" s="4"/>
      <c r="AI1666" s="4"/>
      <c r="AJ1666" s="4"/>
      <c r="AK1666" s="4"/>
      <c r="AL1666" s="4"/>
      <c r="AM1666" s="4"/>
      <c r="AN1666" s="4"/>
      <c r="AO1666" s="4"/>
      <c r="AP1666" s="4"/>
      <c r="AQ1666" s="4"/>
      <c r="AR1666" s="4"/>
      <c r="AS1666" s="4"/>
      <c r="AT1666" s="4"/>
      <c r="AU1666" s="4"/>
      <c r="AV1666" s="4"/>
      <c r="AW1666" s="4"/>
      <c r="AX1666" s="4"/>
      <c r="AY1666" s="4"/>
      <c r="AZ1666" s="4"/>
      <c r="BA1666" s="4"/>
      <c r="BB1666" s="4"/>
      <c r="BC1666" s="4"/>
      <c r="BD1666" s="4"/>
      <c r="BE1666" s="4"/>
      <c r="BF1666" s="4"/>
      <c r="BG1666" s="4"/>
      <c r="BH1666" s="4"/>
      <c r="BI1666" s="4"/>
      <c r="BJ1666" s="4"/>
      <c r="BK1666" s="4"/>
      <c r="BL1666" s="4"/>
      <c r="BM1666" s="4"/>
      <c r="BN1666" s="4"/>
      <c r="BO1666" s="4"/>
      <c r="BP1666" s="4"/>
      <c r="BQ1666" s="4"/>
      <c r="BR1666" s="4"/>
      <c r="BS1666" s="4"/>
      <c r="BT1666" s="4"/>
      <c r="BU1666" s="4"/>
      <c r="BV1666" s="4"/>
      <c r="BW1666" s="4"/>
      <c r="BX1666" s="4"/>
      <c r="BY1666" s="4"/>
      <c r="BZ1666" s="4"/>
      <c r="CA1666" s="4"/>
      <c r="CB1666" s="4"/>
      <c r="CC1666" s="4"/>
      <c r="CD1666" s="4"/>
      <c r="CE1666" s="4"/>
      <c r="CF1666" s="4"/>
      <c r="CG1666" s="4"/>
      <c r="CH1666" s="4"/>
      <c r="CI1666" s="4"/>
      <c r="CJ1666" s="4"/>
      <c r="CK1666" s="4"/>
      <c r="CL1666" s="4"/>
      <c r="CM1666" s="4"/>
      <c r="CN1666" s="4"/>
      <c r="CO1666" s="4"/>
      <c r="CP1666" s="4"/>
      <c r="CQ1666" s="4"/>
      <c r="CR1666" s="4"/>
      <c r="CS1666" s="4"/>
      <c r="CT1666" s="4"/>
      <c r="CU1666" s="4"/>
      <c r="CV1666" s="4"/>
      <c r="CW1666" s="4"/>
      <c r="CX1666" s="4"/>
      <c r="CY1666" s="4"/>
      <c r="CZ1666" s="4"/>
      <c r="DA1666" s="4"/>
      <c r="DB1666" s="4"/>
      <c r="DC1666" s="4"/>
      <c r="DD1666" s="4"/>
      <c r="DE1666" s="4"/>
      <c r="DF1666" s="4"/>
      <c r="DG1666" s="4"/>
      <c r="DH1666" s="4"/>
      <c r="DI1666" s="4"/>
      <c r="DJ1666" s="4"/>
      <c r="DK1666" s="4"/>
      <c r="DL1666" s="4"/>
      <c r="DM1666" s="4"/>
      <c r="DN1666" s="4"/>
      <c r="DO1666" s="4"/>
      <c r="DP1666" s="4"/>
      <c r="DQ1666" s="4"/>
      <c r="DR1666" s="4"/>
      <c r="DS1666" s="4"/>
    </row>
    <row r="1667">
      <c r="A1667" s="9">
        <f>IFERROR(__xludf.DUMMYFUNCTION("""COMPUTED_VALUE"""),45976.0)</f>
        <v>45976</v>
      </c>
      <c r="B1667" s="6" t="str">
        <f>IFERROR(__xludf.DUMMYFUNCTION("""COMPUTED_VALUE"""),"Pets")</f>
        <v>Pets</v>
      </c>
      <c r="C1667" s="7">
        <f>IFERROR(__xludf.DUMMYFUNCTION("""COMPUTED_VALUE"""),1200.0)</f>
        <v>1200</v>
      </c>
      <c r="D1667" s="6" t="str">
        <f>IFERROR(__xludf.DUMMYFUNCTION("""COMPUTED_VALUE"""),"Pets")</f>
        <v>Pets</v>
      </c>
      <c r="E1667" s="6" t="str">
        <f>IFERROR(__xludf.DUMMYFUNCTION("""COMPUTED_VALUE"""),"Split Payment")</f>
        <v>Split Payment</v>
      </c>
      <c r="F1667" s="6" t="s">
        <v>7</v>
      </c>
      <c r="G1667" s="8" t="str">
        <f t="shared" si="1"/>
        <v>202511</v>
      </c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  <c r="AA1667" s="4"/>
      <c r="AB1667" s="4"/>
      <c r="AC1667" s="4"/>
      <c r="AD1667" s="4"/>
      <c r="AE1667" s="4"/>
      <c r="AF1667" s="4"/>
      <c r="AG1667" s="4"/>
      <c r="AH1667" s="4"/>
      <c r="AI1667" s="4"/>
      <c r="AJ1667" s="4"/>
      <c r="AK1667" s="4"/>
      <c r="AL1667" s="4"/>
      <c r="AM1667" s="4"/>
      <c r="AN1667" s="4"/>
      <c r="AO1667" s="4"/>
      <c r="AP1667" s="4"/>
      <c r="AQ1667" s="4"/>
      <c r="AR1667" s="4"/>
      <c r="AS1667" s="4"/>
      <c r="AT1667" s="4"/>
      <c r="AU1667" s="4"/>
      <c r="AV1667" s="4"/>
      <c r="AW1667" s="4"/>
      <c r="AX1667" s="4"/>
      <c r="AY1667" s="4"/>
      <c r="AZ1667" s="4"/>
      <c r="BA1667" s="4"/>
      <c r="BB1667" s="4"/>
      <c r="BC1667" s="4"/>
      <c r="BD1667" s="4"/>
      <c r="BE1667" s="4"/>
      <c r="BF1667" s="4"/>
      <c r="BG1667" s="4"/>
      <c r="BH1667" s="4"/>
      <c r="BI1667" s="4"/>
      <c r="BJ1667" s="4"/>
      <c r="BK1667" s="4"/>
      <c r="BL1667" s="4"/>
      <c r="BM1667" s="4"/>
      <c r="BN1667" s="4"/>
      <c r="BO1667" s="4"/>
      <c r="BP1667" s="4"/>
      <c r="BQ1667" s="4"/>
      <c r="BR1667" s="4"/>
      <c r="BS1667" s="4"/>
      <c r="BT1667" s="4"/>
      <c r="BU1667" s="4"/>
      <c r="BV1667" s="4"/>
      <c r="BW1667" s="4"/>
      <c r="BX1667" s="4"/>
      <c r="BY1667" s="4"/>
      <c r="BZ1667" s="4"/>
      <c r="CA1667" s="4"/>
      <c r="CB1667" s="4"/>
      <c r="CC1667" s="4"/>
      <c r="CD1667" s="4"/>
      <c r="CE1667" s="4"/>
      <c r="CF1667" s="4"/>
      <c r="CG1667" s="4"/>
      <c r="CH1667" s="4"/>
      <c r="CI1667" s="4"/>
      <c r="CJ1667" s="4"/>
      <c r="CK1667" s="4"/>
      <c r="CL1667" s="4"/>
      <c r="CM1667" s="4"/>
      <c r="CN1667" s="4"/>
      <c r="CO1667" s="4"/>
      <c r="CP1667" s="4"/>
      <c r="CQ1667" s="4"/>
      <c r="CR1667" s="4"/>
      <c r="CS1667" s="4"/>
      <c r="CT1667" s="4"/>
      <c r="CU1667" s="4"/>
      <c r="CV1667" s="4"/>
      <c r="CW1667" s="4"/>
      <c r="CX1667" s="4"/>
      <c r="CY1667" s="4"/>
      <c r="CZ1667" s="4"/>
      <c r="DA1667" s="4"/>
      <c r="DB1667" s="4"/>
      <c r="DC1667" s="4"/>
      <c r="DD1667" s="4"/>
      <c r="DE1667" s="4"/>
      <c r="DF1667" s="4"/>
      <c r="DG1667" s="4"/>
      <c r="DH1667" s="4"/>
      <c r="DI1667" s="4"/>
      <c r="DJ1667" s="4"/>
      <c r="DK1667" s="4"/>
      <c r="DL1667" s="4"/>
      <c r="DM1667" s="4"/>
      <c r="DN1667" s="4"/>
      <c r="DO1667" s="4"/>
      <c r="DP1667" s="4"/>
      <c r="DQ1667" s="4"/>
      <c r="DR1667" s="4"/>
      <c r="DS1667" s="4"/>
    </row>
    <row r="1668">
      <c r="A1668" s="9">
        <f>IFERROR(__xludf.DUMMYFUNCTION("""COMPUTED_VALUE"""),45977.0)</f>
        <v>45977</v>
      </c>
      <c r="B1668" s="6" t="str">
        <f>IFERROR(__xludf.DUMMYFUNCTION("""COMPUTED_VALUE"""),"Cab/Uber")</f>
        <v>Cab/Uber</v>
      </c>
      <c r="C1668" s="7">
        <f>IFERROR(__xludf.DUMMYFUNCTION("""COMPUTED_VALUE"""),4000.0)</f>
        <v>4000</v>
      </c>
      <c r="D1668" s="6" t="str">
        <f>IFERROR(__xludf.DUMMYFUNCTION("""COMPUTED_VALUE"""),"Transportation")</f>
        <v>Transportation</v>
      </c>
      <c r="E1668" s="6" t="str">
        <f>IFERROR(__xludf.DUMMYFUNCTION("""COMPUTED_VALUE"""),"Virtual Wallet")</f>
        <v>Virtual Wallet</v>
      </c>
      <c r="F1668" s="6" t="s">
        <v>9</v>
      </c>
      <c r="G1668" s="8" t="str">
        <f t="shared" si="1"/>
        <v>202511</v>
      </c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  <c r="AA1668" s="4"/>
      <c r="AB1668" s="4"/>
      <c r="AC1668" s="4"/>
      <c r="AD1668" s="4"/>
      <c r="AE1668" s="4"/>
      <c r="AF1668" s="4"/>
      <c r="AG1668" s="4"/>
      <c r="AH1668" s="4"/>
      <c r="AI1668" s="4"/>
      <c r="AJ1668" s="4"/>
      <c r="AK1668" s="4"/>
      <c r="AL1668" s="4"/>
      <c r="AM1668" s="4"/>
      <c r="AN1668" s="4"/>
      <c r="AO1668" s="4"/>
      <c r="AP1668" s="4"/>
      <c r="AQ1668" s="4"/>
      <c r="AR1668" s="4"/>
      <c r="AS1668" s="4"/>
      <c r="AT1668" s="4"/>
      <c r="AU1668" s="4"/>
      <c r="AV1668" s="4"/>
      <c r="AW1668" s="4"/>
      <c r="AX1668" s="4"/>
      <c r="AY1668" s="4"/>
      <c r="AZ1668" s="4"/>
      <c r="BA1668" s="4"/>
      <c r="BB1668" s="4"/>
      <c r="BC1668" s="4"/>
      <c r="BD1668" s="4"/>
      <c r="BE1668" s="4"/>
      <c r="BF1668" s="4"/>
      <c r="BG1668" s="4"/>
      <c r="BH1668" s="4"/>
      <c r="BI1668" s="4"/>
      <c r="BJ1668" s="4"/>
      <c r="BK1668" s="4"/>
      <c r="BL1668" s="4"/>
      <c r="BM1668" s="4"/>
      <c r="BN1668" s="4"/>
      <c r="BO1668" s="4"/>
      <c r="BP1668" s="4"/>
      <c r="BQ1668" s="4"/>
      <c r="BR1668" s="4"/>
      <c r="BS1668" s="4"/>
      <c r="BT1668" s="4"/>
      <c r="BU1668" s="4"/>
      <c r="BV1668" s="4"/>
      <c r="BW1668" s="4"/>
      <c r="BX1668" s="4"/>
      <c r="BY1668" s="4"/>
      <c r="BZ1668" s="4"/>
      <c r="CA1668" s="4"/>
      <c r="CB1668" s="4"/>
      <c r="CC1668" s="4"/>
      <c r="CD1668" s="4"/>
      <c r="CE1668" s="4"/>
      <c r="CF1668" s="4"/>
      <c r="CG1668" s="4"/>
      <c r="CH1668" s="4"/>
      <c r="CI1668" s="4"/>
      <c r="CJ1668" s="4"/>
      <c r="CK1668" s="4"/>
      <c r="CL1668" s="4"/>
      <c r="CM1668" s="4"/>
      <c r="CN1668" s="4"/>
      <c r="CO1668" s="4"/>
      <c r="CP1668" s="4"/>
      <c r="CQ1668" s="4"/>
      <c r="CR1668" s="4"/>
      <c r="CS1668" s="4"/>
      <c r="CT1668" s="4"/>
      <c r="CU1668" s="4"/>
      <c r="CV1668" s="4"/>
      <c r="CW1668" s="4"/>
      <c r="CX1668" s="4"/>
      <c r="CY1668" s="4"/>
      <c r="CZ1668" s="4"/>
      <c r="DA1668" s="4"/>
      <c r="DB1668" s="4"/>
      <c r="DC1668" s="4"/>
      <c r="DD1668" s="4"/>
      <c r="DE1668" s="4"/>
      <c r="DF1668" s="4"/>
      <c r="DG1668" s="4"/>
      <c r="DH1668" s="4"/>
      <c r="DI1668" s="4"/>
      <c r="DJ1668" s="4"/>
      <c r="DK1668" s="4"/>
      <c r="DL1668" s="4"/>
      <c r="DM1668" s="4"/>
      <c r="DN1668" s="4"/>
      <c r="DO1668" s="4"/>
      <c r="DP1668" s="4"/>
      <c r="DQ1668" s="4"/>
      <c r="DR1668" s="4"/>
      <c r="DS1668" s="4"/>
    </row>
    <row r="1669">
      <c r="A1669" s="9">
        <f>IFERROR(__xludf.DUMMYFUNCTION("""COMPUTED_VALUE"""),45977.0)</f>
        <v>45977</v>
      </c>
      <c r="B1669" s="6" t="str">
        <f>IFERROR(__xludf.DUMMYFUNCTION("""COMPUTED_VALUE"""),"Gasoline")</f>
        <v>Gasoline</v>
      </c>
      <c r="C1669" s="7">
        <f>IFERROR(__xludf.DUMMYFUNCTION("""COMPUTED_VALUE"""),15000.0)</f>
        <v>15000</v>
      </c>
      <c r="D1669" s="6" t="str">
        <f>IFERROR(__xludf.DUMMYFUNCTION("""COMPUTED_VALUE"""),"Car Expenses")</f>
        <v>Car Expenses</v>
      </c>
      <c r="E1669" s="6" t="str">
        <f>IFERROR(__xludf.DUMMYFUNCTION("""COMPUTED_VALUE"""),"Split Payment")</f>
        <v>Split Payment</v>
      </c>
      <c r="F1669" s="6" t="s">
        <v>9</v>
      </c>
      <c r="G1669" s="8" t="str">
        <f t="shared" si="1"/>
        <v>202511</v>
      </c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  <c r="AA1669" s="4"/>
      <c r="AB1669" s="4"/>
      <c r="AC1669" s="4"/>
      <c r="AD1669" s="4"/>
      <c r="AE1669" s="4"/>
      <c r="AF1669" s="4"/>
      <c r="AG1669" s="4"/>
      <c r="AH1669" s="4"/>
      <c r="AI1669" s="4"/>
      <c r="AJ1669" s="4"/>
      <c r="AK1669" s="4"/>
      <c r="AL1669" s="4"/>
      <c r="AM1669" s="4"/>
      <c r="AN1669" s="4"/>
      <c r="AO1669" s="4"/>
      <c r="AP1669" s="4"/>
      <c r="AQ1669" s="4"/>
      <c r="AR1669" s="4"/>
      <c r="AS1669" s="4"/>
      <c r="AT1669" s="4"/>
      <c r="AU1669" s="4"/>
      <c r="AV1669" s="4"/>
      <c r="AW1669" s="4"/>
      <c r="AX1669" s="4"/>
      <c r="AY1669" s="4"/>
      <c r="AZ1669" s="4"/>
      <c r="BA1669" s="4"/>
      <c r="BB1669" s="4"/>
      <c r="BC1669" s="4"/>
      <c r="BD1669" s="4"/>
      <c r="BE1669" s="4"/>
      <c r="BF1669" s="4"/>
      <c r="BG1669" s="4"/>
      <c r="BH1669" s="4"/>
      <c r="BI1669" s="4"/>
      <c r="BJ1669" s="4"/>
      <c r="BK1669" s="4"/>
      <c r="BL1669" s="4"/>
      <c r="BM1669" s="4"/>
      <c r="BN1669" s="4"/>
      <c r="BO1669" s="4"/>
      <c r="BP1669" s="4"/>
      <c r="BQ1669" s="4"/>
      <c r="BR1669" s="4"/>
      <c r="BS1669" s="4"/>
      <c r="BT1669" s="4"/>
      <c r="BU1669" s="4"/>
      <c r="BV1669" s="4"/>
      <c r="BW1669" s="4"/>
      <c r="BX1669" s="4"/>
      <c r="BY1669" s="4"/>
      <c r="BZ1669" s="4"/>
      <c r="CA1669" s="4"/>
      <c r="CB1669" s="4"/>
      <c r="CC1669" s="4"/>
      <c r="CD1669" s="4"/>
      <c r="CE1669" s="4"/>
      <c r="CF1669" s="4"/>
      <c r="CG1669" s="4"/>
      <c r="CH1669" s="4"/>
      <c r="CI1669" s="4"/>
      <c r="CJ1669" s="4"/>
      <c r="CK1669" s="4"/>
      <c r="CL1669" s="4"/>
      <c r="CM1669" s="4"/>
      <c r="CN1669" s="4"/>
      <c r="CO1669" s="4"/>
      <c r="CP1669" s="4"/>
      <c r="CQ1669" s="4"/>
      <c r="CR1669" s="4"/>
      <c r="CS1669" s="4"/>
      <c r="CT1669" s="4"/>
      <c r="CU1669" s="4"/>
      <c r="CV1669" s="4"/>
      <c r="CW1669" s="4"/>
      <c r="CX1669" s="4"/>
      <c r="CY1669" s="4"/>
      <c r="CZ1669" s="4"/>
      <c r="DA1669" s="4"/>
      <c r="DB1669" s="4"/>
      <c r="DC1669" s="4"/>
      <c r="DD1669" s="4"/>
      <c r="DE1669" s="4"/>
      <c r="DF1669" s="4"/>
      <c r="DG1669" s="4"/>
      <c r="DH1669" s="4"/>
      <c r="DI1669" s="4"/>
      <c r="DJ1669" s="4"/>
      <c r="DK1669" s="4"/>
      <c r="DL1669" s="4"/>
      <c r="DM1669" s="4"/>
      <c r="DN1669" s="4"/>
      <c r="DO1669" s="4"/>
      <c r="DP1669" s="4"/>
      <c r="DQ1669" s="4"/>
      <c r="DR1669" s="4"/>
      <c r="DS1669" s="4"/>
    </row>
    <row r="1670">
      <c r="A1670" s="9">
        <f>IFERROR(__xludf.DUMMYFUNCTION("""COMPUTED_VALUE"""),45977.0)</f>
        <v>45977</v>
      </c>
      <c r="B1670" s="6" t="str">
        <f>IFERROR(__xludf.DUMMYFUNCTION("""COMPUTED_VALUE"""),"Groceries")</f>
        <v>Groceries</v>
      </c>
      <c r="C1670" s="7">
        <f>IFERROR(__xludf.DUMMYFUNCTION("""COMPUTED_VALUE"""),2000.0)</f>
        <v>2000</v>
      </c>
      <c r="D1670" s="6" t="str">
        <f>IFERROR(__xludf.DUMMYFUNCTION("""COMPUTED_VALUE"""),"Groceries")</f>
        <v>Groceries</v>
      </c>
      <c r="E1670" s="6" t="str">
        <f>IFERROR(__xludf.DUMMYFUNCTION("""COMPUTED_VALUE"""),"Split Payment")</f>
        <v>Split Payment</v>
      </c>
      <c r="F1670" s="6" t="s">
        <v>7</v>
      </c>
      <c r="G1670" s="8" t="str">
        <f t="shared" si="1"/>
        <v>202511</v>
      </c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  <c r="AA1670" s="4"/>
      <c r="AB1670" s="4"/>
      <c r="AC1670" s="4"/>
      <c r="AD1670" s="4"/>
      <c r="AE1670" s="4"/>
      <c r="AF1670" s="4"/>
      <c r="AG1670" s="4"/>
      <c r="AH1670" s="4"/>
      <c r="AI1670" s="4"/>
      <c r="AJ1670" s="4"/>
      <c r="AK1670" s="4"/>
      <c r="AL1670" s="4"/>
      <c r="AM1670" s="4"/>
      <c r="AN1670" s="4"/>
      <c r="AO1670" s="4"/>
      <c r="AP1670" s="4"/>
      <c r="AQ1670" s="4"/>
      <c r="AR1670" s="4"/>
      <c r="AS1670" s="4"/>
      <c r="AT1670" s="4"/>
      <c r="AU1670" s="4"/>
      <c r="AV1670" s="4"/>
      <c r="AW1670" s="4"/>
      <c r="AX1670" s="4"/>
      <c r="AY1670" s="4"/>
      <c r="AZ1670" s="4"/>
      <c r="BA1670" s="4"/>
      <c r="BB1670" s="4"/>
      <c r="BC1670" s="4"/>
      <c r="BD1670" s="4"/>
      <c r="BE1670" s="4"/>
      <c r="BF1670" s="4"/>
      <c r="BG1670" s="4"/>
      <c r="BH1670" s="4"/>
      <c r="BI1670" s="4"/>
      <c r="BJ1670" s="4"/>
      <c r="BK1670" s="4"/>
      <c r="BL1670" s="4"/>
      <c r="BM1670" s="4"/>
      <c r="BN1670" s="4"/>
      <c r="BO1670" s="4"/>
      <c r="BP1670" s="4"/>
      <c r="BQ1670" s="4"/>
      <c r="BR1670" s="4"/>
      <c r="BS1670" s="4"/>
      <c r="BT1670" s="4"/>
      <c r="BU1670" s="4"/>
      <c r="BV1670" s="4"/>
      <c r="BW1670" s="4"/>
      <c r="BX1670" s="4"/>
      <c r="BY1670" s="4"/>
      <c r="BZ1670" s="4"/>
      <c r="CA1670" s="4"/>
      <c r="CB1670" s="4"/>
      <c r="CC1670" s="4"/>
      <c r="CD1670" s="4"/>
      <c r="CE1670" s="4"/>
      <c r="CF1670" s="4"/>
      <c r="CG1670" s="4"/>
      <c r="CH1670" s="4"/>
      <c r="CI1670" s="4"/>
      <c r="CJ1670" s="4"/>
      <c r="CK1670" s="4"/>
      <c r="CL1670" s="4"/>
      <c r="CM1670" s="4"/>
      <c r="CN1670" s="4"/>
      <c r="CO1670" s="4"/>
      <c r="CP1670" s="4"/>
      <c r="CQ1670" s="4"/>
      <c r="CR1670" s="4"/>
      <c r="CS1670" s="4"/>
      <c r="CT1670" s="4"/>
      <c r="CU1670" s="4"/>
      <c r="CV1670" s="4"/>
      <c r="CW1670" s="4"/>
      <c r="CX1670" s="4"/>
      <c r="CY1670" s="4"/>
      <c r="CZ1670" s="4"/>
      <c r="DA1670" s="4"/>
      <c r="DB1670" s="4"/>
      <c r="DC1670" s="4"/>
      <c r="DD1670" s="4"/>
      <c r="DE1670" s="4"/>
      <c r="DF1670" s="4"/>
      <c r="DG1670" s="4"/>
      <c r="DH1670" s="4"/>
      <c r="DI1670" s="4"/>
      <c r="DJ1670" s="4"/>
      <c r="DK1670" s="4"/>
      <c r="DL1670" s="4"/>
      <c r="DM1670" s="4"/>
      <c r="DN1670" s="4"/>
      <c r="DO1670" s="4"/>
      <c r="DP1670" s="4"/>
      <c r="DQ1670" s="4"/>
      <c r="DR1670" s="4"/>
      <c r="DS1670" s="4"/>
    </row>
    <row r="1671">
      <c r="A1671" s="9">
        <f>IFERROR(__xludf.DUMMYFUNCTION("""COMPUTED_VALUE"""),45977.0)</f>
        <v>45977</v>
      </c>
      <c r="B1671" s="6" t="str">
        <f>IFERROR(__xludf.DUMMYFUNCTION("""COMPUTED_VALUE"""),"Groceries")</f>
        <v>Groceries</v>
      </c>
      <c r="C1671" s="7">
        <f>IFERROR(__xludf.DUMMYFUNCTION("""COMPUTED_VALUE"""),4530.0)</f>
        <v>4530</v>
      </c>
      <c r="D1671" s="6" t="str">
        <f>IFERROR(__xludf.DUMMYFUNCTION("""COMPUTED_VALUE"""),"Groceries")</f>
        <v>Groceries</v>
      </c>
      <c r="E1671" s="6" t="str">
        <f>IFERROR(__xludf.DUMMYFUNCTION("""COMPUTED_VALUE"""),"Virtual Wallet")</f>
        <v>Virtual Wallet</v>
      </c>
      <c r="F1671" s="6" t="s">
        <v>7</v>
      </c>
      <c r="G1671" s="8" t="str">
        <f t="shared" si="1"/>
        <v>202511</v>
      </c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  <c r="AA1671" s="4"/>
      <c r="AB1671" s="4"/>
      <c r="AC1671" s="4"/>
      <c r="AD1671" s="4"/>
      <c r="AE1671" s="4"/>
      <c r="AF1671" s="4"/>
      <c r="AG1671" s="4"/>
      <c r="AH1671" s="4"/>
      <c r="AI1671" s="4"/>
      <c r="AJ1671" s="4"/>
      <c r="AK1671" s="4"/>
      <c r="AL1671" s="4"/>
      <c r="AM1671" s="4"/>
      <c r="AN1671" s="4"/>
      <c r="AO1671" s="4"/>
      <c r="AP1671" s="4"/>
      <c r="AQ1671" s="4"/>
      <c r="AR1671" s="4"/>
      <c r="AS1671" s="4"/>
      <c r="AT1671" s="4"/>
      <c r="AU1671" s="4"/>
      <c r="AV1671" s="4"/>
      <c r="AW1671" s="4"/>
      <c r="AX1671" s="4"/>
      <c r="AY1671" s="4"/>
      <c r="AZ1671" s="4"/>
      <c r="BA1671" s="4"/>
      <c r="BB1671" s="4"/>
      <c r="BC1671" s="4"/>
      <c r="BD1671" s="4"/>
      <c r="BE1671" s="4"/>
      <c r="BF1671" s="4"/>
      <c r="BG1671" s="4"/>
      <c r="BH1671" s="4"/>
      <c r="BI1671" s="4"/>
      <c r="BJ1671" s="4"/>
      <c r="BK1671" s="4"/>
      <c r="BL1671" s="4"/>
      <c r="BM1671" s="4"/>
      <c r="BN1671" s="4"/>
      <c r="BO1671" s="4"/>
      <c r="BP1671" s="4"/>
      <c r="BQ1671" s="4"/>
      <c r="BR1671" s="4"/>
      <c r="BS1671" s="4"/>
      <c r="BT1671" s="4"/>
      <c r="BU1671" s="4"/>
      <c r="BV1671" s="4"/>
      <c r="BW1671" s="4"/>
      <c r="BX1671" s="4"/>
      <c r="BY1671" s="4"/>
      <c r="BZ1671" s="4"/>
      <c r="CA1671" s="4"/>
      <c r="CB1671" s="4"/>
      <c r="CC1671" s="4"/>
      <c r="CD1671" s="4"/>
      <c r="CE1671" s="4"/>
      <c r="CF1671" s="4"/>
      <c r="CG1671" s="4"/>
      <c r="CH1671" s="4"/>
      <c r="CI1671" s="4"/>
      <c r="CJ1671" s="4"/>
      <c r="CK1671" s="4"/>
      <c r="CL1671" s="4"/>
      <c r="CM1671" s="4"/>
      <c r="CN1671" s="4"/>
      <c r="CO1671" s="4"/>
      <c r="CP1671" s="4"/>
      <c r="CQ1671" s="4"/>
      <c r="CR1671" s="4"/>
      <c r="CS1671" s="4"/>
      <c r="CT1671" s="4"/>
      <c r="CU1671" s="4"/>
      <c r="CV1671" s="4"/>
      <c r="CW1671" s="4"/>
      <c r="CX1671" s="4"/>
      <c r="CY1671" s="4"/>
      <c r="CZ1671" s="4"/>
      <c r="DA1671" s="4"/>
      <c r="DB1671" s="4"/>
      <c r="DC1671" s="4"/>
      <c r="DD1671" s="4"/>
      <c r="DE1671" s="4"/>
      <c r="DF1671" s="4"/>
      <c r="DG1671" s="4"/>
      <c r="DH1671" s="4"/>
      <c r="DI1671" s="4"/>
      <c r="DJ1671" s="4"/>
      <c r="DK1671" s="4"/>
      <c r="DL1671" s="4"/>
      <c r="DM1671" s="4"/>
      <c r="DN1671" s="4"/>
      <c r="DO1671" s="4"/>
      <c r="DP1671" s="4"/>
      <c r="DQ1671" s="4"/>
      <c r="DR1671" s="4"/>
      <c r="DS1671" s="4"/>
    </row>
    <row r="1672">
      <c r="A1672" s="9">
        <f>IFERROR(__xludf.DUMMYFUNCTION("""COMPUTED_VALUE"""),45977.0)</f>
        <v>45977</v>
      </c>
      <c r="B1672" s="6" t="str">
        <f>IFERROR(__xludf.DUMMYFUNCTION("""COMPUTED_VALUE"""),"Restaurant")</f>
        <v>Restaurant</v>
      </c>
      <c r="C1672" s="7">
        <f>IFERROR(__xludf.DUMMYFUNCTION("""COMPUTED_VALUE"""),25850.0)</f>
        <v>25850</v>
      </c>
      <c r="D1672" s="6" t="str">
        <f>IFERROR(__xludf.DUMMYFUNCTION("""COMPUTED_VALUE"""),"Restaurant / Café")</f>
        <v>Restaurant / Café</v>
      </c>
      <c r="E1672" s="6" t="str">
        <f>IFERROR(__xludf.DUMMYFUNCTION("""COMPUTED_VALUE"""),"Virtual Wallet")</f>
        <v>Virtual Wallet</v>
      </c>
      <c r="F1672" s="6" t="s">
        <v>14</v>
      </c>
      <c r="G1672" s="8" t="str">
        <f t="shared" si="1"/>
        <v>202511</v>
      </c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  <c r="AA1672" s="4"/>
      <c r="AB1672" s="4"/>
      <c r="AC1672" s="4"/>
      <c r="AD1672" s="4"/>
      <c r="AE1672" s="4"/>
      <c r="AF1672" s="4"/>
      <c r="AG1672" s="4"/>
      <c r="AH1672" s="4"/>
      <c r="AI1672" s="4"/>
      <c r="AJ1672" s="4"/>
      <c r="AK1672" s="4"/>
      <c r="AL1672" s="4"/>
      <c r="AM1672" s="4"/>
      <c r="AN1672" s="4"/>
      <c r="AO1672" s="4"/>
      <c r="AP1672" s="4"/>
      <c r="AQ1672" s="4"/>
      <c r="AR1672" s="4"/>
      <c r="AS1672" s="4"/>
      <c r="AT1672" s="4"/>
      <c r="AU1672" s="4"/>
      <c r="AV1672" s="4"/>
      <c r="AW1672" s="4"/>
      <c r="AX1672" s="4"/>
      <c r="AY1672" s="4"/>
      <c r="AZ1672" s="4"/>
      <c r="BA1672" s="4"/>
      <c r="BB1672" s="4"/>
      <c r="BC1672" s="4"/>
      <c r="BD1672" s="4"/>
      <c r="BE1672" s="4"/>
      <c r="BF1672" s="4"/>
      <c r="BG1672" s="4"/>
      <c r="BH1672" s="4"/>
      <c r="BI1672" s="4"/>
      <c r="BJ1672" s="4"/>
      <c r="BK1672" s="4"/>
      <c r="BL1672" s="4"/>
      <c r="BM1672" s="4"/>
      <c r="BN1672" s="4"/>
      <c r="BO1672" s="4"/>
      <c r="BP1672" s="4"/>
      <c r="BQ1672" s="4"/>
      <c r="BR1672" s="4"/>
      <c r="BS1672" s="4"/>
      <c r="BT1672" s="4"/>
      <c r="BU1672" s="4"/>
      <c r="BV1672" s="4"/>
      <c r="BW1672" s="4"/>
      <c r="BX1672" s="4"/>
      <c r="BY1672" s="4"/>
      <c r="BZ1672" s="4"/>
      <c r="CA1672" s="4"/>
      <c r="CB1672" s="4"/>
      <c r="CC1672" s="4"/>
      <c r="CD1672" s="4"/>
      <c r="CE1672" s="4"/>
      <c r="CF1672" s="4"/>
      <c r="CG1672" s="4"/>
      <c r="CH1672" s="4"/>
      <c r="CI1672" s="4"/>
      <c r="CJ1672" s="4"/>
      <c r="CK1672" s="4"/>
      <c r="CL1672" s="4"/>
      <c r="CM1672" s="4"/>
      <c r="CN1672" s="4"/>
      <c r="CO1672" s="4"/>
      <c r="CP1672" s="4"/>
      <c r="CQ1672" s="4"/>
      <c r="CR1672" s="4"/>
      <c r="CS1672" s="4"/>
      <c r="CT1672" s="4"/>
      <c r="CU1672" s="4"/>
      <c r="CV1672" s="4"/>
      <c r="CW1672" s="4"/>
      <c r="CX1672" s="4"/>
      <c r="CY1672" s="4"/>
      <c r="CZ1672" s="4"/>
      <c r="DA1672" s="4"/>
      <c r="DB1672" s="4"/>
      <c r="DC1672" s="4"/>
      <c r="DD1672" s="4"/>
      <c r="DE1672" s="4"/>
      <c r="DF1672" s="4"/>
      <c r="DG1672" s="4"/>
      <c r="DH1672" s="4"/>
      <c r="DI1672" s="4"/>
      <c r="DJ1672" s="4"/>
      <c r="DK1672" s="4"/>
      <c r="DL1672" s="4"/>
      <c r="DM1672" s="4"/>
      <c r="DN1672" s="4"/>
      <c r="DO1672" s="4"/>
      <c r="DP1672" s="4"/>
      <c r="DQ1672" s="4"/>
      <c r="DR1672" s="4"/>
      <c r="DS1672" s="4"/>
    </row>
    <row r="1673">
      <c r="A1673" s="9">
        <f>IFERROR(__xludf.DUMMYFUNCTION("""COMPUTED_VALUE"""),45977.0)</f>
        <v>45977</v>
      </c>
      <c r="B1673" s="6" t="str">
        <f>IFERROR(__xludf.DUMMYFUNCTION("""COMPUTED_VALUE"""),"Restaurant")</f>
        <v>Restaurant</v>
      </c>
      <c r="C1673" s="7">
        <f>IFERROR(__xludf.DUMMYFUNCTION("""COMPUTED_VALUE"""),5200.0)</f>
        <v>5200</v>
      </c>
      <c r="D1673" s="6" t="str">
        <f>IFERROR(__xludf.DUMMYFUNCTION("""COMPUTED_VALUE"""),"Restaurant / Café")</f>
        <v>Restaurant / Café</v>
      </c>
      <c r="E1673" s="6" t="str">
        <f>IFERROR(__xludf.DUMMYFUNCTION("""COMPUTED_VALUE"""),"Virtual Wallet")</f>
        <v>Virtual Wallet</v>
      </c>
      <c r="F1673" s="6" t="s">
        <v>14</v>
      </c>
      <c r="G1673" s="8" t="str">
        <f t="shared" si="1"/>
        <v>202511</v>
      </c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  <c r="AA1673" s="4"/>
      <c r="AB1673" s="4"/>
      <c r="AC1673" s="4"/>
      <c r="AD1673" s="4"/>
      <c r="AE1673" s="4"/>
      <c r="AF1673" s="4"/>
      <c r="AG1673" s="4"/>
      <c r="AH1673" s="4"/>
      <c r="AI1673" s="4"/>
      <c r="AJ1673" s="4"/>
      <c r="AK1673" s="4"/>
      <c r="AL1673" s="4"/>
      <c r="AM1673" s="4"/>
      <c r="AN1673" s="4"/>
      <c r="AO1673" s="4"/>
      <c r="AP1673" s="4"/>
      <c r="AQ1673" s="4"/>
      <c r="AR1673" s="4"/>
      <c r="AS1673" s="4"/>
      <c r="AT1673" s="4"/>
      <c r="AU1673" s="4"/>
      <c r="AV1673" s="4"/>
      <c r="AW1673" s="4"/>
      <c r="AX1673" s="4"/>
      <c r="AY1673" s="4"/>
      <c r="AZ1673" s="4"/>
      <c r="BA1673" s="4"/>
      <c r="BB1673" s="4"/>
      <c r="BC1673" s="4"/>
      <c r="BD1673" s="4"/>
      <c r="BE1673" s="4"/>
      <c r="BF1673" s="4"/>
      <c r="BG1673" s="4"/>
      <c r="BH1673" s="4"/>
      <c r="BI1673" s="4"/>
      <c r="BJ1673" s="4"/>
      <c r="BK1673" s="4"/>
      <c r="BL1673" s="4"/>
      <c r="BM1673" s="4"/>
      <c r="BN1673" s="4"/>
      <c r="BO1673" s="4"/>
      <c r="BP1673" s="4"/>
      <c r="BQ1673" s="4"/>
      <c r="BR1673" s="4"/>
      <c r="BS1673" s="4"/>
      <c r="BT1673" s="4"/>
      <c r="BU1673" s="4"/>
      <c r="BV1673" s="4"/>
      <c r="BW1673" s="4"/>
      <c r="BX1673" s="4"/>
      <c r="BY1673" s="4"/>
      <c r="BZ1673" s="4"/>
      <c r="CA1673" s="4"/>
      <c r="CB1673" s="4"/>
      <c r="CC1673" s="4"/>
      <c r="CD1673" s="4"/>
      <c r="CE1673" s="4"/>
      <c r="CF1673" s="4"/>
      <c r="CG1673" s="4"/>
      <c r="CH1673" s="4"/>
      <c r="CI1673" s="4"/>
      <c r="CJ1673" s="4"/>
      <c r="CK1673" s="4"/>
      <c r="CL1673" s="4"/>
      <c r="CM1673" s="4"/>
      <c r="CN1673" s="4"/>
      <c r="CO1673" s="4"/>
      <c r="CP1673" s="4"/>
      <c r="CQ1673" s="4"/>
      <c r="CR1673" s="4"/>
      <c r="CS1673" s="4"/>
      <c r="CT1673" s="4"/>
      <c r="CU1673" s="4"/>
      <c r="CV1673" s="4"/>
      <c r="CW1673" s="4"/>
      <c r="CX1673" s="4"/>
      <c r="CY1673" s="4"/>
      <c r="CZ1673" s="4"/>
      <c r="DA1673" s="4"/>
      <c r="DB1673" s="4"/>
      <c r="DC1673" s="4"/>
      <c r="DD1673" s="4"/>
      <c r="DE1673" s="4"/>
      <c r="DF1673" s="4"/>
      <c r="DG1673" s="4"/>
      <c r="DH1673" s="4"/>
      <c r="DI1673" s="4"/>
      <c r="DJ1673" s="4"/>
      <c r="DK1673" s="4"/>
      <c r="DL1673" s="4"/>
      <c r="DM1673" s="4"/>
      <c r="DN1673" s="4"/>
      <c r="DO1673" s="4"/>
      <c r="DP1673" s="4"/>
      <c r="DQ1673" s="4"/>
      <c r="DR1673" s="4"/>
      <c r="DS1673" s="4"/>
    </row>
    <row r="1674">
      <c r="A1674" s="9">
        <f>IFERROR(__xludf.DUMMYFUNCTION("""COMPUTED_VALUE"""),45977.0)</f>
        <v>45977</v>
      </c>
      <c r="B1674" s="6" t="str">
        <f>IFERROR(__xludf.DUMMYFUNCTION("""COMPUTED_VALUE"""),"Streaming Services")</f>
        <v>Streaming Services</v>
      </c>
      <c r="C1674" s="7">
        <f>IFERROR(__xludf.DUMMYFUNCTION("""COMPUTED_VALUE"""),7497.0)</f>
        <v>7497</v>
      </c>
      <c r="D1674" s="6" t="str">
        <f>IFERROR(__xludf.DUMMYFUNCTION("""COMPUTED_VALUE"""),"Streaming Services")</f>
        <v>Streaming Services</v>
      </c>
      <c r="E1674" s="6" t="str">
        <f>IFERROR(__xludf.DUMMYFUNCTION("""COMPUTED_VALUE"""),"Credit Card")</f>
        <v>Credit Card</v>
      </c>
      <c r="F1674" s="6" t="s">
        <v>12</v>
      </c>
      <c r="G1674" s="8" t="str">
        <f t="shared" si="1"/>
        <v>202511</v>
      </c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  <c r="AA1674" s="4"/>
      <c r="AB1674" s="4"/>
      <c r="AC1674" s="4"/>
      <c r="AD1674" s="4"/>
      <c r="AE1674" s="4"/>
      <c r="AF1674" s="4"/>
      <c r="AG1674" s="4"/>
      <c r="AH1674" s="4"/>
      <c r="AI1674" s="4"/>
      <c r="AJ1674" s="4"/>
      <c r="AK1674" s="4"/>
      <c r="AL1674" s="4"/>
      <c r="AM1674" s="4"/>
      <c r="AN1674" s="4"/>
      <c r="AO1674" s="4"/>
      <c r="AP1674" s="4"/>
      <c r="AQ1674" s="4"/>
      <c r="AR1674" s="4"/>
      <c r="AS1674" s="4"/>
      <c r="AT1674" s="4"/>
      <c r="AU1674" s="4"/>
      <c r="AV1674" s="4"/>
      <c r="AW1674" s="4"/>
      <c r="AX1674" s="4"/>
      <c r="AY1674" s="4"/>
      <c r="AZ1674" s="4"/>
      <c r="BA1674" s="4"/>
      <c r="BB1674" s="4"/>
      <c r="BC1674" s="4"/>
      <c r="BD1674" s="4"/>
      <c r="BE1674" s="4"/>
      <c r="BF1674" s="4"/>
      <c r="BG1674" s="4"/>
      <c r="BH1674" s="4"/>
      <c r="BI1674" s="4"/>
      <c r="BJ1674" s="4"/>
      <c r="BK1674" s="4"/>
      <c r="BL1674" s="4"/>
      <c r="BM1674" s="4"/>
      <c r="BN1674" s="4"/>
      <c r="BO1674" s="4"/>
      <c r="BP1674" s="4"/>
      <c r="BQ1674" s="4"/>
      <c r="BR1674" s="4"/>
      <c r="BS1674" s="4"/>
      <c r="BT1674" s="4"/>
      <c r="BU1674" s="4"/>
      <c r="BV1674" s="4"/>
      <c r="BW1674" s="4"/>
      <c r="BX1674" s="4"/>
      <c r="BY1674" s="4"/>
      <c r="BZ1674" s="4"/>
      <c r="CA1674" s="4"/>
      <c r="CB1674" s="4"/>
      <c r="CC1674" s="4"/>
      <c r="CD1674" s="4"/>
      <c r="CE1674" s="4"/>
      <c r="CF1674" s="4"/>
      <c r="CG1674" s="4"/>
      <c r="CH1674" s="4"/>
      <c r="CI1674" s="4"/>
      <c r="CJ1674" s="4"/>
      <c r="CK1674" s="4"/>
      <c r="CL1674" s="4"/>
      <c r="CM1674" s="4"/>
      <c r="CN1674" s="4"/>
      <c r="CO1674" s="4"/>
      <c r="CP1674" s="4"/>
      <c r="CQ1674" s="4"/>
      <c r="CR1674" s="4"/>
      <c r="CS1674" s="4"/>
      <c r="CT1674" s="4"/>
      <c r="CU1674" s="4"/>
      <c r="CV1674" s="4"/>
      <c r="CW1674" s="4"/>
      <c r="CX1674" s="4"/>
      <c r="CY1674" s="4"/>
      <c r="CZ1674" s="4"/>
      <c r="DA1674" s="4"/>
      <c r="DB1674" s="4"/>
      <c r="DC1674" s="4"/>
      <c r="DD1674" s="4"/>
      <c r="DE1674" s="4"/>
      <c r="DF1674" s="4"/>
      <c r="DG1674" s="4"/>
      <c r="DH1674" s="4"/>
      <c r="DI1674" s="4"/>
      <c r="DJ1674" s="4"/>
      <c r="DK1674" s="4"/>
      <c r="DL1674" s="4"/>
      <c r="DM1674" s="4"/>
      <c r="DN1674" s="4"/>
      <c r="DO1674" s="4"/>
      <c r="DP1674" s="4"/>
      <c r="DQ1674" s="4"/>
      <c r="DR1674" s="4"/>
      <c r="DS1674" s="4"/>
    </row>
    <row r="1675">
      <c r="A1675" s="9">
        <f>IFERROR(__xludf.DUMMYFUNCTION("""COMPUTED_VALUE"""),45977.0)</f>
        <v>45977</v>
      </c>
      <c r="B1675" s="6" t="str">
        <f>IFERROR(__xludf.DUMMYFUNCTION("""COMPUTED_VALUE"""),"Car Insurance")</f>
        <v>Car Insurance</v>
      </c>
      <c r="C1675" s="7">
        <f>IFERROR(__xludf.DUMMYFUNCTION("""COMPUTED_VALUE"""),769.0)</f>
        <v>769</v>
      </c>
      <c r="D1675" s="6" t="str">
        <f>IFERROR(__xludf.DUMMYFUNCTION("""COMPUTED_VALUE"""),"Car Expenses")</f>
        <v>Car Expenses</v>
      </c>
      <c r="E1675" s="6" t="str">
        <f>IFERROR(__xludf.DUMMYFUNCTION("""COMPUTED_VALUE"""),"Virtual Wallet")</f>
        <v>Virtual Wallet</v>
      </c>
      <c r="F1675" s="6" t="s">
        <v>9</v>
      </c>
      <c r="G1675" s="8" t="str">
        <f t="shared" si="1"/>
        <v>202511</v>
      </c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  <c r="AA1675" s="4"/>
      <c r="AB1675" s="4"/>
      <c r="AC1675" s="4"/>
      <c r="AD1675" s="4"/>
      <c r="AE1675" s="4"/>
      <c r="AF1675" s="4"/>
      <c r="AG1675" s="4"/>
      <c r="AH1675" s="4"/>
      <c r="AI1675" s="4"/>
      <c r="AJ1675" s="4"/>
      <c r="AK1675" s="4"/>
      <c r="AL1675" s="4"/>
      <c r="AM1675" s="4"/>
      <c r="AN1675" s="4"/>
      <c r="AO1675" s="4"/>
      <c r="AP1675" s="4"/>
      <c r="AQ1675" s="4"/>
      <c r="AR1675" s="4"/>
      <c r="AS1675" s="4"/>
      <c r="AT1675" s="4"/>
      <c r="AU1675" s="4"/>
      <c r="AV1675" s="4"/>
      <c r="AW1675" s="4"/>
      <c r="AX1675" s="4"/>
      <c r="AY1675" s="4"/>
      <c r="AZ1675" s="4"/>
      <c r="BA1675" s="4"/>
      <c r="BB1675" s="4"/>
      <c r="BC1675" s="4"/>
      <c r="BD1675" s="4"/>
      <c r="BE1675" s="4"/>
      <c r="BF1675" s="4"/>
      <c r="BG1675" s="4"/>
      <c r="BH1675" s="4"/>
      <c r="BI1675" s="4"/>
      <c r="BJ1675" s="4"/>
      <c r="BK1675" s="4"/>
      <c r="BL1675" s="4"/>
      <c r="BM1675" s="4"/>
      <c r="BN1675" s="4"/>
      <c r="BO1675" s="4"/>
      <c r="BP1675" s="4"/>
      <c r="BQ1675" s="4"/>
      <c r="BR1675" s="4"/>
      <c r="BS1675" s="4"/>
      <c r="BT1675" s="4"/>
      <c r="BU1675" s="4"/>
      <c r="BV1675" s="4"/>
      <c r="BW1675" s="4"/>
      <c r="BX1675" s="4"/>
      <c r="BY1675" s="4"/>
      <c r="BZ1675" s="4"/>
      <c r="CA1675" s="4"/>
      <c r="CB1675" s="4"/>
      <c r="CC1675" s="4"/>
      <c r="CD1675" s="4"/>
      <c r="CE1675" s="4"/>
      <c r="CF1675" s="4"/>
      <c r="CG1675" s="4"/>
      <c r="CH1675" s="4"/>
      <c r="CI1675" s="4"/>
      <c r="CJ1675" s="4"/>
      <c r="CK1675" s="4"/>
      <c r="CL1675" s="4"/>
      <c r="CM1675" s="4"/>
      <c r="CN1675" s="4"/>
      <c r="CO1675" s="4"/>
      <c r="CP1675" s="4"/>
      <c r="CQ1675" s="4"/>
      <c r="CR1675" s="4"/>
      <c r="CS1675" s="4"/>
      <c r="CT1675" s="4"/>
      <c r="CU1675" s="4"/>
      <c r="CV1675" s="4"/>
      <c r="CW1675" s="4"/>
      <c r="CX1675" s="4"/>
      <c r="CY1675" s="4"/>
      <c r="CZ1675" s="4"/>
      <c r="DA1675" s="4"/>
      <c r="DB1675" s="4"/>
      <c r="DC1675" s="4"/>
      <c r="DD1675" s="4"/>
      <c r="DE1675" s="4"/>
      <c r="DF1675" s="4"/>
      <c r="DG1675" s="4"/>
      <c r="DH1675" s="4"/>
      <c r="DI1675" s="4"/>
      <c r="DJ1675" s="4"/>
      <c r="DK1675" s="4"/>
      <c r="DL1675" s="4"/>
      <c r="DM1675" s="4"/>
      <c r="DN1675" s="4"/>
      <c r="DO1675" s="4"/>
      <c r="DP1675" s="4"/>
      <c r="DQ1675" s="4"/>
      <c r="DR1675" s="4"/>
      <c r="DS1675" s="4"/>
    </row>
    <row r="1676">
      <c r="A1676" s="9">
        <f>IFERROR(__xludf.DUMMYFUNCTION("""COMPUTED_VALUE"""),45978.0)</f>
        <v>45978</v>
      </c>
      <c r="B1676" s="6" t="str">
        <f>IFERROR(__xludf.DUMMYFUNCTION("""COMPUTED_VALUE"""),"Groceries")</f>
        <v>Groceries</v>
      </c>
      <c r="C1676" s="7">
        <f>IFERROR(__xludf.DUMMYFUNCTION("""COMPUTED_VALUE"""),14249.0)</f>
        <v>14249</v>
      </c>
      <c r="D1676" s="6" t="str">
        <f>IFERROR(__xludf.DUMMYFUNCTION("""COMPUTED_VALUE"""),"Groceries")</f>
        <v>Groceries</v>
      </c>
      <c r="E1676" s="6" t="str">
        <f>IFERROR(__xludf.DUMMYFUNCTION("""COMPUTED_VALUE"""),"Split Payment")</f>
        <v>Split Payment</v>
      </c>
      <c r="F1676" s="6" t="s">
        <v>7</v>
      </c>
      <c r="G1676" s="8" t="str">
        <f t="shared" si="1"/>
        <v>202511</v>
      </c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  <c r="AA1676" s="4"/>
      <c r="AB1676" s="4"/>
      <c r="AC1676" s="4"/>
      <c r="AD1676" s="4"/>
      <c r="AE1676" s="4"/>
      <c r="AF1676" s="4"/>
      <c r="AG1676" s="4"/>
      <c r="AH1676" s="4"/>
      <c r="AI1676" s="4"/>
      <c r="AJ1676" s="4"/>
      <c r="AK1676" s="4"/>
      <c r="AL1676" s="4"/>
      <c r="AM1676" s="4"/>
      <c r="AN1676" s="4"/>
      <c r="AO1676" s="4"/>
      <c r="AP1676" s="4"/>
      <c r="AQ1676" s="4"/>
      <c r="AR1676" s="4"/>
      <c r="AS1676" s="4"/>
      <c r="AT1676" s="4"/>
      <c r="AU1676" s="4"/>
      <c r="AV1676" s="4"/>
      <c r="AW1676" s="4"/>
      <c r="AX1676" s="4"/>
      <c r="AY1676" s="4"/>
      <c r="AZ1676" s="4"/>
      <c r="BA1676" s="4"/>
      <c r="BB1676" s="4"/>
      <c r="BC1676" s="4"/>
      <c r="BD1676" s="4"/>
      <c r="BE1676" s="4"/>
      <c r="BF1676" s="4"/>
      <c r="BG1676" s="4"/>
      <c r="BH1676" s="4"/>
      <c r="BI1676" s="4"/>
      <c r="BJ1676" s="4"/>
      <c r="BK1676" s="4"/>
      <c r="BL1676" s="4"/>
      <c r="BM1676" s="4"/>
      <c r="BN1676" s="4"/>
      <c r="BO1676" s="4"/>
      <c r="BP1676" s="4"/>
      <c r="BQ1676" s="4"/>
      <c r="BR1676" s="4"/>
      <c r="BS1676" s="4"/>
      <c r="BT1676" s="4"/>
      <c r="BU1676" s="4"/>
      <c r="BV1676" s="4"/>
      <c r="BW1676" s="4"/>
      <c r="BX1676" s="4"/>
      <c r="BY1676" s="4"/>
      <c r="BZ1676" s="4"/>
      <c r="CA1676" s="4"/>
      <c r="CB1676" s="4"/>
      <c r="CC1676" s="4"/>
      <c r="CD1676" s="4"/>
      <c r="CE1676" s="4"/>
      <c r="CF1676" s="4"/>
      <c r="CG1676" s="4"/>
      <c r="CH1676" s="4"/>
      <c r="CI1676" s="4"/>
      <c r="CJ1676" s="4"/>
      <c r="CK1676" s="4"/>
      <c r="CL1676" s="4"/>
      <c r="CM1676" s="4"/>
      <c r="CN1676" s="4"/>
      <c r="CO1676" s="4"/>
      <c r="CP1676" s="4"/>
      <c r="CQ1676" s="4"/>
      <c r="CR1676" s="4"/>
      <c r="CS1676" s="4"/>
      <c r="CT1676" s="4"/>
      <c r="CU1676" s="4"/>
      <c r="CV1676" s="4"/>
      <c r="CW1676" s="4"/>
      <c r="CX1676" s="4"/>
      <c r="CY1676" s="4"/>
      <c r="CZ1676" s="4"/>
      <c r="DA1676" s="4"/>
      <c r="DB1676" s="4"/>
      <c r="DC1676" s="4"/>
      <c r="DD1676" s="4"/>
      <c r="DE1676" s="4"/>
      <c r="DF1676" s="4"/>
      <c r="DG1676" s="4"/>
      <c r="DH1676" s="4"/>
      <c r="DI1676" s="4"/>
      <c r="DJ1676" s="4"/>
      <c r="DK1676" s="4"/>
      <c r="DL1676" s="4"/>
      <c r="DM1676" s="4"/>
      <c r="DN1676" s="4"/>
      <c r="DO1676" s="4"/>
      <c r="DP1676" s="4"/>
      <c r="DQ1676" s="4"/>
      <c r="DR1676" s="4"/>
      <c r="DS1676" s="4"/>
    </row>
    <row r="1677">
      <c r="A1677" s="9">
        <f>IFERROR(__xludf.DUMMYFUNCTION("""COMPUTED_VALUE"""),45978.0)</f>
        <v>45978</v>
      </c>
      <c r="B1677" s="6" t="str">
        <f>IFERROR(__xludf.DUMMYFUNCTION("""COMPUTED_VALUE"""),"Groceries")</f>
        <v>Groceries</v>
      </c>
      <c r="C1677" s="7">
        <f>IFERROR(__xludf.DUMMYFUNCTION("""COMPUTED_VALUE"""),4000.0)</f>
        <v>4000</v>
      </c>
      <c r="D1677" s="6" t="str">
        <f>IFERROR(__xludf.DUMMYFUNCTION("""COMPUTED_VALUE"""),"Restaurant / Café")</f>
        <v>Restaurant / Café</v>
      </c>
      <c r="E1677" s="6" t="str">
        <f>IFERROR(__xludf.DUMMYFUNCTION("""COMPUTED_VALUE"""),"Virtual Wallet")</f>
        <v>Virtual Wallet</v>
      </c>
      <c r="F1677" s="6" t="s">
        <v>14</v>
      </c>
      <c r="G1677" s="8" t="str">
        <f t="shared" si="1"/>
        <v>202511</v>
      </c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  <c r="AA1677" s="4"/>
      <c r="AB1677" s="4"/>
      <c r="AC1677" s="4"/>
      <c r="AD1677" s="4"/>
      <c r="AE1677" s="4"/>
      <c r="AF1677" s="4"/>
      <c r="AG1677" s="4"/>
      <c r="AH1677" s="4"/>
      <c r="AI1677" s="4"/>
      <c r="AJ1677" s="4"/>
      <c r="AK1677" s="4"/>
      <c r="AL1677" s="4"/>
      <c r="AM1677" s="4"/>
      <c r="AN1677" s="4"/>
      <c r="AO1677" s="4"/>
      <c r="AP1677" s="4"/>
      <c r="AQ1677" s="4"/>
      <c r="AR1677" s="4"/>
      <c r="AS1677" s="4"/>
      <c r="AT1677" s="4"/>
      <c r="AU1677" s="4"/>
      <c r="AV1677" s="4"/>
      <c r="AW1677" s="4"/>
      <c r="AX1677" s="4"/>
      <c r="AY1677" s="4"/>
      <c r="AZ1677" s="4"/>
      <c r="BA1677" s="4"/>
      <c r="BB1677" s="4"/>
      <c r="BC1677" s="4"/>
      <c r="BD1677" s="4"/>
      <c r="BE1677" s="4"/>
      <c r="BF1677" s="4"/>
      <c r="BG1677" s="4"/>
      <c r="BH1677" s="4"/>
      <c r="BI1677" s="4"/>
      <c r="BJ1677" s="4"/>
      <c r="BK1677" s="4"/>
      <c r="BL1677" s="4"/>
      <c r="BM1677" s="4"/>
      <c r="BN1677" s="4"/>
      <c r="BO1677" s="4"/>
      <c r="BP1677" s="4"/>
      <c r="BQ1677" s="4"/>
      <c r="BR1677" s="4"/>
      <c r="BS1677" s="4"/>
      <c r="BT1677" s="4"/>
      <c r="BU1677" s="4"/>
      <c r="BV1677" s="4"/>
      <c r="BW1677" s="4"/>
      <c r="BX1677" s="4"/>
      <c r="BY1677" s="4"/>
      <c r="BZ1677" s="4"/>
      <c r="CA1677" s="4"/>
      <c r="CB1677" s="4"/>
      <c r="CC1677" s="4"/>
      <c r="CD1677" s="4"/>
      <c r="CE1677" s="4"/>
      <c r="CF1677" s="4"/>
      <c r="CG1677" s="4"/>
      <c r="CH1677" s="4"/>
      <c r="CI1677" s="4"/>
      <c r="CJ1677" s="4"/>
      <c r="CK1677" s="4"/>
      <c r="CL1677" s="4"/>
      <c r="CM1677" s="4"/>
      <c r="CN1677" s="4"/>
      <c r="CO1677" s="4"/>
      <c r="CP1677" s="4"/>
      <c r="CQ1677" s="4"/>
      <c r="CR1677" s="4"/>
      <c r="CS1677" s="4"/>
      <c r="CT1677" s="4"/>
      <c r="CU1677" s="4"/>
      <c r="CV1677" s="4"/>
      <c r="CW1677" s="4"/>
      <c r="CX1677" s="4"/>
      <c r="CY1677" s="4"/>
      <c r="CZ1677" s="4"/>
      <c r="DA1677" s="4"/>
      <c r="DB1677" s="4"/>
      <c r="DC1677" s="4"/>
      <c r="DD1677" s="4"/>
      <c r="DE1677" s="4"/>
      <c r="DF1677" s="4"/>
      <c r="DG1677" s="4"/>
      <c r="DH1677" s="4"/>
      <c r="DI1677" s="4"/>
      <c r="DJ1677" s="4"/>
      <c r="DK1677" s="4"/>
      <c r="DL1677" s="4"/>
      <c r="DM1677" s="4"/>
      <c r="DN1677" s="4"/>
      <c r="DO1677" s="4"/>
      <c r="DP1677" s="4"/>
      <c r="DQ1677" s="4"/>
      <c r="DR1677" s="4"/>
      <c r="DS1677" s="4"/>
    </row>
    <row r="1678">
      <c r="A1678" s="9">
        <f>IFERROR(__xludf.DUMMYFUNCTION("""COMPUTED_VALUE"""),45978.0)</f>
        <v>45978</v>
      </c>
      <c r="B1678" s="6" t="str">
        <f>IFERROR(__xludf.DUMMYFUNCTION("""COMPUTED_VALUE"""),"Groceries")</f>
        <v>Groceries</v>
      </c>
      <c r="C1678" s="7">
        <f>IFERROR(__xludf.DUMMYFUNCTION("""COMPUTED_VALUE"""),3000.0)</f>
        <v>3000</v>
      </c>
      <c r="D1678" s="6" t="str">
        <f>IFERROR(__xludf.DUMMYFUNCTION("""COMPUTED_VALUE"""),"Groceries")</f>
        <v>Groceries</v>
      </c>
      <c r="E1678" s="6" t="str">
        <f>IFERROR(__xludf.DUMMYFUNCTION("""COMPUTED_VALUE"""),"Virtual Wallet")</f>
        <v>Virtual Wallet</v>
      </c>
      <c r="F1678" s="6" t="s">
        <v>7</v>
      </c>
      <c r="G1678" s="8" t="str">
        <f t="shared" si="1"/>
        <v>202511</v>
      </c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  <c r="AA1678" s="4"/>
      <c r="AB1678" s="4"/>
      <c r="AC1678" s="4"/>
      <c r="AD1678" s="4"/>
      <c r="AE1678" s="4"/>
      <c r="AF1678" s="4"/>
      <c r="AG1678" s="4"/>
      <c r="AH1678" s="4"/>
      <c r="AI1678" s="4"/>
      <c r="AJ1678" s="4"/>
      <c r="AK1678" s="4"/>
      <c r="AL1678" s="4"/>
      <c r="AM1678" s="4"/>
      <c r="AN1678" s="4"/>
      <c r="AO1678" s="4"/>
      <c r="AP1678" s="4"/>
      <c r="AQ1678" s="4"/>
      <c r="AR1678" s="4"/>
      <c r="AS1678" s="4"/>
      <c r="AT1678" s="4"/>
      <c r="AU1678" s="4"/>
      <c r="AV1678" s="4"/>
      <c r="AW1678" s="4"/>
      <c r="AX1678" s="4"/>
      <c r="AY1678" s="4"/>
      <c r="AZ1678" s="4"/>
      <c r="BA1678" s="4"/>
      <c r="BB1678" s="4"/>
      <c r="BC1678" s="4"/>
      <c r="BD1678" s="4"/>
      <c r="BE1678" s="4"/>
      <c r="BF1678" s="4"/>
      <c r="BG1678" s="4"/>
      <c r="BH1678" s="4"/>
      <c r="BI1678" s="4"/>
      <c r="BJ1678" s="4"/>
      <c r="BK1678" s="4"/>
      <c r="BL1678" s="4"/>
      <c r="BM1678" s="4"/>
      <c r="BN1678" s="4"/>
      <c r="BO1678" s="4"/>
      <c r="BP1678" s="4"/>
      <c r="BQ1678" s="4"/>
      <c r="BR1678" s="4"/>
      <c r="BS1678" s="4"/>
      <c r="BT1678" s="4"/>
      <c r="BU1678" s="4"/>
      <c r="BV1678" s="4"/>
      <c r="BW1678" s="4"/>
      <c r="BX1678" s="4"/>
      <c r="BY1678" s="4"/>
      <c r="BZ1678" s="4"/>
      <c r="CA1678" s="4"/>
      <c r="CB1678" s="4"/>
      <c r="CC1678" s="4"/>
      <c r="CD1678" s="4"/>
      <c r="CE1678" s="4"/>
      <c r="CF1678" s="4"/>
      <c r="CG1678" s="4"/>
      <c r="CH1678" s="4"/>
      <c r="CI1678" s="4"/>
      <c r="CJ1678" s="4"/>
      <c r="CK1678" s="4"/>
      <c r="CL1678" s="4"/>
      <c r="CM1678" s="4"/>
      <c r="CN1678" s="4"/>
      <c r="CO1678" s="4"/>
      <c r="CP1678" s="4"/>
      <c r="CQ1678" s="4"/>
      <c r="CR1678" s="4"/>
      <c r="CS1678" s="4"/>
      <c r="CT1678" s="4"/>
      <c r="CU1678" s="4"/>
      <c r="CV1678" s="4"/>
      <c r="CW1678" s="4"/>
      <c r="CX1678" s="4"/>
      <c r="CY1678" s="4"/>
      <c r="CZ1678" s="4"/>
      <c r="DA1678" s="4"/>
      <c r="DB1678" s="4"/>
      <c r="DC1678" s="4"/>
      <c r="DD1678" s="4"/>
      <c r="DE1678" s="4"/>
      <c r="DF1678" s="4"/>
      <c r="DG1678" s="4"/>
      <c r="DH1678" s="4"/>
      <c r="DI1678" s="4"/>
      <c r="DJ1678" s="4"/>
      <c r="DK1678" s="4"/>
      <c r="DL1678" s="4"/>
      <c r="DM1678" s="4"/>
      <c r="DN1678" s="4"/>
      <c r="DO1678" s="4"/>
      <c r="DP1678" s="4"/>
      <c r="DQ1678" s="4"/>
      <c r="DR1678" s="4"/>
      <c r="DS1678" s="4"/>
    </row>
    <row r="1679">
      <c r="A1679" s="9">
        <f>IFERROR(__xludf.DUMMYFUNCTION("""COMPUTED_VALUE"""),45978.0)</f>
        <v>45978</v>
      </c>
      <c r="B1679" s="6" t="str">
        <f>IFERROR(__xludf.DUMMYFUNCTION("""COMPUTED_VALUE"""),"Groceries")</f>
        <v>Groceries</v>
      </c>
      <c r="C1679" s="7">
        <f>IFERROR(__xludf.DUMMYFUNCTION("""COMPUTED_VALUE"""),18750.0)</f>
        <v>18750</v>
      </c>
      <c r="D1679" s="6" t="str">
        <f>IFERROR(__xludf.DUMMYFUNCTION("""COMPUTED_VALUE"""),"Groceries")</f>
        <v>Groceries</v>
      </c>
      <c r="E1679" s="6" t="str">
        <f>IFERROR(__xludf.DUMMYFUNCTION("""COMPUTED_VALUE"""),"Virtual Wallet")</f>
        <v>Virtual Wallet</v>
      </c>
      <c r="F1679" s="6" t="s">
        <v>7</v>
      </c>
      <c r="G1679" s="8" t="str">
        <f t="shared" si="1"/>
        <v>202511</v>
      </c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  <c r="AA1679" s="4"/>
      <c r="AB1679" s="4"/>
      <c r="AC1679" s="4"/>
      <c r="AD1679" s="4"/>
      <c r="AE1679" s="4"/>
      <c r="AF1679" s="4"/>
      <c r="AG1679" s="4"/>
      <c r="AH1679" s="4"/>
      <c r="AI1679" s="4"/>
      <c r="AJ1679" s="4"/>
      <c r="AK1679" s="4"/>
      <c r="AL1679" s="4"/>
      <c r="AM1679" s="4"/>
      <c r="AN1679" s="4"/>
      <c r="AO1679" s="4"/>
      <c r="AP1679" s="4"/>
      <c r="AQ1679" s="4"/>
      <c r="AR1679" s="4"/>
      <c r="AS1679" s="4"/>
      <c r="AT1679" s="4"/>
      <c r="AU1679" s="4"/>
      <c r="AV1679" s="4"/>
      <c r="AW1679" s="4"/>
      <c r="AX1679" s="4"/>
      <c r="AY1679" s="4"/>
      <c r="AZ1679" s="4"/>
      <c r="BA1679" s="4"/>
      <c r="BB1679" s="4"/>
      <c r="BC1679" s="4"/>
      <c r="BD1679" s="4"/>
      <c r="BE1679" s="4"/>
      <c r="BF1679" s="4"/>
      <c r="BG1679" s="4"/>
      <c r="BH1679" s="4"/>
      <c r="BI1679" s="4"/>
      <c r="BJ1679" s="4"/>
      <c r="BK1679" s="4"/>
      <c r="BL1679" s="4"/>
      <c r="BM1679" s="4"/>
      <c r="BN1679" s="4"/>
      <c r="BO1679" s="4"/>
      <c r="BP1679" s="4"/>
      <c r="BQ1679" s="4"/>
      <c r="BR1679" s="4"/>
      <c r="BS1679" s="4"/>
      <c r="BT1679" s="4"/>
      <c r="BU1679" s="4"/>
      <c r="BV1679" s="4"/>
      <c r="BW1679" s="4"/>
      <c r="BX1679" s="4"/>
      <c r="BY1679" s="4"/>
      <c r="BZ1679" s="4"/>
      <c r="CA1679" s="4"/>
      <c r="CB1679" s="4"/>
      <c r="CC1679" s="4"/>
      <c r="CD1679" s="4"/>
      <c r="CE1679" s="4"/>
      <c r="CF1679" s="4"/>
      <c r="CG1679" s="4"/>
      <c r="CH1679" s="4"/>
      <c r="CI1679" s="4"/>
      <c r="CJ1679" s="4"/>
      <c r="CK1679" s="4"/>
      <c r="CL1679" s="4"/>
      <c r="CM1679" s="4"/>
      <c r="CN1679" s="4"/>
      <c r="CO1679" s="4"/>
      <c r="CP1679" s="4"/>
      <c r="CQ1679" s="4"/>
      <c r="CR1679" s="4"/>
      <c r="CS1679" s="4"/>
      <c r="CT1679" s="4"/>
      <c r="CU1679" s="4"/>
      <c r="CV1679" s="4"/>
      <c r="CW1679" s="4"/>
      <c r="CX1679" s="4"/>
      <c r="CY1679" s="4"/>
      <c r="CZ1679" s="4"/>
      <c r="DA1679" s="4"/>
      <c r="DB1679" s="4"/>
      <c r="DC1679" s="4"/>
      <c r="DD1679" s="4"/>
      <c r="DE1679" s="4"/>
      <c r="DF1679" s="4"/>
      <c r="DG1679" s="4"/>
      <c r="DH1679" s="4"/>
      <c r="DI1679" s="4"/>
      <c r="DJ1679" s="4"/>
      <c r="DK1679" s="4"/>
      <c r="DL1679" s="4"/>
      <c r="DM1679" s="4"/>
      <c r="DN1679" s="4"/>
      <c r="DO1679" s="4"/>
      <c r="DP1679" s="4"/>
      <c r="DQ1679" s="4"/>
      <c r="DR1679" s="4"/>
      <c r="DS1679" s="4"/>
    </row>
    <row r="1680">
      <c r="A1680" s="9">
        <f>IFERROR(__xludf.DUMMYFUNCTION("""COMPUTED_VALUE"""),45978.0)</f>
        <v>45978</v>
      </c>
      <c r="B1680" s="6" t="str">
        <f>IFERROR(__xludf.DUMMYFUNCTION("""COMPUTED_VALUE"""),"Home Goods")</f>
        <v>Home Goods</v>
      </c>
      <c r="C1680" s="7">
        <f>IFERROR(__xludf.DUMMYFUNCTION("""COMPUTED_VALUE"""),8258.0)</f>
        <v>8258</v>
      </c>
      <c r="D1680" s="6" t="str">
        <f>IFERROR(__xludf.DUMMYFUNCTION("""COMPUTED_VALUE"""),"Home Goods &amp; Utilities")</f>
        <v>Home Goods &amp; Utilities</v>
      </c>
      <c r="E1680" s="6" t="str">
        <f>IFERROR(__xludf.DUMMYFUNCTION("""COMPUTED_VALUE"""),"Virtual Wallet")</f>
        <v>Virtual Wallet</v>
      </c>
      <c r="F1680" s="6" t="s">
        <v>8</v>
      </c>
      <c r="G1680" s="8" t="str">
        <f t="shared" si="1"/>
        <v>202511</v>
      </c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  <c r="AA1680" s="4"/>
      <c r="AB1680" s="4"/>
      <c r="AC1680" s="4"/>
      <c r="AD1680" s="4"/>
      <c r="AE1680" s="4"/>
      <c r="AF1680" s="4"/>
      <c r="AG1680" s="4"/>
      <c r="AH1680" s="4"/>
      <c r="AI1680" s="4"/>
      <c r="AJ1680" s="4"/>
      <c r="AK1680" s="4"/>
      <c r="AL1680" s="4"/>
      <c r="AM1680" s="4"/>
      <c r="AN1680" s="4"/>
      <c r="AO1680" s="4"/>
      <c r="AP1680" s="4"/>
      <c r="AQ1680" s="4"/>
      <c r="AR1680" s="4"/>
      <c r="AS1680" s="4"/>
      <c r="AT1680" s="4"/>
      <c r="AU1680" s="4"/>
      <c r="AV1680" s="4"/>
      <c r="AW1680" s="4"/>
      <c r="AX1680" s="4"/>
      <c r="AY1680" s="4"/>
      <c r="AZ1680" s="4"/>
      <c r="BA1680" s="4"/>
      <c r="BB1680" s="4"/>
      <c r="BC1680" s="4"/>
      <c r="BD1680" s="4"/>
      <c r="BE1680" s="4"/>
      <c r="BF1680" s="4"/>
      <c r="BG1680" s="4"/>
      <c r="BH1680" s="4"/>
      <c r="BI1680" s="4"/>
      <c r="BJ1680" s="4"/>
      <c r="BK1680" s="4"/>
      <c r="BL1680" s="4"/>
      <c r="BM1680" s="4"/>
      <c r="BN1680" s="4"/>
      <c r="BO1680" s="4"/>
      <c r="BP1680" s="4"/>
      <c r="BQ1680" s="4"/>
      <c r="BR1680" s="4"/>
      <c r="BS1680" s="4"/>
      <c r="BT1680" s="4"/>
      <c r="BU1680" s="4"/>
      <c r="BV1680" s="4"/>
      <c r="BW1680" s="4"/>
      <c r="BX1680" s="4"/>
      <c r="BY1680" s="4"/>
      <c r="BZ1680" s="4"/>
      <c r="CA1680" s="4"/>
      <c r="CB1680" s="4"/>
      <c r="CC1680" s="4"/>
      <c r="CD1680" s="4"/>
      <c r="CE1680" s="4"/>
      <c r="CF1680" s="4"/>
      <c r="CG1680" s="4"/>
      <c r="CH1680" s="4"/>
      <c r="CI1680" s="4"/>
      <c r="CJ1680" s="4"/>
      <c r="CK1680" s="4"/>
      <c r="CL1680" s="4"/>
      <c r="CM1680" s="4"/>
      <c r="CN1680" s="4"/>
      <c r="CO1680" s="4"/>
      <c r="CP1680" s="4"/>
      <c r="CQ1680" s="4"/>
      <c r="CR1680" s="4"/>
      <c r="CS1680" s="4"/>
      <c r="CT1680" s="4"/>
      <c r="CU1680" s="4"/>
      <c r="CV1680" s="4"/>
      <c r="CW1680" s="4"/>
      <c r="CX1680" s="4"/>
      <c r="CY1680" s="4"/>
      <c r="CZ1680" s="4"/>
      <c r="DA1680" s="4"/>
      <c r="DB1680" s="4"/>
      <c r="DC1680" s="4"/>
      <c r="DD1680" s="4"/>
      <c r="DE1680" s="4"/>
      <c r="DF1680" s="4"/>
      <c r="DG1680" s="4"/>
      <c r="DH1680" s="4"/>
      <c r="DI1680" s="4"/>
      <c r="DJ1680" s="4"/>
      <c r="DK1680" s="4"/>
      <c r="DL1680" s="4"/>
      <c r="DM1680" s="4"/>
      <c r="DN1680" s="4"/>
      <c r="DO1680" s="4"/>
      <c r="DP1680" s="4"/>
      <c r="DQ1680" s="4"/>
      <c r="DR1680" s="4"/>
      <c r="DS1680" s="4"/>
    </row>
    <row r="1681">
      <c r="A1681" s="9">
        <f>IFERROR(__xludf.DUMMYFUNCTION("""COMPUTED_VALUE"""),45978.0)</f>
        <v>45978</v>
      </c>
      <c r="B1681" s="6" t="str">
        <f>IFERROR(__xludf.DUMMYFUNCTION("""COMPUTED_VALUE"""),"Pets")</f>
        <v>Pets</v>
      </c>
      <c r="C1681" s="7">
        <f>IFERROR(__xludf.DUMMYFUNCTION("""COMPUTED_VALUE"""),7245.0)</f>
        <v>7245</v>
      </c>
      <c r="D1681" s="6" t="str">
        <f>IFERROR(__xludf.DUMMYFUNCTION("""COMPUTED_VALUE"""),"Pets")</f>
        <v>Pets</v>
      </c>
      <c r="E1681" s="6" t="str">
        <f>IFERROR(__xludf.DUMMYFUNCTION("""COMPUTED_VALUE"""),"Split Payment")</f>
        <v>Split Payment</v>
      </c>
      <c r="F1681" s="6" t="s">
        <v>7</v>
      </c>
      <c r="G1681" s="8" t="str">
        <f t="shared" si="1"/>
        <v>202511</v>
      </c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  <c r="AA1681" s="4"/>
      <c r="AB1681" s="4"/>
      <c r="AC1681" s="4"/>
      <c r="AD1681" s="4"/>
      <c r="AE1681" s="4"/>
      <c r="AF1681" s="4"/>
      <c r="AG1681" s="4"/>
      <c r="AH1681" s="4"/>
      <c r="AI1681" s="4"/>
      <c r="AJ1681" s="4"/>
      <c r="AK1681" s="4"/>
      <c r="AL1681" s="4"/>
      <c r="AM1681" s="4"/>
      <c r="AN1681" s="4"/>
      <c r="AO1681" s="4"/>
      <c r="AP1681" s="4"/>
      <c r="AQ1681" s="4"/>
      <c r="AR1681" s="4"/>
      <c r="AS1681" s="4"/>
      <c r="AT1681" s="4"/>
      <c r="AU1681" s="4"/>
      <c r="AV1681" s="4"/>
      <c r="AW1681" s="4"/>
      <c r="AX1681" s="4"/>
      <c r="AY1681" s="4"/>
      <c r="AZ1681" s="4"/>
      <c r="BA1681" s="4"/>
      <c r="BB1681" s="4"/>
      <c r="BC1681" s="4"/>
      <c r="BD1681" s="4"/>
      <c r="BE1681" s="4"/>
      <c r="BF1681" s="4"/>
      <c r="BG1681" s="4"/>
      <c r="BH1681" s="4"/>
      <c r="BI1681" s="4"/>
      <c r="BJ1681" s="4"/>
      <c r="BK1681" s="4"/>
      <c r="BL1681" s="4"/>
      <c r="BM1681" s="4"/>
      <c r="BN1681" s="4"/>
      <c r="BO1681" s="4"/>
      <c r="BP1681" s="4"/>
      <c r="BQ1681" s="4"/>
      <c r="BR1681" s="4"/>
      <c r="BS1681" s="4"/>
      <c r="BT1681" s="4"/>
      <c r="BU1681" s="4"/>
      <c r="BV1681" s="4"/>
      <c r="BW1681" s="4"/>
      <c r="BX1681" s="4"/>
      <c r="BY1681" s="4"/>
      <c r="BZ1681" s="4"/>
      <c r="CA1681" s="4"/>
      <c r="CB1681" s="4"/>
      <c r="CC1681" s="4"/>
      <c r="CD1681" s="4"/>
      <c r="CE1681" s="4"/>
      <c r="CF1681" s="4"/>
      <c r="CG1681" s="4"/>
      <c r="CH1681" s="4"/>
      <c r="CI1681" s="4"/>
      <c r="CJ1681" s="4"/>
      <c r="CK1681" s="4"/>
      <c r="CL1681" s="4"/>
      <c r="CM1681" s="4"/>
      <c r="CN1681" s="4"/>
      <c r="CO1681" s="4"/>
      <c r="CP1681" s="4"/>
      <c r="CQ1681" s="4"/>
      <c r="CR1681" s="4"/>
      <c r="CS1681" s="4"/>
      <c r="CT1681" s="4"/>
      <c r="CU1681" s="4"/>
      <c r="CV1681" s="4"/>
      <c r="CW1681" s="4"/>
      <c r="CX1681" s="4"/>
      <c r="CY1681" s="4"/>
      <c r="CZ1681" s="4"/>
      <c r="DA1681" s="4"/>
      <c r="DB1681" s="4"/>
      <c r="DC1681" s="4"/>
      <c r="DD1681" s="4"/>
      <c r="DE1681" s="4"/>
      <c r="DF1681" s="4"/>
      <c r="DG1681" s="4"/>
      <c r="DH1681" s="4"/>
      <c r="DI1681" s="4"/>
      <c r="DJ1681" s="4"/>
      <c r="DK1681" s="4"/>
      <c r="DL1681" s="4"/>
      <c r="DM1681" s="4"/>
      <c r="DN1681" s="4"/>
      <c r="DO1681" s="4"/>
      <c r="DP1681" s="4"/>
      <c r="DQ1681" s="4"/>
      <c r="DR1681" s="4"/>
      <c r="DS1681" s="4"/>
    </row>
    <row r="1682">
      <c r="A1682" s="9">
        <f>IFERROR(__xludf.DUMMYFUNCTION("""COMPUTED_VALUE"""),45979.0)</f>
        <v>45979</v>
      </c>
      <c r="B1682" s="6" t="str">
        <f>IFERROR(__xludf.DUMMYFUNCTION("""COMPUTED_VALUE"""),"Groceries")</f>
        <v>Groceries</v>
      </c>
      <c r="C1682" s="7">
        <f>IFERROR(__xludf.DUMMYFUNCTION("""COMPUTED_VALUE"""),14537.0)</f>
        <v>14537</v>
      </c>
      <c r="D1682" s="6" t="str">
        <f>IFERROR(__xludf.DUMMYFUNCTION("""COMPUTED_VALUE"""),"Groceries")</f>
        <v>Groceries</v>
      </c>
      <c r="E1682" s="6" t="str">
        <f>IFERROR(__xludf.DUMMYFUNCTION("""COMPUTED_VALUE"""),"Split Payment")</f>
        <v>Split Payment</v>
      </c>
      <c r="F1682" s="6" t="s">
        <v>7</v>
      </c>
      <c r="G1682" s="8" t="str">
        <f t="shared" si="1"/>
        <v>202511</v>
      </c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  <c r="AA1682" s="4"/>
      <c r="AB1682" s="4"/>
      <c r="AC1682" s="4"/>
      <c r="AD1682" s="4"/>
      <c r="AE1682" s="4"/>
      <c r="AF1682" s="4"/>
      <c r="AG1682" s="4"/>
      <c r="AH1682" s="4"/>
      <c r="AI1682" s="4"/>
      <c r="AJ1682" s="4"/>
      <c r="AK1682" s="4"/>
      <c r="AL1682" s="4"/>
      <c r="AM1682" s="4"/>
      <c r="AN1682" s="4"/>
      <c r="AO1682" s="4"/>
      <c r="AP1682" s="4"/>
      <c r="AQ1682" s="4"/>
      <c r="AR1682" s="4"/>
      <c r="AS1682" s="4"/>
      <c r="AT1682" s="4"/>
      <c r="AU1682" s="4"/>
      <c r="AV1682" s="4"/>
      <c r="AW1682" s="4"/>
      <c r="AX1682" s="4"/>
      <c r="AY1682" s="4"/>
      <c r="AZ1682" s="4"/>
      <c r="BA1682" s="4"/>
      <c r="BB1682" s="4"/>
      <c r="BC1682" s="4"/>
      <c r="BD1682" s="4"/>
      <c r="BE1682" s="4"/>
      <c r="BF1682" s="4"/>
      <c r="BG1682" s="4"/>
      <c r="BH1682" s="4"/>
      <c r="BI1682" s="4"/>
      <c r="BJ1682" s="4"/>
      <c r="BK1682" s="4"/>
      <c r="BL1682" s="4"/>
      <c r="BM1682" s="4"/>
      <c r="BN1682" s="4"/>
      <c r="BO1682" s="4"/>
      <c r="BP1682" s="4"/>
      <c r="BQ1682" s="4"/>
      <c r="BR1682" s="4"/>
      <c r="BS1682" s="4"/>
      <c r="BT1682" s="4"/>
      <c r="BU1682" s="4"/>
      <c r="BV1682" s="4"/>
      <c r="BW1682" s="4"/>
      <c r="BX1682" s="4"/>
      <c r="BY1682" s="4"/>
      <c r="BZ1682" s="4"/>
      <c r="CA1682" s="4"/>
      <c r="CB1682" s="4"/>
      <c r="CC1682" s="4"/>
      <c r="CD1682" s="4"/>
      <c r="CE1682" s="4"/>
      <c r="CF1682" s="4"/>
      <c r="CG1682" s="4"/>
      <c r="CH1682" s="4"/>
      <c r="CI1682" s="4"/>
      <c r="CJ1682" s="4"/>
      <c r="CK1682" s="4"/>
      <c r="CL1682" s="4"/>
      <c r="CM1682" s="4"/>
      <c r="CN1682" s="4"/>
      <c r="CO1682" s="4"/>
      <c r="CP1682" s="4"/>
      <c r="CQ1682" s="4"/>
      <c r="CR1682" s="4"/>
      <c r="CS1682" s="4"/>
      <c r="CT1682" s="4"/>
      <c r="CU1682" s="4"/>
      <c r="CV1682" s="4"/>
      <c r="CW1682" s="4"/>
      <c r="CX1682" s="4"/>
      <c r="CY1682" s="4"/>
      <c r="CZ1682" s="4"/>
      <c r="DA1682" s="4"/>
      <c r="DB1682" s="4"/>
      <c r="DC1682" s="4"/>
      <c r="DD1682" s="4"/>
      <c r="DE1682" s="4"/>
      <c r="DF1682" s="4"/>
      <c r="DG1682" s="4"/>
      <c r="DH1682" s="4"/>
      <c r="DI1682" s="4"/>
      <c r="DJ1682" s="4"/>
      <c r="DK1682" s="4"/>
      <c r="DL1682" s="4"/>
      <c r="DM1682" s="4"/>
      <c r="DN1682" s="4"/>
      <c r="DO1682" s="4"/>
      <c r="DP1682" s="4"/>
      <c r="DQ1682" s="4"/>
      <c r="DR1682" s="4"/>
      <c r="DS1682" s="4"/>
    </row>
    <row r="1683">
      <c r="A1683" s="9">
        <f>IFERROR(__xludf.DUMMYFUNCTION("""COMPUTED_VALUE"""),45980.0)</f>
        <v>45980</v>
      </c>
      <c r="B1683" s="6" t="str">
        <f>IFERROR(__xludf.DUMMYFUNCTION("""COMPUTED_VALUE"""),"Cab/Uber")</f>
        <v>Cab/Uber</v>
      </c>
      <c r="C1683" s="7">
        <f>IFERROR(__xludf.DUMMYFUNCTION("""COMPUTED_VALUE"""),494.0)</f>
        <v>494</v>
      </c>
      <c r="D1683" s="6" t="str">
        <f>IFERROR(__xludf.DUMMYFUNCTION("""COMPUTED_VALUE"""),"Transportation")</f>
        <v>Transportation</v>
      </c>
      <c r="E1683" s="6" t="str">
        <f>IFERROR(__xludf.DUMMYFUNCTION("""COMPUTED_VALUE"""),"Virtual Wallet")</f>
        <v>Virtual Wallet</v>
      </c>
      <c r="F1683" s="6" t="s">
        <v>9</v>
      </c>
      <c r="G1683" s="8" t="str">
        <f t="shared" si="1"/>
        <v>202511</v>
      </c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  <c r="AA1683" s="4"/>
      <c r="AB1683" s="4"/>
      <c r="AC1683" s="4"/>
      <c r="AD1683" s="4"/>
      <c r="AE1683" s="4"/>
      <c r="AF1683" s="4"/>
      <c r="AG1683" s="4"/>
      <c r="AH1683" s="4"/>
      <c r="AI1683" s="4"/>
      <c r="AJ1683" s="4"/>
      <c r="AK1683" s="4"/>
      <c r="AL1683" s="4"/>
      <c r="AM1683" s="4"/>
      <c r="AN1683" s="4"/>
      <c r="AO1683" s="4"/>
      <c r="AP1683" s="4"/>
      <c r="AQ1683" s="4"/>
      <c r="AR1683" s="4"/>
      <c r="AS1683" s="4"/>
      <c r="AT1683" s="4"/>
      <c r="AU1683" s="4"/>
      <c r="AV1683" s="4"/>
      <c r="AW1683" s="4"/>
      <c r="AX1683" s="4"/>
      <c r="AY1683" s="4"/>
      <c r="AZ1683" s="4"/>
      <c r="BA1683" s="4"/>
      <c r="BB1683" s="4"/>
      <c r="BC1683" s="4"/>
      <c r="BD1683" s="4"/>
      <c r="BE1683" s="4"/>
      <c r="BF1683" s="4"/>
      <c r="BG1683" s="4"/>
      <c r="BH1683" s="4"/>
      <c r="BI1683" s="4"/>
      <c r="BJ1683" s="4"/>
      <c r="BK1683" s="4"/>
      <c r="BL1683" s="4"/>
      <c r="BM1683" s="4"/>
      <c r="BN1683" s="4"/>
      <c r="BO1683" s="4"/>
      <c r="BP1683" s="4"/>
      <c r="BQ1683" s="4"/>
      <c r="BR1683" s="4"/>
      <c r="BS1683" s="4"/>
      <c r="BT1683" s="4"/>
      <c r="BU1683" s="4"/>
      <c r="BV1683" s="4"/>
      <c r="BW1683" s="4"/>
      <c r="BX1683" s="4"/>
      <c r="BY1683" s="4"/>
      <c r="BZ1683" s="4"/>
      <c r="CA1683" s="4"/>
      <c r="CB1683" s="4"/>
      <c r="CC1683" s="4"/>
      <c r="CD1683" s="4"/>
      <c r="CE1683" s="4"/>
      <c r="CF1683" s="4"/>
      <c r="CG1683" s="4"/>
      <c r="CH1683" s="4"/>
      <c r="CI1683" s="4"/>
      <c r="CJ1683" s="4"/>
      <c r="CK1683" s="4"/>
      <c r="CL1683" s="4"/>
      <c r="CM1683" s="4"/>
      <c r="CN1683" s="4"/>
      <c r="CO1683" s="4"/>
      <c r="CP1683" s="4"/>
      <c r="CQ1683" s="4"/>
      <c r="CR1683" s="4"/>
      <c r="CS1683" s="4"/>
      <c r="CT1683" s="4"/>
      <c r="CU1683" s="4"/>
      <c r="CV1683" s="4"/>
      <c r="CW1683" s="4"/>
      <c r="CX1683" s="4"/>
      <c r="CY1683" s="4"/>
      <c r="CZ1683" s="4"/>
      <c r="DA1683" s="4"/>
      <c r="DB1683" s="4"/>
      <c r="DC1683" s="4"/>
      <c r="DD1683" s="4"/>
      <c r="DE1683" s="4"/>
      <c r="DF1683" s="4"/>
      <c r="DG1683" s="4"/>
      <c r="DH1683" s="4"/>
      <c r="DI1683" s="4"/>
      <c r="DJ1683" s="4"/>
      <c r="DK1683" s="4"/>
      <c r="DL1683" s="4"/>
      <c r="DM1683" s="4"/>
      <c r="DN1683" s="4"/>
      <c r="DO1683" s="4"/>
      <c r="DP1683" s="4"/>
      <c r="DQ1683" s="4"/>
      <c r="DR1683" s="4"/>
      <c r="DS1683" s="4"/>
    </row>
    <row r="1684">
      <c r="A1684" s="9">
        <f>IFERROR(__xludf.DUMMYFUNCTION("""COMPUTED_VALUE"""),45980.0)</f>
        <v>45980</v>
      </c>
      <c r="B1684" s="6" t="str">
        <f>IFERROR(__xludf.DUMMYFUNCTION("""COMPUTED_VALUE"""),"Clothing")</f>
        <v>Clothing</v>
      </c>
      <c r="C1684" s="7">
        <f>IFERROR(__xludf.DUMMYFUNCTION("""COMPUTED_VALUE"""),10000.0)</f>
        <v>10000</v>
      </c>
      <c r="D1684" s="6" t="str">
        <f>IFERROR(__xludf.DUMMYFUNCTION("""COMPUTED_VALUE"""),"Gifts")</f>
        <v>Gifts</v>
      </c>
      <c r="E1684" s="6" t="str">
        <f>IFERROR(__xludf.DUMMYFUNCTION("""COMPUTED_VALUE"""),"Credit Card")</f>
        <v>Credit Card</v>
      </c>
      <c r="F1684" s="6"/>
      <c r="G1684" s="8" t="str">
        <f t="shared" si="1"/>
        <v>202511</v>
      </c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  <c r="AA1684" s="4"/>
      <c r="AB1684" s="4"/>
      <c r="AC1684" s="4"/>
      <c r="AD1684" s="4"/>
      <c r="AE1684" s="4"/>
      <c r="AF1684" s="4"/>
      <c r="AG1684" s="4"/>
      <c r="AH1684" s="4"/>
      <c r="AI1684" s="4"/>
      <c r="AJ1684" s="4"/>
      <c r="AK1684" s="4"/>
      <c r="AL1684" s="4"/>
      <c r="AM1684" s="4"/>
      <c r="AN1684" s="4"/>
      <c r="AO1684" s="4"/>
      <c r="AP1684" s="4"/>
      <c r="AQ1684" s="4"/>
      <c r="AR1684" s="4"/>
      <c r="AS1684" s="4"/>
      <c r="AT1684" s="4"/>
      <c r="AU1684" s="4"/>
      <c r="AV1684" s="4"/>
      <c r="AW1684" s="4"/>
      <c r="AX1684" s="4"/>
      <c r="AY1684" s="4"/>
      <c r="AZ1684" s="4"/>
      <c r="BA1684" s="4"/>
      <c r="BB1684" s="4"/>
      <c r="BC1684" s="4"/>
      <c r="BD1684" s="4"/>
      <c r="BE1684" s="4"/>
      <c r="BF1684" s="4"/>
      <c r="BG1684" s="4"/>
      <c r="BH1684" s="4"/>
      <c r="BI1684" s="4"/>
      <c r="BJ1684" s="4"/>
      <c r="BK1684" s="4"/>
      <c r="BL1684" s="4"/>
      <c r="BM1684" s="4"/>
      <c r="BN1684" s="4"/>
      <c r="BO1684" s="4"/>
      <c r="BP1684" s="4"/>
      <c r="BQ1684" s="4"/>
      <c r="BR1684" s="4"/>
      <c r="BS1684" s="4"/>
      <c r="BT1684" s="4"/>
      <c r="BU1684" s="4"/>
      <c r="BV1684" s="4"/>
      <c r="BW1684" s="4"/>
      <c r="BX1684" s="4"/>
      <c r="BY1684" s="4"/>
      <c r="BZ1684" s="4"/>
      <c r="CA1684" s="4"/>
      <c r="CB1684" s="4"/>
      <c r="CC1684" s="4"/>
      <c r="CD1684" s="4"/>
      <c r="CE1684" s="4"/>
      <c r="CF1684" s="4"/>
      <c r="CG1684" s="4"/>
      <c r="CH1684" s="4"/>
      <c r="CI1684" s="4"/>
      <c r="CJ1684" s="4"/>
      <c r="CK1684" s="4"/>
      <c r="CL1684" s="4"/>
      <c r="CM1684" s="4"/>
      <c r="CN1684" s="4"/>
      <c r="CO1684" s="4"/>
      <c r="CP1684" s="4"/>
      <c r="CQ1684" s="4"/>
      <c r="CR1684" s="4"/>
      <c r="CS1684" s="4"/>
      <c r="CT1684" s="4"/>
      <c r="CU1684" s="4"/>
      <c r="CV1684" s="4"/>
      <c r="CW1684" s="4"/>
      <c r="CX1684" s="4"/>
      <c r="CY1684" s="4"/>
      <c r="CZ1684" s="4"/>
      <c r="DA1684" s="4"/>
      <c r="DB1684" s="4"/>
      <c r="DC1684" s="4"/>
      <c r="DD1684" s="4"/>
      <c r="DE1684" s="4"/>
      <c r="DF1684" s="4"/>
      <c r="DG1684" s="4"/>
      <c r="DH1684" s="4"/>
      <c r="DI1684" s="4"/>
      <c r="DJ1684" s="4"/>
      <c r="DK1684" s="4"/>
      <c r="DL1684" s="4"/>
      <c r="DM1684" s="4"/>
      <c r="DN1684" s="4"/>
      <c r="DO1684" s="4"/>
      <c r="DP1684" s="4"/>
      <c r="DQ1684" s="4"/>
      <c r="DR1684" s="4"/>
      <c r="DS1684" s="4"/>
    </row>
    <row r="1685">
      <c r="A1685" s="9">
        <f>IFERROR(__xludf.DUMMYFUNCTION("""COMPUTED_VALUE"""),45980.0)</f>
        <v>45980</v>
      </c>
      <c r="B1685" s="6" t="str">
        <f>IFERROR(__xludf.DUMMYFUNCTION("""COMPUTED_VALUE"""),"Healthcare")</f>
        <v>Healthcare</v>
      </c>
      <c r="C1685" s="7">
        <f>IFERROR(__xludf.DUMMYFUNCTION("""COMPUTED_VALUE"""),3900.0)</f>
        <v>3900</v>
      </c>
      <c r="D1685" s="6" t="str">
        <f>IFERROR(__xludf.DUMMYFUNCTION("""COMPUTED_VALUE"""),"Healthcare")</f>
        <v>Healthcare</v>
      </c>
      <c r="E1685" s="6" t="str">
        <f>IFERROR(__xludf.DUMMYFUNCTION("""COMPUTED_VALUE"""),"Debit Card")</f>
        <v>Debit Card</v>
      </c>
      <c r="F1685" s="6" t="s">
        <v>15</v>
      </c>
      <c r="G1685" s="8" t="str">
        <f t="shared" si="1"/>
        <v>202511</v>
      </c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  <c r="AA1685" s="4"/>
      <c r="AB1685" s="4"/>
      <c r="AC1685" s="4"/>
      <c r="AD1685" s="4"/>
      <c r="AE1685" s="4"/>
      <c r="AF1685" s="4"/>
      <c r="AG1685" s="4"/>
      <c r="AH1685" s="4"/>
      <c r="AI1685" s="4"/>
      <c r="AJ1685" s="4"/>
      <c r="AK1685" s="4"/>
      <c r="AL1685" s="4"/>
      <c r="AM1685" s="4"/>
      <c r="AN1685" s="4"/>
      <c r="AO1685" s="4"/>
      <c r="AP1685" s="4"/>
      <c r="AQ1685" s="4"/>
      <c r="AR1685" s="4"/>
      <c r="AS1685" s="4"/>
      <c r="AT1685" s="4"/>
      <c r="AU1685" s="4"/>
      <c r="AV1685" s="4"/>
      <c r="AW1685" s="4"/>
      <c r="AX1685" s="4"/>
      <c r="AY1685" s="4"/>
      <c r="AZ1685" s="4"/>
      <c r="BA1685" s="4"/>
      <c r="BB1685" s="4"/>
      <c r="BC1685" s="4"/>
      <c r="BD1685" s="4"/>
      <c r="BE1685" s="4"/>
      <c r="BF1685" s="4"/>
      <c r="BG1685" s="4"/>
      <c r="BH1685" s="4"/>
      <c r="BI1685" s="4"/>
      <c r="BJ1685" s="4"/>
      <c r="BK1685" s="4"/>
      <c r="BL1685" s="4"/>
      <c r="BM1685" s="4"/>
      <c r="BN1685" s="4"/>
      <c r="BO1685" s="4"/>
      <c r="BP1685" s="4"/>
      <c r="BQ1685" s="4"/>
      <c r="BR1685" s="4"/>
      <c r="BS1685" s="4"/>
      <c r="BT1685" s="4"/>
      <c r="BU1685" s="4"/>
      <c r="BV1685" s="4"/>
      <c r="BW1685" s="4"/>
      <c r="BX1685" s="4"/>
      <c r="BY1685" s="4"/>
      <c r="BZ1685" s="4"/>
      <c r="CA1685" s="4"/>
      <c r="CB1685" s="4"/>
      <c r="CC1685" s="4"/>
      <c r="CD1685" s="4"/>
      <c r="CE1685" s="4"/>
      <c r="CF1685" s="4"/>
      <c r="CG1685" s="4"/>
      <c r="CH1685" s="4"/>
      <c r="CI1685" s="4"/>
      <c r="CJ1685" s="4"/>
      <c r="CK1685" s="4"/>
      <c r="CL1685" s="4"/>
      <c r="CM1685" s="4"/>
      <c r="CN1685" s="4"/>
      <c r="CO1685" s="4"/>
      <c r="CP1685" s="4"/>
      <c r="CQ1685" s="4"/>
      <c r="CR1685" s="4"/>
      <c r="CS1685" s="4"/>
      <c r="CT1685" s="4"/>
      <c r="CU1685" s="4"/>
      <c r="CV1685" s="4"/>
      <c r="CW1685" s="4"/>
      <c r="CX1685" s="4"/>
      <c r="CY1685" s="4"/>
      <c r="CZ1685" s="4"/>
      <c r="DA1685" s="4"/>
      <c r="DB1685" s="4"/>
      <c r="DC1685" s="4"/>
      <c r="DD1685" s="4"/>
      <c r="DE1685" s="4"/>
      <c r="DF1685" s="4"/>
      <c r="DG1685" s="4"/>
      <c r="DH1685" s="4"/>
      <c r="DI1685" s="4"/>
      <c r="DJ1685" s="4"/>
      <c r="DK1685" s="4"/>
      <c r="DL1685" s="4"/>
      <c r="DM1685" s="4"/>
      <c r="DN1685" s="4"/>
      <c r="DO1685" s="4"/>
      <c r="DP1685" s="4"/>
      <c r="DQ1685" s="4"/>
      <c r="DR1685" s="4"/>
      <c r="DS1685" s="4"/>
    </row>
    <row r="1686">
      <c r="A1686" s="9">
        <f>IFERROR(__xludf.DUMMYFUNCTION("""COMPUTED_VALUE"""),45981.0)</f>
        <v>45981</v>
      </c>
      <c r="B1686" s="6" t="str">
        <f>IFERROR(__xludf.DUMMYFUNCTION("""COMPUTED_VALUE"""),"Groceries")</f>
        <v>Groceries</v>
      </c>
      <c r="C1686" s="7">
        <f>IFERROR(__xludf.DUMMYFUNCTION("""COMPUTED_VALUE"""),7800.0)</f>
        <v>7800</v>
      </c>
      <c r="D1686" s="6" t="str">
        <f>IFERROR(__xludf.DUMMYFUNCTION("""COMPUTED_VALUE"""),"Groceries")</f>
        <v>Groceries</v>
      </c>
      <c r="E1686" s="6" t="str">
        <f>IFERROR(__xludf.DUMMYFUNCTION("""COMPUTED_VALUE"""),"Split Payment")</f>
        <v>Split Payment</v>
      </c>
      <c r="F1686" s="6" t="s">
        <v>7</v>
      </c>
      <c r="G1686" s="8" t="str">
        <f t="shared" si="1"/>
        <v>202511</v>
      </c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  <c r="AA1686" s="4"/>
      <c r="AB1686" s="4"/>
      <c r="AC1686" s="4"/>
      <c r="AD1686" s="4"/>
      <c r="AE1686" s="4"/>
      <c r="AF1686" s="4"/>
      <c r="AG1686" s="4"/>
      <c r="AH1686" s="4"/>
      <c r="AI1686" s="4"/>
      <c r="AJ1686" s="4"/>
      <c r="AK1686" s="4"/>
      <c r="AL1686" s="4"/>
      <c r="AM1686" s="4"/>
      <c r="AN1686" s="4"/>
      <c r="AO1686" s="4"/>
      <c r="AP1686" s="4"/>
      <c r="AQ1686" s="4"/>
      <c r="AR1686" s="4"/>
      <c r="AS1686" s="4"/>
      <c r="AT1686" s="4"/>
      <c r="AU1686" s="4"/>
      <c r="AV1686" s="4"/>
      <c r="AW1686" s="4"/>
      <c r="AX1686" s="4"/>
      <c r="AY1686" s="4"/>
      <c r="AZ1686" s="4"/>
      <c r="BA1686" s="4"/>
      <c r="BB1686" s="4"/>
      <c r="BC1686" s="4"/>
      <c r="BD1686" s="4"/>
      <c r="BE1686" s="4"/>
      <c r="BF1686" s="4"/>
      <c r="BG1686" s="4"/>
      <c r="BH1686" s="4"/>
      <c r="BI1686" s="4"/>
      <c r="BJ1686" s="4"/>
      <c r="BK1686" s="4"/>
      <c r="BL1686" s="4"/>
      <c r="BM1686" s="4"/>
      <c r="BN1686" s="4"/>
      <c r="BO1686" s="4"/>
      <c r="BP1686" s="4"/>
      <c r="BQ1686" s="4"/>
      <c r="BR1686" s="4"/>
      <c r="BS1686" s="4"/>
      <c r="BT1686" s="4"/>
      <c r="BU1686" s="4"/>
      <c r="BV1686" s="4"/>
      <c r="BW1686" s="4"/>
      <c r="BX1686" s="4"/>
      <c r="BY1686" s="4"/>
      <c r="BZ1686" s="4"/>
      <c r="CA1686" s="4"/>
      <c r="CB1686" s="4"/>
      <c r="CC1686" s="4"/>
      <c r="CD1686" s="4"/>
      <c r="CE1686" s="4"/>
      <c r="CF1686" s="4"/>
      <c r="CG1686" s="4"/>
      <c r="CH1686" s="4"/>
      <c r="CI1686" s="4"/>
      <c r="CJ1686" s="4"/>
      <c r="CK1686" s="4"/>
      <c r="CL1686" s="4"/>
      <c r="CM1686" s="4"/>
      <c r="CN1686" s="4"/>
      <c r="CO1686" s="4"/>
      <c r="CP1686" s="4"/>
      <c r="CQ1686" s="4"/>
      <c r="CR1686" s="4"/>
      <c r="CS1686" s="4"/>
      <c r="CT1686" s="4"/>
      <c r="CU1686" s="4"/>
      <c r="CV1686" s="4"/>
      <c r="CW1686" s="4"/>
      <c r="CX1686" s="4"/>
      <c r="CY1686" s="4"/>
      <c r="CZ1686" s="4"/>
      <c r="DA1686" s="4"/>
      <c r="DB1686" s="4"/>
      <c r="DC1686" s="4"/>
      <c r="DD1686" s="4"/>
      <c r="DE1686" s="4"/>
      <c r="DF1686" s="4"/>
      <c r="DG1686" s="4"/>
      <c r="DH1686" s="4"/>
      <c r="DI1686" s="4"/>
      <c r="DJ1686" s="4"/>
      <c r="DK1686" s="4"/>
      <c r="DL1686" s="4"/>
      <c r="DM1686" s="4"/>
      <c r="DN1686" s="4"/>
      <c r="DO1686" s="4"/>
      <c r="DP1686" s="4"/>
      <c r="DQ1686" s="4"/>
      <c r="DR1686" s="4"/>
      <c r="DS1686" s="4"/>
    </row>
    <row r="1687">
      <c r="A1687" s="9">
        <f>IFERROR(__xludf.DUMMYFUNCTION("""COMPUTED_VALUE"""),45981.0)</f>
        <v>45981</v>
      </c>
      <c r="B1687" s="6" t="str">
        <f>IFERROR(__xludf.DUMMYFUNCTION("""COMPUTED_VALUE"""),"Groceries")</f>
        <v>Groceries</v>
      </c>
      <c r="C1687" s="7">
        <f>IFERROR(__xludf.DUMMYFUNCTION("""COMPUTED_VALUE"""),7366.0)</f>
        <v>7366</v>
      </c>
      <c r="D1687" s="6" t="str">
        <f>IFERROR(__xludf.DUMMYFUNCTION("""COMPUTED_VALUE"""),"Groceries")</f>
        <v>Groceries</v>
      </c>
      <c r="E1687" s="6" t="str">
        <f>IFERROR(__xludf.DUMMYFUNCTION("""COMPUTED_VALUE"""),"Virtual Wallet")</f>
        <v>Virtual Wallet</v>
      </c>
      <c r="F1687" s="6" t="s">
        <v>7</v>
      </c>
      <c r="G1687" s="8" t="str">
        <f t="shared" si="1"/>
        <v>202511</v>
      </c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  <c r="AA1687" s="4"/>
      <c r="AB1687" s="4"/>
      <c r="AC1687" s="4"/>
      <c r="AD1687" s="4"/>
      <c r="AE1687" s="4"/>
      <c r="AF1687" s="4"/>
      <c r="AG1687" s="4"/>
      <c r="AH1687" s="4"/>
      <c r="AI1687" s="4"/>
      <c r="AJ1687" s="4"/>
      <c r="AK1687" s="4"/>
      <c r="AL1687" s="4"/>
      <c r="AM1687" s="4"/>
      <c r="AN1687" s="4"/>
      <c r="AO1687" s="4"/>
      <c r="AP1687" s="4"/>
      <c r="AQ1687" s="4"/>
      <c r="AR1687" s="4"/>
      <c r="AS1687" s="4"/>
      <c r="AT1687" s="4"/>
      <c r="AU1687" s="4"/>
      <c r="AV1687" s="4"/>
      <c r="AW1687" s="4"/>
      <c r="AX1687" s="4"/>
      <c r="AY1687" s="4"/>
      <c r="AZ1687" s="4"/>
      <c r="BA1687" s="4"/>
      <c r="BB1687" s="4"/>
      <c r="BC1687" s="4"/>
      <c r="BD1687" s="4"/>
      <c r="BE1687" s="4"/>
      <c r="BF1687" s="4"/>
      <c r="BG1687" s="4"/>
      <c r="BH1687" s="4"/>
      <c r="BI1687" s="4"/>
      <c r="BJ1687" s="4"/>
      <c r="BK1687" s="4"/>
      <c r="BL1687" s="4"/>
      <c r="BM1687" s="4"/>
      <c r="BN1687" s="4"/>
      <c r="BO1687" s="4"/>
      <c r="BP1687" s="4"/>
      <c r="BQ1687" s="4"/>
      <c r="BR1687" s="4"/>
      <c r="BS1687" s="4"/>
      <c r="BT1687" s="4"/>
      <c r="BU1687" s="4"/>
      <c r="BV1687" s="4"/>
      <c r="BW1687" s="4"/>
      <c r="BX1687" s="4"/>
      <c r="BY1687" s="4"/>
      <c r="BZ1687" s="4"/>
      <c r="CA1687" s="4"/>
      <c r="CB1687" s="4"/>
      <c r="CC1687" s="4"/>
      <c r="CD1687" s="4"/>
      <c r="CE1687" s="4"/>
      <c r="CF1687" s="4"/>
      <c r="CG1687" s="4"/>
      <c r="CH1687" s="4"/>
      <c r="CI1687" s="4"/>
      <c r="CJ1687" s="4"/>
      <c r="CK1687" s="4"/>
      <c r="CL1687" s="4"/>
      <c r="CM1687" s="4"/>
      <c r="CN1687" s="4"/>
      <c r="CO1687" s="4"/>
      <c r="CP1687" s="4"/>
      <c r="CQ1687" s="4"/>
      <c r="CR1687" s="4"/>
      <c r="CS1687" s="4"/>
      <c r="CT1687" s="4"/>
      <c r="CU1687" s="4"/>
      <c r="CV1687" s="4"/>
      <c r="CW1687" s="4"/>
      <c r="CX1687" s="4"/>
      <c r="CY1687" s="4"/>
      <c r="CZ1687" s="4"/>
      <c r="DA1687" s="4"/>
      <c r="DB1687" s="4"/>
      <c r="DC1687" s="4"/>
      <c r="DD1687" s="4"/>
      <c r="DE1687" s="4"/>
      <c r="DF1687" s="4"/>
      <c r="DG1687" s="4"/>
      <c r="DH1687" s="4"/>
      <c r="DI1687" s="4"/>
      <c r="DJ1687" s="4"/>
      <c r="DK1687" s="4"/>
      <c r="DL1687" s="4"/>
      <c r="DM1687" s="4"/>
      <c r="DN1687" s="4"/>
      <c r="DO1687" s="4"/>
      <c r="DP1687" s="4"/>
      <c r="DQ1687" s="4"/>
      <c r="DR1687" s="4"/>
      <c r="DS1687" s="4"/>
    </row>
    <row r="1688">
      <c r="A1688" s="9">
        <f>IFERROR(__xludf.DUMMYFUNCTION("""COMPUTED_VALUE"""),45982.0)</f>
        <v>45982</v>
      </c>
      <c r="B1688" s="6" t="str">
        <f>IFERROR(__xludf.DUMMYFUNCTION("""COMPUTED_VALUE"""),"Education")</f>
        <v>Education</v>
      </c>
      <c r="C1688" s="7">
        <f>IFERROR(__xludf.DUMMYFUNCTION("""COMPUTED_VALUE"""),14000.0)</f>
        <v>14000</v>
      </c>
      <c r="D1688" s="6" t="str">
        <f>IFERROR(__xludf.DUMMYFUNCTION("""COMPUTED_VALUE"""),"Education")</f>
        <v>Education</v>
      </c>
      <c r="E1688" s="6" t="str">
        <f>IFERROR(__xludf.DUMMYFUNCTION("""COMPUTED_VALUE"""),"Credit Card")</f>
        <v>Credit Card</v>
      </c>
      <c r="F1688" s="6" t="s">
        <v>11</v>
      </c>
      <c r="G1688" s="8" t="str">
        <f t="shared" si="1"/>
        <v>202511</v>
      </c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  <c r="AA1688" s="4"/>
      <c r="AB1688" s="4"/>
      <c r="AC1688" s="4"/>
      <c r="AD1688" s="4"/>
      <c r="AE1688" s="4"/>
      <c r="AF1688" s="4"/>
      <c r="AG1688" s="4"/>
      <c r="AH1688" s="4"/>
      <c r="AI1688" s="4"/>
      <c r="AJ1688" s="4"/>
      <c r="AK1688" s="4"/>
      <c r="AL1688" s="4"/>
      <c r="AM1688" s="4"/>
      <c r="AN1688" s="4"/>
      <c r="AO1688" s="4"/>
      <c r="AP1688" s="4"/>
      <c r="AQ1688" s="4"/>
      <c r="AR1688" s="4"/>
      <c r="AS1688" s="4"/>
      <c r="AT1688" s="4"/>
      <c r="AU1688" s="4"/>
      <c r="AV1688" s="4"/>
      <c r="AW1688" s="4"/>
      <c r="AX1688" s="4"/>
      <c r="AY1688" s="4"/>
      <c r="AZ1688" s="4"/>
      <c r="BA1688" s="4"/>
      <c r="BB1688" s="4"/>
      <c r="BC1688" s="4"/>
      <c r="BD1688" s="4"/>
      <c r="BE1688" s="4"/>
      <c r="BF1688" s="4"/>
      <c r="BG1688" s="4"/>
      <c r="BH1688" s="4"/>
      <c r="BI1688" s="4"/>
      <c r="BJ1688" s="4"/>
      <c r="BK1688" s="4"/>
      <c r="BL1688" s="4"/>
      <c r="BM1688" s="4"/>
      <c r="BN1688" s="4"/>
      <c r="BO1688" s="4"/>
      <c r="BP1688" s="4"/>
      <c r="BQ1688" s="4"/>
      <c r="BR1688" s="4"/>
      <c r="BS1688" s="4"/>
      <c r="BT1688" s="4"/>
      <c r="BU1688" s="4"/>
      <c r="BV1688" s="4"/>
      <c r="BW1688" s="4"/>
      <c r="BX1688" s="4"/>
      <c r="BY1688" s="4"/>
      <c r="BZ1688" s="4"/>
      <c r="CA1688" s="4"/>
      <c r="CB1688" s="4"/>
      <c r="CC1688" s="4"/>
      <c r="CD1688" s="4"/>
      <c r="CE1688" s="4"/>
      <c r="CF1688" s="4"/>
      <c r="CG1688" s="4"/>
      <c r="CH1688" s="4"/>
      <c r="CI1688" s="4"/>
      <c r="CJ1688" s="4"/>
      <c r="CK1688" s="4"/>
      <c r="CL1688" s="4"/>
      <c r="CM1688" s="4"/>
      <c r="CN1688" s="4"/>
      <c r="CO1688" s="4"/>
      <c r="CP1688" s="4"/>
      <c r="CQ1688" s="4"/>
      <c r="CR1688" s="4"/>
      <c r="CS1688" s="4"/>
      <c r="CT1688" s="4"/>
      <c r="CU1688" s="4"/>
      <c r="CV1688" s="4"/>
      <c r="CW1688" s="4"/>
      <c r="CX1688" s="4"/>
      <c r="CY1688" s="4"/>
      <c r="CZ1688" s="4"/>
      <c r="DA1688" s="4"/>
      <c r="DB1688" s="4"/>
      <c r="DC1688" s="4"/>
      <c r="DD1688" s="4"/>
      <c r="DE1688" s="4"/>
      <c r="DF1688" s="4"/>
      <c r="DG1688" s="4"/>
      <c r="DH1688" s="4"/>
      <c r="DI1688" s="4"/>
      <c r="DJ1688" s="4"/>
      <c r="DK1688" s="4"/>
      <c r="DL1688" s="4"/>
      <c r="DM1688" s="4"/>
      <c r="DN1688" s="4"/>
      <c r="DO1688" s="4"/>
      <c r="DP1688" s="4"/>
      <c r="DQ1688" s="4"/>
      <c r="DR1688" s="4"/>
      <c r="DS1688" s="4"/>
    </row>
    <row r="1689">
      <c r="A1689" s="9">
        <f>IFERROR(__xludf.DUMMYFUNCTION("""COMPUTED_VALUE"""),45982.0)</f>
        <v>45982</v>
      </c>
      <c r="B1689" s="6" t="str">
        <f>IFERROR(__xludf.DUMMYFUNCTION("""COMPUTED_VALUE"""),"Home Goods")</f>
        <v>Home Goods</v>
      </c>
      <c r="C1689" s="7">
        <f>IFERROR(__xludf.DUMMYFUNCTION("""COMPUTED_VALUE"""),20330.0)</f>
        <v>20330</v>
      </c>
      <c r="D1689" s="6" t="str">
        <f>IFERROR(__xludf.DUMMYFUNCTION("""COMPUTED_VALUE"""),"Home Goods &amp; Utilities")</f>
        <v>Home Goods &amp; Utilities</v>
      </c>
      <c r="E1689" s="6" t="str">
        <f>IFERROR(__xludf.DUMMYFUNCTION("""COMPUTED_VALUE"""),"Credit Card")</f>
        <v>Credit Card</v>
      </c>
      <c r="F1689" s="6" t="s">
        <v>8</v>
      </c>
      <c r="G1689" s="8" t="str">
        <f t="shared" si="1"/>
        <v>202511</v>
      </c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  <c r="AA1689" s="4"/>
      <c r="AB1689" s="4"/>
      <c r="AC1689" s="4"/>
      <c r="AD1689" s="4"/>
      <c r="AE1689" s="4"/>
      <c r="AF1689" s="4"/>
      <c r="AG1689" s="4"/>
      <c r="AH1689" s="4"/>
      <c r="AI1689" s="4"/>
      <c r="AJ1689" s="4"/>
      <c r="AK1689" s="4"/>
      <c r="AL1689" s="4"/>
      <c r="AM1689" s="4"/>
      <c r="AN1689" s="4"/>
      <c r="AO1689" s="4"/>
      <c r="AP1689" s="4"/>
      <c r="AQ1689" s="4"/>
      <c r="AR1689" s="4"/>
      <c r="AS1689" s="4"/>
      <c r="AT1689" s="4"/>
      <c r="AU1689" s="4"/>
      <c r="AV1689" s="4"/>
      <c r="AW1689" s="4"/>
      <c r="AX1689" s="4"/>
      <c r="AY1689" s="4"/>
      <c r="AZ1689" s="4"/>
      <c r="BA1689" s="4"/>
      <c r="BB1689" s="4"/>
      <c r="BC1689" s="4"/>
      <c r="BD1689" s="4"/>
      <c r="BE1689" s="4"/>
      <c r="BF1689" s="4"/>
      <c r="BG1689" s="4"/>
      <c r="BH1689" s="4"/>
      <c r="BI1689" s="4"/>
      <c r="BJ1689" s="4"/>
      <c r="BK1689" s="4"/>
      <c r="BL1689" s="4"/>
      <c r="BM1689" s="4"/>
      <c r="BN1689" s="4"/>
      <c r="BO1689" s="4"/>
      <c r="BP1689" s="4"/>
      <c r="BQ1689" s="4"/>
      <c r="BR1689" s="4"/>
      <c r="BS1689" s="4"/>
      <c r="BT1689" s="4"/>
      <c r="BU1689" s="4"/>
      <c r="BV1689" s="4"/>
      <c r="BW1689" s="4"/>
      <c r="BX1689" s="4"/>
      <c r="BY1689" s="4"/>
      <c r="BZ1689" s="4"/>
      <c r="CA1689" s="4"/>
      <c r="CB1689" s="4"/>
      <c r="CC1689" s="4"/>
      <c r="CD1689" s="4"/>
      <c r="CE1689" s="4"/>
      <c r="CF1689" s="4"/>
      <c r="CG1689" s="4"/>
      <c r="CH1689" s="4"/>
      <c r="CI1689" s="4"/>
      <c r="CJ1689" s="4"/>
      <c r="CK1689" s="4"/>
      <c r="CL1689" s="4"/>
      <c r="CM1689" s="4"/>
      <c r="CN1689" s="4"/>
      <c r="CO1689" s="4"/>
      <c r="CP1689" s="4"/>
      <c r="CQ1689" s="4"/>
      <c r="CR1689" s="4"/>
      <c r="CS1689" s="4"/>
      <c r="CT1689" s="4"/>
      <c r="CU1689" s="4"/>
      <c r="CV1689" s="4"/>
      <c r="CW1689" s="4"/>
      <c r="CX1689" s="4"/>
      <c r="CY1689" s="4"/>
      <c r="CZ1689" s="4"/>
      <c r="DA1689" s="4"/>
      <c r="DB1689" s="4"/>
      <c r="DC1689" s="4"/>
      <c r="DD1689" s="4"/>
      <c r="DE1689" s="4"/>
      <c r="DF1689" s="4"/>
      <c r="DG1689" s="4"/>
      <c r="DH1689" s="4"/>
      <c r="DI1689" s="4"/>
      <c r="DJ1689" s="4"/>
      <c r="DK1689" s="4"/>
      <c r="DL1689" s="4"/>
      <c r="DM1689" s="4"/>
      <c r="DN1689" s="4"/>
      <c r="DO1689" s="4"/>
      <c r="DP1689" s="4"/>
      <c r="DQ1689" s="4"/>
      <c r="DR1689" s="4"/>
      <c r="DS1689" s="4"/>
    </row>
    <row r="1690">
      <c r="A1690" s="9">
        <f>IFERROR(__xludf.DUMMYFUNCTION("""COMPUTED_VALUE"""),45984.0)</f>
        <v>45984</v>
      </c>
      <c r="B1690" s="6" t="str">
        <f>IFERROR(__xludf.DUMMYFUNCTION("""COMPUTED_VALUE"""),"Appliances")</f>
        <v>Appliances</v>
      </c>
      <c r="C1690" s="7">
        <f>IFERROR(__xludf.DUMMYFUNCTION("""COMPUTED_VALUE"""),13889.0)</f>
        <v>13889</v>
      </c>
      <c r="D1690" s="6" t="str">
        <f>IFERROR(__xludf.DUMMYFUNCTION("""COMPUTED_VALUE"""),"Home Goods &amp; Utilities")</f>
        <v>Home Goods &amp; Utilities</v>
      </c>
      <c r="E1690" s="6" t="str">
        <f>IFERROR(__xludf.DUMMYFUNCTION("""COMPUTED_VALUE"""),"Credit Card")</f>
        <v>Credit Card</v>
      </c>
      <c r="F1690" s="6" t="s">
        <v>8</v>
      </c>
      <c r="G1690" s="8" t="str">
        <f t="shared" si="1"/>
        <v>202511</v>
      </c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  <c r="AA1690" s="4"/>
      <c r="AB1690" s="4"/>
      <c r="AC1690" s="4"/>
      <c r="AD1690" s="4"/>
      <c r="AE1690" s="4"/>
      <c r="AF1690" s="4"/>
      <c r="AG1690" s="4"/>
      <c r="AH1690" s="4"/>
      <c r="AI1690" s="4"/>
      <c r="AJ1690" s="4"/>
      <c r="AK1690" s="4"/>
      <c r="AL1690" s="4"/>
      <c r="AM1690" s="4"/>
      <c r="AN1690" s="4"/>
      <c r="AO1690" s="4"/>
      <c r="AP1690" s="4"/>
      <c r="AQ1690" s="4"/>
      <c r="AR1690" s="4"/>
      <c r="AS1690" s="4"/>
      <c r="AT1690" s="4"/>
      <c r="AU1690" s="4"/>
      <c r="AV1690" s="4"/>
      <c r="AW1690" s="4"/>
      <c r="AX1690" s="4"/>
      <c r="AY1690" s="4"/>
      <c r="AZ1690" s="4"/>
      <c r="BA1690" s="4"/>
      <c r="BB1690" s="4"/>
      <c r="BC1690" s="4"/>
      <c r="BD1690" s="4"/>
      <c r="BE1690" s="4"/>
      <c r="BF1690" s="4"/>
      <c r="BG1690" s="4"/>
      <c r="BH1690" s="4"/>
      <c r="BI1690" s="4"/>
      <c r="BJ1690" s="4"/>
      <c r="BK1690" s="4"/>
      <c r="BL1690" s="4"/>
      <c r="BM1690" s="4"/>
      <c r="BN1690" s="4"/>
      <c r="BO1690" s="4"/>
      <c r="BP1690" s="4"/>
      <c r="BQ1690" s="4"/>
      <c r="BR1690" s="4"/>
      <c r="BS1690" s="4"/>
      <c r="BT1690" s="4"/>
      <c r="BU1690" s="4"/>
      <c r="BV1690" s="4"/>
      <c r="BW1690" s="4"/>
      <c r="BX1690" s="4"/>
      <c r="BY1690" s="4"/>
      <c r="BZ1690" s="4"/>
      <c r="CA1690" s="4"/>
      <c r="CB1690" s="4"/>
      <c r="CC1690" s="4"/>
      <c r="CD1690" s="4"/>
      <c r="CE1690" s="4"/>
      <c r="CF1690" s="4"/>
      <c r="CG1690" s="4"/>
      <c r="CH1690" s="4"/>
      <c r="CI1690" s="4"/>
      <c r="CJ1690" s="4"/>
      <c r="CK1690" s="4"/>
      <c r="CL1690" s="4"/>
      <c r="CM1690" s="4"/>
      <c r="CN1690" s="4"/>
      <c r="CO1690" s="4"/>
      <c r="CP1690" s="4"/>
      <c r="CQ1690" s="4"/>
      <c r="CR1690" s="4"/>
      <c r="CS1690" s="4"/>
      <c r="CT1690" s="4"/>
      <c r="CU1690" s="4"/>
      <c r="CV1690" s="4"/>
      <c r="CW1690" s="4"/>
      <c r="CX1690" s="4"/>
      <c r="CY1690" s="4"/>
      <c r="CZ1690" s="4"/>
      <c r="DA1690" s="4"/>
      <c r="DB1690" s="4"/>
      <c r="DC1690" s="4"/>
      <c r="DD1690" s="4"/>
      <c r="DE1690" s="4"/>
      <c r="DF1690" s="4"/>
      <c r="DG1690" s="4"/>
      <c r="DH1690" s="4"/>
      <c r="DI1690" s="4"/>
      <c r="DJ1690" s="4"/>
      <c r="DK1690" s="4"/>
      <c r="DL1690" s="4"/>
      <c r="DM1690" s="4"/>
      <c r="DN1690" s="4"/>
      <c r="DO1690" s="4"/>
      <c r="DP1690" s="4"/>
      <c r="DQ1690" s="4"/>
      <c r="DR1690" s="4"/>
      <c r="DS1690" s="4"/>
    </row>
    <row r="1691">
      <c r="A1691" s="9">
        <f>IFERROR(__xludf.DUMMYFUNCTION("""COMPUTED_VALUE"""),45984.0)</f>
        <v>45984</v>
      </c>
      <c r="B1691" s="6" t="str">
        <f>IFERROR(__xludf.DUMMYFUNCTION("""COMPUTED_VALUE"""),"Streaming Services")</f>
        <v>Streaming Services</v>
      </c>
      <c r="C1691" s="7">
        <f>IFERROR(__xludf.DUMMYFUNCTION("""COMPUTED_VALUE"""),7863.0)</f>
        <v>7863</v>
      </c>
      <c r="D1691" s="6" t="str">
        <f>IFERROR(__xludf.DUMMYFUNCTION("""COMPUTED_VALUE"""),"Streaming Services")</f>
        <v>Streaming Services</v>
      </c>
      <c r="E1691" s="6" t="str">
        <f>IFERROR(__xludf.DUMMYFUNCTION("""COMPUTED_VALUE"""),"Credit Card")</f>
        <v>Credit Card</v>
      </c>
      <c r="F1691" s="6" t="s">
        <v>12</v>
      </c>
      <c r="G1691" s="8" t="str">
        <f t="shared" si="1"/>
        <v>202511</v>
      </c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  <c r="AA1691" s="4"/>
      <c r="AB1691" s="4"/>
      <c r="AC1691" s="4"/>
      <c r="AD1691" s="4"/>
      <c r="AE1691" s="4"/>
      <c r="AF1691" s="4"/>
      <c r="AG1691" s="4"/>
      <c r="AH1691" s="4"/>
      <c r="AI1691" s="4"/>
      <c r="AJ1691" s="4"/>
      <c r="AK1691" s="4"/>
      <c r="AL1691" s="4"/>
      <c r="AM1691" s="4"/>
      <c r="AN1691" s="4"/>
      <c r="AO1691" s="4"/>
      <c r="AP1691" s="4"/>
      <c r="AQ1691" s="4"/>
      <c r="AR1691" s="4"/>
      <c r="AS1691" s="4"/>
      <c r="AT1691" s="4"/>
      <c r="AU1691" s="4"/>
      <c r="AV1691" s="4"/>
      <c r="AW1691" s="4"/>
      <c r="AX1691" s="4"/>
      <c r="AY1691" s="4"/>
      <c r="AZ1691" s="4"/>
      <c r="BA1691" s="4"/>
      <c r="BB1691" s="4"/>
      <c r="BC1691" s="4"/>
      <c r="BD1691" s="4"/>
      <c r="BE1691" s="4"/>
      <c r="BF1691" s="4"/>
      <c r="BG1691" s="4"/>
      <c r="BH1691" s="4"/>
      <c r="BI1691" s="4"/>
      <c r="BJ1691" s="4"/>
      <c r="BK1691" s="4"/>
      <c r="BL1691" s="4"/>
      <c r="BM1691" s="4"/>
      <c r="BN1691" s="4"/>
      <c r="BO1691" s="4"/>
      <c r="BP1691" s="4"/>
      <c r="BQ1691" s="4"/>
      <c r="BR1691" s="4"/>
      <c r="BS1691" s="4"/>
      <c r="BT1691" s="4"/>
      <c r="BU1691" s="4"/>
      <c r="BV1691" s="4"/>
      <c r="BW1691" s="4"/>
      <c r="BX1691" s="4"/>
      <c r="BY1691" s="4"/>
      <c r="BZ1691" s="4"/>
      <c r="CA1691" s="4"/>
      <c r="CB1691" s="4"/>
      <c r="CC1691" s="4"/>
      <c r="CD1691" s="4"/>
      <c r="CE1691" s="4"/>
      <c r="CF1691" s="4"/>
      <c r="CG1691" s="4"/>
      <c r="CH1691" s="4"/>
      <c r="CI1691" s="4"/>
      <c r="CJ1691" s="4"/>
      <c r="CK1691" s="4"/>
      <c r="CL1691" s="4"/>
      <c r="CM1691" s="4"/>
      <c r="CN1691" s="4"/>
      <c r="CO1691" s="4"/>
      <c r="CP1691" s="4"/>
      <c r="CQ1691" s="4"/>
      <c r="CR1691" s="4"/>
      <c r="CS1691" s="4"/>
      <c r="CT1691" s="4"/>
      <c r="CU1691" s="4"/>
      <c r="CV1691" s="4"/>
      <c r="CW1691" s="4"/>
      <c r="CX1691" s="4"/>
      <c r="CY1691" s="4"/>
      <c r="CZ1691" s="4"/>
      <c r="DA1691" s="4"/>
      <c r="DB1691" s="4"/>
      <c r="DC1691" s="4"/>
      <c r="DD1691" s="4"/>
      <c r="DE1691" s="4"/>
      <c r="DF1691" s="4"/>
      <c r="DG1691" s="4"/>
      <c r="DH1691" s="4"/>
      <c r="DI1691" s="4"/>
      <c r="DJ1691" s="4"/>
      <c r="DK1691" s="4"/>
      <c r="DL1691" s="4"/>
      <c r="DM1691" s="4"/>
      <c r="DN1691" s="4"/>
      <c r="DO1691" s="4"/>
      <c r="DP1691" s="4"/>
      <c r="DQ1691" s="4"/>
      <c r="DR1691" s="4"/>
      <c r="DS1691" s="4"/>
    </row>
    <row r="1692">
      <c r="A1692" s="9">
        <f>IFERROR(__xludf.DUMMYFUNCTION("""COMPUTED_VALUE"""),45984.0)</f>
        <v>45984</v>
      </c>
      <c r="B1692" s="6" t="str">
        <f>IFERROR(__xludf.DUMMYFUNCTION("""COMPUTED_VALUE"""),"Gasoline")</f>
        <v>Gasoline</v>
      </c>
      <c r="C1692" s="7">
        <f>IFERROR(__xludf.DUMMYFUNCTION("""COMPUTED_VALUE"""),10000.0)</f>
        <v>10000</v>
      </c>
      <c r="D1692" s="6" t="str">
        <f>IFERROR(__xludf.DUMMYFUNCTION("""COMPUTED_VALUE"""),"Car Expenses")</f>
        <v>Car Expenses</v>
      </c>
      <c r="E1692" s="6" t="str">
        <f>IFERROR(__xludf.DUMMYFUNCTION("""COMPUTED_VALUE"""),"Virtual Wallet")</f>
        <v>Virtual Wallet</v>
      </c>
      <c r="F1692" s="6" t="s">
        <v>9</v>
      </c>
      <c r="G1692" s="8" t="str">
        <f t="shared" si="1"/>
        <v>202511</v>
      </c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  <c r="AA1692" s="4"/>
      <c r="AB1692" s="4"/>
      <c r="AC1692" s="4"/>
      <c r="AD1692" s="4"/>
      <c r="AE1692" s="4"/>
      <c r="AF1692" s="4"/>
      <c r="AG1692" s="4"/>
      <c r="AH1692" s="4"/>
      <c r="AI1692" s="4"/>
      <c r="AJ1692" s="4"/>
      <c r="AK1692" s="4"/>
      <c r="AL1692" s="4"/>
      <c r="AM1692" s="4"/>
      <c r="AN1692" s="4"/>
      <c r="AO1692" s="4"/>
      <c r="AP1692" s="4"/>
      <c r="AQ1692" s="4"/>
      <c r="AR1692" s="4"/>
      <c r="AS1692" s="4"/>
      <c r="AT1692" s="4"/>
      <c r="AU1692" s="4"/>
      <c r="AV1692" s="4"/>
      <c r="AW1692" s="4"/>
      <c r="AX1692" s="4"/>
      <c r="AY1692" s="4"/>
      <c r="AZ1692" s="4"/>
      <c r="BA1692" s="4"/>
      <c r="BB1692" s="4"/>
      <c r="BC1692" s="4"/>
      <c r="BD1692" s="4"/>
      <c r="BE1692" s="4"/>
      <c r="BF1692" s="4"/>
      <c r="BG1692" s="4"/>
      <c r="BH1692" s="4"/>
      <c r="BI1692" s="4"/>
      <c r="BJ1692" s="4"/>
      <c r="BK1692" s="4"/>
      <c r="BL1692" s="4"/>
      <c r="BM1692" s="4"/>
      <c r="BN1692" s="4"/>
      <c r="BO1692" s="4"/>
      <c r="BP1692" s="4"/>
      <c r="BQ1692" s="4"/>
      <c r="BR1692" s="4"/>
      <c r="BS1692" s="4"/>
      <c r="BT1692" s="4"/>
      <c r="BU1692" s="4"/>
      <c r="BV1692" s="4"/>
      <c r="BW1692" s="4"/>
      <c r="BX1692" s="4"/>
      <c r="BY1692" s="4"/>
      <c r="BZ1692" s="4"/>
      <c r="CA1692" s="4"/>
      <c r="CB1692" s="4"/>
      <c r="CC1692" s="4"/>
      <c r="CD1692" s="4"/>
      <c r="CE1692" s="4"/>
      <c r="CF1692" s="4"/>
      <c r="CG1692" s="4"/>
      <c r="CH1692" s="4"/>
      <c r="CI1692" s="4"/>
      <c r="CJ1692" s="4"/>
      <c r="CK1692" s="4"/>
      <c r="CL1692" s="4"/>
      <c r="CM1692" s="4"/>
      <c r="CN1692" s="4"/>
      <c r="CO1692" s="4"/>
      <c r="CP1692" s="4"/>
      <c r="CQ1692" s="4"/>
      <c r="CR1692" s="4"/>
      <c r="CS1692" s="4"/>
      <c r="CT1692" s="4"/>
      <c r="CU1692" s="4"/>
      <c r="CV1692" s="4"/>
      <c r="CW1692" s="4"/>
      <c r="CX1692" s="4"/>
      <c r="CY1692" s="4"/>
      <c r="CZ1692" s="4"/>
      <c r="DA1692" s="4"/>
      <c r="DB1692" s="4"/>
      <c r="DC1692" s="4"/>
      <c r="DD1692" s="4"/>
      <c r="DE1692" s="4"/>
      <c r="DF1692" s="4"/>
      <c r="DG1692" s="4"/>
      <c r="DH1692" s="4"/>
      <c r="DI1692" s="4"/>
      <c r="DJ1692" s="4"/>
      <c r="DK1692" s="4"/>
      <c r="DL1692" s="4"/>
      <c r="DM1692" s="4"/>
      <c r="DN1692" s="4"/>
      <c r="DO1692" s="4"/>
      <c r="DP1692" s="4"/>
      <c r="DQ1692" s="4"/>
      <c r="DR1692" s="4"/>
      <c r="DS1692" s="4"/>
    </row>
    <row r="1693">
      <c r="A1693" s="9">
        <f>IFERROR(__xludf.DUMMYFUNCTION("""COMPUTED_VALUE"""),45984.0)</f>
        <v>45984</v>
      </c>
      <c r="B1693" s="6" t="str">
        <f>IFERROR(__xludf.DUMMYFUNCTION("""COMPUTED_VALUE"""),"Groceries")</f>
        <v>Groceries</v>
      </c>
      <c r="C1693" s="7">
        <f>IFERROR(__xludf.DUMMYFUNCTION("""COMPUTED_VALUE"""),4000.0)</f>
        <v>4000</v>
      </c>
      <c r="D1693" s="6" t="str">
        <f>IFERROR(__xludf.DUMMYFUNCTION("""COMPUTED_VALUE"""),"Restaurant / Café")</f>
        <v>Restaurant / Café</v>
      </c>
      <c r="E1693" s="6" t="str">
        <f>IFERROR(__xludf.DUMMYFUNCTION("""COMPUTED_VALUE"""),"Virtual Wallet")</f>
        <v>Virtual Wallet</v>
      </c>
      <c r="F1693" s="6" t="s">
        <v>14</v>
      </c>
      <c r="G1693" s="8" t="str">
        <f t="shared" si="1"/>
        <v>202511</v>
      </c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  <c r="AA1693" s="4"/>
      <c r="AB1693" s="4"/>
      <c r="AC1693" s="4"/>
      <c r="AD1693" s="4"/>
      <c r="AE1693" s="4"/>
      <c r="AF1693" s="4"/>
      <c r="AG1693" s="4"/>
      <c r="AH1693" s="4"/>
      <c r="AI1693" s="4"/>
      <c r="AJ1693" s="4"/>
      <c r="AK1693" s="4"/>
      <c r="AL1693" s="4"/>
      <c r="AM1693" s="4"/>
      <c r="AN1693" s="4"/>
      <c r="AO1693" s="4"/>
      <c r="AP1693" s="4"/>
      <c r="AQ1693" s="4"/>
      <c r="AR1693" s="4"/>
      <c r="AS1693" s="4"/>
      <c r="AT1693" s="4"/>
      <c r="AU1693" s="4"/>
      <c r="AV1693" s="4"/>
      <c r="AW1693" s="4"/>
      <c r="AX1693" s="4"/>
      <c r="AY1693" s="4"/>
      <c r="AZ1693" s="4"/>
      <c r="BA1693" s="4"/>
      <c r="BB1693" s="4"/>
      <c r="BC1693" s="4"/>
      <c r="BD1693" s="4"/>
      <c r="BE1693" s="4"/>
      <c r="BF1693" s="4"/>
      <c r="BG1693" s="4"/>
      <c r="BH1693" s="4"/>
      <c r="BI1693" s="4"/>
      <c r="BJ1693" s="4"/>
      <c r="BK1693" s="4"/>
      <c r="BL1693" s="4"/>
      <c r="BM1693" s="4"/>
      <c r="BN1693" s="4"/>
      <c r="BO1693" s="4"/>
      <c r="BP1693" s="4"/>
      <c r="BQ1693" s="4"/>
      <c r="BR1693" s="4"/>
      <c r="BS1693" s="4"/>
      <c r="BT1693" s="4"/>
      <c r="BU1693" s="4"/>
      <c r="BV1693" s="4"/>
      <c r="BW1693" s="4"/>
      <c r="BX1693" s="4"/>
      <c r="BY1693" s="4"/>
      <c r="BZ1693" s="4"/>
      <c r="CA1693" s="4"/>
      <c r="CB1693" s="4"/>
      <c r="CC1693" s="4"/>
      <c r="CD1693" s="4"/>
      <c r="CE1693" s="4"/>
      <c r="CF1693" s="4"/>
      <c r="CG1693" s="4"/>
      <c r="CH1693" s="4"/>
      <c r="CI1693" s="4"/>
      <c r="CJ1693" s="4"/>
      <c r="CK1693" s="4"/>
      <c r="CL1693" s="4"/>
      <c r="CM1693" s="4"/>
      <c r="CN1693" s="4"/>
      <c r="CO1693" s="4"/>
      <c r="CP1693" s="4"/>
      <c r="CQ1693" s="4"/>
      <c r="CR1693" s="4"/>
      <c r="CS1693" s="4"/>
      <c r="CT1693" s="4"/>
      <c r="CU1693" s="4"/>
      <c r="CV1693" s="4"/>
      <c r="CW1693" s="4"/>
      <c r="CX1693" s="4"/>
      <c r="CY1693" s="4"/>
      <c r="CZ1693" s="4"/>
      <c r="DA1693" s="4"/>
      <c r="DB1693" s="4"/>
      <c r="DC1693" s="4"/>
      <c r="DD1693" s="4"/>
      <c r="DE1693" s="4"/>
      <c r="DF1693" s="4"/>
      <c r="DG1693" s="4"/>
      <c r="DH1693" s="4"/>
      <c r="DI1693" s="4"/>
      <c r="DJ1693" s="4"/>
      <c r="DK1693" s="4"/>
      <c r="DL1693" s="4"/>
      <c r="DM1693" s="4"/>
      <c r="DN1693" s="4"/>
      <c r="DO1693" s="4"/>
      <c r="DP1693" s="4"/>
      <c r="DQ1693" s="4"/>
      <c r="DR1693" s="4"/>
      <c r="DS1693" s="4"/>
    </row>
    <row r="1694">
      <c r="A1694" s="9">
        <f>IFERROR(__xludf.DUMMYFUNCTION("""COMPUTED_VALUE"""),45984.0)</f>
        <v>45984</v>
      </c>
      <c r="B1694" s="6" t="str">
        <f>IFERROR(__xludf.DUMMYFUNCTION("""COMPUTED_VALUE"""),"Car Insurance")</f>
        <v>Car Insurance</v>
      </c>
      <c r="C1694" s="7">
        <f>IFERROR(__xludf.DUMMYFUNCTION("""COMPUTED_VALUE"""),838.0)</f>
        <v>838</v>
      </c>
      <c r="D1694" s="6" t="str">
        <f>IFERROR(__xludf.DUMMYFUNCTION("""COMPUTED_VALUE"""),"Car Expenses")</f>
        <v>Car Expenses</v>
      </c>
      <c r="E1694" s="6" t="str">
        <f>IFERROR(__xludf.DUMMYFUNCTION("""COMPUTED_VALUE"""),"Virtual Wallet")</f>
        <v>Virtual Wallet</v>
      </c>
      <c r="F1694" s="6" t="s">
        <v>9</v>
      </c>
      <c r="G1694" s="8" t="str">
        <f t="shared" si="1"/>
        <v>202511</v>
      </c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  <c r="AA1694" s="4"/>
      <c r="AB1694" s="4"/>
      <c r="AC1694" s="4"/>
      <c r="AD1694" s="4"/>
      <c r="AE1694" s="4"/>
      <c r="AF1694" s="4"/>
      <c r="AG1694" s="4"/>
      <c r="AH1694" s="4"/>
      <c r="AI1694" s="4"/>
      <c r="AJ1694" s="4"/>
      <c r="AK1694" s="4"/>
      <c r="AL1694" s="4"/>
      <c r="AM1694" s="4"/>
      <c r="AN1694" s="4"/>
      <c r="AO1694" s="4"/>
      <c r="AP1694" s="4"/>
      <c r="AQ1694" s="4"/>
      <c r="AR1694" s="4"/>
      <c r="AS1694" s="4"/>
      <c r="AT1694" s="4"/>
      <c r="AU1694" s="4"/>
      <c r="AV1694" s="4"/>
      <c r="AW1694" s="4"/>
      <c r="AX1694" s="4"/>
      <c r="AY1694" s="4"/>
      <c r="AZ1694" s="4"/>
      <c r="BA1694" s="4"/>
      <c r="BB1694" s="4"/>
      <c r="BC1694" s="4"/>
      <c r="BD1694" s="4"/>
      <c r="BE1694" s="4"/>
      <c r="BF1694" s="4"/>
      <c r="BG1694" s="4"/>
      <c r="BH1694" s="4"/>
      <c r="BI1694" s="4"/>
      <c r="BJ1694" s="4"/>
      <c r="BK1694" s="4"/>
      <c r="BL1694" s="4"/>
      <c r="BM1694" s="4"/>
      <c r="BN1694" s="4"/>
      <c r="BO1694" s="4"/>
      <c r="BP1694" s="4"/>
      <c r="BQ1694" s="4"/>
      <c r="BR1694" s="4"/>
      <c r="BS1694" s="4"/>
      <c r="BT1694" s="4"/>
      <c r="BU1694" s="4"/>
      <c r="BV1694" s="4"/>
      <c r="BW1694" s="4"/>
      <c r="BX1694" s="4"/>
      <c r="BY1694" s="4"/>
      <c r="BZ1694" s="4"/>
      <c r="CA1694" s="4"/>
      <c r="CB1694" s="4"/>
      <c r="CC1694" s="4"/>
      <c r="CD1694" s="4"/>
      <c r="CE1694" s="4"/>
      <c r="CF1694" s="4"/>
      <c r="CG1694" s="4"/>
      <c r="CH1694" s="4"/>
      <c r="CI1694" s="4"/>
      <c r="CJ1694" s="4"/>
      <c r="CK1694" s="4"/>
      <c r="CL1694" s="4"/>
      <c r="CM1694" s="4"/>
      <c r="CN1694" s="4"/>
      <c r="CO1694" s="4"/>
      <c r="CP1694" s="4"/>
      <c r="CQ1694" s="4"/>
      <c r="CR1694" s="4"/>
      <c r="CS1694" s="4"/>
      <c r="CT1694" s="4"/>
      <c r="CU1694" s="4"/>
      <c r="CV1694" s="4"/>
      <c r="CW1694" s="4"/>
      <c r="CX1694" s="4"/>
      <c r="CY1694" s="4"/>
      <c r="CZ1694" s="4"/>
      <c r="DA1694" s="4"/>
      <c r="DB1694" s="4"/>
      <c r="DC1694" s="4"/>
      <c r="DD1694" s="4"/>
      <c r="DE1694" s="4"/>
      <c r="DF1694" s="4"/>
      <c r="DG1694" s="4"/>
      <c r="DH1694" s="4"/>
      <c r="DI1694" s="4"/>
      <c r="DJ1694" s="4"/>
      <c r="DK1694" s="4"/>
      <c r="DL1694" s="4"/>
      <c r="DM1694" s="4"/>
      <c r="DN1694" s="4"/>
      <c r="DO1694" s="4"/>
      <c r="DP1694" s="4"/>
      <c r="DQ1694" s="4"/>
      <c r="DR1694" s="4"/>
      <c r="DS1694" s="4"/>
    </row>
    <row r="1695">
      <c r="A1695" s="9">
        <f>IFERROR(__xludf.DUMMYFUNCTION("""COMPUTED_VALUE"""),45985.0)</f>
        <v>45985</v>
      </c>
      <c r="B1695" s="6" t="str">
        <f>IFERROR(__xludf.DUMMYFUNCTION("""COMPUTED_VALUE"""),"Gift")</f>
        <v>Gift</v>
      </c>
      <c r="C1695" s="7">
        <f>IFERROR(__xludf.DUMMYFUNCTION("""COMPUTED_VALUE"""),7253.0)</f>
        <v>7253</v>
      </c>
      <c r="D1695" s="6" t="str">
        <f>IFERROR(__xludf.DUMMYFUNCTION("""COMPUTED_VALUE"""),"Recreation")</f>
        <v>Recreation</v>
      </c>
      <c r="E1695" s="6" t="str">
        <f>IFERROR(__xludf.DUMMYFUNCTION("""COMPUTED_VALUE"""),"Credit Card")</f>
        <v>Credit Card</v>
      </c>
      <c r="F1695" s="6" t="s">
        <v>12</v>
      </c>
      <c r="G1695" s="8" t="str">
        <f t="shared" si="1"/>
        <v>202511</v>
      </c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  <c r="AA1695" s="4"/>
      <c r="AB1695" s="4"/>
      <c r="AC1695" s="4"/>
      <c r="AD1695" s="4"/>
      <c r="AE1695" s="4"/>
      <c r="AF1695" s="4"/>
      <c r="AG1695" s="4"/>
      <c r="AH1695" s="4"/>
      <c r="AI1695" s="4"/>
      <c r="AJ1695" s="4"/>
      <c r="AK1695" s="4"/>
      <c r="AL1695" s="4"/>
      <c r="AM1695" s="4"/>
      <c r="AN1695" s="4"/>
      <c r="AO1695" s="4"/>
      <c r="AP1695" s="4"/>
      <c r="AQ1695" s="4"/>
      <c r="AR1695" s="4"/>
      <c r="AS1695" s="4"/>
      <c r="AT1695" s="4"/>
      <c r="AU1695" s="4"/>
      <c r="AV1695" s="4"/>
      <c r="AW1695" s="4"/>
      <c r="AX1695" s="4"/>
      <c r="AY1695" s="4"/>
      <c r="AZ1695" s="4"/>
      <c r="BA1695" s="4"/>
      <c r="BB1695" s="4"/>
      <c r="BC1695" s="4"/>
      <c r="BD1695" s="4"/>
      <c r="BE1695" s="4"/>
      <c r="BF1695" s="4"/>
      <c r="BG1695" s="4"/>
      <c r="BH1695" s="4"/>
      <c r="BI1695" s="4"/>
      <c r="BJ1695" s="4"/>
      <c r="BK1695" s="4"/>
      <c r="BL1695" s="4"/>
      <c r="BM1695" s="4"/>
      <c r="BN1695" s="4"/>
      <c r="BO1695" s="4"/>
      <c r="BP1695" s="4"/>
      <c r="BQ1695" s="4"/>
      <c r="BR1695" s="4"/>
      <c r="BS1695" s="4"/>
      <c r="BT1695" s="4"/>
      <c r="BU1695" s="4"/>
      <c r="BV1695" s="4"/>
      <c r="BW1695" s="4"/>
      <c r="BX1695" s="4"/>
      <c r="BY1695" s="4"/>
      <c r="BZ1695" s="4"/>
      <c r="CA1695" s="4"/>
      <c r="CB1695" s="4"/>
      <c r="CC1695" s="4"/>
      <c r="CD1695" s="4"/>
      <c r="CE1695" s="4"/>
      <c r="CF1695" s="4"/>
      <c r="CG1695" s="4"/>
      <c r="CH1695" s="4"/>
      <c r="CI1695" s="4"/>
      <c r="CJ1695" s="4"/>
      <c r="CK1695" s="4"/>
      <c r="CL1695" s="4"/>
      <c r="CM1695" s="4"/>
      <c r="CN1695" s="4"/>
      <c r="CO1695" s="4"/>
      <c r="CP1695" s="4"/>
      <c r="CQ1695" s="4"/>
      <c r="CR1695" s="4"/>
      <c r="CS1695" s="4"/>
      <c r="CT1695" s="4"/>
      <c r="CU1695" s="4"/>
      <c r="CV1695" s="4"/>
      <c r="CW1695" s="4"/>
      <c r="CX1695" s="4"/>
      <c r="CY1695" s="4"/>
      <c r="CZ1695" s="4"/>
      <c r="DA1695" s="4"/>
      <c r="DB1695" s="4"/>
      <c r="DC1695" s="4"/>
      <c r="DD1695" s="4"/>
      <c r="DE1695" s="4"/>
      <c r="DF1695" s="4"/>
      <c r="DG1695" s="4"/>
      <c r="DH1695" s="4"/>
      <c r="DI1695" s="4"/>
      <c r="DJ1695" s="4"/>
      <c r="DK1695" s="4"/>
      <c r="DL1695" s="4"/>
      <c r="DM1695" s="4"/>
      <c r="DN1695" s="4"/>
      <c r="DO1695" s="4"/>
      <c r="DP1695" s="4"/>
      <c r="DQ1695" s="4"/>
      <c r="DR1695" s="4"/>
      <c r="DS1695" s="4"/>
    </row>
    <row r="1696">
      <c r="A1696" s="9">
        <f>IFERROR(__xludf.DUMMYFUNCTION("""COMPUTED_VALUE"""),45985.0)</f>
        <v>45985</v>
      </c>
      <c r="B1696" s="6" t="str">
        <f>IFERROR(__xludf.DUMMYFUNCTION("""COMPUTED_VALUE"""),"Groceries")</f>
        <v>Groceries</v>
      </c>
      <c r="C1696" s="7">
        <f>IFERROR(__xludf.DUMMYFUNCTION("""COMPUTED_VALUE"""),3100.0)</f>
        <v>3100</v>
      </c>
      <c r="D1696" s="6" t="str">
        <f>IFERROR(__xludf.DUMMYFUNCTION("""COMPUTED_VALUE"""),"Groceries")</f>
        <v>Groceries</v>
      </c>
      <c r="E1696" s="6" t="str">
        <f>IFERROR(__xludf.DUMMYFUNCTION("""COMPUTED_VALUE"""),"Split Payment")</f>
        <v>Split Payment</v>
      </c>
      <c r="F1696" s="6" t="s">
        <v>7</v>
      </c>
      <c r="G1696" s="8" t="str">
        <f t="shared" si="1"/>
        <v>202511</v>
      </c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  <c r="AA1696" s="4"/>
      <c r="AB1696" s="4"/>
      <c r="AC1696" s="4"/>
      <c r="AD1696" s="4"/>
      <c r="AE1696" s="4"/>
      <c r="AF1696" s="4"/>
      <c r="AG1696" s="4"/>
      <c r="AH1696" s="4"/>
      <c r="AI1696" s="4"/>
      <c r="AJ1696" s="4"/>
      <c r="AK1696" s="4"/>
      <c r="AL1696" s="4"/>
      <c r="AM1696" s="4"/>
      <c r="AN1696" s="4"/>
      <c r="AO1696" s="4"/>
      <c r="AP1696" s="4"/>
      <c r="AQ1696" s="4"/>
      <c r="AR1696" s="4"/>
      <c r="AS1696" s="4"/>
      <c r="AT1696" s="4"/>
      <c r="AU1696" s="4"/>
      <c r="AV1696" s="4"/>
      <c r="AW1696" s="4"/>
      <c r="AX1696" s="4"/>
      <c r="AY1696" s="4"/>
      <c r="AZ1696" s="4"/>
      <c r="BA1696" s="4"/>
      <c r="BB1696" s="4"/>
      <c r="BC1696" s="4"/>
      <c r="BD1696" s="4"/>
      <c r="BE1696" s="4"/>
      <c r="BF1696" s="4"/>
      <c r="BG1696" s="4"/>
      <c r="BH1696" s="4"/>
      <c r="BI1696" s="4"/>
      <c r="BJ1696" s="4"/>
      <c r="BK1696" s="4"/>
      <c r="BL1696" s="4"/>
      <c r="BM1696" s="4"/>
      <c r="BN1696" s="4"/>
      <c r="BO1696" s="4"/>
      <c r="BP1696" s="4"/>
      <c r="BQ1696" s="4"/>
      <c r="BR1696" s="4"/>
      <c r="BS1696" s="4"/>
      <c r="BT1696" s="4"/>
      <c r="BU1696" s="4"/>
      <c r="BV1696" s="4"/>
      <c r="BW1696" s="4"/>
      <c r="BX1696" s="4"/>
      <c r="BY1696" s="4"/>
      <c r="BZ1696" s="4"/>
      <c r="CA1696" s="4"/>
      <c r="CB1696" s="4"/>
      <c r="CC1696" s="4"/>
      <c r="CD1696" s="4"/>
      <c r="CE1696" s="4"/>
      <c r="CF1696" s="4"/>
      <c r="CG1696" s="4"/>
      <c r="CH1696" s="4"/>
      <c r="CI1696" s="4"/>
      <c r="CJ1696" s="4"/>
      <c r="CK1696" s="4"/>
      <c r="CL1696" s="4"/>
      <c r="CM1696" s="4"/>
      <c r="CN1696" s="4"/>
      <c r="CO1696" s="4"/>
      <c r="CP1696" s="4"/>
      <c r="CQ1696" s="4"/>
      <c r="CR1696" s="4"/>
      <c r="CS1696" s="4"/>
      <c r="CT1696" s="4"/>
      <c r="CU1696" s="4"/>
      <c r="CV1696" s="4"/>
      <c r="CW1696" s="4"/>
      <c r="CX1696" s="4"/>
      <c r="CY1696" s="4"/>
      <c r="CZ1696" s="4"/>
      <c r="DA1696" s="4"/>
      <c r="DB1696" s="4"/>
      <c r="DC1696" s="4"/>
      <c r="DD1696" s="4"/>
      <c r="DE1696" s="4"/>
      <c r="DF1696" s="4"/>
      <c r="DG1696" s="4"/>
      <c r="DH1696" s="4"/>
      <c r="DI1696" s="4"/>
      <c r="DJ1696" s="4"/>
      <c r="DK1696" s="4"/>
      <c r="DL1696" s="4"/>
      <c r="DM1696" s="4"/>
      <c r="DN1696" s="4"/>
      <c r="DO1696" s="4"/>
      <c r="DP1696" s="4"/>
      <c r="DQ1696" s="4"/>
      <c r="DR1696" s="4"/>
      <c r="DS1696" s="4"/>
    </row>
    <row r="1697">
      <c r="A1697" s="9">
        <f>IFERROR(__xludf.DUMMYFUNCTION("""COMPUTED_VALUE"""),45985.0)</f>
        <v>45985</v>
      </c>
      <c r="B1697" s="6" t="str">
        <f>IFERROR(__xludf.DUMMYFUNCTION("""COMPUTED_VALUE"""),"Groceries")</f>
        <v>Groceries</v>
      </c>
      <c r="C1697" s="7">
        <f>IFERROR(__xludf.DUMMYFUNCTION("""COMPUTED_VALUE"""),5300.0)</f>
        <v>5300</v>
      </c>
      <c r="D1697" s="6" t="str">
        <f>IFERROR(__xludf.DUMMYFUNCTION("""COMPUTED_VALUE"""),"Groceries")</f>
        <v>Groceries</v>
      </c>
      <c r="E1697" s="6" t="str">
        <f>IFERROR(__xludf.DUMMYFUNCTION("""COMPUTED_VALUE"""),"Split Payment")</f>
        <v>Split Payment</v>
      </c>
      <c r="F1697" s="6" t="s">
        <v>7</v>
      </c>
      <c r="G1697" s="8" t="str">
        <f t="shared" si="1"/>
        <v>202511</v>
      </c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  <c r="AA1697" s="4"/>
      <c r="AB1697" s="4"/>
      <c r="AC1697" s="4"/>
      <c r="AD1697" s="4"/>
      <c r="AE1697" s="4"/>
      <c r="AF1697" s="4"/>
      <c r="AG1697" s="4"/>
      <c r="AH1697" s="4"/>
      <c r="AI1697" s="4"/>
      <c r="AJ1697" s="4"/>
      <c r="AK1697" s="4"/>
      <c r="AL1697" s="4"/>
      <c r="AM1697" s="4"/>
      <c r="AN1697" s="4"/>
      <c r="AO1697" s="4"/>
      <c r="AP1697" s="4"/>
      <c r="AQ1697" s="4"/>
      <c r="AR1697" s="4"/>
      <c r="AS1697" s="4"/>
      <c r="AT1697" s="4"/>
      <c r="AU1697" s="4"/>
      <c r="AV1697" s="4"/>
      <c r="AW1697" s="4"/>
      <c r="AX1697" s="4"/>
      <c r="AY1697" s="4"/>
      <c r="AZ1697" s="4"/>
      <c r="BA1697" s="4"/>
      <c r="BB1697" s="4"/>
      <c r="BC1697" s="4"/>
      <c r="BD1697" s="4"/>
      <c r="BE1697" s="4"/>
      <c r="BF1697" s="4"/>
      <c r="BG1697" s="4"/>
      <c r="BH1697" s="4"/>
      <c r="BI1697" s="4"/>
      <c r="BJ1697" s="4"/>
      <c r="BK1697" s="4"/>
      <c r="BL1697" s="4"/>
      <c r="BM1697" s="4"/>
      <c r="BN1697" s="4"/>
      <c r="BO1697" s="4"/>
      <c r="BP1697" s="4"/>
      <c r="BQ1697" s="4"/>
      <c r="BR1697" s="4"/>
      <c r="BS1697" s="4"/>
      <c r="BT1697" s="4"/>
      <c r="BU1697" s="4"/>
      <c r="BV1697" s="4"/>
      <c r="BW1697" s="4"/>
      <c r="BX1697" s="4"/>
      <c r="BY1697" s="4"/>
      <c r="BZ1697" s="4"/>
      <c r="CA1697" s="4"/>
      <c r="CB1697" s="4"/>
      <c r="CC1697" s="4"/>
      <c r="CD1697" s="4"/>
      <c r="CE1697" s="4"/>
      <c r="CF1697" s="4"/>
      <c r="CG1697" s="4"/>
      <c r="CH1697" s="4"/>
      <c r="CI1697" s="4"/>
      <c r="CJ1697" s="4"/>
      <c r="CK1697" s="4"/>
      <c r="CL1697" s="4"/>
      <c r="CM1697" s="4"/>
      <c r="CN1697" s="4"/>
      <c r="CO1697" s="4"/>
      <c r="CP1697" s="4"/>
      <c r="CQ1697" s="4"/>
      <c r="CR1697" s="4"/>
      <c r="CS1697" s="4"/>
      <c r="CT1697" s="4"/>
      <c r="CU1697" s="4"/>
      <c r="CV1697" s="4"/>
      <c r="CW1697" s="4"/>
      <c r="CX1697" s="4"/>
      <c r="CY1697" s="4"/>
      <c r="CZ1697" s="4"/>
      <c r="DA1697" s="4"/>
      <c r="DB1697" s="4"/>
      <c r="DC1697" s="4"/>
      <c r="DD1697" s="4"/>
      <c r="DE1697" s="4"/>
      <c r="DF1697" s="4"/>
      <c r="DG1697" s="4"/>
      <c r="DH1697" s="4"/>
      <c r="DI1697" s="4"/>
      <c r="DJ1697" s="4"/>
      <c r="DK1697" s="4"/>
      <c r="DL1697" s="4"/>
      <c r="DM1697" s="4"/>
      <c r="DN1697" s="4"/>
      <c r="DO1697" s="4"/>
      <c r="DP1697" s="4"/>
      <c r="DQ1697" s="4"/>
      <c r="DR1697" s="4"/>
      <c r="DS1697" s="4"/>
    </row>
    <row r="1698">
      <c r="A1698" s="9">
        <f>IFERROR(__xludf.DUMMYFUNCTION("""COMPUTED_VALUE"""),45985.0)</f>
        <v>45985</v>
      </c>
      <c r="B1698" s="6" t="str">
        <f>IFERROR(__xludf.DUMMYFUNCTION("""COMPUTED_VALUE"""),"Groceries")</f>
        <v>Groceries</v>
      </c>
      <c r="C1698" s="7">
        <f>IFERROR(__xludf.DUMMYFUNCTION("""COMPUTED_VALUE"""),4899.0)</f>
        <v>4899</v>
      </c>
      <c r="D1698" s="6" t="str">
        <f>IFERROR(__xludf.DUMMYFUNCTION("""COMPUTED_VALUE"""),"Groceries")</f>
        <v>Groceries</v>
      </c>
      <c r="E1698" s="6" t="str">
        <f>IFERROR(__xludf.DUMMYFUNCTION("""COMPUTED_VALUE"""),"Virtual Wallet")</f>
        <v>Virtual Wallet</v>
      </c>
      <c r="F1698" s="6" t="s">
        <v>7</v>
      </c>
      <c r="G1698" s="8" t="str">
        <f t="shared" si="1"/>
        <v>202511</v>
      </c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  <c r="AA1698" s="4"/>
      <c r="AB1698" s="4"/>
      <c r="AC1698" s="4"/>
      <c r="AD1698" s="4"/>
      <c r="AE1698" s="4"/>
      <c r="AF1698" s="4"/>
      <c r="AG1698" s="4"/>
      <c r="AH1698" s="4"/>
      <c r="AI1698" s="4"/>
      <c r="AJ1698" s="4"/>
      <c r="AK1698" s="4"/>
      <c r="AL1698" s="4"/>
      <c r="AM1698" s="4"/>
      <c r="AN1698" s="4"/>
      <c r="AO1698" s="4"/>
      <c r="AP1698" s="4"/>
      <c r="AQ1698" s="4"/>
      <c r="AR1698" s="4"/>
      <c r="AS1698" s="4"/>
      <c r="AT1698" s="4"/>
      <c r="AU1698" s="4"/>
      <c r="AV1698" s="4"/>
      <c r="AW1698" s="4"/>
      <c r="AX1698" s="4"/>
      <c r="AY1698" s="4"/>
      <c r="AZ1698" s="4"/>
      <c r="BA1698" s="4"/>
      <c r="BB1698" s="4"/>
      <c r="BC1698" s="4"/>
      <c r="BD1698" s="4"/>
      <c r="BE1698" s="4"/>
      <c r="BF1698" s="4"/>
      <c r="BG1698" s="4"/>
      <c r="BH1698" s="4"/>
      <c r="BI1698" s="4"/>
      <c r="BJ1698" s="4"/>
      <c r="BK1698" s="4"/>
      <c r="BL1698" s="4"/>
      <c r="BM1698" s="4"/>
      <c r="BN1698" s="4"/>
      <c r="BO1698" s="4"/>
      <c r="BP1698" s="4"/>
      <c r="BQ1698" s="4"/>
      <c r="BR1698" s="4"/>
      <c r="BS1698" s="4"/>
      <c r="BT1698" s="4"/>
      <c r="BU1698" s="4"/>
      <c r="BV1698" s="4"/>
      <c r="BW1698" s="4"/>
      <c r="BX1698" s="4"/>
      <c r="BY1698" s="4"/>
      <c r="BZ1698" s="4"/>
      <c r="CA1698" s="4"/>
      <c r="CB1698" s="4"/>
      <c r="CC1698" s="4"/>
      <c r="CD1698" s="4"/>
      <c r="CE1698" s="4"/>
      <c r="CF1698" s="4"/>
      <c r="CG1698" s="4"/>
      <c r="CH1698" s="4"/>
      <c r="CI1698" s="4"/>
      <c r="CJ1698" s="4"/>
      <c r="CK1698" s="4"/>
      <c r="CL1698" s="4"/>
      <c r="CM1698" s="4"/>
      <c r="CN1698" s="4"/>
      <c r="CO1698" s="4"/>
      <c r="CP1698" s="4"/>
      <c r="CQ1698" s="4"/>
      <c r="CR1698" s="4"/>
      <c r="CS1698" s="4"/>
      <c r="CT1698" s="4"/>
      <c r="CU1698" s="4"/>
      <c r="CV1698" s="4"/>
      <c r="CW1698" s="4"/>
      <c r="CX1698" s="4"/>
      <c r="CY1698" s="4"/>
      <c r="CZ1698" s="4"/>
      <c r="DA1698" s="4"/>
      <c r="DB1698" s="4"/>
      <c r="DC1698" s="4"/>
      <c r="DD1698" s="4"/>
      <c r="DE1698" s="4"/>
      <c r="DF1698" s="4"/>
      <c r="DG1698" s="4"/>
      <c r="DH1698" s="4"/>
      <c r="DI1698" s="4"/>
      <c r="DJ1698" s="4"/>
      <c r="DK1698" s="4"/>
      <c r="DL1698" s="4"/>
      <c r="DM1698" s="4"/>
      <c r="DN1698" s="4"/>
      <c r="DO1698" s="4"/>
      <c r="DP1698" s="4"/>
      <c r="DQ1698" s="4"/>
      <c r="DR1698" s="4"/>
      <c r="DS1698" s="4"/>
    </row>
    <row r="1699">
      <c r="A1699" s="9">
        <f>IFERROR(__xludf.DUMMYFUNCTION("""COMPUTED_VALUE"""),45985.0)</f>
        <v>45985</v>
      </c>
      <c r="B1699" s="6" t="str">
        <f>IFERROR(__xludf.DUMMYFUNCTION("""COMPUTED_VALUE"""),"Restaurant")</f>
        <v>Restaurant</v>
      </c>
      <c r="C1699" s="7">
        <f>IFERROR(__xludf.DUMMYFUNCTION("""COMPUTED_VALUE"""),4000.0)</f>
        <v>4000</v>
      </c>
      <c r="D1699" s="6" t="str">
        <f>IFERROR(__xludf.DUMMYFUNCTION("""COMPUTED_VALUE"""),"Restaurant / Café")</f>
        <v>Restaurant / Café</v>
      </c>
      <c r="E1699" s="6" t="str">
        <f>IFERROR(__xludf.DUMMYFUNCTION("""COMPUTED_VALUE"""),"Virtual Wallet")</f>
        <v>Virtual Wallet</v>
      </c>
      <c r="F1699" s="6" t="s">
        <v>14</v>
      </c>
      <c r="G1699" s="8" t="str">
        <f t="shared" si="1"/>
        <v>202511</v>
      </c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  <c r="AA1699" s="4"/>
      <c r="AB1699" s="4"/>
      <c r="AC1699" s="4"/>
      <c r="AD1699" s="4"/>
      <c r="AE1699" s="4"/>
      <c r="AF1699" s="4"/>
      <c r="AG1699" s="4"/>
      <c r="AH1699" s="4"/>
      <c r="AI1699" s="4"/>
      <c r="AJ1699" s="4"/>
      <c r="AK1699" s="4"/>
      <c r="AL1699" s="4"/>
      <c r="AM1699" s="4"/>
      <c r="AN1699" s="4"/>
      <c r="AO1699" s="4"/>
      <c r="AP1699" s="4"/>
      <c r="AQ1699" s="4"/>
      <c r="AR1699" s="4"/>
      <c r="AS1699" s="4"/>
      <c r="AT1699" s="4"/>
      <c r="AU1699" s="4"/>
      <c r="AV1699" s="4"/>
      <c r="AW1699" s="4"/>
      <c r="AX1699" s="4"/>
      <c r="AY1699" s="4"/>
      <c r="AZ1699" s="4"/>
      <c r="BA1699" s="4"/>
      <c r="BB1699" s="4"/>
      <c r="BC1699" s="4"/>
      <c r="BD1699" s="4"/>
      <c r="BE1699" s="4"/>
      <c r="BF1699" s="4"/>
      <c r="BG1699" s="4"/>
      <c r="BH1699" s="4"/>
      <c r="BI1699" s="4"/>
      <c r="BJ1699" s="4"/>
      <c r="BK1699" s="4"/>
      <c r="BL1699" s="4"/>
      <c r="BM1699" s="4"/>
      <c r="BN1699" s="4"/>
      <c r="BO1699" s="4"/>
      <c r="BP1699" s="4"/>
      <c r="BQ1699" s="4"/>
      <c r="BR1699" s="4"/>
      <c r="BS1699" s="4"/>
      <c r="BT1699" s="4"/>
      <c r="BU1699" s="4"/>
      <c r="BV1699" s="4"/>
      <c r="BW1699" s="4"/>
      <c r="BX1699" s="4"/>
      <c r="BY1699" s="4"/>
      <c r="BZ1699" s="4"/>
      <c r="CA1699" s="4"/>
      <c r="CB1699" s="4"/>
      <c r="CC1699" s="4"/>
      <c r="CD1699" s="4"/>
      <c r="CE1699" s="4"/>
      <c r="CF1699" s="4"/>
      <c r="CG1699" s="4"/>
      <c r="CH1699" s="4"/>
      <c r="CI1699" s="4"/>
      <c r="CJ1699" s="4"/>
      <c r="CK1699" s="4"/>
      <c r="CL1699" s="4"/>
      <c r="CM1699" s="4"/>
      <c r="CN1699" s="4"/>
      <c r="CO1699" s="4"/>
      <c r="CP1699" s="4"/>
      <c r="CQ1699" s="4"/>
      <c r="CR1699" s="4"/>
      <c r="CS1699" s="4"/>
      <c r="CT1699" s="4"/>
      <c r="CU1699" s="4"/>
      <c r="CV1699" s="4"/>
      <c r="CW1699" s="4"/>
      <c r="CX1699" s="4"/>
      <c r="CY1699" s="4"/>
      <c r="CZ1699" s="4"/>
      <c r="DA1699" s="4"/>
      <c r="DB1699" s="4"/>
      <c r="DC1699" s="4"/>
      <c r="DD1699" s="4"/>
      <c r="DE1699" s="4"/>
      <c r="DF1699" s="4"/>
      <c r="DG1699" s="4"/>
      <c r="DH1699" s="4"/>
      <c r="DI1699" s="4"/>
      <c r="DJ1699" s="4"/>
      <c r="DK1699" s="4"/>
      <c r="DL1699" s="4"/>
      <c r="DM1699" s="4"/>
      <c r="DN1699" s="4"/>
      <c r="DO1699" s="4"/>
      <c r="DP1699" s="4"/>
      <c r="DQ1699" s="4"/>
      <c r="DR1699" s="4"/>
      <c r="DS1699" s="4"/>
    </row>
    <row r="1700">
      <c r="A1700" s="9">
        <f>IFERROR(__xludf.DUMMYFUNCTION("""COMPUTED_VALUE"""),45986.0)</f>
        <v>45986</v>
      </c>
      <c r="B1700" s="6" t="str">
        <f>IFERROR(__xludf.DUMMYFUNCTION("""COMPUTED_VALUE"""),"Pets")</f>
        <v>Pets</v>
      </c>
      <c r="C1700" s="7">
        <f>IFERROR(__xludf.DUMMYFUNCTION("""COMPUTED_VALUE"""),62500.0)</f>
        <v>62500</v>
      </c>
      <c r="D1700" s="6" t="str">
        <f>IFERROR(__xludf.DUMMYFUNCTION("""COMPUTED_VALUE"""),"Pets")</f>
        <v>Pets</v>
      </c>
      <c r="E1700" s="6" t="str">
        <f>IFERROR(__xludf.DUMMYFUNCTION("""COMPUTED_VALUE"""),"Split Payment")</f>
        <v>Split Payment</v>
      </c>
      <c r="F1700" s="6" t="s">
        <v>7</v>
      </c>
      <c r="G1700" s="8" t="str">
        <f t="shared" si="1"/>
        <v>202511</v>
      </c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  <c r="AA1700" s="4"/>
      <c r="AB1700" s="4"/>
      <c r="AC1700" s="4"/>
      <c r="AD1700" s="4"/>
      <c r="AE1700" s="4"/>
      <c r="AF1700" s="4"/>
      <c r="AG1700" s="4"/>
      <c r="AH1700" s="4"/>
      <c r="AI1700" s="4"/>
      <c r="AJ1700" s="4"/>
      <c r="AK1700" s="4"/>
      <c r="AL1700" s="4"/>
      <c r="AM1700" s="4"/>
      <c r="AN1700" s="4"/>
      <c r="AO1700" s="4"/>
      <c r="AP1700" s="4"/>
      <c r="AQ1700" s="4"/>
      <c r="AR1700" s="4"/>
      <c r="AS1700" s="4"/>
      <c r="AT1700" s="4"/>
      <c r="AU1700" s="4"/>
      <c r="AV1700" s="4"/>
      <c r="AW1700" s="4"/>
      <c r="AX1700" s="4"/>
      <c r="AY1700" s="4"/>
      <c r="AZ1700" s="4"/>
      <c r="BA1700" s="4"/>
      <c r="BB1700" s="4"/>
      <c r="BC1700" s="4"/>
      <c r="BD1700" s="4"/>
      <c r="BE1700" s="4"/>
      <c r="BF1700" s="4"/>
      <c r="BG1700" s="4"/>
      <c r="BH1700" s="4"/>
      <c r="BI1700" s="4"/>
      <c r="BJ1700" s="4"/>
      <c r="BK1700" s="4"/>
      <c r="BL1700" s="4"/>
      <c r="BM1700" s="4"/>
      <c r="BN1700" s="4"/>
      <c r="BO1700" s="4"/>
      <c r="BP1700" s="4"/>
      <c r="BQ1700" s="4"/>
      <c r="BR1700" s="4"/>
      <c r="BS1700" s="4"/>
      <c r="BT1700" s="4"/>
      <c r="BU1700" s="4"/>
      <c r="BV1700" s="4"/>
      <c r="BW1700" s="4"/>
      <c r="BX1700" s="4"/>
      <c r="BY1700" s="4"/>
      <c r="BZ1700" s="4"/>
      <c r="CA1700" s="4"/>
      <c r="CB1700" s="4"/>
      <c r="CC1700" s="4"/>
      <c r="CD1700" s="4"/>
      <c r="CE1700" s="4"/>
      <c r="CF1700" s="4"/>
      <c r="CG1700" s="4"/>
      <c r="CH1700" s="4"/>
      <c r="CI1700" s="4"/>
      <c r="CJ1700" s="4"/>
      <c r="CK1700" s="4"/>
      <c r="CL1700" s="4"/>
      <c r="CM1700" s="4"/>
      <c r="CN1700" s="4"/>
      <c r="CO1700" s="4"/>
      <c r="CP1700" s="4"/>
      <c r="CQ1700" s="4"/>
      <c r="CR1700" s="4"/>
      <c r="CS1700" s="4"/>
      <c r="CT1700" s="4"/>
      <c r="CU1700" s="4"/>
      <c r="CV1700" s="4"/>
      <c r="CW1700" s="4"/>
      <c r="CX1700" s="4"/>
      <c r="CY1700" s="4"/>
      <c r="CZ1700" s="4"/>
      <c r="DA1700" s="4"/>
      <c r="DB1700" s="4"/>
      <c r="DC1700" s="4"/>
      <c r="DD1700" s="4"/>
      <c r="DE1700" s="4"/>
      <c r="DF1700" s="4"/>
      <c r="DG1700" s="4"/>
      <c r="DH1700" s="4"/>
      <c r="DI1700" s="4"/>
      <c r="DJ1700" s="4"/>
      <c r="DK1700" s="4"/>
      <c r="DL1700" s="4"/>
      <c r="DM1700" s="4"/>
      <c r="DN1700" s="4"/>
      <c r="DO1700" s="4"/>
      <c r="DP1700" s="4"/>
      <c r="DQ1700" s="4"/>
      <c r="DR1700" s="4"/>
      <c r="DS1700" s="4"/>
    </row>
    <row r="1701">
      <c r="A1701" s="9">
        <f>IFERROR(__xludf.DUMMYFUNCTION("""COMPUTED_VALUE"""),45986.0)</f>
        <v>45986</v>
      </c>
      <c r="B1701" s="6" t="str">
        <f>IFERROR(__xludf.DUMMYFUNCTION("""COMPUTED_VALUE"""),"Pharmacy")</f>
        <v>Pharmacy</v>
      </c>
      <c r="C1701" s="7">
        <f>IFERROR(__xludf.DUMMYFUNCTION("""COMPUTED_VALUE"""),6050.0)</f>
        <v>6050</v>
      </c>
      <c r="D1701" s="6" t="str">
        <f>IFERROR(__xludf.DUMMYFUNCTION("""COMPUTED_VALUE"""),"Healthcare")</f>
        <v>Healthcare</v>
      </c>
      <c r="E1701" s="6" t="str">
        <f>IFERROR(__xludf.DUMMYFUNCTION("""COMPUTED_VALUE"""),"Split Payment")</f>
        <v>Split Payment</v>
      </c>
      <c r="F1701" s="6" t="s">
        <v>15</v>
      </c>
      <c r="G1701" s="8" t="str">
        <f t="shared" si="1"/>
        <v>202511</v>
      </c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  <c r="AA1701" s="4"/>
      <c r="AB1701" s="4"/>
      <c r="AC1701" s="4"/>
      <c r="AD1701" s="4"/>
      <c r="AE1701" s="4"/>
      <c r="AF1701" s="4"/>
      <c r="AG1701" s="4"/>
      <c r="AH1701" s="4"/>
      <c r="AI1701" s="4"/>
      <c r="AJ1701" s="4"/>
      <c r="AK1701" s="4"/>
      <c r="AL1701" s="4"/>
      <c r="AM1701" s="4"/>
      <c r="AN1701" s="4"/>
      <c r="AO1701" s="4"/>
      <c r="AP1701" s="4"/>
      <c r="AQ1701" s="4"/>
      <c r="AR1701" s="4"/>
      <c r="AS1701" s="4"/>
      <c r="AT1701" s="4"/>
      <c r="AU1701" s="4"/>
      <c r="AV1701" s="4"/>
      <c r="AW1701" s="4"/>
      <c r="AX1701" s="4"/>
      <c r="AY1701" s="4"/>
      <c r="AZ1701" s="4"/>
      <c r="BA1701" s="4"/>
      <c r="BB1701" s="4"/>
      <c r="BC1701" s="4"/>
      <c r="BD1701" s="4"/>
      <c r="BE1701" s="4"/>
      <c r="BF1701" s="4"/>
      <c r="BG1701" s="4"/>
      <c r="BH1701" s="4"/>
      <c r="BI1701" s="4"/>
      <c r="BJ1701" s="4"/>
      <c r="BK1701" s="4"/>
      <c r="BL1701" s="4"/>
      <c r="BM1701" s="4"/>
      <c r="BN1701" s="4"/>
      <c r="BO1701" s="4"/>
      <c r="BP1701" s="4"/>
      <c r="BQ1701" s="4"/>
      <c r="BR1701" s="4"/>
      <c r="BS1701" s="4"/>
      <c r="BT1701" s="4"/>
      <c r="BU1701" s="4"/>
      <c r="BV1701" s="4"/>
      <c r="BW1701" s="4"/>
      <c r="BX1701" s="4"/>
      <c r="BY1701" s="4"/>
      <c r="BZ1701" s="4"/>
      <c r="CA1701" s="4"/>
      <c r="CB1701" s="4"/>
      <c r="CC1701" s="4"/>
      <c r="CD1701" s="4"/>
      <c r="CE1701" s="4"/>
      <c r="CF1701" s="4"/>
      <c r="CG1701" s="4"/>
      <c r="CH1701" s="4"/>
      <c r="CI1701" s="4"/>
      <c r="CJ1701" s="4"/>
      <c r="CK1701" s="4"/>
      <c r="CL1701" s="4"/>
      <c r="CM1701" s="4"/>
      <c r="CN1701" s="4"/>
      <c r="CO1701" s="4"/>
      <c r="CP1701" s="4"/>
      <c r="CQ1701" s="4"/>
      <c r="CR1701" s="4"/>
      <c r="CS1701" s="4"/>
      <c r="CT1701" s="4"/>
      <c r="CU1701" s="4"/>
      <c r="CV1701" s="4"/>
      <c r="CW1701" s="4"/>
      <c r="CX1701" s="4"/>
      <c r="CY1701" s="4"/>
      <c r="CZ1701" s="4"/>
      <c r="DA1701" s="4"/>
      <c r="DB1701" s="4"/>
      <c r="DC1701" s="4"/>
      <c r="DD1701" s="4"/>
      <c r="DE1701" s="4"/>
      <c r="DF1701" s="4"/>
      <c r="DG1701" s="4"/>
      <c r="DH1701" s="4"/>
      <c r="DI1701" s="4"/>
      <c r="DJ1701" s="4"/>
      <c r="DK1701" s="4"/>
      <c r="DL1701" s="4"/>
      <c r="DM1701" s="4"/>
      <c r="DN1701" s="4"/>
      <c r="DO1701" s="4"/>
      <c r="DP1701" s="4"/>
      <c r="DQ1701" s="4"/>
      <c r="DR1701" s="4"/>
      <c r="DS1701" s="4"/>
    </row>
    <row r="1702">
      <c r="A1702" s="9">
        <f>IFERROR(__xludf.DUMMYFUNCTION("""COMPUTED_VALUE"""),45988.0)</f>
        <v>45988</v>
      </c>
      <c r="B1702" s="6" t="str">
        <f>IFERROR(__xludf.DUMMYFUNCTION("""COMPUTED_VALUE"""),"Groceries")</f>
        <v>Groceries</v>
      </c>
      <c r="C1702" s="7">
        <f>IFERROR(__xludf.DUMMYFUNCTION("""COMPUTED_VALUE"""),6000.0)</f>
        <v>6000</v>
      </c>
      <c r="D1702" s="6" t="str">
        <f>IFERROR(__xludf.DUMMYFUNCTION("""COMPUTED_VALUE"""),"Restaurant / Café")</f>
        <v>Restaurant / Café</v>
      </c>
      <c r="E1702" s="6" t="str">
        <f>IFERROR(__xludf.DUMMYFUNCTION("""COMPUTED_VALUE"""),"Virtual Wallet")</f>
        <v>Virtual Wallet</v>
      </c>
      <c r="F1702" s="6" t="s">
        <v>14</v>
      </c>
      <c r="G1702" s="8" t="str">
        <f t="shared" si="1"/>
        <v>202511</v>
      </c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  <c r="AA1702" s="4"/>
      <c r="AB1702" s="4"/>
      <c r="AC1702" s="4"/>
      <c r="AD1702" s="4"/>
      <c r="AE1702" s="4"/>
      <c r="AF1702" s="4"/>
      <c r="AG1702" s="4"/>
      <c r="AH1702" s="4"/>
      <c r="AI1702" s="4"/>
      <c r="AJ1702" s="4"/>
      <c r="AK1702" s="4"/>
      <c r="AL1702" s="4"/>
      <c r="AM1702" s="4"/>
      <c r="AN1702" s="4"/>
      <c r="AO1702" s="4"/>
      <c r="AP1702" s="4"/>
      <c r="AQ1702" s="4"/>
      <c r="AR1702" s="4"/>
      <c r="AS1702" s="4"/>
      <c r="AT1702" s="4"/>
      <c r="AU1702" s="4"/>
      <c r="AV1702" s="4"/>
      <c r="AW1702" s="4"/>
      <c r="AX1702" s="4"/>
      <c r="AY1702" s="4"/>
      <c r="AZ1702" s="4"/>
      <c r="BA1702" s="4"/>
      <c r="BB1702" s="4"/>
      <c r="BC1702" s="4"/>
      <c r="BD1702" s="4"/>
      <c r="BE1702" s="4"/>
      <c r="BF1702" s="4"/>
      <c r="BG1702" s="4"/>
      <c r="BH1702" s="4"/>
      <c r="BI1702" s="4"/>
      <c r="BJ1702" s="4"/>
      <c r="BK1702" s="4"/>
      <c r="BL1702" s="4"/>
      <c r="BM1702" s="4"/>
      <c r="BN1702" s="4"/>
      <c r="BO1702" s="4"/>
      <c r="BP1702" s="4"/>
      <c r="BQ1702" s="4"/>
      <c r="BR1702" s="4"/>
      <c r="BS1702" s="4"/>
      <c r="BT1702" s="4"/>
      <c r="BU1702" s="4"/>
      <c r="BV1702" s="4"/>
      <c r="BW1702" s="4"/>
      <c r="BX1702" s="4"/>
      <c r="BY1702" s="4"/>
      <c r="BZ1702" s="4"/>
      <c r="CA1702" s="4"/>
      <c r="CB1702" s="4"/>
      <c r="CC1702" s="4"/>
      <c r="CD1702" s="4"/>
      <c r="CE1702" s="4"/>
      <c r="CF1702" s="4"/>
      <c r="CG1702" s="4"/>
      <c r="CH1702" s="4"/>
      <c r="CI1702" s="4"/>
      <c r="CJ1702" s="4"/>
      <c r="CK1702" s="4"/>
      <c r="CL1702" s="4"/>
      <c r="CM1702" s="4"/>
      <c r="CN1702" s="4"/>
      <c r="CO1702" s="4"/>
      <c r="CP1702" s="4"/>
      <c r="CQ1702" s="4"/>
      <c r="CR1702" s="4"/>
      <c r="CS1702" s="4"/>
      <c r="CT1702" s="4"/>
      <c r="CU1702" s="4"/>
      <c r="CV1702" s="4"/>
      <c r="CW1702" s="4"/>
      <c r="CX1702" s="4"/>
      <c r="CY1702" s="4"/>
      <c r="CZ1702" s="4"/>
      <c r="DA1702" s="4"/>
      <c r="DB1702" s="4"/>
      <c r="DC1702" s="4"/>
      <c r="DD1702" s="4"/>
      <c r="DE1702" s="4"/>
      <c r="DF1702" s="4"/>
      <c r="DG1702" s="4"/>
      <c r="DH1702" s="4"/>
      <c r="DI1702" s="4"/>
      <c r="DJ1702" s="4"/>
      <c r="DK1702" s="4"/>
      <c r="DL1702" s="4"/>
      <c r="DM1702" s="4"/>
      <c r="DN1702" s="4"/>
      <c r="DO1702" s="4"/>
      <c r="DP1702" s="4"/>
      <c r="DQ1702" s="4"/>
      <c r="DR1702" s="4"/>
      <c r="DS1702" s="4"/>
    </row>
    <row r="1703">
      <c r="A1703" s="9">
        <f>IFERROR(__xludf.DUMMYFUNCTION("""COMPUTED_VALUE"""),45988.0)</f>
        <v>45988</v>
      </c>
      <c r="B1703" s="6" t="str">
        <f>IFERROR(__xludf.DUMMYFUNCTION("""COMPUTED_VALUE"""),"Groceries")</f>
        <v>Groceries</v>
      </c>
      <c r="C1703" s="7">
        <f>IFERROR(__xludf.DUMMYFUNCTION("""COMPUTED_VALUE"""),3000.0)</f>
        <v>3000</v>
      </c>
      <c r="D1703" s="6" t="str">
        <f>IFERROR(__xludf.DUMMYFUNCTION("""COMPUTED_VALUE"""),"Groceries")</f>
        <v>Groceries</v>
      </c>
      <c r="E1703" s="6" t="str">
        <f>IFERROR(__xludf.DUMMYFUNCTION("""COMPUTED_VALUE"""),"Virtual Wallet")</f>
        <v>Virtual Wallet</v>
      </c>
      <c r="F1703" s="6" t="s">
        <v>7</v>
      </c>
      <c r="G1703" s="8" t="str">
        <f t="shared" si="1"/>
        <v>202511</v>
      </c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  <c r="AA1703" s="4"/>
      <c r="AB1703" s="4"/>
      <c r="AC1703" s="4"/>
      <c r="AD1703" s="4"/>
      <c r="AE1703" s="4"/>
      <c r="AF1703" s="4"/>
      <c r="AG1703" s="4"/>
      <c r="AH1703" s="4"/>
      <c r="AI1703" s="4"/>
      <c r="AJ1703" s="4"/>
      <c r="AK1703" s="4"/>
      <c r="AL1703" s="4"/>
      <c r="AM1703" s="4"/>
      <c r="AN1703" s="4"/>
      <c r="AO1703" s="4"/>
      <c r="AP1703" s="4"/>
      <c r="AQ1703" s="4"/>
      <c r="AR1703" s="4"/>
      <c r="AS1703" s="4"/>
      <c r="AT1703" s="4"/>
      <c r="AU1703" s="4"/>
      <c r="AV1703" s="4"/>
      <c r="AW1703" s="4"/>
      <c r="AX1703" s="4"/>
      <c r="AY1703" s="4"/>
      <c r="AZ1703" s="4"/>
      <c r="BA1703" s="4"/>
      <c r="BB1703" s="4"/>
      <c r="BC1703" s="4"/>
      <c r="BD1703" s="4"/>
      <c r="BE1703" s="4"/>
      <c r="BF1703" s="4"/>
      <c r="BG1703" s="4"/>
      <c r="BH1703" s="4"/>
      <c r="BI1703" s="4"/>
      <c r="BJ1703" s="4"/>
      <c r="BK1703" s="4"/>
      <c r="BL1703" s="4"/>
      <c r="BM1703" s="4"/>
      <c r="BN1703" s="4"/>
      <c r="BO1703" s="4"/>
      <c r="BP1703" s="4"/>
      <c r="BQ1703" s="4"/>
      <c r="BR1703" s="4"/>
      <c r="BS1703" s="4"/>
      <c r="BT1703" s="4"/>
      <c r="BU1703" s="4"/>
      <c r="BV1703" s="4"/>
      <c r="BW1703" s="4"/>
      <c r="BX1703" s="4"/>
      <c r="BY1703" s="4"/>
      <c r="BZ1703" s="4"/>
      <c r="CA1703" s="4"/>
      <c r="CB1703" s="4"/>
      <c r="CC1703" s="4"/>
      <c r="CD1703" s="4"/>
      <c r="CE1703" s="4"/>
      <c r="CF1703" s="4"/>
      <c r="CG1703" s="4"/>
      <c r="CH1703" s="4"/>
      <c r="CI1703" s="4"/>
      <c r="CJ1703" s="4"/>
      <c r="CK1703" s="4"/>
      <c r="CL1703" s="4"/>
      <c r="CM1703" s="4"/>
      <c r="CN1703" s="4"/>
      <c r="CO1703" s="4"/>
      <c r="CP1703" s="4"/>
      <c r="CQ1703" s="4"/>
      <c r="CR1703" s="4"/>
      <c r="CS1703" s="4"/>
      <c r="CT1703" s="4"/>
      <c r="CU1703" s="4"/>
      <c r="CV1703" s="4"/>
      <c r="CW1703" s="4"/>
      <c r="CX1703" s="4"/>
      <c r="CY1703" s="4"/>
      <c r="CZ1703" s="4"/>
      <c r="DA1703" s="4"/>
      <c r="DB1703" s="4"/>
      <c r="DC1703" s="4"/>
      <c r="DD1703" s="4"/>
      <c r="DE1703" s="4"/>
      <c r="DF1703" s="4"/>
      <c r="DG1703" s="4"/>
      <c r="DH1703" s="4"/>
      <c r="DI1703" s="4"/>
      <c r="DJ1703" s="4"/>
      <c r="DK1703" s="4"/>
      <c r="DL1703" s="4"/>
      <c r="DM1703" s="4"/>
      <c r="DN1703" s="4"/>
      <c r="DO1703" s="4"/>
      <c r="DP1703" s="4"/>
      <c r="DQ1703" s="4"/>
      <c r="DR1703" s="4"/>
      <c r="DS1703" s="4"/>
    </row>
    <row r="1704">
      <c r="A1704" s="9">
        <f>IFERROR(__xludf.DUMMYFUNCTION("""COMPUTED_VALUE"""),45988.0)</f>
        <v>45988</v>
      </c>
      <c r="B1704" s="6" t="str">
        <f>IFERROR(__xludf.DUMMYFUNCTION("""COMPUTED_VALUE"""),"Pets")</f>
        <v>Pets</v>
      </c>
      <c r="C1704" s="7">
        <f>IFERROR(__xludf.DUMMYFUNCTION("""COMPUTED_VALUE"""),45000.0)</f>
        <v>45000</v>
      </c>
      <c r="D1704" s="6" t="str">
        <f>IFERROR(__xludf.DUMMYFUNCTION("""COMPUTED_VALUE"""),"Pets")</f>
        <v>Pets</v>
      </c>
      <c r="E1704" s="6" t="str">
        <f>IFERROR(__xludf.DUMMYFUNCTION("""COMPUTED_VALUE"""),"Credit Card")</f>
        <v>Credit Card</v>
      </c>
      <c r="F1704" s="6" t="s">
        <v>7</v>
      </c>
      <c r="G1704" s="8" t="str">
        <f t="shared" si="1"/>
        <v>202511</v>
      </c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  <c r="AA1704" s="4"/>
      <c r="AB1704" s="4"/>
      <c r="AC1704" s="4"/>
      <c r="AD1704" s="4"/>
      <c r="AE1704" s="4"/>
      <c r="AF1704" s="4"/>
      <c r="AG1704" s="4"/>
      <c r="AH1704" s="4"/>
      <c r="AI1704" s="4"/>
      <c r="AJ1704" s="4"/>
      <c r="AK1704" s="4"/>
      <c r="AL1704" s="4"/>
      <c r="AM1704" s="4"/>
      <c r="AN1704" s="4"/>
      <c r="AO1704" s="4"/>
      <c r="AP1704" s="4"/>
      <c r="AQ1704" s="4"/>
      <c r="AR1704" s="4"/>
      <c r="AS1704" s="4"/>
      <c r="AT1704" s="4"/>
      <c r="AU1704" s="4"/>
      <c r="AV1704" s="4"/>
      <c r="AW1704" s="4"/>
      <c r="AX1704" s="4"/>
      <c r="AY1704" s="4"/>
      <c r="AZ1704" s="4"/>
      <c r="BA1704" s="4"/>
      <c r="BB1704" s="4"/>
      <c r="BC1704" s="4"/>
      <c r="BD1704" s="4"/>
      <c r="BE1704" s="4"/>
      <c r="BF1704" s="4"/>
      <c r="BG1704" s="4"/>
      <c r="BH1704" s="4"/>
      <c r="BI1704" s="4"/>
      <c r="BJ1704" s="4"/>
      <c r="BK1704" s="4"/>
      <c r="BL1704" s="4"/>
      <c r="BM1704" s="4"/>
      <c r="BN1704" s="4"/>
      <c r="BO1704" s="4"/>
      <c r="BP1704" s="4"/>
      <c r="BQ1704" s="4"/>
      <c r="BR1704" s="4"/>
      <c r="BS1704" s="4"/>
      <c r="BT1704" s="4"/>
      <c r="BU1704" s="4"/>
      <c r="BV1704" s="4"/>
      <c r="BW1704" s="4"/>
      <c r="BX1704" s="4"/>
      <c r="BY1704" s="4"/>
      <c r="BZ1704" s="4"/>
      <c r="CA1704" s="4"/>
      <c r="CB1704" s="4"/>
      <c r="CC1704" s="4"/>
      <c r="CD1704" s="4"/>
      <c r="CE1704" s="4"/>
      <c r="CF1704" s="4"/>
      <c r="CG1704" s="4"/>
      <c r="CH1704" s="4"/>
      <c r="CI1704" s="4"/>
      <c r="CJ1704" s="4"/>
      <c r="CK1704" s="4"/>
      <c r="CL1704" s="4"/>
      <c r="CM1704" s="4"/>
      <c r="CN1704" s="4"/>
      <c r="CO1704" s="4"/>
      <c r="CP1704" s="4"/>
      <c r="CQ1704" s="4"/>
      <c r="CR1704" s="4"/>
      <c r="CS1704" s="4"/>
      <c r="CT1704" s="4"/>
      <c r="CU1704" s="4"/>
      <c r="CV1704" s="4"/>
      <c r="CW1704" s="4"/>
      <c r="CX1704" s="4"/>
      <c r="CY1704" s="4"/>
      <c r="CZ1704" s="4"/>
      <c r="DA1704" s="4"/>
      <c r="DB1704" s="4"/>
      <c r="DC1704" s="4"/>
      <c r="DD1704" s="4"/>
      <c r="DE1704" s="4"/>
      <c r="DF1704" s="4"/>
      <c r="DG1704" s="4"/>
      <c r="DH1704" s="4"/>
      <c r="DI1704" s="4"/>
      <c r="DJ1704" s="4"/>
      <c r="DK1704" s="4"/>
      <c r="DL1704" s="4"/>
      <c r="DM1704" s="4"/>
      <c r="DN1704" s="4"/>
      <c r="DO1704" s="4"/>
      <c r="DP1704" s="4"/>
      <c r="DQ1704" s="4"/>
      <c r="DR1704" s="4"/>
      <c r="DS1704" s="4"/>
    </row>
    <row r="1705">
      <c r="A1705" s="9">
        <f>IFERROR(__xludf.DUMMYFUNCTION("""COMPUTED_VALUE"""),45988.0)</f>
        <v>45988</v>
      </c>
      <c r="B1705" s="6" t="str">
        <f>IFERROR(__xludf.DUMMYFUNCTION("""COMPUTED_VALUE"""),"Groceries")</f>
        <v>Groceries</v>
      </c>
      <c r="C1705" s="7">
        <f>IFERROR(__xludf.DUMMYFUNCTION("""COMPUTED_VALUE"""),3000.0)</f>
        <v>3000</v>
      </c>
      <c r="D1705" s="6" t="str">
        <f>IFERROR(__xludf.DUMMYFUNCTION("""COMPUTED_VALUE"""),"Groceries")</f>
        <v>Groceries</v>
      </c>
      <c r="E1705" s="6" t="str">
        <f>IFERROR(__xludf.DUMMYFUNCTION("""COMPUTED_VALUE"""),"Virtual Wallet")</f>
        <v>Virtual Wallet</v>
      </c>
      <c r="F1705" s="6" t="s">
        <v>7</v>
      </c>
      <c r="G1705" s="8" t="str">
        <f t="shared" si="1"/>
        <v>202511</v>
      </c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  <c r="AA1705" s="4"/>
      <c r="AB1705" s="4"/>
      <c r="AC1705" s="4"/>
      <c r="AD1705" s="4"/>
      <c r="AE1705" s="4"/>
      <c r="AF1705" s="4"/>
      <c r="AG1705" s="4"/>
      <c r="AH1705" s="4"/>
      <c r="AI1705" s="4"/>
      <c r="AJ1705" s="4"/>
      <c r="AK1705" s="4"/>
      <c r="AL1705" s="4"/>
      <c r="AM1705" s="4"/>
      <c r="AN1705" s="4"/>
      <c r="AO1705" s="4"/>
      <c r="AP1705" s="4"/>
      <c r="AQ1705" s="4"/>
      <c r="AR1705" s="4"/>
      <c r="AS1705" s="4"/>
      <c r="AT1705" s="4"/>
      <c r="AU1705" s="4"/>
      <c r="AV1705" s="4"/>
      <c r="AW1705" s="4"/>
      <c r="AX1705" s="4"/>
      <c r="AY1705" s="4"/>
      <c r="AZ1705" s="4"/>
      <c r="BA1705" s="4"/>
      <c r="BB1705" s="4"/>
      <c r="BC1705" s="4"/>
      <c r="BD1705" s="4"/>
      <c r="BE1705" s="4"/>
      <c r="BF1705" s="4"/>
      <c r="BG1705" s="4"/>
      <c r="BH1705" s="4"/>
      <c r="BI1705" s="4"/>
      <c r="BJ1705" s="4"/>
      <c r="BK1705" s="4"/>
      <c r="BL1705" s="4"/>
      <c r="BM1705" s="4"/>
      <c r="BN1705" s="4"/>
      <c r="BO1705" s="4"/>
      <c r="BP1705" s="4"/>
      <c r="BQ1705" s="4"/>
      <c r="BR1705" s="4"/>
      <c r="BS1705" s="4"/>
      <c r="BT1705" s="4"/>
      <c r="BU1705" s="4"/>
      <c r="BV1705" s="4"/>
      <c r="BW1705" s="4"/>
      <c r="BX1705" s="4"/>
      <c r="BY1705" s="4"/>
      <c r="BZ1705" s="4"/>
      <c r="CA1705" s="4"/>
      <c r="CB1705" s="4"/>
      <c r="CC1705" s="4"/>
      <c r="CD1705" s="4"/>
      <c r="CE1705" s="4"/>
      <c r="CF1705" s="4"/>
      <c r="CG1705" s="4"/>
      <c r="CH1705" s="4"/>
      <c r="CI1705" s="4"/>
      <c r="CJ1705" s="4"/>
      <c r="CK1705" s="4"/>
      <c r="CL1705" s="4"/>
      <c r="CM1705" s="4"/>
      <c r="CN1705" s="4"/>
      <c r="CO1705" s="4"/>
      <c r="CP1705" s="4"/>
      <c r="CQ1705" s="4"/>
      <c r="CR1705" s="4"/>
      <c r="CS1705" s="4"/>
      <c r="CT1705" s="4"/>
      <c r="CU1705" s="4"/>
      <c r="CV1705" s="4"/>
      <c r="CW1705" s="4"/>
      <c r="CX1705" s="4"/>
      <c r="CY1705" s="4"/>
      <c r="CZ1705" s="4"/>
      <c r="DA1705" s="4"/>
      <c r="DB1705" s="4"/>
      <c r="DC1705" s="4"/>
      <c r="DD1705" s="4"/>
      <c r="DE1705" s="4"/>
      <c r="DF1705" s="4"/>
      <c r="DG1705" s="4"/>
      <c r="DH1705" s="4"/>
      <c r="DI1705" s="4"/>
      <c r="DJ1705" s="4"/>
      <c r="DK1705" s="4"/>
      <c r="DL1705" s="4"/>
      <c r="DM1705" s="4"/>
      <c r="DN1705" s="4"/>
      <c r="DO1705" s="4"/>
      <c r="DP1705" s="4"/>
      <c r="DQ1705" s="4"/>
      <c r="DR1705" s="4"/>
      <c r="DS1705" s="4"/>
    </row>
    <row r="1706">
      <c r="A1706" s="9">
        <f>IFERROR(__xludf.DUMMYFUNCTION("""COMPUTED_VALUE"""),45989.0)</f>
        <v>45989</v>
      </c>
      <c r="B1706" s="6" t="str">
        <f>IFERROR(__xludf.DUMMYFUNCTION("""COMPUTED_VALUE"""),"Donation")</f>
        <v>Donation</v>
      </c>
      <c r="C1706" s="7">
        <f>IFERROR(__xludf.DUMMYFUNCTION("""COMPUTED_VALUE"""),10000.0)</f>
        <v>10000</v>
      </c>
      <c r="D1706" s="6" t="str">
        <f>IFERROR(__xludf.DUMMYFUNCTION("""COMPUTED_VALUE"""),"Donation")</f>
        <v>Donation</v>
      </c>
      <c r="E1706" s="6" t="str">
        <f>IFERROR(__xludf.DUMMYFUNCTION("""COMPUTED_VALUE"""),"Virtual Wallet")</f>
        <v>Virtual Wallet</v>
      </c>
      <c r="F1706" s="6"/>
      <c r="G1706" s="8" t="str">
        <f t="shared" si="1"/>
        <v>202511</v>
      </c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  <c r="AA1706" s="4"/>
      <c r="AB1706" s="4"/>
      <c r="AC1706" s="4"/>
      <c r="AD1706" s="4"/>
      <c r="AE1706" s="4"/>
      <c r="AF1706" s="4"/>
      <c r="AG1706" s="4"/>
      <c r="AH1706" s="4"/>
      <c r="AI1706" s="4"/>
      <c r="AJ1706" s="4"/>
      <c r="AK1706" s="4"/>
      <c r="AL1706" s="4"/>
      <c r="AM1706" s="4"/>
      <c r="AN1706" s="4"/>
      <c r="AO1706" s="4"/>
      <c r="AP1706" s="4"/>
      <c r="AQ1706" s="4"/>
      <c r="AR1706" s="4"/>
      <c r="AS1706" s="4"/>
      <c r="AT1706" s="4"/>
      <c r="AU1706" s="4"/>
      <c r="AV1706" s="4"/>
      <c r="AW1706" s="4"/>
      <c r="AX1706" s="4"/>
      <c r="AY1706" s="4"/>
      <c r="AZ1706" s="4"/>
      <c r="BA1706" s="4"/>
      <c r="BB1706" s="4"/>
      <c r="BC1706" s="4"/>
      <c r="BD1706" s="4"/>
      <c r="BE1706" s="4"/>
      <c r="BF1706" s="4"/>
      <c r="BG1706" s="4"/>
      <c r="BH1706" s="4"/>
      <c r="BI1706" s="4"/>
      <c r="BJ1706" s="4"/>
      <c r="BK1706" s="4"/>
      <c r="BL1706" s="4"/>
      <c r="BM1706" s="4"/>
      <c r="BN1706" s="4"/>
      <c r="BO1706" s="4"/>
      <c r="BP1706" s="4"/>
      <c r="BQ1706" s="4"/>
      <c r="BR1706" s="4"/>
      <c r="BS1706" s="4"/>
      <c r="BT1706" s="4"/>
      <c r="BU1706" s="4"/>
      <c r="BV1706" s="4"/>
      <c r="BW1706" s="4"/>
      <c r="BX1706" s="4"/>
      <c r="BY1706" s="4"/>
      <c r="BZ1706" s="4"/>
      <c r="CA1706" s="4"/>
      <c r="CB1706" s="4"/>
      <c r="CC1706" s="4"/>
      <c r="CD1706" s="4"/>
      <c r="CE1706" s="4"/>
      <c r="CF1706" s="4"/>
      <c r="CG1706" s="4"/>
      <c r="CH1706" s="4"/>
      <c r="CI1706" s="4"/>
      <c r="CJ1706" s="4"/>
      <c r="CK1706" s="4"/>
      <c r="CL1706" s="4"/>
      <c r="CM1706" s="4"/>
      <c r="CN1706" s="4"/>
      <c r="CO1706" s="4"/>
      <c r="CP1706" s="4"/>
      <c r="CQ1706" s="4"/>
      <c r="CR1706" s="4"/>
      <c r="CS1706" s="4"/>
      <c r="CT1706" s="4"/>
      <c r="CU1706" s="4"/>
      <c r="CV1706" s="4"/>
      <c r="CW1706" s="4"/>
      <c r="CX1706" s="4"/>
      <c r="CY1706" s="4"/>
      <c r="CZ1706" s="4"/>
      <c r="DA1706" s="4"/>
      <c r="DB1706" s="4"/>
      <c r="DC1706" s="4"/>
      <c r="DD1706" s="4"/>
      <c r="DE1706" s="4"/>
      <c r="DF1706" s="4"/>
      <c r="DG1706" s="4"/>
      <c r="DH1706" s="4"/>
      <c r="DI1706" s="4"/>
      <c r="DJ1706" s="4"/>
      <c r="DK1706" s="4"/>
      <c r="DL1706" s="4"/>
      <c r="DM1706" s="4"/>
      <c r="DN1706" s="4"/>
      <c r="DO1706" s="4"/>
      <c r="DP1706" s="4"/>
      <c r="DQ1706" s="4"/>
      <c r="DR1706" s="4"/>
      <c r="DS1706" s="4"/>
    </row>
    <row r="1707">
      <c r="A1707" s="9">
        <f>IFERROR(__xludf.DUMMYFUNCTION("""COMPUTED_VALUE"""),45990.0)</f>
        <v>45990</v>
      </c>
      <c r="B1707" s="6" t="str">
        <f>IFERROR(__xludf.DUMMYFUNCTION("""COMPUTED_VALUE"""),"Groceries")</f>
        <v>Groceries</v>
      </c>
      <c r="C1707" s="7">
        <f>IFERROR(__xludf.DUMMYFUNCTION("""COMPUTED_VALUE"""),3615.0)</f>
        <v>3615</v>
      </c>
      <c r="D1707" s="6" t="str">
        <f>IFERROR(__xludf.DUMMYFUNCTION("""COMPUTED_VALUE"""),"Groceries")</f>
        <v>Groceries</v>
      </c>
      <c r="E1707" s="6" t="str">
        <f>IFERROR(__xludf.DUMMYFUNCTION("""COMPUTED_VALUE"""),"Credit Card")</f>
        <v>Credit Card</v>
      </c>
      <c r="F1707" s="6" t="s">
        <v>7</v>
      </c>
      <c r="G1707" s="8" t="str">
        <f t="shared" si="1"/>
        <v>202511</v>
      </c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  <c r="AA1707" s="4"/>
      <c r="AB1707" s="4"/>
      <c r="AC1707" s="4"/>
      <c r="AD1707" s="4"/>
      <c r="AE1707" s="4"/>
      <c r="AF1707" s="4"/>
      <c r="AG1707" s="4"/>
      <c r="AH1707" s="4"/>
      <c r="AI1707" s="4"/>
      <c r="AJ1707" s="4"/>
      <c r="AK1707" s="4"/>
      <c r="AL1707" s="4"/>
      <c r="AM1707" s="4"/>
      <c r="AN1707" s="4"/>
      <c r="AO1707" s="4"/>
      <c r="AP1707" s="4"/>
      <c r="AQ1707" s="4"/>
      <c r="AR1707" s="4"/>
      <c r="AS1707" s="4"/>
      <c r="AT1707" s="4"/>
      <c r="AU1707" s="4"/>
      <c r="AV1707" s="4"/>
      <c r="AW1707" s="4"/>
      <c r="AX1707" s="4"/>
      <c r="AY1707" s="4"/>
      <c r="AZ1707" s="4"/>
      <c r="BA1707" s="4"/>
      <c r="BB1707" s="4"/>
      <c r="BC1707" s="4"/>
      <c r="BD1707" s="4"/>
      <c r="BE1707" s="4"/>
      <c r="BF1707" s="4"/>
      <c r="BG1707" s="4"/>
      <c r="BH1707" s="4"/>
      <c r="BI1707" s="4"/>
      <c r="BJ1707" s="4"/>
      <c r="BK1707" s="4"/>
      <c r="BL1707" s="4"/>
      <c r="BM1707" s="4"/>
      <c r="BN1707" s="4"/>
      <c r="BO1707" s="4"/>
      <c r="BP1707" s="4"/>
      <c r="BQ1707" s="4"/>
      <c r="BR1707" s="4"/>
      <c r="BS1707" s="4"/>
      <c r="BT1707" s="4"/>
      <c r="BU1707" s="4"/>
      <c r="BV1707" s="4"/>
      <c r="BW1707" s="4"/>
      <c r="BX1707" s="4"/>
      <c r="BY1707" s="4"/>
      <c r="BZ1707" s="4"/>
      <c r="CA1707" s="4"/>
      <c r="CB1707" s="4"/>
      <c r="CC1707" s="4"/>
      <c r="CD1707" s="4"/>
      <c r="CE1707" s="4"/>
      <c r="CF1707" s="4"/>
      <c r="CG1707" s="4"/>
      <c r="CH1707" s="4"/>
      <c r="CI1707" s="4"/>
      <c r="CJ1707" s="4"/>
      <c r="CK1707" s="4"/>
      <c r="CL1707" s="4"/>
      <c r="CM1707" s="4"/>
      <c r="CN1707" s="4"/>
      <c r="CO1707" s="4"/>
      <c r="CP1707" s="4"/>
      <c r="CQ1707" s="4"/>
      <c r="CR1707" s="4"/>
      <c r="CS1707" s="4"/>
      <c r="CT1707" s="4"/>
      <c r="CU1707" s="4"/>
      <c r="CV1707" s="4"/>
      <c r="CW1707" s="4"/>
      <c r="CX1707" s="4"/>
      <c r="CY1707" s="4"/>
      <c r="CZ1707" s="4"/>
      <c r="DA1707" s="4"/>
      <c r="DB1707" s="4"/>
      <c r="DC1707" s="4"/>
      <c r="DD1707" s="4"/>
      <c r="DE1707" s="4"/>
      <c r="DF1707" s="4"/>
      <c r="DG1707" s="4"/>
      <c r="DH1707" s="4"/>
      <c r="DI1707" s="4"/>
      <c r="DJ1707" s="4"/>
      <c r="DK1707" s="4"/>
      <c r="DL1707" s="4"/>
      <c r="DM1707" s="4"/>
      <c r="DN1707" s="4"/>
      <c r="DO1707" s="4"/>
      <c r="DP1707" s="4"/>
      <c r="DQ1707" s="4"/>
      <c r="DR1707" s="4"/>
      <c r="DS1707" s="4"/>
    </row>
    <row r="1708">
      <c r="A1708" s="9">
        <f>IFERROR(__xludf.DUMMYFUNCTION("""COMPUTED_VALUE"""),45990.0)</f>
        <v>45990</v>
      </c>
      <c r="B1708" s="6" t="str">
        <f>IFERROR(__xludf.DUMMYFUNCTION("""COMPUTED_VALUE"""),"Home Goods")</f>
        <v>Home Goods</v>
      </c>
      <c r="C1708" s="7">
        <f>IFERROR(__xludf.DUMMYFUNCTION("""COMPUTED_VALUE"""),2200.0)</f>
        <v>2200</v>
      </c>
      <c r="D1708" s="6" t="str">
        <f>IFERROR(__xludf.DUMMYFUNCTION("""COMPUTED_VALUE"""),"Home Goods &amp; Utilities")</f>
        <v>Home Goods &amp; Utilities</v>
      </c>
      <c r="E1708" s="6" t="str">
        <f>IFERROR(__xludf.DUMMYFUNCTION("""COMPUTED_VALUE"""),"Virtual Wallet")</f>
        <v>Virtual Wallet</v>
      </c>
      <c r="F1708" s="6" t="s">
        <v>8</v>
      </c>
      <c r="G1708" s="8" t="str">
        <f t="shared" si="1"/>
        <v>202511</v>
      </c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  <c r="AA1708" s="4"/>
      <c r="AB1708" s="4"/>
      <c r="AC1708" s="4"/>
      <c r="AD1708" s="4"/>
      <c r="AE1708" s="4"/>
      <c r="AF1708" s="4"/>
      <c r="AG1708" s="4"/>
      <c r="AH1708" s="4"/>
      <c r="AI1708" s="4"/>
      <c r="AJ1708" s="4"/>
      <c r="AK1708" s="4"/>
      <c r="AL1708" s="4"/>
      <c r="AM1708" s="4"/>
      <c r="AN1708" s="4"/>
      <c r="AO1708" s="4"/>
      <c r="AP1708" s="4"/>
      <c r="AQ1708" s="4"/>
      <c r="AR1708" s="4"/>
      <c r="AS1708" s="4"/>
      <c r="AT1708" s="4"/>
      <c r="AU1708" s="4"/>
      <c r="AV1708" s="4"/>
      <c r="AW1708" s="4"/>
      <c r="AX1708" s="4"/>
      <c r="AY1708" s="4"/>
      <c r="AZ1708" s="4"/>
      <c r="BA1708" s="4"/>
      <c r="BB1708" s="4"/>
      <c r="BC1708" s="4"/>
      <c r="BD1708" s="4"/>
      <c r="BE1708" s="4"/>
      <c r="BF1708" s="4"/>
      <c r="BG1708" s="4"/>
      <c r="BH1708" s="4"/>
      <c r="BI1708" s="4"/>
      <c r="BJ1708" s="4"/>
      <c r="BK1708" s="4"/>
      <c r="BL1708" s="4"/>
      <c r="BM1708" s="4"/>
      <c r="BN1708" s="4"/>
      <c r="BO1708" s="4"/>
      <c r="BP1708" s="4"/>
      <c r="BQ1708" s="4"/>
      <c r="BR1708" s="4"/>
      <c r="BS1708" s="4"/>
      <c r="BT1708" s="4"/>
      <c r="BU1708" s="4"/>
      <c r="BV1708" s="4"/>
      <c r="BW1708" s="4"/>
      <c r="BX1708" s="4"/>
      <c r="BY1708" s="4"/>
      <c r="BZ1708" s="4"/>
      <c r="CA1708" s="4"/>
      <c r="CB1708" s="4"/>
      <c r="CC1708" s="4"/>
      <c r="CD1708" s="4"/>
      <c r="CE1708" s="4"/>
      <c r="CF1708" s="4"/>
      <c r="CG1708" s="4"/>
      <c r="CH1708" s="4"/>
      <c r="CI1708" s="4"/>
      <c r="CJ1708" s="4"/>
      <c r="CK1708" s="4"/>
      <c r="CL1708" s="4"/>
      <c r="CM1708" s="4"/>
      <c r="CN1708" s="4"/>
      <c r="CO1708" s="4"/>
      <c r="CP1708" s="4"/>
      <c r="CQ1708" s="4"/>
      <c r="CR1708" s="4"/>
      <c r="CS1708" s="4"/>
      <c r="CT1708" s="4"/>
      <c r="CU1708" s="4"/>
      <c r="CV1708" s="4"/>
      <c r="CW1708" s="4"/>
      <c r="CX1708" s="4"/>
      <c r="CY1708" s="4"/>
      <c r="CZ1708" s="4"/>
      <c r="DA1708" s="4"/>
      <c r="DB1708" s="4"/>
      <c r="DC1708" s="4"/>
      <c r="DD1708" s="4"/>
      <c r="DE1708" s="4"/>
      <c r="DF1708" s="4"/>
      <c r="DG1708" s="4"/>
      <c r="DH1708" s="4"/>
      <c r="DI1708" s="4"/>
      <c r="DJ1708" s="4"/>
      <c r="DK1708" s="4"/>
      <c r="DL1708" s="4"/>
      <c r="DM1708" s="4"/>
      <c r="DN1708" s="4"/>
      <c r="DO1708" s="4"/>
      <c r="DP1708" s="4"/>
      <c r="DQ1708" s="4"/>
      <c r="DR1708" s="4"/>
      <c r="DS1708" s="4"/>
    </row>
    <row r="1709">
      <c r="A1709" s="9">
        <f>IFERROR(__xludf.DUMMYFUNCTION("""COMPUTED_VALUE"""),45991.0)</f>
        <v>45991</v>
      </c>
      <c r="B1709" s="6" t="str">
        <f>IFERROR(__xludf.DUMMYFUNCTION("""COMPUTED_VALUE"""),"Internet Services")</f>
        <v>Internet Services</v>
      </c>
      <c r="C1709" s="7">
        <f>IFERROR(__xludf.DUMMYFUNCTION("""COMPUTED_VALUE"""),26725.0)</f>
        <v>26725</v>
      </c>
      <c r="D1709" s="6" t="str">
        <f>IFERROR(__xludf.DUMMYFUNCTION("""COMPUTED_VALUE"""),"Streaming Services")</f>
        <v>Streaming Services</v>
      </c>
      <c r="E1709" s="6" t="str">
        <f>IFERROR(__xludf.DUMMYFUNCTION("""COMPUTED_VALUE"""),"Credit Card")</f>
        <v>Credit Card</v>
      </c>
      <c r="F1709" s="6" t="s">
        <v>12</v>
      </c>
      <c r="G1709" s="8" t="str">
        <f t="shared" si="1"/>
        <v>202511</v>
      </c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  <c r="AA1709" s="4"/>
      <c r="AB1709" s="4"/>
      <c r="AC1709" s="4"/>
      <c r="AD1709" s="4"/>
      <c r="AE1709" s="4"/>
      <c r="AF1709" s="4"/>
      <c r="AG1709" s="4"/>
      <c r="AH1709" s="4"/>
      <c r="AI1709" s="4"/>
      <c r="AJ1709" s="4"/>
      <c r="AK1709" s="4"/>
      <c r="AL1709" s="4"/>
      <c r="AM1709" s="4"/>
      <c r="AN1709" s="4"/>
      <c r="AO1709" s="4"/>
      <c r="AP1709" s="4"/>
      <c r="AQ1709" s="4"/>
      <c r="AR1709" s="4"/>
      <c r="AS1709" s="4"/>
      <c r="AT1709" s="4"/>
      <c r="AU1709" s="4"/>
      <c r="AV1709" s="4"/>
      <c r="AW1709" s="4"/>
      <c r="AX1709" s="4"/>
      <c r="AY1709" s="4"/>
      <c r="AZ1709" s="4"/>
      <c r="BA1709" s="4"/>
      <c r="BB1709" s="4"/>
      <c r="BC1709" s="4"/>
      <c r="BD1709" s="4"/>
      <c r="BE1709" s="4"/>
      <c r="BF1709" s="4"/>
      <c r="BG1709" s="4"/>
      <c r="BH1709" s="4"/>
      <c r="BI1709" s="4"/>
      <c r="BJ1709" s="4"/>
      <c r="BK1709" s="4"/>
      <c r="BL1709" s="4"/>
      <c r="BM1709" s="4"/>
      <c r="BN1709" s="4"/>
      <c r="BO1709" s="4"/>
      <c r="BP1709" s="4"/>
      <c r="BQ1709" s="4"/>
      <c r="BR1709" s="4"/>
      <c r="BS1709" s="4"/>
      <c r="BT1709" s="4"/>
      <c r="BU1709" s="4"/>
      <c r="BV1709" s="4"/>
      <c r="BW1709" s="4"/>
      <c r="BX1709" s="4"/>
      <c r="BY1709" s="4"/>
      <c r="BZ1709" s="4"/>
      <c r="CA1709" s="4"/>
      <c r="CB1709" s="4"/>
      <c r="CC1709" s="4"/>
      <c r="CD1709" s="4"/>
      <c r="CE1709" s="4"/>
      <c r="CF1709" s="4"/>
      <c r="CG1709" s="4"/>
      <c r="CH1709" s="4"/>
      <c r="CI1709" s="4"/>
      <c r="CJ1709" s="4"/>
      <c r="CK1709" s="4"/>
      <c r="CL1709" s="4"/>
      <c r="CM1709" s="4"/>
      <c r="CN1709" s="4"/>
      <c r="CO1709" s="4"/>
      <c r="CP1709" s="4"/>
      <c r="CQ1709" s="4"/>
      <c r="CR1709" s="4"/>
      <c r="CS1709" s="4"/>
      <c r="CT1709" s="4"/>
      <c r="CU1709" s="4"/>
      <c r="CV1709" s="4"/>
      <c r="CW1709" s="4"/>
      <c r="CX1709" s="4"/>
      <c r="CY1709" s="4"/>
      <c r="CZ1709" s="4"/>
      <c r="DA1709" s="4"/>
      <c r="DB1709" s="4"/>
      <c r="DC1709" s="4"/>
      <c r="DD1709" s="4"/>
      <c r="DE1709" s="4"/>
      <c r="DF1709" s="4"/>
      <c r="DG1709" s="4"/>
      <c r="DH1709" s="4"/>
      <c r="DI1709" s="4"/>
      <c r="DJ1709" s="4"/>
      <c r="DK1709" s="4"/>
      <c r="DL1709" s="4"/>
      <c r="DM1709" s="4"/>
      <c r="DN1709" s="4"/>
      <c r="DO1709" s="4"/>
      <c r="DP1709" s="4"/>
      <c r="DQ1709" s="4"/>
      <c r="DR1709" s="4"/>
      <c r="DS1709" s="4"/>
    </row>
    <row r="1710">
      <c r="A1710" s="11">
        <f>IFERROR(__xludf.DUMMYFUNCTION("""COMPUTED_VALUE"""),45991.0)</f>
        <v>45991</v>
      </c>
      <c r="B1710" s="12" t="str">
        <f>IFERROR(__xludf.DUMMYFUNCTION("""COMPUTED_VALUE"""),"Groceries")</f>
        <v>Groceries</v>
      </c>
      <c r="C1710" s="13">
        <f>IFERROR(__xludf.DUMMYFUNCTION("""COMPUTED_VALUE"""),6000.0)</f>
        <v>6000</v>
      </c>
      <c r="D1710" s="12" t="str">
        <f>IFERROR(__xludf.DUMMYFUNCTION("""COMPUTED_VALUE"""),"Restaurant / Café")</f>
        <v>Restaurant / Café</v>
      </c>
      <c r="E1710" s="12" t="str">
        <f>IFERROR(__xludf.DUMMYFUNCTION("""COMPUTED_VALUE"""),"Virtual Wallet")</f>
        <v>Virtual Wallet</v>
      </c>
      <c r="F1710" s="12" t="s">
        <v>14</v>
      </c>
      <c r="G1710" s="14" t="str">
        <f t="shared" si="1"/>
        <v>202511</v>
      </c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  <c r="AA1710" s="4"/>
      <c r="AB1710" s="4"/>
      <c r="AC1710" s="4"/>
      <c r="AD1710" s="4"/>
      <c r="AE1710" s="4"/>
      <c r="AF1710" s="4"/>
      <c r="AG1710" s="4"/>
      <c r="AH1710" s="4"/>
      <c r="AI1710" s="4"/>
      <c r="AJ1710" s="4"/>
      <c r="AK1710" s="4"/>
      <c r="AL1710" s="4"/>
      <c r="AM1710" s="4"/>
      <c r="AN1710" s="4"/>
      <c r="AO1710" s="4"/>
      <c r="AP1710" s="4"/>
      <c r="AQ1710" s="4"/>
      <c r="AR1710" s="4"/>
      <c r="AS1710" s="4"/>
      <c r="AT1710" s="4"/>
      <c r="AU1710" s="4"/>
      <c r="AV1710" s="4"/>
      <c r="AW1710" s="4"/>
      <c r="AX1710" s="4"/>
      <c r="AY1710" s="4"/>
      <c r="AZ1710" s="4"/>
      <c r="BA1710" s="4"/>
      <c r="BB1710" s="4"/>
      <c r="BC1710" s="4"/>
      <c r="BD1710" s="4"/>
      <c r="BE1710" s="4"/>
      <c r="BF1710" s="4"/>
      <c r="BG1710" s="4"/>
      <c r="BH1710" s="4"/>
      <c r="BI1710" s="4"/>
      <c r="BJ1710" s="4"/>
      <c r="BK1710" s="4"/>
      <c r="BL1710" s="4"/>
      <c r="BM1710" s="4"/>
      <c r="BN1710" s="4"/>
      <c r="BO1710" s="4"/>
      <c r="BP1710" s="4"/>
      <c r="BQ1710" s="4"/>
      <c r="BR1710" s="4"/>
      <c r="BS1710" s="4"/>
      <c r="BT1710" s="4"/>
      <c r="BU1710" s="4"/>
      <c r="BV1710" s="4"/>
      <c r="BW1710" s="4"/>
      <c r="BX1710" s="4"/>
      <c r="BY1710" s="4"/>
      <c r="BZ1710" s="4"/>
      <c r="CA1710" s="4"/>
      <c r="CB1710" s="4"/>
      <c r="CC1710" s="4"/>
      <c r="CD1710" s="4"/>
      <c r="CE1710" s="4"/>
      <c r="CF1710" s="4"/>
      <c r="CG1710" s="4"/>
      <c r="CH1710" s="4"/>
      <c r="CI1710" s="4"/>
      <c r="CJ1710" s="4"/>
      <c r="CK1710" s="4"/>
      <c r="CL1710" s="4"/>
      <c r="CM1710" s="4"/>
      <c r="CN1710" s="4"/>
      <c r="CO1710" s="4"/>
      <c r="CP1710" s="4"/>
      <c r="CQ1710" s="4"/>
      <c r="CR1710" s="4"/>
      <c r="CS1710" s="4"/>
      <c r="CT1710" s="4"/>
      <c r="CU1710" s="4"/>
      <c r="CV1710" s="4"/>
      <c r="CW1710" s="4"/>
      <c r="CX1710" s="4"/>
      <c r="CY1710" s="4"/>
      <c r="CZ1710" s="4"/>
      <c r="DA1710" s="4"/>
      <c r="DB1710" s="4"/>
      <c r="DC1710" s="4"/>
      <c r="DD1710" s="4"/>
      <c r="DE1710" s="4"/>
      <c r="DF1710" s="4"/>
      <c r="DG1710" s="4"/>
      <c r="DH1710" s="4"/>
      <c r="DI1710" s="4"/>
      <c r="DJ1710" s="4"/>
      <c r="DK1710" s="4"/>
      <c r="DL1710" s="4"/>
      <c r="DM1710" s="4"/>
      <c r="DN1710" s="4"/>
      <c r="DO1710" s="4"/>
      <c r="DP1710" s="4"/>
      <c r="DQ1710" s="4"/>
      <c r="DR1710" s="4"/>
      <c r="DS1710" s="4"/>
    </row>
    <row r="1711">
      <c r="A1711" s="4"/>
      <c r="B1711" s="4"/>
      <c r="C1711" s="4"/>
      <c r="D1711" s="4"/>
      <c r="E1711" s="4"/>
      <c r="F1711" s="4" t="s">
        <v>17</v>
      </c>
      <c r="G1711" s="15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  <c r="AA1711" s="4"/>
      <c r="AB1711" s="4"/>
      <c r="AC1711" s="4"/>
      <c r="AD1711" s="4"/>
      <c r="AE1711" s="4"/>
      <c r="AF1711" s="4"/>
      <c r="AG1711" s="4"/>
      <c r="AH1711" s="4"/>
      <c r="AI1711" s="4"/>
      <c r="AJ1711" s="4"/>
      <c r="AK1711" s="4"/>
      <c r="AL1711" s="4"/>
      <c r="AM1711" s="4"/>
      <c r="AN1711" s="4"/>
      <c r="AO1711" s="4"/>
      <c r="AP1711" s="4"/>
      <c r="AQ1711" s="4"/>
      <c r="AR1711" s="4"/>
      <c r="AS1711" s="4"/>
      <c r="AT1711" s="4"/>
      <c r="AU1711" s="4"/>
      <c r="AV1711" s="4"/>
      <c r="AW1711" s="4"/>
      <c r="AX1711" s="4"/>
      <c r="AY1711" s="4"/>
      <c r="AZ1711" s="4"/>
      <c r="BA1711" s="4"/>
      <c r="BB1711" s="4"/>
      <c r="BC1711" s="4"/>
      <c r="BD1711" s="4"/>
      <c r="BE1711" s="4"/>
      <c r="BF1711" s="4"/>
      <c r="BG1711" s="4"/>
      <c r="BH1711" s="4"/>
      <c r="BI1711" s="4"/>
      <c r="BJ1711" s="4"/>
      <c r="BK1711" s="4"/>
      <c r="BL1711" s="4"/>
      <c r="BM1711" s="4"/>
      <c r="BN1711" s="4"/>
      <c r="BO1711" s="4"/>
      <c r="BP1711" s="4"/>
      <c r="BQ1711" s="4"/>
      <c r="BR1711" s="4"/>
      <c r="BS1711" s="4"/>
      <c r="BT1711" s="4"/>
      <c r="BU1711" s="4"/>
      <c r="BV1711" s="4"/>
      <c r="BW1711" s="4"/>
      <c r="BX1711" s="4"/>
      <c r="BY1711" s="4"/>
      <c r="BZ1711" s="4"/>
      <c r="CA1711" s="4"/>
      <c r="CB1711" s="4"/>
      <c r="CC1711" s="4"/>
      <c r="CD1711" s="4"/>
      <c r="CE1711" s="4"/>
      <c r="CF1711" s="4"/>
      <c r="CG1711" s="4"/>
      <c r="CH1711" s="4"/>
      <c r="CI1711" s="4"/>
      <c r="CJ1711" s="4"/>
      <c r="CK1711" s="4"/>
      <c r="CL1711" s="4"/>
      <c r="CM1711" s="4"/>
      <c r="CN1711" s="4"/>
      <c r="CO1711" s="4"/>
      <c r="CP1711" s="4"/>
      <c r="CQ1711" s="4"/>
      <c r="CR1711" s="4"/>
      <c r="CS1711" s="4"/>
      <c r="CT1711" s="4"/>
      <c r="CU1711" s="4"/>
      <c r="CV1711" s="4"/>
      <c r="CW1711" s="4"/>
      <c r="CX1711" s="4"/>
      <c r="CY1711" s="4"/>
      <c r="CZ1711" s="4"/>
      <c r="DA1711" s="4"/>
      <c r="DB1711" s="4"/>
      <c r="DC1711" s="4"/>
      <c r="DD1711" s="4"/>
      <c r="DE1711" s="4"/>
      <c r="DF1711" s="4"/>
      <c r="DG1711" s="4"/>
      <c r="DH1711" s="4"/>
      <c r="DI1711" s="4"/>
      <c r="DJ1711" s="4"/>
      <c r="DK1711" s="4"/>
      <c r="DL1711" s="4"/>
      <c r="DM1711" s="4"/>
      <c r="DN1711" s="4"/>
      <c r="DO1711" s="4"/>
      <c r="DP1711" s="4"/>
      <c r="DQ1711" s="4"/>
      <c r="DR1711" s="4"/>
      <c r="DS1711" s="4"/>
    </row>
    <row r="1712">
      <c r="A1712" s="4"/>
      <c r="B1712" s="4"/>
      <c r="C1712" s="4"/>
      <c r="D1712" s="4"/>
      <c r="E1712" s="4"/>
      <c r="F1712" s="4" t="s">
        <v>17</v>
      </c>
      <c r="G1712" s="15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  <c r="AA1712" s="4"/>
      <c r="AB1712" s="4"/>
      <c r="AC1712" s="4"/>
      <c r="AD1712" s="4"/>
      <c r="AE1712" s="4"/>
      <c r="AF1712" s="4"/>
      <c r="AG1712" s="4"/>
      <c r="AH1712" s="4"/>
      <c r="AI1712" s="4"/>
      <c r="AJ1712" s="4"/>
      <c r="AK1712" s="4"/>
      <c r="AL1712" s="4"/>
      <c r="AM1712" s="4"/>
      <c r="AN1712" s="4"/>
      <c r="AO1712" s="4"/>
      <c r="AP1712" s="4"/>
      <c r="AQ1712" s="4"/>
      <c r="AR1712" s="4"/>
      <c r="AS1712" s="4"/>
      <c r="AT1712" s="4"/>
      <c r="AU1712" s="4"/>
      <c r="AV1712" s="4"/>
      <c r="AW1712" s="4"/>
      <c r="AX1712" s="4"/>
      <c r="AY1712" s="4"/>
      <c r="AZ1712" s="4"/>
      <c r="BA1712" s="4"/>
      <c r="BB1712" s="4"/>
      <c r="BC1712" s="4"/>
      <c r="BD1712" s="4"/>
      <c r="BE1712" s="4"/>
      <c r="BF1712" s="4"/>
      <c r="BG1712" s="4"/>
      <c r="BH1712" s="4"/>
      <c r="BI1712" s="4"/>
      <c r="BJ1712" s="4"/>
      <c r="BK1712" s="4"/>
      <c r="BL1712" s="4"/>
      <c r="BM1712" s="4"/>
      <c r="BN1712" s="4"/>
      <c r="BO1712" s="4"/>
      <c r="BP1712" s="4"/>
      <c r="BQ1712" s="4"/>
      <c r="BR1712" s="4"/>
      <c r="BS1712" s="4"/>
      <c r="BT1712" s="4"/>
      <c r="BU1712" s="4"/>
      <c r="BV1712" s="4"/>
      <c r="BW1712" s="4"/>
      <c r="BX1712" s="4"/>
      <c r="BY1712" s="4"/>
      <c r="BZ1712" s="4"/>
      <c r="CA1712" s="4"/>
      <c r="CB1712" s="4"/>
      <c r="CC1712" s="4"/>
      <c r="CD1712" s="4"/>
      <c r="CE1712" s="4"/>
      <c r="CF1712" s="4"/>
      <c r="CG1712" s="4"/>
      <c r="CH1712" s="4"/>
      <c r="CI1712" s="4"/>
      <c r="CJ1712" s="4"/>
      <c r="CK1712" s="4"/>
      <c r="CL1712" s="4"/>
      <c r="CM1712" s="4"/>
      <c r="CN1712" s="4"/>
      <c r="CO1712" s="4"/>
      <c r="CP1712" s="4"/>
      <c r="CQ1712" s="4"/>
      <c r="CR1712" s="4"/>
      <c r="CS1712" s="4"/>
      <c r="CT1712" s="4"/>
      <c r="CU1712" s="4"/>
      <c r="CV1712" s="4"/>
      <c r="CW1712" s="4"/>
      <c r="CX1712" s="4"/>
      <c r="CY1712" s="4"/>
      <c r="CZ1712" s="4"/>
      <c r="DA1712" s="4"/>
      <c r="DB1712" s="4"/>
      <c r="DC1712" s="4"/>
      <c r="DD1712" s="4"/>
      <c r="DE1712" s="4"/>
      <c r="DF1712" s="4"/>
      <c r="DG1712" s="4"/>
      <c r="DH1712" s="4"/>
      <c r="DI1712" s="4"/>
      <c r="DJ1712" s="4"/>
      <c r="DK1712" s="4"/>
      <c r="DL1712" s="4"/>
      <c r="DM1712" s="4"/>
      <c r="DN1712" s="4"/>
      <c r="DO1712" s="4"/>
      <c r="DP1712" s="4"/>
      <c r="DQ1712" s="4"/>
      <c r="DR1712" s="4"/>
      <c r="DS1712" s="4"/>
    </row>
    <row r="1713">
      <c r="A1713" s="4"/>
      <c r="B1713" s="4"/>
      <c r="C1713" s="4"/>
      <c r="D1713" s="4"/>
      <c r="E1713" s="4"/>
      <c r="F1713" s="4" t="s">
        <v>17</v>
      </c>
      <c r="G1713" s="15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  <c r="AA1713" s="4"/>
      <c r="AB1713" s="4"/>
      <c r="AC1713" s="4"/>
      <c r="AD1713" s="4"/>
      <c r="AE1713" s="4"/>
      <c r="AF1713" s="4"/>
      <c r="AG1713" s="4"/>
      <c r="AH1713" s="4"/>
      <c r="AI1713" s="4"/>
      <c r="AJ1713" s="4"/>
      <c r="AK1713" s="4"/>
      <c r="AL1713" s="4"/>
      <c r="AM1713" s="4"/>
      <c r="AN1713" s="4"/>
      <c r="AO1713" s="4"/>
      <c r="AP1713" s="4"/>
      <c r="AQ1713" s="4"/>
      <c r="AR1713" s="4"/>
      <c r="AS1713" s="4"/>
      <c r="AT1713" s="4"/>
      <c r="AU1713" s="4"/>
      <c r="AV1713" s="4"/>
      <c r="AW1713" s="4"/>
      <c r="AX1713" s="4"/>
      <c r="AY1713" s="4"/>
      <c r="AZ1713" s="4"/>
      <c r="BA1713" s="4"/>
      <c r="BB1713" s="4"/>
      <c r="BC1713" s="4"/>
      <c r="BD1713" s="4"/>
      <c r="BE1713" s="4"/>
      <c r="BF1713" s="4"/>
      <c r="BG1713" s="4"/>
      <c r="BH1713" s="4"/>
      <c r="BI1713" s="4"/>
      <c r="BJ1713" s="4"/>
      <c r="BK1713" s="4"/>
      <c r="BL1713" s="4"/>
      <c r="BM1713" s="4"/>
      <c r="BN1713" s="4"/>
      <c r="BO1713" s="4"/>
      <c r="BP1713" s="4"/>
      <c r="BQ1713" s="4"/>
      <c r="BR1713" s="4"/>
      <c r="BS1713" s="4"/>
      <c r="BT1713" s="4"/>
      <c r="BU1713" s="4"/>
      <c r="BV1713" s="4"/>
      <c r="BW1713" s="4"/>
      <c r="BX1713" s="4"/>
      <c r="BY1713" s="4"/>
      <c r="BZ1713" s="4"/>
      <c r="CA1713" s="4"/>
      <c r="CB1713" s="4"/>
      <c r="CC1713" s="4"/>
      <c r="CD1713" s="4"/>
      <c r="CE1713" s="4"/>
      <c r="CF1713" s="4"/>
      <c r="CG1713" s="4"/>
      <c r="CH1713" s="4"/>
      <c r="CI1713" s="4"/>
      <c r="CJ1713" s="4"/>
      <c r="CK1713" s="4"/>
      <c r="CL1713" s="4"/>
      <c r="CM1713" s="4"/>
      <c r="CN1713" s="4"/>
      <c r="CO1713" s="4"/>
      <c r="CP1713" s="4"/>
      <c r="CQ1713" s="4"/>
      <c r="CR1713" s="4"/>
      <c r="CS1713" s="4"/>
      <c r="CT1713" s="4"/>
      <c r="CU1713" s="4"/>
      <c r="CV1713" s="4"/>
      <c r="CW1713" s="4"/>
      <c r="CX1713" s="4"/>
      <c r="CY1713" s="4"/>
      <c r="CZ1713" s="4"/>
      <c r="DA1713" s="4"/>
      <c r="DB1713" s="4"/>
      <c r="DC1713" s="4"/>
      <c r="DD1713" s="4"/>
      <c r="DE1713" s="4"/>
      <c r="DF1713" s="4"/>
      <c r="DG1713" s="4"/>
      <c r="DH1713" s="4"/>
      <c r="DI1713" s="4"/>
      <c r="DJ1713" s="4"/>
      <c r="DK1713" s="4"/>
      <c r="DL1713" s="4"/>
      <c r="DM1713" s="4"/>
      <c r="DN1713" s="4"/>
      <c r="DO1713" s="4"/>
      <c r="DP1713" s="4"/>
      <c r="DQ1713" s="4"/>
      <c r="DR1713" s="4"/>
      <c r="DS1713" s="4"/>
    </row>
    <row r="1714">
      <c r="A1714" s="4"/>
      <c r="B1714" s="4"/>
      <c r="C1714" s="4"/>
      <c r="D1714" s="4"/>
      <c r="E1714" s="4"/>
      <c r="F1714" s="4" t="s">
        <v>17</v>
      </c>
      <c r="G1714" s="15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  <c r="AA1714" s="4"/>
      <c r="AB1714" s="4"/>
      <c r="AC1714" s="4"/>
      <c r="AD1714" s="4"/>
      <c r="AE1714" s="4"/>
      <c r="AF1714" s="4"/>
      <c r="AG1714" s="4"/>
      <c r="AH1714" s="4"/>
      <c r="AI1714" s="4"/>
      <c r="AJ1714" s="4"/>
      <c r="AK1714" s="4"/>
      <c r="AL1714" s="4"/>
      <c r="AM1714" s="4"/>
      <c r="AN1714" s="4"/>
      <c r="AO1714" s="4"/>
      <c r="AP1714" s="4"/>
      <c r="AQ1714" s="4"/>
      <c r="AR1714" s="4"/>
      <c r="AS1714" s="4"/>
      <c r="AT1714" s="4"/>
      <c r="AU1714" s="4"/>
      <c r="AV1714" s="4"/>
      <c r="AW1714" s="4"/>
      <c r="AX1714" s="4"/>
      <c r="AY1714" s="4"/>
      <c r="AZ1714" s="4"/>
      <c r="BA1714" s="4"/>
      <c r="BB1714" s="4"/>
      <c r="BC1714" s="4"/>
      <c r="BD1714" s="4"/>
      <c r="BE1714" s="4"/>
      <c r="BF1714" s="4"/>
      <c r="BG1714" s="4"/>
      <c r="BH1714" s="4"/>
      <c r="BI1714" s="4"/>
      <c r="BJ1714" s="4"/>
      <c r="BK1714" s="4"/>
      <c r="BL1714" s="4"/>
      <c r="BM1714" s="4"/>
      <c r="BN1714" s="4"/>
      <c r="BO1714" s="4"/>
      <c r="BP1714" s="4"/>
      <c r="BQ1714" s="4"/>
      <c r="BR1714" s="4"/>
      <c r="BS1714" s="4"/>
      <c r="BT1714" s="4"/>
      <c r="BU1714" s="4"/>
      <c r="BV1714" s="4"/>
      <c r="BW1714" s="4"/>
      <c r="BX1714" s="4"/>
      <c r="BY1714" s="4"/>
      <c r="BZ1714" s="4"/>
      <c r="CA1714" s="4"/>
      <c r="CB1714" s="4"/>
      <c r="CC1714" s="4"/>
      <c r="CD1714" s="4"/>
      <c r="CE1714" s="4"/>
      <c r="CF1714" s="4"/>
      <c r="CG1714" s="4"/>
      <c r="CH1714" s="4"/>
      <c r="CI1714" s="4"/>
      <c r="CJ1714" s="4"/>
      <c r="CK1714" s="4"/>
      <c r="CL1714" s="4"/>
      <c r="CM1714" s="4"/>
      <c r="CN1714" s="4"/>
      <c r="CO1714" s="4"/>
      <c r="CP1714" s="4"/>
      <c r="CQ1714" s="4"/>
      <c r="CR1714" s="4"/>
      <c r="CS1714" s="4"/>
      <c r="CT1714" s="4"/>
      <c r="CU1714" s="4"/>
      <c r="CV1714" s="4"/>
      <c r="CW1714" s="4"/>
      <c r="CX1714" s="4"/>
      <c r="CY1714" s="4"/>
      <c r="CZ1714" s="4"/>
      <c r="DA1714" s="4"/>
      <c r="DB1714" s="4"/>
      <c r="DC1714" s="4"/>
      <c r="DD1714" s="4"/>
      <c r="DE1714" s="4"/>
      <c r="DF1714" s="4"/>
      <c r="DG1714" s="4"/>
      <c r="DH1714" s="4"/>
      <c r="DI1714" s="4"/>
      <c r="DJ1714" s="4"/>
      <c r="DK1714" s="4"/>
      <c r="DL1714" s="4"/>
      <c r="DM1714" s="4"/>
      <c r="DN1714" s="4"/>
      <c r="DO1714" s="4"/>
      <c r="DP1714" s="4"/>
      <c r="DQ1714" s="4"/>
      <c r="DR1714" s="4"/>
      <c r="DS1714" s="4"/>
    </row>
    <row r="1715">
      <c r="A1715" s="4"/>
      <c r="B1715" s="4"/>
      <c r="C1715" s="4"/>
      <c r="D1715" s="4"/>
      <c r="E1715" s="4"/>
      <c r="F1715" s="4" t="s">
        <v>17</v>
      </c>
      <c r="G1715" s="15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  <c r="AA1715" s="4"/>
      <c r="AB1715" s="4"/>
      <c r="AC1715" s="4"/>
      <c r="AD1715" s="4"/>
      <c r="AE1715" s="4"/>
      <c r="AF1715" s="4"/>
      <c r="AG1715" s="4"/>
      <c r="AH1715" s="4"/>
      <c r="AI1715" s="4"/>
      <c r="AJ1715" s="4"/>
      <c r="AK1715" s="4"/>
      <c r="AL1715" s="4"/>
      <c r="AM1715" s="4"/>
      <c r="AN1715" s="4"/>
      <c r="AO1715" s="4"/>
      <c r="AP1715" s="4"/>
      <c r="AQ1715" s="4"/>
      <c r="AR1715" s="4"/>
      <c r="AS1715" s="4"/>
      <c r="AT1715" s="4"/>
      <c r="AU1715" s="4"/>
      <c r="AV1715" s="4"/>
      <c r="AW1715" s="4"/>
      <c r="AX1715" s="4"/>
      <c r="AY1715" s="4"/>
      <c r="AZ1715" s="4"/>
      <c r="BA1715" s="4"/>
      <c r="BB1715" s="4"/>
      <c r="BC1715" s="4"/>
      <c r="BD1715" s="4"/>
      <c r="BE1715" s="4"/>
      <c r="BF1715" s="4"/>
      <c r="BG1715" s="4"/>
      <c r="BH1715" s="4"/>
      <c r="BI1715" s="4"/>
      <c r="BJ1715" s="4"/>
      <c r="BK1715" s="4"/>
      <c r="BL1715" s="4"/>
      <c r="BM1715" s="4"/>
      <c r="BN1715" s="4"/>
      <c r="BO1715" s="4"/>
      <c r="BP1715" s="4"/>
      <c r="BQ1715" s="4"/>
      <c r="BR1715" s="4"/>
      <c r="BS1715" s="4"/>
      <c r="BT1715" s="4"/>
      <c r="BU1715" s="4"/>
      <c r="BV1715" s="4"/>
      <c r="BW1715" s="4"/>
      <c r="BX1715" s="4"/>
      <c r="BY1715" s="4"/>
      <c r="BZ1715" s="4"/>
      <c r="CA1715" s="4"/>
      <c r="CB1715" s="4"/>
      <c r="CC1715" s="4"/>
      <c r="CD1715" s="4"/>
      <c r="CE1715" s="4"/>
      <c r="CF1715" s="4"/>
      <c r="CG1715" s="4"/>
      <c r="CH1715" s="4"/>
      <c r="CI1715" s="4"/>
      <c r="CJ1715" s="4"/>
      <c r="CK1715" s="4"/>
      <c r="CL1715" s="4"/>
      <c r="CM1715" s="4"/>
      <c r="CN1715" s="4"/>
      <c r="CO1715" s="4"/>
      <c r="CP1715" s="4"/>
      <c r="CQ1715" s="4"/>
      <c r="CR1715" s="4"/>
      <c r="CS1715" s="4"/>
      <c r="CT1715" s="4"/>
      <c r="CU1715" s="4"/>
      <c r="CV1715" s="4"/>
      <c r="CW1715" s="4"/>
      <c r="CX1715" s="4"/>
      <c r="CY1715" s="4"/>
      <c r="CZ1715" s="4"/>
      <c r="DA1715" s="4"/>
      <c r="DB1715" s="4"/>
      <c r="DC1715" s="4"/>
      <c r="DD1715" s="4"/>
      <c r="DE1715" s="4"/>
      <c r="DF1715" s="4"/>
      <c r="DG1715" s="4"/>
      <c r="DH1715" s="4"/>
      <c r="DI1715" s="4"/>
      <c r="DJ1715" s="4"/>
      <c r="DK1715" s="4"/>
      <c r="DL1715" s="4"/>
      <c r="DM1715" s="4"/>
      <c r="DN1715" s="4"/>
      <c r="DO1715" s="4"/>
      <c r="DP1715" s="4"/>
      <c r="DQ1715" s="4"/>
      <c r="DR1715" s="4"/>
      <c r="DS1715" s="4"/>
    </row>
    <row r="1716">
      <c r="A1716" s="4"/>
      <c r="B1716" s="4"/>
      <c r="C1716" s="4"/>
      <c r="D1716" s="4"/>
      <c r="E1716" s="4"/>
      <c r="F1716" s="4" t="s">
        <v>17</v>
      </c>
      <c r="G1716" s="15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  <c r="AA1716" s="4"/>
      <c r="AB1716" s="4"/>
      <c r="AC1716" s="4"/>
      <c r="AD1716" s="4"/>
      <c r="AE1716" s="4"/>
      <c r="AF1716" s="4"/>
      <c r="AG1716" s="4"/>
      <c r="AH1716" s="4"/>
      <c r="AI1716" s="4"/>
      <c r="AJ1716" s="4"/>
      <c r="AK1716" s="4"/>
      <c r="AL1716" s="4"/>
      <c r="AM1716" s="4"/>
      <c r="AN1716" s="4"/>
      <c r="AO1716" s="4"/>
      <c r="AP1716" s="4"/>
      <c r="AQ1716" s="4"/>
      <c r="AR1716" s="4"/>
      <c r="AS1716" s="4"/>
      <c r="AT1716" s="4"/>
      <c r="AU1716" s="4"/>
      <c r="AV1716" s="4"/>
      <c r="AW1716" s="4"/>
      <c r="AX1716" s="4"/>
      <c r="AY1716" s="4"/>
      <c r="AZ1716" s="4"/>
      <c r="BA1716" s="4"/>
      <c r="BB1716" s="4"/>
      <c r="BC1716" s="4"/>
      <c r="BD1716" s="4"/>
      <c r="BE1716" s="4"/>
      <c r="BF1716" s="4"/>
      <c r="BG1716" s="4"/>
      <c r="BH1716" s="4"/>
      <c r="BI1716" s="4"/>
      <c r="BJ1716" s="4"/>
      <c r="BK1716" s="4"/>
      <c r="BL1716" s="4"/>
      <c r="BM1716" s="4"/>
      <c r="BN1716" s="4"/>
      <c r="BO1716" s="4"/>
      <c r="BP1716" s="4"/>
      <c r="BQ1716" s="4"/>
      <c r="BR1716" s="4"/>
      <c r="BS1716" s="4"/>
      <c r="BT1716" s="4"/>
      <c r="BU1716" s="4"/>
      <c r="BV1716" s="4"/>
      <c r="BW1716" s="4"/>
      <c r="BX1716" s="4"/>
      <c r="BY1716" s="4"/>
      <c r="BZ1716" s="4"/>
      <c r="CA1716" s="4"/>
      <c r="CB1716" s="4"/>
      <c r="CC1716" s="4"/>
      <c r="CD1716" s="4"/>
      <c r="CE1716" s="4"/>
      <c r="CF1716" s="4"/>
      <c r="CG1716" s="4"/>
      <c r="CH1716" s="4"/>
      <c r="CI1716" s="4"/>
      <c r="CJ1716" s="4"/>
      <c r="CK1716" s="4"/>
      <c r="CL1716" s="4"/>
      <c r="CM1716" s="4"/>
      <c r="CN1716" s="4"/>
      <c r="CO1716" s="4"/>
      <c r="CP1716" s="4"/>
      <c r="CQ1716" s="4"/>
      <c r="CR1716" s="4"/>
      <c r="CS1716" s="4"/>
      <c r="CT1716" s="4"/>
      <c r="CU1716" s="4"/>
      <c r="CV1716" s="4"/>
      <c r="CW1716" s="4"/>
      <c r="CX1716" s="4"/>
      <c r="CY1716" s="4"/>
      <c r="CZ1716" s="4"/>
      <c r="DA1716" s="4"/>
      <c r="DB1716" s="4"/>
      <c r="DC1716" s="4"/>
      <c r="DD1716" s="4"/>
      <c r="DE1716" s="4"/>
      <c r="DF1716" s="4"/>
      <c r="DG1716" s="4"/>
      <c r="DH1716" s="4"/>
      <c r="DI1716" s="4"/>
      <c r="DJ1716" s="4"/>
      <c r="DK1716" s="4"/>
      <c r="DL1716" s="4"/>
      <c r="DM1716" s="4"/>
      <c r="DN1716" s="4"/>
      <c r="DO1716" s="4"/>
      <c r="DP1716" s="4"/>
      <c r="DQ1716" s="4"/>
      <c r="DR1716" s="4"/>
      <c r="DS1716" s="4"/>
    </row>
    <row r="1717">
      <c r="A1717" s="4"/>
      <c r="B1717" s="4"/>
      <c r="C1717" s="4"/>
      <c r="D1717" s="4"/>
      <c r="E1717" s="4"/>
      <c r="F1717" s="4" t="s">
        <v>17</v>
      </c>
      <c r="G1717" s="15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  <c r="AA1717" s="4"/>
      <c r="AB1717" s="4"/>
      <c r="AC1717" s="4"/>
      <c r="AD1717" s="4"/>
      <c r="AE1717" s="4"/>
      <c r="AF1717" s="4"/>
      <c r="AG1717" s="4"/>
      <c r="AH1717" s="4"/>
      <c r="AI1717" s="4"/>
      <c r="AJ1717" s="4"/>
      <c r="AK1717" s="4"/>
      <c r="AL1717" s="4"/>
      <c r="AM1717" s="4"/>
      <c r="AN1717" s="4"/>
      <c r="AO1717" s="4"/>
      <c r="AP1717" s="4"/>
      <c r="AQ1717" s="4"/>
      <c r="AR1717" s="4"/>
      <c r="AS1717" s="4"/>
      <c r="AT1717" s="4"/>
      <c r="AU1717" s="4"/>
      <c r="AV1717" s="4"/>
      <c r="AW1717" s="4"/>
      <c r="AX1717" s="4"/>
      <c r="AY1717" s="4"/>
      <c r="AZ1717" s="4"/>
      <c r="BA1717" s="4"/>
      <c r="BB1717" s="4"/>
      <c r="BC1717" s="4"/>
      <c r="BD1717" s="4"/>
      <c r="BE1717" s="4"/>
      <c r="BF1717" s="4"/>
      <c r="BG1717" s="4"/>
      <c r="BH1717" s="4"/>
      <c r="BI1717" s="4"/>
      <c r="BJ1717" s="4"/>
      <c r="BK1717" s="4"/>
      <c r="BL1717" s="4"/>
      <c r="BM1717" s="4"/>
      <c r="BN1717" s="4"/>
      <c r="BO1717" s="4"/>
      <c r="BP1717" s="4"/>
      <c r="BQ1717" s="4"/>
      <c r="BR1717" s="4"/>
      <c r="BS1717" s="4"/>
      <c r="BT1717" s="4"/>
      <c r="BU1717" s="4"/>
      <c r="BV1717" s="4"/>
      <c r="BW1717" s="4"/>
      <c r="BX1717" s="4"/>
      <c r="BY1717" s="4"/>
      <c r="BZ1717" s="4"/>
      <c r="CA1717" s="4"/>
      <c r="CB1717" s="4"/>
      <c r="CC1717" s="4"/>
      <c r="CD1717" s="4"/>
      <c r="CE1717" s="4"/>
      <c r="CF1717" s="4"/>
      <c r="CG1717" s="4"/>
      <c r="CH1717" s="4"/>
      <c r="CI1717" s="4"/>
      <c r="CJ1717" s="4"/>
      <c r="CK1717" s="4"/>
      <c r="CL1717" s="4"/>
      <c r="CM1717" s="4"/>
      <c r="CN1717" s="4"/>
      <c r="CO1717" s="4"/>
      <c r="CP1717" s="4"/>
      <c r="CQ1717" s="4"/>
      <c r="CR1717" s="4"/>
      <c r="CS1717" s="4"/>
      <c r="CT1717" s="4"/>
      <c r="CU1717" s="4"/>
      <c r="CV1717" s="4"/>
      <c r="CW1717" s="4"/>
      <c r="CX1717" s="4"/>
      <c r="CY1717" s="4"/>
      <c r="CZ1717" s="4"/>
      <c r="DA1717" s="4"/>
      <c r="DB1717" s="4"/>
      <c r="DC1717" s="4"/>
      <c r="DD1717" s="4"/>
      <c r="DE1717" s="4"/>
      <c r="DF1717" s="4"/>
      <c r="DG1717" s="4"/>
      <c r="DH1717" s="4"/>
      <c r="DI1717" s="4"/>
      <c r="DJ1717" s="4"/>
      <c r="DK1717" s="4"/>
      <c r="DL1717" s="4"/>
      <c r="DM1717" s="4"/>
      <c r="DN1717" s="4"/>
      <c r="DO1717" s="4"/>
      <c r="DP1717" s="4"/>
      <c r="DQ1717" s="4"/>
      <c r="DR1717" s="4"/>
      <c r="DS1717" s="4"/>
    </row>
    <row r="1718">
      <c r="A1718" s="4"/>
      <c r="B1718" s="4"/>
      <c r="C1718" s="4"/>
      <c r="D1718" s="4"/>
      <c r="E1718" s="4"/>
      <c r="F1718" s="4" t="s">
        <v>17</v>
      </c>
      <c r="G1718" s="15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  <c r="AA1718" s="4"/>
      <c r="AB1718" s="4"/>
      <c r="AC1718" s="4"/>
      <c r="AD1718" s="4"/>
      <c r="AE1718" s="4"/>
      <c r="AF1718" s="4"/>
      <c r="AG1718" s="4"/>
      <c r="AH1718" s="4"/>
      <c r="AI1718" s="4"/>
      <c r="AJ1718" s="4"/>
      <c r="AK1718" s="4"/>
      <c r="AL1718" s="4"/>
      <c r="AM1718" s="4"/>
      <c r="AN1718" s="4"/>
      <c r="AO1718" s="4"/>
      <c r="AP1718" s="4"/>
      <c r="AQ1718" s="4"/>
      <c r="AR1718" s="4"/>
      <c r="AS1718" s="4"/>
      <c r="AT1718" s="4"/>
      <c r="AU1718" s="4"/>
      <c r="AV1718" s="4"/>
      <c r="AW1718" s="4"/>
      <c r="AX1718" s="4"/>
      <c r="AY1718" s="4"/>
      <c r="AZ1718" s="4"/>
      <c r="BA1718" s="4"/>
      <c r="BB1718" s="4"/>
      <c r="BC1718" s="4"/>
      <c r="BD1718" s="4"/>
      <c r="BE1718" s="4"/>
      <c r="BF1718" s="4"/>
      <c r="BG1718" s="4"/>
      <c r="BH1718" s="4"/>
      <c r="BI1718" s="4"/>
      <c r="BJ1718" s="4"/>
      <c r="BK1718" s="4"/>
      <c r="BL1718" s="4"/>
      <c r="BM1718" s="4"/>
      <c r="BN1718" s="4"/>
      <c r="BO1718" s="4"/>
      <c r="BP1718" s="4"/>
      <c r="BQ1718" s="4"/>
      <c r="BR1718" s="4"/>
      <c r="BS1718" s="4"/>
      <c r="BT1718" s="4"/>
      <c r="BU1718" s="4"/>
      <c r="BV1718" s="4"/>
      <c r="BW1718" s="4"/>
      <c r="BX1718" s="4"/>
      <c r="BY1718" s="4"/>
      <c r="BZ1718" s="4"/>
      <c r="CA1718" s="4"/>
      <c r="CB1718" s="4"/>
      <c r="CC1718" s="4"/>
      <c r="CD1718" s="4"/>
      <c r="CE1718" s="4"/>
      <c r="CF1718" s="4"/>
      <c r="CG1718" s="4"/>
      <c r="CH1718" s="4"/>
      <c r="CI1718" s="4"/>
      <c r="CJ1718" s="4"/>
      <c r="CK1718" s="4"/>
      <c r="CL1718" s="4"/>
      <c r="CM1718" s="4"/>
      <c r="CN1718" s="4"/>
      <c r="CO1718" s="4"/>
      <c r="CP1718" s="4"/>
      <c r="CQ1718" s="4"/>
      <c r="CR1718" s="4"/>
      <c r="CS1718" s="4"/>
      <c r="CT1718" s="4"/>
      <c r="CU1718" s="4"/>
      <c r="CV1718" s="4"/>
      <c r="CW1718" s="4"/>
      <c r="CX1718" s="4"/>
      <c r="CY1718" s="4"/>
      <c r="CZ1718" s="4"/>
      <c r="DA1718" s="4"/>
      <c r="DB1718" s="4"/>
      <c r="DC1718" s="4"/>
      <c r="DD1718" s="4"/>
      <c r="DE1718" s="4"/>
      <c r="DF1718" s="4"/>
      <c r="DG1718" s="4"/>
      <c r="DH1718" s="4"/>
      <c r="DI1718" s="4"/>
      <c r="DJ1718" s="4"/>
      <c r="DK1718" s="4"/>
      <c r="DL1718" s="4"/>
      <c r="DM1718" s="4"/>
      <c r="DN1718" s="4"/>
      <c r="DO1718" s="4"/>
      <c r="DP1718" s="4"/>
      <c r="DQ1718" s="4"/>
      <c r="DR1718" s="4"/>
      <c r="DS1718" s="4"/>
    </row>
    <row r="1719">
      <c r="A1719" s="4"/>
      <c r="B1719" s="4"/>
      <c r="C1719" s="4"/>
      <c r="D1719" s="4"/>
      <c r="E1719" s="4"/>
      <c r="F1719" s="4" t="s">
        <v>17</v>
      </c>
      <c r="G1719" s="15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  <c r="AA1719" s="4"/>
      <c r="AB1719" s="4"/>
      <c r="AC1719" s="4"/>
      <c r="AD1719" s="4"/>
      <c r="AE1719" s="4"/>
      <c r="AF1719" s="4"/>
      <c r="AG1719" s="4"/>
      <c r="AH1719" s="4"/>
      <c r="AI1719" s="4"/>
      <c r="AJ1719" s="4"/>
      <c r="AK1719" s="4"/>
      <c r="AL1719" s="4"/>
      <c r="AM1719" s="4"/>
      <c r="AN1719" s="4"/>
      <c r="AO1719" s="4"/>
      <c r="AP1719" s="4"/>
      <c r="AQ1719" s="4"/>
      <c r="AR1719" s="4"/>
      <c r="AS1719" s="4"/>
      <c r="AT1719" s="4"/>
      <c r="AU1719" s="4"/>
      <c r="AV1719" s="4"/>
      <c r="AW1719" s="4"/>
      <c r="AX1719" s="4"/>
      <c r="AY1719" s="4"/>
      <c r="AZ1719" s="4"/>
      <c r="BA1719" s="4"/>
      <c r="BB1719" s="4"/>
      <c r="BC1719" s="4"/>
      <c r="BD1719" s="4"/>
      <c r="BE1719" s="4"/>
      <c r="BF1719" s="4"/>
      <c r="BG1719" s="4"/>
      <c r="BH1719" s="4"/>
      <c r="BI1719" s="4"/>
      <c r="BJ1719" s="4"/>
      <c r="BK1719" s="4"/>
      <c r="BL1719" s="4"/>
      <c r="BM1719" s="4"/>
      <c r="BN1719" s="4"/>
      <c r="BO1719" s="4"/>
      <c r="BP1719" s="4"/>
      <c r="BQ1719" s="4"/>
      <c r="BR1719" s="4"/>
      <c r="BS1719" s="4"/>
      <c r="BT1719" s="4"/>
      <c r="BU1719" s="4"/>
      <c r="BV1719" s="4"/>
      <c r="BW1719" s="4"/>
      <c r="BX1719" s="4"/>
      <c r="BY1719" s="4"/>
      <c r="BZ1719" s="4"/>
      <c r="CA1719" s="4"/>
      <c r="CB1719" s="4"/>
      <c r="CC1719" s="4"/>
      <c r="CD1719" s="4"/>
      <c r="CE1719" s="4"/>
      <c r="CF1719" s="4"/>
      <c r="CG1719" s="4"/>
      <c r="CH1719" s="4"/>
      <c r="CI1719" s="4"/>
      <c r="CJ1719" s="4"/>
      <c r="CK1719" s="4"/>
      <c r="CL1719" s="4"/>
      <c r="CM1719" s="4"/>
      <c r="CN1719" s="4"/>
      <c r="CO1719" s="4"/>
      <c r="CP1719" s="4"/>
      <c r="CQ1719" s="4"/>
      <c r="CR1719" s="4"/>
      <c r="CS1719" s="4"/>
      <c r="CT1719" s="4"/>
      <c r="CU1719" s="4"/>
      <c r="CV1719" s="4"/>
      <c r="CW1719" s="4"/>
      <c r="CX1719" s="4"/>
      <c r="CY1719" s="4"/>
      <c r="CZ1719" s="4"/>
      <c r="DA1719" s="4"/>
      <c r="DB1719" s="4"/>
      <c r="DC1719" s="4"/>
      <c r="DD1719" s="4"/>
      <c r="DE1719" s="4"/>
      <c r="DF1719" s="4"/>
      <c r="DG1719" s="4"/>
      <c r="DH1719" s="4"/>
      <c r="DI1719" s="4"/>
      <c r="DJ1719" s="4"/>
      <c r="DK1719" s="4"/>
      <c r="DL1719" s="4"/>
      <c r="DM1719" s="4"/>
      <c r="DN1719" s="4"/>
      <c r="DO1719" s="4"/>
      <c r="DP1719" s="4"/>
      <c r="DQ1719" s="4"/>
      <c r="DR1719" s="4"/>
      <c r="DS1719" s="4"/>
    </row>
    <row r="1720">
      <c r="A1720" s="4"/>
      <c r="B1720" s="4"/>
      <c r="C1720" s="4"/>
      <c r="D1720" s="4"/>
      <c r="E1720" s="4"/>
      <c r="F1720" s="4" t="s">
        <v>17</v>
      </c>
      <c r="G1720" s="15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  <c r="AA1720" s="4"/>
      <c r="AB1720" s="4"/>
      <c r="AC1720" s="4"/>
      <c r="AD1720" s="4"/>
      <c r="AE1720" s="4"/>
      <c r="AF1720" s="4"/>
      <c r="AG1720" s="4"/>
      <c r="AH1720" s="4"/>
      <c r="AI1720" s="4"/>
      <c r="AJ1720" s="4"/>
      <c r="AK1720" s="4"/>
      <c r="AL1720" s="4"/>
      <c r="AM1720" s="4"/>
      <c r="AN1720" s="4"/>
      <c r="AO1720" s="4"/>
      <c r="AP1720" s="4"/>
      <c r="AQ1720" s="4"/>
      <c r="AR1720" s="4"/>
      <c r="AS1720" s="4"/>
      <c r="AT1720" s="4"/>
      <c r="AU1720" s="4"/>
      <c r="AV1720" s="4"/>
      <c r="AW1720" s="4"/>
      <c r="AX1720" s="4"/>
      <c r="AY1720" s="4"/>
      <c r="AZ1720" s="4"/>
      <c r="BA1720" s="4"/>
      <c r="BB1720" s="4"/>
      <c r="BC1720" s="4"/>
      <c r="BD1720" s="4"/>
      <c r="BE1720" s="4"/>
      <c r="BF1720" s="4"/>
      <c r="BG1720" s="4"/>
      <c r="BH1720" s="4"/>
      <c r="BI1720" s="4"/>
      <c r="BJ1720" s="4"/>
      <c r="BK1720" s="4"/>
      <c r="BL1720" s="4"/>
      <c r="BM1720" s="4"/>
      <c r="BN1720" s="4"/>
      <c r="BO1720" s="4"/>
      <c r="BP1720" s="4"/>
      <c r="BQ1720" s="4"/>
      <c r="BR1720" s="4"/>
      <c r="BS1720" s="4"/>
      <c r="BT1720" s="4"/>
      <c r="BU1720" s="4"/>
      <c r="BV1720" s="4"/>
      <c r="BW1720" s="4"/>
      <c r="BX1720" s="4"/>
      <c r="BY1720" s="4"/>
      <c r="BZ1720" s="4"/>
      <c r="CA1720" s="4"/>
      <c r="CB1720" s="4"/>
      <c r="CC1720" s="4"/>
      <c r="CD1720" s="4"/>
      <c r="CE1720" s="4"/>
      <c r="CF1720" s="4"/>
      <c r="CG1720" s="4"/>
      <c r="CH1720" s="4"/>
      <c r="CI1720" s="4"/>
      <c r="CJ1720" s="4"/>
      <c r="CK1720" s="4"/>
      <c r="CL1720" s="4"/>
      <c r="CM1720" s="4"/>
      <c r="CN1720" s="4"/>
      <c r="CO1720" s="4"/>
      <c r="CP1720" s="4"/>
      <c r="CQ1720" s="4"/>
      <c r="CR1720" s="4"/>
      <c r="CS1720" s="4"/>
      <c r="CT1720" s="4"/>
      <c r="CU1720" s="4"/>
      <c r="CV1720" s="4"/>
      <c r="CW1720" s="4"/>
      <c r="CX1720" s="4"/>
      <c r="CY1720" s="4"/>
      <c r="CZ1720" s="4"/>
      <c r="DA1720" s="4"/>
      <c r="DB1720" s="4"/>
      <c r="DC1720" s="4"/>
      <c r="DD1720" s="4"/>
      <c r="DE1720" s="4"/>
      <c r="DF1720" s="4"/>
      <c r="DG1720" s="4"/>
      <c r="DH1720" s="4"/>
      <c r="DI1720" s="4"/>
      <c r="DJ1720" s="4"/>
      <c r="DK1720" s="4"/>
      <c r="DL1720" s="4"/>
      <c r="DM1720" s="4"/>
      <c r="DN1720" s="4"/>
      <c r="DO1720" s="4"/>
      <c r="DP1720" s="4"/>
      <c r="DQ1720" s="4"/>
      <c r="DR1720" s="4"/>
      <c r="DS1720" s="4"/>
    </row>
    <row r="1721">
      <c r="A1721" s="4"/>
      <c r="B1721" s="4"/>
      <c r="C1721" s="4"/>
      <c r="D1721" s="4"/>
      <c r="E1721" s="4"/>
      <c r="F1721" s="4" t="s">
        <v>17</v>
      </c>
      <c r="G1721" s="15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  <c r="AA1721" s="4"/>
      <c r="AB1721" s="4"/>
      <c r="AC1721" s="4"/>
      <c r="AD1721" s="4"/>
      <c r="AE1721" s="4"/>
      <c r="AF1721" s="4"/>
      <c r="AG1721" s="4"/>
      <c r="AH1721" s="4"/>
      <c r="AI1721" s="4"/>
      <c r="AJ1721" s="4"/>
      <c r="AK1721" s="4"/>
      <c r="AL1721" s="4"/>
      <c r="AM1721" s="4"/>
      <c r="AN1721" s="4"/>
      <c r="AO1721" s="4"/>
      <c r="AP1721" s="4"/>
      <c r="AQ1721" s="4"/>
      <c r="AR1721" s="4"/>
      <c r="AS1721" s="4"/>
      <c r="AT1721" s="4"/>
      <c r="AU1721" s="4"/>
      <c r="AV1721" s="4"/>
      <c r="AW1721" s="4"/>
      <c r="AX1721" s="4"/>
      <c r="AY1721" s="4"/>
      <c r="AZ1721" s="4"/>
      <c r="BA1721" s="4"/>
      <c r="BB1721" s="4"/>
      <c r="BC1721" s="4"/>
      <c r="BD1721" s="4"/>
      <c r="BE1721" s="4"/>
      <c r="BF1721" s="4"/>
      <c r="BG1721" s="4"/>
      <c r="BH1721" s="4"/>
      <c r="BI1721" s="4"/>
      <c r="BJ1721" s="4"/>
      <c r="BK1721" s="4"/>
      <c r="BL1721" s="4"/>
      <c r="BM1721" s="4"/>
      <c r="BN1721" s="4"/>
      <c r="BO1721" s="4"/>
      <c r="BP1721" s="4"/>
      <c r="BQ1721" s="4"/>
      <c r="BR1721" s="4"/>
      <c r="BS1721" s="4"/>
      <c r="BT1721" s="4"/>
      <c r="BU1721" s="4"/>
      <c r="BV1721" s="4"/>
      <c r="BW1721" s="4"/>
      <c r="BX1721" s="4"/>
      <c r="BY1721" s="4"/>
      <c r="BZ1721" s="4"/>
      <c r="CA1721" s="4"/>
      <c r="CB1721" s="4"/>
      <c r="CC1721" s="4"/>
      <c r="CD1721" s="4"/>
      <c r="CE1721" s="4"/>
      <c r="CF1721" s="4"/>
      <c r="CG1721" s="4"/>
      <c r="CH1721" s="4"/>
      <c r="CI1721" s="4"/>
      <c r="CJ1721" s="4"/>
      <c r="CK1721" s="4"/>
      <c r="CL1721" s="4"/>
      <c r="CM1721" s="4"/>
      <c r="CN1721" s="4"/>
      <c r="CO1721" s="4"/>
      <c r="CP1721" s="4"/>
      <c r="CQ1721" s="4"/>
      <c r="CR1721" s="4"/>
      <c r="CS1721" s="4"/>
      <c r="CT1721" s="4"/>
      <c r="CU1721" s="4"/>
      <c r="CV1721" s="4"/>
      <c r="CW1721" s="4"/>
      <c r="CX1721" s="4"/>
      <c r="CY1721" s="4"/>
      <c r="CZ1721" s="4"/>
      <c r="DA1721" s="4"/>
      <c r="DB1721" s="4"/>
      <c r="DC1721" s="4"/>
      <c r="DD1721" s="4"/>
      <c r="DE1721" s="4"/>
      <c r="DF1721" s="4"/>
      <c r="DG1721" s="4"/>
      <c r="DH1721" s="4"/>
      <c r="DI1721" s="4"/>
      <c r="DJ1721" s="4"/>
      <c r="DK1721" s="4"/>
      <c r="DL1721" s="4"/>
      <c r="DM1721" s="4"/>
      <c r="DN1721" s="4"/>
      <c r="DO1721" s="4"/>
      <c r="DP1721" s="4"/>
      <c r="DQ1721" s="4"/>
      <c r="DR1721" s="4"/>
      <c r="DS1721" s="4"/>
    </row>
    <row r="1722">
      <c r="A1722" s="4"/>
      <c r="B1722" s="4"/>
      <c r="C1722" s="4"/>
      <c r="D1722" s="4"/>
      <c r="E1722" s="4"/>
      <c r="F1722" s="4" t="s">
        <v>17</v>
      </c>
      <c r="G1722" s="15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  <c r="AA1722" s="4"/>
      <c r="AB1722" s="4"/>
      <c r="AC1722" s="4"/>
      <c r="AD1722" s="4"/>
      <c r="AE1722" s="4"/>
      <c r="AF1722" s="4"/>
      <c r="AG1722" s="4"/>
      <c r="AH1722" s="4"/>
      <c r="AI1722" s="4"/>
      <c r="AJ1722" s="4"/>
      <c r="AK1722" s="4"/>
      <c r="AL1722" s="4"/>
      <c r="AM1722" s="4"/>
      <c r="AN1722" s="4"/>
      <c r="AO1722" s="4"/>
      <c r="AP1722" s="4"/>
      <c r="AQ1722" s="4"/>
      <c r="AR1722" s="4"/>
      <c r="AS1722" s="4"/>
      <c r="AT1722" s="4"/>
      <c r="AU1722" s="4"/>
      <c r="AV1722" s="4"/>
      <c r="AW1722" s="4"/>
      <c r="AX1722" s="4"/>
      <c r="AY1722" s="4"/>
      <c r="AZ1722" s="4"/>
      <c r="BA1722" s="4"/>
      <c r="BB1722" s="4"/>
      <c r="BC1722" s="4"/>
      <c r="BD1722" s="4"/>
      <c r="BE1722" s="4"/>
      <c r="BF1722" s="4"/>
      <c r="BG1722" s="4"/>
      <c r="BH1722" s="4"/>
      <c r="BI1722" s="4"/>
      <c r="BJ1722" s="4"/>
      <c r="BK1722" s="4"/>
      <c r="BL1722" s="4"/>
      <c r="BM1722" s="4"/>
      <c r="BN1722" s="4"/>
      <c r="BO1722" s="4"/>
      <c r="BP1722" s="4"/>
      <c r="BQ1722" s="4"/>
      <c r="BR1722" s="4"/>
      <c r="BS1722" s="4"/>
      <c r="BT1722" s="4"/>
      <c r="BU1722" s="4"/>
      <c r="BV1722" s="4"/>
      <c r="BW1722" s="4"/>
      <c r="BX1722" s="4"/>
      <c r="BY1722" s="4"/>
      <c r="BZ1722" s="4"/>
      <c r="CA1722" s="4"/>
      <c r="CB1722" s="4"/>
      <c r="CC1722" s="4"/>
      <c r="CD1722" s="4"/>
      <c r="CE1722" s="4"/>
      <c r="CF1722" s="4"/>
      <c r="CG1722" s="4"/>
      <c r="CH1722" s="4"/>
      <c r="CI1722" s="4"/>
      <c r="CJ1722" s="4"/>
      <c r="CK1722" s="4"/>
      <c r="CL1722" s="4"/>
      <c r="CM1722" s="4"/>
      <c r="CN1722" s="4"/>
      <c r="CO1722" s="4"/>
      <c r="CP1722" s="4"/>
      <c r="CQ1722" s="4"/>
      <c r="CR1722" s="4"/>
      <c r="CS1722" s="4"/>
      <c r="CT1722" s="4"/>
      <c r="CU1722" s="4"/>
      <c r="CV1722" s="4"/>
      <c r="CW1722" s="4"/>
      <c r="CX1722" s="4"/>
      <c r="CY1722" s="4"/>
      <c r="CZ1722" s="4"/>
      <c r="DA1722" s="4"/>
      <c r="DB1722" s="4"/>
      <c r="DC1722" s="4"/>
      <c r="DD1722" s="4"/>
      <c r="DE1722" s="4"/>
      <c r="DF1722" s="4"/>
      <c r="DG1722" s="4"/>
      <c r="DH1722" s="4"/>
      <c r="DI1722" s="4"/>
      <c r="DJ1722" s="4"/>
      <c r="DK1722" s="4"/>
      <c r="DL1722" s="4"/>
      <c r="DM1722" s="4"/>
      <c r="DN1722" s="4"/>
      <c r="DO1722" s="4"/>
      <c r="DP1722" s="4"/>
      <c r="DQ1722" s="4"/>
      <c r="DR1722" s="4"/>
      <c r="DS1722" s="4"/>
    </row>
    <row r="1723">
      <c r="A1723" s="4"/>
      <c r="B1723" s="4"/>
      <c r="C1723" s="4"/>
      <c r="D1723" s="4"/>
      <c r="E1723" s="4"/>
      <c r="F1723" s="4" t="s">
        <v>17</v>
      </c>
      <c r="G1723" s="15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  <c r="AA1723" s="4"/>
      <c r="AB1723" s="4"/>
      <c r="AC1723" s="4"/>
      <c r="AD1723" s="4"/>
      <c r="AE1723" s="4"/>
      <c r="AF1723" s="4"/>
      <c r="AG1723" s="4"/>
      <c r="AH1723" s="4"/>
      <c r="AI1723" s="4"/>
      <c r="AJ1723" s="4"/>
      <c r="AK1723" s="4"/>
      <c r="AL1723" s="4"/>
      <c r="AM1723" s="4"/>
      <c r="AN1723" s="4"/>
      <c r="AO1723" s="4"/>
      <c r="AP1723" s="4"/>
      <c r="AQ1723" s="4"/>
      <c r="AR1723" s="4"/>
      <c r="AS1723" s="4"/>
      <c r="AT1723" s="4"/>
      <c r="AU1723" s="4"/>
      <c r="AV1723" s="4"/>
      <c r="AW1723" s="4"/>
      <c r="AX1723" s="4"/>
      <c r="AY1723" s="4"/>
      <c r="AZ1723" s="4"/>
      <c r="BA1723" s="4"/>
      <c r="BB1723" s="4"/>
      <c r="BC1723" s="4"/>
      <c r="BD1723" s="4"/>
      <c r="BE1723" s="4"/>
      <c r="BF1723" s="4"/>
      <c r="BG1723" s="4"/>
      <c r="BH1723" s="4"/>
      <c r="BI1723" s="4"/>
      <c r="BJ1723" s="4"/>
      <c r="BK1723" s="4"/>
      <c r="BL1723" s="4"/>
      <c r="BM1723" s="4"/>
      <c r="BN1723" s="4"/>
      <c r="BO1723" s="4"/>
      <c r="BP1723" s="4"/>
      <c r="BQ1723" s="4"/>
      <c r="BR1723" s="4"/>
      <c r="BS1723" s="4"/>
      <c r="BT1723" s="4"/>
      <c r="BU1723" s="4"/>
      <c r="BV1723" s="4"/>
      <c r="BW1723" s="4"/>
      <c r="BX1723" s="4"/>
      <c r="BY1723" s="4"/>
      <c r="BZ1723" s="4"/>
      <c r="CA1723" s="4"/>
      <c r="CB1723" s="4"/>
      <c r="CC1723" s="4"/>
      <c r="CD1723" s="4"/>
      <c r="CE1723" s="4"/>
      <c r="CF1723" s="4"/>
      <c r="CG1723" s="4"/>
      <c r="CH1723" s="4"/>
      <c r="CI1723" s="4"/>
      <c r="CJ1723" s="4"/>
      <c r="CK1723" s="4"/>
      <c r="CL1723" s="4"/>
      <c r="CM1723" s="4"/>
      <c r="CN1723" s="4"/>
      <c r="CO1723" s="4"/>
      <c r="CP1723" s="4"/>
      <c r="CQ1723" s="4"/>
      <c r="CR1723" s="4"/>
      <c r="CS1723" s="4"/>
      <c r="CT1723" s="4"/>
      <c r="CU1723" s="4"/>
      <c r="CV1723" s="4"/>
      <c r="CW1723" s="4"/>
      <c r="CX1723" s="4"/>
      <c r="CY1723" s="4"/>
      <c r="CZ1723" s="4"/>
      <c r="DA1723" s="4"/>
      <c r="DB1723" s="4"/>
      <c r="DC1723" s="4"/>
      <c r="DD1723" s="4"/>
      <c r="DE1723" s="4"/>
      <c r="DF1723" s="4"/>
      <c r="DG1723" s="4"/>
      <c r="DH1723" s="4"/>
      <c r="DI1723" s="4"/>
      <c r="DJ1723" s="4"/>
      <c r="DK1723" s="4"/>
      <c r="DL1723" s="4"/>
      <c r="DM1723" s="4"/>
      <c r="DN1723" s="4"/>
      <c r="DO1723" s="4"/>
      <c r="DP1723" s="4"/>
      <c r="DQ1723" s="4"/>
      <c r="DR1723" s="4"/>
      <c r="DS1723" s="4"/>
    </row>
    <row r="1724">
      <c r="A1724" s="4"/>
      <c r="B1724" s="4"/>
      <c r="C1724" s="4"/>
      <c r="D1724" s="4"/>
      <c r="E1724" s="4"/>
      <c r="F1724" s="4" t="s">
        <v>17</v>
      </c>
      <c r="G1724" s="15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  <c r="AA1724" s="4"/>
      <c r="AB1724" s="4"/>
      <c r="AC1724" s="4"/>
      <c r="AD1724" s="4"/>
      <c r="AE1724" s="4"/>
      <c r="AF1724" s="4"/>
      <c r="AG1724" s="4"/>
      <c r="AH1724" s="4"/>
      <c r="AI1724" s="4"/>
      <c r="AJ1724" s="4"/>
      <c r="AK1724" s="4"/>
      <c r="AL1724" s="4"/>
      <c r="AM1724" s="4"/>
      <c r="AN1724" s="4"/>
      <c r="AO1724" s="4"/>
      <c r="AP1724" s="4"/>
      <c r="AQ1724" s="4"/>
      <c r="AR1724" s="4"/>
      <c r="AS1724" s="4"/>
      <c r="AT1724" s="4"/>
      <c r="AU1724" s="4"/>
      <c r="AV1724" s="4"/>
      <c r="AW1724" s="4"/>
      <c r="AX1724" s="4"/>
      <c r="AY1724" s="4"/>
      <c r="AZ1724" s="4"/>
      <c r="BA1724" s="4"/>
      <c r="BB1724" s="4"/>
      <c r="BC1724" s="4"/>
      <c r="BD1724" s="4"/>
      <c r="BE1724" s="4"/>
      <c r="BF1724" s="4"/>
      <c r="BG1724" s="4"/>
      <c r="BH1724" s="4"/>
      <c r="BI1724" s="4"/>
      <c r="BJ1724" s="4"/>
      <c r="BK1724" s="4"/>
      <c r="BL1724" s="4"/>
      <c r="BM1724" s="4"/>
      <c r="BN1724" s="4"/>
      <c r="BO1724" s="4"/>
      <c r="BP1724" s="4"/>
      <c r="BQ1724" s="4"/>
      <c r="BR1724" s="4"/>
      <c r="BS1724" s="4"/>
      <c r="BT1724" s="4"/>
      <c r="BU1724" s="4"/>
      <c r="BV1724" s="4"/>
      <c r="BW1724" s="4"/>
      <c r="BX1724" s="4"/>
      <c r="BY1724" s="4"/>
      <c r="BZ1724" s="4"/>
      <c r="CA1724" s="4"/>
      <c r="CB1724" s="4"/>
      <c r="CC1724" s="4"/>
      <c r="CD1724" s="4"/>
      <c r="CE1724" s="4"/>
      <c r="CF1724" s="4"/>
      <c r="CG1724" s="4"/>
      <c r="CH1724" s="4"/>
      <c r="CI1724" s="4"/>
      <c r="CJ1724" s="4"/>
      <c r="CK1724" s="4"/>
      <c r="CL1724" s="4"/>
      <c r="CM1724" s="4"/>
      <c r="CN1724" s="4"/>
      <c r="CO1724" s="4"/>
      <c r="CP1724" s="4"/>
      <c r="CQ1724" s="4"/>
      <c r="CR1724" s="4"/>
      <c r="CS1724" s="4"/>
      <c r="CT1724" s="4"/>
      <c r="CU1724" s="4"/>
      <c r="CV1724" s="4"/>
      <c r="CW1724" s="4"/>
      <c r="CX1724" s="4"/>
      <c r="CY1724" s="4"/>
      <c r="CZ1724" s="4"/>
      <c r="DA1724" s="4"/>
      <c r="DB1724" s="4"/>
      <c r="DC1724" s="4"/>
      <c r="DD1724" s="4"/>
      <c r="DE1724" s="4"/>
      <c r="DF1724" s="4"/>
      <c r="DG1724" s="4"/>
      <c r="DH1724" s="4"/>
      <c r="DI1724" s="4"/>
      <c r="DJ1724" s="4"/>
      <c r="DK1724" s="4"/>
      <c r="DL1724" s="4"/>
      <c r="DM1724" s="4"/>
      <c r="DN1724" s="4"/>
      <c r="DO1724" s="4"/>
      <c r="DP1724" s="4"/>
      <c r="DQ1724" s="4"/>
      <c r="DR1724" s="4"/>
      <c r="DS1724" s="4"/>
    </row>
    <row r="1725">
      <c r="A1725" s="4"/>
      <c r="B1725" s="4"/>
      <c r="C1725" s="4"/>
      <c r="D1725" s="4"/>
      <c r="E1725" s="4"/>
      <c r="F1725" s="4" t="s">
        <v>17</v>
      </c>
      <c r="G1725" s="15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  <c r="AA1725" s="4"/>
      <c r="AB1725" s="4"/>
      <c r="AC1725" s="4"/>
      <c r="AD1725" s="4"/>
      <c r="AE1725" s="4"/>
      <c r="AF1725" s="4"/>
      <c r="AG1725" s="4"/>
      <c r="AH1725" s="4"/>
      <c r="AI1725" s="4"/>
      <c r="AJ1725" s="4"/>
      <c r="AK1725" s="4"/>
      <c r="AL1725" s="4"/>
      <c r="AM1725" s="4"/>
      <c r="AN1725" s="4"/>
      <c r="AO1725" s="4"/>
      <c r="AP1725" s="4"/>
      <c r="AQ1725" s="4"/>
      <c r="AR1725" s="4"/>
      <c r="AS1725" s="4"/>
      <c r="AT1725" s="4"/>
      <c r="AU1725" s="4"/>
      <c r="AV1725" s="4"/>
      <c r="AW1725" s="4"/>
      <c r="AX1725" s="4"/>
      <c r="AY1725" s="4"/>
      <c r="AZ1725" s="4"/>
      <c r="BA1725" s="4"/>
      <c r="BB1725" s="4"/>
      <c r="BC1725" s="4"/>
      <c r="BD1725" s="4"/>
      <c r="BE1725" s="4"/>
      <c r="BF1725" s="4"/>
      <c r="BG1725" s="4"/>
      <c r="BH1725" s="4"/>
      <c r="BI1725" s="4"/>
      <c r="BJ1725" s="4"/>
      <c r="BK1725" s="4"/>
      <c r="BL1725" s="4"/>
      <c r="BM1725" s="4"/>
      <c r="BN1725" s="4"/>
      <c r="BO1725" s="4"/>
      <c r="BP1725" s="4"/>
      <c r="BQ1725" s="4"/>
      <c r="BR1725" s="4"/>
      <c r="BS1725" s="4"/>
      <c r="BT1725" s="4"/>
      <c r="BU1725" s="4"/>
      <c r="BV1725" s="4"/>
      <c r="BW1725" s="4"/>
      <c r="BX1725" s="4"/>
      <c r="BY1725" s="4"/>
      <c r="BZ1725" s="4"/>
      <c r="CA1725" s="4"/>
      <c r="CB1725" s="4"/>
      <c r="CC1725" s="4"/>
      <c r="CD1725" s="4"/>
      <c r="CE1725" s="4"/>
      <c r="CF1725" s="4"/>
      <c r="CG1725" s="4"/>
      <c r="CH1725" s="4"/>
      <c r="CI1725" s="4"/>
      <c r="CJ1725" s="4"/>
      <c r="CK1725" s="4"/>
      <c r="CL1725" s="4"/>
      <c r="CM1725" s="4"/>
      <c r="CN1725" s="4"/>
      <c r="CO1725" s="4"/>
      <c r="CP1725" s="4"/>
      <c r="CQ1725" s="4"/>
      <c r="CR1725" s="4"/>
      <c r="CS1725" s="4"/>
      <c r="CT1725" s="4"/>
      <c r="CU1725" s="4"/>
      <c r="CV1725" s="4"/>
      <c r="CW1725" s="4"/>
      <c r="CX1725" s="4"/>
      <c r="CY1725" s="4"/>
      <c r="CZ1725" s="4"/>
      <c r="DA1725" s="4"/>
      <c r="DB1725" s="4"/>
      <c r="DC1725" s="4"/>
      <c r="DD1725" s="4"/>
      <c r="DE1725" s="4"/>
      <c r="DF1725" s="4"/>
      <c r="DG1725" s="4"/>
      <c r="DH1725" s="4"/>
      <c r="DI1725" s="4"/>
      <c r="DJ1725" s="4"/>
      <c r="DK1725" s="4"/>
      <c r="DL1725" s="4"/>
      <c r="DM1725" s="4"/>
      <c r="DN1725" s="4"/>
      <c r="DO1725" s="4"/>
      <c r="DP1725" s="4"/>
      <c r="DQ1725" s="4"/>
      <c r="DR1725" s="4"/>
      <c r="DS1725" s="4"/>
    </row>
    <row r="1726">
      <c r="A1726" s="4"/>
      <c r="B1726" s="4"/>
      <c r="C1726" s="4"/>
      <c r="D1726" s="4"/>
      <c r="E1726" s="4"/>
      <c r="F1726" s="4" t="s">
        <v>17</v>
      </c>
      <c r="G1726" s="15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  <c r="AA1726" s="4"/>
      <c r="AB1726" s="4"/>
      <c r="AC1726" s="4"/>
      <c r="AD1726" s="4"/>
      <c r="AE1726" s="4"/>
      <c r="AF1726" s="4"/>
      <c r="AG1726" s="4"/>
      <c r="AH1726" s="4"/>
      <c r="AI1726" s="4"/>
      <c r="AJ1726" s="4"/>
      <c r="AK1726" s="4"/>
      <c r="AL1726" s="4"/>
      <c r="AM1726" s="4"/>
      <c r="AN1726" s="4"/>
      <c r="AO1726" s="4"/>
      <c r="AP1726" s="4"/>
      <c r="AQ1726" s="4"/>
      <c r="AR1726" s="4"/>
      <c r="AS1726" s="4"/>
      <c r="AT1726" s="4"/>
      <c r="AU1726" s="4"/>
      <c r="AV1726" s="4"/>
      <c r="AW1726" s="4"/>
      <c r="AX1726" s="4"/>
      <c r="AY1726" s="4"/>
      <c r="AZ1726" s="4"/>
      <c r="BA1726" s="4"/>
      <c r="BB1726" s="4"/>
      <c r="BC1726" s="4"/>
      <c r="BD1726" s="4"/>
      <c r="BE1726" s="4"/>
      <c r="BF1726" s="4"/>
      <c r="BG1726" s="4"/>
      <c r="BH1726" s="4"/>
      <c r="BI1726" s="4"/>
      <c r="BJ1726" s="4"/>
      <c r="BK1726" s="4"/>
      <c r="BL1726" s="4"/>
      <c r="BM1726" s="4"/>
      <c r="BN1726" s="4"/>
      <c r="BO1726" s="4"/>
      <c r="BP1726" s="4"/>
      <c r="BQ1726" s="4"/>
      <c r="BR1726" s="4"/>
      <c r="BS1726" s="4"/>
      <c r="BT1726" s="4"/>
      <c r="BU1726" s="4"/>
      <c r="BV1726" s="4"/>
      <c r="BW1726" s="4"/>
      <c r="BX1726" s="4"/>
      <c r="BY1726" s="4"/>
      <c r="BZ1726" s="4"/>
      <c r="CA1726" s="4"/>
      <c r="CB1726" s="4"/>
      <c r="CC1726" s="4"/>
      <c r="CD1726" s="4"/>
      <c r="CE1726" s="4"/>
      <c r="CF1726" s="4"/>
      <c r="CG1726" s="4"/>
      <c r="CH1726" s="4"/>
      <c r="CI1726" s="4"/>
      <c r="CJ1726" s="4"/>
      <c r="CK1726" s="4"/>
      <c r="CL1726" s="4"/>
      <c r="CM1726" s="4"/>
      <c r="CN1726" s="4"/>
      <c r="CO1726" s="4"/>
      <c r="CP1726" s="4"/>
      <c r="CQ1726" s="4"/>
      <c r="CR1726" s="4"/>
      <c r="CS1726" s="4"/>
      <c r="CT1726" s="4"/>
      <c r="CU1726" s="4"/>
      <c r="CV1726" s="4"/>
      <c r="CW1726" s="4"/>
      <c r="CX1726" s="4"/>
      <c r="CY1726" s="4"/>
      <c r="CZ1726" s="4"/>
      <c r="DA1726" s="4"/>
      <c r="DB1726" s="4"/>
      <c r="DC1726" s="4"/>
      <c r="DD1726" s="4"/>
      <c r="DE1726" s="4"/>
      <c r="DF1726" s="4"/>
      <c r="DG1726" s="4"/>
      <c r="DH1726" s="4"/>
      <c r="DI1726" s="4"/>
      <c r="DJ1726" s="4"/>
      <c r="DK1726" s="4"/>
      <c r="DL1726" s="4"/>
      <c r="DM1726" s="4"/>
      <c r="DN1726" s="4"/>
      <c r="DO1726" s="4"/>
      <c r="DP1726" s="4"/>
      <c r="DQ1726" s="4"/>
      <c r="DR1726" s="4"/>
      <c r="DS1726" s="4"/>
    </row>
    <row r="1727">
      <c r="A1727" s="4"/>
      <c r="B1727" s="4"/>
      <c r="C1727" s="4"/>
      <c r="D1727" s="4"/>
      <c r="E1727" s="4"/>
      <c r="F1727" s="4" t="s">
        <v>17</v>
      </c>
      <c r="G1727" s="15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  <c r="AA1727" s="4"/>
      <c r="AB1727" s="4"/>
      <c r="AC1727" s="4"/>
      <c r="AD1727" s="4"/>
      <c r="AE1727" s="4"/>
      <c r="AF1727" s="4"/>
      <c r="AG1727" s="4"/>
      <c r="AH1727" s="4"/>
      <c r="AI1727" s="4"/>
      <c r="AJ1727" s="4"/>
      <c r="AK1727" s="4"/>
      <c r="AL1727" s="4"/>
      <c r="AM1727" s="4"/>
      <c r="AN1727" s="4"/>
      <c r="AO1727" s="4"/>
      <c r="AP1727" s="4"/>
      <c r="AQ1727" s="4"/>
      <c r="AR1727" s="4"/>
      <c r="AS1727" s="4"/>
      <c r="AT1727" s="4"/>
      <c r="AU1727" s="4"/>
      <c r="AV1727" s="4"/>
      <c r="AW1727" s="4"/>
      <c r="AX1727" s="4"/>
      <c r="AY1727" s="4"/>
      <c r="AZ1727" s="4"/>
      <c r="BA1727" s="4"/>
      <c r="BB1727" s="4"/>
      <c r="BC1727" s="4"/>
      <c r="BD1727" s="4"/>
      <c r="BE1727" s="4"/>
      <c r="BF1727" s="4"/>
      <c r="BG1727" s="4"/>
      <c r="BH1727" s="4"/>
      <c r="BI1727" s="4"/>
      <c r="BJ1727" s="4"/>
      <c r="BK1727" s="4"/>
      <c r="BL1727" s="4"/>
      <c r="BM1727" s="4"/>
      <c r="BN1727" s="4"/>
      <c r="BO1727" s="4"/>
      <c r="BP1727" s="4"/>
      <c r="BQ1727" s="4"/>
      <c r="BR1727" s="4"/>
      <c r="BS1727" s="4"/>
      <c r="BT1727" s="4"/>
      <c r="BU1727" s="4"/>
      <c r="BV1727" s="4"/>
      <c r="BW1727" s="4"/>
      <c r="BX1727" s="4"/>
      <c r="BY1727" s="4"/>
      <c r="BZ1727" s="4"/>
      <c r="CA1727" s="4"/>
      <c r="CB1727" s="4"/>
      <c r="CC1727" s="4"/>
      <c r="CD1727" s="4"/>
      <c r="CE1727" s="4"/>
      <c r="CF1727" s="4"/>
      <c r="CG1727" s="4"/>
      <c r="CH1727" s="4"/>
      <c r="CI1727" s="4"/>
      <c r="CJ1727" s="4"/>
      <c r="CK1727" s="4"/>
      <c r="CL1727" s="4"/>
      <c r="CM1727" s="4"/>
      <c r="CN1727" s="4"/>
      <c r="CO1727" s="4"/>
      <c r="CP1727" s="4"/>
      <c r="CQ1727" s="4"/>
      <c r="CR1727" s="4"/>
      <c r="CS1727" s="4"/>
      <c r="CT1727" s="4"/>
      <c r="CU1727" s="4"/>
      <c r="CV1727" s="4"/>
      <c r="CW1727" s="4"/>
      <c r="CX1727" s="4"/>
      <c r="CY1727" s="4"/>
      <c r="CZ1727" s="4"/>
      <c r="DA1727" s="4"/>
      <c r="DB1727" s="4"/>
      <c r="DC1727" s="4"/>
      <c r="DD1727" s="4"/>
      <c r="DE1727" s="4"/>
      <c r="DF1727" s="4"/>
      <c r="DG1727" s="4"/>
      <c r="DH1727" s="4"/>
      <c r="DI1727" s="4"/>
      <c r="DJ1727" s="4"/>
      <c r="DK1727" s="4"/>
      <c r="DL1727" s="4"/>
      <c r="DM1727" s="4"/>
      <c r="DN1727" s="4"/>
      <c r="DO1727" s="4"/>
      <c r="DP1727" s="4"/>
      <c r="DQ1727" s="4"/>
      <c r="DR1727" s="4"/>
      <c r="DS1727" s="4"/>
    </row>
    <row r="1728">
      <c r="A1728" s="4"/>
      <c r="B1728" s="4"/>
      <c r="C1728" s="4"/>
      <c r="D1728" s="4"/>
      <c r="E1728" s="4"/>
      <c r="F1728" s="4" t="s">
        <v>17</v>
      </c>
      <c r="G1728" s="15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  <c r="AA1728" s="4"/>
      <c r="AB1728" s="4"/>
      <c r="AC1728" s="4"/>
      <c r="AD1728" s="4"/>
      <c r="AE1728" s="4"/>
      <c r="AF1728" s="4"/>
      <c r="AG1728" s="4"/>
      <c r="AH1728" s="4"/>
      <c r="AI1728" s="4"/>
      <c r="AJ1728" s="4"/>
      <c r="AK1728" s="4"/>
      <c r="AL1728" s="4"/>
      <c r="AM1728" s="4"/>
      <c r="AN1728" s="4"/>
      <c r="AO1728" s="4"/>
      <c r="AP1728" s="4"/>
      <c r="AQ1728" s="4"/>
      <c r="AR1728" s="4"/>
      <c r="AS1728" s="4"/>
      <c r="AT1728" s="4"/>
      <c r="AU1728" s="4"/>
      <c r="AV1728" s="4"/>
      <c r="AW1728" s="4"/>
      <c r="AX1728" s="4"/>
      <c r="AY1728" s="4"/>
      <c r="AZ1728" s="4"/>
      <c r="BA1728" s="4"/>
      <c r="BB1728" s="4"/>
      <c r="BC1728" s="4"/>
      <c r="BD1728" s="4"/>
      <c r="BE1728" s="4"/>
      <c r="BF1728" s="4"/>
      <c r="BG1728" s="4"/>
      <c r="BH1728" s="4"/>
      <c r="BI1728" s="4"/>
      <c r="BJ1728" s="4"/>
      <c r="BK1728" s="4"/>
      <c r="BL1728" s="4"/>
      <c r="BM1728" s="4"/>
      <c r="BN1728" s="4"/>
      <c r="BO1728" s="4"/>
      <c r="BP1728" s="4"/>
      <c r="BQ1728" s="4"/>
      <c r="BR1728" s="4"/>
      <c r="BS1728" s="4"/>
      <c r="BT1728" s="4"/>
      <c r="BU1728" s="4"/>
      <c r="BV1728" s="4"/>
      <c r="BW1728" s="4"/>
      <c r="BX1728" s="4"/>
      <c r="BY1728" s="4"/>
      <c r="BZ1728" s="4"/>
      <c r="CA1728" s="4"/>
      <c r="CB1728" s="4"/>
      <c r="CC1728" s="4"/>
      <c r="CD1728" s="4"/>
      <c r="CE1728" s="4"/>
      <c r="CF1728" s="4"/>
      <c r="CG1728" s="4"/>
      <c r="CH1728" s="4"/>
      <c r="CI1728" s="4"/>
      <c r="CJ1728" s="4"/>
      <c r="CK1728" s="4"/>
      <c r="CL1728" s="4"/>
      <c r="CM1728" s="4"/>
      <c r="CN1728" s="4"/>
      <c r="CO1728" s="4"/>
      <c r="CP1728" s="4"/>
      <c r="CQ1728" s="4"/>
      <c r="CR1728" s="4"/>
      <c r="CS1728" s="4"/>
      <c r="CT1728" s="4"/>
      <c r="CU1728" s="4"/>
      <c r="CV1728" s="4"/>
      <c r="CW1728" s="4"/>
      <c r="CX1728" s="4"/>
      <c r="CY1728" s="4"/>
      <c r="CZ1728" s="4"/>
      <c r="DA1728" s="4"/>
      <c r="DB1728" s="4"/>
      <c r="DC1728" s="4"/>
      <c r="DD1728" s="4"/>
      <c r="DE1728" s="4"/>
      <c r="DF1728" s="4"/>
      <c r="DG1728" s="4"/>
      <c r="DH1728" s="4"/>
      <c r="DI1728" s="4"/>
      <c r="DJ1728" s="4"/>
      <c r="DK1728" s="4"/>
      <c r="DL1728" s="4"/>
      <c r="DM1728" s="4"/>
      <c r="DN1728" s="4"/>
      <c r="DO1728" s="4"/>
      <c r="DP1728" s="4"/>
      <c r="DQ1728" s="4"/>
      <c r="DR1728" s="4"/>
      <c r="DS1728" s="4"/>
    </row>
    <row r="1729">
      <c r="A1729" s="4"/>
      <c r="B1729" s="4"/>
      <c r="C1729" s="4"/>
      <c r="D1729" s="4"/>
      <c r="E1729" s="4"/>
      <c r="F1729" s="4" t="s">
        <v>17</v>
      </c>
      <c r="G1729" s="15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  <c r="AA1729" s="4"/>
      <c r="AB1729" s="4"/>
      <c r="AC1729" s="4"/>
      <c r="AD1729" s="4"/>
      <c r="AE1729" s="4"/>
      <c r="AF1729" s="4"/>
      <c r="AG1729" s="4"/>
      <c r="AH1729" s="4"/>
      <c r="AI1729" s="4"/>
      <c r="AJ1729" s="4"/>
      <c r="AK1729" s="4"/>
      <c r="AL1729" s="4"/>
      <c r="AM1729" s="4"/>
      <c r="AN1729" s="4"/>
      <c r="AO1729" s="4"/>
      <c r="AP1729" s="4"/>
      <c r="AQ1729" s="4"/>
      <c r="AR1729" s="4"/>
      <c r="AS1729" s="4"/>
      <c r="AT1729" s="4"/>
      <c r="AU1729" s="4"/>
      <c r="AV1729" s="4"/>
      <c r="AW1729" s="4"/>
      <c r="AX1729" s="4"/>
      <c r="AY1729" s="4"/>
      <c r="AZ1729" s="4"/>
      <c r="BA1729" s="4"/>
      <c r="BB1729" s="4"/>
      <c r="BC1729" s="4"/>
      <c r="BD1729" s="4"/>
      <c r="BE1729" s="4"/>
      <c r="BF1729" s="4"/>
      <c r="BG1729" s="4"/>
      <c r="BH1729" s="4"/>
      <c r="BI1729" s="4"/>
      <c r="BJ1729" s="4"/>
      <c r="BK1729" s="4"/>
      <c r="BL1729" s="4"/>
      <c r="BM1729" s="4"/>
      <c r="BN1729" s="4"/>
      <c r="BO1729" s="4"/>
      <c r="BP1729" s="4"/>
      <c r="BQ1729" s="4"/>
      <c r="BR1729" s="4"/>
      <c r="BS1729" s="4"/>
      <c r="BT1729" s="4"/>
      <c r="BU1729" s="4"/>
      <c r="BV1729" s="4"/>
      <c r="BW1729" s="4"/>
      <c r="BX1729" s="4"/>
      <c r="BY1729" s="4"/>
      <c r="BZ1729" s="4"/>
      <c r="CA1729" s="4"/>
      <c r="CB1729" s="4"/>
      <c r="CC1729" s="4"/>
      <c r="CD1729" s="4"/>
      <c r="CE1729" s="4"/>
      <c r="CF1729" s="4"/>
      <c r="CG1729" s="4"/>
      <c r="CH1729" s="4"/>
      <c r="CI1729" s="4"/>
      <c r="CJ1729" s="4"/>
      <c r="CK1729" s="4"/>
      <c r="CL1729" s="4"/>
      <c r="CM1729" s="4"/>
      <c r="CN1729" s="4"/>
      <c r="CO1729" s="4"/>
      <c r="CP1729" s="4"/>
      <c r="CQ1729" s="4"/>
      <c r="CR1729" s="4"/>
      <c r="CS1729" s="4"/>
      <c r="CT1729" s="4"/>
      <c r="CU1729" s="4"/>
      <c r="CV1729" s="4"/>
      <c r="CW1729" s="4"/>
      <c r="CX1729" s="4"/>
      <c r="CY1729" s="4"/>
      <c r="CZ1729" s="4"/>
      <c r="DA1729" s="4"/>
      <c r="DB1729" s="4"/>
      <c r="DC1729" s="4"/>
      <c r="DD1729" s="4"/>
      <c r="DE1729" s="4"/>
      <c r="DF1729" s="4"/>
      <c r="DG1729" s="4"/>
      <c r="DH1729" s="4"/>
      <c r="DI1729" s="4"/>
      <c r="DJ1729" s="4"/>
      <c r="DK1729" s="4"/>
      <c r="DL1729" s="4"/>
      <c r="DM1729" s="4"/>
      <c r="DN1729" s="4"/>
      <c r="DO1729" s="4"/>
      <c r="DP1729" s="4"/>
      <c r="DQ1729" s="4"/>
      <c r="DR1729" s="4"/>
      <c r="DS1729" s="4"/>
    </row>
    <row r="1730">
      <c r="A1730" s="4"/>
      <c r="B1730" s="4"/>
      <c r="C1730" s="4"/>
      <c r="D1730" s="4"/>
      <c r="E1730" s="4"/>
      <c r="F1730" s="4" t="s">
        <v>17</v>
      </c>
      <c r="G1730" s="15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  <c r="AA1730" s="4"/>
      <c r="AB1730" s="4"/>
      <c r="AC1730" s="4"/>
      <c r="AD1730" s="4"/>
      <c r="AE1730" s="4"/>
      <c r="AF1730" s="4"/>
      <c r="AG1730" s="4"/>
      <c r="AH1730" s="4"/>
      <c r="AI1730" s="4"/>
      <c r="AJ1730" s="4"/>
      <c r="AK1730" s="4"/>
      <c r="AL1730" s="4"/>
      <c r="AM1730" s="4"/>
      <c r="AN1730" s="4"/>
      <c r="AO1730" s="4"/>
      <c r="AP1730" s="4"/>
      <c r="AQ1730" s="4"/>
      <c r="AR1730" s="4"/>
      <c r="AS1730" s="4"/>
      <c r="AT1730" s="4"/>
      <c r="AU1730" s="4"/>
      <c r="AV1730" s="4"/>
      <c r="AW1730" s="4"/>
      <c r="AX1730" s="4"/>
      <c r="AY1730" s="4"/>
      <c r="AZ1730" s="4"/>
      <c r="BA1730" s="4"/>
      <c r="BB1730" s="4"/>
      <c r="BC1730" s="4"/>
      <c r="BD1730" s="4"/>
      <c r="BE1730" s="4"/>
      <c r="BF1730" s="4"/>
      <c r="BG1730" s="4"/>
      <c r="BH1730" s="4"/>
      <c r="BI1730" s="4"/>
      <c r="BJ1730" s="4"/>
      <c r="BK1730" s="4"/>
      <c r="BL1730" s="4"/>
      <c r="BM1730" s="4"/>
      <c r="BN1730" s="4"/>
      <c r="BO1730" s="4"/>
      <c r="BP1730" s="4"/>
      <c r="BQ1730" s="4"/>
      <c r="BR1730" s="4"/>
      <c r="BS1730" s="4"/>
      <c r="BT1730" s="4"/>
      <c r="BU1730" s="4"/>
      <c r="BV1730" s="4"/>
      <c r="BW1730" s="4"/>
      <c r="BX1730" s="4"/>
      <c r="BY1730" s="4"/>
      <c r="BZ1730" s="4"/>
      <c r="CA1730" s="4"/>
      <c r="CB1730" s="4"/>
      <c r="CC1730" s="4"/>
      <c r="CD1730" s="4"/>
      <c r="CE1730" s="4"/>
      <c r="CF1730" s="4"/>
      <c r="CG1730" s="4"/>
      <c r="CH1730" s="4"/>
      <c r="CI1730" s="4"/>
      <c r="CJ1730" s="4"/>
      <c r="CK1730" s="4"/>
      <c r="CL1730" s="4"/>
      <c r="CM1730" s="4"/>
      <c r="CN1730" s="4"/>
      <c r="CO1730" s="4"/>
      <c r="CP1730" s="4"/>
      <c r="CQ1730" s="4"/>
      <c r="CR1730" s="4"/>
      <c r="CS1730" s="4"/>
      <c r="CT1730" s="4"/>
      <c r="CU1730" s="4"/>
      <c r="CV1730" s="4"/>
      <c r="CW1730" s="4"/>
      <c r="CX1730" s="4"/>
      <c r="CY1730" s="4"/>
      <c r="CZ1730" s="4"/>
      <c r="DA1730" s="4"/>
      <c r="DB1730" s="4"/>
      <c r="DC1730" s="4"/>
      <c r="DD1730" s="4"/>
      <c r="DE1730" s="4"/>
      <c r="DF1730" s="4"/>
      <c r="DG1730" s="4"/>
      <c r="DH1730" s="4"/>
      <c r="DI1730" s="4"/>
      <c r="DJ1730" s="4"/>
      <c r="DK1730" s="4"/>
      <c r="DL1730" s="4"/>
      <c r="DM1730" s="4"/>
      <c r="DN1730" s="4"/>
      <c r="DO1730" s="4"/>
      <c r="DP1730" s="4"/>
      <c r="DQ1730" s="4"/>
      <c r="DR1730" s="4"/>
      <c r="DS1730" s="4"/>
    </row>
    <row r="1731">
      <c r="A1731" s="4"/>
      <c r="B1731" s="4"/>
      <c r="C1731" s="4"/>
      <c r="D1731" s="4"/>
      <c r="E1731" s="4"/>
      <c r="F1731" s="4" t="s">
        <v>17</v>
      </c>
      <c r="G1731" s="15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  <c r="AA1731" s="4"/>
      <c r="AB1731" s="4"/>
      <c r="AC1731" s="4"/>
      <c r="AD1731" s="4"/>
      <c r="AE1731" s="4"/>
      <c r="AF1731" s="4"/>
      <c r="AG1731" s="4"/>
      <c r="AH1731" s="4"/>
      <c r="AI1731" s="4"/>
      <c r="AJ1731" s="4"/>
      <c r="AK1731" s="4"/>
      <c r="AL1731" s="4"/>
      <c r="AM1731" s="4"/>
      <c r="AN1731" s="4"/>
      <c r="AO1731" s="4"/>
      <c r="AP1731" s="4"/>
      <c r="AQ1731" s="4"/>
      <c r="AR1731" s="4"/>
      <c r="AS1731" s="4"/>
      <c r="AT1731" s="4"/>
      <c r="AU1731" s="4"/>
      <c r="AV1731" s="4"/>
      <c r="AW1731" s="4"/>
      <c r="AX1731" s="4"/>
      <c r="AY1731" s="4"/>
      <c r="AZ1731" s="4"/>
      <c r="BA1731" s="4"/>
      <c r="BB1731" s="4"/>
      <c r="BC1731" s="4"/>
      <c r="BD1731" s="4"/>
      <c r="BE1731" s="4"/>
      <c r="BF1731" s="4"/>
      <c r="BG1731" s="4"/>
      <c r="BH1731" s="4"/>
      <c r="BI1731" s="4"/>
      <c r="BJ1731" s="4"/>
      <c r="BK1731" s="4"/>
      <c r="BL1731" s="4"/>
      <c r="BM1731" s="4"/>
      <c r="BN1731" s="4"/>
      <c r="BO1731" s="4"/>
      <c r="BP1731" s="4"/>
      <c r="BQ1731" s="4"/>
      <c r="BR1731" s="4"/>
      <c r="BS1731" s="4"/>
      <c r="BT1731" s="4"/>
      <c r="BU1731" s="4"/>
      <c r="BV1731" s="4"/>
      <c r="BW1731" s="4"/>
      <c r="BX1731" s="4"/>
      <c r="BY1731" s="4"/>
      <c r="BZ1731" s="4"/>
      <c r="CA1731" s="4"/>
      <c r="CB1731" s="4"/>
      <c r="CC1731" s="4"/>
      <c r="CD1731" s="4"/>
      <c r="CE1731" s="4"/>
      <c r="CF1731" s="4"/>
      <c r="CG1731" s="4"/>
      <c r="CH1731" s="4"/>
      <c r="CI1731" s="4"/>
      <c r="CJ1731" s="4"/>
      <c r="CK1731" s="4"/>
      <c r="CL1731" s="4"/>
      <c r="CM1731" s="4"/>
      <c r="CN1731" s="4"/>
      <c r="CO1731" s="4"/>
      <c r="CP1731" s="4"/>
      <c r="CQ1731" s="4"/>
      <c r="CR1731" s="4"/>
      <c r="CS1731" s="4"/>
      <c r="CT1731" s="4"/>
      <c r="CU1731" s="4"/>
      <c r="CV1731" s="4"/>
      <c r="CW1731" s="4"/>
      <c r="CX1731" s="4"/>
      <c r="CY1731" s="4"/>
      <c r="CZ1731" s="4"/>
      <c r="DA1731" s="4"/>
      <c r="DB1731" s="4"/>
      <c r="DC1731" s="4"/>
      <c r="DD1731" s="4"/>
      <c r="DE1731" s="4"/>
      <c r="DF1731" s="4"/>
      <c r="DG1731" s="4"/>
      <c r="DH1731" s="4"/>
      <c r="DI1731" s="4"/>
      <c r="DJ1731" s="4"/>
      <c r="DK1731" s="4"/>
      <c r="DL1731" s="4"/>
      <c r="DM1731" s="4"/>
      <c r="DN1731" s="4"/>
      <c r="DO1731" s="4"/>
      <c r="DP1731" s="4"/>
      <c r="DQ1731" s="4"/>
      <c r="DR1731" s="4"/>
      <c r="DS1731" s="4"/>
    </row>
    <row r="1732">
      <c r="A1732" s="4"/>
      <c r="B1732" s="4"/>
      <c r="C1732" s="4"/>
      <c r="D1732" s="4"/>
      <c r="E1732" s="4"/>
      <c r="F1732" s="4" t="s">
        <v>17</v>
      </c>
      <c r="G1732" s="15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  <c r="AA1732" s="4"/>
      <c r="AB1732" s="4"/>
      <c r="AC1732" s="4"/>
      <c r="AD1732" s="4"/>
      <c r="AE1732" s="4"/>
      <c r="AF1732" s="4"/>
      <c r="AG1732" s="4"/>
      <c r="AH1732" s="4"/>
      <c r="AI1732" s="4"/>
      <c r="AJ1732" s="4"/>
      <c r="AK1732" s="4"/>
      <c r="AL1732" s="4"/>
      <c r="AM1732" s="4"/>
      <c r="AN1732" s="4"/>
      <c r="AO1732" s="4"/>
      <c r="AP1732" s="4"/>
      <c r="AQ1732" s="4"/>
      <c r="AR1732" s="4"/>
      <c r="AS1732" s="4"/>
      <c r="AT1732" s="4"/>
      <c r="AU1732" s="4"/>
      <c r="AV1732" s="4"/>
      <c r="AW1732" s="4"/>
      <c r="AX1732" s="4"/>
      <c r="AY1732" s="4"/>
      <c r="AZ1732" s="4"/>
      <c r="BA1732" s="4"/>
      <c r="BB1732" s="4"/>
      <c r="BC1732" s="4"/>
      <c r="BD1732" s="4"/>
      <c r="BE1732" s="4"/>
      <c r="BF1732" s="4"/>
      <c r="BG1732" s="4"/>
      <c r="BH1732" s="4"/>
      <c r="BI1732" s="4"/>
      <c r="BJ1732" s="4"/>
      <c r="BK1732" s="4"/>
      <c r="BL1732" s="4"/>
      <c r="BM1732" s="4"/>
      <c r="BN1732" s="4"/>
      <c r="BO1732" s="4"/>
      <c r="BP1732" s="4"/>
      <c r="BQ1732" s="4"/>
      <c r="BR1732" s="4"/>
      <c r="BS1732" s="4"/>
      <c r="BT1732" s="4"/>
      <c r="BU1732" s="4"/>
      <c r="BV1732" s="4"/>
      <c r="BW1732" s="4"/>
      <c r="BX1732" s="4"/>
      <c r="BY1732" s="4"/>
      <c r="BZ1732" s="4"/>
      <c r="CA1732" s="4"/>
      <c r="CB1732" s="4"/>
      <c r="CC1732" s="4"/>
      <c r="CD1732" s="4"/>
      <c r="CE1732" s="4"/>
      <c r="CF1732" s="4"/>
      <c r="CG1732" s="4"/>
      <c r="CH1732" s="4"/>
      <c r="CI1732" s="4"/>
      <c r="CJ1732" s="4"/>
      <c r="CK1732" s="4"/>
      <c r="CL1732" s="4"/>
      <c r="CM1732" s="4"/>
      <c r="CN1732" s="4"/>
      <c r="CO1732" s="4"/>
      <c r="CP1732" s="4"/>
      <c r="CQ1732" s="4"/>
      <c r="CR1732" s="4"/>
      <c r="CS1732" s="4"/>
      <c r="CT1732" s="4"/>
      <c r="CU1732" s="4"/>
      <c r="CV1732" s="4"/>
      <c r="CW1732" s="4"/>
      <c r="CX1732" s="4"/>
      <c r="CY1732" s="4"/>
      <c r="CZ1732" s="4"/>
      <c r="DA1732" s="4"/>
      <c r="DB1732" s="4"/>
      <c r="DC1732" s="4"/>
      <c r="DD1732" s="4"/>
      <c r="DE1732" s="4"/>
      <c r="DF1732" s="4"/>
      <c r="DG1732" s="4"/>
      <c r="DH1732" s="4"/>
      <c r="DI1732" s="4"/>
      <c r="DJ1732" s="4"/>
      <c r="DK1732" s="4"/>
      <c r="DL1732" s="4"/>
      <c r="DM1732" s="4"/>
      <c r="DN1732" s="4"/>
      <c r="DO1732" s="4"/>
      <c r="DP1732" s="4"/>
      <c r="DQ1732" s="4"/>
      <c r="DR1732" s="4"/>
      <c r="DS1732" s="4"/>
    </row>
    <row r="1733">
      <c r="A1733" s="4"/>
      <c r="B1733" s="4"/>
      <c r="C1733" s="4"/>
      <c r="D1733" s="4"/>
      <c r="E1733" s="4"/>
      <c r="F1733" s="4" t="s">
        <v>17</v>
      </c>
      <c r="G1733" s="15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  <c r="AA1733" s="4"/>
      <c r="AB1733" s="4"/>
      <c r="AC1733" s="4"/>
      <c r="AD1733" s="4"/>
      <c r="AE1733" s="4"/>
      <c r="AF1733" s="4"/>
      <c r="AG1733" s="4"/>
      <c r="AH1733" s="4"/>
      <c r="AI1733" s="4"/>
      <c r="AJ1733" s="4"/>
      <c r="AK1733" s="4"/>
      <c r="AL1733" s="4"/>
      <c r="AM1733" s="4"/>
      <c r="AN1733" s="4"/>
      <c r="AO1733" s="4"/>
      <c r="AP1733" s="4"/>
      <c r="AQ1733" s="4"/>
      <c r="AR1733" s="4"/>
      <c r="AS1733" s="4"/>
      <c r="AT1733" s="4"/>
      <c r="AU1733" s="4"/>
      <c r="AV1733" s="4"/>
      <c r="AW1733" s="4"/>
      <c r="AX1733" s="4"/>
      <c r="AY1733" s="4"/>
      <c r="AZ1733" s="4"/>
      <c r="BA1733" s="4"/>
      <c r="BB1733" s="4"/>
      <c r="BC1733" s="4"/>
      <c r="BD1733" s="4"/>
      <c r="BE1733" s="4"/>
      <c r="BF1733" s="4"/>
      <c r="BG1733" s="4"/>
      <c r="BH1733" s="4"/>
      <c r="BI1733" s="4"/>
      <c r="BJ1733" s="4"/>
      <c r="BK1733" s="4"/>
      <c r="BL1733" s="4"/>
      <c r="BM1733" s="4"/>
      <c r="BN1733" s="4"/>
      <c r="BO1733" s="4"/>
      <c r="BP1733" s="4"/>
      <c r="BQ1733" s="4"/>
      <c r="BR1733" s="4"/>
      <c r="BS1733" s="4"/>
      <c r="BT1733" s="4"/>
      <c r="BU1733" s="4"/>
      <c r="BV1733" s="4"/>
      <c r="BW1733" s="4"/>
      <c r="BX1733" s="4"/>
      <c r="BY1733" s="4"/>
      <c r="BZ1733" s="4"/>
      <c r="CA1733" s="4"/>
      <c r="CB1733" s="4"/>
      <c r="CC1733" s="4"/>
      <c r="CD1733" s="4"/>
      <c r="CE1733" s="4"/>
      <c r="CF1733" s="4"/>
      <c r="CG1733" s="4"/>
      <c r="CH1733" s="4"/>
      <c r="CI1733" s="4"/>
      <c r="CJ1733" s="4"/>
      <c r="CK1733" s="4"/>
      <c r="CL1733" s="4"/>
      <c r="CM1733" s="4"/>
      <c r="CN1733" s="4"/>
      <c r="CO1733" s="4"/>
      <c r="CP1733" s="4"/>
      <c r="CQ1733" s="4"/>
      <c r="CR1733" s="4"/>
      <c r="CS1733" s="4"/>
      <c r="CT1733" s="4"/>
      <c r="CU1733" s="4"/>
      <c r="CV1733" s="4"/>
      <c r="CW1733" s="4"/>
      <c r="CX1733" s="4"/>
      <c r="CY1733" s="4"/>
      <c r="CZ1733" s="4"/>
      <c r="DA1733" s="4"/>
      <c r="DB1733" s="4"/>
      <c r="DC1733" s="4"/>
      <c r="DD1733" s="4"/>
      <c r="DE1733" s="4"/>
      <c r="DF1733" s="4"/>
      <c r="DG1733" s="4"/>
      <c r="DH1733" s="4"/>
      <c r="DI1733" s="4"/>
      <c r="DJ1733" s="4"/>
      <c r="DK1733" s="4"/>
      <c r="DL1733" s="4"/>
      <c r="DM1733" s="4"/>
      <c r="DN1733" s="4"/>
      <c r="DO1733" s="4"/>
      <c r="DP1733" s="4"/>
      <c r="DQ1733" s="4"/>
      <c r="DR1733" s="4"/>
      <c r="DS1733" s="4"/>
    </row>
    <row r="1734">
      <c r="A1734" s="4"/>
      <c r="B1734" s="4"/>
      <c r="C1734" s="4"/>
      <c r="D1734" s="4"/>
      <c r="E1734" s="4"/>
      <c r="F1734" s="4" t="s">
        <v>17</v>
      </c>
      <c r="G1734" s="15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  <c r="AA1734" s="4"/>
      <c r="AB1734" s="4"/>
      <c r="AC1734" s="4"/>
      <c r="AD1734" s="4"/>
      <c r="AE1734" s="4"/>
      <c r="AF1734" s="4"/>
      <c r="AG1734" s="4"/>
      <c r="AH1734" s="4"/>
      <c r="AI1734" s="4"/>
      <c r="AJ1734" s="4"/>
      <c r="AK1734" s="4"/>
      <c r="AL1734" s="4"/>
      <c r="AM1734" s="4"/>
      <c r="AN1734" s="4"/>
      <c r="AO1734" s="4"/>
      <c r="AP1734" s="4"/>
      <c r="AQ1734" s="4"/>
      <c r="AR1734" s="4"/>
      <c r="AS1734" s="4"/>
      <c r="AT1734" s="4"/>
      <c r="AU1734" s="4"/>
      <c r="AV1734" s="4"/>
      <c r="AW1734" s="4"/>
      <c r="AX1734" s="4"/>
      <c r="AY1734" s="4"/>
      <c r="AZ1734" s="4"/>
      <c r="BA1734" s="4"/>
      <c r="BB1734" s="4"/>
      <c r="BC1734" s="4"/>
      <c r="BD1734" s="4"/>
      <c r="BE1734" s="4"/>
      <c r="BF1734" s="4"/>
      <c r="BG1734" s="4"/>
      <c r="BH1734" s="4"/>
      <c r="BI1734" s="4"/>
      <c r="BJ1734" s="4"/>
      <c r="BK1734" s="4"/>
      <c r="BL1734" s="4"/>
      <c r="BM1734" s="4"/>
      <c r="BN1734" s="4"/>
      <c r="BO1734" s="4"/>
      <c r="BP1734" s="4"/>
      <c r="BQ1734" s="4"/>
      <c r="BR1734" s="4"/>
      <c r="BS1734" s="4"/>
      <c r="BT1734" s="4"/>
      <c r="BU1734" s="4"/>
      <c r="BV1734" s="4"/>
      <c r="BW1734" s="4"/>
      <c r="BX1734" s="4"/>
      <c r="BY1734" s="4"/>
      <c r="BZ1734" s="4"/>
      <c r="CA1734" s="4"/>
      <c r="CB1734" s="4"/>
      <c r="CC1734" s="4"/>
      <c r="CD1734" s="4"/>
      <c r="CE1734" s="4"/>
      <c r="CF1734" s="4"/>
      <c r="CG1734" s="4"/>
      <c r="CH1734" s="4"/>
      <c r="CI1734" s="4"/>
      <c r="CJ1734" s="4"/>
      <c r="CK1734" s="4"/>
      <c r="CL1734" s="4"/>
      <c r="CM1734" s="4"/>
      <c r="CN1734" s="4"/>
      <c r="CO1734" s="4"/>
      <c r="CP1734" s="4"/>
      <c r="CQ1734" s="4"/>
      <c r="CR1734" s="4"/>
      <c r="CS1734" s="4"/>
      <c r="CT1734" s="4"/>
      <c r="CU1734" s="4"/>
      <c r="CV1734" s="4"/>
      <c r="CW1734" s="4"/>
      <c r="CX1734" s="4"/>
      <c r="CY1734" s="4"/>
      <c r="CZ1734" s="4"/>
      <c r="DA1734" s="4"/>
      <c r="DB1734" s="4"/>
      <c r="DC1734" s="4"/>
      <c r="DD1734" s="4"/>
      <c r="DE1734" s="4"/>
      <c r="DF1734" s="4"/>
      <c r="DG1734" s="4"/>
      <c r="DH1734" s="4"/>
      <c r="DI1734" s="4"/>
      <c r="DJ1734" s="4"/>
      <c r="DK1734" s="4"/>
      <c r="DL1734" s="4"/>
      <c r="DM1734" s="4"/>
      <c r="DN1734" s="4"/>
      <c r="DO1734" s="4"/>
      <c r="DP1734" s="4"/>
      <c r="DQ1734" s="4"/>
      <c r="DR1734" s="4"/>
      <c r="DS1734" s="4"/>
    </row>
    <row r="1735">
      <c r="A1735" s="4"/>
      <c r="B1735" s="4"/>
      <c r="C1735" s="4"/>
      <c r="D1735" s="4"/>
      <c r="E1735" s="4"/>
      <c r="F1735" s="4" t="s">
        <v>17</v>
      </c>
      <c r="G1735" s="15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  <c r="AA1735" s="4"/>
      <c r="AB1735" s="4"/>
      <c r="AC1735" s="4"/>
      <c r="AD1735" s="4"/>
      <c r="AE1735" s="4"/>
      <c r="AF1735" s="4"/>
      <c r="AG1735" s="4"/>
      <c r="AH1735" s="4"/>
      <c r="AI1735" s="4"/>
      <c r="AJ1735" s="4"/>
      <c r="AK1735" s="4"/>
      <c r="AL1735" s="4"/>
      <c r="AM1735" s="4"/>
      <c r="AN1735" s="4"/>
      <c r="AO1735" s="4"/>
      <c r="AP1735" s="4"/>
      <c r="AQ1735" s="4"/>
      <c r="AR1735" s="4"/>
      <c r="AS1735" s="4"/>
      <c r="AT1735" s="4"/>
      <c r="AU1735" s="4"/>
      <c r="AV1735" s="4"/>
      <c r="AW1735" s="4"/>
      <c r="AX1735" s="4"/>
      <c r="AY1735" s="4"/>
      <c r="AZ1735" s="4"/>
      <c r="BA1735" s="4"/>
      <c r="BB1735" s="4"/>
      <c r="BC1735" s="4"/>
      <c r="BD1735" s="4"/>
      <c r="BE1735" s="4"/>
      <c r="BF1735" s="4"/>
      <c r="BG1735" s="4"/>
      <c r="BH1735" s="4"/>
      <c r="BI1735" s="4"/>
      <c r="BJ1735" s="4"/>
      <c r="BK1735" s="4"/>
      <c r="BL1735" s="4"/>
      <c r="BM1735" s="4"/>
      <c r="BN1735" s="4"/>
      <c r="BO1735" s="4"/>
      <c r="BP1735" s="4"/>
      <c r="BQ1735" s="4"/>
      <c r="BR1735" s="4"/>
      <c r="BS1735" s="4"/>
      <c r="BT1735" s="4"/>
      <c r="BU1735" s="4"/>
      <c r="BV1735" s="4"/>
      <c r="BW1735" s="4"/>
      <c r="BX1735" s="4"/>
      <c r="BY1735" s="4"/>
      <c r="BZ1735" s="4"/>
      <c r="CA1735" s="4"/>
      <c r="CB1735" s="4"/>
      <c r="CC1735" s="4"/>
      <c r="CD1735" s="4"/>
      <c r="CE1735" s="4"/>
      <c r="CF1735" s="4"/>
      <c r="CG1735" s="4"/>
      <c r="CH1735" s="4"/>
      <c r="CI1735" s="4"/>
      <c r="CJ1735" s="4"/>
      <c r="CK1735" s="4"/>
      <c r="CL1735" s="4"/>
      <c r="CM1735" s="4"/>
      <c r="CN1735" s="4"/>
      <c r="CO1735" s="4"/>
      <c r="CP1735" s="4"/>
      <c r="CQ1735" s="4"/>
      <c r="CR1735" s="4"/>
      <c r="CS1735" s="4"/>
      <c r="CT1735" s="4"/>
      <c r="CU1735" s="4"/>
      <c r="CV1735" s="4"/>
      <c r="CW1735" s="4"/>
      <c r="CX1735" s="4"/>
      <c r="CY1735" s="4"/>
      <c r="CZ1735" s="4"/>
      <c r="DA1735" s="4"/>
      <c r="DB1735" s="4"/>
      <c r="DC1735" s="4"/>
      <c r="DD1735" s="4"/>
      <c r="DE1735" s="4"/>
      <c r="DF1735" s="4"/>
      <c r="DG1735" s="4"/>
      <c r="DH1735" s="4"/>
      <c r="DI1735" s="4"/>
      <c r="DJ1735" s="4"/>
      <c r="DK1735" s="4"/>
      <c r="DL1735" s="4"/>
      <c r="DM1735" s="4"/>
      <c r="DN1735" s="4"/>
      <c r="DO1735" s="4"/>
      <c r="DP1735" s="4"/>
      <c r="DQ1735" s="4"/>
      <c r="DR1735" s="4"/>
      <c r="DS1735" s="4"/>
    </row>
    <row r="1736">
      <c r="A1736" s="4"/>
      <c r="B1736" s="4"/>
      <c r="C1736" s="4"/>
      <c r="D1736" s="4"/>
      <c r="E1736" s="4"/>
      <c r="F1736" s="4" t="s">
        <v>17</v>
      </c>
      <c r="G1736" s="15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  <c r="AA1736" s="4"/>
      <c r="AB1736" s="4"/>
      <c r="AC1736" s="4"/>
      <c r="AD1736" s="4"/>
      <c r="AE1736" s="4"/>
      <c r="AF1736" s="4"/>
      <c r="AG1736" s="4"/>
      <c r="AH1736" s="4"/>
      <c r="AI1736" s="4"/>
      <c r="AJ1736" s="4"/>
      <c r="AK1736" s="4"/>
      <c r="AL1736" s="4"/>
      <c r="AM1736" s="4"/>
      <c r="AN1736" s="4"/>
      <c r="AO1736" s="4"/>
      <c r="AP1736" s="4"/>
      <c r="AQ1736" s="4"/>
      <c r="AR1736" s="4"/>
      <c r="AS1736" s="4"/>
      <c r="AT1736" s="4"/>
      <c r="AU1736" s="4"/>
      <c r="AV1736" s="4"/>
      <c r="AW1736" s="4"/>
      <c r="AX1736" s="4"/>
      <c r="AY1736" s="4"/>
      <c r="AZ1736" s="4"/>
      <c r="BA1736" s="4"/>
      <c r="BB1736" s="4"/>
      <c r="BC1736" s="4"/>
      <c r="BD1736" s="4"/>
      <c r="BE1736" s="4"/>
      <c r="BF1736" s="4"/>
      <c r="BG1736" s="4"/>
      <c r="BH1736" s="4"/>
      <c r="BI1736" s="4"/>
      <c r="BJ1736" s="4"/>
      <c r="BK1736" s="4"/>
      <c r="BL1736" s="4"/>
      <c r="BM1736" s="4"/>
      <c r="BN1736" s="4"/>
      <c r="BO1736" s="4"/>
      <c r="BP1736" s="4"/>
      <c r="BQ1736" s="4"/>
      <c r="BR1736" s="4"/>
      <c r="BS1736" s="4"/>
      <c r="BT1736" s="4"/>
      <c r="BU1736" s="4"/>
      <c r="BV1736" s="4"/>
      <c r="BW1736" s="4"/>
      <c r="BX1736" s="4"/>
      <c r="BY1736" s="4"/>
      <c r="BZ1736" s="4"/>
      <c r="CA1736" s="4"/>
      <c r="CB1736" s="4"/>
      <c r="CC1736" s="4"/>
      <c r="CD1736" s="4"/>
      <c r="CE1736" s="4"/>
      <c r="CF1736" s="4"/>
      <c r="CG1736" s="4"/>
      <c r="CH1736" s="4"/>
      <c r="CI1736" s="4"/>
      <c r="CJ1736" s="4"/>
      <c r="CK1736" s="4"/>
      <c r="CL1736" s="4"/>
      <c r="CM1736" s="4"/>
      <c r="CN1736" s="4"/>
      <c r="CO1736" s="4"/>
      <c r="CP1736" s="4"/>
      <c r="CQ1736" s="4"/>
      <c r="CR1736" s="4"/>
      <c r="CS1736" s="4"/>
      <c r="CT1736" s="4"/>
      <c r="CU1736" s="4"/>
      <c r="CV1736" s="4"/>
      <c r="CW1736" s="4"/>
      <c r="CX1736" s="4"/>
      <c r="CY1736" s="4"/>
      <c r="CZ1736" s="4"/>
      <c r="DA1736" s="4"/>
      <c r="DB1736" s="4"/>
      <c r="DC1736" s="4"/>
      <c r="DD1736" s="4"/>
      <c r="DE1736" s="4"/>
      <c r="DF1736" s="4"/>
      <c r="DG1736" s="4"/>
      <c r="DH1736" s="4"/>
      <c r="DI1736" s="4"/>
      <c r="DJ1736" s="4"/>
      <c r="DK1736" s="4"/>
      <c r="DL1736" s="4"/>
      <c r="DM1736" s="4"/>
      <c r="DN1736" s="4"/>
      <c r="DO1736" s="4"/>
      <c r="DP1736" s="4"/>
      <c r="DQ1736" s="4"/>
      <c r="DR1736" s="4"/>
      <c r="DS1736" s="4"/>
    </row>
    <row r="1737">
      <c r="A1737" s="4"/>
      <c r="B1737" s="4"/>
      <c r="C1737" s="4"/>
      <c r="D1737" s="4"/>
      <c r="E1737" s="4"/>
      <c r="F1737" s="4" t="s">
        <v>17</v>
      </c>
      <c r="G1737" s="15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  <c r="AA1737" s="4"/>
      <c r="AB1737" s="4"/>
      <c r="AC1737" s="4"/>
      <c r="AD1737" s="4"/>
      <c r="AE1737" s="4"/>
      <c r="AF1737" s="4"/>
      <c r="AG1737" s="4"/>
      <c r="AH1737" s="4"/>
      <c r="AI1737" s="4"/>
      <c r="AJ1737" s="4"/>
      <c r="AK1737" s="4"/>
      <c r="AL1737" s="4"/>
      <c r="AM1737" s="4"/>
      <c r="AN1737" s="4"/>
      <c r="AO1737" s="4"/>
      <c r="AP1737" s="4"/>
      <c r="AQ1737" s="4"/>
      <c r="AR1737" s="4"/>
      <c r="AS1737" s="4"/>
      <c r="AT1737" s="4"/>
      <c r="AU1737" s="4"/>
      <c r="AV1737" s="4"/>
      <c r="AW1737" s="4"/>
      <c r="AX1737" s="4"/>
      <c r="AY1737" s="4"/>
      <c r="AZ1737" s="4"/>
      <c r="BA1737" s="4"/>
      <c r="BB1737" s="4"/>
      <c r="BC1737" s="4"/>
      <c r="BD1737" s="4"/>
      <c r="BE1737" s="4"/>
      <c r="BF1737" s="4"/>
      <c r="BG1737" s="4"/>
      <c r="BH1737" s="4"/>
      <c r="BI1737" s="4"/>
      <c r="BJ1737" s="4"/>
      <c r="BK1737" s="4"/>
      <c r="BL1737" s="4"/>
      <c r="BM1737" s="4"/>
      <c r="BN1737" s="4"/>
      <c r="BO1737" s="4"/>
      <c r="BP1737" s="4"/>
      <c r="BQ1737" s="4"/>
      <c r="BR1737" s="4"/>
      <c r="BS1737" s="4"/>
      <c r="BT1737" s="4"/>
      <c r="BU1737" s="4"/>
      <c r="BV1737" s="4"/>
      <c r="BW1737" s="4"/>
      <c r="BX1737" s="4"/>
      <c r="BY1737" s="4"/>
      <c r="BZ1737" s="4"/>
      <c r="CA1737" s="4"/>
      <c r="CB1737" s="4"/>
      <c r="CC1737" s="4"/>
      <c r="CD1737" s="4"/>
      <c r="CE1737" s="4"/>
      <c r="CF1737" s="4"/>
      <c r="CG1737" s="4"/>
      <c r="CH1737" s="4"/>
      <c r="CI1737" s="4"/>
      <c r="CJ1737" s="4"/>
      <c r="CK1737" s="4"/>
      <c r="CL1737" s="4"/>
      <c r="CM1737" s="4"/>
      <c r="CN1737" s="4"/>
      <c r="CO1737" s="4"/>
      <c r="CP1737" s="4"/>
      <c r="CQ1737" s="4"/>
      <c r="CR1737" s="4"/>
      <c r="CS1737" s="4"/>
      <c r="CT1737" s="4"/>
      <c r="CU1737" s="4"/>
      <c r="CV1737" s="4"/>
      <c r="CW1737" s="4"/>
      <c r="CX1737" s="4"/>
      <c r="CY1737" s="4"/>
      <c r="CZ1737" s="4"/>
      <c r="DA1737" s="4"/>
      <c r="DB1737" s="4"/>
      <c r="DC1737" s="4"/>
      <c r="DD1737" s="4"/>
      <c r="DE1737" s="4"/>
      <c r="DF1737" s="4"/>
      <c r="DG1737" s="4"/>
      <c r="DH1737" s="4"/>
      <c r="DI1737" s="4"/>
      <c r="DJ1737" s="4"/>
      <c r="DK1737" s="4"/>
      <c r="DL1737" s="4"/>
      <c r="DM1737" s="4"/>
      <c r="DN1737" s="4"/>
      <c r="DO1737" s="4"/>
      <c r="DP1737" s="4"/>
      <c r="DQ1737" s="4"/>
      <c r="DR1737" s="4"/>
      <c r="DS1737" s="4"/>
    </row>
    <row r="1738">
      <c r="A1738" s="4"/>
      <c r="B1738" s="4"/>
      <c r="C1738" s="4"/>
      <c r="D1738" s="4"/>
      <c r="E1738" s="4"/>
      <c r="F1738" s="4" t="s">
        <v>17</v>
      </c>
      <c r="G1738" s="15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  <c r="AA1738" s="4"/>
      <c r="AB1738" s="4"/>
      <c r="AC1738" s="4"/>
      <c r="AD1738" s="4"/>
      <c r="AE1738" s="4"/>
      <c r="AF1738" s="4"/>
      <c r="AG1738" s="4"/>
      <c r="AH1738" s="4"/>
      <c r="AI1738" s="4"/>
      <c r="AJ1738" s="4"/>
      <c r="AK1738" s="4"/>
      <c r="AL1738" s="4"/>
      <c r="AM1738" s="4"/>
      <c r="AN1738" s="4"/>
      <c r="AO1738" s="4"/>
      <c r="AP1738" s="4"/>
      <c r="AQ1738" s="4"/>
      <c r="AR1738" s="4"/>
      <c r="AS1738" s="4"/>
      <c r="AT1738" s="4"/>
      <c r="AU1738" s="4"/>
      <c r="AV1738" s="4"/>
      <c r="AW1738" s="4"/>
      <c r="AX1738" s="4"/>
      <c r="AY1738" s="4"/>
      <c r="AZ1738" s="4"/>
      <c r="BA1738" s="4"/>
      <c r="BB1738" s="4"/>
      <c r="BC1738" s="4"/>
      <c r="BD1738" s="4"/>
      <c r="BE1738" s="4"/>
      <c r="BF1738" s="4"/>
      <c r="BG1738" s="4"/>
      <c r="BH1738" s="4"/>
      <c r="BI1738" s="4"/>
      <c r="BJ1738" s="4"/>
      <c r="BK1738" s="4"/>
      <c r="BL1738" s="4"/>
      <c r="BM1738" s="4"/>
      <c r="BN1738" s="4"/>
      <c r="BO1738" s="4"/>
      <c r="BP1738" s="4"/>
      <c r="BQ1738" s="4"/>
      <c r="BR1738" s="4"/>
      <c r="BS1738" s="4"/>
      <c r="BT1738" s="4"/>
      <c r="BU1738" s="4"/>
      <c r="BV1738" s="4"/>
      <c r="BW1738" s="4"/>
      <c r="BX1738" s="4"/>
      <c r="BY1738" s="4"/>
      <c r="BZ1738" s="4"/>
      <c r="CA1738" s="4"/>
      <c r="CB1738" s="4"/>
      <c r="CC1738" s="4"/>
      <c r="CD1738" s="4"/>
      <c r="CE1738" s="4"/>
      <c r="CF1738" s="4"/>
      <c r="CG1738" s="4"/>
      <c r="CH1738" s="4"/>
      <c r="CI1738" s="4"/>
      <c r="CJ1738" s="4"/>
      <c r="CK1738" s="4"/>
      <c r="CL1738" s="4"/>
      <c r="CM1738" s="4"/>
      <c r="CN1738" s="4"/>
      <c r="CO1738" s="4"/>
      <c r="CP1738" s="4"/>
      <c r="CQ1738" s="4"/>
      <c r="CR1738" s="4"/>
      <c r="CS1738" s="4"/>
      <c r="CT1738" s="4"/>
      <c r="CU1738" s="4"/>
      <c r="CV1738" s="4"/>
      <c r="CW1738" s="4"/>
      <c r="CX1738" s="4"/>
      <c r="CY1738" s="4"/>
      <c r="CZ1738" s="4"/>
      <c r="DA1738" s="4"/>
      <c r="DB1738" s="4"/>
      <c r="DC1738" s="4"/>
      <c r="DD1738" s="4"/>
      <c r="DE1738" s="4"/>
      <c r="DF1738" s="4"/>
      <c r="DG1738" s="4"/>
      <c r="DH1738" s="4"/>
      <c r="DI1738" s="4"/>
      <c r="DJ1738" s="4"/>
      <c r="DK1738" s="4"/>
      <c r="DL1738" s="4"/>
      <c r="DM1738" s="4"/>
      <c r="DN1738" s="4"/>
      <c r="DO1738" s="4"/>
      <c r="DP1738" s="4"/>
      <c r="DQ1738" s="4"/>
      <c r="DR1738" s="4"/>
      <c r="DS1738" s="4"/>
    </row>
    <row r="1739">
      <c r="A1739" s="4"/>
      <c r="B1739" s="4"/>
      <c r="C1739" s="4"/>
      <c r="D1739" s="4"/>
      <c r="E1739" s="4"/>
      <c r="F1739" s="4" t="s">
        <v>17</v>
      </c>
      <c r="G1739" s="15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  <c r="AA1739" s="4"/>
      <c r="AB1739" s="4"/>
      <c r="AC1739" s="4"/>
      <c r="AD1739" s="4"/>
      <c r="AE1739" s="4"/>
      <c r="AF1739" s="4"/>
      <c r="AG1739" s="4"/>
      <c r="AH1739" s="4"/>
      <c r="AI1739" s="4"/>
      <c r="AJ1739" s="4"/>
      <c r="AK1739" s="4"/>
      <c r="AL1739" s="4"/>
      <c r="AM1739" s="4"/>
      <c r="AN1739" s="4"/>
      <c r="AO1739" s="4"/>
      <c r="AP1739" s="4"/>
      <c r="AQ1739" s="4"/>
      <c r="AR1739" s="4"/>
      <c r="AS1739" s="4"/>
      <c r="AT1739" s="4"/>
      <c r="AU1739" s="4"/>
      <c r="AV1739" s="4"/>
      <c r="AW1739" s="4"/>
      <c r="AX1739" s="4"/>
      <c r="AY1739" s="4"/>
      <c r="AZ1739" s="4"/>
      <c r="BA1739" s="4"/>
      <c r="BB1739" s="4"/>
      <c r="BC1739" s="4"/>
      <c r="BD1739" s="4"/>
      <c r="BE1739" s="4"/>
      <c r="BF1739" s="4"/>
      <c r="BG1739" s="4"/>
      <c r="BH1739" s="4"/>
      <c r="BI1739" s="4"/>
      <c r="BJ1739" s="4"/>
      <c r="BK1739" s="4"/>
      <c r="BL1739" s="4"/>
      <c r="BM1739" s="4"/>
      <c r="BN1739" s="4"/>
      <c r="BO1739" s="4"/>
      <c r="BP1739" s="4"/>
      <c r="BQ1739" s="4"/>
      <c r="BR1739" s="4"/>
      <c r="BS1739" s="4"/>
      <c r="BT1739" s="4"/>
      <c r="BU1739" s="4"/>
      <c r="BV1739" s="4"/>
      <c r="BW1739" s="4"/>
      <c r="BX1739" s="4"/>
      <c r="BY1739" s="4"/>
      <c r="BZ1739" s="4"/>
      <c r="CA1739" s="4"/>
      <c r="CB1739" s="4"/>
      <c r="CC1739" s="4"/>
      <c r="CD1739" s="4"/>
      <c r="CE1739" s="4"/>
      <c r="CF1739" s="4"/>
      <c r="CG1739" s="4"/>
      <c r="CH1739" s="4"/>
      <c r="CI1739" s="4"/>
      <c r="CJ1739" s="4"/>
      <c r="CK1739" s="4"/>
      <c r="CL1739" s="4"/>
      <c r="CM1739" s="4"/>
      <c r="CN1739" s="4"/>
      <c r="CO1739" s="4"/>
      <c r="CP1739" s="4"/>
      <c r="CQ1739" s="4"/>
      <c r="CR1739" s="4"/>
      <c r="CS1739" s="4"/>
      <c r="CT1739" s="4"/>
      <c r="CU1739" s="4"/>
      <c r="CV1739" s="4"/>
      <c r="CW1739" s="4"/>
      <c r="CX1739" s="4"/>
      <c r="CY1739" s="4"/>
      <c r="CZ1739" s="4"/>
      <c r="DA1739" s="4"/>
      <c r="DB1739" s="4"/>
      <c r="DC1739" s="4"/>
      <c r="DD1739" s="4"/>
      <c r="DE1739" s="4"/>
      <c r="DF1739" s="4"/>
      <c r="DG1739" s="4"/>
      <c r="DH1739" s="4"/>
      <c r="DI1739" s="4"/>
      <c r="DJ1739" s="4"/>
      <c r="DK1739" s="4"/>
      <c r="DL1739" s="4"/>
      <c r="DM1739" s="4"/>
      <c r="DN1739" s="4"/>
      <c r="DO1739" s="4"/>
      <c r="DP1739" s="4"/>
      <c r="DQ1739" s="4"/>
      <c r="DR1739" s="4"/>
      <c r="DS1739" s="4"/>
    </row>
    <row r="1740">
      <c r="A1740" s="4"/>
      <c r="B1740" s="4"/>
      <c r="C1740" s="4"/>
      <c r="D1740" s="4"/>
      <c r="E1740" s="4"/>
      <c r="F1740" s="4" t="s">
        <v>17</v>
      </c>
      <c r="G1740" s="15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  <c r="AA1740" s="4"/>
      <c r="AB1740" s="4"/>
      <c r="AC1740" s="4"/>
      <c r="AD1740" s="4"/>
      <c r="AE1740" s="4"/>
      <c r="AF1740" s="4"/>
      <c r="AG1740" s="4"/>
      <c r="AH1740" s="4"/>
      <c r="AI1740" s="4"/>
      <c r="AJ1740" s="4"/>
      <c r="AK1740" s="4"/>
      <c r="AL1740" s="4"/>
      <c r="AM1740" s="4"/>
      <c r="AN1740" s="4"/>
      <c r="AO1740" s="4"/>
      <c r="AP1740" s="4"/>
      <c r="AQ1740" s="4"/>
      <c r="AR1740" s="4"/>
      <c r="AS1740" s="4"/>
      <c r="AT1740" s="4"/>
      <c r="AU1740" s="4"/>
      <c r="AV1740" s="4"/>
      <c r="AW1740" s="4"/>
      <c r="AX1740" s="4"/>
      <c r="AY1740" s="4"/>
      <c r="AZ1740" s="4"/>
      <c r="BA1740" s="4"/>
      <c r="BB1740" s="4"/>
      <c r="BC1740" s="4"/>
      <c r="BD1740" s="4"/>
      <c r="BE1740" s="4"/>
      <c r="BF1740" s="4"/>
      <c r="BG1740" s="4"/>
      <c r="BH1740" s="4"/>
      <c r="BI1740" s="4"/>
      <c r="BJ1740" s="4"/>
      <c r="BK1740" s="4"/>
      <c r="BL1740" s="4"/>
      <c r="BM1740" s="4"/>
      <c r="BN1740" s="4"/>
      <c r="BO1740" s="4"/>
      <c r="BP1740" s="4"/>
      <c r="BQ1740" s="4"/>
      <c r="BR1740" s="4"/>
      <c r="BS1740" s="4"/>
      <c r="BT1740" s="4"/>
      <c r="BU1740" s="4"/>
      <c r="BV1740" s="4"/>
      <c r="BW1740" s="4"/>
      <c r="BX1740" s="4"/>
      <c r="BY1740" s="4"/>
      <c r="BZ1740" s="4"/>
      <c r="CA1740" s="4"/>
      <c r="CB1740" s="4"/>
      <c r="CC1740" s="4"/>
      <c r="CD1740" s="4"/>
      <c r="CE1740" s="4"/>
      <c r="CF1740" s="4"/>
      <c r="CG1740" s="4"/>
      <c r="CH1740" s="4"/>
      <c r="CI1740" s="4"/>
      <c r="CJ1740" s="4"/>
      <c r="CK1740" s="4"/>
      <c r="CL1740" s="4"/>
      <c r="CM1740" s="4"/>
      <c r="CN1740" s="4"/>
      <c r="CO1740" s="4"/>
      <c r="CP1740" s="4"/>
      <c r="CQ1740" s="4"/>
      <c r="CR1740" s="4"/>
      <c r="CS1740" s="4"/>
      <c r="CT1740" s="4"/>
      <c r="CU1740" s="4"/>
      <c r="CV1740" s="4"/>
      <c r="CW1740" s="4"/>
      <c r="CX1740" s="4"/>
      <c r="CY1740" s="4"/>
      <c r="CZ1740" s="4"/>
      <c r="DA1740" s="4"/>
      <c r="DB1740" s="4"/>
      <c r="DC1740" s="4"/>
      <c r="DD1740" s="4"/>
      <c r="DE1740" s="4"/>
      <c r="DF1740" s="4"/>
      <c r="DG1740" s="4"/>
      <c r="DH1740" s="4"/>
      <c r="DI1740" s="4"/>
      <c r="DJ1740" s="4"/>
      <c r="DK1740" s="4"/>
      <c r="DL1740" s="4"/>
      <c r="DM1740" s="4"/>
      <c r="DN1740" s="4"/>
      <c r="DO1740" s="4"/>
      <c r="DP1740" s="4"/>
      <c r="DQ1740" s="4"/>
      <c r="DR1740" s="4"/>
      <c r="DS1740" s="4"/>
    </row>
    <row r="1741">
      <c r="A1741" s="4"/>
      <c r="B1741" s="4"/>
      <c r="C1741" s="4"/>
      <c r="D1741" s="4"/>
      <c r="E1741" s="4"/>
      <c r="F1741" s="4" t="s">
        <v>17</v>
      </c>
      <c r="G1741" s="15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  <c r="AA1741" s="4"/>
      <c r="AB1741" s="4"/>
      <c r="AC1741" s="4"/>
      <c r="AD1741" s="4"/>
      <c r="AE1741" s="4"/>
      <c r="AF1741" s="4"/>
      <c r="AG1741" s="4"/>
      <c r="AH1741" s="4"/>
      <c r="AI1741" s="4"/>
      <c r="AJ1741" s="4"/>
      <c r="AK1741" s="4"/>
      <c r="AL1741" s="4"/>
      <c r="AM1741" s="4"/>
      <c r="AN1741" s="4"/>
      <c r="AO1741" s="4"/>
      <c r="AP1741" s="4"/>
      <c r="AQ1741" s="4"/>
      <c r="AR1741" s="4"/>
      <c r="AS1741" s="4"/>
      <c r="AT1741" s="4"/>
      <c r="AU1741" s="4"/>
      <c r="AV1741" s="4"/>
      <c r="AW1741" s="4"/>
      <c r="AX1741" s="4"/>
      <c r="AY1741" s="4"/>
      <c r="AZ1741" s="4"/>
      <c r="BA1741" s="4"/>
      <c r="BB1741" s="4"/>
      <c r="BC1741" s="4"/>
      <c r="BD1741" s="4"/>
      <c r="BE1741" s="4"/>
      <c r="BF1741" s="4"/>
      <c r="BG1741" s="4"/>
      <c r="BH1741" s="4"/>
      <c r="BI1741" s="4"/>
      <c r="BJ1741" s="4"/>
      <c r="BK1741" s="4"/>
      <c r="BL1741" s="4"/>
      <c r="BM1741" s="4"/>
      <c r="BN1741" s="4"/>
      <c r="BO1741" s="4"/>
      <c r="BP1741" s="4"/>
      <c r="BQ1741" s="4"/>
      <c r="BR1741" s="4"/>
      <c r="BS1741" s="4"/>
      <c r="BT1741" s="4"/>
      <c r="BU1741" s="4"/>
      <c r="BV1741" s="4"/>
      <c r="BW1741" s="4"/>
      <c r="BX1741" s="4"/>
      <c r="BY1741" s="4"/>
      <c r="BZ1741" s="4"/>
      <c r="CA1741" s="4"/>
      <c r="CB1741" s="4"/>
      <c r="CC1741" s="4"/>
      <c r="CD1741" s="4"/>
      <c r="CE1741" s="4"/>
      <c r="CF1741" s="4"/>
      <c r="CG1741" s="4"/>
      <c r="CH1741" s="4"/>
      <c r="CI1741" s="4"/>
      <c r="CJ1741" s="4"/>
      <c r="CK1741" s="4"/>
      <c r="CL1741" s="4"/>
      <c r="CM1741" s="4"/>
      <c r="CN1741" s="4"/>
      <c r="CO1741" s="4"/>
      <c r="CP1741" s="4"/>
      <c r="CQ1741" s="4"/>
      <c r="CR1741" s="4"/>
      <c r="CS1741" s="4"/>
      <c r="CT1741" s="4"/>
      <c r="CU1741" s="4"/>
      <c r="CV1741" s="4"/>
      <c r="CW1741" s="4"/>
      <c r="CX1741" s="4"/>
      <c r="CY1741" s="4"/>
      <c r="CZ1741" s="4"/>
      <c r="DA1741" s="4"/>
      <c r="DB1741" s="4"/>
      <c r="DC1741" s="4"/>
      <c r="DD1741" s="4"/>
      <c r="DE1741" s="4"/>
      <c r="DF1741" s="4"/>
      <c r="DG1741" s="4"/>
      <c r="DH1741" s="4"/>
      <c r="DI1741" s="4"/>
      <c r="DJ1741" s="4"/>
      <c r="DK1741" s="4"/>
      <c r="DL1741" s="4"/>
      <c r="DM1741" s="4"/>
      <c r="DN1741" s="4"/>
      <c r="DO1741" s="4"/>
      <c r="DP1741" s="4"/>
      <c r="DQ1741" s="4"/>
      <c r="DR1741" s="4"/>
      <c r="DS1741" s="4"/>
    </row>
    <row r="1742">
      <c r="A1742" s="4"/>
      <c r="B1742" s="4"/>
      <c r="C1742" s="4"/>
      <c r="D1742" s="4"/>
      <c r="E1742" s="4"/>
      <c r="F1742" s="4" t="s">
        <v>17</v>
      </c>
      <c r="G1742" s="15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  <c r="AA1742" s="4"/>
      <c r="AB1742" s="4"/>
      <c r="AC1742" s="4"/>
      <c r="AD1742" s="4"/>
      <c r="AE1742" s="4"/>
      <c r="AF1742" s="4"/>
      <c r="AG1742" s="4"/>
      <c r="AH1742" s="4"/>
      <c r="AI1742" s="4"/>
      <c r="AJ1742" s="4"/>
      <c r="AK1742" s="4"/>
      <c r="AL1742" s="4"/>
      <c r="AM1742" s="4"/>
      <c r="AN1742" s="4"/>
      <c r="AO1742" s="4"/>
      <c r="AP1742" s="4"/>
      <c r="AQ1742" s="4"/>
      <c r="AR1742" s="4"/>
      <c r="AS1742" s="4"/>
      <c r="AT1742" s="4"/>
      <c r="AU1742" s="4"/>
      <c r="AV1742" s="4"/>
      <c r="AW1742" s="4"/>
      <c r="AX1742" s="4"/>
      <c r="AY1742" s="4"/>
      <c r="AZ1742" s="4"/>
      <c r="BA1742" s="4"/>
      <c r="BB1742" s="4"/>
      <c r="BC1742" s="4"/>
      <c r="BD1742" s="4"/>
      <c r="BE1742" s="4"/>
      <c r="BF1742" s="4"/>
      <c r="BG1742" s="4"/>
      <c r="BH1742" s="4"/>
      <c r="BI1742" s="4"/>
      <c r="BJ1742" s="4"/>
      <c r="BK1742" s="4"/>
      <c r="BL1742" s="4"/>
      <c r="BM1742" s="4"/>
      <c r="BN1742" s="4"/>
      <c r="BO1742" s="4"/>
      <c r="BP1742" s="4"/>
      <c r="BQ1742" s="4"/>
      <c r="BR1742" s="4"/>
      <c r="BS1742" s="4"/>
      <c r="BT1742" s="4"/>
      <c r="BU1742" s="4"/>
      <c r="BV1742" s="4"/>
      <c r="BW1742" s="4"/>
      <c r="BX1742" s="4"/>
      <c r="BY1742" s="4"/>
      <c r="BZ1742" s="4"/>
      <c r="CA1742" s="4"/>
      <c r="CB1742" s="4"/>
      <c r="CC1742" s="4"/>
      <c r="CD1742" s="4"/>
      <c r="CE1742" s="4"/>
      <c r="CF1742" s="4"/>
      <c r="CG1742" s="4"/>
      <c r="CH1742" s="4"/>
      <c r="CI1742" s="4"/>
      <c r="CJ1742" s="4"/>
      <c r="CK1742" s="4"/>
      <c r="CL1742" s="4"/>
      <c r="CM1742" s="4"/>
      <c r="CN1742" s="4"/>
      <c r="CO1742" s="4"/>
      <c r="CP1742" s="4"/>
      <c r="CQ1742" s="4"/>
      <c r="CR1742" s="4"/>
      <c r="CS1742" s="4"/>
      <c r="CT1742" s="4"/>
      <c r="CU1742" s="4"/>
      <c r="CV1742" s="4"/>
      <c r="CW1742" s="4"/>
      <c r="CX1742" s="4"/>
      <c r="CY1742" s="4"/>
      <c r="CZ1742" s="4"/>
      <c r="DA1742" s="4"/>
      <c r="DB1742" s="4"/>
      <c r="DC1742" s="4"/>
      <c r="DD1742" s="4"/>
      <c r="DE1742" s="4"/>
      <c r="DF1742" s="4"/>
      <c r="DG1742" s="4"/>
      <c r="DH1742" s="4"/>
      <c r="DI1742" s="4"/>
      <c r="DJ1742" s="4"/>
      <c r="DK1742" s="4"/>
      <c r="DL1742" s="4"/>
      <c r="DM1742" s="4"/>
      <c r="DN1742" s="4"/>
      <c r="DO1742" s="4"/>
      <c r="DP1742" s="4"/>
      <c r="DQ1742" s="4"/>
      <c r="DR1742" s="4"/>
      <c r="DS1742" s="4"/>
    </row>
    <row r="1743">
      <c r="A1743" s="4"/>
      <c r="B1743" s="4"/>
      <c r="C1743" s="4"/>
      <c r="D1743" s="4"/>
      <c r="E1743" s="4"/>
      <c r="F1743" s="4" t="s">
        <v>17</v>
      </c>
      <c r="G1743" s="15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  <c r="AA1743" s="4"/>
      <c r="AB1743" s="4"/>
      <c r="AC1743" s="4"/>
      <c r="AD1743" s="4"/>
      <c r="AE1743" s="4"/>
      <c r="AF1743" s="4"/>
      <c r="AG1743" s="4"/>
      <c r="AH1743" s="4"/>
      <c r="AI1743" s="4"/>
      <c r="AJ1743" s="4"/>
      <c r="AK1743" s="4"/>
      <c r="AL1743" s="4"/>
      <c r="AM1743" s="4"/>
      <c r="AN1743" s="4"/>
      <c r="AO1743" s="4"/>
      <c r="AP1743" s="4"/>
      <c r="AQ1743" s="4"/>
      <c r="AR1743" s="4"/>
      <c r="AS1743" s="4"/>
      <c r="AT1743" s="4"/>
      <c r="AU1743" s="4"/>
      <c r="AV1743" s="4"/>
      <c r="AW1743" s="4"/>
      <c r="AX1743" s="4"/>
      <c r="AY1743" s="4"/>
      <c r="AZ1743" s="4"/>
      <c r="BA1743" s="4"/>
      <c r="BB1743" s="4"/>
      <c r="BC1743" s="4"/>
      <c r="BD1743" s="4"/>
      <c r="BE1743" s="4"/>
      <c r="BF1743" s="4"/>
      <c r="BG1743" s="4"/>
      <c r="BH1743" s="4"/>
      <c r="BI1743" s="4"/>
      <c r="BJ1743" s="4"/>
      <c r="BK1743" s="4"/>
      <c r="BL1743" s="4"/>
      <c r="BM1743" s="4"/>
      <c r="BN1743" s="4"/>
      <c r="BO1743" s="4"/>
      <c r="BP1743" s="4"/>
      <c r="BQ1743" s="4"/>
      <c r="BR1743" s="4"/>
      <c r="BS1743" s="4"/>
      <c r="BT1743" s="4"/>
      <c r="BU1743" s="4"/>
      <c r="BV1743" s="4"/>
      <c r="BW1743" s="4"/>
      <c r="BX1743" s="4"/>
      <c r="BY1743" s="4"/>
      <c r="BZ1743" s="4"/>
      <c r="CA1743" s="4"/>
      <c r="CB1743" s="4"/>
      <c r="CC1743" s="4"/>
      <c r="CD1743" s="4"/>
      <c r="CE1743" s="4"/>
      <c r="CF1743" s="4"/>
      <c r="CG1743" s="4"/>
      <c r="CH1743" s="4"/>
      <c r="CI1743" s="4"/>
      <c r="CJ1743" s="4"/>
      <c r="CK1743" s="4"/>
      <c r="CL1743" s="4"/>
      <c r="CM1743" s="4"/>
      <c r="CN1743" s="4"/>
      <c r="CO1743" s="4"/>
      <c r="CP1743" s="4"/>
      <c r="CQ1743" s="4"/>
      <c r="CR1743" s="4"/>
      <c r="CS1743" s="4"/>
      <c r="CT1743" s="4"/>
      <c r="CU1743" s="4"/>
      <c r="CV1743" s="4"/>
      <c r="CW1743" s="4"/>
      <c r="CX1743" s="4"/>
      <c r="CY1743" s="4"/>
      <c r="CZ1743" s="4"/>
      <c r="DA1743" s="4"/>
      <c r="DB1743" s="4"/>
      <c r="DC1743" s="4"/>
      <c r="DD1743" s="4"/>
      <c r="DE1743" s="4"/>
      <c r="DF1743" s="4"/>
      <c r="DG1743" s="4"/>
      <c r="DH1743" s="4"/>
      <c r="DI1743" s="4"/>
      <c r="DJ1743" s="4"/>
      <c r="DK1743" s="4"/>
      <c r="DL1743" s="4"/>
      <c r="DM1743" s="4"/>
      <c r="DN1743" s="4"/>
      <c r="DO1743" s="4"/>
      <c r="DP1743" s="4"/>
      <c r="DQ1743" s="4"/>
      <c r="DR1743" s="4"/>
      <c r="DS1743" s="4"/>
    </row>
    <row r="1744">
      <c r="A1744" s="4"/>
      <c r="B1744" s="4"/>
      <c r="C1744" s="4"/>
      <c r="D1744" s="4"/>
      <c r="E1744" s="4"/>
      <c r="F1744" s="4" t="s">
        <v>17</v>
      </c>
      <c r="G1744" s="15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  <c r="AA1744" s="4"/>
      <c r="AB1744" s="4"/>
      <c r="AC1744" s="4"/>
      <c r="AD1744" s="4"/>
      <c r="AE1744" s="4"/>
      <c r="AF1744" s="4"/>
      <c r="AG1744" s="4"/>
      <c r="AH1744" s="4"/>
      <c r="AI1744" s="4"/>
      <c r="AJ1744" s="4"/>
      <c r="AK1744" s="4"/>
      <c r="AL1744" s="4"/>
      <c r="AM1744" s="4"/>
      <c r="AN1744" s="4"/>
      <c r="AO1744" s="4"/>
      <c r="AP1744" s="4"/>
      <c r="AQ1744" s="4"/>
      <c r="AR1744" s="4"/>
      <c r="AS1744" s="4"/>
      <c r="AT1744" s="4"/>
      <c r="AU1744" s="4"/>
      <c r="AV1744" s="4"/>
      <c r="AW1744" s="4"/>
      <c r="AX1744" s="4"/>
      <c r="AY1744" s="4"/>
      <c r="AZ1744" s="4"/>
      <c r="BA1744" s="4"/>
      <c r="BB1744" s="4"/>
      <c r="BC1744" s="4"/>
      <c r="BD1744" s="4"/>
      <c r="BE1744" s="4"/>
      <c r="BF1744" s="4"/>
      <c r="BG1744" s="4"/>
      <c r="BH1744" s="4"/>
      <c r="BI1744" s="4"/>
      <c r="BJ1744" s="4"/>
      <c r="BK1744" s="4"/>
      <c r="BL1744" s="4"/>
      <c r="BM1744" s="4"/>
      <c r="BN1744" s="4"/>
      <c r="BO1744" s="4"/>
      <c r="BP1744" s="4"/>
      <c r="BQ1744" s="4"/>
      <c r="BR1744" s="4"/>
      <c r="BS1744" s="4"/>
      <c r="BT1744" s="4"/>
      <c r="BU1744" s="4"/>
      <c r="BV1744" s="4"/>
      <c r="BW1744" s="4"/>
      <c r="BX1744" s="4"/>
      <c r="BY1744" s="4"/>
      <c r="BZ1744" s="4"/>
      <c r="CA1744" s="4"/>
      <c r="CB1744" s="4"/>
      <c r="CC1744" s="4"/>
      <c r="CD1744" s="4"/>
      <c r="CE1744" s="4"/>
      <c r="CF1744" s="4"/>
      <c r="CG1744" s="4"/>
      <c r="CH1744" s="4"/>
      <c r="CI1744" s="4"/>
      <c r="CJ1744" s="4"/>
      <c r="CK1744" s="4"/>
      <c r="CL1744" s="4"/>
      <c r="CM1744" s="4"/>
      <c r="CN1744" s="4"/>
      <c r="CO1744" s="4"/>
      <c r="CP1744" s="4"/>
      <c r="CQ1744" s="4"/>
      <c r="CR1744" s="4"/>
      <c r="CS1744" s="4"/>
      <c r="CT1744" s="4"/>
      <c r="CU1744" s="4"/>
      <c r="CV1744" s="4"/>
      <c r="CW1744" s="4"/>
      <c r="CX1744" s="4"/>
      <c r="CY1744" s="4"/>
      <c r="CZ1744" s="4"/>
      <c r="DA1744" s="4"/>
      <c r="DB1744" s="4"/>
      <c r="DC1744" s="4"/>
      <c r="DD1744" s="4"/>
      <c r="DE1744" s="4"/>
      <c r="DF1744" s="4"/>
      <c r="DG1744" s="4"/>
      <c r="DH1744" s="4"/>
      <c r="DI1744" s="4"/>
      <c r="DJ1744" s="4"/>
      <c r="DK1744" s="4"/>
      <c r="DL1744" s="4"/>
      <c r="DM1744" s="4"/>
      <c r="DN1744" s="4"/>
      <c r="DO1744" s="4"/>
      <c r="DP1744" s="4"/>
      <c r="DQ1744" s="4"/>
      <c r="DR1744" s="4"/>
      <c r="DS1744" s="4"/>
    </row>
    <row r="1745">
      <c r="A1745" s="4"/>
      <c r="B1745" s="4"/>
      <c r="C1745" s="4"/>
      <c r="D1745" s="4"/>
      <c r="E1745" s="4"/>
      <c r="F1745" s="4" t="s">
        <v>17</v>
      </c>
      <c r="G1745" s="15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  <c r="AA1745" s="4"/>
      <c r="AB1745" s="4"/>
      <c r="AC1745" s="4"/>
      <c r="AD1745" s="4"/>
      <c r="AE1745" s="4"/>
      <c r="AF1745" s="4"/>
      <c r="AG1745" s="4"/>
      <c r="AH1745" s="4"/>
      <c r="AI1745" s="4"/>
      <c r="AJ1745" s="4"/>
      <c r="AK1745" s="4"/>
      <c r="AL1745" s="4"/>
      <c r="AM1745" s="4"/>
      <c r="AN1745" s="4"/>
      <c r="AO1745" s="4"/>
      <c r="AP1745" s="4"/>
      <c r="AQ1745" s="4"/>
      <c r="AR1745" s="4"/>
      <c r="AS1745" s="4"/>
      <c r="AT1745" s="4"/>
      <c r="AU1745" s="4"/>
      <c r="AV1745" s="4"/>
      <c r="AW1745" s="4"/>
      <c r="AX1745" s="4"/>
      <c r="AY1745" s="4"/>
      <c r="AZ1745" s="4"/>
      <c r="BA1745" s="4"/>
      <c r="BB1745" s="4"/>
      <c r="BC1745" s="4"/>
      <c r="BD1745" s="4"/>
      <c r="BE1745" s="4"/>
      <c r="BF1745" s="4"/>
      <c r="BG1745" s="4"/>
      <c r="BH1745" s="4"/>
      <c r="BI1745" s="4"/>
      <c r="BJ1745" s="4"/>
      <c r="BK1745" s="4"/>
      <c r="BL1745" s="4"/>
      <c r="BM1745" s="4"/>
      <c r="BN1745" s="4"/>
      <c r="BO1745" s="4"/>
      <c r="BP1745" s="4"/>
      <c r="BQ1745" s="4"/>
      <c r="BR1745" s="4"/>
      <c r="BS1745" s="4"/>
      <c r="BT1745" s="4"/>
      <c r="BU1745" s="4"/>
      <c r="BV1745" s="4"/>
      <c r="BW1745" s="4"/>
      <c r="BX1745" s="4"/>
      <c r="BY1745" s="4"/>
      <c r="BZ1745" s="4"/>
      <c r="CA1745" s="4"/>
      <c r="CB1745" s="4"/>
      <c r="CC1745" s="4"/>
      <c r="CD1745" s="4"/>
      <c r="CE1745" s="4"/>
      <c r="CF1745" s="4"/>
      <c r="CG1745" s="4"/>
      <c r="CH1745" s="4"/>
      <c r="CI1745" s="4"/>
      <c r="CJ1745" s="4"/>
      <c r="CK1745" s="4"/>
      <c r="CL1745" s="4"/>
      <c r="CM1745" s="4"/>
      <c r="CN1745" s="4"/>
      <c r="CO1745" s="4"/>
      <c r="CP1745" s="4"/>
      <c r="CQ1745" s="4"/>
      <c r="CR1745" s="4"/>
      <c r="CS1745" s="4"/>
      <c r="CT1745" s="4"/>
      <c r="CU1745" s="4"/>
      <c r="CV1745" s="4"/>
      <c r="CW1745" s="4"/>
      <c r="CX1745" s="4"/>
      <c r="CY1745" s="4"/>
      <c r="CZ1745" s="4"/>
      <c r="DA1745" s="4"/>
      <c r="DB1745" s="4"/>
      <c r="DC1745" s="4"/>
      <c r="DD1745" s="4"/>
      <c r="DE1745" s="4"/>
      <c r="DF1745" s="4"/>
      <c r="DG1745" s="4"/>
      <c r="DH1745" s="4"/>
      <c r="DI1745" s="4"/>
      <c r="DJ1745" s="4"/>
      <c r="DK1745" s="4"/>
      <c r="DL1745" s="4"/>
      <c r="DM1745" s="4"/>
      <c r="DN1745" s="4"/>
      <c r="DO1745" s="4"/>
      <c r="DP1745" s="4"/>
      <c r="DQ1745" s="4"/>
      <c r="DR1745" s="4"/>
      <c r="DS1745" s="4"/>
    </row>
    <row r="1746">
      <c r="A1746" s="4"/>
      <c r="B1746" s="4"/>
      <c r="C1746" s="4"/>
      <c r="D1746" s="4"/>
      <c r="E1746" s="4"/>
      <c r="F1746" s="4" t="s">
        <v>17</v>
      </c>
      <c r="G1746" s="15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  <c r="AA1746" s="4"/>
      <c r="AB1746" s="4"/>
      <c r="AC1746" s="4"/>
      <c r="AD1746" s="4"/>
      <c r="AE1746" s="4"/>
      <c r="AF1746" s="4"/>
      <c r="AG1746" s="4"/>
      <c r="AH1746" s="4"/>
      <c r="AI1746" s="4"/>
      <c r="AJ1746" s="4"/>
      <c r="AK1746" s="4"/>
      <c r="AL1746" s="4"/>
      <c r="AM1746" s="4"/>
      <c r="AN1746" s="4"/>
      <c r="AO1746" s="4"/>
      <c r="AP1746" s="4"/>
      <c r="AQ1746" s="4"/>
      <c r="AR1746" s="4"/>
      <c r="AS1746" s="4"/>
      <c r="AT1746" s="4"/>
      <c r="AU1746" s="4"/>
      <c r="AV1746" s="4"/>
      <c r="AW1746" s="4"/>
      <c r="AX1746" s="4"/>
      <c r="AY1746" s="4"/>
      <c r="AZ1746" s="4"/>
      <c r="BA1746" s="4"/>
      <c r="BB1746" s="4"/>
      <c r="BC1746" s="4"/>
      <c r="BD1746" s="4"/>
      <c r="BE1746" s="4"/>
      <c r="BF1746" s="4"/>
      <c r="BG1746" s="4"/>
      <c r="BH1746" s="4"/>
      <c r="BI1746" s="4"/>
      <c r="BJ1746" s="4"/>
      <c r="BK1746" s="4"/>
      <c r="BL1746" s="4"/>
      <c r="BM1746" s="4"/>
      <c r="BN1746" s="4"/>
      <c r="BO1746" s="4"/>
      <c r="BP1746" s="4"/>
      <c r="BQ1746" s="4"/>
      <c r="BR1746" s="4"/>
      <c r="BS1746" s="4"/>
      <c r="BT1746" s="4"/>
      <c r="BU1746" s="4"/>
      <c r="BV1746" s="4"/>
      <c r="BW1746" s="4"/>
      <c r="BX1746" s="4"/>
      <c r="BY1746" s="4"/>
      <c r="BZ1746" s="4"/>
      <c r="CA1746" s="4"/>
      <c r="CB1746" s="4"/>
      <c r="CC1746" s="4"/>
      <c r="CD1746" s="4"/>
      <c r="CE1746" s="4"/>
      <c r="CF1746" s="4"/>
      <c r="CG1746" s="4"/>
      <c r="CH1746" s="4"/>
      <c r="CI1746" s="4"/>
      <c r="CJ1746" s="4"/>
      <c r="CK1746" s="4"/>
      <c r="CL1746" s="4"/>
      <c r="CM1746" s="4"/>
      <c r="CN1746" s="4"/>
      <c r="CO1746" s="4"/>
      <c r="CP1746" s="4"/>
      <c r="CQ1746" s="4"/>
      <c r="CR1746" s="4"/>
      <c r="CS1746" s="4"/>
      <c r="CT1746" s="4"/>
      <c r="CU1746" s="4"/>
      <c r="CV1746" s="4"/>
      <c r="CW1746" s="4"/>
      <c r="CX1746" s="4"/>
      <c r="CY1746" s="4"/>
      <c r="CZ1746" s="4"/>
      <c r="DA1746" s="4"/>
      <c r="DB1746" s="4"/>
      <c r="DC1746" s="4"/>
      <c r="DD1746" s="4"/>
      <c r="DE1746" s="4"/>
      <c r="DF1746" s="4"/>
      <c r="DG1746" s="4"/>
      <c r="DH1746" s="4"/>
      <c r="DI1746" s="4"/>
      <c r="DJ1746" s="4"/>
      <c r="DK1746" s="4"/>
      <c r="DL1746" s="4"/>
      <c r="DM1746" s="4"/>
      <c r="DN1746" s="4"/>
      <c r="DO1746" s="4"/>
      <c r="DP1746" s="4"/>
      <c r="DQ1746" s="4"/>
      <c r="DR1746" s="4"/>
      <c r="DS1746" s="4"/>
    </row>
    <row r="1747">
      <c r="A1747" s="4"/>
      <c r="B1747" s="4"/>
      <c r="C1747" s="4"/>
      <c r="D1747" s="4"/>
      <c r="E1747" s="4"/>
      <c r="F1747" s="4" t="s">
        <v>17</v>
      </c>
      <c r="G1747" s="15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  <c r="AA1747" s="4"/>
      <c r="AB1747" s="4"/>
      <c r="AC1747" s="4"/>
      <c r="AD1747" s="4"/>
      <c r="AE1747" s="4"/>
      <c r="AF1747" s="4"/>
      <c r="AG1747" s="4"/>
      <c r="AH1747" s="4"/>
      <c r="AI1747" s="4"/>
      <c r="AJ1747" s="4"/>
      <c r="AK1747" s="4"/>
      <c r="AL1747" s="4"/>
      <c r="AM1747" s="4"/>
      <c r="AN1747" s="4"/>
      <c r="AO1747" s="4"/>
      <c r="AP1747" s="4"/>
      <c r="AQ1747" s="4"/>
      <c r="AR1747" s="4"/>
      <c r="AS1747" s="4"/>
      <c r="AT1747" s="4"/>
      <c r="AU1747" s="4"/>
      <c r="AV1747" s="4"/>
      <c r="AW1747" s="4"/>
      <c r="AX1747" s="4"/>
      <c r="AY1747" s="4"/>
      <c r="AZ1747" s="4"/>
      <c r="BA1747" s="4"/>
      <c r="BB1747" s="4"/>
      <c r="BC1747" s="4"/>
      <c r="BD1747" s="4"/>
      <c r="BE1747" s="4"/>
      <c r="BF1747" s="4"/>
      <c r="BG1747" s="4"/>
      <c r="BH1747" s="4"/>
      <c r="BI1747" s="4"/>
      <c r="BJ1747" s="4"/>
      <c r="BK1747" s="4"/>
      <c r="BL1747" s="4"/>
      <c r="BM1747" s="4"/>
      <c r="BN1747" s="4"/>
      <c r="BO1747" s="4"/>
      <c r="BP1747" s="4"/>
      <c r="BQ1747" s="4"/>
      <c r="BR1747" s="4"/>
      <c r="BS1747" s="4"/>
      <c r="BT1747" s="4"/>
      <c r="BU1747" s="4"/>
      <c r="BV1747" s="4"/>
      <c r="BW1747" s="4"/>
      <c r="BX1747" s="4"/>
      <c r="BY1747" s="4"/>
      <c r="BZ1747" s="4"/>
      <c r="CA1747" s="4"/>
      <c r="CB1747" s="4"/>
      <c r="CC1747" s="4"/>
      <c r="CD1747" s="4"/>
      <c r="CE1747" s="4"/>
      <c r="CF1747" s="4"/>
      <c r="CG1747" s="4"/>
      <c r="CH1747" s="4"/>
      <c r="CI1747" s="4"/>
      <c r="CJ1747" s="4"/>
      <c r="CK1747" s="4"/>
      <c r="CL1747" s="4"/>
      <c r="CM1747" s="4"/>
      <c r="CN1747" s="4"/>
      <c r="CO1747" s="4"/>
      <c r="CP1747" s="4"/>
      <c r="CQ1747" s="4"/>
      <c r="CR1747" s="4"/>
      <c r="CS1747" s="4"/>
      <c r="CT1747" s="4"/>
      <c r="CU1747" s="4"/>
      <c r="CV1747" s="4"/>
      <c r="CW1747" s="4"/>
      <c r="CX1747" s="4"/>
      <c r="CY1747" s="4"/>
      <c r="CZ1747" s="4"/>
      <c r="DA1747" s="4"/>
      <c r="DB1747" s="4"/>
      <c r="DC1747" s="4"/>
      <c r="DD1747" s="4"/>
      <c r="DE1747" s="4"/>
      <c r="DF1747" s="4"/>
      <c r="DG1747" s="4"/>
      <c r="DH1747" s="4"/>
      <c r="DI1747" s="4"/>
      <c r="DJ1747" s="4"/>
      <c r="DK1747" s="4"/>
      <c r="DL1747" s="4"/>
      <c r="DM1747" s="4"/>
      <c r="DN1747" s="4"/>
      <c r="DO1747" s="4"/>
      <c r="DP1747" s="4"/>
      <c r="DQ1747" s="4"/>
      <c r="DR1747" s="4"/>
      <c r="DS1747" s="4"/>
    </row>
    <row r="1748">
      <c r="A1748" s="4"/>
      <c r="B1748" s="4"/>
      <c r="C1748" s="4"/>
      <c r="D1748" s="4"/>
      <c r="E1748" s="4"/>
      <c r="F1748" s="4" t="s">
        <v>17</v>
      </c>
      <c r="G1748" s="15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  <c r="AA1748" s="4"/>
      <c r="AB1748" s="4"/>
      <c r="AC1748" s="4"/>
      <c r="AD1748" s="4"/>
      <c r="AE1748" s="4"/>
      <c r="AF1748" s="4"/>
      <c r="AG1748" s="4"/>
      <c r="AH1748" s="4"/>
      <c r="AI1748" s="4"/>
      <c r="AJ1748" s="4"/>
      <c r="AK1748" s="4"/>
      <c r="AL1748" s="4"/>
      <c r="AM1748" s="4"/>
      <c r="AN1748" s="4"/>
      <c r="AO1748" s="4"/>
      <c r="AP1748" s="4"/>
      <c r="AQ1748" s="4"/>
      <c r="AR1748" s="4"/>
      <c r="AS1748" s="4"/>
      <c r="AT1748" s="4"/>
      <c r="AU1748" s="4"/>
      <c r="AV1748" s="4"/>
      <c r="AW1748" s="4"/>
      <c r="AX1748" s="4"/>
      <c r="AY1748" s="4"/>
      <c r="AZ1748" s="4"/>
      <c r="BA1748" s="4"/>
      <c r="BB1748" s="4"/>
      <c r="BC1748" s="4"/>
      <c r="BD1748" s="4"/>
      <c r="BE1748" s="4"/>
      <c r="BF1748" s="4"/>
      <c r="BG1748" s="4"/>
      <c r="BH1748" s="4"/>
      <c r="BI1748" s="4"/>
      <c r="BJ1748" s="4"/>
      <c r="BK1748" s="4"/>
      <c r="BL1748" s="4"/>
      <c r="BM1748" s="4"/>
      <c r="BN1748" s="4"/>
      <c r="BO1748" s="4"/>
      <c r="BP1748" s="4"/>
      <c r="BQ1748" s="4"/>
      <c r="BR1748" s="4"/>
      <c r="BS1748" s="4"/>
      <c r="BT1748" s="4"/>
      <c r="BU1748" s="4"/>
      <c r="BV1748" s="4"/>
      <c r="BW1748" s="4"/>
      <c r="BX1748" s="4"/>
      <c r="BY1748" s="4"/>
      <c r="BZ1748" s="4"/>
      <c r="CA1748" s="4"/>
      <c r="CB1748" s="4"/>
      <c r="CC1748" s="4"/>
      <c r="CD1748" s="4"/>
      <c r="CE1748" s="4"/>
      <c r="CF1748" s="4"/>
      <c r="CG1748" s="4"/>
      <c r="CH1748" s="4"/>
      <c r="CI1748" s="4"/>
      <c r="CJ1748" s="4"/>
      <c r="CK1748" s="4"/>
      <c r="CL1748" s="4"/>
      <c r="CM1748" s="4"/>
      <c r="CN1748" s="4"/>
      <c r="CO1748" s="4"/>
      <c r="CP1748" s="4"/>
      <c r="CQ1748" s="4"/>
      <c r="CR1748" s="4"/>
      <c r="CS1748" s="4"/>
      <c r="CT1748" s="4"/>
      <c r="CU1748" s="4"/>
      <c r="CV1748" s="4"/>
      <c r="CW1748" s="4"/>
      <c r="CX1748" s="4"/>
      <c r="CY1748" s="4"/>
      <c r="CZ1748" s="4"/>
      <c r="DA1748" s="4"/>
      <c r="DB1748" s="4"/>
      <c r="DC1748" s="4"/>
      <c r="DD1748" s="4"/>
      <c r="DE1748" s="4"/>
      <c r="DF1748" s="4"/>
      <c r="DG1748" s="4"/>
      <c r="DH1748" s="4"/>
      <c r="DI1748" s="4"/>
      <c r="DJ1748" s="4"/>
      <c r="DK1748" s="4"/>
      <c r="DL1748" s="4"/>
      <c r="DM1748" s="4"/>
      <c r="DN1748" s="4"/>
      <c r="DO1748" s="4"/>
      <c r="DP1748" s="4"/>
      <c r="DQ1748" s="4"/>
      <c r="DR1748" s="4"/>
      <c r="DS1748" s="4"/>
    </row>
    <row r="1749">
      <c r="A1749" s="4"/>
      <c r="B1749" s="4"/>
      <c r="C1749" s="4"/>
      <c r="D1749" s="4"/>
      <c r="E1749" s="4"/>
      <c r="F1749" s="4" t="s">
        <v>17</v>
      </c>
      <c r="G1749" s="15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  <c r="AA1749" s="4"/>
      <c r="AB1749" s="4"/>
      <c r="AC1749" s="4"/>
      <c r="AD1749" s="4"/>
      <c r="AE1749" s="4"/>
      <c r="AF1749" s="4"/>
      <c r="AG1749" s="4"/>
      <c r="AH1749" s="4"/>
      <c r="AI1749" s="4"/>
      <c r="AJ1749" s="4"/>
      <c r="AK1749" s="4"/>
      <c r="AL1749" s="4"/>
      <c r="AM1749" s="4"/>
      <c r="AN1749" s="4"/>
      <c r="AO1749" s="4"/>
      <c r="AP1749" s="4"/>
      <c r="AQ1749" s="4"/>
      <c r="AR1749" s="4"/>
      <c r="AS1749" s="4"/>
      <c r="AT1749" s="4"/>
      <c r="AU1749" s="4"/>
      <c r="AV1749" s="4"/>
      <c r="AW1749" s="4"/>
      <c r="AX1749" s="4"/>
      <c r="AY1749" s="4"/>
      <c r="AZ1749" s="4"/>
      <c r="BA1749" s="4"/>
      <c r="BB1749" s="4"/>
      <c r="BC1749" s="4"/>
      <c r="BD1749" s="4"/>
      <c r="BE1749" s="4"/>
      <c r="BF1749" s="4"/>
      <c r="BG1749" s="4"/>
      <c r="BH1749" s="4"/>
      <c r="BI1749" s="4"/>
      <c r="BJ1749" s="4"/>
      <c r="BK1749" s="4"/>
      <c r="BL1749" s="4"/>
      <c r="BM1749" s="4"/>
      <c r="BN1749" s="4"/>
      <c r="BO1749" s="4"/>
      <c r="BP1749" s="4"/>
      <c r="BQ1749" s="4"/>
      <c r="BR1749" s="4"/>
      <c r="BS1749" s="4"/>
      <c r="BT1749" s="4"/>
      <c r="BU1749" s="4"/>
      <c r="BV1749" s="4"/>
      <c r="BW1749" s="4"/>
      <c r="BX1749" s="4"/>
      <c r="BY1749" s="4"/>
      <c r="BZ1749" s="4"/>
      <c r="CA1749" s="4"/>
      <c r="CB1749" s="4"/>
      <c r="CC1749" s="4"/>
      <c r="CD1749" s="4"/>
      <c r="CE1749" s="4"/>
      <c r="CF1749" s="4"/>
      <c r="CG1749" s="4"/>
      <c r="CH1749" s="4"/>
      <c r="CI1749" s="4"/>
      <c r="CJ1749" s="4"/>
      <c r="CK1749" s="4"/>
      <c r="CL1749" s="4"/>
      <c r="CM1749" s="4"/>
      <c r="CN1749" s="4"/>
      <c r="CO1749" s="4"/>
      <c r="CP1749" s="4"/>
      <c r="CQ1749" s="4"/>
      <c r="CR1749" s="4"/>
      <c r="CS1749" s="4"/>
      <c r="CT1749" s="4"/>
      <c r="CU1749" s="4"/>
      <c r="CV1749" s="4"/>
      <c r="CW1749" s="4"/>
      <c r="CX1749" s="4"/>
      <c r="CY1749" s="4"/>
      <c r="CZ1749" s="4"/>
      <c r="DA1749" s="4"/>
      <c r="DB1749" s="4"/>
      <c r="DC1749" s="4"/>
      <c r="DD1749" s="4"/>
      <c r="DE1749" s="4"/>
      <c r="DF1749" s="4"/>
      <c r="DG1749" s="4"/>
      <c r="DH1749" s="4"/>
      <c r="DI1749" s="4"/>
      <c r="DJ1749" s="4"/>
      <c r="DK1749" s="4"/>
      <c r="DL1749" s="4"/>
      <c r="DM1749" s="4"/>
      <c r="DN1749" s="4"/>
      <c r="DO1749" s="4"/>
      <c r="DP1749" s="4"/>
      <c r="DQ1749" s="4"/>
      <c r="DR1749" s="4"/>
      <c r="DS1749" s="4"/>
    </row>
    <row r="1750">
      <c r="A1750" s="4"/>
      <c r="B1750" s="4"/>
      <c r="C1750" s="4"/>
      <c r="D1750" s="4"/>
      <c r="E1750" s="4"/>
      <c r="F1750" s="4" t="s">
        <v>17</v>
      </c>
      <c r="G1750" s="15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  <c r="AA1750" s="4"/>
      <c r="AB1750" s="4"/>
      <c r="AC1750" s="4"/>
      <c r="AD1750" s="4"/>
      <c r="AE1750" s="4"/>
      <c r="AF1750" s="4"/>
      <c r="AG1750" s="4"/>
      <c r="AH1750" s="4"/>
      <c r="AI1750" s="4"/>
      <c r="AJ1750" s="4"/>
      <c r="AK1750" s="4"/>
      <c r="AL1750" s="4"/>
      <c r="AM1750" s="4"/>
      <c r="AN1750" s="4"/>
      <c r="AO1750" s="4"/>
      <c r="AP1750" s="4"/>
      <c r="AQ1750" s="4"/>
      <c r="AR1750" s="4"/>
      <c r="AS1750" s="4"/>
      <c r="AT1750" s="4"/>
      <c r="AU1750" s="4"/>
      <c r="AV1750" s="4"/>
      <c r="AW1750" s="4"/>
      <c r="AX1750" s="4"/>
      <c r="AY1750" s="4"/>
      <c r="AZ1750" s="4"/>
      <c r="BA1750" s="4"/>
      <c r="BB1750" s="4"/>
      <c r="BC1750" s="4"/>
      <c r="BD1750" s="4"/>
      <c r="BE1750" s="4"/>
      <c r="BF1750" s="4"/>
      <c r="BG1750" s="4"/>
      <c r="BH1750" s="4"/>
      <c r="BI1750" s="4"/>
      <c r="BJ1750" s="4"/>
      <c r="BK1750" s="4"/>
      <c r="BL1750" s="4"/>
      <c r="BM1750" s="4"/>
      <c r="BN1750" s="4"/>
      <c r="BO1750" s="4"/>
      <c r="BP1750" s="4"/>
      <c r="BQ1750" s="4"/>
      <c r="BR1750" s="4"/>
      <c r="BS1750" s="4"/>
      <c r="BT1750" s="4"/>
      <c r="BU1750" s="4"/>
      <c r="BV1750" s="4"/>
      <c r="BW1750" s="4"/>
      <c r="BX1750" s="4"/>
      <c r="BY1750" s="4"/>
      <c r="BZ1750" s="4"/>
      <c r="CA1750" s="4"/>
      <c r="CB1750" s="4"/>
      <c r="CC1750" s="4"/>
      <c r="CD1750" s="4"/>
      <c r="CE1750" s="4"/>
      <c r="CF1750" s="4"/>
      <c r="CG1750" s="4"/>
      <c r="CH1750" s="4"/>
      <c r="CI1750" s="4"/>
      <c r="CJ1750" s="4"/>
      <c r="CK1750" s="4"/>
      <c r="CL1750" s="4"/>
      <c r="CM1750" s="4"/>
      <c r="CN1750" s="4"/>
      <c r="CO1750" s="4"/>
      <c r="CP1750" s="4"/>
      <c r="CQ1750" s="4"/>
      <c r="CR1750" s="4"/>
      <c r="CS1750" s="4"/>
      <c r="CT1750" s="4"/>
      <c r="CU1750" s="4"/>
      <c r="CV1750" s="4"/>
      <c r="CW1750" s="4"/>
      <c r="CX1750" s="4"/>
      <c r="CY1750" s="4"/>
      <c r="CZ1750" s="4"/>
      <c r="DA1750" s="4"/>
      <c r="DB1750" s="4"/>
      <c r="DC1750" s="4"/>
      <c r="DD1750" s="4"/>
      <c r="DE1750" s="4"/>
      <c r="DF1750" s="4"/>
      <c r="DG1750" s="4"/>
      <c r="DH1750" s="4"/>
      <c r="DI1750" s="4"/>
      <c r="DJ1750" s="4"/>
      <c r="DK1750" s="4"/>
      <c r="DL1750" s="4"/>
      <c r="DM1750" s="4"/>
      <c r="DN1750" s="4"/>
      <c r="DO1750" s="4"/>
      <c r="DP1750" s="4"/>
      <c r="DQ1750" s="4"/>
      <c r="DR1750" s="4"/>
      <c r="DS1750" s="4"/>
    </row>
    <row r="1751">
      <c r="A1751" s="4"/>
      <c r="B1751" s="4"/>
      <c r="C1751" s="4"/>
      <c r="D1751" s="4"/>
      <c r="E1751" s="4"/>
      <c r="F1751" s="4" t="s">
        <v>17</v>
      </c>
      <c r="G1751" s="15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  <c r="AA1751" s="4"/>
      <c r="AB1751" s="4"/>
      <c r="AC1751" s="4"/>
      <c r="AD1751" s="4"/>
      <c r="AE1751" s="4"/>
      <c r="AF1751" s="4"/>
      <c r="AG1751" s="4"/>
      <c r="AH1751" s="4"/>
      <c r="AI1751" s="4"/>
      <c r="AJ1751" s="4"/>
      <c r="AK1751" s="4"/>
      <c r="AL1751" s="4"/>
      <c r="AM1751" s="4"/>
      <c r="AN1751" s="4"/>
      <c r="AO1751" s="4"/>
      <c r="AP1751" s="4"/>
      <c r="AQ1751" s="4"/>
      <c r="AR1751" s="4"/>
      <c r="AS1751" s="4"/>
      <c r="AT1751" s="4"/>
      <c r="AU1751" s="4"/>
      <c r="AV1751" s="4"/>
      <c r="AW1751" s="4"/>
      <c r="AX1751" s="4"/>
      <c r="AY1751" s="4"/>
      <c r="AZ1751" s="4"/>
      <c r="BA1751" s="4"/>
      <c r="BB1751" s="4"/>
      <c r="BC1751" s="4"/>
      <c r="BD1751" s="4"/>
      <c r="BE1751" s="4"/>
      <c r="BF1751" s="4"/>
      <c r="BG1751" s="4"/>
      <c r="BH1751" s="4"/>
      <c r="BI1751" s="4"/>
      <c r="BJ1751" s="4"/>
      <c r="BK1751" s="4"/>
      <c r="BL1751" s="4"/>
      <c r="BM1751" s="4"/>
      <c r="BN1751" s="4"/>
      <c r="BO1751" s="4"/>
      <c r="BP1751" s="4"/>
      <c r="BQ1751" s="4"/>
      <c r="BR1751" s="4"/>
      <c r="BS1751" s="4"/>
      <c r="BT1751" s="4"/>
      <c r="BU1751" s="4"/>
      <c r="BV1751" s="4"/>
      <c r="BW1751" s="4"/>
      <c r="BX1751" s="4"/>
      <c r="BY1751" s="4"/>
      <c r="BZ1751" s="4"/>
      <c r="CA1751" s="4"/>
      <c r="CB1751" s="4"/>
      <c r="CC1751" s="4"/>
      <c r="CD1751" s="4"/>
      <c r="CE1751" s="4"/>
      <c r="CF1751" s="4"/>
      <c r="CG1751" s="4"/>
      <c r="CH1751" s="4"/>
      <c r="CI1751" s="4"/>
      <c r="CJ1751" s="4"/>
      <c r="CK1751" s="4"/>
      <c r="CL1751" s="4"/>
      <c r="CM1751" s="4"/>
      <c r="CN1751" s="4"/>
      <c r="CO1751" s="4"/>
      <c r="CP1751" s="4"/>
      <c r="CQ1751" s="4"/>
      <c r="CR1751" s="4"/>
      <c r="CS1751" s="4"/>
      <c r="CT1751" s="4"/>
      <c r="CU1751" s="4"/>
      <c r="CV1751" s="4"/>
      <c r="CW1751" s="4"/>
      <c r="CX1751" s="4"/>
      <c r="CY1751" s="4"/>
      <c r="CZ1751" s="4"/>
      <c r="DA1751" s="4"/>
      <c r="DB1751" s="4"/>
      <c r="DC1751" s="4"/>
      <c r="DD1751" s="4"/>
      <c r="DE1751" s="4"/>
      <c r="DF1751" s="4"/>
      <c r="DG1751" s="4"/>
      <c r="DH1751" s="4"/>
      <c r="DI1751" s="4"/>
      <c r="DJ1751" s="4"/>
      <c r="DK1751" s="4"/>
      <c r="DL1751" s="4"/>
      <c r="DM1751" s="4"/>
      <c r="DN1751" s="4"/>
      <c r="DO1751" s="4"/>
      <c r="DP1751" s="4"/>
      <c r="DQ1751" s="4"/>
      <c r="DR1751" s="4"/>
      <c r="DS1751" s="4"/>
    </row>
    <row r="1752">
      <c r="A1752" s="4"/>
      <c r="B1752" s="4"/>
      <c r="C1752" s="4"/>
      <c r="D1752" s="4"/>
      <c r="E1752" s="4"/>
      <c r="F1752" s="4" t="s">
        <v>17</v>
      </c>
      <c r="G1752" s="15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  <c r="AA1752" s="4"/>
      <c r="AB1752" s="4"/>
      <c r="AC1752" s="4"/>
      <c r="AD1752" s="4"/>
      <c r="AE1752" s="4"/>
      <c r="AF1752" s="4"/>
      <c r="AG1752" s="4"/>
      <c r="AH1752" s="4"/>
      <c r="AI1752" s="4"/>
      <c r="AJ1752" s="4"/>
      <c r="AK1752" s="4"/>
      <c r="AL1752" s="4"/>
      <c r="AM1752" s="4"/>
      <c r="AN1752" s="4"/>
      <c r="AO1752" s="4"/>
      <c r="AP1752" s="4"/>
      <c r="AQ1752" s="4"/>
      <c r="AR1752" s="4"/>
      <c r="AS1752" s="4"/>
      <c r="AT1752" s="4"/>
      <c r="AU1752" s="4"/>
      <c r="AV1752" s="4"/>
      <c r="AW1752" s="4"/>
      <c r="AX1752" s="4"/>
      <c r="AY1752" s="4"/>
      <c r="AZ1752" s="4"/>
      <c r="BA1752" s="4"/>
      <c r="BB1752" s="4"/>
      <c r="BC1752" s="4"/>
      <c r="BD1752" s="4"/>
      <c r="BE1752" s="4"/>
      <c r="BF1752" s="4"/>
      <c r="BG1752" s="4"/>
      <c r="BH1752" s="4"/>
      <c r="BI1752" s="4"/>
      <c r="BJ1752" s="4"/>
      <c r="BK1752" s="4"/>
      <c r="BL1752" s="4"/>
      <c r="BM1752" s="4"/>
      <c r="BN1752" s="4"/>
      <c r="BO1752" s="4"/>
      <c r="BP1752" s="4"/>
      <c r="BQ1752" s="4"/>
      <c r="BR1752" s="4"/>
      <c r="BS1752" s="4"/>
      <c r="BT1752" s="4"/>
      <c r="BU1752" s="4"/>
      <c r="BV1752" s="4"/>
      <c r="BW1752" s="4"/>
      <c r="BX1752" s="4"/>
      <c r="BY1752" s="4"/>
      <c r="BZ1752" s="4"/>
      <c r="CA1752" s="4"/>
      <c r="CB1752" s="4"/>
      <c r="CC1752" s="4"/>
      <c r="CD1752" s="4"/>
      <c r="CE1752" s="4"/>
      <c r="CF1752" s="4"/>
      <c r="CG1752" s="4"/>
      <c r="CH1752" s="4"/>
      <c r="CI1752" s="4"/>
      <c r="CJ1752" s="4"/>
      <c r="CK1752" s="4"/>
      <c r="CL1752" s="4"/>
      <c r="CM1752" s="4"/>
      <c r="CN1752" s="4"/>
      <c r="CO1752" s="4"/>
      <c r="CP1752" s="4"/>
      <c r="CQ1752" s="4"/>
      <c r="CR1752" s="4"/>
      <c r="CS1752" s="4"/>
      <c r="CT1752" s="4"/>
      <c r="CU1752" s="4"/>
      <c r="CV1752" s="4"/>
      <c r="CW1752" s="4"/>
      <c r="CX1752" s="4"/>
      <c r="CY1752" s="4"/>
      <c r="CZ1752" s="4"/>
      <c r="DA1752" s="4"/>
      <c r="DB1752" s="4"/>
      <c r="DC1752" s="4"/>
      <c r="DD1752" s="4"/>
      <c r="DE1752" s="4"/>
      <c r="DF1752" s="4"/>
      <c r="DG1752" s="4"/>
      <c r="DH1752" s="4"/>
      <c r="DI1752" s="4"/>
      <c r="DJ1752" s="4"/>
      <c r="DK1752" s="4"/>
      <c r="DL1752" s="4"/>
      <c r="DM1752" s="4"/>
      <c r="DN1752" s="4"/>
      <c r="DO1752" s="4"/>
      <c r="DP1752" s="4"/>
      <c r="DQ1752" s="4"/>
      <c r="DR1752" s="4"/>
      <c r="DS1752" s="4"/>
    </row>
    <row r="1753">
      <c r="A1753" s="4"/>
      <c r="B1753" s="4"/>
      <c r="C1753" s="4"/>
      <c r="D1753" s="4"/>
      <c r="E1753" s="4"/>
      <c r="F1753" s="4" t="s">
        <v>17</v>
      </c>
      <c r="G1753" s="15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  <c r="AA1753" s="4"/>
      <c r="AB1753" s="4"/>
      <c r="AC1753" s="4"/>
      <c r="AD1753" s="4"/>
      <c r="AE1753" s="4"/>
      <c r="AF1753" s="4"/>
      <c r="AG1753" s="4"/>
      <c r="AH1753" s="4"/>
      <c r="AI1753" s="4"/>
      <c r="AJ1753" s="4"/>
      <c r="AK1753" s="4"/>
      <c r="AL1753" s="4"/>
      <c r="AM1753" s="4"/>
      <c r="AN1753" s="4"/>
      <c r="AO1753" s="4"/>
      <c r="AP1753" s="4"/>
      <c r="AQ1753" s="4"/>
      <c r="AR1753" s="4"/>
      <c r="AS1753" s="4"/>
      <c r="AT1753" s="4"/>
      <c r="AU1753" s="4"/>
      <c r="AV1753" s="4"/>
      <c r="AW1753" s="4"/>
      <c r="AX1753" s="4"/>
      <c r="AY1753" s="4"/>
      <c r="AZ1753" s="4"/>
      <c r="BA1753" s="4"/>
      <c r="BB1753" s="4"/>
      <c r="BC1753" s="4"/>
      <c r="BD1753" s="4"/>
      <c r="BE1753" s="4"/>
      <c r="BF1753" s="4"/>
      <c r="BG1753" s="4"/>
      <c r="BH1753" s="4"/>
      <c r="BI1753" s="4"/>
      <c r="BJ1753" s="4"/>
      <c r="BK1753" s="4"/>
      <c r="BL1753" s="4"/>
      <c r="BM1753" s="4"/>
      <c r="BN1753" s="4"/>
      <c r="BO1753" s="4"/>
      <c r="BP1753" s="4"/>
      <c r="BQ1753" s="4"/>
      <c r="BR1753" s="4"/>
      <c r="BS1753" s="4"/>
      <c r="BT1753" s="4"/>
      <c r="BU1753" s="4"/>
      <c r="BV1753" s="4"/>
      <c r="BW1753" s="4"/>
      <c r="BX1753" s="4"/>
      <c r="BY1753" s="4"/>
      <c r="BZ1753" s="4"/>
      <c r="CA1753" s="4"/>
      <c r="CB1753" s="4"/>
      <c r="CC1753" s="4"/>
      <c r="CD1753" s="4"/>
      <c r="CE1753" s="4"/>
      <c r="CF1753" s="4"/>
      <c r="CG1753" s="4"/>
      <c r="CH1753" s="4"/>
      <c r="CI1753" s="4"/>
      <c r="CJ1753" s="4"/>
      <c r="CK1753" s="4"/>
      <c r="CL1753" s="4"/>
      <c r="CM1753" s="4"/>
      <c r="CN1753" s="4"/>
      <c r="CO1753" s="4"/>
      <c r="CP1753" s="4"/>
      <c r="CQ1753" s="4"/>
      <c r="CR1753" s="4"/>
      <c r="CS1753" s="4"/>
      <c r="CT1753" s="4"/>
      <c r="CU1753" s="4"/>
      <c r="CV1753" s="4"/>
      <c r="CW1753" s="4"/>
      <c r="CX1753" s="4"/>
      <c r="CY1753" s="4"/>
      <c r="CZ1753" s="4"/>
      <c r="DA1753" s="4"/>
      <c r="DB1753" s="4"/>
      <c r="DC1753" s="4"/>
      <c r="DD1753" s="4"/>
      <c r="DE1753" s="4"/>
      <c r="DF1753" s="4"/>
      <c r="DG1753" s="4"/>
      <c r="DH1753" s="4"/>
      <c r="DI1753" s="4"/>
      <c r="DJ1753" s="4"/>
      <c r="DK1753" s="4"/>
      <c r="DL1753" s="4"/>
      <c r="DM1753" s="4"/>
      <c r="DN1753" s="4"/>
      <c r="DO1753" s="4"/>
      <c r="DP1753" s="4"/>
      <c r="DQ1753" s="4"/>
      <c r="DR1753" s="4"/>
      <c r="DS1753" s="4"/>
    </row>
    <row r="1754">
      <c r="A1754" s="4"/>
      <c r="B1754" s="4"/>
      <c r="C1754" s="4"/>
      <c r="D1754" s="4"/>
      <c r="E1754" s="4"/>
      <c r="F1754" s="4" t="s">
        <v>17</v>
      </c>
      <c r="G1754" s="15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  <c r="AA1754" s="4"/>
      <c r="AB1754" s="4"/>
      <c r="AC1754" s="4"/>
      <c r="AD1754" s="4"/>
      <c r="AE1754" s="4"/>
      <c r="AF1754" s="4"/>
      <c r="AG1754" s="4"/>
      <c r="AH1754" s="4"/>
      <c r="AI1754" s="4"/>
      <c r="AJ1754" s="4"/>
      <c r="AK1754" s="4"/>
      <c r="AL1754" s="4"/>
      <c r="AM1754" s="4"/>
      <c r="AN1754" s="4"/>
      <c r="AO1754" s="4"/>
      <c r="AP1754" s="4"/>
      <c r="AQ1754" s="4"/>
      <c r="AR1754" s="4"/>
      <c r="AS1754" s="4"/>
      <c r="AT1754" s="4"/>
      <c r="AU1754" s="4"/>
      <c r="AV1754" s="4"/>
      <c r="AW1754" s="4"/>
      <c r="AX1754" s="4"/>
      <c r="AY1754" s="4"/>
      <c r="AZ1754" s="4"/>
      <c r="BA1754" s="4"/>
      <c r="BB1754" s="4"/>
      <c r="BC1754" s="4"/>
      <c r="BD1754" s="4"/>
      <c r="BE1754" s="4"/>
      <c r="BF1754" s="4"/>
      <c r="BG1754" s="4"/>
      <c r="BH1754" s="4"/>
      <c r="BI1754" s="4"/>
      <c r="BJ1754" s="4"/>
      <c r="BK1754" s="4"/>
      <c r="BL1754" s="4"/>
      <c r="BM1754" s="4"/>
      <c r="BN1754" s="4"/>
      <c r="BO1754" s="4"/>
      <c r="BP1754" s="4"/>
      <c r="BQ1754" s="4"/>
      <c r="BR1754" s="4"/>
      <c r="BS1754" s="4"/>
      <c r="BT1754" s="4"/>
      <c r="BU1754" s="4"/>
      <c r="BV1754" s="4"/>
      <c r="BW1754" s="4"/>
      <c r="BX1754" s="4"/>
      <c r="BY1754" s="4"/>
      <c r="BZ1754" s="4"/>
      <c r="CA1754" s="4"/>
      <c r="CB1754" s="4"/>
      <c r="CC1754" s="4"/>
      <c r="CD1754" s="4"/>
      <c r="CE1754" s="4"/>
      <c r="CF1754" s="4"/>
      <c r="CG1754" s="4"/>
      <c r="CH1754" s="4"/>
      <c r="CI1754" s="4"/>
      <c r="CJ1754" s="4"/>
      <c r="CK1754" s="4"/>
      <c r="CL1754" s="4"/>
      <c r="CM1754" s="4"/>
      <c r="CN1754" s="4"/>
      <c r="CO1754" s="4"/>
      <c r="CP1754" s="4"/>
      <c r="CQ1754" s="4"/>
      <c r="CR1754" s="4"/>
      <c r="CS1754" s="4"/>
      <c r="CT1754" s="4"/>
      <c r="CU1754" s="4"/>
      <c r="CV1754" s="4"/>
      <c r="CW1754" s="4"/>
      <c r="CX1754" s="4"/>
      <c r="CY1754" s="4"/>
      <c r="CZ1754" s="4"/>
      <c r="DA1754" s="4"/>
      <c r="DB1754" s="4"/>
      <c r="DC1754" s="4"/>
      <c r="DD1754" s="4"/>
      <c r="DE1754" s="4"/>
      <c r="DF1754" s="4"/>
      <c r="DG1754" s="4"/>
      <c r="DH1754" s="4"/>
      <c r="DI1754" s="4"/>
      <c r="DJ1754" s="4"/>
      <c r="DK1754" s="4"/>
      <c r="DL1754" s="4"/>
      <c r="DM1754" s="4"/>
      <c r="DN1754" s="4"/>
      <c r="DO1754" s="4"/>
      <c r="DP1754" s="4"/>
      <c r="DQ1754" s="4"/>
      <c r="DR1754" s="4"/>
      <c r="DS1754" s="4"/>
    </row>
    <row r="1755">
      <c r="A1755" s="4"/>
      <c r="B1755" s="4"/>
      <c r="C1755" s="4"/>
      <c r="D1755" s="4"/>
      <c r="E1755" s="4"/>
      <c r="F1755" s="4" t="s">
        <v>17</v>
      </c>
      <c r="G1755" s="15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  <c r="AA1755" s="4"/>
      <c r="AB1755" s="4"/>
      <c r="AC1755" s="4"/>
      <c r="AD1755" s="4"/>
      <c r="AE1755" s="4"/>
      <c r="AF1755" s="4"/>
      <c r="AG1755" s="4"/>
      <c r="AH1755" s="4"/>
      <c r="AI1755" s="4"/>
      <c r="AJ1755" s="4"/>
      <c r="AK1755" s="4"/>
      <c r="AL1755" s="4"/>
      <c r="AM1755" s="4"/>
      <c r="AN1755" s="4"/>
      <c r="AO1755" s="4"/>
      <c r="AP1755" s="4"/>
      <c r="AQ1755" s="4"/>
      <c r="AR1755" s="4"/>
      <c r="AS1755" s="4"/>
      <c r="AT1755" s="4"/>
      <c r="AU1755" s="4"/>
      <c r="AV1755" s="4"/>
      <c r="AW1755" s="4"/>
      <c r="AX1755" s="4"/>
      <c r="AY1755" s="4"/>
      <c r="AZ1755" s="4"/>
      <c r="BA1755" s="4"/>
      <c r="BB1755" s="4"/>
      <c r="BC1755" s="4"/>
      <c r="BD1755" s="4"/>
      <c r="BE1755" s="4"/>
      <c r="BF1755" s="4"/>
      <c r="BG1755" s="4"/>
      <c r="BH1755" s="4"/>
      <c r="BI1755" s="4"/>
      <c r="BJ1755" s="4"/>
      <c r="BK1755" s="4"/>
      <c r="BL1755" s="4"/>
      <c r="BM1755" s="4"/>
      <c r="BN1755" s="4"/>
      <c r="BO1755" s="4"/>
      <c r="BP1755" s="4"/>
      <c r="BQ1755" s="4"/>
      <c r="BR1755" s="4"/>
      <c r="BS1755" s="4"/>
      <c r="BT1755" s="4"/>
      <c r="BU1755" s="4"/>
      <c r="BV1755" s="4"/>
      <c r="BW1755" s="4"/>
      <c r="BX1755" s="4"/>
      <c r="BY1755" s="4"/>
      <c r="BZ1755" s="4"/>
      <c r="CA1755" s="4"/>
      <c r="CB1755" s="4"/>
      <c r="CC1755" s="4"/>
      <c r="CD1755" s="4"/>
      <c r="CE1755" s="4"/>
      <c r="CF1755" s="4"/>
      <c r="CG1755" s="4"/>
      <c r="CH1755" s="4"/>
      <c r="CI1755" s="4"/>
      <c r="CJ1755" s="4"/>
      <c r="CK1755" s="4"/>
      <c r="CL1755" s="4"/>
      <c r="CM1755" s="4"/>
      <c r="CN1755" s="4"/>
      <c r="CO1755" s="4"/>
      <c r="CP1755" s="4"/>
      <c r="CQ1755" s="4"/>
      <c r="CR1755" s="4"/>
      <c r="CS1755" s="4"/>
      <c r="CT1755" s="4"/>
      <c r="CU1755" s="4"/>
      <c r="CV1755" s="4"/>
      <c r="CW1755" s="4"/>
      <c r="CX1755" s="4"/>
      <c r="CY1755" s="4"/>
      <c r="CZ1755" s="4"/>
      <c r="DA1755" s="4"/>
      <c r="DB1755" s="4"/>
      <c r="DC1755" s="4"/>
      <c r="DD1755" s="4"/>
      <c r="DE1755" s="4"/>
      <c r="DF1755" s="4"/>
      <c r="DG1755" s="4"/>
      <c r="DH1755" s="4"/>
      <c r="DI1755" s="4"/>
      <c r="DJ1755" s="4"/>
      <c r="DK1755" s="4"/>
      <c r="DL1755" s="4"/>
      <c r="DM1755" s="4"/>
      <c r="DN1755" s="4"/>
      <c r="DO1755" s="4"/>
      <c r="DP1755" s="4"/>
      <c r="DQ1755" s="4"/>
      <c r="DR1755" s="4"/>
      <c r="DS1755" s="4"/>
    </row>
    <row r="1756">
      <c r="A1756" s="4"/>
      <c r="B1756" s="4"/>
      <c r="C1756" s="4"/>
      <c r="D1756" s="4"/>
      <c r="E1756" s="4"/>
      <c r="F1756" s="4" t="s">
        <v>17</v>
      </c>
      <c r="G1756" s="15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  <c r="AA1756" s="4"/>
      <c r="AB1756" s="4"/>
      <c r="AC1756" s="4"/>
      <c r="AD1756" s="4"/>
      <c r="AE1756" s="4"/>
      <c r="AF1756" s="4"/>
      <c r="AG1756" s="4"/>
      <c r="AH1756" s="4"/>
      <c r="AI1756" s="4"/>
      <c r="AJ1756" s="4"/>
      <c r="AK1756" s="4"/>
      <c r="AL1756" s="4"/>
      <c r="AM1756" s="4"/>
      <c r="AN1756" s="4"/>
      <c r="AO1756" s="4"/>
      <c r="AP1756" s="4"/>
      <c r="AQ1756" s="4"/>
      <c r="AR1756" s="4"/>
      <c r="AS1756" s="4"/>
      <c r="AT1756" s="4"/>
      <c r="AU1756" s="4"/>
      <c r="AV1756" s="4"/>
      <c r="AW1756" s="4"/>
      <c r="AX1756" s="4"/>
      <c r="AY1756" s="4"/>
      <c r="AZ1756" s="4"/>
      <c r="BA1756" s="4"/>
      <c r="BB1756" s="4"/>
      <c r="BC1756" s="4"/>
      <c r="BD1756" s="4"/>
      <c r="BE1756" s="4"/>
      <c r="BF1756" s="4"/>
      <c r="BG1756" s="4"/>
      <c r="BH1756" s="4"/>
      <c r="BI1756" s="4"/>
      <c r="BJ1756" s="4"/>
      <c r="BK1756" s="4"/>
      <c r="BL1756" s="4"/>
      <c r="BM1756" s="4"/>
      <c r="BN1756" s="4"/>
      <c r="BO1756" s="4"/>
      <c r="BP1756" s="4"/>
      <c r="BQ1756" s="4"/>
      <c r="BR1756" s="4"/>
      <c r="BS1756" s="4"/>
      <c r="BT1756" s="4"/>
      <c r="BU1756" s="4"/>
      <c r="BV1756" s="4"/>
      <c r="BW1756" s="4"/>
      <c r="BX1756" s="4"/>
      <c r="BY1756" s="4"/>
      <c r="BZ1756" s="4"/>
      <c r="CA1756" s="4"/>
      <c r="CB1756" s="4"/>
      <c r="CC1756" s="4"/>
      <c r="CD1756" s="4"/>
      <c r="CE1756" s="4"/>
      <c r="CF1756" s="4"/>
      <c r="CG1756" s="4"/>
      <c r="CH1756" s="4"/>
      <c r="CI1756" s="4"/>
      <c r="CJ1756" s="4"/>
      <c r="CK1756" s="4"/>
      <c r="CL1756" s="4"/>
      <c r="CM1756" s="4"/>
      <c r="CN1756" s="4"/>
      <c r="CO1756" s="4"/>
      <c r="CP1756" s="4"/>
      <c r="CQ1756" s="4"/>
      <c r="CR1756" s="4"/>
      <c r="CS1756" s="4"/>
      <c r="CT1756" s="4"/>
      <c r="CU1756" s="4"/>
      <c r="CV1756" s="4"/>
      <c r="CW1756" s="4"/>
      <c r="CX1756" s="4"/>
      <c r="CY1756" s="4"/>
      <c r="CZ1756" s="4"/>
      <c r="DA1756" s="4"/>
      <c r="DB1756" s="4"/>
      <c r="DC1756" s="4"/>
      <c r="DD1756" s="4"/>
      <c r="DE1756" s="4"/>
      <c r="DF1756" s="4"/>
      <c r="DG1756" s="4"/>
      <c r="DH1756" s="4"/>
      <c r="DI1756" s="4"/>
      <c r="DJ1756" s="4"/>
      <c r="DK1756" s="4"/>
      <c r="DL1756" s="4"/>
      <c r="DM1756" s="4"/>
      <c r="DN1756" s="4"/>
      <c r="DO1756" s="4"/>
      <c r="DP1756" s="4"/>
      <c r="DQ1756" s="4"/>
      <c r="DR1756" s="4"/>
      <c r="DS1756" s="4"/>
    </row>
    <row r="1757">
      <c r="A1757" s="4"/>
      <c r="B1757" s="4"/>
      <c r="C1757" s="4"/>
      <c r="D1757" s="4"/>
      <c r="E1757" s="4"/>
      <c r="F1757" s="4" t="s">
        <v>17</v>
      </c>
      <c r="G1757" s="15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  <c r="AA1757" s="4"/>
      <c r="AB1757" s="4"/>
      <c r="AC1757" s="4"/>
      <c r="AD1757" s="4"/>
      <c r="AE1757" s="4"/>
      <c r="AF1757" s="4"/>
      <c r="AG1757" s="4"/>
      <c r="AH1757" s="4"/>
      <c r="AI1757" s="4"/>
      <c r="AJ1757" s="4"/>
      <c r="AK1757" s="4"/>
      <c r="AL1757" s="4"/>
      <c r="AM1757" s="4"/>
      <c r="AN1757" s="4"/>
      <c r="AO1757" s="4"/>
      <c r="AP1757" s="4"/>
      <c r="AQ1757" s="4"/>
      <c r="AR1757" s="4"/>
      <c r="AS1757" s="4"/>
      <c r="AT1757" s="4"/>
      <c r="AU1757" s="4"/>
      <c r="AV1757" s="4"/>
      <c r="AW1757" s="4"/>
      <c r="AX1757" s="4"/>
      <c r="AY1757" s="4"/>
      <c r="AZ1757" s="4"/>
      <c r="BA1757" s="4"/>
      <c r="BB1757" s="4"/>
      <c r="BC1757" s="4"/>
      <c r="BD1757" s="4"/>
      <c r="BE1757" s="4"/>
      <c r="BF1757" s="4"/>
      <c r="BG1757" s="4"/>
      <c r="BH1757" s="4"/>
      <c r="BI1757" s="4"/>
      <c r="BJ1757" s="4"/>
      <c r="BK1757" s="4"/>
      <c r="BL1757" s="4"/>
      <c r="BM1757" s="4"/>
      <c r="BN1757" s="4"/>
      <c r="BO1757" s="4"/>
      <c r="BP1757" s="4"/>
      <c r="BQ1757" s="4"/>
      <c r="BR1757" s="4"/>
      <c r="BS1757" s="4"/>
      <c r="BT1757" s="4"/>
      <c r="BU1757" s="4"/>
      <c r="BV1757" s="4"/>
      <c r="BW1757" s="4"/>
      <c r="BX1757" s="4"/>
      <c r="BY1757" s="4"/>
      <c r="BZ1757" s="4"/>
      <c r="CA1757" s="4"/>
      <c r="CB1757" s="4"/>
      <c r="CC1757" s="4"/>
      <c r="CD1757" s="4"/>
      <c r="CE1757" s="4"/>
      <c r="CF1757" s="4"/>
      <c r="CG1757" s="4"/>
      <c r="CH1757" s="4"/>
      <c r="CI1757" s="4"/>
      <c r="CJ1757" s="4"/>
      <c r="CK1757" s="4"/>
      <c r="CL1757" s="4"/>
      <c r="CM1757" s="4"/>
      <c r="CN1757" s="4"/>
      <c r="CO1757" s="4"/>
      <c r="CP1757" s="4"/>
      <c r="CQ1757" s="4"/>
      <c r="CR1757" s="4"/>
      <c r="CS1757" s="4"/>
      <c r="CT1757" s="4"/>
      <c r="CU1757" s="4"/>
      <c r="CV1757" s="4"/>
      <c r="CW1757" s="4"/>
      <c r="CX1757" s="4"/>
      <c r="CY1757" s="4"/>
      <c r="CZ1757" s="4"/>
      <c r="DA1757" s="4"/>
      <c r="DB1757" s="4"/>
      <c r="DC1757" s="4"/>
      <c r="DD1757" s="4"/>
      <c r="DE1757" s="4"/>
      <c r="DF1757" s="4"/>
      <c r="DG1757" s="4"/>
      <c r="DH1757" s="4"/>
      <c r="DI1757" s="4"/>
      <c r="DJ1757" s="4"/>
      <c r="DK1757" s="4"/>
      <c r="DL1757" s="4"/>
      <c r="DM1757" s="4"/>
      <c r="DN1757" s="4"/>
      <c r="DO1757" s="4"/>
      <c r="DP1757" s="4"/>
      <c r="DQ1757" s="4"/>
      <c r="DR1757" s="4"/>
      <c r="DS1757" s="4"/>
    </row>
    <row r="1758">
      <c r="A1758" s="4"/>
      <c r="B1758" s="4"/>
      <c r="C1758" s="4"/>
      <c r="D1758" s="4"/>
      <c r="E1758" s="4"/>
      <c r="F1758" s="4" t="s">
        <v>17</v>
      </c>
      <c r="G1758" s="15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  <c r="AA1758" s="4"/>
      <c r="AB1758" s="4"/>
      <c r="AC1758" s="4"/>
      <c r="AD1758" s="4"/>
      <c r="AE1758" s="4"/>
      <c r="AF1758" s="4"/>
      <c r="AG1758" s="4"/>
      <c r="AH1758" s="4"/>
      <c r="AI1758" s="4"/>
      <c r="AJ1758" s="4"/>
      <c r="AK1758" s="4"/>
      <c r="AL1758" s="4"/>
      <c r="AM1758" s="4"/>
      <c r="AN1758" s="4"/>
      <c r="AO1758" s="4"/>
      <c r="AP1758" s="4"/>
      <c r="AQ1758" s="4"/>
      <c r="AR1758" s="4"/>
      <c r="AS1758" s="4"/>
      <c r="AT1758" s="4"/>
      <c r="AU1758" s="4"/>
      <c r="AV1758" s="4"/>
      <c r="AW1758" s="4"/>
      <c r="AX1758" s="4"/>
      <c r="AY1758" s="4"/>
      <c r="AZ1758" s="4"/>
      <c r="BA1758" s="4"/>
      <c r="BB1758" s="4"/>
      <c r="BC1758" s="4"/>
      <c r="BD1758" s="4"/>
      <c r="BE1758" s="4"/>
      <c r="BF1758" s="4"/>
      <c r="BG1758" s="4"/>
      <c r="BH1758" s="4"/>
      <c r="BI1758" s="4"/>
      <c r="BJ1758" s="4"/>
      <c r="BK1758" s="4"/>
      <c r="BL1758" s="4"/>
      <c r="BM1758" s="4"/>
      <c r="BN1758" s="4"/>
      <c r="BO1758" s="4"/>
      <c r="BP1758" s="4"/>
      <c r="BQ1758" s="4"/>
      <c r="BR1758" s="4"/>
      <c r="BS1758" s="4"/>
      <c r="BT1758" s="4"/>
      <c r="BU1758" s="4"/>
      <c r="BV1758" s="4"/>
      <c r="BW1758" s="4"/>
      <c r="BX1758" s="4"/>
      <c r="BY1758" s="4"/>
      <c r="BZ1758" s="4"/>
      <c r="CA1758" s="4"/>
      <c r="CB1758" s="4"/>
      <c r="CC1758" s="4"/>
      <c r="CD1758" s="4"/>
      <c r="CE1758" s="4"/>
      <c r="CF1758" s="4"/>
      <c r="CG1758" s="4"/>
      <c r="CH1758" s="4"/>
      <c r="CI1758" s="4"/>
      <c r="CJ1758" s="4"/>
      <c r="CK1758" s="4"/>
      <c r="CL1758" s="4"/>
      <c r="CM1758" s="4"/>
      <c r="CN1758" s="4"/>
      <c r="CO1758" s="4"/>
      <c r="CP1758" s="4"/>
      <c r="CQ1758" s="4"/>
      <c r="CR1758" s="4"/>
      <c r="CS1758" s="4"/>
      <c r="CT1758" s="4"/>
      <c r="CU1758" s="4"/>
      <c r="CV1758" s="4"/>
      <c r="CW1758" s="4"/>
      <c r="CX1758" s="4"/>
      <c r="CY1758" s="4"/>
      <c r="CZ1758" s="4"/>
      <c r="DA1758" s="4"/>
      <c r="DB1758" s="4"/>
      <c r="DC1758" s="4"/>
      <c r="DD1758" s="4"/>
      <c r="DE1758" s="4"/>
      <c r="DF1758" s="4"/>
      <c r="DG1758" s="4"/>
      <c r="DH1758" s="4"/>
      <c r="DI1758" s="4"/>
      <c r="DJ1758" s="4"/>
      <c r="DK1758" s="4"/>
      <c r="DL1758" s="4"/>
      <c r="DM1758" s="4"/>
      <c r="DN1758" s="4"/>
      <c r="DO1758" s="4"/>
      <c r="DP1758" s="4"/>
      <c r="DQ1758" s="4"/>
      <c r="DR1758" s="4"/>
      <c r="DS1758" s="4"/>
    </row>
    <row r="1759">
      <c r="A1759" s="4"/>
      <c r="B1759" s="4"/>
      <c r="C1759" s="4"/>
      <c r="D1759" s="4"/>
      <c r="E1759" s="4"/>
      <c r="F1759" s="4" t="s">
        <v>17</v>
      </c>
      <c r="G1759" s="15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  <c r="AA1759" s="4"/>
      <c r="AB1759" s="4"/>
      <c r="AC1759" s="4"/>
      <c r="AD1759" s="4"/>
      <c r="AE1759" s="4"/>
      <c r="AF1759" s="4"/>
      <c r="AG1759" s="4"/>
      <c r="AH1759" s="4"/>
      <c r="AI1759" s="4"/>
      <c r="AJ1759" s="4"/>
      <c r="AK1759" s="4"/>
      <c r="AL1759" s="4"/>
      <c r="AM1759" s="4"/>
      <c r="AN1759" s="4"/>
      <c r="AO1759" s="4"/>
      <c r="AP1759" s="4"/>
      <c r="AQ1759" s="4"/>
      <c r="AR1759" s="4"/>
      <c r="AS1759" s="4"/>
      <c r="AT1759" s="4"/>
      <c r="AU1759" s="4"/>
      <c r="AV1759" s="4"/>
      <c r="AW1759" s="4"/>
      <c r="AX1759" s="4"/>
      <c r="AY1759" s="4"/>
      <c r="AZ1759" s="4"/>
      <c r="BA1759" s="4"/>
      <c r="BB1759" s="4"/>
      <c r="BC1759" s="4"/>
      <c r="BD1759" s="4"/>
      <c r="BE1759" s="4"/>
      <c r="BF1759" s="4"/>
      <c r="BG1759" s="4"/>
      <c r="BH1759" s="4"/>
      <c r="BI1759" s="4"/>
      <c r="BJ1759" s="4"/>
      <c r="BK1759" s="4"/>
      <c r="BL1759" s="4"/>
      <c r="BM1759" s="4"/>
      <c r="BN1759" s="4"/>
      <c r="BO1759" s="4"/>
      <c r="BP1759" s="4"/>
      <c r="BQ1759" s="4"/>
      <c r="BR1759" s="4"/>
      <c r="BS1759" s="4"/>
      <c r="BT1759" s="4"/>
      <c r="BU1759" s="4"/>
      <c r="BV1759" s="4"/>
      <c r="BW1759" s="4"/>
      <c r="BX1759" s="4"/>
      <c r="BY1759" s="4"/>
      <c r="BZ1759" s="4"/>
      <c r="CA1759" s="4"/>
      <c r="CB1759" s="4"/>
      <c r="CC1759" s="4"/>
      <c r="CD1759" s="4"/>
      <c r="CE1759" s="4"/>
      <c r="CF1759" s="4"/>
      <c r="CG1759" s="4"/>
      <c r="CH1759" s="4"/>
      <c r="CI1759" s="4"/>
      <c r="CJ1759" s="4"/>
      <c r="CK1759" s="4"/>
      <c r="CL1759" s="4"/>
      <c r="CM1759" s="4"/>
      <c r="CN1759" s="4"/>
      <c r="CO1759" s="4"/>
      <c r="CP1759" s="4"/>
      <c r="CQ1759" s="4"/>
      <c r="CR1759" s="4"/>
      <c r="CS1759" s="4"/>
      <c r="CT1759" s="4"/>
      <c r="CU1759" s="4"/>
      <c r="CV1759" s="4"/>
      <c r="CW1759" s="4"/>
      <c r="CX1759" s="4"/>
      <c r="CY1759" s="4"/>
      <c r="CZ1759" s="4"/>
      <c r="DA1759" s="4"/>
      <c r="DB1759" s="4"/>
      <c r="DC1759" s="4"/>
      <c r="DD1759" s="4"/>
      <c r="DE1759" s="4"/>
      <c r="DF1759" s="4"/>
      <c r="DG1759" s="4"/>
      <c r="DH1759" s="4"/>
      <c r="DI1759" s="4"/>
      <c r="DJ1759" s="4"/>
      <c r="DK1759" s="4"/>
      <c r="DL1759" s="4"/>
      <c r="DM1759" s="4"/>
      <c r="DN1759" s="4"/>
      <c r="DO1759" s="4"/>
      <c r="DP1759" s="4"/>
      <c r="DQ1759" s="4"/>
      <c r="DR1759" s="4"/>
      <c r="DS1759" s="4"/>
    </row>
    <row r="1760">
      <c r="A1760" s="4"/>
      <c r="B1760" s="4"/>
      <c r="C1760" s="4"/>
      <c r="D1760" s="4"/>
      <c r="E1760" s="4"/>
      <c r="F1760" s="4" t="s">
        <v>17</v>
      </c>
      <c r="G1760" s="15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  <c r="AA1760" s="4"/>
      <c r="AB1760" s="4"/>
      <c r="AC1760" s="4"/>
      <c r="AD1760" s="4"/>
      <c r="AE1760" s="4"/>
      <c r="AF1760" s="4"/>
      <c r="AG1760" s="4"/>
      <c r="AH1760" s="4"/>
      <c r="AI1760" s="4"/>
      <c r="AJ1760" s="4"/>
      <c r="AK1760" s="4"/>
      <c r="AL1760" s="4"/>
      <c r="AM1760" s="4"/>
      <c r="AN1760" s="4"/>
      <c r="AO1760" s="4"/>
      <c r="AP1760" s="4"/>
      <c r="AQ1760" s="4"/>
      <c r="AR1760" s="4"/>
      <c r="AS1760" s="4"/>
      <c r="AT1760" s="4"/>
      <c r="AU1760" s="4"/>
      <c r="AV1760" s="4"/>
      <c r="AW1760" s="4"/>
      <c r="AX1760" s="4"/>
      <c r="AY1760" s="4"/>
      <c r="AZ1760" s="4"/>
      <c r="BA1760" s="4"/>
      <c r="BB1760" s="4"/>
      <c r="BC1760" s="4"/>
      <c r="BD1760" s="4"/>
      <c r="BE1760" s="4"/>
      <c r="BF1760" s="4"/>
      <c r="BG1760" s="4"/>
      <c r="BH1760" s="4"/>
      <c r="BI1760" s="4"/>
      <c r="BJ1760" s="4"/>
      <c r="BK1760" s="4"/>
      <c r="BL1760" s="4"/>
      <c r="BM1760" s="4"/>
      <c r="BN1760" s="4"/>
      <c r="BO1760" s="4"/>
      <c r="BP1760" s="4"/>
      <c r="BQ1760" s="4"/>
      <c r="BR1760" s="4"/>
      <c r="BS1760" s="4"/>
      <c r="BT1760" s="4"/>
      <c r="BU1760" s="4"/>
      <c r="BV1760" s="4"/>
      <c r="BW1760" s="4"/>
      <c r="BX1760" s="4"/>
      <c r="BY1760" s="4"/>
      <c r="BZ1760" s="4"/>
      <c r="CA1760" s="4"/>
      <c r="CB1760" s="4"/>
      <c r="CC1760" s="4"/>
      <c r="CD1760" s="4"/>
      <c r="CE1760" s="4"/>
      <c r="CF1760" s="4"/>
      <c r="CG1760" s="4"/>
      <c r="CH1760" s="4"/>
      <c r="CI1760" s="4"/>
      <c r="CJ1760" s="4"/>
      <c r="CK1760" s="4"/>
      <c r="CL1760" s="4"/>
      <c r="CM1760" s="4"/>
      <c r="CN1760" s="4"/>
      <c r="CO1760" s="4"/>
      <c r="CP1760" s="4"/>
      <c r="CQ1760" s="4"/>
      <c r="CR1760" s="4"/>
      <c r="CS1760" s="4"/>
      <c r="CT1760" s="4"/>
      <c r="CU1760" s="4"/>
      <c r="CV1760" s="4"/>
      <c r="CW1760" s="4"/>
      <c r="CX1760" s="4"/>
      <c r="CY1760" s="4"/>
      <c r="CZ1760" s="4"/>
      <c r="DA1760" s="4"/>
      <c r="DB1760" s="4"/>
      <c r="DC1760" s="4"/>
      <c r="DD1760" s="4"/>
      <c r="DE1760" s="4"/>
      <c r="DF1760" s="4"/>
      <c r="DG1760" s="4"/>
      <c r="DH1760" s="4"/>
      <c r="DI1760" s="4"/>
      <c r="DJ1760" s="4"/>
      <c r="DK1760" s="4"/>
      <c r="DL1760" s="4"/>
      <c r="DM1760" s="4"/>
      <c r="DN1760" s="4"/>
      <c r="DO1760" s="4"/>
      <c r="DP1760" s="4"/>
      <c r="DQ1760" s="4"/>
      <c r="DR1760" s="4"/>
      <c r="DS1760" s="4"/>
    </row>
    <row r="1761">
      <c r="A1761" s="4"/>
      <c r="B1761" s="4"/>
      <c r="C1761" s="4"/>
      <c r="D1761" s="4"/>
      <c r="E1761" s="4"/>
      <c r="F1761" s="4" t="s">
        <v>17</v>
      </c>
      <c r="G1761" s="15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  <c r="AA1761" s="4"/>
      <c r="AB1761" s="4"/>
      <c r="AC1761" s="4"/>
      <c r="AD1761" s="4"/>
      <c r="AE1761" s="4"/>
      <c r="AF1761" s="4"/>
      <c r="AG1761" s="4"/>
      <c r="AH1761" s="4"/>
      <c r="AI1761" s="4"/>
      <c r="AJ1761" s="4"/>
      <c r="AK1761" s="4"/>
      <c r="AL1761" s="4"/>
      <c r="AM1761" s="4"/>
      <c r="AN1761" s="4"/>
      <c r="AO1761" s="4"/>
      <c r="AP1761" s="4"/>
      <c r="AQ1761" s="4"/>
      <c r="AR1761" s="4"/>
      <c r="AS1761" s="4"/>
      <c r="AT1761" s="4"/>
      <c r="AU1761" s="4"/>
      <c r="AV1761" s="4"/>
      <c r="AW1761" s="4"/>
      <c r="AX1761" s="4"/>
      <c r="AY1761" s="4"/>
      <c r="AZ1761" s="4"/>
      <c r="BA1761" s="4"/>
      <c r="BB1761" s="4"/>
      <c r="BC1761" s="4"/>
      <c r="BD1761" s="4"/>
      <c r="BE1761" s="4"/>
      <c r="BF1761" s="4"/>
      <c r="BG1761" s="4"/>
      <c r="BH1761" s="4"/>
      <c r="BI1761" s="4"/>
      <c r="BJ1761" s="4"/>
      <c r="BK1761" s="4"/>
      <c r="BL1761" s="4"/>
      <c r="BM1761" s="4"/>
      <c r="BN1761" s="4"/>
      <c r="BO1761" s="4"/>
      <c r="BP1761" s="4"/>
      <c r="BQ1761" s="4"/>
      <c r="BR1761" s="4"/>
      <c r="BS1761" s="4"/>
      <c r="BT1761" s="4"/>
      <c r="BU1761" s="4"/>
      <c r="BV1761" s="4"/>
      <c r="BW1761" s="4"/>
      <c r="BX1761" s="4"/>
      <c r="BY1761" s="4"/>
      <c r="BZ1761" s="4"/>
      <c r="CA1761" s="4"/>
      <c r="CB1761" s="4"/>
      <c r="CC1761" s="4"/>
      <c r="CD1761" s="4"/>
      <c r="CE1761" s="4"/>
      <c r="CF1761" s="4"/>
      <c r="CG1761" s="4"/>
      <c r="CH1761" s="4"/>
      <c r="CI1761" s="4"/>
      <c r="CJ1761" s="4"/>
      <c r="CK1761" s="4"/>
      <c r="CL1761" s="4"/>
      <c r="CM1761" s="4"/>
      <c r="CN1761" s="4"/>
      <c r="CO1761" s="4"/>
      <c r="CP1761" s="4"/>
      <c r="CQ1761" s="4"/>
      <c r="CR1761" s="4"/>
      <c r="CS1761" s="4"/>
      <c r="CT1761" s="4"/>
      <c r="CU1761" s="4"/>
      <c r="CV1761" s="4"/>
      <c r="CW1761" s="4"/>
      <c r="CX1761" s="4"/>
      <c r="CY1761" s="4"/>
      <c r="CZ1761" s="4"/>
      <c r="DA1761" s="4"/>
      <c r="DB1761" s="4"/>
      <c r="DC1761" s="4"/>
      <c r="DD1761" s="4"/>
      <c r="DE1761" s="4"/>
      <c r="DF1761" s="4"/>
      <c r="DG1761" s="4"/>
      <c r="DH1761" s="4"/>
      <c r="DI1761" s="4"/>
      <c r="DJ1761" s="4"/>
      <c r="DK1761" s="4"/>
      <c r="DL1761" s="4"/>
      <c r="DM1761" s="4"/>
      <c r="DN1761" s="4"/>
      <c r="DO1761" s="4"/>
      <c r="DP1761" s="4"/>
      <c r="DQ1761" s="4"/>
      <c r="DR1761" s="4"/>
      <c r="DS1761" s="4"/>
    </row>
    <row r="1762">
      <c r="A1762" s="4"/>
      <c r="B1762" s="4"/>
      <c r="C1762" s="4"/>
      <c r="D1762" s="4"/>
      <c r="E1762" s="4"/>
      <c r="F1762" s="4" t="s">
        <v>17</v>
      </c>
      <c r="G1762" s="15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  <c r="AA1762" s="4"/>
      <c r="AB1762" s="4"/>
      <c r="AC1762" s="4"/>
      <c r="AD1762" s="4"/>
      <c r="AE1762" s="4"/>
      <c r="AF1762" s="4"/>
      <c r="AG1762" s="4"/>
      <c r="AH1762" s="4"/>
      <c r="AI1762" s="4"/>
      <c r="AJ1762" s="4"/>
      <c r="AK1762" s="4"/>
      <c r="AL1762" s="4"/>
      <c r="AM1762" s="4"/>
      <c r="AN1762" s="4"/>
      <c r="AO1762" s="4"/>
      <c r="AP1762" s="4"/>
      <c r="AQ1762" s="4"/>
      <c r="AR1762" s="4"/>
      <c r="AS1762" s="4"/>
      <c r="AT1762" s="4"/>
      <c r="AU1762" s="4"/>
      <c r="AV1762" s="4"/>
      <c r="AW1762" s="4"/>
      <c r="AX1762" s="4"/>
      <c r="AY1762" s="4"/>
      <c r="AZ1762" s="4"/>
      <c r="BA1762" s="4"/>
      <c r="BB1762" s="4"/>
      <c r="BC1762" s="4"/>
      <c r="BD1762" s="4"/>
      <c r="BE1762" s="4"/>
      <c r="BF1762" s="4"/>
      <c r="BG1762" s="4"/>
      <c r="BH1762" s="4"/>
      <c r="BI1762" s="4"/>
      <c r="BJ1762" s="4"/>
      <c r="BK1762" s="4"/>
      <c r="BL1762" s="4"/>
      <c r="BM1762" s="4"/>
      <c r="BN1762" s="4"/>
      <c r="BO1762" s="4"/>
      <c r="BP1762" s="4"/>
      <c r="BQ1762" s="4"/>
      <c r="BR1762" s="4"/>
      <c r="BS1762" s="4"/>
      <c r="BT1762" s="4"/>
      <c r="BU1762" s="4"/>
      <c r="BV1762" s="4"/>
      <c r="BW1762" s="4"/>
      <c r="BX1762" s="4"/>
      <c r="BY1762" s="4"/>
      <c r="BZ1762" s="4"/>
      <c r="CA1762" s="4"/>
      <c r="CB1762" s="4"/>
      <c r="CC1762" s="4"/>
      <c r="CD1762" s="4"/>
      <c r="CE1762" s="4"/>
      <c r="CF1762" s="4"/>
      <c r="CG1762" s="4"/>
      <c r="CH1762" s="4"/>
      <c r="CI1762" s="4"/>
      <c r="CJ1762" s="4"/>
      <c r="CK1762" s="4"/>
      <c r="CL1762" s="4"/>
      <c r="CM1762" s="4"/>
      <c r="CN1762" s="4"/>
      <c r="CO1762" s="4"/>
      <c r="CP1762" s="4"/>
      <c r="CQ1762" s="4"/>
      <c r="CR1762" s="4"/>
      <c r="CS1762" s="4"/>
      <c r="CT1762" s="4"/>
      <c r="CU1762" s="4"/>
      <c r="CV1762" s="4"/>
      <c r="CW1762" s="4"/>
      <c r="CX1762" s="4"/>
      <c r="CY1762" s="4"/>
      <c r="CZ1762" s="4"/>
      <c r="DA1762" s="4"/>
      <c r="DB1762" s="4"/>
      <c r="DC1762" s="4"/>
      <c r="DD1762" s="4"/>
      <c r="DE1762" s="4"/>
      <c r="DF1762" s="4"/>
      <c r="DG1762" s="4"/>
      <c r="DH1762" s="4"/>
      <c r="DI1762" s="4"/>
      <c r="DJ1762" s="4"/>
      <c r="DK1762" s="4"/>
      <c r="DL1762" s="4"/>
      <c r="DM1762" s="4"/>
      <c r="DN1762" s="4"/>
      <c r="DO1762" s="4"/>
      <c r="DP1762" s="4"/>
      <c r="DQ1762" s="4"/>
      <c r="DR1762" s="4"/>
      <c r="DS1762" s="4"/>
    </row>
    <row r="1763">
      <c r="A1763" s="4"/>
      <c r="B1763" s="4"/>
      <c r="C1763" s="4"/>
      <c r="D1763" s="4"/>
      <c r="E1763" s="4"/>
      <c r="F1763" s="4" t="s">
        <v>17</v>
      </c>
      <c r="G1763" s="15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  <c r="AA1763" s="4"/>
      <c r="AB1763" s="4"/>
      <c r="AC1763" s="4"/>
      <c r="AD1763" s="4"/>
      <c r="AE1763" s="4"/>
      <c r="AF1763" s="4"/>
      <c r="AG1763" s="4"/>
      <c r="AH1763" s="4"/>
      <c r="AI1763" s="4"/>
      <c r="AJ1763" s="4"/>
      <c r="AK1763" s="4"/>
      <c r="AL1763" s="4"/>
      <c r="AM1763" s="4"/>
      <c r="AN1763" s="4"/>
      <c r="AO1763" s="4"/>
      <c r="AP1763" s="4"/>
      <c r="AQ1763" s="4"/>
      <c r="AR1763" s="4"/>
      <c r="AS1763" s="4"/>
      <c r="AT1763" s="4"/>
      <c r="AU1763" s="4"/>
      <c r="AV1763" s="4"/>
      <c r="AW1763" s="4"/>
      <c r="AX1763" s="4"/>
      <c r="AY1763" s="4"/>
      <c r="AZ1763" s="4"/>
      <c r="BA1763" s="4"/>
      <c r="BB1763" s="4"/>
      <c r="BC1763" s="4"/>
      <c r="BD1763" s="4"/>
      <c r="BE1763" s="4"/>
      <c r="BF1763" s="4"/>
      <c r="BG1763" s="4"/>
      <c r="BH1763" s="4"/>
      <c r="BI1763" s="4"/>
      <c r="BJ1763" s="4"/>
      <c r="BK1763" s="4"/>
      <c r="BL1763" s="4"/>
      <c r="BM1763" s="4"/>
      <c r="BN1763" s="4"/>
      <c r="BO1763" s="4"/>
      <c r="BP1763" s="4"/>
      <c r="BQ1763" s="4"/>
      <c r="BR1763" s="4"/>
      <c r="BS1763" s="4"/>
      <c r="BT1763" s="4"/>
      <c r="BU1763" s="4"/>
      <c r="BV1763" s="4"/>
      <c r="BW1763" s="4"/>
      <c r="BX1763" s="4"/>
      <c r="BY1763" s="4"/>
      <c r="BZ1763" s="4"/>
      <c r="CA1763" s="4"/>
      <c r="CB1763" s="4"/>
      <c r="CC1763" s="4"/>
      <c r="CD1763" s="4"/>
      <c r="CE1763" s="4"/>
      <c r="CF1763" s="4"/>
      <c r="CG1763" s="4"/>
      <c r="CH1763" s="4"/>
      <c r="CI1763" s="4"/>
      <c r="CJ1763" s="4"/>
      <c r="CK1763" s="4"/>
      <c r="CL1763" s="4"/>
      <c r="CM1763" s="4"/>
      <c r="CN1763" s="4"/>
      <c r="CO1763" s="4"/>
      <c r="CP1763" s="4"/>
      <c r="CQ1763" s="4"/>
      <c r="CR1763" s="4"/>
      <c r="CS1763" s="4"/>
      <c r="CT1763" s="4"/>
      <c r="CU1763" s="4"/>
      <c r="CV1763" s="4"/>
      <c r="CW1763" s="4"/>
      <c r="CX1763" s="4"/>
      <c r="CY1763" s="4"/>
      <c r="CZ1763" s="4"/>
      <c r="DA1763" s="4"/>
      <c r="DB1763" s="4"/>
      <c r="DC1763" s="4"/>
      <c r="DD1763" s="4"/>
      <c r="DE1763" s="4"/>
      <c r="DF1763" s="4"/>
      <c r="DG1763" s="4"/>
      <c r="DH1763" s="4"/>
      <c r="DI1763" s="4"/>
      <c r="DJ1763" s="4"/>
      <c r="DK1763" s="4"/>
      <c r="DL1763" s="4"/>
      <c r="DM1763" s="4"/>
      <c r="DN1763" s="4"/>
      <c r="DO1763" s="4"/>
      <c r="DP1763" s="4"/>
      <c r="DQ1763" s="4"/>
      <c r="DR1763" s="4"/>
      <c r="DS1763" s="4"/>
    </row>
    <row r="1764">
      <c r="A1764" s="4"/>
      <c r="B1764" s="4"/>
      <c r="C1764" s="4"/>
      <c r="D1764" s="4"/>
      <c r="E1764" s="4"/>
      <c r="F1764" s="4" t="s">
        <v>17</v>
      </c>
      <c r="G1764" s="15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  <c r="AA1764" s="4"/>
      <c r="AB1764" s="4"/>
      <c r="AC1764" s="4"/>
      <c r="AD1764" s="4"/>
      <c r="AE1764" s="4"/>
      <c r="AF1764" s="4"/>
      <c r="AG1764" s="4"/>
      <c r="AH1764" s="4"/>
      <c r="AI1764" s="4"/>
      <c r="AJ1764" s="4"/>
      <c r="AK1764" s="4"/>
      <c r="AL1764" s="4"/>
      <c r="AM1764" s="4"/>
      <c r="AN1764" s="4"/>
      <c r="AO1764" s="4"/>
      <c r="AP1764" s="4"/>
      <c r="AQ1764" s="4"/>
      <c r="AR1764" s="4"/>
      <c r="AS1764" s="4"/>
      <c r="AT1764" s="4"/>
      <c r="AU1764" s="4"/>
      <c r="AV1764" s="4"/>
      <c r="AW1764" s="4"/>
      <c r="AX1764" s="4"/>
      <c r="AY1764" s="4"/>
      <c r="AZ1764" s="4"/>
      <c r="BA1764" s="4"/>
      <c r="BB1764" s="4"/>
      <c r="BC1764" s="4"/>
      <c r="BD1764" s="4"/>
      <c r="BE1764" s="4"/>
      <c r="BF1764" s="4"/>
      <c r="BG1764" s="4"/>
      <c r="BH1764" s="4"/>
      <c r="BI1764" s="4"/>
      <c r="BJ1764" s="4"/>
      <c r="BK1764" s="4"/>
      <c r="BL1764" s="4"/>
      <c r="BM1764" s="4"/>
      <c r="BN1764" s="4"/>
      <c r="BO1764" s="4"/>
      <c r="BP1764" s="4"/>
      <c r="BQ1764" s="4"/>
      <c r="BR1764" s="4"/>
      <c r="BS1764" s="4"/>
      <c r="BT1764" s="4"/>
      <c r="BU1764" s="4"/>
      <c r="BV1764" s="4"/>
      <c r="BW1764" s="4"/>
      <c r="BX1764" s="4"/>
      <c r="BY1764" s="4"/>
      <c r="BZ1764" s="4"/>
      <c r="CA1764" s="4"/>
      <c r="CB1764" s="4"/>
      <c r="CC1764" s="4"/>
      <c r="CD1764" s="4"/>
      <c r="CE1764" s="4"/>
      <c r="CF1764" s="4"/>
      <c r="CG1764" s="4"/>
      <c r="CH1764" s="4"/>
      <c r="CI1764" s="4"/>
      <c r="CJ1764" s="4"/>
      <c r="CK1764" s="4"/>
      <c r="CL1764" s="4"/>
      <c r="CM1764" s="4"/>
      <c r="CN1764" s="4"/>
      <c r="CO1764" s="4"/>
      <c r="CP1764" s="4"/>
      <c r="CQ1764" s="4"/>
      <c r="CR1764" s="4"/>
      <c r="CS1764" s="4"/>
      <c r="CT1764" s="4"/>
      <c r="CU1764" s="4"/>
      <c r="CV1764" s="4"/>
      <c r="CW1764" s="4"/>
      <c r="CX1764" s="4"/>
      <c r="CY1764" s="4"/>
      <c r="CZ1764" s="4"/>
      <c r="DA1764" s="4"/>
      <c r="DB1764" s="4"/>
      <c r="DC1764" s="4"/>
      <c r="DD1764" s="4"/>
      <c r="DE1764" s="4"/>
      <c r="DF1764" s="4"/>
      <c r="DG1764" s="4"/>
      <c r="DH1764" s="4"/>
      <c r="DI1764" s="4"/>
      <c r="DJ1764" s="4"/>
      <c r="DK1764" s="4"/>
      <c r="DL1764" s="4"/>
      <c r="DM1764" s="4"/>
      <c r="DN1764" s="4"/>
      <c r="DO1764" s="4"/>
      <c r="DP1764" s="4"/>
      <c r="DQ1764" s="4"/>
      <c r="DR1764" s="4"/>
      <c r="DS1764" s="4"/>
    </row>
    <row r="1765">
      <c r="A1765" s="4"/>
      <c r="B1765" s="4"/>
      <c r="C1765" s="4"/>
      <c r="D1765" s="4"/>
      <c r="E1765" s="4"/>
      <c r="F1765" s="4" t="s">
        <v>17</v>
      </c>
      <c r="G1765" s="15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  <c r="AA1765" s="4"/>
      <c r="AB1765" s="4"/>
      <c r="AC1765" s="4"/>
      <c r="AD1765" s="4"/>
      <c r="AE1765" s="4"/>
      <c r="AF1765" s="4"/>
      <c r="AG1765" s="4"/>
      <c r="AH1765" s="4"/>
      <c r="AI1765" s="4"/>
      <c r="AJ1765" s="4"/>
      <c r="AK1765" s="4"/>
      <c r="AL1765" s="4"/>
      <c r="AM1765" s="4"/>
      <c r="AN1765" s="4"/>
      <c r="AO1765" s="4"/>
      <c r="AP1765" s="4"/>
      <c r="AQ1765" s="4"/>
      <c r="AR1765" s="4"/>
      <c r="AS1765" s="4"/>
      <c r="AT1765" s="4"/>
      <c r="AU1765" s="4"/>
      <c r="AV1765" s="4"/>
      <c r="AW1765" s="4"/>
      <c r="AX1765" s="4"/>
      <c r="AY1765" s="4"/>
      <c r="AZ1765" s="4"/>
      <c r="BA1765" s="4"/>
      <c r="BB1765" s="4"/>
      <c r="BC1765" s="4"/>
      <c r="BD1765" s="4"/>
      <c r="BE1765" s="4"/>
      <c r="BF1765" s="4"/>
      <c r="BG1765" s="4"/>
      <c r="BH1765" s="4"/>
      <c r="BI1765" s="4"/>
      <c r="BJ1765" s="4"/>
      <c r="BK1765" s="4"/>
      <c r="BL1765" s="4"/>
      <c r="BM1765" s="4"/>
      <c r="BN1765" s="4"/>
      <c r="BO1765" s="4"/>
      <c r="BP1765" s="4"/>
      <c r="BQ1765" s="4"/>
      <c r="BR1765" s="4"/>
      <c r="BS1765" s="4"/>
      <c r="BT1765" s="4"/>
      <c r="BU1765" s="4"/>
      <c r="BV1765" s="4"/>
      <c r="BW1765" s="4"/>
      <c r="BX1765" s="4"/>
      <c r="BY1765" s="4"/>
      <c r="BZ1765" s="4"/>
      <c r="CA1765" s="4"/>
      <c r="CB1765" s="4"/>
      <c r="CC1765" s="4"/>
      <c r="CD1765" s="4"/>
      <c r="CE1765" s="4"/>
      <c r="CF1765" s="4"/>
      <c r="CG1765" s="4"/>
      <c r="CH1765" s="4"/>
      <c r="CI1765" s="4"/>
      <c r="CJ1765" s="4"/>
      <c r="CK1765" s="4"/>
      <c r="CL1765" s="4"/>
      <c r="CM1765" s="4"/>
      <c r="CN1765" s="4"/>
      <c r="CO1765" s="4"/>
      <c r="CP1765" s="4"/>
      <c r="CQ1765" s="4"/>
      <c r="CR1765" s="4"/>
      <c r="CS1765" s="4"/>
      <c r="CT1765" s="4"/>
      <c r="CU1765" s="4"/>
      <c r="CV1765" s="4"/>
      <c r="CW1765" s="4"/>
      <c r="CX1765" s="4"/>
      <c r="CY1765" s="4"/>
      <c r="CZ1765" s="4"/>
      <c r="DA1765" s="4"/>
      <c r="DB1765" s="4"/>
      <c r="DC1765" s="4"/>
      <c r="DD1765" s="4"/>
      <c r="DE1765" s="4"/>
      <c r="DF1765" s="4"/>
      <c r="DG1765" s="4"/>
      <c r="DH1765" s="4"/>
      <c r="DI1765" s="4"/>
      <c r="DJ1765" s="4"/>
      <c r="DK1765" s="4"/>
      <c r="DL1765" s="4"/>
      <c r="DM1765" s="4"/>
      <c r="DN1765" s="4"/>
      <c r="DO1765" s="4"/>
      <c r="DP1765" s="4"/>
      <c r="DQ1765" s="4"/>
      <c r="DR1765" s="4"/>
      <c r="DS1765" s="4"/>
    </row>
    <row r="1766">
      <c r="A1766" s="4"/>
      <c r="B1766" s="4"/>
      <c r="C1766" s="4"/>
      <c r="D1766" s="4"/>
      <c r="E1766" s="4"/>
      <c r="F1766" s="4" t="s">
        <v>17</v>
      </c>
      <c r="G1766" s="15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  <c r="AA1766" s="4"/>
      <c r="AB1766" s="4"/>
      <c r="AC1766" s="4"/>
      <c r="AD1766" s="4"/>
      <c r="AE1766" s="4"/>
      <c r="AF1766" s="4"/>
      <c r="AG1766" s="4"/>
      <c r="AH1766" s="4"/>
      <c r="AI1766" s="4"/>
      <c r="AJ1766" s="4"/>
      <c r="AK1766" s="4"/>
      <c r="AL1766" s="4"/>
      <c r="AM1766" s="4"/>
      <c r="AN1766" s="4"/>
      <c r="AO1766" s="4"/>
      <c r="AP1766" s="4"/>
      <c r="AQ1766" s="4"/>
      <c r="AR1766" s="4"/>
      <c r="AS1766" s="4"/>
      <c r="AT1766" s="4"/>
      <c r="AU1766" s="4"/>
      <c r="AV1766" s="4"/>
      <c r="AW1766" s="4"/>
      <c r="AX1766" s="4"/>
      <c r="AY1766" s="4"/>
      <c r="AZ1766" s="4"/>
      <c r="BA1766" s="4"/>
      <c r="BB1766" s="4"/>
      <c r="BC1766" s="4"/>
      <c r="BD1766" s="4"/>
      <c r="BE1766" s="4"/>
      <c r="BF1766" s="4"/>
      <c r="BG1766" s="4"/>
      <c r="BH1766" s="4"/>
      <c r="BI1766" s="4"/>
      <c r="BJ1766" s="4"/>
      <c r="BK1766" s="4"/>
      <c r="BL1766" s="4"/>
      <c r="BM1766" s="4"/>
      <c r="BN1766" s="4"/>
      <c r="BO1766" s="4"/>
      <c r="BP1766" s="4"/>
      <c r="BQ1766" s="4"/>
      <c r="BR1766" s="4"/>
      <c r="BS1766" s="4"/>
      <c r="BT1766" s="4"/>
      <c r="BU1766" s="4"/>
      <c r="BV1766" s="4"/>
      <c r="BW1766" s="4"/>
      <c r="BX1766" s="4"/>
      <c r="BY1766" s="4"/>
      <c r="BZ1766" s="4"/>
      <c r="CA1766" s="4"/>
      <c r="CB1766" s="4"/>
      <c r="CC1766" s="4"/>
      <c r="CD1766" s="4"/>
      <c r="CE1766" s="4"/>
      <c r="CF1766" s="4"/>
      <c r="CG1766" s="4"/>
      <c r="CH1766" s="4"/>
      <c r="CI1766" s="4"/>
      <c r="CJ1766" s="4"/>
      <c r="CK1766" s="4"/>
      <c r="CL1766" s="4"/>
      <c r="CM1766" s="4"/>
      <c r="CN1766" s="4"/>
      <c r="CO1766" s="4"/>
      <c r="CP1766" s="4"/>
      <c r="CQ1766" s="4"/>
      <c r="CR1766" s="4"/>
      <c r="CS1766" s="4"/>
      <c r="CT1766" s="4"/>
      <c r="CU1766" s="4"/>
      <c r="CV1766" s="4"/>
      <c r="CW1766" s="4"/>
      <c r="CX1766" s="4"/>
      <c r="CY1766" s="4"/>
      <c r="CZ1766" s="4"/>
      <c r="DA1766" s="4"/>
      <c r="DB1766" s="4"/>
      <c r="DC1766" s="4"/>
      <c r="DD1766" s="4"/>
      <c r="DE1766" s="4"/>
      <c r="DF1766" s="4"/>
      <c r="DG1766" s="4"/>
      <c r="DH1766" s="4"/>
      <c r="DI1766" s="4"/>
      <c r="DJ1766" s="4"/>
      <c r="DK1766" s="4"/>
      <c r="DL1766" s="4"/>
      <c r="DM1766" s="4"/>
      <c r="DN1766" s="4"/>
      <c r="DO1766" s="4"/>
      <c r="DP1766" s="4"/>
      <c r="DQ1766" s="4"/>
      <c r="DR1766" s="4"/>
      <c r="DS1766" s="4"/>
    </row>
    <row r="1767">
      <c r="A1767" s="4"/>
      <c r="B1767" s="4"/>
      <c r="C1767" s="4"/>
      <c r="D1767" s="4"/>
      <c r="E1767" s="4"/>
      <c r="F1767" s="4" t="s">
        <v>17</v>
      </c>
      <c r="G1767" s="15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  <c r="AA1767" s="4"/>
      <c r="AB1767" s="4"/>
      <c r="AC1767" s="4"/>
      <c r="AD1767" s="4"/>
      <c r="AE1767" s="4"/>
      <c r="AF1767" s="4"/>
      <c r="AG1767" s="4"/>
      <c r="AH1767" s="4"/>
      <c r="AI1767" s="4"/>
      <c r="AJ1767" s="4"/>
      <c r="AK1767" s="4"/>
      <c r="AL1767" s="4"/>
      <c r="AM1767" s="4"/>
      <c r="AN1767" s="4"/>
      <c r="AO1767" s="4"/>
      <c r="AP1767" s="4"/>
      <c r="AQ1767" s="4"/>
      <c r="AR1767" s="4"/>
      <c r="AS1767" s="4"/>
      <c r="AT1767" s="4"/>
      <c r="AU1767" s="4"/>
      <c r="AV1767" s="4"/>
      <c r="AW1767" s="4"/>
      <c r="AX1767" s="4"/>
      <c r="AY1767" s="4"/>
      <c r="AZ1767" s="4"/>
      <c r="BA1767" s="4"/>
      <c r="BB1767" s="4"/>
      <c r="BC1767" s="4"/>
      <c r="BD1767" s="4"/>
      <c r="BE1767" s="4"/>
      <c r="BF1767" s="4"/>
      <c r="BG1767" s="4"/>
      <c r="BH1767" s="4"/>
      <c r="BI1767" s="4"/>
      <c r="BJ1767" s="4"/>
      <c r="BK1767" s="4"/>
      <c r="BL1767" s="4"/>
      <c r="BM1767" s="4"/>
      <c r="BN1767" s="4"/>
      <c r="BO1767" s="4"/>
      <c r="BP1767" s="4"/>
      <c r="BQ1767" s="4"/>
      <c r="BR1767" s="4"/>
      <c r="BS1767" s="4"/>
      <c r="BT1767" s="4"/>
      <c r="BU1767" s="4"/>
      <c r="BV1767" s="4"/>
      <c r="BW1767" s="4"/>
      <c r="BX1767" s="4"/>
      <c r="BY1767" s="4"/>
      <c r="BZ1767" s="4"/>
      <c r="CA1767" s="4"/>
      <c r="CB1767" s="4"/>
      <c r="CC1767" s="4"/>
      <c r="CD1767" s="4"/>
      <c r="CE1767" s="4"/>
      <c r="CF1767" s="4"/>
      <c r="CG1767" s="4"/>
      <c r="CH1767" s="4"/>
      <c r="CI1767" s="4"/>
      <c r="CJ1767" s="4"/>
      <c r="CK1767" s="4"/>
      <c r="CL1767" s="4"/>
      <c r="CM1767" s="4"/>
      <c r="CN1767" s="4"/>
      <c r="CO1767" s="4"/>
      <c r="CP1767" s="4"/>
      <c r="CQ1767" s="4"/>
      <c r="CR1767" s="4"/>
      <c r="CS1767" s="4"/>
      <c r="CT1767" s="4"/>
      <c r="CU1767" s="4"/>
      <c r="CV1767" s="4"/>
      <c r="CW1767" s="4"/>
      <c r="CX1767" s="4"/>
      <c r="CY1767" s="4"/>
      <c r="CZ1767" s="4"/>
      <c r="DA1767" s="4"/>
      <c r="DB1767" s="4"/>
      <c r="DC1767" s="4"/>
      <c r="DD1767" s="4"/>
      <c r="DE1767" s="4"/>
      <c r="DF1767" s="4"/>
      <c r="DG1767" s="4"/>
      <c r="DH1767" s="4"/>
      <c r="DI1767" s="4"/>
      <c r="DJ1767" s="4"/>
      <c r="DK1767" s="4"/>
      <c r="DL1767" s="4"/>
      <c r="DM1767" s="4"/>
      <c r="DN1767" s="4"/>
      <c r="DO1767" s="4"/>
      <c r="DP1767" s="4"/>
      <c r="DQ1767" s="4"/>
      <c r="DR1767" s="4"/>
      <c r="DS1767" s="4"/>
    </row>
    <row r="1768">
      <c r="A1768" s="4"/>
      <c r="B1768" s="4"/>
      <c r="C1768" s="4"/>
      <c r="D1768" s="4"/>
      <c r="E1768" s="4"/>
      <c r="F1768" s="4" t="s">
        <v>17</v>
      </c>
      <c r="G1768" s="15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  <c r="AA1768" s="4"/>
      <c r="AB1768" s="4"/>
      <c r="AC1768" s="4"/>
      <c r="AD1768" s="4"/>
      <c r="AE1768" s="4"/>
      <c r="AF1768" s="4"/>
      <c r="AG1768" s="4"/>
      <c r="AH1768" s="4"/>
      <c r="AI1768" s="4"/>
      <c r="AJ1768" s="4"/>
      <c r="AK1768" s="4"/>
      <c r="AL1768" s="4"/>
      <c r="AM1768" s="4"/>
      <c r="AN1768" s="4"/>
      <c r="AO1768" s="4"/>
      <c r="AP1768" s="4"/>
      <c r="AQ1768" s="4"/>
      <c r="AR1768" s="4"/>
      <c r="AS1768" s="4"/>
      <c r="AT1768" s="4"/>
      <c r="AU1768" s="4"/>
      <c r="AV1768" s="4"/>
      <c r="AW1768" s="4"/>
      <c r="AX1768" s="4"/>
      <c r="AY1768" s="4"/>
      <c r="AZ1768" s="4"/>
      <c r="BA1768" s="4"/>
      <c r="BB1768" s="4"/>
      <c r="BC1768" s="4"/>
      <c r="BD1768" s="4"/>
      <c r="BE1768" s="4"/>
      <c r="BF1768" s="4"/>
      <c r="BG1768" s="4"/>
      <c r="BH1768" s="4"/>
      <c r="BI1768" s="4"/>
      <c r="BJ1768" s="4"/>
      <c r="BK1768" s="4"/>
      <c r="BL1768" s="4"/>
      <c r="BM1768" s="4"/>
      <c r="BN1768" s="4"/>
      <c r="BO1768" s="4"/>
      <c r="BP1768" s="4"/>
      <c r="BQ1768" s="4"/>
      <c r="BR1768" s="4"/>
      <c r="BS1768" s="4"/>
      <c r="BT1768" s="4"/>
      <c r="BU1768" s="4"/>
      <c r="BV1768" s="4"/>
      <c r="BW1768" s="4"/>
      <c r="BX1768" s="4"/>
      <c r="BY1768" s="4"/>
      <c r="BZ1768" s="4"/>
      <c r="CA1768" s="4"/>
      <c r="CB1768" s="4"/>
      <c r="CC1768" s="4"/>
      <c r="CD1768" s="4"/>
      <c r="CE1768" s="4"/>
      <c r="CF1768" s="4"/>
      <c r="CG1768" s="4"/>
      <c r="CH1768" s="4"/>
      <c r="CI1768" s="4"/>
      <c r="CJ1768" s="4"/>
      <c r="CK1768" s="4"/>
      <c r="CL1768" s="4"/>
      <c r="CM1768" s="4"/>
      <c r="CN1768" s="4"/>
      <c r="CO1768" s="4"/>
      <c r="CP1768" s="4"/>
      <c r="CQ1768" s="4"/>
      <c r="CR1768" s="4"/>
      <c r="CS1768" s="4"/>
      <c r="CT1768" s="4"/>
      <c r="CU1768" s="4"/>
      <c r="CV1768" s="4"/>
      <c r="CW1768" s="4"/>
      <c r="CX1768" s="4"/>
      <c r="CY1768" s="4"/>
      <c r="CZ1768" s="4"/>
      <c r="DA1768" s="4"/>
      <c r="DB1768" s="4"/>
      <c r="DC1768" s="4"/>
      <c r="DD1768" s="4"/>
      <c r="DE1768" s="4"/>
      <c r="DF1768" s="4"/>
      <c r="DG1768" s="4"/>
      <c r="DH1768" s="4"/>
      <c r="DI1768" s="4"/>
      <c r="DJ1768" s="4"/>
      <c r="DK1768" s="4"/>
      <c r="DL1768" s="4"/>
      <c r="DM1768" s="4"/>
      <c r="DN1768" s="4"/>
      <c r="DO1768" s="4"/>
      <c r="DP1768" s="4"/>
      <c r="DQ1768" s="4"/>
      <c r="DR1768" s="4"/>
      <c r="DS1768" s="4"/>
    </row>
    <row r="1769">
      <c r="A1769" s="4"/>
      <c r="B1769" s="4"/>
      <c r="C1769" s="4"/>
      <c r="D1769" s="4"/>
      <c r="E1769" s="4"/>
      <c r="F1769" s="4" t="s">
        <v>17</v>
      </c>
      <c r="G1769" s="15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  <c r="AA1769" s="4"/>
      <c r="AB1769" s="4"/>
      <c r="AC1769" s="4"/>
      <c r="AD1769" s="4"/>
      <c r="AE1769" s="4"/>
      <c r="AF1769" s="4"/>
      <c r="AG1769" s="4"/>
      <c r="AH1769" s="4"/>
      <c r="AI1769" s="4"/>
      <c r="AJ1769" s="4"/>
      <c r="AK1769" s="4"/>
      <c r="AL1769" s="4"/>
      <c r="AM1769" s="4"/>
      <c r="AN1769" s="4"/>
      <c r="AO1769" s="4"/>
      <c r="AP1769" s="4"/>
      <c r="AQ1769" s="4"/>
      <c r="AR1769" s="4"/>
      <c r="AS1769" s="4"/>
      <c r="AT1769" s="4"/>
      <c r="AU1769" s="4"/>
      <c r="AV1769" s="4"/>
      <c r="AW1769" s="4"/>
      <c r="AX1769" s="4"/>
      <c r="AY1769" s="4"/>
      <c r="AZ1769" s="4"/>
      <c r="BA1769" s="4"/>
      <c r="BB1769" s="4"/>
      <c r="BC1769" s="4"/>
      <c r="BD1769" s="4"/>
      <c r="BE1769" s="4"/>
      <c r="BF1769" s="4"/>
      <c r="BG1769" s="4"/>
      <c r="BH1769" s="4"/>
      <c r="BI1769" s="4"/>
      <c r="BJ1769" s="4"/>
      <c r="BK1769" s="4"/>
      <c r="BL1769" s="4"/>
      <c r="BM1769" s="4"/>
      <c r="BN1769" s="4"/>
      <c r="BO1769" s="4"/>
      <c r="BP1769" s="4"/>
      <c r="BQ1769" s="4"/>
      <c r="BR1769" s="4"/>
      <c r="BS1769" s="4"/>
      <c r="BT1769" s="4"/>
      <c r="BU1769" s="4"/>
      <c r="BV1769" s="4"/>
      <c r="BW1769" s="4"/>
      <c r="BX1769" s="4"/>
      <c r="BY1769" s="4"/>
      <c r="BZ1769" s="4"/>
      <c r="CA1769" s="4"/>
      <c r="CB1769" s="4"/>
      <c r="CC1769" s="4"/>
      <c r="CD1769" s="4"/>
      <c r="CE1769" s="4"/>
      <c r="CF1769" s="4"/>
      <c r="CG1769" s="4"/>
      <c r="CH1769" s="4"/>
      <c r="CI1769" s="4"/>
      <c r="CJ1769" s="4"/>
      <c r="CK1769" s="4"/>
      <c r="CL1769" s="4"/>
      <c r="CM1769" s="4"/>
      <c r="CN1769" s="4"/>
      <c r="CO1769" s="4"/>
      <c r="CP1769" s="4"/>
      <c r="CQ1769" s="4"/>
      <c r="CR1769" s="4"/>
      <c r="CS1769" s="4"/>
      <c r="CT1769" s="4"/>
      <c r="CU1769" s="4"/>
      <c r="CV1769" s="4"/>
      <c r="CW1769" s="4"/>
      <c r="CX1769" s="4"/>
      <c r="CY1769" s="4"/>
      <c r="CZ1769" s="4"/>
      <c r="DA1769" s="4"/>
      <c r="DB1769" s="4"/>
      <c r="DC1769" s="4"/>
      <c r="DD1769" s="4"/>
      <c r="DE1769" s="4"/>
      <c r="DF1769" s="4"/>
      <c r="DG1769" s="4"/>
      <c r="DH1769" s="4"/>
      <c r="DI1769" s="4"/>
      <c r="DJ1769" s="4"/>
      <c r="DK1769" s="4"/>
      <c r="DL1769" s="4"/>
      <c r="DM1769" s="4"/>
      <c r="DN1769" s="4"/>
      <c r="DO1769" s="4"/>
      <c r="DP1769" s="4"/>
      <c r="DQ1769" s="4"/>
      <c r="DR1769" s="4"/>
      <c r="DS1769" s="4"/>
    </row>
    <row r="1770">
      <c r="A1770" s="4"/>
      <c r="B1770" s="4"/>
      <c r="C1770" s="4"/>
      <c r="D1770" s="4"/>
      <c r="E1770" s="4"/>
      <c r="F1770" s="4" t="s">
        <v>17</v>
      </c>
      <c r="G1770" s="15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  <c r="AA1770" s="4"/>
      <c r="AB1770" s="4"/>
      <c r="AC1770" s="4"/>
      <c r="AD1770" s="4"/>
      <c r="AE1770" s="4"/>
      <c r="AF1770" s="4"/>
      <c r="AG1770" s="4"/>
      <c r="AH1770" s="4"/>
      <c r="AI1770" s="4"/>
      <c r="AJ1770" s="4"/>
      <c r="AK1770" s="4"/>
      <c r="AL1770" s="4"/>
      <c r="AM1770" s="4"/>
      <c r="AN1770" s="4"/>
      <c r="AO1770" s="4"/>
      <c r="AP1770" s="4"/>
      <c r="AQ1770" s="4"/>
      <c r="AR1770" s="4"/>
      <c r="AS1770" s="4"/>
      <c r="AT1770" s="4"/>
      <c r="AU1770" s="4"/>
      <c r="AV1770" s="4"/>
      <c r="AW1770" s="4"/>
      <c r="AX1770" s="4"/>
      <c r="AY1770" s="4"/>
      <c r="AZ1770" s="4"/>
      <c r="BA1770" s="4"/>
      <c r="BB1770" s="4"/>
      <c r="BC1770" s="4"/>
      <c r="BD1770" s="4"/>
      <c r="BE1770" s="4"/>
      <c r="BF1770" s="4"/>
      <c r="BG1770" s="4"/>
      <c r="BH1770" s="4"/>
      <c r="BI1770" s="4"/>
      <c r="BJ1770" s="4"/>
      <c r="BK1770" s="4"/>
      <c r="BL1770" s="4"/>
      <c r="BM1770" s="4"/>
      <c r="BN1770" s="4"/>
      <c r="BO1770" s="4"/>
      <c r="BP1770" s="4"/>
      <c r="BQ1770" s="4"/>
      <c r="BR1770" s="4"/>
      <c r="BS1770" s="4"/>
      <c r="BT1770" s="4"/>
      <c r="BU1770" s="4"/>
      <c r="BV1770" s="4"/>
      <c r="BW1770" s="4"/>
      <c r="BX1770" s="4"/>
      <c r="BY1770" s="4"/>
      <c r="BZ1770" s="4"/>
      <c r="CA1770" s="4"/>
      <c r="CB1770" s="4"/>
      <c r="CC1770" s="4"/>
      <c r="CD1770" s="4"/>
      <c r="CE1770" s="4"/>
      <c r="CF1770" s="4"/>
      <c r="CG1770" s="4"/>
      <c r="CH1770" s="4"/>
      <c r="CI1770" s="4"/>
      <c r="CJ1770" s="4"/>
      <c r="CK1770" s="4"/>
      <c r="CL1770" s="4"/>
      <c r="CM1770" s="4"/>
      <c r="CN1770" s="4"/>
      <c r="CO1770" s="4"/>
      <c r="CP1770" s="4"/>
      <c r="CQ1770" s="4"/>
      <c r="CR1770" s="4"/>
      <c r="CS1770" s="4"/>
      <c r="CT1770" s="4"/>
      <c r="CU1770" s="4"/>
      <c r="CV1770" s="4"/>
      <c r="CW1770" s="4"/>
      <c r="CX1770" s="4"/>
      <c r="CY1770" s="4"/>
      <c r="CZ1770" s="4"/>
      <c r="DA1770" s="4"/>
      <c r="DB1770" s="4"/>
      <c r="DC1770" s="4"/>
      <c r="DD1770" s="4"/>
      <c r="DE1770" s="4"/>
      <c r="DF1770" s="4"/>
      <c r="DG1770" s="4"/>
      <c r="DH1770" s="4"/>
      <c r="DI1770" s="4"/>
      <c r="DJ1770" s="4"/>
      <c r="DK1770" s="4"/>
      <c r="DL1770" s="4"/>
      <c r="DM1770" s="4"/>
      <c r="DN1770" s="4"/>
      <c r="DO1770" s="4"/>
      <c r="DP1770" s="4"/>
      <c r="DQ1770" s="4"/>
      <c r="DR1770" s="4"/>
      <c r="DS1770" s="4"/>
    </row>
    <row r="1771">
      <c r="A1771" s="4"/>
      <c r="B1771" s="4"/>
      <c r="C1771" s="4"/>
      <c r="D1771" s="4"/>
      <c r="E1771" s="4"/>
      <c r="F1771" s="4" t="s">
        <v>17</v>
      </c>
      <c r="G1771" s="15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  <c r="AA1771" s="4"/>
      <c r="AB1771" s="4"/>
      <c r="AC1771" s="4"/>
      <c r="AD1771" s="4"/>
      <c r="AE1771" s="4"/>
      <c r="AF1771" s="4"/>
      <c r="AG1771" s="4"/>
      <c r="AH1771" s="4"/>
      <c r="AI1771" s="4"/>
      <c r="AJ1771" s="4"/>
      <c r="AK1771" s="4"/>
      <c r="AL1771" s="4"/>
      <c r="AM1771" s="4"/>
      <c r="AN1771" s="4"/>
      <c r="AO1771" s="4"/>
      <c r="AP1771" s="4"/>
      <c r="AQ1771" s="4"/>
      <c r="AR1771" s="4"/>
      <c r="AS1771" s="4"/>
      <c r="AT1771" s="4"/>
      <c r="AU1771" s="4"/>
      <c r="AV1771" s="4"/>
      <c r="AW1771" s="4"/>
      <c r="AX1771" s="4"/>
      <c r="AY1771" s="4"/>
      <c r="AZ1771" s="4"/>
      <c r="BA1771" s="4"/>
      <c r="BB1771" s="4"/>
      <c r="BC1771" s="4"/>
      <c r="BD1771" s="4"/>
      <c r="BE1771" s="4"/>
      <c r="BF1771" s="4"/>
      <c r="BG1771" s="4"/>
      <c r="BH1771" s="4"/>
      <c r="BI1771" s="4"/>
      <c r="BJ1771" s="4"/>
      <c r="BK1771" s="4"/>
      <c r="BL1771" s="4"/>
      <c r="BM1771" s="4"/>
      <c r="BN1771" s="4"/>
      <c r="BO1771" s="4"/>
      <c r="BP1771" s="4"/>
      <c r="BQ1771" s="4"/>
      <c r="BR1771" s="4"/>
      <c r="BS1771" s="4"/>
      <c r="BT1771" s="4"/>
      <c r="BU1771" s="4"/>
      <c r="BV1771" s="4"/>
      <c r="BW1771" s="4"/>
      <c r="BX1771" s="4"/>
      <c r="BY1771" s="4"/>
      <c r="BZ1771" s="4"/>
      <c r="CA1771" s="4"/>
      <c r="CB1771" s="4"/>
      <c r="CC1771" s="4"/>
      <c r="CD1771" s="4"/>
      <c r="CE1771" s="4"/>
      <c r="CF1771" s="4"/>
      <c r="CG1771" s="4"/>
      <c r="CH1771" s="4"/>
      <c r="CI1771" s="4"/>
      <c r="CJ1771" s="4"/>
      <c r="CK1771" s="4"/>
      <c r="CL1771" s="4"/>
      <c r="CM1771" s="4"/>
      <c r="CN1771" s="4"/>
      <c r="CO1771" s="4"/>
      <c r="CP1771" s="4"/>
      <c r="CQ1771" s="4"/>
      <c r="CR1771" s="4"/>
      <c r="CS1771" s="4"/>
      <c r="CT1771" s="4"/>
      <c r="CU1771" s="4"/>
      <c r="CV1771" s="4"/>
      <c r="CW1771" s="4"/>
      <c r="CX1771" s="4"/>
      <c r="CY1771" s="4"/>
      <c r="CZ1771" s="4"/>
      <c r="DA1771" s="4"/>
      <c r="DB1771" s="4"/>
      <c r="DC1771" s="4"/>
      <c r="DD1771" s="4"/>
      <c r="DE1771" s="4"/>
      <c r="DF1771" s="4"/>
      <c r="DG1771" s="4"/>
      <c r="DH1771" s="4"/>
      <c r="DI1771" s="4"/>
      <c r="DJ1771" s="4"/>
      <c r="DK1771" s="4"/>
      <c r="DL1771" s="4"/>
      <c r="DM1771" s="4"/>
      <c r="DN1771" s="4"/>
      <c r="DO1771" s="4"/>
      <c r="DP1771" s="4"/>
      <c r="DQ1771" s="4"/>
      <c r="DR1771" s="4"/>
      <c r="DS1771" s="4"/>
    </row>
    <row r="1772">
      <c r="A1772" s="4"/>
      <c r="B1772" s="4"/>
      <c r="C1772" s="4"/>
      <c r="D1772" s="4"/>
      <c r="E1772" s="4"/>
      <c r="F1772" s="4" t="s">
        <v>17</v>
      </c>
      <c r="G1772" s="15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  <c r="AA1772" s="4"/>
      <c r="AB1772" s="4"/>
      <c r="AC1772" s="4"/>
      <c r="AD1772" s="4"/>
      <c r="AE1772" s="4"/>
      <c r="AF1772" s="4"/>
      <c r="AG1772" s="4"/>
      <c r="AH1772" s="4"/>
      <c r="AI1772" s="4"/>
      <c r="AJ1772" s="4"/>
      <c r="AK1772" s="4"/>
      <c r="AL1772" s="4"/>
      <c r="AM1772" s="4"/>
      <c r="AN1772" s="4"/>
      <c r="AO1772" s="4"/>
      <c r="AP1772" s="4"/>
      <c r="AQ1772" s="4"/>
      <c r="AR1772" s="4"/>
      <c r="AS1772" s="4"/>
      <c r="AT1772" s="4"/>
      <c r="AU1772" s="4"/>
      <c r="AV1772" s="4"/>
      <c r="AW1772" s="4"/>
      <c r="AX1772" s="4"/>
      <c r="AY1772" s="4"/>
      <c r="AZ1772" s="4"/>
      <c r="BA1772" s="4"/>
      <c r="BB1772" s="4"/>
      <c r="BC1772" s="4"/>
      <c r="BD1772" s="4"/>
      <c r="BE1772" s="4"/>
      <c r="BF1772" s="4"/>
      <c r="BG1772" s="4"/>
      <c r="BH1772" s="4"/>
      <c r="BI1772" s="4"/>
      <c r="BJ1772" s="4"/>
      <c r="BK1772" s="4"/>
      <c r="BL1772" s="4"/>
      <c r="BM1772" s="4"/>
      <c r="BN1772" s="4"/>
      <c r="BO1772" s="4"/>
      <c r="BP1772" s="4"/>
      <c r="BQ1772" s="4"/>
      <c r="BR1772" s="4"/>
      <c r="BS1772" s="4"/>
      <c r="BT1772" s="4"/>
      <c r="BU1772" s="4"/>
      <c r="BV1772" s="4"/>
      <c r="BW1772" s="4"/>
      <c r="BX1772" s="4"/>
      <c r="BY1772" s="4"/>
      <c r="BZ1772" s="4"/>
      <c r="CA1772" s="4"/>
      <c r="CB1772" s="4"/>
      <c r="CC1772" s="4"/>
      <c r="CD1772" s="4"/>
      <c r="CE1772" s="4"/>
      <c r="CF1772" s="4"/>
      <c r="CG1772" s="4"/>
      <c r="CH1772" s="4"/>
      <c r="CI1772" s="4"/>
      <c r="CJ1772" s="4"/>
      <c r="CK1772" s="4"/>
      <c r="CL1772" s="4"/>
      <c r="CM1772" s="4"/>
      <c r="CN1772" s="4"/>
      <c r="CO1772" s="4"/>
      <c r="CP1772" s="4"/>
      <c r="CQ1772" s="4"/>
      <c r="CR1772" s="4"/>
      <c r="CS1772" s="4"/>
      <c r="CT1772" s="4"/>
      <c r="CU1772" s="4"/>
      <c r="CV1772" s="4"/>
      <c r="CW1772" s="4"/>
      <c r="CX1772" s="4"/>
      <c r="CY1772" s="4"/>
      <c r="CZ1772" s="4"/>
      <c r="DA1772" s="4"/>
      <c r="DB1772" s="4"/>
      <c r="DC1772" s="4"/>
      <c r="DD1772" s="4"/>
      <c r="DE1772" s="4"/>
      <c r="DF1772" s="4"/>
      <c r="DG1772" s="4"/>
      <c r="DH1772" s="4"/>
      <c r="DI1772" s="4"/>
      <c r="DJ1772" s="4"/>
      <c r="DK1772" s="4"/>
      <c r="DL1772" s="4"/>
      <c r="DM1772" s="4"/>
      <c r="DN1772" s="4"/>
      <c r="DO1772" s="4"/>
      <c r="DP1772" s="4"/>
      <c r="DQ1772" s="4"/>
      <c r="DR1772" s="4"/>
      <c r="DS1772" s="4"/>
    </row>
    <row r="1773">
      <c r="A1773" s="4"/>
      <c r="B1773" s="4"/>
      <c r="C1773" s="4"/>
      <c r="D1773" s="4"/>
      <c r="E1773" s="4"/>
      <c r="F1773" s="4" t="s">
        <v>17</v>
      </c>
      <c r="G1773" s="15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  <c r="AA1773" s="4"/>
      <c r="AB1773" s="4"/>
      <c r="AC1773" s="4"/>
      <c r="AD1773" s="4"/>
      <c r="AE1773" s="4"/>
      <c r="AF1773" s="4"/>
      <c r="AG1773" s="4"/>
      <c r="AH1773" s="4"/>
      <c r="AI1773" s="4"/>
      <c r="AJ1773" s="4"/>
      <c r="AK1773" s="4"/>
      <c r="AL1773" s="4"/>
      <c r="AM1773" s="4"/>
      <c r="AN1773" s="4"/>
      <c r="AO1773" s="4"/>
      <c r="AP1773" s="4"/>
      <c r="AQ1773" s="4"/>
      <c r="AR1773" s="4"/>
      <c r="AS1773" s="4"/>
      <c r="AT1773" s="4"/>
      <c r="AU1773" s="4"/>
      <c r="AV1773" s="4"/>
      <c r="AW1773" s="4"/>
      <c r="AX1773" s="4"/>
      <c r="AY1773" s="4"/>
      <c r="AZ1773" s="4"/>
      <c r="BA1773" s="4"/>
      <c r="BB1773" s="4"/>
      <c r="BC1773" s="4"/>
      <c r="BD1773" s="4"/>
      <c r="BE1773" s="4"/>
      <c r="BF1773" s="4"/>
      <c r="BG1773" s="4"/>
      <c r="BH1773" s="4"/>
      <c r="BI1773" s="4"/>
      <c r="BJ1773" s="4"/>
      <c r="BK1773" s="4"/>
      <c r="BL1773" s="4"/>
      <c r="BM1773" s="4"/>
      <c r="BN1773" s="4"/>
      <c r="BO1773" s="4"/>
      <c r="BP1773" s="4"/>
      <c r="BQ1773" s="4"/>
      <c r="BR1773" s="4"/>
      <c r="BS1773" s="4"/>
      <c r="BT1773" s="4"/>
      <c r="BU1773" s="4"/>
      <c r="BV1773" s="4"/>
      <c r="BW1773" s="4"/>
      <c r="BX1773" s="4"/>
      <c r="BY1773" s="4"/>
      <c r="BZ1773" s="4"/>
      <c r="CA1773" s="4"/>
      <c r="CB1773" s="4"/>
      <c r="CC1773" s="4"/>
      <c r="CD1773" s="4"/>
      <c r="CE1773" s="4"/>
      <c r="CF1773" s="4"/>
      <c r="CG1773" s="4"/>
      <c r="CH1773" s="4"/>
      <c r="CI1773" s="4"/>
      <c r="CJ1773" s="4"/>
      <c r="CK1773" s="4"/>
      <c r="CL1773" s="4"/>
      <c r="CM1773" s="4"/>
      <c r="CN1773" s="4"/>
      <c r="CO1773" s="4"/>
      <c r="CP1773" s="4"/>
      <c r="CQ1773" s="4"/>
      <c r="CR1773" s="4"/>
      <c r="CS1773" s="4"/>
      <c r="CT1773" s="4"/>
      <c r="CU1773" s="4"/>
      <c r="CV1773" s="4"/>
      <c r="CW1773" s="4"/>
      <c r="CX1773" s="4"/>
      <c r="CY1773" s="4"/>
      <c r="CZ1773" s="4"/>
      <c r="DA1773" s="4"/>
      <c r="DB1773" s="4"/>
      <c r="DC1773" s="4"/>
      <c r="DD1773" s="4"/>
      <c r="DE1773" s="4"/>
      <c r="DF1773" s="4"/>
      <c r="DG1773" s="4"/>
      <c r="DH1773" s="4"/>
      <c r="DI1773" s="4"/>
      <c r="DJ1773" s="4"/>
      <c r="DK1773" s="4"/>
      <c r="DL1773" s="4"/>
      <c r="DM1773" s="4"/>
      <c r="DN1773" s="4"/>
      <c r="DO1773" s="4"/>
      <c r="DP1773" s="4"/>
      <c r="DQ1773" s="4"/>
      <c r="DR1773" s="4"/>
      <c r="DS1773" s="4"/>
    </row>
    <row r="1774">
      <c r="A1774" s="4"/>
      <c r="B1774" s="4"/>
      <c r="C1774" s="4"/>
      <c r="D1774" s="4"/>
      <c r="E1774" s="4"/>
      <c r="F1774" s="4" t="s">
        <v>17</v>
      </c>
      <c r="G1774" s="15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  <c r="AA1774" s="4"/>
      <c r="AB1774" s="4"/>
      <c r="AC1774" s="4"/>
      <c r="AD1774" s="4"/>
      <c r="AE1774" s="4"/>
      <c r="AF1774" s="4"/>
      <c r="AG1774" s="4"/>
      <c r="AH1774" s="4"/>
      <c r="AI1774" s="4"/>
      <c r="AJ1774" s="4"/>
      <c r="AK1774" s="4"/>
      <c r="AL1774" s="4"/>
      <c r="AM1774" s="4"/>
      <c r="AN1774" s="4"/>
      <c r="AO1774" s="4"/>
      <c r="AP1774" s="4"/>
      <c r="AQ1774" s="4"/>
      <c r="AR1774" s="4"/>
      <c r="AS1774" s="4"/>
      <c r="AT1774" s="4"/>
      <c r="AU1774" s="4"/>
      <c r="AV1774" s="4"/>
      <c r="AW1774" s="4"/>
      <c r="AX1774" s="4"/>
      <c r="AY1774" s="4"/>
      <c r="AZ1774" s="4"/>
      <c r="BA1774" s="4"/>
      <c r="BB1774" s="4"/>
      <c r="BC1774" s="4"/>
      <c r="BD1774" s="4"/>
      <c r="BE1774" s="4"/>
      <c r="BF1774" s="4"/>
      <c r="BG1774" s="4"/>
      <c r="BH1774" s="4"/>
      <c r="BI1774" s="4"/>
      <c r="BJ1774" s="4"/>
      <c r="BK1774" s="4"/>
      <c r="BL1774" s="4"/>
      <c r="BM1774" s="4"/>
      <c r="BN1774" s="4"/>
      <c r="BO1774" s="4"/>
      <c r="BP1774" s="4"/>
      <c r="BQ1774" s="4"/>
      <c r="BR1774" s="4"/>
      <c r="BS1774" s="4"/>
      <c r="BT1774" s="4"/>
      <c r="BU1774" s="4"/>
      <c r="BV1774" s="4"/>
      <c r="BW1774" s="4"/>
      <c r="BX1774" s="4"/>
      <c r="BY1774" s="4"/>
      <c r="BZ1774" s="4"/>
      <c r="CA1774" s="4"/>
      <c r="CB1774" s="4"/>
      <c r="CC1774" s="4"/>
      <c r="CD1774" s="4"/>
      <c r="CE1774" s="4"/>
      <c r="CF1774" s="4"/>
      <c r="CG1774" s="4"/>
      <c r="CH1774" s="4"/>
      <c r="CI1774" s="4"/>
      <c r="CJ1774" s="4"/>
      <c r="CK1774" s="4"/>
      <c r="CL1774" s="4"/>
      <c r="CM1774" s="4"/>
      <c r="CN1774" s="4"/>
      <c r="CO1774" s="4"/>
      <c r="CP1774" s="4"/>
      <c r="CQ1774" s="4"/>
      <c r="CR1774" s="4"/>
      <c r="CS1774" s="4"/>
      <c r="CT1774" s="4"/>
      <c r="CU1774" s="4"/>
      <c r="CV1774" s="4"/>
      <c r="CW1774" s="4"/>
      <c r="CX1774" s="4"/>
      <c r="CY1774" s="4"/>
      <c r="CZ1774" s="4"/>
      <c r="DA1774" s="4"/>
      <c r="DB1774" s="4"/>
      <c r="DC1774" s="4"/>
      <c r="DD1774" s="4"/>
      <c r="DE1774" s="4"/>
      <c r="DF1774" s="4"/>
      <c r="DG1774" s="4"/>
      <c r="DH1774" s="4"/>
      <c r="DI1774" s="4"/>
      <c r="DJ1774" s="4"/>
      <c r="DK1774" s="4"/>
      <c r="DL1774" s="4"/>
      <c r="DM1774" s="4"/>
      <c r="DN1774" s="4"/>
      <c r="DO1774" s="4"/>
      <c r="DP1774" s="4"/>
      <c r="DQ1774" s="4"/>
      <c r="DR1774" s="4"/>
      <c r="DS1774" s="4"/>
    </row>
    <row r="1775">
      <c r="A1775" s="4"/>
      <c r="B1775" s="4"/>
      <c r="C1775" s="4"/>
      <c r="D1775" s="4"/>
      <c r="E1775" s="4"/>
      <c r="F1775" s="4" t="s">
        <v>17</v>
      </c>
      <c r="G1775" s="15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  <c r="AA1775" s="4"/>
      <c r="AB1775" s="4"/>
      <c r="AC1775" s="4"/>
      <c r="AD1775" s="4"/>
      <c r="AE1775" s="4"/>
      <c r="AF1775" s="4"/>
      <c r="AG1775" s="4"/>
      <c r="AH1775" s="4"/>
      <c r="AI1775" s="4"/>
      <c r="AJ1775" s="4"/>
      <c r="AK1775" s="4"/>
      <c r="AL1775" s="4"/>
      <c r="AM1775" s="4"/>
      <c r="AN1775" s="4"/>
      <c r="AO1775" s="4"/>
      <c r="AP1775" s="4"/>
      <c r="AQ1775" s="4"/>
      <c r="AR1775" s="4"/>
      <c r="AS1775" s="4"/>
      <c r="AT1775" s="4"/>
      <c r="AU1775" s="4"/>
      <c r="AV1775" s="4"/>
      <c r="AW1775" s="4"/>
      <c r="AX1775" s="4"/>
      <c r="AY1775" s="4"/>
      <c r="AZ1775" s="4"/>
      <c r="BA1775" s="4"/>
      <c r="BB1775" s="4"/>
      <c r="BC1775" s="4"/>
      <c r="BD1775" s="4"/>
      <c r="BE1775" s="4"/>
      <c r="BF1775" s="4"/>
      <c r="BG1775" s="4"/>
      <c r="BH1775" s="4"/>
      <c r="BI1775" s="4"/>
      <c r="BJ1775" s="4"/>
      <c r="BK1775" s="4"/>
      <c r="BL1775" s="4"/>
      <c r="BM1775" s="4"/>
      <c r="BN1775" s="4"/>
      <c r="BO1775" s="4"/>
      <c r="BP1775" s="4"/>
      <c r="BQ1775" s="4"/>
      <c r="BR1775" s="4"/>
      <c r="BS1775" s="4"/>
      <c r="BT1775" s="4"/>
      <c r="BU1775" s="4"/>
      <c r="BV1775" s="4"/>
      <c r="BW1775" s="4"/>
      <c r="BX1775" s="4"/>
      <c r="BY1775" s="4"/>
      <c r="BZ1775" s="4"/>
      <c r="CA1775" s="4"/>
      <c r="CB1775" s="4"/>
      <c r="CC1775" s="4"/>
      <c r="CD1775" s="4"/>
      <c r="CE1775" s="4"/>
      <c r="CF1775" s="4"/>
      <c r="CG1775" s="4"/>
      <c r="CH1775" s="4"/>
      <c r="CI1775" s="4"/>
      <c r="CJ1775" s="4"/>
      <c r="CK1775" s="4"/>
      <c r="CL1775" s="4"/>
      <c r="CM1775" s="4"/>
      <c r="CN1775" s="4"/>
      <c r="CO1775" s="4"/>
      <c r="CP1775" s="4"/>
      <c r="CQ1775" s="4"/>
      <c r="CR1775" s="4"/>
      <c r="CS1775" s="4"/>
      <c r="CT1775" s="4"/>
      <c r="CU1775" s="4"/>
      <c r="CV1775" s="4"/>
      <c r="CW1775" s="4"/>
      <c r="CX1775" s="4"/>
      <c r="CY1775" s="4"/>
      <c r="CZ1775" s="4"/>
      <c r="DA1775" s="4"/>
      <c r="DB1775" s="4"/>
      <c r="DC1775" s="4"/>
      <c r="DD1775" s="4"/>
      <c r="DE1775" s="4"/>
      <c r="DF1775" s="4"/>
      <c r="DG1775" s="4"/>
      <c r="DH1775" s="4"/>
      <c r="DI1775" s="4"/>
      <c r="DJ1775" s="4"/>
      <c r="DK1775" s="4"/>
      <c r="DL1775" s="4"/>
      <c r="DM1775" s="4"/>
      <c r="DN1775" s="4"/>
      <c r="DO1775" s="4"/>
      <c r="DP1775" s="4"/>
      <c r="DQ1775" s="4"/>
      <c r="DR1775" s="4"/>
      <c r="DS1775" s="4"/>
    </row>
    <row r="1776">
      <c r="A1776" s="4"/>
      <c r="B1776" s="4"/>
      <c r="C1776" s="4"/>
      <c r="D1776" s="4"/>
      <c r="E1776" s="4"/>
      <c r="F1776" s="4" t="s">
        <v>17</v>
      </c>
      <c r="G1776" s="15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  <c r="AA1776" s="4"/>
      <c r="AB1776" s="4"/>
      <c r="AC1776" s="4"/>
      <c r="AD1776" s="4"/>
      <c r="AE1776" s="4"/>
      <c r="AF1776" s="4"/>
      <c r="AG1776" s="4"/>
      <c r="AH1776" s="4"/>
      <c r="AI1776" s="4"/>
      <c r="AJ1776" s="4"/>
      <c r="AK1776" s="4"/>
      <c r="AL1776" s="4"/>
      <c r="AM1776" s="4"/>
      <c r="AN1776" s="4"/>
      <c r="AO1776" s="4"/>
      <c r="AP1776" s="4"/>
      <c r="AQ1776" s="4"/>
      <c r="AR1776" s="4"/>
      <c r="AS1776" s="4"/>
      <c r="AT1776" s="4"/>
      <c r="AU1776" s="4"/>
      <c r="AV1776" s="4"/>
      <c r="AW1776" s="4"/>
      <c r="AX1776" s="4"/>
      <c r="AY1776" s="4"/>
      <c r="AZ1776" s="4"/>
      <c r="BA1776" s="4"/>
      <c r="BB1776" s="4"/>
      <c r="BC1776" s="4"/>
      <c r="BD1776" s="4"/>
      <c r="BE1776" s="4"/>
      <c r="BF1776" s="4"/>
      <c r="BG1776" s="4"/>
      <c r="BH1776" s="4"/>
      <c r="BI1776" s="4"/>
      <c r="BJ1776" s="4"/>
      <c r="BK1776" s="4"/>
      <c r="BL1776" s="4"/>
      <c r="BM1776" s="4"/>
      <c r="BN1776" s="4"/>
      <c r="BO1776" s="4"/>
      <c r="BP1776" s="4"/>
      <c r="BQ1776" s="4"/>
      <c r="BR1776" s="4"/>
      <c r="BS1776" s="4"/>
      <c r="BT1776" s="4"/>
      <c r="BU1776" s="4"/>
      <c r="BV1776" s="4"/>
      <c r="BW1776" s="4"/>
      <c r="BX1776" s="4"/>
      <c r="BY1776" s="4"/>
      <c r="BZ1776" s="4"/>
      <c r="CA1776" s="4"/>
      <c r="CB1776" s="4"/>
      <c r="CC1776" s="4"/>
      <c r="CD1776" s="4"/>
      <c r="CE1776" s="4"/>
      <c r="CF1776" s="4"/>
      <c r="CG1776" s="4"/>
      <c r="CH1776" s="4"/>
      <c r="CI1776" s="4"/>
      <c r="CJ1776" s="4"/>
      <c r="CK1776" s="4"/>
      <c r="CL1776" s="4"/>
      <c r="CM1776" s="4"/>
      <c r="CN1776" s="4"/>
      <c r="CO1776" s="4"/>
      <c r="CP1776" s="4"/>
      <c r="CQ1776" s="4"/>
      <c r="CR1776" s="4"/>
      <c r="CS1776" s="4"/>
      <c r="CT1776" s="4"/>
      <c r="CU1776" s="4"/>
      <c r="CV1776" s="4"/>
      <c r="CW1776" s="4"/>
      <c r="CX1776" s="4"/>
      <c r="CY1776" s="4"/>
      <c r="CZ1776" s="4"/>
      <c r="DA1776" s="4"/>
      <c r="DB1776" s="4"/>
      <c r="DC1776" s="4"/>
      <c r="DD1776" s="4"/>
      <c r="DE1776" s="4"/>
      <c r="DF1776" s="4"/>
      <c r="DG1776" s="4"/>
      <c r="DH1776" s="4"/>
      <c r="DI1776" s="4"/>
      <c r="DJ1776" s="4"/>
      <c r="DK1776" s="4"/>
      <c r="DL1776" s="4"/>
      <c r="DM1776" s="4"/>
      <c r="DN1776" s="4"/>
      <c r="DO1776" s="4"/>
      <c r="DP1776" s="4"/>
      <c r="DQ1776" s="4"/>
      <c r="DR1776" s="4"/>
      <c r="DS1776" s="4"/>
    </row>
    <row r="1777">
      <c r="A1777" s="4"/>
      <c r="B1777" s="4"/>
      <c r="C1777" s="4"/>
      <c r="D1777" s="4"/>
      <c r="E1777" s="4"/>
      <c r="F1777" s="4" t="s">
        <v>17</v>
      </c>
      <c r="G1777" s="15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  <c r="AA1777" s="4"/>
      <c r="AB1777" s="4"/>
      <c r="AC1777" s="4"/>
      <c r="AD1777" s="4"/>
      <c r="AE1777" s="4"/>
      <c r="AF1777" s="4"/>
      <c r="AG1777" s="4"/>
      <c r="AH1777" s="4"/>
      <c r="AI1777" s="4"/>
      <c r="AJ1777" s="4"/>
      <c r="AK1777" s="4"/>
      <c r="AL1777" s="4"/>
      <c r="AM1777" s="4"/>
      <c r="AN1777" s="4"/>
      <c r="AO1777" s="4"/>
      <c r="AP1777" s="4"/>
      <c r="AQ1777" s="4"/>
      <c r="AR1777" s="4"/>
      <c r="AS1777" s="4"/>
      <c r="AT1777" s="4"/>
      <c r="AU1777" s="4"/>
      <c r="AV1777" s="4"/>
      <c r="AW1777" s="4"/>
      <c r="AX1777" s="4"/>
      <c r="AY1777" s="4"/>
      <c r="AZ1777" s="4"/>
      <c r="BA1777" s="4"/>
      <c r="BB1777" s="4"/>
      <c r="BC1777" s="4"/>
      <c r="BD1777" s="4"/>
      <c r="BE1777" s="4"/>
      <c r="BF1777" s="4"/>
      <c r="BG1777" s="4"/>
      <c r="BH1777" s="4"/>
      <c r="BI1777" s="4"/>
      <c r="BJ1777" s="4"/>
      <c r="BK1777" s="4"/>
      <c r="BL1777" s="4"/>
      <c r="BM1777" s="4"/>
      <c r="BN1777" s="4"/>
      <c r="BO1777" s="4"/>
      <c r="BP1777" s="4"/>
      <c r="BQ1777" s="4"/>
      <c r="BR1777" s="4"/>
      <c r="BS1777" s="4"/>
      <c r="BT1777" s="4"/>
      <c r="BU1777" s="4"/>
      <c r="BV1777" s="4"/>
      <c r="BW1777" s="4"/>
      <c r="BX1777" s="4"/>
      <c r="BY1777" s="4"/>
      <c r="BZ1777" s="4"/>
      <c r="CA1777" s="4"/>
      <c r="CB1777" s="4"/>
      <c r="CC1777" s="4"/>
      <c r="CD1777" s="4"/>
      <c r="CE1777" s="4"/>
      <c r="CF1777" s="4"/>
      <c r="CG1777" s="4"/>
      <c r="CH1777" s="4"/>
      <c r="CI1777" s="4"/>
      <c r="CJ1777" s="4"/>
      <c r="CK1777" s="4"/>
      <c r="CL1777" s="4"/>
      <c r="CM1777" s="4"/>
      <c r="CN1777" s="4"/>
      <c r="CO1777" s="4"/>
      <c r="CP1777" s="4"/>
      <c r="CQ1777" s="4"/>
      <c r="CR1777" s="4"/>
      <c r="CS1777" s="4"/>
      <c r="CT1777" s="4"/>
      <c r="CU1777" s="4"/>
      <c r="CV1777" s="4"/>
      <c r="CW1777" s="4"/>
      <c r="CX1777" s="4"/>
      <c r="CY1777" s="4"/>
      <c r="CZ1777" s="4"/>
      <c r="DA1777" s="4"/>
      <c r="DB1777" s="4"/>
      <c r="DC1777" s="4"/>
      <c r="DD1777" s="4"/>
      <c r="DE1777" s="4"/>
      <c r="DF1777" s="4"/>
      <c r="DG1777" s="4"/>
      <c r="DH1777" s="4"/>
      <c r="DI1777" s="4"/>
      <c r="DJ1777" s="4"/>
      <c r="DK1777" s="4"/>
      <c r="DL1777" s="4"/>
      <c r="DM1777" s="4"/>
      <c r="DN1777" s="4"/>
      <c r="DO1777" s="4"/>
      <c r="DP1777" s="4"/>
      <c r="DQ1777" s="4"/>
      <c r="DR1777" s="4"/>
      <c r="DS1777" s="4"/>
    </row>
    <row r="1778">
      <c r="A1778" s="4"/>
      <c r="B1778" s="4"/>
      <c r="C1778" s="4"/>
      <c r="D1778" s="4"/>
      <c r="E1778" s="4"/>
      <c r="F1778" s="4" t="s">
        <v>17</v>
      </c>
      <c r="G1778" s="15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  <c r="AA1778" s="4"/>
      <c r="AB1778" s="4"/>
      <c r="AC1778" s="4"/>
      <c r="AD1778" s="4"/>
      <c r="AE1778" s="4"/>
      <c r="AF1778" s="4"/>
      <c r="AG1778" s="4"/>
      <c r="AH1778" s="4"/>
      <c r="AI1778" s="4"/>
      <c r="AJ1778" s="4"/>
      <c r="AK1778" s="4"/>
      <c r="AL1778" s="4"/>
      <c r="AM1778" s="4"/>
      <c r="AN1778" s="4"/>
      <c r="AO1778" s="4"/>
      <c r="AP1778" s="4"/>
      <c r="AQ1778" s="4"/>
      <c r="AR1778" s="4"/>
      <c r="AS1778" s="4"/>
      <c r="AT1778" s="4"/>
      <c r="AU1778" s="4"/>
      <c r="AV1778" s="4"/>
      <c r="AW1778" s="4"/>
      <c r="AX1778" s="4"/>
      <c r="AY1778" s="4"/>
      <c r="AZ1778" s="4"/>
      <c r="BA1778" s="4"/>
      <c r="BB1778" s="4"/>
      <c r="BC1778" s="4"/>
      <c r="BD1778" s="4"/>
      <c r="BE1778" s="4"/>
      <c r="BF1778" s="4"/>
      <c r="BG1778" s="4"/>
      <c r="BH1778" s="4"/>
      <c r="BI1778" s="4"/>
      <c r="BJ1778" s="4"/>
      <c r="BK1778" s="4"/>
      <c r="BL1778" s="4"/>
      <c r="BM1778" s="4"/>
      <c r="BN1778" s="4"/>
      <c r="BO1778" s="4"/>
      <c r="BP1778" s="4"/>
      <c r="BQ1778" s="4"/>
      <c r="BR1778" s="4"/>
      <c r="BS1778" s="4"/>
      <c r="BT1778" s="4"/>
      <c r="BU1778" s="4"/>
      <c r="BV1778" s="4"/>
      <c r="BW1778" s="4"/>
      <c r="BX1778" s="4"/>
      <c r="BY1778" s="4"/>
      <c r="BZ1778" s="4"/>
      <c r="CA1778" s="4"/>
      <c r="CB1778" s="4"/>
      <c r="CC1778" s="4"/>
      <c r="CD1778" s="4"/>
      <c r="CE1778" s="4"/>
      <c r="CF1778" s="4"/>
      <c r="CG1778" s="4"/>
      <c r="CH1778" s="4"/>
      <c r="CI1778" s="4"/>
      <c r="CJ1778" s="4"/>
      <c r="CK1778" s="4"/>
      <c r="CL1778" s="4"/>
      <c r="CM1778" s="4"/>
      <c r="CN1778" s="4"/>
      <c r="CO1778" s="4"/>
      <c r="CP1778" s="4"/>
      <c r="CQ1778" s="4"/>
      <c r="CR1778" s="4"/>
      <c r="CS1778" s="4"/>
      <c r="CT1778" s="4"/>
      <c r="CU1778" s="4"/>
      <c r="CV1778" s="4"/>
      <c r="CW1778" s="4"/>
      <c r="CX1778" s="4"/>
      <c r="CY1778" s="4"/>
      <c r="CZ1778" s="4"/>
      <c r="DA1778" s="4"/>
      <c r="DB1778" s="4"/>
      <c r="DC1778" s="4"/>
      <c r="DD1778" s="4"/>
      <c r="DE1778" s="4"/>
      <c r="DF1778" s="4"/>
      <c r="DG1778" s="4"/>
      <c r="DH1778" s="4"/>
      <c r="DI1778" s="4"/>
      <c r="DJ1778" s="4"/>
      <c r="DK1778" s="4"/>
      <c r="DL1778" s="4"/>
      <c r="DM1778" s="4"/>
      <c r="DN1778" s="4"/>
      <c r="DO1778" s="4"/>
      <c r="DP1778" s="4"/>
      <c r="DQ1778" s="4"/>
      <c r="DR1778" s="4"/>
      <c r="DS1778" s="4"/>
    </row>
    <row r="1779">
      <c r="A1779" s="4"/>
      <c r="B1779" s="4"/>
      <c r="C1779" s="4"/>
      <c r="D1779" s="4"/>
      <c r="E1779" s="4"/>
      <c r="F1779" s="4" t="s">
        <v>17</v>
      </c>
      <c r="G1779" s="15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  <c r="AA1779" s="4"/>
      <c r="AB1779" s="4"/>
      <c r="AC1779" s="4"/>
      <c r="AD1779" s="4"/>
      <c r="AE1779" s="4"/>
      <c r="AF1779" s="4"/>
      <c r="AG1779" s="4"/>
      <c r="AH1779" s="4"/>
      <c r="AI1779" s="4"/>
      <c r="AJ1779" s="4"/>
      <c r="AK1779" s="4"/>
      <c r="AL1779" s="4"/>
      <c r="AM1779" s="4"/>
      <c r="AN1779" s="4"/>
      <c r="AO1779" s="4"/>
      <c r="AP1779" s="4"/>
      <c r="AQ1779" s="4"/>
      <c r="AR1779" s="4"/>
      <c r="AS1779" s="4"/>
      <c r="AT1779" s="4"/>
      <c r="AU1779" s="4"/>
      <c r="AV1779" s="4"/>
      <c r="AW1779" s="4"/>
      <c r="AX1779" s="4"/>
      <c r="AY1779" s="4"/>
      <c r="AZ1779" s="4"/>
      <c r="BA1779" s="4"/>
      <c r="BB1779" s="4"/>
      <c r="BC1779" s="4"/>
      <c r="BD1779" s="4"/>
      <c r="BE1779" s="4"/>
      <c r="BF1779" s="4"/>
      <c r="BG1779" s="4"/>
      <c r="BH1779" s="4"/>
      <c r="BI1779" s="4"/>
      <c r="BJ1779" s="4"/>
      <c r="BK1779" s="4"/>
      <c r="BL1779" s="4"/>
      <c r="BM1779" s="4"/>
      <c r="BN1779" s="4"/>
      <c r="BO1779" s="4"/>
      <c r="BP1779" s="4"/>
      <c r="BQ1779" s="4"/>
      <c r="BR1779" s="4"/>
      <c r="BS1779" s="4"/>
      <c r="BT1779" s="4"/>
      <c r="BU1779" s="4"/>
      <c r="BV1779" s="4"/>
      <c r="BW1779" s="4"/>
      <c r="BX1779" s="4"/>
      <c r="BY1779" s="4"/>
      <c r="BZ1779" s="4"/>
      <c r="CA1779" s="4"/>
      <c r="CB1779" s="4"/>
      <c r="CC1779" s="4"/>
      <c r="CD1779" s="4"/>
      <c r="CE1779" s="4"/>
      <c r="CF1779" s="4"/>
      <c r="CG1779" s="4"/>
      <c r="CH1779" s="4"/>
      <c r="CI1779" s="4"/>
      <c r="CJ1779" s="4"/>
      <c r="CK1779" s="4"/>
      <c r="CL1779" s="4"/>
      <c r="CM1779" s="4"/>
      <c r="CN1779" s="4"/>
      <c r="CO1779" s="4"/>
      <c r="CP1779" s="4"/>
      <c r="CQ1779" s="4"/>
      <c r="CR1779" s="4"/>
      <c r="CS1779" s="4"/>
      <c r="CT1779" s="4"/>
      <c r="CU1779" s="4"/>
      <c r="CV1779" s="4"/>
      <c r="CW1779" s="4"/>
      <c r="CX1779" s="4"/>
      <c r="CY1779" s="4"/>
      <c r="CZ1779" s="4"/>
      <c r="DA1779" s="4"/>
      <c r="DB1779" s="4"/>
      <c r="DC1779" s="4"/>
      <c r="DD1779" s="4"/>
      <c r="DE1779" s="4"/>
      <c r="DF1779" s="4"/>
      <c r="DG1779" s="4"/>
      <c r="DH1779" s="4"/>
      <c r="DI1779" s="4"/>
      <c r="DJ1779" s="4"/>
      <c r="DK1779" s="4"/>
      <c r="DL1779" s="4"/>
      <c r="DM1779" s="4"/>
      <c r="DN1779" s="4"/>
      <c r="DO1779" s="4"/>
      <c r="DP1779" s="4"/>
      <c r="DQ1779" s="4"/>
      <c r="DR1779" s="4"/>
      <c r="DS1779" s="4"/>
    </row>
    <row r="1780">
      <c r="A1780" s="4"/>
      <c r="B1780" s="4"/>
      <c r="C1780" s="4"/>
      <c r="D1780" s="4"/>
      <c r="E1780" s="4"/>
      <c r="F1780" s="4" t="s">
        <v>17</v>
      </c>
      <c r="G1780" s="15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  <c r="AA1780" s="4"/>
      <c r="AB1780" s="4"/>
      <c r="AC1780" s="4"/>
      <c r="AD1780" s="4"/>
      <c r="AE1780" s="4"/>
      <c r="AF1780" s="4"/>
      <c r="AG1780" s="4"/>
      <c r="AH1780" s="4"/>
      <c r="AI1780" s="4"/>
      <c r="AJ1780" s="4"/>
      <c r="AK1780" s="4"/>
      <c r="AL1780" s="4"/>
      <c r="AM1780" s="4"/>
      <c r="AN1780" s="4"/>
      <c r="AO1780" s="4"/>
      <c r="AP1780" s="4"/>
      <c r="AQ1780" s="4"/>
      <c r="AR1780" s="4"/>
      <c r="AS1780" s="4"/>
      <c r="AT1780" s="4"/>
      <c r="AU1780" s="4"/>
      <c r="AV1780" s="4"/>
      <c r="AW1780" s="4"/>
      <c r="AX1780" s="4"/>
      <c r="AY1780" s="4"/>
      <c r="AZ1780" s="4"/>
      <c r="BA1780" s="4"/>
      <c r="BB1780" s="4"/>
      <c r="BC1780" s="4"/>
      <c r="BD1780" s="4"/>
      <c r="BE1780" s="4"/>
      <c r="BF1780" s="4"/>
      <c r="BG1780" s="4"/>
      <c r="BH1780" s="4"/>
      <c r="BI1780" s="4"/>
      <c r="BJ1780" s="4"/>
      <c r="BK1780" s="4"/>
      <c r="BL1780" s="4"/>
      <c r="BM1780" s="4"/>
      <c r="BN1780" s="4"/>
      <c r="BO1780" s="4"/>
      <c r="BP1780" s="4"/>
      <c r="BQ1780" s="4"/>
      <c r="BR1780" s="4"/>
      <c r="BS1780" s="4"/>
      <c r="BT1780" s="4"/>
      <c r="BU1780" s="4"/>
      <c r="BV1780" s="4"/>
      <c r="BW1780" s="4"/>
      <c r="BX1780" s="4"/>
      <c r="BY1780" s="4"/>
      <c r="BZ1780" s="4"/>
      <c r="CA1780" s="4"/>
      <c r="CB1780" s="4"/>
      <c r="CC1780" s="4"/>
      <c r="CD1780" s="4"/>
      <c r="CE1780" s="4"/>
      <c r="CF1780" s="4"/>
      <c r="CG1780" s="4"/>
      <c r="CH1780" s="4"/>
      <c r="CI1780" s="4"/>
      <c r="CJ1780" s="4"/>
      <c r="CK1780" s="4"/>
      <c r="CL1780" s="4"/>
      <c r="CM1780" s="4"/>
      <c r="CN1780" s="4"/>
      <c r="CO1780" s="4"/>
      <c r="CP1780" s="4"/>
      <c r="CQ1780" s="4"/>
      <c r="CR1780" s="4"/>
      <c r="CS1780" s="4"/>
      <c r="CT1780" s="4"/>
      <c r="CU1780" s="4"/>
      <c r="CV1780" s="4"/>
      <c r="CW1780" s="4"/>
      <c r="CX1780" s="4"/>
      <c r="CY1780" s="4"/>
      <c r="CZ1780" s="4"/>
      <c r="DA1780" s="4"/>
      <c r="DB1780" s="4"/>
      <c r="DC1780" s="4"/>
      <c r="DD1780" s="4"/>
      <c r="DE1780" s="4"/>
      <c r="DF1780" s="4"/>
      <c r="DG1780" s="4"/>
      <c r="DH1780" s="4"/>
      <c r="DI1780" s="4"/>
      <c r="DJ1780" s="4"/>
      <c r="DK1780" s="4"/>
      <c r="DL1780" s="4"/>
      <c r="DM1780" s="4"/>
      <c r="DN1780" s="4"/>
      <c r="DO1780" s="4"/>
      <c r="DP1780" s="4"/>
      <c r="DQ1780" s="4"/>
      <c r="DR1780" s="4"/>
      <c r="DS1780" s="4"/>
    </row>
    <row r="1781">
      <c r="A1781" s="4"/>
      <c r="B1781" s="4"/>
      <c r="C1781" s="4"/>
      <c r="D1781" s="4"/>
      <c r="E1781" s="4"/>
      <c r="F1781" s="4" t="s">
        <v>17</v>
      </c>
      <c r="G1781" s="15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  <c r="AA1781" s="4"/>
      <c r="AB1781" s="4"/>
      <c r="AC1781" s="4"/>
      <c r="AD1781" s="4"/>
      <c r="AE1781" s="4"/>
      <c r="AF1781" s="4"/>
      <c r="AG1781" s="4"/>
      <c r="AH1781" s="4"/>
      <c r="AI1781" s="4"/>
      <c r="AJ1781" s="4"/>
      <c r="AK1781" s="4"/>
      <c r="AL1781" s="4"/>
      <c r="AM1781" s="4"/>
      <c r="AN1781" s="4"/>
      <c r="AO1781" s="4"/>
      <c r="AP1781" s="4"/>
      <c r="AQ1781" s="4"/>
      <c r="AR1781" s="4"/>
      <c r="AS1781" s="4"/>
      <c r="AT1781" s="4"/>
      <c r="AU1781" s="4"/>
      <c r="AV1781" s="4"/>
      <c r="AW1781" s="4"/>
      <c r="AX1781" s="4"/>
      <c r="AY1781" s="4"/>
      <c r="AZ1781" s="4"/>
      <c r="BA1781" s="4"/>
      <c r="BB1781" s="4"/>
      <c r="BC1781" s="4"/>
      <c r="BD1781" s="4"/>
      <c r="BE1781" s="4"/>
      <c r="BF1781" s="4"/>
      <c r="BG1781" s="4"/>
      <c r="BH1781" s="4"/>
      <c r="BI1781" s="4"/>
      <c r="BJ1781" s="4"/>
      <c r="BK1781" s="4"/>
      <c r="BL1781" s="4"/>
      <c r="BM1781" s="4"/>
      <c r="BN1781" s="4"/>
      <c r="BO1781" s="4"/>
      <c r="BP1781" s="4"/>
      <c r="BQ1781" s="4"/>
      <c r="BR1781" s="4"/>
      <c r="BS1781" s="4"/>
      <c r="BT1781" s="4"/>
      <c r="BU1781" s="4"/>
      <c r="BV1781" s="4"/>
      <c r="BW1781" s="4"/>
      <c r="BX1781" s="4"/>
      <c r="BY1781" s="4"/>
      <c r="BZ1781" s="4"/>
      <c r="CA1781" s="4"/>
      <c r="CB1781" s="4"/>
      <c r="CC1781" s="4"/>
      <c r="CD1781" s="4"/>
      <c r="CE1781" s="4"/>
      <c r="CF1781" s="4"/>
      <c r="CG1781" s="4"/>
      <c r="CH1781" s="4"/>
      <c r="CI1781" s="4"/>
      <c r="CJ1781" s="4"/>
      <c r="CK1781" s="4"/>
      <c r="CL1781" s="4"/>
      <c r="CM1781" s="4"/>
      <c r="CN1781" s="4"/>
      <c r="CO1781" s="4"/>
      <c r="CP1781" s="4"/>
      <c r="CQ1781" s="4"/>
      <c r="CR1781" s="4"/>
      <c r="CS1781" s="4"/>
      <c r="CT1781" s="4"/>
      <c r="CU1781" s="4"/>
      <c r="CV1781" s="4"/>
      <c r="CW1781" s="4"/>
      <c r="CX1781" s="4"/>
      <c r="CY1781" s="4"/>
      <c r="CZ1781" s="4"/>
      <c r="DA1781" s="4"/>
      <c r="DB1781" s="4"/>
      <c r="DC1781" s="4"/>
      <c r="DD1781" s="4"/>
      <c r="DE1781" s="4"/>
      <c r="DF1781" s="4"/>
      <c r="DG1781" s="4"/>
      <c r="DH1781" s="4"/>
      <c r="DI1781" s="4"/>
      <c r="DJ1781" s="4"/>
      <c r="DK1781" s="4"/>
      <c r="DL1781" s="4"/>
      <c r="DM1781" s="4"/>
      <c r="DN1781" s="4"/>
      <c r="DO1781" s="4"/>
      <c r="DP1781" s="4"/>
      <c r="DQ1781" s="4"/>
      <c r="DR1781" s="4"/>
      <c r="DS1781" s="4"/>
    </row>
    <row r="1782">
      <c r="A1782" s="4"/>
      <c r="B1782" s="4"/>
      <c r="C1782" s="4"/>
      <c r="D1782" s="4"/>
      <c r="E1782" s="4"/>
      <c r="F1782" s="4" t="s">
        <v>17</v>
      </c>
      <c r="G1782" s="15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  <c r="AA1782" s="4"/>
      <c r="AB1782" s="4"/>
      <c r="AC1782" s="4"/>
      <c r="AD1782" s="4"/>
      <c r="AE1782" s="4"/>
      <c r="AF1782" s="4"/>
      <c r="AG1782" s="4"/>
      <c r="AH1782" s="4"/>
      <c r="AI1782" s="4"/>
      <c r="AJ1782" s="4"/>
      <c r="AK1782" s="4"/>
      <c r="AL1782" s="4"/>
      <c r="AM1782" s="4"/>
      <c r="AN1782" s="4"/>
      <c r="AO1782" s="4"/>
      <c r="AP1782" s="4"/>
      <c r="AQ1782" s="4"/>
      <c r="AR1782" s="4"/>
      <c r="AS1782" s="4"/>
      <c r="AT1782" s="4"/>
      <c r="AU1782" s="4"/>
      <c r="AV1782" s="4"/>
      <c r="AW1782" s="4"/>
      <c r="AX1782" s="4"/>
      <c r="AY1782" s="4"/>
      <c r="AZ1782" s="4"/>
      <c r="BA1782" s="4"/>
      <c r="BB1782" s="4"/>
      <c r="BC1782" s="4"/>
      <c r="BD1782" s="4"/>
      <c r="BE1782" s="4"/>
      <c r="BF1782" s="4"/>
      <c r="BG1782" s="4"/>
      <c r="BH1782" s="4"/>
      <c r="BI1782" s="4"/>
      <c r="BJ1782" s="4"/>
      <c r="BK1782" s="4"/>
      <c r="BL1782" s="4"/>
      <c r="BM1782" s="4"/>
      <c r="BN1782" s="4"/>
      <c r="BO1782" s="4"/>
      <c r="BP1782" s="4"/>
      <c r="BQ1782" s="4"/>
      <c r="BR1782" s="4"/>
      <c r="BS1782" s="4"/>
      <c r="BT1782" s="4"/>
      <c r="BU1782" s="4"/>
      <c r="BV1782" s="4"/>
      <c r="BW1782" s="4"/>
      <c r="BX1782" s="4"/>
      <c r="BY1782" s="4"/>
      <c r="BZ1782" s="4"/>
      <c r="CA1782" s="4"/>
      <c r="CB1782" s="4"/>
      <c r="CC1782" s="4"/>
      <c r="CD1782" s="4"/>
      <c r="CE1782" s="4"/>
      <c r="CF1782" s="4"/>
      <c r="CG1782" s="4"/>
      <c r="CH1782" s="4"/>
      <c r="CI1782" s="4"/>
      <c r="CJ1782" s="4"/>
      <c r="CK1782" s="4"/>
      <c r="CL1782" s="4"/>
      <c r="CM1782" s="4"/>
      <c r="CN1782" s="4"/>
      <c r="CO1782" s="4"/>
      <c r="CP1782" s="4"/>
      <c r="CQ1782" s="4"/>
      <c r="CR1782" s="4"/>
      <c r="CS1782" s="4"/>
      <c r="CT1782" s="4"/>
      <c r="CU1782" s="4"/>
      <c r="CV1782" s="4"/>
      <c r="CW1782" s="4"/>
      <c r="CX1782" s="4"/>
      <c r="CY1782" s="4"/>
      <c r="CZ1782" s="4"/>
      <c r="DA1782" s="4"/>
      <c r="DB1782" s="4"/>
      <c r="DC1782" s="4"/>
      <c r="DD1782" s="4"/>
      <c r="DE1782" s="4"/>
      <c r="DF1782" s="4"/>
      <c r="DG1782" s="4"/>
      <c r="DH1782" s="4"/>
      <c r="DI1782" s="4"/>
      <c r="DJ1782" s="4"/>
      <c r="DK1782" s="4"/>
      <c r="DL1782" s="4"/>
      <c r="DM1782" s="4"/>
      <c r="DN1782" s="4"/>
      <c r="DO1782" s="4"/>
      <c r="DP1782" s="4"/>
      <c r="DQ1782" s="4"/>
      <c r="DR1782" s="4"/>
      <c r="DS1782" s="4"/>
    </row>
    <row r="1783">
      <c r="A1783" s="4"/>
      <c r="B1783" s="4"/>
      <c r="C1783" s="4"/>
      <c r="D1783" s="4"/>
      <c r="E1783" s="4"/>
      <c r="F1783" s="4" t="s">
        <v>17</v>
      </c>
      <c r="G1783" s="15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  <c r="AA1783" s="4"/>
      <c r="AB1783" s="4"/>
      <c r="AC1783" s="4"/>
      <c r="AD1783" s="4"/>
      <c r="AE1783" s="4"/>
      <c r="AF1783" s="4"/>
      <c r="AG1783" s="4"/>
      <c r="AH1783" s="4"/>
      <c r="AI1783" s="4"/>
      <c r="AJ1783" s="4"/>
      <c r="AK1783" s="4"/>
      <c r="AL1783" s="4"/>
      <c r="AM1783" s="4"/>
      <c r="AN1783" s="4"/>
      <c r="AO1783" s="4"/>
      <c r="AP1783" s="4"/>
      <c r="AQ1783" s="4"/>
      <c r="AR1783" s="4"/>
      <c r="AS1783" s="4"/>
      <c r="AT1783" s="4"/>
      <c r="AU1783" s="4"/>
      <c r="AV1783" s="4"/>
      <c r="AW1783" s="4"/>
      <c r="AX1783" s="4"/>
      <c r="AY1783" s="4"/>
      <c r="AZ1783" s="4"/>
      <c r="BA1783" s="4"/>
      <c r="BB1783" s="4"/>
      <c r="BC1783" s="4"/>
      <c r="BD1783" s="4"/>
      <c r="BE1783" s="4"/>
      <c r="BF1783" s="4"/>
      <c r="BG1783" s="4"/>
      <c r="BH1783" s="4"/>
      <c r="BI1783" s="4"/>
      <c r="BJ1783" s="4"/>
      <c r="BK1783" s="4"/>
      <c r="BL1783" s="4"/>
      <c r="BM1783" s="4"/>
      <c r="BN1783" s="4"/>
      <c r="BO1783" s="4"/>
      <c r="BP1783" s="4"/>
      <c r="BQ1783" s="4"/>
      <c r="BR1783" s="4"/>
      <c r="BS1783" s="4"/>
      <c r="BT1783" s="4"/>
      <c r="BU1783" s="4"/>
      <c r="BV1783" s="4"/>
      <c r="BW1783" s="4"/>
      <c r="BX1783" s="4"/>
      <c r="BY1783" s="4"/>
      <c r="BZ1783" s="4"/>
      <c r="CA1783" s="4"/>
      <c r="CB1783" s="4"/>
      <c r="CC1783" s="4"/>
      <c r="CD1783" s="4"/>
      <c r="CE1783" s="4"/>
      <c r="CF1783" s="4"/>
      <c r="CG1783" s="4"/>
      <c r="CH1783" s="4"/>
      <c r="CI1783" s="4"/>
      <c r="CJ1783" s="4"/>
      <c r="CK1783" s="4"/>
      <c r="CL1783" s="4"/>
      <c r="CM1783" s="4"/>
      <c r="CN1783" s="4"/>
      <c r="CO1783" s="4"/>
      <c r="CP1783" s="4"/>
      <c r="CQ1783" s="4"/>
      <c r="CR1783" s="4"/>
      <c r="CS1783" s="4"/>
      <c r="CT1783" s="4"/>
      <c r="CU1783" s="4"/>
      <c r="CV1783" s="4"/>
      <c r="CW1783" s="4"/>
      <c r="CX1783" s="4"/>
      <c r="CY1783" s="4"/>
      <c r="CZ1783" s="4"/>
      <c r="DA1783" s="4"/>
      <c r="DB1783" s="4"/>
      <c r="DC1783" s="4"/>
      <c r="DD1783" s="4"/>
      <c r="DE1783" s="4"/>
      <c r="DF1783" s="4"/>
      <c r="DG1783" s="4"/>
      <c r="DH1783" s="4"/>
      <c r="DI1783" s="4"/>
      <c r="DJ1783" s="4"/>
      <c r="DK1783" s="4"/>
      <c r="DL1783" s="4"/>
      <c r="DM1783" s="4"/>
      <c r="DN1783" s="4"/>
      <c r="DO1783" s="4"/>
      <c r="DP1783" s="4"/>
      <c r="DQ1783" s="4"/>
      <c r="DR1783" s="4"/>
      <c r="DS1783" s="4"/>
    </row>
    <row r="1784">
      <c r="A1784" s="4"/>
      <c r="B1784" s="4"/>
      <c r="C1784" s="4"/>
      <c r="D1784" s="4"/>
      <c r="E1784" s="4"/>
      <c r="F1784" s="4" t="s">
        <v>17</v>
      </c>
      <c r="G1784" s="15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  <c r="AA1784" s="4"/>
      <c r="AB1784" s="4"/>
      <c r="AC1784" s="4"/>
      <c r="AD1784" s="4"/>
      <c r="AE1784" s="4"/>
      <c r="AF1784" s="4"/>
      <c r="AG1784" s="4"/>
      <c r="AH1784" s="4"/>
      <c r="AI1784" s="4"/>
      <c r="AJ1784" s="4"/>
      <c r="AK1784" s="4"/>
      <c r="AL1784" s="4"/>
      <c r="AM1784" s="4"/>
      <c r="AN1784" s="4"/>
      <c r="AO1784" s="4"/>
      <c r="AP1784" s="4"/>
      <c r="AQ1784" s="4"/>
      <c r="AR1784" s="4"/>
      <c r="AS1784" s="4"/>
      <c r="AT1784" s="4"/>
      <c r="AU1784" s="4"/>
      <c r="AV1784" s="4"/>
      <c r="AW1784" s="4"/>
      <c r="AX1784" s="4"/>
      <c r="AY1784" s="4"/>
      <c r="AZ1784" s="4"/>
      <c r="BA1784" s="4"/>
      <c r="BB1784" s="4"/>
      <c r="BC1784" s="4"/>
      <c r="BD1784" s="4"/>
      <c r="BE1784" s="4"/>
      <c r="BF1784" s="4"/>
      <c r="BG1784" s="4"/>
      <c r="BH1784" s="4"/>
      <c r="BI1784" s="4"/>
      <c r="BJ1784" s="4"/>
      <c r="BK1784" s="4"/>
      <c r="BL1784" s="4"/>
      <c r="BM1784" s="4"/>
      <c r="BN1784" s="4"/>
      <c r="BO1784" s="4"/>
      <c r="BP1784" s="4"/>
      <c r="BQ1784" s="4"/>
      <c r="BR1784" s="4"/>
      <c r="BS1784" s="4"/>
      <c r="BT1784" s="4"/>
      <c r="BU1784" s="4"/>
      <c r="BV1784" s="4"/>
      <c r="BW1784" s="4"/>
      <c r="BX1784" s="4"/>
      <c r="BY1784" s="4"/>
      <c r="BZ1784" s="4"/>
      <c r="CA1784" s="4"/>
      <c r="CB1784" s="4"/>
      <c r="CC1784" s="4"/>
      <c r="CD1784" s="4"/>
      <c r="CE1784" s="4"/>
      <c r="CF1784" s="4"/>
      <c r="CG1784" s="4"/>
      <c r="CH1784" s="4"/>
      <c r="CI1784" s="4"/>
      <c r="CJ1784" s="4"/>
      <c r="CK1784" s="4"/>
      <c r="CL1784" s="4"/>
      <c r="CM1784" s="4"/>
      <c r="CN1784" s="4"/>
      <c r="CO1784" s="4"/>
      <c r="CP1784" s="4"/>
      <c r="CQ1784" s="4"/>
      <c r="CR1784" s="4"/>
      <c r="CS1784" s="4"/>
      <c r="CT1784" s="4"/>
      <c r="CU1784" s="4"/>
      <c r="CV1784" s="4"/>
      <c r="CW1784" s="4"/>
      <c r="CX1784" s="4"/>
      <c r="CY1784" s="4"/>
      <c r="CZ1784" s="4"/>
      <c r="DA1784" s="4"/>
      <c r="DB1784" s="4"/>
      <c r="DC1784" s="4"/>
      <c r="DD1784" s="4"/>
      <c r="DE1784" s="4"/>
      <c r="DF1784" s="4"/>
      <c r="DG1784" s="4"/>
      <c r="DH1784" s="4"/>
      <c r="DI1784" s="4"/>
      <c r="DJ1784" s="4"/>
      <c r="DK1784" s="4"/>
      <c r="DL1784" s="4"/>
      <c r="DM1784" s="4"/>
      <c r="DN1784" s="4"/>
      <c r="DO1784" s="4"/>
      <c r="DP1784" s="4"/>
      <c r="DQ1784" s="4"/>
      <c r="DR1784" s="4"/>
      <c r="DS1784" s="4"/>
    </row>
    <row r="1785">
      <c r="A1785" s="4"/>
      <c r="B1785" s="4"/>
      <c r="C1785" s="4"/>
      <c r="D1785" s="4"/>
      <c r="E1785" s="4"/>
      <c r="F1785" s="4" t="s">
        <v>17</v>
      </c>
      <c r="G1785" s="15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  <c r="AA1785" s="4"/>
      <c r="AB1785" s="4"/>
      <c r="AC1785" s="4"/>
      <c r="AD1785" s="4"/>
      <c r="AE1785" s="4"/>
      <c r="AF1785" s="4"/>
      <c r="AG1785" s="4"/>
      <c r="AH1785" s="4"/>
      <c r="AI1785" s="4"/>
      <c r="AJ1785" s="4"/>
      <c r="AK1785" s="4"/>
      <c r="AL1785" s="4"/>
      <c r="AM1785" s="4"/>
      <c r="AN1785" s="4"/>
      <c r="AO1785" s="4"/>
      <c r="AP1785" s="4"/>
      <c r="AQ1785" s="4"/>
      <c r="AR1785" s="4"/>
      <c r="AS1785" s="4"/>
      <c r="AT1785" s="4"/>
      <c r="AU1785" s="4"/>
      <c r="AV1785" s="4"/>
      <c r="AW1785" s="4"/>
      <c r="AX1785" s="4"/>
      <c r="AY1785" s="4"/>
      <c r="AZ1785" s="4"/>
      <c r="BA1785" s="4"/>
      <c r="BB1785" s="4"/>
      <c r="BC1785" s="4"/>
      <c r="BD1785" s="4"/>
      <c r="BE1785" s="4"/>
      <c r="BF1785" s="4"/>
      <c r="BG1785" s="4"/>
      <c r="BH1785" s="4"/>
      <c r="BI1785" s="4"/>
      <c r="BJ1785" s="4"/>
      <c r="BK1785" s="4"/>
      <c r="BL1785" s="4"/>
      <c r="BM1785" s="4"/>
      <c r="BN1785" s="4"/>
      <c r="BO1785" s="4"/>
      <c r="BP1785" s="4"/>
      <c r="BQ1785" s="4"/>
      <c r="BR1785" s="4"/>
      <c r="BS1785" s="4"/>
      <c r="BT1785" s="4"/>
      <c r="BU1785" s="4"/>
      <c r="BV1785" s="4"/>
      <c r="BW1785" s="4"/>
      <c r="BX1785" s="4"/>
      <c r="BY1785" s="4"/>
      <c r="BZ1785" s="4"/>
      <c r="CA1785" s="4"/>
      <c r="CB1785" s="4"/>
      <c r="CC1785" s="4"/>
      <c r="CD1785" s="4"/>
      <c r="CE1785" s="4"/>
      <c r="CF1785" s="4"/>
      <c r="CG1785" s="4"/>
      <c r="CH1785" s="4"/>
      <c r="CI1785" s="4"/>
      <c r="CJ1785" s="4"/>
      <c r="CK1785" s="4"/>
      <c r="CL1785" s="4"/>
      <c r="CM1785" s="4"/>
      <c r="CN1785" s="4"/>
      <c r="CO1785" s="4"/>
      <c r="CP1785" s="4"/>
      <c r="CQ1785" s="4"/>
      <c r="CR1785" s="4"/>
      <c r="CS1785" s="4"/>
      <c r="CT1785" s="4"/>
      <c r="CU1785" s="4"/>
      <c r="CV1785" s="4"/>
      <c r="CW1785" s="4"/>
      <c r="CX1785" s="4"/>
      <c r="CY1785" s="4"/>
      <c r="CZ1785" s="4"/>
      <c r="DA1785" s="4"/>
      <c r="DB1785" s="4"/>
      <c r="DC1785" s="4"/>
      <c r="DD1785" s="4"/>
      <c r="DE1785" s="4"/>
      <c r="DF1785" s="4"/>
      <c r="DG1785" s="4"/>
      <c r="DH1785" s="4"/>
      <c r="DI1785" s="4"/>
      <c r="DJ1785" s="4"/>
      <c r="DK1785" s="4"/>
      <c r="DL1785" s="4"/>
      <c r="DM1785" s="4"/>
      <c r="DN1785" s="4"/>
      <c r="DO1785" s="4"/>
      <c r="DP1785" s="4"/>
      <c r="DQ1785" s="4"/>
      <c r="DR1785" s="4"/>
      <c r="DS1785" s="4"/>
    </row>
    <row r="1786">
      <c r="A1786" s="4"/>
      <c r="B1786" s="4"/>
      <c r="C1786" s="4"/>
      <c r="D1786" s="4"/>
      <c r="E1786" s="4"/>
      <c r="F1786" s="4" t="s">
        <v>17</v>
      </c>
      <c r="G1786" s="15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  <c r="AA1786" s="4"/>
      <c r="AB1786" s="4"/>
      <c r="AC1786" s="4"/>
      <c r="AD1786" s="4"/>
      <c r="AE1786" s="4"/>
      <c r="AF1786" s="4"/>
      <c r="AG1786" s="4"/>
      <c r="AH1786" s="4"/>
      <c r="AI1786" s="4"/>
      <c r="AJ1786" s="4"/>
      <c r="AK1786" s="4"/>
      <c r="AL1786" s="4"/>
      <c r="AM1786" s="4"/>
      <c r="AN1786" s="4"/>
      <c r="AO1786" s="4"/>
      <c r="AP1786" s="4"/>
      <c r="AQ1786" s="4"/>
      <c r="AR1786" s="4"/>
      <c r="AS1786" s="4"/>
      <c r="AT1786" s="4"/>
      <c r="AU1786" s="4"/>
      <c r="AV1786" s="4"/>
      <c r="AW1786" s="4"/>
      <c r="AX1786" s="4"/>
      <c r="AY1786" s="4"/>
      <c r="AZ1786" s="4"/>
      <c r="BA1786" s="4"/>
      <c r="BB1786" s="4"/>
      <c r="BC1786" s="4"/>
      <c r="BD1786" s="4"/>
      <c r="BE1786" s="4"/>
      <c r="BF1786" s="4"/>
      <c r="BG1786" s="4"/>
      <c r="BH1786" s="4"/>
      <c r="BI1786" s="4"/>
      <c r="BJ1786" s="4"/>
      <c r="BK1786" s="4"/>
      <c r="BL1786" s="4"/>
      <c r="BM1786" s="4"/>
      <c r="BN1786" s="4"/>
      <c r="BO1786" s="4"/>
      <c r="BP1786" s="4"/>
      <c r="BQ1786" s="4"/>
      <c r="BR1786" s="4"/>
      <c r="BS1786" s="4"/>
      <c r="BT1786" s="4"/>
      <c r="BU1786" s="4"/>
      <c r="BV1786" s="4"/>
      <c r="BW1786" s="4"/>
      <c r="BX1786" s="4"/>
      <c r="BY1786" s="4"/>
      <c r="BZ1786" s="4"/>
      <c r="CA1786" s="4"/>
      <c r="CB1786" s="4"/>
      <c r="CC1786" s="4"/>
      <c r="CD1786" s="4"/>
      <c r="CE1786" s="4"/>
      <c r="CF1786" s="4"/>
      <c r="CG1786" s="4"/>
      <c r="CH1786" s="4"/>
      <c r="CI1786" s="4"/>
      <c r="CJ1786" s="4"/>
      <c r="CK1786" s="4"/>
      <c r="CL1786" s="4"/>
      <c r="CM1786" s="4"/>
      <c r="CN1786" s="4"/>
      <c r="CO1786" s="4"/>
      <c r="CP1786" s="4"/>
      <c r="CQ1786" s="4"/>
      <c r="CR1786" s="4"/>
      <c r="CS1786" s="4"/>
      <c r="CT1786" s="4"/>
      <c r="CU1786" s="4"/>
      <c r="CV1786" s="4"/>
      <c r="CW1786" s="4"/>
      <c r="CX1786" s="4"/>
      <c r="CY1786" s="4"/>
      <c r="CZ1786" s="4"/>
      <c r="DA1786" s="4"/>
      <c r="DB1786" s="4"/>
      <c r="DC1786" s="4"/>
      <c r="DD1786" s="4"/>
      <c r="DE1786" s="4"/>
      <c r="DF1786" s="4"/>
      <c r="DG1786" s="4"/>
      <c r="DH1786" s="4"/>
      <c r="DI1786" s="4"/>
      <c r="DJ1786" s="4"/>
      <c r="DK1786" s="4"/>
      <c r="DL1786" s="4"/>
      <c r="DM1786" s="4"/>
      <c r="DN1786" s="4"/>
      <c r="DO1786" s="4"/>
      <c r="DP1786" s="4"/>
      <c r="DQ1786" s="4"/>
      <c r="DR1786" s="4"/>
      <c r="DS1786" s="4"/>
    </row>
    <row r="1787">
      <c r="A1787" s="4"/>
      <c r="B1787" s="4"/>
      <c r="C1787" s="4"/>
      <c r="D1787" s="4"/>
      <c r="E1787" s="4"/>
      <c r="F1787" s="4" t="s">
        <v>17</v>
      </c>
      <c r="G1787" s="15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  <c r="AA1787" s="4"/>
      <c r="AB1787" s="4"/>
      <c r="AC1787" s="4"/>
      <c r="AD1787" s="4"/>
      <c r="AE1787" s="4"/>
      <c r="AF1787" s="4"/>
      <c r="AG1787" s="4"/>
      <c r="AH1787" s="4"/>
      <c r="AI1787" s="4"/>
      <c r="AJ1787" s="4"/>
      <c r="AK1787" s="4"/>
      <c r="AL1787" s="4"/>
      <c r="AM1787" s="4"/>
      <c r="AN1787" s="4"/>
      <c r="AO1787" s="4"/>
      <c r="AP1787" s="4"/>
      <c r="AQ1787" s="4"/>
      <c r="AR1787" s="4"/>
      <c r="AS1787" s="4"/>
      <c r="AT1787" s="4"/>
      <c r="AU1787" s="4"/>
      <c r="AV1787" s="4"/>
      <c r="AW1787" s="4"/>
      <c r="AX1787" s="4"/>
      <c r="AY1787" s="4"/>
      <c r="AZ1787" s="4"/>
      <c r="BA1787" s="4"/>
      <c r="BB1787" s="4"/>
      <c r="BC1787" s="4"/>
      <c r="BD1787" s="4"/>
      <c r="BE1787" s="4"/>
      <c r="BF1787" s="4"/>
      <c r="BG1787" s="4"/>
      <c r="BH1787" s="4"/>
      <c r="BI1787" s="4"/>
      <c r="BJ1787" s="4"/>
      <c r="BK1787" s="4"/>
      <c r="BL1787" s="4"/>
      <c r="BM1787" s="4"/>
      <c r="BN1787" s="4"/>
      <c r="BO1787" s="4"/>
      <c r="BP1787" s="4"/>
      <c r="BQ1787" s="4"/>
      <c r="BR1787" s="4"/>
      <c r="BS1787" s="4"/>
      <c r="BT1787" s="4"/>
      <c r="BU1787" s="4"/>
      <c r="BV1787" s="4"/>
      <c r="BW1787" s="4"/>
      <c r="BX1787" s="4"/>
      <c r="BY1787" s="4"/>
      <c r="BZ1787" s="4"/>
      <c r="CA1787" s="4"/>
      <c r="CB1787" s="4"/>
      <c r="CC1787" s="4"/>
      <c r="CD1787" s="4"/>
      <c r="CE1787" s="4"/>
      <c r="CF1787" s="4"/>
      <c r="CG1787" s="4"/>
      <c r="CH1787" s="4"/>
      <c r="CI1787" s="4"/>
      <c r="CJ1787" s="4"/>
      <c r="CK1787" s="4"/>
      <c r="CL1787" s="4"/>
      <c r="CM1787" s="4"/>
      <c r="CN1787" s="4"/>
      <c r="CO1787" s="4"/>
      <c r="CP1787" s="4"/>
      <c r="CQ1787" s="4"/>
      <c r="CR1787" s="4"/>
      <c r="CS1787" s="4"/>
      <c r="CT1787" s="4"/>
      <c r="CU1787" s="4"/>
      <c r="CV1787" s="4"/>
      <c r="CW1787" s="4"/>
      <c r="CX1787" s="4"/>
      <c r="CY1787" s="4"/>
      <c r="CZ1787" s="4"/>
      <c r="DA1787" s="4"/>
      <c r="DB1787" s="4"/>
      <c r="DC1787" s="4"/>
      <c r="DD1787" s="4"/>
      <c r="DE1787" s="4"/>
      <c r="DF1787" s="4"/>
      <c r="DG1787" s="4"/>
      <c r="DH1787" s="4"/>
      <c r="DI1787" s="4"/>
      <c r="DJ1787" s="4"/>
      <c r="DK1787" s="4"/>
      <c r="DL1787" s="4"/>
      <c r="DM1787" s="4"/>
      <c r="DN1787" s="4"/>
      <c r="DO1787" s="4"/>
      <c r="DP1787" s="4"/>
      <c r="DQ1787" s="4"/>
      <c r="DR1787" s="4"/>
      <c r="DS1787" s="4"/>
    </row>
    <row r="1788">
      <c r="A1788" s="4"/>
      <c r="B1788" s="4"/>
      <c r="C1788" s="4"/>
      <c r="D1788" s="4"/>
      <c r="E1788" s="4"/>
      <c r="F1788" s="4" t="s">
        <v>17</v>
      </c>
      <c r="G1788" s="15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  <c r="AA1788" s="4"/>
      <c r="AB1788" s="4"/>
      <c r="AC1788" s="4"/>
      <c r="AD1788" s="4"/>
      <c r="AE1788" s="4"/>
      <c r="AF1788" s="4"/>
      <c r="AG1788" s="4"/>
      <c r="AH1788" s="4"/>
      <c r="AI1788" s="4"/>
      <c r="AJ1788" s="4"/>
      <c r="AK1788" s="4"/>
      <c r="AL1788" s="4"/>
      <c r="AM1788" s="4"/>
      <c r="AN1788" s="4"/>
      <c r="AO1788" s="4"/>
      <c r="AP1788" s="4"/>
      <c r="AQ1788" s="4"/>
      <c r="AR1788" s="4"/>
      <c r="AS1788" s="4"/>
      <c r="AT1788" s="4"/>
      <c r="AU1788" s="4"/>
      <c r="AV1788" s="4"/>
      <c r="AW1788" s="4"/>
      <c r="AX1788" s="4"/>
      <c r="AY1788" s="4"/>
      <c r="AZ1788" s="4"/>
      <c r="BA1788" s="4"/>
      <c r="BB1788" s="4"/>
      <c r="BC1788" s="4"/>
      <c r="BD1788" s="4"/>
      <c r="BE1788" s="4"/>
      <c r="BF1788" s="4"/>
      <c r="BG1788" s="4"/>
      <c r="BH1788" s="4"/>
      <c r="BI1788" s="4"/>
      <c r="BJ1788" s="4"/>
      <c r="BK1788" s="4"/>
      <c r="BL1788" s="4"/>
      <c r="BM1788" s="4"/>
      <c r="BN1788" s="4"/>
      <c r="BO1788" s="4"/>
      <c r="BP1788" s="4"/>
      <c r="BQ1788" s="4"/>
      <c r="BR1788" s="4"/>
      <c r="BS1788" s="4"/>
      <c r="BT1788" s="4"/>
      <c r="BU1788" s="4"/>
      <c r="BV1788" s="4"/>
      <c r="BW1788" s="4"/>
      <c r="BX1788" s="4"/>
      <c r="BY1788" s="4"/>
      <c r="BZ1788" s="4"/>
      <c r="CA1788" s="4"/>
      <c r="CB1788" s="4"/>
      <c r="CC1788" s="4"/>
      <c r="CD1788" s="4"/>
      <c r="CE1788" s="4"/>
      <c r="CF1788" s="4"/>
      <c r="CG1788" s="4"/>
      <c r="CH1788" s="4"/>
      <c r="CI1788" s="4"/>
      <c r="CJ1788" s="4"/>
      <c r="CK1788" s="4"/>
      <c r="CL1788" s="4"/>
      <c r="CM1788" s="4"/>
      <c r="CN1788" s="4"/>
      <c r="CO1788" s="4"/>
      <c r="CP1788" s="4"/>
      <c r="CQ1788" s="4"/>
      <c r="CR1788" s="4"/>
      <c r="CS1788" s="4"/>
      <c r="CT1788" s="4"/>
      <c r="CU1788" s="4"/>
      <c r="CV1788" s="4"/>
      <c r="CW1788" s="4"/>
      <c r="CX1788" s="4"/>
      <c r="CY1788" s="4"/>
      <c r="CZ1788" s="4"/>
      <c r="DA1788" s="4"/>
      <c r="DB1788" s="4"/>
      <c r="DC1788" s="4"/>
      <c r="DD1788" s="4"/>
      <c r="DE1788" s="4"/>
      <c r="DF1788" s="4"/>
      <c r="DG1788" s="4"/>
      <c r="DH1788" s="4"/>
      <c r="DI1788" s="4"/>
      <c r="DJ1788" s="4"/>
      <c r="DK1788" s="4"/>
      <c r="DL1788" s="4"/>
      <c r="DM1788" s="4"/>
      <c r="DN1788" s="4"/>
      <c r="DO1788" s="4"/>
      <c r="DP1788" s="4"/>
      <c r="DQ1788" s="4"/>
      <c r="DR1788" s="4"/>
      <c r="DS1788" s="4"/>
    </row>
    <row r="1789">
      <c r="A1789" s="4"/>
      <c r="B1789" s="4"/>
      <c r="C1789" s="4"/>
      <c r="D1789" s="4"/>
      <c r="E1789" s="4"/>
      <c r="F1789" s="4" t="s">
        <v>17</v>
      </c>
      <c r="G1789" s="15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  <c r="AA1789" s="4"/>
      <c r="AB1789" s="4"/>
      <c r="AC1789" s="4"/>
      <c r="AD1789" s="4"/>
      <c r="AE1789" s="4"/>
      <c r="AF1789" s="4"/>
      <c r="AG1789" s="4"/>
      <c r="AH1789" s="4"/>
      <c r="AI1789" s="4"/>
      <c r="AJ1789" s="4"/>
      <c r="AK1789" s="4"/>
      <c r="AL1789" s="4"/>
      <c r="AM1789" s="4"/>
      <c r="AN1789" s="4"/>
      <c r="AO1789" s="4"/>
      <c r="AP1789" s="4"/>
      <c r="AQ1789" s="4"/>
      <c r="AR1789" s="4"/>
      <c r="AS1789" s="4"/>
      <c r="AT1789" s="4"/>
      <c r="AU1789" s="4"/>
      <c r="AV1789" s="4"/>
      <c r="AW1789" s="4"/>
      <c r="AX1789" s="4"/>
      <c r="AY1789" s="4"/>
      <c r="AZ1789" s="4"/>
      <c r="BA1789" s="4"/>
      <c r="BB1789" s="4"/>
      <c r="BC1789" s="4"/>
      <c r="BD1789" s="4"/>
      <c r="BE1789" s="4"/>
      <c r="BF1789" s="4"/>
      <c r="BG1789" s="4"/>
      <c r="BH1789" s="4"/>
      <c r="BI1789" s="4"/>
      <c r="BJ1789" s="4"/>
      <c r="BK1789" s="4"/>
      <c r="BL1789" s="4"/>
      <c r="BM1789" s="4"/>
      <c r="BN1789" s="4"/>
      <c r="BO1789" s="4"/>
      <c r="BP1789" s="4"/>
      <c r="BQ1789" s="4"/>
      <c r="BR1789" s="4"/>
      <c r="BS1789" s="4"/>
      <c r="BT1789" s="4"/>
      <c r="BU1789" s="4"/>
      <c r="BV1789" s="4"/>
      <c r="BW1789" s="4"/>
      <c r="BX1789" s="4"/>
      <c r="BY1789" s="4"/>
      <c r="BZ1789" s="4"/>
      <c r="CA1789" s="4"/>
      <c r="CB1789" s="4"/>
      <c r="CC1789" s="4"/>
      <c r="CD1789" s="4"/>
      <c r="CE1789" s="4"/>
      <c r="CF1789" s="4"/>
      <c r="CG1789" s="4"/>
      <c r="CH1789" s="4"/>
      <c r="CI1789" s="4"/>
      <c r="CJ1789" s="4"/>
      <c r="CK1789" s="4"/>
      <c r="CL1789" s="4"/>
      <c r="CM1789" s="4"/>
      <c r="CN1789" s="4"/>
      <c r="CO1789" s="4"/>
      <c r="CP1789" s="4"/>
      <c r="CQ1789" s="4"/>
      <c r="CR1789" s="4"/>
      <c r="CS1789" s="4"/>
      <c r="CT1789" s="4"/>
      <c r="CU1789" s="4"/>
      <c r="CV1789" s="4"/>
      <c r="CW1789" s="4"/>
      <c r="CX1789" s="4"/>
      <c r="CY1789" s="4"/>
      <c r="CZ1789" s="4"/>
      <c r="DA1789" s="4"/>
      <c r="DB1789" s="4"/>
      <c r="DC1789" s="4"/>
      <c r="DD1789" s="4"/>
      <c r="DE1789" s="4"/>
      <c r="DF1789" s="4"/>
      <c r="DG1789" s="4"/>
      <c r="DH1789" s="4"/>
      <c r="DI1789" s="4"/>
      <c r="DJ1789" s="4"/>
      <c r="DK1789" s="4"/>
      <c r="DL1789" s="4"/>
      <c r="DM1789" s="4"/>
      <c r="DN1789" s="4"/>
      <c r="DO1789" s="4"/>
      <c r="DP1789" s="4"/>
      <c r="DQ1789" s="4"/>
      <c r="DR1789" s="4"/>
      <c r="DS1789" s="4"/>
    </row>
    <row r="1790">
      <c r="A1790" s="4"/>
      <c r="B1790" s="4"/>
      <c r="C1790" s="4"/>
      <c r="D1790" s="4"/>
      <c r="E1790" s="4"/>
      <c r="F1790" s="4" t="s">
        <v>17</v>
      </c>
      <c r="G1790" s="15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  <c r="AA1790" s="4"/>
      <c r="AB1790" s="4"/>
      <c r="AC1790" s="4"/>
      <c r="AD1790" s="4"/>
      <c r="AE1790" s="4"/>
      <c r="AF1790" s="4"/>
      <c r="AG1790" s="4"/>
      <c r="AH1790" s="4"/>
      <c r="AI1790" s="4"/>
      <c r="AJ1790" s="4"/>
      <c r="AK1790" s="4"/>
      <c r="AL1790" s="4"/>
      <c r="AM1790" s="4"/>
      <c r="AN1790" s="4"/>
      <c r="AO1790" s="4"/>
      <c r="AP1790" s="4"/>
      <c r="AQ1790" s="4"/>
      <c r="AR1790" s="4"/>
      <c r="AS1790" s="4"/>
      <c r="AT1790" s="4"/>
      <c r="AU1790" s="4"/>
      <c r="AV1790" s="4"/>
      <c r="AW1790" s="4"/>
      <c r="AX1790" s="4"/>
      <c r="AY1790" s="4"/>
      <c r="AZ1790" s="4"/>
      <c r="BA1790" s="4"/>
      <c r="BB1790" s="4"/>
      <c r="BC1790" s="4"/>
      <c r="BD1790" s="4"/>
      <c r="BE1790" s="4"/>
      <c r="BF1790" s="4"/>
      <c r="BG1790" s="4"/>
      <c r="BH1790" s="4"/>
      <c r="BI1790" s="4"/>
      <c r="BJ1790" s="4"/>
      <c r="BK1790" s="4"/>
      <c r="BL1790" s="4"/>
      <c r="BM1790" s="4"/>
      <c r="BN1790" s="4"/>
      <c r="BO1790" s="4"/>
      <c r="BP1790" s="4"/>
      <c r="BQ1790" s="4"/>
      <c r="BR1790" s="4"/>
      <c r="BS1790" s="4"/>
      <c r="BT1790" s="4"/>
      <c r="BU1790" s="4"/>
      <c r="BV1790" s="4"/>
      <c r="BW1790" s="4"/>
      <c r="BX1790" s="4"/>
      <c r="BY1790" s="4"/>
      <c r="BZ1790" s="4"/>
      <c r="CA1790" s="4"/>
      <c r="CB1790" s="4"/>
      <c r="CC1790" s="4"/>
      <c r="CD1790" s="4"/>
      <c r="CE1790" s="4"/>
      <c r="CF1790" s="4"/>
      <c r="CG1790" s="4"/>
      <c r="CH1790" s="4"/>
      <c r="CI1790" s="4"/>
      <c r="CJ1790" s="4"/>
      <c r="CK1790" s="4"/>
      <c r="CL1790" s="4"/>
      <c r="CM1790" s="4"/>
      <c r="CN1790" s="4"/>
      <c r="CO1790" s="4"/>
      <c r="CP1790" s="4"/>
      <c r="CQ1790" s="4"/>
      <c r="CR1790" s="4"/>
      <c r="CS1790" s="4"/>
      <c r="CT1790" s="4"/>
      <c r="CU1790" s="4"/>
      <c r="CV1790" s="4"/>
      <c r="CW1790" s="4"/>
      <c r="CX1790" s="4"/>
      <c r="CY1790" s="4"/>
      <c r="CZ1790" s="4"/>
      <c r="DA1790" s="4"/>
      <c r="DB1790" s="4"/>
      <c r="DC1790" s="4"/>
      <c r="DD1790" s="4"/>
      <c r="DE1790" s="4"/>
      <c r="DF1790" s="4"/>
      <c r="DG1790" s="4"/>
      <c r="DH1790" s="4"/>
      <c r="DI1790" s="4"/>
      <c r="DJ1790" s="4"/>
      <c r="DK1790" s="4"/>
      <c r="DL1790" s="4"/>
      <c r="DM1790" s="4"/>
      <c r="DN1790" s="4"/>
      <c r="DO1790" s="4"/>
      <c r="DP1790" s="4"/>
      <c r="DQ1790" s="4"/>
      <c r="DR1790" s="4"/>
      <c r="DS1790" s="4"/>
    </row>
    <row r="1791">
      <c r="A1791" s="4"/>
      <c r="B1791" s="4"/>
      <c r="C1791" s="4"/>
      <c r="D1791" s="4"/>
      <c r="E1791" s="4"/>
      <c r="F1791" s="4" t="s">
        <v>17</v>
      </c>
      <c r="G1791" s="15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  <c r="AA1791" s="4"/>
      <c r="AB1791" s="4"/>
      <c r="AC1791" s="4"/>
      <c r="AD1791" s="4"/>
      <c r="AE1791" s="4"/>
      <c r="AF1791" s="4"/>
      <c r="AG1791" s="4"/>
      <c r="AH1791" s="4"/>
      <c r="AI1791" s="4"/>
      <c r="AJ1791" s="4"/>
      <c r="AK1791" s="4"/>
      <c r="AL1791" s="4"/>
      <c r="AM1791" s="4"/>
      <c r="AN1791" s="4"/>
      <c r="AO1791" s="4"/>
      <c r="AP1791" s="4"/>
      <c r="AQ1791" s="4"/>
      <c r="AR1791" s="4"/>
      <c r="AS1791" s="4"/>
      <c r="AT1791" s="4"/>
      <c r="AU1791" s="4"/>
      <c r="AV1791" s="4"/>
      <c r="AW1791" s="4"/>
      <c r="AX1791" s="4"/>
      <c r="AY1791" s="4"/>
      <c r="AZ1791" s="4"/>
      <c r="BA1791" s="4"/>
      <c r="BB1791" s="4"/>
      <c r="BC1791" s="4"/>
      <c r="BD1791" s="4"/>
      <c r="BE1791" s="4"/>
      <c r="BF1791" s="4"/>
      <c r="BG1791" s="4"/>
      <c r="BH1791" s="4"/>
      <c r="BI1791" s="4"/>
      <c r="BJ1791" s="4"/>
      <c r="BK1791" s="4"/>
      <c r="BL1791" s="4"/>
      <c r="BM1791" s="4"/>
      <c r="BN1791" s="4"/>
      <c r="BO1791" s="4"/>
      <c r="BP1791" s="4"/>
      <c r="BQ1791" s="4"/>
      <c r="BR1791" s="4"/>
      <c r="BS1791" s="4"/>
      <c r="BT1791" s="4"/>
      <c r="BU1791" s="4"/>
      <c r="BV1791" s="4"/>
      <c r="BW1791" s="4"/>
      <c r="BX1791" s="4"/>
      <c r="BY1791" s="4"/>
      <c r="BZ1791" s="4"/>
      <c r="CA1791" s="4"/>
      <c r="CB1791" s="4"/>
      <c r="CC1791" s="4"/>
      <c r="CD1791" s="4"/>
      <c r="CE1791" s="4"/>
      <c r="CF1791" s="4"/>
      <c r="CG1791" s="4"/>
      <c r="CH1791" s="4"/>
      <c r="CI1791" s="4"/>
      <c r="CJ1791" s="4"/>
      <c r="CK1791" s="4"/>
      <c r="CL1791" s="4"/>
      <c r="CM1791" s="4"/>
      <c r="CN1791" s="4"/>
      <c r="CO1791" s="4"/>
      <c r="CP1791" s="4"/>
      <c r="CQ1791" s="4"/>
      <c r="CR1791" s="4"/>
      <c r="CS1791" s="4"/>
      <c r="CT1791" s="4"/>
      <c r="CU1791" s="4"/>
      <c r="CV1791" s="4"/>
      <c r="CW1791" s="4"/>
      <c r="CX1791" s="4"/>
      <c r="CY1791" s="4"/>
      <c r="CZ1791" s="4"/>
      <c r="DA1791" s="4"/>
      <c r="DB1791" s="4"/>
      <c r="DC1791" s="4"/>
      <c r="DD1791" s="4"/>
      <c r="DE1791" s="4"/>
      <c r="DF1791" s="4"/>
      <c r="DG1791" s="4"/>
      <c r="DH1791" s="4"/>
      <c r="DI1791" s="4"/>
      <c r="DJ1791" s="4"/>
      <c r="DK1791" s="4"/>
      <c r="DL1791" s="4"/>
      <c r="DM1791" s="4"/>
      <c r="DN1791" s="4"/>
      <c r="DO1791" s="4"/>
      <c r="DP1791" s="4"/>
      <c r="DQ1791" s="4"/>
      <c r="DR1791" s="4"/>
      <c r="DS1791" s="4"/>
    </row>
    <row r="1792">
      <c r="A1792" s="4"/>
      <c r="B1792" s="4"/>
      <c r="C1792" s="4"/>
      <c r="D1792" s="4"/>
      <c r="E1792" s="4"/>
      <c r="F1792" s="4" t="s">
        <v>17</v>
      </c>
      <c r="G1792" s="15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  <c r="AA1792" s="4"/>
      <c r="AB1792" s="4"/>
      <c r="AC1792" s="4"/>
      <c r="AD1792" s="4"/>
      <c r="AE1792" s="4"/>
      <c r="AF1792" s="4"/>
      <c r="AG1792" s="4"/>
      <c r="AH1792" s="4"/>
      <c r="AI1792" s="4"/>
      <c r="AJ1792" s="4"/>
      <c r="AK1792" s="4"/>
      <c r="AL1792" s="4"/>
      <c r="AM1792" s="4"/>
      <c r="AN1792" s="4"/>
      <c r="AO1792" s="4"/>
      <c r="AP1792" s="4"/>
      <c r="AQ1792" s="4"/>
      <c r="AR1792" s="4"/>
      <c r="AS1792" s="4"/>
      <c r="AT1792" s="4"/>
      <c r="AU1792" s="4"/>
      <c r="AV1792" s="4"/>
      <c r="AW1792" s="4"/>
      <c r="AX1792" s="4"/>
      <c r="AY1792" s="4"/>
      <c r="AZ1792" s="4"/>
      <c r="BA1792" s="4"/>
      <c r="BB1792" s="4"/>
      <c r="BC1792" s="4"/>
      <c r="BD1792" s="4"/>
      <c r="BE1792" s="4"/>
      <c r="BF1792" s="4"/>
      <c r="BG1792" s="4"/>
      <c r="BH1792" s="4"/>
      <c r="BI1792" s="4"/>
      <c r="BJ1792" s="4"/>
      <c r="BK1792" s="4"/>
      <c r="BL1792" s="4"/>
      <c r="BM1792" s="4"/>
      <c r="BN1792" s="4"/>
      <c r="BO1792" s="4"/>
      <c r="BP1792" s="4"/>
      <c r="BQ1792" s="4"/>
      <c r="BR1792" s="4"/>
      <c r="BS1792" s="4"/>
      <c r="BT1792" s="4"/>
      <c r="BU1792" s="4"/>
      <c r="BV1792" s="4"/>
      <c r="BW1792" s="4"/>
      <c r="BX1792" s="4"/>
      <c r="BY1792" s="4"/>
      <c r="BZ1792" s="4"/>
      <c r="CA1792" s="4"/>
      <c r="CB1792" s="4"/>
      <c r="CC1792" s="4"/>
      <c r="CD1792" s="4"/>
      <c r="CE1792" s="4"/>
      <c r="CF1792" s="4"/>
      <c r="CG1792" s="4"/>
      <c r="CH1792" s="4"/>
      <c r="CI1792" s="4"/>
      <c r="CJ1792" s="4"/>
      <c r="CK1792" s="4"/>
      <c r="CL1792" s="4"/>
      <c r="CM1792" s="4"/>
      <c r="CN1792" s="4"/>
      <c r="CO1792" s="4"/>
      <c r="CP1792" s="4"/>
      <c r="CQ1792" s="4"/>
      <c r="CR1792" s="4"/>
      <c r="CS1792" s="4"/>
      <c r="CT1792" s="4"/>
      <c r="CU1792" s="4"/>
      <c r="CV1792" s="4"/>
      <c r="CW1792" s="4"/>
      <c r="CX1792" s="4"/>
      <c r="CY1792" s="4"/>
      <c r="CZ1792" s="4"/>
      <c r="DA1792" s="4"/>
      <c r="DB1792" s="4"/>
      <c r="DC1792" s="4"/>
      <c r="DD1792" s="4"/>
      <c r="DE1792" s="4"/>
      <c r="DF1792" s="4"/>
      <c r="DG1792" s="4"/>
      <c r="DH1792" s="4"/>
      <c r="DI1792" s="4"/>
      <c r="DJ1792" s="4"/>
      <c r="DK1792" s="4"/>
      <c r="DL1792" s="4"/>
      <c r="DM1792" s="4"/>
      <c r="DN1792" s="4"/>
      <c r="DO1792" s="4"/>
      <c r="DP1792" s="4"/>
      <c r="DQ1792" s="4"/>
      <c r="DR1792" s="4"/>
      <c r="DS1792" s="4"/>
    </row>
    <row r="1793">
      <c r="A1793" s="4"/>
      <c r="B1793" s="4"/>
      <c r="C1793" s="4"/>
      <c r="D1793" s="4"/>
      <c r="E1793" s="4"/>
      <c r="F1793" s="4" t="s">
        <v>17</v>
      </c>
      <c r="G1793" s="15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  <c r="AA1793" s="4"/>
      <c r="AB1793" s="4"/>
      <c r="AC1793" s="4"/>
      <c r="AD1793" s="4"/>
      <c r="AE1793" s="4"/>
      <c r="AF1793" s="4"/>
      <c r="AG1793" s="4"/>
      <c r="AH1793" s="4"/>
      <c r="AI1793" s="4"/>
      <c r="AJ1793" s="4"/>
      <c r="AK1793" s="4"/>
      <c r="AL1793" s="4"/>
      <c r="AM1793" s="4"/>
      <c r="AN1793" s="4"/>
      <c r="AO1793" s="4"/>
      <c r="AP1793" s="4"/>
      <c r="AQ1793" s="4"/>
      <c r="AR1793" s="4"/>
      <c r="AS1793" s="4"/>
      <c r="AT1793" s="4"/>
      <c r="AU1793" s="4"/>
      <c r="AV1793" s="4"/>
      <c r="AW1793" s="4"/>
      <c r="AX1793" s="4"/>
      <c r="AY1793" s="4"/>
      <c r="AZ1793" s="4"/>
      <c r="BA1793" s="4"/>
      <c r="BB1793" s="4"/>
      <c r="BC1793" s="4"/>
      <c r="BD1793" s="4"/>
      <c r="BE1793" s="4"/>
      <c r="BF1793" s="4"/>
      <c r="BG1793" s="4"/>
      <c r="BH1793" s="4"/>
      <c r="BI1793" s="4"/>
      <c r="BJ1793" s="4"/>
      <c r="BK1793" s="4"/>
      <c r="BL1793" s="4"/>
      <c r="BM1793" s="4"/>
      <c r="BN1793" s="4"/>
      <c r="BO1793" s="4"/>
      <c r="BP1793" s="4"/>
      <c r="BQ1793" s="4"/>
      <c r="BR1793" s="4"/>
      <c r="BS1793" s="4"/>
      <c r="BT1793" s="4"/>
      <c r="BU1793" s="4"/>
      <c r="BV1793" s="4"/>
      <c r="BW1793" s="4"/>
      <c r="BX1793" s="4"/>
      <c r="BY1793" s="4"/>
      <c r="BZ1793" s="4"/>
      <c r="CA1793" s="4"/>
      <c r="CB1793" s="4"/>
      <c r="CC1793" s="4"/>
      <c r="CD1793" s="4"/>
      <c r="CE1793" s="4"/>
      <c r="CF1793" s="4"/>
      <c r="CG1793" s="4"/>
      <c r="CH1793" s="4"/>
      <c r="CI1793" s="4"/>
      <c r="CJ1793" s="4"/>
      <c r="CK1793" s="4"/>
      <c r="CL1793" s="4"/>
      <c r="CM1793" s="4"/>
      <c r="CN1793" s="4"/>
      <c r="CO1793" s="4"/>
      <c r="CP1793" s="4"/>
      <c r="CQ1793" s="4"/>
      <c r="CR1793" s="4"/>
      <c r="CS1793" s="4"/>
      <c r="CT1793" s="4"/>
      <c r="CU1793" s="4"/>
      <c r="CV1793" s="4"/>
      <c r="CW1793" s="4"/>
      <c r="CX1793" s="4"/>
      <c r="CY1793" s="4"/>
      <c r="CZ1793" s="4"/>
      <c r="DA1793" s="4"/>
      <c r="DB1793" s="4"/>
      <c r="DC1793" s="4"/>
      <c r="DD1793" s="4"/>
      <c r="DE1793" s="4"/>
      <c r="DF1793" s="4"/>
      <c r="DG1793" s="4"/>
      <c r="DH1793" s="4"/>
      <c r="DI1793" s="4"/>
      <c r="DJ1793" s="4"/>
      <c r="DK1793" s="4"/>
      <c r="DL1793" s="4"/>
      <c r="DM1793" s="4"/>
      <c r="DN1793" s="4"/>
      <c r="DO1793" s="4"/>
      <c r="DP1793" s="4"/>
      <c r="DQ1793" s="4"/>
      <c r="DR1793" s="4"/>
      <c r="DS1793" s="4"/>
    </row>
    <row r="1794">
      <c r="A1794" s="4"/>
      <c r="B1794" s="4"/>
      <c r="C1794" s="4"/>
      <c r="D1794" s="4"/>
      <c r="E1794" s="4"/>
      <c r="F1794" s="4" t="s">
        <v>17</v>
      </c>
      <c r="G1794" s="15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  <c r="AA1794" s="4"/>
      <c r="AB1794" s="4"/>
      <c r="AC1794" s="4"/>
      <c r="AD1794" s="4"/>
      <c r="AE1794" s="4"/>
      <c r="AF1794" s="4"/>
      <c r="AG1794" s="4"/>
      <c r="AH1794" s="4"/>
      <c r="AI1794" s="4"/>
      <c r="AJ1794" s="4"/>
      <c r="AK1794" s="4"/>
      <c r="AL1794" s="4"/>
      <c r="AM1794" s="4"/>
      <c r="AN1794" s="4"/>
      <c r="AO1794" s="4"/>
      <c r="AP1794" s="4"/>
      <c r="AQ1794" s="4"/>
      <c r="AR1794" s="4"/>
      <c r="AS1794" s="4"/>
      <c r="AT1794" s="4"/>
      <c r="AU1794" s="4"/>
      <c r="AV1794" s="4"/>
      <c r="AW1794" s="4"/>
      <c r="AX1794" s="4"/>
      <c r="AY1794" s="4"/>
      <c r="AZ1794" s="4"/>
      <c r="BA1794" s="4"/>
      <c r="BB1794" s="4"/>
      <c r="BC1794" s="4"/>
      <c r="BD1794" s="4"/>
      <c r="BE1794" s="4"/>
      <c r="BF1794" s="4"/>
      <c r="BG1794" s="4"/>
      <c r="BH1794" s="4"/>
      <c r="BI1794" s="4"/>
      <c r="BJ1794" s="4"/>
      <c r="BK1794" s="4"/>
      <c r="BL1794" s="4"/>
      <c r="BM1794" s="4"/>
      <c r="BN1794" s="4"/>
      <c r="BO1794" s="4"/>
      <c r="BP1794" s="4"/>
      <c r="BQ1794" s="4"/>
      <c r="BR1794" s="4"/>
      <c r="BS1794" s="4"/>
      <c r="BT1794" s="4"/>
      <c r="BU1794" s="4"/>
      <c r="BV1794" s="4"/>
      <c r="BW1794" s="4"/>
      <c r="BX1794" s="4"/>
      <c r="BY1794" s="4"/>
      <c r="BZ1794" s="4"/>
      <c r="CA1794" s="4"/>
      <c r="CB1794" s="4"/>
      <c r="CC1794" s="4"/>
      <c r="CD1794" s="4"/>
      <c r="CE1794" s="4"/>
      <c r="CF1794" s="4"/>
      <c r="CG1794" s="4"/>
      <c r="CH1794" s="4"/>
      <c r="CI1794" s="4"/>
      <c r="CJ1794" s="4"/>
      <c r="CK1794" s="4"/>
      <c r="CL1794" s="4"/>
      <c r="CM1794" s="4"/>
      <c r="CN1794" s="4"/>
      <c r="CO1794" s="4"/>
      <c r="CP1794" s="4"/>
      <c r="CQ1794" s="4"/>
      <c r="CR1794" s="4"/>
      <c r="CS1794" s="4"/>
      <c r="CT1794" s="4"/>
      <c r="CU1794" s="4"/>
      <c r="CV1794" s="4"/>
      <c r="CW1794" s="4"/>
      <c r="CX1794" s="4"/>
      <c r="CY1794" s="4"/>
      <c r="CZ1794" s="4"/>
      <c r="DA1794" s="4"/>
      <c r="DB1794" s="4"/>
      <c r="DC1794" s="4"/>
      <c r="DD1794" s="4"/>
      <c r="DE1794" s="4"/>
      <c r="DF1794" s="4"/>
      <c r="DG1794" s="4"/>
      <c r="DH1794" s="4"/>
      <c r="DI1794" s="4"/>
      <c r="DJ1794" s="4"/>
      <c r="DK1794" s="4"/>
      <c r="DL1794" s="4"/>
      <c r="DM1794" s="4"/>
      <c r="DN1794" s="4"/>
      <c r="DO1794" s="4"/>
      <c r="DP1794" s="4"/>
      <c r="DQ1794" s="4"/>
      <c r="DR1794" s="4"/>
      <c r="DS1794" s="4"/>
    </row>
    <row r="1795">
      <c r="A1795" s="4"/>
      <c r="B1795" s="4"/>
      <c r="C1795" s="4"/>
      <c r="D1795" s="4"/>
      <c r="E1795" s="4"/>
      <c r="F1795" s="4" t="s">
        <v>17</v>
      </c>
      <c r="G1795" s="15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  <c r="AA1795" s="4"/>
      <c r="AB1795" s="4"/>
      <c r="AC1795" s="4"/>
      <c r="AD1795" s="4"/>
      <c r="AE1795" s="4"/>
      <c r="AF1795" s="4"/>
      <c r="AG1795" s="4"/>
      <c r="AH1795" s="4"/>
      <c r="AI1795" s="4"/>
      <c r="AJ1795" s="4"/>
      <c r="AK1795" s="4"/>
      <c r="AL1795" s="4"/>
      <c r="AM1795" s="4"/>
      <c r="AN1795" s="4"/>
      <c r="AO1795" s="4"/>
      <c r="AP1795" s="4"/>
      <c r="AQ1795" s="4"/>
      <c r="AR1795" s="4"/>
      <c r="AS1795" s="4"/>
      <c r="AT1795" s="4"/>
      <c r="AU1795" s="4"/>
      <c r="AV1795" s="4"/>
      <c r="AW1795" s="4"/>
      <c r="AX1795" s="4"/>
      <c r="AY1795" s="4"/>
      <c r="AZ1795" s="4"/>
      <c r="BA1795" s="4"/>
      <c r="BB1795" s="4"/>
      <c r="BC1795" s="4"/>
      <c r="BD1795" s="4"/>
      <c r="BE1795" s="4"/>
      <c r="BF1795" s="4"/>
      <c r="BG1795" s="4"/>
      <c r="BH1795" s="4"/>
      <c r="BI1795" s="4"/>
      <c r="BJ1795" s="4"/>
      <c r="BK1795" s="4"/>
      <c r="BL1795" s="4"/>
      <c r="BM1795" s="4"/>
      <c r="BN1795" s="4"/>
      <c r="BO1795" s="4"/>
      <c r="BP1795" s="4"/>
      <c r="BQ1795" s="4"/>
      <c r="BR1795" s="4"/>
      <c r="BS1795" s="4"/>
      <c r="BT1795" s="4"/>
      <c r="BU1795" s="4"/>
      <c r="BV1795" s="4"/>
      <c r="BW1795" s="4"/>
      <c r="BX1795" s="4"/>
      <c r="BY1795" s="4"/>
      <c r="BZ1795" s="4"/>
      <c r="CA1795" s="4"/>
      <c r="CB1795" s="4"/>
      <c r="CC1795" s="4"/>
      <c r="CD1795" s="4"/>
      <c r="CE1795" s="4"/>
      <c r="CF1795" s="4"/>
      <c r="CG1795" s="4"/>
      <c r="CH1795" s="4"/>
      <c r="CI1795" s="4"/>
      <c r="CJ1795" s="4"/>
      <c r="CK1795" s="4"/>
      <c r="CL1795" s="4"/>
      <c r="CM1795" s="4"/>
      <c r="CN1795" s="4"/>
      <c r="CO1795" s="4"/>
      <c r="CP1795" s="4"/>
      <c r="CQ1795" s="4"/>
      <c r="CR1795" s="4"/>
      <c r="CS1795" s="4"/>
      <c r="CT1795" s="4"/>
      <c r="CU1795" s="4"/>
      <c r="CV1795" s="4"/>
      <c r="CW1795" s="4"/>
      <c r="CX1795" s="4"/>
      <c r="CY1795" s="4"/>
      <c r="CZ1795" s="4"/>
      <c r="DA1795" s="4"/>
      <c r="DB1795" s="4"/>
      <c r="DC1795" s="4"/>
      <c r="DD1795" s="4"/>
      <c r="DE1795" s="4"/>
      <c r="DF1795" s="4"/>
      <c r="DG1795" s="4"/>
      <c r="DH1795" s="4"/>
      <c r="DI1795" s="4"/>
      <c r="DJ1795" s="4"/>
      <c r="DK1795" s="4"/>
      <c r="DL1795" s="4"/>
      <c r="DM1795" s="4"/>
      <c r="DN1795" s="4"/>
      <c r="DO1795" s="4"/>
      <c r="DP1795" s="4"/>
      <c r="DQ1795" s="4"/>
      <c r="DR1795" s="4"/>
      <c r="DS1795" s="4"/>
    </row>
    <row r="1796">
      <c r="A1796" s="4"/>
      <c r="B1796" s="4"/>
      <c r="C1796" s="4"/>
      <c r="D1796" s="4"/>
      <c r="E1796" s="4"/>
      <c r="F1796" s="4" t="s">
        <v>17</v>
      </c>
      <c r="G1796" s="15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  <c r="AA1796" s="4"/>
      <c r="AB1796" s="4"/>
      <c r="AC1796" s="4"/>
      <c r="AD1796" s="4"/>
      <c r="AE1796" s="4"/>
      <c r="AF1796" s="4"/>
      <c r="AG1796" s="4"/>
      <c r="AH1796" s="4"/>
      <c r="AI1796" s="4"/>
      <c r="AJ1796" s="4"/>
      <c r="AK1796" s="4"/>
      <c r="AL1796" s="4"/>
      <c r="AM1796" s="4"/>
      <c r="AN1796" s="4"/>
      <c r="AO1796" s="4"/>
      <c r="AP1796" s="4"/>
      <c r="AQ1796" s="4"/>
      <c r="AR1796" s="4"/>
      <c r="AS1796" s="4"/>
      <c r="AT1796" s="4"/>
      <c r="AU1796" s="4"/>
      <c r="AV1796" s="4"/>
      <c r="AW1796" s="4"/>
      <c r="AX1796" s="4"/>
      <c r="AY1796" s="4"/>
      <c r="AZ1796" s="4"/>
      <c r="BA1796" s="4"/>
      <c r="BB1796" s="4"/>
      <c r="BC1796" s="4"/>
      <c r="BD1796" s="4"/>
      <c r="BE1796" s="4"/>
      <c r="BF1796" s="4"/>
      <c r="BG1796" s="4"/>
      <c r="BH1796" s="4"/>
      <c r="BI1796" s="4"/>
      <c r="BJ1796" s="4"/>
      <c r="BK1796" s="4"/>
      <c r="BL1796" s="4"/>
      <c r="BM1796" s="4"/>
      <c r="BN1796" s="4"/>
      <c r="BO1796" s="4"/>
      <c r="BP1796" s="4"/>
      <c r="BQ1796" s="4"/>
      <c r="BR1796" s="4"/>
      <c r="BS1796" s="4"/>
      <c r="BT1796" s="4"/>
      <c r="BU1796" s="4"/>
      <c r="BV1796" s="4"/>
      <c r="BW1796" s="4"/>
      <c r="BX1796" s="4"/>
      <c r="BY1796" s="4"/>
      <c r="BZ1796" s="4"/>
      <c r="CA1796" s="4"/>
      <c r="CB1796" s="4"/>
      <c r="CC1796" s="4"/>
      <c r="CD1796" s="4"/>
      <c r="CE1796" s="4"/>
      <c r="CF1796" s="4"/>
      <c r="CG1796" s="4"/>
      <c r="CH1796" s="4"/>
      <c r="CI1796" s="4"/>
      <c r="CJ1796" s="4"/>
      <c r="CK1796" s="4"/>
      <c r="CL1796" s="4"/>
      <c r="CM1796" s="4"/>
      <c r="CN1796" s="4"/>
      <c r="CO1796" s="4"/>
      <c r="CP1796" s="4"/>
      <c r="CQ1796" s="4"/>
      <c r="CR1796" s="4"/>
      <c r="CS1796" s="4"/>
      <c r="CT1796" s="4"/>
      <c r="CU1796" s="4"/>
      <c r="CV1796" s="4"/>
      <c r="CW1796" s="4"/>
      <c r="CX1796" s="4"/>
      <c r="CY1796" s="4"/>
      <c r="CZ1796" s="4"/>
      <c r="DA1796" s="4"/>
      <c r="DB1796" s="4"/>
      <c r="DC1796" s="4"/>
      <c r="DD1796" s="4"/>
      <c r="DE1796" s="4"/>
      <c r="DF1796" s="4"/>
      <c r="DG1796" s="4"/>
      <c r="DH1796" s="4"/>
      <c r="DI1796" s="4"/>
      <c r="DJ1796" s="4"/>
      <c r="DK1796" s="4"/>
      <c r="DL1796" s="4"/>
      <c r="DM1796" s="4"/>
      <c r="DN1796" s="4"/>
      <c r="DO1796" s="4"/>
      <c r="DP1796" s="4"/>
      <c r="DQ1796" s="4"/>
      <c r="DR1796" s="4"/>
      <c r="DS1796" s="4"/>
    </row>
    <row r="1797">
      <c r="A1797" s="4"/>
      <c r="B1797" s="4"/>
      <c r="C1797" s="4"/>
      <c r="D1797" s="4"/>
      <c r="E1797" s="4"/>
      <c r="F1797" s="4" t="s">
        <v>17</v>
      </c>
      <c r="G1797" s="15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  <c r="AA1797" s="4"/>
      <c r="AB1797" s="4"/>
      <c r="AC1797" s="4"/>
      <c r="AD1797" s="4"/>
      <c r="AE1797" s="4"/>
      <c r="AF1797" s="4"/>
      <c r="AG1797" s="4"/>
      <c r="AH1797" s="4"/>
      <c r="AI1797" s="4"/>
      <c r="AJ1797" s="4"/>
      <c r="AK1797" s="4"/>
      <c r="AL1797" s="4"/>
      <c r="AM1797" s="4"/>
      <c r="AN1797" s="4"/>
      <c r="AO1797" s="4"/>
      <c r="AP1797" s="4"/>
      <c r="AQ1797" s="4"/>
      <c r="AR1797" s="4"/>
      <c r="AS1797" s="4"/>
      <c r="AT1797" s="4"/>
      <c r="AU1797" s="4"/>
      <c r="AV1797" s="4"/>
      <c r="AW1797" s="4"/>
      <c r="AX1797" s="4"/>
      <c r="AY1797" s="4"/>
      <c r="AZ1797" s="4"/>
      <c r="BA1797" s="4"/>
      <c r="BB1797" s="4"/>
      <c r="BC1797" s="4"/>
      <c r="BD1797" s="4"/>
      <c r="BE1797" s="4"/>
      <c r="BF1797" s="4"/>
      <c r="BG1797" s="4"/>
      <c r="BH1797" s="4"/>
      <c r="BI1797" s="4"/>
      <c r="BJ1797" s="4"/>
      <c r="BK1797" s="4"/>
      <c r="BL1797" s="4"/>
      <c r="BM1797" s="4"/>
      <c r="BN1797" s="4"/>
      <c r="BO1797" s="4"/>
      <c r="BP1797" s="4"/>
      <c r="BQ1797" s="4"/>
      <c r="BR1797" s="4"/>
      <c r="BS1797" s="4"/>
      <c r="BT1797" s="4"/>
      <c r="BU1797" s="4"/>
      <c r="BV1797" s="4"/>
      <c r="BW1797" s="4"/>
      <c r="BX1797" s="4"/>
      <c r="BY1797" s="4"/>
      <c r="BZ1797" s="4"/>
      <c r="CA1797" s="4"/>
      <c r="CB1797" s="4"/>
      <c r="CC1797" s="4"/>
      <c r="CD1797" s="4"/>
      <c r="CE1797" s="4"/>
      <c r="CF1797" s="4"/>
      <c r="CG1797" s="4"/>
      <c r="CH1797" s="4"/>
      <c r="CI1797" s="4"/>
      <c r="CJ1797" s="4"/>
      <c r="CK1797" s="4"/>
      <c r="CL1797" s="4"/>
      <c r="CM1797" s="4"/>
      <c r="CN1797" s="4"/>
      <c r="CO1797" s="4"/>
      <c r="CP1797" s="4"/>
      <c r="CQ1797" s="4"/>
      <c r="CR1797" s="4"/>
      <c r="CS1797" s="4"/>
      <c r="CT1797" s="4"/>
      <c r="CU1797" s="4"/>
      <c r="CV1797" s="4"/>
      <c r="CW1797" s="4"/>
      <c r="CX1797" s="4"/>
      <c r="CY1797" s="4"/>
      <c r="CZ1797" s="4"/>
      <c r="DA1797" s="4"/>
      <c r="DB1797" s="4"/>
      <c r="DC1797" s="4"/>
      <c r="DD1797" s="4"/>
      <c r="DE1797" s="4"/>
      <c r="DF1797" s="4"/>
      <c r="DG1797" s="4"/>
      <c r="DH1797" s="4"/>
      <c r="DI1797" s="4"/>
      <c r="DJ1797" s="4"/>
      <c r="DK1797" s="4"/>
      <c r="DL1797" s="4"/>
      <c r="DM1797" s="4"/>
      <c r="DN1797" s="4"/>
      <c r="DO1797" s="4"/>
      <c r="DP1797" s="4"/>
      <c r="DQ1797" s="4"/>
      <c r="DR1797" s="4"/>
      <c r="DS1797" s="4"/>
    </row>
    <row r="1798">
      <c r="A1798" s="4"/>
      <c r="B1798" s="4"/>
      <c r="C1798" s="4"/>
      <c r="D1798" s="4"/>
      <c r="E1798" s="4"/>
      <c r="F1798" s="4" t="s">
        <v>17</v>
      </c>
      <c r="G1798" s="15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  <c r="AA1798" s="4"/>
      <c r="AB1798" s="4"/>
      <c r="AC1798" s="4"/>
      <c r="AD1798" s="4"/>
      <c r="AE1798" s="4"/>
      <c r="AF1798" s="4"/>
      <c r="AG1798" s="4"/>
      <c r="AH1798" s="4"/>
      <c r="AI1798" s="4"/>
      <c r="AJ1798" s="4"/>
      <c r="AK1798" s="4"/>
      <c r="AL1798" s="4"/>
      <c r="AM1798" s="4"/>
      <c r="AN1798" s="4"/>
      <c r="AO1798" s="4"/>
      <c r="AP1798" s="4"/>
      <c r="AQ1798" s="4"/>
      <c r="AR1798" s="4"/>
      <c r="AS1798" s="4"/>
      <c r="AT1798" s="4"/>
      <c r="AU1798" s="4"/>
      <c r="AV1798" s="4"/>
      <c r="AW1798" s="4"/>
      <c r="AX1798" s="4"/>
      <c r="AY1798" s="4"/>
      <c r="AZ1798" s="4"/>
      <c r="BA1798" s="4"/>
      <c r="BB1798" s="4"/>
      <c r="BC1798" s="4"/>
      <c r="BD1798" s="4"/>
      <c r="BE1798" s="4"/>
      <c r="BF1798" s="4"/>
      <c r="BG1798" s="4"/>
      <c r="BH1798" s="4"/>
      <c r="BI1798" s="4"/>
      <c r="BJ1798" s="4"/>
      <c r="BK1798" s="4"/>
      <c r="BL1798" s="4"/>
      <c r="BM1798" s="4"/>
      <c r="BN1798" s="4"/>
      <c r="BO1798" s="4"/>
      <c r="BP1798" s="4"/>
      <c r="BQ1798" s="4"/>
      <c r="BR1798" s="4"/>
      <c r="BS1798" s="4"/>
      <c r="BT1798" s="4"/>
      <c r="BU1798" s="4"/>
      <c r="BV1798" s="4"/>
      <c r="BW1798" s="4"/>
      <c r="BX1798" s="4"/>
      <c r="BY1798" s="4"/>
      <c r="BZ1798" s="4"/>
      <c r="CA1798" s="4"/>
      <c r="CB1798" s="4"/>
      <c r="CC1798" s="4"/>
      <c r="CD1798" s="4"/>
      <c r="CE1798" s="4"/>
      <c r="CF1798" s="4"/>
      <c r="CG1798" s="4"/>
      <c r="CH1798" s="4"/>
      <c r="CI1798" s="4"/>
      <c r="CJ1798" s="4"/>
      <c r="CK1798" s="4"/>
      <c r="CL1798" s="4"/>
      <c r="CM1798" s="4"/>
      <c r="CN1798" s="4"/>
      <c r="CO1798" s="4"/>
      <c r="CP1798" s="4"/>
      <c r="CQ1798" s="4"/>
      <c r="CR1798" s="4"/>
      <c r="CS1798" s="4"/>
      <c r="CT1798" s="4"/>
      <c r="CU1798" s="4"/>
      <c r="CV1798" s="4"/>
      <c r="CW1798" s="4"/>
      <c r="CX1798" s="4"/>
      <c r="CY1798" s="4"/>
      <c r="CZ1798" s="4"/>
      <c r="DA1798" s="4"/>
      <c r="DB1798" s="4"/>
      <c r="DC1798" s="4"/>
      <c r="DD1798" s="4"/>
      <c r="DE1798" s="4"/>
      <c r="DF1798" s="4"/>
      <c r="DG1798" s="4"/>
      <c r="DH1798" s="4"/>
      <c r="DI1798" s="4"/>
      <c r="DJ1798" s="4"/>
      <c r="DK1798" s="4"/>
      <c r="DL1798" s="4"/>
      <c r="DM1798" s="4"/>
      <c r="DN1798" s="4"/>
      <c r="DO1798" s="4"/>
      <c r="DP1798" s="4"/>
      <c r="DQ1798" s="4"/>
      <c r="DR1798" s="4"/>
      <c r="DS1798" s="4"/>
    </row>
    <row r="1799">
      <c r="A1799" s="4"/>
      <c r="B1799" s="4"/>
      <c r="C1799" s="4"/>
      <c r="D1799" s="4"/>
      <c r="E1799" s="4"/>
      <c r="F1799" s="4" t="s">
        <v>17</v>
      </c>
      <c r="G1799" s="15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  <c r="AA1799" s="4"/>
      <c r="AB1799" s="4"/>
      <c r="AC1799" s="4"/>
      <c r="AD1799" s="4"/>
      <c r="AE1799" s="4"/>
      <c r="AF1799" s="4"/>
      <c r="AG1799" s="4"/>
      <c r="AH1799" s="4"/>
      <c r="AI1799" s="4"/>
      <c r="AJ1799" s="4"/>
      <c r="AK1799" s="4"/>
      <c r="AL1799" s="4"/>
      <c r="AM1799" s="4"/>
      <c r="AN1799" s="4"/>
      <c r="AO1799" s="4"/>
      <c r="AP1799" s="4"/>
      <c r="AQ1799" s="4"/>
      <c r="AR1799" s="4"/>
      <c r="AS1799" s="4"/>
      <c r="AT1799" s="4"/>
      <c r="AU1799" s="4"/>
      <c r="AV1799" s="4"/>
      <c r="AW1799" s="4"/>
      <c r="AX1799" s="4"/>
      <c r="AY1799" s="4"/>
      <c r="AZ1799" s="4"/>
      <c r="BA1799" s="4"/>
      <c r="BB1799" s="4"/>
      <c r="BC1799" s="4"/>
      <c r="BD1799" s="4"/>
      <c r="BE1799" s="4"/>
      <c r="BF1799" s="4"/>
      <c r="BG1799" s="4"/>
      <c r="BH1799" s="4"/>
      <c r="BI1799" s="4"/>
      <c r="BJ1799" s="4"/>
      <c r="BK1799" s="4"/>
      <c r="BL1799" s="4"/>
      <c r="BM1799" s="4"/>
      <c r="BN1799" s="4"/>
      <c r="BO1799" s="4"/>
      <c r="BP1799" s="4"/>
      <c r="BQ1799" s="4"/>
      <c r="BR1799" s="4"/>
      <c r="BS1799" s="4"/>
      <c r="BT1799" s="4"/>
      <c r="BU1799" s="4"/>
      <c r="BV1799" s="4"/>
      <c r="BW1799" s="4"/>
      <c r="BX1799" s="4"/>
      <c r="BY1799" s="4"/>
      <c r="BZ1799" s="4"/>
      <c r="CA1799" s="4"/>
      <c r="CB1799" s="4"/>
      <c r="CC1799" s="4"/>
      <c r="CD1799" s="4"/>
      <c r="CE1799" s="4"/>
      <c r="CF1799" s="4"/>
      <c r="CG1799" s="4"/>
      <c r="CH1799" s="4"/>
      <c r="CI1799" s="4"/>
      <c r="CJ1799" s="4"/>
      <c r="CK1799" s="4"/>
      <c r="CL1799" s="4"/>
      <c r="CM1799" s="4"/>
      <c r="CN1799" s="4"/>
      <c r="CO1799" s="4"/>
      <c r="CP1799" s="4"/>
      <c r="CQ1799" s="4"/>
      <c r="CR1799" s="4"/>
      <c r="CS1799" s="4"/>
      <c r="CT1799" s="4"/>
      <c r="CU1799" s="4"/>
      <c r="CV1799" s="4"/>
      <c r="CW1799" s="4"/>
      <c r="CX1799" s="4"/>
      <c r="CY1799" s="4"/>
      <c r="CZ1799" s="4"/>
      <c r="DA1799" s="4"/>
      <c r="DB1799" s="4"/>
      <c r="DC1799" s="4"/>
      <c r="DD1799" s="4"/>
      <c r="DE1799" s="4"/>
      <c r="DF1799" s="4"/>
      <c r="DG1799" s="4"/>
      <c r="DH1799" s="4"/>
      <c r="DI1799" s="4"/>
      <c r="DJ1799" s="4"/>
      <c r="DK1799" s="4"/>
      <c r="DL1799" s="4"/>
      <c r="DM1799" s="4"/>
      <c r="DN1799" s="4"/>
      <c r="DO1799" s="4"/>
      <c r="DP1799" s="4"/>
      <c r="DQ1799" s="4"/>
      <c r="DR1799" s="4"/>
      <c r="DS1799" s="4"/>
    </row>
    <row r="1800">
      <c r="A1800" s="4"/>
      <c r="B1800" s="4"/>
      <c r="C1800" s="4"/>
      <c r="D1800" s="4"/>
      <c r="E1800" s="4"/>
      <c r="F1800" s="4" t="s">
        <v>17</v>
      </c>
      <c r="G1800" s="15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  <c r="AA1800" s="4"/>
      <c r="AB1800" s="4"/>
      <c r="AC1800" s="4"/>
      <c r="AD1800" s="4"/>
      <c r="AE1800" s="4"/>
      <c r="AF1800" s="4"/>
      <c r="AG1800" s="4"/>
      <c r="AH1800" s="4"/>
      <c r="AI1800" s="4"/>
      <c r="AJ1800" s="4"/>
      <c r="AK1800" s="4"/>
      <c r="AL1800" s="4"/>
      <c r="AM1800" s="4"/>
      <c r="AN1800" s="4"/>
      <c r="AO1800" s="4"/>
      <c r="AP1800" s="4"/>
      <c r="AQ1800" s="4"/>
      <c r="AR1800" s="4"/>
      <c r="AS1800" s="4"/>
      <c r="AT1800" s="4"/>
      <c r="AU1800" s="4"/>
      <c r="AV1800" s="4"/>
      <c r="AW1800" s="4"/>
      <c r="AX1800" s="4"/>
      <c r="AY1800" s="4"/>
      <c r="AZ1800" s="4"/>
      <c r="BA1800" s="4"/>
      <c r="BB1800" s="4"/>
      <c r="BC1800" s="4"/>
      <c r="BD1800" s="4"/>
      <c r="BE1800" s="4"/>
      <c r="BF1800" s="4"/>
      <c r="BG1800" s="4"/>
      <c r="BH1800" s="4"/>
      <c r="BI1800" s="4"/>
      <c r="BJ1800" s="4"/>
      <c r="BK1800" s="4"/>
      <c r="BL1800" s="4"/>
      <c r="BM1800" s="4"/>
      <c r="BN1800" s="4"/>
      <c r="BO1800" s="4"/>
      <c r="BP1800" s="4"/>
      <c r="BQ1800" s="4"/>
      <c r="BR1800" s="4"/>
      <c r="BS1800" s="4"/>
      <c r="BT1800" s="4"/>
      <c r="BU1800" s="4"/>
      <c r="BV1800" s="4"/>
      <c r="BW1800" s="4"/>
      <c r="BX1800" s="4"/>
      <c r="BY1800" s="4"/>
      <c r="BZ1800" s="4"/>
      <c r="CA1800" s="4"/>
      <c r="CB1800" s="4"/>
      <c r="CC1800" s="4"/>
      <c r="CD1800" s="4"/>
      <c r="CE1800" s="4"/>
      <c r="CF1800" s="4"/>
      <c r="CG1800" s="4"/>
      <c r="CH1800" s="4"/>
      <c r="CI1800" s="4"/>
      <c r="CJ1800" s="4"/>
      <c r="CK1800" s="4"/>
      <c r="CL1800" s="4"/>
      <c r="CM1800" s="4"/>
      <c r="CN1800" s="4"/>
      <c r="CO1800" s="4"/>
      <c r="CP1800" s="4"/>
      <c r="CQ1800" s="4"/>
      <c r="CR1800" s="4"/>
      <c r="CS1800" s="4"/>
      <c r="CT1800" s="4"/>
      <c r="CU1800" s="4"/>
      <c r="CV1800" s="4"/>
      <c r="CW1800" s="4"/>
      <c r="CX1800" s="4"/>
      <c r="CY1800" s="4"/>
      <c r="CZ1800" s="4"/>
      <c r="DA1800" s="4"/>
      <c r="DB1800" s="4"/>
      <c r="DC1800" s="4"/>
      <c r="DD1800" s="4"/>
      <c r="DE1800" s="4"/>
      <c r="DF1800" s="4"/>
      <c r="DG1800" s="4"/>
      <c r="DH1800" s="4"/>
      <c r="DI1800" s="4"/>
      <c r="DJ1800" s="4"/>
      <c r="DK1800" s="4"/>
      <c r="DL1800" s="4"/>
      <c r="DM1800" s="4"/>
      <c r="DN1800" s="4"/>
      <c r="DO1800" s="4"/>
      <c r="DP1800" s="4"/>
      <c r="DQ1800" s="4"/>
      <c r="DR1800" s="4"/>
      <c r="DS1800" s="4"/>
    </row>
    <row r="1801">
      <c r="A1801" s="4"/>
      <c r="B1801" s="4"/>
      <c r="C1801" s="4"/>
      <c r="D1801" s="4"/>
      <c r="E1801" s="4"/>
      <c r="F1801" s="4" t="s">
        <v>17</v>
      </c>
      <c r="G1801" s="15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  <c r="AA1801" s="4"/>
      <c r="AB1801" s="4"/>
      <c r="AC1801" s="4"/>
      <c r="AD1801" s="4"/>
      <c r="AE1801" s="4"/>
      <c r="AF1801" s="4"/>
      <c r="AG1801" s="4"/>
      <c r="AH1801" s="4"/>
      <c r="AI1801" s="4"/>
      <c r="AJ1801" s="4"/>
      <c r="AK1801" s="4"/>
      <c r="AL1801" s="4"/>
      <c r="AM1801" s="4"/>
      <c r="AN1801" s="4"/>
      <c r="AO1801" s="4"/>
      <c r="AP1801" s="4"/>
      <c r="AQ1801" s="4"/>
      <c r="AR1801" s="4"/>
      <c r="AS1801" s="4"/>
      <c r="AT1801" s="4"/>
      <c r="AU1801" s="4"/>
      <c r="AV1801" s="4"/>
      <c r="AW1801" s="4"/>
      <c r="AX1801" s="4"/>
      <c r="AY1801" s="4"/>
      <c r="AZ1801" s="4"/>
      <c r="BA1801" s="4"/>
      <c r="BB1801" s="4"/>
      <c r="BC1801" s="4"/>
      <c r="BD1801" s="4"/>
      <c r="BE1801" s="4"/>
      <c r="BF1801" s="4"/>
      <c r="BG1801" s="4"/>
      <c r="BH1801" s="4"/>
      <c r="BI1801" s="4"/>
      <c r="BJ1801" s="4"/>
      <c r="BK1801" s="4"/>
      <c r="BL1801" s="4"/>
      <c r="BM1801" s="4"/>
      <c r="BN1801" s="4"/>
      <c r="BO1801" s="4"/>
      <c r="BP1801" s="4"/>
      <c r="BQ1801" s="4"/>
      <c r="BR1801" s="4"/>
      <c r="BS1801" s="4"/>
      <c r="BT1801" s="4"/>
      <c r="BU1801" s="4"/>
      <c r="BV1801" s="4"/>
      <c r="BW1801" s="4"/>
      <c r="BX1801" s="4"/>
      <c r="BY1801" s="4"/>
      <c r="BZ1801" s="4"/>
      <c r="CA1801" s="4"/>
      <c r="CB1801" s="4"/>
      <c r="CC1801" s="4"/>
      <c r="CD1801" s="4"/>
      <c r="CE1801" s="4"/>
      <c r="CF1801" s="4"/>
      <c r="CG1801" s="4"/>
      <c r="CH1801" s="4"/>
      <c r="CI1801" s="4"/>
      <c r="CJ1801" s="4"/>
      <c r="CK1801" s="4"/>
      <c r="CL1801" s="4"/>
      <c r="CM1801" s="4"/>
      <c r="CN1801" s="4"/>
      <c r="CO1801" s="4"/>
      <c r="CP1801" s="4"/>
      <c r="CQ1801" s="4"/>
      <c r="CR1801" s="4"/>
      <c r="CS1801" s="4"/>
      <c r="CT1801" s="4"/>
      <c r="CU1801" s="4"/>
      <c r="CV1801" s="4"/>
      <c r="CW1801" s="4"/>
      <c r="CX1801" s="4"/>
      <c r="CY1801" s="4"/>
      <c r="CZ1801" s="4"/>
      <c r="DA1801" s="4"/>
      <c r="DB1801" s="4"/>
      <c r="DC1801" s="4"/>
      <c r="DD1801" s="4"/>
      <c r="DE1801" s="4"/>
      <c r="DF1801" s="4"/>
      <c r="DG1801" s="4"/>
      <c r="DH1801" s="4"/>
      <c r="DI1801" s="4"/>
      <c r="DJ1801" s="4"/>
      <c r="DK1801" s="4"/>
      <c r="DL1801" s="4"/>
      <c r="DM1801" s="4"/>
      <c r="DN1801" s="4"/>
      <c r="DO1801" s="4"/>
      <c r="DP1801" s="4"/>
      <c r="DQ1801" s="4"/>
      <c r="DR1801" s="4"/>
      <c r="DS1801" s="4"/>
    </row>
    <row r="1802">
      <c r="A1802" s="4"/>
      <c r="B1802" s="4"/>
      <c r="C1802" s="4"/>
      <c r="D1802" s="4"/>
      <c r="E1802" s="4"/>
      <c r="F1802" s="4" t="s">
        <v>17</v>
      </c>
      <c r="G1802" s="15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  <c r="AA1802" s="4"/>
      <c r="AB1802" s="4"/>
      <c r="AC1802" s="4"/>
      <c r="AD1802" s="4"/>
      <c r="AE1802" s="4"/>
      <c r="AF1802" s="4"/>
      <c r="AG1802" s="4"/>
      <c r="AH1802" s="4"/>
      <c r="AI1802" s="4"/>
      <c r="AJ1802" s="4"/>
      <c r="AK1802" s="4"/>
      <c r="AL1802" s="4"/>
      <c r="AM1802" s="4"/>
      <c r="AN1802" s="4"/>
      <c r="AO1802" s="4"/>
      <c r="AP1802" s="4"/>
      <c r="AQ1802" s="4"/>
      <c r="AR1802" s="4"/>
      <c r="AS1802" s="4"/>
      <c r="AT1802" s="4"/>
      <c r="AU1802" s="4"/>
      <c r="AV1802" s="4"/>
      <c r="AW1802" s="4"/>
      <c r="AX1802" s="4"/>
      <c r="AY1802" s="4"/>
      <c r="AZ1802" s="4"/>
      <c r="BA1802" s="4"/>
      <c r="BB1802" s="4"/>
      <c r="BC1802" s="4"/>
      <c r="BD1802" s="4"/>
      <c r="BE1802" s="4"/>
      <c r="BF1802" s="4"/>
      <c r="BG1802" s="4"/>
      <c r="BH1802" s="4"/>
      <c r="BI1802" s="4"/>
      <c r="BJ1802" s="4"/>
      <c r="BK1802" s="4"/>
      <c r="BL1802" s="4"/>
      <c r="BM1802" s="4"/>
      <c r="BN1802" s="4"/>
      <c r="BO1802" s="4"/>
      <c r="BP1802" s="4"/>
      <c r="BQ1802" s="4"/>
      <c r="BR1802" s="4"/>
      <c r="BS1802" s="4"/>
      <c r="BT1802" s="4"/>
      <c r="BU1802" s="4"/>
      <c r="BV1802" s="4"/>
      <c r="BW1802" s="4"/>
      <c r="BX1802" s="4"/>
      <c r="BY1802" s="4"/>
      <c r="BZ1802" s="4"/>
      <c r="CA1802" s="4"/>
      <c r="CB1802" s="4"/>
      <c r="CC1802" s="4"/>
      <c r="CD1802" s="4"/>
      <c r="CE1802" s="4"/>
      <c r="CF1802" s="4"/>
      <c r="CG1802" s="4"/>
      <c r="CH1802" s="4"/>
      <c r="CI1802" s="4"/>
      <c r="CJ1802" s="4"/>
      <c r="CK1802" s="4"/>
      <c r="CL1802" s="4"/>
      <c r="CM1802" s="4"/>
      <c r="CN1802" s="4"/>
      <c r="CO1802" s="4"/>
      <c r="CP1802" s="4"/>
      <c r="CQ1802" s="4"/>
      <c r="CR1802" s="4"/>
      <c r="CS1802" s="4"/>
      <c r="CT1802" s="4"/>
      <c r="CU1802" s="4"/>
      <c r="CV1802" s="4"/>
      <c r="CW1802" s="4"/>
      <c r="CX1802" s="4"/>
      <c r="CY1802" s="4"/>
      <c r="CZ1802" s="4"/>
      <c r="DA1802" s="4"/>
      <c r="DB1802" s="4"/>
      <c r="DC1802" s="4"/>
      <c r="DD1802" s="4"/>
      <c r="DE1802" s="4"/>
      <c r="DF1802" s="4"/>
      <c r="DG1802" s="4"/>
      <c r="DH1802" s="4"/>
      <c r="DI1802" s="4"/>
      <c r="DJ1802" s="4"/>
      <c r="DK1802" s="4"/>
      <c r="DL1802" s="4"/>
      <c r="DM1802" s="4"/>
      <c r="DN1802" s="4"/>
      <c r="DO1802" s="4"/>
      <c r="DP1802" s="4"/>
      <c r="DQ1802" s="4"/>
      <c r="DR1802" s="4"/>
      <c r="DS1802" s="4"/>
    </row>
    <row r="1803">
      <c r="A1803" s="4"/>
      <c r="B1803" s="4"/>
      <c r="C1803" s="4"/>
      <c r="D1803" s="4"/>
      <c r="E1803" s="4"/>
      <c r="F1803" s="4" t="s">
        <v>17</v>
      </c>
      <c r="G1803" s="15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  <c r="AA1803" s="4"/>
      <c r="AB1803" s="4"/>
      <c r="AC1803" s="4"/>
      <c r="AD1803" s="4"/>
      <c r="AE1803" s="4"/>
      <c r="AF1803" s="4"/>
      <c r="AG1803" s="4"/>
      <c r="AH1803" s="4"/>
      <c r="AI1803" s="4"/>
      <c r="AJ1803" s="4"/>
      <c r="AK1803" s="4"/>
      <c r="AL1803" s="4"/>
      <c r="AM1803" s="4"/>
      <c r="AN1803" s="4"/>
      <c r="AO1803" s="4"/>
      <c r="AP1803" s="4"/>
      <c r="AQ1803" s="4"/>
      <c r="AR1803" s="4"/>
      <c r="AS1803" s="4"/>
      <c r="AT1803" s="4"/>
      <c r="AU1803" s="4"/>
      <c r="AV1803" s="4"/>
      <c r="AW1803" s="4"/>
      <c r="AX1803" s="4"/>
      <c r="AY1803" s="4"/>
      <c r="AZ1803" s="4"/>
      <c r="BA1803" s="4"/>
      <c r="BB1803" s="4"/>
      <c r="BC1803" s="4"/>
      <c r="BD1803" s="4"/>
      <c r="BE1803" s="4"/>
      <c r="BF1803" s="4"/>
      <c r="BG1803" s="4"/>
      <c r="BH1803" s="4"/>
      <c r="BI1803" s="4"/>
      <c r="BJ1803" s="4"/>
      <c r="BK1803" s="4"/>
      <c r="BL1803" s="4"/>
      <c r="BM1803" s="4"/>
      <c r="BN1803" s="4"/>
      <c r="BO1803" s="4"/>
      <c r="BP1803" s="4"/>
      <c r="BQ1803" s="4"/>
      <c r="BR1803" s="4"/>
      <c r="BS1803" s="4"/>
      <c r="BT1803" s="4"/>
      <c r="BU1803" s="4"/>
      <c r="BV1803" s="4"/>
      <c r="BW1803" s="4"/>
      <c r="BX1803" s="4"/>
      <c r="BY1803" s="4"/>
      <c r="BZ1803" s="4"/>
      <c r="CA1803" s="4"/>
      <c r="CB1803" s="4"/>
      <c r="CC1803" s="4"/>
      <c r="CD1803" s="4"/>
      <c r="CE1803" s="4"/>
      <c r="CF1803" s="4"/>
      <c r="CG1803" s="4"/>
      <c r="CH1803" s="4"/>
      <c r="CI1803" s="4"/>
      <c r="CJ1803" s="4"/>
      <c r="CK1803" s="4"/>
      <c r="CL1803" s="4"/>
      <c r="CM1803" s="4"/>
      <c r="CN1803" s="4"/>
      <c r="CO1803" s="4"/>
      <c r="CP1803" s="4"/>
      <c r="CQ1803" s="4"/>
      <c r="CR1803" s="4"/>
      <c r="CS1803" s="4"/>
      <c r="CT1803" s="4"/>
      <c r="CU1803" s="4"/>
      <c r="CV1803" s="4"/>
      <c r="CW1803" s="4"/>
      <c r="CX1803" s="4"/>
      <c r="CY1803" s="4"/>
      <c r="CZ1803" s="4"/>
      <c r="DA1803" s="4"/>
      <c r="DB1803" s="4"/>
      <c r="DC1803" s="4"/>
      <c r="DD1803" s="4"/>
      <c r="DE1803" s="4"/>
      <c r="DF1803" s="4"/>
      <c r="DG1803" s="4"/>
      <c r="DH1803" s="4"/>
      <c r="DI1803" s="4"/>
      <c r="DJ1803" s="4"/>
      <c r="DK1803" s="4"/>
      <c r="DL1803" s="4"/>
      <c r="DM1803" s="4"/>
      <c r="DN1803" s="4"/>
      <c r="DO1803" s="4"/>
      <c r="DP1803" s="4"/>
      <c r="DQ1803" s="4"/>
      <c r="DR1803" s="4"/>
      <c r="DS1803" s="4"/>
    </row>
    <row r="1804">
      <c r="A1804" s="4"/>
      <c r="B1804" s="4"/>
      <c r="C1804" s="4"/>
      <c r="D1804" s="4"/>
      <c r="E1804" s="4"/>
      <c r="F1804" s="4" t="s">
        <v>17</v>
      </c>
      <c r="G1804" s="15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  <c r="AA1804" s="4"/>
      <c r="AB1804" s="4"/>
      <c r="AC1804" s="4"/>
      <c r="AD1804" s="4"/>
      <c r="AE1804" s="4"/>
      <c r="AF1804" s="4"/>
      <c r="AG1804" s="4"/>
      <c r="AH1804" s="4"/>
      <c r="AI1804" s="4"/>
      <c r="AJ1804" s="4"/>
      <c r="AK1804" s="4"/>
      <c r="AL1804" s="4"/>
      <c r="AM1804" s="4"/>
      <c r="AN1804" s="4"/>
      <c r="AO1804" s="4"/>
      <c r="AP1804" s="4"/>
      <c r="AQ1804" s="4"/>
      <c r="AR1804" s="4"/>
      <c r="AS1804" s="4"/>
      <c r="AT1804" s="4"/>
      <c r="AU1804" s="4"/>
      <c r="AV1804" s="4"/>
      <c r="AW1804" s="4"/>
      <c r="AX1804" s="4"/>
      <c r="AY1804" s="4"/>
      <c r="AZ1804" s="4"/>
      <c r="BA1804" s="4"/>
      <c r="BB1804" s="4"/>
      <c r="BC1804" s="4"/>
      <c r="BD1804" s="4"/>
      <c r="BE1804" s="4"/>
      <c r="BF1804" s="4"/>
      <c r="BG1804" s="4"/>
      <c r="BH1804" s="4"/>
      <c r="BI1804" s="4"/>
      <c r="BJ1804" s="4"/>
      <c r="BK1804" s="4"/>
      <c r="BL1804" s="4"/>
      <c r="BM1804" s="4"/>
      <c r="BN1804" s="4"/>
      <c r="BO1804" s="4"/>
      <c r="BP1804" s="4"/>
      <c r="BQ1804" s="4"/>
      <c r="BR1804" s="4"/>
      <c r="BS1804" s="4"/>
      <c r="BT1804" s="4"/>
      <c r="BU1804" s="4"/>
      <c r="BV1804" s="4"/>
      <c r="BW1804" s="4"/>
      <c r="BX1804" s="4"/>
      <c r="BY1804" s="4"/>
      <c r="BZ1804" s="4"/>
      <c r="CA1804" s="4"/>
      <c r="CB1804" s="4"/>
      <c r="CC1804" s="4"/>
      <c r="CD1804" s="4"/>
      <c r="CE1804" s="4"/>
      <c r="CF1804" s="4"/>
      <c r="CG1804" s="4"/>
      <c r="CH1804" s="4"/>
      <c r="CI1804" s="4"/>
      <c r="CJ1804" s="4"/>
      <c r="CK1804" s="4"/>
      <c r="CL1804" s="4"/>
      <c r="CM1804" s="4"/>
      <c r="CN1804" s="4"/>
      <c r="CO1804" s="4"/>
      <c r="CP1804" s="4"/>
      <c r="CQ1804" s="4"/>
      <c r="CR1804" s="4"/>
      <c r="CS1804" s="4"/>
      <c r="CT1804" s="4"/>
      <c r="CU1804" s="4"/>
      <c r="CV1804" s="4"/>
      <c r="CW1804" s="4"/>
      <c r="CX1804" s="4"/>
      <c r="CY1804" s="4"/>
      <c r="CZ1804" s="4"/>
      <c r="DA1804" s="4"/>
      <c r="DB1804" s="4"/>
      <c r="DC1804" s="4"/>
      <c r="DD1804" s="4"/>
      <c r="DE1804" s="4"/>
      <c r="DF1804" s="4"/>
      <c r="DG1804" s="4"/>
      <c r="DH1804" s="4"/>
      <c r="DI1804" s="4"/>
      <c r="DJ1804" s="4"/>
      <c r="DK1804" s="4"/>
      <c r="DL1804" s="4"/>
      <c r="DM1804" s="4"/>
      <c r="DN1804" s="4"/>
      <c r="DO1804" s="4"/>
      <c r="DP1804" s="4"/>
      <c r="DQ1804" s="4"/>
      <c r="DR1804" s="4"/>
      <c r="DS1804" s="4"/>
    </row>
    <row r="1805">
      <c r="A1805" s="4"/>
      <c r="B1805" s="4"/>
      <c r="C1805" s="4"/>
      <c r="D1805" s="4"/>
      <c r="E1805" s="4"/>
      <c r="F1805" s="4" t="s">
        <v>17</v>
      </c>
      <c r="G1805" s="15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  <c r="AA1805" s="4"/>
      <c r="AB1805" s="4"/>
      <c r="AC1805" s="4"/>
      <c r="AD1805" s="4"/>
      <c r="AE1805" s="4"/>
      <c r="AF1805" s="4"/>
      <c r="AG1805" s="4"/>
      <c r="AH1805" s="4"/>
      <c r="AI1805" s="4"/>
      <c r="AJ1805" s="4"/>
      <c r="AK1805" s="4"/>
      <c r="AL1805" s="4"/>
      <c r="AM1805" s="4"/>
      <c r="AN1805" s="4"/>
      <c r="AO1805" s="4"/>
      <c r="AP1805" s="4"/>
      <c r="AQ1805" s="4"/>
      <c r="AR1805" s="4"/>
      <c r="AS1805" s="4"/>
      <c r="AT1805" s="4"/>
      <c r="AU1805" s="4"/>
      <c r="AV1805" s="4"/>
      <c r="AW1805" s="4"/>
      <c r="AX1805" s="4"/>
      <c r="AY1805" s="4"/>
      <c r="AZ1805" s="4"/>
      <c r="BA1805" s="4"/>
      <c r="BB1805" s="4"/>
      <c r="BC1805" s="4"/>
      <c r="BD1805" s="4"/>
      <c r="BE1805" s="4"/>
      <c r="BF1805" s="4"/>
      <c r="BG1805" s="4"/>
      <c r="BH1805" s="4"/>
      <c r="BI1805" s="4"/>
      <c r="BJ1805" s="4"/>
      <c r="BK1805" s="4"/>
      <c r="BL1805" s="4"/>
      <c r="BM1805" s="4"/>
      <c r="BN1805" s="4"/>
      <c r="BO1805" s="4"/>
      <c r="BP1805" s="4"/>
      <c r="BQ1805" s="4"/>
      <c r="BR1805" s="4"/>
      <c r="BS1805" s="4"/>
      <c r="BT1805" s="4"/>
      <c r="BU1805" s="4"/>
      <c r="BV1805" s="4"/>
      <c r="BW1805" s="4"/>
      <c r="BX1805" s="4"/>
      <c r="BY1805" s="4"/>
      <c r="BZ1805" s="4"/>
      <c r="CA1805" s="4"/>
      <c r="CB1805" s="4"/>
      <c r="CC1805" s="4"/>
      <c r="CD1805" s="4"/>
      <c r="CE1805" s="4"/>
      <c r="CF1805" s="4"/>
      <c r="CG1805" s="4"/>
      <c r="CH1805" s="4"/>
      <c r="CI1805" s="4"/>
      <c r="CJ1805" s="4"/>
      <c r="CK1805" s="4"/>
      <c r="CL1805" s="4"/>
      <c r="CM1805" s="4"/>
      <c r="CN1805" s="4"/>
      <c r="CO1805" s="4"/>
      <c r="CP1805" s="4"/>
      <c r="CQ1805" s="4"/>
      <c r="CR1805" s="4"/>
      <c r="CS1805" s="4"/>
      <c r="CT1805" s="4"/>
      <c r="CU1805" s="4"/>
      <c r="CV1805" s="4"/>
      <c r="CW1805" s="4"/>
      <c r="CX1805" s="4"/>
      <c r="CY1805" s="4"/>
      <c r="CZ1805" s="4"/>
      <c r="DA1805" s="4"/>
      <c r="DB1805" s="4"/>
      <c r="DC1805" s="4"/>
      <c r="DD1805" s="4"/>
      <c r="DE1805" s="4"/>
      <c r="DF1805" s="4"/>
      <c r="DG1805" s="4"/>
      <c r="DH1805" s="4"/>
      <c r="DI1805" s="4"/>
      <c r="DJ1805" s="4"/>
      <c r="DK1805" s="4"/>
      <c r="DL1805" s="4"/>
      <c r="DM1805" s="4"/>
      <c r="DN1805" s="4"/>
      <c r="DO1805" s="4"/>
      <c r="DP1805" s="4"/>
      <c r="DQ1805" s="4"/>
      <c r="DR1805" s="4"/>
      <c r="DS1805" s="4"/>
    </row>
    <row r="1806">
      <c r="A1806" s="4"/>
      <c r="B1806" s="4"/>
      <c r="C1806" s="4"/>
      <c r="D1806" s="4"/>
      <c r="E1806" s="4"/>
      <c r="F1806" s="4" t="s">
        <v>17</v>
      </c>
      <c r="G1806" s="15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  <c r="AA1806" s="4"/>
      <c r="AB1806" s="4"/>
      <c r="AC1806" s="4"/>
      <c r="AD1806" s="4"/>
      <c r="AE1806" s="4"/>
      <c r="AF1806" s="4"/>
      <c r="AG1806" s="4"/>
      <c r="AH1806" s="4"/>
      <c r="AI1806" s="4"/>
      <c r="AJ1806" s="4"/>
      <c r="AK1806" s="4"/>
      <c r="AL1806" s="4"/>
      <c r="AM1806" s="4"/>
      <c r="AN1806" s="4"/>
      <c r="AO1806" s="4"/>
      <c r="AP1806" s="4"/>
      <c r="AQ1806" s="4"/>
      <c r="AR1806" s="4"/>
      <c r="AS1806" s="4"/>
      <c r="AT1806" s="4"/>
      <c r="AU1806" s="4"/>
      <c r="AV1806" s="4"/>
      <c r="AW1806" s="4"/>
      <c r="AX1806" s="4"/>
      <c r="AY1806" s="4"/>
      <c r="AZ1806" s="4"/>
      <c r="BA1806" s="4"/>
      <c r="BB1806" s="4"/>
      <c r="BC1806" s="4"/>
      <c r="BD1806" s="4"/>
      <c r="BE1806" s="4"/>
      <c r="BF1806" s="4"/>
      <c r="BG1806" s="4"/>
      <c r="BH1806" s="4"/>
      <c r="BI1806" s="4"/>
      <c r="BJ1806" s="4"/>
      <c r="BK1806" s="4"/>
      <c r="BL1806" s="4"/>
      <c r="BM1806" s="4"/>
      <c r="BN1806" s="4"/>
      <c r="BO1806" s="4"/>
      <c r="BP1806" s="4"/>
      <c r="BQ1806" s="4"/>
      <c r="BR1806" s="4"/>
      <c r="BS1806" s="4"/>
      <c r="BT1806" s="4"/>
      <c r="BU1806" s="4"/>
      <c r="BV1806" s="4"/>
      <c r="BW1806" s="4"/>
      <c r="BX1806" s="4"/>
      <c r="BY1806" s="4"/>
      <c r="BZ1806" s="4"/>
      <c r="CA1806" s="4"/>
      <c r="CB1806" s="4"/>
      <c r="CC1806" s="4"/>
      <c r="CD1806" s="4"/>
      <c r="CE1806" s="4"/>
      <c r="CF1806" s="4"/>
      <c r="CG1806" s="4"/>
      <c r="CH1806" s="4"/>
      <c r="CI1806" s="4"/>
      <c r="CJ1806" s="4"/>
      <c r="CK1806" s="4"/>
      <c r="CL1806" s="4"/>
      <c r="CM1806" s="4"/>
      <c r="CN1806" s="4"/>
      <c r="CO1806" s="4"/>
      <c r="CP1806" s="4"/>
      <c r="CQ1806" s="4"/>
      <c r="CR1806" s="4"/>
      <c r="CS1806" s="4"/>
      <c r="CT1806" s="4"/>
      <c r="CU1806" s="4"/>
      <c r="CV1806" s="4"/>
      <c r="CW1806" s="4"/>
      <c r="CX1806" s="4"/>
      <c r="CY1806" s="4"/>
      <c r="CZ1806" s="4"/>
      <c r="DA1806" s="4"/>
      <c r="DB1806" s="4"/>
      <c r="DC1806" s="4"/>
      <c r="DD1806" s="4"/>
      <c r="DE1806" s="4"/>
      <c r="DF1806" s="4"/>
      <c r="DG1806" s="4"/>
      <c r="DH1806" s="4"/>
      <c r="DI1806" s="4"/>
      <c r="DJ1806" s="4"/>
      <c r="DK1806" s="4"/>
      <c r="DL1806" s="4"/>
      <c r="DM1806" s="4"/>
      <c r="DN1806" s="4"/>
      <c r="DO1806" s="4"/>
      <c r="DP1806" s="4"/>
      <c r="DQ1806" s="4"/>
      <c r="DR1806" s="4"/>
      <c r="DS1806" s="4"/>
    </row>
    <row r="1807">
      <c r="A1807" s="4"/>
      <c r="B1807" s="4"/>
      <c r="C1807" s="4"/>
      <c r="D1807" s="4"/>
      <c r="E1807" s="4"/>
      <c r="F1807" s="4" t="s">
        <v>17</v>
      </c>
      <c r="G1807" s="15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  <c r="AA1807" s="4"/>
      <c r="AB1807" s="4"/>
      <c r="AC1807" s="4"/>
      <c r="AD1807" s="4"/>
      <c r="AE1807" s="4"/>
      <c r="AF1807" s="4"/>
      <c r="AG1807" s="4"/>
      <c r="AH1807" s="4"/>
      <c r="AI1807" s="4"/>
      <c r="AJ1807" s="4"/>
      <c r="AK1807" s="4"/>
      <c r="AL1807" s="4"/>
      <c r="AM1807" s="4"/>
      <c r="AN1807" s="4"/>
      <c r="AO1807" s="4"/>
      <c r="AP1807" s="4"/>
      <c r="AQ1807" s="4"/>
      <c r="AR1807" s="4"/>
      <c r="AS1807" s="4"/>
      <c r="AT1807" s="4"/>
      <c r="AU1807" s="4"/>
      <c r="AV1807" s="4"/>
      <c r="AW1807" s="4"/>
      <c r="AX1807" s="4"/>
      <c r="AY1807" s="4"/>
      <c r="AZ1807" s="4"/>
      <c r="BA1807" s="4"/>
      <c r="BB1807" s="4"/>
      <c r="BC1807" s="4"/>
      <c r="BD1807" s="4"/>
      <c r="BE1807" s="4"/>
      <c r="BF1807" s="4"/>
      <c r="BG1807" s="4"/>
      <c r="BH1807" s="4"/>
      <c r="BI1807" s="4"/>
      <c r="BJ1807" s="4"/>
      <c r="BK1807" s="4"/>
      <c r="BL1807" s="4"/>
      <c r="BM1807" s="4"/>
      <c r="BN1807" s="4"/>
      <c r="BO1807" s="4"/>
      <c r="BP1807" s="4"/>
      <c r="BQ1807" s="4"/>
      <c r="BR1807" s="4"/>
      <c r="BS1807" s="4"/>
      <c r="BT1807" s="4"/>
      <c r="BU1807" s="4"/>
      <c r="BV1807" s="4"/>
      <c r="BW1807" s="4"/>
      <c r="BX1807" s="4"/>
      <c r="BY1807" s="4"/>
      <c r="BZ1807" s="4"/>
      <c r="CA1807" s="4"/>
      <c r="CB1807" s="4"/>
      <c r="CC1807" s="4"/>
      <c r="CD1807" s="4"/>
      <c r="CE1807" s="4"/>
      <c r="CF1807" s="4"/>
      <c r="CG1807" s="4"/>
      <c r="CH1807" s="4"/>
      <c r="CI1807" s="4"/>
      <c r="CJ1807" s="4"/>
      <c r="CK1807" s="4"/>
      <c r="CL1807" s="4"/>
      <c r="CM1807" s="4"/>
      <c r="CN1807" s="4"/>
      <c r="CO1807" s="4"/>
      <c r="CP1807" s="4"/>
      <c r="CQ1807" s="4"/>
      <c r="CR1807" s="4"/>
      <c r="CS1807" s="4"/>
      <c r="CT1807" s="4"/>
      <c r="CU1807" s="4"/>
      <c r="CV1807" s="4"/>
      <c r="CW1807" s="4"/>
      <c r="CX1807" s="4"/>
      <c r="CY1807" s="4"/>
      <c r="CZ1807" s="4"/>
      <c r="DA1807" s="4"/>
      <c r="DB1807" s="4"/>
      <c r="DC1807" s="4"/>
      <c r="DD1807" s="4"/>
      <c r="DE1807" s="4"/>
      <c r="DF1807" s="4"/>
      <c r="DG1807" s="4"/>
      <c r="DH1807" s="4"/>
      <c r="DI1807" s="4"/>
      <c r="DJ1807" s="4"/>
      <c r="DK1807" s="4"/>
      <c r="DL1807" s="4"/>
      <c r="DM1807" s="4"/>
      <c r="DN1807" s="4"/>
      <c r="DO1807" s="4"/>
      <c r="DP1807" s="4"/>
      <c r="DQ1807" s="4"/>
      <c r="DR1807" s="4"/>
      <c r="DS1807" s="4"/>
    </row>
    <row r="1808">
      <c r="A1808" s="4"/>
      <c r="B1808" s="4"/>
      <c r="C1808" s="4"/>
      <c r="D1808" s="4"/>
      <c r="E1808" s="4"/>
      <c r="F1808" s="4" t="s">
        <v>17</v>
      </c>
      <c r="G1808" s="15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  <c r="AA1808" s="4"/>
      <c r="AB1808" s="4"/>
      <c r="AC1808" s="4"/>
      <c r="AD1808" s="4"/>
      <c r="AE1808" s="4"/>
      <c r="AF1808" s="4"/>
      <c r="AG1808" s="4"/>
      <c r="AH1808" s="4"/>
      <c r="AI1808" s="4"/>
      <c r="AJ1808" s="4"/>
      <c r="AK1808" s="4"/>
      <c r="AL1808" s="4"/>
      <c r="AM1808" s="4"/>
      <c r="AN1808" s="4"/>
      <c r="AO1808" s="4"/>
      <c r="AP1808" s="4"/>
      <c r="AQ1808" s="4"/>
      <c r="AR1808" s="4"/>
      <c r="AS1808" s="4"/>
      <c r="AT1808" s="4"/>
      <c r="AU1808" s="4"/>
      <c r="AV1808" s="4"/>
      <c r="AW1808" s="4"/>
      <c r="AX1808" s="4"/>
      <c r="AY1808" s="4"/>
      <c r="AZ1808" s="4"/>
      <c r="BA1808" s="4"/>
      <c r="BB1808" s="4"/>
      <c r="BC1808" s="4"/>
      <c r="BD1808" s="4"/>
      <c r="BE1808" s="4"/>
      <c r="BF1808" s="4"/>
      <c r="BG1808" s="4"/>
      <c r="BH1808" s="4"/>
      <c r="BI1808" s="4"/>
      <c r="BJ1808" s="4"/>
      <c r="BK1808" s="4"/>
      <c r="BL1808" s="4"/>
      <c r="BM1808" s="4"/>
      <c r="BN1808" s="4"/>
      <c r="BO1808" s="4"/>
      <c r="BP1808" s="4"/>
      <c r="BQ1808" s="4"/>
      <c r="BR1808" s="4"/>
      <c r="BS1808" s="4"/>
      <c r="BT1808" s="4"/>
      <c r="BU1808" s="4"/>
      <c r="BV1808" s="4"/>
      <c r="BW1808" s="4"/>
      <c r="BX1808" s="4"/>
      <c r="BY1808" s="4"/>
      <c r="BZ1808" s="4"/>
      <c r="CA1808" s="4"/>
      <c r="CB1808" s="4"/>
      <c r="CC1808" s="4"/>
      <c r="CD1808" s="4"/>
      <c r="CE1808" s="4"/>
      <c r="CF1808" s="4"/>
      <c r="CG1808" s="4"/>
      <c r="CH1808" s="4"/>
      <c r="CI1808" s="4"/>
      <c r="CJ1808" s="4"/>
      <c r="CK1808" s="4"/>
      <c r="CL1808" s="4"/>
      <c r="CM1808" s="4"/>
      <c r="CN1808" s="4"/>
      <c r="CO1808" s="4"/>
      <c r="CP1808" s="4"/>
      <c r="CQ1808" s="4"/>
      <c r="CR1808" s="4"/>
      <c r="CS1808" s="4"/>
      <c r="CT1808" s="4"/>
      <c r="CU1808" s="4"/>
      <c r="CV1808" s="4"/>
      <c r="CW1808" s="4"/>
      <c r="CX1808" s="4"/>
      <c r="CY1808" s="4"/>
      <c r="CZ1808" s="4"/>
      <c r="DA1808" s="4"/>
      <c r="DB1808" s="4"/>
      <c r="DC1808" s="4"/>
      <c r="DD1808" s="4"/>
      <c r="DE1808" s="4"/>
      <c r="DF1808" s="4"/>
      <c r="DG1808" s="4"/>
      <c r="DH1808" s="4"/>
      <c r="DI1808" s="4"/>
      <c r="DJ1808" s="4"/>
      <c r="DK1808" s="4"/>
      <c r="DL1808" s="4"/>
      <c r="DM1808" s="4"/>
      <c r="DN1808" s="4"/>
      <c r="DO1808" s="4"/>
      <c r="DP1808" s="4"/>
      <c r="DQ1808" s="4"/>
      <c r="DR1808" s="4"/>
      <c r="DS1808" s="4"/>
    </row>
    <row r="1809">
      <c r="A1809" s="4"/>
      <c r="B1809" s="4"/>
      <c r="C1809" s="4"/>
      <c r="D1809" s="4"/>
      <c r="E1809" s="4"/>
      <c r="F1809" s="4" t="s">
        <v>17</v>
      </c>
      <c r="G1809" s="15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  <c r="AA1809" s="4"/>
      <c r="AB1809" s="4"/>
      <c r="AC1809" s="4"/>
      <c r="AD1809" s="4"/>
      <c r="AE1809" s="4"/>
      <c r="AF1809" s="4"/>
      <c r="AG1809" s="4"/>
      <c r="AH1809" s="4"/>
      <c r="AI1809" s="4"/>
      <c r="AJ1809" s="4"/>
      <c r="AK1809" s="4"/>
      <c r="AL1809" s="4"/>
      <c r="AM1809" s="4"/>
      <c r="AN1809" s="4"/>
      <c r="AO1809" s="4"/>
      <c r="AP1809" s="4"/>
      <c r="AQ1809" s="4"/>
      <c r="AR1809" s="4"/>
      <c r="AS1809" s="4"/>
      <c r="AT1809" s="4"/>
      <c r="AU1809" s="4"/>
      <c r="AV1809" s="4"/>
      <c r="AW1809" s="4"/>
      <c r="AX1809" s="4"/>
      <c r="AY1809" s="4"/>
      <c r="AZ1809" s="4"/>
      <c r="BA1809" s="4"/>
      <c r="BB1809" s="4"/>
      <c r="BC1809" s="4"/>
      <c r="BD1809" s="4"/>
      <c r="BE1809" s="4"/>
      <c r="BF1809" s="4"/>
      <c r="BG1809" s="4"/>
      <c r="BH1809" s="4"/>
      <c r="BI1809" s="4"/>
      <c r="BJ1809" s="4"/>
      <c r="BK1809" s="4"/>
      <c r="BL1809" s="4"/>
      <c r="BM1809" s="4"/>
      <c r="BN1809" s="4"/>
      <c r="BO1809" s="4"/>
      <c r="BP1809" s="4"/>
      <c r="BQ1809" s="4"/>
      <c r="BR1809" s="4"/>
      <c r="BS1809" s="4"/>
      <c r="BT1809" s="4"/>
      <c r="BU1809" s="4"/>
      <c r="BV1809" s="4"/>
      <c r="BW1809" s="4"/>
      <c r="BX1809" s="4"/>
      <c r="BY1809" s="4"/>
      <c r="BZ1809" s="4"/>
      <c r="CA1809" s="4"/>
      <c r="CB1809" s="4"/>
      <c r="CC1809" s="4"/>
      <c r="CD1809" s="4"/>
      <c r="CE1809" s="4"/>
      <c r="CF1809" s="4"/>
      <c r="CG1809" s="4"/>
      <c r="CH1809" s="4"/>
      <c r="CI1809" s="4"/>
      <c r="CJ1809" s="4"/>
      <c r="CK1809" s="4"/>
      <c r="CL1809" s="4"/>
      <c r="CM1809" s="4"/>
      <c r="CN1809" s="4"/>
      <c r="CO1809" s="4"/>
      <c r="CP1809" s="4"/>
      <c r="CQ1809" s="4"/>
      <c r="CR1809" s="4"/>
      <c r="CS1809" s="4"/>
      <c r="CT1809" s="4"/>
      <c r="CU1809" s="4"/>
      <c r="CV1809" s="4"/>
      <c r="CW1809" s="4"/>
      <c r="CX1809" s="4"/>
      <c r="CY1809" s="4"/>
      <c r="CZ1809" s="4"/>
      <c r="DA1809" s="4"/>
      <c r="DB1809" s="4"/>
      <c r="DC1809" s="4"/>
      <c r="DD1809" s="4"/>
      <c r="DE1809" s="4"/>
      <c r="DF1809" s="4"/>
      <c r="DG1809" s="4"/>
      <c r="DH1809" s="4"/>
      <c r="DI1809" s="4"/>
      <c r="DJ1809" s="4"/>
      <c r="DK1809" s="4"/>
      <c r="DL1809" s="4"/>
      <c r="DM1809" s="4"/>
      <c r="DN1809" s="4"/>
      <c r="DO1809" s="4"/>
      <c r="DP1809" s="4"/>
      <c r="DQ1809" s="4"/>
      <c r="DR1809" s="4"/>
      <c r="DS1809" s="4"/>
    </row>
    <row r="1810">
      <c r="A1810" s="4"/>
      <c r="B1810" s="4"/>
      <c r="C1810" s="4"/>
      <c r="D1810" s="4"/>
      <c r="E1810" s="4"/>
      <c r="F1810" s="4" t="s">
        <v>17</v>
      </c>
      <c r="G1810" s="15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  <c r="AA1810" s="4"/>
      <c r="AB1810" s="4"/>
      <c r="AC1810" s="4"/>
      <c r="AD1810" s="4"/>
      <c r="AE1810" s="4"/>
      <c r="AF1810" s="4"/>
      <c r="AG1810" s="4"/>
      <c r="AH1810" s="4"/>
      <c r="AI1810" s="4"/>
      <c r="AJ1810" s="4"/>
      <c r="AK1810" s="4"/>
      <c r="AL1810" s="4"/>
      <c r="AM1810" s="4"/>
      <c r="AN1810" s="4"/>
      <c r="AO1810" s="4"/>
      <c r="AP1810" s="4"/>
      <c r="AQ1810" s="4"/>
      <c r="AR1810" s="4"/>
      <c r="AS1810" s="4"/>
      <c r="AT1810" s="4"/>
      <c r="AU1810" s="4"/>
      <c r="AV1810" s="4"/>
      <c r="AW1810" s="4"/>
      <c r="AX1810" s="4"/>
      <c r="AY1810" s="4"/>
      <c r="AZ1810" s="4"/>
      <c r="BA1810" s="4"/>
      <c r="BB1810" s="4"/>
      <c r="BC1810" s="4"/>
      <c r="BD1810" s="4"/>
      <c r="BE1810" s="4"/>
      <c r="BF1810" s="4"/>
      <c r="BG1810" s="4"/>
      <c r="BH1810" s="4"/>
      <c r="BI1810" s="4"/>
      <c r="BJ1810" s="4"/>
      <c r="BK1810" s="4"/>
      <c r="BL1810" s="4"/>
      <c r="BM1810" s="4"/>
      <c r="BN1810" s="4"/>
      <c r="BO1810" s="4"/>
      <c r="BP1810" s="4"/>
      <c r="BQ1810" s="4"/>
      <c r="BR1810" s="4"/>
      <c r="BS1810" s="4"/>
      <c r="BT1810" s="4"/>
      <c r="BU1810" s="4"/>
      <c r="BV1810" s="4"/>
      <c r="BW1810" s="4"/>
      <c r="BX1810" s="4"/>
      <c r="BY1810" s="4"/>
      <c r="BZ1810" s="4"/>
      <c r="CA1810" s="4"/>
      <c r="CB1810" s="4"/>
      <c r="CC1810" s="4"/>
      <c r="CD1810" s="4"/>
      <c r="CE1810" s="4"/>
      <c r="CF1810" s="4"/>
      <c r="CG1810" s="4"/>
      <c r="CH1810" s="4"/>
      <c r="CI1810" s="4"/>
      <c r="CJ1810" s="4"/>
      <c r="CK1810" s="4"/>
      <c r="CL1810" s="4"/>
      <c r="CM1810" s="4"/>
      <c r="CN1810" s="4"/>
      <c r="CO1810" s="4"/>
      <c r="CP1810" s="4"/>
      <c r="CQ1810" s="4"/>
      <c r="CR1810" s="4"/>
      <c r="CS1810" s="4"/>
      <c r="CT1810" s="4"/>
      <c r="CU1810" s="4"/>
      <c r="CV1810" s="4"/>
      <c r="CW1810" s="4"/>
      <c r="CX1810" s="4"/>
      <c r="CY1810" s="4"/>
      <c r="CZ1810" s="4"/>
      <c r="DA1810" s="4"/>
      <c r="DB1810" s="4"/>
      <c r="DC1810" s="4"/>
      <c r="DD1810" s="4"/>
      <c r="DE1810" s="4"/>
      <c r="DF1810" s="4"/>
      <c r="DG1810" s="4"/>
      <c r="DH1810" s="4"/>
      <c r="DI1810" s="4"/>
      <c r="DJ1810" s="4"/>
      <c r="DK1810" s="4"/>
      <c r="DL1810" s="4"/>
      <c r="DM1810" s="4"/>
      <c r="DN1810" s="4"/>
      <c r="DO1810" s="4"/>
      <c r="DP1810" s="4"/>
      <c r="DQ1810" s="4"/>
      <c r="DR1810" s="4"/>
      <c r="DS1810" s="4"/>
    </row>
    <row r="1811">
      <c r="A1811" s="4"/>
      <c r="B1811" s="4"/>
      <c r="C1811" s="4"/>
      <c r="D1811" s="4"/>
      <c r="E1811" s="4"/>
      <c r="F1811" s="4" t="s">
        <v>17</v>
      </c>
      <c r="G1811" s="15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  <c r="AA1811" s="4"/>
      <c r="AB1811" s="4"/>
      <c r="AC1811" s="4"/>
      <c r="AD1811" s="4"/>
      <c r="AE1811" s="4"/>
      <c r="AF1811" s="4"/>
      <c r="AG1811" s="4"/>
      <c r="AH1811" s="4"/>
      <c r="AI1811" s="4"/>
      <c r="AJ1811" s="4"/>
      <c r="AK1811" s="4"/>
      <c r="AL1811" s="4"/>
      <c r="AM1811" s="4"/>
      <c r="AN1811" s="4"/>
      <c r="AO1811" s="4"/>
      <c r="AP1811" s="4"/>
      <c r="AQ1811" s="4"/>
      <c r="AR1811" s="4"/>
      <c r="AS1811" s="4"/>
      <c r="AT1811" s="4"/>
      <c r="AU1811" s="4"/>
      <c r="AV1811" s="4"/>
      <c r="AW1811" s="4"/>
      <c r="AX1811" s="4"/>
      <c r="AY1811" s="4"/>
      <c r="AZ1811" s="4"/>
      <c r="BA1811" s="4"/>
      <c r="BB1811" s="4"/>
      <c r="BC1811" s="4"/>
      <c r="BD1811" s="4"/>
      <c r="BE1811" s="4"/>
      <c r="BF1811" s="4"/>
      <c r="BG1811" s="4"/>
      <c r="BH1811" s="4"/>
      <c r="BI1811" s="4"/>
      <c r="BJ1811" s="4"/>
      <c r="BK1811" s="4"/>
      <c r="BL1811" s="4"/>
      <c r="BM1811" s="4"/>
      <c r="BN1811" s="4"/>
      <c r="BO1811" s="4"/>
      <c r="BP1811" s="4"/>
      <c r="BQ1811" s="4"/>
      <c r="BR1811" s="4"/>
      <c r="BS1811" s="4"/>
      <c r="BT1811" s="4"/>
      <c r="BU1811" s="4"/>
      <c r="BV1811" s="4"/>
      <c r="BW1811" s="4"/>
      <c r="BX1811" s="4"/>
      <c r="BY1811" s="4"/>
      <c r="BZ1811" s="4"/>
      <c r="CA1811" s="4"/>
      <c r="CB1811" s="4"/>
      <c r="CC1811" s="4"/>
      <c r="CD1811" s="4"/>
      <c r="CE1811" s="4"/>
      <c r="CF1811" s="4"/>
      <c r="CG1811" s="4"/>
      <c r="CH1811" s="4"/>
      <c r="CI1811" s="4"/>
      <c r="CJ1811" s="4"/>
      <c r="CK1811" s="4"/>
      <c r="CL1811" s="4"/>
      <c r="CM1811" s="4"/>
      <c r="CN1811" s="4"/>
      <c r="CO1811" s="4"/>
      <c r="CP1811" s="4"/>
      <c r="CQ1811" s="4"/>
      <c r="CR1811" s="4"/>
      <c r="CS1811" s="4"/>
      <c r="CT1811" s="4"/>
      <c r="CU1811" s="4"/>
      <c r="CV1811" s="4"/>
      <c r="CW1811" s="4"/>
      <c r="CX1811" s="4"/>
      <c r="CY1811" s="4"/>
      <c r="CZ1811" s="4"/>
      <c r="DA1811" s="4"/>
      <c r="DB1811" s="4"/>
      <c r="DC1811" s="4"/>
      <c r="DD1811" s="4"/>
      <c r="DE1811" s="4"/>
      <c r="DF1811" s="4"/>
      <c r="DG1811" s="4"/>
      <c r="DH1811" s="4"/>
      <c r="DI1811" s="4"/>
      <c r="DJ1811" s="4"/>
      <c r="DK1811" s="4"/>
      <c r="DL1811" s="4"/>
      <c r="DM1811" s="4"/>
      <c r="DN1811" s="4"/>
      <c r="DO1811" s="4"/>
      <c r="DP1811" s="4"/>
      <c r="DQ1811" s="4"/>
      <c r="DR1811" s="4"/>
      <c r="DS1811" s="4"/>
    </row>
    <row r="1812">
      <c r="A1812" s="4"/>
      <c r="B1812" s="4"/>
      <c r="C1812" s="4"/>
      <c r="D1812" s="4"/>
      <c r="E1812" s="4"/>
      <c r="F1812" s="4" t="s">
        <v>17</v>
      </c>
      <c r="G1812" s="15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  <c r="AA1812" s="4"/>
      <c r="AB1812" s="4"/>
      <c r="AC1812" s="4"/>
      <c r="AD1812" s="4"/>
      <c r="AE1812" s="4"/>
      <c r="AF1812" s="4"/>
      <c r="AG1812" s="4"/>
      <c r="AH1812" s="4"/>
      <c r="AI1812" s="4"/>
      <c r="AJ1812" s="4"/>
      <c r="AK1812" s="4"/>
      <c r="AL1812" s="4"/>
      <c r="AM1812" s="4"/>
      <c r="AN1812" s="4"/>
      <c r="AO1812" s="4"/>
      <c r="AP1812" s="4"/>
      <c r="AQ1812" s="4"/>
      <c r="AR1812" s="4"/>
      <c r="AS1812" s="4"/>
      <c r="AT1812" s="4"/>
      <c r="AU1812" s="4"/>
      <c r="AV1812" s="4"/>
      <c r="AW1812" s="4"/>
      <c r="AX1812" s="4"/>
      <c r="AY1812" s="4"/>
      <c r="AZ1812" s="4"/>
      <c r="BA1812" s="4"/>
      <c r="BB1812" s="4"/>
      <c r="BC1812" s="4"/>
      <c r="BD1812" s="4"/>
      <c r="BE1812" s="4"/>
      <c r="BF1812" s="4"/>
      <c r="BG1812" s="4"/>
      <c r="BH1812" s="4"/>
      <c r="BI1812" s="4"/>
      <c r="BJ1812" s="4"/>
      <c r="BK1812" s="4"/>
      <c r="BL1812" s="4"/>
      <c r="BM1812" s="4"/>
      <c r="BN1812" s="4"/>
      <c r="BO1812" s="4"/>
      <c r="BP1812" s="4"/>
      <c r="BQ1812" s="4"/>
      <c r="BR1812" s="4"/>
      <c r="BS1812" s="4"/>
      <c r="BT1812" s="4"/>
      <c r="BU1812" s="4"/>
      <c r="BV1812" s="4"/>
      <c r="BW1812" s="4"/>
      <c r="BX1812" s="4"/>
      <c r="BY1812" s="4"/>
      <c r="BZ1812" s="4"/>
      <c r="CA1812" s="4"/>
      <c r="CB1812" s="4"/>
      <c r="CC1812" s="4"/>
      <c r="CD1812" s="4"/>
      <c r="CE1812" s="4"/>
      <c r="CF1812" s="4"/>
      <c r="CG1812" s="4"/>
      <c r="CH1812" s="4"/>
      <c r="CI1812" s="4"/>
      <c r="CJ1812" s="4"/>
      <c r="CK1812" s="4"/>
      <c r="CL1812" s="4"/>
      <c r="CM1812" s="4"/>
      <c r="CN1812" s="4"/>
      <c r="CO1812" s="4"/>
      <c r="CP1812" s="4"/>
      <c r="CQ1812" s="4"/>
      <c r="CR1812" s="4"/>
      <c r="CS1812" s="4"/>
      <c r="CT1812" s="4"/>
      <c r="CU1812" s="4"/>
      <c r="CV1812" s="4"/>
      <c r="CW1812" s="4"/>
      <c r="CX1812" s="4"/>
      <c r="CY1812" s="4"/>
      <c r="CZ1812" s="4"/>
      <c r="DA1812" s="4"/>
      <c r="DB1812" s="4"/>
      <c r="DC1812" s="4"/>
      <c r="DD1812" s="4"/>
      <c r="DE1812" s="4"/>
      <c r="DF1812" s="4"/>
      <c r="DG1812" s="4"/>
      <c r="DH1812" s="4"/>
      <c r="DI1812" s="4"/>
      <c r="DJ1812" s="4"/>
      <c r="DK1812" s="4"/>
      <c r="DL1812" s="4"/>
      <c r="DM1812" s="4"/>
      <c r="DN1812" s="4"/>
      <c r="DO1812" s="4"/>
      <c r="DP1812" s="4"/>
      <c r="DQ1812" s="4"/>
      <c r="DR1812" s="4"/>
      <c r="DS1812" s="4"/>
    </row>
    <row r="1813">
      <c r="A1813" s="4"/>
      <c r="B1813" s="4"/>
      <c r="C1813" s="4"/>
      <c r="D1813" s="4"/>
      <c r="E1813" s="4"/>
      <c r="F1813" s="4" t="s">
        <v>17</v>
      </c>
      <c r="G1813" s="15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  <c r="AA1813" s="4"/>
      <c r="AB1813" s="4"/>
      <c r="AC1813" s="4"/>
      <c r="AD1813" s="4"/>
      <c r="AE1813" s="4"/>
      <c r="AF1813" s="4"/>
      <c r="AG1813" s="4"/>
      <c r="AH1813" s="4"/>
      <c r="AI1813" s="4"/>
      <c r="AJ1813" s="4"/>
      <c r="AK1813" s="4"/>
      <c r="AL1813" s="4"/>
      <c r="AM1813" s="4"/>
      <c r="AN1813" s="4"/>
      <c r="AO1813" s="4"/>
      <c r="AP1813" s="4"/>
      <c r="AQ1813" s="4"/>
      <c r="AR1813" s="4"/>
      <c r="AS1813" s="4"/>
      <c r="AT1813" s="4"/>
      <c r="AU1813" s="4"/>
      <c r="AV1813" s="4"/>
      <c r="AW1813" s="4"/>
      <c r="AX1813" s="4"/>
      <c r="AY1813" s="4"/>
      <c r="AZ1813" s="4"/>
      <c r="BA1813" s="4"/>
      <c r="BB1813" s="4"/>
      <c r="BC1813" s="4"/>
      <c r="BD1813" s="4"/>
      <c r="BE1813" s="4"/>
      <c r="BF1813" s="4"/>
      <c r="BG1813" s="4"/>
      <c r="BH1813" s="4"/>
      <c r="BI1813" s="4"/>
      <c r="BJ1813" s="4"/>
      <c r="BK1813" s="4"/>
      <c r="BL1813" s="4"/>
      <c r="BM1813" s="4"/>
      <c r="BN1813" s="4"/>
      <c r="BO1813" s="4"/>
      <c r="BP1813" s="4"/>
      <c r="BQ1813" s="4"/>
      <c r="BR1813" s="4"/>
      <c r="BS1813" s="4"/>
      <c r="BT1813" s="4"/>
      <c r="BU1813" s="4"/>
      <c r="BV1813" s="4"/>
      <c r="BW1813" s="4"/>
      <c r="BX1813" s="4"/>
      <c r="BY1813" s="4"/>
      <c r="BZ1813" s="4"/>
      <c r="CA1813" s="4"/>
      <c r="CB1813" s="4"/>
      <c r="CC1813" s="4"/>
      <c r="CD1813" s="4"/>
      <c r="CE1813" s="4"/>
      <c r="CF1813" s="4"/>
      <c r="CG1813" s="4"/>
      <c r="CH1813" s="4"/>
      <c r="CI1813" s="4"/>
      <c r="CJ1813" s="4"/>
      <c r="CK1813" s="4"/>
      <c r="CL1813" s="4"/>
      <c r="CM1813" s="4"/>
      <c r="CN1813" s="4"/>
      <c r="CO1813" s="4"/>
      <c r="CP1813" s="4"/>
      <c r="CQ1813" s="4"/>
      <c r="CR1813" s="4"/>
      <c r="CS1813" s="4"/>
      <c r="CT1813" s="4"/>
      <c r="CU1813" s="4"/>
      <c r="CV1813" s="4"/>
      <c r="CW1813" s="4"/>
      <c r="CX1813" s="4"/>
      <c r="CY1813" s="4"/>
      <c r="CZ1813" s="4"/>
      <c r="DA1813" s="4"/>
      <c r="DB1813" s="4"/>
      <c r="DC1813" s="4"/>
      <c r="DD1813" s="4"/>
      <c r="DE1813" s="4"/>
      <c r="DF1813" s="4"/>
      <c r="DG1813" s="4"/>
      <c r="DH1813" s="4"/>
      <c r="DI1813" s="4"/>
      <c r="DJ1813" s="4"/>
      <c r="DK1813" s="4"/>
      <c r="DL1813" s="4"/>
      <c r="DM1813" s="4"/>
      <c r="DN1813" s="4"/>
      <c r="DO1813" s="4"/>
      <c r="DP1813" s="4"/>
      <c r="DQ1813" s="4"/>
      <c r="DR1813" s="4"/>
      <c r="DS1813" s="4"/>
    </row>
    <row r="1814">
      <c r="A1814" s="4"/>
      <c r="B1814" s="4"/>
      <c r="C1814" s="4"/>
      <c r="D1814" s="4"/>
      <c r="E1814" s="4"/>
      <c r="F1814" s="4" t="s">
        <v>17</v>
      </c>
      <c r="G1814" s="15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  <c r="AA1814" s="4"/>
      <c r="AB1814" s="4"/>
      <c r="AC1814" s="4"/>
      <c r="AD1814" s="4"/>
      <c r="AE1814" s="4"/>
      <c r="AF1814" s="4"/>
      <c r="AG1814" s="4"/>
      <c r="AH1814" s="4"/>
      <c r="AI1814" s="4"/>
      <c r="AJ1814" s="4"/>
      <c r="AK1814" s="4"/>
      <c r="AL1814" s="4"/>
      <c r="AM1814" s="4"/>
      <c r="AN1814" s="4"/>
      <c r="AO1814" s="4"/>
      <c r="AP1814" s="4"/>
      <c r="AQ1814" s="4"/>
      <c r="AR1814" s="4"/>
      <c r="AS1814" s="4"/>
      <c r="AT1814" s="4"/>
      <c r="AU1814" s="4"/>
      <c r="AV1814" s="4"/>
      <c r="AW1814" s="4"/>
      <c r="AX1814" s="4"/>
      <c r="AY1814" s="4"/>
      <c r="AZ1814" s="4"/>
      <c r="BA1814" s="4"/>
      <c r="BB1814" s="4"/>
      <c r="BC1814" s="4"/>
      <c r="BD1814" s="4"/>
      <c r="BE1814" s="4"/>
      <c r="BF1814" s="4"/>
      <c r="BG1814" s="4"/>
      <c r="BH1814" s="4"/>
      <c r="BI1814" s="4"/>
      <c r="BJ1814" s="4"/>
      <c r="BK1814" s="4"/>
      <c r="BL1814" s="4"/>
      <c r="BM1814" s="4"/>
      <c r="BN1814" s="4"/>
      <c r="BO1814" s="4"/>
      <c r="BP1814" s="4"/>
      <c r="BQ1814" s="4"/>
      <c r="BR1814" s="4"/>
      <c r="BS1814" s="4"/>
      <c r="BT1814" s="4"/>
      <c r="BU1814" s="4"/>
      <c r="BV1814" s="4"/>
      <c r="BW1814" s="4"/>
      <c r="BX1814" s="4"/>
      <c r="BY1814" s="4"/>
      <c r="BZ1814" s="4"/>
      <c r="CA1814" s="4"/>
      <c r="CB1814" s="4"/>
      <c r="CC1814" s="4"/>
      <c r="CD1814" s="4"/>
      <c r="CE1814" s="4"/>
      <c r="CF1814" s="4"/>
      <c r="CG1814" s="4"/>
      <c r="CH1814" s="4"/>
      <c r="CI1814" s="4"/>
      <c r="CJ1814" s="4"/>
      <c r="CK1814" s="4"/>
      <c r="CL1814" s="4"/>
      <c r="CM1814" s="4"/>
      <c r="CN1814" s="4"/>
      <c r="CO1814" s="4"/>
      <c r="CP1814" s="4"/>
      <c r="CQ1814" s="4"/>
      <c r="CR1814" s="4"/>
      <c r="CS1814" s="4"/>
      <c r="CT1814" s="4"/>
      <c r="CU1814" s="4"/>
      <c r="CV1814" s="4"/>
      <c r="CW1814" s="4"/>
      <c r="CX1814" s="4"/>
      <c r="CY1814" s="4"/>
      <c r="CZ1814" s="4"/>
      <c r="DA1814" s="4"/>
      <c r="DB1814" s="4"/>
      <c r="DC1814" s="4"/>
      <c r="DD1814" s="4"/>
      <c r="DE1814" s="4"/>
      <c r="DF1814" s="4"/>
      <c r="DG1814" s="4"/>
      <c r="DH1814" s="4"/>
      <c r="DI1814" s="4"/>
      <c r="DJ1814" s="4"/>
      <c r="DK1814" s="4"/>
      <c r="DL1814" s="4"/>
      <c r="DM1814" s="4"/>
      <c r="DN1814" s="4"/>
      <c r="DO1814" s="4"/>
      <c r="DP1814" s="4"/>
      <c r="DQ1814" s="4"/>
      <c r="DR1814" s="4"/>
      <c r="DS1814" s="4"/>
    </row>
    <row r="1815">
      <c r="A1815" s="4"/>
      <c r="B1815" s="4"/>
      <c r="C1815" s="4"/>
      <c r="D1815" s="4"/>
      <c r="E1815" s="4"/>
      <c r="F1815" s="4" t="s">
        <v>17</v>
      </c>
      <c r="G1815" s="15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  <c r="AA1815" s="4"/>
      <c r="AB1815" s="4"/>
      <c r="AC1815" s="4"/>
      <c r="AD1815" s="4"/>
      <c r="AE1815" s="4"/>
      <c r="AF1815" s="4"/>
      <c r="AG1815" s="4"/>
      <c r="AH1815" s="4"/>
      <c r="AI1815" s="4"/>
      <c r="AJ1815" s="4"/>
      <c r="AK1815" s="4"/>
      <c r="AL1815" s="4"/>
      <c r="AM1815" s="4"/>
      <c r="AN1815" s="4"/>
      <c r="AO1815" s="4"/>
      <c r="AP1815" s="4"/>
      <c r="AQ1815" s="4"/>
      <c r="AR1815" s="4"/>
      <c r="AS1815" s="4"/>
      <c r="AT1815" s="4"/>
      <c r="AU1815" s="4"/>
      <c r="AV1815" s="4"/>
      <c r="AW1815" s="4"/>
      <c r="AX1815" s="4"/>
      <c r="AY1815" s="4"/>
      <c r="AZ1815" s="4"/>
      <c r="BA1815" s="4"/>
      <c r="BB1815" s="4"/>
      <c r="BC1815" s="4"/>
      <c r="BD1815" s="4"/>
      <c r="BE1815" s="4"/>
      <c r="BF1815" s="4"/>
      <c r="BG1815" s="4"/>
      <c r="BH1815" s="4"/>
      <c r="BI1815" s="4"/>
      <c r="BJ1815" s="4"/>
      <c r="BK1815" s="4"/>
      <c r="BL1815" s="4"/>
      <c r="BM1815" s="4"/>
      <c r="BN1815" s="4"/>
      <c r="BO1815" s="4"/>
      <c r="BP1815" s="4"/>
      <c r="BQ1815" s="4"/>
      <c r="BR1815" s="4"/>
      <c r="BS1815" s="4"/>
      <c r="BT1815" s="4"/>
      <c r="BU1815" s="4"/>
      <c r="BV1815" s="4"/>
      <c r="BW1815" s="4"/>
      <c r="BX1815" s="4"/>
      <c r="BY1815" s="4"/>
      <c r="BZ1815" s="4"/>
      <c r="CA1815" s="4"/>
      <c r="CB1815" s="4"/>
      <c r="CC1815" s="4"/>
      <c r="CD1815" s="4"/>
      <c r="CE1815" s="4"/>
      <c r="CF1815" s="4"/>
      <c r="CG1815" s="4"/>
      <c r="CH1815" s="4"/>
      <c r="CI1815" s="4"/>
      <c r="CJ1815" s="4"/>
      <c r="CK1815" s="4"/>
      <c r="CL1815" s="4"/>
      <c r="CM1815" s="4"/>
      <c r="CN1815" s="4"/>
      <c r="CO1815" s="4"/>
      <c r="CP1815" s="4"/>
      <c r="CQ1815" s="4"/>
      <c r="CR1815" s="4"/>
      <c r="CS1815" s="4"/>
      <c r="CT1815" s="4"/>
      <c r="CU1815" s="4"/>
      <c r="CV1815" s="4"/>
      <c r="CW1815" s="4"/>
      <c r="CX1815" s="4"/>
      <c r="CY1815" s="4"/>
      <c r="CZ1815" s="4"/>
      <c r="DA1815" s="4"/>
      <c r="DB1815" s="4"/>
      <c r="DC1815" s="4"/>
      <c r="DD1815" s="4"/>
      <c r="DE1815" s="4"/>
      <c r="DF1815" s="4"/>
      <c r="DG1815" s="4"/>
      <c r="DH1815" s="4"/>
      <c r="DI1815" s="4"/>
      <c r="DJ1815" s="4"/>
      <c r="DK1815" s="4"/>
      <c r="DL1815" s="4"/>
      <c r="DM1815" s="4"/>
      <c r="DN1815" s="4"/>
      <c r="DO1815" s="4"/>
      <c r="DP1815" s="4"/>
      <c r="DQ1815" s="4"/>
      <c r="DR1815" s="4"/>
      <c r="DS1815" s="4"/>
    </row>
    <row r="1816">
      <c r="A1816" s="4"/>
      <c r="B1816" s="4"/>
      <c r="C1816" s="4"/>
      <c r="D1816" s="4"/>
      <c r="E1816" s="4"/>
      <c r="F1816" s="4" t="s">
        <v>17</v>
      </c>
      <c r="G1816" s="15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  <c r="AA1816" s="4"/>
      <c r="AB1816" s="4"/>
      <c r="AC1816" s="4"/>
      <c r="AD1816" s="4"/>
      <c r="AE1816" s="4"/>
      <c r="AF1816" s="4"/>
      <c r="AG1816" s="4"/>
      <c r="AH1816" s="4"/>
      <c r="AI1816" s="4"/>
      <c r="AJ1816" s="4"/>
      <c r="AK1816" s="4"/>
      <c r="AL1816" s="4"/>
      <c r="AM1816" s="4"/>
      <c r="AN1816" s="4"/>
      <c r="AO1816" s="4"/>
      <c r="AP1816" s="4"/>
      <c r="AQ1816" s="4"/>
      <c r="AR1816" s="4"/>
      <c r="AS1816" s="4"/>
      <c r="AT1816" s="4"/>
      <c r="AU1816" s="4"/>
      <c r="AV1816" s="4"/>
      <c r="AW1816" s="4"/>
      <c r="AX1816" s="4"/>
      <c r="AY1816" s="4"/>
      <c r="AZ1816" s="4"/>
      <c r="BA1816" s="4"/>
      <c r="BB1816" s="4"/>
      <c r="BC1816" s="4"/>
      <c r="BD1816" s="4"/>
      <c r="BE1816" s="4"/>
      <c r="BF1816" s="4"/>
      <c r="BG1816" s="4"/>
      <c r="BH1816" s="4"/>
      <c r="BI1816" s="4"/>
      <c r="BJ1816" s="4"/>
      <c r="BK1816" s="4"/>
      <c r="BL1816" s="4"/>
      <c r="BM1816" s="4"/>
      <c r="BN1816" s="4"/>
      <c r="BO1816" s="4"/>
      <c r="BP1816" s="4"/>
      <c r="BQ1816" s="4"/>
      <c r="BR1816" s="4"/>
      <c r="BS1816" s="4"/>
      <c r="BT1816" s="4"/>
      <c r="BU1816" s="4"/>
      <c r="BV1816" s="4"/>
      <c r="BW1816" s="4"/>
      <c r="BX1816" s="4"/>
      <c r="BY1816" s="4"/>
      <c r="BZ1816" s="4"/>
      <c r="CA1816" s="4"/>
      <c r="CB1816" s="4"/>
      <c r="CC1816" s="4"/>
      <c r="CD1816" s="4"/>
      <c r="CE1816" s="4"/>
      <c r="CF1816" s="4"/>
      <c r="CG1816" s="4"/>
      <c r="CH1816" s="4"/>
      <c r="CI1816" s="4"/>
      <c r="CJ1816" s="4"/>
      <c r="CK1816" s="4"/>
      <c r="CL1816" s="4"/>
      <c r="CM1816" s="4"/>
      <c r="CN1816" s="4"/>
      <c r="CO1816" s="4"/>
      <c r="CP1816" s="4"/>
      <c r="CQ1816" s="4"/>
      <c r="CR1816" s="4"/>
      <c r="CS1816" s="4"/>
      <c r="CT1816" s="4"/>
      <c r="CU1816" s="4"/>
      <c r="CV1816" s="4"/>
      <c r="CW1816" s="4"/>
      <c r="CX1816" s="4"/>
      <c r="CY1816" s="4"/>
      <c r="CZ1816" s="4"/>
      <c r="DA1816" s="4"/>
      <c r="DB1816" s="4"/>
      <c r="DC1816" s="4"/>
      <c r="DD1816" s="4"/>
      <c r="DE1816" s="4"/>
      <c r="DF1816" s="4"/>
      <c r="DG1816" s="4"/>
      <c r="DH1816" s="4"/>
      <c r="DI1816" s="4"/>
      <c r="DJ1816" s="4"/>
      <c r="DK1816" s="4"/>
      <c r="DL1816" s="4"/>
      <c r="DM1816" s="4"/>
      <c r="DN1816" s="4"/>
      <c r="DO1816" s="4"/>
      <c r="DP1816" s="4"/>
      <c r="DQ1816" s="4"/>
      <c r="DR1816" s="4"/>
      <c r="DS1816" s="4"/>
    </row>
    <row r="1817">
      <c r="A1817" s="4"/>
      <c r="B1817" s="4"/>
      <c r="C1817" s="4"/>
      <c r="D1817" s="4"/>
      <c r="E1817" s="4"/>
      <c r="F1817" s="4" t="s">
        <v>17</v>
      </c>
      <c r="G1817" s="15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  <c r="AA1817" s="4"/>
      <c r="AB1817" s="4"/>
      <c r="AC1817" s="4"/>
      <c r="AD1817" s="4"/>
      <c r="AE1817" s="4"/>
      <c r="AF1817" s="4"/>
      <c r="AG1817" s="4"/>
      <c r="AH1817" s="4"/>
      <c r="AI1817" s="4"/>
      <c r="AJ1817" s="4"/>
      <c r="AK1817" s="4"/>
      <c r="AL1817" s="4"/>
      <c r="AM1817" s="4"/>
      <c r="AN1817" s="4"/>
      <c r="AO1817" s="4"/>
      <c r="AP1817" s="4"/>
      <c r="AQ1817" s="4"/>
      <c r="AR1817" s="4"/>
      <c r="AS1817" s="4"/>
      <c r="AT1817" s="4"/>
      <c r="AU1817" s="4"/>
      <c r="AV1817" s="4"/>
      <c r="AW1817" s="4"/>
      <c r="AX1817" s="4"/>
      <c r="AY1817" s="4"/>
      <c r="AZ1817" s="4"/>
      <c r="BA1817" s="4"/>
      <c r="BB1817" s="4"/>
      <c r="BC1817" s="4"/>
      <c r="BD1817" s="4"/>
      <c r="BE1817" s="4"/>
      <c r="BF1817" s="4"/>
      <c r="BG1817" s="4"/>
      <c r="BH1817" s="4"/>
      <c r="BI1817" s="4"/>
      <c r="BJ1817" s="4"/>
      <c r="BK1817" s="4"/>
      <c r="BL1817" s="4"/>
      <c r="BM1817" s="4"/>
      <c r="BN1817" s="4"/>
      <c r="BO1817" s="4"/>
      <c r="BP1817" s="4"/>
      <c r="BQ1817" s="4"/>
      <c r="BR1817" s="4"/>
      <c r="BS1817" s="4"/>
      <c r="BT1817" s="4"/>
      <c r="BU1817" s="4"/>
      <c r="BV1817" s="4"/>
      <c r="BW1817" s="4"/>
      <c r="BX1817" s="4"/>
      <c r="BY1817" s="4"/>
      <c r="BZ1817" s="4"/>
      <c r="CA1817" s="4"/>
      <c r="CB1817" s="4"/>
      <c r="CC1817" s="4"/>
      <c r="CD1817" s="4"/>
      <c r="CE1817" s="4"/>
      <c r="CF1817" s="4"/>
      <c r="CG1817" s="4"/>
      <c r="CH1817" s="4"/>
      <c r="CI1817" s="4"/>
      <c r="CJ1817" s="4"/>
      <c r="CK1817" s="4"/>
      <c r="CL1817" s="4"/>
      <c r="CM1817" s="4"/>
      <c r="CN1817" s="4"/>
      <c r="CO1817" s="4"/>
      <c r="CP1817" s="4"/>
      <c r="CQ1817" s="4"/>
      <c r="CR1817" s="4"/>
      <c r="CS1817" s="4"/>
      <c r="CT1817" s="4"/>
      <c r="CU1817" s="4"/>
      <c r="CV1817" s="4"/>
      <c r="CW1817" s="4"/>
      <c r="CX1817" s="4"/>
      <c r="CY1817" s="4"/>
      <c r="CZ1817" s="4"/>
      <c r="DA1817" s="4"/>
      <c r="DB1817" s="4"/>
      <c r="DC1817" s="4"/>
      <c r="DD1817" s="4"/>
      <c r="DE1817" s="4"/>
      <c r="DF1817" s="4"/>
      <c r="DG1817" s="4"/>
      <c r="DH1817" s="4"/>
      <c r="DI1817" s="4"/>
      <c r="DJ1817" s="4"/>
      <c r="DK1817" s="4"/>
      <c r="DL1817" s="4"/>
      <c r="DM1817" s="4"/>
      <c r="DN1817" s="4"/>
      <c r="DO1817" s="4"/>
      <c r="DP1817" s="4"/>
      <c r="DQ1817" s="4"/>
      <c r="DR1817" s="4"/>
      <c r="DS1817" s="4"/>
    </row>
    <row r="1818">
      <c r="A1818" s="4"/>
      <c r="B1818" s="4"/>
      <c r="C1818" s="4"/>
      <c r="D1818" s="4"/>
      <c r="E1818" s="4"/>
      <c r="F1818" s="4" t="s">
        <v>17</v>
      </c>
      <c r="G1818" s="15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  <c r="AA1818" s="4"/>
      <c r="AB1818" s="4"/>
      <c r="AC1818" s="4"/>
      <c r="AD1818" s="4"/>
      <c r="AE1818" s="4"/>
      <c r="AF1818" s="4"/>
      <c r="AG1818" s="4"/>
      <c r="AH1818" s="4"/>
      <c r="AI1818" s="4"/>
      <c r="AJ1818" s="4"/>
      <c r="AK1818" s="4"/>
      <c r="AL1818" s="4"/>
      <c r="AM1818" s="4"/>
      <c r="AN1818" s="4"/>
      <c r="AO1818" s="4"/>
      <c r="AP1818" s="4"/>
      <c r="AQ1818" s="4"/>
      <c r="AR1818" s="4"/>
      <c r="AS1818" s="4"/>
      <c r="AT1818" s="4"/>
      <c r="AU1818" s="4"/>
      <c r="AV1818" s="4"/>
      <c r="AW1818" s="4"/>
      <c r="AX1818" s="4"/>
      <c r="AY1818" s="4"/>
      <c r="AZ1818" s="4"/>
      <c r="BA1818" s="4"/>
      <c r="BB1818" s="4"/>
      <c r="BC1818" s="4"/>
      <c r="BD1818" s="4"/>
      <c r="BE1818" s="4"/>
      <c r="BF1818" s="4"/>
      <c r="BG1818" s="4"/>
      <c r="BH1818" s="4"/>
      <c r="BI1818" s="4"/>
      <c r="BJ1818" s="4"/>
      <c r="BK1818" s="4"/>
      <c r="BL1818" s="4"/>
      <c r="BM1818" s="4"/>
      <c r="BN1818" s="4"/>
      <c r="BO1818" s="4"/>
      <c r="BP1818" s="4"/>
      <c r="BQ1818" s="4"/>
      <c r="BR1818" s="4"/>
      <c r="BS1818" s="4"/>
      <c r="BT1818" s="4"/>
      <c r="BU1818" s="4"/>
      <c r="BV1818" s="4"/>
      <c r="BW1818" s="4"/>
      <c r="BX1818" s="4"/>
      <c r="BY1818" s="4"/>
      <c r="BZ1818" s="4"/>
      <c r="CA1818" s="4"/>
      <c r="CB1818" s="4"/>
      <c r="CC1818" s="4"/>
      <c r="CD1818" s="4"/>
      <c r="CE1818" s="4"/>
      <c r="CF1818" s="4"/>
      <c r="CG1818" s="4"/>
      <c r="CH1818" s="4"/>
      <c r="CI1818" s="4"/>
      <c r="CJ1818" s="4"/>
      <c r="CK1818" s="4"/>
      <c r="CL1818" s="4"/>
      <c r="CM1818" s="4"/>
      <c r="CN1818" s="4"/>
      <c r="CO1818" s="4"/>
      <c r="CP1818" s="4"/>
      <c r="CQ1818" s="4"/>
      <c r="CR1818" s="4"/>
      <c r="CS1818" s="4"/>
      <c r="CT1818" s="4"/>
      <c r="CU1818" s="4"/>
      <c r="CV1818" s="4"/>
      <c r="CW1818" s="4"/>
      <c r="CX1818" s="4"/>
      <c r="CY1818" s="4"/>
      <c r="CZ1818" s="4"/>
      <c r="DA1818" s="4"/>
      <c r="DB1818" s="4"/>
      <c r="DC1818" s="4"/>
      <c r="DD1818" s="4"/>
      <c r="DE1818" s="4"/>
      <c r="DF1818" s="4"/>
      <c r="DG1818" s="4"/>
      <c r="DH1818" s="4"/>
      <c r="DI1818" s="4"/>
      <c r="DJ1818" s="4"/>
      <c r="DK1818" s="4"/>
      <c r="DL1818" s="4"/>
      <c r="DM1818" s="4"/>
      <c r="DN1818" s="4"/>
      <c r="DO1818" s="4"/>
      <c r="DP1818" s="4"/>
      <c r="DQ1818" s="4"/>
      <c r="DR1818" s="4"/>
      <c r="DS1818" s="4"/>
    </row>
    <row r="1819">
      <c r="A1819" s="4"/>
      <c r="B1819" s="4"/>
      <c r="C1819" s="4"/>
      <c r="D1819" s="4"/>
      <c r="E1819" s="4"/>
      <c r="F1819" s="4" t="s">
        <v>17</v>
      </c>
      <c r="G1819" s="15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  <c r="AA1819" s="4"/>
      <c r="AB1819" s="4"/>
      <c r="AC1819" s="4"/>
      <c r="AD1819" s="4"/>
      <c r="AE1819" s="4"/>
      <c r="AF1819" s="4"/>
      <c r="AG1819" s="4"/>
      <c r="AH1819" s="4"/>
      <c r="AI1819" s="4"/>
      <c r="AJ1819" s="4"/>
      <c r="AK1819" s="4"/>
      <c r="AL1819" s="4"/>
      <c r="AM1819" s="4"/>
      <c r="AN1819" s="4"/>
      <c r="AO1819" s="4"/>
      <c r="AP1819" s="4"/>
      <c r="AQ1819" s="4"/>
      <c r="AR1819" s="4"/>
      <c r="AS1819" s="4"/>
      <c r="AT1819" s="4"/>
      <c r="AU1819" s="4"/>
      <c r="AV1819" s="4"/>
      <c r="AW1819" s="4"/>
      <c r="AX1819" s="4"/>
      <c r="AY1819" s="4"/>
      <c r="AZ1819" s="4"/>
      <c r="BA1819" s="4"/>
      <c r="BB1819" s="4"/>
      <c r="BC1819" s="4"/>
      <c r="BD1819" s="4"/>
      <c r="BE1819" s="4"/>
      <c r="BF1819" s="4"/>
      <c r="BG1819" s="4"/>
      <c r="BH1819" s="4"/>
      <c r="BI1819" s="4"/>
      <c r="BJ1819" s="4"/>
      <c r="BK1819" s="4"/>
      <c r="BL1819" s="4"/>
      <c r="BM1819" s="4"/>
      <c r="BN1819" s="4"/>
      <c r="BO1819" s="4"/>
      <c r="BP1819" s="4"/>
      <c r="BQ1819" s="4"/>
      <c r="BR1819" s="4"/>
      <c r="BS1819" s="4"/>
      <c r="BT1819" s="4"/>
      <c r="BU1819" s="4"/>
      <c r="BV1819" s="4"/>
      <c r="BW1819" s="4"/>
      <c r="BX1819" s="4"/>
      <c r="BY1819" s="4"/>
      <c r="BZ1819" s="4"/>
      <c r="CA1819" s="4"/>
      <c r="CB1819" s="4"/>
      <c r="CC1819" s="4"/>
      <c r="CD1819" s="4"/>
      <c r="CE1819" s="4"/>
      <c r="CF1819" s="4"/>
      <c r="CG1819" s="4"/>
      <c r="CH1819" s="4"/>
      <c r="CI1819" s="4"/>
      <c r="CJ1819" s="4"/>
      <c r="CK1819" s="4"/>
      <c r="CL1819" s="4"/>
      <c r="CM1819" s="4"/>
      <c r="CN1819" s="4"/>
      <c r="CO1819" s="4"/>
      <c r="CP1819" s="4"/>
      <c r="CQ1819" s="4"/>
      <c r="CR1819" s="4"/>
      <c r="CS1819" s="4"/>
      <c r="CT1819" s="4"/>
      <c r="CU1819" s="4"/>
      <c r="CV1819" s="4"/>
      <c r="CW1819" s="4"/>
      <c r="CX1819" s="4"/>
      <c r="CY1819" s="4"/>
      <c r="CZ1819" s="4"/>
      <c r="DA1819" s="4"/>
      <c r="DB1819" s="4"/>
      <c r="DC1819" s="4"/>
      <c r="DD1819" s="4"/>
      <c r="DE1819" s="4"/>
      <c r="DF1819" s="4"/>
      <c r="DG1819" s="4"/>
      <c r="DH1819" s="4"/>
      <c r="DI1819" s="4"/>
      <c r="DJ1819" s="4"/>
      <c r="DK1819" s="4"/>
      <c r="DL1819" s="4"/>
      <c r="DM1819" s="4"/>
      <c r="DN1819" s="4"/>
      <c r="DO1819" s="4"/>
      <c r="DP1819" s="4"/>
      <c r="DQ1819" s="4"/>
      <c r="DR1819" s="4"/>
      <c r="DS1819" s="4"/>
    </row>
    <row r="1820">
      <c r="A1820" s="4"/>
      <c r="B1820" s="4"/>
      <c r="C1820" s="4"/>
      <c r="D1820" s="4"/>
      <c r="E1820" s="4"/>
      <c r="F1820" s="4" t="s">
        <v>17</v>
      </c>
      <c r="G1820" s="15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  <c r="AA1820" s="4"/>
      <c r="AB1820" s="4"/>
      <c r="AC1820" s="4"/>
      <c r="AD1820" s="4"/>
      <c r="AE1820" s="4"/>
      <c r="AF1820" s="4"/>
      <c r="AG1820" s="4"/>
      <c r="AH1820" s="4"/>
      <c r="AI1820" s="4"/>
      <c r="AJ1820" s="4"/>
      <c r="AK1820" s="4"/>
      <c r="AL1820" s="4"/>
      <c r="AM1820" s="4"/>
      <c r="AN1820" s="4"/>
      <c r="AO1820" s="4"/>
      <c r="AP1820" s="4"/>
      <c r="AQ1820" s="4"/>
      <c r="AR1820" s="4"/>
      <c r="AS1820" s="4"/>
      <c r="AT1820" s="4"/>
      <c r="AU1820" s="4"/>
      <c r="AV1820" s="4"/>
      <c r="AW1820" s="4"/>
      <c r="AX1820" s="4"/>
      <c r="AY1820" s="4"/>
      <c r="AZ1820" s="4"/>
      <c r="BA1820" s="4"/>
      <c r="BB1820" s="4"/>
      <c r="BC1820" s="4"/>
      <c r="BD1820" s="4"/>
      <c r="BE1820" s="4"/>
      <c r="BF1820" s="4"/>
      <c r="BG1820" s="4"/>
      <c r="BH1820" s="4"/>
      <c r="BI1820" s="4"/>
      <c r="BJ1820" s="4"/>
      <c r="BK1820" s="4"/>
      <c r="BL1820" s="4"/>
      <c r="BM1820" s="4"/>
      <c r="BN1820" s="4"/>
      <c r="BO1820" s="4"/>
      <c r="BP1820" s="4"/>
      <c r="BQ1820" s="4"/>
      <c r="BR1820" s="4"/>
      <c r="BS1820" s="4"/>
      <c r="BT1820" s="4"/>
      <c r="BU1820" s="4"/>
      <c r="BV1820" s="4"/>
      <c r="BW1820" s="4"/>
      <c r="BX1820" s="4"/>
      <c r="BY1820" s="4"/>
      <c r="BZ1820" s="4"/>
      <c r="CA1820" s="4"/>
      <c r="CB1820" s="4"/>
      <c r="CC1820" s="4"/>
      <c r="CD1820" s="4"/>
      <c r="CE1820" s="4"/>
      <c r="CF1820" s="4"/>
      <c r="CG1820" s="4"/>
      <c r="CH1820" s="4"/>
      <c r="CI1820" s="4"/>
      <c r="CJ1820" s="4"/>
      <c r="CK1820" s="4"/>
      <c r="CL1820" s="4"/>
      <c r="CM1820" s="4"/>
      <c r="CN1820" s="4"/>
      <c r="CO1820" s="4"/>
      <c r="CP1820" s="4"/>
      <c r="CQ1820" s="4"/>
      <c r="CR1820" s="4"/>
      <c r="CS1820" s="4"/>
      <c r="CT1820" s="4"/>
      <c r="CU1820" s="4"/>
      <c r="CV1820" s="4"/>
      <c r="CW1820" s="4"/>
      <c r="CX1820" s="4"/>
      <c r="CY1820" s="4"/>
      <c r="CZ1820" s="4"/>
      <c r="DA1820" s="4"/>
      <c r="DB1820" s="4"/>
      <c r="DC1820" s="4"/>
      <c r="DD1820" s="4"/>
      <c r="DE1820" s="4"/>
      <c r="DF1820" s="4"/>
      <c r="DG1820" s="4"/>
      <c r="DH1820" s="4"/>
      <c r="DI1820" s="4"/>
      <c r="DJ1820" s="4"/>
      <c r="DK1820" s="4"/>
      <c r="DL1820" s="4"/>
      <c r="DM1820" s="4"/>
      <c r="DN1820" s="4"/>
      <c r="DO1820" s="4"/>
      <c r="DP1820" s="4"/>
      <c r="DQ1820" s="4"/>
      <c r="DR1820" s="4"/>
      <c r="DS1820" s="4"/>
    </row>
    <row r="1821">
      <c r="A1821" s="4"/>
      <c r="B1821" s="4"/>
      <c r="C1821" s="4"/>
      <c r="D1821" s="4"/>
      <c r="E1821" s="4"/>
      <c r="F1821" s="4" t="s">
        <v>17</v>
      </c>
      <c r="G1821" s="15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  <c r="AA1821" s="4"/>
      <c r="AB1821" s="4"/>
      <c r="AC1821" s="4"/>
      <c r="AD1821" s="4"/>
      <c r="AE1821" s="4"/>
      <c r="AF1821" s="4"/>
      <c r="AG1821" s="4"/>
      <c r="AH1821" s="4"/>
      <c r="AI1821" s="4"/>
      <c r="AJ1821" s="4"/>
      <c r="AK1821" s="4"/>
      <c r="AL1821" s="4"/>
      <c r="AM1821" s="4"/>
      <c r="AN1821" s="4"/>
      <c r="AO1821" s="4"/>
      <c r="AP1821" s="4"/>
      <c r="AQ1821" s="4"/>
      <c r="AR1821" s="4"/>
      <c r="AS1821" s="4"/>
      <c r="AT1821" s="4"/>
      <c r="AU1821" s="4"/>
      <c r="AV1821" s="4"/>
      <c r="AW1821" s="4"/>
      <c r="AX1821" s="4"/>
      <c r="AY1821" s="4"/>
      <c r="AZ1821" s="4"/>
      <c r="BA1821" s="4"/>
      <c r="BB1821" s="4"/>
      <c r="BC1821" s="4"/>
      <c r="BD1821" s="4"/>
      <c r="BE1821" s="4"/>
      <c r="BF1821" s="4"/>
      <c r="BG1821" s="4"/>
      <c r="BH1821" s="4"/>
      <c r="BI1821" s="4"/>
      <c r="BJ1821" s="4"/>
      <c r="BK1821" s="4"/>
      <c r="BL1821" s="4"/>
      <c r="BM1821" s="4"/>
      <c r="BN1821" s="4"/>
      <c r="BO1821" s="4"/>
      <c r="BP1821" s="4"/>
      <c r="BQ1821" s="4"/>
      <c r="BR1821" s="4"/>
      <c r="BS1821" s="4"/>
      <c r="BT1821" s="4"/>
      <c r="BU1821" s="4"/>
      <c r="BV1821" s="4"/>
      <c r="BW1821" s="4"/>
      <c r="BX1821" s="4"/>
      <c r="BY1821" s="4"/>
      <c r="BZ1821" s="4"/>
      <c r="CA1821" s="4"/>
      <c r="CB1821" s="4"/>
      <c r="CC1821" s="4"/>
      <c r="CD1821" s="4"/>
      <c r="CE1821" s="4"/>
      <c r="CF1821" s="4"/>
      <c r="CG1821" s="4"/>
      <c r="CH1821" s="4"/>
      <c r="CI1821" s="4"/>
      <c r="CJ1821" s="4"/>
      <c r="CK1821" s="4"/>
      <c r="CL1821" s="4"/>
      <c r="CM1821" s="4"/>
      <c r="CN1821" s="4"/>
      <c r="CO1821" s="4"/>
      <c r="CP1821" s="4"/>
      <c r="CQ1821" s="4"/>
      <c r="CR1821" s="4"/>
      <c r="CS1821" s="4"/>
      <c r="CT1821" s="4"/>
      <c r="CU1821" s="4"/>
      <c r="CV1821" s="4"/>
      <c r="CW1821" s="4"/>
      <c r="CX1821" s="4"/>
      <c r="CY1821" s="4"/>
      <c r="CZ1821" s="4"/>
      <c r="DA1821" s="4"/>
      <c r="DB1821" s="4"/>
      <c r="DC1821" s="4"/>
      <c r="DD1821" s="4"/>
      <c r="DE1821" s="4"/>
      <c r="DF1821" s="4"/>
      <c r="DG1821" s="4"/>
      <c r="DH1821" s="4"/>
      <c r="DI1821" s="4"/>
      <c r="DJ1821" s="4"/>
      <c r="DK1821" s="4"/>
      <c r="DL1821" s="4"/>
      <c r="DM1821" s="4"/>
      <c r="DN1821" s="4"/>
      <c r="DO1821" s="4"/>
      <c r="DP1821" s="4"/>
      <c r="DQ1821" s="4"/>
      <c r="DR1821" s="4"/>
      <c r="DS1821" s="4"/>
    </row>
    <row r="1822">
      <c r="A1822" s="4"/>
      <c r="B1822" s="4"/>
      <c r="C1822" s="4"/>
      <c r="D1822" s="4"/>
      <c r="E1822" s="4"/>
      <c r="F1822" s="4" t="s">
        <v>17</v>
      </c>
      <c r="G1822" s="15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  <c r="AA1822" s="4"/>
      <c r="AB1822" s="4"/>
      <c r="AC1822" s="4"/>
      <c r="AD1822" s="4"/>
      <c r="AE1822" s="4"/>
      <c r="AF1822" s="4"/>
      <c r="AG1822" s="4"/>
      <c r="AH1822" s="4"/>
      <c r="AI1822" s="4"/>
      <c r="AJ1822" s="4"/>
      <c r="AK1822" s="4"/>
      <c r="AL1822" s="4"/>
      <c r="AM1822" s="4"/>
      <c r="AN1822" s="4"/>
      <c r="AO1822" s="4"/>
      <c r="AP1822" s="4"/>
      <c r="AQ1822" s="4"/>
      <c r="AR1822" s="4"/>
      <c r="AS1822" s="4"/>
      <c r="AT1822" s="4"/>
      <c r="AU1822" s="4"/>
      <c r="AV1822" s="4"/>
      <c r="AW1822" s="4"/>
      <c r="AX1822" s="4"/>
      <c r="AY1822" s="4"/>
      <c r="AZ1822" s="4"/>
      <c r="BA1822" s="4"/>
      <c r="BB1822" s="4"/>
      <c r="BC1822" s="4"/>
      <c r="BD1822" s="4"/>
      <c r="BE1822" s="4"/>
      <c r="BF1822" s="4"/>
      <c r="BG1822" s="4"/>
      <c r="BH1822" s="4"/>
      <c r="BI1822" s="4"/>
      <c r="BJ1822" s="4"/>
      <c r="BK1822" s="4"/>
      <c r="BL1822" s="4"/>
      <c r="BM1822" s="4"/>
      <c r="BN1822" s="4"/>
      <c r="BO1822" s="4"/>
      <c r="BP1822" s="4"/>
      <c r="BQ1822" s="4"/>
      <c r="BR1822" s="4"/>
      <c r="BS1822" s="4"/>
      <c r="BT1822" s="4"/>
      <c r="BU1822" s="4"/>
      <c r="BV1822" s="4"/>
      <c r="BW1822" s="4"/>
      <c r="BX1822" s="4"/>
      <c r="BY1822" s="4"/>
      <c r="BZ1822" s="4"/>
      <c r="CA1822" s="4"/>
      <c r="CB1822" s="4"/>
      <c r="CC1822" s="4"/>
      <c r="CD1822" s="4"/>
      <c r="CE1822" s="4"/>
      <c r="CF1822" s="4"/>
      <c r="CG1822" s="4"/>
      <c r="CH1822" s="4"/>
      <c r="CI1822" s="4"/>
      <c r="CJ1822" s="4"/>
      <c r="CK1822" s="4"/>
      <c r="CL1822" s="4"/>
      <c r="CM1822" s="4"/>
      <c r="CN1822" s="4"/>
      <c r="CO1822" s="4"/>
      <c r="CP1822" s="4"/>
      <c r="CQ1822" s="4"/>
      <c r="CR1822" s="4"/>
      <c r="CS1822" s="4"/>
      <c r="CT1822" s="4"/>
      <c r="CU1822" s="4"/>
      <c r="CV1822" s="4"/>
      <c r="CW1822" s="4"/>
      <c r="CX1822" s="4"/>
      <c r="CY1822" s="4"/>
      <c r="CZ1822" s="4"/>
      <c r="DA1822" s="4"/>
      <c r="DB1822" s="4"/>
      <c r="DC1822" s="4"/>
      <c r="DD1822" s="4"/>
      <c r="DE1822" s="4"/>
      <c r="DF1822" s="4"/>
      <c r="DG1822" s="4"/>
      <c r="DH1822" s="4"/>
      <c r="DI1822" s="4"/>
      <c r="DJ1822" s="4"/>
      <c r="DK1822" s="4"/>
      <c r="DL1822" s="4"/>
      <c r="DM1822" s="4"/>
      <c r="DN1822" s="4"/>
      <c r="DO1822" s="4"/>
      <c r="DP1822" s="4"/>
      <c r="DQ1822" s="4"/>
      <c r="DR1822" s="4"/>
      <c r="DS1822" s="4"/>
    </row>
    <row r="1823">
      <c r="A1823" s="4"/>
      <c r="B1823" s="4"/>
      <c r="C1823" s="4"/>
      <c r="D1823" s="4"/>
      <c r="E1823" s="4"/>
      <c r="F1823" s="4" t="s">
        <v>17</v>
      </c>
      <c r="G1823" s="15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  <c r="AA1823" s="4"/>
      <c r="AB1823" s="4"/>
      <c r="AC1823" s="4"/>
      <c r="AD1823" s="4"/>
      <c r="AE1823" s="4"/>
      <c r="AF1823" s="4"/>
      <c r="AG1823" s="4"/>
      <c r="AH1823" s="4"/>
      <c r="AI1823" s="4"/>
      <c r="AJ1823" s="4"/>
      <c r="AK1823" s="4"/>
      <c r="AL1823" s="4"/>
      <c r="AM1823" s="4"/>
      <c r="AN1823" s="4"/>
      <c r="AO1823" s="4"/>
      <c r="AP1823" s="4"/>
      <c r="AQ1823" s="4"/>
      <c r="AR1823" s="4"/>
      <c r="AS1823" s="4"/>
      <c r="AT1823" s="4"/>
      <c r="AU1823" s="4"/>
      <c r="AV1823" s="4"/>
      <c r="AW1823" s="4"/>
      <c r="AX1823" s="4"/>
      <c r="AY1823" s="4"/>
      <c r="AZ1823" s="4"/>
      <c r="BA1823" s="4"/>
      <c r="BB1823" s="4"/>
      <c r="BC1823" s="4"/>
      <c r="BD1823" s="4"/>
      <c r="BE1823" s="4"/>
      <c r="BF1823" s="4"/>
      <c r="BG1823" s="4"/>
      <c r="BH1823" s="4"/>
      <c r="BI1823" s="4"/>
      <c r="BJ1823" s="4"/>
      <c r="BK1823" s="4"/>
      <c r="BL1823" s="4"/>
      <c r="BM1823" s="4"/>
      <c r="BN1823" s="4"/>
      <c r="BO1823" s="4"/>
      <c r="BP1823" s="4"/>
      <c r="BQ1823" s="4"/>
      <c r="BR1823" s="4"/>
      <c r="BS1823" s="4"/>
      <c r="BT1823" s="4"/>
      <c r="BU1823" s="4"/>
      <c r="BV1823" s="4"/>
      <c r="BW1823" s="4"/>
      <c r="BX1823" s="4"/>
      <c r="BY1823" s="4"/>
      <c r="BZ1823" s="4"/>
      <c r="CA1823" s="4"/>
      <c r="CB1823" s="4"/>
      <c r="CC1823" s="4"/>
      <c r="CD1823" s="4"/>
      <c r="CE1823" s="4"/>
      <c r="CF1823" s="4"/>
      <c r="CG1823" s="4"/>
      <c r="CH1823" s="4"/>
      <c r="CI1823" s="4"/>
      <c r="CJ1823" s="4"/>
      <c r="CK1823" s="4"/>
      <c r="CL1823" s="4"/>
      <c r="CM1823" s="4"/>
      <c r="CN1823" s="4"/>
      <c r="CO1823" s="4"/>
      <c r="CP1823" s="4"/>
      <c r="CQ1823" s="4"/>
      <c r="CR1823" s="4"/>
      <c r="CS1823" s="4"/>
      <c r="CT1823" s="4"/>
      <c r="CU1823" s="4"/>
      <c r="CV1823" s="4"/>
      <c r="CW1823" s="4"/>
      <c r="CX1823" s="4"/>
      <c r="CY1823" s="4"/>
      <c r="CZ1823" s="4"/>
      <c r="DA1823" s="4"/>
      <c r="DB1823" s="4"/>
      <c r="DC1823" s="4"/>
      <c r="DD1823" s="4"/>
      <c r="DE1823" s="4"/>
      <c r="DF1823" s="4"/>
      <c r="DG1823" s="4"/>
      <c r="DH1823" s="4"/>
      <c r="DI1823" s="4"/>
      <c r="DJ1823" s="4"/>
      <c r="DK1823" s="4"/>
      <c r="DL1823" s="4"/>
      <c r="DM1823" s="4"/>
      <c r="DN1823" s="4"/>
      <c r="DO1823" s="4"/>
      <c r="DP1823" s="4"/>
      <c r="DQ1823" s="4"/>
      <c r="DR1823" s="4"/>
      <c r="DS1823" s="4"/>
    </row>
    <row r="1824">
      <c r="A1824" s="4"/>
      <c r="B1824" s="4"/>
      <c r="C1824" s="4"/>
      <c r="D1824" s="4"/>
      <c r="E1824" s="4"/>
      <c r="F1824" s="4" t="s">
        <v>17</v>
      </c>
      <c r="G1824" s="15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  <c r="AA1824" s="4"/>
      <c r="AB1824" s="4"/>
      <c r="AC1824" s="4"/>
      <c r="AD1824" s="4"/>
      <c r="AE1824" s="4"/>
      <c r="AF1824" s="4"/>
      <c r="AG1824" s="4"/>
      <c r="AH1824" s="4"/>
      <c r="AI1824" s="4"/>
      <c r="AJ1824" s="4"/>
      <c r="AK1824" s="4"/>
      <c r="AL1824" s="4"/>
      <c r="AM1824" s="4"/>
      <c r="AN1824" s="4"/>
      <c r="AO1824" s="4"/>
      <c r="AP1824" s="4"/>
      <c r="AQ1824" s="4"/>
      <c r="AR1824" s="4"/>
      <c r="AS1824" s="4"/>
      <c r="AT1824" s="4"/>
      <c r="AU1824" s="4"/>
      <c r="AV1824" s="4"/>
      <c r="AW1824" s="4"/>
      <c r="AX1824" s="4"/>
      <c r="AY1824" s="4"/>
      <c r="AZ1824" s="4"/>
      <c r="BA1824" s="4"/>
      <c r="BB1824" s="4"/>
      <c r="BC1824" s="4"/>
      <c r="BD1824" s="4"/>
      <c r="BE1824" s="4"/>
      <c r="BF1824" s="4"/>
      <c r="BG1824" s="4"/>
      <c r="BH1824" s="4"/>
      <c r="BI1824" s="4"/>
      <c r="BJ1824" s="4"/>
      <c r="BK1824" s="4"/>
      <c r="BL1824" s="4"/>
      <c r="BM1824" s="4"/>
      <c r="BN1824" s="4"/>
      <c r="BO1824" s="4"/>
      <c r="BP1824" s="4"/>
      <c r="BQ1824" s="4"/>
      <c r="BR1824" s="4"/>
      <c r="BS1824" s="4"/>
      <c r="BT1824" s="4"/>
      <c r="BU1824" s="4"/>
      <c r="BV1824" s="4"/>
      <c r="BW1824" s="4"/>
      <c r="BX1824" s="4"/>
      <c r="BY1824" s="4"/>
      <c r="BZ1824" s="4"/>
      <c r="CA1824" s="4"/>
      <c r="CB1824" s="4"/>
      <c r="CC1824" s="4"/>
      <c r="CD1824" s="4"/>
      <c r="CE1824" s="4"/>
      <c r="CF1824" s="4"/>
      <c r="CG1824" s="4"/>
      <c r="CH1824" s="4"/>
      <c r="CI1824" s="4"/>
      <c r="CJ1824" s="4"/>
      <c r="CK1824" s="4"/>
      <c r="CL1824" s="4"/>
      <c r="CM1824" s="4"/>
      <c r="CN1824" s="4"/>
      <c r="CO1824" s="4"/>
      <c r="CP1824" s="4"/>
      <c r="CQ1824" s="4"/>
      <c r="CR1824" s="4"/>
      <c r="CS1824" s="4"/>
      <c r="CT1824" s="4"/>
      <c r="CU1824" s="4"/>
      <c r="CV1824" s="4"/>
      <c r="CW1824" s="4"/>
      <c r="CX1824" s="4"/>
      <c r="CY1824" s="4"/>
      <c r="CZ1824" s="4"/>
      <c r="DA1824" s="4"/>
      <c r="DB1824" s="4"/>
      <c r="DC1824" s="4"/>
      <c r="DD1824" s="4"/>
      <c r="DE1824" s="4"/>
      <c r="DF1824" s="4"/>
      <c r="DG1824" s="4"/>
      <c r="DH1824" s="4"/>
      <c r="DI1824" s="4"/>
      <c r="DJ1824" s="4"/>
      <c r="DK1824" s="4"/>
      <c r="DL1824" s="4"/>
      <c r="DM1824" s="4"/>
      <c r="DN1824" s="4"/>
      <c r="DO1824" s="4"/>
      <c r="DP1824" s="4"/>
      <c r="DQ1824" s="4"/>
      <c r="DR1824" s="4"/>
      <c r="DS1824" s="4"/>
    </row>
    <row r="1825">
      <c r="A1825" s="4"/>
      <c r="B1825" s="4"/>
      <c r="C1825" s="4"/>
      <c r="D1825" s="4"/>
      <c r="E1825" s="4"/>
      <c r="F1825" s="4" t="s">
        <v>17</v>
      </c>
      <c r="G1825" s="15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  <c r="AA1825" s="4"/>
      <c r="AB1825" s="4"/>
      <c r="AC1825" s="4"/>
      <c r="AD1825" s="4"/>
      <c r="AE1825" s="4"/>
      <c r="AF1825" s="4"/>
      <c r="AG1825" s="4"/>
      <c r="AH1825" s="4"/>
      <c r="AI1825" s="4"/>
      <c r="AJ1825" s="4"/>
      <c r="AK1825" s="4"/>
      <c r="AL1825" s="4"/>
      <c r="AM1825" s="4"/>
      <c r="AN1825" s="4"/>
      <c r="AO1825" s="4"/>
      <c r="AP1825" s="4"/>
      <c r="AQ1825" s="4"/>
      <c r="AR1825" s="4"/>
      <c r="AS1825" s="4"/>
      <c r="AT1825" s="4"/>
      <c r="AU1825" s="4"/>
      <c r="AV1825" s="4"/>
      <c r="AW1825" s="4"/>
      <c r="AX1825" s="4"/>
      <c r="AY1825" s="4"/>
      <c r="AZ1825" s="4"/>
      <c r="BA1825" s="4"/>
      <c r="BB1825" s="4"/>
      <c r="BC1825" s="4"/>
      <c r="BD1825" s="4"/>
      <c r="BE1825" s="4"/>
      <c r="BF1825" s="4"/>
      <c r="BG1825" s="4"/>
      <c r="BH1825" s="4"/>
      <c r="BI1825" s="4"/>
      <c r="BJ1825" s="4"/>
      <c r="BK1825" s="4"/>
      <c r="BL1825" s="4"/>
      <c r="BM1825" s="4"/>
      <c r="BN1825" s="4"/>
      <c r="BO1825" s="4"/>
      <c r="BP1825" s="4"/>
      <c r="BQ1825" s="4"/>
      <c r="BR1825" s="4"/>
      <c r="BS1825" s="4"/>
      <c r="BT1825" s="4"/>
      <c r="BU1825" s="4"/>
      <c r="BV1825" s="4"/>
      <c r="BW1825" s="4"/>
      <c r="BX1825" s="4"/>
      <c r="BY1825" s="4"/>
      <c r="BZ1825" s="4"/>
      <c r="CA1825" s="4"/>
      <c r="CB1825" s="4"/>
      <c r="CC1825" s="4"/>
      <c r="CD1825" s="4"/>
      <c r="CE1825" s="4"/>
      <c r="CF1825" s="4"/>
      <c r="CG1825" s="4"/>
      <c r="CH1825" s="4"/>
      <c r="CI1825" s="4"/>
      <c r="CJ1825" s="4"/>
      <c r="CK1825" s="4"/>
      <c r="CL1825" s="4"/>
      <c r="CM1825" s="4"/>
      <c r="CN1825" s="4"/>
      <c r="CO1825" s="4"/>
      <c r="CP1825" s="4"/>
      <c r="CQ1825" s="4"/>
      <c r="CR1825" s="4"/>
      <c r="CS1825" s="4"/>
      <c r="CT1825" s="4"/>
      <c r="CU1825" s="4"/>
      <c r="CV1825" s="4"/>
      <c r="CW1825" s="4"/>
      <c r="CX1825" s="4"/>
      <c r="CY1825" s="4"/>
      <c r="CZ1825" s="4"/>
      <c r="DA1825" s="4"/>
      <c r="DB1825" s="4"/>
      <c r="DC1825" s="4"/>
      <c r="DD1825" s="4"/>
      <c r="DE1825" s="4"/>
      <c r="DF1825" s="4"/>
      <c r="DG1825" s="4"/>
      <c r="DH1825" s="4"/>
      <c r="DI1825" s="4"/>
      <c r="DJ1825" s="4"/>
      <c r="DK1825" s="4"/>
      <c r="DL1825" s="4"/>
      <c r="DM1825" s="4"/>
      <c r="DN1825" s="4"/>
      <c r="DO1825" s="4"/>
      <c r="DP1825" s="4"/>
      <c r="DQ1825" s="4"/>
      <c r="DR1825" s="4"/>
      <c r="DS1825" s="4"/>
    </row>
    <row r="1826">
      <c r="A1826" s="4"/>
      <c r="B1826" s="4"/>
      <c r="C1826" s="4"/>
      <c r="D1826" s="4"/>
      <c r="E1826" s="4"/>
      <c r="F1826" s="4" t="s">
        <v>17</v>
      </c>
      <c r="G1826" s="15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  <c r="AA1826" s="4"/>
      <c r="AB1826" s="4"/>
      <c r="AC1826" s="4"/>
      <c r="AD1826" s="4"/>
      <c r="AE1826" s="4"/>
      <c r="AF1826" s="4"/>
      <c r="AG1826" s="4"/>
      <c r="AH1826" s="4"/>
      <c r="AI1826" s="4"/>
      <c r="AJ1826" s="4"/>
      <c r="AK1826" s="4"/>
      <c r="AL1826" s="4"/>
      <c r="AM1826" s="4"/>
      <c r="AN1826" s="4"/>
      <c r="AO1826" s="4"/>
      <c r="AP1826" s="4"/>
      <c r="AQ1826" s="4"/>
      <c r="AR1826" s="4"/>
      <c r="AS1826" s="4"/>
      <c r="AT1826" s="4"/>
      <c r="AU1826" s="4"/>
      <c r="AV1826" s="4"/>
      <c r="AW1826" s="4"/>
      <c r="AX1826" s="4"/>
      <c r="AY1826" s="4"/>
      <c r="AZ1826" s="4"/>
      <c r="BA1826" s="4"/>
      <c r="BB1826" s="4"/>
      <c r="BC1826" s="4"/>
      <c r="BD1826" s="4"/>
      <c r="BE1826" s="4"/>
      <c r="BF1826" s="4"/>
      <c r="BG1826" s="4"/>
      <c r="BH1826" s="4"/>
      <c r="BI1826" s="4"/>
      <c r="BJ1826" s="4"/>
      <c r="BK1826" s="4"/>
      <c r="BL1826" s="4"/>
      <c r="BM1826" s="4"/>
      <c r="BN1826" s="4"/>
      <c r="BO1826" s="4"/>
      <c r="BP1826" s="4"/>
      <c r="BQ1826" s="4"/>
      <c r="BR1826" s="4"/>
      <c r="BS1826" s="4"/>
      <c r="BT1826" s="4"/>
      <c r="BU1826" s="4"/>
      <c r="BV1826" s="4"/>
      <c r="BW1826" s="4"/>
      <c r="BX1826" s="4"/>
      <c r="BY1826" s="4"/>
      <c r="BZ1826" s="4"/>
      <c r="CA1826" s="4"/>
      <c r="CB1826" s="4"/>
      <c r="CC1826" s="4"/>
      <c r="CD1826" s="4"/>
      <c r="CE1826" s="4"/>
      <c r="CF1826" s="4"/>
      <c r="CG1826" s="4"/>
      <c r="CH1826" s="4"/>
      <c r="CI1826" s="4"/>
      <c r="CJ1826" s="4"/>
      <c r="CK1826" s="4"/>
      <c r="CL1826" s="4"/>
      <c r="CM1826" s="4"/>
      <c r="CN1826" s="4"/>
      <c r="CO1826" s="4"/>
      <c r="CP1826" s="4"/>
      <c r="CQ1826" s="4"/>
      <c r="CR1826" s="4"/>
      <c r="CS1826" s="4"/>
      <c r="CT1826" s="4"/>
      <c r="CU1826" s="4"/>
      <c r="CV1826" s="4"/>
      <c r="CW1826" s="4"/>
      <c r="CX1826" s="4"/>
      <c r="CY1826" s="4"/>
      <c r="CZ1826" s="4"/>
      <c r="DA1826" s="4"/>
      <c r="DB1826" s="4"/>
      <c r="DC1826" s="4"/>
      <c r="DD1826" s="4"/>
      <c r="DE1826" s="4"/>
      <c r="DF1826" s="4"/>
      <c r="DG1826" s="4"/>
      <c r="DH1826" s="4"/>
      <c r="DI1826" s="4"/>
      <c r="DJ1826" s="4"/>
      <c r="DK1826" s="4"/>
      <c r="DL1826" s="4"/>
      <c r="DM1826" s="4"/>
      <c r="DN1826" s="4"/>
      <c r="DO1826" s="4"/>
      <c r="DP1826" s="4"/>
      <c r="DQ1826" s="4"/>
      <c r="DR1826" s="4"/>
      <c r="DS1826" s="4"/>
    </row>
    <row r="1827">
      <c r="A1827" s="4"/>
      <c r="B1827" s="4"/>
      <c r="C1827" s="4"/>
      <c r="D1827" s="4"/>
      <c r="E1827" s="4"/>
      <c r="F1827" s="4" t="s">
        <v>17</v>
      </c>
      <c r="G1827" s="15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  <c r="AA1827" s="4"/>
      <c r="AB1827" s="4"/>
      <c r="AC1827" s="4"/>
      <c r="AD1827" s="4"/>
      <c r="AE1827" s="4"/>
      <c r="AF1827" s="4"/>
      <c r="AG1827" s="4"/>
      <c r="AH1827" s="4"/>
      <c r="AI1827" s="4"/>
      <c r="AJ1827" s="4"/>
      <c r="AK1827" s="4"/>
      <c r="AL1827" s="4"/>
      <c r="AM1827" s="4"/>
      <c r="AN1827" s="4"/>
      <c r="AO1827" s="4"/>
      <c r="AP1827" s="4"/>
      <c r="AQ1827" s="4"/>
      <c r="AR1827" s="4"/>
      <c r="AS1827" s="4"/>
      <c r="AT1827" s="4"/>
      <c r="AU1827" s="4"/>
      <c r="AV1827" s="4"/>
      <c r="AW1827" s="4"/>
      <c r="AX1827" s="4"/>
      <c r="AY1827" s="4"/>
      <c r="AZ1827" s="4"/>
      <c r="BA1827" s="4"/>
      <c r="BB1827" s="4"/>
      <c r="BC1827" s="4"/>
      <c r="BD1827" s="4"/>
      <c r="BE1827" s="4"/>
      <c r="BF1827" s="4"/>
      <c r="BG1827" s="4"/>
      <c r="BH1827" s="4"/>
      <c r="BI1827" s="4"/>
      <c r="BJ1827" s="4"/>
      <c r="BK1827" s="4"/>
      <c r="BL1827" s="4"/>
      <c r="BM1827" s="4"/>
      <c r="BN1827" s="4"/>
      <c r="BO1827" s="4"/>
      <c r="BP1827" s="4"/>
      <c r="BQ1827" s="4"/>
      <c r="BR1827" s="4"/>
      <c r="BS1827" s="4"/>
      <c r="BT1827" s="4"/>
      <c r="BU1827" s="4"/>
      <c r="BV1827" s="4"/>
      <c r="BW1827" s="4"/>
      <c r="BX1827" s="4"/>
      <c r="BY1827" s="4"/>
      <c r="BZ1827" s="4"/>
      <c r="CA1827" s="4"/>
      <c r="CB1827" s="4"/>
      <c r="CC1827" s="4"/>
      <c r="CD1827" s="4"/>
      <c r="CE1827" s="4"/>
      <c r="CF1827" s="4"/>
      <c r="CG1827" s="4"/>
      <c r="CH1827" s="4"/>
      <c r="CI1827" s="4"/>
      <c r="CJ1827" s="4"/>
      <c r="CK1827" s="4"/>
      <c r="CL1827" s="4"/>
      <c r="CM1827" s="4"/>
      <c r="CN1827" s="4"/>
      <c r="CO1827" s="4"/>
      <c r="CP1827" s="4"/>
      <c r="CQ1827" s="4"/>
      <c r="CR1827" s="4"/>
      <c r="CS1827" s="4"/>
      <c r="CT1827" s="4"/>
      <c r="CU1827" s="4"/>
      <c r="CV1827" s="4"/>
      <c r="CW1827" s="4"/>
      <c r="CX1827" s="4"/>
      <c r="CY1827" s="4"/>
      <c r="CZ1827" s="4"/>
      <c r="DA1827" s="4"/>
      <c r="DB1827" s="4"/>
      <c r="DC1827" s="4"/>
      <c r="DD1827" s="4"/>
      <c r="DE1827" s="4"/>
      <c r="DF1827" s="4"/>
      <c r="DG1827" s="4"/>
      <c r="DH1827" s="4"/>
      <c r="DI1827" s="4"/>
      <c r="DJ1827" s="4"/>
      <c r="DK1827" s="4"/>
      <c r="DL1827" s="4"/>
      <c r="DM1827" s="4"/>
      <c r="DN1827" s="4"/>
      <c r="DO1827" s="4"/>
      <c r="DP1827" s="4"/>
      <c r="DQ1827" s="4"/>
      <c r="DR1827" s="4"/>
      <c r="DS1827" s="4"/>
    </row>
    <row r="1828">
      <c r="A1828" s="4"/>
      <c r="B1828" s="4"/>
      <c r="C1828" s="4"/>
      <c r="D1828" s="4"/>
      <c r="E1828" s="4"/>
      <c r="F1828" s="4" t="s">
        <v>17</v>
      </c>
      <c r="G1828" s="15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  <c r="AA1828" s="4"/>
      <c r="AB1828" s="4"/>
      <c r="AC1828" s="4"/>
      <c r="AD1828" s="4"/>
      <c r="AE1828" s="4"/>
      <c r="AF1828" s="4"/>
      <c r="AG1828" s="4"/>
      <c r="AH1828" s="4"/>
      <c r="AI1828" s="4"/>
      <c r="AJ1828" s="4"/>
      <c r="AK1828" s="4"/>
      <c r="AL1828" s="4"/>
      <c r="AM1828" s="4"/>
      <c r="AN1828" s="4"/>
      <c r="AO1828" s="4"/>
      <c r="AP1828" s="4"/>
      <c r="AQ1828" s="4"/>
      <c r="AR1828" s="4"/>
      <c r="AS1828" s="4"/>
      <c r="AT1828" s="4"/>
      <c r="AU1828" s="4"/>
      <c r="AV1828" s="4"/>
      <c r="AW1828" s="4"/>
      <c r="AX1828" s="4"/>
      <c r="AY1828" s="4"/>
      <c r="AZ1828" s="4"/>
      <c r="BA1828" s="4"/>
      <c r="BB1828" s="4"/>
      <c r="BC1828" s="4"/>
      <c r="BD1828" s="4"/>
      <c r="BE1828" s="4"/>
      <c r="BF1828" s="4"/>
      <c r="BG1828" s="4"/>
      <c r="BH1828" s="4"/>
      <c r="BI1828" s="4"/>
      <c r="BJ1828" s="4"/>
      <c r="BK1828" s="4"/>
      <c r="BL1828" s="4"/>
      <c r="BM1828" s="4"/>
      <c r="BN1828" s="4"/>
      <c r="BO1828" s="4"/>
      <c r="BP1828" s="4"/>
      <c r="BQ1828" s="4"/>
      <c r="BR1828" s="4"/>
      <c r="BS1828" s="4"/>
      <c r="BT1828" s="4"/>
      <c r="BU1828" s="4"/>
      <c r="BV1828" s="4"/>
      <c r="BW1828" s="4"/>
      <c r="BX1828" s="4"/>
      <c r="BY1828" s="4"/>
      <c r="BZ1828" s="4"/>
      <c r="CA1828" s="4"/>
      <c r="CB1828" s="4"/>
      <c r="CC1828" s="4"/>
      <c r="CD1828" s="4"/>
      <c r="CE1828" s="4"/>
      <c r="CF1828" s="4"/>
      <c r="CG1828" s="4"/>
      <c r="CH1828" s="4"/>
      <c r="CI1828" s="4"/>
      <c r="CJ1828" s="4"/>
      <c r="CK1828" s="4"/>
      <c r="CL1828" s="4"/>
      <c r="CM1828" s="4"/>
      <c r="CN1828" s="4"/>
      <c r="CO1828" s="4"/>
      <c r="CP1828" s="4"/>
      <c r="CQ1828" s="4"/>
      <c r="CR1828" s="4"/>
      <c r="CS1828" s="4"/>
      <c r="CT1828" s="4"/>
      <c r="CU1828" s="4"/>
      <c r="CV1828" s="4"/>
      <c r="CW1828" s="4"/>
      <c r="CX1828" s="4"/>
      <c r="CY1828" s="4"/>
      <c r="CZ1828" s="4"/>
      <c r="DA1828" s="4"/>
      <c r="DB1828" s="4"/>
      <c r="DC1828" s="4"/>
      <c r="DD1828" s="4"/>
      <c r="DE1828" s="4"/>
      <c r="DF1828" s="4"/>
      <c r="DG1828" s="4"/>
      <c r="DH1828" s="4"/>
      <c r="DI1828" s="4"/>
      <c r="DJ1828" s="4"/>
      <c r="DK1828" s="4"/>
      <c r="DL1828" s="4"/>
      <c r="DM1828" s="4"/>
      <c r="DN1828" s="4"/>
      <c r="DO1828" s="4"/>
      <c r="DP1828" s="4"/>
      <c r="DQ1828" s="4"/>
      <c r="DR1828" s="4"/>
      <c r="DS1828" s="4"/>
    </row>
    <row r="1829">
      <c r="A1829" s="4"/>
      <c r="B1829" s="4"/>
      <c r="C1829" s="4"/>
      <c r="D1829" s="4"/>
      <c r="E1829" s="4"/>
      <c r="F1829" s="4" t="s">
        <v>17</v>
      </c>
      <c r="G1829" s="15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  <c r="AA1829" s="4"/>
      <c r="AB1829" s="4"/>
      <c r="AC1829" s="4"/>
      <c r="AD1829" s="4"/>
      <c r="AE1829" s="4"/>
      <c r="AF1829" s="4"/>
      <c r="AG1829" s="4"/>
      <c r="AH1829" s="4"/>
      <c r="AI1829" s="4"/>
      <c r="AJ1829" s="4"/>
      <c r="AK1829" s="4"/>
      <c r="AL1829" s="4"/>
      <c r="AM1829" s="4"/>
      <c r="AN1829" s="4"/>
      <c r="AO1829" s="4"/>
      <c r="AP1829" s="4"/>
      <c r="AQ1829" s="4"/>
      <c r="AR1829" s="4"/>
      <c r="AS1829" s="4"/>
      <c r="AT1829" s="4"/>
      <c r="AU1829" s="4"/>
      <c r="AV1829" s="4"/>
      <c r="AW1829" s="4"/>
      <c r="AX1829" s="4"/>
      <c r="AY1829" s="4"/>
      <c r="AZ1829" s="4"/>
      <c r="BA1829" s="4"/>
      <c r="BB1829" s="4"/>
      <c r="BC1829" s="4"/>
      <c r="BD1829" s="4"/>
      <c r="BE1829" s="4"/>
      <c r="BF1829" s="4"/>
      <c r="BG1829" s="4"/>
      <c r="BH1829" s="4"/>
      <c r="BI1829" s="4"/>
      <c r="BJ1829" s="4"/>
      <c r="BK1829" s="4"/>
      <c r="BL1829" s="4"/>
      <c r="BM1829" s="4"/>
      <c r="BN1829" s="4"/>
      <c r="BO1829" s="4"/>
      <c r="BP1829" s="4"/>
      <c r="BQ1829" s="4"/>
      <c r="BR1829" s="4"/>
      <c r="BS1829" s="4"/>
      <c r="BT1829" s="4"/>
      <c r="BU1829" s="4"/>
      <c r="BV1829" s="4"/>
      <c r="BW1829" s="4"/>
      <c r="BX1829" s="4"/>
      <c r="BY1829" s="4"/>
      <c r="BZ1829" s="4"/>
      <c r="CA1829" s="4"/>
      <c r="CB1829" s="4"/>
      <c r="CC1829" s="4"/>
      <c r="CD1829" s="4"/>
      <c r="CE1829" s="4"/>
      <c r="CF1829" s="4"/>
      <c r="CG1829" s="4"/>
      <c r="CH1829" s="4"/>
      <c r="CI1829" s="4"/>
      <c r="CJ1829" s="4"/>
      <c r="CK1829" s="4"/>
      <c r="CL1829" s="4"/>
      <c r="CM1829" s="4"/>
      <c r="CN1829" s="4"/>
      <c r="CO1829" s="4"/>
      <c r="CP1829" s="4"/>
      <c r="CQ1829" s="4"/>
      <c r="CR1829" s="4"/>
      <c r="CS1829" s="4"/>
      <c r="CT1829" s="4"/>
      <c r="CU1829" s="4"/>
      <c r="CV1829" s="4"/>
      <c r="CW1829" s="4"/>
      <c r="CX1829" s="4"/>
      <c r="CY1829" s="4"/>
      <c r="CZ1829" s="4"/>
      <c r="DA1829" s="4"/>
      <c r="DB1829" s="4"/>
      <c r="DC1829" s="4"/>
      <c r="DD1829" s="4"/>
      <c r="DE1829" s="4"/>
      <c r="DF1829" s="4"/>
      <c r="DG1829" s="4"/>
      <c r="DH1829" s="4"/>
      <c r="DI1829" s="4"/>
      <c r="DJ1829" s="4"/>
      <c r="DK1829" s="4"/>
      <c r="DL1829" s="4"/>
      <c r="DM1829" s="4"/>
      <c r="DN1829" s="4"/>
      <c r="DO1829" s="4"/>
      <c r="DP1829" s="4"/>
      <c r="DQ1829" s="4"/>
      <c r="DR1829" s="4"/>
      <c r="DS1829" s="4"/>
    </row>
    <row r="1830">
      <c r="A1830" s="4"/>
      <c r="B1830" s="4"/>
      <c r="C1830" s="4"/>
      <c r="D1830" s="4"/>
      <c r="E1830" s="4"/>
      <c r="F1830" s="4" t="s">
        <v>17</v>
      </c>
      <c r="G1830" s="15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  <c r="AA1830" s="4"/>
      <c r="AB1830" s="4"/>
      <c r="AC1830" s="4"/>
      <c r="AD1830" s="4"/>
      <c r="AE1830" s="4"/>
      <c r="AF1830" s="4"/>
      <c r="AG1830" s="4"/>
      <c r="AH1830" s="4"/>
      <c r="AI1830" s="4"/>
      <c r="AJ1830" s="4"/>
      <c r="AK1830" s="4"/>
      <c r="AL1830" s="4"/>
      <c r="AM1830" s="4"/>
      <c r="AN1830" s="4"/>
      <c r="AO1830" s="4"/>
      <c r="AP1830" s="4"/>
      <c r="AQ1830" s="4"/>
      <c r="AR1830" s="4"/>
      <c r="AS1830" s="4"/>
      <c r="AT1830" s="4"/>
      <c r="AU1830" s="4"/>
      <c r="AV1830" s="4"/>
      <c r="AW1830" s="4"/>
      <c r="AX1830" s="4"/>
      <c r="AY1830" s="4"/>
      <c r="AZ1830" s="4"/>
      <c r="BA1830" s="4"/>
      <c r="BB1830" s="4"/>
      <c r="BC1830" s="4"/>
      <c r="BD1830" s="4"/>
      <c r="BE1830" s="4"/>
      <c r="BF1830" s="4"/>
      <c r="BG1830" s="4"/>
      <c r="BH1830" s="4"/>
      <c r="BI1830" s="4"/>
      <c r="BJ1830" s="4"/>
      <c r="BK1830" s="4"/>
      <c r="BL1830" s="4"/>
      <c r="BM1830" s="4"/>
      <c r="BN1830" s="4"/>
      <c r="BO1830" s="4"/>
      <c r="BP1830" s="4"/>
      <c r="BQ1830" s="4"/>
      <c r="BR1830" s="4"/>
      <c r="BS1830" s="4"/>
      <c r="BT1830" s="4"/>
      <c r="BU1830" s="4"/>
      <c r="BV1830" s="4"/>
      <c r="BW1830" s="4"/>
      <c r="BX1830" s="4"/>
      <c r="BY1830" s="4"/>
      <c r="BZ1830" s="4"/>
      <c r="CA1830" s="4"/>
      <c r="CB1830" s="4"/>
      <c r="CC1830" s="4"/>
      <c r="CD1830" s="4"/>
      <c r="CE1830" s="4"/>
      <c r="CF1830" s="4"/>
      <c r="CG1830" s="4"/>
      <c r="CH1830" s="4"/>
      <c r="CI1830" s="4"/>
      <c r="CJ1830" s="4"/>
      <c r="CK1830" s="4"/>
      <c r="CL1830" s="4"/>
      <c r="CM1830" s="4"/>
      <c r="CN1830" s="4"/>
      <c r="CO1830" s="4"/>
      <c r="CP1830" s="4"/>
      <c r="CQ1830" s="4"/>
      <c r="CR1830" s="4"/>
      <c r="CS1830" s="4"/>
      <c r="CT1830" s="4"/>
      <c r="CU1830" s="4"/>
      <c r="CV1830" s="4"/>
      <c r="CW1830" s="4"/>
      <c r="CX1830" s="4"/>
      <c r="CY1830" s="4"/>
      <c r="CZ1830" s="4"/>
      <c r="DA1830" s="4"/>
      <c r="DB1830" s="4"/>
      <c r="DC1830" s="4"/>
      <c r="DD1830" s="4"/>
      <c r="DE1830" s="4"/>
      <c r="DF1830" s="4"/>
      <c r="DG1830" s="4"/>
      <c r="DH1830" s="4"/>
      <c r="DI1830" s="4"/>
      <c r="DJ1830" s="4"/>
      <c r="DK1830" s="4"/>
      <c r="DL1830" s="4"/>
      <c r="DM1830" s="4"/>
      <c r="DN1830" s="4"/>
      <c r="DO1830" s="4"/>
      <c r="DP1830" s="4"/>
      <c r="DQ1830" s="4"/>
      <c r="DR1830" s="4"/>
      <c r="DS1830" s="4"/>
    </row>
    <row r="1831">
      <c r="A1831" s="4"/>
      <c r="B1831" s="4"/>
      <c r="C1831" s="4"/>
      <c r="D1831" s="4"/>
      <c r="E1831" s="4"/>
      <c r="F1831" s="4" t="s">
        <v>17</v>
      </c>
      <c r="G1831" s="15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  <c r="AA1831" s="4"/>
      <c r="AB1831" s="4"/>
      <c r="AC1831" s="4"/>
      <c r="AD1831" s="4"/>
      <c r="AE1831" s="4"/>
      <c r="AF1831" s="4"/>
      <c r="AG1831" s="4"/>
      <c r="AH1831" s="4"/>
      <c r="AI1831" s="4"/>
      <c r="AJ1831" s="4"/>
      <c r="AK1831" s="4"/>
      <c r="AL1831" s="4"/>
      <c r="AM1831" s="4"/>
      <c r="AN1831" s="4"/>
      <c r="AO1831" s="4"/>
      <c r="AP1831" s="4"/>
      <c r="AQ1831" s="4"/>
      <c r="AR1831" s="4"/>
      <c r="AS1831" s="4"/>
      <c r="AT1831" s="4"/>
      <c r="AU1831" s="4"/>
      <c r="AV1831" s="4"/>
      <c r="AW1831" s="4"/>
      <c r="AX1831" s="4"/>
      <c r="AY1831" s="4"/>
      <c r="AZ1831" s="4"/>
      <c r="BA1831" s="4"/>
      <c r="BB1831" s="4"/>
      <c r="BC1831" s="4"/>
      <c r="BD1831" s="4"/>
      <c r="BE1831" s="4"/>
      <c r="BF1831" s="4"/>
      <c r="BG1831" s="4"/>
      <c r="BH1831" s="4"/>
      <c r="BI1831" s="4"/>
      <c r="BJ1831" s="4"/>
      <c r="BK1831" s="4"/>
      <c r="BL1831" s="4"/>
      <c r="BM1831" s="4"/>
      <c r="BN1831" s="4"/>
      <c r="BO1831" s="4"/>
      <c r="BP1831" s="4"/>
      <c r="BQ1831" s="4"/>
      <c r="BR1831" s="4"/>
      <c r="BS1831" s="4"/>
      <c r="BT1831" s="4"/>
      <c r="BU1831" s="4"/>
      <c r="BV1831" s="4"/>
      <c r="BW1831" s="4"/>
      <c r="BX1831" s="4"/>
      <c r="BY1831" s="4"/>
      <c r="BZ1831" s="4"/>
      <c r="CA1831" s="4"/>
      <c r="CB1831" s="4"/>
      <c r="CC1831" s="4"/>
      <c r="CD1831" s="4"/>
      <c r="CE1831" s="4"/>
      <c r="CF1831" s="4"/>
      <c r="CG1831" s="4"/>
      <c r="CH1831" s="4"/>
      <c r="CI1831" s="4"/>
      <c r="CJ1831" s="4"/>
      <c r="CK1831" s="4"/>
      <c r="CL1831" s="4"/>
      <c r="CM1831" s="4"/>
      <c r="CN1831" s="4"/>
      <c r="CO1831" s="4"/>
      <c r="CP1831" s="4"/>
      <c r="CQ1831" s="4"/>
      <c r="CR1831" s="4"/>
      <c r="CS1831" s="4"/>
      <c r="CT1831" s="4"/>
      <c r="CU1831" s="4"/>
      <c r="CV1831" s="4"/>
      <c r="CW1831" s="4"/>
      <c r="CX1831" s="4"/>
      <c r="CY1831" s="4"/>
      <c r="CZ1831" s="4"/>
      <c r="DA1831" s="4"/>
      <c r="DB1831" s="4"/>
      <c r="DC1831" s="4"/>
      <c r="DD1831" s="4"/>
      <c r="DE1831" s="4"/>
      <c r="DF1831" s="4"/>
      <c r="DG1831" s="4"/>
      <c r="DH1831" s="4"/>
      <c r="DI1831" s="4"/>
      <c r="DJ1831" s="4"/>
      <c r="DK1831" s="4"/>
      <c r="DL1831" s="4"/>
      <c r="DM1831" s="4"/>
      <c r="DN1831" s="4"/>
      <c r="DO1831" s="4"/>
      <c r="DP1831" s="4"/>
      <c r="DQ1831" s="4"/>
      <c r="DR1831" s="4"/>
      <c r="DS1831" s="4"/>
    </row>
    <row r="1832">
      <c r="A1832" s="4"/>
      <c r="B1832" s="4"/>
      <c r="C1832" s="4"/>
      <c r="D1832" s="4"/>
      <c r="E1832" s="4"/>
      <c r="F1832" s="4" t="s">
        <v>17</v>
      </c>
      <c r="G1832" s="15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  <c r="AA1832" s="4"/>
      <c r="AB1832" s="4"/>
      <c r="AC1832" s="4"/>
      <c r="AD1832" s="4"/>
      <c r="AE1832" s="4"/>
      <c r="AF1832" s="4"/>
      <c r="AG1832" s="4"/>
      <c r="AH1832" s="4"/>
      <c r="AI1832" s="4"/>
      <c r="AJ1832" s="4"/>
      <c r="AK1832" s="4"/>
      <c r="AL1832" s="4"/>
      <c r="AM1832" s="4"/>
      <c r="AN1832" s="4"/>
      <c r="AO1832" s="4"/>
      <c r="AP1832" s="4"/>
      <c r="AQ1832" s="4"/>
      <c r="AR1832" s="4"/>
      <c r="AS1832" s="4"/>
      <c r="AT1832" s="4"/>
      <c r="AU1832" s="4"/>
      <c r="AV1832" s="4"/>
      <c r="AW1832" s="4"/>
      <c r="AX1832" s="4"/>
      <c r="AY1832" s="4"/>
      <c r="AZ1832" s="4"/>
      <c r="BA1832" s="4"/>
      <c r="BB1832" s="4"/>
      <c r="BC1832" s="4"/>
      <c r="BD1832" s="4"/>
      <c r="BE1832" s="4"/>
      <c r="BF1832" s="4"/>
      <c r="BG1832" s="4"/>
      <c r="BH1832" s="4"/>
      <c r="BI1832" s="4"/>
      <c r="BJ1832" s="4"/>
      <c r="BK1832" s="4"/>
      <c r="BL1832" s="4"/>
      <c r="BM1832" s="4"/>
      <c r="BN1832" s="4"/>
      <c r="BO1832" s="4"/>
      <c r="BP1832" s="4"/>
      <c r="BQ1832" s="4"/>
      <c r="BR1832" s="4"/>
      <c r="BS1832" s="4"/>
      <c r="BT1832" s="4"/>
      <c r="BU1832" s="4"/>
      <c r="BV1832" s="4"/>
      <c r="BW1832" s="4"/>
      <c r="BX1832" s="4"/>
      <c r="BY1832" s="4"/>
      <c r="BZ1832" s="4"/>
      <c r="CA1832" s="4"/>
      <c r="CB1832" s="4"/>
      <c r="CC1832" s="4"/>
      <c r="CD1832" s="4"/>
      <c r="CE1832" s="4"/>
      <c r="CF1832" s="4"/>
      <c r="CG1832" s="4"/>
      <c r="CH1832" s="4"/>
      <c r="CI1832" s="4"/>
      <c r="CJ1832" s="4"/>
      <c r="CK1832" s="4"/>
      <c r="CL1832" s="4"/>
      <c r="CM1832" s="4"/>
      <c r="CN1832" s="4"/>
      <c r="CO1832" s="4"/>
      <c r="CP1832" s="4"/>
      <c r="CQ1832" s="4"/>
      <c r="CR1832" s="4"/>
      <c r="CS1832" s="4"/>
      <c r="CT1832" s="4"/>
      <c r="CU1832" s="4"/>
      <c r="CV1832" s="4"/>
      <c r="CW1832" s="4"/>
      <c r="CX1832" s="4"/>
      <c r="CY1832" s="4"/>
      <c r="CZ1832" s="4"/>
      <c r="DA1832" s="4"/>
      <c r="DB1832" s="4"/>
      <c r="DC1832" s="4"/>
      <c r="DD1832" s="4"/>
      <c r="DE1832" s="4"/>
      <c r="DF1832" s="4"/>
      <c r="DG1832" s="4"/>
      <c r="DH1832" s="4"/>
      <c r="DI1832" s="4"/>
      <c r="DJ1832" s="4"/>
      <c r="DK1832" s="4"/>
      <c r="DL1832" s="4"/>
      <c r="DM1832" s="4"/>
      <c r="DN1832" s="4"/>
      <c r="DO1832" s="4"/>
      <c r="DP1832" s="4"/>
      <c r="DQ1832" s="4"/>
      <c r="DR1832" s="4"/>
      <c r="DS1832" s="4"/>
    </row>
    <row r="1833">
      <c r="A1833" s="4"/>
      <c r="B1833" s="4"/>
      <c r="C1833" s="4"/>
      <c r="D1833" s="4"/>
      <c r="E1833" s="4"/>
      <c r="F1833" s="4" t="s">
        <v>17</v>
      </c>
      <c r="G1833" s="15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  <c r="AA1833" s="4"/>
      <c r="AB1833" s="4"/>
      <c r="AC1833" s="4"/>
      <c r="AD1833" s="4"/>
      <c r="AE1833" s="4"/>
      <c r="AF1833" s="4"/>
      <c r="AG1833" s="4"/>
      <c r="AH1833" s="4"/>
      <c r="AI1833" s="4"/>
      <c r="AJ1833" s="4"/>
      <c r="AK1833" s="4"/>
      <c r="AL1833" s="4"/>
      <c r="AM1833" s="4"/>
      <c r="AN1833" s="4"/>
      <c r="AO1833" s="4"/>
      <c r="AP1833" s="4"/>
      <c r="AQ1833" s="4"/>
      <c r="AR1833" s="4"/>
      <c r="AS1833" s="4"/>
      <c r="AT1833" s="4"/>
      <c r="AU1833" s="4"/>
      <c r="AV1833" s="4"/>
      <c r="AW1833" s="4"/>
      <c r="AX1833" s="4"/>
      <c r="AY1833" s="4"/>
      <c r="AZ1833" s="4"/>
      <c r="BA1833" s="4"/>
      <c r="BB1833" s="4"/>
      <c r="BC1833" s="4"/>
      <c r="BD1833" s="4"/>
      <c r="BE1833" s="4"/>
      <c r="BF1833" s="4"/>
      <c r="BG1833" s="4"/>
      <c r="BH1833" s="4"/>
      <c r="BI1833" s="4"/>
      <c r="BJ1833" s="4"/>
      <c r="BK1833" s="4"/>
      <c r="BL1833" s="4"/>
      <c r="BM1833" s="4"/>
      <c r="BN1833" s="4"/>
      <c r="BO1833" s="4"/>
      <c r="BP1833" s="4"/>
      <c r="BQ1833" s="4"/>
      <c r="BR1833" s="4"/>
      <c r="BS1833" s="4"/>
      <c r="BT1833" s="4"/>
      <c r="BU1833" s="4"/>
      <c r="BV1833" s="4"/>
      <c r="BW1833" s="4"/>
      <c r="BX1833" s="4"/>
      <c r="BY1833" s="4"/>
      <c r="BZ1833" s="4"/>
      <c r="CA1833" s="4"/>
      <c r="CB1833" s="4"/>
      <c r="CC1833" s="4"/>
      <c r="CD1833" s="4"/>
      <c r="CE1833" s="4"/>
      <c r="CF1833" s="4"/>
      <c r="CG1833" s="4"/>
      <c r="CH1833" s="4"/>
      <c r="CI1833" s="4"/>
      <c r="CJ1833" s="4"/>
      <c r="CK1833" s="4"/>
      <c r="CL1833" s="4"/>
      <c r="CM1833" s="4"/>
      <c r="CN1833" s="4"/>
      <c r="CO1833" s="4"/>
      <c r="CP1833" s="4"/>
      <c r="CQ1833" s="4"/>
      <c r="CR1833" s="4"/>
      <c r="CS1833" s="4"/>
      <c r="CT1833" s="4"/>
      <c r="CU1833" s="4"/>
      <c r="CV1833" s="4"/>
      <c r="CW1833" s="4"/>
      <c r="CX1833" s="4"/>
      <c r="CY1833" s="4"/>
      <c r="CZ1833" s="4"/>
      <c r="DA1833" s="4"/>
      <c r="DB1833" s="4"/>
      <c r="DC1833" s="4"/>
      <c r="DD1833" s="4"/>
      <c r="DE1833" s="4"/>
      <c r="DF1833" s="4"/>
      <c r="DG1833" s="4"/>
      <c r="DH1833" s="4"/>
      <c r="DI1833" s="4"/>
      <c r="DJ1833" s="4"/>
      <c r="DK1833" s="4"/>
      <c r="DL1833" s="4"/>
      <c r="DM1833" s="4"/>
      <c r="DN1833" s="4"/>
      <c r="DO1833" s="4"/>
      <c r="DP1833" s="4"/>
      <c r="DQ1833" s="4"/>
      <c r="DR1833" s="4"/>
      <c r="DS1833" s="4"/>
    </row>
    <row r="1834">
      <c r="A1834" s="4"/>
      <c r="B1834" s="4"/>
      <c r="C1834" s="4"/>
      <c r="D1834" s="4"/>
      <c r="E1834" s="4"/>
      <c r="F1834" s="4" t="s">
        <v>17</v>
      </c>
      <c r="G1834" s="15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  <c r="AA1834" s="4"/>
      <c r="AB1834" s="4"/>
      <c r="AC1834" s="4"/>
      <c r="AD1834" s="4"/>
      <c r="AE1834" s="4"/>
      <c r="AF1834" s="4"/>
      <c r="AG1834" s="4"/>
      <c r="AH1834" s="4"/>
      <c r="AI1834" s="4"/>
      <c r="AJ1834" s="4"/>
      <c r="AK1834" s="4"/>
      <c r="AL1834" s="4"/>
      <c r="AM1834" s="4"/>
      <c r="AN1834" s="4"/>
      <c r="AO1834" s="4"/>
      <c r="AP1834" s="4"/>
      <c r="AQ1834" s="4"/>
      <c r="AR1834" s="4"/>
      <c r="AS1834" s="4"/>
      <c r="AT1834" s="4"/>
      <c r="AU1834" s="4"/>
      <c r="AV1834" s="4"/>
      <c r="AW1834" s="4"/>
      <c r="AX1834" s="4"/>
      <c r="AY1834" s="4"/>
      <c r="AZ1834" s="4"/>
      <c r="BA1834" s="4"/>
      <c r="BB1834" s="4"/>
      <c r="BC1834" s="4"/>
      <c r="BD1834" s="4"/>
      <c r="BE1834" s="4"/>
      <c r="BF1834" s="4"/>
      <c r="BG1834" s="4"/>
      <c r="BH1834" s="4"/>
      <c r="BI1834" s="4"/>
      <c r="BJ1834" s="4"/>
      <c r="BK1834" s="4"/>
      <c r="BL1834" s="4"/>
      <c r="BM1834" s="4"/>
      <c r="BN1834" s="4"/>
      <c r="BO1834" s="4"/>
      <c r="BP1834" s="4"/>
      <c r="BQ1834" s="4"/>
      <c r="BR1834" s="4"/>
      <c r="BS1834" s="4"/>
      <c r="BT1834" s="4"/>
      <c r="BU1834" s="4"/>
      <c r="BV1834" s="4"/>
      <c r="BW1834" s="4"/>
      <c r="BX1834" s="4"/>
      <c r="BY1834" s="4"/>
      <c r="BZ1834" s="4"/>
      <c r="CA1834" s="4"/>
      <c r="CB1834" s="4"/>
      <c r="CC1834" s="4"/>
      <c r="CD1834" s="4"/>
      <c r="CE1834" s="4"/>
      <c r="CF1834" s="4"/>
      <c r="CG1834" s="4"/>
      <c r="CH1834" s="4"/>
      <c r="CI1834" s="4"/>
      <c r="CJ1834" s="4"/>
      <c r="CK1834" s="4"/>
      <c r="CL1834" s="4"/>
      <c r="CM1834" s="4"/>
      <c r="CN1834" s="4"/>
      <c r="CO1834" s="4"/>
      <c r="CP1834" s="4"/>
      <c r="CQ1834" s="4"/>
      <c r="CR1834" s="4"/>
      <c r="CS1834" s="4"/>
      <c r="CT1834" s="4"/>
      <c r="CU1834" s="4"/>
      <c r="CV1834" s="4"/>
      <c r="CW1834" s="4"/>
      <c r="CX1834" s="4"/>
      <c r="CY1834" s="4"/>
      <c r="CZ1834" s="4"/>
      <c r="DA1834" s="4"/>
      <c r="DB1834" s="4"/>
      <c r="DC1834" s="4"/>
      <c r="DD1834" s="4"/>
      <c r="DE1834" s="4"/>
      <c r="DF1834" s="4"/>
      <c r="DG1834" s="4"/>
      <c r="DH1834" s="4"/>
      <c r="DI1834" s="4"/>
      <c r="DJ1834" s="4"/>
      <c r="DK1834" s="4"/>
      <c r="DL1834" s="4"/>
      <c r="DM1834" s="4"/>
      <c r="DN1834" s="4"/>
      <c r="DO1834" s="4"/>
      <c r="DP1834" s="4"/>
      <c r="DQ1834" s="4"/>
      <c r="DR1834" s="4"/>
      <c r="DS1834" s="4"/>
    </row>
    <row r="1835">
      <c r="A1835" s="4"/>
      <c r="B1835" s="4"/>
      <c r="C1835" s="4"/>
      <c r="D1835" s="4"/>
      <c r="E1835" s="4"/>
      <c r="F1835" s="4" t="s">
        <v>17</v>
      </c>
      <c r="G1835" s="15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  <c r="AA1835" s="4"/>
      <c r="AB1835" s="4"/>
      <c r="AC1835" s="4"/>
      <c r="AD1835" s="4"/>
      <c r="AE1835" s="4"/>
      <c r="AF1835" s="4"/>
      <c r="AG1835" s="4"/>
      <c r="AH1835" s="4"/>
      <c r="AI1835" s="4"/>
      <c r="AJ1835" s="4"/>
      <c r="AK1835" s="4"/>
      <c r="AL1835" s="4"/>
      <c r="AM1835" s="4"/>
      <c r="AN1835" s="4"/>
      <c r="AO1835" s="4"/>
      <c r="AP1835" s="4"/>
      <c r="AQ1835" s="4"/>
      <c r="AR1835" s="4"/>
      <c r="AS1835" s="4"/>
      <c r="AT1835" s="4"/>
      <c r="AU1835" s="4"/>
      <c r="AV1835" s="4"/>
      <c r="AW1835" s="4"/>
      <c r="AX1835" s="4"/>
      <c r="AY1835" s="4"/>
      <c r="AZ1835" s="4"/>
      <c r="BA1835" s="4"/>
      <c r="BB1835" s="4"/>
      <c r="BC1835" s="4"/>
      <c r="BD1835" s="4"/>
      <c r="BE1835" s="4"/>
      <c r="BF1835" s="4"/>
      <c r="BG1835" s="4"/>
      <c r="BH1835" s="4"/>
      <c r="BI1835" s="4"/>
      <c r="BJ1835" s="4"/>
      <c r="BK1835" s="4"/>
      <c r="BL1835" s="4"/>
      <c r="BM1835" s="4"/>
      <c r="BN1835" s="4"/>
      <c r="BO1835" s="4"/>
      <c r="BP1835" s="4"/>
      <c r="BQ1835" s="4"/>
      <c r="BR1835" s="4"/>
      <c r="BS1835" s="4"/>
      <c r="BT1835" s="4"/>
      <c r="BU1835" s="4"/>
      <c r="BV1835" s="4"/>
      <c r="BW1835" s="4"/>
      <c r="BX1835" s="4"/>
      <c r="BY1835" s="4"/>
      <c r="BZ1835" s="4"/>
      <c r="CA1835" s="4"/>
      <c r="CB1835" s="4"/>
      <c r="CC1835" s="4"/>
      <c r="CD1835" s="4"/>
      <c r="CE1835" s="4"/>
      <c r="CF1835" s="4"/>
      <c r="CG1835" s="4"/>
      <c r="CH1835" s="4"/>
      <c r="CI1835" s="4"/>
      <c r="CJ1835" s="4"/>
      <c r="CK1835" s="4"/>
      <c r="CL1835" s="4"/>
      <c r="CM1835" s="4"/>
      <c r="CN1835" s="4"/>
      <c r="CO1835" s="4"/>
      <c r="CP1835" s="4"/>
      <c r="CQ1835" s="4"/>
      <c r="CR1835" s="4"/>
      <c r="CS1835" s="4"/>
      <c r="CT1835" s="4"/>
      <c r="CU1835" s="4"/>
      <c r="CV1835" s="4"/>
      <c r="CW1835" s="4"/>
      <c r="CX1835" s="4"/>
      <c r="CY1835" s="4"/>
      <c r="CZ1835" s="4"/>
      <c r="DA1835" s="4"/>
      <c r="DB1835" s="4"/>
      <c r="DC1835" s="4"/>
      <c r="DD1835" s="4"/>
      <c r="DE1835" s="4"/>
      <c r="DF1835" s="4"/>
      <c r="DG1835" s="4"/>
      <c r="DH1835" s="4"/>
      <c r="DI1835" s="4"/>
      <c r="DJ1835" s="4"/>
      <c r="DK1835" s="4"/>
      <c r="DL1835" s="4"/>
      <c r="DM1835" s="4"/>
      <c r="DN1835" s="4"/>
      <c r="DO1835" s="4"/>
      <c r="DP1835" s="4"/>
      <c r="DQ1835" s="4"/>
      <c r="DR1835" s="4"/>
      <c r="DS1835" s="4"/>
    </row>
    <row r="1836">
      <c r="A1836" s="4"/>
      <c r="B1836" s="4"/>
      <c r="C1836" s="4"/>
      <c r="D1836" s="4"/>
      <c r="E1836" s="4"/>
      <c r="F1836" s="4" t="s">
        <v>17</v>
      </c>
      <c r="G1836" s="15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  <c r="AA1836" s="4"/>
      <c r="AB1836" s="4"/>
      <c r="AC1836" s="4"/>
      <c r="AD1836" s="4"/>
      <c r="AE1836" s="4"/>
      <c r="AF1836" s="4"/>
      <c r="AG1836" s="4"/>
      <c r="AH1836" s="4"/>
      <c r="AI1836" s="4"/>
      <c r="AJ1836" s="4"/>
      <c r="AK1836" s="4"/>
      <c r="AL1836" s="4"/>
      <c r="AM1836" s="4"/>
      <c r="AN1836" s="4"/>
      <c r="AO1836" s="4"/>
      <c r="AP1836" s="4"/>
      <c r="AQ1836" s="4"/>
      <c r="AR1836" s="4"/>
      <c r="AS1836" s="4"/>
      <c r="AT1836" s="4"/>
      <c r="AU1836" s="4"/>
      <c r="AV1836" s="4"/>
      <c r="AW1836" s="4"/>
      <c r="AX1836" s="4"/>
      <c r="AY1836" s="4"/>
      <c r="AZ1836" s="4"/>
      <c r="BA1836" s="4"/>
      <c r="BB1836" s="4"/>
      <c r="BC1836" s="4"/>
      <c r="BD1836" s="4"/>
      <c r="BE1836" s="4"/>
      <c r="BF1836" s="4"/>
      <c r="BG1836" s="4"/>
      <c r="BH1836" s="4"/>
      <c r="BI1836" s="4"/>
      <c r="BJ1836" s="4"/>
      <c r="BK1836" s="4"/>
      <c r="BL1836" s="4"/>
      <c r="BM1836" s="4"/>
      <c r="BN1836" s="4"/>
      <c r="BO1836" s="4"/>
      <c r="BP1836" s="4"/>
      <c r="BQ1836" s="4"/>
      <c r="BR1836" s="4"/>
      <c r="BS1836" s="4"/>
      <c r="BT1836" s="4"/>
      <c r="BU1836" s="4"/>
      <c r="BV1836" s="4"/>
      <c r="BW1836" s="4"/>
      <c r="BX1836" s="4"/>
      <c r="BY1836" s="4"/>
      <c r="BZ1836" s="4"/>
      <c r="CA1836" s="4"/>
      <c r="CB1836" s="4"/>
      <c r="CC1836" s="4"/>
      <c r="CD1836" s="4"/>
      <c r="CE1836" s="4"/>
      <c r="CF1836" s="4"/>
      <c r="CG1836" s="4"/>
      <c r="CH1836" s="4"/>
      <c r="CI1836" s="4"/>
      <c r="CJ1836" s="4"/>
      <c r="CK1836" s="4"/>
      <c r="CL1836" s="4"/>
      <c r="CM1836" s="4"/>
      <c r="CN1836" s="4"/>
      <c r="CO1836" s="4"/>
      <c r="CP1836" s="4"/>
      <c r="CQ1836" s="4"/>
      <c r="CR1836" s="4"/>
      <c r="CS1836" s="4"/>
      <c r="CT1836" s="4"/>
      <c r="CU1836" s="4"/>
      <c r="CV1836" s="4"/>
      <c r="CW1836" s="4"/>
      <c r="CX1836" s="4"/>
      <c r="CY1836" s="4"/>
      <c r="CZ1836" s="4"/>
      <c r="DA1836" s="4"/>
      <c r="DB1836" s="4"/>
      <c r="DC1836" s="4"/>
      <c r="DD1836" s="4"/>
      <c r="DE1836" s="4"/>
      <c r="DF1836" s="4"/>
      <c r="DG1836" s="4"/>
      <c r="DH1836" s="4"/>
      <c r="DI1836" s="4"/>
      <c r="DJ1836" s="4"/>
      <c r="DK1836" s="4"/>
      <c r="DL1836" s="4"/>
      <c r="DM1836" s="4"/>
      <c r="DN1836" s="4"/>
      <c r="DO1836" s="4"/>
      <c r="DP1836" s="4"/>
      <c r="DQ1836" s="4"/>
      <c r="DR1836" s="4"/>
      <c r="DS1836" s="4"/>
    </row>
    <row r="1837">
      <c r="A1837" s="4"/>
      <c r="B1837" s="4"/>
      <c r="C1837" s="4"/>
      <c r="D1837" s="4"/>
      <c r="E1837" s="4"/>
      <c r="F1837" s="4" t="s">
        <v>17</v>
      </c>
      <c r="G1837" s="15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  <c r="AA1837" s="4"/>
      <c r="AB1837" s="4"/>
      <c r="AC1837" s="4"/>
      <c r="AD1837" s="4"/>
      <c r="AE1837" s="4"/>
      <c r="AF1837" s="4"/>
      <c r="AG1837" s="4"/>
      <c r="AH1837" s="4"/>
      <c r="AI1837" s="4"/>
      <c r="AJ1837" s="4"/>
      <c r="AK1837" s="4"/>
      <c r="AL1837" s="4"/>
      <c r="AM1837" s="4"/>
      <c r="AN1837" s="4"/>
      <c r="AO1837" s="4"/>
      <c r="AP1837" s="4"/>
      <c r="AQ1837" s="4"/>
      <c r="AR1837" s="4"/>
      <c r="AS1837" s="4"/>
      <c r="AT1837" s="4"/>
      <c r="AU1837" s="4"/>
      <c r="AV1837" s="4"/>
      <c r="AW1837" s="4"/>
      <c r="AX1837" s="4"/>
      <c r="AY1837" s="4"/>
      <c r="AZ1837" s="4"/>
      <c r="BA1837" s="4"/>
      <c r="BB1837" s="4"/>
      <c r="BC1837" s="4"/>
      <c r="BD1837" s="4"/>
      <c r="BE1837" s="4"/>
      <c r="BF1837" s="4"/>
      <c r="BG1837" s="4"/>
      <c r="BH1837" s="4"/>
      <c r="BI1837" s="4"/>
      <c r="BJ1837" s="4"/>
      <c r="BK1837" s="4"/>
      <c r="BL1837" s="4"/>
      <c r="BM1837" s="4"/>
      <c r="BN1837" s="4"/>
      <c r="BO1837" s="4"/>
      <c r="BP1837" s="4"/>
      <c r="BQ1837" s="4"/>
      <c r="BR1837" s="4"/>
      <c r="BS1837" s="4"/>
      <c r="BT1837" s="4"/>
      <c r="BU1837" s="4"/>
      <c r="BV1837" s="4"/>
      <c r="BW1837" s="4"/>
      <c r="BX1837" s="4"/>
      <c r="BY1837" s="4"/>
      <c r="BZ1837" s="4"/>
      <c r="CA1837" s="4"/>
      <c r="CB1837" s="4"/>
      <c r="CC1837" s="4"/>
      <c r="CD1837" s="4"/>
      <c r="CE1837" s="4"/>
      <c r="CF1837" s="4"/>
      <c r="CG1837" s="4"/>
      <c r="CH1837" s="4"/>
      <c r="CI1837" s="4"/>
      <c r="CJ1837" s="4"/>
      <c r="CK1837" s="4"/>
      <c r="CL1837" s="4"/>
      <c r="CM1837" s="4"/>
      <c r="CN1837" s="4"/>
      <c r="CO1837" s="4"/>
      <c r="CP1837" s="4"/>
      <c r="CQ1837" s="4"/>
      <c r="CR1837" s="4"/>
      <c r="CS1837" s="4"/>
      <c r="CT1837" s="4"/>
      <c r="CU1837" s="4"/>
      <c r="CV1837" s="4"/>
      <c r="CW1837" s="4"/>
      <c r="CX1837" s="4"/>
      <c r="CY1837" s="4"/>
      <c r="CZ1837" s="4"/>
      <c r="DA1837" s="4"/>
      <c r="DB1837" s="4"/>
      <c r="DC1837" s="4"/>
      <c r="DD1837" s="4"/>
      <c r="DE1837" s="4"/>
      <c r="DF1837" s="4"/>
      <c r="DG1837" s="4"/>
      <c r="DH1837" s="4"/>
      <c r="DI1837" s="4"/>
      <c r="DJ1837" s="4"/>
      <c r="DK1837" s="4"/>
      <c r="DL1837" s="4"/>
      <c r="DM1837" s="4"/>
      <c r="DN1837" s="4"/>
      <c r="DO1837" s="4"/>
      <c r="DP1837" s="4"/>
      <c r="DQ1837" s="4"/>
      <c r="DR1837" s="4"/>
      <c r="DS1837" s="4"/>
    </row>
    <row r="1838">
      <c r="A1838" s="4"/>
      <c r="B1838" s="4"/>
      <c r="C1838" s="4"/>
      <c r="D1838" s="4"/>
      <c r="E1838" s="4"/>
      <c r="F1838" s="4" t="s">
        <v>17</v>
      </c>
      <c r="G1838" s="15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  <c r="AA1838" s="4"/>
      <c r="AB1838" s="4"/>
      <c r="AC1838" s="4"/>
      <c r="AD1838" s="4"/>
      <c r="AE1838" s="4"/>
      <c r="AF1838" s="4"/>
      <c r="AG1838" s="4"/>
      <c r="AH1838" s="4"/>
      <c r="AI1838" s="4"/>
      <c r="AJ1838" s="4"/>
      <c r="AK1838" s="4"/>
      <c r="AL1838" s="4"/>
      <c r="AM1838" s="4"/>
      <c r="AN1838" s="4"/>
      <c r="AO1838" s="4"/>
      <c r="AP1838" s="4"/>
      <c r="AQ1838" s="4"/>
      <c r="AR1838" s="4"/>
      <c r="AS1838" s="4"/>
      <c r="AT1838" s="4"/>
      <c r="AU1838" s="4"/>
      <c r="AV1838" s="4"/>
      <c r="AW1838" s="4"/>
      <c r="AX1838" s="4"/>
      <c r="AY1838" s="4"/>
      <c r="AZ1838" s="4"/>
      <c r="BA1838" s="4"/>
      <c r="BB1838" s="4"/>
      <c r="BC1838" s="4"/>
      <c r="BD1838" s="4"/>
      <c r="BE1838" s="4"/>
      <c r="BF1838" s="4"/>
      <c r="BG1838" s="4"/>
      <c r="BH1838" s="4"/>
      <c r="BI1838" s="4"/>
      <c r="BJ1838" s="4"/>
      <c r="BK1838" s="4"/>
      <c r="BL1838" s="4"/>
      <c r="BM1838" s="4"/>
      <c r="BN1838" s="4"/>
      <c r="BO1838" s="4"/>
      <c r="BP1838" s="4"/>
      <c r="BQ1838" s="4"/>
      <c r="BR1838" s="4"/>
      <c r="BS1838" s="4"/>
      <c r="BT1838" s="4"/>
      <c r="BU1838" s="4"/>
      <c r="BV1838" s="4"/>
      <c r="BW1838" s="4"/>
      <c r="BX1838" s="4"/>
      <c r="BY1838" s="4"/>
      <c r="BZ1838" s="4"/>
      <c r="CA1838" s="4"/>
      <c r="CB1838" s="4"/>
      <c r="CC1838" s="4"/>
      <c r="CD1838" s="4"/>
      <c r="CE1838" s="4"/>
      <c r="CF1838" s="4"/>
      <c r="CG1838" s="4"/>
      <c r="CH1838" s="4"/>
      <c r="CI1838" s="4"/>
      <c r="CJ1838" s="4"/>
      <c r="CK1838" s="4"/>
      <c r="CL1838" s="4"/>
      <c r="CM1838" s="4"/>
      <c r="CN1838" s="4"/>
      <c r="CO1838" s="4"/>
      <c r="CP1838" s="4"/>
      <c r="CQ1838" s="4"/>
      <c r="CR1838" s="4"/>
      <c r="CS1838" s="4"/>
      <c r="CT1838" s="4"/>
      <c r="CU1838" s="4"/>
      <c r="CV1838" s="4"/>
      <c r="CW1838" s="4"/>
      <c r="CX1838" s="4"/>
      <c r="CY1838" s="4"/>
      <c r="CZ1838" s="4"/>
      <c r="DA1838" s="4"/>
      <c r="DB1838" s="4"/>
      <c r="DC1838" s="4"/>
      <c r="DD1838" s="4"/>
      <c r="DE1838" s="4"/>
      <c r="DF1838" s="4"/>
      <c r="DG1838" s="4"/>
      <c r="DH1838" s="4"/>
      <c r="DI1838" s="4"/>
      <c r="DJ1838" s="4"/>
      <c r="DK1838" s="4"/>
      <c r="DL1838" s="4"/>
      <c r="DM1838" s="4"/>
      <c r="DN1838" s="4"/>
      <c r="DO1838" s="4"/>
      <c r="DP1838" s="4"/>
      <c r="DQ1838" s="4"/>
      <c r="DR1838" s="4"/>
      <c r="DS1838" s="4"/>
    </row>
    <row r="1839">
      <c r="A1839" s="4"/>
      <c r="B1839" s="4"/>
      <c r="C1839" s="4"/>
      <c r="D1839" s="4"/>
      <c r="E1839" s="4"/>
      <c r="F1839" s="4" t="s">
        <v>17</v>
      </c>
      <c r="G1839" s="15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  <c r="AA1839" s="4"/>
      <c r="AB1839" s="4"/>
      <c r="AC1839" s="4"/>
      <c r="AD1839" s="4"/>
      <c r="AE1839" s="4"/>
      <c r="AF1839" s="4"/>
      <c r="AG1839" s="4"/>
      <c r="AH1839" s="4"/>
      <c r="AI1839" s="4"/>
      <c r="AJ1839" s="4"/>
      <c r="AK1839" s="4"/>
      <c r="AL1839" s="4"/>
      <c r="AM1839" s="4"/>
      <c r="AN1839" s="4"/>
      <c r="AO1839" s="4"/>
      <c r="AP1839" s="4"/>
      <c r="AQ1839" s="4"/>
      <c r="AR1839" s="4"/>
      <c r="AS1839" s="4"/>
      <c r="AT1839" s="4"/>
      <c r="AU1839" s="4"/>
      <c r="AV1839" s="4"/>
      <c r="AW1839" s="4"/>
      <c r="AX1839" s="4"/>
      <c r="AY1839" s="4"/>
      <c r="AZ1839" s="4"/>
      <c r="BA1839" s="4"/>
      <c r="BB1839" s="4"/>
      <c r="BC1839" s="4"/>
      <c r="BD1839" s="4"/>
      <c r="BE1839" s="4"/>
      <c r="BF1839" s="4"/>
      <c r="BG1839" s="4"/>
      <c r="BH1839" s="4"/>
      <c r="BI1839" s="4"/>
      <c r="BJ1839" s="4"/>
      <c r="BK1839" s="4"/>
      <c r="BL1839" s="4"/>
      <c r="BM1839" s="4"/>
      <c r="BN1839" s="4"/>
      <c r="BO1839" s="4"/>
      <c r="BP1839" s="4"/>
      <c r="BQ1839" s="4"/>
      <c r="BR1839" s="4"/>
      <c r="BS1839" s="4"/>
      <c r="BT1839" s="4"/>
      <c r="BU1839" s="4"/>
      <c r="BV1839" s="4"/>
      <c r="BW1839" s="4"/>
      <c r="BX1839" s="4"/>
      <c r="BY1839" s="4"/>
      <c r="BZ1839" s="4"/>
      <c r="CA1839" s="4"/>
      <c r="CB1839" s="4"/>
      <c r="CC1839" s="4"/>
      <c r="CD1839" s="4"/>
      <c r="CE1839" s="4"/>
      <c r="CF1839" s="4"/>
      <c r="CG1839" s="4"/>
      <c r="CH1839" s="4"/>
      <c r="CI1839" s="4"/>
      <c r="CJ1839" s="4"/>
      <c r="CK1839" s="4"/>
      <c r="CL1839" s="4"/>
      <c r="CM1839" s="4"/>
      <c r="CN1839" s="4"/>
      <c r="CO1839" s="4"/>
      <c r="CP1839" s="4"/>
      <c r="CQ1839" s="4"/>
      <c r="CR1839" s="4"/>
      <c r="CS1839" s="4"/>
      <c r="CT1839" s="4"/>
      <c r="CU1839" s="4"/>
      <c r="CV1839" s="4"/>
      <c r="CW1839" s="4"/>
      <c r="CX1839" s="4"/>
      <c r="CY1839" s="4"/>
      <c r="CZ1839" s="4"/>
      <c r="DA1839" s="4"/>
      <c r="DB1839" s="4"/>
      <c r="DC1839" s="4"/>
      <c r="DD1839" s="4"/>
      <c r="DE1839" s="4"/>
      <c r="DF1839" s="4"/>
      <c r="DG1839" s="4"/>
      <c r="DH1839" s="4"/>
      <c r="DI1839" s="4"/>
      <c r="DJ1839" s="4"/>
      <c r="DK1839" s="4"/>
      <c r="DL1839" s="4"/>
      <c r="DM1839" s="4"/>
      <c r="DN1839" s="4"/>
      <c r="DO1839" s="4"/>
      <c r="DP1839" s="4"/>
      <c r="DQ1839" s="4"/>
      <c r="DR1839" s="4"/>
      <c r="DS1839" s="4"/>
    </row>
    <row r="1840">
      <c r="A1840" s="4"/>
      <c r="B1840" s="4"/>
      <c r="C1840" s="4"/>
      <c r="D1840" s="4"/>
      <c r="E1840" s="4"/>
      <c r="F1840" s="4" t="s">
        <v>17</v>
      </c>
      <c r="G1840" s="15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  <c r="AA1840" s="4"/>
      <c r="AB1840" s="4"/>
      <c r="AC1840" s="4"/>
      <c r="AD1840" s="4"/>
      <c r="AE1840" s="4"/>
      <c r="AF1840" s="4"/>
      <c r="AG1840" s="4"/>
      <c r="AH1840" s="4"/>
      <c r="AI1840" s="4"/>
      <c r="AJ1840" s="4"/>
      <c r="AK1840" s="4"/>
      <c r="AL1840" s="4"/>
      <c r="AM1840" s="4"/>
      <c r="AN1840" s="4"/>
      <c r="AO1840" s="4"/>
      <c r="AP1840" s="4"/>
      <c r="AQ1840" s="4"/>
      <c r="AR1840" s="4"/>
      <c r="AS1840" s="4"/>
      <c r="AT1840" s="4"/>
      <c r="AU1840" s="4"/>
      <c r="AV1840" s="4"/>
      <c r="AW1840" s="4"/>
      <c r="AX1840" s="4"/>
      <c r="AY1840" s="4"/>
      <c r="AZ1840" s="4"/>
      <c r="BA1840" s="4"/>
      <c r="BB1840" s="4"/>
      <c r="BC1840" s="4"/>
      <c r="BD1840" s="4"/>
      <c r="BE1840" s="4"/>
      <c r="BF1840" s="4"/>
      <c r="BG1840" s="4"/>
      <c r="BH1840" s="4"/>
      <c r="BI1840" s="4"/>
      <c r="BJ1840" s="4"/>
      <c r="BK1840" s="4"/>
      <c r="BL1840" s="4"/>
      <c r="BM1840" s="4"/>
      <c r="BN1840" s="4"/>
      <c r="BO1840" s="4"/>
      <c r="BP1840" s="4"/>
      <c r="BQ1840" s="4"/>
      <c r="BR1840" s="4"/>
      <c r="BS1840" s="4"/>
      <c r="BT1840" s="4"/>
      <c r="BU1840" s="4"/>
      <c r="BV1840" s="4"/>
      <c r="BW1840" s="4"/>
      <c r="BX1840" s="4"/>
      <c r="BY1840" s="4"/>
      <c r="BZ1840" s="4"/>
      <c r="CA1840" s="4"/>
      <c r="CB1840" s="4"/>
      <c r="CC1840" s="4"/>
      <c r="CD1840" s="4"/>
      <c r="CE1840" s="4"/>
      <c r="CF1840" s="4"/>
      <c r="CG1840" s="4"/>
      <c r="CH1840" s="4"/>
      <c r="CI1840" s="4"/>
      <c r="CJ1840" s="4"/>
      <c r="CK1840" s="4"/>
      <c r="CL1840" s="4"/>
      <c r="CM1840" s="4"/>
      <c r="CN1840" s="4"/>
      <c r="CO1840" s="4"/>
      <c r="CP1840" s="4"/>
      <c r="CQ1840" s="4"/>
      <c r="CR1840" s="4"/>
      <c r="CS1840" s="4"/>
      <c r="CT1840" s="4"/>
      <c r="CU1840" s="4"/>
      <c r="CV1840" s="4"/>
      <c r="CW1840" s="4"/>
      <c r="CX1840" s="4"/>
      <c r="CY1840" s="4"/>
      <c r="CZ1840" s="4"/>
      <c r="DA1840" s="4"/>
      <c r="DB1840" s="4"/>
      <c r="DC1840" s="4"/>
      <c r="DD1840" s="4"/>
      <c r="DE1840" s="4"/>
      <c r="DF1840" s="4"/>
      <c r="DG1840" s="4"/>
      <c r="DH1840" s="4"/>
      <c r="DI1840" s="4"/>
      <c r="DJ1840" s="4"/>
      <c r="DK1840" s="4"/>
      <c r="DL1840" s="4"/>
      <c r="DM1840" s="4"/>
      <c r="DN1840" s="4"/>
      <c r="DO1840" s="4"/>
      <c r="DP1840" s="4"/>
      <c r="DQ1840" s="4"/>
      <c r="DR1840" s="4"/>
      <c r="DS1840" s="4"/>
    </row>
    <row r="1841">
      <c r="A1841" s="4"/>
      <c r="B1841" s="4"/>
      <c r="C1841" s="4"/>
      <c r="D1841" s="4"/>
      <c r="E1841" s="4"/>
      <c r="F1841" s="4" t="s">
        <v>17</v>
      </c>
      <c r="G1841" s="15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  <c r="AA1841" s="4"/>
      <c r="AB1841" s="4"/>
      <c r="AC1841" s="4"/>
      <c r="AD1841" s="4"/>
      <c r="AE1841" s="4"/>
      <c r="AF1841" s="4"/>
      <c r="AG1841" s="4"/>
      <c r="AH1841" s="4"/>
      <c r="AI1841" s="4"/>
      <c r="AJ1841" s="4"/>
      <c r="AK1841" s="4"/>
      <c r="AL1841" s="4"/>
      <c r="AM1841" s="4"/>
      <c r="AN1841" s="4"/>
      <c r="AO1841" s="4"/>
      <c r="AP1841" s="4"/>
      <c r="AQ1841" s="4"/>
      <c r="AR1841" s="4"/>
      <c r="AS1841" s="4"/>
      <c r="AT1841" s="4"/>
      <c r="AU1841" s="4"/>
      <c r="AV1841" s="4"/>
      <c r="AW1841" s="4"/>
      <c r="AX1841" s="4"/>
      <c r="AY1841" s="4"/>
      <c r="AZ1841" s="4"/>
      <c r="BA1841" s="4"/>
      <c r="BB1841" s="4"/>
      <c r="BC1841" s="4"/>
      <c r="BD1841" s="4"/>
      <c r="BE1841" s="4"/>
      <c r="BF1841" s="4"/>
      <c r="BG1841" s="4"/>
      <c r="BH1841" s="4"/>
      <c r="BI1841" s="4"/>
      <c r="BJ1841" s="4"/>
      <c r="BK1841" s="4"/>
      <c r="BL1841" s="4"/>
      <c r="BM1841" s="4"/>
      <c r="BN1841" s="4"/>
      <c r="BO1841" s="4"/>
      <c r="BP1841" s="4"/>
      <c r="BQ1841" s="4"/>
      <c r="BR1841" s="4"/>
      <c r="BS1841" s="4"/>
      <c r="BT1841" s="4"/>
      <c r="BU1841" s="4"/>
      <c r="BV1841" s="4"/>
      <c r="BW1841" s="4"/>
      <c r="BX1841" s="4"/>
      <c r="BY1841" s="4"/>
      <c r="BZ1841" s="4"/>
      <c r="CA1841" s="4"/>
      <c r="CB1841" s="4"/>
      <c r="CC1841" s="4"/>
      <c r="CD1841" s="4"/>
      <c r="CE1841" s="4"/>
      <c r="CF1841" s="4"/>
      <c r="CG1841" s="4"/>
      <c r="CH1841" s="4"/>
      <c r="CI1841" s="4"/>
      <c r="CJ1841" s="4"/>
      <c r="CK1841" s="4"/>
      <c r="CL1841" s="4"/>
      <c r="CM1841" s="4"/>
      <c r="CN1841" s="4"/>
      <c r="CO1841" s="4"/>
      <c r="CP1841" s="4"/>
      <c r="CQ1841" s="4"/>
      <c r="CR1841" s="4"/>
      <c r="CS1841" s="4"/>
      <c r="CT1841" s="4"/>
      <c r="CU1841" s="4"/>
      <c r="CV1841" s="4"/>
      <c r="CW1841" s="4"/>
      <c r="CX1841" s="4"/>
      <c r="CY1841" s="4"/>
      <c r="CZ1841" s="4"/>
      <c r="DA1841" s="4"/>
      <c r="DB1841" s="4"/>
      <c r="DC1841" s="4"/>
      <c r="DD1841" s="4"/>
      <c r="DE1841" s="4"/>
      <c r="DF1841" s="4"/>
      <c r="DG1841" s="4"/>
      <c r="DH1841" s="4"/>
      <c r="DI1841" s="4"/>
      <c r="DJ1841" s="4"/>
      <c r="DK1841" s="4"/>
      <c r="DL1841" s="4"/>
      <c r="DM1841" s="4"/>
      <c r="DN1841" s="4"/>
      <c r="DO1841" s="4"/>
      <c r="DP1841" s="4"/>
      <c r="DQ1841" s="4"/>
      <c r="DR1841" s="4"/>
      <c r="DS1841" s="4"/>
    </row>
    <row r="1842">
      <c r="A1842" s="4"/>
      <c r="B1842" s="4"/>
      <c r="C1842" s="4"/>
      <c r="D1842" s="4"/>
      <c r="E1842" s="4"/>
      <c r="F1842" s="4" t="s">
        <v>17</v>
      </c>
      <c r="G1842" s="15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  <c r="AA1842" s="4"/>
      <c r="AB1842" s="4"/>
      <c r="AC1842" s="4"/>
      <c r="AD1842" s="4"/>
      <c r="AE1842" s="4"/>
      <c r="AF1842" s="4"/>
      <c r="AG1842" s="4"/>
      <c r="AH1842" s="4"/>
      <c r="AI1842" s="4"/>
      <c r="AJ1842" s="4"/>
      <c r="AK1842" s="4"/>
      <c r="AL1842" s="4"/>
      <c r="AM1842" s="4"/>
      <c r="AN1842" s="4"/>
      <c r="AO1842" s="4"/>
      <c r="AP1842" s="4"/>
      <c r="AQ1842" s="4"/>
      <c r="AR1842" s="4"/>
      <c r="AS1842" s="4"/>
      <c r="AT1842" s="4"/>
      <c r="AU1842" s="4"/>
      <c r="AV1842" s="4"/>
      <c r="AW1842" s="4"/>
      <c r="AX1842" s="4"/>
      <c r="AY1842" s="4"/>
      <c r="AZ1842" s="4"/>
      <c r="BA1842" s="4"/>
      <c r="BB1842" s="4"/>
      <c r="BC1842" s="4"/>
      <c r="BD1842" s="4"/>
      <c r="BE1842" s="4"/>
      <c r="BF1842" s="4"/>
      <c r="BG1842" s="4"/>
      <c r="BH1842" s="4"/>
      <c r="BI1842" s="4"/>
      <c r="BJ1842" s="4"/>
      <c r="BK1842" s="4"/>
      <c r="BL1842" s="4"/>
      <c r="BM1842" s="4"/>
      <c r="BN1842" s="4"/>
      <c r="BO1842" s="4"/>
      <c r="BP1842" s="4"/>
      <c r="BQ1842" s="4"/>
      <c r="BR1842" s="4"/>
      <c r="BS1842" s="4"/>
      <c r="BT1842" s="4"/>
      <c r="BU1842" s="4"/>
      <c r="BV1842" s="4"/>
      <c r="BW1842" s="4"/>
      <c r="BX1842" s="4"/>
      <c r="BY1842" s="4"/>
      <c r="BZ1842" s="4"/>
      <c r="CA1842" s="4"/>
      <c r="CB1842" s="4"/>
      <c r="CC1842" s="4"/>
      <c r="CD1842" s="4"/>
      <c r="CE1842" s="4"/>
      <c r="CF1842" s="4"/>
      <c r="CG1842" s="4"/>
      <c r="CH1842" s="4"/>
      <c r="CI1842" s="4"/>
      <c r="CJ1842" s="4"/>
      <c r="CK1842" s="4"/>
      <c r="CL1842" s="4"/>
      <c r="CM1842" s="4"/>
      <c r="CN1842" s="4"/>
      <c r="CO1842" s="4"/>
      <c r="CP1842" s="4"/>
      <c r="CQ1842" s="4"/>
      <c r="CR1842" s="4"/>
      <c r="CS1842" s="4"/>
      <c r="CT1842" s="4"/>
      <c r="CU1842" s="4"/>
      <c r="CV1842" s="4"/>
      <c r="CW1842" s="4"/>
      <c r="CX1842" s="4"/>
      <c r="CY1842" s="4"/>
      <c r="CZ1842" s="4"/>
      <c r="DA1842" s="4"/>
      <c r="DB1842" s="4"/>
      <c r="DC1842" s="4"/>
      <c r="DD1842" s="4"/>
      <c r="DE1842" s="4"/>
      <c r="DF1842" s="4"/>
      <c r="DG1842" s="4"/>
      <c r="DH1842" s="4"/>
      <c r="DI1842" s="4"/>
      <c r="DJ1842" s="4"/>
      <c r="DK1842" s="4"/>
      <c r="DL1842" s="4"/>
      <c r="DM1842" s="4"/>
      <c r="DN1842" s="4"/>
      <c r="DO1842" s="4"/>
      <c r="DP1842" s="4"/>
      <c r="DQ1842" s="4"/>
      <c r="DR1842" s="4"/>
      <c r="DS1842" s="4"/>
    </row>
    <row r="1843">
      <c r="A1843" s="4"/>
      <c r="B1843" s="4"/>
      <c r="C1843" s="4"/>
      <c r="D1843" s="4"/>
      <c r="E1843" s="4"/>
      <c r="F1843" s="4" t="s">
        <v>17</v>
      </c>
      <c r="G1843" s="15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  <c r="AA1843" s="4"/>
      <c r="AB1843" s="4"/>
      <c r="AC1843" s="4"/>
      <c r="AD1843" s="4"/>
      <c r="AE1843" s="4"/>
      <c r="AF1843" s="4"/>
      <c r="AG1843" s="4"/>
      <c r="AH1843" s="4"/>
      <c r="AI1843" s="4"/>
      <c r="AJ1843" s="4"/>
      <c r="AK1843" s="4"/>
      <c r="AL1843" s="4"/>
      <c r="AM1843" s="4"/>
      <c r="AN1843" s="4"/>
      <c r="AO1843" s="4"/>
      <c r="AP1843" s="4"/>
      <c r="AQ1843" s="4"/>
      <c r="AR1843" s="4"/>
      <c r="AS1843" s="4"/>
      <c r="AT1843" s="4"/>
      <c r="AU1843" s="4"/>
      <c r="AV1843" s="4"/>
      <c r="AW1843" s="4"/>
      <c r="AX1843" s="4"/>
      <c r="AY1843" s="4"/>
      <c r="AZ1843" s="4"/>
      <c r="BA1843" s="4"/>
      <c r="BB1843" s="4"/>
      <c r="BC1843" s="4"/>
      <c r="BD1843" s="4"/>
      <c r="BE1843" s="4"/>
      <c r="BF1843" s="4"/>
      <c r="BG1843" s="4"/>
      <c r="BH1843" s="4"/>
      <c r="BI1843" s="4"/>
      <c r="BJ1843" s="4"/>
      <c r="BK1843" s="4"/>
      <c r="BL1843" s="4"/>
      <c r="BM1843" s="4"/>
      <c r="BN1843" s="4"/>
      <c r="BO1843" s="4"/>
      <c r="BP1843" s="4"/>
      <c r="BQ1843" s="4"/>
      <c r="BR1843" s="4"/>
      <c r="BS1843" s="4"/>
      <c r="BT1843" s="4"/>
      <c r="BU1843" s="4"/>
      <c r="BV1843" s="4"/>
      <c r="BW1843" s="4"/>
      <c r="BX1843" s="4"/>
      <c r="BY1843" s="4"/>
      <c r="BZ1843" s="4"/>
      <c r="CA1843" s="4"/>
      <c r="CB1843" s="4"/>
      <c r="CC1843" s="4"/>
      <c r="CD1843" s="4"/>
      <c r="CE1843" s="4"/>
      <c r="CF1843" s="4"/>
      <c r="CG1843" s="4"/>
      <c r="CH1843" s="4"/>
      <c r="CI1843" s="4"/>
      <c r="CJ1843" s="4"/>
      <c r="CK1843" s="4"/>
      <c r="CL1843" s="4"/>
      <c r="CM1843" s="4"/>
      <c r="CN1843" s="4"/>
      <c r="CO1843" s="4"/>
      <c r="CP1843" s="4"/>
      <c r="CQ1843" s="4"/>
      <c r="CR1843" s="4"/>
      <c r="CS1843" s="4"/>
      <c r="CT1843" s="4"/>
      <c r="CU1843" s="4"/>
      <c r="CV1843" s="4"/>
      <c r="CW1843" s="4"/>
      <c r="CX1843" s="4"/>
      <c r="CY1843" s="4"/>
      <c r="CZ1843" s="4"/>
      <c r="DA1843" s="4"/>
      <c r="DB1843" s="4"/>
      <c r="DC1843" s="4"/>
      <c r="DD1843" s="4"/>
      <c r="DE1843" s="4"/>
      <c r="DF1843" s="4"/>
      <c r="DG1843" s="4"/>
      <c r="DH1843" s="4"/>
      <c r="DI1843" s="4"/>
      <c r="DJ1843" s="4"/>
      <c r="DK1843" s="4"/>
      <c r="DL1843" s="4"/>
      <c r="DM1843" s="4"/>
      <c r="DN1843" s="4"/>
      <c r="DO1843" s="4"/>
      <c r="DP1843" s="4"/>
      <c r="DQ1843" s="4"/>
      <c r="DR1843" s="4"/>
      <c r="DS1843" s="4"/>
    </row>
    <row r="1844">
      <c r="A1844" s="4"/>
      <c r="B1844" s="4"/>
      <c r="C1844" s="4"/>
      <c r="D1844" s="4"/>
      <c r="E1844" s="4"/>
      <c r="F1844" s="4" t="s">
        <v>17</v>
      </c>
      <c r="G1844" s="15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  <c r="AA1844" s="4"/>
      <c r="AB1844" s="4"/>
      <c r="AC1844" s="4"/>
      <c r="AD1844" s="4"/>
      <c r="AE1844" s="4"/>
      <c r="AF1844" s="4"/>
      <c r="AG1844" s="4"/>
      <c r="AH1844" s="4"/>
      <c r="AI1844" s="4"/>
      <c r="AJ1844" s="4"/>
      <c r="AK1844" s="4"/>
      <c r="AL1844" s="4"/>
      <c r="AM1844" s="4"/>
      <c r="AN1844" s="4"/>
      <c r="AO1844" s="4"/>
      <c r="AP1844" s="4"/>
      <c r="AQ1844" s="4"/>
      <c r="AR1844" s="4"/>
      <c r="AS1844" s="4"/>
      <c r="AT1844" s="4"/>
      <c r="AU1844" s="4"/>
      <c r="AV1844" s="4"/>
      <c r="AW1844" s="4"/>
      <c r="AX1844" s="4"/>
      <c r="AY1844" s="4"/>
      <c r="AZ1844" s="4"/>
      <c r="BA1844" s="4"/>
      <c r="BB1844" s="4"/>
      <c r="BC1844" s="4"/>
      <c r="BD1844" s="4"/>
      <c r="BE1844" s="4"/>
      <c r="BF1844" s="4"/>
      <c r="BG1844" s="4"/>
      <c r="BH1844" s="4"/>
      <c r="BI1844" s="4"/>
      <c r="BJ1844" s="4"/>
      <c r="BK1844" s="4"/>
      <c r="BL1844" s="4"/>
      <c r="BM1844" s="4"/>
      <c r="BN1844" s="4"/>
      <c r="BO1844" s="4"/>
      <c r="BP1844" s="4"/>
      <c r="BQ1844" s="4"/>
      <c r="BR1844" s="4"/>
      <c r="BS1844" s="4"/>
      <c r="BT1844" s="4"/>
      <c r="BU1844" s="4"/>
      <c r="BV1844" s="4"/>
      <c r="BW1844" s="4"/>
      <c r="BX1844" s="4"/>
      <c r="BY1844" s="4"/>
      <c r="BZ1844" s="4"/>
      <c r="CA1844" s="4"/>
      <c r="CB1844" s="4"/>
      <c r="CC1844" s="4"/>
      <c r="CD1844" s="4"/>
      <c r="CE1844" s="4"/>
      <c r="CF1844" s="4"/>
      <c r="CG1844" s="4"/>
      <c r="CH1844" s="4"/>
      <c r="CI1844" s="4"/>
      <c r="CJ1844" s="4"/>
      <c r="CK1844" s="4"/>
      <c r="CL1844" s="4"/>
      <c r="CM1844" s="4"/>
      <c r="CN1844" s="4"/>
      <c r="CO1844" s="4"/>
      <c r="CP1844" s="4"/>
      <c r="CQ1844" s="4"/>
      <c r="CR1844" s="4"/>
      <c r="CS1844" s="4"/>
      <c r="CT1844" s="4"/>
      <c r="CU1844" s="4"/>
      <c r="CV1844" s="4"/>
      <c r="CW1844" s="4"/>
      <c r="CX1844" s="4"/>
      <c r="CY1844" s="4"/>
      <c r="CZ1844" s="4"/>
      <c r="DA1844" s="4"/>
      <c r="DB1844" s="4"/>
      <c r="DC1844" s="4"/>
      <c r="DD1844" s="4"/>
      <c r="DE1844" s="4"/>
      <c r="DF1844" s="4"/>
      <c r="DG1844" s="4"/>
      <c r="DH1844" s="4"/>
      <c r="DI1844" s="4"/>
      <c r="DJ1844" s="4"/>
      <c r="DK1844" s="4"/>
      <c r="DL1844" s="4"/>
      <c r="DM1844" s="4"/>
      <c r="DN1844" s="4"/>
      <c r="DO1844" s="4"/>
      <c r="DP1844" s="4"/>
      <c r="DQ1844" s="4"/>
      <c r="DR1844" s="4"/>
      <c r="DS1844" s="4"/>
    </row>
    <row r="1845">
      <c r="A1845" s="4"/>
      <c r="B1845" s="4"/>
      <c r="C1845" s="4"/>
      <c r="D1845" s="4"/>
      <c r="E1845" s="4"/>
      <c r="F1845" s="4" t="s">
        <v>17</v>
      </c>
      <c r="G1845" s="15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  <c r="AA1845" s="4"/>
      <c r="AB1845" s="4"/>
      <c r="AC1845" s="4"/>
      <c r="AD1845" s="4"/>
      <c r="AE1845" s="4"/>
      <c r="AF1845" s="4"/>
      <c r="AG1845" s="4"/>
      <c r="AH1845" s="4"/>
      <c r="AI1845" s="4"/>
      <c r="AJ1845" s="4"/>
      <c r="AK1845" s="4"/>
      <c r="AL1845" s="4"/>
      <c r="AM1845" s="4"/>
      <c r="AN1845" s="4"/>
      <c r="AO1845" s="4"/>
      <c r="AP1845" s="4"/>
      <c r="AQ1845" s="4"/>
      <c r="AR1845" s="4"/>
      <c r="AS1845" s="4"/>
      <c r="AT1845" s="4"/>
      <c r="AU1845" s="4"/>
      <c r="AV1845" s="4"/>
      <c r="AW1845" s="4"/>
      <c r="AX1845" s="4"/>
      <c r="AY1845" s="4"/>
      <c r="AZ1845" s="4"/>
      <c r="BA1845" s="4"/>
      <c r="BB1845" s="4"/>
      <c r="BC1845" s="4"/>
      <c r="BD1845" s="4"/>
      <c r="BE1845" s="4"/>
      <c r="BF1845" s="4"/>
      <c r="BG1845" s="4"/>
      <c r="BH1845" s="4"/>
      <c r="BI1845" s="4"/>
      <c r="BJ1845" s="4"/>
      <c r="BK1845" s="4"/>
      <c r="BL1845" s="4"/>
      <c r="BM1845" s="4"/>
      <c r="BN1845" s="4"/>
      <c r="BO1845" s="4"/>
      <c r="BP1845" s="4"/>
      <c r="BQ1845" s="4"/>
      <c r="BR1845" s="4"/>
      <c r="BS1845" s="4"/>
      <c r="BT1845" s="4"/>
      <c r="BU1845" s="4"/>
      <c r="BV1845" s="4"/>
      <c r="BW1845" s="4"/>
      <c r="BX1845" s="4"/>
      <c r="BY1845" s="4"/>
      <c r="BZ1845" s="4"/>
      <c r="CA1845" s="4"/>
      <c r="CB1845" s="4"/>
      <c r="CC1845" s="4"/>
      <c r="CD1845" s="4"/>
      <c r="CE1845" s="4"/>
      <c r="CF1845" s="4"/>
      <c r="CG1845" s="4"/>
      <c r="CH1845" s="4"/>
      <c r="CI1845" s="4"/>
      <c r="CJ1845" s="4"/>
      <c r="CK1845" s="4"/>
      <c r="CL1845" s="4"/>
      <c r="CM1845" s="4"/>
      <c r="CN1845" s="4"/>
      <c r="CO1845" s="4"/>
      <c r="CP1845" s="4"/>
      <c r="CQ1845" s="4"/>
      <c r="CR1845" s="4"/>
      <c r="CS1845" s="4"/>
      <c r="CT1845" s="4"/>
      <c r="CU1845" s="4"/>
      <c r="CV1845" s="4"/>
      <c r="CW1845" s="4"/>
      <c r="CX1845" s="4"/>
      <c r="CY1845" s="4"/>
      <c r="CZ1845" s="4"/>
      <c r="DA1845" s="4"/>
      <c r="DB1845" s="4"/>
      <c r="DC1845" s="4"/>
      <c r="DD1845" s="4"/>
      <c r="DE1845" s="4"/>
      <c r="DF1845" s="4"/>
      <c r="DG1845" s="4"/>
      <c r="DH1845" s="4"/>
      <c r="DI1845" s="4"/>
      <c r="DJ1845" s="4"/>
      <c r="DK1845" s="4"/>
      <c r="DL1845" s="4"/>
      <c r="DM1845" s="4"/>
      <c r="DN1845" s="4"/>
      <c r="DO1845" s="4"/>
      <c r="DP1845" s="4"/>
      <c r="DQ1845" s="4"/>
      <c r="DR1845" s="4"/>
      <c r="DS1845" s="4"/>
    </row>
    <row r="1846">
      <c r="A1846" s="4"/>
      <c r="B1846" s="4"/>
      <c r="C1846" s="4"/>
      <c r="D1846" s="4"/>
      <c r="E1846" s="4"/>
      <c r="F1846" s="4" t="s">
        <v>17</v>
      </c>
      <c r="G1846" s="15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  <c r="AA1846" s="4"/>
      <c r="AB1846" s="4"/>
      <c r="AC1846" s="4"/>
      <c r="AD1846" s="4"/>
      <c r="AE1846" s="4"/>
      <c r="AF1846" s="4"/>
      <c r="AG1846" s="4"/>
      <c r="AH1846" s="4"/>
      <c r="AI1846" s="4"/>
      <c r="AJ1846" s="4"/>
      <c r="AK1846" s="4"/>
      <c r="AL1846" s="4"/>
      <c r="AM1846" s="4"/>
      <c r="AN1846" s="4"/>
      <c r="AO1846" s="4"/>
      <c r="AP1846" s="4"/>
      <c r="AQ1846" s="4"/>
      <c r="AR1846" s="4"/>
      <c r="AS1846" s="4"/>
      <c r="AT1846" s="4"/>
      <c r="AU1846" s="4"/>
      <c r="AV1846" s="4"/>
      <c r="AW1846" s="4"/>
      <c r="AX1846" s="4"/>
      <c r="AY1846" s="4"/>
      <c r="AZ1846" s="4"/>
      <c r="BA1846" s="4"/>
      <c r="BB1846" s="4"/>
      <c r="BC1846" s="4"/>
      <c r="BD1846" s="4"/>
      <c r="BE1846" s="4"/>
      <c r="BF1846" s="4"/>
      <c r="BG1846" s="4"/>
      <c r="BH1846" s="4"/>
      <c r="BI1846" s="4"/>
      <c r="BJ1846" s="4"/>
      <c r="BK1846" s="4"/>
      <c r="BL1846" s="4"/>
      <c r="BM1846" s="4"/>
      <c r="BN1846" s="4"/>
      <c r="BO1846" s="4"/>
      <c r="BP1846" s="4"/>
      <c r="BQ1846" s="4"/>
      <c r="BR1846" s="4"/>
      <c r="BS1846" s="4"/>
      <c r="BT1846" s="4"/>
      <c r="BU1846" s="4"/>
      <c r="BV1846" s="4"/>
      <c r="BW1846" s="4"/>
      <c r="BX1846" s="4"/>
      <c r="BY1846" s="4"/>
      <c r="BZ1846" s="4"/>
      <c r="CA1846" s="4"/>
      <c r="CB1846" s="4"/>
      <c r="CC1846" s="4"/>
      <c r="CD1846" s="4"/>
      <c r="CE1846" s="4"/>
      <c r="CF1846" s="4"/>
      <c r="CG1846" s="4"/>
      <c r="CH1846" s="4"/>
      <c r="CI1846" s="4"/>
      <c r="CJ1846" s="4"/>
      <c r="CK1846" s="4"/>
      <c r="CL1846" s="4"/>
      <c r="CM1846" s="4"/>
      <c r="CN1846" s="4"/>
      <c r="CO1846" s="4"/>
      <c r="CP1846" s="4"/>
      <c r="CQ1846" s="4"/>
      <c r="CR1846" s="4"/>
      <c r="CS1846" s="4"/>
      <c r="CT1846" s="4"/>
      <c r="CU1846" s="4"/>
      <c r="CV1846" s="4"/>
      <c r="CW1846" s="4"/>
      <c r="CX1846" s="4"/>
      <c r="CY1846" s="4"/>
      <c r="CZ1846" s="4"/>
      <c r="DA1846" s="4"/>
      <c r="DB1846" s="4"/>
      <c r="DC1846" s="4"/>
      <c r="DD1846" s="4"/>
      <c r="DE1846" s="4"/>
      <c r="DF1846" s="4"/>
      <c r="DG1846" s="4"/>
      <c r="DH1846" s="4"/>
      <c r="DI1846" s="4"/>
      <c r="DJ1846" s="4"/>
      <c r="DK1846" s="4"/>
      <c r="DL1846" s="4"/>
      <c r="DM1846" s="4"/>
      <c r="DN1846" s="4"/>
      <c r="DO1846" s="4"/>
      <c r="DP1846" s="4"/>
      <c r="DQ1846" s="4"/>
      <c r="DR1846" s="4"/>
      <c r="DS1846" s="4"/>
    </row>
    <row r="1847">
      <c r="A1847" s="4"/>
      <c r="B1847" s="4"/>
      <c r="C1847" s="4"/>
      <c r="D1847" s="4"/>
      <c r="E1847" s="4"/>
      <c r="F1847" s="4" t="s">
        <v>17</v>
      </c>
      <c r="G1847" s="15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  <c r="AA1847" s="4"/>
      <c r="AB1847" s="4"/>
      <c r="AC1847" s="4"/>
      <c r="AD1847" s="4"/>
      <c r="AE1847" s="4"/>
      <c r="AF1847" s="4"/>
      <c r="AG1847" s="4"/>
      <c r="AH1847" s="4"/>
      <c r="AI1847" s="4"/>
      <c r="AJ1847" s="4"/>
      <c r="AK1847" s="4"/>
      <c r="AL1847" s="4"/>
      <c r="AM1847" s="4"/>
      <c r="AN1847" s="4"/>
      <c r="AO1847" s="4"/>
      <c r="AP1847" s="4"/>
      <c r="AQ1847" s="4"/>
      <c r="AR1847" s="4"/>
      <c r="AS1847" s="4"/>
      <c r="AT1847" s="4"/>
      <c r="AU1847" s="4"/>
      <c r="AV1847" s="4"/>
      <c r="AW1847" s="4"/>
      <c r="AX1847" s="4"/>
      <c r="AY1847" s="4"/>
      <c r="AZ1847" s="4"/>
      <c r="BA1847" s="4"/>
      <c r="BB1847" s="4"/>
      <c r="BC1847" s="4"/>
      <c r="BD1847" s="4"/>
      <c r="BE1847" s="4"/>
      <c r="BF1847" s="4"/>
      <c r="BG1847" s="4"/>
      <c r="BH1847" s="4"/>
      <c r="BI1847" s="4"/>
      <c r="BJ1847" s="4"/>
      <c r="BK1847" s="4"/>
      <c r="BL1847" s="4"/>
      <c r="BM1847" s="4"/>
      <c r="BN1847" s="4"/>
      <c r="BO1847" s="4"/>
      <c r="BP1847" s="4"/>
      <c r="BQ1847" s="4"/>
      <c r="BR1847" s="4"/>
      <c r="BS1847" s="4"/>
      <c r="BT1847" s="4"/>
      <c r="BU1847" s="4"/>
      <c r="BV1847" s="4"/>
      <c r="BW1847" s="4"/>
      <c r="BX1847" s="4"/>
      <c r="BY1847" s="4"/>
      <c r="BZ1847" s="4"/>
      <c r="CA1847" s="4"/>
      <c r="CB1847" s="4"/>
      <c r="CC1847" s="4"/>
      <c r="CD1847" s="4"/>
      <c r="CE1847" s="4"/>
      <c r="CF1847" s="4"/>
      <c r="CG1847" s="4"/>
      <c r="CH1847" s="4"/>
      <c r="CI1847" s="4"/>
      <c r="CJ1847" s="4"/>
      <c r="CK1847" s="4"/>
      <c r="CL1847" s="4"/>
      <c r="CM1847" s="4"/>
      <c r="CN1847" s="4"/>
      <c r="CO1847" s="4"/>
      <c r="CP1847" s="4"/>
      <c r="CQ1847" s="4"/>
      <c r="CR1847" s="4"/>
      <c r="CS1847" s="4"/>
      <c r="CT1847" s="4"/>
      <c r="CU1847" s="4"/>
      <c r="CV1847" s="4"/>
      <c r="CW1847" s="4"/>
      <c r="CX1847" s="4"/>
      <c r="CY1847" s="4"/>
      <c r="CZ1847" s="4"/>
      <c r="DA1847" s="4"/>
      <c r="DB1847" s="4"/>
      <c r="DC1847" s="4"/>
      <c r="DD1847" s="4"/>
      <c r="DE1847" s="4"/>
      <c r="DF1847" s="4"/>
      <c r="DG1847" s="4"/>
      <c r="DH1847" s="4"/>
      <c r="DI1847" s="4"/>
      <c r="DJ1847" s="4"/>
      <c r="DK1847" s="4"/>
      <c r="DL1847" s="4"/>
      <c r="DM1847" s="4"/>
      <c r="DN1847" s="4"/>
      <c r="DO1847" s="4"/>
      <c r="DP1847" s="4"/>
      <c r="DQ1847" s="4"/>
      <c r="DR1847" s="4"/>
      <c r="DS1847" s="4"/>
    </row>
    <row r="1848">
      <c r="A1848" s="4"/>
      <c r="B1848" s="4"/>
      <c r="C1848" s="4"/>
      <c r="D1848" s="4"/>
      <c r="E1848" s="4"/>
      <c r="F1848" s="4" t="s">
        <v>17</v>
      </c>
      <c r="G1848" s="15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  <c r="AA1848" s="4"/>
      <c r="AB1848" s="4"/>
      <c r="AC1848" s="4"/>
      <c r="AD1848" s="4"/>
      <c r="AE1848" s="4"/>
      <c r="AF1848" s="4"/>
      <c r="AG1848" s="4"/>
      <c r="AH1848" s="4"/>
      <c r="AI1848" s="4"/>
      <c r="AJ1848" s="4"/>
      <c r="AK1848" s="4"/>
      <c r="AL1848" s="4"/>
      <c r="AM1848" s="4"/>
      <c r="AN1848" s="4"/>
      <c r="AO1848" s="4"/>
      <c r="AP1848" s="4"/>
      <c r="AQ1848" s="4"/>
      <c r="AR1848" s="4"/>
      <c r="AS1848" s="4"/>
      <c r="AT1848" s="4"/>
      <c r="AU1848" s="4"/>
      <c r="AV1848" s="4"/>
      <c r="AW1848" s="4"/>
      <c r="AX1848" s="4"/>
      <c r="AY1848" s="4"/>
      <c r="AZ1848" s="4"/>
      <c r="BA1848" s="4"/>
      <c r="BB1848" s="4"/>
      <c r="BC1848" s="4"/>
      <c r="BD1848" s="4"/>
      <c r="BE1848" s="4"/>
      <c r="BF1848" s="4"/>
      <c r="BG1848" s="4"/>
      <c r="BH1848" s="4"/>
      <c r="BI1848" s="4"/>
      <c r="BJ1848" s="4"/>
      <c r="BK1848" s="4"/>
      <c r="BL1848" s="4"/>
      <c r="BM1848" s="4"/>
      <c r="BN1848" s="4"/>
      <c r="BO1848" s="4"/>
      <c r="BP1848" s="4"/>
      <c r="BQ1848" s="4"/>
      <c r="BR1848" s="4"/>
      <c r="BS1848" s="4"/>
      <c r="BT1848" s="4"/>
      <c r="BU1848" s="4"/>
      <c r="BV1848" s="4"/>
      <c r="BW1848" s="4"/>
      <c r="BX1848" s="4"/>
      <c r="BY1848" s="4"/>
      <c r="BZ1848" s="4"/>
      <c r="CA1848" s="4"/>
      <c r="CB1848" s="4"/>
      <c r="CC1848" s="4"/>
      <c r="CD1848" s="4"/>
      <c r="CE1848" s="4"/>
      <c r="CF1848" s="4"/>
      <c r="CG1848" s="4"/>
      <c r="CH1848" s="4"/>
      <c r="CI1848" s="4"/>
      <c r="CJ1848" s="4"/>
      <c r="CK1848" s="4"/>
      <c r="CL1848" s="4"/>
      <c r="CM1848" s="4"/>
      <c r="CN1848" s="4"/>
      <c r="CO1848" s="4"/>
      <c r="CP1848" s="4"/>
      <c r="CQ1848" s="4"/>
      <c r="CR1848" s="4"/>
      <c r="CS1848" s="4"/>
      <c r="CT1848" s="4"/>
      <c r="CU1848" s="4"/>
      <c r="CV1848" s="4"/>
      <c r="CW1848" s="4"/>
      <c r="CX1848" s="4"/>
      <c r="CY1848" s="4"/>
      <c r="CZ1848" s="4"/>
      <c r="DA1848" s="4"/>
      <c r="DB1848" s="4"/>
      <c r="DC1848" s="4"/>
      <c r="DD1848" s="4"/>
      <c r="DE1848" s="4"/>
      <c r="DF1848" s="4"/>
      <c r="DG1848" s="4"/>
      <c r="DH1848" s="4"/>
      <c r="DI1848" s="4"/>
      <c r="DJ1848" s="4"/>
      <c r="DK1848" s="4"/>
      <c r="DL1848" s="4"/>
      <c r="DM1848" s="4"/>
      <c r="DN1848" s="4"/>
      <c r="DO1848" s="4"/>
      <c r="DP1848" s="4"/>
      <c r="DQ1848" s="4"/>
      <c r="DR1848" s="4"/>
      <c r="DS1848" s="4"/>
    </row>
    <row r="1849">
      <c r="A1849" s="4"/>
      <c r="B1849" s="4"/>
      <c r="C1849" s="4"/>
      <c r="D1849" s="4"/>
      <c r="E1849" s="4"/>
      <c r="F1849" s="4" t="s">
        <v>17</v>
      </c>
      <c r="G1849" s="15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  <c r="AA1849" s="4"/>
      <c r="AB1849" s="4"/>
      <c r="AC1849" s="4"/>
      <c r="AD1849" s="4"/>
      <c r="AE1849" s="4"/>
      <c r="AF1849" s="4"/>
      <c r="AG1849" s="4"/>
      <c r="AH1849" s="4"/>
      <c r="AI1849" s="4"/>
      <c r="AJ1849" s="4"/>
      <c r="AK1849" s="4"/>
      <c r="AL1849" s="4"/>
      <c r="AM1849" s="4"/>
      <c r="AN1849" s="4"/>
      <c r="AO1849" s="4"/>
      <c r="AP1849" s="4"/>
      <c r="AQ1849" s="4"/>
      <c r="AR1849" s="4"/>
      <c r="AS1849" s="4"/>
      <c r="AT1849" s="4"/>
      <c r="AU1849" s="4"/>
      <c r="AV1849" s="4"/>
      <c r="AW1849" s="4"/>
      <c r="AX1849" s="4"/>
      <c r="AY1849" s="4"/>
      <c r="AZ1849" s="4"/>
      <c r="BA1849" s="4"/>
      <c r="BB1849" s="4"/>
      <c r="BC1849" s="4"/>
      <c r="BD1849" s="4"/>
      <c r="BE1849" s="4"/>
      <c r="BF1849" s="4"/>
      <c r="BG1849" s="4"/>
      <c r="BH1849" s="4"/>
      <c r="BI1849" s="4"/>
      <c r="BJ1849" s="4"/>
      <c r="BK1849" s="4"/>
      <c r="BL1849" s="4"/>
      <c r="BM1849" s="4"/>
      <c r="BN1849" s="4"/>
      <c r="BO1849" s="4"/>
      <c r="BP1849" s="4"/>
      <c r="BQ1849" s="4"/>
      <c r="BR1849" s="4"/>
      <c r="BS1849" s="4"/>
      <c r="BT1849" s="4"/>
      <c r="BU1849" s="4"/>
      <c r="BV1849" s="4"/>
      <c r="BW1849" s="4"/>
      <c r="BX1849" s="4"/>
      <c r="BY1849" s="4"/>
      <c r="BZ1849" s="4"/>
      <c r="CA1849" s="4"/>
      <c r="CB1849" s="4"/>
      <c r="CC1849" s="4"/>
      <c r="CD1849" s="4"/>
      <c r="CE1849" s="4"/>
      <c r="CF1849" s="4"/>
      <c r="CG1849" s="4"/>
      <c r="CH1849" s="4"/>
      <c r="CI1849" s="4"/>
      <c r="CJ1849" s="4"/>
      <c r="CK1849" s="4"/>
      <c r="CL1849" s="4"/>
      <c r="CM1849" s="4"/>
      <c r="CN1849" s="4"/>
      <c r="CO1849" s="4"/>
      <c r="CP1849" s="4"/>
      <c r="CQ1849" s="4"/>
      <c r="CR1849" s="4"/>
      <c r="CS1849" s="4"/>
      <c r="CT1849" s="4"/>
      <c r="CU1849" s="4"/>
      <c r="CV1849" s="4"/>
      <c r="CW1849" s="4"/>
      <c r="CX1849" s="4"/>
      <c r="CY1849" s="4"/>
      <c r="CZ1849" s="4"/>
      <c r="DA1849" s="4"/>
      <c r="DB1849" s="4"/>
      <c r="DC1849" s="4"/>
      <c r="DD1849" s="4"/>
      <c r="DE1849" s="4"/>
      <c r="DF1849" s="4"/>
      <c r="DG1849" s="4"/>
      <c r="DH1849" s="4"/>
      <c r="DI1849" s="4"/>
      <c r="DJ1849" s="4"/>
      <c r="DK1849" s="4"/>
      <c r="DL1849" s="4"/>
      <c r="DM1849" s="4"/>
      <c r="DN1849" s="4"/>
      <c r="DO1849" s="4"/>
      <c r="DP1849" s="4"/>
      <c r="DQ1849" s="4"/>
      <c r="DR1849" s="4"/>
      <c r="DS1849" s="4"/>
    </row>
    <row r="1850">
      <c r="A1850" s="4"/>
      <c r="B1850" s="4"/>
      <c r="C1850" s="4"/>
      <c r="D1850" s="4"/>
      <c r="E1850" s="4"/>
      <c r="F1850" s="4" t="s">
        <v>17</v>
      </c>
      <c r="G1850" s="15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  <c r="AA1850" s="4"/>
      <c r="AB1850" s="4"/>
      <c r="AC1850" s="4"/>
      <c r="AD1850" s="4"/>
      <c r="AE1850" s="4"/>
      <c r="AF1850" s="4"/>
      <c r="AG1850" s="4"/>
      <c r="AH1850" s="4"/>
      <c r="AI1850" s="4"/>
      <c r="AJ1850" s="4"/>
      <c r="AK1850" s="4"/>
      <c r="AL1850" s="4"/>
      <c r="AM1850" s="4"/>
      <c r="AN1850" s="4"/>
      <c r="AO1850" s="4"/>
      <c r="AP1850" s="4"/>
      <c r="AQ1850" s="4"/>
      <c r="AR1850" s="4"/>
      <c r="AS1850" s="4"/>
      <c r="AT1850" s="4"/>
      <c r="AU1850" s="4"/>
      <c r="AV1850" s="4"/>
      <c r="AW1850" s="4"/>
      <c r="AX1850" s="4"/>
      <c r="AY1850" s="4"/>
      <c r="AZ1850" s="4"/>
      <c r="BA1850" s="4"/>
      <c r="BB1850" s="4"/>
      <c r="BC1850" s="4"/>
      <c r="BD1850" s="4"/>
      <c r="BE1850" s="4"/>
      <c r="BF1850" s="4"/>
      <c r="BG1850" s="4"/>
      <c r="BH1850" s="4"/>
      <c r="BI1850" s="4"/>
      <c r="BJ1850" s="4"/>
      <c r="BK1850" s="4"/>
      <c r="BL1850" s="4"/>
      <c r="BM1850" s="4"/>
      <c r="BN1850" s="4"/>
      <c r="BO1850" s="4"/>
      <c r="BP1850" s="4"/>
      <c r="BQ1850" s="4"/>
      <c r="BR1850" s="4"/>
      <c r="BS1850" s="4"/>
      <c r="BT1850" s="4"/>
      <c r="BU1850" s="4"/>
      <c r="BV1850" s="4"/>
      <c r="BW1850" s="4"/>
      <c r="BX1850" s="4"/>
      <c r="BY1850" s="4"/>
      <c r="BZ1850" s="4"/>
      <c r="CA1850" s="4"/>
      <c r="CB1850" s="4"/>
      <c r="CC1850" s="4"/>
      <c r="CD1850" s="4"/>
      <c r="CE1850" s="4"/>
      <c r="CF1850" s="4"/>
      <c r="CG1850" s="4"/>
      <c r="CH1850" s="4"/>
      <c r="CI1850" s="4"/>
      <c r="CJ1850" s="4"/>
      <c r="CK1850" s="4"/>
      <c r="CL1850" s="4"/>
      <c r="CM1850" s="4"/>
      <c r="CN1850" s="4"/>
      <c r="CO1850" s="4"/>
      <c r="CP1850" s="4"/>
      <c r="CQ1850" s="4"/>
      <c r="CR1850" s="4"/>
      <c r="CS1850" s="4"/>
      <c r="CT1850" s="4"/>
      <c r="CU1850" s="4"/>
      <c r="CV1850" s="4"/>
      <c r="CW1850" s="4"/>
      <c r="CX1850" s="4"/>
      <c r="CY1850" s="4"/>
      <c r="CZ1850" s="4"/>
      <c r="DA1850" s="4"/>
      <c r="DB1850" s="4"/>
      <c r="DC1850" s="4"/>
      <c r="DD1850" s="4"/>
      <c r="DE1850" s="4"/>
      <c r="DF1850" s="4"/>
      <c r="DG1850" s="4"/>
      <c r="DH1850" s="4"/>
      <c r="DI1850" s="4"/>
      <c r="DJ1850" s="4"/>
      <c r="DK1850" s="4"/>
      <c r="DL1850" s="4"/>
      <c r="DM1850" s="4"/>
      <c r="DN1850" s="4"/>
      <c r="DO1850" s="4"/>
      <c r="DP1850" s="4"/>
      <c r="DQ1850" s="4"/>
      <c r="DR1850" s="4"/>
      <c r="DS1850" s="4"/>
    </row>
    <row r="1851">
      <c r="A1851" s="4"/>
      <c r="B1851" s="4"/>
      <c r="C1851" s="4"/>
      <c r="D1851" s="4"/>
      <c r="E1851" s="4"/>
      <c r="F1851" s="4" t="s">
        <v>17</v>
      </c>
      <c r="G1851" s="15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  <c r="AA1851" s="4"/>
      <c r="AB1851" s="4"/>
      <c r="AC1851" s="4"/>
      <c r="AD1851" s="4"/>
      <c r="AE1851" s="4"/>
      <c r="AF1851" s="4"/>
      <c r="AG1851" s="4"/>
      <c r="AH1851" s="4"/>
      <c r="AI1851" s="4"/>
      <c r="AJ1851" s="4"/>
      <c r="AK1851" s="4"/>
      <c r="AL1851" s="4"/>
      <c r="AM1851" s="4"/>
      <c r="AN1851" s="4"/>
      <c r="AO1851" s="4"/>
      <c r="AP1851" s="4"/>
      <c r="AQ1851" s="4"/>
      <c r="AR1851" s="4"/>
      <c r="AS1851" s="4"/>
      <c r="AT1851" s="4"/>
      <c r="AU1851" s="4"/>
      <c r="AV1851" s="4"/>
      <c r="AW1851" s="4"/>
      <c r="AX1851" s="4"/>
      <c r="AY1851" s="4"/>
      <c r="AZ1851" s="4"/>
      <c r="BA1851" s="4"/>
      <c r="BB1851" s="4"/>
      <c r="BC1851" s="4"/>
      <c r="BD1851" s="4"/>
      <c r="BE1851" s="4"/>
      <c r="BF1851" s="4"/>
      <c r="BG1851" s="4"/>
      <c r="BH1851" s="4"/>
      <c r="BI1851" s="4"/>
      <c r="BJ1851" s="4"/>
      <c r="BK1851" s="4"/>
      <c r="BL1851" s="4"/>
      <c r="BM1851" s="4"/>
      <c r="BN1851" s="4"/>
      <c r="BO1851" s="4"/>
      <c r="BP1851" s="4"/>
      <c r="BQ1851" s="4"/>
      <c r="BR1851" s="4"/>
      <c r="BS1851" s="4"/>
      <c r="BT1851" s="4"/>
      <c r="BU1851" s="4"/>
      <c r="BV1851" s="4"/>
      <c r="BW1851" s="4"/>
      <c r="BX1851" s="4"/>
      <c r="BY1851" s="4"/>
      <c r="BZ1851" s="4"/>
      <c r="CA1851" s="4"/>
      <c r="CB1851" s="4"/>
      <c r="CC1851" s="4"/>
      <c r="CD1851" s="4"/>
      <c r="CE1851" s="4"/>
      <c r="CF1851" s="4"/>
      <c r="CG1851" s="4"/>
      <c r="CH1851" s="4"/>
      <c r="CI1851" s="4"/>
      <c r="CJ1851" s="4"/>
      <c r="CK1851" s="4"/>
      <c r="CL1851" s="4"/>
      <c r="CM1851" s="4"/>
      <c r="CN1851" s="4"/>
      <c r="CO1851" s="4"/>
      <c r="CP1851" s="4"/>
      <c r="CQ1851" s="4"/>
      <c r="CR1851" s="4"/>
      <c r="CS1851" s="4"/>
      <c r="CT1851" s="4"/>
      <c r="CU1851" s="4"/>
      <c r="CV1851" s="4"/>
      <c r="CW1851" s="4"/>
      <c r="CX1851" s="4"/>
      <c r="CY1851" s="4"/>
      <c r="CZ1851" s="4"/>
      <c r="DA1851" s="4"/>
      <c r="DB1851" s="4"/>
      <c r="DC1851" s="4"/>
      <c r="DD1851" s="4"/>
      <c r="DE1851" s="4"/>
      <c r="DF1851" s="4"/>
      <c r="DG1851" s="4"/>
      <c r="DH1851" s="4"/>
      <c r="DI1851" s="4"/>
      <c r="DJ1851" s="4"/>
      <c r="DK1851" s="4"/>
      <c r="DL1851" s="4"/>
      <c r="DM1851" s="4"/>
      <c r="DN1851" s="4"/>
      <c r="DO1851" s="4"/>
      <c r="DP1851" s="4"/>
      <c r="DQ1851" s="4"/>
      <c r="DR1851" s="4"/>
      <c r="DS1851" s="4"/>
    </row>
    <row r="1852">
      <c r="A1852" s="4"/>
      <c r="B1852" s="4"/>
      <c r="C1852" s="4"/>
      <c r="D1852" s="4"/>
      <c r="E1852" s="4"/>
      <c r="F1852" s="4" t="s">
        <v>17</v>
      </c>
      <c r="G1852" s="15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  <c r="AA1852" s="4"/>
      <c r="AB1852" s="4"/>
      <c r="AC1852" s="4"/>
      <c r="AD1852" s="4"/>
      <c r="AE1852" s="4"/>
      <c r="AF1852" s="4"/>
      <c r="AG1852" s="4"/>
      <c r="AH1852" s="4"/>
      <c r="AI1852" s="4"/>
      <c r="AJ1852" s="4"/>
      <c r="AK1852" s="4"/>
      <c r="AL1852" s="4"/>
      <c r="AM1852" s="4"/>
      <c r="AN1852" s="4"/>
      <c r="AO1852" s="4"/>
      <c r="AP1852" s="4"/>
      <c r="AQ1852" s="4"/>
      <c r="AR1852" s="4"/>
      <c r="AS1852" s="4"/>
      <c r="AT1852" s="4"/>
      <c r="AU1852" s="4"/>
      <c r="AV1852" s="4"/>
      <c r="AW1852" s="4"/>
      <c r="AX1852" s="4"/>
      <c r="AY1852" s="4"/>
      <c r="AZ1852" s="4"/>
      <c r="BA1852" s="4"/>
      <c r="BB1852" s="4"/>
      <c r="BC1852" s="4"/>
      <c r="BD1852" s="4"/>
      <c r="BE1852" s="4"/>
      <c r="BF1852" s="4"/>
      <c r="BG1852" s="4"/>
      <c r="BH1852" s="4"/>
      <c r="BI1852" s="4"/>
      <c r="BJ1852" s="4"/>
      <c r="BK1852" s="4"/>
      <c r="BL1852" s="4"/>
      <c r="BM1852" s="4"/>
      <c r="BN1852" s="4"/>
      <c r="BO1852" s="4"/>
      <c r="BP1852" s="4"/>
      <c r="BQ1852" s="4"/>
      <c r="BR1852" s="4"/>
      <c r="BS1852" s="4"/>
      <c r="BT1852" s="4"/>
      <c r="BU1852" s="4"/>
      <c r="BV1852" s="4"/>
      <c r="BW1852" s="4"/>
      <c r="BX1852" s="4"/>
      <c r="BY1852" s="4"/>
      <c r="BZ1852" s="4"/>
      <c r="CA1852" s="4"/>
      <c r="CB1852" s="4"/>
      <c r="CC1852" s="4"/>
      <c r="CD1852" s="4"/>
      <c r="CE1852" s="4"/>
      <c r="CF1852" s="4"/>
      <c r="CG1852" s="4"/>
      <c r="CH1852" s="4"/>
      <c r="CI1852" s="4"/>
      <c r="CJ1852" s="4"/>
      <c r="CK1852" s="4"/>
      <c r="CL1852" s="4"/>
      <c r="CM1852" s="4"/>
      <c r="CN1852" s="4"/>
      <c r="CO1852" s="4"/>
      <c r="CP1852" s="4"/>
      <c r="CQ1852" s="4"/>
      <c r="CR1852" s="4"/>
      <c r="CS1852" s="4"/>
      <c r="CT1852" s="4"/>
      <c r="CU1852" s="4"/>
      <c r="CV1852" s="4"/>
      <c r="CW1852" s="4"/>
      <c r="CX1852" s="4"/>
      <c r="CY1852" s="4"/>
      <c r="CZ1852" s="4"/>
      <c r="DA1852" s="4"/>
      <c r="DB1852" s="4"/>
      <c r="DC1852" s="4"/>
      <c r="DD1852" s="4"/>
      <c r="DE1852" s="4"/>
      <c r="DF1852" s="4"/>
      <c r="DG1852" s="4"/>
      <c r="DH1852" s="4"/>
      <c r="DI1852" s="4"/>
      <c r="DJ1852" s="4"/>
      <c r="DK1852" s="4"/>
      <c r="DL1852" s="4"/>
      <c r="DM1852" s="4"/>
      <c r="DN1852" s="4"/>
      <c r="DO1852" s="4"/>
      <c r="DP1852" s="4"/>
      <c r="DQ1852" s="4"/>
      <c r="DR1852" s="4"/>
      <c r="DS1852" s="4"/>
    </row>
    <row r="1853">
      <c r="A1853" s="4"/>
      <c r="B1853" s="4"/>
      <c r="C1853" s="4"/>
      <c r="D1853" s="4"/>
      <c r="E1853" s="4"/>
      <c r="F1853" s="4" t="s">
        <v>17</v>
      </c>
      <c r="G1853" s="15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  <c r="AA1853" s="4"/>
      <c r="AB1853" s="4"/>
      <c r="AC1853" s="4"/>
      <c r="AD1853" s="4"/>
      <c r="AE1853" s="4"/>
      <c r="AF1853" s="4"/>
      <c r="AG1853" s="4"/>
      <c r="AH1853" s="4"/>
      <c r="AI1853" s="4"/>
      <c r="AJ1853" s="4"/>
      <c r="AK1853" s="4"/>
      <c r="AL1853" s="4"/>
      <c r="AM1853" s="4"/>
      <c r="AN1853" s="4"/>
      <c r="AO1853" s="4"/>
      <c r="AP1853" s="4"/>
      <c r="AQ1853" s="4"/>
      <c r="AR1853" s="4"/>
      <c r="AS1853" s="4"/>
      <c r="AT1853" s="4"/>
      <c r="AU1853" s="4"/>
      <c r="AV1853" s="4"/>
      <c r="AW1853" s="4"/>
      <c r="AX1853" s="4"/>
      <c r="AY1853" s="4"/>
      <c r="AZ1853" s="4"/>
      <c r="BA1853" s="4"/>
      <c r="BB1853" s="4"/>
      <c r="BC1853" s="4"/>
      <c r="BD1853" s="4"/>
      <c r="BE1853" s="4"/>
      <c r="BF1853" s="4"/>
      <c r="BG1853" s="4"/>
      <c r="BH1853" s="4"/>
      <c r="BI1853" s="4"/>
      <c r="BJ1853" s="4"/>
      <c r="BK1853" s="4"/>
      <c r="BL1853" s="4"/>
      <c r="BM1853" s="4"/>
      <c r="BN1853" s="4"/>
      <c r="BO1853" s="4"/>
      <c r="BP1853" s="4"/>
      <c r="BQ1853" s="4"/>
      <c r="BR1853" s="4"/>
      <c r="BS1853" s="4"/>
      <c r="BT1853" s="4"/>
      <c r="BU1853" s="4"/>
      <c r="BV1853" s="4"/>
      <c r="BW1853" s="4"/>
      <c r="BX1853" s="4"/>
      <c r="BY1853" s="4"/>
      <c r="BZ1853" s="4"/>
      <c r="CA1853" s="4"/>
      <c r="CB1853" s="4"/>
      <c r="CC1853" s="4"/>
      <c r="CD1853" s="4"/>
      <c r="CE1853" s="4"/>
      <c r="CF1853" s="4"/>
      <c r="CG1853" s="4"/>
      <c r="CH1853" s="4"/>
      <c r="CI1853" s="4"/>
      <c r="CJ1853" s="4"/>
      <c r="CK1853" s="4"/>
      <c r="CL1853" s="4"/>
      <c r="CM1853" s="4"/>
      <c r="CN1853" s="4"/>
      <c r="CO1853" s="4"/>
      <c r="CP1853" s="4"/>
      <c r="CQ1853" s="4"/>
      <c r="CR1853" s="4"/>
      <c r="CS1853" s="4"/>
      <c r="CT1853" s="4"/>
      <c r="CU1853" s="4"/>
      <c r="CV1853" s="4"/>
      <c r="CW1853" s="4"/>
      <c r="CX1853" s="4"/>
      <c r="CY1853" s="4"/>
      <c r="CZ1853" s="4"/>
      <c r="DA1853" s="4"/>
      <c r="DB1853" s="4"/>
      <c r="DC1853" s="4"/>
      <c r="DD1853" s="4"/>
      <c r="DE1853" s="4"/>
      <c r="DF1853" s="4"/>
      <c r="DG1853" s="4"/>
      <c r="DH1853" s="4"/>
      <c r="DI1853" s="4"/>
      <c r="DJ1853" s="4"/>
      <c r="DK1853" s="4"/>
      <c r="DL1853" s="4"/>
      <c r="DM1853" s="4"/>
      <c r="DN1853" s="4"/>
      <c r="DO1853" s="4"/>
      <c r="DP1853" s="4"/>
      <c r="DQ1853" s="4"/>
      <c r="DR1853" s="4"/>
      <c r="DS1853" s="4"/>
    </row>
    <row r="1854">
      <c r="A1854" s="4"/>
      <c r="B1854" s="4"/>
      <c r="C1854" s="4"/>
      <c r="D1854" s="4"/>
      <c r="E1854" s="4"/>
      <c r="F1854" s="4" t="s">
        <v>17</v>
      </c>
      <c r="G1854" s="15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  <c r="AA1854" s="4"/>
      <c r="AB1854" s="4"/>
      <c r="AC1854" s="4"/>
      <c r="AD1854" s="4"/>
      <c r="AE1854" s="4"/>
      <c r="AF1854" s="4"/>
      <c r="AG1854" s="4"/>
      <c r="AH1854" s="4"/>
      <c r="AI1854" s="4"/>
      <c r="AJ1854" s="4"/>
      <c r="AK1854" s="4"/>
      <c r="AL1854" s="4"/>
      <c r="AM1854" s="4"/>
      <c r="AN1854" s="4"/>
      <c r="AO1854" s="4"/>
      <c r="AP1854" s="4"/>
      <c r="AQ1854" s="4"/>
      <c r="AR1854" s="4"/>
      <c r="AS1854" s="4"/>
      <c r="AT1854" s="4"/>
      <c r="AU1854" s="4"/>
      <c r="AV1854" s="4"/>
      <c r="AW1854" s="4"/>
      <c r="AX1854" s="4"/>
      <c r="AY1854" s="4"/>
      <c r="AZ1854" s="4"/>
      <c r="BA1854" s="4"/>
      <c r="BB1854" s="4"/>
      <c r="BC1854" s="4"/>
      <c r="BD1854" s="4"/>
      <c r="BE1854" s="4"/>
      <c r="BF1854" s="4"/>
      <c r="BG1854" s="4"/>
      <c r="BH1854" s="4"/>
      <c r="BI1854" s="4"/>
      <c r="BJ1854" s="4"/>
      <c r="BK1854" s="4"/>
      <c r="BL1854" s="4"/>
      <c r="BM1854" s="4"/>
      <c r="BN1854" s="4"/>
      <c r="BO1854" s="4"/>
      <c r="BP1854" s="4"/>
      <c r="BQ1854" s="4"/>
      <c r="BR1854" s="4"/>
      <c r="BS1854" s="4"/>
      <c r="BT1854" s="4"/>
      <c r="BU1854" s="4"/>
      <c r="BV1854" s="4"/>
      <c r="BW1854" s="4"/>
      <c r="BX1854" s="4"/>
      <c r="BY1854" s="4"/>
      <c r="BZ1854" s="4"/>
      <c r="CA1854" s="4"/>
      <c r="CB1854" s="4"/>
      <c r="CC1854" s="4"/>
      <c r="CD1854" s="4"/>
      <c r="CE1854" s="4"/>
      <c r="CF1854" s="4"/>
      <c r="CG1854" s="4"/>
      <c r="CH1854" s="4"/>
      <c r="CI1854" s="4"/>
      <c r="CJ1854" s="4"/>
      <c r="CK1854" s="4"/>
      <c r="CL1854" s="4"/>
      <c r="CM1854" s="4"/>
      <c r="CN1854" s="4"/>
      <c r="CO1854" s="4"/>
      <c r="CP1854" s="4"/>
      <c r="CQ1854" s="4"/>
      <c r="CR1854" s="4"/>
      <c r="CS1854" s="4"/>
      <c r="CT1854" s="4"/>
      <c r="CU1854" s="4"/>
      <c r="CV1854" s="4"/>
      <c r="CW1854" s="4"/>
      <c r="CX1854" s="4"/>
      <c r="CY1854" s="4"/>
      <c r="CZ1854" s="4"/>
      <c r="DA1854" s="4"/>
      <c r="DB1854" s="4"/>
      <c r="DC1854" s="4"/>
      <c r="DD1854" s="4"/>
      <c r="DE1854" s="4"/>
      <c r="DF1854" s="4"/>
      <c r="DG1854" s="4"/>
      <c r="DH1854" s="4"/>
      <c r="DI1854" s="4"/>
      <c r="DJ1854" s="4"/>
      <c r="DK1854" s="4"/>
      <c r="DL1854" s="4"/>
      <c r="DM1854" s="4"/>
      <c r="DN1854" s="4"/>
      <c r="DO1854" s="4"/>
      <c r="DP1854" s="4"/>
      <c r="DQ1854" s="4"/>
      <c r="DR1854" s="4"/>
      <c r="DS1854" s="4"/>
    </row>
    <row r="1855">
      <c r="A1855" s="4"/>
      <c r="B1855" s="4"/>
      <c r="C1855" s="4"/>
      <c r="D1855" s="4"/>
      <c r="E1855" s="4"/>
      <c r="F1855" s="4" t="s">
        <v>17</v>
      </c>
      <c r="G1855" s="15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  <c r="AA1855" s="4"/>
      <c r="AB1855" s="4"/>
      <c r="AC1855" s="4"/>
      <c r="AD1855" s="4"/>
      <c r="AE1855" s="4"/>
      <c r="AF1855" s="4"/>
      <c r="AG1855" s="4"/>
      <c r="AH1855" s="4"/>
      <c r="AI1855" s="4"/>
      <c r="AJ1855" s="4"/>
      <c r="AK1855" s="4"/>
      <c r="AL1855" s="4"/>
      <c r="AM1855" s="4"/>
      <c r="AN1855" s="4"/>
      <c r="AO1855" s="4"/>
      <c r="AP1855" s="4"/>
      <c r="AQ1855" s="4"/>
      <c r="AR1855" s="4"/>
      <c r="AS1855" s="4"/>
      <c r="AT1855" s="4"/>
      <c r="AU1855" s="4"/>
      <c r="AV1855" s="4"/>
      <c r="AW1855" s="4"/>
      <c r="AX1855" s="4"/>
      <c r="AY1855" s="4"/>
      <c r="AZ1855" s="4"/>
      <c r="BA1855" s="4"/>
      <c r="BB1855" s="4"/>
      <c r="BC1855" s="4"/>
      <c r="BD1855" s="4"/>
      <c r="BE1855" s="4"/>
      <c r="BF1855" s="4"/>
      <c r="BG1855" s="4"/>
      <c r="BH1855" s="4"/>
      <c r="BI1855" s="4"/>
      <c r="BJ1855" s="4"/>
      <c r="BK1855" s="4"/>
      <c r="BL1855" s="4"/>
      <c r="BM1855" s="4"/>
      <c r="BN1855" s="4"/>
      <c r="BO1855" s="4"/>
      <c r="BP1855" s="4"/>
      <c r="BQ1855" s="4"/>
      <c r="BR1855" s="4"/>
      <c r="BS1855" s="4"/>
      <c r="BT1855" s="4"/>
      <c r="BU1855" s="4"/>
      <c r="BV1855" s="4"/>
      <c r="BW1855" s="4"/>
      <c r="BX1855" s="4"/>
      <c r="BY1855" s="4"/>
      <c r="BZ1855" s="4"/>
      <c r="CA1855" s="4"/>
      <c r="CB1855" s="4"/>
      <c r="CC1855" s="4"/>
      <c r="CD1855" s="4"/>
      <c r="CE1855" s="4"/>
      <c r="CF1855" s="4"/>
      <c r="CG1855" s="4"/>
      <c r="CH1855" s="4"/>
      <c r="CI1855" s="4"/>
      <c r="CJ1855" s="4"/>
      <c r="CK1855" s="4"/>
      <c r="CL1855" s="4"/>
      <c r="CM1855" s="4"/>
      <c r="CN1855" s="4"/>
      <c r="CO1855" s="4"/>
      <c r="CP1855" s="4"/>
      <c r="CQ1855" s="4"/>
      <c r="CR1855" s="4"/>
      <c r="CS1855" s="4"/>
      <c r="CT1855" s="4"/>
      <c r="CU1855" s="4"/>
      <c r="CV1855" s="4"/>
      <c r="CW1855" s="4"/>
      <c r="CX1855" s="4"/>
      <c r="CY1855" s="4"/>
      <c r="CZ1855" s="4"/>
      <c r="DA1855" s="4"/>
      <c r="DB1855" s="4"/>
      <c r="DC1855" s="4"/>
      <c r="DD1855" s="4"/>
      <c r="DE1855" s="4"/>
      <c r="DF1855" s="4"/>
      <c r="DG1855" s="4"/>
      <c r="DH1855" s="4"/>
      <c r="DI1855" s="4"/>
      <c r="DJ1855" s="4"/>
      <c r="DK1855" s="4"/>
      <c r="DL1855" s="4"/>
      <c r="DM1855" s="4"/>
      <c r="DN1855" s="4"/>
      <c r="DO1855" s="4"/>
      <c r="DP1855" s="4"/>
      <c r="DQ1855" s="4"/>
      <c r="DR1855" s="4"/>
      <c r="DS1855" s="4"/>
    </row>
    <row r="1856">
      <c r="A1856" s="4"/>
      <c r="B1856" s="4"/>
      <c r="C1856" s="4"/>
      <c r="D1856" s="4"/>
      <c r="E1856" s="4"/>
      <c r="F1856" s="4" t="s">
        <v>17</v>
      </c>
      <c r="G1856" s="15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  <c r="AA1856" s="4"/>
      <c r="AB1856" s="4"/>
      <c r="AC1856" s="4"/>
      <c r="AD1856" s="4"/>
      <c r="AE1856" s="4"/>
      <c r="AF1856" s="4"/>
      <c r="AG1856" s="4"/>
      <c r="AH1856" s="4"/>
      <c r="AI1856" s="4"/>
      <c r="AJ1856" s="4"/>
      <c r="AK1856" s="4"/>
      <c r="AL1856" s="4"/>
      <c r="AM1856" s="4"/>
      <c r="AN1856" s="4"/>
      <c r="AO1856" s="4"/>
      <c r="AP1856" s="4"/>
      <c r="AQ1856" s="4"/>
      <c r="AR1856" s="4"/>
      <c r="AS1856" s="4"/>
      <c r="AT1856" s="4"/>
      <c r="AU1856" s="4"/>
      <c r="AV1856" s="4"/>
      <c r="AW1856" s="4"/>
      <c r="AX1856" s="4"/>
      <c r="AY1856" s="4"/>
      <c r="AZ1856" s="4"/>
      <c r="BA1856" s="4"/>
      <c r="BB1856" s="4"/>
      <c r="BC1856" s="4"/>
      <c r="BD1856" s="4"/>
      <c r="BE1856" s="4"/>
      <c r="BF1856" s="4"/>
      <c r="BG1856" s="4"/>
      <c r="BH1856" s="4"/>
      <c r="BI1856" s="4"/>
      <c r="BJ1856" s="4"/>
      <c r="BK1856" s="4"/>
      <c r="BL1856" s="4"/>
      <c r="BM1856" s="4"/>
      <c r="BN1856" s="4"/>
      <c r="BO1856" s="4"/>
      <c r="BP1856" s="4"/>
      <c r="BQ1856" s="4"/>
      <c r="BR1856" s="4"/>
      <c r="BS1856" s="4"/>
      <c r="BT1856" s="4"/>
      <c r="BU1856" s="4"/>
      <c r="BV1856" s="4"/>
      <c r="BW1856" s="4"/>
      <c r="BX1856" s="4"/>
      <c r="BY1856" s="4"/>
      <c r="BZ1856" s="4"/>
      <c r="CA1856" s="4"/>
      <c r="CB1856" s="4"/>
      <c r="CC1856" s="4"/>
      <c r="CD1856" s="4"/>
      <c r="CE1856" s="4"/>
      <c r="CF1856" s="4"/>
      <c r="CG1856" s="4"/>
      <c r="CH1856" s="4"/>
      <c r="CI1856" s="4"/>
      <c r="CJ1856" s="4"/>
      <c r="CK1856" s="4"/>
      <c r="CL1856" s="4"/>
      <c r="CM1856" s="4"/>
      <c r="CN1856" s="4"/>
      <c r="CO1856" s="4"/>
      <c r="CP1856" s="4"/>
      <c r="CQ1856" s="4"/>
      <c r="CR1856" s="4"/>
      <c r="CS1856" s="4"/>
      <c r="CT1856" s="4"/>
      <c r="CU1856" s="4"/>
      <c r="CV1856" s="4"/>
      <c r="CW1856" s="4"/>
      <c r="CX1856" s="4"/>
      <c r="CY1856" s="4"/>
      <c r="CZ1856" s="4"/>
      <c r="DA1856" s="4"/>
      <c r="DB1856" s="4"/>
      <c r="DC1856" s="4"/>
      <c r="DD1856" s="4"/>
      <c r="DE1856" s="4"/>
      <c r="DF1856" s="4"/>
      <c r="DG1856" s="4"/>
      <c r="DH1856" s="4"/>
      <c r="DI1856" s="4"/>
      <c r="DJ1856" s="4"/>
      <c r="DK1856" s="4"/>
      <c r="DL1856" s="4"/>
      <c r="DM1856" s="4"/>
      <c r="DN1856" s="4"/>
      <c r="DO1856" s="4"/>
      <c r="DP1856" s="4"/>
      <c r="DQ1856" s="4"/>
      <c r="DR1856" s="4"/>
      <c r="DS1856" s="4"/>
    </row>
    <row r="1857">
      <c r="A1857" s="4"/>
      <c r="B1857" s="4"/>
      <c r="C1857" s="4"/>
      <c r="D1857" s="4"/>
      <c r="E1857" s="4"/>
      <c r="F1857" s="4" t="s">
        <v>17</v>
      </c>
      <c r="G1857" s="15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  <c r="AA1857" s="4"/>
      <c r="AB1857" s="4"/>
      <c r="AC1857" s="4"/>
      <c r="AD1857" s="4"/>
      <c r="AE1857" s="4"/>
      <c r="AF1857" s="4"/>
      <c r="AG1857" s="4"/>
      <c r="AH1857" s="4"/>
      <c r="AI1857" s="4"/>
      <c r="AJ1857" s="4"/>
      <c r="AK1857" s="4"/>
      <c r="AL1857" s="4"/>
      <c r="AM1857" s="4"/>
      <c r="AN1857" s="4"/>
      <c r="AO1857" s="4"/>
      <c r="AP1857" s="4"/>
      <c r="AQ1857" s="4"/>
      <c r="AR1857" s="4"/>
      <c r="AS1857" s="4"/>
      <c r="AT1857" s="4"/>
      <c r="AU1857" s="4"/>
      <c r="AV1857" s="4"/>
      <c r="AW1857" s="4"/>
      <c r="AX1857" s="4"/>
      <c r="AY1857" s="4"/>
      <c r="AZ1857" s="4"/>
      <c r="BA1857" s="4"/>
      <c r="BB1857" s="4"/>
      <c r="BC1857" s="4"/>
      <c r="BD1857" s="4"/>
      <c r="BE1857" s="4"/>
      <c r="BF1857" s="4"/>
      <c r="BG1857" s="4"/>
      <c r="BH1857" s="4"/>
      <c r="BI1857" s="4"/>
      <c r="BJ1857" s="4"/>
      <c r="BK1857" s="4"/>
      <c r="BL1857" s="4"/>
      <c r="BM1857" s="4"/>
      <c r="BN1857" s="4"/>
      <c r="BO1857" s="4"/>
      <c r="BP1857" s="4"/>
      <c r="BQ1857" s="4"/>
      <c r="BR1857" s="4"/>
      <c r="BS1857" s="4"/>
      <c r="BT1857" s="4"/>
      <c r="BU1857" s="4"/>
      <c r="BV1857" s="4"/>
      <c r="BW1857" s="4"/>
      <c r="BX1857" s="4"/>
      <c r="BY1857" s="4"/>
      <c r="BZ1857" s="4"/>
      <c r="CA1857" s="4"/>
      <c r="CB1857" s="4"/>
      <c r="CC1857" s="4"/>
      <c r="CD1857" s="4"/>
      <c r="CE1857" s="4"/>
      <c r="CF1857" s="4"/>
      <c r="CG1857" s="4"/>
      <c r="CH1857" s="4"/>
      <c r="CI1857" s="4"/>
      <c r="CJ1857" s="4"/>
      <c r="CK1857" s="4"/>
      <c r="CL1857" s="4"/>
      <c r="CM1857" s="4"/>
      <c r="CN1857" s="4"/>
      <c r="CO1857" s="4"/>
      <c r="CP1857" s="4"/>
      <c r="CQ1857" s="4"/>
      <c r="CR1857" s="4"/>
      <c r="CS1857" s="4"/>
      <c r="CT1857" s="4"/>
      <c r="CU1857" s="4"/>
      <c r="CV1857" s="4"/>
      <c r="CW1857" s="4"/>
      <c r="CX1857" s="4"/>
      <c r="CY1857" s="4"/>
      <c r="CZ1857" s="4"/>
      <c r="DA1857" s="4"/>
      <c r="DB1857" s="4"/>
      <c r="DC1857" s="4"/>
      <c r="DD1857" s="4"/>
      <c r="DE1857" s="4"/>
      <c r="DF1857" s="4"/>
      <c r="DG1857" s="4"/>
      <c r="DH1857" s="4"/>
      <c r="DI1857" s="4"/>
      <c r="DJ1857" s="4"/>
      <c r="DK1857" s="4"/>
      <c r="DL1857" s="4"/>
      <c r="DM1857" s="4"/>
      <c r="DN1857" s="4"/>
      <c r="DO1857" s="4"/>
      <c r="DP1857" s="4"/>
      <c r="DQ1857" s="4"/>
      <c r="DR1857" s="4"/>
      <c r="DS1857" s="4"/>
    </row>
    <row r="1858">
      <c r="A1858" s="4"/>
      <c r="B1858" s="4"/>
      <c r="C1858" s="4"/>
      <c r="D1858" s="4"/>
      <c r="E1858" s="4"/>
      <c r="F1858" s="4" t="s">
        <v>17</v>
      </c>
      <c r="G1858" s="15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  <c r="AA1858" s="4"/>
      <c r="AB1858" s="4"/>
      <c r="AC1858" s="4"/>
      <c r="AD1858" s="4"/>
      <c r="AE1858" s="4"/>
      <c r="AF1858" s="4"/>
      <c r="AG1858" s="4"/>
      <c r="AH1858" s="4"/>
      <c r="AI1858" s="4"/>
      <c r="AJ1858" s="4"/>
      <c r="AK1858" s="4"/>
      <c r="AL1858" s="4"/>
      <c r="AM1858" s="4"/>
      <c r="AN1858" s="4"/>
      <c r="AO1858" s="4"/>
      <c r="AP1858" s="4"/>
      <c r="AQ1858" s="4"/>
      <c r="AR1858" s="4"/>
      <c r="AS1858" s="4"/>
      <c r="AT1858" s="4"/>
      <c r="AU1858" s="4"/>
      <c r="AV1858" s="4"/>
      <c r="AW1858" s="4"/>
      <c r="AX1858" s="4"/>
      <c r="AY1858" s="4"/>
      <c r="AZ1858" s="4"/>
      <c r="BA1858" s="4"/>
      <c r="BB1858" s="4"/>
      <c r="BC1858" s="4"/>
      <c r="BD1858" s="4"/>
      <c r="BE1858" s="4"/>
      <c r="BF1858" s="4"/>
      <c r="BG1858" s="4"/>
      <c r="BH1858" s="4"/>
      <c r="BI1858" s="4"/>
      <c r="BJ1858" s="4"/>
      <c r="BK1858" s="4"/>
      <c r="BL1858" s="4"/>
      <c r="BM1858" s="4"/>
      <c r="BN1858" s="4"/>
      <c r="BO1858" s="4"/>
      <c r="BP1858" s="4"/>
      <c r="BQ1858" s="4"/>
      <c r="BR1858" s="4"/>
      <c r="BS1858" s="4"/>
      <c r="BT1858" s="4"/>
      <c r="BU1858" s="4"/>
      <c r="BV1858" s="4"/>
      <c r="BW1858" s="4"/>
      <c r="BX1858" s="4"/>
      <c r="BY1858" s="4"/>
      <c r="BZ1858" s="4"/>
      <c r="CA1858" s="4"/>
      <c r="CB1858" s="4"/>
      <c r="CC1858" s="4"/>
      <c r="CD1858" s="4"/>
      <c r="CE1858" s="4"/>
      <c r="CF1858" s="4"/>
      <c r="CG1858" s="4"/>
      <c r="CH1858" s="4"/>
      <c r="CI1858" s="4"/>
      <c r="CJ1858" s="4"/>
      <c r="CK1858" s="4"/>
      <c r="CL1858" s="4"/>
      <c r="CM1858" s="4"/>
      <c r="CN1858" s="4"/>
      <c r="CO1858" s="4"/>
      <c r="CP1858" s="4"/>
      <c r="CQ1858" s="4"/>
      <c r="CR1858" s="4"/>
      <c r="CS1858" s="4"/>
      <c r="CT1858" s="4"/>
      <c r="CU1858" s="4"/>
      <c r="CV1858" s="4"/>
      <c r="CW1858" s="4"/>
      <c r="CX1858" s="4"/>
      <c r="CY1858" s="4"/>
      <c r="CZ1858" s="4"/>
      <c r="DA1858" s="4"/>
      <c r="DB1858" s="4"/>
      <c r="DC1858" s="4"/>
      <c r="DD1858" s="4"/>
      <c r="DE1858" s="4"/>
      <c r="DF1858" s="4"/>
      <c r="DG1858" s="4"/>
      <c r="DH1858" s="4"/>
      <c r="DI1858" s="4"/>
      <c r="DJ1858" s="4"/>
      <c r="DK1858" s="4"/>
      <c r="DL1858" s="4"/>
      <c r="DM1858" s="4"/>
      <c r="DN1858" s="4"/>
      <c r="DO1858" s="4"/>
      <c r="DP1858" s="4"/>
      <c r="DQ1858" s="4"/>
      <c r="DR1858" s="4"/>
      <c r="DS1858" s="4"/>
    </row>
    <row r="1859">
      <c r="A1859" s="4"/>
      <c r="B1859" s="4"/>
      <c r="C1859" s="4"/>
      <c r="D1859" s="4"/>
      <c r="E1859" s="4"/>
      <c r="F1859" s="4" t="s">
        <v>17</v>
      </c>
      <c r="G1859" s="15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  <c r="AA1859" s="4"/>
      <c r="AB1859" s="4"/>
      <c r="AC1859" s="4"/>
      <c r="AD1859" s="4"/>
      <c r="AE1859" s="4"/>
      <c r="AF1859" s="4"/>
      <c r="AG1859" s="4"/>
      <c r="AH1859" s="4"/>
      <c r="AI1859" s="4"/>
      <c r="AJ1859" s="4"/>
      <c r="AK1859" s="4"/>
      <c r="AL1859" s="4"/>
      <c r="AM1859" s="4"/>
      <c r="AN1859" s="4"/>
      <c r="AO1859" s="4"/>
      <c r="AP1859" s="4"/>
      <c r="AQ1859" s="4"/>
      <c r="AR1859" s="4"/>
      <c r="AS1859" s="4"/>
      <c r="AT1859" s="4"/>
      <c r="AU1859" s="4"/>
      <c r="AV1859" s="4"/>
      <c r="AW1859" s="4"/>
      <c r="AX1859" s="4"/>
      <c r="AY1859" s="4"/>
      <c r="AZ1859" s="4"/>
      <c r="BA1859" s="4"/>
      <c r="BB1859" s="4"/>
      <c r="BC1859" s="4"/>
      <c r="BD1859" s="4"/>
      <c r="BE1859" s="4"/>
      <c r="BF1859" s="4"/>
      <c r="BG1859" s="4"/>
      <c r="BH1859" s="4"/>
      <c r="BI1859" s="4"/>
      <c r="BJ1859" s="4"/>
      <c r="BK1859" s="4"/>
      <c r="BL1859" s="4"/>
      <c r="BM1859" s="4"/>
      <c r="BN1859" s="4"/>
      <c r="BO1859" s="4"/>
      <c r="BP1859" s="4"/>
      <c r="BQ1859" s="4"/>
      <c r="BR1859" s="4"/>
      <c r="BS1859" s="4"/>
      <c r="BT1859" s="4"/>
      <c r="BU1859" s="4"/>
      <c r="BV1859" s="4"/>
      <c r="BW1859" s="4"/>
      <c r="BX1859" s="4"/>
      <c r="BY1859" s="4"/>
      <c r="BZ1859" s="4"/>
      <c r="CA1859" s="4"/>
      <c r="CB1859" s="4"/>
      <c r="CC1859" s="4"/>
      <c r="CD1859" s="4"/>
      <c r="CE1859" s="4"/>
      <c r="CF1859" s="4"/>
      <c r="CG1859" s="4"/>
      <c r="CH1859" s="4"/>
      <c r="CI1859" s="4"/>
      <c r="CJ1859" s="4"/>
      <c r="CK1859" s="4"/>
      <c r="CL1859" s="4"/>
      <c r="CM1859" s="4"/>
      <c r="CN1859" s="4"/>
      <c r="CO1859" s="4"/>
      <c r="CP1859" s="4"/>
      <c r="CQ1859" s="4"/>
      <c r="CR1859" s="4"/>
      <c r="CS1859" s="4"/>
      <c r="CT1859" s="4"/>
      <c r="CU1859" s="4"/>
      <c r="CV1859" s="4"/>
      <c r="CW1859" s="4"/>
      <c r="CX1859" s="4"/>
      <c r="CY1859" s="4"/>
      <c r="CZ1859" s="4"/>
      <c r="DA1859" s="4"/>
      <c r="DB1859" s="4"/>
      <c r="DC1859" s="4"/>
      <c r="DD1859" s="4"/>
      <c r="DE1859" s="4"/>
      <c r="DF1859" s="4"/>
      <c r="DG1859" s="4"/>
      <c r="DH1859" s="4"/>
      <c r="DI1859" s="4"/>
      <c r="DJ1859" s="4"/>
      <c r="DK1859" s="4"/>
      <c r="DL1859" s="4"/>
      <c r="DM1859" s="4"/>
      <c r="DN1859" s="4"/>
      <c r="DO1859" s="4"/>
      <c r="DP1859" s="4"/>
      <c r="DQ1859" s="4"/>
      <c r="DR1859" s="4"/>
      <c r="DS1859" s="4"/>
    </row>
    <row r="1860">
      <c r="A1860" s="4"/>
      <c r="B1860" s="4"/>
      <c r="C1860" s="4"/>
      <c r="D1860" s="4"/>
      <c r="E1860" s="4"/>
      <c r="F1860" s="4" t="s">
        <v>17</v>
      </c>
      <c r="G1860" s="15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  <c r="AA1860" s="4"/>
      <c r="AB1860" s="4"/>
      <c r="AC1860" s="4"/>
      <c r="AD1860" s="4"/>
      <c r="AE1860" s="4"/>
      <c r="AF1860" s="4"/>
      <c r="AG1860" s="4"/>
      <c r="AH1860" s="4"/>
      <c r="AI1860" s="4"/>
      <c r="AJ1860" s="4"/>
      <c r="AK1860" s="4"/>
      <c r="AL1860" s="4"/>
      <c r="AM1860" s="4"/>
      <c r="AN1860" s="4"/>
      <c r="AO1860" s="4"/>
      <c r="AP1860" s="4"/>
      <c r="AQ1860" s="4"/>
      <c r="AR1860" s="4"/>
      <c r="AS1860" s="4"/>
      <c r="AT1860" s="4"/>
      <c r="AU1860" s="4"/>
      <c r="AV1860" s="4"/>
      <c r="AW1860" s="4"/>
      <c r="AX1860" s="4"/>
      <c r="AY1860" s="4"/>
      <c r="AZ1860" s="4"/>
      <c r="BA1860" s="4"/>
      <c r="BB1860" s="4"/>
      <c r="BC1860" s="4"/>
      <c r="BD1860" s="4"/>
      <c r="BE1860" s="4"/>
      <c r="BF1860" s="4"/>
      <c r="BG1860" s="4"/>
      <c r="BH1860" s="4"/>
      <c r="BI1860" s="4"/>
      <c r="BJ1860" s="4"/>
      <c r="BK1860" s="4"/>
      <c r="BL1860" s="4"/>
      <c r="BM1860" s="4"/>
      <c r="BN1860" s="4"/>
      <c r="BO1860" s="4"/>
      <c r="BP1860" s="4"/>
      <c r="BQ1860" s="4"/>
      <c r="BR1860" s="4"/>
      <c r="BS1860" s="4"/>
      <c r="BT1860" s="4"/>
      <c r="BU1860" s="4"/>
      <c r="BV1860" s="4"/>
      <c r="BW1860" s="4"/>
      <c r="BX1860" s="4"/>
      <c r="BY1860" s="4"/>
      <c r="BZ1860" s="4"/>
      <c r="CA1860" s="4"/>
      <c r="CB1860" s="4"/>
      <c r="CC1860" s="4"/>
      <c r="CD1860" s="4"/>
      <c r="CE1860" s="4"/>
      <c r="CF1860" s="4"/>
      <c r="CG1860" s="4"/>
      <c r="CH1860" s="4"/>
      <c r="CI1860" s="4"/>
      <c r="CJ1860" s="4"/>
      <c r="CK1860" s="4"/>
      <c r="CL1860" s="4"/>
      <c r="CM1860" s="4"/>
      <c r="CN1860" s="4"/>
      <c r="CO1860" s="4"/>
      <c r="CP1860" s="4"/>
      <c r="CQ1860" s="4"/>
      <c r="CR1860" s="4"/>
      <c r="CS1860" s="4"/>
      <c r="CT1860" s="4"/>
      <c r="CU1860" s="4"/>
      <c r="CV1860" s="4"/>
      <c r="CW1860" s="4"/>
      <c r="CX1860" s="4"/>
      <c r="CY1860" s="4"/>
      <c r="CZ1860" s="4"/>
      <c r="DA1860" s="4"/>
      <c r="DB1860" s="4"/>
      <c r="DC1860" s="4"/>
      <c r="DD1860" s="4"/>
      <c r="DE1860" s="4"/>
      <c r="DF1860" s="4"/>
      <c r="DG1860" s="4"/>
      <c r="DH1860" s="4"/>
      <c r="DI1860" s="4"/>
      <c r="DJ1860" s="4"/>
      <c r="DK1860" s="4"/>
      <c r="DL1860" s="4"/>
      <c r="DM1860" s="4"/>
      <c r="DN1860" s="4"/>
      <c r="DO1860" s="4"/>
      <c r="DP1860" s="4"/>
      <c r="DQ1860" s="4"/>
      <c r="DR1860" s="4"/>
      <c r="DS1860" s="4"/>
    </row>
    <row r="1861">
      <c r="A1861" s="4"/>
      <c r="B1861" s="4"/>
      <c r="C1861" s="4"/>
      <c r="D1861" s="4"/>
      <c r="E1861" s="4"/>
      <c r="F1861" s="4" t="s">
        <v>17</v>
      </c>
      <c r="G1861" s="15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  <c r="AA1861" s="4"/>
      <c r="AB1861" s="4"/>
      <c r="AC1861" s="4"/>
      <c r="AD1861" s="4"/>
      <c r="AE1861" s="4"/>
      <c r="AF1861" s="4"/>
      <c r="AG1861" s="4"/>
      <c r="AH1861" s="4"/>
      <c r="AI1861" s="4"/>
      <c r="AJ1861" s="4"/>
      <c r="AK1861" s="4"/>
      <c r="AL1861" s="4"/>
      <c r="AM1861" s="4"/>
      <c r="AN1861" s="4"/>
      <c r="AO1861" s="4"/>
      <c r="AP1861" s="4"/>
      <c r="AQ1861" s="4"/>
      <c r="AR1861" s="4"/>
      <c r="AS1861" s="4"/>
      <c r="AT1861" s="4"/>
      <c r="AU1861" s="4"/>
      <c r="AV1861" s="4"/>
      <c r="AW1861" s="4"/>
      <c r="AX1861" s="4"/>
      <c r="AY1861" s="4"/>
      <c r="AZ1861" s="4"/>
      <c r="BA1861" s="4"/>
      <c r="BB1861" s="4"/>
      <c r="BC1861" s="4"/>
      <c r="BD1861" s="4"/>
      <c r="BE1861" s="4"/>
      <c r="BF1861" s="4"/>
      <c r="BG1861" s="4"/>
      <c r="BH1861" s="4"/>
      <c r="BI1861" s="4"/>
      <c r="BJ1861" s="4"/>
      <c r="BK1861" s="4"/>
      <c r="BL1861" s="4"/>
      <c r="BM1861" s="4"/>
      <c r="BN1861" s="4"/>
      <c r="BO1861" s="4"/>
      <c r="BP1861" s="4"/>
      <c r="BQ1861" s="4"/>
      <c r="BR1861" s="4"/>
      <c r="BS1861" s="4"/>
      <c r="BT1861" s="4"/>
      <c r="BU1861" s="4"/>
      <c r="BV1861" s="4"/>
      <c r="BW1861" s="4"/>
      <c r="BX1861" s="4"/>
      <c r="BY1861" s="4"/>
      <c r="BZ1861" s="4"/>
      <c r="CA1861" s="4"/>
      <c r="CB1861" s="4"/>
      <c r="CC1861" s="4"/>
      <c r="CD1861" s="4"/>
      <c r="CE1861" s="4"/>
      <c r="CF1861" s="4"/>
      <c r="CG1861" s="4"/>
      <c r="CH1861" s="4"/>
      <c r="CI1861" s="4"/>
      <c r="CJ1861" s="4"/>
      <c r="CK1861" s="4"/>
      <c r="CL1861" s="4"/>
      <c r="CM1861" s="4"/>
      <c r="CN1861" s="4"/>
      <c r="CO1861" s="4"/>
      <c r="CP1861" s="4"/>
      <c r="CQ1861" s="4"/>
      <c r="CR1861" s="4"/>
      <c r="CS1861" s="4"/>
      <c r="CT1861" s="4"/>
      <c r="CU1861" s="4"/>
      <c r="CV1861" s="4"/>
      <c r="CW1861" s="4"/>
      <c r="CX1861" s="4"/>
      <c r="CY1861" s="4"/>
      <c r="CZ1861" s="4"/>
      <c r="DA1861" s="4"/>
      <c r="DB1861" s="4"/>
      <c r="DC1861" s="4"/>
      <c r="DD1861" s="4"/>
      <c r="DE1861" s="4"/>
      <c r="DF1861" s="4"/>
      <c r="DG1861" s="4"/>
      <c r="DH1861" s="4"/>
      <c r="DI1861" s="4"/>
      <c r="DJ1861" s="4"/>
      <c r="DK1861" s="4"/>
      <c r="DL1861" s="4"/>
      <c r="DM1861" s="4"/>
      <c r="DN1861" s="4"/>
      <c r="DO1861" s="4"/>
      <c r="DP1861" s="4"/>
      <c r="DQ1861" s="4"/>
      <c r="DR1861" s="4"/>
      <c r="DS1861" s="4"/>
    </row>
    <row r="1862">
      <c r="A1862" s="4"/>
      <c r="B1862" s="4"/>
      <c r="C1862" s="4"/>
      <c r="D1862" s="4"/>
      <c r="E1862" s="4"/>
      <c r="F1862" s="4" t="s">
        <v>17</v>
      </c>
      <c r="G1862" s="15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  <c r="AA1862" s="4"/>
      <c r="AB1862" s="4"/>
      <c r="AC1862" s="4"/>
      <c r="AD1862" s="4"/>
      <c r="AE1862" s="4"/>
      <c r="AF1862" s="4"/>
      <c r="AG1862" s="4"/>
      <c r="AH1862" s="4"/>
      <c r="AI1862" s="4"/>
      <c r="AJ1862" s="4"/>
      <c r="AK1862" s="4"/>
      <c r="AL1862" s="4"/>
      <c r="AM1862" s="4"/>
      <c r="AN1862" s="4"/>
      <c r="AO1862" s="4"/>
      <c r="AP1862" s="4"/>
      <c r="AQ1862" s="4"/>
      <c r="AR1862" s="4"/>
      <c r="AS1862" s="4"/>
      <c r="AT1862" s="4"/>
      <c r="AU1862" s="4"/>
      <c r="AV1862" s="4"/>
      <c r="AW1862" s="4"/>
      <c r="AX1862" s="4"/>
      <c r="AY1862" s="4"/>
      <c r="AZ1862" s="4"/>
      <c r="BA1862" s="4"/>
      <c r="BB1862" s="4"/>
      <c r="BC1862" s="4"/>
      <c r="BD1862" s="4"/>
      <c r="BE1862" s="4"/>
      <c r="BF1862" s="4"/>
      <c r="BG1862" s="4"/>
      <c r="BH1862" s="4"/>
      <c r="BI1862" s="4"/>
      <c r="BJ1862" s="4"/>
      <c r="BK1862" s="4"/>
      <c r="BL1862" s="4"/>
      <c r="BM1862" s="4"/>
      <c r="BN1862" s="4"/>
      <c r="BO1862" s="4"/>
      <c r="BP1862" s="4"/>
      <c r="BQ1862" s="4"/>
      <c r="BR1862" s="4"/>
      <c r="BS1862" s="4"/>
      <c r="BT1862" s="4"/>
      <c r="BU1862" s="4"/>
      <c r="BV1862" s="4"/>
      <c r="BW1862" s="4"/>
      <c r="BX1862" s="4"/>
      <c r="BY1862" s="4"/>
      <c r="BZ1862" s="4"/>
      <c r="CA1862" s="4"/>
      <c r="CB1862" s="4"/>
      <c r="CC1862" s="4"/>
      <c r="CD1862" s="4"/>
      <c r="CE1862" s="4"/>
      <c r="CF1862" s="4"/>
      <c r="CG1862" s="4"/>
      <c r="CH1862" s="4"/>
      <c r="CI1862" s="4"/>
      <c r="CJ1862" s="4"/>
      <c r="CK1862" s="4"/>
      <c r="CL1862" s="4"/>
      <c r="CM1862" s="4"/>
      <c r="CN1862" s="4"/>
      <c r="CO1862" s="4"/>
      <c r="CP1862" s="4"/>
      <c r="CQ1862" s="4"/>
      <c r="CR1862" s="4"/>
      <c r="CS1862" s="4"/>
      <c r="CT1862" s="4"/>
      <c r="CU1862" s="4"/>
      <c r="CV1862" s="4"/>
      <c r="CW1862" s="4"/>
      <c r="CX1862" s="4"/>
      <c r="CY1862" s="4"/>
      <c r="CZ1862" s="4"/>
      <c r="DA1862" s="4"/>
      <c r="DB1862" s="4"/>
      <c r="DC1862" s="4"/>
      <c r="DD1862" s="4"/>
      <c r="DE1862" s="4"/>
      <c r="DF1862" s="4"/>
      <c r="DG1862" s="4"/>
      <c r="DH1862" s="4"/>
      <c r="DI1862" s="4"/>
      <c r="DJ1862" s="4"/>
      <c r="DK1862" s="4"/>
      <c r="DL1862" s="4"/>
      <c r="DM1862" s="4"/>
      <c r="DN1862" s="4"/>
      <c r="DO1862" s="4"/>
      <c r="DP1862" s="4"/>
      <c r="DQ1862" s="4"/>
      <c r="DR1862" s="4"/>
      <c r="DS1862" s="4"/>
    </row>
    <row r="1863">
      <c r="A1863" s="4"/>
      <c r="B1863" s="4"/>
      <c r="C1863" s="4"/>
      <c r="D1863" s="4"/>
      <c r="E1863" s="4"/>
      <c r="F1863" s="4" t="s">
        <v>17</v>
      </c>
      <c r="G1863" s="15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  <c r="AA1863" s="4"/>
      <c r="AB1863" s="4"/>
      <c r="AC1863" s="4"/>
      <c r="AD1863" s="4"/>
      <c r="AE1863" s="4"/>
      <c r="AF1863" s="4"/>
      <c r="AG1863" s="4"/>
      <c r="AH1863" s="4"/>
      <c r="AI1863" s="4"/>
      <c r="AJ1863" s="4"/>
      <c r="AK1863" s="4"/>
      <c r="AL1863" s="4"/>
      <c r="AM1863" s="4"/>
      <c r="AN1863" s="4"/>
      <c r="AO1863" s="4"/>
      <c r="AP1863" s="4"/>
      <c r="AQ1863" s="4"/>
      <c r="AR1863" s="4"/>
      <c r="AS1863" s="4"/>
      <c r="AT1863" s="4"/>
      <c r="AU1863" s="4"/>
      <c r="AV1863" s="4"/>
      <c r="AW1863" s="4"/>
      <c r="AX1863" s="4"/>
      <c r="AY1863" s="4"/>
      <c r="AZ1863" s="4"/>
      <c r="BA1863" s="4"/>
      <c r="BB1863" s="4"/>
      <c r="BC1863" s="4"/>
      <c r="BD1863" s="4"/>
      <c r="BE1863" s="4"/>
      <c r="BF1863" s="4"/>
      <c r="BG1863" s="4"/>
      <c r="BH1863" s="4"/>
      <c r="BI1863" s="4"/>
      <c r="BJ1863" s="4"/>
      <c r="BK1863" s="4"/>
      <c r="BL1863" s="4"/>
      <c r="BM1863" s="4"/>
      <c r="BN1863" s="4"/>
      <c r="BO1863" s="4"/>
      <c r="BP1863" s="4"/>
      <c r="BQ1863" s="4"/>
      <c r="BR1863" s="4"/>
      <c r="BS1863" s="4"/>
      <c r="BT1863" s="4"/>
      <c r="BU1863" s="4"/>
      <c r="BV1863" s="4"/>
      <c r="BW1863" s="4"/>
      <c r="BX1863" s="4"/>
      <c r="BY1863" s="4"/>
      <c r="BZ1863" s="4"/>
      <c r="CA1863" s="4"/>
      <c r="CB1863" s="4"/>
      <c r="CC1863" s="4"/>
      <c r="CD1863" s="4"/>
      <c r="CE1863" s="4"/>
      <c r="CF1863" s="4"/>
      <c r="CG1863" s="4"/>
      <c r="CH1863" s="4"/>
      <c r="CI1863" s="4"/>
      <c r="CJ1863" s="4"/>
      <c r="CK1863" s="4"/>
      <c r="CL1863" s="4"/>
      <c r="CM1863" s="4"/>
      <c r="CN1863" s="4"/>
      <c r="CO1863" s="4"/>
      <c r="CP1863" s="4"/>
      <c r="CQ1863" s="4"/>
      <c r="CR1863" s="4"/>
      <c r="CS1863" s="4"/>
      <c r="CT1863" s="4"/>
      <c r="CU1863" s="4"/>
      <c r="CV1863" s="4"/>
      <c r="CW1863" s="4"/>
      <c r="CX1863" s="4"/>
      <c r="CY1863" s="4"/>
      <c r="CZ1863" s="4"/>
      <c r="DA1863" s="4"/>
      <c r="DB1863" s="4"/>
      <c r="DC1863" s="4"/>
      <c r="DD1863" s="4"/>
      <c r="DE1863" s="4"/>
      <c r="DF1863" s="4"/>
      <c r="DG1863" s="4"/>
      <c r="DH1863" s="4"/>
      <c r="DI1863" s="4"/>
      <c r="DJ1863" s="4"/>
      <c r="DK1863" s="4"/>
      <c r="DL1863" s="4"/>
      <c r="DM1863" s="4"/>
      <c r="DN1863" s="4"/>
      <c r="DO1863" s="4"/>
      <c r="DP1863" s="4"/>
      <c r="DQ1863" s="4"/>
      <c r="DR1863" s="4"/>
      <c r="DS1863" s="4"/>
    </row>
    <row r="1864">
      <c r="A1864" s="4"/>
      <c r="B1864" s="4"/>
      <c r="C1864" s="4"/>
      <c r="D1864" s="4"/>
      <c r="E1864" s="4"/>
      <c r="F1864" s="4" t="s">
        <v>17</v>
      </c>
      <c r="G1864" s="15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  <c r="AA1864" s="4"/>
      <c r="AB1864" s="4"/>
      <c r="AC1864" s="4"/>
      <c r="AD1864" s="4"/>
      <c r="AE1864" s="4"/>
      <c r="AF1864" s="4"/>
      <c r="AG1864" s="4"/>
      <c r="AH1864" s="4"/>
      <c r="AI1864" s="4"/>
      <c r="AJ1864" s="4"/>
      <c r="AK1864" s="4"/>
      <c r="AL1864" s="4"/>
      <c r="AM1864" s="4"/>
      <c r="AN1864" s="4"/>
      <c r="AO1864" s="4"/>
      <c r="AP1864" s="4"/>
      <c r="AQ1864" s="4"/>
      <c r="AR1864" s="4"/>
      <c r="AS1864" s="4"/>
      <c r="AT1864" s="4"/>
      <c r="AU1864" s="4"/>
      <c r="AV1864" s="4"/>
      <c r="AW1864" s="4"/>
      <c r="AX1864" s="4"/>
      <c r="AY1864" s="4"/>
      <c r="AZ1864" s="4"/>
      <c r="BA1864" s="4"/>
      <c r="BB1864" s="4"/>
      <c r="BC1864" s="4"/>
      <c r="BD1864" s="4"/>
      <c r="BE1864" s="4"/>
      <c r="BF1864" s="4"/>
      <c r="BG1864" s="4"/>
      <c r="BH1864" s="4"/>
      <c r="BI1864" s="4"/>
      <c r="BJ1864" s="4"/>
      <c r="BK1864" s="4"/>
      <c r="BL1864" s="4"/>
      <c r="BM1864" s="4"/>
      <c r="BN1864" s="4"/>
      <c r="BO1864" s="4"/>
      <c r="BP1864" s="4"/>
      <c r="BQ1864" s="4"/>
      <c r="BR1864" s="4"/>
      <c r="BS1864" s="4"/>
      <c r="BT1864" s="4"/>
      <c r="BU1864" s="4"/>
      <c r="BV1864" s="4"/>
      <c r="BW1864" s="4"/>
      <c r="BX1864" s="4"/>
      <c r="BY1864" s="4"/>
      <c r="BZ1864" s="4"/>
      <c r="CA1864" s="4"/>
      <c r="CB1864" s="4"/>
      <c r="CC1864" s="4"/>
      <c r="CD1864" s="4"/>
      <c r="CE1864" s="4"/>
      <c r="CF1864" s="4"/>
      <c r="CG1864" s="4"/>
      <c r="CH1864" s="4"/>
      <c r="CI1864" s="4"/>
      <c r="CJ1864" s="4"/>
      <c r="CK1864" s="4"/>
      <c r="CL1864" s="4"/>
      <c r="CM1864" s="4"/>
      <c r="CN1864" s="4"/>
      <c r="CO1864" s="4"/>
      <c r="CP1864" s="4"/>
      <c r="CQ1864" s="4"/>
      <c r="CR1864" s="4"/>
      <c r="CS1864" s="4"/>
      <c r="CT1864" s="4"/>
      <c r="CU1864" s="4"/>
      <c r="CV1864" s="4"/>
      <c r="CW1864" s="4"/>
      <c r="CX1864" s="4"/>
      <c r="CY1864" s="4"/>
      <c r="CZ1864" s="4"/>
      <c r="DA1864" s="4"/>
      <c r="DB1864" s="4"/>
      <c r="DC1864" s="4"/>
      <c r="DD1864" s="4"/>
      <c r="DE1864" s="4"/>
      <c r="DF1864" s="4"/>
      <c r="DG1864" s="4"/>
      <c r="DH1864" s="4"/>
      <c r="DI1864" s="4"/>
      <c r="DJ1864" s="4"/>
      <c r="DK1864" s="4"/>
      <c r="DL1864" s="4"/>
      <c r="DM1864" s="4"/>
      <c r="DN1864" s="4"/>
      <c r="DO1864" s="4"/>
      <c r="DP1864" s="4"/>
      <c r="DQ1864" s="4"/>
      <c r="DR1864" s="4"/>
      <c r="DS1864" s="4"/>
    </row>
    <row r="1865">
      <c r="A1865" s="4"/>
      <c r="B1865" s="4"/>
      <c r="C1865" s="4"/>
      <c r="D1865" s="4"/>
      <c r="E1865" s="4"/>
      <c r="F1865" s="4" t="s">
        <v>17</v>
      </c>
      <c r="G1865" s="15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  <c r="AA1865" s="4"/>
      <c r="AB1865" s="4"/>
      <c r="AC1865" s="4"/>
      <c r="AD1865" s="4"/>
      <c r="AE1865" s="4"/>
      <c r="AF1865" s="4"/>
      <c r="AG1865" s="4"/>
      <c r="AH1865" s="4"/>
      <c r="AI1865" s="4"/>
      <c r="AJ1865" s="4"/>
      <c r="AK1865" s="4"/>
      <c r="AL1865" s="4"/>
      <c r="AM1865" s="4"/>
      <c r="AN1865" s="4"/>
      <c r="AO1865" s="4"/>
      <c r="AP1865" s="4"/>
      <c r="AQ1865" s="4"/>
      <c r="AR1865" s="4"/>
      <c r="AS1865" s="4"/>
      <c r="AT1865" s="4"/>
      <c r="AU1865" s="4"/>
      <c r="AV1865" s="4"/>
      <c r="AW1865" s="4"/>
      <c r="AX1865" s="4"/>
      <c r="AY1865" s="4"/>
      <c r="AZ1865" s="4"/>
      <c r="BA1865" s="4"/>
      <c r="BB1865" s="4"/>
      <c r="BC1865" s="4"/>
      <c r="BD1865" s="4"/>
      <c r="BE1865" s="4"/>
      <c r="BF1865" s="4"/>
      <c r="BG1865" s="4"/>
      <c r="BH1865" s="4"/>
      <c r="BI1865" s="4"/>
      <c r="BJ1865" s="4"/>
      <c r="BK1865" s="4"/>
      <c r="BL1865" s="4"/>
      <c r="BM1865" s="4"/>
      <c r="BN1865" s="4"/>
      <c r="BO1865" s="4"/>
      <c r="BP1865" s="4"/>
      <c r="BQ1865" s="4"/>
      <c r="BR1865" s="4"/>
      <c r="BS1865" s="4"/>
      <c r="BT1865" s="4"/>
      <c r="BU1865" s="4"/>
      <c r="BV1865" s="4"/>
      <c r="BW1865" s="4"/>
      <c r="BX1865" s="4"/>
      <c r="BY1865" s="4"/>
      <c r="BZ1865" s="4"/>
      <c r="CA1865" s="4"/>
      <c r="CB1865" s="4"/>
      <c r="CC1865" s="4"/>
      <c r="CD1865" s="4"/>
      <c r="CE1865" s="4"/>
      <c r="CF1865" s="4"/>
      <c r="CG1865" s="4"/>
      <c r="CH1865" s="4"/>
      <c r="CI1865" s="4"/>
      <c r="CJ1865" s="4"/>
      <c r="CK1865" s="4"/>
      <c r="CL1865" s="4"/>
      <c r="CM1865" s="4"/>
      <c r="CN1865" s="4"/>
      <c r="CO1865" s="4"/>
      <c r="CP1865" s="4"/>
      <c r="CQ1865" s="4"/>
      <c r="CR1865" s="4"/>
      <c r="CS1865" s="4"/>
      <c r="CT1865" s="4"/>
      <c r="CU1865" s="4"/>
      <c r="CV1865" s="4"/>
      <c r="CW1865" s="4"/>
      <c r="CX1865" s="4"/>
      <c r="CY1865" s="4"/>
      <c r="CZ1865" s="4"/>
      <c r="DA1865" s="4"/>
      <c r="DB1865" s="4"/>
      <c r="DC1865" s="4"/>
      <c r="DD1865" s="4"/>
      <c r="DE1865" s="4"/>
      <c r="DF1865" s="4"/>
      <c r="DG1865" s="4"/>
      <c r="DH1865" s="4"/>
      <c r="DI1865" s="4"/>
      <c r="DJ1865" s="4"/>
      <c r="DK1865" s="4"/>
      <c r="DL1865" s="4"/>
      <c r="DM1865" s="4"/>
      <c r="DN1865" s="4"/>
      <c r="DO1865" s="4"/>
      <c r="DP1865" s="4"/>
      <c r="DQ1865" s="4"/>
      <c r="DR1865" s="4"/>
      <c r="DS1865" s="4"/>
    </row>
    <row r="1866">
      <c r="A1866" s="4"/>
      <c r="B1866" s="4"/>
      <c r="C1866" s="4"/>
      <c r="D1866" s="4"/>
      <c r="E1866" s="4"/>
      <c r="F1866" s="4" t="s">
        <v>17</v>
      </c>
      <c r="G1866" s="15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  <c r="AA1866" s="4"/>
      <c r="AB1866" s="4"/>
      <c r="AC1866" s="4"/>
      <c r="AD1866" s="4"/>
      <c r="AE1866" s="4"/>
      <c r="AF1866" s="4"/>
      <c r="AG1866" s="4"/>
      <c r="AH1866" s="4"/>
      <c r="AI1866" s="4"/>
      <c r="AJ1866" s="4"/>
      <c r="AK1866" s="4"/>
      <c r="AL1866" s="4"/>
      <c r="AM1866" s="4"/>
      <c r="AN1866" s="4"/>
      <c r="AO1866" s="4"/>
      <c r="AP1866" s="4"/>
      <c r="AQ1866" s="4"/>
      <c r="AR1866" s="4"/>
      <c r="AS1866" s="4"/>
      <c r="AT1866" s="4"/>
      <c r="AU1866" s="4"/>
      <c r="AV1866" s="4"/>
      <c r="AW1866" s="4"/>
      <c r="AX1866" s="4"/>
      <c r="AY1866" s="4"/>
      <c r="AZ1866" s="4"/>
      <c r="BA1866" s="4"/>
      <c r="BB1866" s="4"/>
      <c r="BC1866" s="4"/>
      <c r="BD1866" s="4"/>
      <c r="BE1866" s="4"/>
      <c r="BF1866" s="4"/>
      <c r="BG1866" s="4"/>
      <c r="BH1866" s="4"/>
      <c r="BI1866" s="4"/>
      <c r="BJ1866" s="4"/>
      <c r="BK1866" s="4"/>
      <c r="BL1866" s="4"/>
      <c r="BM1866" s="4"/>
      <c r="BN1866" s="4"/>
      <c r="BO1866" s="4"/>
      <c r="BP1866" s="4"/>
      <c r="BQ1866" s="4"/>
      <c r="BR1866" s="4"/>
      <c r="BS1866" s="4"/>
      <c r="BT1866" s="4"/>
      <c r="BU1866" s="4"/>
      <c r="BV1866" s="4"/>
      <c r="BW1866" s="4"/>
      <c r="BX1866" s="4"/>
      <c r="BY1866" s="4"/>
      <c r="BZ1866" s="4"/>
      <c r="CA1866" s="4"/>
      <c r="CB1866" s="4"/>
      <c r="CC1866" s="4"/>
      <c r="CD1866" s="4"/>
      <c r="CE1866" s="4"/>
      <c r="CF1866" s="4"/>
      <c r="CG1866" s="4"/>
      <c r="CH1866" s="4"/>
      <c r="CI1866" s="4"/>
      <c r="CJ1866" s="4"/>
      <c r="CK1866" s="4"/>
      <c r="CL1866" s="4"/>
      <c r="CM1866" s="4"/>
      <c r="CN1866" s="4"/>
      <c r="CO1866" s="4"/>
      <c r="CP1866" s="4"/>
      <c r="CQ1866" s="4"/>
      <c r="CR1866" s="4"/>
      <c r="CS1866" s="4"/>
      <c r="CT1866" s="4"/>
      <c r="CU1866" s="4"/>
      <c r="CV1866" s="4"/>
      <c r="CW1866" s="4"/>
      <c r="CX1866" s="4"/>
      <c r="CY1866" s="4"/>
      <c r="CZ1866" s="4"/>
      <c r="DA1866" s="4"/>
      <c r="DB1866" s="4"/>
      <c r="DC1866" s="4"/>
      <c r="DD1866" s="4"/>
      <c r="DE1866" s="4"/>
      <c r="DF1866" s="4"/>
      <c r="DG1866" s="4"/>
      <c r="DH1866" s="4"/>
      <c r="DI1866" s="4"/>
      <c r="DJ1866" s="4"/>
      <c r="DK1866" s="4"/>
      <c r="DL1866" s="4"/>
      <c r="DM1866" s="4"/>
      <c r="DN1866" s="4"/>
      <c r="DO1866" s="4"/>
      <c r="DP1866" s="4"/>
      <c r="DQ1866" s="4"/>
      <c r="DR1866" s="4"/>
      <c r="DS1866" s="4"/>
    </row>
    <row r="1867">
      <c r="A1867" s="4"/>
      <c r="B1867" s="4"/>
      <c r="C1867" s="4"/>
      <c r="D1867" s="4"/>
      <c r="E1867" s="4"/>
      <c r="F1867" s="4" t="s">
        <v>17</v>
      </c>
      <c r="G1867" s="15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  <c r="AA1867" s="4"/>
      <c r="AB1867" s="4"/>
      <c r="AC1867" s="4"/>
      <c r="AD1867" s="4"/>
      <c r="AE1867" s="4"/>
      <c r="AF1867" s="4"/>
      <c r="AG1867" s="4"/>
      <c r="AH1867" s="4"/>
      <c r="AI1867" s="4"/>
      <c r="AJ1867" s="4"/>
      <c r="AK1867" s="4"/>
      <c r="AL1867" s="4"/>
      <c r="AM1867" s="4"/>
      <c r="AN1867" s="4"/>
      <c r="AO1867" s="4"/>
      <c r="AP1867" s="4"/>
      <c r="AQ1867" s="4"/>
      <c r="AR1867" s="4"/>
      <c r="AS1867" s="4"/>
      <c r="AT1867" s="4"/>
      <c r="AU1867" s="4"/>
      <c r="AV1867" s="4"/>
      <c r="AW1867" s="4"/>
      <c r="AX1867" s="4"/>
      <c r="AY1867" s="4"/>
      <c r="AZ1867" s="4"/>
      <c r="BA1867" s="4"/>
      <c r="BB1867" s="4"/>
      <c r="BC1867" s="4"/>
      <c r="BD1867" s="4"/>
      <c r="BE1867" s="4"/>
      <c r="BF1867" s="4"/>
      <c r="BG1867" s="4"/>
      <c r="BH1867" s="4"/>
      <c r="BI1867" s="4"/>
      <c r="BJ1867" s="4"/>
      <c r="BK1867" s="4"/>
      <c r="BL1867" s="4"/>
      <c r="BM1867" s="4"/>
      <c r="BN1867" s="4"/>
      <c r="BO1867" s="4"/>
      <c r="BP1867" s="4"/>
      <c r="BQ1867" s="4"/>
      <c r="BR1867" s="4"/>
      <c r="BS1867" s="4"/>
      <c r="BT1867" s="4"/>
      <c r="BU1867" s="4"/>
      <c r="BV1867" s="4"/>
      <c r="BW1867" s="4"/>
      <c r="BX1867" s="4"/>
      <c r="BY1867" s="4"/>
      <c r="BZ1867" s="4"/>
      <c r="CA1867" s="4"/>
      <c r="CB1867" s="4"/>
      <c r="CC1867" s="4"/>
      <c r="CD1867" s="4"/>
      <c r="CE1867" s="4"/>
      <c r="CF1867" s="4"/>
      <c r="CG1867" s="4"/>
      <c r="CH1867" s="4"/>
      <c r="CI1867" s="4"/>
      <c r="CJ1867" s="4"/>
      <c r="CK1867" s="4"/>
      <c r="CL1867" s="4"/>
      <c r="CM1867" s="4"/>
      <c r="CN1867" s="4"/>
      <c r="CO1867" s="4"/>
      <c r="CP1867" s="4"/>
      <c r="CQ1867" s="4"/>
      <c r="CR1867" s="4"/>
      <c r="CS1867" s="4"/>
      <c r="CT1867" s="4"/>
      <c r="CU1867" s="4"/>
      <c r="CV1867" s="4"/>
      <c r="CW1867" s="4"/>
      <c r="CX1867" s="4"/>
      <c r="CY1867" s="4"/>
      <c r="CZ1867" s="4"/>
      <c r="DA1867" s="4"/>
      <c r="DB1867" s="4"/>
      <c r="DC1867" s="4"/>
      <c r="DD1867" s="4"/>
      <c r="DE1867" s="4"/>
      <c r="DF1867" s="4"/>
      <c r="DG1867" s="4"/>
      <c r="DH1867" s="4"/>
      <c r="DI1867" s="4"/>
      <c r="DJ1867" s="4"/>
      <c r="DK1867" s="4"/>
      <c r="DL1867" s="4"/>
      <c r="DM1867" s="4"/>
      <c r="DN1867" s="4"/>
      <c r="DO1867" s="4"/>
      <c r="DP1867" s="4"/>
      <c r="DQ1867" s="4"/>
      <c r="DR1867" s="4"/>
      <c r="DS1867" s="4"/>
    </row>
    <row r="1868">
      <c r="A1868" s="4"/>
      <c r="B1868" s="4"/>
      <c r="C1868" s="4"/>
      <c r="D1868" s="4"/>
      <c r="E1868" s="4"/>
      <c r="F1868" s="4" t="s">
        <v>17</v>
      </c>
      <c r="G1868" s="15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  <c r="AA1868" s="4"/>
      <c r="AB1868" s="4"/>
      <c r="AC1868" s="4"/>
      <c r="AD1868" s="4"/>
      <c r="AE1868" s="4"/>
      <c r="AF1868" s="4"/>
      <c r="AG1868" s="4"/>
      <c r="AH1868" s="4"/>
      <c r="AI1868" s="4"/>
      <c r="AJ1868" s="4"/>
      <c r="AK1868" s="4"/>
      <c r="AL1868" s="4"/>
      <c r="AM1868" s="4"/>
      <c r="AN1868" s="4"/>
      <c r="AO1868" s="4"/>
      <c r="AP1868" s="4"/>
      <c r="AQ1868" s="4"/>
      <c r="AR1868" s="4"/>
      <c r="AS1868" s="4"/>
      <c r="AT1868" s="4"/>
      <c r="AU1868" s="4"/>
      <c r="AV1868" s="4"/>
      <c r="AW1868" s="4"/>
      <c r="AX1868" s="4"/>
      <c r="AY1868" s="4"/>
      <c r="AZ1868" s="4"/>
      <c r="BA1868" s="4"/>
      <c r="BB1868" s="4"/>
      <c r="BC1868" s="4"/>
      <c r="BD1868" s="4"/>
      <c r="BE1868" s="4"/>
      <c r="BF1868" s="4"/>
      <c r="BG1868" s="4"/>
      <c r="BH1868" s="4"/>
      <c r="BI1868" s="4"/>
      <c r="BJ1868" s="4"/>
      <c r="BK1868" s="4"/>
      <c r="BL1868" s="4"/>
      <c r="BM1868" s="4"/>
      <c r="BN1868" s="4"/>
      <c r="BO1868" s="4"/>
      <c r="BP1868" s="4"/>
      <c r="BQ1868" s="4"/>
      <c r="BR1868" s="4"/>
      <c r="BS1868" s="4"/>
      <c r="BT1868" s="4"/>
      <c r="BU1868" s="4"/>
      <c r="BV1868" s="4"/>
      <c r="BW1868" s="4"/>
      <c r="BX1868" s="4"/>
      <c r="BY1868" s="4"/>
      <c r="BZ1868" s="4"/>
      <c r="CA1868" s="4"/>
      <c r="CB1868" s="4"/>
      <c r="CC1868" s="4"/>
      <c r="CD1868" s="4"/>
      <c r="CE1868" s="4"/>
      <c r="CF1868" s="4"/>
      <c r="CG1868" s="4"/>
      <c r="CH1868" s="4"/>
      <c r="CI1868" s="4"/>
      <c r="CJ1868" s="4"/>
      <c r="CK1868" s="4"/>
      <c r="CL1868" s="4"/>
      <c r="CM1868" s="4"/>
      <c r="CN1868" s="4"/>
      <c r="CO1868" s="4"/>
      <c r="CP1868" s="4"/>
      <c r="CQ1868" s="4"/>
      <c r="CR1868" s="4"/>
      <c r="CS1868" s="4"/>
      <c r="CT1868" s="4"/>
      <c r="CU1868" s="4"/>
      <c r="CV1868" s="4"/>
      <c r="CW1868" s="4"/>
      <c r="CX1868" s="4"/>
      <c r="CY1868" s="4"/>
      <c r="CZ1868" s="4"/>
      <c r="DA1868" s="4"/>
      <c r="DB1868" s="4"/>
      <c r="DC1868" s="4"/>
      <c r="DD1868" s="4"/>
      <c r="DE1868" s="4"/>
      <c r="DF1868" s="4"/>
      <c r="DG1868" s="4"/>
      <c r="DH1868" s="4"/>
      <c r="DI1868" s="4"/>
      <c r="DJ1868" s="4"/>
      <c r="DK1868" s="4"/>
      <c r="DL1868" s="4"/>
      <c r="DM1868" s="4"/>
      <c r="DN1868" s="4"/>
      <c r="DO1868" s="4"/>
      <c r="DP1868" s="4"/>
      <c r="DQ1868" s="4"/>
      <c r="DR1868" s="4"/>
      <c r="DS1868" s="4"/>
    </row>
    <row r="1869">
      <c r="A1869" s="4"/>
      <c r="B1869" s="4"/>
      <c r="C1869" s="4"/>
      <c r="D1869" s="4"/>
      <c r="E1869" s="4"/>
      <c r="F1869" s="4" t="s">
        <v>17</v>
      </c>
      <c r="G1869" s="15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  <c r="AA1869" s="4"/>
      <c r="AB1869" s="4"/>
      <c r="AC1869" s="4"/>
      <c r="AD1869" s="4"/>
      <c r="AE1869" s="4"/>
      <c r="AF1869" s="4"/>
      <c r="AG1869" s="4"/>
      <c r="AH1869" s="4"/>
      <c r="AI1869" s="4"/>
      <c r="AJ1869" s="4"/>
      <c r="AK1869" s="4"/>
      <c r="AL1869" s="4"/>
      <c r="AM1869" s="4"/>
      <c r="AN1869" s="4"/>
      <c r="AO1869" s="4"/>
      <c r="AP1869" s="4"/>
      <c r="AQ1869" s="4"/>
      <c r="AR1869" s="4"/>
      <c r="AS1869" s="4"/>
      <c r="AT1869" s="4"/>
      <c r="AU1869" s="4"/>
      <c r="AV1869" s="4"/>
      <c r="AW1869" s="4"/>
      <c r="AX1869" s="4"/>
      <c r="AY1869" s="4"/>
      <c r="AZ1869" s="4"/>
      <c r="BA1869" s="4"/>
      <c r="BB1869" s="4"/>
      <c r="BC1869" s="4"/>
      <c r="BD1869" s="4"/>
      <c r="BE1869" s="4"/>
      <c r="BF1869" s="4"/>
      <c r="BG1869" s="4"/>
      <c r="BH1869" s="4"/>
      <c r="BI1869" s="4"/>
      <c r="BJ1869" s="4"/>
      <c r="BK1869" s="4"/>
      <c r="BL1869" s="4"/>
      <c r="BM1869" s="4"/>
      <c r="BN1869" s="4"/>
      <c r="BO1869" s="4"/>
      <c r="BP1869" s="4"/>
      <c r="BQ1869" s="4"/>
      <c r="BR1869" s="4"/>
      <c r="BS1869" s="4"/>
      <c r="BT1869" s="4"/>
      <c r="BU1869" s="4"/>
      <c r="BV1869" s="4"/>
      <c r="BW1869" s="4"/>
      <c r="BX1869" s="4"/>
      <c r="BY1869" s="4"/>
      <c r="BZ1869" s="4"/>
      <c r="CA1869" s="4"/>
      <c r="CB1869" s="4"/>
      <c r="CC1869" s="4"/>
      <c r="CD1869" s="4"/>
      <c r="CE1869" s="4"/>
      <c r="CF1869" s="4"/>
      <c r="CG1869" s="4"/>
      <c r="CH1869" s="4"/>
      <c r="CI1869" s="4"/>
      <c r="CJ1869" s="4"/>
      <c r="CK1869" s="4"/>
      <c r="CL1869" s="4"/>
      <c r="CM1869" s="4"/>
      <c r="CN1869" s="4"/>
      <c r="CO1869" s="4"/>
      <c r="CP1869" s="4"/>
      <c r="CQ1869" s="4"/>
      <c r="CR1869" s="4"/>
      <c r="CS1869" s="4"/>
      <c r="CT1869" s="4"/>
      <c r="CU1869" s="4"/>
      <c r="CV1869" s="4"/>
      <c r="CW1869" s="4"/>
      <c r="CX1869" s="4"/>
      <c r="CY1869" s="4"/>
      <c r="CZ1869" s="4"/>
      <c r="DA1869" s="4"/>
      <c r="DB1869" s="4"/>
      <c r="DC1869" s="4"/>
      <c r="DD1869" s="4"/>
      <c r="DE1869" s="4"/>
      <c r="DF1869" s="4"/>
      <c r="DG1869" s="4"/>
      <c r="DH1869" s="4"/>
      <c r="DI1869" s="4"/>
      <c r="DJ1869" s="4"/>
      <c r="DK1869" s="4"/>
      <c r="DL1869" s="4"/>
      <c r="DM1869" s="4"/>
      <c r="DN1869" s="4"/>
      <c r="DO1869" s="4"/>
      <c r="DP1869" s="4"/>
      <c r="DQ1869" s="4"/>
      <c r="DR1869" s="4"/>
      <c r="DS1869" s="4"/>
    </row>
    <row r="1870">
      <c r="A1870" s="4"/>
      <c r="B1870" s="4"/>
      <c r="C1870" s="4"/>
      <c r="D1870" s="4"/>
      <c r="E1870" s="4"/>
      <c r="F1870" s="4" t="s">
        <v>17</v>
      </c>
      <c r="G1870" s="15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  <c r="AA1870" s="4"/>
      <c r="AB1870" s="4"/>
      <c r="AC1870" s="4"/>
      <c r="AD1870" s="4"/>
      <c r="AE1870" s="4"/>
      <c r="AF1870" s="4"/>
      <c r="AG1870" s="4"/>
      <c r="AH1870" s="4"/>
      <c r="AI1870" s="4"/>
      <c r="AJ1870" s="4"/>
      <c r="AK1870" s="4"/>
      <c r="AL1870" s="4"/>
      <c r="AM1870" s="4"/>
      <c r="AN1870" s="4"/>
      <c r="AO1870" s="4"/>
      <c r="AP1870" s="4"/>
      <c r="AQ1870" s="4"/>
      <c r="AR1870" s="4"/>
      <c r="AS1870" s="4"/>
      <c r="AT1870" s="4"/>
      <c r="AU1870" s="4"/>
      <c r="AV1870" s="4"/>
      <c r="AW1870" s="4"/>
      <c r="AX1870" s="4"/>
      <c r="AY1870" s="4"/>
      <c r="AZ1870" s="4"/>
      <c r="BA1870" s="4"/>
      <c r="BB1870" s="4"/>
      <c r="BC1870" s="4"/>
      <c r="BD1870" s="4"/>
      <c r="BE1870" s="4"/>
      <c r="BF1870" s="4"/>
      <c r="BG1870" s="4"/>
      <c r="BH1870" s="4"/>
      <c r="BI1870" s="4"/>
      <c r="BJ1870" s="4"/>
      <c r="BK1870" s="4"/>
      <c r="BL1870" s="4"/>
      <c r="BM1870" s="4"/>
      <c r="BN1870" s="4"/>
      <c r="BO1870" s="4"/>
      <c r="BP1870" s="4"/>
      <c r="BQ1870" s="4"/>
      <c r="BR1870" s="4"/>
      <c r="BS1870" s="4"/>
      <c r="BT1870" s="4"/>
      <c r="BU1870" s="4"/>
      <c r="BV1870" s="4"/>
      <c r="BW1870" s="4"/>
      <c r="BX1870" s="4"/>
      <c r="BY1870" s="4"/>
      <c r="BZ1870" s="4"/>
      <c r="CA1870" s="4"/>
      <c r="CB1870" s="4"/>
      <c r="CC1870" s="4"/>
      <c r="CD1870" s="4"/>
      <c r="CE1870" s="4"/>
      <c r="CF1870" s="4"/>
      <c r="CG1870" s="4"/>
      <c r="CH1870" s="4"/>
      <c r="CI1870" s="4"/>
      <c r="CJ1870" s="4"/>
      <c r="CK1870" s="4"/>
      <c r="CL1870" s="4"/>
      <c r="CM1870" s="4"/>
      <c r="CN1870" s="4"/>
      <c r="CO1870" s="4"/>
      <c r="CP1870" s="4"/>
      <c r="CQ1870" s="4"/>
      <c r="CR1870" s="4"/>
      <c r="CS1870" s="4"/>
      <c r="CT1870" s="4"/>
      <c r="CU1870" s="4"/>
      <c r="CV1870" s="4"/>
      <c r="CW1870" s="4"/>
      <c r="CX1870" s="4"/>
      <c r="CY1870" s="4"/>
      <c r="CZ1870" s="4"/>
      <c r="DA1870" s="4"/>
      <c r="DB1870" s="4"/>
      <c r="DC1870" s="4"/>
      <c r="DD1870" s="4"/>
      <c r="DE1870" s="4"/>
      <c r="DF1870" s="4"/>
      <c r="DG1870" s="4"/>
      <c r="DH1870" s="4"/>
      <c r="DI1870" s="4"/>
      <c r="DJ1870" s="4"/>
      <c r="DK1870" s="4"/>
      <c r="DL1870" s="4"/>
      <c r="DM1870" s="4"/>
      <c r="DN1870" s="4"/>
      <c r="DO1870" s="4"/>
      <c r="DP1870" s="4"/>
      <c r="DQ1870" s="4"/>
      <c r="DR1870" s="4"/>
      <c r="DS1870" s="4"/>
    </row>
    <row r="1871">
      <c r="A1871" s="4"/>
      <c r="B1871" s="4"/>
      <c r="C1871" s="4"/>
      <c r="D1871" s="4"/>
      <c r="E1871" s="4"/>
      <c r="F1871" s="4" t="s">
        <v>17</v>
      </c>
      <c r="G1871" s="15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  <c r="AA1871" s="4"/>
      <c r="AB1871" s="4"/>
      <c r="AC1871" s="4"/>
      <c r="AD1871" s="4"/>
      <c r="AE1871" s="4"/>
      <c r="AF1871" s="4"/>
      <c r="AG1871" s="4"/>
      <c r="AH1871" s="4"/>
      <c r="AI1871" s="4"/>
      <c r="AJ1871" s="4"/>
      <c r="AK1871" s="4"/>
      <c r="AL1871" s="4"/>
      <c r="AM1871" s="4"/>
      <c r="AN1871" s="4"/>
      <c r="AO1871" s="4"/>
      <c r="AP1871" s="4"/>
      <c r="AQ1871" s="4"/>
      <c r="AR1871" s="4"/>
      <c r="AS1871" s="4"/>
      <c r="AT1871" s="4"/>
      <c r="AU1871" s="4"/>
      <c r="AV1871" s="4"/>
      <c r="AW1871" s="4"/>
      <c r="AX1871" s="4"/>
      <c r="AY1871" s="4"/>
      <c r="AZ1871" s="4"/>
      <c r="BA1871" s="4"/>
      <c r="BB1871" s="4"/>
      <c r="BC1871" s="4"/>
      <c r="BD1871" s="4"/>
      <c r="BE1871" s="4"/>
      <c r="BF1871" s="4"/>
      <c r="BG1871" s="4"/>
      <c r="BH1871" s="4"/>
      <c r="BI1871" s="4"/>
      <c r="BJ1871" s="4"/>
      <c r="BK1871" s="4"/>
      <c r="BL1871" s="4"/>
      <c r="BM1871" s="4"/>
      <c r="BN1871" s="4"/>
      <c r="BO1871" s="4"/>
      <c r="BP1871" s="4"/>
      <c r="BQ1871" s="4"/>
      <c r="BR1871" s="4"/>
      <c r="BS1871" s="4"/>
      <c r="BT1871" s="4"/>
      <c r="BU1871" s="4"/>
      <c r="BV1871" s="4"/>
      <c r="BW1871" s="4"/>
      <c r="BX1871" s="4"/>
      <c r="BY1871" s="4"/>
      <c r="BZ1871" s="4"/>
      <c r="CA1871" s="4"/>
      <c r="CB1871" s="4"/>
      <c r="CC1871" s="4"/>
      <c r="CD1871" s="4"/>
      <c r="CE1871" s="4"/>
      <c r="CF1871" s="4"/>
      <c r="CG1871" s="4"/>
      <c r="CH1871" s="4"/>
      <c r="CI1871" s="4"/>
      <c r="CJ1871" s="4"/>
      <c r="CK1871" s="4"/>
      <c r="CL1871" s="4"/>
      <c r="CM1871" s="4"/>
      <c r="CN1871" s="4"/>
      <c r="CO1871" s="4"/>
      <c r="CP1871" s="4"/>
      <c r="CQ1871" s="4"/>
      <c r="CR1871" s="4"/>
      <c r="CS1871" s="4"/>
      <c r="CT1871" s="4"/>
      <c r="CU1871" s="4"/>
      <c r="CV1871" s="4"/>
      <c r="CW1871" s="4"/>
      <c r="CX1871" s="4"/>
      <c r="CY1871" s="4"/>
      <c r="CZ1871" s="4"/>
      <c r="DA1871" s="4"/>
      <c r="DB1871" s="4"/>
      <c r="DC1871" s="4"/>
      <c r="DD1871" s="4"/>
      <c r="DE1871" s="4"/>
      <c r="DF1871" s="4"/>
      <c r="DG1871" s="4"/>
      <c r="DH1871" s="4"/>
      <c r="DI1871" s="4"/>
      <c r="DJ1871" s="4"/>
      <c r="DK1871" s="4"/>
      <c r="DL1871" s="4"/>
      <c r="DM1871" s="4"/>
      <c r="DN1871" s="4"/>
      <c r="DO1871" s="4"/>
      <c r="DP1871" s="4"/>
      <c r="DQ1871" s="4"/>
      <c r="DR1871" s="4"/>
      <c r="DS1871" s="4"/>
    </row>
    <row r="1872">
      <c r="A1872" s="4"/>
      <c r="B1872" s="4"/>
      <c r="C1872" s="4"/>
      <c r="D1872" s="4"/>
      <c r="E1872" s="4"/>
      <c r="F1872" s="4" t="s">
        <v>17</v>
      </c>
      <c r="G1872" s="15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  <c r="AA1872" s="4"/>
      <c r="AB1872" s="4"/>
      <c r="AC1872" s="4"/>
      <c r="AD1872" s="4"/>
      <c r="AE1872" s="4"/>
      <c r="AF1872" s="4"/>
      <c r="AG1872" s="4"/>
      <c r="AH1872" s="4"/>
      <c r="AI1872" s="4"/>
      <c r="AJ1872" s="4"/>
      <c r="AK1872" s="4"/>
      <c r="AL1872" s="4"/>
      <c r="AM1872" s="4"/>
      <c r="AN1872" s="4"/>
      <c r="AO1872" s="4"/>
      <c r="AP1872" s="4"/>
      <c r="AQ1872" s="4"/>
      <c r="AR1872" s="4"/>
      <c r="AS1872" s="4"/>
      <c r="AT1872" s="4"/>
      <c r="AU1872" s="4"/>
      <c r="AV1872" s="4"/>
      <c r="AW1872" s="4"/>
      <c r="AX1872" s="4"/>
      <c r="AY1872" s="4"/>
      <c r="AZ1872" s="4"/>
      <c r="BA1872" s="4"/>
      <c r="BB1872" s="4"/>
      <c r="BC1872" s="4"/>
      <c r="BD1872" s="4"/>
      <c r="BE1872" s="4"/>
      <c r="BF1872" s="4"/>
      <c r="BG1872" s="4"/>
      <c r="BH1872" s="4"/>
      <c r="BI1872" s="4"/>
      <c r="BJ1872" s="4"/>
      <c r="BK1872" s="4"/>
      <c r="BL1872" s="4"/>
      <c r="BM1872" s="4"/>
      <c r="BN1872" s="4"/>
      <c r="BO1872" s="4"/>
      <c r="BP1872" s="4"/>
      <c r="BQ1872" s="4"/>
      <c r="BR1872" s="4"/>
      <c r="BS1872" s="4"/>
      <c r="BT1872" s="4"/>
      <c r="BU1872" s="4"/>
      <c r="BV1872" s="4"/>
      <c r="BW1872" s="4"/>
      <c r="BX1872" s="4"/>
      <c r="BY1872" s="4"/>
      <c r="BZ1872" s="4"/>
      <c r="CA1872" s="4"/>
      <c r="CB1872" s="4"/>
      <c r="CC1872" s="4"/>
      <c r="CD1872" s="4"/>
      <c r="CE1872" s="4"/>
      <c r="CF1872" s="4"/>
      <c r="CG1872" s="4"/>
      <c r="CH1872" s="4"/>
      <c r="CI1872" s="4"/>
      <c r="CJ1872" s="4"/>
      <c r="CK1872" s="4"/>
      <c r="CL1872" s="4"/>
      <c r="CM1872" s="4"/>
      <c r="CN1872" s="4"/>
      <c r="CO1872" s="4"/>
      <c r="CP1872" s="4"/>
      <c r="CQ1872" s="4"/>
      <c r="CR1872" s="4"/>
      <c r="CS1872" s="4"/>
      <c r="CT1872" s="4"/>
      <c r="CU1872" s="4"/>
      <c r="CV1872" s="4"/>
      <c r="CW1872" s="4"/>
      <c r="CX1872" s="4"/>
      <c r="CY1872" s="4"/>
      <c r="CZ1872" s="4"/>
      <c r="DA1872" s="4"/>
      <c r="DB1872" s="4"/>
      <c r="DC1872" s="4"/>
      <c r="DD1872" s="4"/>
      <c r="DE1872" s="4"/>
      <c r="DF1872" s="4"/>
      <c r="DG1872" s="4"/>
      <c r="DH1872" s="4"/>
      <c r="DI1872" s="4"/>
      <c r="DJ1872" s="4"/>
      <c r="DK1872" s="4"/>
      <c r="DL1872" s="4"/>
      <c r="DM1872" s="4"/>
      <c r="DN1872" s="4"/>
      <c r="DO1872" s="4"/>
      <c r="DP1872" s="4"/>
      <c r="DQ1872" s="4"/>
      <c r="DR1872" s="4"/>
      <c r="DS1872" s="4"/>
    </row>
    <row r="1873">
      <c r="A1873" s="4"/>
      <c r="B1873" s="4"/>
      <c r="C1873" s="4"/>
      <c r="D1873" s="4"/>
      <c r="E1873" s="4"/>
      <c r="F1873" s="4" t="s">
        <v>17</v>
      </c>
      <c r="G1873" s="15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  <c r="AA1873" s="4"/>
      <c r="AB1873" s="4"/>
      <c r="AC1873" s="4"/>
      <c r="AD1873" s="4"/>
      <c r="AE1873" s="4"/>
      <c r="AF1873" s="4"/>
      <c r="AG1873" s="4"/>
      <c r="AH1873" s="4"/>
      <c r="AI1873" s="4"/>
      <c r="AJ1873" s="4"/>
      <c r="AK1873" s="4"/>
      <c r="AL1873" s="4"/>
      <c r="AM1873" s="4"/>
      <c r="AN1873" s="4"/>
      <c r="AO1873" s="4"/>
      <c r="AP1873" s="4"/>
      <c r="AQ1873" s="4"/>
      <c r="AR1873" s="4"/>
      <c r="AS1873" s="4"/>
      <c r="AT1873" s="4"/>
      <c r="AU1873" s="4"/>
      <c r="AV1873" s="4"/>
      <c r="AW1873" s="4"/>
      <c r="AX1873" s="4"/>
      <c r="AY1873" s="4"/>
      <c r="AZ1873" s="4"/>
      <c r="BA1873" s="4"/>
      <c r="BB1873" s="4"/>
      <c r="BC1873" s="4"/>
      <c r="BD1873" s="4"/>
      <c r="BE1873" s="4"/>
      <c r="BF1873" s="4"/>
      <c r="BG1873" s="4"/>
      <c r="BH1873" s="4"/>
      <c r="BI1873" s="4"/>
      <c r="BJ1873" s="4"/>
      <c r="BK1873" s="4"/>
      <c r="BL1873" s="4"/>
      <c r="BM1873" s="4"/>
      <c r="BN1873" s="4"/>
      <c r="BO1873" s="4"/>
      <c r="BP1873" s="4"/>
      <c r="BQ1873" s="4"/>
      <c r="BR1873" s="4"/>
      <c r="BS1873" s="4"/>
      <c r="BT1873" s="4"/>
      <c r="BU1873" s="4"/>
      <c r="BV1873" s="4"/>
      <c r="BW1873" s="4"/>
      <c r="BX1873" s="4"/>
      <c r="BY1873" s="4"/>
      <c r="BZ1873" s="4"/>
      <c r="CA1873" s="4"/>
      <c r="CB1873" s="4"/>
      <c r="CC1873" s="4"/>
      <c r="CD1873" s="4"/>
      <c r="CE1873" s="4"/>
      <c r="CF1873" s="4"/>
      <c r="CG1873" s="4"/>
      <c r="CH1873" s="4"/>
      <c r="CI1873" s="4"/>
      <c r="CJ1873" s="4"/>
      <c r="CK1873" s="4"/>
      <c r="CL1873" s="4"/>
      <c r="CM1873" s="4"/>
      <c r="CN1873" s="4"/>
      <c r="CO1873" s="4"/>
      <c r="CP1873" s="4"/>
      <c r="CQ1873" s="4"/>
      <c r="CR1873" s="4"/>
      <c r="CS1873" s="4"/>
      <c r="CT1873" s="4"/>
      <c r="CU1873" s="4"/>
      <c r="CV1873" s="4"/>
      <c r="CW1873" s="4"/>
      <c r="CX1873" s="4"/>
      <c r="CY1873" s="4"/>
      <c r="CZ1873" s="4"/>
      <c r="DA1873" s="4"/>
      <c r="DB1873" s="4"/>
      <c r="DC1873" s="4"/>
      <c r="DD1873" s="4"/>
      <c r="DE1873" s="4"/>
      <c r="DF1873" s="4"/>
      <c r="DG1873" s="4"/>
      <c r="DH1873" s="4"/>
      <c r="DI1873" s="4"/>
      <c r="DJ1873" s="4"/>
      <c r="DK1873" s="4"/>
      <c r="DL1873" s="4"/>
      <c r="DM1873" s="4"/>
      <c r="DN1873" s="4"/>
      <c r="DO1873" s="4"/>
      <c r="DP1873" s="4"/>
      <c r="DQ1873" s="4"/>
      <c r="DR1873" s="4"/>
      <c r="DS1873" s="4"/>
    </row>
    <row r="1874">
      <c r="A1874" s="4"/>
      <c r="B1874" s="4"/>
      <c r="C1874" s="4"/>
      <c r="D1874" s="4"/>
      <c r="E1874" s="4"/>
      <c r="F1874" s="4" t="s">
        <v>17</v>
      </c>
      <c r="G1874" s="15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  <c r="AA1874" s="4"/>
      <c r="AB1874" s="4"/>
      <c r="AC1874" s="4"/>
      <c r="AD1874" s="4"/>
      <c r="AE1874" s="4"/>
      <c r="AF1874" s="4"/>
      <c r="AG1874" s="4"/>
      <c r="AH1874" s="4"/>
      <c r="AI1874" s="4"/>
      <c r="AJ1874" s="4"/>
      <c r="AK1874" s="4"/>
      <c r="AL1874" s="4"/>
      <c r="AM1874" s="4"/>
      <c r="AN1874" s="4"/>
      <c r="AO1874" s="4"/>
      <c r="AP1874" s="4"/>
      <c r="AQ1874" s="4"/>
      <c r="AR1874" s="4"/>
      <c r="AS1874" s="4"/>
      <c r="AT1874" s="4"/>
      <c r="AU1874" s="4"/>
      <c r="AV1874" s="4"/>
      <c r="AW1874" s="4"/>
      <c r="AX1874" s="4"/>
      <c r="AY1874" s="4"/>
      <c r="AZ1874" s="4"/>
      <c r="BA1874" s="4"/>
      <c r="BB1874" s="4"/>
      <c r="BC1874" s="4"/>
      <c r="BD1874" s="4"/>
      <c r="BE1874" s="4"/>
      <c r="BF1874" s="4"/>
      <c r="BG1874" s="4"/>
      <c r="BH1874" s="4"/>
      <c r="BI1874" s="4"/>
      <c r="BJ1874" s="4"/>
      <c r="BK1874" s="4"/>
      <c r="BL1874" s="4"/>
      <c r="BM1874" s="4"/>
      <c r="BN1874" s="4"/>
      <c r="BO1874" s="4"/>
      <c r="BP1874" s="4"/>
      <c r="BQ1874" s="4"/>
      <c r="BR1874" s="4"/>
      <c r="BS1874" s="4"/>
      <c r="BT1874" s="4"/>
      <c r="BU1874" s="4"/>
      <c r="BV1874" s="4"/>
      <c r="BW1874" s="4"/>
      <c r="BX1874" s="4"/>
      <c r="BY1874" s="4"/>
      <c r="BZ1874" s="4"/>
      <c r="CA1874" s="4"/>
      <c r="CB1874" s="4"/>
      <c r="CC1874" s="4"/>
      <c r="CD1874" s="4"/>
      <c r="CE1874" s="4"/>
      <c r="CF1874" s="4"/>
      <c r="CG1874" s="4"/>
      <c r="CH1874" s="4"/>
      <c r="CI1874" s="4"/>
      <c r="CJ1874" s="4"/>
      <c r="CK1874" s="4"/>
      <c r="CL1874" s="4"/>
      <c r="CM1874" s="4"/>
      <c r="CN1874" s="4"/>
      <c r="CO1874" s="4"/>
      <c r="CP1874" s="4"/>
      <c r="CQ1874" s="4"/>
      <c r="CR1874" s="4"/>
      <c r="CS1874" s="4"/>
      <c r="CT1874" s="4"/>
      <c r="CU1874" s="4"/>
      <c r="CV1874" s="4"/>
      <c r="CW1874" s="4"/>
      <c r="CX1874" s="4"/>
      <c r="CY1874" s="4"/>
      <c r="CZ1874" s="4"/>
      <c r="DA1874" s="4"/>
      <c r="DB1874" s="4"/>
      <c r="DC1874" s="4"/>
      <c r="DD1874" s="4"/>
      <c r="DE1874" s="4"/>
      <c r="DF1874" s="4"/>
      <c r="DG1874" s="4"/>
      <c r="DH1874" s="4"/>
      <c r="DI1874" s="4"/>
      <c r="DJ1874" s="4"/>
      <c r="DK1874" s="4"/>
      <c r="DL1874" s="4"/>
      <c r="DM1874" s="4"/>
      <c r="DN1874" s="4"/>
      <c r="DO1874" s="4"/>
      <c r="DP1874" s="4"/>
      <c r="DQ1874" s="4"/>
      <c r="DR1874" s="4"/>
      <c r="DS1874" s="4"/>
    </row>
    <row r="1875">
      <c r="A1875" s="4"/>
      <c r="B1875" s="4"/>
      <c r="C1875" s="4"/>
      <c r="D1875" s="4"/>
      <c r="E1875" s="4"/>
      <c r="F1875" s="4" t="s">
        <v>17</v>
      </c>
      <c r="G1875" s="15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  <c r="AA1875" s="4"/>
      <c r="AB1875" s="4"/>
      <c r="AC1875" s="4"/>
      <c r="AD1875" s="4"/>
      <c r="AE1875" s="4"/>
      <c r="AF1875" s="4"/>
      <c r="AG1875" s="4"/>
      <c r="AH1875" s="4"/>
      <c r="AI1875" s="4"/>
      <c r="AJ1875" s="4"/>
      <c r="AK1875" s="4"/>
      <c r="AL1875" s="4"/>
      <c r="AM1875" s="4"/>
      <c r="AN1875" s="4"/>
      <c r="AO1875" s="4"/>
      <c r="AP1875" s="4"/>
      <c r="AQ1875" s="4"/>
      <c r="AR1875" s="4"/>
      <c r="AS1875" s="4"/>
      <c r="AT1875" s="4"/>
      <c r="AU1875" s="4"/>
      <c r="AV1875" s="4"/>
      <c r="AW1875" s="4"/>
      <c r="AX1875" s="4"/>
      <c r="AY1875" s="4"/>
      <c r="AZ1875" s="4"/>
      <c r="BA1875" s="4"/>
      <c r="BB1875" s="4"/>
      <c r="BC1875" s="4"/>
      <c r="BD1875" s="4"/>
      <c r="BE1875" s="4"/>
      <c r="BF1875" s="4"/>
      <c r="BG1875" s="4"/>
      <c r="BH1875" s="4"/>
      <c r="BI1875" s="4"/>
      <c r="BJ1875" s="4"/>
      <c r="BK1875" s="4"/>
      <c r="BL1875" s="4"/>
      <c r="BM1875" s="4"/>
      <c r="BN1875" s="4"/>
      <c r="BO1875" s="4"/>
      <c r="BP1875" s="4"/>
      <c r="BQ1875" s="4"/>
      <c r="BR1875" s="4"/>
      <c r="BS1875" s="4"/>
      <c r="BT1875" s="4"/>
      <c r="BU1875" s="4"/>
      <c r="BV1875" s="4"/>
      <c r="BW1875" s="4"/>
      <c r="BX1875" s="4"/>
      <c r="BY1875" s="4"/>
      <c r="BZ1875" s="4"/>
      <c r="CA1875" s="4"/>
      <c r="CB1875" s="4"/>
      <c r="CC1875" s="4"/>
      <c r="CD1875" s="4"/>
      <c r="CE1875" s="4"/>
      <c r="CF1875" s="4"/>
      <c r="CG1875" s="4"/>
      <c r="CH1875" s="4"/>
      <c r="CI1875" s="4"/>
      <c r="CJ1875" s="4"/>
      <c r="CK1875" s="4"/>
      <c r="CL1875" s="4"/>
      <c r="CM1875" s="4"/>
      <c r="CN1875" s="4"/>
      <c r="CO1875" s="4"/>
      <c r="CP1875" s="4"/>
      <c r="CQ1875" s="4"/>
      <c r="CR1875" s="4"/>
      <c r="CS1875" s="4"/>
      <c r="CT1875" s="4"/>
      <c r="CU1875" s="4"/>
      <c r="CV1875" s="4"/>
      <c r="CW1875" s="4"/>
      <c r="CX1875" s="4"/>
      <c r="CY1875" s="4"/>
      <c r="CZ1875" s="4"/>
      <c r="DA1875" s="4"/>
      <c r="DB1875" s="4"/>
      <c r="DC1875" s="4"/>
      <c r="DD1875" s="4"/>
      <c r="DE1875" s="4"/>
      <c r="DF1875" s="4"/>
      <c r="DG1875" s="4"/>
      <c r="DH1875" s="4"/>
      <c r="DI1875" s="4"/>
      <c r="DJ1875" s="4"/>
      <c r="DK1875" s="4"/>
      <c r="DL1875" s="4"/>
      <c r="DM1875" s="4"/>
      <c r="DN1875" s="4"/>
      <c r="DO1875" s="4"/>
      <c r="DP1875" s="4"/>
      <c r="DQ1875" s="4"/>
      <c r="DR1875" s="4"/>
      <c r="DS1875" s="4"/>
    </row>
    <row r="1876">
      <c r="A1876" s="4"/>
      <c r="B1876" s="4"/>
      <c r="C1876" s="4"/>
      <c r="D1876" s="4"/>
      <c r="E1876" s="4"/>
      <c r="F1876" s="4" t="s">
        <v>17</v>
      </c>
      <c r="G1876" s="15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  <c r="AA1876" s="4"/>
      <c r="AB1876" s="4"/>
      <c r="AC1876" s="4"/>
      <c r="AD1876" s="4"/>
      <c r="AE1876" s="4"/>
      <c r="AF1876" s="4"/>
      <c r="AG1876" s="4"/>
      <c r="AH1876" s="4"/>
      <c r="AI1876" s="4"/>
      <c r="AJ1876" s="4"/>
      <c r="AK1876" s="4"/>
      <c r="AL1876" s="4"/>
      <c r="AM1876" s="4"/>
      <c r="AN1876" s="4"/>
      <c r="AO1876" s="4"/>
      <c r="AP1876" s="4"/>
      <c r="AQ1876" s="4"/>
      <c r="AR1876" s="4"/>
      <c r="AS1876" s="4"/>
      <c r="AT1876" s="4"/>
      <c r="AU1876" s="4"/>
      <c r="AV1876" s="4"/>
      <c r="AW1876" s="4"/>
      <c r="AX1876" s="4"/>
      <c r="AY1876" s="4"/>
      <c r="AZ1876" s="4"/>
      <c r="BA1876" s="4"/>
      <c r="BB1876" s="4"/>
      <c r="BC1876" s="4"/>
      <c r="BD1876" s="4"/>
      <c r="BE1876" s="4"/>
      <c r="BF1876" s="4"/>
      <c r="BG1876" s="4"/>
      <c r="BH1876" s="4"/>
      <c r="BI1876" s="4"/>
      <c r="BJ1876" s="4"/>
      <c r="BK1876" s="4"/>
      <c r="BL1876" s="4"/>
      <c r="BM1876" s="4"/>
      <c r="BN1876" s="4"/>
      <c r="BO1876" s="4"/>
      <c r="BP1876" s="4"/>
      <c r="BQ1876" s="4"/>
      <c r="BR1876" s="4"/>
      <c r="BS1876" s="4"/>
      <c r="BT1876" s="4"/>
      <c r="BU1876" s="4"/>
      <c r="BV1876" s="4"/>
      <c r="BW1876" s="4"/>
      <c r="BX1876" s="4"/>
      <c r="BY1876" s="4"/>
      <c r="BZ1876" s="4"/>
      <c r="CA1876" s="4"/>
      <c r="CB1876" s="4"/>
      <c r="CC1876" s="4"/>
      <c r="CD1876" s="4"/>
      <c r="CE1876" s="4"/>
      <c r="CF1876" s="4"/>
      <c r="CG1876" s="4"/>
      <c r="CH1876" s="4"/>
      <c r="CI1876" s="4"/>
      <c r="CJ1876" s="4"/>
      <c r="CK1876" s="4"/>
      <c r="CL1876" s="4"/>
      <c r="CM1876" s="4"/>
      <c r="CN1876" s="4"/>
      <c r="CO1876" s="4"/>
      <c r="CP1876" s="4"/>
      <c r="CQ1876" s="4"/>
      <c r="CR1876" s="4"/>
      <c r="CS1876" s="4"/>
      <c r="CT1876" s="4"/>
      <c r="CU1876" s="4"/>
      <c r="CV1876" s="4"/>
      <c r="CW1876" s="4"/>
      <c r="CX1876" s="4"/>
      <c r="CY1876" s="4"/>
      <c r="CZ1876" s="4"/>
      <c r="DA1876" s="4"/>
      <c r="DB1876" s="4"/>
      <c r="DC1876" s="4"/>
      <c r="DD1876" s="4"/>
      <c r="DE1876" s="4"/>
      <c r="DF1876" s="4"/>
      <c r="DG1876" s="4"/>
      <c r="DH1876" s="4"/>
      <c r="DI1876" s="4"/>
      <c r="DJ1876" s="4"/>
      <c r="DK1876" s="4"/>
      <c r="DL1876" s="4"/>
      <c r="DM1876" s="4"/>
      <c r="DN1876" s="4"/>
      <c r="DO1876" s="4"/>
      <c r="DP1876" s="4"/>
      <c r="DQ1876" s="4"/>
      <c r="DR1876" s="4"/>
      <c r="DS1876" s="4"/>
    </row>
    <row r="1877">
      <c r="A1877" s="4"/>
      <c r="B1877" s="4"/>
      <c r="C1877" s="4"/>
      <c r="D1877" s="4"/>
      <c r="E1877" s="4"/>
      <c r="F1877" s="4" t="s">
        <v>17</v>
      </c>
      <c r="G1877" s="15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  <c r="AA1877" s="4"/>
      <c r="AB1877" s="4"/>
      <c r="AC1877" s="4"/>
      <c r="AD1877" s="4"/>
      <c r="AE1877" s="4"/>
      <c r="AF1877" s="4"/>
      <c r="AG1877" s="4"/>
      <c r="AH1877" s="4"/>
      <c r="AI1877" s="4"/>
      <c r="AJ1877" s="4"/>
      <c r="AK1877" s="4"/>
      <c r="AL1877" s="4"/>
      <c r="AM1877" s="4"/>
      <c r="AN1877" s="4"/>
      <c r="AO1877" s="4"/>
      <c r="AP1877" s="4"/>
      <c r="AQ1877" s="4"/>
      <c r="AR1877" s="4"/>
      <c r="AS1877" s="4"/>
      <c r="AT1877" s="4"/>
      <c r="AU1877" s="4"/>
      <c r="AV1877" s="4"/>
      <c r="AW1877" s="4"/>
      <c r="AX1877" s="4"/>
      <c r="AY1877" s="4"/>
      <c r="AZ1877" s="4"/>
      <c r="BA1877" s="4"/>
      <c r="BB1877" s="4"/>
      <c r="BC1877" s="4"/>
      <c r="BD1877" s="4"/>
      <c r="BE1877" s="4"/>
      <c r="BF1877" s="4"/>
      <c r="BG1877" s="4"/>
      <c r="BH1877" s="4"/>
      <c r="BI1877" s="4"/>
      <c r="BJ1877" s="4"/>
      <c r="BK1877" s="4"/>
      <c r="BL1877" s="4"/>
      <c r="BM1877" s="4"/>
      <c r="BN1877" s="4"/>
      <c r="BO1877" s="4"/>
      <c r="BP1877" s="4"/>
      <c r="BQ1877" s="4"/>
      <c r="BR1877" s="4"/>
      <c r="BS1877" s="4"/>
      <c r="BT1877" s="4"/>
      <c r="BU1877" s="4"/>
      <c r="BV1877" s="4"/>
      <c r="BW1877" s="4"/>
      <c r="BX1877" s="4"/>
      <c r="BY1877" s="4"/>
      <c r="BZ1877" s="4"/>
      <c r="CA1877" s="4"/>
      <c r="CB1877" s="4"/>
      <c r="CC1877" s="4"/>
      <c r="CD1877" s="4"/>
      <c r="CE1877" s="4"/>
      <c r="CF1877" s="4"/>
      <c r="CG1877" s="4"/>
      <c r="CH1877" s="4"/>
      <c r="CI1877" s="4"/>
      <c r="CJ1877" s="4"/>
      <c r="CK1877" s="4"/>
      <c r="CL1877" s="4"/>
      <c r="CM1877" s="4"/>
      <c r="CN1877" s="4"/>
      <c r="CO1877" s="4"/>
      <c r="CP1877" s="4"/>
      <c r="CQ1877" s="4"/>
      <c r="CR1877" s="4"/>
      <c r="CS1877" s="4"/>
      <c r="CT1877" s="4"/>
      <c r="CU1877" s="4"/>
      <c r="CV1877" s="4"/>
      <c r="CW1877" s="4"/>
      <c r="CX1877" s="4"/>
      <c r="CY1877" s="4"/>
      <c r="CZ1877" s="4"/>
      <c r="DA1877" s="4"/>
      <c r="DB1877" s="4"/>
      <c r="DC1877" s="4"/>
      <c r="DD1877" s="4"/>
      <c r="DE1877" s="4"/>
      <c r="DF1877" s="4"/>
      <c r="DG1877" s="4"/>
      <c r="DH1877" s="4"/>
      <c r="DI1877" s="4"/>
      <c r="DJ1877" s="4"/>
      <c r="DK1877" s="4"/>
      <c r="DL1877" s="4"/>
      <c r="DM1877" s="4"/>
      <c r="DN1877" s="4"/>
      <c r="DO1877" s="4"/>
      <c r="DP1877" s="4"/>
      <c r="DQ1877" s="4"/>
      <c r="DR1877" s="4"/>
      <c r="DS1877" s="4"/>
    </row>
    <row r="1878">
      <c r="A1878" s="4"/>
      <c r="B1878" s="4"/>
      <c r="C1878" s="4"/>
      <c r="D1878" s="4"/>
      <c r="E1878" s="4"/>
      <c r="F1878" s="4" t="s">
        <v>17</v>
      </c>
      <c r="G1878" s="15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  <c r="AA1878" s="4"/>
      <c r="AB1878" s="4"/>
      <c r="AC1878" s="4"/>
      <c r="AD1878" s="4"/>
      <c r="AE1878" s="4"/>
      <c r="AF1878" s="4"/>
      <c r="AG1878" s="4"/>
      <c r="AH1878" s="4"/>
      <c r="AI1878" s="4"/>
      <c r="AJ1878" s="4"/>
      <c r="AK1878" s="4"/>
      <c r="AL1878" s="4"/>
      <c r="AM1878" s="4"/>
      <c r="AN1878" s="4"/>
      <c r="AO1878" s="4"/>
      <c r="AP1878" s="4"/>
      <c r="AQ1878" s="4"/>
      <c r="AR1878" s="4"/>
      <c r="AS1878" s="4"/>
      <c r="AT1878" s="4"/>
      <c r="AU1878" s="4"/>
      <c r="AV1878" s="4"/>
      <c r="AW1878" s="4"/>
      <c r="AX1878" s="4"/>
      <c r="AY1878" s="4"/>
      <c r="AZ1878" s="4"/>
      <c r="BA1878" s="4"/>
      <c r="BB1878" s="4"/>
      <c r="BC1878" s="4"/>
      <c r="BD1878" s="4"/>
      <c r="BE1878" s="4"/>
      <c r="BF1878" s="4"/>
      <c r="BG1878" s="4"/>
      <c r="BH1878" s="4"/>
      <c r="BI1878" s="4"/>
      <c r="BJ1878" s="4"/>
      <c r="BK1878" s="4"/>
      <c r="BL1878" s="4"/>
      <c r="BM1878" s="4"/>
      <c r="BN1878" s="4"/>
      <c r="BO1878" s="4"/>
      <c r="BP1878" s="4"/>
      <c r="BQ1878" s="4"/>
      <c r="BR1878" s="4"/>
      <c r="BS1878" s="4"/>
      <c r="BT1878" s="4"/>
      <c r="BU1878" s="4"/>
      <c r="BV1878" s="4"/>
      <c r="BW1878" s="4"/>
      <c r="BX1878" s="4"/>
      <c r="BY1878" s="4"/>
      <c r="BZ1878" s="4"/>
      <c r="CA1878" s="4"/>
      <c r="CB1878" s="4"/>
      <c r="CC1878" s="4"/>
      <c r="CD1878" s="4"/>
      <c r="CE1878" s="4"/>
      <c r="CF1878" s="4"/>
      <c r="CG1878" s="4"/>
      <c r="CH1878" s="4"/>
      <c r="CI1878" s="4"/>
      <c r="CJ1878" s="4"/>
      <c r="CK1878" s="4"/>
      <c r="CL1878" s="4"/>
      <c r="CM1878" s="4"/>
      <c r="CN1878" s="4"/>
      <c r="CO1878" s="4"/>
      <c r="CP1878" s="4"/>
      <c r="CQ1878" s="4"/>
      <c r="CR1878" s="4"/>
      <c r="CS1878" s="4"/>
      <c r="CT1878" s="4"/>
      <c r="CU1878" s="4"/>
      <c r="CV1878" s="4"/>
      <c r="CW1878" s="4"/>
      <c r="CX1878" s="4"/>
      <c r="CY1878" s="4"/>
      <c r="CZ1878" s="4"/>
      <c r="DA1878" s="4"/>
      <c r="DB1878" s="4"/>
      <c r="DC1878" s="4"/>
      <c r="DD1878" s="4"/>
      <c r="DE1878" s="4"/>
      <c r="DF1878" s="4"/>
      <c r="DG1878" s="4"/>
      <c r="DH1878" s="4"/>
      <c r="DI1878" s="4"/>
      <c r="DJ1878" s="4"/>
      <c r="DK1878" s="4"/>
      <c r="DL1878" s="4"/>
      <c r="DM1878" s="4"/>
      <c r="DN1878" s="4"/>
      <c r="DO1878" s="4"/>
      <c r="DP1878" s="4"/>
      <c r="DQ1878" s="4"/>
      <c r="DR1878" s="4"/>
      <c r="DS1878" s="4"/>
    </row>
    <row r="1879">
      <c r="A1879" s="4"/>
      <c r="B1879" s="4"/>
      <c r="C1879" s="4"/>
      <c r="D1879" s="4"/>
      <c r="E1879" s="4"/>
      <c r="F1879" s="4" t="s">
        <v>17</v>
      </c>
      <c r="G1879" s="15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  <c r="AA1879" s="4"/>
      <c r="AB1879" s="4"/>
      <c r="AC1879" s="4"/>
      <c r="AD1879" s="4"/>
      <c r="AE1879" s="4"/>
      <c r="AF1879" s="4"/>
      <c r="AG1879" s="4"/>
      <c r="AH1879" s="4"/>
      <c r="AI1879" s="4"/>
      <c r="AJ1879" s="4"/>
      <c r="AK1879" s="4"/>
      <c r="AL1879" s="4"/>
      <c r="AM1879" s="4"/>
      <c r="AN1879" s="4"/>
      <c r="AO1879" s="4"/>
      <c r="AP1879" s="4"/>
      <c r="AQ1879" s="4"/>
      <c r="AR1879" s="4"/>
      <c r="AS1879" s="4"/>
      <c r="AT1879" s="4"/>
      <c r="AU1879" s="4"/>
      <c r="AV1879" s="4"/>
      <c r="AW1879" s="4"/>
      <c r="AX1879" s="4"/>
      <c r="AY1879" s="4"/>
      <c r="AZ1879" s="4"/>
      <c r="BA1879" s="4"/>
      <c r="BB1879" s="4"/>
      <c r="BC1879" s="4"/>
      <c r="BD1879" s="4"/>
      <c r="BE1879" s="4"/>
      <c r="BF1879" s="4"/>
      <c r="BG1879" s="4"/>
      <c r="BH1879" s="4"/>
      <c r="BI1879" s="4"/>
      <c r="BJ1879" s="4"/>
      <c r="BK1879" s="4"/>
      <c r="BL1879" s="4"/>
      <c r="BM1879" s="4"/>
      <c r="BN1879" s="4"/>
      <c r="BO1879" s="4"/>
      <c r="BP1879" s="4"/>
      <c r="BQ1879" s="4"/>
      <c r="BR1879" s="4"/>
      <c r="BS1879" s="4"/>
      <c r="BT1879" s="4"/>
      <c r="BU1879" s="4"/>
      <c r="BV1879" s="4"/>
      <c r="BW1879" s="4"/>
      <c r="BX1879" s="4"/>
      <c r="BY1879" s="4"/>
      <c r="BZ1879" s="4"/>
      <c r="CA1879" s="4"/>
      <c r="CB1879" s="4"/>
      <c r="CC1879" s="4"/>
      <c r="CD1879" s="4"/>
      <c r="CE1879" s="4"/>
      <c r="CF1879" s="4"/>
      <c r="CG1879" s="4"/>
      <c r="CH1879" s="4"/>
      <c r="CI1879" s="4"/>
      <c r="CJ1879" s="4"/>
      <c r="CK1879" s="4"/>
      <c r="CL1879" s="4"/>
      <c r="CM1879" s="4"/>
      <c r="CN1879" s="4"/>
      <c r="CO1879" s="4"/>
      <c r="CP1879" s="4"/>
      <c r="CQ1879" s="4"/>
      <c r="CR1879" s="4"/>
      <c r="CS1879" s="4"/>
      <c r="CT1879" s="4"/>
      <c r="CU1879" s="4"/>
      <c r="CV1879" s="4"/>
      <c r="CW1879" s="4"/>
      <c r="CX1879" s="4"/>
      <c r="CY1879" s="4"/>
      <c r="CZ1879" s="4"/>
      <c r="DA1879" s="4"/>
      <c r="DB1879" s="4"/>
      <c r="DC1879" s="4"/>
      <c r="DD1879" s="4"/>
      <c r="DE1879" s="4"/>
      <c r="DF1879" s="4"/>
      <c r="DG1879" s="4"/>
      <c r="DH1879" s="4"/>
      <c r="DI1879" s="4"/>
      <c r="DJ1879" s="4"/>
      <c r="DK1879" s="4"/>
      <c r="DL1879" s="4"/>
      <c r="DM1879" s="4"/>
      <c r="DN1879" s="4"/>
      <c r="DO1879" s="4"/>
      <c r="DP1879" s="4"/>
      <c r="DQ1879" s="4"/>
      <c r="DR1879" s="4"/>
      <c r="DS1879" s="4"/>
    </row>
    <row r="1880">
      <c r="A1880" s="4"/>
      <c r="B1880" s="4"/>
      <c r="C1880" s="4"/>
      <c r="D1880" s="4"/>
      <c r="E1880" s="4"/>
      <c r="F1880" s="4" t="s">
        <v>17</v>
      </c>
      <c r="G1880" s="15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  <c r="AA1880" s="4"/>
      <c r="AB1880" s="4"/>
      <c r="AC1880" s="4"/>
      <c r="AD1880" s="4"/>
      <c r="AE1880" s="4"/>
      <c r="AF1880" s="4"/>
      <c r="AG1880" s="4"/>
      <c r="AH1880" s="4"/>
      <c r="AI1880" s="4"/>
      <c r="AJ1880" s="4"/>
      <c r="AK1880" s="4"/>
      <c r="AL1880" s="4"/>
      <c r="AM1880" s="4"/>
      <c r="AN1880" s="4"/>
      <c r="AO1880" s="4"/>
      <c r="AP1880" s="4"/>
      <c r="AQ1880" s="4"/>
      <c r="AR1880" s="4"/>
      <c r="AS1880" s="4"/>
      <c r="AT1880" s="4"/>
      <c r="AU1880" s="4"/>
      <c r="AV1880" s="4"/>
      <c r="AW1880" s="4"/>
      <c r="AX1880" s="4"/>
      <c r="AY1880" s="4"/>
      <c r="AZ1880" s="4"/>
      <c r="BA1880" s="4"/>
      <c r="BB1880" s="4"/>
      <c r="BC1880" s="4"/>
      <c r="BD1880" s="4"/>
      <c r="BE1880" s="4"/>
      <c r="BF1880" s="4"/>
      <c r="BG1880" s="4"/>
      <c r="BH1880" s="4"/>
      <c r="BI1880" s="4"/>
      <c r="BJ1880" s="4"/>
      <c r="BK1880" s="4"/>
      <c r="BL1880" s="4"/>
      <c r="BM1880" s="4"/>
      <c r="BN1880" s="4"/>
      <c r="BO1880" s="4"/>
      <c r="BP1880" s="4"/>
      <c r="BQ1880" s="4"/>
      <c r="BR1880" s="4"/>
      <c r="BS1880" s="4"/>
      <c r="BT1880" s="4"/>
      <c r="BU1880" s="4"/>
      <c r="BV1880" s="4"/>
      <c r="BW1880" s="4"/>
      <c r="BX1880" s="4"/>
      <c r="BY1880" s="4"/>
      <c r="BZ1880" s="4"/>
      <c r="CA1880" s="4"/>
      <c r="CB1880" s="4"/>
      <c r="CC1880" s="4"/>
      <c r="CD1880" s="4"/>
      <c r="CE1880" s="4"/>
      <c r="CF1880" s="4"/>
      <c r="CG1880" s="4"/>
      <c r="CH1880" s="4"/>
      <c r="CI1880" s="4"/>
      <c r="CJ1880" s="4"/>
      <c r="CK1880" s="4"/>
      <c r="CL1880" s="4"/>
      <c r="CM1880" s="4"/>
      <c r="CN1880" s="4"/>
      <c r="CO1880" s="4"/>
      <c r="CP1880" s="4"/>
      <c r="CQ1880" s="4"/>
      <c r="CR1880" s="4"/>
      <c r="CS1880" s="4"/>
      <c r="CT1880" s="4"/>
      <c r="CU1880" s="4"/>
      <c r="CV1880" s="4"/>
      <c r="CW1880" s="4"/>
      <c r="CX1880" s="4"/>
      <c r="CY1880" s="4"/>
      <c r="CZ1880" s="4"/>
      <c r="DA1880" s="4"/>
      <c r="DB1880" s="4"/>
      <c r="DC1880" s="4"/>
      <c r="DD1880" s="4"/>
      <c r="DE1880" s="4"/>
      <c r="DF1880" s="4"/>
      <c r="DG1880" s="4"/>
      <c r="DH1880" s="4"/>
      <c r="DI1880" s="4"/>
      <c r="DJ1880" s="4"/>
      <c r="DK1880" s="4"/>
      <c r="DL1880" s="4"/>
      <c r="DM1880" s="4"/>
      <c r="DN1880" s="4"/>
      <c r="DO1880" s="4"/>
      <c r="DP1880" s="4"/>
      <c r="DQ1880" s="4"/>
      <c r="DR1880" s="4"/>
      <c r="DS1880" s="4"/>
    </row>
    <row r="1881">
      <c r="A1881" s="4"/>
      <c r="B1881" s="4"/>
      <c r="C1881" s="4"/>
      <c r="D1881" s="4"/>
      <c r="E1881" s="4"/>
      <c r="F1881" s="4" t="s">
        <v>17</v>
      </c>
      <c r="G1881" s="15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  <c r="AA1881" s="4"/>
      <c r="AB1881" s="4"/>
      <c r="AC1881" s="4"/>
      <c r="AD1881" s="4"/>
      <c r="AE1881" s="4"/>
      <c r="AF1881" s="4"/>
      <c r="AG1881" s="4"/>
      <c r="AH1881" s="4"/>
      <c r="AI1881" s="4"/>
      <c r="AJ1881" s="4"/>
      <c r="AK1881" s="4"/>
      <c r="AL1881" s="4"/>
      <c r="AM1881" s="4"/>
      <c r="AN1881" s="4"/>
      <c r="AO1881" s="4"/>
      <c r="AP1881" s="4"/>
      <c r="AQ1881" s="4"/>
      <c r="AR1881" s="4"/>
      <c r="AS1881" s="4"/>
      <c r="AT1881" s="4"/>
      <c r="AU1881" s="4"/>
      <c r="AV1881" s="4"/>
      <c r="AW1881" s="4"/>
      <c r="AX1881" s="4"/>
      <c r="AY1881" s="4"/>
      <c r="AZ1881" s="4"/>
      <c r="BA1881" s="4"/>
      <c r="BB1881" s="4"/>
      <c r="BC1881" s="4"/>
      <c r="BD1881" s="4"/>
      <c r="BE1881" s="4"/>
      <c r="BF1881" s="4"/>
      <c r="BG1881" s="4"/>
      <c r="BH1881" s="4"/>
      <c r="BI1881" s="4"/>
      <c r="BJ1881" s="4"/>
      <c r="BK1881" s="4"/>
      <c r="BL1881" s="4"/>
      <c r="BM1881" s="4"/>
      <c r="BN1881" s="4"/>
      <c r="BO1881" s="4"/>
      <c r="BP1881" s="4"/>
      <c r="BQ1881" s="4"/>
      <c r="BR1881" s="4"/>
      <c r="BS1881" s="4"/>
      <c r="BT1881" s="4"/>
      <c r="BU1881" s="4"/>
      <c r="BV1881" s="4"/>
      <c r="BW1881" s="4"/>
      <c r="BX1881" s="4"/>
      <c r="BY1881" s="4"/>
      <c r="BZ1881" s="4"/>
      <c r="CA1881" s="4"/>
      <c r="CB1881" s="4"/>
      <c r="CC1881" s="4"/>
      <c r="CD1881" s="4"/>
      <c r="CE1881" s="4"/>
      <c r="CF1881" s="4"/>
      <c r="CG1881" s="4"/>
      <c r="CH1881" s="4"/>
      <c r="CI1881" s="4"/>
      <c r="CJ1881" s="4"/>
      <c r="CK1881" s="4"/>
      <c r="CL1881" s="4"/>
      <c r="CM1881" s="4"/>
      <c r="CN1881" s="4"/>
      <c r="CO1881" s="4"/>
      <c r="CP1881" s="4"/>
      <c r="CQ1881" s="4"/>
      <c r="CR1881" s="4"/>
      <c r="CS1881" s="4"/>
      <c r="CT1881" s="4"/>
      <c r="CU1881" s="4"/>
      <c r="CV1881" s="4"/>
      <c r="CW1881" s="4"/>
      <c r="CX1881" s="4"/>
      <c r="CY1881" s="4"/>
      <c r="CZ1881" s="4"/>
      <c r="DA1881" s="4"/>
      <c r="DB1881" s="4"/>
      <c r="DC1881" s="4"/>
      <c r="DD1881" s="4"/>
      <c r="DE1881" s="4"/>
      <c r="DF1881" s="4"/>
      <c r="DG1881" s="4"/>
      <c r="DH1881" s="4"/>
      <c r="DI1881" s="4"/>
      <c r="DJ1881" s="4"/>
      <c r="DK1881" s="4"/>
      <c r="DL1881" s="4"/>
      <c r="DM1881" s="4"/>
      <c r="DN1881" s="4"/>
      <c r="DO1881" s="4"/>
      <c r="DP1881" s="4"/>
      <c r="DQ1881" s="4"/>
      <c r="DR1881" s="4"/>
      <c r="DS1881" s="4"/>
    </row>
    <row r="1882">
      <c r="A1882" s="4"/>
      <c r="B1882" s="4"/>
      <c r="C1882" s="4"/>
      <c r="D1882" s="4"/>
      <c r="E1882" s="4"/>
      <c r="F1882" s="4" t="s">
        <v>17</v>
      </c>
      <c r="G1882" s="15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  <c r="AA1882" s="4"/>
      <c r="AB1882" s="4"/>
      <c r="AC1882" s="4"/>
      <c r="AD1882" s="4"/>
      <c r="AE1882" s="4"/>
      <c r="AF1882" s="4"/>
      <c r="AG1882" s="4"/>
      <c r="AH1882" s="4"/>
      <c r="AI1882" s="4"/>
      <c r="AJ1882" s="4"/>
      <c r="AK1882" s="4"/>
      <c r="AL1882" s="4"/>
      <c r="AM1882" s="4"/>
      <c r="AN1882" s="4"/>
      <c r="AO1882" s="4"/>
      <c r="AP1882" s="4"/>
      <c r="AQ1882" s="4"/>
      <c r="AR1882" s="4"/>
      <c r="AS1882" s="4"/>
      <c r="AT1882" s="4"/>
      <c r="AU1882" s="4"/>
      <c r="AV1882" s="4"/>
      <c r="AW1882" s="4"/>
      <c r="AX1882" s="4"/>
      <c r="AY1882" s="4"/>
      <c r="AZ1882" s="4"/>
      <c r="BA1882" s="4"/>
      <c r="BB1882" s="4"/>
      <c r="BC1882" s="4"/>
      <c r="BD1882" s="4"/>
      <c r="BE1882" s="4"/>
      <c r="BF1882" s="4"/>
      <c r="BG1882" s="4"/>
      <c r="BH1882" s="4"/>
      <c r="BI1882" s="4"/>
      <c r="BJ1882" s="4"/>
      <c r="BK1882" s="4"/>
      <c r="BL1882" s="4"/>
      <c r="BM1882" s="4"/>
      <c r="BN1882" s="4"/>
      <c r="BO1882" s="4"/>
      <c r="BP1882" s="4"/>
      <c r="BQ1882" s="4"/>
      <c r="BR1882" s="4"/>
      <c r="BS1882" s="4"/>
      <c r="BT1882" s="4"/>
      <c r="BU1882" s="4"/>
      <c r="BV1882" s="4"/>
      <c r="BW1882" s="4"/>
      <c r="BX1882" s="4"/>
      <c r="BY1882" s="4"/>
      <c r="BZ1882" s="4"/>
      <c r="CA1882" s="4"/>
      <c r="CB1882" s="4"/>
      <c r="CC1882" s="4"/>
      <c r="CD1882" s="4"/>
      <c r="CE1882" s="4"/>
      <c r="CF1882" s="4"/>
      <c r="CG1882" s="4"/>
      <c r="CH1882" s="4"/>
      <c r="CI1882" s="4"/>
      <c r="CJ1882" s="4"/>
      <c r="CK1882" s="4"/>
      <c r="CL1882" s="4"/>
      <c r="CM1882" s="4"/>
      <c r="CN1882" s="4"/>
      <c r="CO1882" s="4"/>
      <c r="CP1882" s="4"/>
      <c r="CQ1882" s="4"/>
      <c r="CR1882" s="4"/>
      <c r="CS1882" s="4"/>
      <c r="CT1882" s="4"/>
      <c r="CU1882" s="4"/>
      <c r="CV1882" s="4"/>
      <c r="CW1882" s="4"/>
      <c r="CX1882" s="4"/>
      <c r="CY1882" s="4"/>
      <c r="CZ1882" s="4"/>
      <c r="DA1882" s="4"/>
      <c r="DB1882" s="4"/>
      <c r="DC1882" s="4"/>
      <c r="DD1882" s="4"/>
      <c r="DE1882" s="4"/>
      <c r="DF1882" s="4"/>
      <c r="DG1882" s="4"/>
      <c r="DH1882" s="4"/>
      <c r="DI1882" s="4"/>
      <c r="DJ1882" s="4"/>
      <c r="DK1882" s="4"/>
      <c r="DL1882" s="4"/>
      <c r="DM1882" s="4"/>
      <c r="DN1882" s="4"/>
      <c r="DO1882" s="4"/>
      <c r="DP1882" s="4"/>
      <c r="DQ1882" s="4"/>
      <c r="DR1882" s="4"/>
      <c r="DS1882" s="4"/>
    </row>
    <row r="1883">
      <c r="A1883" s="4"/>
      <c r="B1883" s="4"/>
      <c r="C1883" s="4"/>
      <c r="D1883" s="4"/>
      <c r="E1883" s="4"/>
      <c r="F1883" s="4" t="s">
        <v>17</v>
      </c>
      <c r="G1883" s="15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  <c r="AA1883" s="4"/>
      <c r="AB1883" s="4"/>
      <c r="AC1883" s="4"/>
      <c r="AD1883" s="4"/>
      <c r="AE1883" s="4"/>
      <c r="AF1883" s="4"/>
      <c r="AG1883" s="4"/>
      <c r="AH1883" s="4"/>
      <c r="AI1883" s="4"/>
      <c r="AJ1883" s="4"/>
      <c r="AK1883" s="4"/>
      <c r="AL1883" s="4"/>
      <c r="AM1883" s="4"/>
      <c r="AN1883" s="4"/>
      <c r="AO1883" s="4"/>
      <c r="AP1883" s="4"/>
      <c r="AQ1883" s="4"/>
      <c r="AR1883" s="4"/>
      <c r="AS1883" s="4"/>
      <c r="AT1883" s="4"/>
      <c r="AU1883" s="4"/>
      <c r="AV1883" s="4"/>
      <c r="AW1883" s="4"/>
      <c r="AX1883" s="4"/>
      <c r="AY1883" s="4"/>
      <c r="AZ1883" s="4"/>
      <c r="BA1883" s="4"/>
      <c r="BB1883" s="4"/>
      <c r="BC1883" s="4"/>
      <c r="BD1883" s="4"/>
      <c r="BE1883" s="4"/>
      <c r="BF1883" s="4"/>
      <c r="BG1883" s="4"/>
      <c r="BH1883" s="4"/>
      <c r="BI1883" s="4"/>
      <c r="BJ1883" s="4"/>
      <c r="BK1883" s="4"/>
      <c r="BL1883" s="4"/>
      <c r="BM1883" s="4"/>
      <c r="BN1883" s="4"/>
      <c r="BO1883" s="4"/>
      <c r="BP1883" s="4"/>
      <c r="BQ1883" s="4"/>
      <c r="BR1883" s="4"/>
      <c r="BS1883" s="4"/>
      <c r="BT1883" s="4"/>
      <c r="BU1883" s="4"/>
      <c r="BV1883" s="4"/>
      <c r="BW1883" s="4"/>
      <c r="BX1883" s="4"/>
      <c r="BY1883" s="4"/>
      <c r="BZ1883" s="4"/>
      <c r="CA1883" s="4"/>
      <c r="CB1883" s="4"/>
      <c r="CC1883" s="4"/>
      <c r="CD1883" s="4"/>
      <c r="CE1883" s="4"/>
      <c r="CF1883" s="4"/>
      <c r="CG1883" s="4"/>
      <c r="CH1883" s="4"/>
      <c r="CI1883" s="4"/>
      <c r="CJ1883" s="4"/>
      <c r="CK1883" s="4"/>
      <c r="CL1883" s="4"/>
      <c r="CM1883" s="4"/>
      <c r="CN1883" s="4"/>
      <c r="CO1883" s="4"/>
      <c r="CP1883" s="4"/>
      <c r="CQ1883" s="4"/>
      <c r="CR1883" s="4"/>
      <c r="CS1883" s="4"/>
      <c r="CT1883" s="4"/>
      <c r="CU1883" s="4"/>
      <c r="CV1883" s="4"/>
      <c r="CW1883" s="4"/>
      <c r="CX1883" s="4"/>
      <c r="CY1883" s="4"/>
      <c r="CZ1883" s="4"/>
      <c r="DA1883" s="4"/>
      <c r="DB1883" s="4"/>
      <c r="DC1883" s="4"/>
      <c r="DD1883" s="4"/>
      <c r="DE1883" s="4"/>
      <c r="DF1883" s="4"/>
      <c r="DG1883" s="4"/>
      <c r="DH1883" s="4"/>
      <c r="DI1883" s="4"/>
      <c r="DJ1883" s="4"/>
      <c r="DK1883" s="4"/>
      <c r="DL1883" s="4"/>
      <c r="DM1883" s="4"/>
      <c r="DN1883" s="4"/>
      <c r="DO1883" s="4"/>
      <c r="DP1883" s="4"/>
      <c r="DQ1883" s="4"/>
      <c r="DR1883" s="4"/>
      <c r="DS1883" s="4"/>
    </row>
    <row r="1884">
      <c r="A1884" s="4"/>
      <c r="B1884" s="4"/>
      <c r="C1884" s="4"/>
      <c r="D1884" s="4"/>
      <c r="E1884" s="4"/>
      <c r="F1884" s="4" t="s">
        <v>17</v>
      </c>
      <c r="G1884" s="15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  <c r="AA1884" s="4"/>
      <c r="AB1884" s="4"/>
      <c r="AC1884" s="4"/>
      <c r="AD1884" s="4"/>
      <c r="AE1884" s="4"/>
      <c r="AF1884" s="4"/>
      <c r="AG1884" s="4"/>
      <c r="AH1884" s="4"/>
      <c r="AI1884" s="4"/>
      <c r="AJ1884" s="4"/>
      <c r="AK1884" s="4"/>
      <c r="AL1884" s="4"/>
      <c r="AM1884" s="4"/>
      <c r="AN1884" s="4"/>
      <c r="AO1884" s="4"/>
      <c r="AP1884" s="4"/>
      <c r="AQ1884" s="4"/>
      <c r="AR1884" s="4"/>
      <c r="AS1884" s="4"/>
      <c r="AT1884" s="4"/>
      <c r="AU1884" s="4"/>
      <c r="AV1884" s="4"/>
      <c r="AW1884" s="4"/>
      <c r="AX1884" s="4"/>
      <c r="AY1884" s="4"/>
      <c r="AZ1884" s="4"/>
      <c r="BA1884" s="4"/>
      <c r="BB1884" s="4"/>
      <c r="BC1884" s="4"/>
      <c r="BD1884" s="4"/>
      <c r="BE1884" s="4"/>
      <c r="BF1884" s="4"/>
      <c r="BG1884" s="4"/>
      <c r="BH1884" s="4"/>
      <c r="BI1884" s="4"/>
      <c r="BJ1884" s="4"/>
      <c r="BK1884" s="4"/>
      <c r="BL1884" s="4"/>
      <c r="BM1884" s="4"/>
      <c r="BN1884" s="4"/>
      <c r="BO1884" s="4"/>
      <c r="BP1884" s="4"/>
      <c r="BQ1884" s="4"/>
      <c r="BR1884" s="4"/>
      <c r="BS1884" s="4"/>
      <c r="BT1884" s="4"/>
      <c r="BU1884" s="4"/>
      <c r="BV1884" s="4"/>
      <c r="BW1884" s="4"/>
      <c r="BX1884" s="4"/>
      <c r="BY1884" s="4"/>
      <c r="BZ1884" s="4"/>
      <c r="CA1884" s="4"/>
      <c r="CB1884" s="4"/>
      <c r="CC1884" s="4"/>
      <c r="CD1884" s="4"/>
      <c r="CE1884" s="4"/>
      <c r="CF1884" s="4"/>
      <c r="CG1884" s="4"/>
      <c r="CH1884" s="4"/>
      <c r="CI1884" s="4"/>
      <c r="CJ1884" s="4"/>
      <c r="CK1884" s="4"/>
      <c r="CL1884" s="4"/>
      <c r="CM1884" s="4"/>
      <c r="CN1884" s="4"/>
      <c r="CO1884" s="4"/>
      <c r="CP1884" s="4"/>
      <c r="CQ1884" s="4"/>
      <c r="CR1884" s="4"/>
      <c r="CS1884" s="4"/>
      <c r="CT1884" s="4"/>
      <c r="CU1884" s="4"/>
      <c r="CV1884" s="4"/>
      <c r="CW1884" s="4"/>
      <c r="CX1884" s="4"/>
      <c r="CY1884" s="4"/>
      <c r="CZ1884" s="4"/>
      <c r="DA1884" s="4"/>
      <c r="DB1884" s="4"/>
      <c r="DC1884" s="4"/>
      <c r="DD1884" s="4"/>
      <c r="DE1884" s="4"/>
      <c r="DF1884" s="4"/>
      <c r="DG1884" s="4"/>
      <c r="DH1884" s="4"/>
      <c r="DI1884" s="4"/>
      <c r="DJ1884" s="4"/>
      <c r="DK1884" s="4"/>
      <c r="DL1884" s="4"/>
      <c r="DM1884" s="4"/>
      <c r="DN1884" s="4"/>
      <c r="DO1884" s="4"/>
      <c r="DP1884" s="4"/>
      <c r="DQ1884" s="4"/>
      <c r="DR1884" s="4"/>
      <c r="DS1884" s="4"/>
    </row>
    <row r="1885">
      <c r="A1885" s="4"/>
      <c r="B1885" s="4"/>
      <c r="C1885" s="4"/>
      <c r="D1885" s="4"/>
      <c r="E1885" s="4"/>
      <c r="F1885" s="4" t="s">
        <v>17</v>
      </c>
      <c r="G1885" s="15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  <c r="AA1885" s="4"/>
      <c r="AB1885" s="4"/>
      <c r="AC1885" s="4"/>
      <c r="AD1885" s="4"/>
      <c r="AE1885" s="4"/>
      <c r="AF1885" s="4"/>
      <c r="AG1885" s="4"/>
      <c r="AH1885" s="4"/>
      <c r="AI1885" s="4"/>
      <c r="AJ1885" s="4"/>
      <c r="AK1885" s="4"/>
      <c r="AL1885" s="4"/>
      <c r="AM1885" s="4"/>
      <c r="AN1885" s="4"/>
      <c r="AO1885" s="4"/>
      <c r="AP1885" s="4"/>
      <c r="AQ1885" s="4"/>
      <c r="AR1885" s="4"/>
      <c r="AS1885" s="4"/>
      <c r="AT1885" s="4"/>
      <c r="AU1885" s="4"/>
      <c r="AV1885" s="4"/>
      <c r="AW1885" s="4"/>
      <c r="AX1885" s="4"/>
      <c r="AY1885" s="4"/>
      <c r="AZ1885" s="4"/>
      <c r="BA1885" s="4"/>
      <c r="BB1885" s="4"/>
      <c r="BC1885" s="4"/>
      <c r="BD1885" s="4"/>
      <c r="BE1885" s="4"/>
      <c r="BF1885" s="4"/>
      <c r="BG1885" s="4"/>
      <c r="BH1885" s="4"/>
      <c r="BI1885" s="4"/>
      <c r="BJ1885" s="4"/>
      <c r="BK1885" s="4"/>
      <c r="BL1885" s="4"/>
      <c r="BM1885" s="4"/>
      <c r="BN1885" s="4"/>
      <c r="BO1885" s="4"/>
      <c r="BP1885" s="4"/>
      <c r="BQ1885" s="4"/>
      <c r="BR1885" s="4"/>
      <c r="BS1885" s="4"/>
      <c r="BT1885" s="4"/>
      <c r="BU1885" s="4"/>
      <c r="BV1885" s="4"/>
      <c r="BW1885" s="4"/>
      <c r="BX1885" s="4"/>
      <c r="BY1885" s="4"/>
      <c r="BZ1885" s="4"/>
      <c r="CA1885" s="4"/>
      <c r="CB1885" s="4"/>
      <c r="CC1885" s="4"/>
      <c r="CD1885" s="4"/>
      <c r="CE1885" s="4"/>
      <c r="CF1885" s="4"/>
      <c r="CG1885" s="4"/>
      <c r="CH1885" s="4"/>
      <c r="CI1885" s="4"/>
      <c r="CJ1885" s="4"/>
      <c r="CK1885" s="4"/>
      <c r="CL1885" s="4"/>
      <c r="CM1885" s="4"/>
      <c r="CN1885" s="4"/>
      <c r="CO1885" s="4"/>
      <c r="CP1885" s="4"/>
      <c r="CQ1885" s="4"/>
      <c r="CR1885" s="4"/>
      <c r="CS1885" s="4"/>
      <c r="CT1885" s="4"/>
      <c r="CU1885" s="4"/>
      <c r="CV1885" s="4"/>
      <c r="CW1885" s="4"/>
      <c r="CX1885" s="4"/>
      <c r="CY1885" s="4"/>
      <c r="CZ1885" s="4"/>
      <c r="DA1885" s="4"/>
      <c r="DB1885" s="4"/>
      <c r="DC1885" s="4"/>
      <c r="DD1885" s="4"/>
      <c r="DE1885" s="4"/>
      <c r="DF1885" s="4"/>
      <c r="DG1885" s="4"/>
      <c r="DH1885" s="4"/>
      <c r="DI1885" s="4"/>
      <c r="DJ1885" s="4"/>
      <c r="DK1885" s="4"/>
      <c r="DL1885" s="4"/>
      <c r="DM1885" s="4"/>
      <c r="DN1885" s="4"/>
      <c r="DO1885" s="4"/>
      <c r="DP1885" s="4"/>
      <c r="DQ1885" s="4"/>
      <c r="DR1885" s="4"/>
      <c r="DS1885" s="4"/>
    </row>
    <row r="1886">
      <c r="A1886" s="4"/>
      <c r="B1886" s="4"/>
      <c r="C1886" s="4"/>
      <c r="D1886" s="4"/>
      <c r="E1886" s="4"/>
      <c r="F1886" s="4" t="s">
        <v>17</v>
      </c>
      <c r="G1886" s="15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  <c r="AA1886" s="4"/>
      <c r="AB1886" s="4"/>
      <c r="AC1886" s="4"/>
      <c r="AD1886" s="4"/>
      <c r="AE1886" s="4"/>
      <c r="AF1886" s="4"/>
      <c r="AG1886" s="4"/>
      <c r="AH1886" s="4"/>
      <c r="AI1886" s="4"/>
      <c r="AJ1886" s="4"/>
      <c r="AK1886" s="4"/>
      <c r="AL1886" s="4"/>
      <c r="AM1886" s="4"/>
      <c r="AN1886" s="4"/>
      <c r="AO1886" s="4"/>
      <c r="AP1886" s="4"/>
      <c r="AQ1886" s="4"/>
      <c r="AR1886" s="4"/>
      <c r="AS1886" s="4"/>
      <c r="AT1886" s="4"/>
      <c r="AU1886" s="4"/>
      <c r="AV1886" s="4"/>
      <c r="AW1886" s="4"/>
      <c r="AX1886" s="4"/>
      <c r="AY1886" s="4"/>
      <c r="AZ1886" s="4"/>
      <c r="BA1886" s="4"/>
      <c r="BB1886" s="4"/>
      <c r="BC1886" s="4"/>
      <c r="BD1886" s="4"/>
      <c r="BE1886" s="4"/>
      <c r="BF1886" s="4"/>
      <c r="BG1886" s="4"/>
      <c r="BH1886" s="4"/>
      <c r="BI1886" s="4"/>
      <c r="BJ1886" s="4"/>
      <c r="BK1886" s="4"/>
      <c r="BL1886" s="4"/>
      <c r="BM1886" s="4"/>
      <c r="BN1886" s="4"/>
      <c r="BO1886" s="4"/>
      <c r="BP1886" s="4"/>
      <c r="BQ1886" s="4"/>
      <c r="BR1886" s="4"/>
      <c r="BS1886" s="4"/>
      <c r="BT1886" s="4"/>
      <c r="BU1886" s="4"/>
      <c r="BV1886" s="4"/>
      <c r="BW1886" s="4"/>
      <c r="BX1886" s="4"/>
      <c r="BY1886" s="4"/>
      <c r="BZ1886" s="4"/>
      <c r="CA1886" s="4"/>
      <c r="CB1886" s="4"/>
      <c r="CC1886" s="4"/>
      <c r="CD1886" s="4"/>
      <c r="CE1886" s="4"/>
      <c r="CF1886" s="4"/>
      <c r="CG1886" s="4"/>
      <c r="CH1886" s="4"/>
      <c r="CI1886" s="4"/>
      <c r="CJ1886" s="4"/>
      <c r="CK1886" s="4"/>
      <c r="CL1886" s="4"/>
      <c r="CM1886" s="4"/>
      <c r="CN1886" s="4"/>
      <c r="CO1886" s="4"/>
      <c r="CP1886" s="4"/>
      <c r="CQ1886" s="4"/>
      <c r="CR1886" s="4"/>
      <c r="CS1886" s="4"/>
      <c r="CT1886" s="4"/>
      <c r="CU1886" s="4"/>
      <c r="CV1886" s="4"/>
      <c r="CW1886" s="4"/>
      <c r="CX1886" s="4"/>
      <c r="CY1886" s="4"/>
      <c r="CZ1886" s="4"/>
      <c r="DA1886" s="4"/>
      <c r="DB1886" s="4"/>
      <c r="DC1886" s="4"/>
      <c r="DD1886" s="4"/>
      <c r="DE1886" s="4"/>
      <c r="DF1886" s="4"/>
      <c r="DG1886" s="4"/>
      <c r="DH1886" s="4"/>
      <c r="DI1886" s="4"/>
      <c r="DJ1886" s="4"/>
      <c r="DK1886" s="4"/>
      <c r="DL1886" s="4"/>
      <c r="DM1886" s="4"/>
      <c r="DN1886" s="4"/>
      <c r="DO1886" s="4"/>
      <c r="DP1886" s="4"/>
      <c r="DQ1886" s="4"/>
      <c r="DR1886" s="4"/>
      <c r="DS1886" s="4"/>
    </row>
    <row r="1887">
      <c r="A1887" s="4"/>
      <c r="B1887" s="4"/>
      <c r="C1887" s="4"/>
      <c r="D1887" s="4"/>
      <c r="E1887" s="4"/>
      <c r="F1887" s="4" t="s">
        <v>17</v>
      </c>
      <c r="G1887" s="15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  <c r="AA1887" s="4"/>
      <c r="AB1887" s="4"/>
      <c r="AC1887" s="4"/>
      <c r="AD1887" s="4"/>
      <c r="AE1887" s="4"/>
      <c r="AF1887" s="4"/>
      <c r="AG1887" s="4"/>
      <c r="AH1887" s="4"/>
      <c r="AI1887" s="4"/>
      <c r="AJ1887" s="4"/>
      <c r="AK1887" s="4"/>
      <c r="AL1887" s="4"/>
      <c r="AM1887" s="4"/>
      <c r="AN1887" s="4"/>
      <c r="AO1887" s="4"/>
      <c r="AP1887" s="4"/>
      <c r="AQ1887" s="4"/>
      <c r="AR1887" s="4"/>
      <c r="AS1887" s="4"/>
      <c r="AT1887" s="4"/>
      <c r="AU1887" s="4"/>
      <c r="AV1887" s="4"/>
      <c r="AW1887" s="4"/>
      <c r="AX1887" s="4"/>
      <c r="AY1887" s="4"/>
      <c r="AZ1887" s="4"/>
      <c r="BA1887" s="4"/>
      <c r="BB1887" s="4"/>
      <c r="BC1887" s="4"/>
      <c r="BD1887" s="4"/>
      <c r="BE1887" s="4"/>
      <c r="BF1887" s="4"/>
      <c r="BG1887" s="4"/>
      <c r="BH1887" s="4"/>
      <c r="BI1887" s="4"/>
      <c r="BJ1887" s="4"/>
      <c r="BK1887" s="4"/>
      <c r="BL1887" s="4"/>
      <c r="BM1887" s="4"/>
      <c r="BN1887" s="4"/>
      <c r="BO1887" s="4"/>
      <c r="BP1887" s="4"/>
      <c r="BQ1887" s="4"/>
      <c r="BR1887" s="4"/>
      <c r="BS1887" s="4"/>
      <c r="BT1887" s="4"/>
      <c r="BU1887" s="4"/>
      <c r="BV1887" s="4"/>
      <c r="BW1887" s="4"/>
      <c r="BX1887" s="4"/>
      <c r="BY1887" s="4"/>
      <c r="BZ1887" s="4"/>
      <c r="CA1887" s="4"/>
      <c r="CB1887" s="4"/>
      <c r="CC1887" s="4"/>
      <c r="CD1887" s="4"/>
      <c r="CE1887" s="4"/>
      <c r="CF1887" s="4"/>
      <c r="CG1887" s="4"/>
      <c r="CH1887" s="4"/>
      <c r="CI1887" s="4"/>
      <c r="CJ1887" s="4"/>
      <c r="CK1887" s="4"/>
      <c r="CL1887" s="4"/>
      <c r="CM1887" s="4"/>
      <c r="CN1887" s="4"/>
      <c r="CO1887" s="4"/>
      <c r="CP1887" s="4"/>
      <c r="CQ1887" s="4"/>
      <c r="CR1887" s="4"/>
      <c r="CS1887" s="4"/>
      <c r="CT1887" s="4"/>
      <c r="CU1887" s="4"/>
      <c r="CV1887" s="4"/>
      <c r="CW1887" s="4"/>
      <c r="CX1887" s="4"/>
      <c r="CY1887" s="4"/>
      <c r="CZ1887" s="4"/>
      <c r="DA1887" s="4"/>
      <c r="DB1887" s="4"/>
      <c r="DC1887" s="4"/>
      <c r="DD1887" s="4"/>
      <c r="DE1887" s="4"/>
      <c r="DF1887" s="4"/>
      <c r="DG1887" s="4"/>
      <c r="DH1887" s="4"/>
      <c r="DI1887" s="4"/>
      <c r="DJ1887" s="4"/>
      <c r="DK1887" s="4"/>
      <c r="DL1887" s="4"/>
      <c r="DM1887" s="4"/>
      <c r="DN1887" s="4"/>
      <c r="DO1887" s="4"/>
      <c r="DP1887" s="4"/>
      <c r="DQ1887" s="4"/>
      <c r="DR1887" s="4"/>
      <c r="DS1887" s="4"/>
    </row>
    <row r="1888">
      <c r="A1888" s="4"/>
      <c r="B1888" s="4"/>
      <c r="C1888" s="4"/>
      <c r="D1888" s="4"/>
      <c r="E1888" s="4"/>
      <c r="F1888" s="4" t="s">
        <v>17</v>
      </c>
      <c r="G1888" s="15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  <c r="AA1888" s="4"/>
      <c r="AB1888" s="4"/>
      <c r="AC1888" s="4"/>
      <c r="AD1888" s="4"/>
      <c r="AE1888" s="4"/>
      <c r="AF1888" s="4"/>
      <c r="AG1888" s="4"/>
      <c r="AH1888" s="4"/>
      <c r="AI1888" s="4"/>
      <c r="AJ1888" s="4"/>
      <c r="AK1888" s="4"/>
      <c r="AL1888" s="4"/>
      <c r="AM1888" s="4"/>
      <c r="AN1888" s="4"/>
      <c r="AO1888" s="4"/>
      <c r="AP1888" s="4"/>
      <c r="AQ1888" s="4"/>
      <c r="AR1888" s="4"/>
      <c r="AS1888" s="4"/>
      <c r="AT1888" s="4"/>
      <c r="AU1888" s="4"/>
      <c r="AV1888" s="4"/>
      <c r="AW1888" s="4"/>
      <c r="AX1888" s="4"/>
      <c r="AY1888" s="4"/>
      <c r="AZ1888" s="4"/>
      <c r="BA1888" s="4"/>
      <c r="BB1888" s="4"/>
      <c r="BC1888" s="4"/>
      <c r="BD1888" s="4"/>
      <c r="BE1888" s="4"/>
      <c r="BF1888" s="4"/>
      <c r="BG1888" s="4"/>
      <c r="BH1888" s="4"/>
      <c r="BI1888" s="4"/>
      <c r="BJ1888" s="4"/>
      <c r="BK1888" s="4"/>
      <c r="BL1888" s="4"/>
      <c r="BM1888" s="4"/>
      <c r="BN1888" s="4"/>
      <c r="BO1888" s="4"/>
      <c r="BP1888" s="4"/>
      <c r="BQ1888" s="4"/>
      <c r="BR1888" s="4"/>
      <c r="BS1888" s="4"/>
      <c r="BT1888" s="4"/>
      <c r="BU1888" s="4"/>
      <c r="BV1888" s="4"/>
      <c r="BW1888" s="4"/>
      <c r="BX1888" s="4"/>
      <c r="BY1888" s="4"/>
      <c r="BZ1888" s="4"/>
      <c r="CA1888" s="4"/>
      <c r="CB1888" s="4"/>
      <c r="CC1888" s="4"/>
      <c r="CD1888" s="4"/>
      <c r="CE1888" s="4"/>
      <c r="CF1888" s="4"/>
      <c r="CG1888" s="4"/>
      <c r="CH1888" s="4"/>
      <c r="CI1888" s="4"/>
      <c r="CJ1888" s="4"/>
      <c r="CK1888" s="4"/>
      <c r="CL1888" s="4"/>
      <c r="CM1888" s="4"/>
      <c r="CN1888" s="4"/>
      <c r="CO1888" s="4"/>
      <c r="CP1888" s="4"/>
      <c r="CQ1888" s="4"/>
      <c r="CR1888" s="4"/>
      <c r="CS1888" s="4"/>
      <c r="CT1888" s="4"/>
      <c r="CU1888" s="4"/>
      <c r="CV1888" s="4"/>
      <c r="CW1888" s="4"/>
      <c r="CX1888" s="4"/>
      <c r="CY1888" s="4"/>
      <c r="CZ1888" s="4"/>
      <c r="DA1888" s="4"/>
      <c r="DB1888" s="4"/>
      <c r="DC1888" s="4"/>
      <c r="DD1888" s="4"/>
      <c r="DE1888" s="4"/>
      <c r="DF1888" s="4"/>
      <c r="DG1888" s="4"/>
      <c r="DH1888" s="4"/>
      <c r="DI1888" s="4"/>
      <c r="DJ1888" s="4"/>
      <c r="DK1888" s="4"/>
      <c r="DL1888" s="4"/>
      <c r="DM1888" s="4"/>
      <c r="DN1888" s="4"/>
      <c r="DO1888" s="4"/>
      <c r="DP1888" s="4"/>
      <c r="DQ1888" s="4"/>
      <c r="DR1888" s="4"/>
      <c r="DS1888" s="4"/>
    </row>
    <row r="1889">
      <c r="A1889" s="4"/>
      <c r="B1889" s="4"/>
      <c r="C1889" s="4"/>
      <c r="D1889" s="4"/>
      <c r="E1889" s="4"/>
      <c r="F1889" s="4" t="s">
        <v>17</v>
      </c>
      <c r="G1889" s="15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  <c r="AA1889" s="4"/>
      <c r="AB1889" s="4"/>
      <c r="AC1889" s="4"/>
      <c r="AD1889" s="4"/>
      <c r="AE1889" s="4"/>
      <c r="AF1889" s="4"/>
      <c r="AG1889" s="4"/>
      <c r="AH1889" s="4"/>
      <c r="AI1889" s="4"/>
      <c r="AJ1889" s="4"/>
      <c r="AK1889" s="4"/>
      <c r="AL1889" s="4"/>
      <c r="AM1889" s="4"/>
      <c r="AN1889" s="4"/>
      <c r="AO1889" s="4"/>
      <c r="AP1889" s="4"/>
      <c r="AQ1889" s="4"/>
      <c r="AR1889" s="4"/>
      <c r="AS1889" s="4"/>
      <c r="AT1889" s="4"/>
      <c r="AU1889" s="4"/>
      <c r="AV1889" s="4"/>
      <c r="AW1889" s="4"/>
      <c r="AX1889" s="4"/>
      <c r="AY1889" s="4"/>
      <c r="AZ1889" s="4"/>
      <c r="BA1889" s="4"/>
      <c r="BB1889" s="4"/>
      <c r="BC1889" s="4"/>
      <c r="BD1889" s="4"/>
      <c r="BE1889" s="4"/>
      <c r="BF1889" s="4"/>
      <c r="BG1889" s="4"/>
      <c r="BH1889" s="4"/>
      <c r="BI1889" s="4"/>
      <c r="BJ1889" s="4"/>
      <c r="BK1889" s="4"/>
      <c r="BL1889" s="4"/>
      <c r="BM1889" s="4"/>
      <c r="BN1889" s="4"/>
      <c r="BO1889" s="4"/>
      <c r="BP1889" s="4"/>
      <c r="BQ1889" s="4"/>
      <c r="BR1889" s="4"/>
      <c r="BS1889" s="4"/>
      <c r="BT1889" s="4"/>
      <c r="BU1889" s="4"/>
      <c r="BV1889" s="4"/>
      <c r="BW1889" s="4"/>
      <c r="BX1889" s="4"/>
      <c r="BY1889" s="4"/>
      <c r="BZ1889" s="4"/>
      <c r="CA1889" s="4"/>
      <c r="CB1889" s="4"/>
      <c r="CC1889" s="4"/>
      <c r="CD1889" s="4"/>
      <c r="CE1889" s="4"/>
      <c r="CF1889" s="4"/>
      <c r="CG1889" s="4"/>
      <c r="CH1889" s="4"/>
      <c r="CI1889" s="4"/>
      <c r="CJ1889" s="4"/>
      <c r="CK1889" s="4"/>
      <c r="CL1889" s="4"/>
      <c r="CM1889" s="4"/>
      <c r="CN1889" s="4"/>
      <c r="CO1889" s="4"/>
      <c r="CP1889" s="4"/>
      <c r="CQ1889" s="4"/>
      <c r="CR1889" s="4"/>
      <c r="CS1889" s="4"/>
      <c r="CT1889" s="4"/>
      <c r="CU1889" s="4"/>
      <c r="CV1889" s="4"/>
      <c r="CW1889" s="4"/>
      <c r="CX1889" s="4"/>
      <c r="CY1889" s="4"/>
      <c r="CZ1889" s="4"/>
      <c r="DA1889" s="4"/>
      <c r="DB1889" s="4"/>
      <c r="DC1889" s="4"/>
      <c r="DD1889" s="4"/>
      <c r="DE1889" s="4"/>
      <c r="DF1889" s="4"/>
      <c r="DG1889" s="4"/>
      <c r="DH1889" s="4"/>
      <c r="DI1889" s="4"/>
      <c r="DJ1889" s="4"/>
      <c r="DK1889" s="4"/>
      <c r="DL1889" s="4"/>
      <c r="DM1889" s="4"/>
      <c r="DN1889" s="4"/>
      <c r="DO1889" s="4"/>
      <c r="DP1889" s="4"/>
      <c r="DQ1889" s="4"/>
      <c r="DR1889" s="4"/>
      <c r="DS1889" s="4"/>
    </row>
    <row r="1890">
      <c r="A1890" s="4"/>
      <c r="B1890" s="4"/>
      <c r="C1890" s="4"/>
      <c r="D1890" s="4"/>
      <c r="E1890" s="4"/>
      <c r="F1890" s="4" t="s">
        <v>17</v>
      </c>
      <c r="G1890" s="15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  <c r="AA1890" s="4"/>
      <c r="AB1890" s="4"/>
      <c r="AC1890" s="4"/>
      <c r="AD1890" s="4"/>
      <c r="AE1890" s="4"/>
      <c r="AF1890" s="4"/>
      <c r="AG1890" s="4"/>
      <c r="AH1890" s="4"/>
      <c r="AI1890" s="4"/>
      <c r="AJ1890" s="4"/>
      <c r="AK1890" s="4"/>
      <c r="AL1890" s="4"/>
      <c r="AM1890" s="4"/>
      <c r="AN1890" s="4"/>
      <c r="AO1890" s="4"/>
      <c r="AP1890" s="4"/>
      <c r="AQ1890" s="4"/>
      <c r="AR1890" s="4"/>
      <c r="AS1890" s="4"/>
      <c r="AT1890" s="4"/>
      <c r="AU1890" s="4"/>
      <c r="AV1890" s="4"/>
      <c r="AW1890" s="4"/>
      <c r="AX1890" s="4"/>
      <c r="AY1890" s="4"/>
      <c r="AZ1890" s="4"/>
      <c r="BA1890" s="4"/>
      <c r="BB1890" s="4"/>
      <c r="BC1890" s="4"/>
      <c r="BD1890" s="4"/>
      <c r="BE1890" s="4"/>
      <c r="BF1890" s="4"/>
      <c r="BG1890" s="4"/>
      <c r="BH1890" s="4"/>
      <c r="BI1890" s="4"/>
      <c r="BJ1890" s="4"/>
      <c r="BK1890" s="4"/>
      <c r="BL1890" s="4"/>
      <c r="BM1890" s="4"/>
      <c r="BN1890" s="4"/>
      <c r="BO1890" s="4"/>
      <c r="BP1890" s="4"/>
      <c r="BQ1890" s="4"/>
      <c r="BR1890" s="4"/>
      <c r="BS1890" s="4"/>
      <c r="BT1890" s="4"/>
      <c r="BU1890" s="4"/>
      <c r="BV1890" s="4"/>
      <c r="BW1890" s="4"/>
      <c r="BX1890" s="4"/>
      <c r="BY1890" s="4"/>
      <c r="BZ1890" s="4"/>
      <c r="CA1890" s="4"/>
      <c r="CB1890" s="4"/>
      <c r="CC1890" s="4"/>
      <c r="CD1890" s="4"/>
      <c r="CE1890" s="4"/>
      <c r="CF1890" s="4"/>
      <c r="CG1890" s="4"/>
      <c r="CH1890" s="4"/>
      <c r="CI1890" s="4"/>
      <c r="CJ1890" s="4"/>
      <c r="CK1890" s="4"/>
      <c r="CL1890" s="4"/>
      <c r="CM1890" s="4"/>
      <c r="CN1890" s="4"/>
      <c r="CO1890" s="4"/>
      <c r="CP1890" s="4"/>
      <c r="CQ1890" s="4"/>
      <c r="CR1890" s="4"/>
      <c r="CS1890" s="4"/>
      <c r="CT1890" s="4"/>
      <c r="CU1890" s="4"/>
      <c r="CV1890" s="4"/>
      <c r="CW1890" s="4"/>
      <c r="CX1890" s="4"/>
      <c r="CY1890" s="4"/>
      <c r="CZ1890" s="4"/>
      <c r="DA1890" s="4"/>
      <c r="DB1890" s="4"/>
      <c r="DC1890" s="4"/>
      <c r="DD1890" s="4"/>
      <c r="DE1890" s="4"/>
      <c r="DF1890" s="4"/>
      <c r="DG1890" s="4"/>
      <c r="DH1890" s="4"/>
      <c r="DI1890" s="4"/>
      <c r="DJ1890" s="4"/>
      <c r="DK1890" s="4"/>
      <c r="DL1890" s="4"/>
      <c r="DM1890" s="4"/>
      <c r="DN1890" s="4"/>
      <c r="DO1890" s="4"/>
      <c r="DP1890" s="4"/>
      <c r="DQ1890" s="4"/>
      <c r="DR1890" s="4"/>
      <c r="DS1890" s="4"/>
    </row>
    <row r="1891">
      <c r="A1891" s="4"/>
      <c r="B1891" s="4"/>
      <c r="C1891" s="4"/>
      <c r="D1891" s="4"/>
      <c r="E1891" s="4"/>
      <c r="F1891" s="4" t="s">
        <v>17</v>
      </c>
      <c r="G1891" s="15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  <c r="AA1891" s="4"/>
      <c r="AB1891" s="4"/>
      <c r="AC1891" s="4"/>
      <c r="AD1891" s="4"/>
      <c r="AE1891" s="4"/>
      <c r="AF1891" s="4"/>
      <c r="AG1891" s="4"/>
      <c r="AH1891" s="4"/>
      <c r="AI1891" s="4"/>
      <c r="AJ1891" s="4"/>
      <c r="AK1891" s="4"/>
      <c r="AL1891" s="4"/>
      <c r="AM1891" s="4"/>
      <c r="AN1891" s="4"/>
      <c r="AO1891" s="4"/>
      <c r="AP1891" s="4"/>
      <c r="AQ1891" s="4"/>
      <c r="AR1891" s="4"/>
      <c r="AS1891" s="4"/>
      <c r="AT1891" s="4"/>
      <c r="AU1891" s="4"/>
      <c r="AV1891" s="4"/>
      <c r="AW1891" s="4"/>
      <c r="AX1891" s="4"/>
      <c r="AY1891" s="4"/>
      <c r="AZ1891" s="4"/>
      <c r="BA1891" s="4"/>
      <c r="BB1891" s="4"/>
      <c r="BC1891" s="4"/>
      <c r="BD1891" s="4"/>
      <c r="BE1891" s="4"/>
      <c r="BF1891" s="4"/>
      <c r="BG1891" s="4"/>
      <c r="BH1891" s="4"/>
      <c r="BI1891" s="4"/>
      <c r="BJ1891" s="4"/>
      <c r="BK1891" s="4"/>
      <c r="BL1891" s="4"/>
      <c r="BM1891" s="4"/>
      <c r="BN1891" s="4"/>
      <c r="BO1891" s="4"/>
      <c r="BP1891" s="4"/>
      <c r="BQ1891" s="4"/>
      <c r="BR1891" s="4"/>
      <c r="BS1891" s="4"/>
      <c r="BT1891" s="4"/>
      <c r="BU1891" s="4"/>
      <c r="BV1891" s="4"/>
      <c r="BW1891" s="4"/>
      <c r="BX1891" s="4"/>
      <c r="BY1891" s="4"/>
      <c r="BZ1891" s="4"/>
      <c r="CA1891" s="4"/>
      <c r="CB1891" s="4"/>
      <c r="CC1891" s="4"/>
      <c r="CD1891" s="4"/>
      <c r="CE1891" s="4"/>
      <c r="CF1891" s="4"/>
      <c r="CG1891" s="4"/>
      <c r="CH1891" s="4"/>
      <c r="CI1891" s="4"/>
      <c r="CJ1891" s="4"/>
      <c r="CK1891" s="4"/>
      <c r="CL1891" s="4"/>
      <c r="CM1891" s="4"/>
      <c r="CN1891" s="4"/>
      <c r="CO1891" s="4"/>
      <c r="CP1891" s="4"/>
      <c r="CQ1891" s="4"/>
      <c r="CR1891" s="4"/>
      <c r="CS1891" s="4"/>
      <c r="CT1891" s="4"/>
      <c r="CU1891" s="4"/>
      <c r="CV1891" s="4"/>
      <c r="CW1891" s="4"/>
      <c r="CX1891" s="4"/>
      <c r="CY1891" s="4"/>
      <c r="CZ1891" s="4"/>
      <c r="DA1891" s="4"/>
      <c r="DB1891" s="4"/>
      <c r="DC1891" s="4"/>
      <c r="DD1891" s="4"/>
      <c r="DE1891" s="4"/>
      <c r="DF1891" s="4"/>
      <c r="DG1891" s="4"/>
      <c r="DH1891" s="4"/>
      <c r="DI1891" s="4"/>
      <c r="DJ1891" s="4"/>
      <c r="DK1891" s="4"/>
      <c r="DL1891" s="4"/>
      <c r="DM1891" s="4"/>
      <c r="DN1891" s="4"/>
      <c r="DO1891" s="4"/>
      <c r="DP1891" s="4"/>
      <c r="DQ1891" s="4"/>
      <c r="DR1891" s="4"/>
      <c r="DS1891" s="4"/>
    </row>
    <row r="1892">
      <c r="A1892" s="4"/>
      <c r="B1892" s="4"/>
      <c r="C1892" s="4"/>
      <c r="D1892" s="4"/>
      <c r="E1892" s="4"/>
      <c r="F1892" s="4" t="s">
        <v>17</v>
      </c>
      <c r="G1892" s="15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  <c r="AA1892" s="4"/>
      <c r="AB1892" s="4"/>
      <c r="AC1892" s="4"/>
      <c r="AD1892" s="4"/>
      <c r="AE1892" s="4"/>
      <c r="AF1892" s="4"/>
      <c r="AG1892" s="4"/>
      <c r="AH1892" s="4"/>
      <c r="AI1892" s="4"/>
      <c r="AJ1892" s="4"/>
      <c r="AK1892" s="4"/>
      <c r="AL1892" s="4"/>
      <c r="AM1892" s="4"/>
      <c r="AN1892" s="4"/>
      <c r="AO1892" s="4"/>
      <c r="AP1892" s="4"/>
      <c r="AQ1892" s="4"/>
      <c r="AR1892" s="4"/>
      <c r="AS1892" s="4"/>
      <c r="AT1892" s="4"/>
      <c r="AU1892" s="4"/>
      <c r="AV1892" s="4"/>
      <c r="AW1892" s="4"/>
      <c r="AX1892" s="4"/>
      <c r="AY1892" s="4"/>
      <c r="AZ1892" s="4"/>
      <c r="BA1892" s="4"/>
      <c r="BB1892" s="4"/>
      <c r="BC1892" s="4"/>
      <c r="BD1892" s="4"/>
      <c r="BE1892" s="4"/>
      <c r="BF1892" s="4"/>
      <c r="BG1892" s="4"/>
      <c r="BH1892" s="4"/>
      <c r="BI1892" s="4"/>
      <c r="BJ1892" s="4"/>
      <c r="BK1892" s="4"/>
      <c r="BL1892" s="4"/>
      <c r="BM1892" s="4"/>
      <c r="BN1892" s="4"/>
      <c r="BO1892" s="4"/>
      <c r="BP1892" s="4"/>
      <c r="BQ1892" s="4"/>
      <c r="BR1892" s="4"/>
      <c r="BS1892" s="4"/>
      <c r="BT1892" s="4"/>
      <c r="BU1892" s="4"/>
      <c r="BV1892" s="4"/>
      <c r="BW1892" s="4"/>
      <c r="BX1892" s="4"/>
      <c r="BY1892" s="4"/>
      <c r="BZ1892" s="4"/>
      <c r="CA1892" s="4"/>
      <c r="CB1892" s="4"/>
      <c r="CC1892" s="4"/>
      <c r="CD1892" s="4"/>
      <c r="CE1892" s="4"/>
      <c r="CF1892" s="4"/>
      <c r="CG1892" s="4"/>
      <c r="CH1892" s="4"/>
      <c r="CI1892" s="4"/>
      <c r="CJ1892" s="4"/>
      <c r="CK1892" s="4"/>
      <c r="CL1892" s="4"/>
      <c r="CM1892" s="4"/>
      <c r="CN1892" s="4"/>
      <c r="CO1892" s="4"/>
      <c r="CP1892" s="4"/>
      <c r="CQ1892" s="4"/>
      <c r="CR1892" s="4"/>
      <c r="CS1892" s="4"/>
      <c r="CT1892" s="4"/>
      <c r="CU1892" s="4"/>
      <c r="CV1892" s="4"/>
      <c r="CW1892" s="4"/>
      <c r="CX1892" s="4"/>
      <c r="CY1892" s="4"/>
      <c r="CZ1892" s="4"/>
      <c r="DA1892" s="4"/>
      <c r="DB1892" s="4"/>
      <c r="DC1892" s="4"/>
      <c r="DD1892" s="4"/>
      <c r="DE1892" s="4"/>
      <c r="DF1892" s="4"/>
      <c r="DG1892" s="4"/>
      <c r="DH1892" s="4"/>
      <c r="DI1892" s="4"/>
      <c r="DJ1892" s="4"/>
      <c r="DK1892" s="4"/>
      <c r="DL1892" s="4"/>
      <c r="DM1892" s="4"/>
      <c r="DN1892" s="4"/>
      <c r="DO1892" s="4"/>
      <c r="DP1892" s="4"/>
      <c r="DQ1892" s="4"/>
      <c r="DR1892" s="4"/>
      <c r="DS1892" s="4"/>
    </row>
    <row r="1893">
      <c r="A1893" s="4"/>
      <c r="B1893" s="4"/>
      <c r="C1893" s="4"/>
      <c r="D1893" s="4"/>
      <c r="E1893" s="4"/>
      <c r="F1893" s="4" t="s">
        <v>17</v>
      </c>
      <c r="G1893" s="15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  <c r="AA1893" s="4"/>
      <c r="AB1893" s="4"/>
      <c r="AC1893" s="4"/>
      <c r="AD1893" s="4"/>
      <c r="AE1893" s="4"/>
      <c r="AF1893" s="4"/>
      <c r="AG1893" s="4"/>
      <c r="AH1893" s="4"/>
      <c r="AI1893" s="4"/>
      <c r="AJ1893" s="4"/>
      <c r="AK1893" s="4"/>
      <c r="AL1893" s="4"/>
      <c r="AM1893" s="4"/>
      <c r="AN1893" s="4"/>
      <c r="AO1893" s="4"/>
      <c r="AP1893" s="4"/>
      <c r="AQ1893" s="4"/>
      <c r="AR1893" s="4"/>
      <c r="AS1893" s="4"/>
      <c r="AT1893" s="4"/>
      <c r="AU1893" s="4"/>
      <c r="AV1893" s="4"/>
      <c r="AW1893" s="4"/>
      <c r="AX1893" s="4"/>
      <c r="AY1893" s="4"/>
      <c r="AZ1893" s="4"/>
      <c r="BA1893" s="4"/>
      <c r="BB1893" s="4"/>
      <c r="BC1893" s="4"/>
      <c r="BD1893" s="4"/>
      <c r="BE1893" s="4"/>
      <c r="BF1893" s="4"/>
      <c r="BG1893" s="4"/>
      <c r="BH1893" s="4"/>
      <c r="BI1893" s="4"/>
      <c r="BJ1893" s="4"/>
      <c r="BK1893" s="4"/>
      <c r="BL1893" s="4"/>
      <c r="BM1893" s="4"/>
      <c r="BN1893" s="4"/>
      <c r="BO1893" s="4"/>
      <c r="BP1893" s="4"/>
      <c r="BQ1893" s="4"/>
      <c r="BR1893" s="4"/>
      <c r="BS1893" s="4"/>
      <c r="BT1893" s="4"/>
      <c r="BU1893" s="4"/>
      <c r="BV1893" s="4"/>
      <c r="BW1893" s="4"/>
      <c r="BX1893" s="4"/>
      <c r="BY1893" s="4"/>
      <c r="BZ1893" s="4"/>
      <c r="CA1893" s="4"/>
      <c r="CB1893" s="4"/>
      <c r="CC1893" s="4"/>
      <c r="CD1893" s="4"/>
      <c r="CE1893" s="4"/>
      <c r="CF1893" s="4"/>
      <c r="CG1893" s="4"/>
      <c r="CH1893" s="4"/>
      <c r="CI1893" s="4"/>
      <c r="CJ1893" s="4"/>
      <c r="CK1893" s="4"/>
      <c r="CL1893" s="4"/>
      <c r="CM1893" s="4"/>
      <c r="CN1893" s="4"/>
      <c r="CO1893" s="4"/>
      <c r="CP1893" s="4"/>
      <c r="CQ1893" s="4"/>
      <c r="CR1893" s="4"/>
      <c r="CS1893" s="4"/>
      <c r="CT1893" s="4"/>
      <c r="CU1893" s="4"/>
      <c r="CV1893" s="4"/>
      <c r="CW1893" s="4"/>
      <c r="CX1893" s="4"/>
      <c r="CY1893" s="4"/>
      <c r="CZ1893" s="4"/>
      <c r="DA1893" s="4"/>
      <c r="DB1893" s="4"/>
      <c r="DC1893" s="4"/>
      <c r="DD1893" s="4"/>
      <c r="DE1893" s="4"/>
      <c r="DF1893" s="4"/>
      <c r="DG1893" s="4"/>
      <c r="DH1893" s="4"/>
      <c r="DI1893" s="4"/>
      <c r="DJ1893" s="4"/>
      <c r="DK1893" s="4"/>
      <c r="DL1893" s="4"/>
      <c r="DM1893" s="4"/>
      <c r="DN1893" s="4"/>
      <c r="DO1893" s="4"/>
      <c r="DP1893" s="4"/>
      <c r="DQ1893" s="4"/>
      <c r="DR1893" s="4"/>
      <c r="DS1893" s="4"/>
    </row>
    <row r="1894">
      <c r="A1894" s="4"/>
      <c r="B1894" s="4"/>
      <c r="C1894" s="4"/>
      <c r="D1894" s="4"/>
      <c r="E1894" s="4"/>
      <c r="F1894" s="4" t="s">
        <v>17</v>
      </c>
      <c r="G1894" s="15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  <c r="AA1894" s="4"/>
      <c r="AB1894" s="4"/>
      <c r="AC1894" s="4"/>
      <c r="AD1894" s="4"/>
      <c r="AE1894" s="4"/>
      <c r="AF1894" s="4"/>
      <c r="AG1894" s="4"/>
      <c r="AH1894" s="4"/>
      <c r="AI1894" s="4"/>
      <c r="AJ1894" s="4"/>
      <c r="AK1894" s="4"/>
      <c r="AL1894" s="4"/>
      <c r="AM1894" s="4"/>
      <c r="AN1894" s="4"/>
      <c r="AO1894" s="4"/>
      <c r="AP1894" s="4"/>
      <c r="AQ1894" s="4"/>
      <c r="AR1894" s="4"/>
      <c r="AS1894" s="4"/>
      <c r="AT1894" s="4"/>
      <c r="AU1894" s="4"/>
      <c r="AV1894" s="4"/>
      <c r="AW1894" s="4"/>
      <c r="AX1894" s="4"/>
      <c r="AY1894" s="4"/>
      <c r="AZ1894" s="4"/>
      <c r="BA1894" s="4"/>
      <c r="BB1894" s="4"/>
      <c r="BC1894" s="4"/>
      <c r="BD1894" s="4"/>
      <c r="BE1894" s="4"/>
      <c r="BF1894" s="4"/>
      <c r="BG1894" s="4"/>
      <c r="BH1894" s="4"/>
      <c r="BI1894" s="4"/>
      <c r="BJ1894" s="4"/>
      <c r="BK1894" s="4"/>
      <c r="BL1894" s="4"/>
      <c r="BM1894" s="4"/>
      <c r="BN1894" s="4"/>
      <c r="BO1894" s="4"/>
      <c r="BP1894" s="4"/>
      <c r="BQ1894" s="4"/>
      <c r="BR1894" s="4"/>
      <c r="BS1894" s="4"/>
      <c r="BT1894" s="4"/>
      <c r="BU1894" s="4"/>
      <c r="BV1894" s="4"/>
      <c r="BW1894" s="4"/>
      <c r="BX1894" s="4"/>
      <c r="BY1894" s="4"/>
      <c r="BZ1894" s="4"/>
      <c r="CA1894" s="4"/>
      <c r="CB1894" s="4"/>
      <c r="CC1894" s="4"/>
      <c r="CD1894" s="4"/>
      <c r="CE1894" s="4"/>
      <c r="CF1894" s="4"/>
      <c r="CG1894" s="4"/>
      <c r="CH1894" s="4"/>
      <c r="CI1894" s="4"/>
      <c r="CJ1894" s="4"/>
      <c r="CK1894" s="4"/>
      <c r="CL1894" s="4"/>
      <c r="CM1894" s="4"/>
      <c r="CN1894" s="4"/>
      <c r="CO1894" s="4"/>
      <c r="CP1894" s="4"/>
      <c r="CQ1894" s="4"/>
      <c r="CR1894" s="4"/>
      <c r="CS1894" s="4"/>
      <c r="CT1894" s="4"/>
      <c r="CU1894" s="4"/>
      <c r="CV1894" s="4"/>
      <c r="CW1894" s="4"/>
      <c r="CX1894" s="4"/>
      <c r="CY1894" s="4"/>
      <c r="CZ1894" s="4"/>
      <c r="DA1894" s="4"/>
      <c r="DB1894" s="4"/>
      <c r="DC1894" s="4"/>
      <c r="DD1894" s="4"/>
      <c r="DE1894" s="4"/>
      <c r="DF1894" s="4"/>
      <c r="DG1894" s="4"/>
      <c r="DH1894" s="4"/>
      <c r="DI1894" s="4"/>
      <c r="DJ1894" s="4"/>
      <c r="DK1894" s="4"/>
      <c r="DL1894" s="4"/>
      <c r="DM1894" s="4"/>
      <c r="DN1894" s="4"/>
      <c r="DO1894" s="4"/>
      <c r="DP1894" s="4"/>
      <c r="DQ1894" s="4"/>
      <c r="DR1894" s="4"/>
      <c r="DS1894" s="4"/>
    </row>
    <row r="1895">
      <c r="A1895" s="4"/>
      <c r="B1895" s="4"/>
      <c r="C1895" s="4"/>
      <c r="D1895" s="4"/>
      <c r="E1895" s="4"/>
      <c r="F1895" s="4" t="s">
        <v>17</v>
      </c>
      <c r="G1895" s="15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  <c r="AA1895" s="4"/>
      <c r="AB1895" s="4"/>
      <c r="AC1895" s="4"/>
      <c r="AD1895" s="4"/>
      <c r="AE1895" s="4"/>
      <c r="AF1895" s="4"/>
      <c r="AG1895" s="4"/>
      <c r="AH1895" s="4"/>
      <c r="AI1895" s="4"/>
      <c r="AJ1895" s="4"/>
      <c r="AK1895" s="4"/>
      <c r="AL1895" s="4"/>
      <c r="AM1895" s="4"/>
      <c r="AN1895" s="4"/>
      <c r="AO1895" s="4"/>
      <c r="AP1895" s="4"/>
      <c r="AQ1895" s="4"/>
      <c r="AR1895" s="4"/>
      <c r="AS1895" s="4"/>
      <c r="AT1895" s="4"/>
      <c r="AU1895" s="4"/>
      <c r="AV1895" s="4"/>
      <c r="AW1895" s="4"/>
      <c r="AX1895" s="4"/>
      <c r="AY1895" s="4"/>
      <c r="AZ1895" s="4"/>
      <c r="BA1895" s="4"/>
      <c r="BB1895" s="4"/>
      <c r="BC1895" s="4"/>
      <c r="BD1895" s="4"/>
      <c r="BE1895" s="4"/>
      <c r="BF1895" s="4"/>
      <c r="BG1895" s="4"/>
      <c r="BH1895" s="4"/>
      <c r="BI1895" s="4"/>
      <c r="BJ1895" s="4"/>
      <c r="BK1895" s="4"/>
      <c r="BL1895" s="4"/>
      <c r="BM1895" s="4"/>
      <c r="BN1895" s="4"/>
      <c r="BO1895" s="4"/>
      <c r="BP1895" s="4"/>
      <c r="BQ1895" s="4"/>
      <c r="BR1895" s="4"/>
      <c r="BS1895" s="4"/>
      <c r="BT1895" s="4"/>
      <c r="BU1895" s="4"/>
      <c r="BV1895" s="4"/>
      <c r="BW1895" s="4"/>
      <c r="BX1895" s="4"/>
      <c r="BY1895" s="4"/>
      <c r="BZ1895" s="4"/>
      <c r="CA1895" s="4"/>
      <c r="CB1895" s="4"/>
      <c r="CC1895" s="4"/>
      <c r="CD1895" s="4"/>
      <c r="CE1895" s="4"/>
      <c r="CF1895" s="4"/>
      <c r="CG1895" s="4"/>
      <c r="CH1895" s="4"/>
      <c r="CI1895" s="4"/>
      <c r="CJ1895" s="4"/>
      <c r="CK1895" s="4"/>
      <c r="CL1895" s="4"/>
      <c r="CM1895" s="4"/>
      <c r="CN1895" s="4"/>
      <c r="CO1895" s="4"/>
      <c r="CP1895" s="4"/>
      <c r="CQ1895" s="4"/>
      <c r="CR1895" s="4"/>
      <c r="CS1895" s="4"/>
      <c r="CT1895" s="4"/>
      <c r="CU1895" s="4"/>
      <c r="CV1895" s="4"/>
      <c r="CW1895" s="4"/>
      <c r="CX1895" s="4"/>
      <c r="CY1895" s="4"/>
      <c r="CZ1895" s="4"/>
      <c r="DA1895" s="4"/>
      <c r="DB1895" s="4"/>
      <c r="DC1895" s="4"/>
      <c r="DD1895" s="4"/>
      <c r="DE1895" s="4"/>
      <c r="DF1895" s="4"/>
      <c r="DG1895" s="4"/>
      <c r="DH1895" s="4"/>
      <c r="DI1895" s="4"/>
      <c r="DJ1895" s="4"/>
      <c r="DK1895" s="4"/>
      <c r="DL1895" s="4"/>
      <c r="DM1895" s="4"/>
      <c r="DN1895" s="4"/>
      <c r="DO1895" s="4"/>
      <c r="DP1895" s="4"/>
      <c r="DQ1895" s="4"/>
      <c r="DR1895" s="4"/>
      <c r="DS1895" s="4"/>
    </row>
    <row r="1896">
      <c r="A1896" s="4"/>
      <c r="B1896" s="4"/>
      <c r="C1896" s="4"/>
      <c r="D1896" s="4"/>
      <c r="E1896" s="4"/>
      <c r="F1896" s="4" t="s">
        <v>17</v>
      </c>
      <c r="G1896" s="15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  <c r="AA1896" s="4"/>
      <c r="AB1896" s="4"/>
      <c r="AC1896" s="4"/>
      <c r="AD1896" s="4"/>
      <c r="AE1896" s="4"/>
      <c r="AF1896" s="4"/>
      <c r="AG1896" s="4"/>
      <c r="AH1896" s="4"/>
      <c r="AI1896" s="4"/>
      <c r="AJ1896" s="4"/>
      <c r="AK1896" s="4"/>
      <c r="AL1896" s="4"/>
      <c r="AM1896" s="4"/>
      <c r="AN1896" s="4"/>
      <c r="AO1896" s="4"/>
      <c r="AP1896" s="4"/>
      <c r="AQ1896" s="4"/>
      <c r="AR1896" s="4"/>
      <c r="AS1896" s="4"/>
      <c r="AT1896" s="4"/>
      <c r="AU1896" s="4"/>
      <c r="AV1896" s="4"/>
      <c r="AW1896" s="4"/>
      <c r="AX1896" s="4"/>
      <c r="AY1896" s="4"/>
      <c r="AZ1896" s="4"/>
      <c r="BA1896" s="4"/>
      <c r="BB1896" s="4"/>
      <c r="BC1896" s="4"/>
      <c r="BD1896" s="4"/>
      <c r="BE1896" s="4"/>
      <c r="BF1896" s="4"/>
      <c r="BG1896" s="4"/>
      <c r="BH1896" s="4"/>
      <c r="BI1896" s="4"/>
      <c r="BJ1896" s="4"/>
      <c r="BK1896" s="4"/>
      <c r="BL1896" s="4"/>
      <c r="BM1896" s="4"/>
      <c r="BN1896" s="4"/>
      <c r="BO1896" s="4"/>
      <c r="BP1896" s="4"/>
      <c r="BQ1896" s="4"/>
      <c r="BR1896" s="4"/>
      <c r="BS1896" s="4"/>
      <c r="BT1896" s="4"/>
      <c r="BU1896" s="4"/>
      <c r="BV1896" s="4"/>
      <c r="BW1896" s="4"/>
      <c r="BX1896" s="4"/>
      <c r="BY1896" s="4"/>
      <c r="BZ1896" s="4"/>
      <c r="CA1896" s="4"/>
      <c r="CB1896" s="4"/>
      <c r="CC1896" s="4"/>
      <c r="CD1896" s="4"/>
      <c r="CE1896" s="4"/>
      <c r="CF1896" s="4"/>
      <c r="CG1896" s="4"/>
      <c r="CH1896" s="4"/>
      <c r="CI1896" s="4"/>
      <c r="CJ1896" s="4"/>
      <c r="CK1896" s="4"/>
      <c r="CL1896" s="4"/>
      <c r="CM1896" s="4"/>
      <c r="CN1896" s="4"/>
      <c r="CO1896" s="4"/>
      <c r="CP1896" s="4"/>
      <c r="CQ1896" s="4"/>
      <c r="CR1896" s="4"/>
      <c r="CS1896" s="4"/>
      <c r="CT1896" s="4"/>
      <c r="CU1896" s="4"/>
      <c r="CV1896" s="4"/>
      <c r="CW1896" s="4"/>
      <c r="CX1896" s="4"/>
      <c r="CY1896" s="4"/>
      <c r="CZ1896" s="4"/>
      <c r="DA1896" s="4"/>
      <c r="DB1896" s="4"/>
      <c r="DC1896" s="4"/>
      <c r="DD1896" s="4"/>
      <c r="DE1896" s="4"/>
      <c r="DF1896" s="4"/>
      <c r="DG1896" s="4"/>
      <c r="DH1896" s="4"/>
      <c r="DI1896" s="4"/>
      <c r="DJ1896" s="4"/>
      <c r="DK1896" s="4"/>
      <c r="DL1896" s="4"/>
      <c r="DM1896" s="4"/>
      <c r="DN1896" s="4"/>
      <c r="DO1896" s="4"/>
      <c r="DP1896" s="4"/>
      <c r="DQ1896" s="4"/>
      <c r="DR1896" s="4"/>
      <c r="DS1896" s="4"/>
    </row>
    <row r="1897">
      <c r="A1897" s="4"/>
      <c r="B1897" s="4"/>
      <c r="C1897" s="4"/>
      <c r="D1897" s="4"/>
      <c r="E1897" s="4"/>
      <c r="F1897" s="4" t="s">
        <v>17</v>
      </c>
      <c r="G1897" s="15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  <c r="AA1897" s="4"/>
      <c r="AB1897" s="4"/>
      <c r="AC1897" s="4"/>
      <c r="AD1897" s="4"/>
      <c r="AE1897" s="4"/>
      <c r="AF1897" s="4"/>
      <c r="AG1897" s="4"/>
      <c r="AH1897" s="4"/>
      <c r="AI1897" s="4"/>
      <c r="AJ1897" s="4"/>
      <c r="AK1897" s="4"/>
      <c r="AL1897" s="4"/>
      <c r="AM1897" s="4"/>
      <c r="AN1897" s="4"/>
      <c r="AO1897" s="4"/>
      <c r="AP1897" s="4"/>
      <c r="AQ1897" s="4"/>
      <c r="AR1897" s="4"/>
      <c r="AS1897" s="4"/>
      <c r="AT1897" s="4"/>
      <c r="AU1897" s="4"/>
      <c r="AV1897" s="4"/>
      <c r="AW1897" s="4"/>
      <c r="AX1897" s="4"/>
      <c r="AY1897" s="4"/>
      <c r="AZ1897" s="4"/>
      <c r="BA1897" s="4"/>
      <c r="BB1897" s="4"/>
      <c r="BC1897" s="4"/>
      <c r="BD1897" s="4"/>
      <c r="BE1897" s="4"/>
      <c r="BF1897" s="4"/>
      <c r="BG1897" s="4"/>
      <c r="BH1897" s="4"/>
      <c r="BI1897" s="4"/>
      <c r="BJ1897" s="4"/>
      <c r="BK1897" s="4"/>
      <c r="BL1897" s="4"/>
      <c r="BM1897" s="4"/>
      <c r="BN1897" s="4"/>
      <c r="BO1897" s="4"/>
      <c r="BP1897" s="4"/>
      <c r="BQ1897" s="4"/>
      <c r="BR1897" s="4"/>
      <c r="BS1897" s="4"/>
      <c r="BT1897" s="4"/>
      <c r="BU1897" s="4"/>
      <c r="BV1897" s="4"/>
      <c r="BW1897" s="4"/>
      <c r="BX1897" s="4"/>
      <c r="BY1897" s="4"/>
      <c r="BZ1897" s="4"/>
      <c r="CA1897" s="4"/>
      <c r="CB1897" s="4"/>
      <c r="CC1897" s="4"/>
      <c r="CD1897" s="4"/>
      <c r="CE1897" s="4"/>
      <c r="CF1897" s="4"/>
      <c r="CG1897" s="4"/>
      <c r="CH1897" s="4"/>
      <c r="CI1897" s="4"/>
      <c r="CJ1897" s="4"/>
      <c r="CK1897" s="4"/>
      <c r="CL1897" s="4"/>
      <c r="CM1897" s="4"/>
      <c r="CN1897" s="4"/>
      <c r="CO1897" s="4"/>
      <c r="CP1897" s="4"/>
      <c r="CQ1897" s="4"/>
      <c r="CR1897" s="4"/>
      <c r="CS1897" s="4"/>
      <c r="CT1897" s="4"/>
      <c r="CU1897" s="4"/>
      <c r="CV1897" s="4"/>
      <c r="CW1897" s="4"/>
      <c r="CX1897" s="4"/>
      <c r="CY1897" s="4"/>
      <c r="CZ1897" s="4"/>
      <c r="DA1897" s="4"/>
      <c r="DB1897" s="4"/>
      <c r="DC1897" s="4"/>
      <c r="DD1897" s="4"/>
      <c r="DE1897" s="4"/>
      <c r="DF1897" s="4"/>
      <c r="DG1897" s="4"/>
      <c r="DH1897" s="4"/>
      <c r="DI1897" s="4"/>
      <c r="DJ1897" s="4"/>
      <c r="DK1897" s="4"/>
      <c r="DL1897" s="4"/>
      <c r="DM1897" s="4"/>
      <c r="DN1897" s="4"/>
      <c r="DO1897" s="4"/>
      <c r="DP1897" s="4"/>
      <c r="DQ1897" s="4"/>
      <c r="DR1897" s="4"/>
      <c r="DS1897" s="4"/>
    </row>
    <row r="1898">
      <c r="A1898" s="4"/>
      <c r="B1898" s="4"/>
      <c r="C1898" s="4"/>
      <c r="D1898" s="4"/>
      <c r="E1898" s="4"/>
      <c r="F1898" s="4" t="s">
        <v>17</v>
      </c>
      <c r="G1898" s="15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  <c r="AA1898" s="4"/>
      <c r="AB1898" s="4"/>
      <c r="AC1898" s="4"/>
      <c r="AD1898" s="4"/>
      <c r="AE1898" s="4"/>
      <c r="AF1898" s="4"/>
      <c r="AG1898" s="4"/>
      <c r="AH1898" s="4"/>
      <c r="AI1898" s="4"/>
      <c r="AJ1898" s="4"/>
      <c r="AK1898" s="4"/>
      <c r="AL1898" s="4"/>
      <c r="AM1898" s="4"/>
      <c r="AN1898" s="4"/>
      <c r="AO1898" s="4"/>
      <c r="AP1898" s="4"/>
      <c r="AQ1898" s="4"/>
      <c r="AR1898" s="4"/>
      <c r="AS1898" s="4"/>
      <c r="AT1898" s="4"/>
      <c r="AU1898" s="4"/>
      <c r="AV1898" s="4"/>
      <c r="AW1898" s="4"/>
      <c r="AX1898" s="4"/>
      <c r="AY1898" s="4"/>
      <c r="AZ1898" s="4"/>
      <c r="BA1898" s="4"/>
      <c r="BB1898" s="4"/>
      <c r="BC1898" s="4"/>
      <c r="BD1898" s="4"/>
      <c r="BE1898" s="4"/>
      <c r="BF1898" s="4"/>
      <c r="BG1898" s="4"/>
      <c r="BH1898" s="4"/>
      <c r="BI1898" s="4"/>
      <c r="BJ1898" s="4"/>
      <c r="BK1898" s="4"/>
      <c r="BL1898" s="4"/>
      <c r="BM1898" s="4"/>
      <c r="BN1898" s="4"/>
      <c r="BO1898" s="4"/>
      <c r="BP1898" s="4"/>
      <c r="BQ1898" s="4"/>
      <c r="BR1898" s="4"/>
      <c r="BS1898" s="4"/>
      <c r="BT1898" s="4"/>
      <c r="BU1898" s="4"/>
      <c r="BV1898" s="4"/>
      <c r="BW1898" s="4"/>
      <c r="BX1898" s="4"/>
      <c r="BY1898" s="4"/>
      <c r="BZ1898" s="4"/>
      <c r="CA1898" s="4"/>
      <c r="CB1898" s="4"/>
      <c r="CC1898" s="4"/>
      <c r="CD1898" s="4"/>
      <c r="CE1898" s="4"/>
      <c r="CF1898" s="4"/>
      <c r="CG1898" s="4"/>
      <c r="CH1898" s="4"/>
      <c r="CI1898" s="4"/>
      <c r="CJ1898" s="4"/>
      <c r="CK1898" s="4"/>
      <c r="CL1898" s="4"/>
      <c r="CM1898" s="4"/>
      <c r="CN1898" s="4"/>
      <c r="CO1898" s="4"/>
      <c r="CP1898" s="4"/>
      <c r="CQ1898" s="4"/>
      <c r="CR1898" s="4"/>
      <c r="CS1898" s="4"/>
      <c r="CT1898" s="4"/>
      <c r="CU1898" s="4"/>
      <c r="CV1898" s="4"/>
      <c r="CW1898" s="4"/>
      <c r="CX1898" s="4"/>
      <c r="CY1898" s="4"/>
      <c r="CZ1898" s="4"/>
      <c r="DA1898" s="4"/>
      <c r="DB1898" s="4"/>
      <c r="DC1898" s="4"/>
      <c r="DD1898" s="4"/>
      <c r="DE1898" s="4"/>
      <c r="DF1898" s="4"/>
      <c r="DG1898" s="4"/>
      <c r="DH1898" s="4"/>
      <c r="DI1898" s="4"/>
      <c r="DJ1898" s="4"/>
      <c r="DK1898" s="4"/>
      <c r="DL1898" s="4"/>
      <c r="DM1898" s="4"/>
      <c r="DN1898" s="4"/>
      <c r="DO1898" s="4"/>
      <c r="DP1898" s="4"/>
      <c r="DQ1898" s="4"/>
      <c r="DR1898" s="4"/>
      <c r="DS1898" s="4"/>
    </row>
    <row r="1899">
      <c r="A1899" s="4"/>
      <c r="B1899" s="4"/>
      <c r="C1899" s="4"/>
      <c r="D1899" s="4"/>
      <c r="E1899" s="4"/>
      <c r="F1899" s="4" t="s">
        <v>17</v>
      </c>
      <c r="G1899" s="15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  <c r="AA1899" s="4"/>
      <c r="AB1899" s="4"/>
      <c r="AC1899" s="4"/>
      <c r="AD1899" s="4"/>
      <c r="AE1899" s="4"/>
      <c r="AF1899" s="4"/>
      <c r="AG1899" s="4"/>
      <c r="AH1899" s="4"/>
      <c r="AI1899" s="4"/>
      <c r="AJ1899" s="4"/>
      <c r="AK1899" s="4"/>
      <c r="AL1899" s="4"/>
      <c r="AM1899" s="4"/>
      <c r="AN1899" s="4"/>
      <c r="AO1899" s="4"/>
      <c r="AP1899" s="4"/>
      <c r="AQ1899" s="4"/>
      <c r="AR1899" s="4"/>
      <c r="AS1899" s="4"/>
      <c r="AT1899" s="4"/>
      <c r="AU1899" s="4"/>
      <c r="AV1899" s="4"/>
      <c r="AW1899" s="4"/>
      <c r="AX1899" s="4"/>
      <c r="AY1899" s="4"/>
      <c r="AZ1899" s="4"/>
      <c r="BA1899" s="4"/>
      <c r="BB1899" s="4"/>
      <c r="BC1899" s="4"/>
      <c r="BD1899" s="4"/>
      <c r="BE1899" s="4"/>
      <c r="BF1899" s="4"/>
      <c r="BG1899" s="4"/>
      <c r="BH1899" s="4"/>
      <c r="BI1899" s="4"/>
      <c r="BJ1899" s="4"/>
      <c r="BK1899" s="4"/>
      <c r="BL1899" s="4"/>
      <c r="BM1899" s="4"/>
      <c r="BN1899" s="4"/>
      <c r="BO1899" s="4"/>
      <c r="BP1899" s="4"/>
      <c r="BQ1899" s="4"/>
      <c r="BR1899" s="4"/>
      <c r="BS1899" s="4"/>
      <c r="BT1899" s="4"/>
      <c r="BU1899" s="4"/>
      <c r="BV1899" s="4"/>
      <c r="BW1899" s="4"/>
      <c r="BX1899" s="4"/>
      <c r="BY1899" s="4"/>
      <c r="BZ1899" s="4"/>
      <c r="CA1899" s="4"/>
      <c r="CB1899" s="4"/>
      <c r="CC1899" s="4"/>
      <c r="CD1899" s="4"/>
      <c r="CE1899" s="4"/>
      <c r="CF1899" s="4"/>
      <c r="CG1899" s="4"/>
      <c r="CH1899" s="4"/>
      <c r="CI1899" s="4"/>
      <c r="CJ1899" s="4"/>
      <c r="CK1899" s="4"/>
      <c r="CL1899" s="4"/>
      <c r="CM1899" s="4"/>
      <c r="CN1899" s="4"/>
      <c r="CO1899" s="4"/>
      <c r="CP1899" s="4"/>
      <c r="CQ1899" s="4"/>
      <c r="CR1899" s="4"/>
      <c r="CS1899" s="4"/>
      <c r="CT1899" s="4"/>
      <c r="CU1899" s="4"/>
      <c r="CV1899" s="4"/>
      <c r="CW1899" s="4"/>
      <c r="CX1899" s="4"/>
      <c r="CY1899" s="4"/>
      <c r="CZ1899" s="4"/>
      <c r="DA1899" s="4"/>
      <c r="DB1899" s="4"/>
      <c r="DC1899" s="4"/>
      <c r="DD1899" s="4"/>
      <c r="DE1899" s="4"/>
      <c r="DF1899" s="4"/>
      <c r="DG1899" s="4"/>
      <c r="DH1899" s="4"/>
      <c r="DI1899" s="4"/>
      <c r="DJ1899" s="4"/>
      <c r="DK1899" s="4"/>
      <c r="DL1899" s="4"/>
      <c r="DM1899" s="4"/>
      <c r="DN1899" s="4"/>
      <c r="DO1899" s="4"/>
      <c r="DP1899" s="4"/>
      <c r="DQ1899" s="4"/>
      <c r="DR1899" s="4"/>
      <c r="DS1899" s="4"/>
    </row>
    <row r="1900">
      <c r="A1900" s="4"/>
      <c r="B1900" s="4"/>
      <c r="C1900" s="4"/>
      <c r="D1900" s="4"/>
      <c r="E1900" s="4"/>
      <c r="F1900" s="4" t="s">
        <v>17</v>
      </c>
      <c r="G1900" s="15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  <c r="AA1900" s="4"/>
      <c r="AB1900" s="4"/>
      <c r="AC1900" s="4"/>
      <c r="AD1900" s="4"/>
      <c r="AE1900" s="4"/>
      <c r="AF1900" s="4"/>
      <c r="AG1900" s="4"/>
      <c r="AH1900" s="4"/>
      <c r="AI1900" s="4"/>
      <c r="AJ1900" s="4"/>
      <c r="AK1900" s="4"/>
      <c r="AL1900" s="4"/>
      <c r="AM1900" s="4"/>
      <c r="AN1900" s="4"/>
      <c r="AO1900" s="4"/>
      <c r="AP1900" s="4"/>
      <c r="AQ1900" s="4"/>
      <c r="AR1900" s="4"/>
      <c r="AS1900" s="4"/>
      <c r="AT1900" s="4"/>
      <c r="AU1900" s="4"/>
      <c r="AV1900" s="4"/>
      <c r="AW1900" s="4"/>
      <c r="AX1900" s="4"/>
      <c r="AY1900" s="4"/>
      <c r="AZ1900" s="4"/>
      <c r="BA1900" s="4"/>
      <c r="BB1900" s="4"/>
      <c r="BC1900" s="4"/>
      <c r="BD1900" s="4"/>
      <c r="BE1900" s="4"/>
      <c r="BF1900" s="4"/>
      <c r="BG1900" s="4"/>
      <c r="BH1900" s="4"/>
      <c r="BI1900" s="4"/>
      <c r="BJ1900" s="4"/>
      <c r="BK1900" s="4"/>
      <c r="BL1900" s="4"/>
      <c r="BM1900" s="4"/>
      <c r="BN1900" s="4"/>
      <c r="BO1900" s="4"/>
      <c r="BP1900" s="4"/>
      <c r="BQ1900" s="4"/>
      <c r="BR1900" s="4"/>
      <c r="BS1900" s="4"/>
      <c r="BT1900" s="4"/>
      <c r="BU1900" s="4"/>
      <c r="BV1900" s="4"/>
      <c r="BW1900" s="4"/>
      <c r="BX1900" s="4"/>
      <c r="BY1900" s="4"/>
      <c r="BZ1900" s="4"/>
      <c r="CA1900" s="4"/>
      <c r="CB1900" s="4"/>
      <c r="CC1900" s="4"/>
      <c r="CD1900" s="4"/>
      <c r="CE1900" s="4"/>
      <c r="CF1900" s="4"/>
      <c r="CG1900" s="4"/>
      <c r="CH1900" s="4"/>
      <c r="CI1900" s="4"/>
      <c r="CJ1900" s="4"/>
      <c r="CK1900" s="4"/>
      <c r="CL1900" s="4"/>
      <c r="CM1900" s="4"/>
      <c r="CN1900" s="4"/>
      <c r="CO1900" s="4"/>
      <c r="CP1900" s="4"/>
      <c r="CQ1900" s="4"/>
      <c r="CR1900" s="4"/>
      <c r="CS1900" s="4"/>
      <c r="CT1900" s="4"/>
      <c r="CU1900" s="4"/>
      <c r="CV1900" s="4"/>
      <c r="CW1900" s="4"/>
      <c r="CX1900" s="4"/>
      <c r="CY1900" s="4"/>
      <c r="CZ1900" s="4"/>
      <c r="DA1900" s="4"/>
      <c r="DB1900" s="4"/>
      <c r="DC1900" s="4"/>
      <c r="DD1900" s="4"/>
      <c r="DE1900" s="4"/>
      <c r="DF1900" s="4"/>
      <c r="DG1900" s="4"/>
      <c r="DH1900" s="4"/>
      <c r="DI1900" s="4"/>
      <c r="DJ1900" s="4"/>
      <c r="DK1900" s="4"/>
      <c r="DL1900" s="4"/>
      <c r="DM1900" s="4"/>
      <c r="DN1900" s="4"/>
      <c r="DO1900" s="4"/>
      <c r="DP1900" s="4"/>
      <c r="DQ1900" s="4"/>
      <c r="DR1900" s="4"/>
      <c r="DS1900" s="4"/>
    </row>
    <row r="1901">
      <c r="A1901" s="4"/>
      <c r="B1901" s="4"/>
      <c r="C1901" s="4"/>
      <c r="D1901" s="4"/>
      <c r="E1901" s="4"/>
      <c r="F1901" s="4" t="s">
        <v>17</v>
      </c>
      <c r="G1901" s="15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  <c r="AA1901" s="4"/>
      <c r="AB1901" s="4"/>
      <c r="AC1901" s="4"/>
      <c r="AD1901" s="4"/>
      <c r="AE1901" s="4"/>
      <c r="AF1901" s="4"/>
      <c r="AG1901" s="4"/>
      <c r="AH1901" s="4"/>
      <c r="AI1901" s="4"/>
      <c r="AJ1901" s="4"/>
      <c r="AK1901" s="4"/>
      <c r="AL1901" s="4"/>
      <c r="AM1901" s="4"/>
      <c r="AN1901" s="4"/>
      <c r="AO1901" s="4"/>
      <c r="AP1901" s="4"/>
      <c r="AQ1901" s="4"/>
      <c r="AR1901" s="4"/>
      <c r="AS1901" s="4"/>
      <c r="AT1901" s="4"/>
      <c r="AU1901" s="4"/>
      <c r="AV1901" s="4"/>
      <c r="AW1901" s="4"/>
      <c r="AX1901" s="4"/>
      <c r="AY1901" s="4"/>
      <c r="AZ1901" s="4"/>
      <c r="BA1901" s="4"/>
      <c r="BB1901" s="4"/>
      <c r="BC1901" s="4"/>
      <c r="BD1901" s="4"/>
      <c r="BE1901" s="4"/>
      <c r="BF1901" s="4"/>
      <c r="BG1901" s="4"/>
      <c r="BH1901" s="4"/>
      <c r="BI1901" s="4"/>
      <c r="BJ1901" s="4"/>
      <c r="BK1901" s="4"/>
      <c r="BL1901" s="4"/>
      <c r="BM1901" s="4"/>
      <c r="BN1901" s="4"/>
      <c r="BO1901" s="4"/>
      <c r="BP1901" s="4"/>
      <c r="BQ1901" s="4"/>
      <c r="BR1901" s="4"/>
      <c r="BS1901" s="4"/>
      <c r="BT1901" s="4"/>
      <c r="BU1901" s="4"/>
      <c r="BV1901" s="4"/>
      <c r="BW1901" s="4"/>
      <c r="BX1901" s="4"/>
      <c r="BY1901" s="4"/>
      <c r="BZ1901" s="4"/>
      <c r="CA1901" s="4"/>
      <c r="CB1901" s="4"/>
      <c r="CC1901" s="4"/>
      <c r="CD1901" s="4"/>
      <c r="CE1901" s="4"/>
      <c r="CF1901" s="4"/>
      <c r="CG1901" s="4"/>
      <c r="CH1901" s="4"/>
      <c r="CI1901" s="4"/>
      <c r="CJ1901" s="4"/>
      <c r="CK1901" s="4"/>
      <c r="CL1901" s="4"/>
      <c r="CM1901" s="4"/>
      <c r="CN1901" s="4"/>
      <c r="CO1901" s="4"/>
      <c r="CP1901" s="4"/>
      <c r="CQ1901" s="4"/>
      <c r="CR1901" s="4"/>
      <c r="CS1901" s="4"/>
      <c r="CT1901" s="4"/>
      <c r="CU1901" s="4"/>
      <c r="CV1901" s="4"/>
      <c r="CW1901" s="4"/>
      <c r="CX1901" s="4"/>
      <c r="CY1901" s="4"/>
      <c r="CZ1901" s="4"/>
      <c r="DA1901" s="4"/>
      <c r="DB1901" s="4"/>
      <c r="DC1901" s="4"/>
      <c r="DD1901" s="4"/>
      <c r="DE1901" s="4"/>
      <c r="DF1901" s="4"/>
      <c r="DG1901" s="4"/>
      <c r="DH1901" s="4"/>
      <c r="DI1901" s="4"/>
      <c r="DJ1901" s="4"/>
      <c r="DK1901" s="4"/>
      <c r="DL1901" s="4"/>
      <c r="DM1901" s="4"/>
      <c r="DN1901" s="4"/>
      <c r="DO1901" s="4"/>
      <c r="DP1901" s="4"/>
      <c r="DQ1901" s="4"/>
      <c r="DR1901" s="4"/>
      <c r="DS1901" s="4"/>
    </row>
    <row r="1902">
      <c r="A1902" s="4"/>
      <c r="B1902" s="4"/>
      <c r="C1902" s="4"/>
      <c r="D1902" s="4"/>
      <c r="E1902" s="4"/>
      <c r="F1902" s="4" t="s">
        <v>17</v>
      </c>
      <c r="G1902" s="15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  <c r="AA1902" s="4"/>
      <c r="AB1902" s="4"/>
      <c r="AC1902" s="4"/>
      <c r="AD1902" s="4"/>
      <c r="AE1902" s="4"/>
      <c r="AF1902" s="4"/>
      <c r="AG1902" s="4"/>
      <c r="AH1902" s="4"/>
      <c r="AI1902" s="4"/>
      <c r="AJ1902" s="4"/>
      <c r="AK1902" s="4"/>
      <c r="AL1902" s="4"/>
      <c r="AM1902" s="4"/>
      <c r="AN1902" s="4"/>
      <c r="AO1902" s="4"/>
      <c r="AP1902" s="4"/>
      <c r="AQ1902" s="4"/>
      <c r="AR1902" s="4"/>
      <c r="AS1902" s="4"/>
      <c r="AT1902" s="4"/>
      <c r="AU1902" s="4"/>
      <c r="AV1902" s="4"/>
      <c r="AW1902" s="4"/>
      <c r="AX1902" s="4"/>
      <c r="AY1902" s="4"/>
      <c r="AZ1902" s="4"/>
      <c r="BA1902" s="4"/>
      <c r="BB1902" s="4"/>
      <c r="BC1902" s="4"/>
      <c r="BD1902" s="4"/>
      <c r="BE1902" s="4"/>
      <c r="BF1902" s="4"/>
      <c r="BG1902" s="4"/>
      <c r="BH1902" s="4"/>
      <c r="BI1902" s="4"/>
      <c r="BJ1902" s="4"/>
      <c r="BK1902" s="4"/>
      <c r="BL1902" s="4"/>
      <c r="BM1902" s="4"/>
      <c r="BN1902" s="4"/>
      <c r="BO1902" s="4"/>
      <c r="BP1902" s="4"/>
      <c r="BQ1902" s="4"/>
      <c r="BR1902" s="4"/>
      <c r="BS1902" s="4"/>
      <c r="BT1902" s="4"/>
      <c r="BU1902" s="4"/>
      <c r="BV1902" s="4"/>
      <c r="BW1902" s="4"/>
      <c r="BX1902" s="4"/>
      <c r="BY1902" s="4"/>
      <c r="BZ1902" s="4"/>
      <c r="CA1902" s="4"/>
      <c r="CB1902" s="4"/>
      <c r="CC1902" s="4"/>
      <c r="CD1902" s="4"/>
      <c r="CE1902" s="4"/>
      <c r="CF1902" s="4"/>
      <c r="CG1902" s="4"/>
      <c r="CH1902" s="4"/>
      <c r="CI1902" s="4"/>
      <c r="CJ1902" s="4"/>
      <c r="CK1902" s="4"/>
      <c r="CL1902" s="4"/>
      <c r="CM1902" s="4"/>
      <c r="CN1902" s="4"/>
      <c r="CO1902" s="4"/>
      <c r="CP1902" s="4"/>
      <c r="CQ1902" s="4"/>
      <c r="CR1902" s="4"/>
      <c r="CS1902" s="4"/>
      <c r="CT1902" s="4"/>
      <c r="CU1902" s="4"/>
      <c r="CV1902" s="4"/>
      <c r="CW1902" s="4"/>
      <c r="CX1902" s="4"/>
      <c r="CY1902" s="4"/>
      <c r="CZ1902" s="4"/>
      <c r="DA1902" s="4"/>
      <c r="DB1902" s="4"/>
      <c r="DC1902" s="4"/>
      <c r="DD1902" s="4"/>
      <c r="DE1902" s="4"/>
      <c r="DF1902" s="4"/>
      <c r="DG1902" s="4"/>
      <c r="DH1902" s="4"/>
      <c r="DI1902" s="4"/>
      <c r="DJ1902" s="4"/>
      <c r="DK1902" s="4"/>
      <c r="DL1902" s="4"/>
      <c r="DM1902" s="4"/>
      <c r="DN1902" s="4"/>
      <c r="DO1902" s="4"/>
      <c r="DP1902" s="4"/>
      <c r="DQ1902" s="4"/>
      <c r="DR1902" s="4"/>
      <c r="DS1902" s="4"/>
    </row>
    <row r="1903">
      <c r="A1903" s="4"/>
      <c r="B1903" s="4"/>
      <c r="C1903" s="4"/>
      <c r="D1903" s="4"/>
      <c r="E1903" s="4"/>
      <c r="F1903" s="4" t="s">
        <v>17</v>
      </c>
      <c r="G1903" s="15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  <c r="AA1903" s="4"/>
      <c r="AB1903" s="4"/>
      <c r="AC1903" s="4"/>
      <c r="AD1903" s="4"/>
      <c r="AE1903" s="4"/>
      <c r="AF1903" s="4"/>
      <c r="AG1903" s="4"/>
      <c r="AH1903" s="4"/>
      <c r="AI1903" s="4"/>
      <c r="AJ1903" s="4"/>
      <c r="AK1903" s="4"/>
      <c r="AL1903" s="4"/>
      <c r="AM1903" s="4"/>
      <c r="AN1903" s="4"/>
      <c r="AO1903" s="4"/>
      <c r="AP1903" s="4"/>
      <c r="AQ1903" s="4"/>
      <c r="AR1903" s="4"/>
      <c r="AS1903" s="4"/>
      <c r="AT1903" s="4"/>
      <c r="AU1903" s="4"/>
      <c r="AV1903" s="4"/>
      <c r="AW1903" s="4"/>
      <c r="AX1903" s="4"/>
      <c r="AY1903" s="4"/>
      <c r="AZ1903" s="4"/>
      <c r="BA1903" s="4"/>
      <c r="BB1903" s="4"/>
      <c r="BC1903" s="4"/>
      <c r="BD1903" s="4"/>
      <c r="BE1903" s="4"/>
      <c r="BF1903" s="4"/>
      <c r="BG1903" s="4"/>
      <c r="BH1903" s="4"/>
      <c r="BI1903" s="4"/>
      <c r="BJ1903" s="4"/>
      <c r="BK1903" s="4"/>
      <c r="BL1903" s="4"/>
      <c r="BM1903" s="4"/>
      <c r="BN1903" s="4"/>
      <c r="BO1903" s="4"/>
      <c r="BP1903" s="4"/>
      <c r="BQ1903" s="4"/>
      <c r="BR1903" s="4"/>
      <c r="BS1903" s="4"/>
      <c r="BT1903" s="4"/>
      <c r="BU1903" s="4"/>
      <c r="BV1903" s="4"/>
      <c r="BW1903" s="4"/>
      <c r="BX1903" s="4"/>
      <c r="BY1903" s="4"/>
      <c r="BZ1903" s="4"/>
      <c r="CA1903" s="4"/>
      <c r="CB1903" s="4"/>
      <c r="CC1903" s="4"/>
      <c r="CD1903" s="4"/>
      <c r="CE1903" s="4"/>
      <c r="CF1903" s="4"/>
      <c r="CG1903" s="4"/>
      <c r="CH1903" s="4"/>
      <c r="CI1903" s="4"/>
      <c r="CJ1903" s="4"/>
      <c r="CK1903" s="4"/>
      <c r="CL1903" s="4"/>
      <c r="CM1903" s="4"/>
      <c r="CN1903" s="4"/>
      <c r="CO1903" s="4"/>
      <c r="CP1903" s="4"/>
      <c r="CQ1903" s="4"/>
      <c r="CR1903" s="4"/>
      <c r="CS1903" s="4"/>
      <c r="CT1903" s="4"/>
      <c r="CU1903" s="4"/>
      <c r="CV1903" s="4"/>
      <c r="CW1903" s="4"/>
      <c r="CX1903" s="4"/>
      <c r="CY1903" s="4"/>
      <c r="CZ1903" s="4"/>
      <c r="DA1903" s="4"/>
      <c r="DB1903" s="4"/>
      <c r="DC1903" s="4"/>
      <c r="DD1903" s="4"/>
      <c r="DE1903" s="4"/>
      <c r="DF1903" s="4"/>
      <c r="DG1903" s="4"/>
      <c r="DH1903" s="4"/>
      <c r="DI1903" s="4"/>
      <c r="DJ1903" s="4"/>
      <c r="DK1903" s="4"/>
      <c r="DL1903" s="4"/>
      <c r="DM1903" s="4"/>
      <c r="DN1903" s="4"/>
      <c r="DO1903" s="4"/>
      <c r="DP1903" s="4"/>
      <c r="DQ1903" s="4"/>
      <c r="DR1903" s="4"/>
      <c r="DS1903" s="4"/>
    </row>
    <row r="1904">
      <c r="A1904" s="4"/>
      <c r="B1904" s="4"/>
      <c r="C1904" s="4"/>
      <c r="D1904" s="4"/>
      <c r="E1904" s="4"/>
      <c r="F1904" s="4" t="s">
        <v>17</v>
      </c>
      <c r="G1904" s="15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  <c r="AA1904" s="4"/>
      <c r="AB1904" s="4"/>
      <c r="AC1904" s="4"/>
      <c r="AD1904" s="4"/>
      <c r="AE1904" s="4"/>
      <c r="AF1904" s="4"/>
      <c r="AG1904" s="4"/>
      <c r="AH1904" s="4"/>
      <c r="AI1904" s="4"/>
      <c r="AJ1904" s="4"/>
      <c r="AK1904" s="4"/>
      <c r="AL1904" s="4"/>
      <c r="AM1904" s="4"/>
      <c r="AN1904" s="4"/>
      <c r="AO1904" s="4"/>
      <c r="AP1904" s="4"/>
      <c r="AQ1904" s="4"/>
      <c r="AR1904" s="4"/>
      <c r="AS1904" s="4"/>
      <c r="AT1904" s="4"/>
      <c r="AU1904" s="4"/>
      <c r="AV1904" s="4"/>
      <c r="AW1904" s="4"/>
      <c r="AX1904" s="4"/>
      <c r="AY1904" s="4"/>
      <c r="AZ1904" s="4"/>
      <c r="BA1904" s="4"/>
      <c r="BB1904" s="4"/>
      <c r="BC1904" s="4"/>
      <c r="BD1904" s="4"/>
      <c r="BE1904" s="4"/>
      <c r="BF1904" s="4"/>
      <c r="BG1904" s="4"/>
      <c r="BH1904" s="4"/>
      <c r="BI1904" s="4"/>
      <c r="BJ1904" s="4"/>
      <c r="BK1904" s="4"/>
      <c r="BL1904" s="4"/>
      <c r="BM1904" s="4"/>
      <c r="BN1904" s="4"/>
      <c r="BO1904" s="4"/>
      <c r="BP1904" s="4"/>
      <c r="BQ1904" s="4"/>
      <c r="BR1904" s="4"/>
      <c r="BS1904" s="4"/>
      <c r="BT1904" s="4"/>
      <c r="BU1904" s="4"/>
      <c r="BV1904" s="4"/>
      <c r="BW1904" s="4"/>
      <c r="BX1904" s="4"/>
      <c r="BY1904" s="4"/>
      <c r="BZ1904" s="4"/>
      <c r="CA1904" s="4"/>
      <c r="CB1904" s="4"/>
      <c r="CC1904" s="4"/>
      <c r="CD1904" s="4"/>
      <c r="CE1904" s="4"/>
      <c r="CF1904" s="4"/>
      <c r="CG1904" s="4"/>
      <c r="CH1904" s="4"/>
      <c r="CI1904" s="4"/>
      <c r="CJ1904" s="4"/>
      <c r="CK1904" s="4"/>
      <c r="CL1904" s="4"/>
      <c r="CM1904" s="4"/>
      <c r="CN1904" s="4"/>
      <c r="CO1904" s="4"/>
      <c r="CP1904" s="4"/>
      <c r="CQ1904" s="4"/>
      <c r="CR1904" s="4"/>
      <c r="CS1904" s="4"/>
      <c r="CT1904" s="4"/>
      <c r="CU1904" s="4"/>
      <c r="CV1904" s="4"/>
      <c r="CW1904" s="4"/>
      <c r="CX1904" s="4"/>
      <c r="CY1904" s="4"/>
      <c r="CZ1904" s="4"/>
      <c r="DA1904" s="4"/>
      <c r="DB1904" s="4"/>
      <c r="DC1904" s="4"/>
      <c r="DD1904" s="4"/>
      <c r="DE1904" s="4"/>
      <c r="DF1904" s="4"/>
      <c r="DG1904" s="4"/>
      <c r="DH1904" s="4"/>
      <c r="DI1904" s="4"/>
      <c r="DJ1904" s="4"/>
      <c r="DK1904" s="4"/>
      <c r="DL1904" s="4"/>
      <c r="DM1904" s="4"/>
      <c r="DN1904" s="4"/>
      <c r="DO1904" s="4"/>
      <c r="DP1904" s="4"/>
      <c r="DQ1904" s="4"/>
      <c r="DR1904" s="4"/>
      <c r="DS1904" s="4"/>
    </row>
    <row r="1905">
      <c r="A1905" s="4"/>
      <c r="B1905" s="4"/>
      <c r="C1905" s="4"/>
      <c r="D1905" s="4"/>
      <c r="E1905" s="4"/>
      <c r="F1905" s="4" t="s">
        <v>17</v>
      </c>
      <c r="G1905" s="15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  <c r="AA1905" s="4"/>
      <c r="AB1905" s="4"/>
      <c r="AC1905" s="4"/>
      <c r="AD1905" s="4"/>
      <c r="AE1905" s="4"/>
      <c r="AF1905" s="4"/>
      <c r="AG1905" s="4"/>
      <c r="AH1905" s="4"/>
      <c r="AI1905" s="4"/>
      <c r="AJ1905" s="4"/>
      <c r="AK1905" s="4"/>
      <c r="AL1905" s="4"/>
      <c r="AM1905" s="4"/>
      <c r="AN1905" s="4"/>
      <c r="AO1905" s="4"/>
      <c r="AP1905" s="4"/>
      <c r="AQ1905" s="4"/>
      <c r="AR1905" s="4"/>
      <c r="AS1905" s="4"/>
      <c r="AT1905" s="4"/>
      <c r="AU1905" s="4"/>
      <c r="AV1905" s="4"/>
      <c r="AW1905" s="4"/>
      <c r="AX1905" s="4"/>
      <c r="AY1905" s="4"/>
      <c r="AZ1905" s="4"/>
      <c r="BA1905" s="4"/>
      <c r="BB1905" s="4"/>
      <c r="BC1905" s="4"/>
      <c r="BD1905" s="4"/>
      <c r="BE1905" s="4"/>
      <c r="BF1905" s="4"/>
      <c r="BG1905" s="4"/>
      <c r="BH1905" s="4"/>
      <c r="BI1905" s="4"/>
      <c r="BJ1905" s="4"/>
      <c r="BK1905" s="4"/>
      <c r="BL1905" s="4"/>
      <c r="BM1905" s="4"/>
      <c r="BN1905" s="4"/>
      <c r="BO1905" s="4"/>
      <c r="BP1905" s="4"/>
      <c r="BQ1905" s="4"/>
      <c r="BR1905" s="4"/>
      <c r="BS1905" s="4"/>
      <c r="BT1905" s="4"/>
      <c r="BU1905" s="4"/>
      <c r="BV1905" s="4"/>
      <c r="BW1905" s="4"/>
      <c r="BX1905" s="4"/>
      <c r="BY1905" s="4"/>
      <c r="BZ1905" s="4"/>
      <c r="CA1905" s="4"/>
      <c r="CB1905" s="4"/>
      <c r="CC1905" s="4"/>
      <c r="CD1905" s="4"/>
      <c r="CE1905" s="4"/>
      <c r="CF1905" s="4"/>
      <c r="CG1905" s="4"/>
      <c r="CH1905" s="4"/>
      <c r="CI1905" s="4"/>
      <c r="CJ1905" s="4"/>
      <c r="CK1905" s="4"/>
      <c r="CL1905" s="4"/>
      <c r="CM1905" s="4"/>
      <c r="CN1905" s="4"/>
      <c r="CO1905" s="4"/>
      <c r="CP1905" s="4"/>
      <c r="CQ1905" s="4"/>
      <c r="CR1905" s="4"/>
      <c r="CS1905" s="4"/>
      <c r="CT1905" s="4"/>
      <c r="CU1905" s="4"/>
      <c r="CV1905" s="4"/>
      <c r="CW1905" s="4"/>
      <c r="CX1905" s="4"/>
      <c r="CY1905" s="4"/>
      <c r="CZ1905" s="4"/>
      <c r="DA1905" s="4"/>
      <c r="DB1905" s="4"/>
      <c r="DC1905" s="4"/>
      <c r="DD1905" s="4"/>
      <c r="DE1905" s="4"/>
      <c r="DF1905" s="4"/>
      <c r="DG1905" s="4"/>
      <c r="DH1905" s="4"/>
      <c r="DI1905" s="4"/>
      <c r="DJ1905" s="4"/>
      <c r="DK1905" s="4"/>
      <c r="DL1905" s="4"/>
      <c r="DM1905" s="4"/>
      <c r="DN1905" s="4"/>
      <c r="DO1905" s="4"/>
      <c r="DP1905" s="4"/>
      <c r="DQ1905" s="4"/>
      <c r="DR1905" s="4"/>
      <c r="DS1905" s="4"/>
    </row>
    <row r="1906">
      <c r="A1906" s="4"/>
      <c r="B1906" s="4"/>
      <c r="C1906" s="4"/>
      <c r="D1906" s="4"/>
      <c r="E1906" s="4"/>
      <c r="F1906" s="4" t="s">
        <v>17</v>
      </c>
      <c r="G1906" s="15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  <c r="AA1906" s="4"/>
      <c r="AB1906" s="4"/>
      <c r="AC1906" s="4"/>
      <c r="AD1906" s="4"/>
      <c r="AE1906" s="4"/>
      <c r="AF1906" s="4"/>
      <c r="AG1906" s="4"/>
      <c r="AH1906" s="4"/>
      <c r="AI1906" s="4"/>
      <c r="AJ1906" s="4"/>
      <c r="AK1906" s="4"/>
      <c r="AL1906" s="4"/>
      <c r="AM1906" s="4"/>
      <c r="AN1906" s="4"/>
      <c r="AO1906" s="4"/>
      <c r="AP1906" s="4"/>
      <c r="AQ1906" s="4"/>
      <c r="AR1906" s="4"/>
      <c r="AS1906" s="4"/>
      <c r="AT1906" s="4"/>
      <c r="AU1906" s="4"/>
      <c r="AV1906" s="4"/>
      <c r="AW1906" s="4"/>
      <c r="AX1906" s="4"/>
      <c r="AY1906" s="4"/>
      <c r="AZ1906" s="4"/>
      <c r="BA1906" s="4"/>
      <c r="BB1906" s="4"/>
      <c r="BC1906" s="4"/>
      <c r="BD1906" s="4"/>
      <c r="BE1906" s="4"/>
      <c r="BF1906" s="4"/>
      <c r="BG1906" s="4"/>
      <c r="BH1906" s="4"/>
      <c r="BI1906" s="4"/>
      <c r="BJ1906" s="4"/>
      <c r="BK1906" s="4"/>
      <c r="BL1906" s="4"/>
      <c r="BM1906" s="4"/>
      <c r="BN1906" s="4"/>
      <c r="BO1906" s="4"/>
      <c r="BP1906" s="4"/>
      <c r="BQ1906" s="4"/>
      <c r="BR1906" s="4"/>
      <c r="BS1906" s="4"/>
      <c r="BT1906" s="4"/>
      <c r="BU1906" s="4"/>
      <c r="BV1906" s="4"/>
      <c r="BW1906" s="4"/>
      <c r="BX1906" s="4"/>
      <c r="BY1906" s="4"/>
      <c r="BZ1906" s="4"/>
      <c r="CA1906" s="4"/>
      <c r="CB1906" s="4"/>
      <c r="CC1906" s="4"/>
      <c r="CD1906" s="4"/>
      <c r="CE1906" s="4"/>
      <c r="CF1906" s="4"/>
      <c r="CG1906" s="4"/>
      <c r="CH1906" s="4"/>
      <c r="CI1906" s="4"/>
      <c r="CJ1906" s="4"/>
      <c r="CK1906" s="4"/>
      <c r="CL1906" s="4"/>
      <c r="CM1906" s="4"/>
      <c r="CN1906" s="4"/>
      <c r="CO1906" s="4"/>
      <c r="CP1906" s="4"/>
      <c r="CQ1906" s="4"/>
      <c r="CR1906" s="4"/>
      <c r="CS1906" s="4"/>
      <c r="CT1906" s="4"/>
      <c r="CU1906" s="4"/>
      <c r="CV1906" s="4"/>
      <c r="CW1906" s="4"/>
      <c r="CX1906" s="4"/>
      <c r="CY1906" s="4"/>
      <c r="CZ1906" s="4"/>
      <c r="DA1906" s="4"/>
      <c r="DB1906" s="4"/>
      <c r="DC1906" s="4"/>
      <c r="DD1906" s="4"/>
      <c r="DE1906" s="4"/>
      <c r="DF1906" s="4"/>
      <c r="DG1906" s="4"/>
      <c r="DH1906" s="4"/>
      <c r="DI1906" s="4"/>
      <c r="DJ1906" s="4"/>
      <c r="DK1906" s="4"/>
      <c r="DL1906" s="4"/>
      <c r="DM1906" s="4"/>
      <c r="DN1906" s="4"/>
      <c r="DO1906" s="4"/>
      <c r="DP1906" s="4"/>
      <c r="DQ1906" s="4"/>
      <c r="DR1906" s="4"/>
      <c r="DS1906" s="4"/>
    </row>
    <row r="1907">
      <c r="A1907" s="4"/>
      <c r="B1907" s="4"/>
      <c r="C1907" s="4"/>
      <c r="D1907" s="4"/>
      <c r="E1907" s="4"/>
      <c r="F1907" s="4" t="s">
        <v>17</v>
      </c>
      <c r="G1907" s="15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  <c r="AA1907" s="4"/>
      <c r="AB1907" s="4"/>
      <c r="AC1907" s="4"/>
      <c r="AD1907" s="4"/>
      <c r="AE1907" s="4"/>
      <c r="AF1907" s="4"/>
      <c r="AG1907" s="4"/>
      <c r="AH1907" s="4"/>
      <c r="AI1907" s="4"/>
      <c r="AJ1907" s="4"/>
      <c r="AK1907" s="4"/>
      <c r="AL1907" s="4"/>
      <c r="AM1907" s="4"/>
      <c r="AN1907" s="4"/>
      <c r="AO1907" s="4"/>
      <c r="AP1907" s="4"/>
      <c r="AQ1907" s="4"/>
      <c r="AR1907" s="4"/>
      <c r="AS1907" s="4"/>
      <c r="AT1907" s="4"/>
      <c r="AU1907" s="4"/>
      <c r="AV1907" s="4"/>
      <c r="AW1907" s="4"/>
      <c r="AX1907" s="4"/>
      <c r="AY1907" s="4"/>
      <c r="AZ1907" s="4"/>
      <c r="BA1907" s="4"/>
      <c r="BB1907" s="4"/>
      <c r="BC1907" s="4"/>
      <c r="BD1907" s="4"/>
      <c r="BE1907" s="4"/>
      <c r="BF1907" s="4"/>
      <c r="BG1907" s="4"/>
      <c r="BH1907" s="4"/>
      <c r="BI1907" s="4"/>
      <c r="BJ1907" s="4"/>
      <c r="BK1907" s="4"/>
      <c r="BL1907" s="4"/>
      <c r="BM1907" s="4"/>
      <c r="BN1907" s="4"/>
      <c r="BO1907" s="4"/>
      <c r="BP1907" s="4"/>
      <c r="BQ1907" s="4"/>
      <c r="BR1907" s="4"/>
      <c r="BS1907" s="4"/>
      <c r="BT1907" s="4"/>
      <c r="BU1907" s="4"/>
      <c r="BV1907" s="4"/>
      <c r="BW1907" s="4"/>
      <c r="BX1907" s="4"/>
      <c r="BY1907" s="4"/>
      <c r="BZ1907" s="4"/>
      <c r="CA1907" s="4"/>
      <c r="CB1907" s="4"/>
      <c r="CC1907" s="4"/>
      <c r="CD1907" s="4"/>
      <c r="CE1907" s="4"/>
      <c r="CF1907" s="4"/>
      <c r="CG1907" s="4"/>
      <c r="CH1907" s="4"/>
      <c r="CI1907" s="4"/>
      <c r="CJ1907" s="4"/>
      <c r="CK1907" s="4"/>
      <c r="CL1907" s="4"/>
      <c r="CM1907" s="4"/>
      <c r="CN1907" s="4"/>
      <c r="CO1907" s="4"/>
      <c r="CP1907" s="4"/>
      <c r="CQ1907" s="4"/>
      <c r="CR1907" s="4"/>
      <c r="CS1907" s="4"/>
      <c r="CT1907" s="4"/>
      <c r="CU1907" s="4"/>
      <c r="CV1907" s="4"/>
      <c r="CW1907" s="4"/>
      <c r="CX1907" s="4"/>
      <c r="CY1907" s="4"/>
      <c r="CZ1907" s="4"/>
      <c r="DA1907" s="4"/>
      <c r="DB1907" s="4"/>
      <c r="DC1907" s="4"/>
      <c r="DD1907" s="4"/>
      <c r="DE1907" s="4"/>
      <c r="DF1907" s="4"/>
      <c r="DG1907" s="4"/>
      <c r="DH1907" s="4"/>
      <c r="DI1907" s="4"/>
      <c r="DJ1907" s="4"/>
      <c r="DK1907" s="4"/>
      <c r="DL1907" s="4"/>
      <c r="DM1907" s="4"/>
      <c r="DN1907" s="4"/>
      <c r="DO1907" s="4"/>
      <c r="DP1907" s="4"/>
      <c r="DQ1907" s="4"/>
      <c r="DR1907" s="4"/>
      <c r="DS1907" s="4"/>
    </row>
    <row r="1908">
      <c r="A1908" s="4"/>
      <c r="B1908" s="4"/>
      <c r="C1908" s="4"/>
      <c r="D1908" s="4"/>
      <c r="E1908" s="4"/>
      <c r="F1908" s="4" t="s">
        <v>17</v>
      </c>
      <c r="G1908" s="15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  <c r="AA1908" s="4"/>
      <c r="AB1908" s="4"/>
      <c r="AC1908" s="4"/>
      <c r="AD1908" s="4"/>
      <c r="AE1908" s="4"/>
      <c r="AF1908" s="4"/>
      <c r="AG1908" s="4"/>
      <c r="AH1908" s="4"/>
      <c r="AI1908" s="4"/>
      <c r="AJ1908" s="4"/>
      <c r="AK1908" s="4"/>
      <c r="AL1908" s="4"/>
      <c r="AM1908" s="4"/>
      <c r="AN1908" s="4"/>
      <c r="AO1908" s="4"/>
      <c r="AP1908" s="4"/>
      <c r="AQ1908" s="4"/>
      <c r="AR1908" s="4"/>
      <c r="AS1908" s="4"/>
      <c r="AT1908" s="4"/>
      <c r="AU1908" s="4"/>
      <c r="AV1908" s="4"/>
      <c r="AW1908" s="4"/>
      <c r="AX1908" s="4"/>
      <c r="AY1908" s="4"/>
      <c r="AZ1908" s="4"/>
      <c r="BA1908" s="4"/>
      <c r="BB1908" s="4"/>
      <c r="BC1908" s="4"/>
      <c r="BD1908" s="4"/>
      <c r="BE1908" s="4"/>
      <c r="BF1908" s="4"/>
      <c r="BG1908" s="4"/>
      <c r="BH1908" s="4"/>
      <c r="BI1908" s="4"/>
      <c r="BJ1908" s="4"/>
      <c r="BK1908" s="4"/>
      <c r="BL1908" s="4"/>
      <c r="BM1908" s="4"/>
      <c r="BN1908" s="4"/>
      <c r="BO1908" s="4"/>
      <c r="BP1908" s="4"/>
      <c r="BQ1908" s="4"/>
      <c r="BR1908" s="4"/>
      <c r="BS1908" s="4"/>
      <c r="BT1908" s="4"/>
      <c r="BU1908" s="4"/>
      <c r="BV1908" s="4"/>
      <c r="BW1908" s="4"/>
      <c r="BX1908" s="4"/>
      <c r="BY1908" s="4"/>
      <c r="BZ1908" s="4"/>
      <c r="CA1908" s="4"/>
      <c r="CB1908" s="4"/>
      <c r="CC1908" s="4"/>
      <c r="CD1908" s="4"/>
      <c r="CE1908" s="4"/>
      <c r="CF1908" s="4"/>
      <c r="CG1908" s="4"/>
      <c r="CH1908" s="4"/>
      <c r="CI1908" s="4"/>
      <c r="CJ1908" s="4"/>
      <c r="CK1908" s="4"/>
      <c r="CL1908" s="4"/>
      <c r="CM1908" s="4"/>
      <c r="CN1908" s="4"/>
      <c r="CO1908" s="4"/>
      <c r="CP1908" s="4"/>
      <c r="CQ1908" s="4"/>
      <c r="CR1908" s="4"/>
      <c r="CS1908" s="4"/>
      <c r="CT1908" s="4"/>
      <c r="CU1908" s="4"/>
      <c r="CV1908" s="4"/>
      <c r="CW1908" s="4"/>
      <c r="CX1908" s="4"/>
      <c r="CY1908" s="4"/>
      <c r="CZ1908" s="4"/>
      <c r="DA1908" s="4"/>
      <c r="DB1908" s="4"/>
      <c r="DC1908" s="4"/>
      <c r="DD1908" s="4"/>
      <c r="DE1908" s="4"/>
      <c r="DF1908" s="4"/>
      <c r="DG1908" s="4"/>
      <c r="DH1908" s="4"/>
      <c r="DI1908" s="4"/>
      <c r="DJ1908" s="4"/>
      <c r="DK1908" s="4"/>
      <c r="DL1908" s="4"/>
      <c r="DM1908" s="4"/>
      <c r="DN1908" s="4"/>
      <c r="DO1908" s="4"/>
      <c r="DP1908" s="4"/>
      <c r="DQ1908" s="4"/>
      <c r="DR1908" s="4"/>
      <c r="DS1908" s="4"/>
    </row>
    <row r="1909">
      <c r="A1909" s="4"/>
      <c r="B1909" s="4"/>
      <c r="C1909" s="4"/>
      <c r="D1909" s="4"/>
      <c r="E1909" s="4"/>
      <c r="F1909" s="4" t="s">
        <v>17</v>
      </c>
      <c r="G1909" s="15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  <c r="AA1909" s="4"/>
      <c r="AB1909" s="4"/>
      <c r="AC1909" s="4"/>
      <c r="AD1909" s="4"/>
      <c r="AE1909" s="4"/>
      <c r="AF1909" s="4"/>
      <c r="AG1909" s="4"/>
      <c r="AH1909" s="4"/>
      <c r="AI1909" s="4"/>
      <c r="AJ1909" s="4"/>
      <c r="AK1909" s="4"/>
      <c r="AL1909" s="4"/>
      <c r="AM1909" s="4"/>
      <c r="AN1909" s="4"/>
      <c r="AO1909" s="4"/>
      <c r="AP1909" s="4"/>
      <c r="AQ1909" s="4"/>
      <c r="AR1909" s="4"/>
      <c r="AS1909" s="4"/>
      <c r="AT1909" s="4"/>
      <c r="AU1909" s="4"/>
      <c r="AV1909" s="4"/>
      <c r="AW1909" s="4"/>
      <c r="AX1909" s="4"/>
      <c r="AY1909" s="4"/>
      <c r="AZ1909" s="4"/>
      <c r="BA1909" s="4"/>
      <c r="BB1909" s="4"/>
      <c r="BC1909" s="4"/>
      <c r="BD1909" s="4"/>
      <c r="BE1909" s="4"/>
      <c r="BF1909" s="4"/>
      <c r="BG1909" s="4"/>
      <c r="BH1909" s="4"/>
      <c r="BI1909" s="4"/>
      <c r="BJ1909" s="4"/>
      <c r="BK1909" s="4"/>
      <c r="BL1909" s="4"/>
      <c r="BM1909" s="4"/>
      <c r="BN1909" s="4"/>
      <c r="BO1909" s="4"/>
      <c r="BP1909" s="4"/>
      <c r="BQ1909" s="4"/>
      <c r="BR1909" s="4"/>
      <c r="BS1909" s="4"/>
      <c r="BT1909" s="4"/>
      <c r="BU1909" s="4"/>
      <c r="BV1909" s="4"/>
      <c r="BW1909" s="4"/>
      <c r="BX1909" s="4"/>
      <c r="BY1909" s="4"/>
      <c r="BZ1909" s="4"/>
      <c r="CA1909" s="4"/>
      <c r="CB1909" s="4"/>
      <c r="CC1909" s="4"/>
      <c r="CD1909" s="4"/>
      <c r="CE1909" s="4"/>
      <c r="CF1909" s="4"/>
      <c r="CG1909" s="4"/>
      <c r="CH1909" s="4"/>
      <c r="CI1909" s="4"/>
      <c r="CJ1909" s="4"/>
      <c r="CK1909" s="4"/>
      <c r="CL1909" s="4"/>
      <c r="CM1909" s="4"/>
      <c r="CN1909" s="4"/>
      <c r="CO1909" s="4"/>
      <c r="CP1909" s="4"/>
      <c r="CQ1909" s="4"/>
      <c r="CR1909" s="4"/>
      <c r="CS1909" s="4"/>
      <c r="CT1909" s="4"/>
      <c r="CU1909" s="4"/>
      <c r="CV1909" s="4"/>
      <c r="CW1909" s="4"/>
      <c r="CX1909" s="4"/>
      <c r="CY1909" s="4"/>
      <c r="CZ1909" s="4"/>
      <c r="DA1909" s="4"/>
      <c r="DB1909" s="4"/>
      <c r="DC1909" s="4"/>
      <c r="DD1909" s="4"/>
      <c r="DE1909" s="4"/>
      <c r="DF1909" s="4"/>
      <c r="DG1909" s="4"/>
      <c r="DH1909" s="4"/>
      <c r="DI1909" s="4"/>
      <c r="DJ1909" s="4"/>
      <c r="DK1909" s="4"/>
      <c r="DL1909" s="4"/>
      <c r="DM1909" s="4"/>
      <c r="DN1909" s="4"/>
      <c r="DO1909" s="4"/>
      <c r="DP1909" s="4"/>
      <c r="DQ1909" s="4"/>
      <c r="DR1909" s="4"/>
      <c r="DS1909" s="4"/>
    </row>
    <row r="1910">
      <c r="A1910" s="4"/>
      <c r="B1910" s="4"/>
      <c r="C1910" s="4"/>
      <c r="D1910" s="4"/>
      <c r="E1910" s="4"/>
      <c r="F1910" s="4" t="s">
        <v>17</v>
      </c>
      <c r="G1910" s="15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  <c r="AA1910" s="4"/>
      <c r="AB1910" s="4"/>
      <c r="AC1910" s="4"/>
      <c r="AD1910" s="4"/>
      <c r="AE1910" s="4"/>
      <c r="AF1910" s="4"/>
      <c r="AG1910" s="4"/>
      <c r="AH1910" s="4"/>
      <c r="AI1910" s="4"/>
      <c r="AJ1910" s="4"/>
      <c r="AK1910" s="4"/>
      <c r="AL1910" s="4"/>
      <c r="AM1910" s="4"/>
      <c r="AN1910" s="4"/>
      <c r="AO1910" s="4"/>
      <c r="AP1910" s="4"/>
      <c r="AQ1910" s="4"/>
      <c r="AR1910" s="4"/>
      <c r="AS1910" s="4"/>
      <c r="AT1910" s="4"/>
      <c r="AU1910" s="4"/>
      <c r="AV1910" s="4"/>
      <c r="AW1910" s="4"/>
      <c r="AX1910" s="4"/>
      <c r="AY1910" s="4"/>
      <c r="AZ1910" s="4"/>
      <c r="BA1910" s="4"/>
      <c r="BB1910" s="4"/>
      <c r="BC1910" s="4"/>
      <c r="BD1910" s="4"/>
      <c r="BE1910" s="4"/>
      <c r="BF1910" s="4"/>
      <c r="BG1910" s="4"/>
      <c r="BH1910" s="4"/>
      <c r="BI1910" s="4"/>
      <c r="BJ1910" s="4"/>
      <c r="BK1910" s="4"/>
      <c r="BL1910" s="4"/>
      <c r="BM1910" s="4"/>
      <c r="BN1910" s="4"/>
      <c r="BO1910" s="4"/>
      <c r="BP1910" s="4"/>
      <c r="BQ1910" s="4"/>
      <c r="BR1910" s="4"/>
      <c r="BS1910" s="4"/>
      <c r="BT1910" s="4"/>
      <c r="BU1910" s="4"/>
      <c r="BV1910" s="4"/>
      <c r="BW1910" s="4"/>
      <c r="BX1910" s="4"/>
      <c r="BY1910" s="4"/>
      <c r="BZ1910" s="4"/>
      <c r="CA1910" s="4"/>
      <c r="CB1910" s="4"/>
      <c r="CC1910" s="4"/>
      <c r="CD1910" s="4"/>
      <c r="CE1910" s="4"/>
      <c r="CF1910" s="4"/>
      <c r="CG1910" s="4"/>
      <c r="CH1910" s="4"/>
      <c r="CI1910" s="4"/>
      <c r="CJ1910" s="4"/>
      <c r="CK1910" s="4"/>
      <c r="CL1910" s="4"/>
      <c r="CM1910" s="4"/>
      <c r="CN1910" s="4"/>
      <c r="CO1910" s="4"/>
      <c r="CP1910" s="4"/>
      <c r="CQ1910" s="4"/>
      <c r="CR1910" s="4"/>
      <c r="CS1910" s="4"/>
      <c r="CT1910" s="4"/>
      <c r="CU1910" s="4"/>
      <c r="CV1910" s="4"/>
      <c r="CW1910" s="4"/>
      <c r="CX1910" s="4"/>
      <c r="CY1910" s="4"/>
      <c r="CZ1910" s="4"/>
      <c r="DA1910" s="4"/>
      <c r="DB1910" s="4"/>
      <c r="DC1910" s="4"/>
      <c r="DD1910" s="4"/>
      <c r="DE1910" s="4"/>
      <c r="DF1910" s="4"/>
      <c r="DG1910" s="4"/>
      <c r="DH1910" s="4"/>
      <c r="DI1910" s="4"/>
      <c r="DJ1910" s="4"/>
      <c r="DK1910" s="4"/>
      <c r="DL1910" s="4"/>
      <c r="DM1910" s="4"/>
      <c r="DN1910" s="4"/>
      <c r="DO1910" s="4"/>
      <c r="DP1910" s="4"/>
      <c r="DQ1910" s="4"/>
      <c r="DR1910" s="4"/>
      <c r="DS1910" s="4"/>
    </row>
    <row r="1911">
      <c r="A1911" s="4"/>
      <c r="B1911" s="4"/>
      <c r="C1911" s="4"/>
      <c r="D1911" s="4"/>
      <c r="E1911" s="4"/>
      <c r="F1911" s="4" t="s">
        <v>17</v>
      </c>
      <c r="G1911" s="15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  <c r="AA1911" s="4"/>
      <c r="AB1911" s="4"/>
      <c r="AC1911" s="4"/>
      <c r="AD1911" s="4"/>
      <c r="AE1911" s="4"/>
      <c r="AF1911" s="4"/>
      <c r="AG1911" s="4"/>
      <c r="AH1911" s="4"/>
      <c r="AI1911" s="4"/>
      <c r="AJ1911" s="4"/>
      <c r="AK1911" s="4"/>
      <c r="AL1911" s="4"/>
      <c r="AM1911" s="4"/>
      <c r="AN1911" s="4"/>
      <c r="AO1911" s="4"/>
      <c r="AP1911" s="4"/>
      <c r="AQ1911" s="4"/>
      <c r="AR1911" s="4"/>
      <c r="AS1911" s="4"/>
      <c r="AT1911" s="4"/>
      <c r="AU1911" s="4"/>
      <c r="AV1911" s="4"/>
      <c r="AW1911" s="4"/>
      <c r="AX1911" s="4"/>
      <c r="AY1911" s="4"/>
      <c r="AZ1911" s="4"/>
      <c r="BA1911" s="4"/>
      <c r="BB1911" s="4"/>
      <c r="BC1911" s="4"/>
      <c r="BD1911" s="4"/>
      <c r="BE1911" s="4"/>
      <c r="BF1911" s="4"/>
      <c r="BG1911" s="4"/>
      <c r="BH1911" s="4"/>
      <c r="BI1911" s="4"/>
      <c r="BJ1911" s="4"/>
      <c r="BK1911" s="4"/>
      <c r="BL1911" s="4"/>
      <c r="BM1911" s="4"/>
      <c r="BN1911" s="4"/>
      <c r="BO1911" s="4"/>
      <c r="BP1911" s="4"/>
      <c r="BQ1911" s="4"/>
      <c r="BR1911" s="4"/>
      <c r="BS1911" s="4"/>
      <c r="BT1911" s="4"/>
      <c r="BU1911" s="4"/>
      <c r="BV1911" s="4"/>
      <c r="BW1911" s="4"/>
      <c r="BX1911" s="4"/>
      <c r="BY1911" s="4"/>
      <c r="BZ1911" s="4"/>
      <c r="CA1911" s="4"/>
      <c r="CB1911" s="4"/>
      <c r="CC1911" s="4"/>
      <c r="CD1911" s="4"/>
      <c r="CE1911" s="4"/>
      <c r="CF1911" s="4"/>
      <c r="CG1911" s="4"/>
      <c r="CH1911" s="4"/>
      <c r="CI1911" s="4"/>
      <c r="CJ1911" s="4"/>
      <c r="CK1911" s="4"/>
      <c r="CL1911" s="4"/>
      <c r="CM1911" s="4"/>
      <c r="CN1911" s="4"/>
      <c r="CO1911" s="4"/>
      <c r="CP1911" s="4"/>
      <c r="CQ1911" s="4"/>
      <c r="CR1911" s="4"/>
      <c r="CS1911" s="4"/>
      <c r="CT1911" s="4"/>
      <c r="CU1911" s="4"/>
      <c r="CV1911" s="4"/>
      <c r="CW1911" s="4"/>
      <c r="CX1911" s="4"/>
      <c r="CY1911" s="4"/>
      <c r="CZ1911" s="4"/>
      <c r="DA1911" s="4"/>
      <c r="DB1911" s="4"/>
      <c r="DC1911" s="4"/>
      <c r="DD1911" s="4"/>
      <c r="DE1911" s="4"/>
      <c r="DF1911" s="4"/>
      <c r="DG1911" s="4"/>
      <c r="DH1911" s="4"/>
      <c r="DI1911" s="4"/>
      <c r="DJ1911" s="4"/>
      <c r="DK1911" s="4"/>
      <c r="DL1911" s="4"/>
      <c r="DM1911" s="4"/>
      <c r="DN1911" s="4"/>
      <c r="DO1911" s="4"/>
      <c r="DP1911" s="4"/>
      <c r="DQ1911" s="4"/>
      <c r="DR1911" s="4"/>
      <c r="DS1911" s="4"/>
    </row>
    <row r="1912">
      <c r="A1912" s="4"/>
      <c r="B1912" s="4"/>
      <c r="C1912" s="4"/>
      <c r="D1912" s="4"/>
      <c r="E1912" s="4"/>
      <c r="F1912" s="4" t="s">
        <v>17</v>
      </c>
      <c r="G1912" s="15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  <c r="AA1912" s="4"/>
      <c r="AB1912" s="4"/>
      <c r="AC1912" s="4"/>
      <c r="AD1912" s="4"/>
      <c r="AE1912" s="4"/>
      <c r="AF1912" s="4"/>
      <c r="AG1912" s="4"/>
      <c r="AH1912" s="4"/>
      <c r="AI1912" s="4"/>
      <c r="AJ1912" s="4"/>
      <c r="AK1912" s="4"/>
      <c r="AL1912" s="4"/>
      <c r="AM1912" s="4"/>
      <c r="AN1912" s="4"/>
      <c r="AO1912" s="4"/>
      <c r="AP1912" s="4"/>
      <c r="AQ1912" s="4"/>
      <c r="AR1912" s="4"/>
      <c r="AS1912" s="4"/>
      <c r="AT1912" s="4"/>
      <c r="AU1912" s="4"/>
      <c r="AV1912" s="4"/>
      <c r="AW1912" s="4"/>
      <c r="AX1912" s="4"/>
      <c r="AY1912" s="4"/>
      <c r="AZ1912" s="4"/>
      <c r="BA1912" s="4"/>
      <c r="BB1912" s="4"/>
      <c r="BC1912" s="4"/>
      <c r="BD1912" s="4"/>
      <c r="BE1912" s="4"/>
      <c r="BF1912" s="4"/>
      <c r="BG1912" s="4"/>
      <c r="BH1912" s="4"/>
      <c r="BI1912" s="4"/>
      <c r="BJ1912" s="4"/>
      <c r="BK1912" s="4"/>
      <c r="BL1912" s="4"/>
      <c r="BM1912" s="4"/>
      <c r="BN1912" s="4"/>
      <c r="BO1912" s="4"/>
      <c r="BP1912" s="4"/>
      <c r="BQ1912" s="4"/>
      <c r="BR1912" s="4"/>
      <c r="BS1912" s="4"/>
      <c r="BT1912" s="4"/>
      <c r="BU1912" s="4"/>
      <c r="BV1912" s="4"/>
      <c r="BW1912" s="4"/>
      <c r="BX1912" s="4"/>
      <c r="BY1912" s="4"/>
      <c r="BZ1912" s="4"/>
      <c r="CA1912" s="4"/>
      <c r="CB1912" s="4"/>
      <c r="CC1912" s="4"/>
      <c r="CD1912" s="4"/>
      <c r="CE1912" s="4"/>
      <c r="CF1912" s="4"/>
      <c r="CG1912" s="4"/>
      <c r="CH1912" s="4"/>
      <c r="CI1912" s="4"/>
      <c r="CJ1912" s="4"/>
      <c r="CK1912" s="4"/>
      <c r="CL1912" s="4"/>
      <c r="CM1912" s="4"/>
      <c r="CN1912" s="4"/>
      <c r="CO1912" s="4"/>
      <c r="CP1912" s="4"/>
      <c r="CQ1912" s="4"/>
      <c r="CR1912" s="4"/>
      <c r="CS1912" s="4"/>
      <c r="CT1912" s="4"/>
      <c r="CU1912" s="4"/>
      <c r="CV1912" s="4"/>
      <c r="CW1912" s="4"/>
      <c r="CX1912" s="4"/>
      <c r="CY1912" s="4"/>
      <c r="CZ1912" s="4"/>
      <c r="DA1912" s="4"/>
      <c r="DB1912" s="4"/>
      <c r="DC1912" s="4"/>
      <c r="DD1912" s="4"/>
      <c r="DE1912" s="4"/>
      <c r="DF1912" s="4"/>
      <c r="DG1912" s="4"/>
      <c r="DH1912" s="4"/>
      <c r="DI1912" s="4"/>
      <c r="DJ1912" s="4"/>
      <c r="DK1912" s="4"/>
      <c r="DL1912" s="4"/>
      <c r="DM1912" s="4"/>
      <c r="DN1912" s="4"/>
      <c r="DO1912" s="4"/>
      <c r="DP1912" s="4"/>
      <c r="DQ1912" s="4"/>
      <c r="DR1912" s="4"/>
      <c r="DS1912" s="4"/>
    </row>
    <row r="1913">
      <c r="A1913" s="4"/>
      <c r="B1913" s="4"/>
      <c r="C1913" s="4"/>
      <c r="D1913" s="4"/>
      <c r="E1913" s="4"/>
      <c r="F1913" s="4" t="s">
        <v>17</v>
      </c>
      <c r="G1913" s="15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  <c r="AA1913" s="4"/>
      <c r="AB1913" s="4"/>
      <c r="AC1913" s="4"/>
      <c r="AD1913" s="4"/>
      <c r="AE1913" s="4"/>
      <c r="AF1913" s="4"/>
      <c r="AG1913" s="4"/>
      <c r="AH1913" s="4"/>
      <c r="AI1913" s="4"/>
      <c r="AJ1913" s="4"/>
      <c r="AK1913" s="4"/>
      <c r="AL1913" s="4"/>
      <c r="AM1913" s="4"/>
      <c r="AN1913" s="4"/>
      <c r="AO1913" s="4"/>
      <c r="AP1913" s="4"/>
      <c r="AQ1913" s="4"/>
      <c r="AR1913" s="4"/>
      <c r="AS1913" s="4"/>
      <c r="AT1913" s="4"/>
      <c r="AU1913" s="4"/>
      <c r="AV1913" s="4"/>
      <c r="AW1913" s="4"/>
      <c r="AX1913" s="4"/>
      <c r="AY1913" s="4"/>
      <c r="AZ1913" s="4"/>
      <c r="BA1913" s="4"/>
      <c r="BB1913" s="4"/>
      <c r="BC1913" s="4"/>
      <c r="BD1913" s="4"/>
      <c r="BE1913" s="4"/>
      <c r="BF1913" s="4"/>
      <c r="BG1913" s="4"/>
      <c r="BH1913" s="4"/>
      <c r="BI1913" s="4"/>
      <c r="BJ1913" s="4"/>
      <c r="BK1913" s="4"/>
      <c r="BL1913" s="4"/>
      <c r="BM1913" s="4"/>
      <c r="BN1913" s="4"/>
      <c r="BO1913" s="4"/>
      <c r="BP1913" s="4"/>
      <c r="BQ1913" s="4"/>
      <c r="BR1913" s="4"/>
      <c r="BS1913" s="4"/>
      <c r="BT1913" s="4"/>
      <c r="BU1913" s="4"/>
      <c r="BV1913" s="4"/>
      <c r="BW1913" s="4"/>
      <c r="BX1913" s="4"/>
      <c r="BY1913" s="4"/>
      <c r="BZ1913" s="4"/>
      <c r="CA1913" s="4"/>
      <c r="CB1913" s="4"/>
      <c r="CC1913" s="4"/>
      <c r="CD1913" s="4"/>
      <c r="CE1913" s="4"/>
      <c r="CF1913" s="4"/>
      <c r="CG1913" s="4"/>
      <c r="CH1913" s="4"/>
      <c r="CI1913" s="4"/>
      <c r="CJ1913" s="4"/>
      <c r="CK1913" s="4"/>
      <c r="CL1913" s="4"/>
      <c r="CM1913" s="4"/>
      <c r="CN1913" s="4"/>
      <c r="CO1913" s="4"/>
      <c r="CP1913" s="4"/>
      <c r="CQ1913" s="4"/>
      <c r="CR1913" s="4"/>
      <c r="CS1913" s="4"/>
      <c r="CT1913" s="4"/>
      <c r="CU1913" s="4"/>
      <c r="CV1913" s="4"/>
      <c r="CW1913" s="4"/>
      <c r="CX1913" s="4"/>
      <c r="CY1913" s="4"/>
      <c r="CZ1913" s="4"/>
      <c r="DA1913" s="4"/>
      <c r="DB1913" s="4"/>
      <c r="DC1913" s="4"/>
      <c r="DD1913" s="4"/>
      <c r="DE1913" s="4"/>
      <c r="DF1913" s="4"/>
      <c r="DG1913" s="4"/>
      <c r="DH1913" s="4"/>
      <c r="DI1913" s="4"/>
      <c r="DJ1913" s="4"/>
      <c r="DK1913" s="4"/>
      <c r="DL1913" s="4"/>
      <c r="DM1913" s="4"/>
      <c r="DN1913" s="4"/>
      <c r="DO1913" s="4"/>
      <c r="DP1913" s="4"/>
      <c r="DQ1913" s="4"/>
      <c r="DR1913" s="4"/>
      <c r="DS1913" s="4"/>
    </row>
    <row r="1914">
      <c r="A1914" s="4"/>
      <c r="B1914" s="4"/>
      <c r="C1914" s="4"/>
      <c r="D1914" s="4"/>
      <c r="E1914" s="4"/>
      <c r="F1914" s="4" t="s">
        <v>17</v>
      </c>
      <c r="G1914" s="15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  <c r="AA1914" s="4"/>
      <c r="AB1914" s="4"/>
      <c r="AC1914" s="4"/>
      <c r="AD1914" s="4"/>
      <c r="AE1914" s="4"/>
      <c r="AF1914" s="4"/>
      <c r="AG1914" s="4"/>
      <c r="AH1914" s="4"/>
      <c r="AI1914" s="4"/>
      <c r="AJ1914" s="4"/>
      <c r="AK1914" s="4"/>
      <c r="AL1914" s="4"/>
      <c r="AM1914" s="4"/>
      <c r="AN1914" s="4"/>
      <c r="AO1914" s="4"/>
      <c r="AP1914" s="4"/>
      <c r="AQ1914" s="4"/>
      <c r="AR1914" s="4"/>
      <c r="AS1914" s="4"/>
      <c r="AT1914" s="4"/>
      <c r="AU1914" s="4"/>
      <c r="AV1914" s="4"/>
      <c r="AW1914" s="4"/>
      <c r="AX1914" s="4"/>
      <c r="AY1914" s="4"/>
      <c r="AZ1914" s="4"/>
      <c r="BA1914" s="4"/>
      <c r="BB1914" s="4"/>
      <c r="BC1914" s="4"/>
      <c r="BD1914" s="4"/>
      <c r="BE1914" s="4"/>
      <c r="BF1914" s="4"/>
      <c r="BG1914" s="4"/>
      <c r="BH1914" s="4"/>
      <c r="BI1914" s="4"/>
      <c r="BJ1914" s="4"/>
      <c r="BK1914" s="4"/>
      <c r="BL1914" s="4"/>
      <c r="BM1914" s="4"/>
      <c r="BN1914" s="4"/>
      <c r="BO1914" s="4"/>
      <c r="BP1914" s="4"/>
      <c r="BQ1914" s="4"/>
      <c r="BR1914" s="4"/>
      <c r="BS1914" s="4"/>
      <c r="BT1914" s="4"/>
      <c r="BU1914" s="4"/>
      <c r="BV1914" s="4"/>
      <c r="BW1914" s="4"/>
      <c r="BX1914" s="4"/>
      <c r="BY1914" s="4"/>
      <c r="BZ1914" s="4"/>
      <c r="CA1914" s="4"/>
      <c r="CB1914" s="4"/>
      <c r="CC1914" s="4"/>
      <c r="CD1914" s="4"/>
      <c r="CE1914" s="4"/>
      <c r="CF1914" s="4"/>
      <c r="CG1914" s="4"/>
      <c r="CH1914" s="4"/>
      <c r="CI1914" s="4"/>
      <c r="CJ1914" s="4"/>
      <c r="CK1914" s="4"/>
      <c r="CL1914" s="4"/>
      <c r="CM1914" s="4"/>
      <c r="CN1914" s="4"/>
      <c r="CO1914" s="4"/>
      <c r="CP1914" s="4"/>
      <c r="CQ1914" s="4"/>
      <c r="CR1914" s="4"/>
      <c r="CS1914" s="4"/>
      <c r="CT1914" s="4"/>
      <c r="CU1914" s="4"/>
      <c r="CV1914" s="4"/>
      <c r="CW1914" s="4"/>
      <c r="CX1914" s="4"/>
      <c r="CY1914" s="4"/>
      <c r="CZ1914" s="4"/>
      <c r="DA1914" s="4"/>
      <c r="DB1914" s="4"/>
      <c r="DC1914" s="4"/>
      <c r="DD1914" s="4"/>
      <c r="DE1914" s="4"/>
      <c r="DF1914" s="4"/>
      <c r="DG1914" s="4"/>
      <c r="DH1914" s="4"/>
      <c r="DI1914" s="4"/>
      <c r="DJ1914" s="4"/>
      <c r="DK1914" s="4"/>
      <c r="DL1914" s="4"/>
      <c r="DM1914" s="4"/>
      <c r="DN1914" s="4"/>
      <c r="DO1914" s="4"/>
      <c r="DP1914" s="4"/>
      <c r="DQ1914" s="4"/>
      <c r="DR1914" s="4"/>
      <c r="DS1914" s="4"/>
    </row>
    <row r="1915">
      <c r="A1915" s="4"/>
      <c r="B1915" s="4"/>
      <c r="C1915" s="4"/>
      <c r="D1915" s="4"/>
      <c r="E1915" s="4"/>
      <c r="F1915" s="4" t="s">
        <v>17</v>
      </c>
      <c r="G1915" s="15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  <c r="AA1915" s="4"/>
      <c r="AB1915" s="4"/>
      <c r="AC1915" s="4"/>
      <c r="AD1915" s="4"/>
      <c r="AE1915" s="4"/>
      <c r="AF1915" s="4"/>
      <c r="AG1915" s="4"/>
      <c r="AH1915" s="4"/>
      <c r="AI1915" s="4"/>
      <c r="AJ1915" s="4"/>
      <c r="AK1915" s="4"/>
      <c r="AL1915" s="4"/>
      <c r="AM1915" s="4"/>
      <c r="AN1915" s="4"/>
      <c r="AO1915" s="4"/>
      <c r="AP1915" s="4"/>
      <c r="AQ1915" s="4"/>
      <c r="AR1915" s="4"/>
      <c r="AS1915" s="4"/>
      <c r="AT1915" s="4"/>
      <c r="AU1915" s="4"/>
      <c r="AV1915" s="4"/>
      <c r="AW1915" s="4"/>
      <c r="AX1915" s="4"/>
      <c r="AY1915" s="4"/>
      <c r="AZ1915" s="4"/>
      <c r="BA1915" s="4"/>
      <c r="BB1915" s="4"/>
      <c r="BC1915" s="4"/>
      <c r="BD1915" s="4"/>
      <c r="BE1915" s="4"/>
      <c r="BF1915" s="4"/>
      <c r="BG1915" s="4"/>
      <c r="BH1915" s="4"/>
      <c r="BI1915" s="4"/>
      <c r="BJ1915" s="4"/>
      <c r="BK1915" s="4"/>
      <c r="BL1915" s="4"/>
      <c r="BM1915" s="4"/>
      <c r="BN1915" s="4"/>
      <c r="BO1915" s="4"/>
      <c r="BP1915" s="4"/>
      <c r="BQ1915" s="4"/>
      <c r="BR1915" s="4"/>
      <c r="BS1915" s="4"/>
      <c r="BT1915" s="4"/>
      <c r="BU1915" s="4"/>
      <c r="BV1915" s="4"/>
      <c r="BW1915" s="4"/>
      <c r="BX1915" s="4"/>
      <c r="BY1915" s="4"/>
      <c r="BZ1915" s="4"/>
      <c r="CA1915" s="4"/>
      <c r="CB1915" s="4"/>
      <c r="CC1915" s="4"/>
      <c r="CD1915" s="4"/>
      <c r="CE1915" s="4"/>
      <c r="CF1915" s="4"/>
      <c r="CG1915" s="4"/>
      <c r="CH1915" s="4"/>
      <c r="CI1915" s="4"/>
      <c r="CJ1915" s="4"/>
      <c r="CK1915" s="4"/>
      <c r="CL1915" s="4"/>
      <c r="CM1915" s="4"/>
      <c r="CN1915" s="4"/>
      <c r="CO1915" s="4"/>
      <c r="CP1915" s="4"/>
      <c r="CQ1915" s="4"/>
      <c r="CR1915" s="4"/>
      <c r="CS1915" s="4"/>
      <c r="CT1915" s="4"/>
      <c r="CU1915" s="4"/>
      <c r="CV1915" s="4"/>
      <c r="CW1915" s="4"/>
      <c r="CX1915" s="4"/>
      <c r="CY1915" s="4"/>
      <c r="CZ1915" s="4"/>
      <c r="DA1915" s="4"/>
      <c r="DB1915" s="4"/>
      <c r="DC1915" s="4"/>
      <c r="DD1915" s="4"/>
      <c r="DE1915" s="4"/>
      <c r="DF1915" s="4"/>
      <c r="DG1915" s="4"/>
      <c r="DH1915" s="4"/>
      <c r="DI1915" s="4"/>
      <c r="DJ1915" s="4"/>
      <c r="DK1915" s="4"/>
      <c r="DL1915" s="4"/>
      <c r="DM1915" s="4"/>
      <c r="DN1915" s="4"/>
      <c r="DO1915" s="4"/>
      <c r="DP1915" s="4"/>
      <c r="DQ1915" s="4"/>
      <c r="DR1915" s="4"/>
      <c r="DS1915" s="4"/>
    </row>
    <row r="1916">
      <c r="A1916" s="4"/>
      <c r="B1916" s="4"/>
      <c r="C1916" s="4"/>
      <c r="D1916" s="4"/>
      <c r="E1916" s="4"/>
      <c r="F1916" s="4" t="s">
        <v>17</v>
      </c>
      <c r="G1916" s="15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  <c r="AA1916" s="4"/>
      <c r="AB1916" s="4"/>
      <c r="AC1916" s="4"/>
      <c r="AD1916" s="4"/>
      <c r="AE1916" s="4"/>
      <c r="AF1916" s="4"/>
      <c r="AG1916" s="4"/>
      <c r="AH1916" s="4"/>
      <c r="AI1916" s="4"/>
      <c r="AJ1916" s="4"/>
      <c r="AK1916" s="4"/>
      <c r="AL1916" s="4"/>
      <c r="AM1916" s="4"/>
      <c r="AN1916" s="4"/>
      <c r="AO1916" s="4"/>
      <c r="AP1916" s="4"/>
      <c r="AQ1916" s="4"/>
      <c r="AR1916" s="4"/>
      <c r="AS1916" s="4"/>
      <c r="AT1916" s="4"/>
      <c r="AU1916" s="4"/>
      <c r="AV1916" s="4"/>
      <c r="AW1916" s="4"/>
      <c r="AX1916" s="4"/>
      <c r="AY1916" s="4"/>
      <c r="AZ1916" s="4"/>
      <c r="BA1916" s="4"/>
      <c r="BB1916" s="4"/>
      <c r="BC1916" s="4"/>
      <c r="BD1916" s="4"/>
      <c r="BE1916" s="4"/>
      <c r="BF1916" s="4"/>
      <c r="BG1916" s="4"/>
      <c r="BH1916" s="4"/>
      <c r="BI1916" s="4"/>
      <c r="BJ1916" s="4"/>
      <c r="BK1916" s="4"/>
      <c r="BL1916" s="4"/>
      <c r="BM1916" s="4"/>
      <c r="BN1916" s="4"/>
      <c r="BO1916" s="4"/>
      <c r="BP1916" s="4"/>
      <c r="BQ1916" s="4"/>
      <c r="BR1916" s="4"/>
      <c r="BS1916" s="4"/>
      <c r="BT1916" s="4"/>
      <c r="BU1916" s="4"/>
      <c r="BV1916" s="4"/>
      <c r="BW1916" s="4"/>
      <c r="BX1916" s="4"/>
      <c r="BY1916" s="4"/>
      <c r="BZ1916" s="4"/>
      <c r="CA1916" s="4"/>
      <c r="CB1916" s="4"/>
      <c r="CC1916" s="4"/>
      <c r="CD1916" s="4"/>
      <c r="CE1916" s="4"/>
      <c r="CF1916" s="4"/>
      <c r="CG1916" s="4"/>
      <c r="CH1916" s="4"/>
      <c r="CI1916" s="4"/>
      <c r="CJ1916" s="4"/>
      <c r="CK1916" s="4"/>
      <c r="CL1916" s="4"/>
      <c r="CM1916" s="4"/>
      <c r="CN1916" s="4"/>
      <c r="CO1916" s="4"/>
      <c r="CP1916" s="4"/>
      <c r="CQ1916" s="4"/>
      <c r="CR1916" s="4"/>
      <c r="CS1916" s="4"/>
      <c r="CT1916" s="4"/>
      <c r="CU1916" s="4"/>
      <c r="CV1916" s="4"/>
      <c r="CW1916" s="4"/>
      <c r="CX1916" s="4"/>
      <c r="CY1916" s="4"/>
      <c r="CZ1916" s="4"/>
      <c r="DA1916" s="4"/>
      <c r="DB1916" s="4"/>
      <c r="DC1916" s="4"/>
      <c r="DD1916" s="4"/>
      <c r="DE1916" s="4"/>
      <c r="DF1916" s="4"/>
      <c r="DG1916" s="4"/>
      <c r="DH1916" s="4"/>
      <c r="DI1916" s="4"/>
      <c r="DJ1916" s="4"/>
      <c r="DK1916" s="4"/>
      <c r="DL1916" s="4"/>
      <c r="DM1916" s="4"/>
      <c r="DN1916" s="4"/>
      <c r="DO1916" s="4"/>
      <c r="DP1916" s="4"/>
      <c r="DQ1916" s="4"/>
      <c r="DR1916" s="4"/>
      <c r="DS1916" s="4"/>
    </row>
    <row r="1917">
      <c r="A1917" s="4"/>
      <c r="B1917" s="4"/>
      <c r="C1917" s="4"/>
      <c r="D1917" s="4"/>
      <c r="E1917" s="4"/>
      <c r="F1917" s="4" t="s">
        <v>17</v>
      </c>
      <c r="G1917" s="15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  <c r="AA1917" s="4"/>
      <c r="AB1917" s="4"/>
      <c r="AC1917" s="4"/>
      <c r="AD1917" s="4"/>
      <c r="AE1917" s="4"/>
      <c r="AF1917" s="4"/>
      <c r="AG1917" s="4"/>
      <c r="AH1917" s="4"/>
      <c r="AI1917" s="4"/>
      <c r="AJ1917" s="4"/>
      <c r="AK1917" s="4"/>
      <c r="AL1917" s="4"/>
      <c r="AM1917" s="4"/>
      <c r="AN1917" s="4"/>
      <c r="AO1917" s="4"/>
      <c r="AP1917" s="4"/>
      <c r="AQ1917" s="4"/>
      <c r="AR1917" s="4"/>
      <c r="AS1917" s="4"/>
      <c r="AT1917" s="4"/>
      <c r="AU1917" s="4"/>
      <c r="AV1917" s="4"/>
      <c r="AW1917" s="4"/>
      <c r="AX1917" s="4"/>
      <c r="AY1917" s="4"/>
      <c r="AZ1917" s="4"/>
      <c r="BA1917" s="4"/>
      <c r="BB1917" s="4"/>
      <c r="BC1917" s="4"/>
      <c r="BD1917" s="4"/>
      <c r="BE1917" s="4"/>
      <c r="BF1917" s="4"/>
      <c r="BG1917" s="4"/>
      <c r="BH1917" s="4"/>
      <c r="BI1917" s="4"/>
      <c r="BJ1917" s="4"/>
      <c r="BK1917" s="4"/>
      <c r="BL1917" s="4"/>
      <c r="BM1917" s="4"/>
      <c r="BN1917" s="4"/>
      <c r="BO1917" s="4"/>
      <c r="BP1917" s="4"/>
      <c r="BQ1917" s="4"/>
      <c r="BR1917" s="4"/>
      <c r="BS1917" s="4"/>
      <c r="BT1917" s="4"/>
      <c r="BU1917" s="4"/>
      <c r="BV1917" s="4"/>
      <c r="BW1917" s="4"/>
      <c r="BX1917" s="4"/>
      <c r="BY1917" s="4"/>
      <c r="BZ1917" s="4"/>
      <c r="CA1917" s="4"/>
      <c r="CB1917" s="4"/>
      <c r="CC1917" s="4"/>
      <c r="CD1917" s="4"/>
      <c r="CE1917" s="4"/>
      <c r="CF1917" s="4"/>
      <c r="CG1917" s="4"/>
      <c r="CH1917" s="4"/>
      <c r="CI1917" s="4"/>
      <c r="CJ1917" s="4"/>
      <c r="CK1917" s="4"/>
      <c r="CL1917" s="4"/>
      <c r="CM1917" s="4"/>
      <c r="CN1917" s="4"/>
      <c r="CO1917" s="4"/>
      <c r="CP1917" s="4"/>
      <c r="CQ1917" s="4"/>
      <c r="CR1917" s="4"/>
      <c r="CS1917" s="4"/>
      <c r="CT1917" s="4"/>
      <c r="CU1917" s="4"/>
      <c r="CV1917" s="4"/>
      <c r="CW1917" s="4"/>
      <c r="CX1917" s="4"/>
      <c r="CY1917" s="4"/>
      <c r="CZ1917" s="4"/>
      <c r="DA1917" s="4"/>
      <c r="DB1917" s="4"/>
      <c r="DC1917" s="4"/>
      <c r="DD1917" s="4"/>
      <c r="DE1917" s="4"/>
      <c r="DF1917" s="4"/>
      <c r="DG1917" s="4"/>
      <c r="DH1917" s="4"/>
      <c r="DI1917" s="4"/>
      <c r="DJ1917" s="4"/>
      <c r="DK1917" s="4"/>
      <c r="DL1917" s="4"/>
      <c r="DM1917" s="4"/>
      <c r="DN1917" s="4"/>
      <c r="DO1917" s="4"/>
      <c r="DP1917" s="4"/>
      <c r="DQ1917" s="4"/>
      <c r="DR1917" s="4"/>
      <c r="DS1917" s="4"/>
    </row>
    <row r="1918">
      <c r="A1918" s="4"/>
      <c r="B1918" s="4"/>
      <c r="C1918" s="4"/>
      <c r="D1918" s="4"/>
      <c r="E1918" s="4"/>
      <c r="F1918" s="4" t="s">
        <v>17</v>
      </c>
      <c r="G1918" s="15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  <c r="AA1918" s="4"/>
      <c r="AB1918" s="4"/>
      <c r="AC1918" s="4"/>
      <c r="AD1918" s="4"/>
      <c r="AE1918" s="4"/>
      <c r="AF1918" s="4"/>
      <c r="AG1918" s="4"/>
      <c r="AH1918" s="4"/>
      <c r="AI1918" s="4"/>
      <c r="AJ1918" s="4"/>
      <c r="AK1918" s="4"/>
      <c r="AL1918" s="4"/>
      <c r="AM1918" s="4"/>
      <c r="AN1918" s="4"/>
      <c r="AO1918" s="4"/>
      <c r="AP1918" s="4"/>
      <c r="AQ1918" s="4"/>
      <c r="AR1918" s="4"/>
      <c r="AS1918" s="4"/>
      <c r="AT1918" s="4"/>
      <c r="AU1918" s="4"/>
      <c r="AV1918" s="4"/>
      <c r="AW1918" s="4"/>
      <c r="AX1918" s="4"/>
      <c r="AY1918" s="4"/>
      <c r="AZ1918" s="4"/>
      <c r="BA1918" s="4"/>
      <c r="BB1918" s="4"/>
      <c r="BC1918" s="4"/>
      <c r="BD1918" s="4"/>
      <c r="BE1918" s="4"/>
      <c r="BF1918" s="4"/>
      <c r="BG1918" s="4"/>
      <c r="BH1918" s="4"/>
      <c r="BI1918" s="4"/>
      <c r="BJ1918" s="4"/>
      <c r="BK1918" s="4"/>
      <c r="BL1918" s="4"/>
      <c r="BM1918" s="4"/>
      <c r="BN1918" s="4"/>
      <c r="BO1918" s="4"/>
      <c r="BP1918" s="4"/>
      <c r="BQ1918" s="4"/>
      <c r="BR1918" s="4"/>
      <c r="BS1918" s="4"/>
      <c r="BT1918" s="4"/>
      <c r="BU1918" s="4"/>
      <c r="BV1918" s="4"/>
      <c r="BW1918" s="4"/>
      <c r="BX1918" s="4"/>
      <c r="BY1918" s="4"/>
      <c r="BZ1918" s="4"/>
      <c r="CA1918" s="4"/>
      <c r="CB1918" s="4"/>
      <c r="CC1918" s="4"/>
      <c r="CD1918" s="4"/>
      <c r="CE1918" s="4"/>
      <c r="CF1918" s="4"/>
      <c r="CG1918" s="4"/>
      <c r="CH1918" s="4"/>
      <c r="CI1918" s="4"/>
      <c r="CJ1918" s="4"/>
      <c r="CK1918" s="4"/>
      <c r="CL1918" s="4"/>
      <c r="CM1918" s="4"/>
      <c r="CN1918" s="4"/>
      <c r="CO1918" s="4"/>
      <c r="CP1918" s="4"/>
      <c r="CQ1918" s="4"/>
      <c r="CR1918" s="4"/>
      <c r="CS1918" s="4"/>
      <c r="CT1918" s="4"/>
      <c r="CU1918" s="4"/>
      <c r="CV1918" s="4"/>
      <c r="CW1918" s="4"/>
      <c r="CX1918" s="4"/>
      <c r="CY1918" s="4"/>
      <c r="CZ1918" s="4"/>
      <c r="DA1918" s="4"/>
      <c r="DB1918" s="4"/>
      <c r="DC1918" s="4"/>
      <c r="DD1918" s="4"/>
      <c r="DE1918" s="4"/>
      <c r="DF1918" s="4"/>
      <c r="DG1918" s="4"/>
      <c r="DH1918" s="4"/>
      <c r="DI1918" s="4"/>
      <c r="DJ1918" s="4"/>
      <c r="DK1918" s="4"/>
      <c r="DL1918" s="4"/>
      <c r="DM1918" s="4"/>
      <c r="DN1918" s="4"/>
      <c r="DO1918" s="4"/>
      <c r="DP1918" s="4"/>
      <c r="DQ1918" s="4"/>
      <c r="DR1918" s="4"/>
      <c r="DS1918" s="4"/>
    </row>
    <row r="1919">
      <c r="A1919" s="4"/>
      <c r="B1919" s="4"/>
      <c r="C1919" s="4"/>
      <c r="D1919" s="4"/>
      <c r="E1919" s="4"/>
      <c r="F1919" s="4" t="s">
        <v>17</v>
      </c>
      <c r="G1919" s="15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  <c r="AA1919" s="4"/>
      <c r="AB1919" s="4"/>
      <c r="AC1919" s="4"/>
      <c r="AD1919" s="4"/>
      <c r="AE1919" s="4"/>
      <c r="AF1919" s="4"/>
      <c r="AG1919" s="4"/>
      <c r="AH1919" s="4"/>
      <c r="AI1919" s="4"/>
      <c r="AJ1919" s="4"/>
      <c r="AK1919" s="4"/>
      <c r="AL1919" s="4"/>
      <c r="AM1919" s="4"/>
      <c r="AN1919" s="4"/>
      <c r="AO1919" s="4"/>
      <c r="AP1919" s="4"/>
      <c r="AQ1919" s="4"/>
      <c r="AR1919" s="4"/>
      <c r="AS1919" s="4"/>
      <c r="AT1919" s="4"/>
      <c r="AU1919" s="4"/>
      <c r="AV1919" s="4"/>
      <c r="AW1919" s="4"/>
      <c r="AX1919" s="4"/>
      <c r="AY1919" s="4"/>
      <c r="AZ1919" s="4"/>
      <c r="BA1919" s="4"/>
      <c r="BB1919" s="4"/>
      <c r="BC1919" s="4"/>
      <c r="BD1919" s="4"/>
      <c r="BE1919" s="4"/>
      <c r="BF1919" s="4"/>
      <c r="BG1919" s="4"/>
      <c r="BH1919" s="4"/>
      <c r="BI1919" s="4"/>
      <c r="BJ1919" s="4"/>
      <c r="BK1919" s="4"/>
      <c r="BL1919" s="4"/>
      <c r="BM1919" s="4"/>
      <c r="BN1919" s="4"/>
      <c r="BO1919" s="4"/>
      <c r="BP1919" s="4"/>
      <c r="BQ1919" s="4"/>
      <c r="BR1919" s="4"/>
      <c r="BS1919" s="4"/>
      <c r="BT1919" s="4"/>
      <c r="BU1919" s="4"/>
      <c r="BV1919" s="4"/>
      <c r="BW1919" s="4"/>
      <c r="BX1919" s="4"/>
      <c r="BY1919" s="4"/>
      <c r="BZ1919" s="4"/>
      <c r="CA1919" s="4"/>
      <c r="CB1919" s="4"/>
      <c r="CC1919" s="4"/>
      <c r="CD1919" s="4"/>
      <c r="CE1919" s="4"/>
      <c r="CF1919" s="4"/>
      <c r="CG1919" s="4"/>
      <c r="CH1919" s="4"/>
      <c r="CI1919" s="4"/>
      <c r="CJ1919" s="4"/>
      <c r="CK1919" s="4"/>
      <c r="CL1919" s="4"/>
      <c r="CM1919" s="4"/>
      <c r="CN1919" s="4"/>
      <c r="CO1919" s="4"/>
      <c r="CP1919" s="4"/>
      <c r="CQ1919" s="4"/>
      <c r="CR1919" s="4"/>
      <c r="CS1919" s="4"/>
      <c r="CT1919" s="4"/>
      <c r="CU1919" s="4"/>
      <c r="CV1919" s="4"/>
      <c r="CW1919" s="4"/>
      <c r="CX1919" s="4"/>
      <c r="CY1919" s="4"/>
      <c r="CZ1919" s="4"/>
      <c r="DA1919" s="4"/>
      <c r="DB1919" s="4"/>
      <c r="DC1919" s="4"/>
      <c r="DD1919" s="4"/>
      <c r="DE1919" s="4"/>
      <c r="DF1919" s="4"/>
      <c r="DG1919" s="4"/>
      <c r="DH1919" s="4"/>
      <c r="DI1919" s="4"/>
      <c r="DJ1919" s="4"/>
      <c r="DK1919" s="4"/>
      <c r="DL1919" s="4"/>
      <c r="DM1919" s="4"/>
      <c r="DN1919" s="4"/>
      <c r="DO1919" s="4"/>
      <c r="DP1919" s="4"/>
      <c r="DQ1919" s="4"/>
      <c r="DR1919" s="4"/>
      <c r="DS1919" s="4"/>
    </row>
    <row r="1920">
      <c r="A1920" s="4"/>
      <c r="B1920" s="4"/>
      <c r="C1920" s="4"/>
      <c r="D1920" s="4"/>
      <c r="E1920" s="4"/>
      <c r="F1920" s="4" t="s">
        <v>17</v>
      </c>
      <c r="G1920" s="15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  <c r="AA1920" s="4"/>
      <c r="AB1920" s="4"/>
      <c r="AC1920" s="4"/>
      <c r="AD1920" s="4"/>
      <c r="AE1920" s="4"/>
      <c r="AF1920" s="4"/>
      <c r="AG1920" s="4"/>
      <c r="AH1920" s="4"/>
      <c r="AI1920" s="4"/>
      <c r="AJ1920" s="4"/>
      <c r="AK1920" s="4"/>
      <c r="AL1920" s="4"/>
      <c r="AM1920" s="4"/>
      <c r="AN1920" s="4"/>
      <c r="AO1920" s="4"/>
      <c r="AP1920" s="4"/>
      <c r="AQ1920" s="4"/>
      <c r="AR1920" s="4"/>
      <c r="AS1920" s="4"/>
      <c r="AT1920" s="4"/>
      <c r="AU1920" s="4"/>
      <c r="AV1920" s="4"/>
      <c r="AW1920" s="4"/>
      <c r="AX1920" s="4"/>
      <c r="AY1920" s="4"/>
      <c r="AZ1920" s="4"/>
      <c r="BA1920" s="4"/>
      <c r="BB1920" s="4"/>
      <c r="BC1920" s="4"/>
      <c r="BD1920" s="4"/>
      <c r="BE1920" s="4"/>
      <c r="BF1920" s="4"/>
      <c r="BG1920" s="4"/>
      <c r="BH1920" s="4"/>
      <c r="BI1920" s="4"/>
      <c r="BJ1920" s="4"/>
      <c r="BK1920" s="4"/>
      <c r="BL1920" s="4"/>
      <c r="BM1920" s="4"/>
      <c r="BN1920" s="4"/>
      <c r="BO1920" s="4"/>
      <c r="BP1920" s="4"/>
      <c r="BQ1920" s="4"/>
      <c r="BR1920" s="4"/>
      <c r="BS1920" s="4"/>
      <c r="BT1920" s="4"/>
      <c r="BU1920" s="4"/>
      <c r="BV1920" s="4"/>
      <c r="BW1920" s="4"/>
      <c r="BX1920" s="4"/>
      <c r="BY1920" s="4"/>
      <c r="BZ1920" s="4"/>
      <c r="CA1920" s="4"/>
      <c r="CB1920" s="4"/>
      <c r="CC1920" s="4"/>
      <c r="CD1920" s="4"/>
      <c r="CE1920" s="4"/>
      <c r="CF1920" s="4"/>
      <c r="CG1920" s="4"/>
      <c r="CH1920" s="4"/>
      <c r="CI1920" s="4"/>
      <c r="CJ1920" s="4"/>
      <c r="CK1920" s="4"/>
      <c r="CL1920" s="4"/>
      <c r="CM1920" s="4"/>
      <c r="CN1920" s="4"/>
      <c r="CO1920" s="4"/>
      <c r="CP1920" s="4"/>
      <c r="CQ1920" s="4"/>
      <c r="CR1920" s="4"/>
      <c r="CS1920" s="4"/>
      <c r="CT1920" s="4"/>
      <c r="CU1920" s="4"/>
      <c r="CV1920" s="4"/>
      <c r="CW1920" s="4"/>
      <c r="CX1920" s="4"/>
      <c r="CY1920" s="4"/>
      <c r="CZ1920" s="4"/>
      <c r="DA1920" s="4"/>
      <c r="DB1920" s="4"/>
      <c r="DC1920" s="4"/>
      <c r="DD1920" s="4"/>
      <c r="DE1920" s="4"/>
      <c r="DF1920" s="4"/>
      <c r="DG1920" s="4"/>
      <c r="DH1920" s="4"/>
      <c r="DI1920" s="4"/>
      <c r="DJ1920" s="4"/>
      <c r="DK1920" s="4"/>
      <c r="DL1920" s="4"/>
      <c r="DM1920" s="4"/>
      <c r="DN1920" s="4"/>
      <c r="DO1920" s="4"/>
      <c r="DP1920" s="4"/>
      <c r="DQ1920" s="4"/>
      <c r="DR1920" s="4"/>
      <c r="DS1920" s="4"/>
    </row>
    <row r="1921">
      <c r="A1921" s="4"/>
      <c r="B1921" s="4"/>
      <c r="C1921" s="4"/>
      <c r="D1921" s="4"/>
      <c r="E1921" s="4"/>
      <c r="F1921" s="4" t="s">
        <v>17</v>
      </c>
      <c r="G1921" s="15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  <c r="AA1921" s="4"/>
      <c r="AB1921" s="4"/>
      <c r="AC1921" s="4"/>
      <c r="AD1921" s="4"/>
      <c r="AE1921" s="4"/>
      <c r="AF1921" s="4"/>
      <c r="AG1921" s="4"/>
      <c r="AH1921" s="4"/>
      <c r="AI1921" s="4"/>
      <c r="AJ1921" s="4"/>
      <c r="AK1921" s="4"/>
      <c r="AL1921" s="4"/>
      <c r="AM1921" s="4"/>
      <c r="AN1921" s="4"/>
      <c r="AO1921" s="4"/>
      <c r="AP1921" s="4"/>
      <c r="AQ1921" s="4"/>
      <c r="AR1921" s="4"/>
      <c r="AS1921" s="4"/>
      <c r="AT1921" s="4"/>
      <c r="AU1921" s="4"/>
      <c r="AV1921" s="4"/>
      <c r="AW1921" s="4"/>
      <c r="AX1921" s="4"/>
      <c r="AY1921" s="4"/>
      <c r="AZ1921" s="4"/>
      <c r="BA1921" s="4"/>
      <c r="BB1921" s="4"/>
      <c r="BC1921" s="4"/>
      <c r="BD1921" s="4"/>
      <c r="BE1921" s="4"/>
      <c r="BF1921" s="4"/>
      <c r="BG1921" s="4"/>
      <c r="BH1921" s="4"/>
      <c r="BI1921" s="4"/>
      <c r="BJ1921" s="4"/>
      <c r="BK1921" s="4"/>
      <c r="BL1921" s="4"/>
      <c r="BM1921" s="4"/>
      <c r="BN1921" s="4"/>
      <c r="BO1921" s="4"/>
      <c r="BP1921" s="4"/>
      <c r="BQ1921" s="4"/>
      <c r="BR1921" s="4"/>
      <c r="BS1921" s="4"/>
      <c r="BT1921" s="4"/>
      <c r="BU1921" s="4"/>
      <c r="BV1921" s="4"/>
      <c r="BW1921" s="4"/>
      <c r="BX1921" s="4"/>
      <c r="BY1921" s="4"/>
      <c r="BZ1921" s="4"/>
      <c r="CA1921" s="4"/>
      <c r="CB1921" s="4"/>
      <c r="CC1921" s="4"/>
      <c r="CD1921" s="4"/>
      <c r="CE1921" s="4"/>
      <c r="CF1921" s="4"/>
      <c r="CG1921" s="4"/>
      <c r="CH1921" s="4"/>
      <c r="CI1921" s="4"/>
      <c r="CJ1921" s="4"/>
      <c r="CK1921" s="4"/>
      <c r="CL1921" s="4"/>
      <c r="CM1921" s="4"/>
      <c r="CN1921" s="4"/>
      <c r="CO1921" s="4"/>
      <c r="CP1921" s="4"/>
      <c r="CQ1921" s="4"/>
      <c r="CR1921" s="4"/>
      <c r="CS1921" s="4"/>
      <c r="CT1921" s="4"/>
      <c r="CU1921" s="4"/>
      <c r="CV1921" s="4"/>
      <c r="CW1921" s="4"/>
      <c r="CX1921" s="4"/>
      <c r="CY1921" s="4"/>
      <c r="CZ1921" s="4"/>
      <c r="DA1921" s="4"/>
      <c r="DB1921" s="4"/>
      <c r="DC1921" s="4"/>
      <c r="DD1921" s="4"/>
      <c r="DE1921" s="4"/>
      <c r="DF1921" s="4"/>
      <c r="DG1921" s="4"/>
      <c r="DH1921" s="4"/>
      <c r="DI1921" s="4"/>
      <c r="DJ1921" s="4"/>
      <c r="DK1921" s="4"/>
      <c r="DL1921" s="4"/>
      <c r="DM1921" s="4"/>
      <c r="DN1921" s="4"/>
      <c r="DO1921" s="4"/>
      <c r="DP1921" s="4"/>
      <c r="DQ1921" s="4"/>
      <c r="DR1921" s="4"/>
      <c r="DS1921" s="4"/>
    </row>
    <row r="1922">
      <c r="A1922" s="4"/>
      <c r="B1922" s="4"/>
      <c r="C1922" s="4"/>
      <c r="D1922" s="4"/>
      <c r="E1922" s="4"/>
      <c r="F1922" s="4" t="s">
        <v>17</v>
      </c>
      <c r="G1922" s="15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  <c r="AA1922" s="4"/>
      <c r="AB1922" s="4"/>
      <c r="AC1922" s="4"/>
      <c r="AD1922" s="4"/>
      <c r="AE1922" s="4"/>
      <c r="AF1922" s="4"/>
      <c r="AG1922" s="4"/>
      <c r="AH1922" s="4"/>
      <c r="AI1922" s="4"/>
      <c r="AJ1922" s="4"/>
      <c r="AK1922" s="4"/>
      <c r="AL1922" s="4"/>
      <c r="AM1922" s="4"/>
      <c r="AN1922" s="4"/>
      <c r="AO1922" s="4"/>
      <c r="AP1922" s="4"/>
      <c r="AQ1922" s="4"/>
      <c r="AR1922" s="4"/>
      <c r="AS1922" s="4"/>
      <c r="AT1922" s="4"/>
      <c r="AU1922" s="4"/>
      <c r="AV1922" s="4"/>
      <c r="AW1922" s="4"/>
      <c r="AX1922" s="4"/>
      <c r="AY1922" s="4"/>
      <c r="AZ1922" s="4"/>
      <c r="BA1922" s="4"/>
      <c r="BB1922" s="4"/>
      <c r="BC1922" s="4"/>
      <c r="BD1922" s="4"/>
      <c r="BE1922" s="4"/>
      <c r="BF1922" s="4"/>
      <c r="BG1922" s="4"/>
      <c r="BH1922" s="4"/>
      <c r="BI1922" s="4"/>
      <c r="BJ1922" s="4"/>
      <c r="BK1922" s="4"/>
      <c r="BL1922" s="4"/>
      <c r="BM1922" s="4"/>
      <c r="BN1922" s="4"/>
      <c r="BO1922" s="4"/>
      <c r="BP1922" s="4"/>
      <c r="BQ1922" s="4"/>
      <c r="BR1922" s="4"/>
      <c r="BS1922" s="4"/>
      <c r="BT1922" s="4"/>
      <c r="BU1922" s="4"/>
      <c r="BV1922" s="4"/>
      <c r="BW1922" s="4"/>
      <c r="BX1922" s="4"/>
      <c r="BY1922" s="4"/>
      <c r="BZ1922" s="4"/>
      <c r="CA1922" s="4"/>
      <c r="CB1922" s="4"/>
      <c r="CC1922" s="4"/>
      <c r="CD1922" s="4"/>
      <c r="CE1922" s="4"/>
      <c r="CF1922" s="4"/>
      <c r="CG1922" s="4"/>
      <c r="CH1922" s="4"/>
      <c r="CI1922" s="4"/>
      <c r="CJ1922" s="4"/>
      <c r="CK1922" s="4"/>
      <c r="CL1922" s="4"/>
      <c r="CM1922" s="4"/>
      <c r="CN1922" s="4"/>
      <c r="CO1922" s="4"/>
      <c r="CP1922" s="4"/>
      <c r="CQ1922" s="4"/>
      <c r="CR1922" s="4"/>
      <c r="CS1922" s="4"/>
      <c r="CT1922" s="4"/>
      <c r="CU1922" s="4"/>
      <c r="CV1922" s="4"/>
      <c r="CW1922" s="4"/>
      <c r="CX1922" s="4"/>
      <c r="CY1922" s="4"/>
      <c r="CZ1922" s="4"/>
      <c r="DA1922" s="4"/>
      <c r="DB1922" s="4"/>
      <c r="DC1922" s="4"/>
      <c r="DD1922" s="4"/>
      <c r="DE1922" s="4"/>
      <c r="DF1922" s="4"/>
      <c r="DG1922" s="4"/>
      <c r="DH1922" s="4"/>
      <c r="DI1922" s="4"/>
      <c r="DJ1922" s="4"/>
      <c r="DK1922" s="4"/>
      <c r="DL1922" s="4"/>
      <c r="DM1922" s="4"/>
      <c r="DN1922" s="4"/>
      <c r="DO1922" s="4"/>
      <c r="DP1922" s="4"/>
      <c r="DQ1922" s="4"/>
      <c r="DR1922" s="4"/>
      <c r="DS1922" s="4"/>
    </row>
    <row r="1923">
      <c r="A1923" s="4"/>
      <c r="B1923" s="4"/>
      <c r="C1923" s="4"/>
      <c r="D1923" s="4"/>
      <c r="E1923" s="4"/>
      <c r="F1923" s="4" t="s">
        <v>17</v>
      </c>
      <c r="G1923" s="15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  <c r="AA1923" s="4"/>
      <c r="AB1923" s="4"/>
      <c r="AC1923" s="4"/>
      <c r="AD1923" s="4"/>
      <c r="AE1923" s="4"/>
      <c r="AF1923" s="4"/>
      <c r="AG1923" s="4"/>
      <c r="AH1923" s="4"/>
      <c r="AI1923" s="4"/>
      <c r="AJ1923" s="4"/>
      <c r="AK1923" s="4"/>
      <c r="AL1923" s="4"/>
      <c r="AM1923" s="4"/>
      <c r="AN1923" s="4"/>
      <c r="AO1923" s="4"/>
      <c r="AP1923" s="4"/>
      <c r="AQ1923" s="4"/>
      <c r="AR1923" s="4"/>
      <c r="AS1923" s="4"/>
      <c r="AT1923" s="4"/>
      <c r="AU1923" s="4"/>
      <c r="AV1923" s="4"/>
      <c r="AW1923" s="4"/>
      <c r="AX1923" s="4"/>
      <c r="AY1923" s="4"/>
      <c r="AZ1923" s="4"/>
      <c r="BA1923" s="4"/>
      <c r="BB1923" s="4"/>
      <c r="BC1923" s="4"/>
      <c r="BD1923" s="4"/>
      <c r="BE1923" s="4"/>
      <c r="BF1923" s="4"/>
      <c r="BG1923" s="4"/>
      <c r="BH1923" s="4"/>
      <c r="BI1923" s="4"/>
      <c r="BJ1923" s="4"/>
      <c r="BK1923" s="4"/>
      <c r="BL1923" s="4"/>
      <c r="BM1923" s="4"/>
      <c r="BN1923" s="4"/>
      <c r="BO1923" s="4"/>
      <c r="BP1923" s="4"/>
      <c r="BQ1923" s="4"/>
      <c r="BR1923" s="4"/>
      <c r="BS1923" s="4"/>
      <c r="BT1923" s="4"/>
      <c r="BU1923" s="4"/>
      <c r="BV1923" s="4"/>
      <c r="BW1923" s="4"/>
      <c r="BX1923" s="4"/>
      <c r="BY1923" s="4"/>
      <c r="BZ1923" s="4"/>
      <c r="CA1923" s="4"/>
      <c r="CB1923" s="4"/>
      <c r="CC1923" s="4"/>
      <c r="CD1923" s="4"/>
      <c r="CE1923" s="4"/>
      <c r="CF1923" s="4"/>
      <c r="CG1923" s="4"/>
      <c r="CH1923" s="4"/>
      <c r="CI1923" s="4"/>
      <c r="CJ1923" s="4"/>
      <c r="CK1923" s="4"/>
      <c r="CL1923" s="4"/>
      <c r="CM1923" s="4"/>
      <c r="CN1923" s="4"/>
      <c r="CO1923" s="4"/>
      <c r="CP1923" s="4"/>
      <c r="CQ1923" s="4"/>
      <c r="CR1923" s="4"/>
      <c r="CS1923" s="4"/>
      <c r="CT1923" s="4"/>
      <c r="CU1923" s="4"/>
      <c r="CV1923" s="4"/>
      <c r="CW1923" s="4"/>
      <c r="CX1923" s="4"/>
      <c r="CY1923" s="4"/>
      <c r="CZ1923" s="4"/>
      <c r="DA1923" s="4"/>
      <c r="DB1923" s="4"/>
      <c r="DC1923" s="4"/>
      <c r="DD1923" s="4"/>
      <c r="DE1923" s="4"/>
      <c r="DF1923" s="4"/>
      <c r="DG1923" s="4"/>
      <c r="DH1923" s="4"/>
      <c r="DI1923" s="4"/>
      <c r="DJ1923" s="4"/>
      <c r="DK1923" s="4"/>
      <c r="DL1923" s="4"/>
      <c r="DM1923" s="4"/>
      <c r="DN1923" s="4"/>
      <c r="DO1923" s="4"/>
      <c r="DP1923" s="4"/>
      <c r="DQ1923" s="4"/>
      <c r="DR1923" s="4"/>
      <c r="DS1923" s="4"/>
    </row>
    <row r="1924">
      <c r="A1924" s="4"/>
      <c r="B1924" s="4"/>
      <c r="C1924" s="4"/>
      <c r="D1924" s="4"/>
      <c r="E1924" s="4"/>
      <c r="F1924" s="4" t="s">
        <v>17</v>
      </c>
      <c r="G1924" s="15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  <c r="AA1924" s="4"/>
      <c r="AB1924" s="4"/>
      <c r="AC1924" s="4"/>
      <c r="AD1924" s="4"/>
      <c r="AE1924" s="4"/>
      <c r="AF1924" s="4"/>
      <c r="AG1924" s="4"/>
      <c r="AH1924" s="4"/>
      <c r="AI1924" s="4"/>
      <c r="AJ1924" s="4"/>
      <c r="AK1924" s="4"/>
      <c r="AL1924" s="4"/>
      <c r="AM1924" s="4"/>
      <c r="AN1924" s="4"/>
      <c r="AO1924" s="4"/>
      <c r="AP1924" s="4"/>
      <c r="AQ1924" s="4"/>
      <c r="AR1924" s="4"/>
      <c r="AS1924" s="4"/>
      <c r="AT1924" s="4"/>
      <c r="AU1924" s="4"/>
      <c r="AV1924" s="4"/>
      <c r="AW1924" s="4"/>
      <c r="AX1924" s="4"/>
      <c r="AY1924" s="4"/>
      <c r="AZ1924" s="4"/>
      <c r="BA1924" s="4"/>
      <c r="BB1924" s="4"/>
      <c r="BC1924" s="4"/>
      <c r="BD1924" s="4"/>
      <c r="BE1924" s="4"/>
      <c r="BF1924" s="4"/>
      <c r="BG1924" s="4"/>
      <c r="BH1924" s="4"/>
      <c r="BI1924" s="4"/>
      <c r="BJ1924" s="4"/>
      <c r="BK1924" s="4"/>
      <c r="BL1924" s="4"/>
      <c r="BM1924" s="4"/>
      <c r="BN1924" s="4"/>
      <c r="BO1924" s="4"/>
      <c r="BP1924" s="4"/>
      <c r="BQ1924" s="4"/>
      <c r="BR1924" s="4"/>
      <c r="BS1924" s="4"/>
      <c r="BT1924" s="4"/>
      <c r="BU1924" s="4"/>
      <c r="BV1924" s="4"/>
      <c r="BW1924" s="4"/>
      <c r="BX1924" s="4"/>
      <c r="BY1924" s="4"/>
      <c r="BZ1924" s="4"/>
      <c r="CA1924" s="4"/>
      <c r="CB1924" s="4"/>
      <c r="CC1924" s="4"/>
      <c r="CD1924" s="4"/>
      <c r="CE1924" s="4"/>
      <c r="CF1924" s="4"/>
      <c r="CG1924" s="4"/>
      <c r="CH1924" s="4"/>
      <c r="CI1924" s="4"/>
      <c r="CJ1924" s="4"/>
      <c r="CK1924" s="4"/>
      <c r="CL1924" s="4"/>
      <c r="CM1924" s="4"/>
      <c r="CN1924" s="4"/>
      <c r="CO1924" s="4"/>
      <c r="CP1924" s="4"/>
      <c r="CQ1924" s="4"/>
      <c r="CR1924" s="4"/>
      <c r="CS1924" s="4"/>
      <c r="CT1924" s="4"/>
      <c r="CU1924" s="4"/>
      <c r="CV1924" s="4"/>
      <c r="CW1924" s="4"/>
      <c r="CX1924" s="4"/>
      <c r="CY1924" s="4"/>
      <c r="CZ1924" s="4"/>
      <c r="DA1924" s="4"/>
      <c r="DB1924" s="4"/>
      <c r="DC1924" s="4"/>
      <c r="DD1924" s="4"/>
      <c r="DE1924" s="4"/>
      <c r="DF1924" s="4"/>
      <c r="DG1924" s="4"/>
      <c r="DH1924" s="4"/>
      <c r="DI1924" s="4"/>
      <c r="DJ1924" s="4"/>
      <c r="DK1924" s="4"/>
      <c r="DL1924" s="4"/>
      <c r="DM1924" s="4"/>
      <c r="DN1924" s="4"/>
      <c r="DO1924" s="4"/>
      <c r="DP1924" s="4"/>
      <c r="DQ1924" s="4"/>
      <c r="DR1924" s="4"/>
      <c r="DS1924" s="4"/>
    </row>
    <row r="1925">
      <c r="A1925" s="4"/>
      <c r="B1925" s="4"/>
      <c r="C1925" s="4"/>
      <c r="D1925" s="4"/>
      <c r="E1925" s="4"/>
      <c r="F1925" s="4" t="s">
        <v>17</v>
      </c>
      <c r="G1925" s="15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  <c r="AA1925" s="4"/>
      <c r="AB1925" s="4"/>
      <c r="AC1925" s="4"/>
      <c r="AD1925" s="4"/>
      <c r="AE1925" s="4"/>
      <c r="AF1925" s="4"/>
      <c r="AG1925" s="4"/>
      <c r="AH1925" s="4"/>
      <c r="AI1925" s="4"/>
      <c r="AJ1925" s="4"/>
      <c r="AK1925" s="4"/>
      <c r="AL1925" s="4"/>
      <c r="AM1925" s="4"/>
      <c r="AN1925" s="4"/>
      <c r="AO1925" s="4"/>
      <c r="AP1925" s="4"/>
      <c r="AQ1925" s="4"/>
      <c r="AR1925" s="4"/>
      <c r="AS1925" s="4"/>
      <c r="AT1925" s="4"/>
      <c r="AU1925" s="4"/>
      <c r="AV1925" s="4"/>
      <c r="AW1925" s="4"/>
      <c r="AX1925" s="4"/>
      <c r="AY1925" s="4"/>
      <c r="AZ1925" s="4"/>
      <c r="BA1925" s="4"/>
      <c r="BB1925" s="4"/>
      <c r="BC1925" s="4"/>
      <c r="BD1925" s="4"/>
      <c r="BE1925" s="4"/>
      <c r="BF1925" s="4"/>
      <c r="BG1925" s="4"/>
      <c r="BH1925" s="4"/>
      <c r="BI1925" s="4"/>
      <c r="BJ1925" s="4"/>
      <c r="BK1925" s="4"/>
      <c r="BL1925" s="4"/>
      <c r="BM1925" s="4"/>
      <c r="BN1925" s="4"/>
      <c r="BO1925" s="4"/>
      <c r="BP1925" s="4"/>
      <c r="BQ1925" s="4"/>
      <c r="BR1925" s="4"/>
      <c r="BS1925" s="4"/>
      <c r="BT1925" s="4"/>
      <c r="BU1925" s="4"/>
      <c r="BV1925" s="4"/>
      <c r="BW1925" s="4"/>
      <c r="BX1925" s="4"/>
      <c r="BY1925" s="4"/>
      <c r="BZ1925" s="4"/>
      <c r="CA1925" s="4"/>
      <c r="CB1925" s="4"/>
      <c r="CC1925" s="4"/>
      <c r="CD1925" s="4"/>
      <c r="CE1925" s="4"/>
      <c r="CF1925" s="4"/>
      <c r="CG1925" s="4"/>
      <c r="CH1925" s="4"/>
      <c r="CI1925" s="4"/>
      <c r="CJ1925" s="4"/>
      <c r="CK1925" s="4"/>
      <c r="CL1925" s="4"/>
      <c r="CM1925" s="4"/>
      <c r="CN1925" s="4"/>
      <c r="CO1925" s="4"/>
      <c r="CP1925" s="4"/>
      <c r="CQ1925" s="4"/>
      <c r="CR1925" s="4"/>
      <c r="CS1925" s="4"/>
      <c r="CT1925" s="4"/>
      <c r="CU1925" s="4"/>
      <c r="CV1925" s="4"/>
      <c r="CW1925" s="4"/>
      <c r="CX1925" s="4"/>
      <c r="CY1925" s="4"/>
      <c r="CZ1925" s="4"/>
      <c r="DA1925" s="4"/>
      <c r="DB1925" s="4"/>
      <c r="DC1925" s="4"/>
      <c r="DD1925" s="4"/>
      <c r="DE1925" s="4"/>
      <c r="DF1925" s="4"/>
      <c r="DG1925" s="4"/>
      <c r="DH1925" s="4"/>
      <c r="DI1925" s="4"/>
      <c r="DJ1925" s="4"/>
      <c r="DK1925" s="4"/>
      <c r="DL1925" s="4"/>
      <c r="DM1925" s="4"/>
      <c r="DN1925" s="4"/>
      <c r="DO1925" s="4"/>
      <c r="DP1925" s="4"/>
      <c r="DQ1925" s="4"/>
      <c r="DR1925" s="4"/>
      <c r="DS1925" s="4"/>
    </row>
    <row r="1926">
      <c r="A1926" s="4"/>
      <c r="B1926" s="4"/>
      <c r="C1926" s="4"/>
      <c r="D1926" s="4"/>
      <c r="E1926" s="4"/>
      <c r="F1926" s="4" t="s">
        <v>17</v>
      </c>
      <c r="G1926" s="15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  <c r="AA1926" s="4"/>
      <c r="AB1926" s="4"/>
      <c r="AC1926" s="4"/>
      <c r="AD1926" s="4"/>
      <c r="AE1926" s="4"/>
      <c r="AF1926" s="4"/>
      <c r="AG1926" s="4"/>
      <c r="AH1926" s="4"/>
      <c r="AI1926" s="4"/>
      <c r="AJ1926" s="4"/>
      <c r="AK1926" s="4"/>
      <c r="AL1926" s="4"/>
      <c r="AM1926" s="4"/>
      <c r="AN1926" s="4"/>
      <c r="AO1926" s="4"/>
      <c r="AP1926" s="4"/>
      <c r="AQ1926" s="4"/>
      <c r="AR1926" s="4"/>
      <c r="AS1926" s="4"/>
      <c r="AT1926" s="4"/>
      <c r="AU1926" s="4"/>
      <c r="AV1926" s="4"/>
      <c r="AW1926" s="4"/>
      <c r="AX1926" s="4"/>
      <c r="AY1926" s="4"/>
      <c r="AZ1926" s="4"/>
      <c r="BA1926" s="4"/>
      <c r="BB1926" s="4"/>
      <c r="BC1926" s="4"/>
      <c r="BD1926" s="4"/>
      <c r="BE1926" s="4"/>
      <c r="BF1926" s="4"/>
      <c r="BG1926" s="4"/>
      <c r="BH1926" s="4"/>
      <c r="BI1926" s="4"/>
      <c r="BJ1926" s="4"/>
      <c r="BK1926" s="4"/>
      <c r="BL1926" s="4"/>
      <c r="BM1926" s="4"/>
      <c r="BN1926" s="4"/>
      <c r="BO1926" s="4"/>
      <c r="BP1926" s="4"/>
      <c r="BQ1926" s="4"/>
      <c r="BR1926" s="4"/>
      <c r="BS1926" s="4"/>
      <c r="BT1926" s="4"/>
      <c r="BU1926" s="4"/>
      <c r="BV1926" s="4"/>
      <c r="BW1926" s="4"/>
      <c r="BX1926" s="4"/>
      <c r="BY1926" s="4"/>
      <c r="BZ1926" s="4"/>
      <c r="CA1926" s="4"/>
      <c r="CB1926" s="4"/>
      <c r="CC1926" s="4"/>
      <c r="CD1926" s="4"/>
      <c r="CE1926" s="4"/>
      <c r="CF1926" s="4"/>
      <c r="CG1926" s="4"/>
      <c r="CH1926" s="4"/>
      <c r="CI1926" s="4"/>
      <c r="CJ1926" s="4"/>
      <c r="CK1926" s="4"/>
      <c r="CL1926" s="4"/>
      <c r="CM1926" s="4"/>
      <c r="CN1926" s="4"/>
      <c r="CO1926" s="4"/>
      <c r="CP1926" s="4"/>
      <c r="CQ1926" s="4"/>
      <c r="CR1926" s="4"/>
      <c r="CS1926" s="4"/>
      <c r="CT1926" s="4"/>
      <c r="CU1926" s="4"/>
      <c r="CV1926" s="4"/>
      <c r="CW1926" s="4"/>
      <c r="CX1926" s="4"/>
      <c r="CY1926" s="4"/>
      <c r="CZ1926" s="4"/>
      <c r="DA1926" s="4"/>
      <c r="DB1926" s="4"/>
      <c r="DC1926" s="4"/>
      <c r="DD1926" s="4"/>
      <c r="DE1926" s="4"/>
      <c r="DF1926" s="4"/>
      <c r="DG1926" s="4"/>
      <c r="DH1926" s="4"/>
      <c r="DI1926" s="4"/>
      <c r="DJ1926" s="4"/>
      <c r="DK1926" s="4"/>
      <c r="DL1926" s="4"/>
      <c r="DM1926" s="4"/>
      <c r="DN1926" s="4"/>
      <c r="DO1926" s="4"/>
      <c r="DP1926" s="4"/>
      <c r="DQ1926" s="4"/>
      <c r="DR1926" s="4"/>
      <c r="DS1926" s="4"/>
    </row>
    <row r="1927">
      <c r="A1927" s="4"/>
      <c r="B1927" s="4"/>
      <c r="C1927" s="4"/>
      <c r="D1927" s="4"/>
      <c r="E1927" s="4"/>
      <c r="F1927" s="4" t="s">
        <v>17</v>
      </c>
      <c r="G1927" s="15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  <c r="AA1927" s="4"/>
      <c r="AB1927" s="4"/>
      <c r="AC1927" s="4"/>
      <c r="AD1927" s="4"/>
      <c r="AE1927" s="4"/>
      <c r="AF1927" s="4"/>
      <c r="AG1927" s="4"/>
      <c r="AH1927" s="4"/>
      <c r="AI1927" s="4"/>
      <c r="AJ1927" s="4"/>
      <c r="AK1927" s="4"/>
      <c r="AL1927" s="4"/>
      <c r="AM1927" s="4"/>
      <c r="AN1927" s="4"/>
      <c r="AO1927" s="4"/>
      <c r="AP1927" s="4"/>
      <c r="AQ1927" s="4"/>
      <c r="AR1927" s="4"/>
      <c r="AS1927" s="4"/>
      <c r="AT1927" s="4"/>
      <c r="AU1927" s="4"/>
      <c r="AV1927" s="4"/>
      <c r="AW1927" s="4"/>
      <c r="AX1927" s="4"/>
      <c r="AY1927" s="4"/>
      <c r="AZ1927" s="4"/>
      <c r="BA1927" s="4"/>
      <c r="BB1927" s="4"/>
      <c r="BC1927" s="4"/>
      <c r="BD1927" s="4"/>
      <c r="BE1927" s="4"/>
      <c r="BF1927" s="4"/>
      <c r="BG1927" s="4"/>
      <c r="BH1927" s="4"/>
      <c r="BI1927" s="4"/>
      <c r="BJ1927" s="4"/>
      <c r="BK1927" s="4"/>
      <c r="BL1927" s="4"/>
      <c r="BM1927" s="4"/>
      <c r="BN1927" s="4"/>
      <c r="BO1927" s="4"/>
      <c r="BP1927" s="4"/>
      <c r="BQ1927" s="4"/>
      <c r="BR1927" s="4"/>
      <c r="BS1927" s="4"/>
      <c r="BT1927" s="4"/>
      <c r="BU1927" s="4"/>
      <c r="BV1927" s="4"/>
      <c r="BW1927" s="4"/>
      <c r="BX1927" s="4"/>
      <c r="BY1927" s="4"/>
      <c r="BZ1927" s="4"/>
      <c r="CA1927" s="4"/>
      <c r="CB1927" s="4"/>
      <c r="CC1927" s="4"/>
      <c r="CD1927" s="4"/>
      <c r="CE1927" s="4"/>
      <c r="CF1927" s="4"/>
      <c r="CG1927" s="4"/>
      <c r="CH1927" s="4"/>
      <c r="CI1927" s="4"/>
      <c r="CJ1927" s="4"/>
      <c r="CK1927" s="4"/>
      <c r="CL1927" s="4"/>
      <c r="CM1927" s="4"/>
      <c r="CN1927" s="4"/>
      <c r="CO1927" s="4"/>
      <c r="CP1927" s="4"/>
      <c r="CQ1927" s="4"/>
      <c r="CR1927" s="4"/>
      <c r="CS1927" s="4"/>
      <c r="CT1927" s="4"/>
      <c r="CU1927" s="4"/>
      <c r="CV1927" s="4"/>
      <c r="CW1927" s="4"/>
      <c r="CX1927" s="4"/>
      <c r="CY1927" s="4"/>
      <c r="CZ1927" s="4"/>
      <c r="DA1927" s="4"/>
      <c r="DB1927" s="4"/>
      <c r="DC1927" s="4"/>
      <c r="DD1927" s="4"/>
      <c r="DE1927" s="4"/>
      <c r="DF1927" s="4"/>
      <c r="DG1927" s="4"/>
      <c r="DH1927" s="4"/>
      <c r="DI1927" s="4"/>
      <c r="DJ1927" s="4"/>
      <c r="DK1927" s="4"/>
      <c r="DL1927" s="4"/>
      <c r="DM1927" s="4"/>
      <c r="DN1927" s="4"/>
      <c r="DO1927" s="4"/>
      <c r="DP1927" s="4"/>
      <c r="DQ1927" s="4"/>
      <c r="DR1927" s="4"/>
      <c r="DS1927" s="4"/>
    </row>
    <row r="1928">
      <c r="A1928" s="4"/>
      <c r="B1928" s="4"/>
      <c r="C1928" s="4"/>
      <c r="D1928" s="4"/>
      <c r="E1928" s="4"/>
      <c r="F1928" s="4" t="s">
        <v>17</v>
      </c>
      <c r="G1928" s="15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  <c r="AA1928" s="4"/>
      <c r="AB1928" s="4"/>
      <c r="AC1928" s="4"/>
      <c r="AD1928" s="4"/>
      <c r="AE1928" s="4"/>
      <c r="AF1928" s="4"/>
      <c r="AG1928" s="4"/>
      <c r="AH1928" s="4"/>
      <c r="AI1928" s="4"/>
      <c r="AJ1928" s="4"/>
      <c r="AK1928" s="4"/>
      <c r="AL1928" s="4"/>
      <c r="AM1928" s="4"/>
      <c r="AN1928" s="4"/>
      <c r="AO1928" s="4"/>
      <c r="AP1928" s="4"/>
      <c r="AQ1928" s="4"/>
      <c r="AR1928" s="4"/>
      <c r="AS1928" s="4"/>
      <c r="AT1928" s="4"/>
      <c r="AU1928" s="4"/>
      <c r="AV1928" s="4"/>
      <c r="AW1928" s="4"/>
      <c r="AX1928" s="4"/>
      <c r="AY1928" s="4"/>
      <c r="AZ1928" s="4"/>
      <c r="BA1928" s="4"/>
      <c r="BB1928" s="4"/>
      <c r="BC1928" s="4"/>
      <c r="BD1928" s="4"/>
      <c r="BE1928" s="4"/>
      <c r="BF1928" s="4"/>
      <c r="BG1928" s="4"/>
      <c r="BH1928" s="4"/>
      <c r="BI1928" s="4"/>
      <c r="BJ1928" s="4"/>
      <c r="BK1928" s="4"/>
      <c r="BL1928" s="4"/>
      <c r="BM1928" s="4"/>
      <c r="BN1928" s="4"/>
      <c r="BO1928" s="4"/>
      <c r="BP1928" s="4"/>
      <c r="BQ1928" s="4"/>
      <c r="BR1928" s="4"/>
      <c r="BS1928" s="4"/>
      <c r="BT1928" s="4"/>
      <c r="BU1928" s="4"/>
      <c r="BV1928" s="4"/>
      <c r="BW1928" s="4"/>
      <c r="BX1928" s="4"/>
      <c r="BY1928" s="4"/>
      <c r="BZ1928" s="4"/>
      <c r="CA1928" s="4"/>
      <c r="CB1928" s="4"/>
      <c r="CC1928" s="4"/>
      <c r="CD1928" s="4"/>
      <c r="CE1928" s="4"/>
      <c r="CF1928" s="4"/>
      <c r="CG1928" s="4"/>
      <c r="CH1928" s="4"/>
      <c r="CI1928" s="4"/>
      <c r="CJ1928" s="4"/>
      <c r="CK1928" s="4"/>
      <c r="CL1928" s="4"/>
      <c r="CM1928" s="4"/>
      <c r="CN1928" s="4"/>
      <c r="CO1928" s="4"/>
      <c r="CP1928" s="4"/>
      <c r="CQ1928" s="4"/>
      <c r="CR1928" s="4"/>
      <c r="CS1928" s="4"/>
      <c r="CT1928" s="4"/>
      <c r="CU1928" s="4"/>
      <c r="CV1928" s="4"/>
      <c r="CW1928" s="4"/>
      <c r="CX1928" s="4"/>
      <c r="CY1928" s="4"/>
      <c r="CZ1928" s="4"/>
      <c r="DA1928" s="4"/>
      <c r="DB1928" s="4"/>
      <c r="DC1928" s="4"/>
      <c r="DD1928" s="4"/>
      <c r="DE1928" s="4"/>
      <c r="DF1928" s="4"/>
      <c r="DG1928" s="4"/>
      <c r="DH1928" s="4"/>
      <c r="DI1928" s="4"/>
      <c r="DJ1928" s="4"/>
      <c r="DK1928" s="4"/>
      <c r="DL1928" s="4"/>
      <c r="DM1928" s="4"/>
      <c r="DN1928" s="4"/>
      <c r="DO1928" s="4"/>
      <c r="DP1928" s="4"/>
      <c r="DQ1928" s="4"/>
      <c r="DR1928" s="4"/>
      <c r="DS1928" s="4"/>
    </row>
    <row r="1929">
      <c r="A1929" s="4"/>
      <c r="B1929" s="4"/>
      <c r="C1929" s="4"/>
      <c r="D1929" s="4"/>
      <c r="E1929" s="4"/>
      <c r="F1929" s="4" t="s">
        <v>17</v>
      </c>
      <c r="G1929" s="15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  <c r="AA1929" s="4"/>
      <c r="AB1929" s="4"/>
      <c r="AC1929" s="4"/>
      <c r="AD1929" s="4"/>
      <c r="AE1929" s="4"/>
      <c r="AF1929" s="4"/>
      <c r="AG1929" s="4"/>
      <c r="AH1929" s="4"/>
      <c r="AI1929" s="4"/>
      <c r="AJ1929" s="4"/>
      <c r="AK1929" s="4"/>
      <c r="AL1929" s="4"/>
      <c r="AM1929" s="4"/>
      <c r="AN1929" s="4"/>
      <c r="AO1929" s="4"/>
      <c r="AP1929" s="4"/>
      <c r="AQ1929" s="4"/>
      <c r="AR1929" s="4"/>
      <c r="AS1929" s="4"/>
      <c r="AT1929" s="4"/>
      <c r="AU1929" s="4"/>
      <c r="AV1929" s="4"/>
      <c r="AW1929" s="4"/>
      <c r="AX1929" s="4"/>
      <c r="AY1929" s="4"/>
      <c r="AZ1929" s="4"/>
      <c r="BA1929" s="4"/>
      <c r="BB1929" s="4"/>
      <c r="BC1929" s="4"/>
      <c r="BD1929" s="4"/>
      <c r="BE1929" s="4"/>
      <c r="BF1929" s="4"/>
      <c r="BG1929" s="4"/>
      <c r="BH1929" s="4"/>
      <c r="BI1929" s="4"/>
      <c r="BJ1929" s="4"/>
      <c r="BK1929" s="4"/>
      <c r="BL1929" s="4"/>
      <c r="BM1929" s="4"/>
      <c r="BN1929" s="4"/>
      <c r="BO1929" s="4"/>
      <c r="BP1929" s="4"/>
      <c r="BQ1929" s="4"/>
      <c r="BR1929" s="4"/>
      <c r="BS1929" s="4"/>
      <c r="BT1929" s="4"/>
      <c r="BU1929" s="4"/>
      <c r="BV1929" s="4"/>
      <c r="BW1929" s="4"/>
      <c r="BX1929" s="4"/>
      <c r="BY1929" s="4"/>
      <c r="BZ1929" s="4"/>
      <c r="CA1929" s="4"/>
      <c r="CB1929" s="4"/>
      <c r="CC1929" s="4"/>
      <c r="CD1929" s="4"/>
      <c r="CE1929" s="4"/>
      <c r="CF1929" s="4"/>
      <c r="CG1929" s="4"/>
      <c r="CH1929" s="4"/>
      <c r="CI1929" s="4"/>
      <c r="CJ1929" s="4"/>
      <c r="CK1929" s="4"/>
      <c r="CL1929" s="4"/>
      <c r="CM1929" s="4"/>
      <c r="CN1929" s="4"/>
      <c r="CO1929" s="4"/>
      <c r="CP1929" s="4"/>
      <c r="CQ1929" s="4"/>
      <c r="CR1929" s="4"/>
      <c r="CS1929" s="4"/>
      <c r="CT1929" s="4"/>
      <c r="CU1929" s="4"/>
      <c r="CV1929" s="4"/>
      <c r="CW1929" s="4"/>
      <c r="CX1929" s="4"/>
      <c r="CY1929" s="4"/>
      <c r="CZ1929" s="4"/>
      <c r="DA1929" s="4"/>
      <c r="DB1929" s="4"/>
      <c r="DC1929" s="4"/>
      <c r="DD1929" s="4"/>
      <c r="DE1929" s="4"/>
      <c r="DF1929" s="4"/>
      <c r="DG1929" s="4"/>
      <c r="DH1929" s="4"/>
      <c r="DI1929" s="4"/>
      <c r="DJ1929" s="4"/>
      <c r="DK1929" s="4"/>
      <c r="DL1929" s="4"/>
      <c r="DM1929" s="4"/>
      <c r="DN1929" s="4"/>
      <c r="DO1929" s="4"/>
      <c r="DP1929" s="4"/>
      <c r="DQ1929" s="4"/>
      <c r="DR1929" s="4"/>
      <c r="DS1929" s="4"/>
    </row>
    <row r="1930">
      <c r="A1930" s="4"/>
      <c r="B1930" s="4"/>
      <c r="C1930" s="4"/>
      <c r="D1930" s="4"/>
      <c r="E1930" s="4"/>
      <c r="F1930" s="4" t="s">
        <v>17</v>
      </c>
      <c r="G1930" s="15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  <c r="AA1930" s="4"/>
      <c r="AB1930" s="4"/>
      <c r="AC1930" s="4"/>
      <c r="AD1930" s="4"/>
      <c r="AE1930" s="4"/>
      <c r="AF1930" s="4"/>
      <c r="AG1930" s="4"/>
      <c r="AH1930" s="4"/>
      <c r="AI1930" s="4"/>
      <c r="AJ1930" s="4"/>
      <c r="AK1930" s="4"/>
      <c r="AL1930" s="4"/>
      <c r="AM1930" s="4"/>
      <c r="AN1930" s="4"/>
      <c r="AO1930" s="4"/>
      <c r="AP1930" s="4"/>
      <c r="AQ1930" s="4"/>
      <c r="AR1930" s="4"/>
      <c r="AS1930" s="4"/>
      <c r="AT1930" s="4"/>
      <c r="AU1930" s="4"/>
      <c r="AV1930" s="4"/>
      <c r="AW1930" s="4"/>
      <c r="AX1930" s="4"/>
      <c r="AY1930" s="4"/>
      <c r="AZ1930" s="4"/>
      <c r="BA1930" s="4"/>
      <c r="BB1930" s="4"/>
      <c r="BC1930" s="4"/>
      <c r="BD1930" s="4"/>
      <c r="BE1930" s="4"/>
      <c r="BF1930" s="4"/>
      <c r="BG1930" s="4"/>
      <c r="BH1930" s="4"/>
      <c r="BI1930" s="4"/>
      <c r="BJ1930" s="4"/>
      <c r="BK1930" s="4"/>
      <c r="BL1930" s="4"/>
      <c r="BM1930" s="4"/>
      <c r="BN1930" s="4"/>
      <c r="BO1930" s="4"/>
      <c r="BP1930" s="4"/>
      <c r="BQ1930" s="4"/>
      <c r="BR1930" s="4"/>
      <c r="BS1930" s="4"/>
      <c r="BT1930" s="4"/>
      <c r="BU1930" s="4"/>
      <c r="BV1930" s="4"/>
      <c r="BW1930" s="4"/>
      <c r="BX1930" s="4"/>
      <c r="BY1930" s="4"/>
      <c r="BZ1930" s="4"/>
      <c r="CA1930" s="4"/>
      <c r="CB1930" s="4"/>
      <c r="CC1930" s="4"/>
      <c r="CD1930" s="4"/>
      <c r="CE1930" s="4"/>
      <c r="CF1930" s="4"/>
      <c r="CG1930" s="4"/>
      <c r="CH1930" s="4"/>
      <c r="CI1930" s="4"/>
      <c r="CJ1930" s="4"/>
      <c r="CK1930" s="4"/>
      <c r="CL1930" s="4"/>
      <c r="CM1930" s="4"/>
      <c r="CN1930" s="4"/>
      <c r="CO1930" s="4"/>
      <c r="CP1930" s="4"/>
      <c r="CQ1930" s="4"/>
      <c r="CR1930" s="4"/>
      <c r="CS1930" s="4"/>
      <c r="CT1930" s="4"/>
      <c r="CU1930" s="4"/>
      <c r="CV1930" s="4"/>
      <c r="CW1930" s="4"/>
      <c r="CX1930" s="4"/>
      <c r="CY1930" s="4"/>
      <c r="CZ1930" s="4"/>
      <c r="DA1930" s="4"/>
      <c r="DB1930" s="4"/>
      <c r="DC1930" s="4"/>
      <c r="DD1930" s="4"/>
      <c r="DE1930" s="4"/>
      <c r="DF1930" s="4"/>
      <c r="DG1930" s="4"/>
      <c r="DH1930" s="4"/>
      <c r="DI1930" s="4"/>
      <c r="DJ1930" s="4"/>
      <c r="DK1930" s="4"/>
      <c r="DL1930" s="4"/>
      <c r="DM1930" s="4"/>
      <c r="DN1930" s="4"/>
      <c r="DO1930" s="4"/>
      <c r="DP1930" s="4"/>
      <c r="DQ1930" s="4"/>
      <c r="DR1930" s="4"/>
      <c r="DS1930" s="4"/>
    </row>
    <row r="1931">
      <c r="A1931" s="4"/>
      <c r="B1931" s="4"/>
      <c r="C1931" s="4"/>
      <c r="D1931" s="4"/>
      <c r="E1931" s="4"/>
      <c r="F1931" s="4" t="s">
        <v>17</v>
      </c>
      <c r="G1931" s="15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  <c r="AA1931" s="4"/>
      <c r="AB1931" s="4"/>
      <c r="AC1931" s="4"/>
      <c r="AD1931" s="4"/>
      <c r="AE1931" s="4"/>
      <c r="AF1931" s="4"/>
      <c r="AG1931" s="4"/>
      <c r="AH1931" s="4"/>
      <c r="AI1931" s="4"/>
      <c r="AJ1931" s="4"/>
      <c r="AK1931" s="4"/>
      <c r="AL1931" s="4"/>
      <c r="AM1931" s="4"/>
      <c r="AN1931" s="4"/>
      <c r="AO1931" s="4"/>
      <c r="AP1931" s="4"/>
      <c r="AQ1931" s="4"/>
      <c r="AR1931" s="4"/>
      <c r="AS1931" s="4"/>
      <c r="AT1931" s="4"/>
      <c r="AU1931" s="4"/>
      <c r="AV1931" s="4"/>
      <c r="AW1931" s="4"/>
      <c r="AX1931" s="4"/>
      <c r="AY1931" s="4"/>
      <c r="AZ1931" s="4"/>
      <c r="BA1931" s="4"/>
      <c r="BB1931" s="4"/>
      <c r="BC1931" s="4"/>
      <c r="BD1931" s="4"/>
      <c r="BE1931" s="4"/>
      <c r="BF1931" s="4"/>
      <c r="BG1931" s="4"/>
      <c r="BH1931" s="4"/>
      <c r="BI1931" s="4"/>
      <c r="BJ1931" s="4"/>
      <c r="BK1931" s="4"/>
      <c r="BL1931" s="4"/>
      <c r="BM1931" s="4"/>
      <c r="BN1931" s="4"/>
      <c r="BO1931" s="4"/>
      <c r="BP1931" s="4"/>
      <c r="BQ1931" s="4"/>
      <c r="BR1931" s="4"/>
      <c r="BS1931" s="4"/>
      <c r="BT1931" s="4"/>
      <c r="BU1931" s="4"/>
      <c r="BV1931" s="4"/>
      <c r="BW1931" s="4"/>
      <c r="BX1931" s="4"/>
      <c r="BY1931" s="4"/>
      <c r="BZ1931" s="4"/>
      <c r="CA1931" s="4"/>
      <c r="CB1931" s="4"/>
      <c r="CC1931" s="4"/>
      <c r="CD1931" s="4"/>
      <c r="CE1931" s="4"/>
      <c r="CF1931" s="4"/>
      <c r="CG1931" s="4"/>
      <c r="CH1931" s="4"/>
      <c r="CI1931" s="4"/>
      <c r="CJ1931" s="4"/>
      <c r="CK1931" s="4"/>
      <c r="CL1931" s="4"/>
      <c r="CM1931" s="4"/>
      <c r="CN1931" s="4"/>
      <c r="CO1931" s="4"/>
      <c r="CP1931" s="4"/>
      <c r="CQ1931" s="4"/>
      <c r="CR1931" s="4"/>
      <c r="CS1931" s="4"/>
      <c r="CT1931" s="4"/>
      <c r="CU1931" s="4"/>
      <c r="CV1931" s="4"/>
      <c r="CW1931" s="4"/>
      <c r="CX1931" s="4"/>
      <c r="CY1931" s="4"/>
      <c r="CZ1931" s="4"/>
      <c r="DA1931" s="4"/>
      <c r="DB1931" s="4"/>
      <c r="DC1931" s="4"/>
      <c r="DD1931" s="4"/>
      <c r="DE1931" s="4"/>
      <c r="DF1931" s="4"/>
      <c r="DG1931" s="4"/>
      <c r="DH1931" s="4"/>
      <c r="DI1931" s="4"/>
      <c r="DJ1931" s="4"/>
      <c r="DK1931" s="4"/>
      <c r="DL1931" s="4"/>
      <c r="DM1931" s="4"/>
      <c r="DN1931" s="4"/>
      <c r="DO1931" s="4"/>
      <c r="DP1931" s="4"/>
      <c r="DQ1931" s="4"/>
      <c r="DR1931" s="4"/>
      <c r="DS1931" s="4"/>
    </row>
    <row r="1932">
      <c r="A1932" s="4"/>
      <c r="B1932" s="4"/>
      <c r="C1932" s="4"/>
      <c r="D1932" s="4"/>
      <c r="E1932" s="4"/>
      <c r="F1932" s="4" t="s">
        <v>17</v>
      </c>
      <c r="G1932" s="15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  <c r="AA1932" s="4"/>
      <c r="AB1932" s="4"/>
      <c r="AC1932" s="4"/>
      <c r="AD1932" s="4"/>
      <c r="AE1932" s="4"/>
      <c r="AF1932" s="4"/>
      <c r="AG1932" s="4"/>
      <c r="AH1932" s="4"/>
      <c r="AI1932" s="4"/>
      <c r="AJ1932" s="4"/>
      <c r="AK1932" s="4"/>
      <c r="AL1932" s="4"/>
      <c r="AM1932" s="4"/>
      <c r="AN1932" s="4"/>
      <c r="AO1932" s="4"/>
      <c r="AP1932" s="4"/>
      <c r="AQ1932" s="4"/>
      <c r="AR1932" s="4"/>
      <c r="AS1932" s="4"/>
      <c r="AT1932" s="4"/>
      <c r="AU1932" s="4"/>
      <c r="AV1932" s="4"/>
      <c r="AW1932" s="4"/>
      <c r="AX1932" s="4"/>
      <c r="AY1932" s="4"/>
      <c r="AZ1932" s="4"/>
      <c r="BA1932" s="4"/>
      <c r="BB1932" s="4"/>
      <c r="BC1932" s="4"/>
      <c r="BD1932" s="4"/>
      <c r="BE1932" s="4"/>
      <c r="BF1932" s="4"/>
      <c r="BG1932" s="4"/>
      <c r="BH1932" s="4"/>
      <c r="BI1932" s="4"/>
      <c r="BJ1932" s="4"/>
      <c r="BK1932" s="4"/>
      <c r="BL1932" s="4"/>
      <c r="BM1932" s="4"/>
      <c r="BN1932" s="4"/>
      <c r="BO1932" s="4"/>
      <c r="BP1932" s="4"/>
      <c r="BQ1932" s="4"/>
      <c r="BR1932" s="4"/>
      <c r="BS1932" s="4"/>
      <c r="BT1932" s="4"/>
      <c r="BU1932" s="4"/>
      <c r="BV1932" s="4"/>
      <c r="BW1932" s="4"/>
      <c r="BX1932" s="4"/>
      <c r="BY1932" s="4"/>
      <c r="BZ1932" s="4"/>
      <c r="CA1932" s="4"/>
      <c r="CB1932" s="4"/>
      <c r="CC1932" s="4"/>
      <c r="CD1932" s="4"/>
      <c r="CE1932" s="4"/>
      <c r="CF1932" s="4"/>
      <c r="CG1932" s="4"/>
      <c r="CH1932" s="4"/>
      <c r="CI1932" s="4"/>
      <c r="CJ1932" s="4"/>
      <c r="CK1932" s="4"/>
      <c r="CL1932" s="4"/>
      <c r="CM1932" s="4"/>
      <c r="CN1932" s="4"/>
      <c r="CO1932" s="4"/>
      <c r="CP1932" s="4"/>
      <c r="CQ1932" s="4"/>
      <c r="CR1932" s="4"/>
      <c r="CS1932" s="4"/>
      <c r="CT1932" s="4"/>
      <c r="CU1932" s="4"/>
      <c r="CV1932" s="4"/>
      <c r="CW1932" s="4"/>
      <c r="CX1932" s="4"/>
      <c r="CY1932" s="4"/>
      <c r="CZ1932" s="4"/>
      <c r="DA1932" s="4"/>
      <c r="DB1932" s="4"/>
      <c r="DC1932" s="4"/>
      <c r="DD1932" s="4"/>
      <c r="DE1932" s="4"/>
      <c r="DF1932" s="4"/>
      <c r="DG1932" s="4"/>
      <c r="DH1932" s="4"/>
      <c r="DI1932" s="4"/>
      <c r="DJ1932" s="4"/>
      <c r="DK1932" s="4"/>
      <c r="DL1932" s="4"/>
      <c r="DM1932" s="4"/>
      <c r="DN1932" s="4"/>
      <c r="DO1932" s="4"/>
      <c r="DP1932" s="4"/>
      <c r="DQ1932" s="4"/>
      <c r="DR1932" s="4"/>
      <c r="DS1932" s="4"/>
    </row>
    <row r="1933">
      <c r="A1933" s="4"/>
      <c r="B1933" s="4"/>
      <c r="C1933" s="4"/>
      <c r="D1933" s="4"/>
      <c r="E1933" s="4"/>
      <c r="F1933" s="4" t="s">
        <v>17</v>
      </c>
      <c r="G1933" s="15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  <c r="AA1933" s="4"/>
      <c r="AB1933" s="4"/>
      <c r="AC1933" s="4"/>
      <c r="AD1933" s="4"/>
      <c r="AE1933" s="4"/>
      <c r="AF1933" s="4"/>
      <c r="AG1933" s="4"/>
      <c r="AH1933" s="4"/>
      <c r="AI1933" s="4"/>
      <c r="AJ1933" s="4"/>
      <c r="AK1933" s="4"/>
      <c r="AL1933" s="4"/>
      <c r="AM1933" s="4"/>
      <c r="AN1933" s="4"/>
      <c r="AO1933" s="4"/>
      <c r="AP1933" s="4"/>
      <c r="AQ1933" s="4"/>
      <c r="AR1933" s="4"/>
      <c r="AS1933" s="4"/>
      <c r="AT1933" s="4"/>
      <c r="AU1933" s="4"/>
      <c r="AV1933" s="4"/>
      <c r="AW1933" s="4"/>
      <c r="AX1933" s="4"/>
      <c r="AY1933" s="4"/>
      <c r="AZ1933" s="4"/>
      <c r="BA1933" s="4"/>
      <c r="BB1933" s="4"/>
      <c r="BC1933" s="4"/>
      <c r="BD1933" s="4"/>
      <c r="BE1933" s="4"/>
      <c r="BF1933" s="4"/>
      <c r="BG1933" s="4"/>
      <c r="BH1933" s="4"/>
      <c r="BI1933" s="4"/>
      <c r="BJ1933" s="4"/>
      <c r="BK1933" s="4"/>
      <c r="BL1933" s="4"/>
      <c r="BM1933" s="4"/>
      <c r="BN1933" s="4"/>
      <c r="BO1933" s="4"/>
      <c r="BP1933" s="4"/>
      <c r="BQ1933" s="4"/>
      <c r="BR1933" s="4"/>
      <c r="BS1933" s="4"/>
      <c r="BT1933" s="4"/>
      <c r="BU1933" s="4"/>
      <c r="BV1933" s="4"/>
      <c r="BW1933" s="4"/>
      <c r="BX1933" s="4"/>
      <c r="BY1933" s="4"/>
      <c r="BZ1933" s="4"/>
      <c r="CA1933" s="4"/>
      <c r="CB1933" s="4"/>
      <c r="CC1933" s="4"/>
      <c r="CD1933" s="4"/>
      <c r="CE1933" s="4"/>
      <c r="CF1933" s="4"/>
      <c r="CG1933" s="4"/>
      <c r="CH1933" s="4"/>
      <c r="CI1933" s="4"/>
      <c r="CJ1933" s="4"/>
      <c r="CK1933" s="4"/>
      <c r="CL1933" s="4"/>
      <c r="CM1933" s="4"/>
      <c r="CN1933" s="4"/>
      <c r="CO1933" s="4"/>
      <c r="CP1933" s="4"/>
      <c r="CQ1933" s="4"/>
      <c r="CR1933" s="4"/>
      <c r="CS1933" s="4"/>
      <c r="CT1933" s="4"/>
      <c r="CU1933" s="4"/>
      <c r="CV1933" s="4"/>
      <c r="CW1933" s="4"/>
      <c r="CX1933" s="4"/>
      <c r="CY1933" s="4"/>
      <c r="CZ1933" s="4"/>
      <c r="DA1933" s="4"/>
      <c r="DB1933" s="4"/>
      <c r="DC1933" s="4"/>
      <c r="DD1933" s="4"/>
      <c r="DE1933" s="4"/>
      <c r="DF1933" s="4"/>
      <c r="DG1933" s="4"/>
      <c r="DH1933" s="4"/>
      <c r="DI1933" s="4"/>
      <c r="DJ1933" s="4"/>
      <c r="DK1933" s="4"/>
      <c r="DL1933" s="4"/>
      <c r="DM1933" s="4"/>
      <c r="DN1933" s="4"/>
      <c r="DO1933" s="4"/>
      <c r="DP1933" s="4"/>
      <c r="DQ1933" s="4"/>
      <c r="DR1933" s="4"/>
      <c r="DS1933" s="4"/>
    </row>
    <row r="1934">
      <c r="A1934" s="4"/>
      <c r="B1934" s="4"/>
      <c r="C1934" s="4"/>
      <c r="D1934" s="4"/>
      <c r="E1934" s="4"/>
      <c r="F1934" s="4" t="s">
        <v>17</v>
      </c>
      <c r="G1934" s="15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  <c r="AA1934" s="4"/>
      <c r="AB1934" s="4"/>
      <c r="AC1934" s="4"/>
      <c r="AD1934" s="4"/>
      <c r="AE1934" s="4"/>
      <c r="AF1934" s="4"/>
      <c r="AG1934" s="4"/>
      <c r="AH1934" s="4"/>
      <c r="AI1934" s="4"/>
      <c r="AJ1934" s="4"/>
      <c r="AK1934" s="4"/>
      <c r="AL1934" s="4"/>
      <c r="AM1934" s="4"/>
      <c r="AN1934" s="4"/>
      <c r="AO1934" s="4"/>
      <c r="AP1934" s="4"/>
      <c r="AQ1934" s="4"/>
      <c r="AR1934" s="4"/>
      <c r="AS1934" s="4"/>
      <c r="AT1934" s="4"/>
      <c r="AU1934" s="4"/>
      <c r="AV1934" s="4"/>
      <c r="AW1934" s="4"/>
      <c r="AX1934" s="4"/>
      <c r="AY1934" s="4"/>
      <c r="AZ1934" s="4"/>
      <c r="BA1934" s="4"/>
      <c r="BB1934" s="4"/>
      <c r="BC1934" s="4"/>
      <c r="BD1934" s="4"/>
      <c r="BE1934" s="4"/>
      <c r="BF1934" s="4"/>
      <c r="BG1934" s="4"/>
      <c r="BH1934" s="4"/>
      <c r="BI1934" s="4"/>
      <c r="BJ1934" s="4"/>
      <c r="BK1934" s="4"/>
      <c r="BL1934" s="4"/>
      <c r="BM1934" s="4"/>
      <c r="BN1934" s="4"/>
      <c r="BO1934" s="4"/>
      <c r="BP1934" s="4"/>
      <c r="BQ1934" s="4"/>
      <c r="BR1934" s="4"/>
      <c r="BS1934" s="4"/>
      <c r="BT1934" s="4"/>
      <c r="BU1934" s="4"/>
      <c r="BV1934" s="4"/>
      <c r="BW1934" s="4"/>
      <c r="BX1934" s="4"/>
      <c r="BY1934" s="4"/>
      <c r="BZ1934" s="4"/>
      <c r="CA1934" s="4"/>
      <c r="CB1934" s="4"/>
      <c r="CC1934" s="4"/>
      <c r="CD1934" s="4"/>
      <c r="CE1934" s="4"/>
      <c r="CF1934" s="4"/>
      <c r="CG1934" s="4"/>
      <c r="CH1934" s="4"/>
      <c r="CI1934" s="4"/>
      <c r="CJ1934" s="4"/>
      <c r="CK1934" s="4"/>
      <c r="CL1934" s="4"/>
      <c r="CM1934" s="4"/>
      <c r="CN1934" s="4"/>
      <c r="CO1934" s="4"/>
      <c r="CP1934" s="4"/>
      <c r="CQ1934" s="4"/>
      <c r="CR1934" s="4"/>
      <c r="CS1934" s="4"/>
      <c r="CT1934" s="4"/>
      <c r="CU1934" s="4"/>
      <c r="CV1934" s="4"/>
      <c r="CW1934" s="4"/>
      <c r="CX1934" s="4"/>
      <c r="CY1934" s="4"/>
      <c r="CZ1934" s="4"/>
      <c r="DA1934" s="4"/>
      <c r="DB1934" s="4"/>
      <c r="DC1934" s="4"/>
      <c r="DD1934" s="4"/>
      <c r="DE1934" s="4"/>
      <c r="DF1934" s="4"/>
      <c r="DG1934" s="4"/>
      <c r="DH1934" s="4"/>
      <c r="DI1934" s="4"/>
      <c r="DJ1934" s="4"/>
      <c r="DK1934" s="4"/>
      <c r="DL1934" s="4"/>
      <c r="DM1934" s="4"/>
      <c r="DN1934" s="4"/>
      <c r="DO1934" s="4"/>
      <c r="DP1934" s="4"/>
      <c r="DQ1934" s="4"/>
      <c r="DR1934" s="4"/>
      <c r="DS1934" s="4"/>
    </row>
    <row r="1935">
      <c r="A1935" s="4"/>
      <c r="B1935" s="4"/>
      <c r="C1935" s="4"/>
      <c r="D1935" s="4"/>
      <c r="E1935" s="4"/>
      <c r="F1935" s="4" t="s">
        <v>17</v>
      </c>
      <c r="G1935" s="15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  <c r="AA1935" s="4"/>
      <c r="AB1935" s="4"/>
      <c r="AC1935" s="4"/>
      <c r="AD1935" s="4"/>
      <c r="AE1935" s="4"/>
      <c r="AF1935" s="4"/>
      <c r="AG1935" s="4"/>
      <c r="AH1935" s="4"/>
      <c r="AI1935" s="4"/>
      <c r="AJ1935" s="4"/>
      <c r="AK1935" s="4"/>
      <c r="AL1935" s="4"/>
      <c r="AM1935" s="4"/>
      <c r="AN1935" s="4"/>
      <c r="AO1935" s="4"/>
      <c r="AP1935" s="4"/>
      <c r="AQ1935" s="4"/>
      <c r="AR1935" s="4"/>
      <c r="AS1935" s="4"/>
      <c r="AT1935" s="4"/>
      <c r="AU1935" s="4"/>
      <c r="AV1935" s="4"/>
      <c r="AW1935" s="4"/>
      <c r="AX1935" s="4"/>
      <c r="AY1935" s="4"/>
      <c r="AZ1935" s="4"/>
      <c r="BA1935" s="4"/>
      <c r="BB1935" s="4"/>
      <c r="BC1935" s="4"/>
      <c r="BD1935" s="4"/>
      <c r="BE1935" s="4"/>
      <c r="BF1935" s="4"/>
      <c r="BG1935" s="4"/>
      <c r="BH1935" s="4"/>
      <c r="BI1935" s="4"/>
      <c r="BJ1935" s="4"/>
      <c r="BK1935" s="4"/>
      <c r="BL1935" s="4"/>
      <c r="BM1935" s="4"/>
      <c r="BN1935" s="4"/>
      <c r="BO1935" s="4"/>
      <c r="BP1935" s="4"/>
      <c r="BQ1935" s="4"/>
      <c r="BR1935" s="4"/>
      <c r="BS1935" s="4"/>
      <c r="BT1935" s="4"/>
      <c r="BU1935" s="4"/>
      <c r="BV1935" s="4"/>
      <c r="BW1935" s="4"/>
      <c r="BX1935" s="4"/>
      <c r="BY1935" s="4"/>
      <c r="BZ1935" s="4"/>
      <c r="CA1935" s="4"/>
      <c r="CB1935" s="4"/>
      <c r="CC1935" s="4"/>
      <c r="CD1935" s="4"/>
      <c r="CE1935" s="4"/>
      <c r="CF1935" s="4"/>
      <c r="CG1935" s="4"/>
      <c r="CH1935" s="4"/>
      <c r="CI1935" s="4"/>
      <c r="CJ1935" s="4"/>
      <c r="CK1935" s="4"/>
      <c r="CL1935" s="4"/>
      <c r="CM1935" s="4"/>
      <c r="CN1935" s="4"/>
      <c r="CO1935" s="4"/>
      <c r="CP1935" s="4"/>
      <c r="CQ1935" s="4"/>
      <c r="CR1935" s="4"/>
      <c r="CS1935" s="4"/>
      <c r="CT1935" s="4"/>
      <c r="CU1935" s="4"/>
      <c r="CV1935" s="4"/>
      <c r="CW1935" s="4"/>
      <c r="CX1935" s="4"/>
      <c r="CY1935" s="4"/>
      <c r="CZ1935" s="4"/>
      <c r="DA1935" s="4"/>
      <c r="DB1935" s="4"/>
      <c r="DC1935" s="4"/>
      <c r="DD1935" s="4"/>
      <c r="DE1935" s="4"/>
      <c r="DF1935" s="4"/>
      <c r="DG1935" s="4"/>
      <c r="DH1935" s="4"/>
      <c r="DI1935" s="4"/>
      <c r="DJ1935" s="4"/>
      <c r="DK1935" s="4"/>
      <c r="DL1935" s="4"/>
      <c r="DM1935" s="4"/>
      <c r="DN1935" s="4"/>
      <c r="DO1935" s="4"/>
      <c r="DP1935" s="4"/>
      <c r="DQ1935" s="4"/>
      <c r="DR1935" s="4"/>
      <c r="DS1935" s="4"/>
    </row>
    <row r="1936">
      <c r="A1936" s="4"/>
      <c r="B1936" s="4"/>
      <c r="C1936" s="4"/>
      <c r="D1936" s="4"/>
      <c r="E1936" s="4"/>
      <c r="F1936" s="4" t="s">
        <v>17</v>
      </c>
      <c r="G1936" s="15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  <c r="AA1936" s="4"/>
      <c r="AB1936" s="4"/>
      <c r="AC1936" s="4"/>
      <c r="AD1936" s="4"/>
      <c r="AE1936" s="4"/>
      <c r="AF1936" s="4"/>
      <c r="AG1936" s="4"/>
      <c r="AH1936" s="4"/>
      <c r="AI1936" s="4"/>
      <c r="AJ1936" s="4"/>
      <c r="AK1936" s="4"/>
      <c r="AL1936" s="4"/>
      <c r="AM1936" s="4"/>
      <c r="AN1936" s="4"/>
      <c r="AO1936" s="4"/>
      <c r="AP1936" s="4"/>
      <c r="AQ1936" s="4"/>
      <c r="AR1936" s="4"/>
      <c r="AS1936" s="4"/>
      <c r="AT1936" s="4"/>
      <c r="AU1936" s="4"/>
      <c r="AV1936" s="4"/>
      <c r="AW1936" s="4"/>
      <c r="AX1936" s="4"/>
      <c r="AY1936" s="4"/>
      <c r="AZ1936" s="4"/>
      <c r="BA1936" s="4"/>
      <c r="BB1936" s="4"/>
      <c r="BC1936" s="4"/>
      <c r="BD1936" s="4"/>
      <c r="BE1936" s="4"/>
      <c r="BF1936" s="4"/>
      <c r="BG1936" s="4"/>
      <c r="BH1936" s="4"/>
      <c r="BI1936" s="4"/>
      <c r="BJ1936" s="4"/>
      <c r="BK1936" s="4"/>
      <c r="BL1936" s="4"/>
      <c r="BM1936" s="4"/>
      <c r="BN1936" s="4"/>
      <c r="BO1936" s="4"/>
      <c r="BP1936" s="4"/>
      <c r="BQ1936" s="4"/>
      <c r="BR1936" s="4"/>
      <c r="BS1936" s="4"/>
      <c r="BT1936" s="4"/>
      <c r="BU1936" s="4"/>
      <c r="BV1936" s="4"/>
      <c r="BW1936" s="4"/>
      <c r="BX1936" s="4"/>
      <c r="BY1936" s="4"/>
      <c r="BZ1936" s="4"/>
      <c r="CA1936" s="4"/>
      <c r="CB1936" s="4"/>
      <c r="CC1936" s="4"/>
      <c r="CD1936" s="4"/>
      <c r="CE1936" s="4"/>
      <c r="CF1936" s="4"/>
      <c r="CG1936" s="4"/>
      <c r="CH1936" s="4"/>
      <c r="CI1936" s="4"/>
      <c r="CJ1936" s="4"/>
      <c r="CK1936" s="4"/>
      <c r="CL1936" s="4"/>
      <c r="CM1936" s="4"/>
      <c r="CN1936" s="4"/>
      <c r="CO1936" s="4"/>
      <c r="CP1936" s="4"/>
      <c r="CQ1936" s="4"/>
      <c r="CR1936" s="4"/>
      <c r="CS1936" s="4"/>
      <c r="CT1936" s="4"/>
      <c r="CU1936" s="4"/>
      <c r="CV1936" s="4"/>
      <c r="CW1936" s="4"/>
      <c r="CX1936" s="4"/>
      <c r="CY1936" s="4"/>
      <c r="CZ1936" s="4"/>
      <c r="DA1936" s="4"/>
      <c r="DB1936" s="4"/>
      <c r="DC1936" s="4"/>
      <c r="DD1936" s="4"/>
      <c r="DE1936" s="4"/>
      <c r="DF1936" s="4"/>
      <c r="DG1936" s="4"/>
      <c r="DH1936" s="4"/>
      <c r="DI1936" s="4"/>
      <c r="DJ1936" s="4"/>
      <c r="DK1936" s="4"/>
      <c r="DL1936" s="4"/>
      <c r="DM1936" s="4"/>
      <c r="DN1936" s="4"/>
      <c r="DO1936" s="4"/>
      <c r="DP1936" s="4"/>
      <c r="DQ1936" s="4"/>
      <c r="DR1936" s="4"/>
      <c r="DS1936" s="4"/>
    </row>
    <row r="1937">
      <c r="A1937" s="4"/>
      <c r="B1937" s="4"/>
      <c r="C1937" s="4"/>
      <c r="D1937" s="4"/>
      <c r="E1937" s="4"/>
      <c r="F1937" s="4" t="s">
        <v>17</v>
      </c>
      <c r="G1937" s="15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  <c r="AA1937" s="4"/>
      <c r="AB1937" s="4"/>
      <c r="AC1937" s="4"/>
      <c r="AD1937" s="4"/>
      <c r="AE1937" s="4"/>
      <c r="AF1937" s="4"/>
      <c r="AG1937" s="4"/>
      <c r="AH1937" s="4"/>
      <c r="AI1937" s="4"/>
      <c r="AJ1937" s="4"/>
      <c r="AK1937" s="4"/>
      <c r="AL1937" s="4"/>
      <c r="AM1937" s="4"/>
      <c r="AN1937" s="4"/>
      <c r="AO1937" s="4"/>
      <c r="AP1937" s="4"/>
      <c r="AQ1937" s="4"/>
      <c r="AR1937" s="4"/>
      <c r="AS1937" s="4"/>
      <c r="AT1937" s="4"/>
      <c r="AU1937" s="4"/>
      <c r="AV1937" s="4"/>
      <c r="AW1937" s="4"/>
      <c r="AX1937" s="4"/>
      <c r="AY1937" s="4"/>
      <c r="AZ1937" s="4"/>
      <c r="BA1937" s="4"/>
      <c r="BB1937" s="4"/>
      <c r="BC1937" s="4"/>
      <c r="BD1937" s="4"/>
      <c r="BE1937" s="4"/>
      <c r="BF1937" s="4"/>
      <c r="BG1937" s="4"/>
      <c r="BH1937" s="4"/>
      <c r="BI1937" s="4"/>
      <c r="BJ1937" s="4"/>
      <c r="BK1937" s="4"/>
      <c r="BL1937" s="4"/>
      <c r="BM1937" s="4"/>
      <c r="BN1937" s="4"/>
      <c r="BO1937" s="4"/>
      <c r="BP1937" s="4"/>
      <c r="BQ1937" s="4"/>
      <c r="BR1937" s="4"/>
      <c r="BS1937" s="4"/>
      <c r="BT1937" s="4"/>
      <c r="BU1937" s="4"/>
      <c r="BV1937" s="4"/>
      <c r="BW1937" s="4"/>
      <c r="BX1937" s="4"/>
      <c r="BY1937" s="4"/>
      <c r="BZ1937" s="4"/>
      <c r="CA1937" s="4"/>
      <c r="CB1937" s="4"/>
      <c r="CC1937" s="4"/>
      <c r="CD1937" s="4"/>
      <c r="CE1937" s="4"/>
      <c r="CF1937" s="4"/>
      <c r="CG1937" s="4"/>
      <c r="CH1937" s="4"/>
      <c r="CI1937" s="4"/>
      <c r="CJ1937" s="4"/>
      <c r="CK1937" s="4"/>
      <c r="CL1937" s="4"/>
      <c r="CM1937" s="4"/>
      <c r="CN1937" s="4"/>
      <c r="CO1937" s="4"/>
      <c r="CP1937" s="4"/>
      <c r="CQ1937" s="4"/>
      <c r="CR1937" s="4"/>
      <c r="CS1937" s="4"/>
      <c r="CT1937" s="4"/>
      <c r="CU1937" s="4"/>
      <c r="CV1937" s="4"/>
      <c r="CW1937" s="4"/>
      <c r="CX1937" s="4"/>
      <c r="CY1937" s="4"/>
      <c r="CZ1937" s="4"/>
      <c r="DA1937" s="4"/>
      <c r="DB1937" s="4"/>
      <c r="DC1937" s="4"/>
      <c r="DD1937" s="4"/>
      <c r="DE1937" s="4"/>
      <c r="DF1937" s="4"/>
      <c r="DG1937" s="4"/>
      <c r="DH1937" s="4"/>
      <c r="DI1937" s="4"/>
      <c r="DJ1937" s="4"/>
      <c r="DK1937" s="4"/>
      <c r="DL1937" s="4"/>
      <c r="DM1937" s="4"/>
      <c r="DN1937" s="4"/>
      <c r="DO1937" s="4"/>
      <c r="DP1937" s="4"/>
      <c r="DQ1937" s="4"/>
      <c r="DR1937" s="4"/>
      <c r="DS1937" s="4"/>
    </row>
    <row r="1938">
      <c r="A1938" s="4"/>
      <c r="B1938" s="4"/>
      <c r="C1938" s="4"/>
      <c r="D1938" s="4"/>
      <c r="E1938" s="4"/>
      <c r="F1938" s="4" t="s">
        <v>17</v>
      </c>
      <c r="G1938" s="15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  <c r="AA1938" s="4"/>
      <c r="AB1938" s="4"/>
      <c r="AC1938" s="4"/>
      <c r="AD1938" s="4"/>
      <c r="AE1938" s="4"/>
      <c r="AF1938" s="4"/>
      <c r="AG1938" s="4"/>
      <c r="AH1938" s="4"/>
      <c r="AI1938" s="4"/>
      <c r="AJ1938" s="4"/>
      <c r="AK1938" s="4"/>
      <c r="AL1938" s="4"/>
      <c r="AM1938" s="4"/>
      <c r="AN1938" s="4"/>
      <c r="AO1938" s="4"/>
      <c r="AP1938" s="4"/>
      <c r="AQ1938" s="4"/>
      <c r="AR1938" s="4"/>
      <c r="AS1938" s="4"/>
      <c r="AT1938" s="4"/>
      <c r="AU1938" s="4"/>
      <c r="AV1938" s="4"/>
      <c r="AW1938" s="4"/>
      <c r="AX1938" s="4"/>
      <c r="AY1938" s="4"/>
      <c r="AZ1938" s="4"/>
      <c r="BA1938" s="4"/>
      <c r="BB1938" s="4"/>
      <c r="BC1938" s="4"/>
      <c r="BD1938" s="4"/>
      <c r="BE1938" s="4"/>
      <c r="BF1938" s="4"/>
      <c r="BG1938" s="4"/>
      <c r="BH1938" s="4"/>
      <c r="BI1938" s="4"/>
      <c r="BJ1938" s="4"/>
      <c r="BK1938" s="4"/>
      <c r="BL1938" s="4"/>
      <c r="BM1938" s="4"/>
      <c r="BN1938" s="4"/>
      <c r="BO1938" s="4"/>
      <c r="BP1938" s="4"/>
      <c r="BQ1938" s="4"/>
      <c r="BR1938" s="4"/>
      <c r="BS1938" s="4"/>
      <c r="BT1938" s="4"/>
      <c r="BU1938" s="4"/>
      <c r="BV1938" s="4"/>
      <c r="BW1938" s="4"/>
      <c r="BX1938" s="4"/>
      <c r="BY1938" s="4"/>
      <c r="BZ1938" s="4"/>
      <c r="CA1938" s="4"/>
      <c r="CB1938" s="4"/>
      <c r="CC1938" s="4"/>
      <c r="CD1938" s="4"/>
      <c r="CE1938" s="4"/>
      <c r="CF1938" s="4"/>
      <c r="CG1938" s="4"/>
      <c r="CH1938" s="4"/>
      <c r="CI1938" s="4"/>
      <c r="CJ1938" s="4"/>
      <c r="CK1938" s="4"/>
      <c r="CL1938" s="4"/>
      <c r="CM1938" s="4"/>
      <c r="CN1938" s="4"/>
      <c r="CO1938" s="4"/>
      <c r="CP1938" s="4"/>
      <c r="CQ1938" s="4"/>
      <c r="CR1938" s="4"/>
      <c r="CS1938" s="4"/>
      <c r="CT1938" s="4"/>
      <c r="CU1938" s="4"/>
      <c r="CV1938" s="4"/>
      <c r="CW1938" s="4"/>
      <c r="CX1938" s="4"/>
      <c r="CY1938" s="4"/>
      <c r="CZ1938" s="4"/>
      <c r="DA1938" s="4"/>
      <c r="DB1938" s="4"/>
      <c r="DC1938" s="4"/>
      <c r="DD1938" s="4"/>
      <c r="DE1938" s="4"/>
      <c r="DF1938" s="4"/>
      <c r="DG1938" s="4"/>
      <c r="DH1938" s="4"/>
      <c r="DI1938" s="4"/>
      <c r="DJ1938" s="4"/>
      <c r="DK1938" s="4"/>
      <c r="DL1938" s="4"/>
      <c r="DM1938" s="4"/>
      <c r="DN1938" s="4"/>
      <c r="DO1938" s="4"/>
      <c r="DP1938" s="4"/>
      <c r="DQ1938" s="4"/>
      <c r="DR1938" s="4"/>
      <c r="DS1938" s="4"/>
    </row>
    <row r="1939">
      <c r="A1939" s="4"/>
      <c r="B1939" s="4"/>
      <c r="C1939" s="4"/>
      <c r="D1939" s="4"/>
      <c r="E1939" s="4"/>
      <c r="F1939" s="4" t="s">
        <v>17</v>
      </c>
      <c r="G1939" s="15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  <c r="AA1939" s="4"/>
      <c r="AB1939" s="4"/>
      <c r="AC1939" s="4"/>
      <c r="AD1939" s="4"/>
      <c r="AE1939" s="4"/>
      <c r="AF1939" s="4"/>
      <c r="AG1939" s="4"/>
      <c r="AH1939" s="4"/>
      <c r="AI1939" s="4"/>
      <c r="AJ1939" s="4"/>
      <c r="AK1939" s="4"/>
      <c r="AL1939" s="4"/>
      <c r="AM1939" s="4"/>
      <c r="AN1939" s="4"/>
      <c r="AO1939" s="4"/>
      <c r="AP1939" s="4"/>
      <c r="AQ1939" s="4"/>
      <c r="AR1939" s="4"/>
      <c r="AS1939" s="4"/>
      <c r="AT1939" s="4"/>
      <c r="AU1939" s="4"/>
      <c r="AV1939" s="4"/>
      <c r="AW1939" s="4"/>
      <c r="AX1939" s="4"/>
      <c r="AY1939" s="4"/>
      <c r="AZ1939" s="4"/>
      <c r="BA1939" s="4"/>
      <c r="BB1939" s="4"/>
      <c r="BC1939" s="4"/>
      <c r="BD1939" s="4"/>
      <c r="BE1939" s="4"/>
      <c r="BF1939" s="4"/>
      <c r="BG1939" s="4"/>
      <c r="BH1939" s="4"/>
      <c r="BI1939" s="4"/>
      <c r="BJ1939" s="4"/>
      <c r="BK1939" s="4"/>
      <c r="BL1939" s="4"/>
      <c r="BM1939" s="4"/>
      <c r="BN1939" s="4"/>
      <c r="BO1939" s="4"/>
      <c r="BP1939" s="4"/>
      <c r="BQ1939" s="4"/>
      <c r="BR1939" s="4"/>
      <c r="BS1939" s="4"/>
      <c r="BT1939" s="4"/>
      <c r="BU1939" s="4"/>
      <c r="BV1939" s="4"/>
      <c r="BW1939" s="4"/>
      <c r="BX1939" s="4"/>
      <c r="BY1939" s="4"/>
      <c r="BZ1939" s="4"/>
      <c r="CA1939" s="4"/>
      <c r="CB1939" s="4"/>
      <c r="CC1939" s="4"/>
      <c r="CD1939" s="4"/>
      <c r="CE1939" s="4"/>
      <c r="CF1939" s="4"/>
      <c r="CG1939" s="4"/>
      <c r="CH1939" s="4"/>
      <c r="CI1939" s="4"/>
      <c r="CJ1939" s="4"/>
      <c r="CK1939" s="4"/>
      <c r="CL1939" s="4"/>
      <c r="CM1939" s="4"/>
      <c r="CN1939" s="4"/>
      <c r="CO1939" s="4"/>
      <c r="CP1939" s="4"/>
      <c r="CQ1939" s="4"/>
      <c r="CR1939" s="4"/>
      <c r="CS1939" s="4"/>
      <c r="CT1939" s="4"/>
      <c r="CU1939" s="4"/>
      <c r="CV1939" s="4"/>
      <c r="CW1939" s="4"/>
      <c r="CX1939" s="4"/>
      <c r="CY1939" s="4"/>
      <c r="CZ1939" s="4"/>
      <c r="DA1939" s="4"/>
      <c r="DB1939" s="4"/>
      <c r="DC1939" s="4"/>
      <c r="DD1939" s="4"/>
      <c r="DE1939" s="4"/>
      <c r="DF1939" s="4"/>
      <c r="DG1939" s="4"/>
      <c r="DH1939" s="4"/>
      <c r="DI1939" s="4"/>
      <c r="DJ1939" s="4"/>
      <c r="DK1939" s="4"/>
      <c r="DL1939" s="4"/>
      <c r="DM1939" s="4"/>
      <c r="DN1939" s="4"/>
      <c r="DO1939" s="4"/>
      <c r="DP1939" s="4"/>
      <c r="DQ1939" s="4"/>
      <c r="DR1939" s="4"/>
      <c r="DS1939" s="4"/>
    </row>
    <row r="1940">
      <c r="A1940" s="4"/>
      <c r="B1940" s="4"/>
      <c r="C1940" s="4"/>
      <c r="D1940" s="4"/>
      <c r="E1940" s="4"/>
      <c r="F1940" s="4" t="s">
        <v>17</v>
      </c>
      <c r="G1940" s="15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  <c r="AA1940" s="4"/>
      <c r="AB1940" s="4"/>
      <c r="AC1940" s="4"/>
      <c r="AD1940" s="4"/>
      <c r="AE1940" s="4"/>
      <c r="AF1940" s="4"/>
      <c r="AG1940" s="4"/>
      <c r="AH1940" s="4"/>
      <c r="AI1940" s="4"/>
      <c r="AJ1940" s="4"/>
      <c r="AK1940" s="4"/>
      <c r="AL1940" s="4"/>
      <c r="AM1940" s="4"/>
      <c r="AN1940" s="4"/>
      <c r="AO1940" s="4"/>
      <c r="AP1940" s="4"/>
      <c r="AQ1940" s="4"/>
      <c r="AR1940" s="4"/>
      <c r="AS1940" s="4"/>
      <c r="AT1940" s="4"/>
      <c r="AU1940" s="4"/>
      <c r="AV1940" s="4"/>
      <c r="AW1940" s="4"/>
      <c r="AX1940" s="4"/>
      <c r="AY1940" s="4"/>
      <c r="AZ1940" s="4"/>
      <c r="BA1940" s="4"/>
      <c r="BB1940" s="4"/>
      <c r="BC1940" s="4"/>
      <c r="BD1940" s="4"/>
      <c r="BE1940" s="4"/>
      <c r="BF1940" s="4"/>
      <c r="BG1940" s="4"/>
      <c r="BH1940" s="4"/>
      <c r="BI1940" s="4"/>
      <c r="BJ1940" s="4"/>
      <c r="BK1940" s="4"/>
      <c r="BL1940" s="4"/>
      <c r="BM1940" s="4"/>
      <c r="BN1940" s="4"/>
      <c r="BO1940" s="4"/>
      <c r="BP1940" s="4"/>
      <c r="BQ1940" s="4"/>
      <c r="BR1940" s="4"/>
      <c r="BS1940" s="4"/>
      <c r="BT1940" s="4"/>
      <c r="BU1940" s="4"/>
      <c r="BV1940" s="4"/>
      <c r="BW1940" s="4"/>
      <c r="BX1940" s="4"/>
      <c r="BY1940" s="4"/>
      <c r="BZ1940" s="4"/>
      <c r="CA1940" s="4"/>
      <c r="CB1940" s="4"/>
      <c r="CC1940" s="4"/>
      <c r="CD1940" s="4"/>
      <c r="CE1940" s="4"/>
      <c r="CF1940" s="4"/>
      <c r="CG1940" s="4"/>
      <c r="CH1940" s="4"/>
      <c r="CI1940" s="4"/>
      <c r="CJ1940" s="4"/>
      <c r="CK1940" s="4"/>
      <c r="CL1940" s="4"/>
      <c r="CM1940" s="4"/>
      <c r="CN1940" s="4"/>
      <c r="CO1940" s="4"/>
      <c r="CP1940" s="4"/>
      <c r="CQ1940" s="4"/>
      <c r="CR1940" s="4"/>
      <c r="CS1940" s="4"/>
      <c r="CT1940" s="4"/>
      <c r="CU1940" s="4"/>
      <c r="CV1940" s="4"/>
      <c r="CW1940" s="4"/>
      <c r="CX1940" s="4"/>
      <c r="CY1940" s="4"/>
      <c r="CZ1940" s="4"/>
      <c r="DA1940" s="4"/>
      <c r="DB1940" s="4"/>
      <c r="DC1940" s="4"/>
      <c r="DD1940" s="4"/>
      <c r="DE1940" s="4"/>
      <c r="DF1940" s="4"/>
      <c r="DG1940" s="4"/>
      <c r="DH1940" s="4"/>
      <c r="DI1940" s="4"/>
      <c r="DJ1940" s="4"/>
      <c r="DK1940" s="4"/>
      <c r="DL1940" s="4"/>
      <c r="DM1940" s="4"/>
      <c r="DN1940" s="4"/>
      <c r="DO1940" s="4"/>
      <c r="DP1940" s="4"/>
      <c r="DQ1940" s="4"/>
      <c r="DR1940" s="4"/>
      <c r="DS1940" s="4"/>
    </row>
    <row r="1941">
      <c r="A1941" s="4"/>
      <c r="B1941" s="4"/>
      <c r="C1941" s="4"/>
      <c r="D1941" s="4"/>
      <c r="E1941" s="4"/>
      <c r="F1941" s="4" t="s">
        <v>17</v>
      </c>
      <c r="G1941" s="15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  <c r="AA1941" s="4"/>
      <c r="AB1941" s="4"/>
      <c r="AC1941" s="4"/>
      <c r="AD1941" s="4"/>
      <c r="AE1941" s="4"/>
      <c r="AF1941" s="4"/>
      <c r="AG1941" s="4"/>
      <c r="AH1941" s="4"/>
      <c r="AI1941" s="4"/>
      <c r="AJ1941" s="4"/>
      <c r="AK1941" s="4"/>
      <c r="AL1941" s="4"/>
      <c r="AM1941" s="4"/>
      <c r="AN1941" s="4"/>
      <c r="AO1941" s="4"/>
      <c r="AP1941" s="4"/>
      <c r="AQ1941" s="4"/>
      <c r="AR1941" s="4"/>
      <c r="AS1941" s="4"/>
      <c r="AT1941" s="4"/>
      <c r="AU1941" s="4"/>
      <c r="AV1941" s="4"/>
      <c r="AW1941" s="4"/>
      <c r="AX1941" s="4"/>
      <c r="AY1941" s="4"/>
      <c r="AZ1941" s="4"/>
      <c r="BA1941" s="4"/>
      <c r="BB1941" s="4"/>
      <c r="BC1941" s="4"/>
      <c r="BD1941" s="4"/>
      <c r="BE1941" s="4"/>
      <c r="BF1941" s="4"/>
      <c r="BG1941" s="4"/>
      <c r="BH1941" s="4"/>
      <c r="BI1941" s="4"/>
      <c r="BJ1941" s="4"/>
      <c r="BK1941" s="4"/>
      <c r="BL1941" s="4"/>
      <c r="BM1941" s="4"/>
      <c r="BN1941" s="4"/>
      <c r="BO1941" s="4"/>
      <c r="BP1941" s="4"/>
      <c r="BQ1941" s="4"/>
      <c r="BR1941" s="4"/>
      <c r="BS1941" s="4"/>
      <c r="BT1941" s="4"/>
      <c r="BU1941" s="4"/>
      <c r="BV1941" s="4"/>
      <c r="BW1941" s="4"/>
      <c r="BX1941" s="4"/>
      <c r="BY1941" s="4"/>
      <c r="BZ1941" s="4"/>
      <c r="CA1941" s="4"/>
      <c r="CB1941" s="4"/>
      <c r="CC1941" s="4"/>
      <c r="CD1941" s="4"/>
      <c r="CE1941" s="4"/>
      <c r="CF1941" s="4"/>
      <c r="CG1941" s="4"/>
      <c r="CH1941" s="4"/>
      <c r="CI1941" s="4"/>
      <c r="CJ1941" s="4"/>
      <c r="CK1941" s="4"/>
      <c r="CL1941" s="4"/>
      <c r="CM1941" s="4"/>
      <c r="CN1941" s="4"/>
      <c r="CO1941" s="4"/>
      <c r="CP1941" s="4"/>
      <c r="CQ1941" s="4"/>
      <c r="CR1941" s="4"/>
      <c r="CS1941" s="4"/>
      <c r="CT1941" s="4"/>
      <c r="CU1941" s="4"/>
      <c r="CV1941" s="4"/>
      <c r="CW1941" s="4"/>
      <c r="CX1941" s="4"/>
      <c r="CY1941" s="4"/>
      <c r="CZ1941" s="4"/>
      <c r="DA1941" s="4"/>
      <c r="DB1941" s="4"/>
      <c r="DC1941" s="4"/>
      <c r="DD1941" s="4"/>
      <c r="DE1941" s="4"/>
      <c r="DF1941" s="4"/>
      <c r="DG1941" s="4"/>
      <c r="DH1941" s="4"/>
      <c r="DI1941" s="4"/>
      <c r="DJ1941" s="4"/>
      <c r="DK1941" s="4"/>
      <c r="DL1941" s="4"/>
      <c r="DM1941" s="4"/>
      <c r="DN1941" s="4"/>
      <c r="DO1941" s="4"/>
      <c r="DP1941" s="4"/>
      <c r="DQ1941" s="4"/>
      <c r="DR1941" s="4"/>
      <c r="DS1941" s="4"/>
    </row>
    <row r="1942">
      <c r="A1942" s="4"/>
      <c r="B1942" s="4"/>
      <c r="C1942" s="4"/>
      <c r="D1942" s="4"/>
      <c r="E1942" s="4"/>
      <c r="F1942" s="4" t="s">
        <v>17</v>
      </c>
      <c r="G1942" s="15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  <c r="AA1942" s="4"/>
      <c r="AB1942" s="4"/>
      <c r="AC1942" s="4"/>
      <c r="AD1942" s="4"/>
      <c r="AE1942" s="4"/>
      <c r="AF1942" s="4"/>
      <c r="AG1942" s="4"/>
      <c r="AH1942" s="4"/>
      <c r="AI1942" s="4"/>
      <c r="AJ1942" s="4"/>
      <c r="AK1942" s="4"/>
      <c r="AL1942" s="4"/>
      <c r="AM1942" s="4"/>
      <c r="AN1942" s="4"/>
      <c r="AO1942" s="4"/>
      <c r="AP1942" s="4"/>
      <c r="AQ1942" s="4"/>
      <c r="AR1942" s="4"/>
      <c r="AS1942" s="4"/>
      <c r="AT1942" s="4"/>
      <c r="AU1942" s="4"/>
      <c r="AV1942" s="4"/>
      <c r="AW1942" s="4"/>
      <c r="AX1942" s="4"/>
      <c r="AY1942" s="4"/>
      <c r="AZ1942" s="4"/>
      <c r="BA1942" s="4"/>
      <c r="BB1942" s="4"/>
      <c r="BC1942" s="4"/>
      <c r="BD1942" s="4"/>
      <c r="BE1942" s="4"/>
      <c r="BF1942" s="4"/>
      <c r="BG1942" s="4"/>
      <c r="BH1942" s="4"/>
      <c r="BI1942" s="4"/>
      <c r="BJ1942" s="4"/>
      <c r="BK1942" s="4"/>
      <c r="BL1942" s="4"/>
      <c r="BM1942" s="4"/>
      <c r="BN1942" s="4"/>
      <c r="BO1942" s="4"/>
      <c r="BP1942" s="4"/>
      <c r="BQ1942" s="4"/>
      <c r="BR1942" s="4"/>
      <c r="BS1942" s="4"/>
      <c r="BT1942" s="4"/>
      <c r="BU1942" s="4"/>
      <c r="BV1942" s="4"/>
      <c r="BW1942" s="4"/>
      <c r="BX1942" s="4"/>
      <c r="BY1942" s="4"/>
      <c r="BZ1942" s="4"/>
      <c r="CA1942" s="4"/>
      <c r="CB1942" s="4"/>
      <c r="CC1942" s="4"/>
      <c r="CD1942" s="4"/>
      <c r="CE1942" s="4"/>
      <c r="CF1942" s="4"/>
      <c r="CG1942" s="4"/>
      <c r="CH1942" s="4"/>
      <c r="CI1942" s="4"/>
      <c r="CJ1942" s="4"/>
      <c r="CK1942" s="4"/>
      <c r="CL1942" s="4"/>
      <c r="CM1942" s="4"/>
      <c r="CN1942" s="4"/>
      <c r="CO1942" s="4"/>
      <c r="CP1942" s="4"/>
      <c r="CQ1942" s="4"/>
      <c r="CR1942" s="4"/>
      <c r="CS1942" s="4"/>
      <c r="CT1942" s="4"/>
      <c r="CU1942" s="4"/>
      <c r="CV1942" s="4"/>
      <c r="CW1942" s="4"/>
      <c r="CX1942" s="4"/>
      <c r="CY1942" s="4"/>
      <c r="CZ1942" s="4"/>
      <c r="DA1942" s="4"/>
      <c r="DB1942" s="4"/>
      <c r="DC1942" s="4"/>
      <c r="DD1942" s="4"/>
      <c r="DE1942" s="4"/>
      <c r="DF1942" s="4"/>
      <c r="DG1942" s="4"/>
      <c r="DH1942" s="4"/>
      <c r="DI1942" s="4"/>
      <c r="DJ1942" s="4"/>
      <c r="DK1942" s="4"/>
      <c r="DL1942" s="4"/>
      <c r="DM1942" s="4"/>
      <c r="DN1942" s="4"/>
      <c r="DO1942" s="4"/>
      <c r="DP1942" s="4"/>
      <c r="DQ1942" s="4"/>
      <c r="DR1942" s="4"/>
      <c r="DS1942" s="4"/>
    </row>
    <row r="1943">
      <c r="A1943" s="4"/>
      <c r="B1943" s="4"/>
      <c r="C1943" s="4"/>
      <c r="D1943" s="4"/>
      <c r="E1943" s="4"/>
      <c r="F1943" s="4" t="s">
        <v>17</v>
      </c>
      <c r="G1943" s="15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  <c r="AA1943" s="4"/>
      <c r="AB1943" s="4"/>
      <c r="AC1943" s="4"/>
      <c r="AD1943" s="4"/>
      <c r="AE1943" s="4"/>
      <c r="AF1943" s="4"/>
      <c r="AG1943" s="4"/>
      <c r="AH1943" s="4"/>
      <c r="AI1943" s="4"/>
      <c r="AJ1943" s="4"/>
      <c r="AK1943" s="4"/>
      <c r="AL1943" s="4"/>
      <c r="AM1943" s="4"/>
      <c r="AN1943" s="4"/>
      <c r="AO1943" s="4"/>
      <c r="AP1943" s="4"/>
      <c r="AQ1943" s="4"/>
      <c r="AR1943" s="4"/>
      <c r="AS1943" s="4"/>
      <c r="AT1943" s="4"/>
      <c r="AU1943" s="4"/>
      <c r="AV1943" s="4"/>
      <c r="AW1943" s="4"/>
      <c r="AX1943" s="4"/>
      <c r="AY1943" s="4"/>
      <c r="AZ1943" s="4"/>
      <c r="BA1943" s="4"/>
      <c r="BB1943" s="4"/>
      <c r="BC1943" s="4"/>
      <c r="BD1943" s="4"/>
      <c r="BE1943" s="4"/>
      <c r="BF1943" s="4"/>
      <c r="BG1943" s="4"/>
      <c r="BH1943" s="4"/>
      <c r="BI1943" s="4"/>
      <c r="BJ1943" s="4"/>
      <c r="BK1943" s="4"/>
      <c r="BL1943" s="4"/>
      <c r="BM1943" s="4"/>
      <c r="BN1943" s="4"/>
      <c r="BO1943" s="4"/>
      <c r="BP1943" s="4"/>
      <c r="BQ1943" s="4"/>
      <c r="BR1943" s="4"/>
      <c r="BS1943" s="4"/>
      <c r="BT1943" s="4"/>
      <c r="BU1943" s="4"/>
      <c r="BV1943" s="4"/>
      <c r="BW1943" s="4"/>
      <c r="BX1943" s="4"/>
      <c r="BY1943" s="4"/>
      <c r="BZ1943" s="4"/>
      <c r="CA1943" s="4"/>
      <c r="CB1943" s="4"/>
      <c r="CC1943" s="4"/>
      <c r="CD1943" s="4"/>
      <c r="CE1943" s="4"/>
      <c r="CF1943" s="4"/>
      <c r="CG1943" s="4"/>
      <c r="CH1943" s="4"/>
      <c r="CI1943" s="4"/>
      <c r="CJ1943" s="4"/>
      <c r="CK1943" s="4"/>
      <c r="CL1943" s="4"/>
      <c r="CM1943" s="4"/>
      <c r="CN1943" s="4"/>
      <c r="CO1943" s="4"/>
      <c r="CP1943" s="4"/>
      <c r="CQ1943" s="4"/>
      <c r="CR1943" s="4"/>
      <c r="CS1943" s="4"/>
      <c r="CT1943" s="4"/>
      <c r="CU1943" s="4"/>
      <c r="CV1943" s="4"/>
      <c r="CW1943" s="4"/>
      <c r="CX1943" s="4"/>
      <c r="CY1943" s="4"/>
      <c r="CZ1943" s="4"/>
      <c r="DA1943" s="4"/>
      <c r="DB1943" s="4"/>
      <c r="DC1943" s="4"/>
      <c r="DD1943" s="4"/>
      <c r="DE1943" s="4"/>
      <c r="DF1943" s="4"/>
      <c r="DG1943" s="4"/>
      <c r="DH1943" s="4"/>
      <c r="DI1943" s="4"/>
      <c r="DJ1943" s="4"/>
      <c r="DK1943" s="4"/>
      <c r="DL1943" s="4"/>
      <c r="DM1943" s="4"/>
      <c r="DN1943" s="4"/>
      <c r="DO1943" s="4"/>
      <c r="DP1943" s="4"/>
      <c r="DQ1943" s="4"/>
      <c r="DR1943" s="4"/>
      <c r="DS1943" s="4"/>
    </row>
    <row r="1944">
      <c r="A1944" s="4"/>
      <c r="B1944" s="4"/>
      <c r="C1944" s="4"/>
      <c r="D1944" s="4"/>
      <c r="E1944" s="4"/>
      <c r="F1944" s="4" t="s">
        <v>17</v>
      </c>
      <c r="G1944" s="15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  <c r="AA1944" s="4"/>
      <c r="AB1944" s="4"/>
      <c r="AC1944" s="4"/>
      <c r="AD1944" s="4"/>
      <c r="AE1944" s="4"/>
      <c r="AF1944" s="4"/>
      <c r="AG1944" s="4"/>
      <c r="AH1944" s="4"/>
      <c r="AI1944" s="4"/>
      <c r="AJ1944" s="4"/>
      <c r="AK1944" s="4"/>
      <c r="AL1944" s="4"/>
      <c r="AM1944" s="4"/>
      <c r="AN1944" s="4"/>
      <c r="AO1944" s="4"/>
      <c r="AP1944" s="4"/>
      <c r="AQ1944" s="4"/>
      <c r="AR1944" s="4"/>
      <c r="AS1944" s="4"/>
      <c r="AT1944" s="4"/>
      <c r="AU1944" s="4"/>
      <c r="AV1944" s="4"/>
      <c r="AW1944" s="4"/>
      <c r="AX1944" s="4"/>
      <c r="AY1944" s="4"/>
      <c r="AZ1944" s="4"/>
      <c r="BA1944" s="4"/>
      <c r="BB1944" s="4"/>
      <c r="BC1944" s="4"/>
      <c r="BD1944" s="4"/>
      <c r="BE1944" s="4"/>
      <c r="BF1944" s="4"/>
      <c r="BG1944" s="4"/>
      <c r="BH1944" s="4"/>
      <c r="BI1944" s="4"/>
      <c r="BJ1944" s="4"/>
      <c r="BK1944" s="4"/>
      <c r="BL1944" s="4"/>
      <c r="BM1944" s="4"/>
      <c r="BN1944" s="4"/>
      <c r="BO1944" s="4"/>
      <c r="BP1944" s="4"/>
      <c r="BQ1944" s="4"/>
      <c r="BR1944" s="4"/>
      <c r="BS1944" s="4"/>
      <c r="BT1944" s="4"/>
      <c r="BU1944" s="4"/>
      <c r="BV1944" s="4"/>
      <c r="BW1944" s="4"/>
      <c r="BX1944" s="4"/>
      <c r="BY1944" s="4"/>
      <c r="BZ1944" s="4"/>
      <c r="CA1944" s="4"/>
      <c r="CB1944" s="4"/>
      <c r="CC1944" s="4"/>
      <c r="CD1944" s="4"/>
      <c r="CE1944" s="4"/>
      <c r="CF1944" s="4"/>
      <c r="CG1944" s="4"/>
      <c r="CH1944" s="4"/>
      <c r="CI1944" s="4"/>
      <c r="CJ1944" s="4"/>
      <c r="CK1944" s="4"/>
      <c r="CL1944" s="4"/>
      <c r="CM1944" s="4"/>
      <c r="CN1944" s="4"/>
      <c r="CO1944" s="4"/>
      <c r="CP1944" s="4"/>
      <c r="CQ1944" s="4"/>
      <c r="CR1944" s="4"/>
      <c r="CS1944" s="4"/>
      <c r="CT1944" s="4"/>
      <c r="CU1944" s="4"/>
      <c r="CV1944" s="4"/>
      <c r="CW1944" s="4"/>
      <c r="CX1944" s="4"/>
      <c r="CY1944" s="4"/>
      <c r="CZ1944" s="4"/>
      <c r="DA1944" s="4"/>
      <c r="DB1944" s="4"/>
      <c r="DC1944" s="4"/>
      <c r="DD1944" s="4"/>
      <c r="DE1944" s="4"/>
      <c r="DF1944" s="4"/>
      <c r="DG1944" s="4"/>
      <c r="DH1944" s="4"/>
      <c r="DI1944" s="4"/>
      <c r="DJ1944" s="4"/>
      <c r="DK1944" s="4"/>
      <c r="DL1944" s="4"/>
      <c r="DM1944" s="4"/>
      <c r="DN1944" s="4"/>
      <c r="DO1944" s="4"/>
      <c r="DP1944" s="4"/>
      <c r="DQ1944" s="4"/>
      <c r="DR1944" s="4"/>
      <c r="DS1944" s="4"/>
    </row>
    <row r="1945">
      <c r="A1945" s="4"/>
      <c r="B1945" s="4"/>
      <c r="C1945" s="4"/>
      <c r="D1945" s="4"/>
      <c r="E1945" s="4"/>
      <c r="F1945" s="4" t="s">
        <v>17</v>
      </c>
      <c r="G1945" s="15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  <c r="AA1945" s="4"/>
      <c r="AB1945" s="4"/>
      <c r="AC1945" s="4"/>
      <c r="AD1945" s="4"/>
      <c r="AE1945" s="4"/>
      <c r="AF1945" s="4"/>
      <c r="AG1945" s="4"/>
      <c r="AH1945" s="4"/>
      <c r="AI1945" s="4"/>
      <c r="AJ1945" s="4"/>
      <c r="AK1945" s="4"/>
      <c r="AL1945" s="4"/>
      <c r="AM1945" s="4"/>
      <c r="AN1945" s="4"/>
      <c r="AO1945" s="4"/>
      <c r="AP1945" s="4"/>
      <c r="AQ1945" s="4"/>
      <c r="AR1945" s="4"/>
      <c r="AS1945" s="4"/>
      <c r="AT1945" s="4"/>
      <c r="AU1945" s="4"/>
      <c r="AV1945" s="4"/>
      <c r="AW1945" s="4"/>
      <c r="AX1945" s="4"/>
      <c r="AY1945" s="4"/>
      <c r="AZ1945" s="4"/>
      <c r="BA1945" s="4"/>
      <c r="BB1945" s="4"/>
      <c r="BC1945" s="4"/>
      <c r="BD1945" s="4"/>
      <c r="BE1945" s="4"/>
      <c r="BF1945" s="4"/>
      <c r="BG1945" s="4"/>
      <c r="BH1945" s="4"/>
      <c r="BI1945" s="4"/>
      <c r="BJ1945" s="4"/>
      <c r="BK1945" s="4"/>
      <c r="BL1945" s="4"/>
      <c r="BM1945" s="4"/>
      <c r="BN1945" s="4"/>
      <c r="BO1945" s="4"/>
      <c r="BP1945" s="4"/>
      <c r="BQ1945" s="4"/>
      <c r="BR1945" s="4"/>
      <c r="BS1945" s="4"/>
      <c r="BT1945" s="4"/>
      <c r="BU1945" s="4"/>
      <c r="BV1945" s="4"/>
      <c r="BW1945" s="4"/>
      <c r="BX1945" s="4"/>
      <c r="BY1945" s="4"/>
      <c r="BZ1945" s="4"/>
      <c r="CA1945" s="4"/>
      <c r="CB1945" s="4"/>
      <c r="CC1945" s="4"/>
      <c r="CD1945" s="4"/>
      <c r="CE1945" s="4"/>
      <c r="CF1945" s="4"/>
      <c r="CG1945" s="4"/>
      <c r="CH1945" s="4"/>
      <c r="CI1945" s="4"/>
      <c r="CJ1945" s="4"/>
      <c r="CK1945" s="4"/>
      <c r="CL1945" s="4"/>
      <c r="CM1945" s="4"/>
      <c r="CN1945" s="4"/>
      <c r="CO1945" s="4"/>
      <c r="CP1945" s="4"/>
      <c r="CQ1945" s="4"/>
      <c r="CR1945" s="4"/>
      <c r="CS1945" s="4"/>
      <c r="CT1945" s="4"/>
      <c r="CU1945" s="4"/>
      <c r="CV1945" s="4"/>
      <c r="CW1945" s="4"/>
      <c r="CX1945" s="4"/>
      <c r="CY1945" s="4"/>
      <c r="CZ1945" s="4"/>
      <c r="DA1945" s="4"/>
      <c r="DB1945" s="4"/>
      <c r="DC1945" s="4"/>
      <c r="DD1945" s="4"/>
      <c r="DE1945" s="4"/>
      <c r="DF1945" s="4"/>
      <c r="DG1945" s="4"/>
      <c r="DH1945" s="4"/>
      <c r="DI1945" s="4"/>
      <c r="DJ1945" s="4"/>
      <c r="DK1945" s="4"/>
      <c r="DL1945" s="4"/>
      <c r="DM1945" s="4"/>
      <c r="DN1945" s="4"/>
      <c r="DO1945" s="4"/>
      <c r="DP1945" s="4"/>
      <c r="DQ1945" s="4"/>
      <c r="DR1945" s="4"/>
      <c r="DS1945" s="4"/>
    </row>
    <row r="1946">
      <c r="A1946" s="4"/>
      <c r="B1946" s="4"/>
      <c r="C1946" s="4"/>
      <c r="D1946" s="4"/>
      <c r="E1946" s="4"/>
      <c r="F1946" s="4" t="s">
        <v>17</v>
      </c>
      <c r="G1946" s="15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  <c r="AA1946" s="4"/>
      <c r="AB1946" s="4"/>
      <c r="AC1946" s="4"/>
      <c r="AD1946" s="4"/>
      <c r="AE1946" s="4"/>
      <c r="AF1946" s="4"/>
      <c r="AG1946" s="4"/>
      <c r="AH1946" s="4"/>
      <c r="AI1946" s="4"/>
      <c r="AJ1946" s="4"/>
      <c r="AK1946" s="4"/>
      <c r="AL1946" s="4"/>
      <c r="AM1946" s="4"/>
      <c r="AN1946" s="4"/>
      <c r="AO1946" s="4"/>
      <c r="AP1946" s="4"/>
      <c r="AQ1946" s="4"/>
      <c r="AR1946" s="4"/>
      <c r="AS1946" s="4"/>
      <c r="AT1946" s="4"/>
      <c r="AU1946" s="4"/>
      <c r="AV1946" s="4"/>
      <c r="AW1946" s="4"/>
      <c r="AX1946" s="4"/>
      <c r="AY1946" s="4"/>
      <c r="AZ1946" s="4"/>
      <c r="BA1946" s="4"/>
      <c r="BB1946" s="4"/>
      <c r="BC1946" s="4"/>
      <c r="BD1946" s="4"/>
      <c r="BE1946" s="4"/>
      <c r="BF1946" s="4"/>
      <c r="BG1946" s="4"/>
      <c r="BH1946" s="4"/>
      <c r="BI1946" s="4"/>
      <c r="BJ1946" s="4"/>
      <c r="BK1946" s="4"/>
      <c r="BL1946" s="4"/>
      <c r="BM1946" s="4"/>
      <c r="BN1946" s="4"/>
      <c r="BO1946" s="4"/>
      <c r="BP1946" s="4"/>
      <c r="BQ1946" s="4"/>
      <c r="BR1946" s="4"/>
      <c r="BS1946" s="4"/>
      <c r="BT1946" s="4"/>
      <c r="BU1946" s="4"/>
      <c r="BV1946" s="4"/>
      <c r="BW1946" s="4"/>
      <c r="BX1946" s="4"/>
      <c r="BY1946" s="4"/>
      <c r="BZ1946" s="4"/>
      <c r="CA1946" s="4"/>
      <c r="CB1946" s="4"/>
      <c r="CC1946" s="4"/>
      <c r="CD1946" s="4"/>
      <c r="CE1946" s="4"/>
      <c r="CF1946" s="4"/>
      <c r="CG1946" s="4"/>
      <c r="CH1946" s="4"/>
      <c r="CI1946" s="4"/>
      <c r="CJ1946" s="4"/>
      <c r="CK1946" s="4"/>
      <c r="CL1946" s="4"/>
      <c r="CM1946" s="4"/>
      <c r="CN1946" s="4"/>
      <c r="CO1946" s="4"/>
      <c r="CP1946" s="4"/>
      <c r="CQ1946" s="4"/>
      <c r="CR1946" s="4"/>
      <c r="CS1946" s="4"/>
      <c r="CT1946" s="4"/>
      <c r="CU1946" s="4"/>
      <c r="CV1946" s="4"/>
      <c r="CW1946" s="4"/>
      <c r="CX1946" s="4"/>
      <c r="CY1946" s="4"/>
      <c r="CZ1946" s="4"/>
      <c r="DA1946" s="4"/>
      <c r="DB1946" s="4"/>
      <c r="DC1946" s="4"/>
      <c r="DD1946" s="4"/>
      <c r="DE1946" s="4"/>
      <c r="DF1946" s="4"/>
      <c r="DG1946" s="4"/>
      <c r="DH1946" s="4"/>
      <c r="DI1946" s="4"/>
      <c r="DJ1946" s="4"/>
      <c r="DK1946" s="4"/>
      <c r="DL1946" s="4"/>
      <c r="DM1946" s="4"/>
      <c r="DN1946" s="4"/>
      <c r="DO1946" s="4"/>
      <c r="DP1946" s="4"/>
      <c r="DQ1946" s="4"/>
      <c r="DR1946" s="4"/>
      <c r="DS1946" s="4"/>
    </row>
    <row r="1947">
      <c r="A1947" s="4"/>
      <c r="B1947" s="4"/>
      <c r="C1947" s="4"/>
      <c r="D1947" s="4"/>
      <c r="E1947" s="4"/>
      <c r="F1947" s="4" t="s">
        <v>17</v>
      </c>
      <c r="G1947" s="15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  <c r="AA1947" s="4"/>
      <c r="AB1947" s="4"/>
      <c r="AC1947" s="4"/>
      <c r="AD1947" s="4"/>
      <c r="AE1947" s="4"/>
      <c r="AF1947" s="4"/>
      <c r="AG1947" s="4"/>
      <c r="AH1947" s="4"/>
      <c r="AI1947" s="4"/>
      <c r="AJ1947" s="4"/>
      <c r="AK1947" s="4"/>
      <c r="AL1947" s="4"/>
      <c r="AM1947" s="4"/>
      <c r="AN1947" s="4"/>
      <c r="AO1947" s="4"/>
      <c r="AP1947" s="4"/>
      <c r="AQ1947" s="4"/>
      <c r="AR1947" s="4"/>
      <c r="AS1947" s="4"/>
      <c r="AT1947" s="4"/>
      <c r="AU1947" s="4"/>
      <c r="AV1947" s="4"/>
      <c r="AW1947" s="4"/>
      <c r="AX1947" s="4"/>
      <c r="AY1947" s="4"/>
      <c r="AZ1947" s="4"/>
      <c r="BA1947" s="4"/>
      <c r="BB1947" s="4"/>
      <c r="BC1947" s="4"/>
      <c r="BD1947" s="4"/>
      <c r="BE1947" s="4"/>
      <c r="BF1947" s="4"/>
      <c r="BG1947" s="4"/>
      <c r="BH1947" s="4"/>
      <c r="BI1947" s="4"/>
      <c r="BJ1947" s="4"/>
      <c r="BK1947" s="4"/>
      <c r="BL1947" s="4"/>
      <c r="BM1947" s="4"/>
      <c r="BN1947" s="4"/>
      <c r="BO1947" s="4"/>
      <c r="BP1947" s="4"/>
      <c r="BQ1947" s="4"/>
      <c r="BR1947" s="4"/>
      <c r="BS1947" s="4"/>
      <c r="BT1947" s="4"/>
      <c r="BU1947" s="4"/>
      <c r="BV1947" s="4"/>
      <c r="BW1947" s="4"/>
      <c r="BX1947" s="4"/>
      <c r="BY1947" s="4"/>
      <c r="BZ1947" s="4"/>
      <c r="CA1947" s="4"/>
      <c r="CB1947" s="4"/>
      <c r="CC1947" s="4"/>
      <c r="CD1947" s="4"/>
      <c r="CE1947" s="4"/>
      <c r="CF1947" s="4"/>
      <c r="CG1947" s="4"/>
      <c r="CH1947" s="4"/>
      <c r="CI1947" s="4"/>
      <c r="CJ1947" s="4"/>
      <c r="CK1947" s="4"/>
      <c r="CL1947" s="4"/>
      <c r="CM1947" s="4"/>
      <c r="CN1947" s="4"/>
      <c r="CO1947" s="4"/>
      <c r="CP1947" s="4"/>
      <c r="CQ1947" s="4"/>
      <c r="CR1947" s="4"/>
      <c r="CS1947" s="4"/>
      <c r="CT1947" s="4"/>
      <c r="CU1947" s="4"/>
      <c r="CV1947" s="4"/>
      <c r="CW1947" s="4"/>
      <c r="CX1947" s="4"/>
      <c r="CY1947" s="4"/>
      <c r="CZ1947" s="4"/>
      <c r="DA1947" s="4"/>
      <c r="DB1947" s="4"/>
      <c r="DC1947" s="4"/>
      <c r="DD1947" s="4"/>
      <c r="DE1947" s="4"/>
      <c r="DF1947" s="4"/>
      <c r="DG1947" s="4"/>
      <c r="DH1947" s="4"/>
      <c r="DI1947" s="4"/>
      <c r="DJ1947" s="4"/>
      <c r="DK1947" s="4"/>
      <c r="DL1947" s="4"/>
      <c r="DM1947" s="4"/>
      <c r="DN1947" s="4"/>
      <c r="DO1947" s="4"/>
      <c r="DP1947" s="4"/>
      <c r="DQ1947" s="4"/>
      <c r="DR1947" s="4"/>
      <c r="DS1947" s="4"/>
    </row>
    <row r="1948">
      <c r="A1948" s="4"/>
      <c r="B1948" s="4"/>
      <c r="C1948" s="4"/>
      <c r="D1948" s="4"/>
      <c r="E1948" s="4"/>
      <c r="F1948" s="4" t="s">
        <v>17</v>
      </c>
      <c r="G1948" s="15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  <c r="AA1948" s="4"/>
      <c r="AB1948" s="4"/>
      <c r="AC1948" s="4"/>
      <c r="AD1948" s="4"/>
      <c r="AE1948" s="4"/>
      <c r="AF1948" s="4"/>
      <c r="AG1948" s="4"/>
      <c r="AH1948" s="4"/>
      <c r="AI1948" s="4"/>
      <c r="AJ1948" s="4"/>
      <c r="AK1948" s="4"/>
      <c r="AL1948" s="4"/>
      <c r="AM1948" s="4"/>
      <c r="AN1948" s="4"/>
      <c r="AO1948" s="4"/>
      <c r="AP1948" s="4"/>
      <c r="AQ1948" s="4"/>
      <c r="AR1948" s="4"/>
      <c r="AS1948" s="4"/>
      <c r="AT1948" s="4"/>
      <c r="AU1948" s="4"/>
      <c r="AV1948" s="4"/>
      <c r="AW1948" s="4"/>
      <c r="AX1948" s="4"/>
      <c r="AY1948" s="4"/>
      <c r="AZ1948" s="4"/>
      <c r="BA1948" s="4"/>
      <c r="BB1948" s="4"/>
      <c r="BC1948" s="4"/>
      <c r="BD1948" s="4"/>
      <c r="BE1948" s="4"/>
      <c r="BF1948" s="4"/>
      <c r="BG1948" s="4"/>
      <c r="BH1948" s="4"/>
      <c r="BI1948" s="4"/>
      <c r="BJ1948" s="4"/>
      <c r="BK1948" s="4"/>
      <c r="BL1948" s="4"/>
      <c r="BM1948" s="4"/>
      <c r="BN1948" s="4"/>
      <c r="BO1948" s="4"/>
      <c r="BP1948" s="4"/>
      <c r="BQ1948" s="4"/>
      <c r="BR1948" s="4"/>
      <c r="BS1948" s="4"/>
      <c r="BT1948" s="4"/>
      <c r="BU1948" s="4"/>
      <c r="BV1948" s="4"/>
      <c r="BW1948" s="4"/>
      <c r="BX1948" s="4"/>
      <c r="BY1948" s="4"/>
      <c r="BZ1948" s="4"/>
      <c r="CA1948" s="4"/>
      <c r="CB1948" s="4"/>
      <c r="CC1948" s="4"/>
      <c r="CD1948" s="4"/>
      <c r="CE1948" s="4"/>
      <c r="CF1948" s="4"/>
      <c r="CG1948" s="4"/>
      <c r="CH1948" s="4"/>
      <c r="CI1948" s="4"/>
      <c r="CJ1948" s="4"/>
      <c r="CK1948" s="4"/>
      <c r="CL1948" s="4"/>
      <c r="CM1948" s="4"/>
      <c r="CN1948" s="4"/>
      <c r="CO1948" s="4"/>
      <c r="CP1948" s="4"/>
      <c r="CQ1948" s="4"/>
      <c r="CR1948" s="4"/>
      <c r="CS1948" s="4"/>
      <c r="CT1948" s="4"/>
      <c r="CU1948" s="4"/>
      <c r="CV1948" s="4"/>
      <c r="CW1948" s="4"/>
      <c r="CX1948" s="4"/>
      <c r="CY1948" s="4"/>
      <c r="CZ1948" s="4"/>
      <c r="DA1948" s="4"/>
      <c r="DB1948" s="4"/>
      <c r="DC1948" s="4"/>
      <c r="DD1948" s="4"/>
      <c r="DE1948" s="4"/>
      <c r="DF1948" s="4"/>
      <c r="DG1948" s="4"/>
      <c r="DH1948" s="4"/>
      <c r="DI1948" s="4"/>
      <c r="DJ1948" s="4"/>
      <c r="DK1948" s="4"/>
      <c r="DL1948" s="4"/>
      <c r="DM1948" s="4"/>
      <c r="DN1948" s="4"/>
      <c r="DO1948" s="4"/>
      <c r="DP1948" s="4"/>
      <c r="DQ1948" s="4"/>
      <c r="DR1948" s="4"/>
      <c r="DS1948" s="4"/>
    </row>
    <row r="1949">
      <c r="A1949" s="4"/>
      <c r="B1949" s="4"/>
      <c r="C1949" s="4"/>
      <c r="D1949" s="4"/>
      <c r="E1949" s="4"/>
      <c r="F1949" s="4" t="s">
        <v>17</v>
      </c>
      <c r="G1949" s="15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  <c r="AA1949" s="4"/>
      <c r="AB1949" s="4"/>
      <c r="AC1949" s="4"/>
      <c r="AD1949" s="4"/>
      <c r="AE1949" s="4"/>
      <c r="AF1949" s="4"/>
      <c r="AG1949" s="4"/>
      <c r="AH1949" s="4"/>
      <c r="AI1949" s="4"/>
      <c r="AJ1949" s="4"/>
      <c r="AK1949" s="4"/>
      <c r="AL1949" s="4"/>
      <c r="AM1949" s="4"/>
      <c r="AN1949" s="4"/>
      <c r="AO1949" s="4"/>
      <c r="AP1949" s="4"/>
      <c r="AQ1949" s="4"/>
      <c r="AR1949" s="4"/>
      <c r="AS1949" s="4"/>
      <c r="AT1949" s="4"/>
      <c r="AU1949" s="4"/>
      <c r="AV1949" s="4"/>
      <c r="AW1949" s="4"/>
      <c r="AX1949" s="4"/>
      <c r="AY1949" s="4"/>
      <c r="AZ1949" s="4"/>
      <c r="BA1949" s="4"/>
      <c r="BB1949" s="4"/>
      <c r="BC1949" s="4"/>
      <c r="BD1949" s="4"/>
      <c r="BE1949" s="4"/>
      <c r="BF1949" s="4"/>
      <c r="BG1949" s="4"/>
      <c r="BH1949" s="4"/>
      <c r="BI1949" s="4"/>
      <c r="BJ1949" s="4"/>
      <c r="BK1949" s="4"/>
      <c r="BL1949" s="4"/>
      <c r="BM1949" s="4"/>
      <c r="BN1949" s="4"/>
      <c r="BO1949" s="4"/>
      <c r="BP1949" s="4"/>
      <c r="BQ1949" s="4"/>
      <c r="BR1949" s="4"/>
      <c r="BS1949" s="4"/>
      <c r="BT1949" s="4"/>
      <c r="BU1949" s="4"/>
      <c r="BV1949" s="4"/>
      <c r="BW1949" s="4"/>
      <c r="BX1949" s="4"/>
      <c r="BY1949" s="4"/>
      <c r="BZ1949" s="4"/>
      <c r="CA1949" s="4"/>
      <c r="CB1949" s="4"/>
      <c r="CC1949" s="4"/>
      <c r="CD1949" s="4"/>
      <c r="CE1949" s="4"/>
      <c r="CF1949" s="4"/>
      <c r="CG1949" s="4"/>
      <c r="CH1949" s="4"/>
      <c r="CI1949" s="4"/>
      <c r="CJ1949" s="4"/>
      <c r="CK1949" s="4"/>
      <c r="CL1949" s="4"/>
      <c r="CM1949" s="4"/>
      <c r="CN1949" s="4"/>
      <c r="CO1949" s="4"/>
      <c r="CP1949" s="4"/>
      <c r="CQ1949" s="4"/>
      <c r="CR1949" s="4"/>
      <c r="CS1949" s="4"/>
      <c r="CT1949" s="4"/>
      <c r="CU1949" s="4"/>
      <c r="CV1949" s="4"/>
      <c r="CW1949" s="4"/>
      <c r="CX1949" s="4"/>
      <c r="CY1949" s="4"/>
      <c r="CZ1949" s="4"/>
      <c r="DA1949" s="4"/>
      <c r="DB1949" s="4"/>
      <c r="DC1949" s="4"/>
      <c r="DD1949" s="4"/>
      <c r="DE1949" s="4"/>
      <c r="DF1949" s="4"/>
      <c r="DG1949" s="4"/>
      <c r="DH1949" s="4"/>
      <c r="DI1949" s="4"/>
      <c r="DJ1949" s="4"/>
      <c r="DK1949" s="4"/>
      <c r="DL1949" s="4"/>
      <c r="DM1949" s="4"/>
      <c r="DN1949" s="4"/>
      <c r="DO1949" s="4"/>
      <c r="DP1949" s="4"/>
      <c r="DQ1949" s="4"/>
      <c r="DR1949" s="4"/>
      <c r="DS1949" s="4"/>
    </row>
    <row r="1950">
      <c r="A1950" s="4"/>
      <c r="B1950" s="4"/>
      <c r="C1950" s="4"/>
      <c r="D1950" s="4"/>
      <c r="E1950" s="4"/>
      <c r="F1950" s="4" t="s">
        <v>17</v>
      </c>
      <c r="G1950" s="15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  <c r="AA1950" s="4"/>
      <c r="AB1950" s="4"/>
      <c r="AC1950" s="4"/>
      <c r="AD1950" s="4"/>
      <c r="AE1950" s="4"/>
      <c r="AF1950" s="4"/>
      <c r="AG1950" s="4"/>
      <c r="AH1950" s="4"/>
      <c r="AI1950" s="4"/>
      <c r="AJ1950" s="4"/>
      <c r="AK1950" s="4"/>
      <c r="AL1950" s="4"/>
      <c r="AM1950" s="4"/>
      <c r="AN1950" s="4"/>
      <c r="AO1950" s="4"/>
      <c r="AP1950" s="4"/>
      <c r="AQ1950" s="4"/>
      <c r="AR1950" s="4"/>
      <c r="AS1950" s="4"/>
      <c r="AT1950" s="4"/>
      <c r="AU1950" s="4"/>
      <c r="AV1950" s="4"/>
      <c r="AW1950" s="4"/>
      <c r="AX1950" s="4"/>
      <c r="AY1950" s="4"/>
      <c r="AZ1950" s="4"/>
      <c r="BA1950" s="4"/>
      <c r="BB1950" s="4"/>
      <c r="BC1950" s="4"/>
      <c r="BD1950" s="4"/>
      <c r="BE1950" s="4"/>
      <c r="BF1950" s="4"/>
      <c r="BG1950" s="4"/>
      <c r="BH1950" s="4"/>
      <c r="BI1950" s="4"/>
      <c r="BJ1950" s="4"/>
      <c r="BK1950" s="4"/>
      <c r="BL1950" s="4"/>
      <c r="BM1950" s="4"/>
      <c r="BN1950" s="4"/>
      <c r="BO1950" s="4"/>
      <c r="BP1950" s="4"/>
      <c r="BQ1950" s="4"/>
      <c r="BR1950" s="4"/>
      <c r="BS1950" s="4"/>
      <c r="BT1950" s="4"/>
      <c r="BU1950" s="4"/>
      <c r="BV1950" s="4"/>
      <c r="BW1950" s="4"/>
      <c r="BX1950" s="4"/>
      <c r="BY1950" s="4"/>
      <c r="BZ1950" s="4"/>
      <c r="CA1950" s="4"/>
      <c r="CB1950" s="4"/>
      <c r="CC1950" s="4"/>
      <c r="CD1950" s="4"/>
      <c r="CE1950" s="4"/>
      <c r="CF1950" s="4"/>
      <c r="CG1950" s="4"/>
      <c r="CH1950" s="4"/>
      <c r="CI1950" s="4"/>
      <c r="CJ1950" s="4"/>
      <c r="CK1950" s="4"/>
      <c r="CL1950" s="4"/>
      <c r="CM1950" s="4"/>
      <c r="CN1950" s="4"/>
      <c r="CO1950" s="4"/>
      <c r="CP1950" s="4"/>
      <c r="CQ1950" s="4"/>
      <c r="CR1950" s="4"/>
      <c r="CS1950" s="4"/>
      <c r="CT1950" s="4"/>
      <c r="CU1950" s="4"/>
      <c r="CV1950" s="4"/>
      <c r="CW1950" s="4"/>
      <c r="CX1950" s="4"/>
      <c r="CY1950" s="4"/>
      <c r="CZ1950" s="4"/>
      <c r="DA1950" s="4"/>
      <c r="DB1950" s="4"/>
      <c r="DC1950" s="4"/>
      <c r="DD1950" s="4"/>
      <c r="DE1950" s="4"/>
      <c r="DF1950" s="4"/>
      <c r="DG1950" s="4"/>
      <c r="DH1950" s="4"/>
      <c r="DI1950" s="4"/>
      <c r="DJ1950" s="4"/>
      <c r="DK1950" s="4"/>
      <c r="DL1950" s="4"/>
      <c r="DM1950" s="4"/>
      <c r="DN1950" s="4"/>
      <c r="DO1950" s="4"/>
      <c r="DP1950" s="4"/>
      <c r="DQ1950" s="4"/>
      <c r="DR1950" s="4"/>
      <c r="DS1950" s="4"/>
    </row>
    <row r="1951">
      <c r="A1951" s="4"/>
      <c r="B1951" s="4"/>
      <c r="C1951" s="4"/>
      <c r="D1951" s="4"/>
      <c r="E1951" s="4"/>
      <c r="F1951" s="4" t="s">
        <v>17</v>
      </c>
      <c r="G1951" s="15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  <c r="AA1951" s="4"/>
      <c r="AB1951" s="4"/>
      <c r="AC1951" s="4"/>
      <c r="AD1951" s="4"/>
      <c r="AE1951" s="4"/>
      <c r="AF1951" s="4"/>
      <c r="AG1951" s="4"/>
      <c r="AH1951" s="4"/>
      <c r="AI1951" s="4"/>
      <c r="AJ1951" s="4"/>
      <c r="AK1951" s="4"/>
      <c r="AL1951" s="4"/>
      <c r="AM1951" s="4"/>
      <c r="AN1951" s="4"/>
      <c r="AO1951" s="4"/>
      <c r="AP1951" s="4"/>
      <c r="AQ1951" s="4"/>
      <c r="AR1951" s="4"/>
      <c r="AS1951" s="4"/>
      <c r="AT1951" s="4"/>
      <c r="AU1951" s="4"/>
      <c r="AV1951" s="4"/>
      <c r="AW1951" s="4"/>
      <c r="AX1951" s="4"/>
      <c r="AY1951" s="4"/>
      <c r="AZ1951" s="4"/>
      <c r="BA1951" s="4"/>
      <c r="BB1951" s="4"/>
      <c r="BC1951" s="4"/>
      <c r="BD1951" s="4"/>
      <c r="BE1951" s="4"/>
      <c r="BF1951" s="4"/>
      <c r="BG1951" s="4"/>
      <c r="BH1951" s="4"/>
      <c r="BI1951" s="4"/>
      <c r="BJ1951" s="4"/>
      <c r="BK1951" s="4"/>
      <c r="BL1951" s="4"/>
      <c r="BM1951" s="4"/>
      <c r="BN1951" s="4"/>
      <c r="BO1951" s="4"/>
      <c r="BP1951" s="4"/>
      <c r="BQ1951" s="4"/>
      <c r="BR1951" s="4"/>
      <c r="BS1951" s="4"/>
      <c r="BT1951" s="4"/>
      <c r="BU1951" s="4"/>
      <c r="BV1951" s="4"/>
      <c r="BW1951" s="4"/>
      <c r="BX1951" s="4"/>
      <c r="BY1951" s="4"/>
      <c r="BZ1951" s="4"/>
      <c r="CA1951" s="4"/>
      <c r="CB1951" s="4"/>
      <c r="CC1951" s="4"/>
      <c r="CD1951" s="4"/>
      <c r="CE1951" s="4"/>
      <c r="CF1951" s="4"/>
      <c r="CG1951" s="4"/>
      <c r="CH1951" s="4"/>
      <c r="CI1951" s="4"/>
      <c r="CJ1951" s="4"/>
      <c r="CK1951" s="4"/>
      <c r="CL1951" s="4"/>
      <c r="CM1951" s="4"/>
      <c r="CN1951" s="4"/>
      <c r="CO1951" s="4"/>
      <c r="CP1951" s="4"/>
      <c r="CQ1951" s="4"/>
      <c r="CR1951" s="4"/>
      <c r="CS1951" s="4"/>
      <c r="CT1951" s="4"/>
      <c r="CU1951" s="4"/>
      <c r="CV1951" s="4"/>
      <c r="CW1951" s="4"/>
      <c r="CX1951" s="4"/>
      <c r="CY1951" s="4"/>
      <c r="CZ1951" s="4"/>
      <c r="DA1951" s="4"/>
      <c r="DB1951" s="4"/>
      <c r="DC1951" s="4"/>
      <c r="DD1951" s="4"/>
      <c r="DE1951" s="4"/>
      <c r="DF1951" s="4"/>
      <c r="DG1951" s="4"/>
      <c r="DH1951" s="4"/>
      <c r="DI1951" s="4"/>
      <c r="DJ1951" s="4"/>
      <c r="DK1951" s="4"/>
      <c r="DL1951" s="4"/>
      <c r="DM1951" s="4"/>
      <c r="DN1951" s="4"/>
      <c r="DO1951" s="4"/>
      <c r="DP1951" s="4"/>
      <c r="DQ1951" s="4"/>
      <c r="DR1951" s="4"/>
      <c r="DS1951" s="4"/>
    </row>
    <row r="1952">
      <c r="A1952" s="4"/>
      <c r="B1952" s="4"/>
      <c r="C1952" s="4"/>
      <c r="D1952" s="4"/>
      <c r="E1952" s="4"/>
      <c r="F1952" s="4" t="s">
        <v>17</v>
      </c>
      <c r="G1952" s="15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  <c r="AA1952" s="4"/>
      <c r="AB1952" s="4"/>
      <c r="AC1952" s="4"/>
      <c r="AD1952" s="4"/>
      <c r="AE1952" s="4"/>
      <c r="AF1952" s="4"/>
      <c r="AG1952" s="4"/>
      <c r="AH1952" s="4"/>
      <c r="AI1952" s="4"/>
      <c r="AJ1952" s="4"/>
      <c r="AK1952" s="4"/>
      <c r="AL1952" s="4"/>
      <c r="AM1952" s="4"/>
      <c r="AN1952" s="4"/>
      <c r="AO1952" s="4"/>
      <c r="AP1952" s="4"/>
      <c r="AQ1952" s="4"/>
      <c r="AR1952" s="4"/>
      <c r="AS1952" s="4"/>
      <c r="AT1952" s="4"/>
      <c r="AU1952" s="4"/>
      <c r="AV1952" s="4"/>
      <c r="AW1952" s="4"/>
      <c r="AX1952" s="4"/>
      <c r="AY1952" s="4"/>
      <c r="AZ1952" s="4"/>
      <c r="BA1952" s="4"/>
      <c r="BB1952" s="4"/>
      <c r="BC1952" s="4"/>
      <c r="BD1952" s="4"/>
      <c r="BE1952" s="4"/>
      <c r="BF1952" s="4"/>
      <c r="BG1952" s="4"/>
      <c r="BH1952" s="4"/>
      <c r="BI1952" s="4"/>
      <c r="BJ1952" s="4"/>
      <c r="BK1952" s="4"/>
      <c r="BL1952" s="4"/>
      <c r="BM1952" s="4"/>
      <c r="BN1952" s="4"/>
      <c r="BO1952" s="4"/>
      <c r="BP1952" s="4"/>
      <c r="BQ1952" s="4"/>
      <c r="BR1952" s="4"/>
      <c r="BS1952" s="4"/>
      <c r="BT1952" s="4"/>
      <c r="BU1952" s="4"/>
      <c r="BV1952" s="4"/>
      <c r="BW1952" s="4"/>
      <c r="BX1952" s="4"/>
      <c r="BY1952" s="4"/>
      <c r="BZ1952" s="4"/>
      <c r="CA1952" s="4"/>
      <c r="CB1952" s="4"/>
      <c r="CC1952" s="4"/>
      <c r="CD1952" s="4"/>
      <c r="CE1952" s="4"/>
      <c r="CF1952" s="4"/>
      <c r="CG1952" s="4"/>
      <c r="CH1952" s="4"/>
      <c r="CI1952" s="4"/>
      <c r="CJ1952" s="4"/>
      <c r="CK1952" s="4"/>
      <c r="CL1952" s="4"/>
      <c r="CM1952" s="4"/>
      <c r="CN1952" s="4"/>
      <c r="CO1952" s="4"/>
      <c r="CP1952" s="4"/>
      <c r="CQ1952" s="4"/>
      <c r="CR1952" s="4"/>
      <c r="CS1952" s="4"/>
      <c r="CT1952" s="4"/>
      <c r="CU1952" s="4"/>
      <c r="CV1952" s="4"/>
      <c r="CW1952" s="4"/>
      <c r="CX1952" s="4"/>
      <c r="CY1952" s="4"/>
      <c r="CZ1952" s="4"/>
      <c r="DA1952" s="4"/>
      <c r="DB1952" s="4"/>
      <c r="DC1952" s="4"/>
      <c r="DD1952" s="4"/>
      <c r="DE1952" s="4"/>
      <c r="DF1952" s="4"/>
      <c r="DG1952" s="4"/>
      <c r="DH1952" s="4"/>
      <c r="DI1952" s="4"/>
      <c r="DJ1952" s="4"/>
      <c r="DK1952" s="4"/>
      <c r="DL1952" s="4"/>
      <c r="DM1952" s="4"/>
      <c r="DN1952" s="4"/>
      <c r="DO1952" s="4"/>
      <c r="DP1952" s="4"/>
      <c r="DQ1952" s="4"/>
      <c r="DR1952" s="4"/>
      <c r="DS1952" s="4"/>
    </row>
    <row r="1953">
      <c r="A1953" s="4"/>
      <c r="B1953" s="4"/>
      <c r="C1953" s="4"/>
      <c r="D1953" s="4"/>
      <c r="E1953" s="4"/>
      <c r="F1953" s="4" t="s">
        <v>17</v>
      </c>
      <c r="G1953" s="15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  <c r="AA1953" s="4"/>
      <c r="AB1953" s="4"/>
      <c r="AC1953" s="4"/>
      <c r="AD1953" s="4"/>
      <c r="AE1953" s="4"/>
      <c r="AF1953" s="4"/>
      <c r="AG1953" s="4"/>
      <c r="AH1953" s="4"/>
      <c r="AI1953" s="4"/>
      <c r="AJ1953" s="4"/>
      <c r="AK1953" s="4"/>
      <c r="AL1953" s="4"/>
      <c r="AM1953" s="4"/>
      <c r="AN1953" s="4"/>
      <c r="AO1953" s="4"/>
      <c r="AP1953" s="4"/>
      <c r="AQ1953" s="4"/>
      <c r="AR1953" s="4"/>
      <c r="AS1953" s="4"/>
      <c r="AT1953" s="4"/>
      <c r="AU1953" s="4"/>
      <c r="AV1953" s="4"/>
      <c r="AW1953" s="4"/>
      <c r="AX1953" s="4"/>
      <c r="AY1953" s="4"/>
      <c r="AZ1953" s="4"/>
      <c r="BA1953" s="4"/>
      <c r="BB1953" s="4"/>
      <c r="BC1953" s="4"/>
      <c r="BD1953" s="4"/>
      <c r="BE1953" s="4"/>
      <c r="BF1953" s="4"/>
      <c r="BG1953" s="4"/>
      <c r="BH1953" s="4"/>
      <c r="BI1953" s="4"/>
      <c r="BJ1953" s="4"/>
      <c r="BK1953" s="4"/>
      <c r="BL1953" s="4"/>
      <c r="BM1953" s="4"/>
      <c r="BN1953" s="4"/>
      <c r="BO1953" s="4"/>
      <c r="BP1953" s="4"/>
      <c r="BQ1953" s="4"/>
      <c r="BR1953" s="4"/>
      <c r="BS1953" s="4"/>
      <c r="BT1953" s="4"/>
      <c r="BU1953" s="4"/>
      <c r="BV1953" s="4"/>
      <c r="BW1953" s="4"/>
      <c r="BX1953" s="4"/>
      <c r="BY1953" s="4"/>
      <c r="BZ1953" s="4"/>
      <c r="CA1953" s="4"/>
      <c r="CB1953" s="4"/>
      <c r="CC1953" s="4"/>
      <c r="CD1953" s="4"/>
      <c r="CE1953" s="4"/>
      <c r="CF1953" s="4"/>
      <c r="CG1953" s="4"/>
      <c r="CH1953" s="4"/>
      <c r="CI1953" s="4"/>
      <c r="CJ1953" s="4"/>
      <c r="CK1953" s="4"/>
      <c r="CL1953" s="4"/>
      <c r="CM1953" s="4"/>
      <c r="CN1953" s="4"/>
      <c r="CO1953" s="4"/>
      <c r="CP1953" s="4"/>
      <c r="CQ1953" s="4"/>
      <c r="CR1953" s="4"/>
      <c r="CS1953" s="4"/>
      <c r="CT1953" s="4"/>
      <c r="CU1953" s="4"/>
      <c r="CV1953" s="4"/>
      <c r="CW1953" s="4"/>
      <c r="CX1953" s="4"/>
      <c r="CY1953" s="4"/>
      <c r="CZ1953" s="4"/>
      <c r="DA1953" s="4"/>
      <c r="DB1953" s="4"/>
      <c r="DC1953" s="4"/>
      <c r="DD1953" s="4"/>
      <c r="DE1953" s="4"/>
      <c r="DF1953" s="4"/>
      <c r="DG1953" s="4"/>
      <c r="DH1953" s="4"/>
      <c r="DI1953" s="4"/>
      <c r="DJ1953" s="4"/>
      <c r="DK1953" s="4"/>
      <c r="DL1953" s="4"/>
      <c r="DM1953" s="4"/>
      <c r="DN1953" s="4"/>
      <c r="DO1953" s="4"/>
      <c r="DP1953" s="4"/>
      <c r="DQ1953" s="4"/>
      <c r="DR1953" s="4"/>
      <c r="DS1953" s="4"/>
    </row>
    <row r="1954">
      <c r="A1954" s="4"/>
      <c r="B1954" s="4"/>
      <c r="C1954" s="4"/>
      <c r="D1954" s="4"/>
      <c r="E1954" s="4"/>
      <c r="F1954" s="4" t="s">
        <v>17</v>
      </c>
      <c r="G1954" s="15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  <c r="AA1954" s="4"/>
      <c r="AB1954" s="4"/>
      <c r="AC1954" s="4"/>
      <c r="AD1954" s="4"/>
      <c r="AE1954" s="4"/>
      <c r="AF1954" s="4"/>
      <c r="AG1954" s="4"/>
      <c r="AH1954" s="4"/>
      <c r="AI1954" s="4"/>
      <c r="AJ1954" s="4"/>
      <c r="AK1954" s="4"/>
      <c r="AL1954" s="4"/>
      <c r="AM1954" s="4"/>
      <c r="AN1954" s="4"/>
      <c r="AO1954" s="4"/>
      <c r="AP1954" s="4"/>
      <c r="AQ1954" s="4"/>
      <c r="AR1954" s="4"/>
      <c r="AS1954" s="4"/>
      <c r="AT1954" s="4"/>
      <c r="AU1954" s="4"/>
      <c r="AV1954" s="4"/>
      <c r="AW1954" s="4"/>
      <c r="AX1954" s="4"/>
      <c r="AY1954" s="4"/>
      <c r="AZ1954" s="4"/>
      <c r="BA1954" s="4"/>
      <c r="BB1954" s="4"/>
      <c r="BC1954" s="4"/>
      <c r="BD1954" s="4"/>
      <c r="BE1954" s="4"/>
      <c r="BF1954" s="4"/>
      <c r="BG1954" s="4"/>
      <c r="BH1954" s="4"/>
      <c r="BI1954" s="4"/>
      <c r="BJ1954" s="4"/>
      <c r="BK1954" s="4"/>
      <c r="BL1954" s="4"/>
      <c r="BM1954" s="4"/>
      <c r="BN1954" s="4"/>
      <c r="BO1954" s="4"/>
      <c r="BP1954" s="4"/>
      <c r="BQ1954" s="4"/>
      <c r="BR1954" s="4"/>
      <c r="BS1954" s="4"/>
      <c r="BT1954" s="4"/>
      <c r="BU1954" s="4"/>
      <c r="BV1954" s="4"/>
      <c r="BW1954" s="4"/>
      <c r="BX1954" s="4"/>
      <c r="BY1954" s="4"/>
      <c r="BZ1954" s="4"/>
      <c r="CA1954" s="4"/>
      <c r="CB1954" s="4"/>
      <c r="CC1954" s="4"/>
      <c r="CD1954" s="4"/>
      <c r="CE1954" s="4"/>
      <c r="CF1954" s="4"/>
      <c r="CG1954" s="4"/>
      <c r="CH1954" s="4"/>
      <c r="CI1954" s="4"/>
      <c r="CJ1954" s="4"/>
      <c r="CK1954" s="4"/>
      <c r="CL1954" s="4"/>
      <c r="CM1954" s="4"/>
      <c r="CN1954" s="4"/>
      <c r="CO1954" s="4"/>
      <c r="CP1954" s="4"/>
      <c r="CQ1954" s="4"/>
      <c r="CR1954" s="4"/>
      <c r="CS1954" s="4"/>
      <c r="CT1954" s="4"/>
      <c r="CU1954" s="4"/>
      <c r="CV1954" s="4"/>
      <c r="CW1954" s="4"/>
      <c r="CX1954" s="4"/>
      <c r="CY1954" s="4"/>
      <c r="CZ1954" s="4"/>
      <c r="DA1954" s="4"/>
      <c r="DB1954" s="4"/>
      <c r="DC1954" s="4"/>
      <c r="DD1954" s="4"/>
      <c r="DE1954" s="4"/>
      <c r="DF1954" s="4"/>
      <c r="DG1954" s="4"/>
      <c r="DH1954" s="4"/>
      <c r="DI1954" s="4"/>
      <c r="DJ1954" s="4"/>
      <c r="DK1954" s="4"/>
      <c r="DL1954" s="4"/>
      <c r="DM1954" s="4"/>
      <c r="DN1954" s="4"/>
      <c r="DO1954" s="4"/>
      <c r="DP1954" s="4"/>
      <c r="DQ1954" s="4"/>
      <c r="DR1954" s="4"/>
      <c r="DS1954" s="4"/>
    </row>
    <row r="1955">
      <c r="A1955" s="4"/>
      <c r="B1955" s="4"/>
      <c r="C1955" s="4"/>
      <c r="D1955" s="4"/>
      <c r="E1955" s="4"/>
      <c r="F1955" s="4" t="s">
        <v>17</v>
      </c>
      <c r="G1955" s="15"/>
      <c r="H1955" s="4"/>
      <c r="I1955" s="4"/>
      <c r="J1955" s="4"/>
      <c r="K1955" s="4"/>
      <c r="L1955" s="4"/>
      <c r="M1955" s="4"/>
      <c r="N1955" s="4"/>
      <c r="O1955" s="4"/>
      <c r="P1955" s="4"/>
      <c r="Q1955" s="4"/>
      <c r="R1955" s="4"/>
      <c r="S1955" s="4"/>
      <c r="T1955" s="4"/>
      <c r="U1955" s="4"/>
      <c r="V1955" s="4"/>
      <c r="W1955" s="4"/>
      <c r="X1955" s="4"/>
      <c r="Y1955" s="4"/>
      <c r="Z1955" s="4"/>
      <c r="AA1955" s="4"/>
      <c r="AB1955" s="4"/>
      <c r="AC1955" s="4"/>
      <c r="AD1955" s="4"/>
      <c r="AE1955" s="4"/>
      <c r="AF1955" s="4"/>
      <c r="AG1955" s="4"/>
      <c r="AH1955" s="4"/>
      <c r="AI1955" s="4"/>
      <c r="AJ1955" s="4"/>
      <c r="AK1955" s="4"/>
      <c r="AL1955" s="4"/>
      <c r="AM1955" s="4"/>
      <c r="AN1955" s="4"/>
      <c r="AO1955" s="4"/>
      <c r="AP1955" s="4"/>
      <c r="AQ1955" s="4"/>
      <c r="AR1955" s="4"/>
      <c r="AS1955" s="4"/>
      <c r="AT1955" s="4"/>
      <c r="AU1955" s="4"/>
      <c r="AV1955" s="4"/>
      <c r="AW1955" s="4"/>
      <c r="AX1955" s="4"/>
      <c r="AY1955" s="4"/>
      <c r="AZ1955" s="4"/>
      <c r="BA1955" s="4"/>
      <c r="BB1955" s="4"/>
      <c r="BC1955" s="4"/>
      <c r="BD1955" s="4"/>
      <c r="BE1955" s="4"/>
      <c r="BF1955" s="4"/>
      <c r="BG1955" s="4"/>
      <c r="BH1955" s="4"/>
      <c r="BI1955" s="4"/>
      <c r="BJ1955" s="4"/>
      <c r="BK1955" s="4"/>
      <c r="BL1955" s="4"/>
      <c r="BM1955" s="4"/>
      <c r="BN1955" s="4"/>
      <c r="BO1955" s="4"/>
      <c r="BP1955" s="4"/>
      <c r="BQ1955" s="4"/>
      <c r="BR1955" s="4"/>
      <c r="BS1955" s="4"/>
      <c r="BT1955" s="4"/>
      <c r="BU1955" s="4"/>
      <c r="BV1955" s="4"/>
      <c r="BW1955" s="4"/>
      <c r="BX1955" s="4"/>
      <c r="BY1955" s="4"/>
      <c r="BZ1955" s="4"/>
      <c r="CA1955" s="4"/>
      <c r="CB1955" s="4"/>
      <c r="CC1955" s="4"/>
      <c r="CD1955" s="4"/>
      <c r="CE1955" s="4"/>
      <c r="CF1955" s="4"/>
      <c r="CG1955" s="4"/>
      <c r="CH1955" s="4"/>
      <c r="CI1955" s="4"/>
      <c r="CJ1955" s="4"/>
      <c r="CK1955" s="4"/>
      <c r="CL1955" s="4"/>
      <c r="CM1955" s="4"/>
      <c r="CN1955" s="4"/>
      <c r="CO1955" s="4"/>
      <c r="CP1955" s="4"/>
      <c r="CQ1955" s="4"/>
      <c r="CR1955" s="4"/>
      <c r="CS1955" s="4"/>
      <c r="CT1955" s="4"/>
      <c r="CU1955" s="4"/>
      <c r="CV1955" s="4"/>
      <c r="CW1955" s="4"/>
      <c r="CX1955" s="4"/>
      <c r="CY1955" s="4"/>
      <c r="CZ1955" s="4"/>
      <c r="DA1955" s="4"/>
      <c r="DB1955" s="4"/>
      <c r="DC1955" s="4"/>
      <c r="DD1955" s="4"/>
      <c r="DE1955" s="4"/>
      <c r="DF1955" s="4"/>
      <c r="DG1955" s="4"/>
      <c r="DH1955" s="4"/>
      <c r="DI1955" s="4"/>
      <c r="DJ1955" s="4"/>
      <c r="DK1955" s="4"/>
      <c r="DL1955" s="4"/>
      <c r="DM1955" s="4"/>
      <c r="DN1955" s="4"/>
      <c r="DO1955" s="4"/>
      <c r="DP1955" s="4"/>
      <c r="DQ1955" s="4"/>
      <c r="DR1955" s="4"/>
      <c r="DS1955" s="4"/>
    </row>
    <row r="1956">
      <c r="A1956" s="4"/>
      <c r="B1956" s="4"/>
      <c r="C1956" s="4"/>
      <c r="D1956" s="4"/>
      <c r="E1956" s="4"/>
      <c r="F1956" s="4" t="s">
        <v>17</v>
      </c>
      <c r="G1956" s="15"/>
      <c r="H1956" s="4"/>
      <c r="I1956" s="4"/>
      <c r="J1956" s="4"/>
      <c r="K1956" s="4"/>
      <c r="L1956" s="4"/>
      <c r="M1956" s="4"/>
      <c r="N1956" s="4"/>
      <c r="O1956" s="4"/>
      <c r="P1956" s="4"/>
      <c r="Q1956" s="4"/>
      <c r="R1956" s="4"/>
      <c r="S1956" s="4"/>
      <c r="T1956" s="4"/>
      <c r="U1956" s="4"/>
      <c r="V1956" s="4"/>
      <c r="W1956" s="4"/>
      <c r="X1956" s="4"/>
      <c r="Y1956" s="4"/>
      <c r="Z1956" s="4"/>
      <c r="AA1956" s="4"/>
      <c r="AB1956" s="4"/>
      <c r="AC1956" s="4"/>
      <c r="AD1956" s="4"/>
      <c r="AE1956" s="4"/>
      <c r="AF1956" s="4"/>
      <c r="AG1956" s="4"/>
      <c r="AH1956" s="4"/>
      <c r="AI1956" s="4"/>
      <c r="AJ1956" s="4"/>
      <c r="AK1956" s="4"/>
      <c r="AL1956" s="4"/>
      <c r="AM1956" s="4"/>
      <c r="AN1956" s="4"/>
      <c r="AO1956" s="4"/>
      <c r="AP1956" s="4"/>
      <c r="AQ1956" s="4"/>
      <c r="AR1956" s="4"/>
      <c r="AS1956" s="4"/>
      <c r="AT1956" s="4"/>
      <c r="AU1956" s="4"/>
      <c r="AV1956" s="4"/>
      <c r="AW1956" s="4"/>
      <c r="AX1956" s="4"/>
      <c r="AY1956" s="4"/>
      <c r="AZ1956" s="4"/>
      <c r="BA1956" s="4"/>
      <c r="BB1956" s="4"/>
      <c r="BC1956" s="4"/>
      <c r="BD1956" s="4"/>
      <c r="BE1956" s="4"/>
      <c r="BF1956" s="4"/>
      <c r="BG1956" s="4"/>
      <c r="BH1956" s="4"/>
      <c r="BI1956" s="4"/>
      <c r="BJ1956" s="4"/>
      <c r="BK1956" s="4"/>
      <c r="BL1956" s="4"/>
      <c r="BM1956" s="4"/>
      <c r="BN1956" s="4"/>
      <c r="BO1956" s="4"/>
      <c r="BP1956" s="4"/>
      <c r="BQ1956" s="4"/>
      <c r="BR1956" s="4"/>
      <c r="BS1956" s="4"/>
      <c r="BT1956" s="4"/>
      <c r="BU1956" s="4"/>
      <c r="BV1956" s="4"/>
      <c r="BW1956" s="4"/>
      <c r="BX1956" s="4"/>
      <c r="BY1956" s="4"/>
      <c r="BZ1956" s="4"/>
      <c r="CA1956" s="4"/>
      <c r="CB1956" s="4"/>
      <c r="CC1956" s="4"/>
      <c r="CD1956" s="4"/>
      <c r="CE1956" s="4"/>
      <c r="CF1956" s="4"/>
      <c r="CG1956" s="4"/>
      <c r="CH1956" s="4"/>
      <c r="CI1956" s="4"/>
      <c r="CJ1956" s="4"/>
      <c r="CK1956" s="4"/>
      <c r="CL1956" s="4"/>
      <c r="CM1956" s="4"/>
      <c r="CN1956" s="4"/>
      <c r="CO1956" s="4"/>
      <c r="CP1956" s="4"/>
      <c r="CQ1956" s="4"/>
      <c r="CR1956" s="4"/>
      <c r="CS1956" s="4"/>
      <c r="CT1956" s="4"/>
      <c r="CU1956" s="4"/>
      <c r="CV1956" s="4"/>
      <c r="CW1956" s="4"/>
      <c r="CX1956" s="4"/>
      <c r="CY1956" s="4"/>
      <c r="CZ1956" s="4"/>
      <c r="DA1956" s="4"/>
      <c r="DB1956" s="4"/>
      <c r="DC1956" s="4"/>
      <c r="DD1956" s="4"/>
      <c r="DE1956" s="4"/>
      <c r="DF1956" s="4"/>
      <c r="DG1956" s="4"/>
      <c r="DH1956" s="4"/>
      <c r="DI1956" s="4"/>
      <c r="DJ1956" s="4"/>
      <c r="DK1956" s="4"/>
      <c r="DL1956" s="4"/>
      <c r="DM1956" s="4"/>
      <c r="DN1956" s="4"/>
      <c r="DO1956" s="4"/>
      <c r="DP1956" s="4"/>
      <c r="DQ1956" s="4"/>
      <c r="DR1956" s="4"/>
      <c r="DS1956" s="4"/>
    </row>
    <row r="1957">
      <c r="A1957" s="4"/>
      <c r="B1957" s="4"/>
      <c r="C1957" s="4"/>
      <c r="D1957" s="4"/>
      <c r="E1957" s="4"/>
      <c r="F1957" s="4" t="s">
        <v>17</v>
      </c>
      <c r="G1957" s="15"/>
      <c r="H1957" s="4"/>
      <c r="I1957" s="4"/>
      <c r="J1957" s="4"/>
      <c r="K1957" s="4"/>
      <c r="L1957" s="4"/>
      <c r="M1957" s="4"/>
      <c r="N1957" s="4"/>
      <c r="O1957" s="4"/>
      <c r="P1957" s="4"/>
      <c r="Q1957" s="4"/>
      <c r="R1957" s="4"/>
      <c r="S1957" s="4"/>
      <c r="T1957" s="4"/>
      <c r="U1957" s="4"/>
      <c r="V1957" s="4"/>
      <c r="W1957" s="4"/>
      <c r="X1957" s="4"/>
      <c r="Y1957" s="4"/>
      <c r="Z1957" s="4"/>
      <c r="AA1957" s="4"/>
      <c r="AB1957" s="4"/>
      <c r="AC1957" s="4"/>
      <c r="AD1957" s="4"/>
      <c r="AE1957" s="4"/>
      <c r="AF1957" s="4"/>
      <c r="AG1957" s="4"/>
      <c r="AH1957" s="4"/>
      <c r="AI1957" s="4"/>
      <c r="AJ1957" s="4"/>
      <c r="AK1957" s="4"/>
      <c r="AL1957" s="4"/>
      <c r="AM1957" s="4"/>
      <c r="AN1957" s="4"/>
      <c r="AO1957" s="4"/>
      <c r="AP1957" s="4"/>
      <c r="AQ1957" s="4"/>
      <c r="AR1957" s="4"/>
      <c r="AS1957" s="4"/>
      <c r="AT1957" s="4"/>
      <c r="AU1957" s="4"/>
      <c r="AV1957" s="4"/>
      <c r="AW1957" s="4"/>
      <c r="AX1957" s="4"/>
      <c r="AY1957" s="4"/>
      <c r="AZ1957" s="4"/>
      <c r="BA1957" s="4"/>
      <c r="BB1957" s="4"/>
      <c r="BC1957" s="4"/>
      <c r="BD1957" s="4"/>
      <c r="BE1957" s="4"/>
      <c r="BF1957" s="4"/>
      <c r="BG1957" s="4"/>
      <c r="BH1957" s="4"/>
      <c r="BI1957" s="4"/>
      <c r="BJ1957" s="4"/>
      <c r="BK1957" s="4"/>
      <c r="BL1957" s="4"/>
      <c r="BM1957" s="4"/>
      <c r="BN1957" s="4"/>
      <c r="BO1957" s="4"/>
      <c r="BP1957" s="4"/>
      <c r="BQ1957" s="4"/>
      <c r="BR1957" s="4"/>
      <c r="BS1957" s="4"/>
      <c r="BT1957" s="4"/>
      <c r="BU1957" s="4"/>
      <c r="BV1957" s="4"/>
      <c r="BW1957" s="4"/>
      <c r="BX1957" s="4"/>
      <c r="BY1957" s="4"/>
      <c r="BZ1957" s="4"/>
      <c r="CA1957" s="4"/>
      <c r="CB1957" s="4"/>
      <c r="CC1957" s="4"/>
      <c r="CD1957" s="4"/>
      <c r="CE1957" s="4"/>
      <c r="CF1957" s="4"/>
      <c r="CG1957" s="4"/>
      <c r="CH1957" s="4"/>
      <c r="CI1957" s="4"/>
      <c r="CJ1957" s="4"/>
      <c r="CK1957" s="4"/>
      <c r="CL1957" s="4"/>
      <c r="CM1957" s="4"/>
      <c r="CN1957" s="4"/>
      <c r="CO1957" s="4"/>
      <c r="CP1957" s="4"/>
      <c r="CQ1957" s="4"/>
      <c r="CR1957" s="4"/>
      <c r="CS1957" s="4"/>
      <c r="CT1957" s="4"/>
      <c r="CU1957" s="4"/>
      <c r="CV1957" s="4"/>
      <c r="CW1957" s="4"/>
      <c r="CX1957" s="4"/>
      <c r="CY1957" s="4"/>
      <c r="CZ1957" s="4"/>
      <c r="DA1957" s="4"/>
      <c r="DB1957" s="4"/>
      <c r="DC1957" s="4"/>
      <c r="DD1957" s="4"/>
      <c r="DE1957" s="4"/>
      <c r="DF1957" s="4"/>
      <c r="DG1957" s="4"/>
      <c r="DH1957" s="4"/>
      <c r="DI1957" s="4"/>
      <c r="DJ1957" s="4"/>
      <c r="DK1957" s="4"/>
      <c r="DL1957" s="4"/>
      <c r="DM1957" s="4"/>
      <c r="DN1957" s="4"/>
      <c r="DO1957" s="4"/>
      <c r="DP1957" s="4"/>
      <c r="DQ1957" s="4"/>
      <c r="DR1957" s="4"/>
      <c r="DS1957" s="4"/>
    </row>
    <row r="1958">
      <c r="A1958" s="4"/>
      <c r="B1958" s="4"/>
      <c r="C1958" s="4"/>
      <c r="D1958" s="4"/>
      <c r="E1958" s="4"/>
      <c r="F1958" s="4" t="s">
        <v>17</v>
      </c>
      <c r="G1958" s="15"/>
      <c r="H1958" s="4"/>
      <c r="I1958" s="4"/>
      <c r="J1958" s="4"/>
      <c r="K1958" s="4"/>
      <c r="L1958" s="4"/>
      <c r="M1958" s="4"/>
      <c r="N1958" s="4"/>
      <c r="O1958" s="4"/>
      <c r="P1958" s="4"/>
      <c r="Q1958" s="4"/>
      <c r="R1958" s="4"/>
      <c r="S1958" s="4"/>
      <c r="T1958" s="4"/>
      <c r="U1958" s="4"/>
      <c r="V1958" s="4"/>
      <c r="W1958" s="4"/>
      <c r="X1958" s="4"/>
      <c r="Y1958" s="4"/>
      <c r="Z1958" s="4"/>
      <c r="AA1958" s="4"/>
      <c r="AB1958" s="4"/>
      <c r="AC1958" s="4"/>
      <c r="AD1958" s="4"/>
      <c r="AE1958" s="4"/>
      <c r="AF1958" s="4"/>
      <c r="AG1958" s="4"/>
      <c r="AH1958" s="4"/>
      <c r="AI1958" s="4"/>
      <c r="AJ1958" s="4"/>
      <c r="AK1958" s="4"/>
      <c r="AL1958" s="4"/>
      <c r="AM1958" s="4"/>
      <c r="AN1958" s="4"/>
      <c r="AO1958" s="4"/>
      <c r="AP1958" s="4"/>
      <c r="AQ1958" s="4"/>
      <c r="AR1958" s="4"/>
      <c r="AS1958" s="4"/>
      <c r="AT1958" s="4"/>
      <c r="AU1958" s="4"/>
      <c r="AV1958" s="4"/>
      <c r="AW1958" s="4"/>
      <c r="AX1958" s="4"/>
      <c r="AY1958" s="4"/>
      <c r="AZ1958" s="4"/>
      <c r="BA1958" s="4"/>
      <c r="BB1958" s="4"/>
      <c r="BC1958" s="4"/>
      <c r="BD1958" s="4"/>
      <c r="BE1958" s="4"/>
      <c r="BF1958" s="4"/>
      <c r="BG1958" s="4"/>
      <c r="BH1958" s="4"/>
      <c r="BI1958" s="4"/>
      <c r="BJ1958" s="4"/>
      <c r="BK1958" s="4"/>
      <c r="BL1958" s="4"/>
      <c r="BM1958" s="4"/>
      <c r="BN1958" s="4"/>
      <c r="BO1958" s="4"/>
      <c r="BP1958" s="4"/>
      <c r="BQ1958" s="4"/>
      <c r="BR1958" s="4"/>
      <c r="BS1958" s="4"/>
      <c r="BT1958" s="4"/>
      <c r="BU1958" s="4"/>
      <c r="BV1958" s="4"/>
      <c r="BW1958" s="4"/>
      <c r="BX1958" s="4"/>
      <c r="BY1958" s="4"/>
      <c r="BZ1958" s="4"/>
      <c r="CA1958" s="4"/>
      <c r="CB1958" s="4"/>
      <c r="CC1958" s="4"/>
      <c r="CD1958" s="4"/>
      <c r="CE1958" s="4"/>
      <c r="CF1958" s="4"/>
      <c r="CG1958" s="4"/>
      <c r="CH1958" s="4"/>
      <c r="CI1958" s="4"/>
      <c r="CJ1958" s="4"/>
      <c r="CK1958" s="4"/>
      <c r="CL1958" s="4"/>
      <c r="CM1958" s="4"/>
      <c r="CN1958" s="4"/>
      <c r="CO1958" s="4"/>
      <c r="CP1958" s="4"/>
      <c r="CQ1958" s="4"/>
      <c r="CR1958" s="4"/>
      <c r="CS1958" s="4"/>
      <c r="CT1958" s="4"/>
      <c r="CU1958" s="4"/>
      <c r="CV1958" s="4"/>
      <c r="CW1958" s="4"/>
      <c r="CX1958" s="4"/>
      <c r="CY1958" s="4"/>
      <c r="CZ1958" s="4"/>
      <c r="DA1958" s="4"/>
      <c r="DB1958" s="4"/>
      <c r="DC1958" s="4"/>
      <c r="DD1958" s="4"/>
      <c r="DE1958" s="4"/>
      <c r="DF1958" s="4"/>
      <c r="DG1958" s="4"/>
      <c r="DH1958" s="4"/>
      <c r="DI1958" s="4"/>
      <c r="DJ1958" s="4"/>
      <c r="DK1958" s="4"/>
      <c r="DL1958" s="4"/>
      <c r="DM1958" s="4"/>
      <c r="DN1958" s="4"/>
      <c r="DO1958" s="4"/>
      <c r="DP1958" s="4"/>
      <c r="DQ1958" s="4"/>
      <c r="DR1958" s="4"/>
      <c r="DS1958" s="4"/>
    </row>
    <row r="1959">
      <c r="A1959" s="4"/>
      <c r="B1959" s="4"/>
      <c r="C1959" s="4"/>
      <c r="D1959" s="4"/>
      <c r="E1959" s="4"/>
      <c r="F1959" s="4" t="s">
        <v>17</v>
      </c>
      <c r="G1959" s="15"/>
      <c r="H1959" s="4"/>
      <c r="I1959" s="4"/>
      <c r="J1959" s="4"/>
      <c r="K1959" s="4"/>
      <c r="L1959" s="4"/>
      <c r="M1959" s="4"/>
      <c r="N1959" s="4"/>
      <c r="O1959" s="4"/>
      <c r="P1959" s="4"/>
      <c r="Q1959" s="4"/>
      <c r="R1959" s="4"/>
      <c r="S1959" s="4"/>
      <c r="T1959" s="4"/>
      <c r="U1959" s="4"/>
      <c r="V1959" s="4"/>
      <c r="W1959" s="4"/>
      <c r="X1959" s="4"/>
      <c r="Y1959" s="4"/>
      <c r="Z1959" s="4"/>
      <c r="AA1959" s="4"/>
      <c r="AB1959" s="4"/>
      <c r="AC1959" s="4"/>
      <c r="AD1959" s="4"/>
      <c r="AE1959" s="4"/>
      <c r="AF1959" s="4"/>
      <c r="AG1959" s="4"/>
      <c r="AH1959" s="4"/>
      <c r="AI1959" s="4"/>
      <c r="AJ1959" s="4"/>
      <c r="AK1959" s="4"/>
      <c r="AL1959" s="4"/>
      <c r="AM1959" s="4"/>
      <c r="AN1959" s="4"/>
      <c r="AO1959" s="4"/>
      <c r="AP1959" s="4"/>
      <c r="AQ1959" s="4"/>
      <c r="AR1959" s="4"/>
      <c r="AS1959" s="4"/>
      <c r="AT1959" s="4"/>
      <c r="AU1959" s="4"/>
      <c r="AV1959" s="4"/>
      <c r="AW1959" s="4"/>
      <c r="AX1959" s="4"/>
      <c r="AY1959" s="4"/>
      <c r="AZ1959" s="4"/>
      <c r="BA1959" s="4"/>
      <c r="BB1959" s="4"/>
      <c r="BC1959" s="4"/>
      <c r="BD1959" s="4"/>
      <c r="BE1959" s="4"/>
      <c r="BF1959" s="4"/>
      <c r="BG1959" s="4"/>
      <c r="BH1959" s="4"/>
      <c r="BI1959" s="4"/>
      <c r="BJ1959" s="4"/>
      <c r="BK1959" s="4"/>
      <c r="BL1959" s="4"/>
      <c r="BM1959" s="4"/>
      <c r="BN1959" s="4"/>
      <c r="BO1959" s="4"/>
      <c r="BP1959" s="4"/>
      <c r="BQ1959" s="4"/>
      <c r="BR1959" s="4"/>
      <c r="BS1959" s="4"/>
      <c r="BT1959" s="4"/>
      <c r="BU1959" s="4"/>
      <c r="BV1959" s="4"/>
      <c r="BW1959" s="4"/>
      <c r="BX1959" s="4"/>
      <c r="BY1959" s="4"/>
      <c r="BZ1959" s="4"/>
      <c r="CA1959" s="4"/>
      <c r="CB1959" s="4"/>
      <c r="CC1959" s="4"/>
      <c r="CD1959" s="4"/>
      <c r="CE1959" s="4"/>
      <c r="CF1959" s="4"/>
      <c r="CG1959" s="4"/>
      <c r="CH1959" s="4"/>
      <c r="CI1959" s="4"/>
      <c r="CJ1959" s="4"/>
      <c r="CK1959" s="4"/>
      <c r="CL1959" s="4"/>
      <c r="CM1959" s="4"/>
      <c r="CN1959" s="4"/>
      <c r="CO1959" s="4"/>
      <c r="CP1959" s="4"/>
      <c r="CQ1959" s="4"/>
      <c r="CR1959" s="4"/>
      <c r="CS1959" s="4"/>
      <c r="CT1959" s="4"/>
      <c r="CU1959" s="4"/>
      <c r="CV1959" s="4"/>
      <c r="CW1959" s="4"/>
      <c r="CX1959" s="4"/>
      <c r="CY1959" s="4"/>
      <c r="CZ1959" s="4"/>
      <c r="DA1959" s="4"/>
      <c r="DB1959" s="4"/>
      <c r="DC1959" s="4"/>
      <c r="DD1959" s="4"/>
      <c r="DE1959" s="4"/>
      <c r="DF1959" s="4"/>
      <c r="DG1959" s="4"/>
      <c r="DH1959" s="4"/>
      <c r="DI1959" s="4"/>
      <c r="DJ1959" s="4"/>
      <c r="DK1959" s="4"/>
      <c r="DL1959" s="4"/>
      <c r="DM1959" s="4"/>
      <c r="DN1959" s="4"/>
      <c r="DO1959" s="4"/>
      <c r="DP1959" s="4"/>
      <c r="DQ1959" s="4"/>
      <c r="DR1959" s="4"/>
      <c r="DS1959" s="4"/>
    </row>
    <row r="1960">
      <c r="A1960" s="4"/>
      <c r="B1960" s="4"/>
      <c r="C1960" s="4"/>
      <c r="D1960" s="4"/>
      <c r="E1960" s="4"/>
      <c r="F1960" s="4" t="s">
        <v>17</v>
      </c>
      <c r="G1960" s="15"/>
      <c r="H1960" s="4"/>
      <c r="I1960" s="4"/>
      <c r="J1960" s="4"/>
      <c r="K1960" s="4"/>
      <c r="L1960" s="4"/>
      <c r="M1960" s="4"/>
      <c r="N1960" s="4"/>
      <c r="O1960" s="4"/>
      <c r="P1960" s="4"/>
      <c r="Q1960" s="4"/>
      <c r="R1960" s="4"/>
      <c r="S1960" s="4"/>
      <c r="T1960" s="4"/>
      <c r="U1960" s="4"/>
      <c r="V1960" s="4"/>
      <c r="W1960" s="4"/>
      <c r="X1960" s="4"/>
      <c r="Y1960" s="4"/>
      <c r="Z1960" s="4"/>
      <c r="AA1960" s="4"/>
      <c r="AB1960" s="4"/>
      <c r="AC1960" s="4"/>
      <c r="AD1960" s="4"/>
      <c r="AE1960" s="4"/>
      <c r="AF1960" s="4"/>
      <c r="AG1960" s="4"/>
      <c r="AH1960" s="4"/>
      <c r="AI1960" s="4"/>
      <c r="AJ1960" s="4"/>
      <c r="AK1960" s="4"/>
      <c r="AL1960" s="4"/>
      <c r="AM1960" s="4"/>
      <c r="AN1960" s="4"/>
      <c r="AO1960" s="4"/>
      <c r="AP1960" s="4"/>
      <c r="AQ1960" s="4"/>
      <c r="AR1960" s="4"/>
      <c r="AS1960" s="4"/>
      <c r="AT1960" s="4"/>
      <c r="AU1960" s="4"/>
      <c r="AV1960" s="4"/>
      <c r="AW1960" s="4"/>
      <c r="AX1960" s="4"/>
      <c r="AY1960" s="4"/>
      <c r="AZ1960" s="4"/>
      <c r="BA1960" s="4"/>
      <c r="BB1960" s="4"/>
      <c r="BC1960" s="4"/>
      <c r="BD1960" s="4"/>
      <c r="BE1960" s="4"/>
      <c r="BF1960" s="4"/>
      <c r="BG1960" s="4"/>
      <c r="BH1960" s="4"/>
      <c r="BI1960" s="4"/>
      <c r="BJ1960" s="4"/>
      <c r="BK1960" s="4"/>
      <c r="BL1960" s="4"/>
      <c r="BM1960" s="4"/>
      <c r="BN1960" s="4"/>
      <c r="BO1960" s="4"/>
      <c r="BP1960" s="4"/>
      <c r="BQ1960" s="4"/>
      <c r="BR1960" s="4"/>
      <c r="BS1960" s="4"/>
      <c r="BT1960" s="4"/>
      <c r="BU1960" s="4"/>
      <c r="BV1960" s="4"/>
      <c r="BW1960" s="4"/>
      <c r="BX1960" s="4"/>
      <c r="BY1960" s="4"/>
      <c r="BZ1960" s="4"/>
      <c r="CA1960" s="4"/>
      <c r="CB1960" s="4"/>
      <c r="CC1960" s="4"/>
      <c r="CD1960" s="4"/>
      <c r="CE1960" s="4"/>
      <c r="CF1960" s="4"/>
      <c r="CG1960" s="4"/>
      <c r="CH1960" s="4"/>
      <c r="CI1960" s="4"/>
      <c r="CJ1960" s="4"/>
      <c r="CK1960" s="4"/>
      <c r="CL1960" s="4"/>
      <c r="CM1960" s="4"/>
      <c r="CN1960" s="4"/>
      <c r="CO1960" s="4"/>
      <c r="CP1960" s="4"/>
      <c r="CQ1960" s="4"/>
      <c r="CR1960" s="4"/>
      <c r="CS1960" s="4"/>
      <c r="CT1960" s="4"/>
      <c r="CU1960" s="4"/>
      <c r="CV1960" s="4"/>
      <c r="CW1960" s="4"/>
      <c r="CX1960" s="4"/>
      <c r="CY1960" s="4"/>
      <c r="CZ1960" s="4"/>
      <c r="DA1960" s="4"/>
      <c r="DB1960" s="4"/>
      <c r="DC1960" s="4"/>
      <c r="DD1960" s="4"/>
      <c r="DE1960" s="4"/>
      <c r="DF1960" s="4"/>
      <c r="DG1960" s="4"/>
      <c r="DH1960" s="4"/>
      <c r="DI1960" s="4"/>
      <c r="DJ1960" s="4"/>
      <c r="DK1960" s="4"/>
      <c r="DL1960" s="4"/>
      <c r="DM1960" s="4"/>
      <c r="DN1960" s="4"/>
      <c r="DO1960" s="4"/>
      <c r="DP1960" s="4"/>
      <c r="DQ1960" s="4"/>
      <c r="DR1960" s="4"/>
      <c r="DS1960" s="4"/>
    </row>
    <row r="1961">
      <c r="A1961" s="4"/>
      <c r="B1961" s="4"/>
      <c r="C1961" s="4"/>
      <c r="D1961" s="4"/>
      <c r="E1961" s="4"/>
      <c r="F1961" s="4" t="s">
        <v>17</v>
      </c>
      <c r="G1961" s="15"/>
      <c r="H1961" s="4"/>
      <c r="I1961" s="4"/>
      <c r="J1961" s="4"/>
      <c r="K1961" s="4"/>
      <c r="L1961" s="4"/>
      <c r="M1961" s="4"/>
      <c r="N1961" s="4"/>
      <c r="O1961" s="4"/>
      <c r="P1961" s="4"/>
      <c r="Q1961" s="4"/>
      <c r="R1961" s="4"/>
      <c r="S1961" s="4"/>
      <c r="T1961" s="4"/>
      <c r="U1961" s="4"/>
      <c r="V1961" s="4"/>
      <c r="W1961" s="4"/>
      <c r="X1961" s="4"/>
      <c r="Y1961" s="4"/>
      <c r="Z1961" s="4"/>
      <c r="AA1961" s="4"/>
      <c r="AB1961" s="4"/>
      <c r="AC1961" s="4"/>
      <c r="AD1961" s="4"/>
      <c r="AE1961" s="4"/>
      <c r="AF1961" s="4"/>
      <c r="AG1961" s="4"/>
      <c r="AH1961" s="4"/>
      <c r="AI1961" s="4"/>
      <c r="AJ1961" s="4"/>
      <c r="AK1961" s="4"/>
      <c r="AL1961" s="4"/>
      <c r="AM1961" s="4"/>
      <c r="AN1961" s="4"/>
      <c r="AO1961" s="4"/>
      <c r="AP1961" s="4"/>
      <c r="AQ1961" s="4"/>
      <c r="AR1961" s="4"/>
      <c r="AS1961" s="4"/>
      <c r="AT1961" s="4"/>
      <c r="AU1961" s="4"/>
      <c r="AV1961" s="4"/>
      <c r="AW1961" s="4"/>
      <c r="AX1961" s="4"/>
      <c r="AY1961" s="4"/>
      <c r="AZ1961" s="4"/>
      <c r="BA1961" s="4"/>
      <c r="BB1961" s="4"/>
      <c r="BC1961" s="4"/>
      <c r="BD1961" s="4"/>
      <c r="BE1961" s="4"/>
      <c r="BF1961" s="4"/>
      <c r="BG1961" s="4"/>
      <c r="BH1961" s="4"/>
      <c r="BI1961" s="4"/>
      <c r="BJ1961" s="4"/>
      <c r="BK1961" s="4"/>
      <c r="BL1961" s="4"/>
      <c r="BM1961" s="4"/>
      <c r="BN1961" s="4"/>
      <c r="BO1961" s="4"/>
      <c r="BP1961" s="4"/>
      <c r="BQ1961" s="4"/>
      <c r="BR1961" s="4"/>
      <c r="BS1961" s="4"/>
      <c r="BT1961" s="4"/>
      <c r="BU1961" s="4"/>
      <c r="BV1961" s="4"/>
      <c r="BW1961" s="4"/>
      <c r="BX1961" s="4"/>
      <c r="BY1961" s="4"/>
      <c r="BZ1961" s="4"/>
      <c r="CA1961" s="4"/>
      <c r="CB1961" s="4"/>
      <c r="CC1961" s="4"/>
      <c r="CD1961" s="4"/>
      <c r="CE1961" s="4"/>
      <c r="CF1961" s="4"/>
      <c r="CG1961" s="4"/>
      <c r="CH1961" s="4"/>
      <c r="CI1961" s="4"/>
      <c r="CJ1961" s="4"/>
      <c r="CK1961" s="4"/>
      <c r="CL1961" s="4"/>
      <c r="CM1961" s="4"/>
      <c r="CN1961" s="4"/>
      <c r="CO1961" s="4"/>
      <c r="CP1961" s="4"/>
      <c r="CQ1961" s="4"/>
      <c r="CR1961" s="4"/>
      <c r="CS1961" s="4"/>
      <c r="CT1961" s="4"/>
      <c r="CU1961" s="4"/>
      <c r="CV1961" s="4"/>
      <c r="CW1961" s="4"/>
      <c r="CX1961" s="4"/>
      <c r="CY1961" s="4"/>
      <c r="CZ1961" s="4"/>
      <c r="DA1961" s="4"/>
      <c r="DB1961" s="4"/>
      <c r="DC1961" s="4"/>
      <c r="DD1961" s="4"/>
      <c r="DE1961" s="4"/>
      <c r="DF1961" s="4"/>
      <c r="DG1961" s="4"/>
      <c r="DH1961" s="4"/>
      <c r="DI1961" s="4"/>
      <c r="DJ1961" s="4"/>
      <c r="DK1961" s="4"/>
      <c r="DL1961" s="4"/>
      <c r="DM1961" s="4"/>
      <c r="DN1961" s="4"/>
      <c r="DO1961" s="4"/>
      <c r="DP1961" s="4"/>
      <c r="DQ1961" s="4"/>
      <c r="DR1961" s="4"/>
      <c r="DS1961" s="4"/>
    </row>
    <row r="1962">
      <c r="A1962" s="4"/>
      <c r="B1962" s="4"/>
      <c r="C1962" s="4"/>
      <c r="D1962" s="4"/>
      <c r="E1962" s="4"/>
      <c r="F1962" s="4" t="s">
        <v>17</v>
      </c>
      <c r="G1962" s="15"/>
      <c r="H1962" s="4"/>
      <c r="I1962" s="4"/>
      <c r="J1962" s="4"/>
      <c r="K1962" s="4"/>
      <c r="L1962" s="4"/>
      <c r="M1962" s="4"/>
      <c r="N1962" s="4"/>
      <c r="O1962" s="4"/>
      <c r="P1962" s="4"/>
      <c r="Q1962" s="4"/>
      <c r="R1962" s="4"/>
      <c r="S1962" s="4"/>
      <c r="T1962" s="4"/>
      <c r="U1962" s="4"/>
      <c r="V1962" s="4"/>
      <c r="W1962" s="4"/>
      <c r="X1962" s="4"/>
      <c r="Y1962" s="4"/>
      <c r="Z1962" s="4"/>
      <c r="AA1962" s="4"/>
      <c r="AB1962" s="4"/>
      <c r="AC1962" s="4"/>
      <c r="AD1962" s="4"/>
      <c r="AE1962" s="4"/>
      <c r="AF1962" s="4"/>
      <c r="AG1962" s="4"/>
      <c r="AH1962" s="4"/>
      <c r="AI1962" s="4"/>
      <c r="AJ1962" s="4"/>
      <c r="AK1962" s="4"/>
      <c r="AL1962" s="4"/>
      <c r="AM1962" s="4"/>
      <c r="AN1962" s="4"/>
      <c r="AO1962" s="4"/>
      <c r="AP1962" s="4"/>
      <c r="AQ1962" s="4"/>
      <c r="AR1962" s="4"/>
      <c r="AS1962" s="4"/>
      <c r="AT1962" s="4"/>
      <c r="AU1962" s="4"/>
      <c r="AV1962" s="4"/>
      <c r="AW1962" s="4"/>
      <c r="AX1962" s="4"/>
      <c r="AY1962" s="4"/>
      <c r="AZ1962" s="4"/>
      <c r="BA1962" s="4"/>
      <c r="BB1962" s="4"/>
      <c r="BC1962" s="4"/>
      <c r="BD1962" s="4"/>
      <c r="BE1962" s="4"/>
      <c r="BF1962" s="4"/>
      <c r="BG1962" s="4"/>
      <c r="BH1962" s="4"/>
      <c r="BI1962" s="4"/>
      <c r="BJ1962" s="4"/>
      <c r="BK1962" s="4"/>
      <c r="BL1962" s="4"/>
      <c r="BM1962" s="4"/>
      <c r="BN1962" s="4"/>
      <c r="BO1962" s="4"/>
      <c r="BP1962" s="4"/>
      <c r="BQ1962" s="4"/>
      <c r="BR1962" s="4"/>
      <c r="BS1962" s="4"/>
      <c r="BT1962" s="4"/>
      <c r="BU1962" s="4"/>
      <c r="BV1962" s="4"/>
      <c r="BW1962" s="4"/>
      <c r="BX1962" s="4"/>
      <c r="BY1962" s="4"/>
      <c r="BZ1962" s="4"/>
      <c r="CA1962" s="4"/>
      <c r="CB1962" s="4"/>
      <c r="CC1962" s="4"/>
      <c r="CD1962" s="4"/>
      <c r="CE1962" s="4"/>
      <c r="CF1962" s="4"/>
      <c r="CG1962" s="4"/>
      <c r="CH1962" s="4"/>
      <c r="CI1962" s="4"/>
      <c r="CJ1962" s="4"/>
      <c r="CK1962" s="4"/>
      <c r="CL1962" s="4"/>
      <c r="CM1962" s="4"/>
      <c r="CN1962" s="4"/>
      <c r="CO1962" s="4"/>
      <c r="CP1962" s="4"/>
      <c r="CQ1962" s="4"/>
      <c r="CR1962" s="4"/>
      <c r="CS1962" s="4"/>
      <c r="CT1962" s="4"/>
      <c r="CU1962" s="4"/>
      <c r="CV1962" s="4"/>
      <c r="CW1962" s="4"/>
      <c r="CX1962" s="4"/>
      <c r="CY1962" s="4"/>
      <c r="CZ1962" s="4"/>
      <c r="DA1962" s="4"/>
      <c r="DB1962" s="4"/>
      <c r="DC1962" s="4"/>
      <c r="DD1962" s="4"/>
      <c r="DE1962" s="4"/>
      <c r="DF1962" s="4"/>
      <c r="DG1962" s="4"/>
      <c r="DH1962" s="4"/>
      <c r="DI1962" s="4"/>
      <c r="DJ1962" s="4"/>
      <c r="DK1962" s="4"/>
      <c r="DL1962" s="4"/>
      <c r="DM1962" s="4"/>
      <c r="DN1962" s="4"/>
      <c r="DO1962" s="4"/>
      <c r="DP1962" s="4"/>
      <c r="DQ1962" s="4"/>
      <c r="DR1962" s="4"/>
      <c r="DS1962" s="4"/>
    </row>
    <row r="1963">
      <c r="A1963" s="4"/>
      <c r="B1963" s="4"/>
      <c r="C1963" s="4"/>
      <c r="D1963" s="4"/>
      <c r="E1963" s="4"/>
      <c r="F1963" s="4" t="s">
        <v>17</v>
      </c>
      <c r="G1963" s="15"/>
      <c r="H1963" s="4"/>
      <c r="I1963" s="4"/>
      <c r="J1963" s="4"/>
      <c r="K1963" s="4"/>
      <c r="L1963" s="4"/>
      <c r="M1963" s="4"/>
      <c r="N1963" s="4"/>
      <c r="O1963" s="4"/>
      <c r="P1963" s="4"/>
      <c r="Q1963" s="4"/>
      <c r="R1963" s="4"/>
      <c r="S1963" s="4"/>
      <c r="T1963" s="4"/>
      <c r="U1963" s="4"/>
      <c r="V1963" s="4"/>
      <c r="W1963" s="4"/>
      <c r="X1963" s="4"/>
      <c r="Y1963" s="4"/>
      <c r="Z1963" s="4"/>
      <c r="AA1963" s="4"/>
      <c r="AB1963" s="4"/>
      <c r="AC1963" s="4"/>
      <c r="AD1963" s="4"/>
      <c r="AE1963" s="4"/>
      <c r="AF1963" s="4"/>
      <c r="AG1963" s="4"/>
      <c r="AH1963" s="4"/>
      <c r="AI1963" s="4"/>
      <c r="AJ1963" s="4"/>
      <c r="AK1963" s="4"/>
      <c r="AL1963" s="4"/>
      <c r="AM1963" s="4"/>
      <c r="AN1963" s="4"/>
      <c r="AO1963" s="4"/>
      <c r="AP1963" s="4"/>
      <c r="AQ1963" s="4"/>
      <c r="AR1963" s="4"/>
      <c r="AS1963" s="4"/>
      <c r="AT1963" s="4"/>
      <c r="AU1963" s="4"/>
      <c r="AV1963" s="4"/>
      <c r="AW1963" s="4"/>
      <c r="AX1963" s="4"/>
      <c r="AY1963" s="4"/>
      <c r="AZ1963" s="4"/>
      <c r="BA1963" s="4"/>
      <c r="BB1963" s="4"/>
      <c r="BC1963" s="4"/>
      <c r="BD1963" s="4"/>
      <c r="BE1963" s="4"/>
      <c r="BF1963" s="4"/>
      <c r="BG1963" s="4"/>
      <c r="BH1963" s="4"/>
      <c r="BI1963" s="4"/>
      <c r="BJ1963" s="4"/>
      <c r="BK1963" s="4"/>
      <c r="BL1963" s="4"/>
      <c r="BM1963" s="4"/>
      <c r="BN1963" s="4"/>
      <c r="BO1963" s="4"/>
      <c r="BP1963" s="4"/>
      <c r="BQ1963" s="4"/>
      <c r="BR1963" s="4"/>
      <c r="BS1963" s="4"/>
      <c r="BT1963" s="4"/>
      <c r="BU1963" s="4"/>
      <c r="BV1963" s="4"/>
      <c r="BW1963" s="4"/>
      <c r="BX1963" s="4"/>
      <c r="BY1963" s="4"/>
      <c r="BZ1963" s="4"/>
      <c r="CA1963" s="4"/>
      <c r="CB1963" s="4"/>
      <c r="CC1963" s="4"/>
      <c r="CD1963" s="4"/>
      <c r="CE1963" s="4"/>
      <c r="CF1963" s="4"/>
      <c r="CG1963" s="4"/>
      <c r="CH1963" s="4"/>
      <c r="CI1963" s="4"/>
      <c r="CJ1963" s="4"/>
      <c r="CK1963" s="4"/>
      <c r="CL1963" s="4"/>
      <c r="CM1963" s="4"/>
      <c r="CN1963" s="4"/>
      <c r="CO1963" s="4"/>
      <c r="CP1963" s="4"/>
      <c r="CQ1963" s="4"/>
      <c r="CR1963" s="4"/>
      <c r="CS1963" s="4"/>
      <c r="CT1963" s="4"/>
      <c r="CU1963" s="4"/>
      <c r="CV1963" s="4"/>
      <c r="CW1963" s="4"/>
      <c r="CX1963" s="4"/>
      <c r="CY1963" s="4"/>
      <c r="CZ1963" s="4"/>
      <c r="DA1963" s="4"/>
      <c r="DB1963" s="4"/>
      <c r="DC1963" s="4"/>
      <c r="DD1963" s="4"/>
      <c r="DE1963" s="4"/>
      <c r="DF1963" s="4"/>
      <c r="DG1963" s="4"/>
      <c r="DH1963" s="4"/>
      <c r="DI1963" s="4"/>
      <c r="DJ1963" s="4"/>
      <c r="DK1963" s="4"/>
      <c r="DL1963" s="4"/>
      <c r="DM1963" s="4"/>
      <c r="DN1963" s="4"/>
      <c r="DO1963" s="4"/>
      <c r="DP1963" s="4"/>
      <c r="DQ1963" s="4"/>
      <c r="DR1963" s="4"/>
      <c r="DS1963" s="4"/>
    </row>
    <row r="1964">
      <c r="A1964" s="4"/>
      <c r="B1964" s="4"/>
      <c r="C1964" s="4"/>
      <c r="D1964" s="4"/>
      <c r="E1964" s="4"/>
      <c r="F1964" s="4" t="s">
        <v>17</v>
      </c>
      <c r="G1964" s="15"/>
      <c r="H1964" s="4"/>
      <c r="I1964" s="4"/>
      <c r="J1964" s="4"/>
      <c r="K1964" s="4"/>
      <c r="L1964" s="4"/>
      <c r="M1964" s="4"/>
      <c r="N1964" s="4"/>
      <c r="O1964" s="4"/>
      <c r="P1964" s="4"/>
      <c r="Q1964" s="4"/>
      <c r="R1964" s="4"/>
      <c r="S1964" s="4"/>
      <c r="T1964" s="4"/>
      <c r="U1964" s="4"/>
      <c r="V1964" s="4"/>
      <c r="W1964" s="4"/>
      <c r="X1964" s="4"/>
      <c r="Y1964" s="4"/>
      <c r="Z1964" s="4"/>
      <c r="AA1964" s="4"/>
      <c r="AB1964" s="4"/>
      <c r="AC1964" s="4"/>
      <c r="AD1964" s="4"/>
      <c r="AE1964" s="4"/>
      <c r="AF1964" s="4"/>
      <c r="AG1964" s="4"/>
      <c r="AH1964" s="4"/>
      <c r="AI1964" s="4"/>
      <c r="AJ1964" s="4"/>
      <c r="AK1964" s="4"/>
      <c r="AL1964" s="4"/>
      <c r="AM1964" s="4"/>
      <c r="AN1964" s="4"/>
      <c r="AO1964" s="4"/>
      <c r="AP1964" s="4"/>
      <c r="AQ1964" s="4"/>
      <c r="AR1964" s="4"/>
      <c r="AS1964" s="4"/>
      <c r="AT1964" s="4"/>
      <c r="AU1964" s="4"/>
      <c r="AV1964" s="4"/>
      <c r="AW1964" s="4"/>
      <c r="AX1964" s="4"/>
      <c r="AY1964" s="4"/>
      <c r="AZ1964" s="4"/>
      <c r="BA1964" s="4"/>
      <c r="BB1964" s="4"/>
      <c r="BC1964" s="4"/>
      <c r="BD1964" s="4"/>
      <c r="BE1964" s="4"/>
      <c r="BF1964" s="4"/>
      <c r="BG1964" s="4"/>
      <c r="BH1964" s="4"/>
      <c r="BI1964" s="4"/>
      <c r="BJ1964" s="4"/>
      <c r="BK1964" s="4"/>
      <c r="BL1964" s="4"/>
      <c r="BM1964" s="4"/>
      <c r="BN1964" s="4"/>
      <c r="BO1964" s="4"/>
      <c r="BP1964" s="4"/>
      <c r="BQ1964" s="4"/>
      <c r="BR1964" s="4"/>
      <c r="BS1964" s="4"/>
      <c r="BT1964" s="4"/>
      <c r="BU1964" s="4"/>
      <c r="BV1964" s="4"/>
      <c r="BW1964" s="4"/>
      <c r="BX1964" s="4"/>
      <c r="BY1964" s="4"/>
      <c r="BZ1964" s="4"/>
      <c r="CA1964" s="4"/>
      <c r="CB1964" s="4"/>
      <c r="CC1964" s="4"/>
      <c r="CD1964" s="4"/>
      <c r="CE1964" s="4"/>
      <c r="CF1964" s="4"/>
      <c r="CG1964" s="4"/>
      <c r="CH1964" s="4"/>
      <c r="CI1964" s="4"/>
      <c r="CJ1964" s="4"/>
      <c r="CK1964" s="4"/>
      <c r="CL1964" s="4"/>
      <c r="CM1964" s="4"/>
      <c r="CN1964" s="4"/>
      <c r="CO1964" s="4"/>
      <c r="CP1964" s="4"/>
      <c r="CQ1964" s="4"/>
      <c r="CR1964" s="4"/>
      <c r="CS1964" s="4"/>
      <c r="CT1964" s="4"/>
      <c r="CU1964" s="4"/>
      <c r="CV1964" s="4"/>
      <c r="CW1964" s="4"/>
      <c r="CX1964" s="4"/>
      <c r="CY1964" s="4"/>
      <c r="CZ1964" s="4"/>
      <c r="DA1964" s="4"/>
      <c r="DB1964" s="4"/>
      <c r="DC1964" s="4"/>
      <c r="DD1964" s="4"/>
      <c r="DE1964" s="4"/>
      <c r="DF1964" s="4"/>
      <c r="DG1964" s="4"/>
      <c r="DH1964" s="4"/>
      <c r="DI1964" s="4"/>
      <c r="DJ1964" s="4"/>
      <c r="DK1964" s="4"/>
      <c r="DL1964" s="4"/>
      <c r="DM1964" s="4"/>
      <c r="DN1964" s="4"/>
      <c r="DO1964" s="4"/>
      <c r="DP1964" s="4"/>
      <c r="DQ1964" s="4"/>
      <c r="DR1964" s="4"/>
      <c r="DS1964" s="4"/>
    </row>
    <row r="1965">
      <c r="A1965" s="4"/>
      <c r="B1965" s="4"/>
      <c r="C1965" s="4"/>
      <c r="D1965" s="4"/>
      <c r="E1965" s="4"/>
      <c r="F1965" s="4" t="s">
        <v>17</v>
      </c>
      <c r="G1965" s="15"/>
      <c r="H1965" s="4"/>
      <c r="I1965" s="4"/>
      <c r="J1965" s="4"/>
      <c r="K1965" s="4"/>
      <c r="L1965" s="4"/>
      <c r="M1965" s="4"/>
      <c r="N1965" s="4"/>
      <c r="O1965" s="4"/>
      <c r="P1965" s="4"/>
      <c r="Q1965" s="4"/>
      <c r="R1965" s="4"/>
      <c r="S1965" s="4"/>
      <c r="T1965" s="4"/>
      <c r="U1965" s="4"/>
      <c r="V1965" s="4"/>
      <c r="W1965" s="4"/>
      <c r="X1965" s="4"/>
      <c r="Y1965" s="4"/>
      <c r="Z1965" s="4"/>
      <c r="AA1965" s="4"/>
      <c r="AB1965" s="4"/>
      <c r="AC1965" s="4"/>
      <c r="AD1965" s="4"/>
      <c r="AE1965" s="4"/>
      <c r="AF1965" s="4"/>
      <c r="AG1965" s="4"/>
      <c r="AH1965" s="4"/>
      <c r="AI1965" s="4"/>
      <c r="AJ1965" s="4"/>
      <c r="AK1965" s="4"/>
      <c r="AL1965" s="4"/>
      <c r="AM1965" s="4"/>
      <c r="AN1965" s="4"/>
      <c r="AO1965" s="4"/>
      <c r="AP1965" s="4"/>
      <c r="AQ1965" s="4"/>
      <c r="AR1965" s="4"/>
      <c r="AS1965" s="4"/>
      <c r="AT1965" s="4"/>
      <c r="AU1965" s="4"/>
      <c r="AV1965" s="4"/>
      <c r="AW1965" s="4"/>
      <c r="AX1965" s="4"/>
      <c r="AY1965" s="4"/>
      <c r="AZ1965" s="4"/>
      <c r="BA1965" s="4"/>
      <c r="BB1965" s="4"/>
      <c r="BC1965" s="4"/>
      <c r="BD1965" s="4"/>
      <c r="BE1965" s="4"/>
      <c r="BF1965" s="4"/>
      <c r="BG1965" s="4"/>
      <c r="BH1965" s="4"/>
      <c r="BI1965" s="4"/>
      <c r="BJ1965" s="4"/>
      <c r="BK1965" s="4"/>
      <c r="BL1965" s="4"/>
      <c r="BM1965" s="4"/>
      <c r="BN1965" s="4"/>
      <c r="BO1965" s="4"/>
      <c r="BP1965" s="4"/>
      <c r="BQ1965" s="4"/>
      <c r="BR1965" s="4"/>
      <c r="BS1965" s="4"/>
      <c r="BT1965" s="4"/>
      <c r="BU1965" s="4"/>
      <c r="BV1965" s="4"/>
      <c r="BW1965" s="4"/>
      <c r="BX1965" s="4"/>
      <c r="BY1965" s="4"/>
      <c r="BZ1965" s="4"/>
      <c r="CA1965" s="4"/>
      <c r="CB1965" s="4"/>
      <c r="CC1965" s="4"/>
      <c r="CD1965" s="4"/>
      <c r="CE1965" s="4"/>
      <c r="CF1965" s="4"/>
      <c r="CG1965" s="4"/>
      <c r="CH1965" s="4"/>
      <c r="CI1965" s="4"/>
      <c r="CJ1965" s="4"/>
      <c r="CK1965" s="4"/>
      <c r="CL1965" s="4"/>
      <c r="CM1965" s="4"/>
      <c r="CN1965" s="4"/>
      <c r="CO1965" s="4"/>
      <c r="CP1965" s="4"/>
      <c r="CQ1965" s="4"/>
      <c r="CR1965" s="4"/>
      <c r="CS1965" s="4"/>
      <c r="CT1965" s="4"/>
      <c r="CU1965" s="4"/>
      <c r="CV1965" s="4"/>
      <c r="CW1965" s="4"/>
      <c r="CX1965" s="4"/>
      <c r="CY1965" s="4"/>
      <c r="CZ1965" s="4"/>
      <c r="DA1965" s="4"/>
      <c r="DB1965" s="4"/>
      <c r="DC1965" s="4"/>
      <c r="DD1965" s="4"/>
      <c r="DE1965" s="4"/>
      <c r="DF1965" s="4"/>
      <c r="DG1965" s="4"/>
      <c r="DH1965" s="4"/>
      <c r="DI1965" s="4"/>
      <c r="DJ1965" s="4"/>
      <c r="DK1965" s="4"/>
      <c r="DL1965" s="4"/>
      <c r="DM1965" s="4"/>
      <c r="DN1965" s="4"/>
      <c r="DO1965" s="4"/>
      <c r="DP1965" s="4"/>
      <c r="DQ1965" s="4"/>
      <c r="DR1965" s="4"/>
      <c r="DS1965" s="4"/>
    </row>
    <row r="1966">
      <c r="A1966" s="4"/>
      <c r="B1966" s="4"/>
      <c r="C1966" s="4"/>
      <c r="D1966" s="4"/>
      <c r="E1966" s="4"/>
      <c r="F1966" s="4" t="s">
        <v>17</v>
      </c>
      <c r="G1966" s="15"/>
      <c r="H1966" s="4"/>
      <c r="I1966" s="4"/>
      <c r="J1966" s="4"/>
      <c r="K1966" s="4"/>
      <c r="L1966" s="4"/>
      <c r="M1966" s="4"/>
      <c r="N1966" s="4"/>
      <c r="O1966" s="4"/>
      <c r="P1966" s="4"/>
      <c r="Q1966" s="4"/>
      <c r="R1966" s="4"/>
      <c r="S1966" s="4"/>
      <c r="T1966" s="4"/>
      <c r="U1966" s="4"/>
      <c r="V1966" s="4"/>
      <c r="W1966" s="4"/>
      <c r="X1966" s="4"/>
      <c r="Y1966" s="4"/>
      <c r="Z1966" s="4"/>
      <c r="AA1966" s="4"/>
      <c r="AB1966" s="4"/>
      <c r="AC1966" s="4"/>
      <c r="AD1966" s="4"/>
      <c r="AE1966" s="4"/>
      <c r="AF1966" s="4"/>
      <c r="AG1966" s="4"/>
      <c r="AH1966" s="4"/>
      <c r="AI1966" s="4"/>
      <c r="AJ1966" s="4"/>
      <c r="AK1966" s="4"/>
      <c r="AL1966" s="4"/>
      <c r="AM1966" s="4"/>
      <c r="AN1966" s="4"/>
      <c r="AO1966" s="4"/>
      <c r="AP1966" s="4"/>
      <c r="AQ1966" s="4"/>
      <c r="AR1966" s="4"/>
      <c r="AS1966" s="4"/>
      <c r="AT1966" s="4"/>
      <c r="AU1966" s="4"/>
      <c r="AV1966" s="4"/>
      <c r="AW1966" s="4"/>
      <c r="AX1966" s="4"/>
      <c r="AY1966" s="4"/>
      <c r="AZ1966" s="4"/>
      <c r="BA1966" s="4"/>
      <c r="BB1966" s="4"/>
      <c r="BC1966" s="4"/>
      <c r="BD1966" s="4"/>
      <c r="BE1966" s="4"/>
      <c r="BF1966" s="4"/>
      <c r="BG1966" s="4"/>
      <c r="BH1966" s="4"/>
      <c r="BI1966" s="4"/>
      <c r="BJ1966" s="4"/>
      <c r="BK1966" s="4"/>
      <c r="BL1966" s="4"/>
      <c r="BM1966" s="4"/>
      <c r="BN1966" s="4"/>
      <c r="BO1966" s="4"/>
      <c r="BP1966" s="4"/>
      <c r="BQ1966" s="4"/>
      <c r="BR1966" s="4"/>
      <c r="BS1966" s="4"/>
      <c r="BT1966" s="4"/>
      <c r="BU1966" s="4"/>
      <c r="BV1966" s="4"/>
      <c r="BW1966" s="4"/>
      <c r="BX1966" s="4"/>
      <c r="BY1966" s="4"/>
      <c r="BZ1966" s="4"/>
      <c r="CA1966" s="4"/>
      <c r="CB1966" s="4"/>
      <c r="CC1966" s="4"/>
      <c r="CD1966" s="4"/>
      <c r="CE1966" s="4"/>
      <c r="CF1966" s="4"/>
      <c r="CG1966" s="4"/>
      <c r="CH1966" s="4"/>
      <c r="CI1966" s="4"/>
      <c r="CJ1966" s="4"/>
      <c r="CK1966" s="4"/>
      <c r="CL1966" s="4"/>
      <c r="CM1966" s="4"/>
      <c r="CN1966" s="4"/>
      <c r="CO1966" s="4"/>
      <c r="CP1966" s="4"/>
      <c r="CQ1966" s="4"/>
      <c r="CR1966" s="4"/>
      <c r="CS1966" s="4"/>
      <c r="CT1966" s="4"/>
      <c r="CU1966" s="4"/>
      <c r="CV1966" s="4"/>
      <c r="CW1966" s="4"/>
      <c r="CX1966" s="4"/>
      <c r="CY1966" s="4"/>
      <c r="CZ1966" s="4"/>
      <c r="DA1966" s="4"/>
      <c r="DB1966" s="4"/>
      <c r="DC1966" s="4"/>
      <c r="DD1966" s="4"/>
      <c r="DE1966" s="4"/>
      <c r="DF1966" s="4"/>
      <c r="DG1966" s="4"/>
      <c r="DH1966" s="4"/>
      <c r="DI1966" s="4"/>
      <c r="DJ1966" s="4"/>
      <c r="DK1966" s="4"/>
      <c r="DL1966" s="4"/>
      <c r="DM1966" s="4"/>
      <c r="DN1966" s="4"/>
      <c r="DO1966" s="4"/>
      <c r="DP1966" s="4"/>
      <c r="DQ1966" s="4"/>
      <c r="DR1966" s="4"/>
      <c r="DS1966" s="4"/>
    </row>
    <row r="1967">
      <c r="A1967" s="4"/>
      <c r="B1967" s="4"/>
      <c r="C1967" s="4"/>
      <c r="D1967" s="4"/>
      <c r="E1967" s="4"/>
      <c r="F1967" s="4" t="s">
        <v>17</v>
      </c>
      <c r="G1967" s="15"/>
      <c r="H1967" s="4"/>
      <c r="I1967" s="4"/>
      <c r="J1967" s="4"/>
      <c r="K1967" s="4"/>
      <c r="L1967" s="4"/>
      <c r="M1967" s="4"/>
      <c r="N1967" s="4"/>
      <c r="O1967" s="4"/>
      <c r="P1967" s="4"/>
      <c r="Q1967" s="4"/>
      <c r="R1967" s="4"/>
      <c r="S1967" s="4"/>
      <c r="T1967" s="4"/>
      <c r="U1967" s="4"/>
      <c r="V1967" s="4"/>
      <c r="W1967" s="4"/>
      <c r="X1967" s="4"/>
      <c r="Y1967" s="4"/>
      <c r="Z1967" s="4"/>
      <c r="AA1967" s="4"/>
      <c r="AB1967" s="4"/>
      <c r="AC1967" s="4"/>
      <c r="AD1967" s="4"/>
      <c r="AE1967" s="4"/>
      <c r="AF1967" s="4"/>
      <c r="AG1967" s="4"/>
      <c r="AH1967" s="4"/>
      <c r="AI1967" s="4"/>
      <c r="AJ1967" s="4"/>
      <c r="AK1967" s="4"/>
      <c r="AL1967" s="4"/>
      <c r="AM1967" s="4"/>
      <c r="AN1967" s="4"/>
      <c r="AO1967" s="4"/>
      <c r="AP1967" s="4"/>
      <c r="AQ1967" s="4"/>
      <c r="AR1967" s="4"/>
      <c r="AS1967" s="4"/>
      <c r="AT1967" s="4"/>
      <c r="AU1967" s="4"/>
      <c r="AV1967" s="4"/>
      <c r="AW1967" s="4"/>
      <c r="AX1967" s="4"/>
      <c r="AY1967" s="4"/>
      <c r="AZ1967" s="4"/>
      <c r="BA1967" s="4"/>
      <c r="BB1967" s="4"/>
      <c r="BC1967" s="4"/>
      <c r="BD1967" s="4"/>
      <c r="BE1967" s="4"/>
      <c r="BF1967" s="4"/>
      <c r="BG1967" s="4"/>
      <c r="BH1967" s="4"/>
      <c r="BI1967" s="4"/>
      <c r="BJ1967" s="4"/>
      <c r="BK1967" s="4"/>
      <c r="BL1967" s="4"/>
      <c r="BM1967" s="4"/>
      <c r="BN1967" s="4"/>
      <c r="BO1967" s="4"/>
      <c r="BP1967" s="4"/>
      <c r="BQ1967" s="4"/>
      <c r="BR1967" s="4"/>
      <c r="BS1967" s="4"/>
      <c r="BT1967" s="4"/>
      <c r="BU1967" s="4"/>
      <c r="BV1967" s="4"/>
      <c r="BW1967" s="4"/>
      <c r="BX1967" s="4"/>
      <c r="BY1967" s="4"/>
      <c r="BZ1967" s="4"/>
      <c r="CA1967" s="4"/>
      <c r="CB1967" s="4"/>
      <c r="CC1967" s="4"/>
      <c r="CD1967" s="4"/>
      <c r="CE1967" s="4"/>
      <c r="CF1967" s="4"/>
      <c r="CG1967" s="4"/>
      <c r="CH1967" s="4"/>
      <c r="CI1967" s="4"/>
      <c r="CJ1967" s="4"/>
      <c r="CK1967" s="4"/>
      <c r="CL1967" s="4"/>
      <c r="CM1967" s="4"/>
      <c r="CN1967" s="4"/>
      <c r="CO1967" s="4"/>
      <c r="CP1967" s="4"/>
      <c r="CQ1967" s="4"/>
      <c r="CR1967" s="4"/>
      <c r="CS1967" s="4"/>
      <c r="CT1967" s="4"/>
      <c r="CU1967" s="4"/>
      <c r="CV1967" s="4"/>
      <c r="CW1967" s="4"/>
      <c r="CX1967" s="4"/>
      <c r="CY1967" s="4"/>
      <c r="CZ1967" s="4"/>
      <c r="DA1967" s="4"/>
      <c r="DB1967" s="4"/>
      <c r="DC1967" s="4"/>
      <c r="DD1967" s="4"/>
      <c r="DE1967" s="4"/>
      <c r="DF1967" s="4"/>
      <c r="DG1967" s="4"/>
      <c r="DH1967" s="4"/>
      <c r="DI1967" s="4"/>
      <c r="DJ1967" s="4"/>
      <c r="DK1967" s="4"/>
      <c r="DL1967" s="4"/>
      <c r="DM1967" s="4"/>
      <c r="DN1967" s="4"/>
      <c r="DO1967" s="4"/>
      <c r="DP1967" s="4"/>
      <c r="DQ1967" s="4"/>
      <c r="DR1967" s="4"/>
      <c r="DS1967" s="4"/>
    </row>
    <row r="1968">
      <c r="A1968" s="4"/>
      <c r="B1968" s="4"/>
      <c r="C1968" s="4"/>
      <c r="D1968" s="4"/>
      <c r="E1968" s="4"/>
      <c r="F1968" s="4" t="s">
        <v>17</v>
      </c>
      <c r="G1968" s="15"/>
      <c r="H1968" s="4"/>
      <c r="I1968" s="4"/>
      <c r="J1968" s="4"/>
      <c r="K1968" s="4"/>
      <c r="L1968" s="4"/>
      <c r="M1968" s="4"/>
      <c r="N1968" s="4"/>
      <c r="O1968" s="4"/>
      <c r="P1968" s="4"/>
      <c r="Q1968" s="4"/>
      <c r="R1968" s="4"/>
      <c r="S1968" s="4"/>
      <c r="T1968" s="4"/>
      <c r="U1968" s="4"/>
      <c r="V1968" s="4"/>
      <c r="W1968" s="4"/>
      <c r="X1968" s="4"/>
      <c r="Y1968" s="4"/>
      <c r="Z1968" s="4"/>
      <c r="AA1968" s="4"/>
      <c r="AB1968" s="4"/>
      <c r="AC1968" s="4"/>
      <c r="AD1968" s="4"/>
      <c r="AE1968" s="4"/>
      <c r="AF1968" s="4"/>
      <c r="AG1968" s="4"/>
      <c r="AH1968" s="4"/>
      <c r="AI1968" s="4"/>
      <c r="AJ1968" s="4"/>
      <c r="AK1968" s="4"/>
      <c r="AL1968" s="4"/>
      <c r="AM1968" s="4"/>
      <c r="AN1968" s="4"/>
      <c r="AO1968" s="4"/>
      <c r="AP1968" s="4"/>
      <c r="AQ1968" s="4"/>
      <c r="AR1968" s="4"/>
      <c r="AS1968" s="4"/>
      <c r="AT1968" s="4"/>
      <c r="AU1968" s="4"/>
      <c r="AV1968" s="4"/>
      <c r="AW1968" s="4"/>
      <c r="AX1968" s="4"/>
      <c r="AY1968" s="4"/>
      <c r="AZ1968" s="4"/>
      <c r="BA1968" s="4"/>
      <c r="BB1968" s="4"/>
      <c r="BC1968" s="4"/>
      <c r="BD1968" s="4"/>
      <c r="BE1968" s="4"/>
      <c r="BF1968" s="4"/>
      <c r="BG1968" s="4"/>
      <c r="BH1968" s="4"/>
      <c r="BI1968" s="4"/>
      <c r="BJ1968" s="4"/>
      <c r="BK1968" s="4"/>
      <c r="BL1968" s="4"/>
      <c r="BM1968" s="4"/>
      <c r="BN1968" s="4"/>
      <c r="BO1968" s="4"/>
      <c r="BP1968" s="4"/>
      <c r="BQ1968" s="4"/>
      <c r="BR1968" s="4"/>
      <c r="BS1968" s="4"/>
      <c r="BT1968" s="4"/>
      <c r="BU1968" s="4"/>
      <c r="BV1968" s="4"/>
      <c r="BW1968" s="4"/>
      <c r="BX1968" s="4"/>
      <c r="BY1968" s="4"/>
      <c r="BZ1968" s="4"/>
      <c r="CA1968" s="4"/>
      <c r="CB1968" s="4"/>
      <c r="CC1968" s="4"/>
      <c r="CD1968" s="4"/>
      <c r="CE1968" s="4"/>
      <c r="CF1968" s="4"/>
      <c r="CG1968" s="4"/>
      <c r="CH1968" s="4"/>
      <c r="CI1968" s="4"/>
      <c r="CJ1968" s="4"/>
      <c r="CK1968" s="4"/>
      <c r="CL1968" s="4"/>
      <c r="CM1968" s="4"/>
      <c r="CN1968" s="4"/>
      <c r="CO1968" s="4"/>
      <c r="CP1968" s="4"/>
      <c r="CQ1968" s="4"/>
      <c r="CR1968" s="4"/>
      <c r="CS1968" s="4"/>
      <c r="CT1968" s="4"/>
      <c r="CU1968" s="4"/>
      <c r="CV1968" s="4"/>
      <c r="CW1968" s="4"/>
      <c r="CX1968" s="4"/>
      <c r="CY1968" s="4"/>
      <c r="CZ1968" s="4"/>
      <c r="DA1968" s="4"/>
      <c r="DB1968" s="4"/>
      <c r="DC1968" s="4"/>
      <c r="DD1968" s="4"/>
      <c r="DE1968" s="4"/>
      <c r="DF1968" s="4"/>
      <c r="DG1968" s="4"/>
      <c r="DH1968" s="4"/>
      <c r="DI1968" s="4"/>
      <c r="DJ1968" s="4"/>
      <c r="DK1968" s="4"/>
      <c r="DL1968" s="4"/>
      <c r="DM1968" s="4"/>
      <c r="DN1968" s="4"/>
      <c r="DO1968" s="4"/>
      <c r="DP1968" s="4"/>
      <c r="DQ1968" s="4"/>
      <c r="DR1968" s="4"/>
      <c r="DS1968" s="4"/>
    </row>
    <row r="1969">
      <c r="A1969" s="4"/>
      <c r="B1969" s="4"/>
      <c r="C1969" s="4"/>
      <c r="D1969" s="4"/>
      <c r="E1969" s="4"/>
      <c r="F1969" s="4" t="s">
        <v>17</v>
      </c>
      <c r="G1969" s="15"/>
      <c r="H1969" s="4"/>
      <c r="I1969" s="4"/>
      <c r="J1969" s="4"/>
      <c r="K1969" s="4"/>
      <c r="L1969" s="4"/>
      <c r="M1969" s="4"/>
      <c r="N1969" s="4"/>
      <c r="O1969" s="4"/>
      <c r="P1969" s="4"/>
      <c r="Q1969" s="4"/>
      <c r="R1969" s="4"/>
      <c r="S1969" s="4"/>
      <c r="T1969" s="4"/>
      <c r="U1969" s="4"/>
      <c r="V1969" s="4"/>
      <c r="W1969" s="4"/>
      <c r="X1969" s="4"/>
      <c r="Y1969" s="4"/>
      <c r="Z1969" s="4"/>
      <c r="AA1969" s="4"/>
      <c r="AB1969" s="4"/>
      <c r="AC1969" s="4"/>
      <c r="AD1969" s="4"/>
      <c r="AE1969" s="4"/>
      <c r="AF1969" s="4"/>
      <c r="AG1969" s="4"/>
      <c r="AH1969" s="4"/>
      <c r="AI1969" s="4"/>
      <c r="AJ1969" s="4"/>
      <c r="AK1969" s="4"/>
      <c r="AL1969" s="4"/>
      <c r="AM1969" s="4"/>
      <c r="AN1969" s="4"/>
      <c r="AO1969" s="4"/>
      <c r="AP1969" s="4"/>
      <c r="AQ1969" s="4"/>
      <c r="AR1969" s="4"/>
      <c r="AS1969" s="4"/>
      <c r="AT1969" s="4"/>
      <c r="AU1969" s="4"/>
      <c r="AV1969" s="4"/>
      <c r="AW1969" s="4"/>
      <c r="AX1969" s="4"/>
      <c r="AY1969" s="4"/>
      <c r="AZ1969" s="4"/>
      <c r="BA1969" s="4"/>
      <c r="BB1969" s="4"/>
      <c r="BC1969" s="4"/>
      <c r="BD1969" s="4"/>
      <c r="BE1969" s="4"/>
      <c r="BF1969" s="4"/>
      <c r="BG1969" s="4"/>
      <c r="BH1969" s="4"/>
      <c r="BI1969" s="4"/>
      <c r="BJ1969" s="4"/>
      <c r="BK1969" s="4"/>
      <c r="BL1969" s="4"/>
      <c r="BM1969" s="4"/>
      <c r="BN1969" s="4"/>
      <c r="BO1969" s="4"/>
      <c r="BP1969" s="4"/>
      <c r="BQ1969" s="4"/>
      <c r="BR1969" s="4"/>
      <c r="BS1969" s="4"/>
      <c r="BT1969" s="4"/>
      <c r="BU1969" s="4"/>
      <c r="BV1969" s="4"/>
      <c r="BW1969" s="4"/>
      <c r="BX1969" s="4"/>
      <c r="BY1969" s="4"/>
      <c r="BZ1969" s="4"/>
      <c r="CA1969" s="4"/>
      <c r="CB1969" s="4"/>
      <c r="CC1969" s="4"/>
      <c r="CD1969" s="4"/>
      <c r="CE1969" s="4"/>
      <c r="CF1969" s="4"/>
      <c r="CG1969" s="4"/>
      <c r="CH1969" s="4"/>
      <c r="CI1969" s="4"/>
      <c r="CJ1969" s="4"/>
      <c r="CK1969" s="4"/>
      <c r="CL1969" s="4"/>
      <c r="CM1969" s="4"/>
      <c r="CN1969" s="4"/>
      <c r="CO1969" s="4"/>
      <c r="CP1969" s="4"/>
      <c r="CQ1969" s="4"/>
      <c r="CR1969" s="4"/>
      <c r="CS1969" s="4"/>
      <c r="CT1969" s="4"/>
      <c r="CU1969" s="4"/>
      <c r="CV1969" s="4"/>
      <c r="CW1969" s="4"/>
      <c r="CX1969" s="4"/>
      <c r="CY1969" s="4"/>
      <c r="CZ1969" s="4"/>
      <c r="DA1969" s="4"/>
      <c r="DB1969" s="4"/>
      <c r="DC1969" s="4"/>
      <c r="DD1969" s="4"/>
      <c r="DE1969" s="4"/>
      <c r="DF1969" s="4"/>
      <c r="DG1969" s="4"/>
      <c r="DH1969" s="4"/>
      <c r="DI1969" s="4"/>
      <c r="DJ1969" s="4"/>
      <c r="DK1969" s="4"/>
      <c r="DL1969" s="4"/>
      <c r="DM1969" s="4"/>
      <c r="DN1969" s="4"/>
      <c r="DO1969" s="4"/>
      <c r="DP1969" s="4"/>
      <c r="DQ1969" s="4"/>
      <c r="DR1969" s="4"/>
      <c r="DS1969" s="4"/>
    </row>
    <row r="1970">
      <c r="A1970" s="4"/>
      <c r="B1970" s="4"/>
      <c r="C1970" s="4"/>
      <c r="D1970" s="4"/>
      <c r="E1970" s="4"/>
      <c r="F1970" s="4" t="s">
        <v>17</v>
      </c>
      <c r="G1970" s="15"/>
      <c r="H1970" s="4"/>
      <c r="I1970" s="4"/>
      <c r="J1970" s="4"/>
      <c r="K1970" s="4"/>
      <c r="L1970" s="4"/>
      <c r="M1970" s="4"/>
      <c r="N1970" s="4"/>
      <c r="O1970" s="4"/>
      <c r="P1970" s="4"/>
      <c r="Q1970" s="4"/>
      <c r="R1970" s="4"/>
      <c r="S1970" s="4"/>
      <c r="T1970" s="4"/>
      <c r="U1970" s="4"/>
      <c r="V1970" s="4"/>
      <c r="W1970" s="4"/>
      <c r="X1970" s="4"/>
      <c r="Y1970" s="4"/>
      <c r="Z1970" s="4"/>
      <c r="AA1970" s="4"/>
      <c r="AB1970" s="4"/>
      <c r="AC1970" s="4"/>
      <c r="AD1970" s="4"/>
      <c r="AE1970" s="4"/>
      <c r="AF1970" s="4"/>
      <c r="AG1970" s="4"/>
      <c r="AH1970" s="4"/>
      <c r="AI1970" s="4"/>
      <c r="AJ1970" s="4"/>
      <c r="AK1970" s="4"/>
      <c r="AL1970" s="4"/>
      <c r="AM1970" s="4"/>
      <c r="AN1970" s="4"/>
      <c r="AO1970" s="4"/>
      <c r="AP1970" s="4"/>
      <c r="AQ1970" s="4"/>
      <c r="AR1970" s="4"/>
      <c r="AS1970" s="4"/>
      <c r="AT1970" s="4"/>
      <c r="AU1970" s="4"/>
      <c r="AV1970" s="4"/>
      <c r="AW1970" s="4"/>
      <c r="AX1970" s="4"/>
      <c r="AY1970" s="4"/>
      <c r="AZ1970" s="4"/>
      <c r="BA1970" s="4"/>
      <c r="BB1970" s="4"/>
      <c r="BC1970" s="4"/>
      <c r="BD1970" s="4"/>
      <c r="BE1970" s="4"/>
      <c r="BF1970" s="4"/>
      <c r="BG1970" s="4"/>
      <c r="BH1970" s="4"/>
      <c r="BI1970" s="4"/>
      <c r="BJ1970" s="4"/>
      <c r="BK1970" s="4"/>
      <c r="BL1970" s="4"/>
      <c r="BM1970" s="4"/>
      <c r="BN1970" s="4"/>
      <c r="BO1970" s="4"/>
      <c r="BP1970" s="4"/>
      <c r="BQ1970" s="4"/>
      <c r="BR1970" s="4"/>
      <c r="BS1970" s="4"/>
      <c r="BT1970" s="4"/>
      <c r="BU1970" s="4"/>
      <c r="BV1970" s="4"/>
      <c r="BW1970" s="4"/>
      <c r="BX1970" s="4"/>
      <c r="BY1970" s="4"/>
      <c r="BZ1970" s="4"/>
      <c r="CA1970" s="4"/>
      <c r="CB1970" s="4"/>
      <c r="CC1970" s="4"/>
      <c r="CD1970" s="4"/>
      <c r="CE1970" s="4"/>
      <c r="CF1970" s="4"/>
      <c r="CG1970" s="4"/>
      <c r="CH1970" s="4"/>
      <c r="CI1970" s="4"/>
      <c r="CJ1970" s="4"/>
      <c r="CK1970" s="4"/>
      <c r="CL1970" s="4"/>
      <c r="CM1970" s="4"/>
      <c r="CN1970" s="4"/>
      <c r="CO1970" s="4"/>
      <c r="CP1970" s="4"/>
      <c r="CQ1970" s="4"/>
      <c r="CR1970" s="4"/>
      <c r="CS1970" s="4"/>
      <c r="CT1970" s="4"/>
      <c r="CU1970" s="4"/>
      <c r="CV1970" s="4"/>
      <c r="CW1970" s="4"/>
      <c r="CX1970" s="4"/>
      <c r="CY1970" s="4"/>
      <c r="CZ1970" s="4"/>
      <c r="DA1970" s="4"/>
      <c r="DB1970" s="4"/>
      <c r="DC1970" s="4"/>
      <c r="DD1970" s="4"/>
      <c r="DE1970" s="4"/>
      <c r="DF1970" s="4"/>
      <c r="DG1970" s="4"/>
      <c r="DH1970" s="4"/>
      <c r="DI1970" s="4"/>
      <c r="DJ1970" s="4"/>
      <c r="DK1970" s="4"/>
      <c r="DL1970" s="4"/>
      <c r="DM1970" s="4"/>
      <c r="DN1970" s="4"/>
      <c r="DO1970" s="4"/>
      <c r="DP1970" s="4"/>
      <c r="DQ1970" s="4"/>
      <c r="DR1970" s="4"/>
      <c r="DS1970" s="4"/>
    </row>
    <row r="1971">
      <c r="A1971" s="4"/>
      <c r="B1971" s="4"/>
      <c r="C1971" s="4"/>
      <c r="D1971" s="4"/>
      <c r="E1971" s="4"/>
      <c r="F1971" s="4" t="s">
        <v>17</v>
      </c>
      <c r="G1971" s="15"/>
      <c r="H1971" s="4"/>
      <c r="I1971" s="4"/>
      <c r="J1971" s="4"/>
      <c r="K1971" s="4"/>
      <c r="L1971" s="4"/>
      <c r="M1971" s="4"/>
      <c r="N1971" s="4"/>
      <c r="O1971" s="4"/>
      <c r="P1971" s="4"/>
      <c r="Q1971" s="4"/>
      <c r="R1971" s="4"/>
      <c r="S1971" s="4"/>
      <c r="T1971" s="4"/>
      <c r="U1971" s="4"/>
      <c r="V1971" s="4"/>
      <c r="W1971" s="4"/>
      <c r="X1971" s="4"/>
      <c r="Y1971" s="4"/>
      <c r="Z1971" s="4"/>
      <c r="AA1971" s="4"/>
      <c r="AB1971" s="4"/>
      <c r="AC1971" s="4"/>
      <c r="AD1971" s="4"/>
      <c r="AE1971" s="4"/>
      <c r="AF1971" s="4"/>
      <c r="AG1971" s="4"/>
      <c r="AH1971" s="4"/>
      <c r="AI1971" s="4"/>
      <c r="AJ1971" s="4"/>
      <c r="AK1971" s="4"/>
      <c r="AL1971" s="4"/>
      <c r="AM1971" s="4"/>
      <c r="AN1971" s="4"/>
      <c r="AO1971" s="4"/>
      <c r="AP1971" s="4"/>
      <c r="AQ1971" s="4"/>
      <c r="AR1971" s="4"/>
      <c r="AS1971" s="4"/>
      <c r="AT1971" s="4"/>
      <c r="AU1971" s="4"/>
      <c r="AV1971" s="4"/>
      <c r="AW1971" s="4"/>
      <c r="AX1971" s="4"/>
      <c r="AY1971" s="4"/>
      <c r="AZ1971" s="4"/>
      <c r="BA1971" s="4"/>
      <c r="BB1971" s="4"/>
      <c r="BC1971" s="4"/>
      <c r="BD1971" s="4"/>
      <c r="BE1971" s="4"/>
      <c r="BF1971" s="4"/>
      <c r="BG1971" s="4"/>
      <c r="BH1971" s="4"/>
      <c r="BI1971" s="4"/>
      <c r="BJ1971" s="4"/>
      <c r="BK1971" s="4"/>
      <c r="BL1971" s="4"/>
      <c r="BM1971" s="4"/>
      <c r="BN1971" s="4"/>
      <c r="BO1971" s="4"/>
      <c r="BP1971" s="4"/>
      <c r="BQ1971" s="4"/>
      <c r="BR1971" s="4"/>
      <c r="BS1971" s="4"/>
      <c r="BT1971" s="4"/>
      <c r="BU1971" s="4"/>
      <c r="BV1971" s="4"/>
      <c r="BW1971" s="4"/>
      <c r="BX1971" s="4"/>
      <c r="BY1971" s="4"/>
      <c r="BZ1971" s="4"/>
      <c r="CA1971" s="4"/>
      <c r="CB1971" s="4"/>
      <c r="CC1971" s="4"/>
      <c r="CD1971" s="4"/>
      <c r="CE1971" s="4"/>
      <c r="CF1971" s="4"/>
      <c r="CG1971" s="4"/>
      <c r="CH1971" s="4"/>
      <c r="CI1971" s="4"/>
      <c r="CJ1971" s="4"/>
      <c r="CK1971" s="4"/>
      <c r="CL1971" s="4"/>
      <c r="CM1971" s="4"/>
      <c r="CN1971" s="4"/>
      <c r="CO1971" s="4"/>
      <c r="CP1971" s="4"/>
      <c r="CQ1971" s="4"/>
      <c r="CR1971" s="4"/>
      <c r="CS1971" s="4"/>
      <c r="CT1971" s="4"/>
      <c r="CU1971" s="4"/>
      <c r="CV1971" s="4"/>
      <c r="CW1971" s="4"/>
      <c r="CX1971" s="4"/>
      <c r="CY1971" s="4"/>
      <c r="CZ1971" s="4"/>
      <c r="DA1971" s="4"/>
      <c r="DB1971" s="4"/>
      <c r="DC1971" s="4"/>
      <c r="DD1971" s="4"/>
      <c r="DE1971" s="4"/>
      <c r="DF1971" s="4"/>
      <c r="DG1971" s="4"/>
      <c r="DH1971" s="4"/>
      <c r="DI1971" s="4"/>
      <c r="DJ1971" s="4"/>
      <c r="DK1971" s="4"/>
      <c r="DL1971" s="4"/>
      <c r="DM1971" s="4"/>
      <c r="DN1971" s="4"/>
      <c r="DO1971" s="4"/>
      <c r="DP1971" s="4"/>
      <c r="DQ1971" s="4"/>
      <c r="DR1971" s="4"/>
      <c r="DS1971" s="4"/>
    </row>
    <row r="1972">
      <c r="A1972" s="4"/>
      <c r="B1972" s="4"/>
      <c r="C1972" s="4"/>
      <c r="D1972" s="4"/>
      <c r="E1972" s="4"/>
      <c r="F1972" s="4" t="s">
        <v>17</v>
      </c>
      <c r="G1972" s="15"/>
      <c r="H1972" s="4"/>
      <c r="I1972" s="4"/>
      <c r="J1972" s="4"/>
      <c r="K1972" s="4"/>
      <c r="L1972" s="4"/>
      <c r="M1972" s="4"/>
      <c r="N1972" s="4"/>
      <c r="O1972" s="4"/>
      <c r="P1972" s="4"/>
      <c r="Q1972" s="4"/>
      <c r="R1972" s="4"/>
      <c r="S1972" s="4"/>
      <c r="T1972" s="4"/>
      <c r="U1972" s="4"/>
      <c r="V1972" s="4"/>
      <c r="W1972" s="4"/>
      <c r="X1972" s="4"/>
      <c r="Y1972" s="4"/>
      <c r="Z1972" s="4"/>
      <c r="AA1972" s="4"/>
      <c r="AB1972" s="4"/>
      <c r="AC1972" s="4"/>
      <c r="AD1972" s="4"/>
      <c r="AE1972" s="4"/>
      <c r="AF1972" s="4"/>
      <c r="AG1972" s="4"/>
      <c r="AH1972" s="4"/>
      <c r="AI1972" s="4"/>
      <c r="AJ1972" s="4"/>
      <c r="AK1972" s="4"/>
      <c r="AL1972" s="4"/>
      <c r="AM1972" s="4"/>
      <c r="AN1972" s="4"/>
      <c r="AO1972" s="4"/>
      <c r="AP1972" s="4"/>
      <c r="AQ1972" s="4"/>
      <c r="AR1972" s="4"/>
      <c r="AS1972" s="4"/>
      <c r="AT1972" s="4"/>
      <c r="AU1972" s="4"/>
      <c r="AV1972" s="4"/>
      <c r="AW1972" s="4"/>
      <c r="AX1972" s="4"/>
      <c r="AY1972" s="4"/>
      <c r="AZ1972" s="4"/>
      <c r="BA1972" s="4"/>
      <c r="BB1972" s="4"/>
      <c r="BC1972" s="4"/>
      <c r="BD1972" s="4"/>
      <c r="BE1972" s="4"/>
      <c r="BF1972" s="4"/>
      <c r="BG1972" s="4"/>
      <c r="BH1972" s="4"/>
      <c r="BI1972" s="4"/>
      <c r="BJ1972" s="4"/>
      <c r="BK1972" s="4"/>
      <c r="BL1972" s="4"/>
      <c r="BM1972" s="4"/>
      <c r="BN1972" s="4"/>
      <c r="BO1972" s="4"/>
      <c r="BP1972" s="4"/>
      <c r="BQ1972" s="4"/>
      <c r="BR1972" s="4"/>
      <c r="BS1972" s="4"/>
      <c r="BT1972" s="4"/>
      <c r="BU1972" s="4"/>
      <c r="BV1972" s="4"/>
      <c r="BW1972" s="4"/>
      <c r="BX1972" s="4"/>
      <c r="BY1972" s="4"/>
      <c r="BZ1972" s="4"/>
      <c r="CA1972" s="4"/>
      <c r="CB1972" s="4"/>
      <c r="CC1972" s="4"/>
      <c r="CD1972" s="4"/>
      <c r="CE1972" s="4"/>
      <c r="CF1972" s="4"/>
      <c r="CG1972" s="4"/>
      <c r="CH1972" s="4"/>
      <c r="CI1972" s="4"/>
      <c r="CJ1972" s="4"/>
      <c r="CK1972" s="4"/>
      <c r="CL1972" s="4"/>
      <c r="CM1972" s="4"/>
      <c r="CN1972" s="4"/>
      <c r="CO1972" s="4"/>
      <c r="CP1972" s="4"/>
      <c r="CQ1972" s="4"/>
      <c r="CR1972" s="4"/>
      <c r="CS1972" s="4"/>
      <c r="CT1972" s="4"/>
      <c r="CU1972" s="4"/>
      <c r="CV1972" s="4"/>
      <c r="CW1972" s="4"/>
      <c r="CX1972" s="4"/>
      <c r="CY1972" s="4"/>
      <c r="CZ1972" s="4"/>
      <c r="DA1972" s="4"/>
      <c r="DB1972" s="4"/>
      <c r="DC1972" s="4"/>
      <c r="DD1972" s="4"/>
      <c r="DE1972" s="4"/>
      <c r="DF1972" s="4"/>
      <c r="DG1972" s="4"/>
      <c r="DH1972" s="4"/>
      <c r="DI1972" s="4"/>
      <c r="DJ1972" s="4"/>
      <c r="DK1972" s="4"/>
      <c r="DL1972" s="4"/>
      <c r="DM1972" s="4"/>
      <c r="DN1972" s="4"/>
      <c r="DO1972" s="4"/>
      <c r="DP1972" s="4"/>
      <c r="DQ1972" s="4"/>
      <c r="DR1972" s="4"/>
      <c r="DS1972" s="4"/>
    </row>
    <row r="1973">
      <c r="A1973" s="4"/>
      <c r="B1973" s="4"/>
      <c r="C1973" s="4"/>
      <c r="D1973" s="4"/>
      <c r="E1973" s="4"/>
      <c r="F1973" s="4" t="s">
        <v>17</v>
      </c>
      <c r="G1973" s="15"/>
      <c r="H1973" s="4"/>
      <c r="I1973" s="4"/>
      <c r="J1973" s="4"/>
      <c r="K1973" s="4"/>
      <c r="L1973" s="4"/>
      <c r="M1973" s="4"/>
      <c r="N1973" s="4"/>
      <c r="O1973" s="4"/>
      <c r="P1973" s="4"/>
      <c r="Q1973" s="4"/>
      <c r="R1973" s="4"/>
      <c r="S1973" s="4"/>
      <c r="T1973" s="4"/>
      <c r="U1973" s="4"/>
      <c r="V1973" s="4"/>
      <c r="W1973" s="4"/>
      <c r="X1973" s="4"/>
      <c r="Y1973" s="4"/>
      <c r="Z1973" s="4"/>
      <c r="AA1973" s="4"/>
      <c r="AB1973" s="4"/>
      <c r="AC1973" s="4"/>
      <c r="AD1973" s="4"/>
      <c r="AE1973" s="4"/>
      <c r="AF1973" s="4"/>
      <c r="AG1973" s="4"/>
      <c r="AH1973" s="4"/>
      <c r="AI1973" s="4"/>
      <c r="AJ1973" s="4"/>
      <c r="AK1973" s="4"/>
      <c r="AL1973" s="4"/>
      <c r="AM1973" s="4"/>
      <c r="AN1973" s="4"/>
      <c r="AO1973" s="4"/>
      <c r="AP1973" s="4"/>
      <c r="AQ1973" s="4"/>
      <c r="AR1973" s="4"/>
      <c r="AS1973" s="4"/>
      <c r="AT1973" s="4"/>
      <c r="AU1973" s="4"/>
      <c r="AV1973" s="4"/>
      <c r="AW1973" s="4"/>
      <c r="AX1973" s="4"/>
      <c r="AY1973" s="4"/>
      <c r="AZ1973" s="4"/>
      <c r="BA1973" s="4"/>
      <c r="BB1973" s="4"/>
      <c r="BC1973" s="4"/>
      <c r="BD1973" s="4"/>
      <c r="BE1973" s="4"/>
      <c r="BF1973" s="4"/>
      <c r="BG1973" s="4"/>
      <c r="BH1973" s="4"/>
      <c r="BI1973" s="4"/>
      <c r="BJ1973" s="4"/>
      <c r="BK1973" s="4"/>
      <c r="BL1973" s="4"/>
      <c r="BM1973" s="4"/>
      <c r="BN1973" s="4"/>
      <c r="BO1973" s="4"/>
      <c r="BP1973" s="4"/>
      <c r="BQ1973" s="4"/>
      <c r="BR1973" s="4"/>
      <c r="BS1973" s="4"/>
      <c r="BT1973" s="4"/>
      <c r="BU1973" s="4"/>
      <c r="BV1973" s="4"/>
      <c r="BW1973" s="4"/>
      <c r="BX1973" s="4"/>
      <c r="BY1973" s="4"/>
      <c r="BZ1973" s="4"/>
      <c r="CA1973" s="4"/>
      <c r="CB1973" s="4"/>
      <c r="CC1973" s="4"/>
      <c r="CD1973" s="4"/>
      <c r="CE1973" s="4"/>
      <c r="CF1973" s="4"/>
      <c r="CG1973" s="4"/>
      <c r="CH1973" s="4"/>
      <c r="CI1973" s="4"/>
      <c r="CJ1973" s="4"/>
      <c r="CK1973" s="4"/>
      <c r="CL1973" s="4"/>
      <c r="CM1973" s="4"/>
      <c r="CN1973" s="4"/>
      <c r="CO1973" s="4"/>
      <c r="CP1973" s="4"/>
      <c r="CQ1973" s="4"/>
      <c r="CR1973" s="4"/>
      <c r="CS1973" s="4"/>
      <c r="CT1973" s="4"/>
      <c r="CU1973" s="4"/>
      <c r="CV1973" s="4"/>
      <c r="CW1973" s="4"/>
      <c r="CX1973" s="4"/>
      <c r="CY1973" s="4"/>
      <c r="CZ1973" s="4"/>
      <c r="DA1973" s="4"/>
      <c r="DB1973" s="4"/>
      <c r="DC1973" s="4"/>
      <c r="DD1973" s="4"/>
      <c r="DE1973" s="4"/>
      <c r="DF1973" s="4"/>
      <c r="DG1973" s="4"/>
      <c r="DH1973" s="4"/>
      <c r="DI1973" s="4"/>
      <c r="DJ1973" s="4"/>
      <c r="DK1973" s="4"/>
      <c r="DL1973" s="4"/>
      <c r="DM1973" s="4"/>
      <c r="DN1973" s="4"/>
      <c r="DO1973" s="4"/>
      <c r="DP1973" s="4"/>
      <c r="DQ1973" s="4"/>
      <c r="DR1973" s="4"/>
      <c r="DS1973" s="4"/>
    </row>
    <row r="1974">
      <c r="A1974" s="4"/>
      <c r="B1974" s="4"/>
      <c r="C1974" s="4"/>
      <c r="D1974" s="4"/>
      <c r="E1974" s="4"/>
      <c r="F1974" s="4" t="s">
        <v>17</v>
      </c>
      <c r="G1974" s="15"/>
      <c r="H1974" s="4"/>
      <c r="I1974" s="4"/>
      <c r="J1974" s="4"/>
      <c r="K1974" s="4"/>
      <c r="L1974" s="4"/>
      <c r="M1974" s="4"/>
      <c r="N1974" s="4"/>
      <c r="O1974" s="4"/>
      <c r="P1974" s="4"/>
      <c r="Q1974" s="4"/>
      <c r="R1974" s="4"/>
      <c r="S1974" s="4"/>
      <c r="T1974" s="4"/>
      <c r="U1974" s="4"/>
      <c r="V1974" s="4"/>
      <c r="W1974" s="4"/>
      <c r="X1974" s="4"/>
      <c r="Y1974" s="4"/>
      <c r="Z1974" s="4"/>
      <c r="AA1974" s="4"/>
      <c r="AB1974" s="4"/>
      <c r="AC1974" s="4"/>
      <c r="AD1974" s="4"/>
      <c r="AE1974" s="4"/>
      <c r="AF1974" s="4"/>
      <c r="AG1974" s="4"/>
      <c r="AH1974" s="4"/>
      <c r="AI1974" s="4"/>
      <c r="AJ1974" s="4"/>
      <c r="AK1974" s="4"/>
      <c r="AL1974" s="4"/>
      <c r="AM1974" s="4"/>
      <c r="AN1974" s="4"/>
      <c r="AO1974" s="4"/>
      <c r="AP1974" s="4"/>
      <c r="AQ1974" s="4"/>
      <c r="AR1974" s="4"/>
      <c r="AS1974" s="4"/>
      <c r="AT1974" s="4"/>
      <c r="AU1974" s="4"/>
      <c r="AV1974" s="4"/>
      <c r="AW1974" s="4"/>
      <c r="AX1974" s="4"/>
      <c r="AY1974" s="4"/>
      <c r="AZ1974" s="4"/>
      <c r="BA1974" s="4"/>
      <c r="BB1974" s="4"/>
      <c r="BC1974" s="4"/>
      <c r="BD1974" s="4"/>
      <c r="BE1974" s="4"/>
      <c r="BF1974" s="4"/>
      <c r="BG1974" s="4"/>
      <c r="BH1974" s="4"/>
      <c r="BI1974" s="4"/>
      <c r="BJ1974" s="4"/>
      <c r="BK1974" s="4"/>
      <c r="BL1974" s="4"/>
      <c r="BM1974" s="4"/>
      <c r="BN1974" s="4"/>
      <c r="BO1974" s="4"/>
      <c r="BP1974" s="4"/>
      <c r="BQ1974" s="4"/>
      <c r="BR1974" s="4"/>
      <c r="BS1974" s="4"/>
      <c r="BT1974" s="4"/>
      <c r="BU1974" s="4"/>
      <c r="BV1974" s="4"/>
      <c r="BW1974" s="4"/>
      <c r="BX1974" s="4"/>
      <c r="BY1974" s="4"/>
      <c r="BZ1974" s="4"/>
      <c r="CA1974" s="4"/>
      <c r="CB1974" s="4"/>
      <c r="CC1974" s="4"/>
      <c r="CD1974" s="4"/>
      <c r="CE1974" s="4"/>
      <c r="CF1974" s="4"/>
      <c r="CG1974" s="4"/>
      <c r="CH1974" s="4"/>
      <c r="CI1974" s="4"/>
      <c r="CJ1974" s="4"/>
      <c r="CK1974" s="4"/>
      <c r="CL1974" s="4"/>
      <c r="CM1974" s="4"/>
      <c r="CN1974" s="4"/>
      <c r="CO1974" s="4"/>
      <c r="CP1974" s="4"/>
      <c r="CQ1974" s="4"/>
      <c r="CR1974" s="4"/>
      <c r="CS1974" s="4"/>
      <c r="CT1974" s="4"/>
      <c r="CU1974" s="4"/>
      <c r="CV1974" s="4"/>
      <c r="CW1974" s="4"/>
      <c r="CX1974" s="4"/>
      <c r="CY1974" s="4"/>
      <c r="CZ1974" s="4"/>
      <c r="DA1974" s="4"/>
      <c r="DB1974" s="4"/>
      <c r="DC1974" s="4"/>
      <c r="DD1974" s="4"/>
      <c r="DE1974" s="4"/>
      <c r="DF1974" s="4"/>
      <c r="DG1974" s="4"/>
      <c r="DH1974" s="4"/>
      <c r="DI1974" s="4"/>
      <c r="DJ1974" s="4"/>
      <c r="DK1974" s="4"/>
      <c r="DL1974" s="4"/>
      <c r="DM1974" s="4"/>
      <c r="DN1974" s="4"/>
      <c r="DO1974" s="4"/>
      <c r="DP1974" s="4"/>
      <c r="DQ1974" s="4"/>
      <c r="DR1974" s="4"/>
      <c r="DS1974" s="4"/>
    </row>
    <row r="1975">
      <c r="A1975" s="4"/>
      <c r="B1975" s="4"/>
      <c r="C1975" s="4"/>
      <c r="D1975" s="4"/>
      <c r="E1975" s="4"/>
      <c r="F1975" s="4" t="s">
        <v>17</v>
      </c>
      <c r="G1975" s="15"/>
      <c r="H1975" s="4"/>
      <c r="I1975" s="4"/>
      <c r="J1975" s="4"/>
      <c r="K1975" s="4"/>
      <c r="L1975" s="4"/>
      <c r="M1975" s="4"/>
      <c r="N1975" s="4"/>
      <c r="O1975" s="4"/>
      <c r="P1975" s="4"/>
      <c r="Q1975" s="4"/>
      <c r="R1975" s="4"/>
      <c r="S1975" s="4"/>
      <c r="T1975" s="4"/>
      <c r="U1975" s="4"/>
      <c r="V1975" s="4"/>
      <c r="W1975" s="4"/>
      <c r="X1975" s="4"/>
      <c r="Y1975" s="4"/>
      <c r="Z1975" s="4"/>
      <c r="AA1975" s="4"/>
      <c r="AB1975" s="4"/>
      <c r="AC1975" s="4"/>
      <c r="AD1975" s="4"/>
      <c r="AE1975" s="4"/>
      <c r="AF1975" s="4"/>
      <c r="AG1975" s="4"/>
      <c r="AH1975" s="4"/>
      <c r="AI1975" s="4"/>
      <c r="AJ1975" s="4"/>
      <c r="AK1975" s="4"/>
      <c r="AL1975" s="4"/>
      <c r="AM1975" s="4"/>
      <c r="AN1975" s="4"/>
      <c r="AO1975" s="4"/>
      <c r="AP1975" s="4"/>
      <c r="AQ1975" s="4"/>
      <c r="AR1975" s="4"/>
      <c r="AS1975" s="4"/>
      <c r="AT1975" s="4"/>
      <c r="AU1975" s="4"/>
      <c r="AV1975" s="4"/>
      <c r="AW1975" s="4"/>
      <c r="AX1975" s="4"/>
      <c r="AY1975" s="4"/>
      <c r="AZ1975" s="4"/>
      <c r="BA1975" s="4"/>
      <c r="BB1975" s="4"/>
      <c r="BC1975" s="4"/>
      <c r="BD1975" s="4"/>
      <c r="BE1975" s="4"/>
      <c r="BF1975" s="4"/>
      <c r="BG1975" s="4"/>
      <c r="BH1975" s="4"/>
      <c r="BI1975" s="4"/>
      <c r="BJ1975" s="4"/>
      <c r="BK1975" s="4"/>
      <c r="BL1975" s="4"/>
      <c r="BM1975" s="4"/>
      <c r="BN1975" s="4"/>
      <c r="BO1975" s="4"/>
      <c r="BP1975" s="4"/>
      <c r="BQ1975" s="4"/>
      <c r="BR1975" s="4"/>
      <c r="BS1975" s="4"/>
      <c r="BT1975" s="4"/>
      <c r="BU1975" s="4"/>
      <c r="BV1975" s="4"/>
      <c r="BW1975" s="4"/>
      <c r="BX1975" s="4"/>
      <c r="BY1975" s="4"/>
      <c r="BZ1975" s="4"/>
      <c r="CA1975" s="4"/>
      <c r="CB1975" s="4"/>
      <c r="CC1975" s="4"/>
      <c r="CD1975" s="4"/>
      <c r="CE1975" s="4"/>
      <c r="CF1975" s="4"/>
      <c r="CG1975" s="4"/>
      <c r="CH1975" s="4"/>
      <c r="CI1975" s="4"/>
      <c r="CJ1975" s="4"/>
      <c r="CK1975" s="4"/>
      <c r="CL1975" s="4"/>
      <c r="CM1975" s="4"/>
      <c r="CN1975" s="4"/>
      <c r="CO1975" s="4"/>
      <c r="CP1975" s="4"/>
      <c r="CQ1975" s="4"/>
      <c r="CR1975" s="4"/>
      <c r="CS1975" s="4"/>
      <c r="CT1975" s="4"/>
      <c r="CU1975" s="4"/>
      <c r="CV1975" s="4"/>
      <c r="CW1975" s="4"/>
      <c r="CX1975" s="4"/>
      <c r="CY1975" s="4"/>
      <c r="CZ1975" s="4"/>
      <c r="DA1975" s="4"/>
      <c r="DB1975" s="4"/>
      <c r="DC1975" s="4"/>
      <c r="DD1975" s="4"/>
      <c r="DE1975" s="4"/>
      <c r="DF1975" s="4"/>
      <c r="DG1975" s="4"/>
      <c r="DH1975" s="4"/>
      <c r="DI1975" s="4"/>
      <c r="DJ1975" s="4"/>
      <c r="DK1975" s="4"/>
      <c r="DL1975" s="4"/>
      <c r="DM1975" s="4"/>
      <c r="DN1975" s="4"/>
      <c r="DO1975" s="4"/>
      <c r="DP1975" s="4"/>
      <c r="DQ1975" s="4"/>
      <c r="DR1975" s="4"/>
      <c r="DS1975" s="4"/>
    </row>
    <row r="1976">
      <c r="A1976" s="4"/>
      <c r="B1976" s="4"/>
      <c r="C1976" s="4"/>
      <c r="D1976" s="4"/>
      <c r="E1976" s="4"/>
      <c r="F1976" s="4" t="s">
        <v>17</v>
      </c>
      <c r="G1976" s="15"/>
      <c r="H1976" s="4"/>
      <c r="I1976" s="4"/>
      <c r="J1976" s="4"/>
      <c r="K1976" s="4"/>
      <c r="L1976" s="4"/>
      <c r="M1976" s="4"/>
      <c r="N1976" s="4"/>
      <c r="O1976" s="4"/>
      <c r="P1976" s="4"/>
      <c r="Q1976" s="4"/>
      <c r="R1976" s="4"/>
      <c r="S1976" s="4"/>
      <c r="T1976" s="4"/>
      <c r="U1976" s="4"/>
      <c r="V1976" s="4"/>
      <c r="W1976" s="4"/>
      <c r="X1976" s="4"/>
      <c r="Y1976" s="4"/>
      <c r="Z1976" s="4"/>
      <c r="AA1976" s="4"/>
      <c r="AB1976" s="4"/>
      <c r="AC1976" s="4"/>
      <c r="AD1976" s="4"/>
      <c r="AE1976" s="4"/>
      <c r="AF1976" s="4"/>
      <c r="AG1976" s="4"/>
      <c r="AH1976" s="4"/>
      <c r="AI1976" s="4"/>
      <c r="AJ1976" s="4"/>
      <c r="AK1976" s="4"/>
      <c r="AL1976" s="4"/>
      <c r="AM1976" s="4"/>
      <c r="AN1976" s="4"/>
      <c r="AO1976" s="4"/>
      <c r="AP1976" s="4"/>
      <c r="AQ1976" s="4"/>
      <c r="AR1976" s="4"/>
      <c r="AS1976" s="4"/>
      <c r="AT1976" s="4"/>
      <c r="AU1976" s="4"/>
      <c r="AV1976" s="4"/>
      <c r="AW1976" s="4"/>
      <c r="AX1976" s="4"/>
      <c r="AY1976" s="4"/>
      <c r="AZ1976" s="4"/>
      <c r="BA1976" s="4"/>
      <c r="BB1976" s="4"/>
      <c r="BC1976" s="4"/>
      <c r="BD1976" s="4"/>
      <c r="BE1976" s="4"/>
      <c r="BF1976" s="4"/>
      <c r="BG1976" s="4"/>
      <c r="BH1976" s="4"/>
      <c r="BI1976" s="4"/>
      <c r="BJ1976" s="4"/>
      <c r="BK1976" s="4"/>
      <c r="BL1976" s="4"/>
      <c r="BM1976" s="4"/>
      <c r="BN1976" s="4"/>
      <c r="BO1976" s="4"/>
      <c r="BP1976" s="4"/>
      <c r="BQ1976" s="4"/>
      <c r="BR1976" s="4"/>
      <c r="BS1976" s="4"/>
      <c r="BT1976" s="4"/>
      <c r="BU1976" s="4"/>
      <c r="BV1976" s="4"/>
      <c r="BW1976" s="4"/>
      <c r="BX1976" s="4"/>
      <c r="BY1976" s="4"/>
      <c r="BZ1976" s="4"/>
      <c r="CA1976" s="4"/>
      <c r="CB1976" s="4"/>
      <c r="CC1976" s="4"/>
      <c r="CD1976" s="4"/>
      <c r="CE1976" s="4"/>
      <c r="CF1976" s="4"/>
      <c r="CG1976" s="4"/>
      <c r="CH1976" s="4"/>
      <c r="CI1976" s="4"/>
      <c r="CJ1976" s="4"/>
      <c r="CK1976" s="4"/>
      <c r="CL1976" s="4"/>
      <c r="CM1976" s="4"/>
      <c r="CN1976" s="4"/>
      <c r="CO1976" s="4"/>
      <c r="CP1976" s="4"/>
      <c r="CQ1976" s="4"/>
      <c r="CR1976" s="4"/>
      <c r="CS1976" s="4"/>
      <c r="CT1976" s="4"/>
      <c r="CU1976" s="4"/>
      <c r="CV1976" s="4"/>
      <c r="CW1976" s="4"/>
      <c r="CX1976" s="4"/>
      <c r="CY1976" s="4"/>
      <c r="CZ1976" s="4"/>
      <c r="DA1976" s="4"/>
      <c r="DB1976" s="4"/>
      <c r="DC1976" s="4"/>
      <c r="DD1976" s="4"/>
      <c r="DE1976" s="4"/>
      <c r="DF1976" s="4"/>
      <c r="DG1976" s="4"/>
      <c r="DH1976" s="4"/>
      <c r="DI1976" s="4"/>
      <c r="DJ1976" s="4"/>
      <c r="DK1976" s="4"/>
      <c r="DL1976" s="4"/>
      <c r="DM1976" s="4"/>
      <c r="DN1976" s="4"/>
      <c r="DO1976" s="4"/>
      <c r="DP1976" s="4"/>
      <c r="DQ1976" s="4"/>
      <c r="DR1976" s="4"/>
      <c r="DS1976" s="4"/>
    </row>
    <row r="1977">
      <c r="A1977" s="4"/>
      <c r="B1977" s="4"/>
      <c r="C1977" s="4"/>
      <c r="D1977" s="4"/>
      <c r="E1977" s="4"/>
      <c r="F1977" s="4" t="s">
        <v>17</v>
      </c>
      <c r="G1977" s="15"/>
      <c r="H1977" s="4"/>
      <c r="I1977" s="4"/>
      <c r="J1977" s="4"/>
      <c r="K1977" s="4"/>
      <c r="L1977" s="4"/>
      <c r="M1977" s="4"/>
      <c r="N1977" s="4"/>
      <c r="O1977" s="4"/>
      <c r="P1977" s="4"/>
      <c r="Q1977" s="4"/>
      <c r="R1977" s="4"/>
      <c r="S1977" s="4"/>
      <c r="T1977" s="4"/>
      <c r="U1977" s="4"/>
      <c r="V1977" s="4"/>
      <c r="W1977" s="4"/>
      <c r="X1977" s="4"/>
      <c r="Y1977" s="4"/>
      <c r="Z1977" s="4"/>
      <c r="AA1977" s="4"/>
      <c r="AB1977" s="4"/>
      <c r="AC1977" s="4"/>
      <c r="AD1977" s="4"/>
      <c r="AE1977" s="4"/>
      <c r="AF1977" s="4"/>
      <c r="AG1977" s="4"/>
      <c r="AH1977" s="4"/>
      <c r="AI1977" s="4"/>
      <c r="AJ1977" s="4"/>
      <c r="AK1977" s="4"/>
      <c r="AL1977" s="4"/>
      <c r="AM1977" s="4"/>
      <c r="AN1977" s="4"/>
      <c r="AO1977" s="4"/>
      <c r="AP1977" s="4"/>
      <c r="AQ1977" s="4"/>
      <c r="AR1977" s="4"/>
      <c r="AS1977" s="4"/>
      <c r="AT1977" s="4"/>
      <c r="AU1977" s="4"/>
      <c r="AV1977" s="4"/>
      <c r="AW1977" s="4"/>
      <c r="AX1977" s="4"/>
      <c r="AY1977" s="4"/>
      <c r="AZ1977" s="4"/>
      <c r="BA1977" s="4"/>
      <c r="BB1977" s="4"/>
      <c r="BC1977" s="4"/>
      <c r="BD1977" s="4"/>
      <c r="BE1977" s="4"/>
      <c r="BF1977" s="4"/>
      <c r="BG1977" s="4"/>
      <c r="BH1977" s="4"/>
      <c r="BI1977" s="4"/>
      <c r="BJ1977" s="4"/>
      <c r="BK1977" s="4"/>
      <c r="BL1977" s="4"/>
      <c r="BM1977" s="4"/>
      <c r="BN1977" s="4"/>
      <c r="BO1977" s="4"/>
      <c r="BP1977" s="4"/>
      <c r="BQ1977" s="4"/>
      <c r="BR1977" s="4"/>
      <c r="BS1977" s="4"/>
      <c r="BT1977" s="4"/>
      <c r="BU1977" s="4"/>
      <c r="BV1977" s="4"/>
      <c r="BW1977" s="4"/>
      <c r="BX1977" s="4"/>
      <c r="BY1977" s="4"/>
      <c r="BZ1977" s="4"/>
      <c r="CA1977" s="4"/>
      <c r="CB1977" s="4"/>
      <c r="CC1977" s="4"/>
      <c r="CD1977" s="4"/>
      <c r="CE1977" s="4"/>
      <c r="CF1977" s="4"/>
      <c r="CG1977" s="4"/>
      <c r="CH1977" s="4"/>
      <c r="CI1977" s="4"/>
      <c r="CJ1977" s="4"/>
      <c r="CK1977" s="4"/>
      <c r="CL1977" s="4"/>
      <c r="CM1977" s="4"/>
      <c r="CN1977" s="4"/>
      <c r="CO1977" s="4"/>
      <c r="CP1977" s="4"/>
      <c r="CQ1977" s="4"/>
      <c r="CR1977" s="4"/>
      <c r="CS1977" s="4"/>
      <c r="CT1977" s="4"/>
      <c r="CU1977" s="4"/>
      <c r="CV1977" s="4"/>
      <c r="CW1977" s="4"/>
      <c r="CX1977" s="4"/>
      <c r="CY1977" s="4"/>
      <c r="CZ1977" s="4"/>
      <c r="DA1977" s="4"/>
      <c r="DB1977" s="4"/>
      <c r="DC1977" s="4"/>
      <c r="DD1977" s="4"/>
      <c r="DE1977" s="4"/>
      <c r="DF1977" s="4"/>
      <c r="DG1977" s="4"/>
      <c r="DH1977" s="4"/>
      <c r="DI1977" s="4"/>
      <c r="DJ1977" s="4"/>
      <c r="DK1977" s="4"/>
      <c r="DL1977" s="4"/>
      <c r="DM1977" s="4"/>
      <c r="DN1977" s="4"/>
      <c r="DO1977" s="4"/>
      <c r="DP1977" s="4"/>
      <c r="DQ1977" s="4"/>
      <c r="DR1977" s="4"/>
      <c r="DS1977" s="4"/>
    </row>
    <row r="1978">
      <c r="A1978" s="4"/>
      <c r="B1978" s="4"/>
      <c r="C1978" s="4"/>
      <c r="D1978" s="4"/>
      <c r="E1978" s="4"/>
      <c r="F1978" s="4" t="s">
        <v>17</v>
      </c>
      <c r="G1978" s="15"/>
      <c r="H1978" s="4"/>
      <c r="I1978" s="4"/>
      <c r="J1978" s="4"/>
      <c r="K1978" s="4"/>
      <c r="L1978" s="4"/>
      <c r="M1978" s="4"/>
      <c r="N1978" s="4"/>
      <c r="O1978" s="4"/>
      <c r="P1978" s="4"/>
      <c r="Q1978" s="4"/>
      <c r="R1978" s="4"/>
      <c r="S1978" s="4"/>
      <c r="T1978" s="4"/>
      <c r="U1978" s="4"/>
      <c r="V1978" s="4"/>
      <c r="W1978" s="4"/>
      <c r="X1978" s="4"/>
      <c r="Y1978" s="4"/>
      <c r="Z1978" s="4"/>
      <c r="AA1978" s="4"/>
      <c r="AB1978" s="4"/>
      <c r="AC1978" s="4"/>
      <c r="AD1978" s="4"/>
      <c r="AE1978" s="4"/>
      <c r="AF1978" s="4"/>
      <c r="AG1978" s="4"/>
      <c r="AH1978" s="4"/>
      <c r="AI1978" s="4"/>
      <c r="AJ1978" s="4"/>
      <c r="AK1978" s="4"/>
      <c r="AL1978" s="4"/>
      <c r="AM1978" s="4"/>
      <c r="AN1978" s="4"/>
      <c r="AO1978" s="4"/>
      <c r="AP1978" s="4"/>
      <c r="AQ1978" s="4"/>
      <c r="AR1978" s="4"/>
      <c r="AS1978" s="4"/>
      <c r="AT1978" s="4"/>
      <c r="AU1978" s="4"/>
      <c r="AV1978" s="4"/>
      <c r="AW1978" s="4"/>
      <c r="AX1978" s="4"/>
      <c r="AY1978" s="4"/>
      <c r="AZ1978" s="4"/>
      <c r="BA1978" s="4"/>
      <c r="BB1978" s="4"/>
      <c r="BC1978" s="4"/>
      <c r="BD1978" s="4"/>
      <c r="BE1978" s="4"/>
      <c r="BF1978" s="4"/>
      <c r="BG1978" s="4"/>
      <c r="BH1978" s="4"/>
      <c r="BI1978" s="4"/>
      <c r="BJ1978" s="4"/>
      <c r="BK1978" s="4"/>
      <c r="BL1978" s="4"/>
      <c r="BM1978" s="4"/>
      <c r="BN1978" s="4"/>
      <c r="BO1978" s="4"/>
      <c r="BP1978" s="4"/>
      <c r="BQ1978" s="4"/>
      <c r="BR1978" s="4"/>
      <c r="BS1978" s="4"/>
      <c r="BT1978" s="4"/>
      <c r="BU1978" s="4"/>
      <c r="BV1978" s="4"/>
      <c r="BW1978" s="4"/>
      <c r="BX1978" s="4"/>
      <c r="BY1978" s="4"/>
      <c r="BZ1978" s="4"/>
      <c r="CA1978" s="4"/>
      <c r="CB1978" s="4"/>
      <c r="CC1978" s="4"/>
      <c r="CD1978" s="4"/>
      <c r="CE1978" s="4"/>
      <c r="CF1978" s="4"/>
      <c r="CG1978" s="4"/>
      <c r="CH1978" s="4"/>
      <c r="CI1978" s="4"/>
      <c r="CJ1978" s="4"/>
      <c r="CK1978" s="4"/>
      <c r="CL1978" s="4"/>
      <c r="CM1978" s="4"/>
      <c r="CN1978" s="4"/>
      <c r="CO1978" s="4"/>
      <c r="CP1978" s="4"/>
      <c r="CQ1978" s="4"/>
      <c r="CR1978" s="4"/>
      <c r="CS1978" s="4"/>
      <c r="CT1978" s="4"/>
      <c r="CU1978" s="4"/>
      <c r="CV1978" s="4"/>
      <c r="CW1978" s="4"/>
      <c r="CX1978" s="4"/>
      <c r="CY1978" s="4"/>
      <c r="CZ1978" s="4"/>
      <c r="DA1978" s="4"/>
      <c r="DB1978" s="4"/>
      <c r="DC1978" s="4"/>
      <c r="DD1978" s="4"/>
      <c r="DE1978" s="4"/>
      <c r="DF1978" s="4"/>
      <c r="DG1978" s="4"/>
      <c r="DH1978" s="4"/>
      <c r="DI1978" s="4"/>
      <c r="DJ1978" s="4"/>
      <c r="DK1978" s="4"/>
      <c r="DL1978" s="4"/>
      <c r="DM1978" s="4"/>
      <c r="DN1978" s="4"/>
      <c r="DO1978" s="4"/>
      <c r="DP1978" s="4"/>
      <c r="DQ1978" s="4"/>
      <c r="DR1978" s="4"/>
      <c r="DS1978" s="4"/>
    </row>
    <row r="1979">
      <c r="A1979" s="4"/>
      <c r="B1979" s="4"/>
      <c r="C1979" s="4"/>
      <c r="D1979" s="4"/>
      <c r="E1979" s="4"/>
      <c r="F1979" s="4" t="s">
        <v>17</v>
      </c>
      <c r="G1979" s="15"/>
      <c r="H1979" s="4"/>
      <c r="I1979" s="4"/>
      <c r="J1979" s="4"/>
      <c r="K1979" s="4"/>
      <c r="L1979" s="4"/>
      <c r="M1979" s="4"/>
      <c r="N1979" s="4"/>
      <c r="O1979" s="4"/>
      <c r="P1979" s="4"/>
      <c r="Q1979" s="4"/>
      <c r="R1979" s="4"/>
      <c r="S1979" s="4"/>
      <c r="T1979" s="4"/>
      <c r="U1979" s="4"/>
      <c r="V1979" s="4"/>
      <c r="W1979" s="4"/>
      <c r="X1979" s="4"/>
      <c r="Y1979" s="4"/>
      <c r="Z1979" s="4"/>
      <c r="AA1979" s="4"/>
      <c r="AB1979" s="4"/>
      <c r="AC1979" s="4"/>
      <c r="AD1979" s="4"/>
      <c r="AE1979" s="4"/>
      <c r="AF1979" s="4"/>
      <c r="AG1979" s="4"/>
      <c r="AH1979" s="4"/>
      <c r="AI1979" s="4"/>
      <c r="AJ1979" s="4"/>
      <c r="AK1979" s="4"/>
      <c r="AL1979" s="4"/>
      <c r="AM1979" s="4"/>
      <c r="AN1979" s="4"/>
      <c r="AO1979" s="4"/>
      <c r="AP1979" s="4"/>
      <c r="AQ1979" s="4"/>
      <c r="AR1979" s="4"/>
      <c r="AS1979" s="4"/>
      <c r="AT1979" s="4"/>
      <c r="AU1979" s="4"/>
      <c r="AV1979" s="4"/>
      <c r="AW1979" s="4"/>
      <c r="AX1979" s="4"/>
      <c r="AY1979" s="4"/>
      <c r="AZ1979" s="4"/>
      <c r="BA1979" s="4"/>
      <c r="BB1979" s="4"/>
      <c r="BC1979" s="4"/>
      <c r="BD1979" s="4"/>
      <c r="BE1979" s="4"/>
      <c r="BF1979" s="4"/>
      <c r="BG1979" s="4"/>
      <c r="BH1979" s="4"/>
      <c r="BI1979" s="4"/>
      <c r="BJ1979" s="4"/>
      <c r="BK1979" s="4"/>
      <c r="BL1979" s="4"/>
      <c r="BM1979" s="4"/>
      <c r="BN1979" s="4"/>
      <c r="BO1979" s="4"/>
      <c r="BP1979" s="4"/>
      <c r="BQ1979" s="4"/>
      <c r="BR1979" s="4"/>
      <c r="BS1979" s="4"/>
      <c r="BT1979" s="4"/>
      <c r="BU1979" s="4"/>
      <c r="BV1979" s="4"/>
      <c r="BW1979" s="4"/>
      <c r="BX1979" s="4"/>
      <c r="BY1979" s="4"/>
      <c r="BZ1979" s="4"/>
      <c r="CA1979" s="4"/>
      <c r="CB1979" s="4"/>
      <c r="CC1979" s="4"/>
      <c r="CD1979" s="4"/>
      <c r="CE1979" s="4"/>
      <c r="CF1979" s="4"/>
      <c r="CG1979" s="4"/>
      <c r="CH1979" s="4"/>
      <c r="CI1979" s="4"/>
      <c r="CJ1979" s="4"/>
      <c r="CK1979" s="4"/>
      <c r="CL1979" s="4"/>
      <c r="CM1979" s="4"/>
      <c r="CN1979" s="4"/>
      <c r="CO1979" s="4"/>
      <c r="CP1979" s="4"/>
      <c r="CQ1979" s="4"/>
      <c r="CR1979" s="4"/>
      <c r="CS1979" s="4"/>
      <c r="CT1979" s="4"/>
      <c r="CU1979" s="4"/>
      <c r="CV1979" s="4"/>
      <c r="CW1979" s="4"/>
      <c r="CX1979" s="4"/>
      <c r="CY1979" s="4"/>
      <c r="CZ1979" s="4"/>
      <c r="DA1979" s="4"/>
      <c r="DB1979" s="4"/>
      <c r="DC1979" s="4"/>
      <c r="DD1979" s="4"/>
      <c r="DE1979" s="4"/>
      <c r="DF1979" s="4"/>
      <c r="DG1979" s="4"/>
      <c r="DH1979" s="4"/>
      <c r="DI1979" s="4"/>
      <c r="DJ1979" s="4"/>
      <c r="DK1979" s="4"/>
      <c r="DL1979" s="4"/>
      <c r="DM1979" s="4"/>
      <c r="DN1979" s="4"/>
      <c r="DO1979" s="4"/>
      <c r="DP1979" s="4"/>
      <c r="DQ1979" s="4"/>
      <c r="DR1979" s="4"/>
      <c r="DS1979" s="4"/>
    </row>
    <row r="1980">
      <c r="A1980" s="4"/>
      <c r="B1980" s="4"/>
      <c r="C1980" s="4"/>
      <c r="D1980" s="4"/>
      <c r="E1980" s="4"/>
      <c r="F1980" s="4" t="s">
        <v>17</v>
      </c>
      <c r="G1980" s="15"/>
      <c r="H1980" s="4"/>
      <c r="I1980" s="4"/>
      <c r="J1980" s="4"/>
      <c r="K1980" s="4"/>
      <c r="L1980" s="4"/>
      <c r="M1980" s="4"/>
      <c r="N1980" s="4"/>
      <c r="O1980" s="4"/>
      <c r="P1980" s="4"/>
      <c r="Q1980" s="4"/>
      <c r="R1980" s="4"/>
      <c r="S1980" s="4"/>
      <c r="T1980" s="4"/>
      <c r="U1980" s="4"/>
      <c r="V1980" s="4"/>
      <c r="W1980" s="4"/>
      <c r="X1980" s="4"/>
      <c r="Y1980" s="4"/>
      <c r="Z1980" s="4"/>
      <c r="AA1980" s="4"/>
      <c r="AB1980" s="4"/>
      <c r="AC1980" s="4"/>
      <c r="AD1980" s="4"/>
      <c r="AE1980" s="4"/>
      <c r="AF1980" s="4"/>
      <c r="AG1980" s="4"/>
      <c r="AH1980" s="4"/>
      <c r="AI1980" s="4"/>
      <c r="AJ1980" s="4"/>
      <c r="AK1980" s="4"/>
      <c r="AL1980" s="4"/>
      <c r="AM1980" s="4"/>
      <c r="AN1980" s="4"/>
      <c r="AO1980" s="4"/>
      <c r="AP1980" s="4"/>
      <c r="AQ1980" s="4"/>
      <c r="AR1980" s="4"/>
      <c r="AS1980" s="4"/>
      <c r="AT1980" s="4"/>
      <c r="AU1980" s="4"/>
      <c r="AV1980" s="4"/>
      <c r="AW1980" s="4"/>
      <c r="AX1980" s="4"/>
      <c r="AY1980" s="4"/>
      <c r="AZ1980" s="4"/>
      <c r="BA1980" s="4"/>
      <c r="BB1980" s="4"/>
      <c r="BC1980" s="4"/>
      <c r="BD1980" s="4"/>
      <c r="BE1980" s="4"/>
      <c r="BF1980" s="4"/>
      <c r="BG1980" s="4"/>
      <c r="BH1980" s="4"/>
      <c r="BI1980" s="4"/>
      <c r="BJ1980" s="4"/>
      <c r="BK1980" s="4"/>
      <c r="BL1980" s="4"/>
      <c r="BM1980" s="4"/>
      <c r="BN1980" s="4"/>
      <c r="BO1980" s="4"/>
      <c r="BP1980" s="4"/>
      <c r="BQ1980" s="4"/>
      <c r="BR1980" s="4"/>
      <c r="BS1980" s="4"/>
      <c r="BT1980" s="4"/>
      <c r="BU1980" s="4"/>
      <c r="BV1980" s="4"/>
      <c r="BW1980" s="4"/>
      <c r="BX1980" s="4"/>
      <c r="BY1980" s="4"/>
      <c r="BZ1980" s="4"/>
      <c r="CA1980" s="4"/>
      <c r="CB1980" s="4"/>
      <c r="CC1980" s="4"/>
      <c r="CD1980" s="4"/>
      <c r="CE1980" s="4"/>
      <c r="CF1980" s="4"/>
      <c r="CG1980" s="4"/>
      <c r="CH1980" s="4"/>
      <c r="CI1980" s="4"/>
      <c r="CJ1980" s="4"/>
      <c r="CK1980" s="4"/>
      <c r="CL1980" s="4"/>
      <c r="CM1980" s="4"/>
      <c r="CN1980" s="4"/>
      <c r="CO1980" s="4"/>
      <c r="CP1980" s="4"/>
      <c r="CQ1980" s="4"/>
      <c r="CR1980" s="4"/>
      <c r="CS1980" s="4"/>
      <c r="CT1980" s="4"/>
      <c r="CU1980" s="4"/>
      <c r="CV1980" s="4"/>
      <c r="CW1980" s="4"/>
      <c r="CX1980" s="4"/>
      <c r="CY1980" s="4"/>
      <c r="CZ1980" s="4"/>
      <c r="DA1980" s="4"/>
      <c r="DB1980" s="4"/>
      <c r="DC1980" s="4"/>
      <c r="DD1980" s="4"/>
      <c r="DE1980" s="4"/>
      <c r="DF1980" s="4"/>
      <c r="DG1980" s="4"/>
      <c r="DH1980" s="4"/>
      <c r="DI1980" s="4"/>
      <c r="DJ1980" s="4"/>
      <c r="DK1980" s="4"/>
      <c r="DL1980" s="4"/>
      <c r="DM1980" s="4"/>
      <c r="DN1980" s="4"/>
      <c r="DO1980" s="4"/>
      <c r="DP1980" s="4"/>
      <c r="DQ1980" s="4"/>
      <c r="DR1980" s="4"/>
      <c r="DS1980" s="4"/>
    </row>
    <row r="1981">
      <c r="A1981" s="4"/>
      <c r="B1981" s="4"/>
      <c r="C1981" s="4"/>
      <c r="D1981" s="4"/>
      <c r="E1981" s="4"/>
      <c r="F1981" s="4" t="s">
        <v>17</v>
      </c>
      <c r="G1981" s="15"/>
      <c r="H1981" s="4"/>
      <c r="I1981" s="4"/>
      <c r="J1981" s="4"/>
      <c r="K1981" s="4"/>
      <c r="L1981" s="4"/>
      <c r="M1981" s="4"/>
      <c r="N1981" s="4"/>
      <c r="O1981" s="4"/>
      <c r="P1981" s="4"/>
      <c r="Q1981" s="4"/>
      <c r="R1981" s="4"/>
      <c r="S1981" s="4"/>
      <c r="T1981" s="4"/>
      <c r="U1981" s="4"/>
      <c r="V1981" s="4"/>
      <c r="W1981" s="4"/>
      <c r="X1981" s="4"/>
      <c r="Y1981" s="4"/>
      <c r="Z1981" s="4"/>
      <c r="AA1981" s="4"/>
      <c r="AB1981" s="4"/>
      <c r="AC1981" s="4"/>
      <c r="AD1981" s="4"/>
      <c r="AE1981" s="4"/>
      <c r="AF1981" s="4"/>
      <c r="AG1981" s="4"/>
      <c r="AH1981" s="4"/>
      <c r="AI1981" s="4"/>
      <c r="AJ1981" s="4"/>
      <c r="AK1981" s="4"/>
      <c r="AL1981" s="4"/>
      <c r="AM1981" s="4"/>
      <c r="AN1981" s="4"/>
      <c r="AO1981" s="4"/>
      <c r="AP1981" s="4"/>
      <c r="AQ1981" s="4"/>
      <c r="AR1981" s="4"/>
      <c r="AS1981" s="4"/>
      <c r="AT1981" s="4"/>
      <c r="AU1981" s="4"/>
      <c r="AV1981" s="4"/>
      <c r="AW1981" s="4"/>
      <c r="AX1981" s="4"/>
      <c r="AY1981" s="4"/>
      <c r="AZ1981" s="4"/>
      <c r="BA1981" s="4"/>
      <c r="BB1981" s="4"/>
      <c r="BC1981" s="4"/>
      <c r="BD1981" s="4"/>
      <c r="BE1981" s="4"/>
      <c r="BF1981" s="4"/>
      <c r="BG1981" s="4"/>
      <c r="BH1981" s="4"/>
      <c r="BI1981" s="4"/>
      <c r="BJ1981" s="4"/>
      <c r="BK1981" s="4"/>
      <c r="BL1981" s="4"/>
      <c r="BM1981" s="4"/>
      <c r="BN1981" s="4"/>
      <c r="BO1981" s="4"/>
      <c r="BP1981" s="4"/>
      <c r="BQ1981" s="4"/>
      <c r="BR1981" s="4"/>
      <c r="BS1981" s="4"/>
      <c r="BT1981" s="4"/>
      <c r="BU1981" s="4"/>
      <c r="BV1981" s="4"/>
      <c r="BW1981" s="4"/>
      <c r="BX1981" s="4"/>
      <c r="BY1981" s="4"/>
      <c r="BZ1981" s="4"/>
      <c r="CA1981" s="4"/>
      <c r="CB1981" s="4"/>
      <c r="CC1981" s="4"/>
      <c r="CD1981" s="4"/>
      <c r="CE1981" s="4"/>
      <c r="CF1981" s="4"/>
      <c r="CG1981" s="4"/>
      <c r="CH1981" s="4"/>
      <c r="CI1981" s="4"/>
      <c r="CJ1981" s="4"/>
      <c r="CK1981" s="4"/>
      <c r="CL1981" s="4"/>
      <c r="CM1981" s="4"/>
      <c r="CN1981" s="4"/>
      <c r="CO1981" s="4"/>
      <c r="CP1981" s="4"/>
      <c r="CQ1981" s="4"/>
      <c r="CR1981" s="4"/>
      <c r="CS1981" s="4"/>
      <c r="CT1981" s="4"/>
      <c r="CU1981" s="4"/>
      <c r="CV1981" s="4"/>
      <c r="CW1981" s="4"/>
      <c r="CX1981" s="4"/>
      <c r="CY1981" s="4"/>
      <c r="CZ1981" s="4"/>
      <c r="DA1981" s="4"/>
      <c r="DB1981" s="4"/>
      <c r="DC1981" s="4"/>
      <c r="DD1981" s="4"/>
      <c r="DE1981" s="4"/>
      <c r="DF1981" s="4"/>
      <c r="DG1981" s="4"/>
      <c r="DH1981" s="4"/>
      <c r="DI1981" s="4"/>
      <c r="DJ1981" s="4"/>
      <c r="DK1981" s="4"/>
      <c r="DL1981" s="4"/>
      <c r="DM1981" s="4"/>
      <c r="DN1981" s="4"/>
      <c r="DO1981" s="4"/>
      <c r="DP1981" s="4"/>
      <c r="DQ1981" s="4"/>
      <c r="DR1981" s="4"/>
      <c r="DS1981" s="4"/>
    </row>
    <row r="1982">
      <c r="A1982" s="4"/>
      <c r="B1982" s="4"/>
      <c r="C1982" s="4"/>
      <c r="D1982" s="4"/>
      <c r="E1982" s="4"/>
      <c r="F1982" s="4" t="s">
        <v>17</v>
      </c>
      <c r="G1982" s="15"/>
      <c r="H1982" s="4"/>
      <c r="I1982" s="4"/>
      <c r="J1982" s="4"/>
      <c r="K1982" s="4"/>
      <c r="L1982" s="4"/>
      <c r="M1982" s="4"/>
      <c r="N1982" s="4"/>
      <c r="O1982" s="4"/>
      <c r="P1982" s="4"/>
      <c r="Q1982" s="4"/>
      <c r="R1982" s="4"/>
      <c r="S1982" s="4"/>
      <c r="T1982" s="4"/>
      <c r="U1982" s="4"/>
      <c r="V1982" s="4"/>
      <c r="W1982" s="4"/>
      <c r="X1982" s="4"/>
      <c r="Y1982" s="4"/>
      <c r="Z1982" s="4"/>
      <c r="AA1982" s="4"/>
      <c r="AB1982" s="4"/>
      <c r="AC1982" s="4"/>
      <c r="AD1982" s="4"/>
      <c r="AE1982" s="4"/>
      <c r="AF1982" s="4"/>
      <c r="AG1982" s="4"/>
      <c r="AH1982" s="4"/>
      <c r="AI1982" s="4"/>
      <c r="AJ1982" s="4"/>
      <c r="AK1982" s="4"/>
      <c r="AL1982" s="4"/>
      <c r="AM1982" s="4"/>
      <c r="AN1982" s="4"/>
      <c r="AO1982" s="4"/>
      <c r="AP1982" s="4"/>
      <c r="AQ1982" s="4"/>
      <c r="AR1982" s="4"/>
      <c r="AS1982" s="4"/>
      <c r="AT1982" s="4"/>
      <c r="AU1982" s="4"/>
      <c r="AV1982" s="4"/>
      <c r="AW1982" s="4"/>
      <c r="AX1982" s="4"/>
      <c r="AY1982" s="4"/>
      <c r="AZ1982" s="4"/>
      <c r="BA1982" s="4"/>
      <c r="BB1982" s="4"/>
      <c r="BC1982" s="4"/>
      <c r="BD1982" s="4"/>
      <c r="BE1982" s="4"/>
      <c r="BF1982" s="4"/>
      <c r="BG1982" s="4"/>
      <c r="BH1982" s="4"/>
      <c r="BI1982" s="4"/>
      <c r="BJ1982" s="4"/>
      <c r="BK1982" s="4"/>
      <c r="BL1982" s="4"/>
      <c r="BM1982" s="4"/>
      <c r="BN1982" s="4"/>
      <c r="BO1982" s="4"/>
      <c r="BP1982" s="4"/>
      <c r="BQ1982" s="4"/>
      <c r="BR1982" s="4"/>
      <c r="BS1982" s="4"/>
      <c r="BT1982" s="4"/>
      <c r="BU1982" s="4"/>
      <c r="BV1982" s="4"/>
      <c r="BW1982" s="4"/>
      <c r="BX1982" s="4"/>
      <c r="BY1982" s="4"/>
      <c r="BZ1982" s="4"/>
      <c r="CA1982" s="4"/>
      <c r="CB1982" s="4"/>
      <c r="CC1982" s="4"/>
      <c r="CD1982" s="4"/>
      <c r="CE1982" s="4"/>
      <c r="CF1982" s="4"/>
      <c r="CG1982" s="4"/>
      <c r="CH1982" s="4"/>
      <c r="CI1982" s="4"/>
      <c r="CJ1982" s="4"/>
      <c r="CK1982" s="4"/>
      <c r="CL1982" s="4"/>
      <c r="CM1982" s="4"/>
      <c r="CN1982" s="4"/>
      <c r="CO1982" s="4"/>
      <c r="CP1982" s="4"/>
      <c r="CQ1982" s="4"/>
      <c r="CR1982" s="4"/>
      <c r="CS1982" s="4"/>
      <c r="CT1982" s="4"/>
      <c r="CU1982" s="4"/>
      <c r="CV1982" s="4"/>
      <c r="CW1982" s="4"/>
      <c r="CX1982" s="4"/>
      <c r="CY1982" s="4"/>
      <c r="CZ1982" s="4"/>
      <c r="DA1982" s="4"/>
      <c r="DB1982" s="4"/>
      <c r="DC1982" s="4"/>
      <c r="DD1982" s="4"/>
      <c r="DE1982" s="4"/>
      <c r="DF1982" s="4"/>
      <c r="DG1982" s="4"/>
      <c r="DH1982" s="4"/>
      <c r="DI1982" s="4"/>
      <c r="DJ1982" s="4"/>
      <c r="DK1982" s="4"/>
      <c r="DL1982" s="4"/>
      <c r="DM1982" s="4"/>
      <c r="DN1982" s="4"/>
      <c r="DO1982" s="4"/>
      <c r="DP1982" s="4"/>
      <c r="DQ1982" s="4"/>
      <c r="DR1982" s="4"/>
      <c r="DS1982" s="4"/>
    </row>
    <row r="1983">
      <c r="A1983" s="4"/>
      <c r="B1983" s="4"/>
      <c r="C1983" s="4"/>
      <c r="D1983" s="4"/>
      <c r="E1983" s="4"/>
      <c r="F1983" s="4" t="s">
        <v>17</v>
      </c>
      <c r="G1983" s="15"/>
      <c r="H1983" s="4"/>
      <c r="I1983" s="4"/>
      <c r="J1983" s="4"/>
      <c r="K1983" s="4"/>
      <c r="L1983" s="4"/>
      <c r="M1983" s="4"/>
      <c r="N1983" s="4"/>
      <c r="O1983" s="4"/>
      <c r="P1983" s="4"/>
      <c r="Q1983" s="4"/>
      <c r="R1983" s="4"/>
      <c r="S1983" s="4"/>
      <c r="T1983" s="4"/>
      <c r="U1983" s="4"/>
      <c r="V1983" s="4"/>
      <c r="W1983" s="4"/>
      <c r="X1983" s="4"/>
      <c r="Y1983" s="4"/>
      <c r="Z1983" s="4"/>
      <c r="AA1983" s="4"/>
      <c r="AB1983" s="4"/>
      <c r="AC1983" s="4"/>
      <c r="AD1983" s="4"/>
      <c r="AE1983" s="4"/>
      <c r="AF1983" s="4"/>
      <c r="AG1983" s="4"/>
      <c r="AH1983" s="4"/>
      <c r="AI1983" s="4"/>
      <c r="AJ1983" s="4"/>
      <c r="AK1983" s="4"/>
      <c r="AL1983" s="4"/>
      <c r="AM1983" s="4"/>
      <c r="AN1983" s="4"/>
      <c r="AO1983" s="4"/>
      <c r="AP1983" s="4"/>
      <c r="AQ1983" s="4"/>
      <c r="AR1983" s="4"/>
      <c r="AS1983" s="4"/>
      <c r="AT1983" s="4"/>
      <c r="AU1983" s="4"/>
      <c r="AV1983" s="4"/>
      <c r="AW1983" s="4"/>
      <c r="AX1983" s="4"/>
      <c r="AY1983" s="4"/>
      <c r="AZ1983" s="4"/>
      <c r="BA1983" s="4"/>
      <c r="BB1983" s="4"/>
      <c r="BC1983" s="4"/>
      <c r="BD1983" s="4"/>
      <c r="BE1983" s="4"/>
      <c r="BF1983" s="4"/>
      <c r="BG1983" s="4"/>
      <c r="BH1983" s="4"/>
      <c r="BI1983" s="4"/>
      <c r="BJ1983" s="4"/>
      <c r="BK1983" s="4"/>
      <c r="BL1983" s="4"/>
      <c r="BM1983" s="4"/>
      <c r="BN1983" s="4"/>
      <c r="BO1983" s="4"/>
      <c r="BP1983" s="4"/>
      <c r="BQ1983" s="4"/>
      <c r="BR1983" s="4"/>
      <c r="BS1983" s="4"/>
      <c r="BT1983" s="4"/>
      <c r="BU1983" s="4"/>
      <c r="BV1983" s="4"/>
      <c r="BW1983" s="4"/>
      <c r="BX1983" s="4"/>
      <c r="BY1983" s="4"/>
      <c r="BZ1983" s="4"/>
      <c r="CA1983" s="4"/>
      <c r="CB1983" s="4"/>
      <c r="CC1983" s="4"/>
      <c r="CD1983" s="4"/>
      <c r="CE1983" s="4"/>
      <c r="CF1983" s="4"/>
      <c r="CG1983" s="4"/>
      <c r="CH1983" s="4"/>
      <c r="CI1983" s="4"/>
      <c r="CJ1983" s="4"/>
      <c r="CK1983" s="4"/>
      <c r="CL1983" s="4"/>
      <c r="CM1983" s="4"/>
      <c r="CN1983" s="4"/>
      <c r="CO1983" s="4"/>
      <c r="CP1983" s="4"/>
      <c r="CQ1983" s="4"/>
      <c r="CR1983" s="4"/>
      <c r="CS1983" s="4"/>
      <c r="CT1983" s="4"/>
      <c r="CU1983" s="4"/>
      <c r="CV1983" s="4"/>
      <c r="CW1983" s="4"/>
      <c r="CX1983" s="4"/>
      <c r="CY1983" s="4"/>
      <c r="CZ1983" s="4"/>
      <c r="DA1983" s="4"/>
      <c r="DB1983" s="4"/>
      <c r="DC1983" s="4"/>
      <c r="DD1983" s="4"/>
      <c r="DE1983" s="4"/>
      <c r="DF1983" s="4"/>
      <c r="DG1983" s="4"/>
      <c r="DH1983" s="4"/>
      <c r="DI1983" s="4"/>
      <c r="DJ1983" s="4"/>
      <c r="DK1983" s="4"/>
      <c r="DL1983" s="4"/>
      <c r="DM1983" s="4"/>
      <c r="DN1983" s="4"/>
      <c r="DO1983" s="4"/>
      <c r="DP1983" s="4"/>
      <c r="DQ1983" s="4"/>
      <c r="DR1983" s="4"/>
      <c r="DS1983" s="4"/>
    </row>
    <row r="1984">
      <c r="A1984" s="4"/>
      <c r="B1984" s="4"/>
      <c r="C1984" s="4"/>
      <c r="D1984" s="4"/>
      <c r="E1984" s="4"/>
      <c r="F1984" s="4" t="s">
        <v>17</v>
      </c>
      <c r="G1984" s="15"/>
      <c r="H1984" s="4"/>
      <c r="I1984" s="4"/>
      <c r="J1984" s="4"/>
      <c r="K1984" s="4"/>
      <c r="L1984" s="4"/>
      <c r="M1984" s="4"/>
      <c r="N1984" s="4"/>
      <c r="O1984" s="4"/>
      <c r="P1984" s="4"/>
      <c r="Q1984" s="4"/>
      <c r="R1984" s="4"/>
      <c r="S1984" s="4"/>
      <c r="T1984" s="4"/>
      <c r="U1984" s="4"/>
      <c r="V1984" s="4"/>
      <c r="W1984" s="4"/>
      <c r="X1984" s="4"/>
      <c r="Y1984" s="4"/>
      <c r="Z1984" s="4"/>
      <c r="AA1984" s="4"/>
      <c r="AB1984" s="4"/>
      <c r="AC1984" s="4"/>
      <c r="AD1984" s="4"/>
      <c r="AE1984" s="4"/>
      <c r="AF1984" s="4"/>
      <c r="AG1984" s="4"/>
      <c r="AH1984" s="4"/>
      <c r="AI1984" s="4"/>
      <c r="AJ1984" s="4"/>
      <c r="AK1984" s="4"/>
      <c r="AL1984" s="4"/>
      <c r="AM1984" s="4"/>
      <c r="AN1984" s="4"/>
      <c r="AO1984" s="4"/>
      <c r="AP1984" s="4"/>
      <c r="AQ1984" s="4"/>
      <c r="AR1984" s="4"/>
      <c r="AS1984" s="4"/>
      <c r="AT1984" s="4"/>
      <c r="AU1984" s="4"/>
      <c r="AV1984" s="4"/>
      <c r="AW1984" s="4"/>
      <c r="AX1984" s="4"/>
      <c r="AY1984" s="4"/>
      <c r="AZ1984" s="4"/>
      <c r="BA1984" s="4"/>
      <c r="BB1984" s="4"/>
      <c r="BC1984" s="4"/>
      <c r="BD1984" s="4"/>
      <c r="BE1984" s="4"/>
      <c r="BF1984" s="4"/>
      <c r="BG1984" s="4"/>
      <c r="BH1984" s="4"/>
      <c r="BI1984" s="4"/>
      <c r="BJ1984" s="4"/>
      <c r="BK1984" s="4"/>
      <c r="BL1984" s="4"/>
      <c r="BM1984" s="4"/>
      <c r="BN1984" s="4"/>
      <c r="BO1984" s="4"/>
      <c r="BP1984" s="4"/>
      <c r="BQ1984" s="4"/>
      <c r="BR1984" s="4"/>
      <c r="BS1984" s="4"/>
      <c r="BT1984" s="4"/>
      <c r="BU1984" s="4"/>
      <c r="BV1984" s="4"/>
      <c r="BW1984" s="4"/>
      <c r="BX1984" s="4"/>
      <c r="BY1984" s="4"/>
      <c r="BZ1984" s="4"/>
      <c r="CA1984" s="4"/>
      <c r="CB1984" s="4"/>
      <c r="CC1984" s="4"/>
      <c r="CD1984" s="4"/>
      <c r="CE1984" s="4"/>
      <c r="CF1984" s="4"/>
      <c r="CG1984" s="4"/>
      <c r="CH1984" s="4"/>
      <c r="CI1984" s="4"/>
      <c r="CJ1984" s="4"/>
      <c r="CK1984" s="4"/>
      <c r="CL1984" s="4"/>
      <c r="CM1984" s="4"/>
      <c r="CN1984" s="4"/>
      <c r="CO1984" s="4"/>
      <c r="CP1984" s="4"/>
      <c r="CQ1984" s="4"/>
      <c r="CR1984" s="4"/>
      <c r="CS1984" s="4"/>
      <c r="CT1984" s="4"/>
      <c r="CU1984" s="4"/>
      <c r="CV1984" s="4"/>
      <c r="CW1984" s="4"/>
      <c r="CX1984" s="4"/>
      <c r="CY1984" s="4"/>
      <c r="CZ1984" s="4"/>
      <c r="DA1984" s="4"/>
      <c r="DB1984" s="4"/>
      <c r="DC1984" s="4"/>
      <c r="DD1984" s="4"/>
      <c r="DE1984" s="4"/>
      <c r="DF1984" s="4"/>
      <c r="DG1984" s="4"/>
      <c r="DH1984" s="4"/>
      <c r="DI1984" s="4"/>
      <c r="DJ1984" s="4"/>
      <c r="DK1984" s="4"/>
      <c r="DL1984" s="4"/>
      <c r="DM1984" s="4"/>
      <c r="DN1984" s="4"/>
      <c r="DO1984" s="4"/>
      <c r="DP1984" s="4"/>
      <c r="DQ1984" s="4"/>
      <c r="DR1984" s="4"/>
      <c r="DS1984" s="4"/>
    </row>
    <row r="1985">
      <c r="A1985" s="4"/>
      <c r="B1985" s="4"/>
      <c r="C1985" s="4"/>
      <c r="D1985" s="4"/>
      <c r="E1985" s="4"/>
      <c r="F1985" s="4" t="s">
        <v>17</v>
      </c>
      <c r="G1985" s="15"/>
      <c r="H1985" s="4"/>
      <c r="I1985" s="4"/>
      <c r="J1985" s="4"/>
      <c r="K1985" s="4"/>
      <c r="L1985" s="4"/>
      <c r="M1985" s="4"/>
      <c r="N1985" s="4"/>
      <c r="O1985" s="4"/>
      <c r="P1985" s="4"/>
      <c r="Q1985" s="4"/>
      <c r="R1985" s="4"/>
      <c r="S1985" s="4"/>
      <c r="T1985" s="4"/>
      <c r="U1985" s="4"/>
      <c r="V1985" s="4"/>
      <c r="W1985" s="4"/>
      <c r="X1985" s="4"/>
      <c r="Y1985" s="4"/>
      <c r="Z1985" s="4"/>
      <c r="AA1985" s="4"/>
      <c r="AB1985" s="4"/>
      <c r="AC1985" s="4"/>
      <c r="AD1985" s="4"/>
      <c r="AE1985" s="4"/>
      <c r="AF1985" s="4"/>
      <c r="AG1985" s="4"/>
      <c r="AH1985" s="4"/>
      <c r="AI1985" s="4"/>
      <c r="AJ1985" s="4"/>
      <c r="AK1985" s="4"/>
      <c r="AL1985" s="4"/>
      <c r="AM1985" s="4"/>
      <c r="AN1985" s="4"/>
      <c r="AO1985" s="4"/>
      <c r="AP1985" s="4"/>
      <c r="AQ1985" s="4"/>
      <c r="AR1985" s="4"/>
      <c r="AS1985" s="4"/>
      <c r="AT1985" s="4"/>
      <c r="AU1985" s="4"/>
      <c r="AV1985" s="4"/>
      <c r="AW1985" s="4"/>
      <c r="AX1985" s="4"/>
      <c r="AY1985" s="4"/>
      <c r="AZ1985" s="4"/>
      <c r="BA1985" s="4"/>
      <c r="BB1985" s="4"/>
      <c r="BC1985" s="4"/>
      <c r="BD1985" s="4"/>
      <c r="BE1985" s="4"/>
      <c r="BF1985" s="4"/>
      <c r="BG1985" s="4"/>
      <c r="BH1985" s="4"/>
      <c r="BI1985" s="4"/>
      <c r="BJ1985" s="4"/>
      <c r="BK1985" s="4"/>
      <c r="BL1985" s="4"/>
      <c r="BM1985" s="4"/>
      <c r="BN1985" s="4"/>
      <c r="BO1985" s="4"/>
      <c r="BP1985" s="4"/>
      <c r="BQ1985" s="4"/>
      <c r="BR1985" s="4"/>
      <c r="BS1985" s="4"/>
      <c r="BT1985" s="4"/>
      <c r="BU1985" s="4"/>
      <c r="BV1985" s="4"/>
      <c r="BW1985" s="4"/>
      <c r="BX1985" s="4"/>
      <c r="BY1985" s="4"/>
      <c r="BZ1985" s="4"/>
      <c r="CA1985" s="4"/>
      <c r="CB1985" s="4"/>
      <c r="CC1985" s="4"/>
      <c r="CD1985" s="4"/>
      <c r="CE1985" s="4"/>
      <c r="CF1985" s="4"/>
      <c r="CG1985" s="4"/>
      <c r="CH1985" s="4"/>
      <c r="CI1985" s="4"/>
      <c r="CJ1985" s="4"/>
      <c r="CK1985" s="4"/>
      <c r="CL1985" s="4"/>
      <c r="CM1985" s="4"/>
      <c r="CN1985" s="4"/>
      <c r="CO1985" s="4"/>
      <c r="CP1985" s="4"/>
      <c r="CQ1985" s="4"/>
      <c r="CR1985" s="4"/>
      <c r="CS1985" s="4"/>
      <c r="CT1985" s="4"/>
      <c r="CU1985" s="4"/>
      <c r="CV1985" s="4"/>
      <c r="CW1985" s="4"/>
      <c r="CX1985" s="4"/>
      <c r="CY1985" s="4"/>
      <c r="CZ1985" s="4"/>
      <c r="DA1985" s="4"/>
      <c r="DB1985" s="4"/>
      <c r="DC1985" s="4"/>
      <c r="DD1985" s="4"/>
      <c r="DE1985" s="4"/>
      <c r="DF1985" s="4"/>
      <c r="DG1985" s="4"/>
      <c r="DH1985" s="4"/>
      <c r="DI1985" s="4"/>
      <c r="DJ1985" s="4"/>
      <c r="DK1985" s="4"/>
      <c r="DL1985" s="4"/>
      <c r="DM1985" s="4"/>
      <c r="DN1985" s="4"/>
      <c r="DO1985" s="4"/>
      <c r="DP1985" s="4"/>
      <c r="DQ1985" s="4"/>
      <c r="DR1985" s="4"/>
      <c r="DS1985" s="4"/>
    </row>
    <row r="1986">
      <c r="A1986" s="4"/>
      <c r="B1986" s="4"/>
      <c r="C1986" s="4"/>
      <c r="D1986" s="4"/>
      <c r="E1986" s="4"/>
      <c r="F1986" s="4" t="s">
        <v>17</v>
      </c>
      <c r="G1986" s="15"/>
      <c r="H1986" s="4"/>
      <c r="I1986" s="4"/>
      <c r="J1986" s="4"/>
      <c r="K1986" s="4"/>
      <c r="L1986" s="4"/>
      <c r="M1986" s="4"/>
      <c r="N1986" s="4"/>
      <c r="O1986" s="4"/>
      <c r="P1986" s="4"/>
      <c r="Q1986" s="4"/>
      <c r="R1986" s="4"/>
      <c r="S1986" s="4"/>
      <c r="T1986" s="4"/>
      <c r="U1986" s="4"/>
      <c r="V1986" s="4"/>
      <c r="W1986" s="4"/>
      <c r="X1986" s="4"/>
      <c r="Y1986" s="4"/>
      <c r="Z1986" s="4"/>
      <c r="AA1986" s="4"/>
      <c r="AB1986" s="4"/>
      <c r="AC1986" s="4"/>
      <c r="AD1986" s="4"/>
      <c r="AE1986" s="4"/>
      <c r="AF1986" s="4"/>
      <c r="AG1986" s="4"/>
      <c r="AH1986" s="4"/>
      <c r="AI1986" s="4"/>
      <c r="AJ1986" s="4"/>
      <c r="AK1986" s="4"/>
      <c r="AL1986" s="4"/>
      <c r="AM1986" s="4"/>
      <c r="AN1986" s="4"/>
      <c r="AO1986" s="4"/>
      <c r="AP1986" s="4"/>
      <c r="AQ1986" s="4"/>
      <c r="AR1986" s="4"/>
      <c r="AS1986" s="4"/>
      <c r="AT1986" s="4"/>
      <c r="AU1986" s="4"/>
      <c r="AV1986" s="4"/>
      <c r="AW1986" s="4"/>
      <c r="AX1986" s="4"/>
      <c r="AY1986" s="4"/>
      <c r="AZ1986" s="4"/>
      <c r="BA1986" s="4"/>
      <c r="BB1986" s="4"/>
      <c r="BC1986" s="4"/>
      <c r="BD1986" s="4"/>
      <c r="BE1986" s="4"/>
      <c r="BF1986" s="4"/>
      <c r="BG1986" s="4"/>
      <c r="BH1986" s="4"/>
      <c r="BI1986" s="4"/>
      <c r="BJ1986" s="4"/>
      <c r="BK1986" s="4"/>
      <c r="BL1986" s="4"/>
      <c r="BM1986" s="4"/>
      <c r="BN1986" s="4"/>
      <c r="BO1986" s="4"/>
      <c r="BP1986" s="4"/>
      <c r="BQ1986" s="4"/>
      <c r="BR1986" s="4"/>
      <c r="BS1986" s="4"/>
      <c r="BT1986" s="4"/>
      <c r="BU1986" s="4"/>
      <c r="BV1986" s="4"/>
      <c r="BW1986" s="4"/>
      <c r="BX1986" s="4"/>
      <c r="BY1986" s="4"/>
      <c r="BZ1986" s="4"/>
      <c r="CA1986" s="4"/>
      <c r="CB1986" s="4"/>
      <c r="CC1986" s="4"/>
      <c r="CD1986" s="4"/>
      <c r="CE1986" s="4"/>
      <c r="CF1986" s="4"/>
      <c r="CG1986" s="4"/>
      <c r="CH1986" s="4"/>
      <c r="CI1986" s="4"/>
      <c r="CJ1986" s="4"/>
      <c r="CK1986" s="4"/>
      <c r="CL1986" s="4"/>
      <c r="CM1986" s="4"/>
      <c r="CN1986" s="4"/>
      <c r="CO1986" s="4"/>
      <c r="CP1986" s="4"/>
      <c r="CQ1986" s="4"/>
      <c r="CR1986" s="4"/>
      <c r="CS1986" s="4"/>
      <c r="CT1986" s="4"/>
      <c r="CU1986" s="4"/>
      <c r="CV1986" s="4"/>
      <c r="CW1986" s="4"/>
      <c r="CX1986" s="4"/>
      <c r="CY1986" s="4"/>
      <c r="CZ1986" s="4"/>
      <c r="DA1986" s="4"/>
      <c r="DB1986" s="4"/>
      <c r="DC1986" s="4"/>
      <c r="DD1986" s="4"/>
      <c r="DE1986" s="4"/>
      <c r="DF1986" s="4"/>
      <c r="DG1986" s="4"/>
      <c r="DH1986" s="4"/>
      <c r="DI1986" s="4"/>
      <c r="DJ1986" s="4"/>
      <c r="DK1986" s="4"/>
      <c r="DL1986" s="4"/>
      <c r="DM1986" s="4"/>
      <c r="DN1986" s="4"/>
      <c r="DO1986" s="4"/>
      <c r="DP1986" s="4"/>
      <c r="DQ1986" s="4"/>
      <c r="DR1986" s="4"/>
      <c r="DS1986" s="4"/>
    </row>
    <row r="1987">
      <c r="A1987" s="4"/>
      <c r="B1987" s="4"/>
      <c r="C1987" s="4"/>
      <c r="D1987" s="4"/>
      <c r="E1987" s="4"/>
      <c r="F1987" s="4" t="s">
        <v>17</v>
      </c>
      <c r="G1987" s="15"/>
      <c r="H1987" s="4"/>
      <c r="I1987" s="4"/>
      <c r="J1987" s="4"/>
      <c r="K1987" s="4"/>
      <c r="L1987" s="4"/>
      <c r="M1987" s="4"/>
      <c r="N1987" s="4"/>
      <c r="O1987" s="4"/>
      <c r="P1987" s="4"/>
      <c r="Q1987" s="4"/>
      <c r="R1987" s="4"/>
      <c r="S1987" s="4"/>
      <c r="T1987" s="4"/>
      <c r="U1987" s="4"/>
      <c r="V1987" s="4"/>
      <c r="W1987" s="4"/>
      <c r="X1987" s="4"/>
      <c r="Y1987" s="4"/>
      <c r="Z1987" s="4"/>
      <c r="AA1987" s="4"/>
      <c r="AB1987" s="4"/>
      <c r="AC1987" s="4"/>
      <c r="AD1987" s="4"/>
      <c r="AE1987" s="4"/>
      <c r="AF1987" s="4"/>
      <c r="AG1987" s="4"/>
      <c r="AH1987" s="4"/>
      <c r="AI1987" s="4"/>
      <c r="AJ1987" s="4"/>
      <c r="AK1987" s="4"/>
      <c r="AL1987" s="4"/>
      <c r="AM1987" s="4"/>
      <c r="AN1987" s="4"/>
      <c r="AO1987" s="4"/>
      <c r="AP1987" s="4"/>
      <c r="AQ1987" s="4"/>
      <c r="AR1987" s="4"/>
      <c r="AS1987" s="4"/>
      <c r="AT1987" s="4"/>
      <c r="AU1987" s="4"/>
      <c r="AV1987" s="4"/>
      <c r="AW1987" s="4"/>
      <c r="AX1987" s="4"/>
      <c r="AY1987" s="4"/>
      <c r="AZ1987" s="4"/>
      <c r="BA1987" s="4"/>
      <c r="BB1987" s="4"/>
      <c r="BC1987" s="4"/>
      <c r="BD1987" s="4"/>
      <c r="BE1987" s="4"/>
      <c r="BF1987" s="4"/>
      <c r="BG1987" s="4"/>
      <c r="BH1987" s="4"/>
      <c r="BI1987" s="4"/>
      <c r="BJ1987" s="4"/>
      <c r="BK1987" s="4"/>
      <c r="BL1987" s="4"/>
      <c r="BM1987" s="4"/>
      <c r="BN1987" s="4"/>
      <c r="BO1987" s="4"/>
      <c r="BP1987" s="4"/>
      <c r="BQ1987" s="4"/>
      <c r="BR1987" s="4"/>
      <c r="BS1987" s="4"/>
      <c r="BT1987" s="4"/>
      <c r="BU1987" s="4"/>
      <c r="BV1987" s="4"/>
      <c r="BW1987" s="4"/>
      <c r="BX1987" s="4"/>
      <c r="BY1987" s="4"/>
      <c r="BZ1987" s="4"/>
      <c r="CA1987" s="4"/>
      <c r="CB1987" s="4"/>
      <c r="CC1987" s="4"/>
      <c r="CD1987" s="4"/>
      <c r="CE1987" s="4"/>
      <c r="CF1987" s="4"/>
      <c r="CG1987" s="4"/>
      <c r="CH1987" s="4"/>
      <c r="CI1987" s="4"/>
      <c r="CJ1987" s="4"/>
      <c r="CK1987" s="4"/>
      <c r="CL1987" s="4"/>
      <c r="CM1987" s="4"/>
      <c r="CN1987" s="4"/>
      <c r="CO1987" s="4"/>
      <c r="CP1987" s="4"/>
      <c r="CQ1987" s="4"/>
      <c r="CR1987" s="4"/>
      <c r="CS1987" s="4"/>
      <c r="CT1987" s="4"/>
      <c r="CU1987" s="4"/>
      <c r="CV1987" s="4"/>
      <c r="CW1987" s="4"/>
      <c r="CX1987" s="4"/>
      <c r="CY1987" s="4"/>
      <c r="CZ1987" s="4"/>
      <c r="DA1987" s="4"/>
      <c r="DB1987" s="4"/>
      <c r="DC1987" s="4"/>
      <c r="DD1987" s="4"/>
      <c r="DE1987" s="4"/>
      <c r="DF1987" s="4"/>
      <c r="DG1987" s="4"/>
      <c r="DH1987" s="4"/>
      <c r="DI1987" s="4"/>
      <c r="DJ1987" s="4"/>
      <c r="DK1987" s="4"/>
      <c r="DL1987" s="4"/>
      <c r="DM1987" s="4"/>
      <c r="DN1987" s="4"/>
      <c r="DO1987" s="4"/>
      <c r="DP1987" s="4"/>
      <c r="DQ1987" s="4"/>
      <c r="DR1987" s="4"/>
      <c r="DS1987" s="4"/>
    </row>
    <row r="1988">
      <c r="A1988" s="4"/>
      <c r="B1988" s="4"/>
      <c r="C1988" s="4"/>
      <c r="D1988" s="4"/>
      <c r="E1988" s="4"/>
      <c r="F1988" s="4" t="s">
        <v>17</v>
      </c>
      <c r="G1988" s="15"/>
      <c r="H1988" s="4"/>
      <c r="I1988" s="4"/>
      <c r="J1988" s="4"/>
      <c r="K1988" s="4"/>
      <c r="L1988" s="4"/>
      <c r="M1988" s="4"/>
      <c r="N1988" s="4"/>
      <c r="O1988" s="4"/>
      <c r="P1988" s="4"/>
      <c r="Q1988" s="4"/>
      <c r="R1988" s="4"/>
      <c r="S1988" s="4"/>
      <c r="T1988" s="4"/>
      <c r="U1988" s="4"/>
      <c r="V1988" s="4"/>
      <c r="W1988" s="4"/>
      <c r="X1988" s="4"/>
      <c r="Y1988" s="4"/>
      <c r="Z1988" s="4"/>
      <c r="AA1988" s="4"/>
      <c r="AB1988" s="4"/>
      <c r="AC1988" s="4"/>
      <c r="AD1988" s="4"/>
      <c r="AE1988" s="4"/>
      <c r="AF1988" s="4"/>
      <c r="AG1988" s="4"/>
      <c r="AH1988" s="4"/>
      <c r="AI1988" s="4"/>
      <c r="AJ1988" s="4"/>
      <c r="AK1988" s="4"/>
      <c r="AL1988" s="4"/>
      <c r="AM1988" s="4"/>
      <c r="AN1988" s="4"/>
      <c r="AO1988" s="4"/>
      <c r="AP1988" s="4"/>
      <c r="AQ1988" s="4"/>
      <c r="AR1988" s="4"/>
      <c r="AS1988" s="4"/>
      <c r="AT1988" s="4"/>
      <c r="AU1988" s="4"/>
      <c r="AV1988" s="4"/>
      <c r="AW1988" s="4"/>
      <c r="AX1988" s="4"/>
      <c r="AY1988" s="4"/>
      <c r="AZ1988" s="4"/>
      <c r="BA1988" s="4"/>
      <c r="BB1988" s="4"/>
      <c r="BC1988" s="4"/>
      <c r="BD1988" s="4"/>
      <c r="BE1988" s="4"/>
      <c r="BF1988" s="4"/>
      <c r="BG1988" s="4"/>
      <c r="BH1988" s="4"/>
      <c r="BI1988" s="4"/>
      <c r="BJ1988" s="4"/>
      <c r="BK1988" s="4"/>
      <c r="BL1988" s="4"/>
      <c r="BM1988" s="4"/>
      <c r="BN1988" s="4"/>
      <c r="BO1988" s="4"/>
      <c r="BP1988" s="4"/>
      <c r="BQ1988" s="4"/>
      <c r="BR1988" s="4"/>
      <c r="BS1988" s="4"/>
      <c r="BT1988" s="4"/>
      <c r="BU1988" s="4"/>
      <c r="BV1988" s="4"/>
      <c r="BW1988" s="4"/>
      <c r="BX1988" s="4"/>
      <c r="BY1988" s="4"/>
      <c r="BZ1988" s="4"/>
      <c r="CA1988" s="4"/>
      <c r="CB1988" s="4"/>
      <c r="CC1988" s="4"/>
      <c r="CD1988" s="4"/>
      <c r="CE1988" s="4"/>
      <c r="CF1988" s="4"/>
      <c r="CG1988" s="4"/>
      <c r="CH1988" s="4"/>
      <c r="CI1988" s="4"/>
      <c r="CJ1988" s="4"/>
      <c r="CK1988" s="4"/>
      <c r="CL1988" s="4"/>
      <c r="CM1988" s="4"/>
      <c r="CN1988" s="4"/>
      <c r="CO1988" s="4"/>
      <c r="CP1988" s="4"/>
      <c r="CQ1988" s="4"/>
      <c r="CR1988" s="4"/>
      <c r="CS1988" s="4"/>
      <c r="CT1988" s="4"/>
      <c r="CU1988" s="4"/>
      <c r="CV1988" s="4"/>
      <c r="CW1988" s="4"/>
      <c r="CX1988" s="4"/>
      <c r="CY1988" s="4"/>
      <c r="CZ1988" s="4"/>
      <c r="DA1988" s="4"/>
      <c r="DB1988" s="4"/>
      <c r="DC1988" s="4"/>
      <c r="DD1988" s="4"/>
      <c r="DE1988" s="4"/>
      <c r="DF1988" s="4"/>
      <c r="DG1988" s="4"/>
      <c r="DH1988" s="4"/>
      <c r="DI1988" s="4"/>
      <c r="DJ1988" s="4"/>
      <c r="DK1988" s="4"/>
      <c r="DL1988" s="4"/>
      <c r="DM1988" s="4"/>
      <c r="DN1988" s="4"/>
      <c r="DO1988" s="4"/>
      <c r="DP1988" s="4"/>
      <c r="DQ1988" s="4"/>
      <c r="DR1988" s="4"/>
      <c r="DS1988" s="4"/>
    </row>
    <row r="1989">
      <c r="A1989" s="4"/>
      <c r="B1989" s="4"/>
      <c r="C1989" s="4"/>
      <c r="D1989" s="4"/>
      <c r="E1989" s="4"/>
      <c r="F1989" s="4" t="s">
        <v>17</v>
      </c>
      <c r="G1989" s="15"/>
      <c r="H1989" s="4"/>
      <c r="I1989" s="4"/>
      <c r="J1989" s="4"/>
      <c r="K1989" s="4"/>
      <c r="L1989" s="4"/>
      <c r="M1989" s="4"/>
      <c r="N1989" s="4"/>
      <c r="O1989" s="4"/>
      <c r="P1989" s="4"/>
      <c r="Q1989" s="4"/>
      <c r="R1989" s="4"/>
      <c r="S1989" s="4"/>
      <c r="T1989" s="4"/>
      <c r="U1989" s="4"/>
      <c r="V1989" s="4"/>
      <c r="W1989" s="4"/>
      <c r="X1989" s="4"/>
      <c r="Y1989" s="4"/>
      <c r="Z1989" s="4"/>
      <c r="AA1989" s="4"/>
      <c r="AB1989" s="4"/>
      <c r="AC1989" s="4"/>
      <c r="AD1989" s="4"/>
      <c r="AE1989" s="4"/>
      <c r="AF1989" s="4"/>
      <c r="AG1989" s="4"/>
      <c r="AH1989" s="4"/>
      <c r="AI1989" s="4"/>
      <c r="AJ1989" s="4"/>
      <c r="AK1989" s="4"/>
      <c r="AL1989" s="4"/>
      <c r="AM1989" s="4"/>
      <c r="AN1989" s="4"/>
      <c r="AO1989" s="4"/>
      <c r="AP1989" s="4"/>
      <c r="AQ1989" s="4"/>
      <c r="AR1989" s="4"/>
      <c r="AS1989" s="4"/>
      <c r="AT1989" s="4"/>
      <c r="AU1989" s="4"/>
      <c r="AV1989" s="4"/>
      <c r="AW1989" s="4"/>
      <c r="AX1989" s="4"/>
      <c r="AY1989" s="4"/>
      <c r="AZ1989" s="4"/>
      <c r="BA1989" s="4"/>
      <c r="BB1989" s="4"/>
      <c r="BC1989" s="4"/>
      <c r="BD1989" s="4"/>
      <c r="BE1989" s="4"/>
      <c r="BF1989" s="4"/>
      <c r="BG1989" s="4"/>
      <c r="BH1989" s="4"/>
      <c r="BI1989" s="4"/>
      <c r="BJ1989" s="4"/>
      <c r="BK1989" s="4"/>
      <c r="BL1989" s="4"/>
      <c r="BM1989" s="4"/>
      <c r="BN1989" s="4"/>
      <c r="BO1989" s="4"/>
      <c r="BP1989" s="4"/>
      <c r="BQ1989" s="4"/>
      <c r="BR1989" s="4"/>
      <c r="BS1989" s="4"/>
      <c r="BT1989" s="4"/>
      <c r="BU1989" s="4"/>
      <c r="BV1989" s="4"/>
      <c r="BW1989" s="4"/>
      <c r="BX1989" s="4"/>
      <c r="BY1989" s="4"/>
      <c r="BZ1989" s="4"/>
      <c r="CA1989" s="4"/>
      <c r="CB1989" s="4"/>
      <c r="CC1989" s="4"/>
      <c r="CD1989" s="4"/>
      <c r="CE1989" s="4"/>
      <c r="CF1989" s="4"/>
      <c r="CG1989" s="4"/>
      <c r="CH1989" s="4"/>
      <c r="CI1989" s="4"/>
      <c r="CJ1989" s="4"/>
      <c r="CK1989" s="4"/>
      <c r="CL1989" s="4"/>
      <c r="CM1989" s="4"/>
      <c r="CN1989" s="4"/>
      <c r="CO1989" s="4"/>
      <c r="CP1989" s="4"/>
      <c r="CQ1989" s="4"/>
      <c r="CR1989" s="4"/>
      <c r="CS1989" s="4"/>
      <c r="CT1989" s="4"/>
      <c r="CU1989" s="4"/>
      <c r="CV1989" s="4"/>
      <c r="CW1989" s="4"/>
      <c r="CX1989" s="4"/>
      <c r="CY1989" s="4"/>
      <c r="CZ1989" s="4"/>
      <c r="DA1989" s="4"/>
      <c r="DB1989" s="4"/>
      <c r="DC1989" s="4"/>
      <c r="DD1989" s="4"/>
      <c r="DE1989" s="4"/>
      <c r="DF1989" s="4"/>
      <c r="DG1989" s="4"/>
      <c r="DH1989" s="4"/>
      <c r="DI1989" s="4"/>
      <c r="DJ1989" s="4"/>
      <c r="DK1989" s="4"/>
      <c r="DL1989" s="4"/>
      <c r="DM1989" s="4"/>
      <c r="DN1989" s="4"/>
      <c r="DO1989" s="4"/>
      <c r="DP1989" s="4"/>
      <c r="DQ1989" s="4"/>
      <c r="DR1989" s="4"/>
      <c r="DS1989" s="4"/>
    </row>
    <row r="1990">
      <c r="A1990" s="4"/>
      <c r="B1990" s="4"/>
      <c r="C1990" s="4"/>
      <c r="D1990" s="4"/>
      <c r="E1990" s="4"/>
      <c r="F1990" s="4" t="s">
        <v>17</v>
      </c>
      <c r="G1990" s="15"/>
      <c r="H1990" s="4"/>
      <c r="I1990" s="4"/>
      <c r="J1990" s="4"/>
      <c r="K1990" s="4"/>
      <c r="L1990" s="4"/>
      <c r="M1990" s="4"/>
      <c r="N1990" s="4"/>
      <c r="O1990" s="4"/>
      <c r="P1990" s="4"/>
      <c r="Q1990" s="4"/>
      <c r="R1990" s="4"/>
      <c r="S1990" s="4"/>
      <c r="T1990" s="4"/>
      <c r="U1990" s="4"/>
      <c r="V1990" s="4"/>
      <c r="W1990" s="4"/>
      <c r="X1990" s="4"/>
      <c r="Y1990" s="4"/>
      <c r="Z1990" s="4"/>
      <c r="AA1990" s="4"/>
      <c r="AB1990" s="4"/>
      <c r="AC1990" s="4"/>
      <c r="AD1990" s="4"/>
      <c r="AE1990" s="4"/>
      <c r="AF1990" s="4"/>
      <c r="AG1990" s="4"/>
      <c r="AH1990" s="4"/>
      <c r="AI1990" s="4"/>
      <c r="AJ1990" s="4"/>
      <c r="AK1990" s="4"/>
      <c r="AL1990" s="4"/>
      <c r="AM1990" s="4"/>
      <c r="AN1990" s="4"/>
      <c r="AO1990" s="4"/>
      <c r="AP1990" s="4"/>
      <c r="AQ1990" s="4"/>
      <c r="AR1990" s="4"/>
      <c r="AS1990" s="4"/>
      <c r="AT1990" s="4"/>
      <c r="AU1990" s="4"/>
      <c r="AV1990" s="4"/>
      <c r="AW1990" s="4"/>
      <c r="AX1990" s="4"/>
      <c r="AY1990" s="4"/>
      <c r="AZ1990" s="4"/>
      <c r="BA1990" s="4"/>
      <c r="BB1990" s="4"/>
      <c r="BC1990" s="4"/>
      <c r="BD1990" s="4"/>
      <c r="BE1990" s="4"/>
      <c r="BF1990" s="4"/>
      <c r="BG1990" s="4"/>
      <c r="BH1990" s="4"/>
      <c r="BI1990" s="4"/>
      <c r="BJ1990" s="4"/>
      <c r="BK1990" s="4"/>
      <c r="BL1990" s="4"/>
      <c r="BM1990" s="4"/>
      <c r="BN1990" s="4"/>
      <c r="BO1990" s="4"/>
      <c r="BP1990" s="4"/>
      <c r="BQ1990" s="4"/>
      <c r="BR1990" s="4"/>
      <c r="BS1990" s="4"/>
      <c r="BT1990" s="4"/>
      <c r="BU1990" s="4"/>
      <c r="BV1990" s="4"/>
      <c r="BW1990" s="4"/>
      <c r="BX1990" s="4"/>
      <c r="BY1990" s="4"/>
      <c r="BZ1990" s="4"/>
      <c r="CA1990" s="4"/>
      <c r="CB1990" s="4"/>
      <c r="CC1990" s="4"/>
      <c r="CD1990" s="4"/>
      <c r="CE1990" s="4"/>
      <c r="CF1990" s="4"/>
      <c r="CG1990" s="4"/>
      <c r="CH1990" s="4"/>
      <c r="CI1990" s="4"/>
      <c r="CJ1990" s="4"/>
      <c r="CK1990" s="4"/>
      <c r="CL1990" s="4"/>
      <c r="CM1990" s="4"/>
      <c r="CN1990" s="4"/>
      <c r="CO1990" s="4"/>
      <c r="CP1990" s="4"/>
      <c r="CQ1990" s="4"/>
      <c r="CR1990" s="4"/>
      <c r="CS1990" s="4"/>
      <c r="CT1990" s="4"/>
      <c r="CU1990" s="4"/>
      <c r="CV1990" s="4"/>
      <c r="CW1990" s="4"/>
      <c r="CX1990" s="4"/>
      <c r="CY1990" s="4"/>
      <c r="CZ1990" s="4"/>
      <c r="DA1990" s="4"/>
      <c r="DB1990" s="4"/>
      <c r="DC1990" s="4"/>
      <c r="DD1990" s="4"/>
      <c r="DE1990" s="4"/>
      <c r="DF1990" s="4"/>
      <c r="DG1990" s="4"/>
      <c r="DH1990" s="4"/>
      <c r="DI1990" s="4"/>
      <c r="DJ1990" s="4"/>
      <c r="DK1990" s="4"/>
      <c r="DL1990" s="4"/>
      <c r="DM1990" s="4"/>
      <c r="DN1990" s="4"/>
      <c r="DO1990" s="4"/>
      <c r="DP1990" s="4"/>
      <c r="DQ1990" s="4"/>
      <c r="DR1990" s="4"/>
      <c r="DS1990" s="4"/>
    </row>
    <row r="1991">
      <c r="A1991" s="4"/>
      <c r="B1991" s="4"/>
      <c r="C1991" s="4"/>
      <c r="D1991" s="4"/>
      <c r="E1991" s="4"/>
      <c r="F1991" s="4" t="s">
        <v>17</v>
      </c>
      <c r="G1991" s="15"/>
      <c r="H1991" s="4"/>
      <c r="I1991" s="4"/>
      <c r="J1991" s="4"/>
      <c r="K1991" s="4"/>
      <c r="L1991" s="4"/>
      <c r="M1991" s="4"/>
      <c r="N1991" s="4"/>
      <c r="O1991" s="4"/>
      <c r="P1991" s="4"/>
      <c r="Q1991" s="4"/>
      <c r="R1991" s="4"/>
      <c r="S1991" s="4"/>
      <c r="T1991" s="4"/>
      <c r="U1991" s="4"/>
      <c r="V1991" s="4"/>
      <c r="W1991" s="4"/>
      <c r="X1991" s="4"/>
      <c r="Y1991" s="4"/>
      <c r="Z1991" s="4"/>
      <c r="AA1991" s="4"/>
      <c r="AB1991" s="4"/>
      <c r="AC1991" s="4"/>
      <c r="AD1991" s="4"/>
      <c r="AE1991" s="4"/>
      <c r="AF1991" s="4"/>
      <c r="AG1991" s="4"/>
      <c r="AH1991" s="4"/>
      <c r="AI1991" s="4"/>
      <c r="AJ1991" s="4"/>
      <c r="AK1991" s="4"/>
      <c r="AL1991" s="4"/>
      <c r="AM1991" s="4"/>
      <c r="AN1991" s="4"/>
      <c r="AO1991" s="4"/>
      <c r="AP1991" s="4"/>
      <c r="AQ1991" s="4"/>
      <c r="AR1991" s="4"/>
      <c r="AS1991" s="4"/>
      <c r="AT1991" s="4"/>
      <c r="AU1991" s="4"/>
      <c r="AV1991" s="4"/>
      <c r="AW1991" s="4"/>
      <c r="AX1991" s="4"/>
      <c r="AY1991" s="4"/>
      <c r="AZ1991" s="4"/>
      <c r="BA1991" s="4"/>
      <c r="BB1991" s="4"/>
      <c r="BC1991" s="4"/>
      <c r="BD1991" s="4"/>
      <c r="BE1991" s="4"/>
      <c r="BF1991" s="4"/>
      <c r="BG1991" s="4"/>
      <c r="BH1991" s="4"/>
      <c r="BI1991" s="4"/>
      <c r="BJ1991" s="4"/>
      <c r="BK1991" s="4"/>
      <c r="BL1991" s="4"/>
      <c r="BM1991" s="4"/>
      <c r="BN1991" s="4"/>
      <c r="BO1991" s="4"/>
      <c r="BP1991" s="4"/>
      <c r="BQ1991" s="4"/>
      <c r="BR1991" s="4"/>
      <c r="BS1991" s="4"/>
      <c r="BT1991" s="4"/>
      <c r="BU1991" s="4"/>
      <c r="BV1991" s="4"/>
      <c r="BW1991" s="4"/>
      <c r="BX1991" s="4"/>
      <c r="BY1991" s="4"/>
      <c r="BZ1991" s="4"/>
      <c r="CA1991" s="4"/>
      <c r="CB1991" s="4"/>
      <c r="CC1991" s="4"/>
      <c r="CD1991" s="4"/>
      <c r="CE1991" s="4"/>
      <c r="CF1991" s="4"/>
      <c r="CG1991" s="4"/>
      <c r="CH1991" s="4"/>
      <c r="CI1991" s="4"/>
      <c r="CJ1991" s="4"/>
      <c r="CK1991" s="4"/>
      <c r="CL1991" s="4"/>
      <c r="CM1991" s="4"/>
      <c r="CN1991" s="4"/>
      <c r="CO1991" s="4"/>
      <c r="CP1991" s="4"/>
      <c r="CQ1991" s="4"/>
      <c r="CR1991" s="4"/>
      <c r="CS1991" s="4"/>
      <c r="CT1991" s="4"/>
      <c r="CU1991" s="4"/>
      <c r="CV1991" s="4"/>
      <c r="CW1991" s="4"/>
      <c r="CX1991" s="4"/>
      <c r="CY1991" s="4"/>
      <c r="CZ1991" s="4"/>
      <c r="DA1991" s="4"/>
      <c r="DB1991" s="4"/>
      <c r="DC1991" s="4"/>
      <c r="DD1991" s="4"/>
      <c r="DE1991" s="4"/>
      <c r="DF1991" s="4"/>
      <c r="DG1991" s="4"/>
      <c r="DH1991" s="4"/>
      <c r="DI1991" s="4"/>
      <c r="DJ1991" s="4"/>
      <c r="DK1991" s="4"/>
      <c r="DL1991" s="4"/>
      <c r="DM1991" s="4"/>
      <c r="DN1991" s="4"/>
      <c r="DO1991" s="4"/>
      <c r="DP1991" s="4"/>
      <c r="DQ1991" s="4"/>
      <c r="DR1991" s="4"/>
      <c r="DS1991" s="4"/>
    </row>
    <row r="1992">
      <c r="A1992" s="4"/>
      <c r="B1992" s="4"/>
      <c r="C1992" s="4"/>
      <c r="D1992" s="4"/>
      <c r="E1992" s="4"/>
      <c r="F1992" s="4" t="s">
        <v>17</v>
      </c>
      <c r="G1992" s="15"/>
      <c r="H1992" s="4"/>
      <c r="I1992" s="4"/>
      <c r="J1992" s="4"/>
      <c r="K1992" s="4"/>
      <c r="L1992" s="4"/>
      <c r="M1992" s="4"/>
      <c r="N1992" s="4"/>
      <c r="O1992" s="4"/>
      <c r="P1992" s="4"/>
      <c r="Q1992" s="4"/>
      <c r="R1992" s="4"/>
      <c r="S1992" s="4"/>
      <c r="T1992" s="4"/>
      <c r="U1992" s="4"/>
      <c r="V1992" s="4"/>
      <c r="W1992" s="4"/>
      <c r="X1992" s="4"/>
      <c r="Y1992" s="4"/>
      <c r="Z1992" s="4"/>
      <c r="AA1992" s="4"/>
      <c r="AB1992" s="4"/>
      <c r="AC1992" s="4"/>
      <c r="AD1992" s="4"/>
      <c r="AE1992" s="4"/>
      <c r="AF1992" s="4"/>
      <c r="AG1992" s="4"/>
      <c r="AH1992" s="4"/>
      <c r="AI1992" s="4"/>
      <c r="AJ1992" s="4"/>
      <c r="AK1992" s="4"/>
      <c r="AL1992" s="4"/>
      <c r="AM1992" s="4"/>
      <c r="AN1992" s="4"/>
      <c r="AO1992" s="4"/>
      <c r="AP1992" s="4"/>
      <c r="AQ1992" s="4"/>
      <c r="AR1992" s="4"/>
      <c r="AS1992" s="4"/>
      <c r="AT1992" s="4"/>
      <c r="AU1992" s="4"/>
      <c r="AV1992" s="4"/>
      <c r="AW1992" s="4"/>
      <c r="AX1992" s="4"/>
      <c r="AY1992" s="4"/>
      <c r="AZ1992" s="4"/>
      <c r="BA1992" s="4"/>
      <c r="BB1992" s="4"/>
      <c r="BC1992" s="4"/>
      <c r="BD1992" s="4"/>
      <c r="BE1992" s="4"/>
      <c r="BF1992" s="4"/>
      <c r="BG1992" s="4"/>
      <c r="BH1992" s="4"/>
      <c r="BI1992" s="4"/>
      <c r="BJ1992" s="4"/>
      <c r="BK1992" s="4"/>
      <c r="BL1992" s="4"/>
      <c r="BM1992" s="4"/>
      <c r="BN1992" s="4"/>
      <c r="BO1992" s="4"/>
      <c r="BP1992" s="4"/>
      <c r="BQ1992" s="4"/>
      <c r="BR1992" s="4"/>
      <c r="BS1992" s="4"/>
      <c r="BT1992" s="4"/>
      <c r="BU1992" s="4"/>
      <c r="BV1992" s="4"/>
      <c r="BW1992" s="4"/>
      <c r="BX1992" s="4"/>
      <c r="BY1992" s="4"/>
      <c r="BZ1992" s="4"/>
      <c r="CA1992" s="4"/>
      <c r="CB1992" s="4"/>
      <c r="CC1992" s="4"/>
      <c r="CD1992" s="4"/>
      <c r="CE1992" s="4"/>
      <c r="CF1992" s="4"/>
      <c r="CG1992" s="4"/>
      <c r="CH1992" s="4"/>
      <c r="CI1992" s="4"/>
      <c r="CJ1992" s="4"/>
      <c r="CK1992" s="4"/>
      <c r="CL1992" s="4"/>
      <c r="CM1992" s="4"/>
      <c r="CN1992" s="4"/>
      <c r="CO1992" s="4"/>
      <c r="CP1992" s="4"/>
      <c r="CQ1992" s="4"/>
      <c r="CR1992" s="4"/>
      <c r="CS1992" s="4"/>
      <c r="CT1992" s="4"/>
      <c r="CU1992" s="4"/>
      <c r="CV1992" s="4"/>
      <c r="CW1992" s="4"/>
      <c r="CX1992" s="4"/>
      <c r="CY1992" s="4"/>
      <c r="CZ1992" s="4"/>
      <c r="DA1992" s="4"/>
      <c r="DB1992" s="4"/>
      <c r="DC1992" s="4"/>
      <c r="DD1992" s="4"/>
      <c r="DE1992" s="4"/>
      <c r="DF1992" s="4"/>
      <c r="DG1992" s="4"/>
      <c r="DH1992" s="4"/>
      <c r="DI1992" s="4"/>
      <c r="DJ1992" s="4"/>
      <c r="DK1992" s="4"/>
      <c r="DL1992" s="4"/>
      <c r="DM1992" s="4"/>
      <c r="DN1992" s="4"/>
      <c r="DO1992" s="4"/>
      <c r="DP1992" s="4"/>
      <c r="DQ1992" s="4"/>
      <c r="DR1992" s="4"/>
      <c r="DS1992" s="4"/>
    </row>
    <row r="1993">
      <c r="A1993" s="4"/>
      <c r="B1993" s="4"/>
      <c r="C1993" s="4"/>
      <c r="D1993" s="4"/>
      <c r="E1993" s="4"/>
      <c r="F1993" s="4" t="s">
        <v>17</v>
      </c>
      <c r="G1993" s="15"/>
      <c r="H1993" s="4"/>
      <c r="I1993" s="4"/>
      <c r="J1993" s="4"/>
      <c r="K1993" s="4"/>
      <c r="L1993" s="4"/>
      <c r="M1993" s="4"/>
      <c r="N1993" s="4"/>
      <c r="O1993" s="4"/>
      <c r="P1993" s="4"/>
      <c r="Q1993" s="4"/>
      <c r="R1993" s="4"/>
      <c r="S1993" s="4"/>
      <c r="T1993" s="4"/>
      <c r="U1993" s="4"/>
      <c r="V1993" s="4"/>
      <c r="W1993" s="4"/>
      <c r="X1993" s="4"/>
      <c r="Y1993" s="4"/>
      <c r="Z1993" s="4"/>
      <c r="AA1993" s="4"/>
      <c r="AB1993" s="4"/>
      <c r="AC1993" s="4"/>
      <c r="AD1993" s="4"/>
      <c r="AE1993" s="4"/>
      <c r="AF1993" s="4"/>
      <c r="AG1993" s="4"/>
      <c r="AH1993" s="4"/>
      <c r="AI1993" s="4"/>
      <c r="AJ1993" s="4"/>
      <c r="AK1993" s="4"/>
      <c r="AL1993" s="4"/>
      <c r="AM1993" s="4"/>
      <c r="AN1993" s="4"/>
      <c r="AO1993" s="4"/>
      <c r="AP1993" s="4"/>
      <c r="AQ1993" s="4"/>
      <c r="AR1993" s="4"/>
      <c r="AS1993" s="4"/>
      <c r="AT1993" s="4"/>
      <c r="AU1993" s="4"/>
      <c r="AV1993" s="4"/>
      <c r="AW1993" s="4"/>
      <c r="AX1993" s="4"/>
      <c r="AY1993" s="4"/>
      <c r="AZ1993" s="4"/>
      <c r="BA1993" s="4"/>
      <c r="BB1993" s="4"/>
      <c r="BC1993" s="4"/>
      <c r="BD1993" s="4"/>
      <c r="BE1993" s="4"/>
      <c r="BF1993" s="4"/>
      <c r="BG1993" s="4"/>
      <c r="BH1993" s="4"/>
      <c r="BI1993" s="4"/>
      <c r="BJ1993" s="4"/>
      <c r="BK1993" s="4"/>
      <c r="BL1993" s="4"/>
      <c r="BM1993" s="4"/>
      <c r="BN1993" s="4"/>
      <c r="BO1993" s="4"/>
      <c r="BP1993" s="4"/>
      <c r="BQ1993" s="4"/>
      <c r="BR1993" s="4"/>
      <c r="BS1993" s="4"/>
      <c r="BT1993" s="4"/>
      <c r="BU1993" s="4"/>
      <c r="BV1993" s="4"/>
      <c r="BW1993" s="4"/>
      <c r="BX1993" s="4"/>
      <c r="BY1993" s="4"/>
      <c r="BZ1993" s="4"/>
      <c r="CA1993" s="4"/>
      <c r="CB1993" s="4"/>
      <c r="CC1993" s="4"/>
      <c r="CD1993" s="4"/>
      <c r="CE1993" s="4"/>
      <c r="CF1993" s="4"/>
      <c r="CG1993" s="4"/>
      <c r="CH1993" s="4"/>
      <c r="CI1993" s="4"/>
      <c r="CJ1993" s="4"/>
      <c r="CK1993" s="4"/>
      <c r="CL1993" s="4"/>
      <c r="CM1993" s="4"/>
      <c r="CN1993" s="4"/>
      <c r="CO1993" s="4"/>
      <c r="CP1993" s="4"/>
      <c r="CQ1993" s="4"/>
      <c r="CR1993" s="4"/>
      <c r="CS1993" s="4"/>
      <c r="CT1993" s="4"/>
      <c r="CU1993" s="4"/>
      <c r="CV1993" s="4"/>
      <c r="CW1993" s="4"/>
      <c r="CX1993" s="4"/>
      <c r="CY1993" s="4"/>
      <c r="CZ1993" s="4"/>
      <c r="DA1993" s="4"/>
      <c r="DB1993" s="4"/>
      <c r="DC1993" s="4"/>
      <c r="DD1993" s="4"/>
      <c r="DE1993" s="4"/>
      <c r="DF1993" s="4"/>
      <c r="DG1993" s="4"/>
      <c r="DH1993" s="4"/>
      <c r="DI1993" s="4"/>
      <c r="DJ1993" s="4"/>
      <c r="DK1993" s="4"/>
      <c r="DL1993" s="4"/>
      <c r="DM1993" s="4"/>
      <c r="DN1993" s="4"/>
      <c r="DO1993" s="4"/>
      <c r="DP1993" s="4"/>
      <c r="DQ1993" s="4"/>
      <c r="DR1993" s="4"/>
      <c r="DS1993" s="4"/>
    </row>
    <row r="1994">
      <c r="A1994" s="4"/>
      <c r="B1994" s="4"/>
      <c r="C1994" s="4"/>
      <c r="D1994" s="4"/>
      <c r="E1994" s="4"/>
      <c r="F1994" s="4" t="s">
        <v>17</v>
      </c>
      <c r="G1994" s="15"/>
      <c r="H1994" s="4"/>
      <c r="I1994" s="4"/>
      <c r="J1994" s="4"/>
      <c r="K1994" s="4"/>
      <c r="L1994" s="4"/>
      <c r="M1994" s="4"/>
      <c r="N1994" s="4"/>
      <c r="O1994" s="4"/>
      <c r="P1994" s="4"/>
      <c r="Q1994" s="4"/>
      <c r="R1994" s="4"/>
      <c r="S1994" s="4"/>
      <c r="T1994" s="4"/>
      <c r="U1994" s="4"/>
      <c r="V1994" s="4"/>
      <c r="W1994" s="4"/>
      <c r="X1994" s="4"/>
      <c r="Y1994" s="4"/>
      <c r="Z1994" s="4"/>
      <c r="AA1994" s="4"/>
      <c r="AB1994" s="4"/>
      <c r="AC1994" s="4"/>
      <c r="AD1994" s="4"/>
      <c r="AE1994" s="4"/>
      <c r="AF1994" s="4"/>
      <c r="AG1994" s="4"/>
      <c r="AH1994" s="4"/>
      <c r="AI1994" s="4"/>
      <c r="AJ1994" s="4"/>
      <c r="AK1994" s="4"/>
      <c r="AL1994" s="4"/>
      <c r="AM1994" s="4"/>
      <c r="AN1994" s="4"/>
      <c r="AO1994" s="4"/>
      <c r="AP1994" s="4"/>
      <c r="AQ1994" s="4"/>
      <c r="AR1994" s="4"/>
      <c r="AS1994" s="4"/>
      <c r="AT1994" s="4"/>
      <c r="AU1994" s="4"/>
      <c r="AV1994" s="4"/>
      <c r="AW1994" s="4"/>
      <c r="AX1994" s="4"/>
      <c r="AY1994" s="4"/>
      <c r="AZ1994" s="4"/>
      <c r="BA1994" s="4"/>
      <c r="BB1994" s="4"/>
      <c r="BC1994" s="4"/>
      <c r="BD1994" s="4"/>
      <c r="BE1994" s="4"/>
      <c r="BF1994" s="4"/>
      <c r="BG1994" s="4"/>
      <c r="BH1994" s="4"/>
      <c r="BI1994" s="4"/>
      <c r="BJ1994" s="4"/>
      <c r="BK1994" s="4"/>
      <c r="BL1994" s="4"/>
      <c r="BM1994" s="4"/>
      <c r="BN1994" s="4"/>
      <c r="BO1994" s="4"/>
      <c r="BP1994" s="4"/>
      <c r="BQ1994" s="4"/>
      <c r="BR1994" s="4"/>
      <c r="BS1994" s="4"/>
      <c r="BT1994" s="4"/>
      <c r="BU1994" s="4"/>
      <c r="BV1994" s="4"/>
      <c r="BW1994" s="4"/>
      <c r="BX1994" s="4"/>
      <c r="BY1994" s="4"/>
      <c r="BZ1994" s="4"/>
      <c r="CA1994" s="4"/>
      <c r="CB1994" s="4"/>
      <c r="CC1994" s="4"/>
      <c r="CD1994" s="4"/>
      <c r="CE1994" s="4"/>
      <c r="CF1994" s="4"/>
      <c r="CG1994" s="4"/>
      <c r="CH1994" s="4"/>
      <c r="CI1994" s="4"/>
      <c r="CJ1994" s="4"/>
      <c r="CK1994" s="4"/>
      <c r="CL1994" s="4"/>
      <c r="CM1994" s="4"/>
      <c r="CN1994" s="4"/>
      <c r="CO1994" s="4"/>
      <c r="CP1994" s="4"/>
      <c r="CQ1994" s="4"/>
      <c r="CR1994" s="4"/>
      <c r="CS1994" s="4"/>
      <c r="CT1994" s="4"/>
      <c r="CU1994" s="4"/>
      <c r="CV1994" s="4"/>
      <c r="CW1994" s="4"/>
      <c r="CX1994" s="4"/>
      <c r="CY1994" s="4"/>
      <c r="CZ1994" s="4"/>
      <c r="DA1994" s="4"/>
      <c r="DB1994" s="4"/>
      <c r="DC1994" s="4"/>
      <c r="DD1994" s="4"/>
      <c r="DE1994" s="4"/>
      <c r="DF1994" s="4"/>
      <c r="DG1994" s="4"/>
      <c r="DH1994" s="4"/>
      <c r="DI1994" s="4"/>
      <c r="DJ1994" s="4"/>
      <c r="DK1994" s="4"/>
      <c r="DL1994" s="4"/>
      <c r="DM1994" s="4"/>
      <c r="DN1994" s="4"/>
      <c r="DO1994" s="4"/>
      <c r="DP1994" s="4"/>
      <c r="DQ1994" s="4"/>
      <c r="DR1994" s="4"/>
      <c r="DS1994" s="4"/>
    </row>
    <row r="1995">
      <c r="A1995" s="4"/>
      <c r="B1995" s="4"/>
      <c r="C1995" s="4"/>
      <c r="D1995" s="4"/>
      <c r="E1995" s="4"/>
      <c r="F1995" s="4" t="s">
        <v>17</v>
      </c>
      <c r="G1995" s="15"/>
      <c r="H1995" s="4"/>
      <c r="I1995" s="4"/>
      <c r="J1995" s="4"/>
      <c r="K1995" s="4"/>
      <c r="L1995" s="4"/>
      <c r="M1995" s="4"/>
      <c r="N1995" s="4"/>
      <c r="O1995" s="4"/>
      <c r="P1995" s="4"/>
      <c r="Q1995" s="4"/>
      <c r="R1995" s="4"/>
      <c r="S1995" s="4"/>
      <c r="T1995" s="4"/>
      <c r="U1995" s="4"/>
      <c r="V1995" s="4"/>
      <c r="W1995" s="4"/>
      <c r="X1995" s="4"/>
      <c r="Y1995" s="4"/>
      <c r="Z1995" s="4"/>
      <c r="AA1995" s="4"/>
      <c r="AB1995" s="4"/>
      <c r="AC1995" s="4"/>
      <c r="AD1995" s="4"/>
      <c r="AE1995" s="4"/>
      <c r="AF1995" s="4"/>
      <c r="AG1995" s="4"/>
      <c r="AH1995" s="4"/>
      <c r="AI1995" s="4"/>
      <c r="AJ1995" s="4"/>
      <c r="AK1995" s="4"/>
      <c r="AL1995" s="4"/>
      <c r="AM1995" s="4"/>
      <c r="AN1995" s="4"/>
      <c r="AO1995" s="4"/>
      <c r="AP1995" s="4"/>
      <c r="AQ1995" s="4"/>
      <c r="AR1995" s="4"/>
      <c r="AS1995" s="4"/>
      <c r="AT1995" s="4"/>
      <c r="AU1995" s="4"/>
      <c r="AV1995" s="4"/>
      <c r="AW1995" s="4"/>
      <c r="AX1995" s="4"/>
      <c r="AY1995" s="4"/>
      <c r="AZ1995" s="4"/>
      <c r="BA1995" s="4"/>
      <c r="BB1995" s="4"/>
      <c r="BC1995" s="4"/>
      <c r="BD1995" s="4"/>
      <c r="BE1995" s="4"/>
      <c r="BF1995" s="4"/>
      <c r="BG1995" s="4"/>
      <c r="BH1995" s="4"/>
      <c r="BI1995" s="4"/>
      <c r="BJ1995" s="4"/>
      <c r="BK1995" s="4"/>
      <c r="BL1995" s="4"/>
      <c r="BM1995" s="4"/>
      <c r="BN1995" s="4"/>
      <c r="BO1995" s="4"/>
      <c r="BP1995" s="4"/>
      <c r="BQ1995" s="4"/>
      <c r="BR1995" s="4"/>
      <c r="BS1995" s="4"/>
      <c r="BT1995" s="4"/>
      <c r="BU1995" s="4"/>
      <c r="BV1995" s="4"/>
      <c r="BW1995" s="4"/>
      <c r="BX1995" s="4"/>
      <c r="BY1995" s="4"/>
      <c r="BZ1995" s="4"/>
      <c r="CA1995" s="4"/>
      <c r="CB1995" s="4"/>
      <c r="CC1995" s="4"/>
      <c r="CD1995" s="4"/>
      <c r="CE1995" s="4"/>
      <c r="CF1995" s="4"/>
      <c r="CG1995" s="4"/>
      <c r="CH1995" s="4"/>
      <c r="CI1995" s="4"/>
      <c r="CJ1995" s="4"/>
      <c r="CK1995" s="4"/>
      <c r="CL1995" s="4"/>
      <c r="CM1995" s="4"/>
      <c r="CN1995" s="4"/>
      <c r="CO1995" s="4"/>
      <c r="CP1995" s="4"/>
      <c r="CQ1995" s="4"/>
      <c r="CR1995" s="4"/>
      <c r="CS1995" s="4"/>
      <c r="CT1995" s="4"/>
      <c r="CU1995" s="4"/>
      <c r="CV1995" s="4"/>
      <c r="CW1995" s="4"/>
      <c r="CX1995" s="4"/>
      <c r="CY1995" s="4"/>
      <c r="CZ1995" s="4"/>
      <c r="DA1995" s="4"/>
      <c r="DB1995" s="4"/>
      <c r="DC1995" s="4"/>
      <c r="DD1995" s="4"/>
      <c r="DE1995" s="4"/>
      <c r="DF1995" s="4"/>
      <c r="DG1995" s="4"/>
      <c r="DH1995" s="4"/>
      <c r="DI1995" s="4"/>
      <c r="DJ1995" s="4"/>
      <c r="DK1995" s="4"/>
      <c r="DL1995" s="4"/>
      <c r="DM1995" s="4"/>
      <c r="DN1995" s="4"/>
      <c r="DO1995" s="4"/>
      <c r="DP1995" s="4"/>
      <c r="DQ1995" s="4"/>
      <c r="DR1995" s="4"/>
      <c r="DS1995" s="4"/>
    </row>
    <row r="1996">
      <c r="A1996" s="4"/>
      <c r="B1996" s="4"/>
      <c r="C1996" s="4"/>
      <c r="D1996" s="4"/>
      <c r="E1996" s="4"/>
      <c r="F1996" s="4" t="s">
        <v>17</v>
      </c>
      <c r="G1996" s="15"/>
      <c r="H1996" s="4"/>
      <c r="I1996" s="4"/>
      <c r="J1996" s="4"/>
      <c r="K1996" s="4"/>
      <c r="L1996" s="4"/>
      <c r="M1996" s="4"/>
      <c r="N1996" s="4"/>
      <c r="O1996" s="4"/>
      <c r="P1996" s="4"/>
      <c r="Q1996" s="4"/>
      <c r="R1996" s="4"/>
      <c r="S1996" s="4"/>
      <c r="T1996" s="4"/>
      <c r="U1996" s="4"/>
      <c r="V1996" s="4"/>
      <c r="W1996" s="4"/>
      <c r="X1996" s="4"/>
      <c r="Y1996" s="4"/>
      <c r="Z1996" s="4"/>
      <c r="AA1996" s="4"/>
      <c r="AB1996" s="4"/>
      <c r="AC1996" s="4"/>
      <c r="AD1996" s="4"/>
      <c r="AE1996" s="4"/>
      <c r="AF1996" s="4"/>
      <c r="AG1996" s="4"/>
      <c r="AH1996" s="4"/>
      <c r="AI1996" s="4"/>
      <c r="AJ1996" s="4"/>
      <c r="AK1996" s="4"/>
      <c r="AL1996" s="4"/>
      <c r="AM1996" s="4"/>
      <c r="AN1996" s="4"/>
      <c r="AO1996" s="4"/>
      <c r="AP1996" s="4"/>
      <c r="AQ1996" s="4"/>
      <c r="AR1996" s="4"/>
      <c r="AS1996" s="4"/>
      <c r="AT1996" s="4"/>
      <c r="AU1996" s="4"/>
      <c r="AV1996" s="4"/>
      <c r="AW1996" s="4"/>
      <c r="AX1996" s="4"/>
      <c r="AY1996" s="4"/>
      <c r="AZ1996" s="4"/>
      <c r="BA1996" s="4"/>
      <c r="BB1996" s="4"/>
      <c r="BC1996" s="4"/>
      <c r="BD1996" s="4"/>
      <c r="BE1996" s="4"/>
      <c r="BF1996" s="4"/>
      <c r="BG1996" s="4"/>
      <c r="BH1996" s="4"/>
      <c r="BI1996" s="4"/>
      <c r="BJ1996" s="4"/>
      <c r="BK1996" s="4"/>
      <c r="BL1996" s="4"/>
      <c r="BM1996" s="4"/>
      <c r="BN1996" s="4"/>
      <c r="BO1996" s="4"/>
      <c r="BP1996" s="4"/>
      <c r="BQ1996" s="4"/>
      <c r="BR1996" s="4"/>
      <c r="BS1996" s="4"/>
      <c r="BT1996" s="4"/>
      <c r="BU1996" s="4"/>
      <c r="BV1996" s="4"/>
      <c r="BW1996" s="4"/>
      <c r="BX1996" s="4"/>
      <c r="BY1996" s="4"/>
      <c r="BZ1996" s="4"/>
      <c r="CA1996" s="4"/>
      <c r="CB1996" s="4"/>
      <c r="CC1996" s="4"/>
      <c r="CD1996" s="4"/>
      <c r="CE1996" s="4"/>
      <c r="CF1996" s="4"/>
      <c r="CG1996" s="4"/>
      <c r="CH1996" s="4"/>
      <c r="CI1996" s="4"/>
      <c r="CJ1996" s="4"/>
      <c r="CK1996" s="4"/>
      <c r="CL1996" s="4"/>
      <c r="CM1996" s="4"/>
      <c r="CN1996" s="4"/>
      <c r="CO1996" s="4"/>
      <c r="CP1996" s="4"/>
      <c r="CQ1996" s="4"/>
      <c r="CR1996" s="4"/>
      <c r="CS1996" s="4"/>
      <c r="CT1996" s="4"/>
      <c r="CU1996" s="4"/>
      <c r="CV1996" s="4"/>
      <c r="CW1996" s="4"/>
      <c r="CX1996" s="4"/>
      <c r="CY1996" s="4"/>
      <c r="CZ1996" s="4"/>
      <c r="DA1996" s="4"/>
      <c r="DB1996" s="4"/>
      <c r="DC1996" s="4"/>
      <c r="DD1996" s="4"/>
      <c r="DE1996" s="4"/>
      <c r="DF1996" s="4"/>
      <c r="DG1996" s="4"/>
      <c r="DH1996" s="4"/>
      <c r="DI1996" s="4"/>
      <c r="DJ1996" s="4"/>
      <c r="DK1996" s="4"/>
      <c r="DL1996" s="4"/>
      <c r="DM1996" s="4"/>
      <c r="DN1996" s="4"/>
      <c r="DO1996" s="4"/>
      <c r="DP1996" s="4"/>
      <c r="DQ1996" s="4"/>
      <c r="DR1996" s="4"/>
      <c r="DS1996" s="4"/>
    </row>
    <row r="1997">
      <c r="A1997" s="4"/>
      <c r="B1997" s="4"/>
      <c r="C1997" s="4"/>
      <c r="D1997" s="4"/>
      <c r="E1997" s="4"/>
      <c r="F1997" s="4" t="s">
        <v>17</v>
      </c>
      <c r="G1997" s="15"/>
      <c r="H1997" s="4"/>
      <c r="I1997" s="4"/>
      <c r="J1997" s="4"/>
      <c r="K1997" s="4"/>
      <c r="L1997" s="4"/>
      <c r="M1997" s="4"/>
      <c r="N1997" s="4"/>
      <c r="O1997" s="4"/>
      <c r="P1997" s="4"/>
      <c r="Q1997" s="4"/>
      <c r="R1997" s="4"/>
      <c r="S1997" s="4"/>
      <c r="T1997" s="4"/>
      <c r="U1997" s="4"/>
      <c r="V1997" s="4"/>
      <c r="W1997" s="4"/>
      <c r="X1997" s="4"/>
      <c r="Y1997" s="4"/>
      <c r="Z1997" s="4"/>
      <c r="AA1997" s="4"/>
      <c r="AB1997" s="4"/>
      <c r="AC1997" s="4"/>
      <c r="AD1997" s="4"/>
      <c r="AE1997" s="4"/>
      <c r="AF1997" s="4"/>
      <c r="AG1997" s="4"/>
      <c r="AH1997" s="4"/>
      <c r="AI1997" s="4"/>
      <c r="AJ1997" s="4"/>
      <c r="AK1997" s="4"/>
      <c r="AL1997" s="4"/>
      <c r="AM1997" s="4"/>
      <c r="AN1997" s="4"/>
      <c r="AO1997" s="4"/>
      <c r="AP1997" s="4"/>
      <c r="AQ1997" s="4"/>
      <c r="AR1997" s="4"/>
      <c r="AS1997" s="4"/>
      <c r="AT1997" s="4"/>
      <c r="AU1997" s="4"/>
      <c r="AV1997" s="4"/>
      <c r="AW1997" s="4"/>
      <c r="AX1997" s="4"/>
      <c r="AY1997" s="4"/>
      <c r="AZ1997" s="4"/>
      <c r="BA1997" s="4"/>
      <c r="BB1997" s="4"/>
      <c r="BC1997" s="4"/>
      <c r="BD1997" s="4"/>
      <c r="BE1997" s="4"/>
      <c r="BF1997" s="4"/>
      <c r="BG1997" s="4"/>
      <c r="BH1997" s="4"/>
      <c r="BI1997" s="4"/>
      <c r="BJ1997" s="4"/>
      <c r="BK1997" s="4"/>
      <c r="BL1997" s="4"/>
      <c r="BM1997" s="4"/>
      <c r="BN1997" s="4"/>
      <c r="BO1997" s="4"/>
      <c r="BP1997" s="4"/>
      <c r="BQ1997" s="4"/>
      <c r="BR1997" s="4"/>
      <c r="BS1997" s="4"/>
      <c r="BT1997" s="4"/>
      <c r="BU1997" s="4"/>
      <c r="BV1997" s="4"/>
      <c r="BW1997" s="4"/>
      <c r="BX1997" s="4"/>
      <c r="BY1997" s="4"/>
      <c r="BZ1997" s="4"/>
      <c r="CA1997" s="4"/>
      <c r="CB1997" s="4"/>
      <c r="CC1997" s="4"/>
      <c r="CD1997" s="4"/>
      <c r="CE1997" s="4"/>
      <c r="CF1997" s="4"/>
      <c r="CG1997" s="4"/>
      <c r="CH1997" s="4"/>
      <c r="CI1997" s="4"/>
      <c r="CJ1997" s="4"/>
      <c r="CK1997" s="4"/>
      <c r="CL1997" s="4"/>
      <c r="CM1997" s="4"/>
      <c r="CN1997" s="4"/>
      <c r="CO1997" s="4"/>
      <c r="CP1997" s="4"/>
      <c r="CQ1997" s="4"/>
      <c r="CR1997" s="4"/>
      <c r="CS1997" s="4"/>
      <c r="CT1997" s="4"/>
      <c r="CU1997" s="4"/>
      <c r="CV1997" s="4"/>
      <c r="CW1997" s="4"/>
      <c r="CX1997" s="4"/>
      <c r="CY1997" s="4"/>
      <c r="CZ1997" s="4"/>
      <c r="DA1997" s="4"/>
      <c r="DB1997" s="4"/>
      <c r="DC1997" s="4"/>
      <c r="DD1997" s="4"/>
      <c r="DE1997" s="4"/>
      <c r="DF1997" s="4"/>
      <c r="DG1997" s="4"/>
      <c r="DH1997" s="4"/>
      <c r="DI1997" s="4"/>
      <c r="DJ1997" s="4"/>
      <c r="DK1997" s="4"/>
      <c r="DL1997" s="4"/>
      <c r="DM1997" s="4"/>
      <c r="DN1997" s="4"/>
      <c r="DO1997" s="4"/>
      <c r="DP1997" s="4"/>
      <c r="DQ1997" s="4"/>
      <c r="DR1997" s="4"/>
      <c r="DS1997" s="4"/>
    </row>
    <row r="1998">
      <c r="A1998" s="4"/>
      <c r="B1998" s="4"/>
      <c r="C1998" s="4"/>
      <c r="D1998" s="4"/>
      <c r="E1998" s="4"/>
      <c r="F1998" s="4" t="s">
        <v>17</v>
      </c>
      <c r="G1998" s="15"/>
      <c r="H1998" s="4"/>
      <c r="I1998" s="4"/>
      <c r="J1998" s="4"/>
      <c r="K1998" s="4"/>
      <c r="L1998" s="4"/>
      <c r="M1998" s="4"/>
      <c r="N1998" s="4"/>
      <c r="O1998" s="4"/>
      <c r="P1998" s="4"/>
      <c r="Q1998" s="4"/>
      <c r="R1998" s="4"/>
      <c r="S1998" s="4"/>
      <c r="T1998" s="4"/>
      <c r="U1998" s="4"/>
      <c r="V1998" s="4"/>
      <c r="W1998" s="4"/>
      <c r="X1998" s="4"/>
      <c r="Y1998" s="4"/>
      <c r="Z1998" s="4"/>
      <c r="AA1998" s="4"/>
      <c r="AB1998" s="4"/>
      <c r="AC1998" s="4"/>
      <c r="AD1998" s="4"/>
      <c r="AE1998" s="4"/>
      <c r="AF1998" s="4"/>
      <c r="AG1998" s="4"/>
      <c r="AH1998" s="4"/>
      <c r="AI1998" s="4"/>
      <c r="AJ1998" s="4"/>
      <c r="AK1998" s="4"/>
      <c r="AL1998" s="4"/>
      <c r="AM1998" s="4"/>
      <c r="AN1998" s="4"/>
      <c r="AO1998" s="4"/>
      <c r="AP1998" s="4"/>
      <c r="AQ1998" s="4"/>
      <c r="AR1998" s="4"/>
      <c r="AS1998" s="4"/>
      <c r="AT1998" s="4"/>
      <c r="AU1998" s="4"/>
      <c r="AV1998" s="4"/>
      <c r="AW1998" s="4"/>
      <c r="AX1998" s="4"/>
      <c r="AY1998" s="4"/>
      <c r="AZ1998" s="4"/>
      <c r="BA1998" s="4"/>
      <c r="BB1998" s="4"/>
      <c r="BC1998" s="4"/>
      <c r="BD1998" s="4"/>
      <c r="BE1998" s="4"/>
      <c r="BF1998" s="4"/>
      <c r="BG1998" s="4"/>
      <c r="BH1998" s="4"/>
      <c r="BI1998" s="4"/>
      <c r="BJ1998" s="4"/>
      <c r="BK1998" s="4"/>
      <c r="BL1998" s="4"/>
      <c r="BM1998" s="4"/>
      <c r="BN1998" s="4"/>
      <c r="BO1998" s="4"/>
      <c r="BP1998" s="4"/>
      <c r="BQ1998" s="4"/>
      <c r="BR1998" s="4"/>
      <c r="BS1998" s="4"/>
      <c r="BT1998" s="4"/>
      <c r="BU1998" s="4"/>
      <c r="BV1998" s="4"/>
      <c r="BW1998" s="4"/>
      <c r="BX1998" s="4"/>
      <c r="BY1998" s="4"/>
      <c r="BZ1998" s="4"/>
      <c r="CA1998" s="4"/>
      <c r="CB1998" s="4"/>
      <c r="CC1998" s="4"/>
      <c r="CD1998" s="4"/>
      <c r="CE1998" s="4"/>
      <c r="CF1998" s="4"/>
      <c r="CG1998" s="4"/>
      <c r="CH1998" s="4"/>
      <c r="CI1998" s="4"/>
      <c r="CJ1998" s="4"/>
      <c r="CK1998" s="4"/>
      <c r="CL1998" s="4"/>
      <c r="CM1998" s="4"/>
      <c r="CN1998" s="4"/>
      <c r="CO1998" s="4"/>
      <c r="CP1998" s="4"/>
      <c r="CQ1998" s="4"/>
      <c r="CR1998" s="4"/>
      <c r="CS1998" s="4"/>
      <c r="CT1998" s="4"/>
      <c r="CU1998" s="4"/>
      <c r="CV1998" s="4"/>
      <c r="CW1998" s="4"/>
      <c r="CX1998" s="4"/>
      <c r="CY1998" s="4"/>
      <c r="CZ1998" s="4"/>
      <c r="DA1998" s="4"/>
      <c r="DB1998" s="4"/>
      <c r="DC1998" s="4"/>
      <c r="DD1998" s="4"/>
      <c r="DE1998" s="4"/>
      <c r="DF1998" s="4"/>
      <c r="DG1998" s="4"/>
      <c r="DH1998" s="4"/>
      <c r="DI1998" s="4"/>
      <c r="DJ1998" s="4"/>
      <c r="DK1998" s="4"/>
      <c r="DL1998" s="4"/>
      <c r="DM1998" s="4"/>
      <c r="DN1998" s="4"/>
      <c r="DO1998" s="4"/>
      <c r="DP1998" s="4"/>
      <c r="DQ1998" s="4"/>
      <c r="DR1998" s="4"/>
      <c r="DS1998" s="4"/>
    </row>
    <row r="1999">
      <c r="A1999" s="4"/>
      <c r="B1999" s="4"/>
      <c r="C1999" s="4"/>
      <c r="D1999" s="4"/>
      <c r="E1999" s="4"/>
      <c r="F1999" s="4" t="s">
        <v>17</v>
      </c>
      <c r="G1999" s="15"/>
      <c r="H1999" s="4"/>
      <c r="I1999" s="4"/>
      <c r="J1999" s="4"/>
      <c r="K1999" s="4"/>
      <c r="L1999" s="4"/>
      <c r="M1999" s="4"/>
      <c r="N1999" s="4"/>
      <c r="O1999" s="4"/>
      <c r="P1999" s="4"/>
      <c r="Q1999" s="4"/>
      <c r="R1999" s="4"/>
      <c r="S1999" s="4"/>
      <c r="T1999" s="4"/>
      <c r="U1999" s="4"/>
      <c r="V1999" s="4"/>
      <c r="W1999" s="4"/>
      <c r="X1999" s="4"/>
      <c r="Y1999" s="4"/>
      <c r="Z1999" s="4"/>
      <c r="AA1999" s="4"/>
      <c r="AB1999" s="4"/>
      <c r="AC1999" s="4"/>
      <c r="AD1999" s="4"/>
      <c r="AE1999" s="4"/>
      <c r="AF1999" s="4"/>
      <c r="AG1999" s="4"/>
      <c r="AH1999" s="4"/>
      <c r="AI1999" s="4"/>
      <c r="AJ1999" s="4"/>
      <c r="AK1999" s="4"/>
      <c r="AL1999" s="4"/>
      <c r="AM1999" s="4"/>
      <c r="AN1999" s="4"/>
      <c r="AO1999" s="4"/>
      <c r="AP1999" s="4"/>
      <c r="AQ1999" s="4"/>
      <c r="AR1999" s="4"/>
      <c r="AS1999" s="4"/>
      <c r="AT1999" s="4"/>
      <c r="AU1999" s="4"/>
      <c r="AV1999" s="4"/>
      <c r="AW1999" s="4"/>
      <c r="AX1999" s="4"/>
      <c r="AY1999" s="4"/>
      <c r="AZ1999" s="4"/>
      <c r="BA1999" s="4"/>
      <c r="BB1999" s="4"/>
      <c r="BC1999" s="4"/>
      <c r="BD1999" s="4"/>
      <c r="BE1999" s="4"/>
      <c r="BF1999" s="4"/>
      <c r="BG1999" s="4"/>
      <c r="BH1999" s="4"/>
      <c r="BI1999" s="4"/>
      <c r="BJ1999" s="4"/>
      <c r="BK1999" s="4"/>
      <c r="BL1999" s="4"/>
      <c r="BM1999" s="4"/>
      <c r="BN1999" s="4"/>
      <c r="BO1999" s="4"/>
      <c r="BP1999" s="4"/>
      <c r="BQ1999" s="4"/>
      <c r="BR1999" s="4"/>
      <c r="BS1999" s="4"/>
      <c r="BT1999" s="4"/>
      <c r="BU1999" s="4"/>
      <c r="BV1999" s="4"/>
      <c r="BW1999" s="4"/>
      <c r="BX1999" s="4"/>
      <c r="BY1999" s="4"/>
      <c r="BZ1999" s="4"/>
      <c r="CA1999" s="4"/>
      <c r="CB1999" s="4"/>
      <c r="CC1999" s="4"/>
      <c r="CD1999" s="4"/>
      <c r="CE1999" s="4"/>
      <c r="CF1999" s="4"/>
      <c r="CG1999" s="4"/>
      <c r="CH1999" s="4"/>
      <c r="CI1999" s="4"/>
      <c r="CJ1999" s="4"/>
      <c r="CK1999" s="4"/>
      <c r="CL1999" s="4"/>
      <c r="CM1999" s="4"/>
      <c r="CN1999" s="4"/>
      <c r="CO1999" s="4"/>
      <c r="CP1999" s="4"/>
      <c r="CQ1999" s="4"/>
      <c r="CR1999" s="4"/>
      <c r="CS1999" s="4"/>
      <c r="CT1999" s="4"/>
      <c r="CU1999" s="4"/>
      <c r="CV1999" s="4"/>
      <c r="CW1999" s="4"/>
      <c r="CX1999" s="4"/>
      <c r="CY1999" s="4"/>
      <c r="CZ1999" s="4"/>
      <c r="DA1999" s="4"/>
      <c r="DB1999" s="4"/>
      <c r="DC1999" s="4"/>
      <c r="DD1999" s="4"/>
      <c r="DE1999" s="4"/>
      <c r="DF1999" s="4"/>
      <c r="DG1999" s="4"/>
      <c r="DH1999" s="4"/>
      <c r="DI1999" s="4"/>
      <c r="DJ1999" s="4"/>
      <c r="DK1999" s="4"/>
      <c r="DL1999" s="4"/>
      <c r="DM1999" s="4"/>
      <c r="DN1999" s="4"/>
      <c r="DO1999" s="4"/>
      <c r="DP1999" s="4"/>
      <c r="DQ1999" s="4"/>
      <c r="DR1999" s="4"/>
      <c r="DS1999" s="4"/>
    </row>
    <row r="2000">
      <c r="A2000" s="4"/>
      <c r="B2000" s="4"/>
      <c r="C2000" s="4"/>
      <c r="D2000" s="4"/>
      <c r="E2000" s="4"/>
      <c r="F2000" s="4" t="s">
        <v>17</v>
      </c>
      <c r="G2000" s="15"/>
      <c r="H2000" s="4"/>
      <c r="I2000" s="4"/>
      <c r="J2000" s="4"/>
      <c r="K2000" s="4"/>
      <c r="L2000" s="4"/>
      <c r="M2000" s="4"/>
      <c r="N2000" s="4"/>
      <c r="O2000" s="4"/>
      <c r="P2000" s="4"/>
      <c r="Q2000" s="4"/>
      <c r="R2000" s="4"/>
      <c r="S2000" s="4"/>
      <c r="T2000" s="4"/>
      <c r="U2000" s="4"/>
      <c r="V2000" s="4"/>
      <c r="W2000" s="4"/>
      <c r="X2000" s="4"/>
      <c r="Y2000" s="4"/>
      <c r="Z2000" s="4"/>
      <c r="AA2000" s="4"/>
      <c r="AB2000" s="4"/>
      <c r="AC2000" s="4"/>
      <c r="AD2000" s="4"/>
      <c r="AE2000" s="4"/>
      <c r="AF2000" s="4"/>
      <c r="AG2000" s="4"/>
      <c r="AH2000" s="4"/>
      <c r="AI2000" s="4"/>
      <c r="AJ2000" s="4"/>
      <c r="AK2000" s="4"/>
      <c r="AL2000" s="4"/>
      <c r="AM2000" s="4"/>
      <c r="AN2000" s="4"/>
      <c r="AO2000" s="4"/>
      <c r="AP2000" s="4"/>
      <c r="AQ2000" s="4"/>
      <c r="AR2000" s="4"/>
      <c r="AS2000" s="4"/>
      <c r="AT2000" s="4"/>
      <c r="AU2000" s="4"/>
      <c r="AV2000" s="4"/>
      <c r="AW2000" s="4"/>
      <c r="AX2000" s="4"/>
      <c r="AY2000" s="4"/>
      <c r="AZ2000" s="4"/>
      <c r="BA2000" s="4"/>
      <c r="BB2000" s="4"/>
      <c r="BC2000" s="4"/>
      <c r="BD2000" s="4"/>
      <c r="BE2000" s="4"/>
      <c r="BF2000" s="4"/>
      <c r="BG2000" s="4"/>
      <c r="BH2000" s="4"/>
      <c r="BI2000" s="4"/>
      <c r="BJ2000" s="4"/>
      <c r="BK2000" s="4"/>
      <c r="BL2000" s="4"/>
      <c r="BM2000" s="4"/>
      <c r="BN2000" s="4"/>
      <c r="BO2000" s="4"/>
      <c r="BP2000" s="4"/>
      <c r="BQ2000" s="4"/>
      <c r="BR2000" s="4"/>
      <c r="BS2000" s="4"/>
      <c r="BT2000" s="4"/>
      <c r="BU2000" s="4"/>
      <c r="BV2000" s="4"/>
      <c r="BW2000" s="4"/>
      <c r="BX2000" s="4"/>
      <c r="BY2000" s="4"/>
      <c r="BZ2000" s="4"/>
      <c r="CA2000" s="4"/>
      <c r="CB2000" s="4"/>
      <c r="CC2000" s="4"/>
      <c r="CD2000" s="4"/>
      <c r="CE2000" s="4"/>
      <c r="CF2000" s="4"/>
      <c r="CG2000" s="4"/>
      <c r="CH2000" s="4"/>
      <c r="CI2000" s="4"/>
      <c r="CJ2000" s="4"/>
      <c r="CK2000" s="4"/>
      <c r="CL2000" s="4"/>
      <c r="CM2000" s="4"/>
      <c r="CN2000" s="4"/>
      <c r="CO2000" s="4"/>
      <c r="CP2000" s="4"/>
      <c r="CQ2000" s="4"/>
      <c r="CR2000" s="4"/>
      <c r="CS2000" s="4"/>
      <c r="CT2000" s="4"/>
      <c r="CU2000" s="4"/>
      <c r="CV2000" s="4"/>
      <c r="CW2000" s="4"/>
      <c r="CX2000" s="4"/>
      <c r="CY2000" s="4"/>
      <c r="CZ2000" s="4"/>
      <c r="DA2000" s="4"/>
      <c r="DB2000" s="4"/>
      <c r="DC2000" s="4"/>
      <c r="DD2000" s="4"/>
      <c r="DE2000" s="4"/>
      <c r="DF2000" s="4"/>
      <c r="DG2000" s="4"/>
      <c r="DH2000" s="4"/>
      <c r="DI2000" s="4"/>
      <c r="DJ2000" s="4"/>
      <c r="DK2000" s="4"/>
      <c r="DL2000" s="4"/>
      <c r="DM2000" s="4"/>
      <c r="DN2000" s="4"/>
      <c r="DO2000" s="4"/>
      <c r="DP2000" s="4"/>
      <c r="DQ2000" s="4"/>
      <c r="DR2000" s="4"/>
      <c r="DS2000" s="4"/>
    </row>
    <row r="2001">
      <c r="A2001" s="4"/>
      <c r="B2001" s="4"/>
      <c r="C2001" s="4"/>
      <c r="D2001" s="4"/>
      <c r="E2001" s="4"/>
      <c r="F2001" s="4" t="s">
        <v>17</v>
      </c>
      <c r="G2001" s="15"/>
      <c r="H2001" s="4"/>
      <c r="I2001" s="4"/>
      <c r="J2001" s="4"/>
      <c r="K2001" s="4"/>
      <c r="L2001" s="4"/>
      <c r="M2001" s="4"/>
      <c r="N2001" s="4"/>
      <c r="O2001" s="4"/>
      <c r="P2001" s="4"/>
      <c r="Q2001" s="4"/>
      <c r="R2001" s="4"/>
      <c r="S2001" s="4"/>
      <c r="T2001" s="4"/>
      <c r="U2001" s="4"/>
      <c r="V2001" s="4"/>
      <c r="W2001" s="4"/>
      <c r="X2001" s="4"/>
      <c r="Y2001" s="4"/>
      <c r="Z2001" s="4"/>
      <c r="AA2001" s="4"/>
      <c r="AB2001" s="4"/>
      <c r="AC2001" s="4"/>
      <c r="AD2001" s="4"/>
      <c r="AE2001" s="4"/>
      <c r="AF2001" s="4"/>
      <c r="AG2001" s="4"/>
      <c r="AH2001" s="4"/>
      <c r="AI2001" s="4"/>
      <c r="AJ2001" s="4"/>
      <c r="AK2001" s="4"/>
      <c r="AL2001" s="4"/>
      <c r="AM2001" s="4"/>
      <c r="AN2001" s="4"/>
      <c r="AO2001" s="4"/>
      <c r="AP2001" s="4"/>
      <c r="AQ2001" s="4"/>
      <c r="AR2001" s="4"/>
      <c r="AS2001" s="4"/>
      <c r="AT2001" s="4"/>
      <c r="AU2001" s="4"/>
      <c r="AV2001" s="4"/>
      <c r="AW2001" s="4"/>
      <c r="AX2001" s="4"/>
      <c r="AY2001" s="4"/>
      <c r="AZ2001" s="4"/>
      <c r="BA2001" s="4"/>
      <c r="BB2001" s="4"/>
      <c r="BC2001" s="4"/>
      <c r="BD2001" s="4"/>
      <c r="BE2001" s="4"/>
      <c r="BF2001" s="4"/>
      <c r="BG2001" s="4"/>
      <c r="BH2001" s="4"/>
      <c r="BI2001" s="4"/>
      <c r="BJ2001" s="4"/>
      <c r="BK2001" s="4"/>
      <c r="BL2001" s="4"/>
      <c r="BM2001" s="4"/>
      <c r="BN2001" s="4"/>
      <c r="BO2001" s="4"/>
      <c r="BP2001" s="4"/>
      <c r="BQ2001" s="4"/>
      <c r="BR2001" s="4"/>
      <c r="BS2001" s="4"/>
      <c r="BT2001" s="4"/>
      <c r="BU2001" s="4"/>
      <c r="BV2001" s="4"/>
      <c r="BW2001" s="4"/>
      <c r="BX2001" s="4"/>
      <c r="BY2001" s="4"/>
      <c r="BZ2001" s="4"/>
      <c r="CA2001" s="4"/>
      <c r="CB2001" s="4"/>
      <c r="CC2001" s="4"/>
      <c r="CD2001" s="4"/>
      <c r="CE2001" s="4"/>
      <c r="CF2001" s="4"/>
      <c r="CG2001" s="4"/>
      <c r="CH2001" s="4"/>
      <c r="CI2001" s="4"/>
      <c r="CJ2001" s="4"/>
      <c r="CK2001" s="4"/>
      <c r="CL2001" s="4"/>
      <c r="CM2001" s="4"/>
      <c r="CN2001" s="4"/>
      <c r="CO2001" s="4"/>
      <c r="CP2001" s="4"/>
      <c r="CQ2001" s="4"/>
      <c r="CR2001" s="4"/>
      <c r="CS2001" s="4"/>
      <c r="CT2001" s="4"/>
      <c r="CU2001" s="4"/>
      <c r="CV2001" s="4"/>
      <c r="CW2001" s="4"/>
      <c r="CX2001" s="4"/>
      <c r="CY2001" s="4"/>
      <c r="CZ2001" s="4"/>
      <c r="DA2001" s="4"/>
      <c r="DB2001" s="4"/>
      <c r="DC2001" s="4"/>
      <c r="DD2001" s="4"/>
      <c r="DE2001" s="4"/>
      <c r="DF2001" s="4"/>
      <c r="DG2001" s="4"/>
      <c r="DH2001" s="4"/>
      <c r="DI2001" s="4"/>
      <c r="DJ2001" s="4"/>
      <c r="DK2001" s="4"/>
      <c r="DL2001" s="4"/>
      <c r="DM2001" s="4"/>
      <c r="DN2001" s="4"/>
      <c r="DO2001" s="4"/>
      <c r="DP2001" s="4"/>
      <c r="DQ2001" s="4"/>
      <c r="DR2001" s="4"/>
      <c r="DS2001" s="4"/>
    </row>
    <row r="2002">
      <c r="A2002" s="4"/>
      <c r="B2002" s="4"/>
      <c r="C2002" s="4"/>
      <c r="D2002" s="4"/>
      <c r="E2002" s="4"/>
      <c r="F2002" s="4" t="s">
        <v>17</v>
      </c>
      <c r="G2002" s="15"/>
      <c r="H2002" s="4"/>
      <c r="I2002" s="4"/>
      <c r="J2002" s="4"/>
      <c r="K2002" s="4"/>
      <c r="L2002" s="4"/>
      <c r="M2002" s="4"/>
      <c r="N2002" s="4"/>
      <c r="O2002" s="4"/>
      <c r="P2002" s="4"/>
      <c r="Q2002" s="4"/>
      <c r="R2002" s="4"/>
      <c r="S2002" s="4"/>
      <c r="T2002" s="4"/>
      <c r="U2002" s="4"/>
      <c r="V2002" s="4"/>
      <c r="W2002" s="4"/>
      <c r="X2002" s="4"/>
      <c r="Y2002" s="4"/>
      <c r="Z2002" s="4"/>
      <c r="AA2002" s="4"/>
      <c r="AB2002" s="4"/>
      <c r="AC2002" s="4"/>
      <c r="AD2002" s="4"/>
      <c r="AE2002" s="4"/>
      <c r="AF2002" s="4"/>
      <c r="AG2002" s="4"/>
      <c r="AH2002" s="4"/>
      <c r="AI2002" s="4"/>
      <c r="AJ2002" s="4"/>
      <c r="AK2002" s="4"/>
      <c r="AL2002" s="4"/>
      <c r="AM2002" s="4"/>
      <c r="AN2002" s="4"/>
      <c r="AO2002" s="4"/>
      <c r="AP2002" s="4"/>
      <c r="AQ2002" s="4"/>
      <c r="AR2002" s="4"/>
      <c r="AS2002" s="4"/>
      <c r="AT2002" s="4"/>
      <c r="AU2002" s="4"/>
      <c r="AV2002" s="4"/>
      <c r="AW2002" s="4"/>
      <c r="AX2002" s="4"/>
      <c r="AY2002" s="4"/>
      <c r="AZ2002" s="4"/>
      <c r="BA2002" s="4"/>
      <c r="BB2002" s="4"/>
      <c r="BC2002" s="4"/>
      <c r="BD2002" s="4"/>
      <c r="BE2002" s="4"/>
      <c r="BF2002" s="4"/>
      <c r="BG2002" s="4"/>
      <c r="BH2002" s="4"/>
      <c r="BI2002" s="4"/>
      <c r="BJ2002" s="4"/>
      <c r="BK2002" s="4"/>
      <c r="BL2002" s="4"/>
      <c r="BM2002" s="4"/>
      <c r="BN2002" s="4"/>
      <c r="BO2002" s="4"/>
      <c r="BP2002" s="4"/>
      <c r="BQ2002" s="4"/>
      <c r="BR2002" s="4"/>
      <c r="BS2002" s="4"/>
      <c r="BT2002" s="4"/>
      <c r="BU2002" s="4"/>
      <c r="BV2002" s="4"/>
      <c r="BW2002" s="4"/>
      <c r="BX2002" s="4"/>
      <c r="BY2002" s="4"/>
      <c r="BZ2002" s="4"/>
      <c r="CA2002" s="4"/>
      <c r="CB2002" s="4"/>
      <c r="CC2002" s="4"/>
      <c r="CD2002" s="4"/>
      <c r="CE2002" s="4"/>
      <c r="CF2002" s="4"/>
      <c r="CG2002" s="4"/>
      <c r="CH2002" s="4"/>
      <c r="CI2002" s="4"/>
      <c r="CJ2002" s="4"/>
      <c r="CK2002" s="4"/>
      <c r="CL2002" s="4"/>
      <c r="CM2002" s="4"/>
      <c r="CN2002" s="4"/>
      <c r="CO2002" s="4"/>
      <c r="CP2002" s="4"/>
      <c r="CQ2002" s="4"/>
      <c r="CR2002" s="4"/>
      <c r="CS2002" s="4"/>
      <c r="CT2002" s="4"/>
      <c r="CU2002" s="4"/>
      <c r="CV2002" s="4"/>
      <c r="CW2002" s="4"/>
      <c r="CX2002" s="4"/>
      <c r="CY2002" s="4"/>
      <c r="CZ2002" s="4"/>
      <c r="DA2002" s="4"/>
      <c r="DB2002" s="4"/>
      <c r="DC2002" s="4"/>
      <c r="DD2002" s="4"/>
      <c r="DE2002" s="4"/>
      <c r="DF2002" s="4"/>
      <c r="DG2002" s="4"/>
      <c r="DH2002" s="4"/>
      <c r="DI2002" s="4"/>
      <c r="DJ2002" s="4"/>
      <c r="DK2002" s="4"/>
      <c r="DL2002" s="4"/>
      <c r="DM2002" s="4"/>
      <c r="DN2002" s="4"/>
      <c r="DO2002" s="4"/>
      <c r="DP2002" s="4"/>
      <c r="DQ2002" s="4"/>
      <c r="DR2002" s="4"/>
      <c r="DS2002" s="4"/>
    </row>
    <row r="2003">
      <c r="A2003" s="4"/>
      <c r="B2003" s="4"/>
      <c r="C2003" s="4"/>
      <c r="D2003" s="4"/>
      <c r="E2003" s="4"/>
      <c r="F2003" s="4" t="s">
        <v>17</v>
      </c>
      <c r="G2003" s="15"/>
      <c r="H2003" s="4"/>
      <c r="I2003" s="4"/>
      <c r="J2003" s="4"/>
      <c r="K2003" s="4"/>
      <c r="L2003" s="4"/>
      <c r="M2003" s="4"/>
      <c r="N2003" s="4"/>
      <c r="O2003" s="4"/>
      <c r="P2003" s="4"/>
      <c r="Q2003" s="4"/>
      <c r="R2003" s="4"/>
      <c r="S2003" s="4"/>
      <c r="T2003" s="4"/>
      <c r="U2003" s="4"/>
      <c r="V2003" s="4"/>
      <c r="W2003" s="4"/>
      <c r="X2003" s="4"/>
      <c r="Y2003" s="4"/>
      <c r="Z2003" s="4"/>
      <c r="AA2003" s="4"/>
      <c r="AB2003" s="4"/>
      <c r="AC2003" s="4"/>
      <c r="AD2003" s="4"/>
      <c r="AE2003" s="4"/>
      <c r="AF2003" s="4"/>
      <c r="AG2003" s="4"/>
      <c r="AH2003" s="4"/>
      <c r="AI2003" s="4"/>
      <c r="AJ2003" s="4"/>
      <c r="AK2003" s="4"/>
      <c r="AL2003" s="4"/>
      <c r="AM2003" s="4"/>
      <c r="AN2003" s="4"/>
      <c r="AO2003" s="4"/>
      <c r="AP2003" s="4"/>
      <c r="AQ2003" s="4"/>
      <c r="AR2003" s="4"/>
      <c r="AS2003" s="4"/>
      <c r="AT2003" s="4"/>
      <c r="AU2003" s="4"/>
      <c r="AV2003" s="4"/>
      <c r="AW2003" s="4"/>
      <c r="AX2003" s="4"/>
      <c r="AY2003" s="4"/>
      <c r="AZ2003" s="4"/>
      <c r="BA2003" s="4"/>
      <c r="BB2003" s="4"/>
      <c r="BC2003" s="4"/>
      <c r="BD2003" s="4"/>
      <c r="BE2003" s="4"/>
      <c r="BF2003" s="4"/>
      <c r="BG2003" s="4"/>
      <c r="BH2003" s="4"/>
      <c r="BI2003" s="4"/>
      <c r="BJ2003" s="4"/>
      <c r="BK2003" s="4"/>
      <c r="BL2003" s="4"/>
      <c r="BM2003" s="4"/>
      <c r="BN2003" s="4"/>
      <c r="BO2003" s="4"/>
      <c r="BP2003" s="4"/>
      <c r="BQ2003" s="4"/>
      <c r="BR2003" s="4"/>
      <c r="BS2003" s="4"/>
      <c r="BT2003" s="4"/>
      <c r="BU2003" s="4"/>
      <c r="BV2003" s="4"/>
      <c r="BW2003" s="4"/>
      <c r="BX2003" s="4"/>
      <c r="BY2003" s="4"/>
      <c r="BZ2003" s="4"/>
      <c r="CA2003" s="4"/>
      <c r="CB2003" s="4"/>
      <c r="CC2003" s="4"/>
      <c r="CD2003" s="4"/>
      <c r="CE2003" s="4"/>
      <c r="CF2003" s="4"/>
      <c r="CG2003" s="4"/>
      <c r="CH2003" s="4"/>
      <c r="CI2003" s="4"/>
      <c r="CJ2003" s="4"/>
      <c r="CK2003" s="4"/>
      <c r="CL2003" s="4"/>
      <c r="CM2003" s="4"/>
      <c r="CN2003" s="4"/>
      <c r="CO2003" s="4"/>
      <c r="CP2003" s="4"/>
      <c r="CQ2003" s="4"/>
      <c r="CR2003" s="4"/>
      <c r="CS2003" s="4"/>
      <c r="CT2003" s="4"/>
      <c r="CU2003" s="4"/>
      <c r="CV2003" s="4"/>
      <c r="CW2003" s="4"/>
      <c r="CX2003" s="4"/>
      <c r="CY2003" s="4"/>
      <c r="CZ2003" s="4"/>
      <c r="DA2003" s="4"/>
      <c r="DB2003" s="4"/>
      <c r="DC2003" s="4"/>
      <c r="DD2003" s="4"/>
      <c r="DE2003" s="4"/>
      <c r="DF2003" s="4"/>
      <c r="DG2003" s="4"/>
      <c r="DH2003" s="4"/>
      <c r="DI2003" s="4"/>
      <c r="DJ2003" s="4"/>
      <c r="DK2003" s="4"/>
      <c r="DL2003" s="4"/>
      <c r="DM2003" s="4"/>
      <c r="DN2003" s="4"/>
      <c r="DO2003" s="4"/>
      <c r="DP2003" s="4"/>
      <c r="DQ2003" s="4"/>
      <c r="DR2003" s="4"/>
      <c r="DS2003" s="4"/>
    </row>
    <row r="2004">
      <c r="A2004" s="4"/>
      <c r="B2004" s="4"/>
      <c r="C2004" s="4"/>
      <c r="D2004" s="4"/>
      <c r="E2004" s="4"/>
      <c r="F2004" s="4" t="s">
        <v>17</v>
      </c>
      <c r="G2004" s="15"/>
      <c r="H2004" s="4"/>
      <c r="I2004" s="4"/>
      <c r="J2004" s="4"/>
      <c r="K2004" s="4"/>
      <c r="L2004" s="4"/>
      <c r="M2004" s="4"/>
      <c r="N2004" s="4"/>
      <c r="O2004" s="4"/>
      <c r="P2004" s="4"/>
      <c r="Q2004" s="4"/>
      <c r="R2004" s="4"/>
      <c r="S2004" s="4"/>
      <c r="T2004" s="4"/>
      <c r="U2004" s="4"/>
      <c r="V2004" s="4"/>
      <c r="W2004" s="4"/>
      <c r="X2004" s="4"/>
      <c r="Y2004" s="4"/>
      <c r="Z2004" s="4"/>
      <c r="AA2004" s="4"/>
      <c r="AB2004" s="4"/>
      <c r="AC2004" s="4"/>
      <c r="AD2004" s="4"/>
      <c r="AE2004" s="4"/>
      <c r="AF2004" s="4"/>
      <c r="AG2004" s="4"/>
      <c r="AH2004" s="4"/>
      <c r="AI2004" s="4"/>
      <c r="AJ2004" s="4"/>
      <c r="AK2004" s="4"/>
      <c r="AL2004" s="4"/>
      <c r="AM2004" s="4"/>
      <c r="AN2004" s="4"/>
      <c r="AO2004" s="4"/>
      <c r="AP2004" s="4"/>
      <c r="AQ2004" s="4"/>
      <c r="AR2004" s="4"/>
      <c r="AS2004" s="4"/>
      <c r="AT2004" s="4"/>
      <c r="AU2004" s="4"/>
      <c r="AV2004" s="4"/>
      <c r="AW2004" s="4"/>
      <c r="AX2004" s="4"/>
      <c r="AY2004" s="4"/>
      <c r="AZ2004" s="4"/>
      <c r="BA2004" s="4"/>
      <c r="BB2004" s="4"/>
      <c r="BC2004" s="4"/>
      <c r="BD2004" s="4"/>
      <c r="BE2004" s="4"/>
      <c r="BF2004" s="4"/>
      <c r="BG2004" s="4"/>
      <c r="BH2004" s="4"/>
      <c r="BI2004" s="4"/>
      <c r="BJ2004" s="4"/>
      <c r="BK2004" s="4"/>
      <c r="BL2004" s="4"/>
      <c r="BM2004" s="4"/>
      <c r="BN2004" s="4"/>
      <c r="BO2004" s="4"/>
      <c r="BP2004" s="4"/>
      <c r="BQ2004" s="4"/>
      <c r="BR2004" s="4"/>
      <c r="BS2004" s="4"/>
      <c r="BT2004" s="4"/>
      <c r="BU2004" s="4"/>
      <c r="BV2004" s="4"/>
      <c r="BW2004" s="4"/>
      <c r="BX2004" s="4"/>
      <c r="BY2004" s="4"/>
      <c r="BZ2004" s="4"/>
      <c r="CA2004" s="4"/>
      <c r="CB2004" s="4"/>
      <c r="CC2004" s="4"/>
      <c r="CD2004" s="4"/>
      <c r="CE2004" s="4"/>
      <c r="CF2004" s="4"/>
      <c r="CG2004" s="4"/>
      <c r="CH2004" s="4"/>
      <c r="CI2004" s="4"/>
      <c r="CJ2004" s="4"/>
      <c r="CK2004" s="4"/>
      <c r="CL2004" s="4"/>
      <c r="CM2004" s="4"/>
      <c r="CN2004" s="4"/>
      <c r="CO2004" s="4"/>
      <c r="CP2004" s="4"/>
      <c r="CQ2004" s="4"/>
      <c r="CR2004" s="4"/>
      <c r="CS2004" s="4"/>
      <c r="CT2004" s="4"/>
      <c r="CU2004" s="4"/>
      <c r="CV2004" s="4"/>
      <c r="CW2004" s="4"/>
      <c r="CX2004" s="4"/>
      <c r="CY2004" s="4"/>
      <c r="CZ2004" s="4"/>
      <c r="DA2004" s="4"/>
      <c r="DB2004" s="4"/>
      <c r="DC2004" s="4"/>
      <c r="DD2004" s="4"/>
      <c r="DE2004" s="4"/>
      <c r="DF2004" s="4"/>
      <c r="DG2004" s="4"/>
      <c r="DH2004" s="4"/>
      <c r="DI2004" s="4"/>
      <c r="DJ2004" s="4"/>
      <c r="DK2004" s="4"/>
      <c r="DL2004" s="4"/>
      <c r="DM2004" s="4"/>
      <c r="DN2004" s="4"/>
      <c r="DO2004" s="4"/>
      <c r="DP2004" s="4"/>
      <c r="DQ2004" s="4"/>
      <c r="DR2004" s="4"/>
      <c r="DS2004" s="4"/>
    </row>
    <row r="2005">
      <c r="A2005" s="4"/>
      <c r="B2005" s="4"/>
      <c r="C2005" s="4"/>
      <c r="D2005" s="4"/>
      <c r="E2005" s="4"/>
      <c r="F2005" s="4" t="s">
        <v>17</v>
      </c>
      <c r="G2005" s="15"/>
      <c r="H2005" s="4"/>
      <c r="I2005" s="4"/>
      <c r="J2005" s="4"/>
      <c r="K2005" s="4"/>
      <c r="L2005" s="4"/>
      <c r="M2005" s="4"/>
      <c r="N2005" s="4"/>
      <c r="O2005" s="4"/>
      <c r="P2005" s="4"/>
      <c r="Q2005" s="4"/>
      <c r="R2005" s="4"/>
      <c r="S2005" s="4"/>
      <c r="T2005" s="4"/>
      <c r="U2005" s="4"/>
      <c r="V2005" s="4"/>
      <c r="W2005" s="4"/>
      <c r="X2005" s="4"/>
      <c r="Y2005" s="4"/>
      <c r="Z2005" s="4"/>
      <c r="AA2005" s="4"/>
      <c r="AB2005" s="4"/>
      <c r="AC2005" s="4"/>
      <c r="AD2005" s="4"/>
      <c r="AE2005" s="4"/>
      <c r="AF2005" s="4"/>
      <c r="AG2005" s="4"/>
      <c r="AH2005" s="4"/>
      <c r="AI2005" s="4"/>
      <c r="AJ2005" s="4"/>
      <c r="AK2005" s="4"/>
      <c r="AL2005" s="4"/>
      <c r="AM2005" s="4"/>
      <c r="AN2005" s="4"/>
      <c r="AO2005" s="4"/>
      <c r="AP2005" s="4"/>
      <c r="AQ2005" s="4"/>
      <c r="AR2005" s="4"/>
      <c r="AS2005" s="4"/>
      <c r="AT2005" s="4"/>
      <c r="AU2005" s="4"/>
      <c r="AV2005" s="4"/>
      <c r="AW2005" s="4"/>
      <c r="AX2005" s="4"/>
      <c r="AY2005" s="4"/>
      <c r="AZ2005" s="4"/>
      <c r="BA2005" s="4"/>
      <c r="BB2005" s="4"/>
      <c r="BC2005" s="4"/>
      <c r="BD2005" s="4"/>
      <c r="BE2005" s="4"/>
      <c r="BF2005" s="4"/>
      <c r="BG2005" s="4"/>
      <c r="BH2005" s="4"/>
      <c r="BI2005" s="4"/>
      <c r="BJ2005" s="4"/>
      <c r="BK2005" s="4"/>
      <c r="BL2005" s="4"/>
      <c r="BM2005" s="4"/>
      <c r="BN2005" s="4"/>
      <c r="BO2005" s="4"/>
      <c r="BP2005" s="4"/>
      <c r="BQ2005" s="4"/>
      <c r="BR2005" s="4"/>
      <c r="BS2005" s="4"/>
      <c r="BT2005" s="4"/>
      <c r="BU2005" s="4"/>
      <c r="BV2005" s="4"/>
      <c r="BW2005" s="4"/>
      <c r="BX2005" s="4"/>
      <c r="BY2005" s="4"/>
      <c r="BZ2005" s="4"/>
      <c r="CA2005" s="4"/>
      <c r="CB2005" s="4"/>
      <c r="CC2005" s="4"/>
      <c r="CD2005" s="4"/>
      <c r="CE2005" s="4"/>
      <c r="CF2005" s="4"/>
      <c r="CG2005" s="4"/>
      <c r="CH2005" s="4"/>
      <c r="CI2005" s="4"/>
      <c r="CJ2005" s="4"/>
      <c r="CK2005" s="4"/>
      <c r="CL2005" s="4"/>
      <c r="CM2005" s="4"/>
      <c r="CN2005" s="4"/>
      <c r="CO2005" s="4"/>
      <c r="CP2005" s="4"/>
      <c r="CQ2005" s="4"/>
      <c r="CR2005" s="4"/>
      <c r="CS2005" s="4"/>
      <c r="CT2005" s="4"/>
      <c r="CU2005" s="4"/>
      <c r="CV2005" s="4"/>
      <c r="CW2005" s="4"/>
      <c r="CX2005" s="4"/>
      <c r="CY2005" s="4"/>
      <c r="CZ2005" s="4"/>
      <c r="DA2005" s="4"/>
      <c r="DB2005" s="4"/>
      <c r="DC2005" s="4"/>
      <c r="DD2005" s="4"/>
      <c r="DE2005" s="4"/>
      <c r="DF2005" s="4"/>
      <c r="DG2005" s="4"/>
      <c r="DH2005" s="4"/>
      <c r="DI2005" s="4"/>
      <c r="DJ2005" s="4"/>
      <c r="DK2005" s="4"/>
      <c r="DL2005" s="4"/>
      <c r="DM2005" s="4"/>
      <c r="DN2005" s="4"/>
      <c r="DO2005" s="4"/>
      <c r="DP2005" s="4"/>
      <c r="DQ2005" s="4"/>
      <c r="DR2005" s="4"/>
      <c r="DS2005" s="4"/>
    </row>
    <row r="2006">
      <c r="A2006" s="4"/>
      <c r="B2006" s="4"/>
      <c r="C2006" s="4"/>
      <c r="D2006" s="4"/>
      <c r="E2006" s="4"/>
      <c r="F2006" s="4" t="s">
        <v>17</v>
      </c>
      <c r="G2006" s="15"/>
      <c r="H2006" s="4"/>
      <c r="I2006" s="4"/>
      <c r="J2006" s="4"/>
      <c r="K2006" s="4"/>
      <c r="L2006" s="4"/>
      <c r="M2006" s="4"/>
      <c r="N2006" s="4"/>
      <c r="O2006" s="4"/>
      <c r="P2006" s="4"/>
      <c r="Q2006" s="4"/>
      <c r="R2006" s="4"/>
      <c r="S2006" s="4"/>
      <c r="T2006" s="4"/>
      <c r="U2006" s="4"/>
      <c r="V2006" s="4"/>
      <c r="W2006" s="4"/>
      <c r="X2006" s="4"/>
      <c r="Y2006" s="4"/>
      <c r="Z2006" s="4"/>
      <c r="AA2006" s="4"/>
      <c r="AB2006" s="4"/>
      <c r="AC2006" s="4"/>
      <c r="AD2006" s="4"/>
      <c r="AE2006" s="4"/>
      <c r="AF2006" s="4"/>
      <c r="AG2006" s="4"/>
      <c r="AH2006" s="4"/>
      <c r="AI2006" s="4"/>
      <c r="AJ2006" s="4"/>
      <c r="AK2006" s="4"/>
      <c r="AL2006" s="4"/>
      <c r="AM2006" s="4"/>
      <c r="AN2006" s="4"/>
      <c r="AO2006" s="4"/>
      <c r="AP2006" s="4"/>
      <c r="AQ2006" s="4"/>
      <c r="AR2006" s="4"/>
      <c r="AS2006" s="4"/>
      <c r="AT2006" s="4"/>
      <c r="AU2006" s="4"/>
      <c r="AV2006" s="4"/>
      <c r="AW2006" s="4"/>
      <c r="AX2006" s="4"/>
      <c r="AY2006" s="4"/>
      <c r="AZ2006" s="4"/>
      <c r="BA2006" s="4"/>
      <c r="BB2006" s="4"/>
      <c r="BC2006" s="4"/>
      <c r="BD2006" s="4"/>
      <c r="BE2006" s="4"/>
      <c r="BF2006" s="4"/>
      <c r="BG2006" s="4"/>
      <c r="BH2006" s="4"/>
      <c r="BI2006" s="4"/>
      <c r="BJ2006" s="4"/>
      <c r="BK2006" s="4"/>
      <c r="BL2006" s="4"/>
      <c r="BM2006" s="4"/>
      <c r="BN2006" s="4"/>
      <c r="BO2006" s="4"/>
      <c r="BP2006" s="4"/>
      <c r="BQ2006" s="4"/>
      <c r="BR2006" s="4"/>
      <c r="BS2006" s="4"/>
      <c r="BT2006" s="4"/>
      <c r="BU2006" s="4"/>
      <c r="BV2006" s="4"/>
      <c r="BW2006" s="4"/>
      <c r="BX2006" s="4"/>
      <c r="BY2006" s="4"/>
      <c r="BZ2006" s="4"/>
      <c r="CA2006" s="4"/>
      <c r="CB2006" s="4"/>
      <c r="CC2006" s="4"/>
      <c r="CD2006" s="4"/>
      <c r="CE2006" s="4"/>
      <c r="CF2006" s="4"/>
      <c r="CG2006" s="4"/>
      <c r="CH2006" s="4"/>
      <c r="CI2006" s="4"/>
      <c r="CJ2006" s="4"/>
      <c r="CK2006" s="4"/>
      <c r="CL2006" s="4"/>
      <c r="CM2006" s="4"/>
      <c r="CN2006" s="4"/>
      <c r="CO2006" s="4"/>
      <c r="CP2006" s="4"/>
      <c r="CQ2006" s="4"/>
      <c r="CR2006" s="4"/>
      <c r="CS2006" s="4"/>
      <c r="CT2006" s="4"/>
      <c r="CU2006" s="4"/>
      <c r="CV2006" s="4"/>
      <c r="CW2006" s="4"/>
      <c r="CX2006" s="4"/>
      <c r="CY2006" s="4"/>
      <c r="CZ2006" s="4"/>
      <c r="DA2006" s="4"/>
      <c r="DB2006" s="4"/>
      <c r="DC2006" s="4"/>
      <c r="DD2006" s="4"/>
      <c r="DE2006" s="4"/>
      <c r="DF2006" s="4"/>
      <c r="DG2006" s="4"/>
      <c r="DH2006" s="4"/>
      <c r="DI2006" s="4"/>
      <c r="DJ2006" s="4"/>
      <c r="DK2006" s="4"/>
      <c r="DL2006" s="4"/>
      <c r="DM2006" s="4"/>
      <c r="DN2006" s="4"/>
      <c r="DO2006" s="4"/>
      <c r="DP2006" s="4"/>
      <c r="DQ2006" s="4"/>
      <c r="DR2006" s="4"/>
      <c r="DS2006" s="4"/>
    </row>
    <row r="2007">
      <c r="A2007" s="4"/>
      <c r="B2007" s="4"/>
      <c r="C2007" s="4"/>
      <c r="D2007" s="4"/>
      <c r="E2007" s="4"/>
      <c r="F2007" s="4" t="s">
        <v>17</v>
      </c>
      <c r="G2007" s="15"/>
      <c r="H2007" s="4"/>
      <c r="I2007" s="4"/>
      <c r="J2007" s="4"/>
      <c r="K2007" s="4"/>
      <c r="L2007" s="4"/>
      <c r="M2007" s="4"/>
      <c r="N2007" s="4"/>
      <c r="O2007" s="4"/>
      <c r="P2007" s="4"/>
      <c r="Q2007" s="4"/>
      <c r="R2007" s="4"/>
      <c r="S2007" s="4"/>
      <c r="T2007" s="4"/>
      <c r="U2007" s="4"/>
      <c r="V2007" s="4"/>
      <c r="W2007" s="4"/>
      <c r="X2007" s="4"/>
      <c r="Y2007" s="4"/>
      <c r="Z2007" s="4"/>
      <c r="AA2007" s="4"/>
      <c r="AB2007" s="4"/>
      <c r="AC2007" s="4"/>
      <c r="AD2007" s="4"/>
      <c r="AE2007" s="4"/>
      <c r="AF2007" s="4"/>
      <c r="AG2007" s="4"/>
      <c r="AH2007" s="4"/>
      <c r="AI2007" s="4"/>
      <c r="AJ2007" s="4"/>
      <c r="AK2007" s="4"/>
      <c r="AL2007" s="4"/>
      <c r="AM2007" s="4"/>
      <c r="AN2007" s="4"/>
      <c r="AO2007" s="4"/>
      <c r="AP2007" s="4"/>
      <c r="AQ2007" s="4"/>
      <c r="AR2007" s="4"/>
      <c r="AS2007" s="4"/>
      <c r="AT2007" s="4"/>
      <c r="AU2007" s="4"/>
      <c r="AV2007" s="4"/>
      <c r="AW2007" s="4"/>
      <c r="AX2007" s="4"/>
      <c r="AY2007" s="4"/>
      <c r="AZ2007" s="4"/>
      <c r="BA2007" s="4"/>
      <c r="BB2007" s="4"/>
      <c r="BC2007" s="4"/>
      <c r="BD2007" s="4"/>
      <c r="BE2007" s="4"/>
      <c r="BF2007" s="4"/>
      <c r="BG2007" s="4"/>
      <c r="BH2007" s="4"/>
      <c r="BI2007" s="4"/>
      <c r="BJ2007" s="4"/>
      <c r="BK2007" s="4"/>
      <c r="BL2007" s="4"/>
      <c r="BM2007" s="4"/>
      <c r="BN2007" s="4"/>
      <c r="BO2007" s="4"/>
      <c r="BP2007" s="4"/>
      <c r="BQ2007" s="4"/>
      <c r="BR2007" s="4"/>
      <c r="BS2007" s="4"/>
      <c r="BT2007" s="4"/>
      <c r="BU2007" s="4"/>
      <c r="BV2007" s="4"/>
      <c r="BW2007" s="4"/>
      <c r="BX2007" s="4"/>
      <c r="BY2007" s="4"/>
      <c r="BZ2007" s="4"/>
      <c r="CA2007" s="4"/>
      <c r="CB2007" s="4"/>
      <c r="CC2007" s="4"/>
      <c r="CD2007" s="4"/>
      <c r="CE2007" s="4"/>
      <c r="CF2007" s="4"/>
      <c r="CG2007" s="4"/>
      <c r="CH2007" s="4"/>
      <c r="CI2007" s="4"/>
      <c r="CJ2007" s="4"/>
      <c r="CK2007" s="4"/>
      <c r="CL2007" s="4"/>
      <c r="CM2007" s="4"/>
      <c r="CN2007" s="4"/>
      <c r="CO2007" s="4"/>
      <c r="CP2007" s="4"/>
      <c r="CQ2007" s="4"/>
      <c r="CR2007" s="4"/>
      <c r="CS2007" s="4"/>
      <c r="CT2007" s="4"/>
      <c r="CU2007" s="4"/>
      <c r="CV2007" s="4"/>
      <c r="CW2007" s="4"/>
      <c r="CX2007" s="4"/>
      <c r="CY2007" s="4"/>
      <c r="CZ2007" s="4"/>
      <c r="DA2007" s="4"/>
      <c r="DB2007" s="4"/>
      <c r="DC2007" s="4"/>
      <c r="DD2007" s="4"/>
      <c r="DE2007" s="4"/>
      <c r="DF2007" s="4"/>
      <c r="DG2007" s="4"/>
      <c r="DH2007" s="4"/>
      <c r="DI2007" s="4"/>
      <c r="DJ2007" s="4"/>
      <c r="DK2007" s="4"/>
      <c r="DL2007" s="4"/>
      <c r="DM2007" s="4"/>
      <c r="DN2007" s="4"/>
      <c r="DO2007" s="4"/>
      <c r="DP2007" s="4"/>
      <c r="DQ2007" s="4"/>
      <c r="DR2007" s="4"/>
      <c r="DS2007" s="4"/>
    </row>
    <row r="2008">
      <c r="A2008" s="4"/>
      <c r="B2008" s="4"/>
      <c r="C2008" s="4"/>
      <c r="D2008" s="4"/>
      <c r="E2008" s="4"/>
      <c r="F2008" s="4" t="s">
        <v>17</v>
      </c>
      <c r="G2008" s="15"/>
      <c r="H2008" s="4"/>
      <c r="I2008" s="4"/>
      <c r="J2008" s="4"/>
      <c r="K2008" s="4"/>
      <c r="L2008" s="4"/>
      <c r="M2008" s="4"/>
      <c r="N2008" s="4"/>
      <c r="O2008" s="4"/>
      <c r="P2008" s="4"/>
      <c r="Q2008" s="4"/>
      <c r="R2008" s="4"/>
      <c r="S2008" s="4"/>
      <c r="T2008" s="4"/>
      <c r="U2008" s="4"/>
      <c r="V2008" s="4"/>
      <c r="W2008" s="4"/>
      <c r="X2008" s="4"/>
      <c r="Y2008" s="4"/>
      <c r="Z2008" s="4"/>
      <c r="AA2008" s="4"/>
      <c r="AB2008" s="4"/>
      <c r="AC2008" s="4"/>
      <c r="AD2008" s="4"/>
      <c r="AE2008" s="4"/>
      <c r="AF2008" s="4"/>
      <c r="AG2008" s="4"/>
      <c r="AH2008" s="4"/>
      <c r="AI2008" s="4"/>
      <c r="AJ2008" s="4"/>
      <c r="AK2008" s="4"/>
      <c r="AL2008" s="4"/>
      <c r="AM2008" s="4"/>
      <c r="AN2008" s="4"/>
      <c r="AO2008" s="4"/>
      <c r="AP2008" s="4"/>
      <c r="AQ2008" s="4"/>
      <c r="AR2008" s="4"/>
      <c r="AS2008" s="4"/>
      <c r="AT2008" s="4"/>
      <c r="AU2008" s="4"/>
      <c r="AV2008" s="4"/>
      <c r="AW2008" s="4"/>
      <c r="AX2008" s="4"/>
      <c r="AY2008" s="4"/>
      <c r="AZ2008" s="4"/>
      <c r="BA2008" s="4"/>
      <c r="BB2008" s="4"/>
      <c r="BC2008" s="4"/>
      <c r="BD2008" s="4"/>
      <c r="BE2008" s="4"/>
      <c r="BF2008" s="4"/>
      <c r="BG2008" s="4"/>
      <c r="BH2008" s="4"/>
      <c r="BI2008" s="4"/>
      <c r="BJ2008" s="4"/>
      <c r="BK2008" s="4"/>
      <c r="BL2008" s="4"/>
      <c r="BM2008" s="4"/>
      <c r="BN2008" s="4"/>
      <c r="BO2008" s="4"/>
      <c r="BP2008" s="4"/>
      <c r="BQ2008" s="4"/>
      <c r="BR2008" s="4"/>
      <c r="BS2008" s="4"/>
      <c r="BT2008" s="4"/>
      <c r="BU2008" s="4"/>
      <c r="BV2008" s="4"/>
      <c r="BW2008" s="4"/>
      <c r="BX2008" s="4"/>
      <c r="BY2008" s="4"/>
      <c r="BZ2008" s="4"/>
      <c r="CA2008" s="4"/>
      <c r="CB2008" s="4"/>
      <c r="CC2008" s="4"/>
      <c r="CD2008" s="4"/>
      <c r="CE2008" s="4"/>
      <c r="CF2008" s="4"/>
      <c r="CG2008" s="4"/>
      <c r="CH2008" s="4"/>
      <c r="CI2008" s="4"/>
      <c r="CJ2008" s="4"/>
      <c r="CK2008" s="4"/>
      <c r="CL2008" s="4"/>
      <c r="CM2008" s="4"/>
      <c r="CN2008" s="4"/>
      <c r="CO2008" s="4"/>
      <c r="CP2008" s="4"/>
      <c r="CQ2008" s="4"/>
      <c r="CR2008" s="4"/>
      <c r="CS2008" s="4"/>
      <c r="CT2008" s="4"/>
      <c r="CU2008" s="4"/>
      <c r="CV2008" s="4"/>
      <c r="CW2008" s="4"/>
      <c r="CX2008" s="4"/>
      <c r="CY2008" s="4"/>
      <c r="CZ2008" s="4"/>
      <c r="DA2008" s="4"/>
      <c r="DB2008" s="4"/>
      <c r="DC2008" s="4"/>
      <c r="DD2008" s="4"/>
      <c r="DE2008" s="4"/>
      <c r="DF2008" s="4"/>
      <c r="DG2008" s="4"/>
      <c r="DH2008" s="4"/>
      <c r="DI2008" s="4"/>
      <c r="DJ2008" s="4"/>
      <c r="DK2008" s="4"/>
      <c r="DL2008" s="4"/>
      <c r="DM2008" s="4"/>
      <c r="DN2008" s="4"/>
      <c r="DO2008" s="4"/>
      <c r="DP2008" s="4"/>
      <c r="DQ2008" s="4"/>
      <c r="DR2008" s="4"/>
      <c r="DS2008" s="4"/>
    </row>
    <row r="2009">
      <c r="A2009" s="4"/>
      <c r="B2009" s="4"/>
      <c r="C2009" s="4"/>
      <c r="D2009" s="4"/>
      <c r="E2009" s="4"/>
      <c r="F2009" s="4" t="s">
        <v>17</v>
      </c>
      <c r="G2009" s="15"/>
      <c r="H2009" s="4"/>
      <c r="I2009" s="4"/>
      <c r="J2009" s="4"/>
      <c r="K2009" s="4"/>
      <c r="L2009" s="4"/>
      <c r="M2009" s="4"/>
      <c r="N2009" s="4"/>
      <c r="O2009" s="4"/>
      <c r="P2009" s="4"/>
      <c r="Q2009" s="4"/>
      <c r="R2009" s="4"/>
      <c r="S2009" s="4"/>
      <c r="T2009" s="4"/>
      <c r="U2009" s="4"/>
      <c r="V2009" s="4"/>
      <c r="W2009" s="4"/>
      <c r="X2009" s="4"/>
      <c r="Y2009" s="4"/>
      <c r="Z2009" s="4"/>
      <c r="AA2009" s="4"/>
      <c r="AB2009" s="4"/>
      <c r="AC2009" s="4"/>
      <c r="AD2009" s="4"/>
      <c r="AE2009" s="4"/>
      <c r="AF2009" s="4"/>
      <c r="AG2009" s="4"/>
      <c r="AH2009" s="4"/>
      <c r="AI2009" s="4"/>
      <c r="AJ2009" s="4"/>
      <c r="AK2009" s="4"/>
      <c r="AL2009" s="4"/>
      <c r="AM2009" s="4"/>
      <c r="AN2009" s="4"/>
      <c r="AO2009" s="4"/>
      <c r="AP2009" s="4"/>
      <c r="AQ2009" s="4"/>
      <c r="AR2009" s="4"/>
      <c r="AS2009" s="4"/>
      <c r="AT2009" s="4"/>
      <c r="AU2009" s="4"/>
      <c r="AV2009" s="4"/>
      <c r="AW2009" s="4"/>
      <c r="AX2009" s="4"/>
      <c r="AY2009" s="4"/>
      <c r="AZ2009" s="4"/>
      <c r="BA2009" s="4"/>
      <c r="BB2009" s="4"/>
      <c r="BC2009" s="4"/>
      <c r="BD2009" s="4"/>
      <c r="BE2009" s="4"/>
      <c r="BF2009" s="4"/>
      <c r="BG2009" s="4"/>
      <c r="BH2009" s="4"/>
      <c r="BI2009" s="4"/>
      <c r="BJ2009" s="4"/>
      <c r="BK2009" s="4"/>
      <c r="BL2009" s="4"/>
      <c r="BM2009" s="4"/>
      <c r="BN2009" s="4"/>
      <c r="BO2009" s="4"/>
      <c r="BP2009" s="4"/>
      <c r="BQ2009" s="4"/>
      <c r="BR2009" s="4"/>
      <c r="BS2009" s="4"/>
      <c r="BT2009" s="4"/>
      <c r="BU2009" s="4"/>
      <c r="BV2009" s="4"/>
      <c r="BW2009" s="4"/>
      <c r="BX2009" s="4"/>
      <c r="BY2009" s="4"/>
      <c r="BZ2009" s="4"/>
      <c r="CA2009" s="4"/>
      <c r="CB2009" s="4"/>
      <c r="CC2009" s="4"/>
      <c r="CD2009" s="4"/>
      <c r="CE2009" s="4"/>
      <c r="CF2009" s="4"/>
      <c r="CG2009" s="4"/>
      <c r="CH2009" s="4"/>
      <c r="CI2009" s="4"/>
      <c r="CJ2009" s="4"/>
      <c r="CK2009" s="4"/>
      <c r="CL2009" s="4"/>
      <c r="CM2009" s="4"/>
      <c r="CN2009" s="4"/>
      <c r="CO2009" s="4"/>
      <c r="CP2009" s="4"/>
      <c r="CQ2009" s="4"/>
      <c r="CR2009" s="4"/>
      <c r="CS2009" s="4"/>
      <c r="CT2009" s="4"/>
      <c r="CU2009" s="4"/>
      <c r="CV2009" s="4"/>
      <c r="CW2009" s="4"/>
      <c r="CX2009" s="4"/>
      <c r="CY2009" s="4"/>
      <c r="CZ2009" s="4"/>
      <c r="DA2009" s="4"/>
      <c r="DB2009" s="4"/>
      <c r="DC2009" s="4"/>
      <c r="DD2009" s="4"/>
      <c r="DE2009" s="4"/>
      <c r="DF2009" s="4"/>
      <c r="DG2009" s="4"/>
      <c r="DH2009" s="4"/>
      <c r="DI2009" s="4"/>
      <c r="DJ2009" s="4"/>
      <c r="DK2009" s="4"/>
      <c r="DL2009" s="4"/>
      <c r="DM2009" s="4"/>
      <c r="DN2009" s="4"/>
      <c r="DO2009" s="4"/>
      <c r="DP2009" s="4"/>
      <c r="DQ2009" s="4"/>
      <c r="DR2009" s="4"/>
      <c r="DS2009" s="4"/>
    </row>
    <row r="2010">
      <c r="A2010" s="4"/>
      <c r="B2010" s="4"/>
      <c r="C2010" s="4"/>
      <c r="D2010" s="4"/>
      <c r="E2010" s="4"/>
      <c r="F2010" s="4" t="s">
        <v>17</v>
      </c>
      <c r="G2010" s="15"/>
      <c r="H2010" s="4"/>
      <c r="I2010" s="4"/>
      <c r="J2010" s="4"/>
      <c r="K2010" s="4"/>
      <c r="L2010" s="4"/>
      <c r="M2010" s="4"/>
      <c r="N2010" s="4"/>
      <c r="O2010" s="4"/>
      <c r="P2010" s="4"/>
      <c r="Q2010" s="4"/>
      <c r="R2010" s="4"/>
      <c r="S2010" s="4"/>
      <c r="T2010" s="4"/>
      <c r="U2010" s="4"/>
      <c r="V2010" s="4"/>
      <c r="W2010" s="4"/>
      <c r="X2010" s="4"/>
      <c r="Y2010" s="4"/>
      <c r="Z2010" s="4"/>
      <c r="AA2010" s="4"/>
      <c r="AB2010" s="4"/>
      <c r="AC2010" s="4"/>
      <c r="AD2010" s="4"/>
      <c r="AE2010" s="4"/>
      <c r="AF2010" s="4"/>
      <c r="AG2010" s="4"/>
      <c r="AH2010" s="4"/>
      <c r="AI2010" s="4"/>
      <c r="AJ2010" s="4"/>
      <c r="AK2010" s="4"/>
      <c r="AL2010" s="4"/>
      <c r="AM2010" s="4"/>
      <c r="AN2010" s="4"/>
      <c r="AO2010" s="4"/>
      <c r="AP2010" s="4"/>
      <c r="AQ2010" s="4"/>
      <c r="AR2010" s="4"/>
      <c r="AS2010" s="4"/>
      <c r="AT2010" s="4"/>
      <c r="AU2010" s="4"/>
      <c r="AV2010" s="4"/>
      <c r="AW2010" s="4"/>
      <c r="AX2010" s="4"/>
      <c r="AY2010" s="4"/>
      <c r="AZ2010" s="4"/>
      <c r="BA2010" s="4"/>
      <c r="BB2010" s="4"/>
      <c r="BC2010" s="4"/>
      <c r="BD2010" s="4"/>
      <c r="BE2010" s="4"/>
      <c r="BF2010" s="4"/>
      <c r="BG2010" s="4"/>
      <c r="BH2010" s="4"/>
      <c r="BI2010" s="4"/>
      <c r="BJ2010" s="4"/>
      <c r="BK2010" s="4"/>
      <c r="BL2010" s="4"/>
      <c r="BM2010" s="4"/>
      <c r="BN2010" s="4"/>
      <c r="BO2010" s="4"/>
      <c r="BP2010" s="4"/>
      <c r="BQ2010" s="4"/>
      <c r="BR2010" s="4"/>
      <c r="BS2010" s="4"/>
      <c r="BT2010" s="4"/>
      <c r="BU2010" s="4"/>
      <c r="BV2010" s="4"/>
      <c r="BW2010" s="4"/>
      <c r="BX2010" s="4"/>
      <c r="BY2010" s="4"/>
      <c r="BZ2010" s="4"/>
      <c r="CA2010" s="4"/>
      <c r="CB2010" s="4"/>
      <c r="CC2010" s="4"/>
      <c r="CD2010" s="4"/>
      <c r="CE2010" s="4"/>
      <c r="CF2010" s="4"/>
      <c r="CG2010" s="4"/>
      <c r="CH2010" s="4"/>
      <c r="CI2010" s="4"/>
      <c r="CJ2010" s="4"/>
      <c r="CK2010" s="4"/>
      <c r="CL2010" s="4"/>
      <c r="CM2010" s="4"/>
      <c r="CN2010" s="4"/>
      <c r="CO2010" s="4"/>
      <c r="CP2010" s="4"/>
      <c r="CQ2010" s="4"/>
      <c r="CR2010" s="4"/>
      <c r="CS2010" s="4"/>
      <c r="CT2010" s="4"/>
      <c r="CU2010" s="4"/>
      <c r="CV2010" s="4"/>
      <c r="CW2010" s="4"/>
      <c r="CX2010" s="4"/>
      <c r="CY2010" s="4"/>
      <c r="CZ2010" s="4"/>
      <c r="DA2010" s="4"/>
      <c r="DB2010" s="4"/>
      <c r="DC2010" s="4"/>
      <c r="DD2010" s="4"/>
      <c r="DE2010" s="4"/>
      <c r="DF2010" s="4"/>
      <c r="DG2010" s="4"/>
      <c r="DH2010" s="4"/>
      <c r="DI2010" s="4"/>
      <c r="DJ2010" s="4"/>
      <c r="DK2010" s="4"/>
      <c r="DL2010" s="4"/>
      <c r="DM2010" s="4"/>
      <c r="DN2010" s="4"/>
      <c r="DO2010" s="4"/>
      <c r="DP2010" s="4"/>
      <c r="DQ2010" s="4"/>
      <c r="DR2010" s="4"/>
      <c r="DS2010" s="4"/>
    </row>
    <row r="2011">
      <c r="A2011" s="4"/>
      <c r="B2011" s="4"/>
      <c r="C2011" s="4"/>
      <c r="D2011" s="4"/>
      <c r="E2011" s="4"/>
      <c r="F2011" s="4" t="s">
        <v>17</v>
      </c>
      <c r="G2011" s="15"/>
      <c r="H2011" s="4"/>
      <c r="I2011" s="4"/>
      <c r="J2011" s="4"/>
      <c r="K2011" s="4"/>
      <c r="L2011" s="4"/>
      <c r="M2011" s="4"/>
      <c r="N2011" s="4"/>
      <c r="O2011" s="4"/>
      <c r="P2011" s="4"/>
      <c r="Q2011" s="4"/>
      <c r="R2011" s="4"/>
      <c r="S2011" s="4"/>
      <c r="T2011" s="4"/>
      <c r="U2011" s="4"/>
      <c r="V2011" s="4"/>
      <c r="W2011" s="4"/>
      <c r="X2011" s="4"/>
      <c r="Y2011" s="4"/>
      <c r="Z2011" s="4"/>
      <c r="AA2011" s="4"/>
      <c r="AB2011" s="4"/>
      <c r="AC2011" s="4"/>
      <c r="AD2011" s="4"/>
      <c r="AE2011" s="4"/>
      <c r="AF2011" s="4"/>
      <c r="AG2011" s="4"/>
      <c r="AH2011" s="4"/>
      <c r="AI2011" s="4"/>
      <c r="AJ2011" s="4"/>
      <c r="AK2011" s="4"/>
      <c r="AL2011" s="4"/>
      <c r="AM2011" s="4"/>
      <c r="AN2011" s="4"/>
      <c r="AO2011" s="4"/>
      <c r="AP2011" s="4"/>
      <c r="AQ2011" s="4"/>
      <c r="AR2011" s="4"/>
      <c r="AS2011" s="4"/>
      <c r="AT2011" s="4"/>
      <c r="AU2011" s="4"/>
      <c r="AV2011" s="4"/>
      <c r="AW2011" s="4"/>
      <c r="AX2011" s="4"/>
      <c r="AY2011" s="4"/>
      <c r="AZ2011" s="4"/>
      <c r="BA2011" s="4"/>
      <c r="BB2011" s="4"/>
      <c r="BC2011" s="4"/>
      <c r="BD2011" s="4"/>
      <c r="BE2011" s="4"/>
      <c r="BF2011" s="4"/>
      <c r="BG2011" s="4"/>
      <c r="BH2011" s="4"/>
      <c r="BI2011" s="4"/>
      <c r="BJ2011" s="4"/>
      <c r="BK2011" s="4"/>
      <c r="BL2011" s="4"/>
      <c r="BM2011" s="4"/>
      <c r="BN2011" s="4"/>
      <c r="BO2011" s="4"/>
      <c r="BP2011" s="4"/>
      <c r="BQ2011" s="4"/>
      <c r="BR2011" s="4"/>
      <c r="BS2011" s="4"/>
      <c r="BT2011" s="4"/>
      <c r="BU2011" s="4"/>
      <c r="BV2011" s="4"/>
      <c r="BW2011" s="4"/>
      <c r="BX2011" s="4"/>
      <c r="BY2011" s="4"/>
      <c r="BZ2011" s="4"/>
      <c r="CA2011" s="4"/>
      <c r="CB2011" s="4"/>
      <c r="CC2011" s="4"/>
      <c r="CD2011" s="4"/>
      <c r="CE2011" s="4"/>
      <c r="CF2011" s="4"/>
      <c r="CG2011" s="4"/>
      <c r="CH2011" s="4"/>
      <c r="CI2011" s="4"/>
      <c r="CJ2011" s="4"/>
      <c r="CK2011" s="4"/>
      <c r="CL2011" s="4"/>
      <c r="CM2011" s="4"/>
      <c r="CN2011" s="4"/>
      <c r="CO2011" s="4"/>
      <c r="CP2011" s="4"/>
      <c r="CQ2011" s="4"/>
      <c r="CR2011" s="4"/>
      <c r="CS2011" s="4"/>
      <c r="CT2011" s="4"/>
      <c r="CU2011" s="4"/>
      <c r="CV2011" s="4"/>
      <c r="CW2011" s="4"/>
      <c r="CX2011" s="4"/>
      <c r="CY2011" s="4"/>
      <c r="CZ2011" s="4"/>
      <c r="DA2011" s="4"/>
      <c r="DB2011" s="4"/>
      <c r="DC2011" s="4"/>
      <c r="DD2011" s="4"/>
      <c r="DE2011" s="4"/>
      <c r="DF2011" s="4"/>
      <c r="DG2011" s="4"/>
      <c r="DH2011" s="4"/>
      <c r="DI2011" s="4"/>
      <c r="DJ2011" s="4"/>
      <c r="DK2011" s="4"/>
      <c r="DL2011" s="4"/>
      <c r="DM2011" s="4"/>
      <c r="DN2011" s="4"/>
      <c r="DO2011" s="4"/>
      <c r="DP2011" s="4"/>
      <c r="DQ2011" s="4"/>
      <c r="DR2011" s="4"/>
      <c r="DS2011" s="4"/>
    </row>
    <row r="2012">
      <c r="A2012" s="4"/>
      <c r="B2012" s="4"/>
      <c r="C2012" s="4"/>
      <c r="D2012" s="4"/>
      <c r="E2012" s="4"/>
      <c r="F2012" s="4" t="s">
        <v>17</v>
      </c>
      <c r="G2012" s="15"/>
      <c r="H2012" s="4"/>
      <c r="I2012" s="4"/>
      <c r="J2012" s="4"/>
      <c r="K2012" s="4"/>
      <c r="L2012" s="4"/>
      <c r="M2012" s="4"/>
      <c r="N2012" s="4"/>
      <c r="O2012" s="4"/>
      <c r="P2012" s="4"/>
      <c r="Q2012" s="4"/>
      <c r="R2012" s="4"/>
      <c r="S2012" s="4"/>
      <c r="T2012" s="4"/>
      <c r="U2012" s="4"/>
      <c r="V2012" s="4"/>
      <c r="W2012" s="4"/>
      <c r="X2012" s="4"/>
      <c r="Y2012" s="4"/>
      <c r="Z2012" s="4"/>
      <c r="AA2012" s="4"/>
      <c r="AB2012" s="4"/>
      <c r="AC2012" s="4"/>
      <c r="AD2012" s="4"/>
      <c r="AE2012" s="4"/>
      <c r="AF2012" s="4"/>
      <c r="AG2012" s="4"/>
      <c r="AH2012" s="4"/>
      <c r="AI2012" s="4"/>
      <c r="AJ2012" s="4"/>
      <c r="AK2012" s="4"/>
      <c r="AL2012" s="4"/>
      <c r="AM2012" s="4"/>
      <c r="AN2012" s="4"/>
      <c r="AO2012" s="4"/>
      <c r="AP2012" s="4"/>
      <c r="AQ2012" s="4"/>
      <c r="AR2012" s="4"/>
      <c r="AS2012" s="4"/>
      <c r="AT2012" s="4"/>
      <c r="AU2012" s="4"/>
      <c r="AV2012" s="4"/>
      <c r="AW2012" s="4"/>
      <c r="AX2012" s="4"/>
      <c r="AY2012" s="4"/>
      <c r="AZ2012" s="4"/>
      <c r="BA2012" s="4"/>
      <c r="BB2012" s="4"/>
      <c r="BC2012" s="4"/>
      <c r="BD2012" s="4"/>
      <c r="BE2012" s="4"/>
      <c r="BF2012" s="4"/>
      <c r="BG2012" s="4"/>
      <c r="BH2012" s="4"/>
      <c r="BI2012" s="4"/>
      <c r="BJ2012" s="4"/>
      <c r="BK2012" s="4"/>
      <c r="BL2012" s="4"/>
      <c r="BM2012" s="4"/>
      <c r="BN2012" s="4"/>
      <c r="BO2012" s="4"/>
      <c r="BP2012" s="4"/>
      <c r="BQ2012" s="4"/>
      <c r="BR2012" s="4"/>
      <c r="BS2012" s="4"/>
      <c r="BT2012" s="4"/>
      <c r="BU2012" s="4"/>
      <c r="BV2012" s="4"/>
      <c r="BW2012" s="4"/>
      <c r="BX2012" s="4"/>
      <c r="BY2012" s="4"/>
      <c r="BZ2012" s="4"/>
      <c r="CA2012" s="4"/>
      <c r="CB2012" s="4"/>
      <c r="CC2012" s="4"/>
      <c r="CD2012" s="4"/>
      <c r="CE2012" s="4"/>
      <c r="CF2012" s="4"/>
      <c r="CG2012" s="4"/>
      <c r="CH2012" s="4"/>
      <c r="CI2012" s="4"/>
      <c r="CJ2012" s="4"/>
      <c r="CK2012" s="4"/>
      <c r="CL2012" s="4"/>
      <c r="CM2012" s="4"/>
      <c r="CN2012" s="4"/>
      <c r="CO2012" s="4"/>
      <c r="CP2012" s="4"/>
      <c r="CQ2012" s="4"/>
      <c r="CR2012" s="4"/>
      <c r="CS2012" s="4"/>
      <c r="CT2012" s="4"/>
      <c r="CU2012" s="4"/>
      <c r="CV2012" s="4"/>
      <c r="CW2012" s="4"/>
      <c r="CX2012" s="4"/>
      <c r="CY2012" s="4"/>
      <c r="CZ2012" s="4"/>
      <c r="DA2012" s="4"/>
      <c r="DB2012" s="4"/>
      <c r="DC2012" s="4"/>
      <c r="DD2012" s="4"/>
      <c r="DE2012" s="4"/>
      <c r="DF2012" s="4"/>
      <c r="DG2012" s="4"/>
      <c r="DH2012" s="4"/>
      <c r="DI2012" s="4"/>
      <c r="DJ2012" s="4"/>
      <c r="DK2012" s="4"/>
      <c r="DL2012" s="4"/>
      <c r="DM2012" s="4"/>
      <c r="DN2012" s="4"/>
      <c r="DO2012" s="4"/>
      <c r="DP2012" s="4"/>
      <c r="DQ2012" s="4"/>
      <c r="DR2012" s="4"/>
      <c r="DS2012" s="4"/>
    </row>
    <row r="2013">
      <c r="A2013" s="4"/>
      <c r="B2013" s="4"/>
      <c r="C2013" s="4"/>
      <c r="D2013" s="4"/>
      <c r="E2013" s="4"/>
      <c r="F2013" s="4" t="s">
        <v>17</v>
      </c>
      <c r="G2013" s="15"/>
      <c r="H2013" s="4"/>
      <c r="I2013" s="4"/>
      <c r="J2013" s="4"/>
      <c r="K2013" s="4"/>
      <c r="L2013" s="4"/>
      <c r="M2013" s="4"/>
      <c r="N2013" s="4"/>
      <c r="O2013" s="4"/>
      <c r="P2013" s="4"/>
      <c r="Q2013" s="4"/>
      <c r="R2013" s="4"/>
      <c r="S2013" s="4"/>
      <c r="T2013" s="4"/>
      <c r="U2013" s="4"/>
      <c r="V2013" s="4"/>
      <c r="W2013" s="4"/>
      <c r="X2013" s="4"/>
      <c r="Y2013" s="4"/>
      <c r="Z2013" s="4"/>
      <c r="AA2013" s="4"/>
      <c r="AB2013" s="4"/>
      <c r="AC2013" s="4"/>
      <c r="AD2013" s="4"/>
      <c r="AE2013" s="4"/>
      <c r="AF2013" s="4"/>
      <c r="AG2013" s="4"/>
      <c r="AH2013" s="4"/>
      <c r="AI2013" s="4"/>
      <c r="AJ2013" s="4"/>
      <c r="AK2013" s="4"/>
      <c r="AL2013" s="4"/>
      <c r="AM2013" s="4"/>
      <c r="AN2013" s="4"/>
      <c r="AO2013" s="4"/>
      <c r="AP2013" s="4"/>
      <c r="AQ2013" s="4"/>
      <c r="AR2013" s="4"/>
      <c r="AS2013" s="4"/>
      <c r="AT2013" s="4"/>
      <c r="AU2013" s="4"/>
      <c r="AV2013" s="4"/>
      <c r="AW2013" s="4"/>
      <c r="AX2013" s="4"/>
      <c r="AY2013" s="4"/>
      <c r="AZ2013" s="4"/>
      <c r="BA2013" s="4"/>
      <c r="BB2013" s="4"/>
      <c r="BC2013" s="4"/>
      <c r="BD2013" s="4"/>
      <c r="BE2013" s="4"/>
      <c r="BF2013" s="4"/>
      <c r="BG2013" s="4"/>
      <c r="BH2013" s="4"/>
      <c r="BI2013" s="4"/>
      <c r="BJ2013" s="4"/>
      <c r="BK2013" s="4"/>
      <c r="BL2013" s="4"/>
      <c r="BM2013" s="4"/>
      <c r="BN2013" s="4"/>
      <c r="BO2013" s="4"/>
      <c r="BP2013" s="4"/>
      <c r="BQ2013" s="4"/>
      <c r="BR2013" s="4"/>
      <c r="BS2013" s="4"/>
      <c r="BT2013" s="4"/>
      <c r="BU2013" s="4"/>
      <c r="BV2013" s="4"/>
      <c r="BW2013" s="4"/>
      <c r="BX2013" s="4"/>
      <c r="BY2013" s="4"/>
      <c r="BZ2013" s="4"/>
      <c r="CA2013" s="4"/>
      <c r="CB2013" s="4"/>
      <c r="CC2013" s="4"/>
      <c r="CD2013" s="4"/>
      <c r="CE2013" s="4"/>
      <c r="CF2013" s="4"/>
      <c r="CG2013" s="4"/>
      <c r="CH2013" s="4"/>
      <c r="CI2013" s="4"/>
      <c r="CJ2013" s="4"/>
      <c r="CK2013" s="4"/>
      <c r="CL2013" s="4"/>
      <c r="CM2013" s="4"/>
      <c r="CN2013" s="4"/>
      <c r="CO2013" s="4"/>
      <c r="CP2013" s="4"/>
      <c r="CQ2013" s="4"/>
      <c r="CR2013" s="4"/>
      <c r="CS2013" s="4"/>
      <c r="CT2013" s="4"/>
      <c r="CU2013" s="4"/>
      <c r="CV2013" s="4"/>
      <c r="CW2013" s="4"/>
      <c r="CX2013" s="4"/>
      <c r="CY2013" s="4"/>
      <c r="CZ2013" s="4"/>
      <c r="DA2013" s="4"/>
      <c r="DB2013" s="4"/>
      <c r="DC2013" s="4"/>
      <c r="DD2013" s="4"/>
      <c r="DE2013" s="4"/>
      <c r="DF2013" s="4"/>
      <c r="DG2013" s="4"/>
      <c r="DH2013" s="4"/>
      <c r="DI2013" s="4"/>
      <c r="DJ2013" s="4"/>
      <c r="DK2013" s="4"/>
      <c r="DL2013" s="4"/>
      <c r="DM2013" s="4"/>
      <c r="DN2013" s="4"/>
      <c r="DO2013" s="4"/>
      <c r="DP2013" s="4"/>
      <c r="DQ2013" s="4"/>
      <c r="DR2013" s="4"/>
      <c r="DS2013" s="4"/>
    </row>
    <row r="2014">
      <c r="A2014" s="4"/>
      <c r="B2014" s="4"/>
      <c r="C2014" s="4"/>
      <c r="D2014" s="4"/>
      <c r="E2014" s="4"/>
      <c r="F2014" s="4" t="s">
        <v>17</v>
      </c>
      <c r="G2014" s="15"/>
      <c r="H2014" s="4"/>
      <c r="I2014" s="4"/>
      <c r="J2014" s="4"/>
      <c r="K2014" s="4"/>
      <c r="L2014" s="4"/>
      <c r="M2014" s="4"/>
      <c r="N2014" s="4"/>
      <c r="O2014" s="4"/>
      <c r="P2014" s="4"/>
      <c r="Q2014" s="4"/>
      <c r="R2014" s="4"/>
      <c r="S2014" s="4"/>
      <c r="T2014" s="4"/>
      <c r="U2014" s="4"/>
      <c r="V2014" s="4"/>
      <c r="W2014" s="4"/>
      <c r="X2014" s="4"/>
      <c r="Y2014" s="4"/>
      <c r="Z2014" s="4"/>
      <c r="AA2014" s="4"/>
      <c r="AB2014" s="4"/>
      <c r="AC2014" s="4"/>
      <c r="AD2014" s="4"/>
      <c r="AE2014" s="4"/>
      <c r="AF2014" s="4"/>
      <c r="AG2014" s="4"/>
      <c r="AH2014" s="4"/>
      <c r="AI2014" s="4"/>
      <c r="AJ2014" s="4"/>
      <c r="AK2014" s="4"/>
      <c r="AL2014" s="4"/>
      <c r="AM2014" s="4"/>
      <c r="AN2014" s="4"/>
      <c r="AO2014" s="4"/>
      <c r="AP2014" s="4"/>
      <c r="AQ2014" s="4"/>
      <c r="AR2014" s="4"/>
      <c r="AS2014" s="4"/>
      <c r="AT2014" s="4"/>
      <c r="AU2014" s="4"/>
      <c r="AV2014" s="4"/>
      <c r="AW2014" s="4"/>
      <c r="AX2014" s="4"/>
      <c r="AY2014" s="4"/>
      <c r="AZ2014" s="4"/>
      <c r="BA2014" s="4"/>
      <c r="BB2014" s="4"/>
      <c r="BC2014" s="4"/>
      <c r="BD2014" s="4"/>
      <c r="BE2014" s="4"/>
      <c r="BF2014" s="4"/>
      <c r="BG2014" s="4"/>
      <c r="BH2014" s="4"/>
      <c r="BI2014" s="4"/>
      <c r="BJ2014" s="4"/>
      <c r="BK2014" s="4"/>
      <c r="BL2014" s="4"/>
      <c r="BM2014" s="4"/>
      <c r="BN2014" s="4"/>
      <c r="BO2014" s="4"/>
      <c r="BP2014" s="4"/>
      <c r="BQ2014" s="4"/>
      <c r="BR2014" s="4"/>
      <c r="BS2014" s="4"/>
      <c r="BT2014" s="4"/>
      <c r="BU2014" s="4"/>
      <c r="BV2014" s="4"/>
      <c r="BW2014" s="4"/>
      <c r="BX2014" s="4"/>
      <c r="BY2014" s="4"/>
      <c r="BZ2014" s="4"/>
      <c r="CA2014" s="4"/>
      <c r="CB2014" s="4"/>
      <c r="CC2014" s="4"/>
      <c r="CD2014" s="4"/>
      <c r="CE2014" s="4"/>
      <c r="CF2014" s="4"/>
      <c r="CG2014" s="4"/>
      <c r="CH2014" s="4"/>
      <c r="CI2014" s="4"/>
      <c r="CJ2014" s="4"/>
      <c r="CK2014" s="4"/>
      <c r="CL2014" s="4"/>
      <c r="CM2014" s="4"/>
      <c r="CN2014" s="4"/>
      <c r="CO2014" s="4"/>
      <c r="CP2014" s="4"/>
      <c r="CQ2014" s="4"/>
      <c r="CR2014" s="4"/>
      <c r="CS2014" s="4"/>
      <c r="CT2014" s="4"/>
      <c r="CU2014" s="4"/>
      <c r="CV2014" s="4"/>
      <c r="CW2014" s="4"/>
      <c r="CX2014" s="4"/>
      <c r="CY2014" s="4"/>
      <c r="CZ2014" s="4"/>
      <c r="DA2014" s="4"/>
      <c r="DB2014" s="4"/>
      <c r="DC2014" s="4"/>
      <c r="DD2014" s="4"/>
      <c r="DE2014" s="4"/>
      <c r="DF2014" s="4"/>
      <c r="DG2014" s="4"/>
      <c r="DH2014" s="4"/>
      <c r="DI2014" s="4"/>
      <c r="DJ2014" s="4"/>
      <c r="DK2014" s="4"/>
      <c r="DL2014" s="4"/>
      <c r="DM2014" s="4"/>
      <c r="DN2014" s="4"/>
      <c r="DO2014" s="4"/>
      <c r="DP2014" s="4"/>
      <c r="DQ2014" s="4"/>
      <c r="DR2014" s="4"/>
      <c r="DS2014" s="4"/>
    </row>
    <row r="2015">
      <c r="A2015" s="4"/>
      <c r="B2015" s="4"/>
      <c r="C2015" s="4"/>
      <c r="D2015" s="4"/>
      <c r="E2015" s="4"/>
      <c r="F2015" s="4" t="s">
        <v>17</v>
      </c>
      <c r="G2015" s="15"/>
      <c r="H2015" s="4"/>
      <c r="I2015" s="4"/>
      <c r="J2015" s="4"/>
      <c r="K2015" s="4"/>
      <c r="L2015" s="4"/>
      <c r="M2015" s="4"/>
      <c r="N2015" s="4"/>
      <c r="O2015" s="4"/>
      <c r="P2015" s="4"/>
      <c r="Q2015" s="4"/>
      <c r="R2015" s="4"/>
      <c r="S2015" s="4"/>
      <c r="T2015" s="4"/>
      <c r="U2015" s="4"/>
      <c r="V2015" s="4"/>
      <c r="W2015" s="4"/>
      <c r="X2015" s="4"/>
      <c r="Y2015" s="4"/>
      <c r="Z2015" s="4"/>
      <c r="AA2015" s="4"/>
      <c r="AB2015" s="4"/>
      <c r="AC2015" s="4"/>
      <c r="AD2015" s="4"/>
      <c r="AE2015" s="4"/>
      <c r="AF2015" s="4"/>
      <c r="AG2015" s="4"/>
      <c r="AH2015" s="4"/>
      <c r="AI2015" s="4"/>
      <c r="AJ2015" s="4"/>
      <c r="AK2015" s="4"/>
      <c r="AL2015" s="4"/>
      <c r="AM2015" s="4"/>
      <c r="AN2015" s="4"/>
      <c r="AO2015" s="4"/>
      <c r="AP2015" s="4"/>
      <c r="AQ2015" s="4"/>
      <c r="AR2015" s="4"/>
      <c r="AS2015" s="4"/>
      <c r="AT2015" s="4"/>
      <c r="AU2015" s="4"/>
      <c r="AV2015" s="4"/>
      <c r="AW2015" s="4"/>
      <c r="AX2015" s="4"/>
      <c r="AY2015" s="4"/>
      <c r="AZ2015" s="4"/>
      <c r="BA2015" s="4"/>
      <c r="BB2015" s="4"/>
      <c r="BC2015" s="4"/>
      <c r="BD2015" s="4"/>
      <c r="BE2015" s="4"/>
      <c r="BF2015" s="4"/>
      <c r="BG2015" s="4"/>
      <c r="BH2015" s="4"/>
      <c r="BI2015" s="4"/>
      <c r="BJ2015" s="4"/>
      <c r="BK2015" s="4"/>
      <c r="BL2015" s="4"/>
      <c r="BM2015" s="4"/>
      <c r="BN2015" s="4"/>
      <c r="BO2015" s="4"/>
      <c r="BP2015" s="4"/>
      <c r="BQ2015" s="4"/>
      <c r="BR2015" s="4"/>
      <c r="BS2015" s="4"/>
      <c r="BT2015" s="4"/>
      <c r="BU2015" s="4"/>
      <c r="BV2015" s="4"/>
      <c r="BW2015" s="4"/>
      <c r="BX2015" s="4"/>
      <c r="BY2015" s="4"/>
      <c r="BZ2015" s="4"/>
      <c r="CA2015" s="4"/>
      <c r="CB2015" s="4"/>
      <c r="CC2015" s="4"/>
      <c r="CD2015" s="4"/>
      <c r="CE2015" s="4"/>
      <c r="CF2015" s="4"/>
      <c r="CG2015" s="4"/>
      <c r="CH2015" s="4"/>
      <c r="CI2015" s="4"/>
      <c r="CJ2015" s="4"/>
      <c r="CK2015" s="4"/>
      <c r="CL2015" s="4"/>
      <c r="CM2015" s="4"/>
      <c r="CN2015" s="4"/>
      <c r="CO2015" s="4"/>
      <c r="CP2015" s="4"/>
      <c r="CQ2015" s="4"/>
      <c r="CR2015" s="4"/>
      <c r="CS2015" s="4"/>
      <c r="CT2015" s="4"/>
      <c r="CU2015" s="4"/>
      <c r="CV2015" s="4"/>
      <c r="CW2015" s="4"/>
      <c r="CX2015" s="4"/>
      <c r="CY2015" s="4"/>
      <c r="CZ2015" s="4"/>
      <c r="DA2015" s="4"/>
      <c r="DB2015" s="4"/>
      <c r="DC2015" s="4"/>
      <c r="DD2015" s="4"/>
      <c r="DE2015" s="4"/>
      <c r="DF2015" s="4"/>
      <c r="DG2015" s="4"/>
      <c r="DH2015" s="4"/>
      <c r="DI2015" s="4"/>
      <c r="DJ2015" s="4"/>
      <c r="DK2015" s="4"/>
      <c r="DL2015" s="4"/>
      <c r="DM2015" s="4"/>
      <c r="DN2015" s="4"/>
      <c r="DO2015" s="4"/>
      <c r="DP2015" s="4"/>
      <c r="DQ2015" s="4"/>
      <c r="DR2015" s="4"/>
      <c r="DS2015" s="4"/>
    </row>
    <row r="2016">
      <c r="A2016" s="4"/>
      <c r="B2016" s="4"/>
      <c r="C2016" s="4"/>
      <c r="D2016" s="4"/>
      <c r="E2016" s="4"/>
      <c r="F2016" s="4" t="s">
        <v>17</v>
      </c>
      <c r="G2016" s="15"/>
      <c r="H2016" s="4"/>
      <c r="I2016" s="4"/>
      <c r="J2016" s="4"/>
      <c r="K2016" s="4"/>
      <c r="L2016" s="4"/>
      <c r="M2016" s="4"/>
      <c r="N2016" s="4"/>
      <c r="O2016" s="4"/>
      <c r="P2016" s="4"/>
      <c r="Q2016" s="4"/>
      <c r="R2016" s="4"/>
      <c r="S2016" s="4"/>
      <c r="T2016" s="4"/>
      <c r="U2016" s="4"/>
      <c r="V2016" s="4"/>
      <c r="W2016" s="4"/>
      <c r="X2016" s="4"/>
      <c r="Y2016" s="4"/>
      <c r="Z2016" s="4"/>
      <c r="AA2016" s="4"/>
      <c r="AB2016" s="4"/>
      <c r="AC2016" s="4"/>
      <c r="AD2016" s="4"/>
      <c r="AE2016" s="4"/>
      <c r="AF2016" s="4"/>
      <c r="AG2016" s="4"/>
      <c r="AH2016" s="4"/>
      <c r="AI2016" s="4"/>
      <c r="AJ2016" s="4"/>
      <c r="AK2016" s="4"/>
      <c r="AL2016" s="4"/>
      <c r="AM2016" s="4"/>
      <c r="AN2016" s="4"/>
      <c r="AO2016" s="4"/>
      <c r="AP2016" s="4"/>
      <c r="AQ2016" s="4"/>
      <c r="AR2016" s="4"/>
      <c r="AS2016" s="4"/>
      <c r="AT2016" s="4"/>
      <c r="AU2016" s="4"/>
      <c r="AV2016" s="4"/>
      <c r="AW2016" s="4"/>
      <c r="AX2016" s="4"/>
      <c r="AY2016" s="4"/>
      <c r="AZ2016" s="4"/>
      <c r="BA2016" s="4"/>
      <c r="BB2016" s="4"/>
      <c r="BC2016" s="4"/>
      <c r="BD2016" s="4"/>
      <c r="BE2016" s="4"/>
      <c r="BF2016" s="4"/>
      <c r="BG2016" s="4"/>
      <c r="BH2016" s="4"/>
      <c r="BI2016" s="4"/>
      <c r="BJ2016" s="4"/>
      <c r="BK2016" s="4"/>
      <c r="BL2016" s="4"/>
      <c r="BM2016" s="4"/>
      <c r="BN2016" s="4"/>
      <c r="BO2016" s="4"/>
      <c r="BP2016" s="4"/>
      <c r="BQ2016" s="4"/>
      <c r="BR2016" s="4"/>
      <c r="BS2016" s="4"/>
      <c r="BT2016" s="4"/>
      <c r="BU2016" s="4"/>
      <c r="BV2016" s="4"/>
      <c r="BW2016" s="4"/>
      <c r="BX2016" s="4"/>
      <c r="BY2016" s="4"/>
      <c r="BZ2016" s="4"/>
      <c r="CA2016" s="4"/>
      <c r="CB2016" s="4"/>
      <c r="CC2016" s="4"/>
      <c r="CD2016" s="4"/>
      <c r="CE2016" s="4"/>
      <c r="CF2016" s="4"/>
      <c r="CG2016" s="4"/>
      <c r="CH2016" s="4"/>
      <c r="CI2016" s="4"/>
      <c r="CJ2016" s="4"/>
      <c r="CK2016" s="4"/>
      <c r="CL2016" s="4"/>
      <c r="CM2016" s="4"/>
      <c r="CN2016" s="4"/>
      <c r="CO2016" s="4"/>
      <c r="CP2016" s="4"/>
      <c r="CQ2016" s="4"/>
      <c r="CR2016" s="4"/>
      <c r="CS2016" s="4"/>
      <c r="CT2016" s="4"/>
      <c r="CU2016" s="4"/>
      <c r="CV2016" s="4"/>
      <c r="CW2016" s="4"/>
      <c r="CX2016" s="4"/>
      <c r="CY2016" s="4"/>
      <c r="CZ2016" s="4"/>
      <c r="DA2016" s="4"/>
      <c r="DB2016" s="4"/>
      <c r="DC2016" s="4"/>
      <c r="DD2016" s="4"/>
      <c r="DE2016" s="4"/>
      <c r="DF2016" s="4"/>
      <c r="DG2016" s="4"/>
      <c r="DH2016" s="4"/>
      <c r="DI2016" s="4"/>
      <c r="DJ2016" s="4"/>
      <c r="DK2016" s="4"/>
      <c r="DL2016" s="4"/>
      <c r="DM2016" s="4"/>
      <c r="DN2016" s="4"/>
      <c r="DO2016" s="4"/>
      <c r="DP2016" s="4"/>
      <c r="DQ2016" s="4"/>
      <c r="DR2016" s="4"/>
      <c r="DS2016" s="4"/>
    </row>
    <row r="2017">
      <c r="A2017" s="4"/>
      <c r="B2017" s="4"/>
      <c r="C2017" s="4"/>
      <c r="D2017" s="4"/>
      <c r="E2017" s="4"/>
      <c r="F2017" s="4" t="s">
        <v>17</v>
      </c>
      <c r="G2017" s="15"/>
      <c r="H2017" s="4"/>
      <c r="I2017" s="4"/>
      <c r="J2017" s="4"/>
      <c r="K2017" s="4"/>
      <c r="L2017" s="4"/>
      <c r="M2017" s="4"/>
      <c r="N2017" s="4"/>
      <c r="O2017" s="4"/>
      <c r="P2017" s="4"/>
      <c r="Q2017" s="4"/>
      <c r="R2017" s="4"/>
      <c r="S2017" s="4"/>
      <c r="T2017" s="4"/>
      <c r="U2017" s="4"/>
      <c r="V2017" s="4"/>
      <c r="W2017" s="4"/>
      <c r="X2017" s="4"/>
      <c r="Y2017" s="4"/>
      <c r="Z2017" s="4"/>
      <c r="AA2017" s="4"/>
      <c r="AB2017" s="4"/>
      <c r="AC2017" s="4"/>
      <c r="AD2017" s="4"/>
      <c r="AE2017" s="4"/>
      <c r="AF2017" s="4"/>
      <c r="AG2017" s="4"/>
      <c r="AH2017" s="4"/>
      <c r="AI2017" s="4"/>
      <c r="AJ2017" s="4"/>
      <c r="AK2017" s="4"/>
      <c r="AL2017" s="4"/>
      <c r="AM2017" s="4"/>
      <c r="AN2017" s="4"/>
      <c r="AO2017" s="4"/>
      <c r="AP2017" s="4"/>
      <c r="AQ2017" s="4"/>
      <c r="AR2017" s="4"/>
      <c r="AS2017" s="4"/>
      <c r="AT2017" s="4"/>
      <c r="AU2017" s="4"/>
      <c r="AV2017" s="4"/>
      <c r="AW2017" s="4"/>
      <c r="AX2017" s="4"/>
      <c r="AY2017" s="4"/>
      <c r="AZ2017" s="4"/>
      <c r="BA2017" s="4"/>
      <c r="BB2017" s="4"/>
      <c r="BC2017" s="4"/>
      <c r="BD2017" s="4"/>
      <c r="BE2017" s="4"/>
      <c r="BF2017" s="4"/>
      <c r="BG2017" s="4"/>
      <c r="BH2017" s="4"/>
      <c r="BI2017" s="4"/>
      <c r="BJ2017" s="4"/>
      <c r="BK2017" s="4"/>
      <c r="BL2017" s="4"/>
      <c r="BM2017" s="4"/>
      <c r="BN2017" s="4"/>
      <c r="BO2017" s="4"/>
      <c r="BP2017" s="4"/>
      <c r="BQ2017" s="4"/>
      <c r="BR2017" s="4"/>
      <c r="BS2017" s="4"/>
      <c r="BT2017" s="4"/>
      <c r="BU2017" s="4"/>
      <c r="BV2017" s="4"/>
      <c r="BW2017" s="4"/>
      <c r="BX2017" s="4"/>
      <c r="BY2017" s="4"/>
      <c r="BZ2017" s="4"/>
      <c r="CA2017" s="4"/>
      <c r="CB2017" s="4"/>
      <c r="CC2017" s="4"/>
      <c r="CD2017" s="4"/>
      <c r="CE2017" s="4"/>
      <c r="CF2017" s="4"/>
      <c r="CG2017" s="4"/>
      <c r="CH2017" s="4"/>
      <c r="CI2017" s="4"/>
      <c r="CJ2017" s="4"/>
      <c r="CK2017" s="4"/>
      <c r="CL2017" s="4"/>
      <c r="CM2017" s="4"/>
      <c r="CN2017" s="4"/>
      <c r="CO2017" s="4"/>
      <c r="CP2017" s="4"/>
      <c r="CQ2017" s="4"/>
      <c r="CR2017" s="4"/>
      <c r="CS2017" s="4"/>
      <c r="CT2017" s="4"/>
      <c r="CU2017" s="4"/>
      <c r="CV2017" s="4"/>
      <c r="CW2017" s="4"/>
      <c r="CX2017" s="4"/>
      <c r="CY2017" s="4"/>
      <c r="CZ2017" s="4"/>
      <c r="DA2017" s="4"/>
      <c r="DB2017" s="4"/>
      <c r="DC2017" s="4"/>
      <c r="DD2017" s="4"/>
      <c r="DE2017" s="4"/>
      <c r="DF2017" s="4"/>
      <c r="DG2017" s="4"/>
      <c r="DH2017" s="4"/>
      <c r="DI2017" s="4"/>
      <c r="DJ2017" s="4"/>
      <c r="DK2017" s="4"/>
      <c r="DL2017" s="4"/>
      <c r="DM2017" s="4"/>
      <c r="DN2017" s="4"/>
      <c r="DO2017" s="4"/>
      <c r="DP2017" s="4"/>
      <c r="DQ2017" s="4"/>
      <c r="DR2017" s="4"/>
      <c r="DS2017" s="4"/>
    </row>
    <row r="2018">
      <c r="A2018" s="4"/>
      <c r="B2018" s="4"/>
      <c r="C2018" s="4"/>
      <c r="D2018" s="4"/>
      <c r="E2018" s="4"/>
      <c r="F2018" s="4" t="s">
        <v>17</v>
      </c>
      <c r="G2018" s="15"/>
      <c r="H2018" s="4"/>
      <c r="I2018" s="4"/>
      <c r="J2018" s="4"/>
      <c r="K2018" s="4"/>
      <c r="L2018" s="4"/>
      <c r="M2018" s="4"/>
      <c r="N2018" s="4"/>
      <c r="O2018" s="4"/>
      <c r="P2018" s="4"/>
      <c r="Q2018" s="4"/>
      <c r="R2018" s="4"/>
      <c r="S2018" s="4"/>
      <c r="T2018" s="4"/>
      <c r="U2018" s="4"/>
      <c r="V2018" s="4"/>
      <c r="W2018" s="4"/>
      <c r="X2018" s="4"/>
      <c r="Y2018" s="4"/>
      <c r="Z2018" s="4"/>
      <c r="AA2018" s="4"/>
      <c r="AB2018" s="4"/>
      <c r="AC2018" s="4"/>
      <c r="AD2018" s="4"/>
      <c r="AE2018" s="4"/>
      <c r="AF2018" s="4"/>
      <c r="AG2018" s="4"/>
      <c r="AH2018" s="4"/>
      <c r="AI2018" s="4"/>
      <c r="AJ2018" s="4"/>
      <c r="AK2018" s="4"/>
      <c r="AL2018" s="4"/>
      <c r="AM2018" s="4"/>
      <c r="AN2018" s="4"/>
      <c r="AO2018" s="4"/>
      <c r="AP2018" s="4"/>
      <c r="AQ2018" s="4"/>
      <c r="AR2018" s="4"/>
      <c r="AS2018" s="4"/>
      <c r="AT2018" s="4"/>
      <c r="AU2018" s="4"/>
      <c r="AV2018" s="4"/>
      <c r="AW2018" s="4"/>
      <c r="AX2018" s="4"/>
      <c r="AY2018" s="4"/>
      <c r="AZ2018" s="4"/>
      <c r="BA2018" s="4"/>
      <c r="BB2018" s="4"/>
      <c r="BC2018" s="4"/>
      <c r="BD2018" s="4"/>
      <c r="BE2018" s="4"/>
      <c r="BF2018" s="4"/>
      <c r="BG2018" s="4"/>
      <c r="BH2018" s="4"/>
      <c r="BI2018" s="4"/>
      <c r="BJ2018" s="4"/>
      <c r="BK2018" s="4"/>
      <c r="BL2018" s="4"/>
      <c r="BM2018" s="4"/>
      <c r="BN2018" s="4"/>
      <c r="BO2018" s="4"/>
      <c r="BP2018" s="4"/>
      <c r="BQ2018" s="4"/>
      <c r="BR2018" s="4"/>
      <c r="BS2018" s="4"/>
      <c r="BT2018" s="4"/>
      <c r="BU2018" s="4"/>
      <c r="BV2018" s="4"/>
      <c r="BW2018" s="4"/>
      <c r="BX2018" s="4"/>
      <c r="BY2018" s="4"/>
      <c r="BZ2018" s="4"/>
      <c r="CA2018" s="4"/>
      <c r="CB2018" s="4"/>
      <c r="CC2018" s="4"/>
      <c r="CD2018" s="4"/>
      <c r="CE2018" s="4"/>
      <c r="CF2018" s="4"/>
      <c r="CG2018" s="4"/>
      <c r="CH2018" s="4"/>
      <c r="CI2018" s="4"/>
      <c r="CJ2018" s="4"/>
      <c r="CK2018" s="4"/>
      <c r="CL2018" s="4"/>
      <c r="CM2018" s="4"/>
      <c r="CN2018" s="4"/>
      <c r="CO2018" s="4"/>
      <c r="CP2018" s="4"/>
      <c r="CQ2018" s="4"/>
      <c r="CR2018" s="4"/>
      <c r="CS2018" s="4"/>
      <c r="CT2018" s="4"/>
      <c r="CU2018" s="4"/>
      <c r="CV2018" s="4"/>
      <c r="CW2018" s="4"/>
      <c r="CX2018" s="4"/>
      <c r="CY2018" s="4"/>
      <c r="CZ2018" s="4"/>
      <c r="DA2018" s="4"/>
      <c r="DB2018" s="4"/>
      <c r="DC2018" s="4"/>
      <c r="DD2018" s="4"/>
      <c r="DE2018" s="4"/>
      <c r="DF2018" s="4"/>
      <c r="DG2018" s="4"/>
      <c r="DH2018" s="4"/>
      <c r="DI2018" s="4"/>
      <c r="DJ2018" s="4"/>
      <c r="DK2018" s="4"/>
      <c r="DL2018" s="4"/>
      <c r="DM2018" s="4"/>
      <c r="DN2018" s="4"/>
      <c r="DO2018" s="4"/>
      <c r="DP2018" s="4"/>
      <c r="DQ2018" s="4"/>
      <c r="DR2018" s="4"/>
      <c r="DS2018" s="4"/>
    </row>
    <row r="2019">
      <c r="A2019" s="4"/>
      <c r="B2019" s="4"/>
      <c r="C2019" s="4"/>
      <c r="D2019" s="4"/>
      <c r="E2019" s="4"/>
      <c r="F2019" s="4" t="s">
        <v>17</v>
      </c>
      <c r="G2019" s="15"/>
      <c r="H2019" s="4"/>
      <c r="I2019" s="4"/>
      <c r="J2019" s="4"/>
      <c r="K2019" s="4"/>
      <c r="L2019" s="4"/>
      <c r="M2019" s="4"/>
      <c r="N2019" s="4"/>
      <c r="O2019" s="4"/>
      <c r="P2019" s="4"/>
      <c r="Q2019" s="4"/>
      <c r="R2019" s="4"/>
      <c r="S2019" s="4"/>
      <c r="T2019" s="4"/>
      <c r="U2019" s="4"/>
      <c r="V2019" s="4"/>
      <c r="W2019" s="4"/>
      <c r="X2019" s="4"/>
      <c r="Y2019" s="4"/>
      <c r="Z2019" s="4"/>
      <c r="AA2019" s="4"/>
      <c r="AB2019" s="4"/>
      <c r="AC2019" s="4"/>
      <c r="AD2019" s="4"/>
      <c r="AE2019" s="4"/>
      <c r="AF2019" s="4"/>
      <c r="AG2019" s="4"/>
      <c r="AH2019" s="4"/>
      <c r="AI2019" s="4"/>
      <c r="AJ2019" s="4"/>
      <c r="AK2019" s="4"/>
      <c r="AL2019" s="4"/>
      <c r="AM2019" s="4"/>
      <c r="AN2019" s="4"/>
      <c r="AO2019" s="4"/>
      <c r="AP2019" s="4"/>
      <c r="AQ2019" s="4"/>
      <c r="AR2019" s="4"/>
      <c r="AS2019" s="4"/>
      <c r="AT2019" s="4"/>
      <c r="AU2019" s="4"/>
      <c r="AV2019" s="4"/>
      <c r="AW2019" s="4"/>
      <c r="AX2019" s="4"/>
      <c r="AY2019" s="4"/>
      <c r="AZ2019" s="4"/>
      <c r="BA2019" s="4"/>
      <c r="BB2019" s="4"/>
      <c r="BC2019" s="4"/>
      <c r="BD2019" s="4"/>
      <c r="BE2019" s="4"/>
      <c r="BF2019" s="4"/>
      <c r="BG2019" s="4"/>
      <c r="BH2019" s="4"/>
      <c r="BI2019" s="4"/>
      <c r="BJ2019" s="4"/>
      <c r="BK2019" s="4"/>
      <c r="BL2019" s="4"/>
      <c r="BM2019" s="4"/>
      <c r="BN2019" s="4"/>
      <c r="BO2019" s="4"/>
      <c r="BP2019" s="4"/>
      <c r="BQ2019" s="4"/>
      <c r="BR2019" s="4"/>
      <c r="BS2019" s="4"/>
      <c r="BT2019" s="4"/>
      <c r="BU2019" s="4"/>
      <c r="BV2019" s="4"/>
      <c r="BW2019" s="4"/>
      <c r="BX2019" s="4"/>
      <c r="BY2019" s="4"/>
      <c r="BZ2019" s="4"/>
      <c r="CA2019" s="4"/>
      <c r="CB2019" s="4"/>
      <c r="CC2019" s="4"/>
      <c r="CD2019" s="4"/>
      <c r="CE2019" s="4"/>
      <c r="CF2019" s="4"/>
      <c r="CG2019" s="4"/>
      <c r="CH2019" s="4"/>
      <c r="CI2019" s="4"/>
      <c r="CJ2019" s="4"/>
      <c r="CK2019" s="4"/>
      <c r="CL2019" s="4"/>
      <c r="CM2019" s="4"/>
      <c r="CN2019" s="4"/>
      <c r="CO2019" s="4"/>
      <c r="CP2019" s="4"/>
      <c r="CQ2019" s="4"/>
      <c r="CR2019" s="4"/>
      <c r="CS2019" s="4"/>
      <c r="CT2019" s="4"/>
      <c r="CU2019" s="4"/>
      <c r="CV2019" s="4"/>
      <c r="CW2019" s="4"/>
      <c r="CX2019" s="4"/>
      <c r="CY2019" s="4"/>
      <c r="CZ2019" s="4"/>
      <c r="DA2019" s="4"/>
      <c r="DB2019" s="4"/>
      <c r="DC2019" s="4"/>
      <c r="DD2019" s="4"/>
      <c r="DE2019" s="4"/>
      <c r="DF2019" s="4"/>
      <c r="DG2019" s="4"/>
      <c r="DH2019" s="4"/>
      <c r="DI2019" s="4"/>
      <c r="DJ2019" s="4"/>
      <c r="DK2019" s="4"/>
      <c r="DL2019" s="4"/>
      <c r="DM2019" s="4"/>
      <c r="DN2019" s="4"/>
      <c r="DO2019" s="4"/>
      <c r="DP2019" s="4"/>
      <c r="DQ2019" s="4"/>
      <c r="DR2019" s="4"/>
      <c r="DS2019" s="4"/>
    </row>
    <row r="2020">
      <c r="A2020" s="4"/>
      <c r="B2020" s="4"/>
      <c r="C2020" s="4"/>
      <c r="D2020" s="4"/>
      <c r="E2020" s="4"/>
      <c r="F2020" s="4" t="s">
        <v>17</v>
      </c>
      <c r="G2020" s="15"/>
      <c r="H2020" s="4"/>
      <c r="I2020" s="4"/>
      <c r="J2020" s="4"/>
      <c r="K2020" s="4"/>
      <c r="L2020" s="4"/>
      <c r="M2020" s="4"/>
      <c r="N2020" s="4"/>
      <c r="O2020" s="4"/>
      <c r="P2020" s="4"/>
      <c r="Q2020" s="4"/>
      <c r="R2020" s="4"/>
      <c r="S2020" s="4"/>
      <c r="T2020" s="4"/>
      <c r="U2020" s="4"/>
      <c r="V2020" s="4"/>
      <c r="W2020" s="4"/>
      <c r="X2020" s="4"/>
      <c r="Y2020" s="4"/>
      <c r="Z2020" s="4"/>
      <c r="AA2020" s="4"/>
      <c r="AB2020" s="4"/>
      <c r="AC2020" s="4"/>
      <c r="AD2020" s="4"/>
      <c r="AE2020" s="4"/>
      <c r="AF2020" s="4"/>
      <c r="AG2020" s="4"/>
      <c r="AH2020" s="4"/>
      <c r="AI2020" s="4"/>
      <c r="AJ2020" s="4"/>
      <c r="AK2020" s="4"/>
      <c r="AL2020" s="4"/>
      <c r="AM2020" s="4"/>
      <c r="AN2020" s="4"/>
      <c r="AO2020" s="4"/>
      <c r="AP2020" s="4"/>
      <c r="AQ2020" s="4"/>
      <c r="AR2020" s="4"/>
      <c r="AS2020" s="4"/>
      <c r="AT2020" s="4"/>
      <c r="AU2020" s="4"/>
      <c r="AV2020" s="4"/>
      <c r="AW2020" s="4"/>
      <c r="AX2020" s="4"/>
      <c r="AY2020" s="4"/>
      <c r="AZ2020" s="4"/>
      <c r="BA2020" s="4"/>
      <c r="BB2020" s="4"/>
      <c r="BC2020" s="4"/>
      <c r="BD2020" s="4"/>
      <c r="BE2020" s="4"/>
      <c r="BF2020" s="4"/>
      <c r="BG2020" s="4"/>
      <c r="BH2020" s="4"/>
      <c r="BI2020" s="4"/>
      <c r="BJ2020" s="4"/>
      <c r="BK2020" s="4"/>
      <c r="BL2020" s="4"/>
      <c r="BM2020" s="4"/>
      <c r="BN2020" s="4"/>
      <c r="BO2020" s="4"/>
      <c r="BP2020" s="4"/>
      <c r="BQ2020" s="4"/>
      <c r="BR2020" s="4"/>
      <c r="BS2020" s="4"/>
      <c r="BT2020" s="4"/>
      <c r="BU2020" s="4"/>
      <c r="BV2020" s="4"/>
      <c r="BW2020" s="4"/>
      <c r="BX2020" s="4"/>
      <c r="BY2020" s="4"/>
      <c r="BZ2020" s="4"/>
      <c r="CA2020" s="4"/>
      <c r="CB2020" s="4"/>
      <c r="CC2020" s="4"/>
      <c r="CD2020" s="4"/>
      <c r="CE2020" s="4"/>
      <c r="CF2020" s="4"/>
      <c r="CG2020" s="4"/>
      <c r="CH2020" s="4"/>
      <c r="CI2020" s="4"/>
      <c r="CJ2020" s="4"/>
      <c r="CK2020" s="4"/>
      <c r="CL2020" s="4"/>
      <c r="CM2020" s="4"/>
      <c r="CN2020" s="4"/>
      <c r="CO2020" s="4"/>
      <c r="CP2020" s="4"/>
      <c r="CQ2020" s="4"/>
      <c r="CR2020" s="4"/>
      <c r="CS2020" s="4"/>
      <c r="CT2020" s="4"/>
      <c r="CU2020" s="4"/>
      <c r="CV2020" s="4"/>
      <c r="CW2020" s="4"/>
      <c r="CX2020" s="4"/>
      <c r="CY2020" s="4"/>
      <c r="CZ2020" s="4"/>
      <c r="DA2020" s="4"/>
      <c r="DB2020" s="4"/>
      <c r="DC2020" s="4"/>
      <c r="DD2020" s="4"/>
      <c r="DE2020" s="4"/>
      <c r="DF2020" s="4"/>
      <c r="DG2020" s="4"/>
      <c r="DH2020" s="4"/>
      <c r="DI2020" s="4"/>
      <c r="DJ2020" s="4"/>
      <c r="DK2020" s="4"/>
      <c r="DL2020" s="4"/>
      <c r="DM2020" s="4"/>
      <c r="DN2020" s="4"/>
      <c r="DO2020" s="4"/>
      <c r="DP2020" s="4"/>
      <c r="DQ2020" s="4"/>
      <c r="DR2020" s="4"/>
      <c r="DS2020" s="4"/>
    </row>
    <row r="2021">
      <c r="A2021" s="4"/>
      <c r="B2021" s="4"/>
      <c r="C2021" s="4"/>
      <c r="D2021" s="4"/>
      <c r="E2021" s="4"/>
      <c r="F2021" s="4" t="s">
        <v>17</v>
      </c>
      <c r="G2021" s="15"/>
      <c r="H2021" s="4"/>
      <c r="I2021" s="4"/>
      <c r="J2021" s="4"/>
      <c r="K2021" s="4"/>
      <c r="L2021" s="4"/>
      <c r="M2021" s="4"/>
      <c r="N2021" s="4"/>
      <c r="O2021" s="4"/>
      <c r="P2021" s="4"/>
      <c r="Q2021" s="4"/>
      <c r="R2021" s="4"/>
      <c r="S2021" s="4"/>
      <c r="T2021" s="4"/>
      <c r="U2021" s="4"/>
      <c r="V2021" s="4"/>
      <c r="W2021" s="4"/>
      <c r="X2021" s="4"/>
      <c r="Y2021" s="4"/>
      <c r="Z2021" s="4"/>
      <c r="AA2021" s="4"/>
      <c r="AB2021" s="4"/>
      <c r="AC2021" s="4"/>
      <c r="AD2021" s="4"/>
      <c r="AE2021" s="4"/>
      <c r="AF2021" s="4"/>
      <c r="AG2021" s="4"/>
      <c r="AH2021" s="4"/>
      <c r="AI2021" s="4"/>
      <c r="AJ2021" s="4"/>
      <c r="AK2021" s="4"/>
      <c r="AL2021" s="4"/>
      <c r="AM2021" s="4"/>
      <c r="AN2021" s="4"/>
      <c r="AO2021" s="4"/>
      <c r="AP2021" s="4"/>
      <c r="AQ2021" s="4"/>
      <c r="AR2021" s="4"/>
      <c r="AS2021" s="4"/>
      <c r="AT2021" s="4"/>
      <c r="AU2021" s="4"/>
      <c r="AV2021" s="4"/>
      <c r="AW2021" s="4"/>
      <c r="AX2021" s="4"/>
      <c r="AY2021" s="4"/>
      <c r="AZ2021" s="4"/>
      <c r="BA2021" s="4"/>
      <c r="BB2021" s="4"/>
      <c r="BC2021" s="4"/>
      <c r="BD2021" s="4"/>
      <c r="BE2021" s="4"/>
      <c r="BF2021" s="4"/>
      <c r="BG2021" s="4"/>
      <c r="BH2021" s="4"/>
      <c r="BI2021" s="4"/>
      <c r="BJ2021" s="4"/>
      <c r="BK2021" s="4"/>
      <c r="BL2021" s="4"/>
      <c r="BM2021" s="4"/>
      <c r="BN2021" s="4"/>
      <c r="BO2021" s="4"/>
      <c r="BP2021" s="4"/>
      <c r="BQ2021" s="4"/>
      <c r="BR2021" s="4"/>
      <c r="BS2021" s="4"/>
      <c r="BT2021" s="4"/>
      <c r="BU2021" s="4"/>
      <c r="BV2021" s="4"/>
      <c r="BW2021" s="4"/>
      <c r="BX2021" s="4"/>
      <c r="BY2021" s="4"/>
      <c r="BZ2021" s="4"/>
      <c r="CA2021" s="4"/>
      <c r="CB2021" s="4"/>
      <c r="CC2021" s="4"/>
      <c r="CD2021" s="4"/>
      <c r="CE2021" s="4"/>
      <c r="CF2021" s="4"/>
      <c r="CG2021" s="4"/>
      <c r="CH2021" s="4"/>
      <c r="CI2021" s="4"/>
      <c r="CJ2021" s="4"/>
      <c r="CK2021" s="4"/>
      <c r="CL2021" s="4"/>
      <c r="CM2021" s="4"/>
      <c r="CN2021" s="4"/>
      <c r="CO2021" s="4"/>
      <c r="CP2021" s="4"/>
      <c r="CQ2021" s="4"/>
      <c r="CR2021" s="4"/>
      <c r="CS2021" s="4"/>
      <c r="CT2021" s="4"/>
      <c r="CU2021" s="4"/>
      <c r="CV2021" s="4"/>
      <c r="CW2021" s="4"/>
      <c r="CX2021" s="4"/>
      <c r="CY2021" s="4"/>
      <c r="CZ2021" s="4"/>
      <c r="DA2021" s="4"/>
      <c r="DB2021" s="4"/>
      <c r="DC2021" s="4"/>
      <c r="DD2021" s="4"/>
      <c r="DE2021" s="4"/>
      <c r="DF2021" s="4"/>
      <c r="DG2021" s="4"/>
      <c r="DH2021" s="4"/>
      <c r="DI2021" s="4"/>
      <c r="DJ2021" s="4"/>
      <c r="DK2021" s="4"/>
      <c r="DL2021" s="4"/>
      <c r="DM2021" s="4"/>
      <c r="DN2021" s="4"/>
      <c r="DO2021" s="4"/>
      <c r="DP2021" s="4"/>
      <c r="DQ2021" s="4"/>
      <c r="DR2021" s="4"/>
      <c r="DS2021" s="4"/>
    </row>
    <row r="2022">
      <c r="A2022" s="4"/>
      <c r="B2022" s="4"/>
      <c r="C2022" s="4"/>
      <c r="D2022" s="4"/>
      <c r="E2022" s="4"/>
      <c r="F2022" s="4" t="s">
        <v>17</v>
      </c>
      <c r="G2022" s="15"/>
      <c r="H2022" s="4"/>
      <c r="I2022" s="4"/>
      <c r="J2022" s="4"/>
      <c r="K2022" s="4"/>
      <c r="L2022" s="4"/>
      <c r="M2022" s="4"/>
      <c r="N2022" s="4"/>
      <c r="O2022" s="4"/>
      <c r="P2022" s="4"/>
      <c r="Q2022" s="4"/>
      <c r="R2022" s="4"/>
      <c r="S2022" s="4"/>
      <c r="T2022" s="4"/>
      <c r="U2022" s="4"/>
      <c r="V2022" s="4"/>
      <c r="W2022" s="4"/>
      <c r="X2022" s="4"/>
      <c r="Y2022" s="4"/>
      <c r="Z2022" s="4"/>
      <c r="AA2022" s="4"/>
      <c r="AB2022" s="4"/>
      <c r="AC2022" s="4"/>
      <c r="AD2022" s="4"/>
      <c r="AE2022" s="4"/>
      <c r="AF2022" s="4"/>
      <c r="AG2022" s="4"/>
      <c r="AH2022" s="4"/>
      <c r="AI2022" s="4"/>
      <c r="AJ2022" s="4"/>
      <c r="AK2022" s="4"/>
      <c r="AL2022" s="4"/>
      <c r="AM2022" s="4"/>
      <c r="AN2022" s="4"/>
      <c r="AO2022" s="4"/>
      <c r="AP2022" s="4"/>
      <c r="AQ2022" s="4"/>
      <c r="AR2022" s="4"/>
      <c r="AS2022" s="4"/>
      <c r="AT2022" s="4"/>
      <c r="AU2022" s="4"/>
      <c r="AV2022" s="4"/>
      <c r="AW2022" s="4"/>
      <c r="AX2022" s="4"/>
      <c r="AY2022" s="4"/>
      <c r="AZ2022" s="4"/>
      <c r="BA2022" s="4"/>
      <c r="BB2022" s="4"/>
      <c r="BC2022" s="4"/>
      <c r="BD2022" s="4"/>
      <c r="BE2022" s="4"/>
      <c r="BF2022" s="4"/>
      <c r="BG2022" s="4"/>
      <c r="BH2022" s="4"/>
      <c r="BI2022" s="4"/>
      <c r="BJ2022" s="4"/>
      <c r="BK2022" s="4"/>
      <c r="BL2022" s="4"/>
      <c r="BM2022" s="4"/>
      <c r="BN2022" s="4"/>
      <c r="BO2022" s="4"/>
      <c r="BP2022" s="4"/>
      <c r="BQ2022" s="4"/>
      <c r="BR2022" s="4"/>
      <c r="BS2022" s="4"/>
      <c r="BT2022" s="4"/>
      <c r="BU2022" s="4"/>
      <c r="BV2022" s="4"/>
      <c r="BW2022" s="4"/>
      <c r="BX2022" s="4"/>
      <c r="BY2022" s="4"/>
      <c r="BZ2022" s="4"/>
      <c r="CA2022" s="4"/>
      <c r="CB2022" s="4"/>
      <c r="CC2022" s="4"/>
      <c r="CD2022" s="4"/>
      <c r="CE2022" s="4"/>
      <c r="CF2022" s="4"/>
      <c r="CG2022" s="4"/>
      <c r="CH2022" s="4"/>
      <c r="CI2022" s="4"/>
      <c r="CJ2022" s="4"/>
      <c r="CK2022" s="4"/>
      <c r="CL2022" s="4"/>
      <c r="CM2022" s="4"/>
      <c r="CN2022" s="4"/>
      <c r="CO2022" s="4"/>
      <c r="CP2022" s="4"/>
      <c r="CQ2022" s="4"/>
      <c r="CR2022" s="4"/>
      <c r="CS2022" s="4"/>
      <c r="CT2022" s="4"/>
      <c r="CU2022" s="4"/>
      <c r="CV2022" s="4"/>
      <c r="CW2022" s="4"/>
      <c r="CX2022" s="4"/>
      <c r="CY2022" s="4"/>
      <c r="CZ2022" s="4"/>
      <c r="DA2022" s="4"/>
      <c r="DB2022" s="4"/>
      <c r="DC2022" s="4"/>
      <c r="DD2022" s="4"/>
      <c r="DE2022" s="4"/>
      <c r="DF2022" s="4"/>
      <c r="DG2022" s="4"/>
      <c r="DH2022" s="4"/>
      <c r="DI2022" s="4"/>
      <c r="DJ2022" s="4"/>
      <c r="DK2022" s="4"/>
      <c r="DL2022" s="4"/>
      <c r="DM2022" s="4"/>
      <c r="DN2022" s="4"/>
      <c r="DO2022" s="4"/>
      <c r="DP2022" s="4"/>
      <c r="DQ2022" s="4"/>
      <c r="DR2022" s="4"/>
      <c r="DS2022" s="4"/>
    </row>
    <row r="2023">
      <c r="A2023" s="4"/>
      <c r="B2023" s="4"/>
      <c r="C2023" s="4"/>
      <c r="D2023" s="4"/>
      <c r="E2023" s="4"/>
      <c r="F2023" s="4" t="s">
        <v>17</v>
      </c>
      <c r="G2023" s="15"/>
      <c r="H2023" s="4"/>
      <c r="I2023" s="4"/>
      <c r="J2023" s="4"/>
      <c r="K2023" s="4"/>
      <c r="L2023" s="4"/>
      <c r="M2023" s="4"/>
      <c r="N2023" s="4"/>
      <c r="O2023" s="4"/>
      <c r="P2023" s="4"/>
      <c r="Q2023" s="4"/>
      <c r="R2023" s="4"/>
      <c r="S2023" s="4"/>
      <c r="T2023" s="4"/>
      <c r="U2023" s="4"/>
      <c r="V2023" s="4"/>
      <c r="W2023" s="4"/>
      <c r="X2023" s="4"/>
      <c r="Y2023" s="4"/>
      <c r="Z2023" s="4"/>
      <c r="AA2023" s="4"/>
      <c r="AB2023" s="4"/>
      <c r="AC2023" s="4"/>
      <c r="AD2023" s="4"/>
      <c r="AE2023" s="4"/>
      <c r="AF2023" s="4"/>
      <c r="AG2023" s="4"/>
      <c r="AH2023" s="4"/>
      <c r="AI2023" s="4"/>
      <c r="AJ2023" s="4"/>
      <c r="AK2023" s="4"/>
      <c r="AL2023" s="4"/>
      <c r="AM2023" s="4"/>
      <c r="AN2023" s="4"/>
      <c r="AO2023" s="4"/>
      <c r="AP2023" s="4"/>
      <c r="AQ2023" s="4"/>
      <c r="AR2023" s="4"/>
      <c r="AS2023" s="4"/>
      <c r="AT2023" s="4"/>
      <c r="AU2023" s="4"/>
      <c r="AV2023" s="4"/>
      <c r="AW2023" s="4"/>
      <c r="AX2023" s="4"/>
      <c r="AY2023" s="4"/>
      <c r="AZ2023" s="4"/>
      <c r="BA2023" s="4"/>
      <c r="BB2023" s="4"/>
      <c r="BC2023" s="4"/>
      <c r="BD2023" s="4"/>
      <c r="BE2023" s="4"/>
      <c r="BF2023" s="4"/>
      <c r="BG2023" s="4"/>
      <c r="BH2023" s="4"/>
      <c r="BI2023" s="4"/>
      <c r="BJ2023" s="4"/>
      <c r="BK2023" s="4"/>
      <c r="BL2023" s="4"/>
      <c r="BM2023" s="4"/>
      <c r="BN2023" s="4"/>
      <c r="BO2023" s="4"/>
      <c r="BP2023" s="4"/>
      <c r="BQ2023" s="4"/>
      <c r="BR2023" s="4"/>
      <c r="BS2023" s="4"/>
      <c r="BT2023" s="4"/>
      <c r="BU2023" s="4"/>
      <c r="BV2023" s="4"/>
      <c r="BW2023" s="4"/>
      <c r="BX2023" s="4"/>
      <c r="BY2023" s="4"/>
      <c r="BZ2023" s="4"/>
      <c r="CA2023" s="4"/>
      <c r="CB2023" s="4"/>
      <c r="CC2023" s="4"/>
      <c r="CD2023" s="4"/>
      <c r="CE2023" s="4"/>
      <c r="CF2023" s="4"/>
      <c r="CG2023" s="4"/>
      <c r="CH2023" s="4"/>
      <c r="CI2023" s="4"/>
      <c r="CJ2023" s="4"/>
      <c r="CK2023" s="4"/>
      <c r="CL2023" s="4"/>
      <c r="CM2023" s="4"/>
      <c r="CN2023" s="4"/>
      <c r="CO2023" s="4"/>
      <c r="CP2023" s="4"/>
      <c r="CQ2023" s="4"/>
      <c r="CR2023" s="4"/>
      <c r="CS2023" s="4"/>
      <c r="CT2023" s="4"/>
      <c r="CU2023" s="4"/>
      <c r="CV2023" s="4"/>
      <c r="CW2023" s="4"/>
      <c r="CX2023" s="4"/>
      <c r="CY2023" s="4"/>
      <c r="CZ2023" s="4"/>
      <c r="DA2023" s="4"/>
      <c r="DB2023" s="4"/>
      <c r="DC2023" s="4"/>
      <c r="DD2023" s="4"/>
      <c r="DE2023" s="4"/>
      <c r="DF2023" s="4"/>
      <c r="DG2023" s="4"/>
      <c r="DH2023" s="4"/>
      <c r="DI2023" s="4"/>
      <c r="DJ2023" s="4"/>
      <c r="DK2023" s="4"/>
      <c r="DL2023" s="4"/>
      <c r="DM2023" s="4"/>
      <c r="DN2023" s="4"/>
      <c r="DO2023" s="4"/>
      <c r="DP2023" s="4"/>
      <c r="DQ2023" s="4"/>
      <c r="DR2023" s="4"/>
      <c r="DS2023" s="4"/>
    </row>
    <row r="2024">
      <c r="A2024" s="4"/>
      <c r="B2024" s="4"/>
      <c r="C2024" s="4"/>
      <c r="D2024" s="4"/>
      <c r="E2024" s="4"/>
      <c r="F2024" s="4" t="s">
        <v>17</v>
      </c>
      <c r="G2024" s="15"/>
      <c r="H2024" s="4"/>
      <c r="I2024" s="4"/>
      <c r="J2024" s="4"/>
      <c r="K2024" s="4"/>
      <c r="L2024" s="4"/>
      <c r="M2024" s="4"/>
      <c r="N2024" s="4"/>
      <c r="O2024" s="4"/>
      <c r="P2024" s="4"/>
      <c r="Q2024" s="4"/>
      <c r="R2024" s="4"/>
      <c r="S2024" s="4"/>
      <c r="T2024" s="4"/>
      <c r="U2024" s="4"/>
      <c r="V2024" s="4"/>
      <c r="W2024" s="4"/>
      <c r="X2024" s="4"/>
      <c r="Y2024" s="4"/>
      <c r="Z2024" s="4"/>
      <c r="AA2024" s="4"/>
      <c r="AB2024" s="4"/>
      <c r="AC2024" s="4"/>
      <c r="AD2024" s="4"/>
      <c r="AE2024" s="4"/>
      <c r="AF2024" s="4"/>
      <c r="AG2024" s="4"/>
      <c r="AH2024" s="4"/>
      <c r="AI2024" s="4"/>
      <c r="AJ2024" s="4"/>
      <c r="AK2024" s="4"/>
      <c r="AL2024" s="4"/>
      <c r="AM2024" s="4"/>
      <c r="AN2024" s="4"/>
      <c r="AO2024" s="4"/>
      <c r="AP2024" s="4"/>
      <c r="AQ2024" s="4"/>
      <c r="AR2024" s="4"/>
      <c r="AS2024" s="4"/>
      <c r="AT2024" s="4"/>
      <c r="AU2024" s="4"/>
      <c r="AV2024" s="4"/>
      <c r="AW2024" s="4"/>
      <c r="AX2024" s="4"/>
      <c r="AY2024" s="4"/>
      <c r="AZ2024" s="4"/>
      <c r="BA2024" s="4"/>
      <c r="BB2024" s="4"/>
      <c r="BC2024" s="4"/>
      <c r="BD2024" s="4"/>
      <c r="BE2024" s="4"/>
      <c r="BF2024" s="4"/>
      <c r="BG2024" s="4"/>
      <c r="BH2024" s="4"/>
      <c r="BI2024" s="4"/>
      <c r="BJ2024" s="4"/>
      <c r="BK2024" s="4"/>
      <c r="BL2024" s="4"/>
      <c r="BM2024" s="4"/>
      <c r="BN2024" s="4"/>
      <c r="BO2024" s="4"/>
      <c r="BP2024" s="4"/>
      <c r="BQ2024" s="4"/>
      <c r="BR2024" s="4"/>
      <c r="BS2024" s="4"/>
      <c r="BT2024" s="4"/>
      <c r="BU2024" s="4"/>
      <c r="BV2024" s="4"/>
      <c r="BW2024" s="4"/>
      <c r="BX2024" s="4"/>
      <c r="BY2024" s="4"/>
      <c r="BZ2024" s="4"/>
      <c r="CA2024" s="4"/>
      <c r="CB2024" s="4"/>
      <c r="CC2024" s="4"/>
      <c r="CD2024" s="4"/>
      <c r="CE2024" s="4"/>
      <c r="CF2024" s="4"/>
      <c r="CG2024" s="4"/>
      <c r="CH2024" s="4"/>
      <c r="CI2024" s="4"/>
      <c r="CJ2024" s="4"/>
      <c r="CK2024" s="4"/>
      <c r="CL2024" s="4"/>
      <c r="CM2024" s="4"/>
      <c r="CN2024" s="4"/>
      <c r="CO2024" s="4"/>
      <c r="CP2024" s="4"/>
      <c r="CQ2024" s="4"/>
      <c r="CR2024" s="4"/>
      <c r="CS2024" s="4"/>
      <c r="CT2024" s="4"/>
      <c r="CU2024" s="4"/>
      <c r="CV2024" s="4"/>
      <c r="CW2024" s="4"/>
      <c r="CX2024" s="4"/>
      <c r="CY2024" s="4"/>
      <c r="CZ2024" s="4"/>
      <c r="DA2024" s="4"/>
      <c r="DB2024" s="4"/>
      <c r="DC2024" s="4"/>
      <c r="DD2024" s="4"/>
      <c r="DE2024" s="4"/>
      <c r="DF2024" s="4"/>
      <c r="DG2024" s="4"/>
      <c r="DH2024" s="4"/>
      <c r="DI2024" s="4"/>
      <c r="DJ2024" s="4"/>
      <c r="DK2024" s="4"/>
      <c r="DL2024" s="4"/>
      <c r="DM2024" s="4"/>
      <c r="DN2024" s="4"/>
      <c r="DO2024" s="4"/>
      <c r="DP2024" s="4"/>
      <c r="DQ2024" s="4"/>
      <c r="DR2024" s="4"/>
      <c r="DS2024" s="4"/>
    </row>
    <row r="2025">
      <c r="A2025" s="4"/>
      <c r="B2025" s="4"/>
      <c r="C2025" s="4"/>
      <c r="D2025" s="4"/>
      <c r="E2025" s="4"/>
      <c r="F2025" s="4" t="s">
        <v>17</v>
      </c>
      <c r="G2025" s="15"/>
      <c r="H2025" s="4"/>
      <c r="I2025" s="4"/>
      <c r="J2025" s="4"/>
      <c r="K2025" s="4"/>
      <c r="L2025" s="4"/>
      <c r="M2025" s="4"/>
      <c r="N2025" s="4"/>
      <c r="O2025" s="4"/>
      <c r="P2025" s="4"/>
      <c r="Q2025" s="4"/>
      <c r="R2025" s="4"/>
      <c r="S2025" s="4"/>
      <c r="T2025" s="4"/>
      <c r="U2025" s="4"/>
      <c r="V2025" s="4"/>
      <c r="W2025" s="4"/>
      <c r="X2025" s="4"/>
      <c r="Y2025" s="4"/>
      <c r="Z2025" s="4"/>
      <c r="AA2025" s="4"/>
      <c r="AB2025" s="4"/>
      <c r="AC2025" s="4"/>
      <c r="AD2025" s="4"/>
      <c r="AE2025" s="4"/>
      <c r="AF2025" s="4"/>
      <c r="AG2025" s="4"/>
      <c r="AH2025" s="4"/>
      <c r="AI2025" s="4"/>
      <c r="AJ2025" s="4"/>
      <c r="AK2025" s="4"/>
      <c r="AL2025" s="4"/>
      <c r="AM2025" s="4"/>
      <c r="AN2025" s="4"/>
      <c r="AO2025" s="4"/>
      <c r="AP2025" s="4"/>
      <c r="AQ2025" s="4"/>
      <c r="AR2025" s="4"/>
      <c r="AS2025" s="4"/>
      <c r="AT2025" s="4"/>
      <c r="AU2025" s="4"/>
      <c r="AV2025" s="4"/>
      <c r="AW2025" s="4"/>
      <c r="AX2025" s="4"/>
      <c r="AY2025" s="4"/>
      <c r="AZ2025" s="4"/>
      <c r="BA2025" s="4"/>
      <c r="BB2025" s="4"/>
      <c r="BC2025" s="4"/>
      <c r="BD2025" s="4"/>
      <c r="BE2025" s="4"/>
      <c r="BF2025" s="4"/>
      <c r="BG2025" s="4"/>
      <c r="BH2025" s="4"/>
      <c r="BI2025" s="4"/>
      <c r="BJ2025" s="4"/>
      <c r="BK2025" s="4"/>
      <c r="BL2025" s="4"/>
      <c r="BM2025" s="4"/>
      <c r="BN2025" s="4"/>
      <c r="BO2025" s="4"/>
      <c r="BP2025" s="4"/>
      <c r="BQ2025" s="4"/>
      <c r="BR2025" s="4"/>
      <c r="BS2025" s="4"/>
      <c r="BT2025" s="4"/>
      <c r="BU2025" s="4"/>
      <c r="BV2025" s="4"/>
      <c r="BW2025" s="4"/>
      <c r="BX2025" s="4"/>
      <c r="BY2025" s="4"/>
      <c r="BZ2025" s="4"/>
      <c r="CA2025" s="4"/>
      <c r="CB2025" s="4"/>
      <c r="CC2025" s="4"/>
      <c r="CD2025" s="4"/>
      <c r="CE2025" s="4"/>
      <c r="CF2025" s="4"/>
      <c r="CG2025" s="4"/>
      <c r="CH2025" s="4"/>
      <c r="CI2025" s="4"/>
      <c r="CJ2025" s="4"/>
      <c r="CK2025" s="4"/>
      <c r="CL2025" s="4"/>
      <c r="CM2025" s="4"/>
      <c r="CN2025" s="4"/>
      <c r="CO2025" s="4"/>
      <c r="CP2025" s="4"/>
      <c r="CQ2025" s="4"/>
      <c r="CR2025" s="4"/>
      <c r="CS2025" s="4"/>
      <c r="CT2025" s="4"/>
      <c r="CU2025" s="4"/>
      <c r="CV2025" s="4"/>
      <c r="CW2025" s="4"/>
      <c r="CX2025" s="4"/>
      <c r="CY2025" s="4"/>
      <c r="CZ2025" s="4"/>
      <c r="DA2025" s="4"/>
      <c r="DB2025" s="4"/>
      <c r="DC2025" s="4"/>
      <c r="DD2025" s="4"/>
      <c r="DE2025" s="4"/>
      <c r="DF2025" s="4"/>
      <c r="DG2025" s="4"/>
      <c r="DH2025" s="4"/>
      <c r="DI2025" s="4"/>
      <c r="DJ2025" s="4"/>
      <c r="DK2025" s="4"/>
      <c r="DL2025" s="4"/>
      <c r="DM2025" s="4"/>
      <c r="DN2025" s="4"/>
      <c r="DO2025" s="4"/>
      <c r="DP2025" s="4"/>
      <c r="DQ2025" s="4"/>
      <c r="DR2025" s="4"/>
      <c r="DS2025" s="4"/>
    </row>
    <row r="2026">
      <c r="A2026" s="4"/>
      <c r="B2026" s="4"/>
      <c r="C2026" s="4"/>
      <c r="D2026" s="4"/>
      <c r="E2026" s="4"/>
      <c r="F2026" s="4" t="s">
        <v>17</v>
      </c>
      <c r="G2026" s="15"/>
      <c r="H2026" s="4"/>
      <c r="I2026" s="4"/>
      <c r="J2026" s="4"/>
      <c r="K2026" s="4"/>
      <c r="L2026" s="4"/>
      <c r="M2026" s="4"/>
      <c r="N2026" s="4"/>
      <c r="O2026" s="4"/>
      <c r="P2026" s="4"/>
      <c r="Q2026" s="4"/>
      <c r="R2026" s="4"/>
      <c r="S2026" s="4"/>
      <c r="T2026" s="4"/>
      <c r="U2026" s="4"/>
      <c r="V2026" s="4"/>
      <c r="W2026" s="4"/>
      <c r="X2026" s="4"/>
      <c r="Y2026" s="4"/>
      <c r="Z2026" s="4"/>
      <c r="AA2026" s="4"/>
      <c r="AB2026" s="4"/>
      <c r="AC2026" s="4"/>
      <c r="AD2026" s="4"/>
      <c r="AE2026" s="4"/>
      <c r="AF2026" s="4"/>
      <c r="AG2026" s="4"/>
      <c r="AH2026" s="4"/>
      <c r="AI2026" s="4"/>
      <c r="AJ2026" s="4"/>
      <c r="AK2026" s="4"/>
      <c r="AL2026" s="4"/>
      <c r="AM2026" s="4"/>
      <c r="AN2026" s="4"/>
      <c r="AO2026" s="4"/>
      <c r="AP2026" s="4"/>
      <c r="AQ2026" s="4"/>
      <c r="AR2026" s="4"/>
      <c r="AS2026" s="4"/>
      <c r="AT2026" s="4"/>
      <c r="AU2026" s="4"/>
      <c r="AV2026" s="4"/>
      <c r="AW2026" s="4"/>
      <c r="AX2026" s="4"/>
      <c r="AY2026" s="4"/>
      <c r="AZ2026" s="4"/>
      <c r="BA2026" s="4"/>
      <c r="BB2026" s="4"/>
      <c r="BC2026" s="4"/>
      <c r="BD2026" s="4"/>
      <c r="BE2026" s="4"/>
      <c r="BF2026" s="4"/>
      <c r="BG2026" s="4"/>
      <c r="BH2026" s="4"/>
      <c r="BI2026" s="4"/>
      <c r="BJ2026" s="4"/>
      <c r="BK2026" s="4"/>
      <c r="BL2026" s="4"/>
      <c r="BM2026" s="4"/>
      <c r="BN2026" s="4"/>
      <c r="BO2026" s="4"/>
      <c r="BP2026" s="4"/>
      <c r="BQ2026" s="4"/>
      <c r="BR2026" s="4"/>
      <c r="BS2026" s="4"/>
      <c r="BT2026" s="4"/>
      <c r="BU2026" s="4"/>
      <c r="BV2026" s="4"/>
      <c r="BW2026" s="4"/>
      <c r="BX2026" s="4"/>
      <c r="BY2026" s="4"/>
      <c r="BZ2026" s="4"/>
      <c r="CA2026" s="4"/>
      <c r="CB2026" s="4"/>
      <c r="CC2026" s="4"/>
      <c r="CD2026" s="4"/>
      <c r="CE2026" s="4"/>
      <c r="CF2026" s="4"/>
      <c r="CG2026" s="4"/>
      <c r="CH2026" s="4"/>
      <c r="CI2026" s="4"/>
      <c r="CJ2026" s="4"/>
      <c r="CK2026" s="4"/>
      <c r="CL2026" s="4"/>
      <c r="CM2026" s="4"/>
      <c r="CN2026" s="4"/>
      <c r="CO2026" s="4"/>
      <c r="CP2026" s="4"/>
      <c r="CQ2026" s="4"/>
      <c r="CR2026" s="4"/>
      <c r="CS2026" s="4"/>
      <c r="CT2026" s="4"/>
      <c r="CU2026" s="4"/>
      <c r="CV2026" s="4"/>
      <c r="CW2026" s="4"/>
      <c r="CX2026" s="4"/>
      <c r="CY2026" s="4"/>
      <c r="CZ2026" s="4"/>
      <c r="DA2026" s="4"/>
      <c r="DB2026" s="4"/>
      <c r="DC2026" s="4"/>
      <c r="DD2026" s="4"/>
      <c r="DE2026" s="4"/>
      <c r="DF2026" s="4"/>
      <c r="DG2026" s="4"/>
      <c r="DH2026" s="4"/>
      <c r="DI2026" s="4"/>
      <c r="DJ2026" s="4"/>
      <c r="DK2026" s="4"/>
      <c r="DL2026" s="4"/>
      <c r="DM2026" s="4"/>
      <c r="DN2026" s="4"/>
      <c r="DO2026" s="4"/>
      <c r="DP2026" s="4"/>
      <c r="DQ2026" s="4"/>
      <c r="DR2026" s="4"/>
      <c r="DS2026" s="4"/>
    </row>
    <row r="2027">
      <c r="A2027" s="4"/>
      <c r="B2027" s="4"/>
      <c r="C2027" s="4"/>
      <c r="D2027" s="4"/>
      <c r="E2027" s="4"/>
      <c r="F2027" s="4" t="s">
        <v>17</v>
      </c>
      <c r="G2027" s="15"/>
      <c r="H2027" s="4"/>
      <c r="I2027" s="4"/>
      <c r="J2027" s="4"/>
      <c r="K2027" s="4"/>
      <c r="L2027" s="4"/>
      <c r="M2027" s="4"/>
      <c r="N2027" s="4"/>
      <c r="O2027" s="4"/>
      <c r="P2027" s="4"/>
      <c r="Q2027" s="4"/>
      <c r="R2027" s="4"/>
      <c r="S2027" s="4"/>
      <c r="T2027" s="4"/>
      <c r="U2027" s="4"/>
      <c r="V2027" s="4"/>
      <c r="W2027" s="4"/>
      <c r="X2027" s="4"/>
      <c r="Y2027" s="4"/>
      <c r="Z2027" s="4"/>
      <c r="AA2027" s="4"/>
      <c r="AB2027" s="4"/>
      <c r="AC2027" s="4"/>
      <c r="AD2027" s="4"/>
      <c r="AE2027" s="4"/>
      <c r="AF2027" s="4"/>
      <c r="AG2027" s="4"/>
      <c r="AH2027" s="4"/>
      <c r="AI2027" s="4"/>
      <c r="AJ2027" s="4"/>
      <c r="AK2027" s="4"/>
      <c r="AL2027" s="4"/>
      <c r="AM2027" s="4"/>
      <c r="AN2027" s="4"/>
      <c r="AO2027" s="4"/>
      <c r="AP2027" s="4"/>
      <c r="AQ2027" s="4"/>
      <c r="AR2027" s="4"/>
      <c r="AS2027" s="4"/>
      <c r="AT2027" s="4"/>
      <c r="AU2027" s="4"/>
      <c r="AV2027" s="4"/>
      <c r="AW2027" s="4"/>
      <c r="AX2027" s="4"/>
      <c r="AY2027" s="4"/>
      <c r="AZ2027" s="4"/>
      <c r="BA2027" s="4"/>
      <c r="BB2027" s="4"/>
      <c r="BC2027" s="4"/>
      <c r="BD2027" s="4"/>
      <c r="BE2027" s="4"/>
      <c r="BF2027" s="4"/>
      <c r="BG2027" s="4"/>
      <c r="BH2027" s="4"/>
      <c r="BI2027" s="4"/>
      <c r="BJ2027" s="4"/>
      <c r="BK2027" s="4"/>
      <c r="BL2027" s="4"/>
      <c r="BM2027" s="4"/>
      <c r="BN2027" s="4"/>
      <c r="BO2027" s="4"/>
      <c r="BP2027" s="4"/>
      <c r="BQ2027" s="4"/>
      <c r="BR2027" s="4"/>
      <c r="BS2027" s="4"/>
      <c r="BT2027" s="4"/>
      <c r="BU2027" s="4"/>
      <c r="BV2027" s="4"/>
      <c r="BW2027" s="4"/>
      <c r="BX2027" s="4"/>
      <c r="BY2027" s="4"/>
      <c r="BZ2027" s="4"/>
      <c r="CA2027" s="4"/>
      <c r="CB2027" s="4"/>
      <c r="CC2027" s="4"/>
      <c r="CD2027" s="4"/>
      <c r="CE2027" s="4"/>
      <c r="CF2027" s="4"/>
      <c r="CG2027" s="4"/>
      <c r="CH2027" s="4"/>
      <c r="CI2027" s="4"/>
      <c r="CJ2027" s="4"/>
      <c r="CK2027" s="4"/>
      <c r="CL2027" s="4"/>
      <c r="CM2027" s="4"/>
      <c r="CN2027" s="4"/>
      <c r="CO2027" s="4"/>
      <c r="CP2027" s="4"/>
      <c r="CQ2027" s="4"/>
      <c r="CR2027" s="4"/>
      <c r="CS2027" s="4"/>
      <c r="CT2027" s="4"/>
      <c r="CU2027" s="4"/>
      <c r="CV2027" s="4"/>
      <c r="CW2027" s="4"/>
      <c r="CX2027" s="4"/>
      <c r="CY2027" s="4"/>
      <c r="CZ2027" s="4"/>
      <c r="DA2027" s="4"/>
      <c r="DB2027" s="4"/>
      <c r="DC2027" s="4"/>
      <c r="DD2027" s="4"/>
      <c r="DE2027" s="4"/>
      <c r="DF2027" s="4"/>
      <c r="DG2027" s="4"/>
      <c r="DH2027" s="4"/>
      <c r="DI2027" s="4"/>
      <c r="DJ2027" s="4"/>
      <c r="DK2027" s="4"/>
      <c r="DL2027" s="4"/>
      <c r="DM2027" s="4"/>
      <c r="DN2027" s="4"/>
      <c r="DO2027" s="4"/>
      <c r="DP2027" s="4"/>
      <c r="DQ2027" s="4"/>
      <c r="DR2027" s="4"/>
      <c r="DS2027" s="4"/>
    </row>
    <row r="2028">
      <c r="A2028" s="4"/>
      <c r="B2028" s="4"/>
      <c r="C2028" s="4"/>
      <c r="D2028" s="4"/>
      <c r="E2028" s="4"/>
      <c r="F2028" s="4" t="s">
        <v>17</v>
      </c>
      <c r="G2028" s="15"/>
      <c r="H2028" s="4"/>
      <c r="I2028" s="4"/>
      <c r="J2028" s="4"/>
      <c r="K2028" s="4"/>
      <c r="L2028" s="4"/>
      <c r="M2028" s="4"/>
      <c r="N2028" s="4"/>
      <c r="O2028" s="4"/>
      <c r="P2028" s="4"/>
      <c r="Q2028" s="4"/>
      <c r="R2028" s="4"/>
      <c r="S2028" s="4"/>
      <c r="T2028" s="4"/>
      <c r="U2028" s="4"/>
      <c r="V2028" s="4"/>
      <c r="W2028" s="4"/>
      <c r="X2028" s="4"/>
      <c r="Y2028" s="4"/>
      <c r="Z2028" s="4"/>
      <c r="AA2028" s="4"/>
      <c r="AB2028" s="4"/>
      <c r="AC2028" s="4"/>
      <c r="AD2028" s="4"/>
      <c r="AE2028" s="4"/>
      <c r="AF2028" s="4"/>
      <c r="AG2028" s="4"/>
      <c r="AH2028" s="4"/>
      <c r="AI2028" s="4"/>
      <c r="AJ2028" s="4"/>
      <c r="AK2028" s="4"/>
      <c r="AL2028" s="4"/>
      <c r="AM2028" s="4"/>
      <c r="AN2028" s="4"/>
      <c r="AO2028" s="4"/>
      <c r="AP2028" s="4"/>
      <c r="AQ2028" s="4"/>
      <c r="AR2028" s="4"/>
      <c r="AS2028" s="4"/>
      <c r="AT2028" s="4"/>
      <c r="AU2028" s="4"/>
      <c r="AV2028" s="4"/>
      <c r="AW2028" s="4"/>
      <c r="AX2028" s="4"/>
      <c r="AY2028" s="4"/>
      <c r="AZ2028" s="4"/>
      <c r="BA2028" s="4"/>
      <c r="BB2028" s="4"/>
      <c r="BC2028" s="4"/>
      <c r="BD2028" s="4"/>
      <c r="BE2028" s="4"/>
      <c r="BF2028" s="4"/>
      <c r="BG2028" s="4"/>
      <c r="BH2028" s="4"/>
      <c r="BI2028" s="4"/>
      <c r="BJ2028" s="4"/>
      <c r="BK2028" s="4"/>
      <c r="BL2028" s="4"/>
      <c r="BM2028" s="4"/>
      <c r="BN2028" s="4"/>
      <c r="BO2028" s="4"/>
      <c r="BP2028" s="4"/>
      <c r="BQ2028" s="4"/>
      <c r="BR2028" s="4"/>
      <c r="BS2028" s="4"/>
      <c r="BT2028" s="4"/>
      <c r="BU2028" s="4"/>
      <c r="BV2028" s="4"/>
      <c r="BW2028" s="4"/>
      <c r="BX2028" s="4"/>
      <c r="BY2028" s="4"/>
      <c r="BZ2028" s="4"/>
      <c r="CA2028" s="4"/>
      <c r="CB2028" s="4"/>
      <c r="CC2028" s="4"/>
      <c r="CD2028" s="4"/>
      <c r="CE2028" s="4"/>
      <c r="CF2028" s="4"/>
      <c r="CG2028" s="4"/>
      <c r="CH2028" s="4"/>
      <c r="CI2028" s="4"/>
      <c r="CJ2028" s="4"/>
      <c r="CK2028" s="4"/>
      <c r="CL2028" s="4"/>
      <c r="CM2028" s="4"/>
      <c r="CN2028" s="4"/>
      <c r="CO2028" s="4"/>
      <c r="CP2028" s="4"/>
      <c r="CQ2028" s="4"/>
      <c r="CR2028" s="4"/>
      <c r="CS2028" s="4"/>
      <c r="CT2028" s="4"/>
      <c r="CU2028" s="4"/>
      <c r="CV2028" s="4"/>
      <c r="CW2028" s="4"/>
      <c r="CX2028" s="4"/>
      <c r="CY2028" s="4"/>
      <c r="CZ2028" s="4"/>
      <c r="DA2028" s="4"/>
      <c r="DB2028" s="4"/>
      <c r="DC2028" s="4"/>
      <c r="DD2028" s="4"/>
      <c r="DE2028" s="4"/>
      <c r="DF2028" s="4"/>
      <c r="DG2028" s="4"/>
      <c r="DH2028" s="4"/>
      <c r="DI2028" s="4"/>
      <c r="DJ2028" s="4"/>
      <c r="DK2028" s="4"/>
      <c r="DL2028" s="4"/>
      <c r="DM2028" s="4"/>
      <c r="DN2028" s="4"/>
      <c r="DO2028" s="4"/>
      <c r="DP2028" s="4"/>
      <c r="DQ2028" s="4"/>
      <c r="DR2028" s="4"/>
      <c r="DS2028" s="4"/>
    </row>
    <row r="2029">
      <c r="A2029" s="4"/>
      <c r="B2029" s="4"/>
      <c r="C2029" s="4"/>
      <c r="D2029" s="4"/>
      <c r="E2029" s="4"/>
      <c r="F2029" s="4" t="s">
        <v>17</v>
      </c>
      <c r="G2029" s="15"/>
      <c r="H2029" s="4"/>
      <c r="I2029" s="4"/>
      <c r="J2029" s="4"/>
      <c r="K2029" s="4"/>
      <c r="L2029" s="4"/>
      <c r="M2029" s="4"/>
      <c r="N2029" s="4"/>
      <c r="O2029" s="4"/>
      <c r="P2029" s="4"/>
      <c r="Q2029" s="4"/>
      <c r="R2029" s="4"/>
      <c r="S2029" s="4"/>
      <c r="T2029" s="4"/>
      <c r="U2029" s="4"/>
      <c r="V2029" s="4"/>
      <c r="W2029" s="4"/>
      <c r="X2029" s="4"/>
      <c r="Y2029" s="4"/>
      <c r="Z2029" s="4"/>
      <c r="AA2029" s="4"/>
      <c r="AB2029" s="4"/>
      <c r="AC2029" s="4"/>
      <c r="AD2029" s="4"/>
      <c r="AE2029" s="4"/>
      <c r="AF2029" s="4"/>
      <c r="AG2029" s="4"/>
      <c r="AH2029" s="4"/>
      <c r="AI2029" s="4"/>
      <c r="AJ2029" s="4"/>
      <c r="AK2029" s="4"/>
      <c r="AL2029" s="4"/>
      <c r="AM2029" s="4"/>
      <c r="AN2029" s="4"/>
      <c r="AO2029" s="4"/>
      <c r="AP2029" s="4"/>
      <c r="AQ2029" s="4"/>
      <c r="AR2029" s="4"/>
      <c r="AS2029" s="4"/>
      <c r="AT2029" s="4"/>
      <c r="AU2029" s="4"/>
      <c r="AV2029" s="4"/>
      <c r="AW2029" s="4"/>
      <c r="AX2029" s="4"/>
      <c r="AY2029" s="4"/>
      <c r="AZ2029" s="4"/>
      <c r="BA2029" s="4"/>
      <c r="BB2029" s="4"/>
      <c r="BC2029" s="4"/>
      <c r="BD2029" s="4"/>
      <c r="BE2029" s="4"/>
      <c r="BF2029" s="4"/>
      <c r="BG2029" s="4"/>
      <c r="BH2029" s="4"/>
      <c r="BI2029" s="4"/>
      <c r="BJ2029" s="4"/>
      <c r="BK2029" s="4"/>
      <c r="BL2029" s="4"/>
      <c r="BM2029" s="4"/>
      <c r="BN2029" s="4"/>
      <c r="BO2029" s="4"/>
      <c r="BP2029" s="4"/>
      <c r="BQ2029" s="4"/>
      <c r="BR2029" s="4"/>
      <c r="BS2029" s="4"/>
      <c r="BT2029" s="4"/>
      <c r="BU2029" s="4"/>
      <c r="BV2029" s="4"/>
      <c r="BW2029" s="4"/>
      <c r="BX2029" s="4"/>
      <c r="BY2029" s="4"/>
      <c r="BZ2029" s="4"/>
      <c r="CA2029" s="4"/>
      <c r="CB2029" s="4"/>
      <c r="CC2029" s="4"/>
      <c r="CD2029" s="4"/>
      <c r="CE2029" s="4"/>
      <c r="CF2029" s="4"/>
      <c r="CG2029" s="4"/>
      <c r="CH2029" s="4"/>
      <c r="CI2029" s="4"/>
      <c r="CJ2029" s="4"/>
      <c r="CK2029" s="4"/>
      <c r="CL2029" s="4"/>
      <c r="CM2029" s="4"/>
      <c r="CN2029" s="4"/>
      <c r="CO2029" s="4"/>
      <c r="CP2029" s="4"/>
      <c r="CQ2029" s="4"/>
      <c r="CR2029" s="4"/>
      <c r="CS2029" s="4"/>
      <c r="CT2029" s="4"/>
      <c r="CU2029" s="4"/>
      <c r="CV2029" s="4"/>
      <c r="CW2029" s="4"/>
      <c r="CX2029" s="4"/>
      <c r="CY2029" s="4"/>
      <c r="CZ2029" s="4"/>
      <c r="DA2029" s="4"/>
      <c r="DB2029" s="4"/>
      <c r="DC2029" s="4"/>
      <c r="DD2029" s="4"/>
      <c r="DE2029" s="4"/>
      <c r="DF2029" s="4"/>
      <c r="DG2029" s="4"/>
      <c r="DH2029" s="4"/>
      <c r="DI2029" s="4"/>
      <c r="DJ2029" s="4"/>
      <c r="DK2029" s="4"/>
      <c r="DL2029" s="4"/>
      <c r="DM2029" s="4"/>
      <c r="DN2029" s="4"/>
      <c r="DO2029" s="4"/>
      <c r="DP2029" s="4"/>
      <c r="DQ2029" s="4"/>
      <c r="DR2029" s="4"/>
      <c r="DS2029" s="4"/>
    </row>
    <row r="2030">
      <c r="A2030" s="4"/>
      <c r="B2030" s="4"/>
      <c r="C2030" s="4"/>
      <c r="D2030" s="4"/>
      <c r="E2030" s="4"/>
      <c r="F2030" s="4" t="s">
        <v>17</v>
      </c>
      <c r="G2030" s="15"/>
      <c r="H2030" s="4"/>
      <c r="I2030" s="4"/>
      <c r="J2030" s="4"/>
      <c r="K2030" s="4"/>
      <c r="L2030" s="4"/>
      <c r="M2030" s="4"/>
      <c r="N2030" s="4"/>
      <c r="O2030" s="4"/>
      <c r="P2030" s="4"/>
      <c r="Q2030" s="4"/>
      <c r="R2030" s="4"/>
      <c r="S2030" s="4"/>
      <c r="T2030" s="4"/>
      <c r="U2030" s="4"/>
      <c r="V2030" s="4"/>
      <c r="W2030" s="4"/>
      <c r="X2030" s="4"/>
      <c r="Y2030" s="4"/>
      <c r="Z2030" s="4"/>
      <c r="AA2030" s="4"/>
      <c r="AB2030" s="4"/>
      <c r="AC2030" s="4"/>
      <c r="AD2030" s="4"/>
      <c r="AE2030" s="4"/>
      <c r="AF2030" s="4"/>
      <c r="AG2030" s="4"/>
      <c r="AH2030" s="4"/>
      <c r="AI2030" s="4"/>
      <c r="AJ2030" s="4"/>
      <c r="AK2030" s="4"/>
      <c r="AL2030" s="4"/>
      <c r="AM2030" s="4"/>
      <c r="AN2030" s="4"/>
      <c r="AO2030" s="4"/>
      <c r="AP2030" s="4"/>
      <c r="AQ2030" s="4"/>
      <c r="AR2030" s="4"/>
      <c r="AS2030" s="4"/>
      <c r="AT2030" s="4"/>
      <c r="AU2030" s="4"/>
      <c r="AV2030" s="4"/>
      <c r="AW2030" s="4"/>
      <c r="AX2030" s="4"/>
      <c r="AY2030" s="4"/>
      <c r="AZ2030" s="4"/>
      <c r="BA2030" s="4"/>
      <c r="BB2030" s="4"/>
      <c r="BC2030" s="4"/>
      <c r="BD2030" s="4"/>
      <c r="BE2030" s="4"/>
      <c r="BF2030" s="4"/>
      <c r="BG2030" s="4"/>
      <c r="BH2030" s="4"/>
      <c r="BI2030" s="4"/>
      <c r="BJ2030" s="4"/>
      <c r="BK2030" s="4"/>
      <c r="BL2030" s="4"/>
      <c r="BM2030" s="4"/>
      <c r="BN2030" s="4"/>
      <c r="BO2030" s="4"/>
      <c r="BP2030" s="4"/>
      <c r="BQ2030" s="4"/>
      <c r="BR2030" s="4"/>
      <c r="BS2030" s="4"/>
      <c r="BT2030" s="4"/>
      <c r="BU2030" s="4"/>
      <c r="BV2030" s="4"/>
      <c r="BW2030" s="4"/>
      <c r="BX2030" s="4"/>
      <c r="BY2030" s="4"/>
      <c r="BZ2030" s="4"/>
      <c r="CA2030" s="4"/>
      <c r="CB2030" s="4"/>
      <c r="CC2030" s="4"/>
      <c r="CD2030" s="4"/>
      <c r="CE2030" s="4"/>
      <c r="CF2030" s="4"/>
      <c r="CG2030" s="4"/>
      <c r="CH2030" s="4"/>
      <c r="CI2030" s="4"/>
      <c r="CJ2030" s="4"/>
      <c r="CK2030" s="4"/>
      <c r="CL2030" s="4"/>
      <c r="CM2030" s="4"/>
      <c r="CN2030" s="4"/>
      <c r="CO2030" s="4"/>
      <c r="CP2030" s="4"/>
      <c r="CQ2030" s="4"/>
      <c r="CR2030" s="4"/>
      <c r="CS2030" s="4"/>
      <c r="CT2030" s="4"/>
      <c r="CU2030" s="4"/>
      <c r="CV2030" s="4"/>
      <c r="CW2030" s="4"/>
      <c r="CX2030" s="4"/>
      <c r="CY2030" s="4"/>
      <c r="CZ2030" s="4"/>
      <c r="DA2030" s="4"/>
      <c r="DB2030" s="4"/>
      <c r="DC2030" s="4"/>
      <c r="DD2030" s="4"/>
      <c r="DE2030" s="4"/>
      <c r="DF2030" s="4"/>
      <c r="DG2030" s="4"/>
      <c r="DH2030" s="4"/>
      <c r="DI2030" s="4"/>
      <c r="DJ2030" s="4"/>
      <c r="DK2030" s="4"/>
      <c r="DL2030" s="4"/>
      <c r="DM2030" s="4"/>
      <c r="DN2030" s="4"/>
      <c r="DO2030" s="4"/>
      <c r="DP2030" s="4"/>
      <c r="DQ2030" s="4"/>
      <c r="DR2030" s="4"/>
      <c r="DS2030" s="4"/>
    </row>
    <row r="2031">
      <c r="A2031" s="4"/>
      <c r="B2031" s="4"/>
      <c r="C2031" s="4"/>
      <c r="D2031" s="4"/>
      <c r="E2031" s="4"/>
      <c r="F2031" s="4" t="s">
        <v>17</v>
      </c>
      <c r="G2031" s="15"/>
      <c r="H2031" s="4"/>
      <c r="I2031" s="4"/>
      <c r="J2031" s="4"/>
      <c r="K2031" s="4"/>
      <c r="L2031" s="4"/>
      <c r="M2031" s="4"/>
      <c r="N2031" s="4"/>
      <c r="O2031" s="4"/>
      <c r="P2031" s="4"/>
      <c r="Q2031" s="4"/>
      <c r="R2031" s="4"/>
      <c r="S2031" s="4"/>
      <c r="T2031" s="4"/>
      <c r="U2031" s="4"/>
      <c r="V2031" s="4"/>
      <c r="W2031" s="4"/>
      <c r="X2031" s="4"/>
      <c r="Y2031" s="4"/>
      <c r="Z2031" s="4"/>
      <c r="AA2031" s="4"/>
      <c r="AB2031" s="4"/>
      <c r="AC2031" s="4"/>
      <c r="AD2031" s="4"/>
      <c r="AE2031" s="4"/>
      <c r="AF2031" s="4"/>
      <c r="AG2031" s="4"/>
      <c r="AH2031" s="4"/>
      <c r="AI2031" s="4"/>
      <c r="AJ2031" s="4"/>
      <c r="AK2031" s="4"/>
      <c r="AL2031" s="4"/>
      <c r="AM2031" s="4"/>
      <c r="AN2031" s="4"/>
      <c r="AO2031" s="4"/>
      <c r="AP2031" s="4"/>
      <c r="AQ2031" s="4"/>
      <c r="AR2031" s="4"/>
      <c r="AS2031" s="4"/>
      <c r="AT2031" s="4"/>
      <c r="AU2031" s="4"/>
      <c r="AV2031" s="4"/>
      <c r="AW2031" s="4"/>
      <c r="AX2031" s="4"/>
      <c r="AY2031" s="4"/>
      <c r="AZ2031" s="4"/>
      <c r="BA2031" s="4"/>
      <c r="BB2031" s="4"/>
      <c r="BC2031" s="4"/>
      <c r="BD2031" s="4"/>
      <c r="BE2031" s="4"/>
      <c r="BF2031" s="4"/>
      <c r="BG2031" s="4"/>
      <c r="BH2031" s="4"/>
      <c r="BI2031" s="4"/>
      <c r="BJ2031" s="4"/>
      <c r="BK2031" s="4"/>
      <c r="BL2031" s="4"/>
      <c r="BM2031" s="4"/>
      <c r="BN2031" s="4"/>
      <c r="BO2031" s="4"/>
      <c r="BP2031" s="4"/>
      <c r="BQ2031" s="4"/>
      <c r="BR2031" s="4"/>
      <c r="BS2031" s="4"/>
      <c r="BT2031" s="4"/>
      <c r="BU2031" s="4"/>
      <c r="BV2031" s="4"/>
      <c r="BW2031" s="4"/>
      <c r="BX2031" s="4"/>
      <c r="BY2031" s="4"/>
      <c r="BZ2031" s="4"/>
      <c r="CA2031" s="4"/>
      <c r="CB2031" s="4"/>
      <c r="CC2031" s="4"/>
      <c r="CD2031" s="4"/>
      <c r="CE2031" s="4"/>
      <c r="CF2031" s="4"/>
      <c r="CG2031" s="4"/>
      <c r="CH2031" s="4"/>
      <c r="CI2031" s="4"/>
      <c r="CJ2031" s="4"/>
      <c r="CK2031" s="4"/>
      <c r="CL2031" s="4"/>
      <c r="CM2031" s="4"/>
      <c r="CN2031" s="4"/>
      <c r="CO2031" s="4"/>
      <c r="CP2031" s="4"/>
      <c r="CQ2031" s="4"/>
      <c r="CR2031" s="4"/>
      <c r="CS2031" s="4"/>
      <c r="CT2031" s="4"/>
      <c r="CU2031" s="4"/>
      <c r="CV2031" s="4"/>
      <c r="CW2031" s="4"/>
      <c r="CX2031" s="4"/>
      <c r="CY2031" s="4"/>
      <c r="CZ2031" s="4"/>
      <c r="DA2031" s="4"/>
      <c r="DB2031" s="4"/>
      <c r="DC2031" s="4"/>
      <c r="DD2031" s="4"/>
      <c r="DE2031" s="4"/>
      <c r="DF2031" s="4"/>
      <c r="DG2031" s="4"/>
      <c r="DH2031" s="4"/>
      <c r="DI2031" s="4"/>
      <c r="DJ2031" s="4"/>
      <c r="DK2031" s="4"/>
      <c r="DL2031" s="4"/>
      <c r="DM2031" s="4"/>
      <c r="DN2031" s="4"/>
      <c r="DO2031" s="4"/>
      <c r="DP2031" s="4"/>
      <c r="DQ2031" s="4"/>
      <c r="DR2031" s="4"/>
      <c r="DS2031" s="4"/>
    </row>
    <row r="2032">
      <c r="A2032" s="4"/>
      <c r="B2032" s="4"/>
      <c r="C2032" s="4"/>
      <c r="D2032" s="4"/>
      <c r="E2032" s="4"/>
      <c r="F2032" s="4" t="s">
        <v>17</v>
      </c>
      <c r="G2032" s="15"/>
      <c r="H2032" s="4"/>
      <c r="I2032" s="4"/>
      <c r="J2032" s="4"/>
      <c r="K2032" s="4"/>
      <c r="L2032" s="4"/>
      <c r="M2032" s="4"/>
      <c r="N2032" s="4"/>
      <c r="O2032" s="4"/>
      <c r="P2032" s="4"/>
      <c r="Q2032" s="4"/>
      <c r="R2032" s="4"/>
      <c r="S2032" s="4"/>
      <c r="T2032" s="4"/>
      <c r="U2032" s="4"/>
      <c r="V2032" s="4"/>
      <c r="W2032" s="4"/>
      <c r="X2032" s="4"/>
      <c r="Y2032" s="4"/>
      <c r="Z2032" s="4"/>
      <c r="AA2032" s="4"/>
      <c r="AB2032" s="4"/>
      <c r="AC2032" s="4"/>
      <c r="AD2032" s="4"/>
      <c r="AE2032" s="4"/>
      <c r="AF2032" s="4"/>
      <c r="AG2032" s="4"/>
      <c r="AH2032" s="4"/>
      <c r="AI2032" s="4"/>
      <c r="AJ2032" s="4"/>
      <c r="AK2032" s="4"/>
      <c r="AL2032" s="4"/>
      <c r="AM2032" s="4"/>
      <c r="AN2032" s="4"/>
      <c r="AO2032" s="4"/>
      <c r="AP2032" s="4"/>
      <c r="AQ2032" s="4"/>
      <c r="AR2032" s="4"/>
      <c r="AS2032" s="4"/>
      <c r="AT2032" s="4"/>
      <c r="AU2032" s="4"/>
      <c r="AV2032" s="4"/>
      <c r="AW2032" s="4"/>
      <c r="AX2032" s="4"/>
      <c r="AY2032" s="4"/>
      <c r="AZ2032" s="4"/>
      <c r="BA2032" s="4"/>
      <c r="BB2032" s="4"/>
      <c r="BC2032" s="4"/>
      <c r="BD2032" s="4"/>
      <c r="BE2032" s="4"/>
      <c r="BF2032" s="4"/>
      <c r="BG2032" s="4"/>
      <c r="BH2032" s="4"/>
      <c r="BI2032" s="4"/>
      <c r="BJ2032" s="4"/>
      <c r="BK2032" s="4"/>
      <c r="BL2032" s="4"/>
      <c r="BM2032" s="4"/>
      <c r="BN2032" s="4"/>
      <c r="BO2032" s="4"/>
      <c r="BP2032" s="4"/>
      <c r="BQ2032" s="4"/>
      <c r="BR2032" s="4"/>
      <c r="BS2032" s="4"/>
      <c r="BT2032" s="4"/>
      <c r="BU2032" s="4"/>
      <c r="BV2032" s="4"/>
      <c r="BW2032" s="4"/>
      <c r="BX2032" s="4"/>
      <c r="BY2032" s="4"/>
      <c r="BZ2032" s="4"/>
      <c r="CA2032" s="4"/>
      <c r="CB2032" s="4"/>
      <c r="CC2032" s="4"/>
      <c r="CD2032" s="4"/>
      <c r="CE2032" s="4"/>
      <c r="CF2032" s="4"/>
      <c r="CG2032" s="4"/>
      <c r="CH2032" s="4"/>
      <c r="CI2032" s="4"/>
      <c r="CJ2032" s="4"/>
      <c r="CK2032" s="4"/>
      <c r="CL2032" s="4"/>
      <c r="CM2032" s="4"/>
      <c r="CN2032" s="4"/>
      <c r="CO2032" s="4"/>
      <c r="CP2032" s="4"/>
      <c r="CQ2032" s="4"/>
      <c r="CR2032" s="4"/>
      <c r="CS2032" s="4"/>
      <c r="CT2032" s="4"/>
      <c r="CU2032" s="4"/>
      <c r="CV2032" s="4"/>
      <c r="CW2032" s="4"/>
      <c r="CX2032" s="4"/>
      <c r="CY2032" s="4"/>
      <c r="CZ2032" s="4"/>
      <c r="DA2032" s="4"/>
      <c r="DB2032" s="4"/>
      <c r="DC2032" s="4"/>
      <c r="DD2032" s="4"/>
      <c r="DE2032" s="4"/>
      <c r="DF2032" s="4"/>
      <c r="DG2032" s="4"/>
      <c r="DH2032" s="4"/>
      <c r="DI2032" s="4"/>
      <c r="DJ2032" s="4"/>
      <c r="DK2032" s="4"/>
      <c r="DL2032" s="4"/>
      <c r="DM2032" s="4"/>
      <c r="DN2032" s="4"/>
      <c r="DO2032" s="4"/>
      <c r="DP2032" s="4"/>
      <c r="DQ2032" s="4"/>
      <c r="DR2032" s="4"/>
      <c r="DS2032" s="4"/>
    </row>
    <row r="2033">
      <c r="A2033" s="4"/>
      <c r="B2033" s="4"/>
      <c r="C2033" s="4"/>
      <c r="D2033" s="4"/>
      <c r="E2033" s="4"/>
      <c r="F2033" s="4" t="s">
        <v>17</v>
      </c>
      <c r="G2033" s="15"/>
      <c r="H2033" s="4"/>
      <c r="I2033" s="4"/>
      <c r="J2033" s="4"/>
      <c r="K2033" s="4"/>
      <c r="L2033" s="4"/>
      <c r="M2033" s="4"/>
      <c r="N2033" s="4"/>
      <c r="O2033" s="4"/>
      <c r="P2033" s="4"/>
      <c r="Q2033" s="4"/>
      <c r="R2033" s="4"/>
      <c r="S2033" s="4"/>
      <c r="T2033" s="4"/>
      <c r="U2033" s="4"/>
      <c r="V2033" s="4"/>
      <c r="W2033" s="4"/>
      <c r="X2033" s="4"/>
      <c r="Y2033" s="4"/>
      <c r="Z2033" s="4"/>
      <c r="AA2033" s="4"/>
      <c r="AB2033" s="4"/>
      <c r="AC2033" s="4"/>
      <c r="AD2033" s="4"/>
      <c r="AE2033" s="4"/>
      <c r="AF2033" s="4"/>
      <c r="AG2033" s="4"/>
      <c r="AH2033" s="4"/>
      <c r="AI2033" s="4"/>
      <c r="AJ2033" s="4"/>
      <c r="AK2033" s="4"/>
      <c r="AL2033" s="4"/>
      <c r="AM2033" s="4"/>
      <c r="AN2033" s="4"/>
      <c r="AO2033" s="4"/>
      <c r="AP2033" s="4"/>
      <c r="AQ2033" s="4"/>
      <c r="AR2033" s="4"/>
      <c r="AS2033" s="4"/>
      <c r="AT2033" s="4"/>
      <c r="AU2033" s="4"/>
      <c r="AV2033" s="4"/>
      <c r="AW2033" s="4"/>
      <c r="AX2033" s="4"/>
      <c r="AY2033" s="4"/>
      <c r="AZ2033" s="4"/>
      <c r="BA2033" s="4"/>
      <c r="BB2033" s="4"/>
      <c r="BC2033" s="4"/>
      <c r="BD2033" s="4"/>
      <c r="BE2033" s="4"/>
      <c r="BF2033" s="4"/>
      <c r="BG2033" s="4"/>
      <c r="BH2033" s="4"/>
      <c r="BI2033" s="4"/>
      <c r="BJ2033" s="4"/>
      <c r="BK2033" s="4"/>
      <c r="BL2033" s="4"/>
      <c r="BM2033" s="4"/>
      <c r="BN2033" s="4"/>
      <c r="BO2033" s="4"/>
      <c r="BP2033" s="4"/>
      <c r="BQ2033" s="4"/>
      <c r="BR2033" s="4"/>
      <c r="BS2033" s="4"/>
      <c r="BT2033" s="4"/>
      <c r="BU2033" s="4"/>
      <c r="BV2033" s="4"/>
      <c r="BW2033" s="4"/>
      <c r="BX2033" s="4"/>
      <c r="BY2033" s="4"/>
      <c r="BZ2033" s="4"/>
      <c r="CA2033" s="4"/>
      <c r="CB2033" s="4"/>
      <c r="CC2033" s="4"/>
      <c r="CD2033" s="4"/>
      <c r="CE2033" s="4"/>
      <c r="CF2033" s="4"/>
      <c r="CG2033" s="4"/>
      <c r="CH2033" s="4"/>
      <c r="CI2033" s="4"/>
      <c r="CJ2033" s="4"/>
      <c r="CK2033" s="4"/>
      <c r="CL2033" s="4"/>
      <c r="CM2033" s="4"/>
      <c r="CN2033" s="4"/>
      <c r="CO2033" s="4"/>
      <c r="CP2033" s="4"/>
      <c r="CQ2033" s="4"/>
      <c r="CR2033" s="4"/>
      <c r="CS2033" s="4"/>
      <c r="CT2033" s="4"/>
      <c r="CU2033" s="4"/>
      <c r="CV2033" s="4"/>
      <c r="CW2033" s="4"/>
      <c r="CX2033" s="4"/>
      <c r="CY2033" s="4"/>
      <c r="CZ2033" s="4"/>
      <c r="DA2033" s="4"/>
      <c r="DB2033" s="4"/>
      <c r="DC2033" s="4"/>
      <c r="DD2033" s="4"/>
      <c r="DE2033" s="4"/>
      <c r="DF2033" s="4"/>
      <c r="DG2033" s="4"/>
      <c r="DH2033" s="4"/>
      <c r="DI2033" s="4"/>
      <c r="DJ2033" s="4"/>
      <c r="DK2033" s="4"/>
      <c r="DL2033" s="4"/>
      <c r="DM2033" s="4"/>
      <c r="DN2033" s="4"/>
      <c r="DO2033" s="4"/>
      <c r="DP2033" s="4"/>
      <c r="DQ2033" s="4"/>
      <c r="DR2033" s="4"/>
      <c r="DS2033" s="4"/>
    </row>
    <row r="2034">
      <c r="A2034" s="4"/>
      <c r="B2034" s="4"/>
      <c r="C2034" s="4"/>
      <c r="D2034" s="4"/>
      <c r="E2034" s="4"/>
      <c r="F2034" s="4" t="s">
        <v>17</v>
      </c>
      <c r="G2034" s="15"/>
      <c r="H2034" s="4"/>
      <c r="I2034" s="4"/>
      <c r="J2034" s="4"/>
      <c r="K2034" s="4"/>
      <c r="L2034" s="4"/>
      <c r="M2034" s="4"/>
      <c r="N2034" s="4"/>
      <c r="O2034" s="4"/>
      <c r="P2034" s="4"/>
      <c r="Q2034" s="4"/>
      <c r="R2034" s="4"/>
      <c r="S2034" s="4"/>
      <c r="T2034" s="4"/>
      <c r="U2034" s="4"/>
      <c r="V2034" s="4"/>
      <c r="W2034" s="4"/>
      <c r="X2034" s="4"/>
      <c r="Y2034" s="4"/>
      <c r="Z2034" s="4"/>
      <c r="AA2034" s="4"/>
      <c r="AB2034" s="4"/>
      <c r="AC2034" s="4"/>
      <c r="AD2034" s="4"/>
      <c r="AE2034" s="4"/>
      <c r="AF2034" s="4"/>
      <c r="AG2034" s="4"/>
      <c r="AH2034" s="4"/>
      <c r="AI2034" s="4"/>
      <c r="AJ2034" s="4"/>
      <c r="AK2034" s="4"/>
      <c r="AL2034" s="4"/>
      <c r="AM2034" s="4"/>
      <c r="AN2034" s="4"/>
      <c r="AO2034" s="4"/>
      <c r="AP2034" s="4"/>
      <c r="AQ2034" s="4"/>
      <c r="AR2034" s="4"/>
      <c r="AS2034" s="4"/>
      <c r="AT2034" s="4"/>
      <c r="AU2034" s="4"/>
      <c r="AV2034" s="4"/>
      <c r="AW2034" s="4"/>
      <c r="AX2034" s="4"/>
      <c r="AY2034" s="4"/>
      <c r="AZ2034" s="4"/>
      <c r="BA2034" s="4"/>
      <c r="BB2034" s="4"/>
      <c r="BC2034" s="4"/>
      <c r="BD2034" s="4"/>
      <c r="BE2034" s="4"/>
      <c r="BF2034" s="4"/>
      <c r="BG2034" s="4"/>
      <c r="BH2034" s="4"/>
      <c r="BI2034" s="4"/>
      <c r="BJ2034" s="4"/>
      <c r="BK2034" s="4"/>
      <c r="BL2034" s="4"/>
      <c r="BM2034" s="4"/>
      <c r="BN2034" s="4"/>
      <c r="BO2034" s="4"/>
      <c r="BP2034" s="4"/>
      <c r="BQ2034" s="4"/>
      <c r="BR2034" s="4"/>
      <c r="BS2034" s="4"/>
      <c r="BT2034" s="4"/>
      <c r="BU2034" s="4"/>
      <c r="BV2034" s="4"/>
      <c r="BW2034" s="4"/>
      <c r="BX2034" s="4"/>
      <c r="BY2034" s="4"/>
      <c r="BZ2034" s="4"/>
      <c r="CA2034" s="4"/>
      <c r="CB2034" s="4"/>
      <c r="CC2034" s="4"/>
      <c r="CD2034" s="4"/>
      <c r="CE2034" s="4"/>
      <c r="CF2034" s="4"/>
      <c r="CG2034" s="4"/>
      <c r="CH2034" s="4"/>
      <c r="CI2034" s="4"/>
      <c r="CJ2034" s="4"/>
      <c r="CK2034" s="4"/>
      <c r="CL2034" s="4"/>
      <c r="CM2034" s="4"/>
      <c r="CN2034" s="4"/>
      <c r="CO2034" s="4"/>
      <c r="CP2034" s="4"/>
      <c r="CQ2034" s="4"/>
      <c r="CR2034" s="4"/>
      <c r="CS2034" s="4"/>
      <c r="CT2034" s="4"/>
      <c r="CU2034" s="4"/>
      <c r="CV2034" s="4"/>
      <c r="CW2034" s="4"/>
      <c r="CX2034" s="4"/>
      <c r="CY2034" s="4"/>
      <c r="CZ2034" s="4"/>
      <c r="DA2034" s="4"/>
      <c r="DB2034" s="4"/>
      <c r="DC2034" s="4"/>
      <c r="DD2034" s="4"/>
      <c r="DE2034" s="4"/>
      <c r="DF2034" s="4"/>
      <c r="DG2034" s="4"/>
      <c r="DH2034" s="4"/>
      <c r="DI2034" s="4"/>
      <c r="DJ2034" s="4"/>
      <c r="DK2034" s="4"/>
      <c r="DL2034" s="4"/>
      <c r="DM2034" s="4"/>
      <c r="DN2034" s="4"/>
      <c r="DO2034" s="4"/>
      <c r="DP2034" s="4"/>
      <c r="DQ2034" s="4"/>
      <c r="DR2034" s="4"/>
      <c r="DS2034" s="4"/>
    </row>
    <row r="2035">
      <c r="A2035" s="4"/>
      <c r="B2035" s="4"/>
      <c r="C2035" s="4"/>
      <c r="D2035" s="4"/>
      <c r="E2035" s="4"/>
      <c r="F2035" s="4" t="s">
        <v>17</v>
      </c>
      <c r="G2035" s="15"/>
      <c r="H2035" s="4"/>
      <c r="I2035" s="4"/>
      <c r="J2035" s="4"/>
      <c r="K2035" s="4"/>
      <c r="L2035" s="4"/>
      <c r="M2035" s="4"/>
      <c r="N2035" s="4"/>
      <c r="O2035" s="4"/>
      <c r="P2035" s="4"/>
      <c r="Q2035" s="4"/>
      <c r="R2035" s="4"/>
      <c r="S2035" s="4"/>
      <c r="T2035" s="4"/>
      <c r="U2035" s="4"/>
      <c r="V2035" s="4"/>
      <c r="W2035" s="4"/>
      <c r="X2035" s="4"/>
      <c r="Y2035" s="4"/>
      <c r="Z2035" s="4"/>
      <c r="AA2035" s="4"/>
      <c r="AB2035" s="4"/>
      <c r="AC2035" s="4"/>
      <c r="AD2035" s="4"/>
      <c r="AE2035" s="4"/>
      <c r="AF2035" s="4"/>
      <c r="AG2035" s="4"/>
      <c r="AH2035" s="4"/>
      <c r="AI2035" s="4"/>
      <c r="AJ2035" s="4"/>
      <c r="AK2035" s="4"/>
      <c r="AL2035" s="4"/>
      <c r="AM2035" s="4"/>
      <c r="AN2035" s="4"/>
      <c r="AO2035" s="4"/>
      <c r="AP2035" s="4"/>
      <c r="AQ2035" s="4"/>
      <c r="AR2035" s="4"/>
      <c r="AS2035" s="4"/>
      <c r="AT2035" s="4"/>
      <c r="AU2035" s="4"/>
      <c r="AV2035" s="4"/>
      <c r="AW2035" s="4"/>
      <c r="AX2035" s="4"/>
      <c r="AY2035" s="4"/>
      <c r="AZ2035" s="4"/>
      <c r="BA2035" s="4"/>
      <c r="BB2035" s="4"/>
      <c r="BC2035" s="4"/>
      <c r="BD2035" s="4"/>
      <c r="BE2035" s="4"/>
      <c r="BF2035" s="4"/>
      <c r="BG2035" s="4"/>
      <c r="BH2035" s="4"/>
      <c r="BI2035" s="4"/>
      <c r="BJ2035" s="4"/>
      <c r="BK2035" s="4"/>
      <c r="BL2035" s="4"/>
      <c r="BM2035" s="4"/>
      <c r="BN2035" s="4"/>
      <c r="BO2035" s="4"/>
      <c r="BP2035" s="4"/>
      <c r="BQ2035" s="4"/>
      <c r="BR2035" s="4"/>
      <c r="BS2035" s="4"/>
      <c r="BT2035" s="4"/>
      <c r="BU2035" s="4"/>
      <c r="BV2035" s="4"/>
      <c r="BW2035" s="4"/>
      <c r="BX2035" s="4"/>
      <c r="BY2035" s="4"/>
      <c r="BZ2035" s="4"/>
      <c r="CA2035" s="4"/>
      <c r="CB2035" s="4"/>
      <c r="CC2035" s="4"/>
      <c r="CD2035" s="4"/>
      <c r="CE2035" s="4"/>
      <c r="CF2035" s="4"/>
      <c r="CG2035" s="4"/>
      <c r="CH2035" s="4"/>
      <c r="CI2035" s="4"/>
      <c r="CJ2035" s="4"/>
      <c r="CK2035" s="4"/>
      <c r="CL2035" s="4"/>
      <c r="CM2035" s="4"/>
      <c r="CN2035" s="4"/>
      <c r="CO2035" s="4"/>
      <c r="CP2035" s="4"/>
      <c r="CQ2035" s="4"/>
      <c r="CR2035" s="4"/>
      <c r="CS2035" s="4"/>
      <c r="CT2035" s="4"/>
      <c r="CU2035" s="4"/>
      <c r="CV2035" s="4"/>
      <c r="CW2035" s="4"/>
      <c r="CX2035" s="4"/>
      <c r="CY2035" s="4"/>
      <c r="CZ2035" s="4"/>
      <c r="DA2035" s="4"/>
      <c r="DB2035" s="4"/>
      <c r="DC2035" s="4"/>
      <c r="DD2035" s="4"/>
      <c r="DE2035" s="4"/>
      <c r="DF2035" s="4"/>
      <c r="DG2035" s="4"/>
      <c r="DH2035" s="4"/>
      <c r="DI2035" s="4"/>
      <c r="DJ2035" s="4"/>
      <c r="DK2035" s="4"/>
      <c r="DL2035" s="4"/>
      <c r="DM2035" s="4"/>
      <c r="DN2035" s="4"/>
      <c r="DO2035" s="4"/>
      <c r="DP2035" s="4"/>
      <c r="DQ2035" s="4"/>
      <c r="DR2035" s="4"/>
      <c r="DS2035" s="4"/>
    </row>
    <row r="2036">
      <c r="A2036" s="4"/>
      <c r="B2036" s="4"/>
      <c r="C2036" s="4"/>
      <c r="D2036" s="4"/>
      <c r="E2036" s="4"/>
      <c r="F2036" s="4" t="s">
        <v>17</v>
      </c>
      <c r="G2036" s="15"/>
      <c r="H2036" s="4"/>
      <c r="I2036" s="4"/>
      <c r="J2036" s="4"/>
      <c r="K2036" s="4"/>
      <c r="L2036" s="4"/>
      <c r="M2036" s="4"/>
      <c r="N2036" s="4"/>
      <c r="O2036" s="4"/>
      <c r="P2036" s="4"/>
      <c r="Q2036" s="4"/>
      <c r="R2036" s="4"/>
      <c r="S2036" s="4"/>
      <c r="T2036" s="4"/>
      <c r="U2036" s="4"/>
      <c r="V2036" s="4"/>
      <c r="W2036" s="4"/>
      <c r="X2036" s="4"/>
      <c r="Y2036" s="4"/>
      <c r="Z2036" s="4"/>
      <c r="AA2036" s="4"/>
      <c r="AB2036" s="4"/>
      <c r="AC2036" s="4"/>
      <c r="AD2036" s="4"/>
      <c r="AE2036" s="4"/>
      <c r="AF2036" s="4"/>
      <c r="AG2036" s="4"/>
      <c r="AH2036" s="4"/>
      <c r="AI2036" s="4"/>
      <c r="AJ2036" s="4"/>
      <c r="AK2036" s="4"/>
      <c r="AL2036" s="4"/>
      <c r="AM2036" s="4"/>
      <c r="AN2036" s="4"/>
      <c r="AO2036" s="4"/>
      <c r="AP2036" s="4"/>
      <c r="AQ2036" s="4"/>
      <c r="AR2036" s="4"/>
      <c r="AS2036" s="4"/>
      <c r="AT2036" s="4"/>
      <c r="AU2036" s="4"/>
      <c r="AV2036" s="4"/>
      <c r="AW2036" s="4"/>
      <c r="AX2036" s="4"/>
      <c r="AY2036" s="4"/>
      <c r="AZ2036" s="4"/>
      <c r="BA2036" s="4"/>
      <c r="BB2036" s="4"/>
      <c r="BC2036" s="4"/>
      <c r="BD2036" s="4"/>
      <c r="BE2036" s="4"/>
      <c r="BF2036" s="4"/>
      <c r="BG2036" s="4"/>
      <c r="BH2036" s="4"/>
      <c r="BI2036" s="4"/>
      <c r="BJ2036" s="4"/>
      <c r="BK2036" s="4"/>
      <c r="BL2036" s="4"/>
      <c r="BM2036" s="4"/>
      <c r="BN2036" s="4"/>
      <c r="BO2036" s="4"/>
      <c r="BP2036" s="4"/>
      <c r="BQ2036" s="4"/>
      <c r="BR2036" s="4"/>
      <c r="BS2036" s="4"/>
      <c r="BT2036" s="4"/>
      <c r="BU2036" s="4"/>
      <c r="BV2036" s="4"/>
      <c r="BW2036" s="4"/>
      <c r="BX2036" s="4"/>
      <c r="BY2036" s="4"/>
      <c r="BZ2036" s="4"/>
      <c r="CA2036" s="4"/>
      <c r="CB2036" s="4"/>
      <c r="CC2036" s="4"/>
      <c r="CD2036" s="4"/>
      <c r="CE2036" s="4"/>
      <c r="CF2036" s="4"/>
      <c r="CG2036" s="4"/>
      <c r="CH2036" s="4"/>
      <c r="CI2036" s="4"/>
      <c r="CJ2036" s="4"/>
      <c r="CK2036" s="4"/>
      <c r="CL2036" s="4"/>
      <c r="CM2036" s="4"/>
      <c r="CN2036" s="4"/>
      <c r="CO2036" s="4"/>
      <c r="CP2036" s="4"/>
      <c r="CQ2036" s="4"/>
      <c r="CR2036" s="4"/>
      <c r="CS2036" s="4"/>
      <c r="CT2036" s="4"/>
      <c r="CU2036" s="4"/>
      <c r="CV2036" s="4"/>
      <c r="CW2036" s="4"/>
      <c r="CX2036" s="4"/>
      <c r="CY2036" s="4"/>
      <c r="CZ2036" s="4"/>
      <c r="DA2036" s="4"/>
      <c r="DB2036" s="4"/>
      <c r="DC2036" s="4"/>
      <c r="DD2036" s="4"/>
      <c r="DE2036" s="4"/>
      <c r="DF2036" s="4"/>
      <c r="DG2036" s="4"/>
      <c r="DH2036" s="4"/>
      <c r="DI2036" s="4"/>
      <c r="DJ2036" s="4"/>
      <c r="DK2036" s="4"/>
      <c r="DL2036" s="4"/>
      <c r="DM2036" s="4"/>
      <c r="DN2036" s="4"/>
      <c r="DO2036" s="4"/>
      <c r="DP2036" s="4"/>
      <c r="DQ2036" s="4"/>
      <c r="DR2036" s="4"/>
      <c r="DS2036" s="4"/>
    </row>
    <row r="2037">
      <c r="A2037" s="4"/>
      <c r="B2037" s="4"/>
      <c r="C2037" s="4"/>
      <c r="D2037" s="4"/>
      <c r="E2037" s="4"/>
      <c r="F2037" s="4" t="s">
        <v>17</v>
      </c>
      <c r="G2037" s="15"/>
      <c r="H2037" s="4"/>
      <c r="I2037" s="4"/>
      <c r="J2037" s="4"/>
      <c r="K2037" s="4"/>
      <c r="L2037" s="4"/>
      <c r="M2037" s="4"/>
      <c r="N2037" s="4"/>
      <c r="O2037" s="4"/>
      <c r="P2037" s="4"/>
      <c r="Q2037" s="4"/>
      <c r="R2037" s="4"/>
      <c r="S2037" s="4"/>
      <c r="T2037" s="4"/>
      <c r="U2037" s="4"/>
      <c r="V2037" s="4"/>
      <c r="W2037" s="4"/>
      <c r="X2037" s="4"/>
      <c r="Y2037" s="4"/>
      <c r="Z2037" s="4"/>
      <c r="AA2037" s="4"/>
      <c r="AB2037" s="4"/>
      <c r="AC2037" s="4"/>
      <c r="AD2037" s="4"/>
      <c r="AE2037" s="4"/>
      <c r="AF2037" s="4"/>
      <c r="AG2037" s="4"/>
      <c r="AH2037" s="4"/>
      <c r="AI2037" s="4"/>
      <c r="AJ2037" s="4"/>
      <c r="AK2037" s="4"/>
      <c r="AL2037" s="4"/>
      <c r="AM2037" s="4"/>
      <c r="AN2037" s="4"/>
      <c r="AO2037" s="4"/>
      <c r="AP2037" s="4"/>
      <c r="AQ2037" s="4"/>
      <c r="AR2037" s="4"/>
      <c r="AS2037" s="4"/>
      <c r="AT2037" s="4"/>
      <c r="AU2037" s="4"/>
      <c r="AV2037" s="4"/>
      <c r="AW2037" s="4"/>
      <c r="AX2037" s="4"/>
      <c r="AY2037" s="4"/>
      <c r="AZ2037" s="4"/>
      <c r="BA2037" s="4"/>
      <c r="BB2037" s="4"/>
      <c r="BC2037" s="4"/>
      <c r="BD2037" s="4"/>
      <c r="BE2037" s="4"/>
      <c r="BF2037" s="4"/>
      <c r="BG2037" s="4"/>
      <c r="BH2037" s="4"/>
      <c r="BI2037" s="4"/>
      <c r="BJ2037" s="4"/>
      <c r="BK2037" s="4"/>
      <c r="BL2037" s="4"/>
      <c r="BM2037" s="4"/>
      <c r="BN2037" s="4"/>
      <c r="BO2037" s="4"/>
      <c r="BP2037" s="4"/>
      <c r="BQ2037" s="4"/>
      <c r="BR2037" s="4"/>
      <c r="BS2037" s="4"/>
      <c r="BT2037" s="4"/>
      <c r="BU2037" s="4"/>
      <c r="BV2037" s="4"/>
      <c r="BW2037" s="4"/>
      <c r="BX2037" s="4"/>
      <c r="BY2037" s="4"/>
      <c r="BZ2037" s="4"/>
      <c r="CA2037" s="4"/>
      <c r="CB2037" s="4"/>
      <c r="CC2037" s="4"/>
      <c r="CD2037" s="4"/>
      <c r="CE2037" s="4"/>
      <c r="CF2037" s="4"/>
      <c r="CG2037" s="4"/>
      <c r="CH2037" s="4"/>
      <c r="CI2037" s="4"/>
      <c r="CJ2037" s="4"/>
      <c r="CK2037" s="4"/>
      <c r="CL2037" s="4"/>
      <c r="CM2037" s="4"/>
      <c r="CN2037" s="4"/>
      <c r="CO2037" s="4"/>
      <c r="CP2037" s="4"/>
      <c r="CQ2037" s="4"/>
      <c r="CR2037" s="4"/>
      <c r="CS2037" s="4"/>
      <c r="CT2037" s="4"/>
      <c r="CU2037" s="4"/>
      <c r="CV2037" s="4"/>
      <c r="CW2037" s="4"/>
      <c r="CX2037" s="4"/>
      <c r="CY2037" s="4"/>
      <c r="CZ2037" s="4"/>
      <c r="DA2037" s="4"/>
      <c r="DB2037" s="4"/>
      <c r="DC2037" s="4"/>
      <c r="DD2037" s="4"/>
      <c r="DE2037" s="4"/>
      <c r="DF2037" s="4"/>
      <c r="DG2037" s="4"/>
      <c r="DH2037" s="4"/>
      <c r="DI2037" s="4"/>
      <c r="DJ2037" s="4"/>
      <c r="DK2037" s="4"/>
      <c r="DL2037" s="4"/>
      <c r="DM2037" s="4"/>
      <c r="DN2037" s="4"/>
      <c r="DO2037" s="4"/>
      <c r="DP2037" s="4"/>
      <c r="DQ2037" s="4"/>
      <c r="DR2037" s="4"/>
      <c r="DS2037" s="4"/>
    </row>
    <row r="2038">
      <c r="A2038" s="4"/>
      <c r="B2038" s="4"/>
      <c r="C2038" s="4"/>
      <c r="D2038" s="4"/>
      <c r="E2038" s="4"/>
      <c r="F2038" s="4" t="s">
        <v>17</v>
      </c>
      <c r="G2038" s="15"/>
      <c r="H2038" s="4"/>
      <c r="I2038" s="4"/>
      <c r="J2038" s="4"/>
      <c r="K2038" s="4"/>
      <c r="L2038" s="4"/>
      <c r="M2038" s="4"/>
      <c r="N2038" s="4"/>
      <c r="O2038" s="4"/>
      <c r="P2038" s="4"/>
      <c r="Q2038" s="4"/>
      <c r="R2038" s="4"/>
      <c r="S2038" s="4"/>
      <c r="T2038" s="4"/>
      <c r="U2038" s="4"/>
      <c r="V2038" s="4"/>
      <c r="W2038" s="4"/>
      <c r="X2038" s="4"/>
      <c r="Y2038" s="4"/>
      <c r="Z2038" s="4"/>
      <c r="AA2038" s="4"/>
      <c r="AB2038" s="4"/>
      <c r="AC2038" s="4"/>
      <c r="AD2038" s="4"/>
      <c r="AE2038" s="4"/>
      <c r="AF2038" s="4"/>
      <c r="AG2038" s="4"/>
      <c r="AH2038" s="4"/>
      <c r="AI2038" s="4"/>
      <c r="AJ2038" s="4"/>
      <c r="AK2038" s="4"/>
      <c r="AL2038" s="4"/>
      <c r="AM2038" s="4"/>
      <c r="AN2038" s="4"/>
      <c r="AO2038" s="4"/>
      <c r="AP2038" s="4"/>
      <c r="AQ2038" s="4"/>
      <c r="AR2038" s="4"/>
      <c r="AS2038" s="4"/>
      <c r="AT2038" s="4"/>
      <c r="AU2038" s="4"/>
      <c r="AV2038" s="4"/>
      <c r="AW2038" s="4"/>
      <c r="AX2038" s="4"/>
      <c r="AY2038" s="4"/>
      <c r="AZ2038" s="4"/>
      <c r="BA2038" s="4"/>
      <c r="BB2038" s="4"/>
      <c r="BC2038" s="4"/>
      <c r="BD2038" s="4"/>
      <c r="BE2038" s="4"/>
      <c r="BF2038" s="4"/>
      <c r="BG2038" s="4"/>
      <c r="BH2038" s="4"/>
      <c r="BI2038" s="4"/>
      <c r="BJ2038" s="4"/>
      <c r="BK2038" s="4"/>
      <c r="BL2038" s="4"/>
      <c r="BM2038" s="4"/>
      <c r="BN2038" s="4"/>
      <c r="BO2038" s="4"/>
      <c r="BP2038" s="4"/>
      <c r="BQ2038" s="4"/>
      <c r="BR2038" s="4"/>
      <c r="BS2038" s="4"/>
      <c r="BT2038" s="4"/>
      <c r="BU2038" s="4"/>
      <c r="BV2038" s="4"/>
      <c r="BW2038" s="4"/>
      <c r="BX2038" s="4"/>
      <c r="BY2038" s="4"/>
      <c r="BZ2038" s="4"/>
      <c r="CA2038" s="4"/>
      <c r="CB2038" s="4"/>
      <c r="CC2038" s="4"/>
      <c r="CD2038" s="4"/>
      <c r="CE2038" s="4"/>
      <c r="CF2038" s="4"/>
      <c r="CG2038" s="4"/>
      <c r="CH2038" s="4"/>
      <c r="CI2038" s="4"/>
      <c r="CJ2038" s="4"/>
      <c r="CK2038" s="4"/>
      <c r="CL2038" s="4"/>
      <c r="CM2038" s="4"/>
      <c r="CN2038" s="4"/>
      <c r="CO2038" s="4"/>
      <c r="CP2038" s="4"/>
      <c r="CQ2038" s="4"/>
      <c r="CR2038" s="4"/>
      <c r="CS2038" s="4"/>
      <c r="CT2038" s="4"/>
      <c r="CU2038" s="4"/>
      <c r="CV2038" s="4"/>
      <c r="CW2038" s="4"/>
      <c r="CX2038" s="4"/>
      <c r="CY2038" s="4"/>
      <c r="CZ2038" s="4"/>
      <c r="DA2038" s="4"/>
      <c r="DB2038" s="4"/>
      <c r="DC2038" s="4"/>
      <c r="DD2038" s="4"/>
      <c r="DE2038" s="4"/>
      <c r="DF2038" s="4"/>
      <c r="DG2038" s="4"/>
      <c r="DH2038" s="4"/>
      <c r="DI2038" s="4"/>
      <c r="DJ2038" s="4"/>
      <c r="DK2038" s="4"/>
      <c r="DL2038" s="4"/>
      <c r="DM2038" s="4"/>
      <c r="DN2038" s="4"/>
      <c r="DO2038" s="4"/>
      <c r="DP2038" s="4"/>
      <c r="DQ2038" s="4"/>
      <c r="DR2038" s="4"/>
      <c r="DS2038" s="4"/>
    </row>
    <row r="2039">
      <c r="A2039" s="4"/>
      <c r="B2039" s="4"/>
      <c r="C2039" s="4"/>
      <c r="D2039" s="4"/>
      <c r="E2039" s="4"/>
      <c r="F2039" s="4" t="s">
        <v>17</v>
      </c>
      <c r="G2039" s="15"/>
      <c r="H2039" s="4"/>
      <c r="I2039" s="4"/>
      <c r="J2039" s="4"/>
      <c r="K2039" s="4"/>
      <c r="L2039" s="4"/>
      <c r="M2039" s="4"/>
      <c r="N2039" s="4"/>
      <c r="O2039" s="4"/>
      <c r="P2039" s="4"/>
      <c r="Q2039" s="4"/>
      <c r="R2039" s="4"/>
      <c r="S2039" s="4"/>
      <c r="T2039" s="4"/>
      <c r="U2039" s="4"/>
      <c r="V2039" s="4"/>
      <c r="W2039" s="4"/>
      <c r="X2039" s="4"/>
      <c r="Y2039" s="4"/>
      <c r="Z2039" s="4"/>
      <c r="AA2039" s="4"/>
      <c r="AB2039" s="4"/>
      <c r="AC2039" s="4"/>
      <c r="AD2039" s="4"/>
      <c r="AE2039" s="4"/>
      <c r="AF2039" s="4"/>
      <c r="AG2039" s="4"/>
      <c r="AH2039" s="4"/>
      <c r="AI2039" s="4"/>
      <c r="AJ2039" s="4"/>
      <c r="AK2039" s="4"/>
      <c r="AL2039" s="4"/>
      <c r="AM2039" s="4"/>
      <c r="AN2039" s="4"/>
      <c r="AO2039" s="4"/>
      <c r="AP2039" s="4"/>
      <c r="AQ2039" s="4"/>
      <c r="AR2039" s="4"/>
      <c r="AS2039" s="4"/>
      <c r="AT2039" s="4"/>
      <c r="AU2039" s="4"/>
      <c r="AV2039" s="4"/>
      <c r="AW2039" s="4"/>
      <c r="AX2039" s="4"/>
      <c r="AY2039" s="4"/>
      <c r="AZ2039" s="4"/>
      <c r="BA2039" s="4"/>
      <c r="BB2039" s="4"/>
      <c r="BC2039" s="4"/>
      <c r="BD2039" s="4"/>
      <c r="BE2039" s="4"/>
      <c r="BF2039" s="4"/>
      <c r="BG2039" s="4"/>
      <c r="BH2039" s="4"/>
      <c r="BI2039" s="4"/>
      <c r="BJ2039" s="4"/>
      <c r="BK2039" s="4"/>
      <c r="BL2039" s="4"/>
      <c r="BM2039" s="4"/>
      <c r="BN2039" s="4"/>
      <c r="BO2039" s="4"/>
      <c r="BP2039" s="4"/>
      <c r="BQ2039" s="4"/>
      <c r="BR2039" s="4"/>
      <c r="BS2039" s="4"/>
      <c r="BT2039" s="4"/>
      <c r="BU2039" s="4"/>
      <c r="BV2039" s="4"/>
      <c r="BW2039" s="4"/>
      <c r="BX2039" s="4"/>
      <c r="BY2039" s="4"/>
      <c r="BZ2039" s="4"/>
      <c r="CA2039" s="4"/>
      <c r="CB2039" s="4"/>
      <c r="CC2039" s="4"/>
      <c r="CD2039" s="4"/>
      <c r="CE2039" s="4"/>
      <c r="CF2039" s="4"/>
      <c r="CG2039" s="4"/>
      <c r="CH2039" s="4"/>
      <c r="CI2039" s="4"/>
      <c r="CJ2039" s="4"/>
      <c r="CK2039" s="4"/>
      <c r="CL2039" s="4"/>
      <c r="CM2039" s="4"/>
      <c r="CN2039" s="4"/>
      <c r="CO2039" s="4"/>
      <c r="CP2039" s="4"/>
      <c r="CQ2039" s="4"/>
      <c r="CR2039" s="4"/>
      <c r="CS2039" s="4"/>
      <c r="CT2039" s="4"/>
      <c r="CU2039" s="4"/>
      <c r="CV2039" s="4"/>
      <c r="CW2039" s="4"/>
      <c r="CX2039" s="4"/>
      <c r="CY2039" s="4"/>
      <c r="CZ2039" s="4"/>
      <c r="DA2039" s="4"/>
      <c r="DB2039" s="4"/>
      <c r="DC2039" s="4"/>
      <c r="DD2039" s="4"/>
      <c r="DE2039" s="4"/>
      <c r="DF2039" s="4"/>
      <c r="DG2039" s="4"/>
      <c r="DH2039" s="4"/>
      <c r="DI2039" s="4"/>
      <c r="DJ2039" s="4"/>
      <c r="DK2039" s="4"/>
      <c r="DL2039" s="4"/>
      <c r="DM2039" s="4"/>
      <c r="DN2039" s="4"/>
      <c r="DO2039" s="4"/>
      <c r="DP2039" s="4"/>
      <c r="DQ2039" s="4"/>
      <c r="DR2039" s="4"/>
      <c r="DS2039" s="4"/>
    </row>
    <row r="2040">
      <c r="A2040" s="4"/>
      <c r="B2040" s="4"/>
      <c r="C2040" s="4"/>
      <c r="D2040" s="4"/>
      <c r="E2040" s="4"/>
      <c r="F2040" s="4" t="s">
        <v>17</v>
      </c>
      <c r="G2040" s="15"/>
      <c r="H2040" s="4"/>
      <c r="I2040" s="4"/>
      <c r="J2040" s="4"/>
      <c r="K2040" s="4"/>
      <c r="L2040" s="4"/>
      <c r="M2040" s="4"/>
      <c r="N2040" s="4"/>
      <c r="O2040" s="4"/>
      <c r="P2040" s="4"/>
      <c r="Q2040" s="4"/>
      <c r="R2040" s="4"/>
      <c r="S2040" s="4"/>
      <c r="T2040" s="4"/>
      <c r="U2040" s="4"/>
      <c r="V2040" s="4"/>
      <c r="W2040" s="4"/>
      <c r="X2040" s="4"/>
      <c r="Y2040" s="4"/>
      <c r="Z2040" s="4"/>
      <c r="AA2040" s="4"/>
      <c r="AB2040" s="4"/>
      <c r="AC2040" s="4"/>
      <c r="AD2040" s="4"/>
      <c r="AE2040" s="4"/>
      <c r="AF2040" s="4"/>
      <c r="AG2040" s="4"/>
      <c r="AH2040" s="4"/>
      <c r="AI2040" s="4"/>
      <c r="AJ2040" s="4"/>
      <c r="AK2040" s="4"/>
      <c r="AL2040" s="4"/>
      <c r="AM2040" s="4"/>
      <c r="AN2040" s="4"/>
      <c r="AO2040" s="4"/>
      <c r="AP2040" s="4"/>
      <c r="AQ2040" s="4"/>
      <c r="AR2040" s="4"/>
      <c r="AS2040" s="4"/>
      <c r="AT2040" s="4"/>
      <c r="AU2040" s="4"/>
      <c r="AV2040" s="4"/>
      <c r="AW2040" s="4"/>
      <c r="AX2040" s="4"/>
      <c r="AY2040" s="4"/>
      <c r="AZ2040" s="4"/>
      <c r="BA2040" s="4"/>
      <c r="BB2040" s="4"/>
      <c r="BC2040" s="4"/>
      <c r="BD2040" s="4"/>
      <c r="BE2040" s="4"/>
      <c r="BF2040" s="4"/>
      <c r="BG2040" s="4"/>
      <c r="BH2040" s="4"/>
      <c r="BI2040" s="4"/>
      <c r="BJ2040" s="4"/>
      <c r="BK2040" s="4"/>
      <c r="BL2040" s="4"/>
      <c r="BM2040" s="4"/>
      <c r="BN2040" s="4"/>
      <c r="BO2040" s="4"/>
      <c r="BP2040" s="4"/>
      <c r="BQ2040" s="4"/>
      <c r="BR2040" s="4"/>
      <c r="BS2040" s="4"/>
      <c r="BT2040" s="4"/>
      <c r="BU2040" s="4"/>
      <c r="BV2040" s="4"/>
      <c r="BW2040" s="4"/>
      <c r="BX2040" s="4"/>
      <c r="BY2040" s="4"/>
      <c r="BZ2040" s="4"/>
      <c r="CA2040" s="4"/>
      <c r="CB2040" s="4"/>
      <c r="CC2040" s="4"/>
      <c r="CD2040" s="4"/>
      <c r="CE2040" s="4"/>
      <c r="CF2040" s="4"/>
      <c r="CG2040" s="4"/>
      <c r="CH2040" s="4"/>
      <c r="CI2040" s="4"/>
      <c r="CJ2040" s="4"/>
      <c r="CK2040" s="4"/>
      <c r="CL2040" s="4"/>
      <c r="CM2040" s="4"/>
      <c r="CN2040" s="4"/>
      <c r="CO2040" s="4"/>
      <c r="CP2040" s="4"/>
      <c r="CQ2040" s="4"/>
      <c r="CR2040" s="4"/>
      <c r="CS2040" s="4"/>
      <c r="CT2040" s="4"/>
      <c r="CU2040" s="4"/>
      <c r="CV2040" s="4"/>
      <c r="CW2040" s="4"/>
      <c r="CX2040" s="4"/>
      <c r="CY2040" s="4"/>
      <c r="CZ2040" s="4"/>
      <c r="DA2040" s="4"/>
      <c r="DB2040" s="4"/>
      <c r="DC2040" s="4"/>
      <c r="DD2040" s="4"/>
      <c r="DE2040" s="4"/>
      <c r="DF2040" s="4"/>
      <c r="DG2040" s="4"/>
      <c r="DH2040" s="4"/>
      <c r="DI2040" s="4"/>
      <c r="DJ2040" s="4"/>
      <c r="DK2040" s="4"/>
      <c r="DL2040" s="4"/>
      <c r="DM2040" s="4"/>
      <c r="DN2040" s="4"/>
      <c r="DO2040" s="4"/>
      <c r="DP2040" s="4"/>
      <c r="DQ2040" s="4"/>
      <c r="DR2040" s="4"/>
      <c r="DS2040" s="4"/>
    </row>
    <row r="2041">
      <c r="A2041" s="4"/>
      <c r="B2041" s="4"/>
      <c r="C2041" s="4"/>
      <c r="D2041" s="4"/>
      <c r="E2041" s="4"/>
      <c r="F2041" s="4" t="s">
        <v>17</v>
      </c>
      <c r="G2041" s="15"/>
      <c r="H2041" s="4"/>
      <c r="I2041" s="4"/>
      <c r="J2041" s="4"/>
      <c r="K2041" s="4"/>
      <c r="L2041" s="4"/>
      <c r="M2041" s="4"/>
      <c r="N2041" s="4"/>
      <c r="O2041" s="4"/>
      <c r="P2041" s="4"/>
      <c r="Q2041" s="4"/>
      <c r="R2041" s="4"/>
      <c r="S2041" s="4"/>
      <c r="T2041" s="4"/>
      <c r="U2041" s="4"/>
      <c r="V2041" s="4"/>
      <c r="W2041" s="4"/>
      <c r="X2041" s="4"/>
      <c r="Y2041" s="4"/>
      <c r="Z2041" s="4"/>
      <c r="AA2041" s="4"/>
      <c r="AB2041" s="4"/>
      <c r="AC2041" s="4"/>
      <c r="AD2041" s="4"/>
      <c r="AE2041" s="4"/>
      <c r="AF2041" s="4"/>
      <c r="AG2041" s="4"/>
      <c r="AH2041" s="4"/>
      <c r="AI2041" s="4"/>
      <c r="AJ2041" s="4"/>
      <c r="AK2041" s="4"/>
      <c r="AL2041" s="4"/>
      <c r="AM2041" s="4"/>
      <c r="AN2041" s="4"/>
      <c r="AO2041" s="4"/>
      <c r="AP2041" s="4"/>
      <c r="AQ2041" s="4"/>
      <c r="AR2041" s="4"/>
      <c r="AS2041" s="4"/>
      <c r="AT2041" s="4"/>
      <c r="AU2041" s="4"/>
      <c r="AV2041" s="4"/>
      <c r="AW2041" s="4"/>
      <c r="AX2041" s="4"/>
      <c r="AY2041" s="4"/>
      <c r="AZ2041" s="4"/>
      <c r="BA2041" s="4"/>
      <c r="BB2041" s="4"/>
      <c r="BC2041" s="4"/>
      <c r="BD2041" s="4"/>
      <c r="BE2041" s="4"/>
      <c r="BF2041" s="4"/>
      <c r="BG2041" s="4"/>
      <c r="BH2041" s="4"/>
      <c r="BI2041" s="4"/>
      <c r="BJ2041" s="4"/>
      <c r="BK2041" s="4"/>
      <c r="BL2041" s="4"/>
      <c r="BM2041" s="4"/>
      <c r="BN2041" s="4"/>
      <c r="BO2041" s="4"/>
      <c r="BP2041" s="4"/>
      <c r="BQ2041" s="4"/>
      <c r="BR2041" s="4"/>
      <c r="BS2041" s="4"/>
      <c r="BT2041" s="4"/>
      <c r="BU2041" s="4"/>
      <c r="BV2041" s="4"/>
      <c r="BW2041" s="4"/>
      <c r="BX2041" s="4"/>
      <c r="BY2041" s="4"/>
      <c r="BZ2041" s="4"/>
      <c r="CA2041" s="4"/>
      <c r="CB2041" s="4"/>
      <c r="CC2041" s="4"/>
      <c r="CD2041" s="4"/>
      <c r="CE2041" s="4"/>
      <c r="CF2041" s="4"/>
      <c r="CG2041" s="4"/>
      <c r="CH2041" s="4"/>
      <c r="CI2041" s="4"/>
      <c r="CJ2041" s="4"/>
      <c r="CK2041" s="4"/>
      <c r="CL2041" s="4"/>
      <c r="CM2041" s="4"/>
      <c r="CN2041" s="4"/>
      <c r="CO2041" s="4"/>
      <c r="CP2041" s="4"/>
      <c r="CQ2041" s="4"/>
      <c r="CR2041" s="4"/>
      <c r="CS2041" s="4"/>
      <c r="CT2041" s="4"/>
      <c r="CU2041" s="4"/>
      <c r="CV2041" s="4"/>
      <c r="CW2041" s="4"/>
      <c r="CX2041" s="4"/>
      <c r="CY2041" s="4"/>
      <c r="CZ2041" s="4"/>
      <c r="DA2041" s="4"/>
      <c r="DB2041" s="4"/>
      <c r="DC2041" s="4"/>
      <c r="DD2041" s="4"/>
      <c r="DE2041" s="4"/>
      <c r="DF2041" s="4"/>
      <c r="DG2041" s="4"/>
      <c r="DH2041" s="4"/>
      <c r="DI2041" s="4"/>
      <c r="DJ2041" s="4"/>
      <c r="DK2041" s="4"/>
      <c r="DL2041" s="4"/>
      <c r="DM2041" s="4"/>
      <c r="DN2041" s="4"/>
      <c r="DO2041" s="4"/>
      <c r="DP2041" s="4"/>
      <c r="DQ2041" s="4"/>
      <c r="DR2041" s="4"/>
      <c r="DS2041" s="4"/>
    </row>
    <row r="2042">
      <c r="A2042" s="4"/>
      <c r="B2042" s="4"/>
      <c r="C2042" s="4"/>
      <c r="D2042" s="4"/>
      <c r="E2042" s="4"/>
      <c r="F2042" s="4" t="s">
        <v>17</v>
      </c>
      <c r="G2042" s="15"/>
      <c r="H2042" s="4"/>
      <c r="I2042" s="4"/>
      <c r="J2042" s="4"/>
      <c r="K2042" s="4"/>
      <c r="L2042" s="4"/>
      <c r="M2042" s="4"/>
      <c r="N2042" s="4"/>
      <c r="O2042" s="4"/>
      <c r="P2042" s="4"/>
      <c r="Q2042" s="4"/>
      <c r="R2042" s="4"/>
      <c r="S2042" s="4"/>
      <c r="T2042" s="4"/>
      <c r="U2042" s="4"/>
      <c r="V2042" s="4"/>
      <c r="W2042" s="4"/>
      <c r="X2042" s="4"/>
      <c r="Y2042" s="4"/>
      <c r="Z2042" s="4"/>
      <c r="AA2042" s="4"/>
      <c r="AB2042" s="4"/>
      <c r="AC2042" s="4"/>
      <c r="AD2042" s="4"/>
      <c r="AE2042" s="4"/>
      <c r="AF2042" s="4"/>
      <c r="AG2042" s="4"/>
      <c r="AH2042" s="4"/>
      <c r="AI2042" s="4"/>
      <c r="AJ2042" s="4"/>
      <c r="AK2042" s="4"/>
      <c r="AL2042" s="4"/>
      <c r="AM2042" s="4"/>
      <c r="AN2042" s="4"/>
      <c r="AO2042" s="4"/>
      <c r="AP2042" s="4"/>
      <c r="AQ2042" s="4"/>
      <c r="AR2042" s="4"/>
      <c r="AS2042" s="4"/>
      <c r="AT2042" s="4"/>
      <c r="AU2042" s="4"/>
      <c r="AV2042" s="4"/>
      <c r="AW2042" s="4"/>
      <c r="AX2042" s="4"/>
      <c r="AY2042" s="4"/>
      <c r="AZ2042" s="4"/>
      <c r="BA2042" s="4"/>
      <c r="BB2042" s="4"/>
      <c r="BC2042" s="4"/>
      <c r="BD2042" s="4"/>
      <c r="BE2042" s="4"/>
      <c r="BF2042" s="4"/>
      <c r="BG2042" s="4"/>
      <c r="BH2042" s="4"/>
      <c r="BI2042" s="4"/>
      <c r="BJ2042" s="4"/>
      <c r="BK2042" s="4"/>
      <c r="BL2042" s="4"/>
      <c r="BM2042" s="4"/>
      <c r="BN2042" s="4"/>
      <c r="BO2042" s="4"/>
      <c r="BP2042" s="4"/>
      <c r="BQ2042" s="4"/>
      <c r="BR2042" s="4"/>
      <c r="BS2042" s="4"/>
      <c r="BT2042" s="4"/>
      <c r="BU2042" s="4"/>
      <c r="BV2042" s="4"/>
      <c r="BW2042" s="4"/>
      <c r="BX2042" s="4"/>
      <c r="BY2042" s="4"/>
      <c r="BZ2042" s="4"/>
      <c r="CA2042" s="4"/>
      <c r="CB2042" s="4"/>
      <c r="CC2042" s="4"/>
      <c r="CD2042" s="4"/>
      <c r="CE2042" s="4"/>
      <c r="CF2042" s="4"/>
      <c r="CG2042" s="4"/>
      <c r="CH2042" s="4"/>
      <c r="CI2042" s="4"/>
      <c r="CJ2042" s="4"/>
      <c r="CK2042" s="4"/>
      <c r="CL2042" s="4"/>
      <c r="CM2042" s="4"/>
      <c r="CN2042" s="4"/>
      <c r="CO2042" s="4"/>
      <c r="CP2042" s="4"/>
      <c r="CQ2042" s="4"/>
      <c r="CR2042" s="4"/>
      <c r="CS2042" s="4"/>
      <c r="CT2042" s="4"/>
      <c r="CU2042" s="4"/>
      <c r="CV2042" s="4"/>
      <c r="CW2042" s="4"/>
      <c r="CX2042" s="4"/>
      <c r="CY2042" s="4"/>
      <c r="CZ2042" s="4"/>
      <c r="DA2042" s="4"/>
      <c r="DB2042" s="4"/>
      <c r="DC2042" s="4"/>
      <c r="DD2042" s="4"/>
      <c r="DE2042" s="4"/>
      <c r="DF2042" s="4"/>
      <c r="DG2042" s="4"/>
      <c r="DH2042" s="4"/>
      <c r="DI2042" s="4"/>
      <c r="DJ2042" s="4"/>
      <c r="DK2042" s="4"/>
      <c r="DL2042" s="4"/>
      <c r="DM2042" s="4"/>
      <c r="DN2042" s="4"/>
      <c r="DO2042" s="4"/>
      <c r="DP2042" s="4"/>
      <c r="DQ2042" s="4"/>
      <c r="DR2042" s="4"/>
      <c r="DS2042" s="4"/>
    </row>
    <row r="2043">
      <c r="A2043" s="4"/>
      <c r="B2043" s="4"/>
      <c r="C2043" s="4"/>
      <c r="D2043" s="4"/>
      <c r="E2043" s="4"/>
      <c r="F2043" s="4" t="s">
        <v>17</v>
      </c>
      <c r="G2043" s="15"/>
      <c r="H2043" s="4"/>
      <c r="I2043" s="4"/>
      <c r="J2043" s="4"/>
      <c r="K2043" s="4"/>
      <c r="L2043" s="4"/>
      <c r="M2043" s="4"/>
      <c r="N2043" s="4"/>
      <c r="O2043" s="4"/>
      <c r="P2043" s="4"/>
      <c r="Q2043" s="4"/>
      <c r="R2043" s="4"/>
      <c r="S2043" s="4"/>
      <c r="T2043" s="4"/>
      <c r="U2043" s="4"/>
      <c r="V2043" s="4"/>
      <c r="W2043" s="4"/>
      <c r="X2043" s="4"/>
      <c r="Y2043" s="4"/>
      <c r="Z2043" s="4"/>
      <c r="AA2043" s="4"/>
      <c r="AB2043" s="4"/>
      <c r="AC2043" s="4"/>
      <c r="AD2043" s="4"/>
      <c r="AE2043" s="4"/>
      <c r="AF2043" s="4"/>
      <c r="AG2043" s="4"/>
      <c r="AH2043" s="4"/>
      <c r="AI2043" s="4"/>
      <c r="AJ2043" s="4"/>
      <c r="AK2043" s="4"/>
      <c r="AL2043" s="4"/>
      <c r="AM2043" s="4"/>
      <c r="AN2043" s="4"/>
      <c r="AO2043" s="4"/>
      <c r="AP2043" s="4"/>
      <c r="AQ2043" s="4"/>
      <c r="AR2043" s="4"/>
      <c r="AS2043" s="4"/>
      <c r="AT2043" s="4"/>
      <c r="AU2043" s="4"/>
      <c r="AV2043" s="4"/>
      <c r="AW2043" s="4"/>
      <c r="AX2043" s="4"/>
      <c r="AY2043" s="4"/>
      <c r="AZ2043" s="4"/>
      <c r="BA2043" s="4"/>
      <c r="BB2043" s="4"/>
      <c r="BC2043" s="4"/>
      <c r="BD2043" s="4"/>
      <c r="BE2043" s="4"/>
      <c r="BF2043" s="4"/>
      <c r="BG2043" s="4"/>
      <c r="BH2043" s="4"/>
      <c r="BI2043" s="4"/>
      <c r="BJ2043" s="4"/>
      <c r="BK2043" s="4"/>
      <c r="BL2043" s="4"/>
      <c r="BM2043" s="4"/>
      <c r="BN2043" s="4"/>
      <c r="BO2043" s="4"/>
      <c r="BP2043" s="4"/>
      <c r="BQ2043" s="4"/>
      <c r="BR2043" s="4"/>
      <c r="BS2043" s="4"/>
      <c r="BT2043" s="4"/>
      <c r="BU2043" s="4"/>
      <c r="BV2043" s="4"/>
      <c r="BW2043" s="4"/>
      <c r="BX2043" s="4"/>
      <c r="BY2043" s="4"/>
      <c r="BZ2043" s="4"/>
      <c r="CA2043" s="4"/>
      <c r="CB2043" s="4"/>
      <c r="CC2043" s="4"/>
      <c r="CD2043" s="4"/>
      <c r="CE2043" s="4"/>
      <c r="CF2043" s="4"/>
      <c r="CG2043" s="4"/>
      <c r="CH2043" s="4"/>
      <c r="CI2043" s="4"/>
      <c r="CJ2043" s="4"/>
      <c r="CK2043" s="4"/>
      <c r="CL2043" s="4"/>
      <c r="CM2043" s="4"/>
      <c r="CN2043" s="4"/>
      <c r="CO2043" s="4"/>
      <c r="CP2043" s="4"/>
      <c r="CQ2043" s="4"/>
      <c r="CR2043" s="4"/>
      <c r="CS2043" s="4"/>
      <c r="CT2043" s="4"/>
      <c r="CU2043" s="4"/>
      <c r="CV2043" s="4"/>
      <c r="CW2043" s="4"/>
      <c r="CX2043" s="4"/>
      <c r="CY2043" s="4"/>
      <c r="CZ2043" s="4"/>
      <c r="DA2043" s="4"/>
      <c r="DB2043" s="4"/>
      <c r="DC2043" s="4"/>
      <c r="DD2043" s="4"/>
      <c r="DE2043" s="4"/>
      <c r="DF2043" s="4"/>
      <c r="DG2043" s="4"/>
      <c r="DH2043" s="4"/>
      <c r="DI2043" s="4"/>
      <c r="DJ2043" s="4"/>
      <c r="DK2043" s="4"/>
      <c r="DL2043" s="4"/>
      <c r="DM2043" s="4"/>
      <c r="DN2043" s="4"/>
      <c r="DO2043" s="4"/>
      <c r="DP2043" s="4"/>
      <c r="DQ2043" s="4"/>
      <c r="DR2043" s="4"/>
      <c r="DS2043" s="4"/>
    </row>
    <row r="2044">
      <c r="A2044" s="4"/>
      <c r="B2044" s="4"/>
      <c r="C2044" s="4"/>
      <c r="D2044" s="4"/>
      <c r="E2044" s="4"/>
      <c r="F2044" s="4" t="s">
        <v>17</v>
      </c>
      <c r="G2044" s="15"/>
      <c r="H2044" s="4"/>
      <c r="I2044" s="4"/>
      <c r="J2044" s="4"/>
      <c r="K2044" s="4"/>
      <c r="L2044" s="4"/>
      <c r="M2044" s="4"/>
      <c r="N2044" s="4"/>
      <c r="O2044" s="4"/>
      <c r="P2044" s="4"/>
      <c r="Q2044" s="4"/>
      <c r="R2044" s="4"/>
      <c r="S2044" s="4"/>
      <c r="T2044" s="4"/>
      <c r="U2044" s="4"/>
      <c r="V2044" s="4"/>
      <c r="W2044" s="4"/>
      <c r="X2044" s="4"/>
      <c r="Y2044" s="4"/>
      <c r="Z2044" s="4"/>
      <c r="AA2044" s="4"/>
      <c r="AB2044" s="4"/>
      <c r="AC2044" s="4"/>
      <c r="AD2044" s="4"/>
      <c r="AE2044" s="4"/>
      <c r="AF2044" s="4"/>
      <c r="AG2044" s="4"/>
      <c r="AH2044" s="4"/>
      <c r="AI2044" s="4"/>
      <c r="AJ2044" s="4"/>
      <c r="AK2044" s="4"/>
      <c r="AL2044" s="4"/>
      <c r="AM2044" s="4"/>
      <c r="AN2044" s="4"/>
      <c r="AO2044" s="4"/>
      <c r="AP2044" s="4"/>
      <c r="AQ2044" s="4"/>
      <c r="AR2044" s="4"/>
      <c r="AS2044" s="4"/>
      <c r="AT2044" s="4"/>
      <c r="AU2044" s="4"/>
      <c r="AV2044" s="4"/>
      <c r="AW2044" s="4"/>
      <c r="AX2044" s="4"/>
      <c r="AY2044" s="4"/>
      <c r="AZ2044" s="4"/>
      <c r="BA2044" s="4"/>
      <c r="BB2044" s="4"/>
      <c r="BC2044" s="4"/>
      <c r="BD2044" s="4"/>
      <c r="BE2044" s="4"/>
      <c r="BF2044" s="4"/>
      <c r="BG2044" s="4"/>
      <c r="BH2044" s="4"/>
      <c r="BI2044" s="4"/>
      <c r="BJ2044" s="4"/>
      <c r="BK2044" s="4"/>
      <c r="BL2044" s="4"/>
      <c r="BM2044" s="4"/>
      <c r="BN2044" s="4"/>
      <c r="BO2044" s="4"/>
      <c r="BP2044" s="4"/>
      <c r="BQ2044" s="4"/>
      <c r="BR2044" s="4"/>
      <c r="BS2044" s="4"/>
      <c r="BT2044" s="4"/>
      <c r="BU2044" s="4"/>
      <c r="BV2044" s="4"/>
      <c r="BW2044" s="4"/>
      <c r="BX2044" s="4"/>
      <c r="BY2044" s="4"/>
      <c r="BZ2044" s="4"/>
      <c r="CA2044" s="4"/>
      <c r="CB2044" s="4"/>
      <c r="CC2044" s="4"/>
      <c r="CD2044" s="4"/>
      <c r="CE2044" s="4"/>
      <c r="CF2044" s="4"/>
      <c r="CG2044" s="4"/>
      <c r="CH2044" s="4"/>
      <c r="CI2044" s="4"/>
      <c r="CJ2044" s="4"/>
      <c r="CK2044" s="4"/>
      <c r="CL2044" s="4"/>
      <c r="CM2044" s="4"/>
      <c r="CN2044" s="4"/>
      <c r="CO2044" s="4"/>
      <c r="CP2044" s="4"/>
      <c r="CQ2044" s="4"/>
      <c r="CR2044" s="4"/>
      <c r="CS2044" s="4"/>
      <c r="CT2044" s="4"/>
      <c r="CU2044" s="4"/>
      <c r="CV2044" s="4"/>
      <c r="CW2044" s="4"/>
      <c r="CX2044" s="4"/>
      <c r="CY2044" s="4"/>
      <c r="CZ2044" s="4"/>
      <c r="DA2044" s="4"/>
      <c r="DB2044" s="4"/>
      <c r="DC2044" s="4"/>
      <c r="DD2044" s="4"/>
      <c r="DE2044" s="4"/>
      <c r="DF2044" s="4"/>
      <c r="DG2044" s="4"/>
      <c r="DH2044" s="4"/>
      <c r="DI2044" s="4"/>
      <c r="DJ2044" s="4"/>
      <c r="DK2044" s="4"/>
      <c r="DL2044" s="4"/>
      <c r="DM2044" s="4"/>
      <c r="DN2044" s="4"/>
      <c r="DO2044" s="4"/>
      <c r="DP2044" s="4"/>
      <c r="DQ2044" s="4"/>
      <c r="DR2044" s="4"/>
      <c r="DS2044" s="4"/>
    </row>
    <row r="2045">
      <c r="A2045" s="4"/>
      <c r="B2045" s="4"/>
      <c r="C2045" s="4"/>
      <c r="D2045" s="4"/>
      <c r="E2045" s="4"/>
      <c r="F2045" s="4" t="s">
        <v>17</v>
      </c>
      <c r="G2045" s="15"/>
      <c r="H2045" s="4"/>
      <c r="I2045" s="4"/>
      <c r="J2045" s="4"/>
      <c r="K2045" s="4"/>
      <c r="L2045" s="4"/>
      <c r="M2045" s="4"/>
      <c r="N2045" s="4"/>
      <c r="O2045" s="4"/>
      <c r="P2045" s="4"/>
      <c r="Q2045" s="4"/>
      <c r="R2045" s="4"/>
      <c r="S2045" s="4"/>
      <c r="T2045" s="4"/>
      <c r="U2045" s="4"/>
      <c r="V2045" s="4"/>
      <c r="W2045" s="4"/>
      <c r="X2045" s="4"/>
      <c r="Y2045" s="4"/>
      <c r="Z2045" s="4"/>
      <c r="AA2045" s="4"/>
      <c r="AB2045" s="4"/>
      <c r="AC2045" s="4"/>
      <c r="AD2045" s="4"/>
      <c r="AE2045" s="4"/>
      <c r="AF2045" s="4"/>
      <c r="AG2045" s="4"/>
      <c r="AH2045" s="4"/>
      <c r="AI2045" s="4"/>
      <c r="AJ2045" s="4"/>
      <c r="AK2045" s="4"/>
      <c r="AL2045" s="4"/>
      <c r="AM2045" s="4"/>
      <c r="AN2045" s="4"/>
      <c r="AO2045" s="4"/>
      <c r="AP2045" s="4"/>
      <c r="AQ2045" s="4"/>
      <c r="AR2045" s="4"/>
      <c r="AS2045" s="4"/>
      <c r="AT2045" s="4"/>
      <c r="AU2045" s="4"/>
      <c r="AV2045" s="4"/>
      <c r="AW2045" s="4"/>
      <c r="AX2045" s="4"/>
      <c r="AY2045" s="4"/>
      <c r="AZ2045" s="4"/>
      <c r="BA2045" s="4"/>
      <c r="BB2045" s="4"/>
      <c r="BC2045" s="4"/>
      <c r="BD2045" s="4"/>
      <c r="BE2045" s="4"/>
      <c r="BF2045" s="4"/>
      <c r="BG2045" s="4"/>
      <c r="BH2045" s="4"/>
      <c r="BI2045" s="4"/>
      <c r="BJ2045" s="4"/>
      <c r="BK2045" s="4"/>
      <c r="BL2045" s="4"/>
      <c r="BM2045" s="4"/>
      <c r="BN2045" s="4"/>
      <c r="BO2045" s="4"/>
      <c r="BP2045" s="4"/>
      <c r="BQ2045" s="4"/>
      <c r="BR2045" s="4"/>
      <c r="BS2045" s="4"/>
      <c r="BT2045" s="4"/>
      <c r="BU2045" s="4"/>
      <c r="BV2045" s="4"/>
      <c r="BW2045" s="4"/>
      <c r="BX2045" s="4"/>
      <c r="BY2045" s="4"/>
      <c r="BZ2045" s="4"/>
      <c r="CA2045" s="4"/>
      <c r="CB2045" s="4"/>
      <c r="CC2045" s="4"/>
      <c r="CD2045" s="4"/>
      <c r="CE2045" s="4"/>
      <c r="CF2045" s="4"/>
      <c r="CG2045" s="4"/>
      <c r="CH2045" s="4"/>
      <c r="CI2045" s="4"/>
      <c r="CJ2045" s="4"/>
      <c r="CK2045" s="4"/>
      <c r="CL2045" s="4"/>
      <c r="CM2045" s="4"/>
      <c r="CN2045" s="4"/>
      <c r="CO2045" s="4"/>
      <c r="CP2045" s="4"/>
      <c r="CQ2045" s="4"/>
      <c r="CR2045" s="4"/>
      <c r="CS2045" s="4"/>
      <c r="CT2045" s="4"/>
      <c r="CU2045" s="4"/>
      <c r="CV2045" s="4"/>
      <c r="CW2045" s="4"/>
      <c r="CX2045" s="4"/>
      <c r="CY2045" s="4"/>
      <c r="CZ2045" s="4"/>
      <c r="DA2045" s="4"/>
      <c r="DB2045" s="4"/>
      <c r="DC2045" s="4"/>
      <c r="DD2045" s="4"/>
      <c r="DE2045" s="4"/>
      <c r="DF2045" s="4"/>
      <c r="DG2045" s="4"/>
      <c r="DH2045" s="4"/>
      <c r="DI2045" s="4"/>
      <c r="DJ2045" s="4"/>
      <c r="DK2045" s="4"/>
      <c r="DL2045" s="4"/>
      <c r="DM2045" s="4"/>
      <c r="DN2045" s="4"/>
      <c r="DO2045" s="4"/>
      <c r="DP2045" s="4"/>
      <c r="DQ2045" s="4"/>
      <c r="DR2045" s="4"/>
      <c r="DS2045" s="4"/>
    </row>
    <row r="2046">
      <c r="A2046" s="4"/>
      <c r="B2046" s="4"/>
      <c r="C2046" s="4"/>
      <c r="D2046" s="4"/>
      <c r="E2046" s="4"/>
      <c r="F2046" s="4" t="s">
        <v>17</v>
      </c>
      <c r="G2046" s="15"/>
      <c r="H2046" s="4"/>
      <c r="I2046" s="4"/>
      <c r="J2046" s="4"/>
      <c r="K2046" s="4"/>
      <c r="L2046" s="4"/>
      <c r="M2046" s="4"/>
      <c r="N2046" s="4"/>
      <c r="O2046" s="4"/>
      <c r="P2046" s="4"/>
      <c r="Q2046" s="4"/>
      <c r="R2046" s="4"/>
      <c r="S2046" s="4"/>
      <c r="T2046" s="4"/>
      <c r="U2046" s="4"/>
      <c r="V2046" s="4"/>
      <c r="W2046" s="4"/>
      <c r="X2046" s="4"/>
      <c r="Y2046" s="4"/>
      <c r="Z2046" s="4"/>
      <c r="AA2046" s="4"/>
      <c r="AB2046" s="4"/>
      <c r="AC2046" s="4"/>
      <c r="AD2046" s="4"/>
      <c r="AE2046" s="4"/>
      <c r="AF2046" s="4"/>
      <c r="AG2046" s="4"/>
      <c r="AH2046" s="4"/>
      <c r="AI2046" s="4"/>
      <c r="AJ2046" s="4"/>
      <c r="AK2046" s="4"/>
      <c r="AL2046" s="4"/>
      <c r="AM2046" s="4"/>
      <c r="AN2046" s="4"/>
      <c r="AO2046" s="4"/>
      <c r="AP2046" s="4"/>
      <c r="AQ2046" s="4"/>
      <c r="AR2046" s="4"/>
      <c r="AS2046" s="4"/>
      <c r="AT2046" s="4"/>
      <c r="AU2046" s="4"/>
      <c r="AV2046" s="4"/>
      <c r="AW2046" s="4"/>
      <c r="AX2046" s="4"/>
      <c r="AY2046" s="4"/>
      <c r="AZ2046" s="4"/>
      <c r="BA2046" s="4"/>
      <c r="BB2046" s="4"/>
      <c r="BC2046" s="4"/>
      <c r="BD2046" s="4"/>
      <c r="BE2046" s="4"/>
      <c r="BF2046" s="4"/>
      <c r="BG2046" s="4"/>
      <c r="BH2046" s="4"/>
      <c r="BI2046" s="4"/>
      <c r="BJ2046" s="4"/>
      <c r="BK2046" s="4"/>
      <c r="BL2046" s="4"/>
      <c r="BM2046" s="4"/>
      <c r="BN2046" s="4"/>
      <c r="BO2046" s="4"/>
      <c r="BP2046" s="4"/>
      <c r="BQ2046" s="4"/>
      <c r="BR2046" s="4"/>
      <c r="BS2046" s="4"/>
      <c r="BT2046" s="4"/>
      <c r="BU2046" s="4"/>
      <c r="BV2046" s="4"/>
      <c r="BW2046" s="4"/>
      <c r="BX2046" s="4"/>
      <c r="BY2046" s="4"/>
      <c r="BZ2046" s="4"/>
      <c r="CA2046" s="4"/>
      <c r="CB2046" s="4"/>
      <c r="CC2046" s="4"/>
      <c r="CD2046" s="4"/>
      <c r="CE2046" s="4"/>
      <c r="CF2046" s="4"/>
      <c r="CG2046" s="4"/>
      <c r="CH2046" s="4"/>
      <c r="CI2046" s="4"/>
      <c r="CJ2046" s="4"/>
      <c r="CK2046" s="4"/>
      <c r="CL2046" s="4"/>
      <c r="CM2046" s="4"/>
      <c r="CN2046" s="4"/>
      <c r="CO2046" s="4"/>
      <c r="CP2046" s="4"/>
      <c r="CQ2046" s="4"/>
      <c r="CR2046" s="4"/>
      <c r="CS2046" s="4"/>
      <c r="CT2046" s="4"/>
      <c r="CU2046" s="4"/>
      <c r="CV2046" s="4"/>
      <c r="CW2046" s="4"/>
      <c r="CX2046" s="4"/>
      <c r="CY2046" s="4"/>
      <c r="CZ2046" s="4"/>
      <c r="DA2046" s="4"/>
      <c r="DB2046" s="4"/>
      <c r="DC2046" s="4"/>
      <c r="DD2046" s="4"/>
      <c r="DE2046" s="4"/>
      <c r="DF2046" s="4"/>
      <c r="DG2046" s="4"/>
      <c r="DH2046" s="4"/>
      <c r="DI2046" s="4"/>
      <c r="DJ2046" s="4"/>
      <c r="DK2046" s="4"/>
      <c r="DL2046" s="4"/>
      <c r="DM2046" s="4"/>
      <c r="DN2046" s="4"/>
      <c r="DO2046" s="4"/>
      <c r="DP2046" s="4"/>
      <c r="DQ2046" s="4"/>
      <c r="DR2046" s="4"/>
      <c r="DS2046" s="4"/>
    </row>
    <row r="2047">
      <c r="A2047" s="4"/>
      <c r="B2047" s="4"/>
      <c r="C2047" s="4"/>
      <c r="D2047" s="4"/>
      <c r="E2047" s="4"/>
      <c r="F2047" s="4" t="s">
        <v>17</v>
      </c>
      <c r="G2047" s="15"/>
      <c r="H2047" s="4"/>
      <c r="I2047" s="4"/>
      <c r="J2047" s="4"/>
      <c r="K2047" s="4"/>
      <c r="L2047" s="4"/>
      <c r="M2047" s="4"/>
      <c r="N2047" s="4"/>
      <c r="O2047" s="4"/>
      <c r="P2047" s="4"/>
      <c r="Q2047" s="4"/>
      <c r="R2047" s="4"/>
      <c r="S2047" s="4"/>
      <c r="T2047" s="4"/>
      <c r="U2047" s="4"/>
      <c r="V2047" s="4"/>
      <c r="W2047" s="4"/>
      <c r="X2047" s="4"/>
      <c r="Y2047" s="4"/>
      <c r="Z2047" s="4"/>
      <c r="AA2047" s="4"/>
      <c r="AB2047" s="4"/>
      <c r="AC2047" s="4"/>
      <c r="AD2047" s="4"/>
      <c r="AE2047" s="4"/>
      <c r="AF2047" s="4"/>
      <c r="AG2047" s="4"/>
      <c r="AH2047" s="4"/>
      <c r="AI2047" s="4"/>
      <c r="AJ2047" s="4"/>
      <c r="AK2047" s="4"/>
      <c r="AL2047" s="4"/>
      <c r="AM2047" s="4"/>
      <c r="AN2047" s="4"/>
      <c r="AO2047" s="4"/>
      <c r="AP2047" s="4"/>
      <c r="AQ2047" s="4"/>
      <c r="AR2047" s="4"/>
      <c r="AS2047" s="4"/>
      <c r="AT2047" s="4"/>
      <c r="AU2047" s="4"/>
      <c r="AV2047" s="4"/>
      <c r="AW2047" s="4"/>
      <c r="AX2047" s="4"/>
      <c r="AY2047" s="4"/>
      <c r="AZ2047" s="4"/>
      <c r="BA2047" s="4"/>
      <c r="BB2047" s="4"/>
      <c r="BC2047" s="4"/>
      <c r="BD2047" s="4"/>
      <c r="BE2047" s="4"/>
      <c r="BF2047" s="4"/>
      <c r="BG2047" s="4"/>
      <c r="BH2047" s="4"/>
      <c r="BI2047" s="4"/>
      <c r="BJ2047" s="4"/>
      <c r="BK2047" s="4"/>
      <c r="BL2047" s="4"/>
      <c r="BM2047" s="4"/>
      <c r="BN2047" s="4"/>
      <c r="BO2047" s="4"/>
      <c r="BP2047" s="4"/>
      <c r="BQ2047" s="4"/>
      <c r="BR2047" s="4"/>
      <c r="BS2047" s="4"/>
      <c r="BT2047" s="4"/>
      <c r="BU2047" s="4"/>
      <c r="BV2047" s="4"/>
      <c r="BW2047" s="4"/>
      <c r="BX2047" s="4"/>
      <c r="BY2047" s="4"/>
      <c r="BZ2047" s="4"/>
      <c r="CA2047" s="4"/>
      <c r="CB2047" s="4"/>
      <c r="CC2047" s="4"/>
      <c r="CD2047" s="4"/>
      <c r="CE2047" s="4"/>
      <c r="CF2047" s="4"/>
      <c r="CG2047" s="4"/>
      <c r="CH2047" s="4"/>
      <c r="CI2047" s="4"/>
      <c r="CJ2047" s="4"/>
      <c r="CK2047" s="4"/>
      <c r="CL2047" s="4"/>
      <c r="CM2047" s="4"/>
      <c r="CN2047" s="4"/>
      <c r="CO2047" s="4"/>
      <c r="CP2047" s="4"/>
      <c r="CQ2047" s="4"/>
      <c r="CR2047" s="4"/>
      <c r="CS2047" s="4"/>
      <c r="CT2047" s="4"/>
      <c r="CU2047" s="4"/>
      <c r="CV2047" s="4"/>
      <c r="CW2047" s="4"/>
      <c r="CX2047" s="4"/>
      <c r="CY2047" s="4"/>
      <c r="CZ2047" s="4"/>
      <c r="DA2047" s="4"/>
      <c r="DB2047" s="4"/>
      <c r="DC2047" s="4"/>
      <c r="DD2047" s="4"/>
      <c r="DE2047" s="4"/>
      <c r="DF2047" s="4"/>
      <c r="DG2047" s="4"/>
      <c r="DH2047" s="4"/>
      <c r="DI2047" s="4"/>
      <c r="DJ2047" s="4"/>
      <c r="DK2047" s="4"/>
      <c r="DL2047" s="4"/>
      <c r="DM2047" s="4"/>
      <c r="DN2047" s="4"/>
      <c r="DO2047" s="4"/>
      <c r="DP2047" s="4"/>
      <c r="DQ2047" s="4"/>
      <c r="DR2047" s="4"/>
      <c r="DS2047" s="4"/>
    </row>
    <row r="2048">
      <c r="A2048" s="4"/>
      <c r="B2048" s="4"/>
      <c r="C2048" s="4"/>
      <c r="D2048" s="4"/>
      <c r="E2048" s="4"/>
      <c r="F2048" s="4" t="s">
        <v>17</v>
      </c>
      <c r="G2048" s="15"/>
      <c r="H2048" s="4"/>
      <c r="I2048" s="4"/>
      <c r="J2048" s="4"/>
      <c r="K2048" s="4"/>
      <c r="L2048" s="4"/>
      <c r="M2048" s="4"/>
      <c r="N2048" s="4"/>
      <c r="O2048" s="4"/>
      <c r="P2048" s="4"/>
      <c r="Q2048" s="4"/>
      <c r="R2048" s="4"/>
      <c r="S2048" s="4"/>
      <c r="T2048" s="4"/>
      <c r="U2048" s="4"/>
      <c r="V2048" s="4"/>
      <c r="W2048" s="4"/>
      <c r="X2048" s="4"/>
      <c r="Y2048" s="4"/>
      <c r="Z2048" s="4"/>
      <c r="AA2048" s="4"/>
      <c r="AB2048" s="4"/>
      <c r="AC2048" s="4"/>
      <c r="AD2048" s="4"/>
      <c r="AE2048" s="4"/>
      <c r="AF2048" s="4"/>
      <c r="AG2048" s="4"/>
      <c r="AH2048" s="4"/>
      <c r="AI2048" s="4"/>
      <c r="AJ2048" s="4"/>
      <c r="AK2048" s="4"/>
      <c r="AL2048" s="4"/>
      <c r="AM2048" s="4"/>
      <c r="AN2048" s="4"/>
      <c r="AO2048" s="4"/>
      <c r="AP2048" s="4"/>
      <c r="AQ2048" s="4"/>
      <c r="AR2048" s="4"/>
      <c r="AS2048" s="4"/>
      <c r="AT2048" s="4"/>
      <c r="AU2048" s="4"/>
      <c r="AV2048" s="4"/>
      <c r="AW2048" s="4"/>
      <c r="AX2048" s="4"/>
      <c r="AY2048" s="4"/>
      <c r="AZ2048" s="4"/>
      <c r="BA2048" s="4"/>
      <c r="BB2048" s="4"/>
      <c r="BC2048" s="4"/>
      <c r="BD2048" s="4"/>
      <c r="BE2048" s="4"/>
      <c r="BF2048" s="4"/>
      <c r="BG2048" s="4"/>
      <c r="BH2048" s="4"/>
      <c r="BI2048" s="4"/>
      <c r="BJ2048" s="4"/>
      <c r="BK2048" s="4"/>
      <c r="BL2048" s="4"/>
      <c r="BM2048" s="4"/>
      <c r="BN2048" s="4"/>
      <c r="BO2048" s="4"/>
      <c r="BP2048" s="4"/>
      <c r="BQ2048" s="4"/>
      <c r="BR2048" s="4"/>
      <c r="BS2048" s="4"/>
      <c r="BT2048" s="4"/>
      <c r="BU2048" s="4"/>
      <c r="BV2048" s="4"/>
      <c r="BW2048" s="4"/>
      <c r="BX2048" s="4"/>
      <c r="BY2048" s="4"/>
      <c r="BZ2048" s="4"/>
      <c r="CA2048" s="4"/>
      <c r="CB2048" s="4"/>
      <c r="CC2048" s="4"/>
      <c r="CD2048" s="4"/>
      <c r="CE2048" s="4"/>
      <c r="CF2048" s="4"/>
      <c r="CG2048" s="4"/>
      <c r="CH2048" s="4"/>
      <c r="CI2048" s="4"/>
      <c r="CJ2048" s="4"/>
      <c r="CK2048" s="4"/>
      <c r="CL2048" s="4"/>
      <c r="CM2048" s="4"/>
      <c r="CN2048" s="4"/>
      <c r="CO2048" s="4"/>
      <c r="CP2048" s="4"/>
      <c r="CQ2048" s="4"/>
      <c r="CR2048" s="4"/>
      <c r="CS2048" s="4"/>
      <c r="CT2048" s="4"/>
      <c r="CU2048" s="4"/>
      <c r="CV2048" s="4"/>
      <c r="CW2048" s="4"/>
      <c r="CX2048" s="4"/>
      <c r="CY2048" s="4"/>
      <c r="CZ2048" s="4"/>
      <c r="DA2048" s="4"/>
      <c r="DB2048" s="4"/>
      <c r="DC2048" s="4"/>
      <c r="DD2048" s="4"/>
      <c r="DE2048" s="4"/>
      <c r="DF2048" s="4"/>
      <c r="DG2048" s="4"/>
      <c r="DH2048" s="4"/>
      <c r="DI2048" s="4"/>
      <c r="DJ2048" s="4"/>
      <c r="DK2048" s="4"/>
      <c r="DL2048" s="4"/>
      <c r="DM2048" s="4"/>
      <c r="DN2048" s="4"/>
      <c r="DO2048" s="4"/>
      <c r="DP2048" s="4"/>
      <c r="DQ2048" s="4"/>
      <c r="DR2048" s="4"/>
      <c r="DS2048" s="4"/>
    </row>
    <row r="2049">
      <c r="A2049" s="4"/>
      <c r="B2049" s="4"/>
      <c r="C2049" s="4"/>
      <c r="D2049" s="4"/>
      <c r="E2049" s="4"/>
      <c r="F2049" s="4" t="s">
        <v>17</v>
      </c>
      <c r="G2049" s="15"/>
      <c r="H2049" s="4"/>
      <c r="I2049" s="4"/>
      <c r="J2049" s="4"/>
      <c r="K2049" s="4"/>
      <c r="L2049" s="4"/>
      <c r="M2049" s="4"/>
      <c r="N2049" s="4"/>
      <c r="O2049" s="4"/>
      <c r="P2049" s="4"/>
      <c r="Q2049" s="4"/>
      <c r="R2049" s="4"/>
      <c r="S2049" s="4"/>
      <c r="T2049" s="4"/>
      <c r="U2049" s="4"/>
      <c r="V2049" s="4"/>
      <c r="W2049" s="4"/>
      <c r="X2049" s="4"/>
      <c r="Y2049" s="4"/>
      <c r="Z2049" s="4"/>
      <c r="AA2049" s="4"/>
      <c r="AB2049" s="4"/>
      <c r="AC2049" s="4"/>
      <c r="AD2049" s="4"/>
      <c r="AE2049" s="4"/>
      <c r="AF2049" s="4"/>
      <c r="AG2049" s="4"/>
      <c r="AH2049" s="4"/>
      <c r="AI2049" s="4"/>
      <c r="AJ2049" s="4"/>
      <c r="AK2049" s="4"/>
      <c r="AL2049" s="4"/>
      <c r="AM2049" s="4"/>
      <c r="AN2049" s="4"/>
      <c r="AO2049" s="4"/>
      <c r="AP2049" s="4"/>
      <c r="AQ2049" s="4"/>
      <c r="AR2049" s="4"/>
      <c r="AS2049" s="4"/>
      <c r="AT2049" s="4"/>
      <c r="AU2049" s="4"/>
      <c r="AV2049" s="4"/>
      <c r="AW2049" s="4"/>
      <c r="AX2049" s="4"/>
      <c r="AY2049" s="4"/>
      <c r="AZ2049" s="4"/>
      <c r="BA2049" s="4"/>
      <c r="BB2049" s="4"/>
      <c r="BC2049" s="4"/>
      <c r="BD2049" s="4"/>
      <c r="BE2049" s="4"/>
      <c r="BF2049" s="4"/>
      <c r="BG2049" s="4"/>
      <c r="BH2049" s="4"/>
      <c r="BI2049" s="4"/>
      <c r="BJ2049" s="4"/>
      <c r="BK2049" s="4"/>
      <c r="BL2049" s="4"/>
      <c r="BM2049" s="4"/>
      <c r="BN2049" s="4"/>
      <c r="BO2049" s="4"/>
      <c r="BP2049" s="4"/>
      <c r="BQ2049" s="4"/>
      <c r="BR2049" s="4"/>
      <c r="BS2049" s="4"/>
      <c r="BT2049" s="4"/>
      <c r="BU2049" s="4"/>
      <c r="BV2049" s="4"/>
      <c r="BW2049" s="4"/>
      <c r="BX2049" s="4"/>
      <c r="BY2049" s="4"/>
      <c r="BZ2049" s="4"/>
      <c r="CA2049" s="4"/>
      <c r="CB2049" s="4"/>
      <c r="CC2049" s="4"/>
      <c r="CD2049" s="4"/>
      <c r="CE2049" s="4"/>
      <c r="CF2049" s="4"/>
      <c r="CG2049" s="4"/>
      <c r="CH2049" s="4"/>
      <c r="CI2049" s="4"/>
      <c r="CJ2049" s="4"/>
      <c r="CK2049" s="4"/>
      <c r="CL2049" s="4"/>
      <c r="CM2049" s="4"/>
      <c r="CN2049" s="4"/>
      <c r="CO2049" s="4"/>
      <c r="CP2049" s="4"/>
      <c r="CQ2049" s="4"/>
      <c r="CR2049" s="4"/>
      <c r="CS2049" s="4"/>
      <c r="CT2049" s="4"/>
      <c r="CU2049" s="4"/>
      <c r="CV2049" s="4"/>
      <c r="CW2049" s="4"/>
      <c r="CX2049" s="4"/>
      <c r="CY2049" s="4"/>
      <c r="CZ2049" s="4"/>
      <c r="DA2049" s="4"/>
      <c r="DB2049" s="4"/>
      <c r="DC2049" s="4"/>
      <c r="DD2049" s="4"/>
      <c r="DE2049" s="4"/>
      <c r="DF2049" s="4"/>
      <c r="DG2049" s="4"/>
      <c r="DH2049" s="4"/>
      <c r="DI2049" s="4"/>
      <c r="DJ2049" s="4"/>
      <c r="DK2049" s="4"/>
      <c r="DL2049" s="4"/>
      <c r="DM2049" s="4"/>
      <c r="DN2049" s="4"/>
      <c r="DO2049" s="4"/>
      <c r="DP2049" s="4"/>
      <c r="DQ2049" s="4"/>
      <c r="DR2049" s="4"/>
      <c r="DS2049" s="4"/>
    </row>
    <row r="2050">
      <c r="A2050" s="4"/>
      <c r="B2050" s="4"/>
      <c r="C2050" s="4"/>
      <c r="D2050" s="4"/>
      <c r="E2050" s="4"/>
      <c r="F2050" s="4" t="s">
        <v>17</v>
      </c>
      <c r="G2050" s="15"/>
      <c r="H2050" s="4"/>
      <c r="I2050" s="4"/>
      <c r="J2050" s="4"/>
      <c r="K2050" s="4"/>
      <c r="L2050" s="4"/>
      <c r="M2050" s="4"/>
      <c r="N2050" s="4"/>
      <c r="O2050" s="4"/>
      <c r="P2050" s="4"/>
      <c r="Q2050" s="4"/>
      <c r="R2050" s="4"/>
      <c r="S2050" s="4"/>
      <c r="T2050" s="4"/>
      <c r="U2050" s="4"/>
      <c r="V2050" s="4"/>
      <c r="W2050" s="4"/>
      <c r="X2050" s="4"/>
      <c r="Y2050" s="4"/>
      <c r="Z2050" s="4"/>
      <c r="AA2050" s="4"/>
      <c r="AB2050" s="4"/>
      <c r="AC2050" s="4"/>
      <c r="AD2050" s="4"/>
      <c r="AE2050" s="4"/>
      <c r="AF2050" s="4"/>
      <c r="AG2050" s="4"/>
      <c r="AH2050" s="4"/>
      <c r="AI2050" s="4"/>
      <c r="AJ2050" s="4"/>
      <c r="AK2050" s="4"/>
      <c r="AL2050" s="4"/>
      <c r="AM2050" s="4"/>
      <c r="AN2050" s="4"/>
      <c r="AO2050" s="4"/>
      <c r="AP2050" s="4"/>
      <c r="AQ2050" s="4"/>
      <c r="AR2050" s="4"/>
      <c r="AS2050" s="4"/>
      <c r="AT2050" s="4"/>
      <c r="AU2050" s="4"/>
      <c r="AV2050" s="4"/>
      <c r="AW2050" s="4"/>
      <c r="AX2050" s="4"/>
      <c r="AY2050" s="4"/>
      <c r="AZ2050" s="4"/>
      <c r="BA2050" s="4"/>
      <c r="BB2050" s="4"/>
      <c r="BC2050" s="4"/>
      <c r="BD2050" s="4"/>
      <c r="BE2050" s="4"/>
      <c r="BF2050" s="4"/>
      <c r="BG2050" s="4"/>
      <c r="BH2050" s="4"/>
      <c r="BI2050" s="4"/>
      <c r="BJ2050" s="4"/>
      <c r="BK2050" s="4"/>
      <c r="BL2050" s="4"/>
      <c r="BM2050" s="4"/>
      <c r="BN2050" s="4"/>
      <c r="BO2050" s="4"/>
      <c r="BP2050" s="4"/>
      <c r="BQ2050" s="4"/>
      <c r="BR2050" s="4"/>
      <c r="BS2050" s="4"/>
      <c r="BT2050" s="4"/>
      <c r="BU2050" s="4"/>
      <c r="BV2050" s="4"/>
      <c r="BW2050" s="4"/>
      <c r="BX2050" s="4"/>
      <c r="BY2050" s="4"/>
      <c r="BZ2050" s="4"/>
      <c r="CA2050" s="4"/>
      <c r="CB2050" s="4"/>
      <c r="CC2050" s="4"/>
      <c r="CD2050" s="4"/>
      <c r="CE2050" s="4"/>
      <c r="CF2050" s="4"/>
      <c r="CG2050" s="4"/>
      <c r="CH2050" s="4"/>
      <c r="CI2050" s="4"/>
      <c r="CJ2050" s="4"/>
      <c r="CK2050" s="4"/>
      <c r="CL2050" s="4"/>
      <c r="CM2050" s="4"/>
      <c r="CN2050" s="4"/>
      <c r="CO2050" s="4"/>
      <c r="CP2050" s="4"/>
      <c r="CQ2050" s="4"/>
      <c r="CR2050" s="4"/>
      <c r="CS2050" s="4"/>
      <c r="CT2050" s="4"/>
      <c r="CU2050" s="4"/>
      <c r="CV2050" s="4"/>
      <c r="CW2050" s="4"/>
      <c r="CX2050" s="4"/>
      <c r="CY2050" s="4"/>
      <c r="CZ2050" s="4"/>
      <c r="DA2050" s="4"/>
      <c r="DB2050" s="4"/>
      <c r="DC2050" s="4"/>
      <c r="DD2050" s="4"/>
      <c r="DE2050" s="4"/>
      <c r="DF2050" s="4"/>
      <c r="DG2050" s="4"/>
      <c r="DH2050" s="4"/>
      <c r="DI2050" s="4"/>
      <c r="DJ2050" s="4"/>
      <c r="DK2050" s="4"/>
      <c r="DL2050" s="4"/>
      <c r="DM2050" s="4"/>
      <c r="DN2050" s="4"/>
      <c r="DO2050" s="4"/>
      <c r="DP2050" s="4"/>
      <c r="DQ2050" s="4"/>
      <c r="DR2050" s="4"/>
      <c r="DS2050" s="4"/>
    </row>
    <row r="2051">
      <c r="A2051" s="4"/>
      <c r="B2051" s="4"/>
      <c r="C2051" s="4"/>
      <c r="D2051" s="4"/>
      <c r="E2051" s="4"/>
      <c r="F2051" s="4" t="s">
        <v>17</v>
      </c>
      <c r="G2051" s="15"/>
      <c r="H2051" s="4"/>
      <c r="I2051" s="4"/>
      <c r="J2051" s="4"/>
      <c r="K2051" s="4"/>
      <c r="L2051" s="4"/>
      <c r="M2051" s="4"/>
      <c r="N2051" s="4"/>
      <c r="O2051" s="4"/>
      <c r="P2051" s="4"/>
      <c r="Q2051" s="4"/>
      <c r="R2051" s="4"/>
      <c r="S2051" s="4"/>
      <c r="T2051" s="4"/>
      <c r="U2051" s="4"/>
      <c r="V2051" s="4"/>
      <c r="W2051" s="4"/>
      <c r="X2051" s="4"/>
      <c r="Y2051" s="4"/>
      <c r="Z2051" s="4"/>
      <c r="AA2051" s="4"/>
      <c r="AB2051" s="4"/>
      <c r="AC2051" s="4"/>
      <c r="AD2051" s="4"/>
      <c r="AE2051" s="4"/>
      <c r="AF2051" s="4"/>
      <c r="AG2051" s="4"/>
      <c r="AH2051" s="4"/>
      <c r="AI2051" s="4"/>
      <c r="AJ2051" s="4"/>
      <c r="AK2051" s="4"/>
      <c r="AL2051" s="4"/>
      <c r="AM2051" s="4"/>
      <c r="AN2051" s="4"/>
      <c r="AO2051" s="4"/>
      <c r="AP2051" s="4"/>
      <c r="AQ2051" s="4"/>
      <c r="AR2051" s="4"/>
      <c r="AS2051" s="4"/>
      <c r="AT2051" s="4"/>
      <c r="AU2051" s="4"/>
      <c r="AV2051" s="4"/>
      <c r="AW2051" s="4"/>
      <c r="AX2051" s="4"/>
      <c r="AY2051" s="4"/>
      <c r="AZ2051" s="4"/>
      <c r="BA2051" s="4"/>
      <c r="BB2051" s="4"/>
      <c r="BC2051" s="4"/>
      <c r="BD2051" s="4"/>
      <c r="BE2051" s="4"/>
      <c r="BF2051" s="4"/>
      <c r="BG2051" s="4"/>
      <c r="BH2051" s="4"/>
      <c r="BI2051" s="4"/>
      <c r="BJ2051" s="4"/>
      <c r="BK2051" s="4"/>
      <c r="BL2051" s="4"/>
      <c r="BM2051" s="4"/>
      <c r="BN2051" s="4"/>
      <c r="BO2051" s="4"/>
      <c r="BP2051" s="4"/>
      <c r="BQ2051" s="4"/>
      <c r="BR2051" s="4"/>
      <c r="BS2051" s="4"/>
      <c r="BT2051" s="4"/>
      <c r="BU2051" s="4"/>
      <c r="BV2051" s="4"/>
      <c r="BW2051" s="4"/>
      <c r="BX2051" s="4"/>
      <c r="BY2051" s="4"/>
      <c r="BZ2051" s="4"/>
      <c r="CA2051" s="4"/>
      <c r="CB2051" s="4"/>
      <c r="CC2051" s="4"/>
      <c r="CD2051" s="4"/>
      <c r="CE2051" s="4"/>
      <c r="CF2051" s="4"/>
      <c r="CG2051" s="4"/>
      <c r="CH2051" s="4"/>
      <c r="CI2051" s="4"/>
      <c r="CJ2051" s="4"/>
      <c r="CK2051" s="4"/>
      <c r="CL2051" s="4"/>
      <c r="CM2051" s="4"/>
      <c r="CN2051" s="4"/>
      <c r="CO2051" s="4"/>
      <c r="CP2051" s="4"/>
      <c r="CQ2051" s="4"/>
      <c r="CR2051" s="4"/>
      <c r="CS2051" s="4"/>
      <c r="CT2051" s="4"/>
      <c r="CU2051" s="4"/>
      <c r="CV2051" s="4"/>
      <c r="CW2051" s="4"/>
      <c r="CX2051" s="4"/>
      <c r="CY2051" s="4"/>
      <c r="CZ2051" s="4"/>
      <c r="DA2051" s="4"/>
      <c r="DB2051" s="4"/>
      <c r="DC2051" s="4"/>
      <c r="DD2051" s="4"/>
      <c r="DE2051" s="4"/>
      <c r="DF2051" s="4"/>
      <c r="DG2051" s="4"/>
      <c r="DH2051" s="4"/>
      <c r="DI2051" s="4"/>
      <c r="DJ2051" s="4"/>
      <c r="DK2051" s="4"/>
      <c r="DL2051" s="4"/>
      <c r="DM2051" s="4"/>
      <c r="DN2051" s="4"/>
      <c r="DO2051" s="4"/>
      <c r="DP2051" s="4"/>
      <c r="DQ2051" s="4"/>
      <c r="DR2051" s="4"/>
      <c r="DS2051" s="4"/>
    </row>
    <row r="2052">
      <c r="A2052" s="4"/>
      <c r="B2052" s="4"/>
      <c r="C2052" s="4"/>
      <c r="D2052" s="4"/>
      <c r="E2052" s="4"/>
      <c r="F2052" s="4" t="s">
        <v>17</v>
      </c>
      <c r="G2052" s="15"/>
      <c r="H2052" s="4"/>
      <c r="I2052" s="4"/>
      <c r="J2052" s="4"/>
      <c r="K2052" s="4"/>
      <c r="L2052" s="4"/>
      <c r="M2052" s="4"/>
      <c r="N2052" s="4"/>
      <c r="O2052" s="4"/>
      <c r="P2052" s="4"/>
      <c r="Q2052" s="4"/>
      <c r="R2052" s="4"/>
      <c r="S2052" s="4"/>
      <c r="T2052" s="4"/>
      <c r="U2052" s="4"/>
      <c r="V2052" s="4"/>
      <c r="W2052" s="4"/>
      <c r="X2052" s="4"/>
      <c r="Y2052" s="4"/>
      <c r="Z2052" s="4"/>
      <c r="AA2052" s="4"/>
      <c r="AB2052" s="4"/>
      <c r="AC2052" s="4"/>
      <c r="AD2052" s="4"/>
      <c r="AE2052" s="4"/>
      <c r="AF2052" s="4"/>
      <c r="AG2052" s="4"/>
      <c r="AH2052" s="4"/>
      <c r="AI2052" s="4"/>
      <c r="AJ2052" s="4"/>
      <c r="AK2052" s="4"/>
      <c r="AL2052" s="4"/>
      <c r="AM2052" s="4"/>
      <c r="AN2052" s="4"/>
      <c r="AO2052" s="4"/>
      <c r="AP2052" s="4"/>
      <c r="AQ2052" s="4"/>
      <c r="AR2052" s="4"/>
      <c r="AS2052" s="4"/>
      <c r="AT2052" s="4"/>
      <c r="AU2052" s="4"/>
      <c r="AV2052" s="4"/>
      <c r="AW2052" s="4"/>
      <c r="AX2052" s="4"/>
      <c r="AY2052" s="4"/>
      <c r="AZ2052" s="4"/>
      <c r="BA2052" s="4"/>
      <c r="BB2052" s="4"/>
      <c r="BC2052" s="4"/>
      <c r="BD2052" s="4"/>
      <c r="BE2052" s="4"/>
      <c r="BF2052" s="4"/>
      <c r="BG2052" s="4"/>
      <c r="BH2052" s="4"/>
      <c r="BI2052" s="4"/>
      <c r="BJ2052" s="4"/>
      <c r="BK2052" s="4"/>
      <c r="BL2052" s="4"/>
      <c r="BM2052" s="4"/>
      <c r="BN2052" s="4"/>
      <c r="BO2052" s="4"/>
      <c r="BP2052" s="4"/>
      <c r="BQ2052" s="4"/>
      <c r="BR2052" s="4"/>
      <c r="BS2052" s="4"/>
      <c r="BT2052" s="4"/>
      <c r="BU2052" s="4"/>
      <c r="BV2052" s="4"/>
      <c r="BW2052" s="4"/>
      <c r="BX2052" s="4"/>
      <c r="BY2052" s="4"/>
      <c r="BZ2052" s="4"/>
      <c r="CA2052" s="4"/>
      <c r="CB2052" s="4"/>
      <c r="CC2052" s="4"/>
      <c r="CD2052" s="4"/>
      <c r="CE2052" s="4"/>
      <c r="CF2052" s="4"/>
      <c r="CG2052" s="4"/>
      <c r="CH2052" s="4"/>
      <c r="CI2052" s="4"/>
      <c r="CJ2052" s="4"/>
      <c r="CK2052" s="4"/>
      <c r="CL2052" s="4"/>
      <c r="CM2052" s="4"/>
      <c r="CN2052" s="4"/>
      <c r="CO2052" s="4"/>
      <c r="CP2052" s="4"/>
      <c r="CQ2052" s="4"/>
      <c r="CR2052" s="4"/>
      <c r="CS2052" s="4"/>
      <c r="CT2052" s="4"/>
      <c r="CU2052" s="4"/>
      <c r="CV2052" s="4"/>
      <c r="CW2052" s="4"/>
      <c r="CX2052" s="4"/>
      <c r="CY2052" s="4"/>
      <c r="CZ2052" s="4"/>
      <c r="DA2052" s="4"/>
      <c r="DB2052" s="4"/>
      <c r="DC2052" s="4"/>
      <c r="DD2052" s="4"/>
      <c r="DE2052" s="4"/>
      <c r="DF2052" s="4"/>
      <c r="DG2052" s="4"/>
      <c r="DH2052" s="4"/>
      <c r="DI2052" s="4"/>
      <c r="DJ2052" s="4"/>
      <c r="DK2052" s="4"/>
      <c r="DL2052" s="4"/>
      <c r="DM2052" s="4"/>
      <c r="DN2052" s="4"/>
      <c r="DO2052" s="4"/>
      <c r="DP2052" s="4"/>
      <c r="DQ2052" s="4"/>
      <c r="DR2052" s="4"/>
      <c r="DS2052" s="4"/>
    </row>
    <row r="2053">
      <c r="A2053" s="4"/>
      <c r="B2053" s="4"/>
      <c r="C2053" s="4"/>
      <c r="D2053" s="4"/>
      <c r="E2053" s="4"/>
      <c r="F2053" s="4" t="s">
        <v>17</v>
      </c>
      <c r="G2053" s="15"/>
      <c r="H2053" s="4"/>
      <c r="I2053" s="4"/>
      <c r="J2053" s="4"/>
      <c r="K2053" s="4"/>
      <c r="L2053" s="4"/>
      <c r="M2053" s="4"/>
      <c r="N2053" s="4"/>
      <c r="O2053" s="4"/>
      <c r="P2053" s="4"/>
      <c r="Q2053" s="4"/>
      <c r="R2053" s="4"/>
      <c r="S2053" s="4"/>
      <c r="T2053" s="4"/>
      <c r="U2053" s="4"/>
      <c r="V2053" s="4"/>
      <c r="W2053" s="4"/>
      <c r="X2053" s="4"/>
      <c r="Y2053" s="4"/>
      <c r="Z2053" s="4"/>
      <c r="AA2053" s="4"/>
      <c r="AB2053" s="4"/>
      <c r="AC2053" s="4"/>
      <c r="AD2053" s="4"/>
      <c r="AE2053" s="4"/>
      <c r="AF2053" s="4"/>
      <c r="AG2053" s="4"/>
      <c r="AH2053" s="4"/>
      <c r="AI2053" s="4"/>
      <c r="AJ2053" s="4"/>
      <c r="AK2053" s="4"/>
      <c r="AL2053" s="4"/>
      <c r="AM2053" s="4"/>
      <c r="AN2053" s="4"/>
      <c r="AO2053" s="4"/>
      <c r="AP2053" s="4"/>
      <c r="AQ2053" s="4"/>
      <c r="AR2053" s="4"/>
      <c r="AS2053" s="4"/>
      <c r="AT2053" s="4"/>
      <c r="AU2053" s="4"/>
      <c r="AV2053" s="4"/>
      <c r="AW2053" s="4"/>
      <c r="AX2053" s="4"/>
      <c r="AY2053" s="4"/>
      <c r="AZ2053" s="4"/>
      <c r="BA2053" s="4"/>
      <c r="BB2053" s="4"/>
      <c r="BC2053" s="4"/>
      <c r="BD2053" s="4"/>
      <c r="BE2053" s="4"/>
      <c r="BF2053" s="4"/>
      <c r="BG2053" s="4"/>
      <c r="BH2053" s="4"/>
      <c r="BI2053" s="4"/>
      <c r="BJ2053" s="4"/>
      <c r="BK2053" s="4"/>
      <c r="BL2053" s="4"/>
      <c r="BM2053" s="4"/>
      <c r="BN2053" s="4"/>
      <c r="BO2053" s="4"/>
      <c r="BP2053" s="4"/>
      <c r="BQ2053" s="4"/>
      <c r="BR2053" s="4"/>
      <c r="BS2053" s="4"/>
      <c r="BT2053" s="4"/>
      <c r="BU2053" s="4"/>
      <c r="BV2053" s="4"/>
      <c r="BW2053" s="4"/>
      <c r="BX2053" s="4"/>
      <c r="BY2053" s="4"/>
      <c r="BZ2053" s="4"/>
      <c r="CA2053" s="4"/>
      <c r="CB2053" s="4"/>
      <c r="CC2053" s="4"/>
      <c r="CD2053" s="4"/>
      <c r="CE2053" s="4"/>
      <c r="CF2053" s="4"/>
      <c r="CG2053" s="4"/>
      <c r="CH2053" s="4"/>
      <c r="CI2053" s="4"/>
      <c r="CJ2053" s="4"/>
      <c r="CK2053" s="4"/>
      <c r="CL2053" s="4"/>
      <c r="CM2053" s="4"/>
      <c r="CN2053" s="4"/>
      <c r="CO2053" s="4"/>
      <c r="CP2053" s="4"/>
      <c r="CQ2053" s="4"/>
      <c r="CR2053" s="4"/>
      <c r="CS2053" s="4"/>
      <c r="CT2053" s="4"/>
      <c r="CU2053" s="4"/>
      <c r="CV2053" s="4"/>
      <c r="CW2053" s="4"/>
      <c r="CX2053" s="4"/>
      <c r="CY2053" s="4"/>
      <c r="CZ2053" s="4"/>
      <c r="DA2053" s="4"/>
      <c r="DB2053" s="4"/>
      <c r="DC2053" s="4"/>
      <c r="DD2053" s="4"/>
      <c r="DE2053" s="4"/>
      <c r="DF2053" s="4"/>
      <c r="DG2053" s="4"/>
      <c r="DH2053" s="4"/>
      <c r="DI2053" s="4"/>
      <c r="DJ2053" s="4"/>
      <c r="DK2053" s="4"/>
      <c r="DL2053" s="4"/>
      <c r="DM2053" s="4"/>
      <c r="DN2053" s="4"/>
      <c r="DO2053" s="4"/>
      <c r="DP2053" s="4"/>
      <c r="DQ2053" s="4"/>
      <c r="DR2053" s="4"/>
      <c r="DS2053" s="4"/>
    </row>
    <row r="2054">
      <c r="A2054" s="4"/>
      <c r="B2054" s="4"/>
      <c r="C2054" s="4"/>
      <c r="D2054" s="4"/>
      <c r="E2054" s="4"/>
      <c r="F2054" s="4" t="s">
        <v>17</v>
      </c>
      <c r="G2054" s="15"/>
      <c r="H2054" s="4"/>
      <c r="I2054" s="4"/>
      <c r="J2054" s="4"/>
      <c r="K2054" s="4"/>
      <c r="L2054" s="4"/>
      <c r="M2054" s="4"/>
      <c r="N2054" s="4"/>
      <c r="O2054" s="4"/>
      <c r="P2054" s="4"/>
      <c r="Q2054" s="4"/>
      <c r="R2054" s="4"/>
      <c r="S2054" s="4"/>
      <c r="T2054" s="4"/>
      <c r="U2054" s="4"/>
      <c r="V2054" s="4"/>
      <c r="W2054" s="4"/>
      <c r="X2054" s="4"/>
      <c r="Y2054" s="4"/>
      <c r="Z2054" s="4"/>
      <c r="AA2054" s="4"/>
      <c r="AB2054" s="4"/>
      <c r="AC2054" s="4"/>
      <c r="AD2054" s="4"/>
      <c r="AE2054" s="4"/>
      <c r="AF2054" s="4"/>
      <c r="AG2054" s="4"/>
      <c r="AH2054" s="4"/>
      <c r="AI2054" s="4"/>
      <c r="AJ2054" s="4"/>
      <c r="AK2054" s="4"/>
      <c r="AL2054" s="4"/>
      <c r="AM2054" s="4"/>
      <c r="AN2054" s="4"/>
      <c r="AO2054" s="4"/>
      <c r="AP2054" s="4"/>
      <c r="AQ2054" s="4"/>
      <c r="AR2054" s="4"/>
      <c r="AS2054" s="4"/>
      <c r="AT2054" s="4"/>
      <c r="AU2054" s="4"/>
      <c r="AV2054" s="4"/>
      <c r="AW2054" s="4"/>
      <c r="AX2054" s="4"/>
      <c r="AY2054" s="4"/>
      <c r="AZ2054" s="4"/>
      <c r="BA2054" s="4"/>
      <c r="BB2054" s="4"/>
      <c r="BC2054" s="4"/>
      <c r="BD2054" s="4"/>
      <c r="BE2054" s="4"/>
      <c r="BF2054" s="4"/>
      <c r="BG2054" s="4"/>
      <c r="BH2054" s="4"/>
      <c r="BI2054" s="4"/>
      <c r="BJ2054" s="4"/>
      <c r="BK2054" s="4"/>
      <c r="BL2054" s="4"/>
      <c r="BM2054" s="4"/>
      <c r="BN2054" s="4"/>
      <c r="BO2054" s="4"/>
      <c r="BP2054" s="4"/>
      <c r="BQ2054" s="4"/>
      <c r="BR2054" s="4"/>
      <c r="BS2054" s="4"/>
      <c r="BT2054" s="4"/>
      <c r="BU2054" s="4"/>
      <c r="BV2054" s="4"/>
      <c r="BW2054" s="4"/>
      <c r="BX2054" s="4"/>
      <c r="BY2054" s="4"/>
      <c r="BZ2054" s="4"/>
      <c r="CA2054" s="4"/>
      <c r="CB2054" s="4"/>
      <c r="CC2054" s="4"/>
      <c r="CD2054" s="4"/>
      <c r="CE2054" s="4"/>
      <c r="CF2054" s="4"/>
      <c r="CG2054" s="4"/>
      <c r="CH2054" s="4"/>
      <c r="CI2054" s="4"/>
      <c r="CJ2054" s="4"/>
      <c r="CK2054" s="4"/>
      <c r="CL2054" s="4"/>
      <c r="CM2054" s="4"/>
      <c r="CN2054" s="4"/>
      <c r="CO2054" s="4"/>
      <c r="CP2054" s="4"/>
      <c r="CQ2054" s="4"/>
      <c r="CR2054" s="4"/>
      <c r="CS2054" s="4"/>
      <c r="CT2054" s="4"/>
      <c r="CU2054" s="4"/>
      <c r="CV2054" s="4"/>
      <c r="CW2054" s="4"/>
      <c r="CX2054" s="4"/>
      <c r="CY2054" s="4"/>
      <c r="CZ2054" s="4"/>
      <c r="DA2054" s="4"/>
      <c r="DB2054" s="4"/>
      <c r="DC2054" s="4"/>
      <c r="DD2054" s="4"/>
      <c r="DE2054" s="4"/>
      <c r="DF2054" s="4"/>
      <c r="DG2054" s="4"/>
      <c r="DH2054" s="4"/>
      <c r="DI2054" s="4"/>
      <c r="DJ2054" s="4"/>
      <c r="DK2054" s="4"/>
      <c r="DL2054" s="4"/>
      <c r="DM2054" s="4"/>
      <c r="DN2054" s="4"/>
      <c r="DO2054" s="4"/>
      <c r="DP2054" s="4"/>
      <c r="DQ2054" s="4"/>
      <c r="DR2054" s="4"/>
      <c r="DS2054" s="4"/>
    </row>
    <row r="2055">
      <c r="A2055" s="4"/>
      <c r="B2055" s="4"/>
      <c r="C2055" s="4"/>
      <c r="D2055" s="4"/>
      <c r="E2055" s="4"/>
      <c r="F2055" s="4" t="s">
        <v>17</v>
      </c>
      <c r="G2055" s="15"/>
      <c r="H2055" s="4"/>
      <c r="I2055" s="4"/>
      <c r="J2055" s="4"/>
      <c r="K2055" s="4"/>
      <c r="L2055" s="4"/>
      <c r="M2055" s="4"/>
      <c r="N2055" s="4"/>
      <c r="O2055" s="4"/>
      <c r="P2055" s="4"/>
      <c r="Q2055" s="4"/>
      <c r="R2055" s="4"/>
      <c r="S2055" s="4"/>
      <c r="T2055" s="4"/>
      <c r="U2055" s="4"/>
      <c r="V2055" s="4"/>
      <c r="W2055" s="4"/>
      <c r="X2055" s="4"/>
      <c r="Y2055" s="4"/>
      <c r="Z2055" s="4"/>
      <c r="AA2055" s="4"/>
      <c r="AB2055" s="4"/>
      <c r="AC2055" s="4"/>
      <c r="AD2055" s="4"/>
      <c r="AE2055" s="4"/>
      <c r="AF2055" s="4"/>
      <c r="AG2055" s="4"/>
      <c r="AH2055" s="4"/>
      <c r="AI2055" s="4"/>
      <c r="AJ2055" s="4"/>
      <c r="AK2055" s="4"/>
      <c r="AL2055" s="4"/>
      <c r="AM2055" s="4"/>
      <c r="AN2055" s="4"/>
      <c r="AO2055" s="4"/>
      <c r="AP2055" s="4"/>
      <c r="AQ2055" s="4"/>
      <c r="AR2055" s="4"/>
      <c r="AS2055" s="4"/>
      <c r="AT2055" s="4"/>
      <c r="AU2055" s="4"/>
      <c r="AV2055" s="4"/>
      <c r="AW2055" s="4"/>
      <c r="AX2055" s="4"/>
      <c r="AY2055" s="4"/>
      <c r="AZ2055" s="4"/>
      <c r="BA2055" s="4"/>
      <c r="BB2055" s="4"/>
      <c r="BC2055" s="4"/>
      <c r="BD2055" s="4"/>
      <c r="BE2055" s="4"/>
      <c r="BF2055" s="4"/>
      <c r="BG2055" s="4"/>
      <c r="BH2055" s="4"/>
      <c r="BI2055" s="4"/>
      <c r="BJ2055" s="4"/>
      <c r="BK2055" s="4"/>
      <c r="BL2055" s="4"/>
      <c r="BM2055" s="4"/>
      <c r="BN2055" s="4"/>
      <c r="BO2055" s="4"/>
      <c r="BP2055" s="4"/>
      <c r="BQ2055" s="4"/>
      <c r="BR2055" s="4"/>
      <c r="BS2055" s="4"/>
      <c r="BT2055" s="4"/>
      <c r="BU2055" s="4"/>
      <c r="BV2055" s="4"/>
      <c r="BW2055" s="4"/>
      <c r="BX2055" s="4"/>
      <c r="BY2055" s="4"/>
      <c r="BZ2055" s="4"/>
      <c r="CA2055" s="4"/>
      <c r="CB2055" s="4"/>
      <c r="CC2055" s="4"/>
      <c r="CD2055" s="4"/>
      <c r="CE2055" s="4"/>
      <c r="CF2055" s="4"/>
      <c r="CG2055" s="4"/>
      <c r="CH2055" s="4"/>
      <c r="CI2055" s="4"/>
      <c r="CJ2055" s="4"/>
      <c r="CK2055" s="4"/>
      <c r="CL2055" s="4"/>
      <c r="CM2055" s="4"/>
      <c r="CN2055" s="4"/>
      <c r="CO2055" s="4"/>
      <c r="CP2055" s="4"/>
      <c r="CQ2055" s="4"/>
      <c r="CR2055" s="4"/>
      <c r="CS2055" s="4"/>
      <c r="CT2055" s="4"/>
      <c r="CU2055" s="4"/>
      <c r="CV2055" s="4"/>
      <c r="CW2055" s="4"/>
      <c r="CX2055" s="4"/>
      <c r="CY2055" s="4"/>
      <c r="CZ2055" s="4"/>
      <c r="DA2055" s="4"/>
      <c r="DB2055" s="4"/>
      <c r="DC2055" s="4"/>
      <c r="DD2055" s="4"/>
      <c r="DE2055" s="4"/>
      <c r="DF2055" s="4"/>
      <c r="DG2055" s="4"/>
      <c r="DH2055" s="4"/>
      <c r="DI2055" s="4"/>
      <c r="DJ2055" s="4"/>
      <c r="DK2055" s="4"/>
      <c r="DL2055" s="4"/>
      <c r="DM2055" s="4"/>
      <c r="DN2055" s="4"/>
      <c r="DO2055" s="4"/>
      <c r="DP2055" s="4"/>
      <c r="DQ2055" s="4"/>
      <c r="DR2055" s="4"/>
      <c r="DS2055" s="4"/>
    </row>
    <row r="2056">
      <c r="A2056" s="4"/>
      <c r="B2056" s="4"/>
      <c r="C2056" s="4"/>
      <c r="D2056" s="4"/>
      <c r="E2056" s="4"/>
      <c r="F2056" s="4" t="s">
        <v>17</v>
      </c>
      <c r="G2056" s="15"/>
      <c r="H2056" s="4"/>
      <c r="I2056" s="4"/>
      <c r="J2056" s="4"/>
      <c r="K2056" s="4"/>
      <c r="L2056" s="4"/>
      <c r="M2056" s="4"/>
      <c r="N2056" s="4"/>
      <c r="O2056" s="4"/>
      <c r="P2056" s="4"/>
      <c r="Q2056" s="4"/>
      <c r="R2056" s="4"/>
      <c r="S2056" s="4"/>
      <c r="T2056" s="4"/>
      <c r="U2056" s="4"/>
      <c r="V2056" s="4"/>
      <c r="W2056" s="4"/>
      <c r="X2056" s="4"/>
      <c r="Y2056" s="4"/>
      <c r="Z2056" s="4"/>
      <c r="AA2056" s="4"/>
      <c r="AB2056" s="4"/>
      <c r="AC2056" s="4"/>
      <c r="AD2056" s="4"/>
      <c r="AE2056" s="4"/>
      <c r="AF2056" s="4"/>
      <c r="AG2056" s="4"/>
      <c r="AH2056" s="4"/>
      <c r="AI2056" s="4"/>
      <c r="AJ2056" s="4"/>
      <c r="AK2056" s="4"/>
      <c r="AL2056" s="4"/>
      <c r="AM2056" s="4"/>
      <c r="AN2056" s="4"/>
      <c r="AO2056" s="4"/>
      <c r="AP2056" s="4"/>
      <c r="AQ2056" s="4"/>
      <c r="AR2056" s="4"/>
      <c r="AS2056" s="4"/>
      <c r="AT2056" s="4"/>
      <c r="AU2056" s="4"/>
      <c r="AV2056" s="4"/>
      <c r="AW2056" s="4"/>
      <c r="AX2056" s="4"/>
      <c r="AY2056" s="4"/>
      <c r="AZ2056" s="4"/>
      <c r="BA2056" s="4"/>
      <c r="BB2056" s="4"/>
      <c r="BC2056" s="4"/>
      <c r="BD2056" s="4"/>
      <c r="BE2056" s="4"/>
      <c r="BF2056" s="4"/>
      <c r="BG2056" s="4"/>
      <c r="BH2056" s="4"/>
      <c r="BI2056" s="4"/>
      <c r="BJ2056" s="4"/>
      <c r="BK2056" s="4"/>
      <c r="BL2056" s="4"/>
      <c r="BM2056" s="4"/>
      <c r="BN2056" s="4"/>
      <c r="BO2056" s="4"/>
      <c r="BP2056" s="4"/>
      <c r="BQ2056" s="4"/>
      <c r="BR2056" s="4"/>
      <c r="BS2056" s="4"/>
      <c r="BT2056" s="4"/>
      <c r="BU2056" s="4"/>
      <c r="BV2056" s="4"/>
      <c r="BW2056" s="4"/>
      <c r="BX2056" s="4"/>
      <c r="BY2056" s="4"/>
      <c r="BZ2056" s="4"/>
      <c r="CA2056" s="4"/>
      <c r="CB2056" s="4"/>
      <c r="CC2056" s="4"/>
      <c r="CD2056" s="4"/>
      <c r="CE2056" s="4"/>
      <c r="CF2056" s="4"/>
      <c r="CG2056" s="4"/>
      <c r="CH2056" s="4"/>
      <c r="CI2056" s="4"/>
      <c r="CJ2056" s="4"/>
      <c r="CK2056" s="4"/>
      <c r="CL2056" s="4"/>
      <c r="CM2056" s="4"/>
      <c r="CN2056" s="4"/>
      <c r="CO2056" s="4"/>
      <c r="CP2056" s="4"/>
      <c r="CQ2056" s="4"/>
      <c r="CR2056" s="4"/>
      <c r="CS2056" s="4"/>
      <c r="CT2056" s="4"/>
      <c r="CU2056" s="4"/>
      <c r="CV2056" s="4"/>
      <c r="CW2056" s="4"/>
      <c r="CX2056" s="4"/>
      <c r="CY2056" s="4"/>
      <c r="CZ2056" s="4"/>
      <c r="DA2056" s="4"/>
      <c r="DB2056" s="4"/>
      <c r="DC2056" s="4"/>
      <c r="DD2056" s="4"/>
      <c r="DE2056" s="4"/>
      <c r="DF2056" s="4"/>
      <c r="DG2056" s="4"/>
      <c r="DH2056" s="4"/>
      <c r="DI2056" s="4"/>
      <c r="DJ2056" s="4"/>
      <c r="DK2056" s="4"/>
      <c r="DL2056" s="4"/>
      <c r="DM2056" s="4"/>
      <c r="DN2056" s="4"/>
      <c r="DO2056" s="4"/>
      <c r="DP2056" s="4"/>
      <c r="DQ2056" s="4"/>
      <c r="DR2056" s="4"/>
      <c r="DS2056" s="4"/>
    </row>
    <row r="2057">
      <c r="A2057" s="4"/>
      <c r="B2057" s="4"/>
      <c r="C2057" s="4"/>
      <c r="D2057" s="4"/>
      <c r="E2057" s="4"/>
      <c r="F2057" s="4" t="s">
        <v>17</v>
      </c>
      <c r="G2057" s="15"/>
      <c r="H2057" s="4"/>
      <c r="I2057" s="4"/>
      <c r="J2057" s="4"/>
      <c r="K2057" s="4"/>
      <c r="L2057" s="4"/>
      <c r="M2057" s="4"/>
      <c r="N2057" s="4"/>
      <c r="O2057" s="4"/>
      <c r="P2057" s="4"/>
      <c r="Q2057" s="4"/>
      <c r="R2057" s="4"/>
      <c r="S2057" s="4"/>
      <c r="T2057" s="4"/>
      <c r="U2057" s="4"/>
      <c r="V2057" s="4"/>
      <c r="W2057" s="4"/>
      <c r="X2057" s="4"/>
      <c r="Y2057" s="4"/>
      <c r="Z2057" s="4"/>
      <c r="AA2057" s="4"/>
      <c r="AB2057" s="4"/>
      <c r="AC2057" s="4"/>
      <c r="AD2057" s="4"/>
      <c r="AE2057" s="4"/>
      <c r="AF2057" s="4"/>
      <c r="AG2057" s="4"/>
      <c r="AH2057" s="4"/>
      <c r="AI2057" s="4"/>
      <c r="AJ2057" s="4"/>
      <c r="AK2057" s="4"/>
      <c r="AL2057" s="4"/>
      <c r="AM2057" s="4"/>
      <c r="AN2057" s="4"/>
      <c r="AO2057" s="4"/>
      <c r="AP2057" s="4"/>
      <c r="AQ2057" s="4"/>
      <c r="AR2057" s="4"/>
      <c r="AS2057" s="4"/>
      <c r="AT2057" s="4"/>
      <c r="AU2057" s="4"/>
      <c r="AV2057" s="4"/>
      <c r="AW2057" s="4"/>
      <c r="AX2057" s="4"/>
      <c r="AY2057" s="4"/>
      <c r="AZ2057" s="4"/>
      <c r="BA2057" s="4"/>
      <c r="BB2057" s="4"/>
      <c r="BC2057" s="4"/>
      <c r="BD2057" s="4"/>
      <c r="BE2057" s="4"/>
      <c r="BF2057" s="4"/>
      <c r="BG2057" s="4"/>
      <c r="BH2057" s="4"/>
      <c r="BI2057" s="4"/>
      <c r="BJ2057" s="4"/>
      <c r="BK2057" s="4"/>
      <c r="BL2057" s="4"/>
      <c r="BM2057" s="4"/>
      <c r="BN2057" s="4"/>
      <c r="BO2057" s="4"/>
      <c r="BP2057" s="4"/>
      <c r="BQ2057" s="4"/>
      <c r="BR2057" s="4"/>
      <c r="BS2057" s="4"/>
      <c r="BT2057" s="4"/>
      <c r="BU2057" s="4"/>
      <c r="BV2057" s="4"/>
      <c r="BW2057" s="4"/>
      <c r="BX2057" s="4"/>
      <c r="BY2057" s="4"/>
      <c r="BZ2057" s="4"/>
      <c r="CA2057" s="4"/>
      <c r="CB2057" s="4"/>
      <c r="CC2057" s="4"/>
      <c r="CD2057" s="4"/>
      <c r="CE2057" s="4"/>
      <c r="CF2057" s="4"/>
      <c r="CG2057" s="4"/>
      <c r="CH2057" s="4"/>
      <c r="CI2057" s="4"/>
      <c r="CJ2057" s="4"/>
      <c r="CK2057" s="4"/>
      <c r="CL2057" s="4"/>
      <c r="CM2057" s="4"/>
      <c r="CN2057" s="4"/>
      <c r="CO2057" s="4"/>
      <c r="CP2057" s="4"/>
      <c r="CQ2057" s="4"/>
      <c r="CR2057" s="4"/>
      <c r="CS2057" s="4"/>
      <c r="CT2057" s="4"/>
      <c r="CU2057" s="4"/>
      <c r="CV2057" s="4"/>
      <c r="CW2057" s="4"/>
      <c r="CX2057" s="4"/>
      <c r="CY2057" s="4"/>
      <c r="CZ2057" s="4"/>
      <c r="DA2057" s="4"/>
      <c r="DB2057" s="4"/>
      <c r="DC2057" s="4"/>
      <c r="DD2057" s="4"/>
      <c r="DE2057" s="4"/>
      <c r="DF2057" s="4"/>
      <c r="DG2057" s="4"/>
      <c r="DH2057" s="4"/>
      <c r="DI2057" s="4"/>
      <c r="DJ2057" s="4"/>
      <c r="DK2057" s="4"/>
      <c r="DL2057" s="4"/>
      <c r="DM2057" s="4"/>
      <c r="DN2057" s="4"/>
      <c r="DO2057" s="4"/>
      <c r="DP2057" s="4"/>
      <c r="DQ2057" s="4"/>
      <c r="DR2057" s="4"/>
      <c r="DS2057" s="4"/>
    </row>
    <row r="2058">
      <c r="A2058" s="4"/>
      <c r="B2058" s="4"/>
      <c r="C2058" s="4"/>
      <c r="D2058" s="4"/>
      <c r="E2058" s="4"/>
      <c r="F2058" s="4" t="s">
        <v>17</v>
      </c>
      <c r="G2058" s="15"/>
      <c r="H2058" s="4"/>
      <c r="I2058" s="4"/>
      <c r="J2058" s="4"/>
      <c r="K2058" s="4"/>
      <c r="L2058" s="4"/>
      <c r="M2058" s="4"/>
      <c r="N2058" s="4"/>
      <c r="O2058" s="4"/>
      <c r="P2058" s="4"/>
      <c r="Q2058" s="4"/>
      <c r="R2058" s="4"/>
      <c r="S2058" s="4"/>
      <c r="T2058" s="4"/>
      <c r="U2058" s="4"/>
      <c r="V2058" s="4"/>
      <c r="W2058" s="4"/>
      <c r="X2058" s="4"/>
      <c r="Y2058" s="4"/>
      <c r="Z2058" s="4"/>
      <c r="AA2058" s="4"/>
      <c r="AB2058" s="4"/>
      <c r="AC2058" s="4"/>
      <c r="AD2058" s="4"/>
      <c r="AE2058" s="4"/>
      <c r="AF2058" s="4"/>
      <c r="AG2058" s="4"/>
      <c r="AH2058" s="4"/>
      <c r="AI2058" s="4"/>
      <c r="AJ2058" s="4"/>
      <c r="AK2058" s="4"/>
      <c r="AL2058" s="4"/>
      <c r="AM2058" s="4"/>
      <c r="AN2058" s="4"/>
      <c r="AO2058" s="4"/>
      <c r="AP2058" s="4"/>
      <c r="AQ2058" s="4"/>
      <c r="AR2058" s="4"/>
      <c r="AS2058" s="4"/>
      <c r="AT2058" s="4"/>
      <c r="AU2058" s="4"/>
      <c r="AV2058" s="4"/>
      <c r="AW2058" s="4"/>
      <c r="AX2058" s="4"/>
      <c r="AY2058" s="4"/>
      <c r="AZ2058" s="4"/>
      <c r="BA2058" s="4"/>
      <c r="BB2058" s="4"/>
      <c r="BC2058" s="4"/>
      <c r="BD2058" s="4"/>
      <c r="BE2058" s="4"/>
      <c r="BF2058" s="4"/>
      <c r="BG2058" s="4"/>
      <c r="BH2058" s="4"/>
      <c r="BI2058" s="4"/>
      <c r="BJ2058" s="4"/>
      <c r="BK2058" s="4"/>
      <c r="BL2058" s="4"/>
      <c r="BM2058" s="4"/>
      <c r="BN2058" s="4"/>
      <c r="BO2058" s="4"/>
      <c r="BP2058" s="4"/>
      <c r="BQ2058" s="4"/>
      <c r="BR2058" s="4"/>
      <c r="BS2058" s="4"/>
      <c r="BT2058" s="4"/>
      <c r="BU2058" s="4"/>
      <c r="BV2058" s="4"/>
      <c r="BW2058" s="4"/>
      <c r="BX2058" s="4"/>
      <c r="BY2058" s="4"/>
      <c r="BZ2058" s="4"/>
      <c r="CA2058" s="4"/>
      <c r="CB2058" s="4"/>
      <c r="CC2058" s="4"/>
      <c r="CD2058" s="4"/>
      <c r="CE2058" s="4"/>
      <c r="CF2058" s="4"/>
      <c r="CG2058" s="4"/>
      <c r="CH2058" s="4"/>
      <c r="CI2058" s="4"/>
      <c r="CJ2058" s="4"/>
      <c r="CK2058" s="4"/>
      <c r="CL2058" s="4"/>
      <c r="CM2058" s="4"/>
      <c r="CN2058" s="4"/>
      <c r="CO2058" s="4"/>
      <c r="CP2058" s="4"/>
      <c r="CQ2058" s="4"/>
      <c r="CR2058" s="4"/>
      <c r="CS2058" s="4"/>
      <c r="CT2058" s="4"/>
      <c r="CU2058" s="4"/>
      <c r="CV2058" s="4"/>
      <c r="CW2058" s="4"/>
      <c r="CX2058" s="4"/>
      <c r="CY2058" s="4"/>
      <c r="CZ2058" s="4"/>
      <c r="DA2058" s="4"/>
      <c r="DB2058" s="4"/>
      <c r="DC2058" s="4"/>
      <c r="DD2058" s="4"/>
      <c r="DE2058" s="4"/>
      <c r="DF2058" s="4"/>
      <c r="DG2058" s="4"/>
      <c r="DH2058" s="4"/>
      <c r="DI2058" s="4"/>
      <c r="DJ2058" s="4"/>
      <c r="DK2058" s="4"/>
      <c r="DL2058" s="4"/>
      <c r="DM2058" s="4"/>
      <c r="DN2058" s="4"/>
      <c r="DO2058" s="4"/>
      <c r="DP2058" s="4"/>
      <c r="DQ2058" s="4"/>
      <c r="DR2058" s="4"/>
      <c r="DS2058" s="4"/>
    </row>
    <row r="2059">
      <c r="A2059" s="4"/>
      <c r="B2059" s="4"/>
      <c r="C2059" s="4"/>
      <c r="D2059" s="4"/>
      <c r="E2059" s="4"/>
      <c r="F2059" s="4" t="s">
        <v>17</v>
      </c>
      <c r="G2059" s="15"/>
      <c r="H2059" s="4"/>
      <c r="I2059" s="4"/>
      <c r="J2059" s="4"/>
      <c r="K2059" s="4"/>
      <c r="L2059" s="4"/>
      <c r="M2059" s="4"/>
      <c r="N2059" s="4"/>
      <c r="O2059" s="4"/>
      <c r="P2059" s="4"/>
      <c r="Q2059" s="4"/>
      <c r="R2059" s="4"/>
      <c r="S2059" s="4"/>
      <c r="T2059" s="4"/>
      <c r="U2059" s="4"/>
      <c r="V2059" s="4"/>
      <c r="W2059" s="4"/>
      <c r="X2059" s="4"/>
      <c r="Y2059" s="4"/>
      <c r="Z2059" s="4"/>
      <c r="AA2059" s="4"/>
      <c r="AB2059" s="4"/>
      <c r="AC2059" s="4"/>
      <c r="AD2059" s="4"/>
      <c r="AE2059" s="4"/>
      <c r="AF2059" s="4"/>
      <c r="AG2059" s="4"/>
      <c r="AH2059" s="4"/>
      <c r="AI2059" s="4"/>
      <c r="AJ2059" s="4"/>
      <c r="AK2059" s="4"/>
      <c r="AL2059" s="4"/>
      <c r="AM2059" s="4"/>
      <c r="AN2059" s="4"/>
      <c r="AO2059" s="4"/>
      <c r="AP2059" s="4"/>
      <c r="AQ2059" s="4"/>
      <c r="AR2059" s="4"/>
      <c r="AS2059" s="4"/>
      <c r="AT2059" s="4"/>
      <c r="AU2059" s="4"/>
      <c r="AV2059" s="4"/>
      <c r="AW2059" s="4"/>
      <c r="AX2059" s="4"/>
      <c r="AY2059" s="4"/>
      <c r="AZ2059" s="4"/>
      <c r="BA2059" s="4"/>
      <c r="BB2059" s="4"/>
      <c r="BC2059" s="4"/>
      <c r="BD2059" s="4"/>
      <c r="BE2059" s="4"/>
      <c r="BF2059" s="4"/>
      <c r="BG2059" s="4"/>
      <c r="BH2059" s="4"/>
      <c r="BI2059" s="4"/>
      <c r="BJ2059" s="4"/>
      <c r="BK2059" s="4"/>
      <c r="BL2059" s="4"/>
      <c r="BM2059" s="4"/>
      <c r="BN2059" s="4"/>
      <c r="BO2059" s="4"/>
      <c r="BP2059" s="4"/>
      <c r="BQ2059" s="4"/>
      <c r="BR2059" s="4"/>
      <c r="BS2059" s="4"/>
      <c r="BT2059" s="4"/>
      <c r="BU2059" s="4"/>
      <c r="BV2059" s="4"/>
      <c r="BW2059" s="4"/>
      <c r="BX2059" s="4"/>
      <c r="BY2059" s="4"/>
      <c r="BZ2059" s="4"/>
      <c r="CA2059" s="4"/>
      <c r="CB2059" s="4"/>
      <c r="CC2059" s="4"/>
      <c r="CD2059" s="4"/>
      <c r="CE2059" s="4"/>
      <c r="CF2059" s="4"/>
      <c r="CG2059" s="4"/>
      <c r="CH2059" s="4"/>
      <c r="CI2059" s="4"/>
      <c r="CJ2059" s="4"/>
      <c r="CK2059" s="4"/>
      <c r="CL2059" s="4"/>
      <c r="CM2059" s="4"/>
      <c r="CN2059" s="4"/>
      <c r="CO2059" s="4"/>
      <c r="CP2059" s="4"/>
      <c r="CQ2059" s="4"/>
      <c r="CR2059" s="4"/>
      <c r="CS2059" s="4"/>
      <c r="CT2059" s="4"/>
      <c r="CU2059" s="4"/>
      <c r="CV2059" s="4"/>
      <c r="CW2059" s="4"/>
      <c r="CX2059" s="4"/>
      <c r="CY2059" s="4"/>
      <c r="CZ2059" s="4"/>
      <c r="DA2059" s="4"/>
      <c r="DB2059" s="4"/>
      <c r="DC2059" s="4"/>
      <c r="DD2059" s="4"/>
      <c r="DE2059" s="4"/>
      <c r="DF2059" s="4"/>
      <c r="DG2059" s="4"/>
      <c r="DH2059" s="4"/>
      <c r="DI2059" s="4"/>
      <c r="DJ2059" s="4"/>
      <c r="DK2059" s="4"/>
      <c r="DL2059" s="4"/>
      <c r="DM2059" s="4"/>
      <c r="DN2059" s="4"/>
      <c r="DO2059" s="4"/>
      <c r="DP2059" s="4"/>
      <c r="DQ2059" s="4"/>
      <c r="DR2059" s="4"/>
      <c r="DS2059" s="4"/>
    </row>
    <row r="2060">
      <c r="A2060" s="4"/>
      <c r="B2060" s="4"/>
      <c r="C2060" s="4"/>
      <c r="D2060" s="4"/>
      <c r="E2060" s="4"/>
      <c r="F2060" s="4" t="s">
        <v>17</v>
      </c>
      <c r="G2060" s="15"/>
      <c r="H2060" s="4"/>
      <c r="I2060" s="4"/>
      <c r="J2060" s="4"/>
      <c r="K2060" s="4"/>
      <c r="L2060" s="4"/>
      <c r="M2060" s="4"/>
      <c r="N2060" s="4"/>
      <c r="O2060" s="4"/>
      <c r="P2060" s="4"/>
      <c r="Q2060" s="4"/>
      <c r="R2060" s="4"/>
      <c r="S2060" s="4"/>
      <c r="T2060" s="4"/>
      <c r="U2060" s="4"/>
      <c r="V2060" s="4"/>
      <c r="W2060" s="4"/>
      <c r="X2060" s="4"/>
      <c r="Y2060" s="4"/>
      <c r="Z2060" s="4"/>
      <c r="AA2060" s="4"/>
      <c r="AB2060" s="4"/>
      <c r="AC2060" s="4"/>
      <c r="AD2060" s="4"/>
      <c r="AE2060" s="4"/>
      <c r="AF2060" s="4"/>
      <c r="AG2060" s="4"/>
      <c r="AH2060" s="4"/>
      <c r="AI2060" s="4"/>
      <c r="AJ2060" s="4"/>
      <c r="AK2060" s="4"/>
      <c r="AL2060" s="4"/>
      <c r="AM2060" s="4"/>
      <c r="AN2060" s="4"/>
      <c r="AO2060" s="4"/>
      <c r="AP2060" s="4"/>
      <c r="AQ2060" s="4"/>
      <c r="AR2060" s="4"/>
      <c r="AS2060" s="4"/>
      <c r="AT2060" s="4"/>
      <c r="AU2060" s="4"/>
      <c r="AV2060" s="4"/>
      <c r="AW2060" s="4"/>
      <c r="AX2060" s="4"/>
      <c r="AY2060" s="4"/>
      <c r="AZ2060" s="4"/>
      <c r="BA2060" s="4"/>
      <c r="BB2060" s="4"/>
      <c r="BC2060" s="4"/>
      <c r="BD2060" s="4"/>
      <c r="BE2060" s="4"/>
      <c r="BF2060" s="4"/>
      <c r="BG2060" s="4"/>
      <c r="BH2060" s="4"/>
      <c r="BI2060" s="4"/>
      <c r="BJ2060" s="4"/>
      <c r="BK2060" s="4"/>
      <c r="BL2060" s="4"/>
      <c r="BM2060" s="4"/>
      <c r="BN2060" s="4"/>
      <c r="BO2060" s="4"/>
      <c r="BP2060" s="4"/>
      <c r="BQ2060" s="4"/>
      <c r="BR2060" s="4"/>
      <c r="BS2060" s="4"/>
      <c r="BT2060" s="4"/>
      <c r="BU2060" s="4"/>
      <c r="BV2060" s="4"/>
      <c r="BW2060" s="4"/>
      <c r="BX2060" s="4"/>
      <c r="BY2060" s="4"/>
      <c r="BZ2060" s="4"/>
      <c r="CA2060" s="4"/>
      <c r="CB2060" s="4"/>
      <c r="CC2060" s="4"/>
      <c r="CD2060" s="4"/>
      <c r="CE2060" s="4"/>
      <c r="CF2060" s="4"/>
      <c r="CG2060" s="4"/>
      <c r="CH2060" s="4"/>
      <c r="CI2060" s="4"/>
      <c r="CJ2060" s="4"/>
      <c r="CK2060" s="4"/>
      <c r="CL2060" s="4"/>
      <c r="CM2060" s="4"/>
      <c r="CN2060" s="4"/>
      <c r="CO2060" s="4"/>
      <c r="CP2060" s="4"/>
      <c r="CQ2060" s="4"/>
      <c r="CR2060" s="4"/>
      <c r="CS2060" s="4"/>
      <c r="CT2060" s="4"/>
      <c r="CU2060" s="4"/>
      <c r="CV2060" s="4"/>
      <c r="CW2060" s="4"/>
      <c r="CX2060" s="4"/>
      <c r="CY2060" s="4"/>
      <c r="CZ2060" s="4"/>
      <c r="DA2060" s="4"/>
      <c r="DB2060" s="4"/>
      <c r="DC2060" s="4"/>
      <c r="DD2060" s="4"/>
      <c r="DE2060" s="4"/>
      <c r="DF2060" s="4"/>
      <c r="DG2060" s="4"/>
      <c r="DH2060" s="4"/>
      <c r="DI2060" s="4"/>
      <c r="DJ2060" s="4"/>
      <c r="DK2060" s="4"/>
      <c r="DL2060" s="4"/>
      <c r="DM2060" s="4"/>
      <c r="DN2060" s="4"/>
      <c r="DO2060" s="4"/>
      <c r="DP2060" s="4"/>
      <c r="DQ2060" s="4"/>
      <c r="DR2060" s="4"/>
      <c r="DS2060" s="4"/>
    </row>
    <row r="2061">
      <c r="A2061" s="4"/>
      <c r="B2061" s="4"/>
      <c r="C2061" s="4"/>
      <c r="D2061" s="4"/>
      <c r="E2061" s="4"/>
      <c r="F2061" s="4" t="s">
        <v>17</v>
      </c>
      <c r="G2061" s="15"/>
      <c r="H2061" s="4"/>
      <c r="I2061" s="4"/>
      <c r="J2061" s="4"/>
      <c r="K2061" s="4"/>
      <c r="L2061" s="4"/>
      <c r="M2061" s="4"/>
      <c r="N2061" s="4"/>
      <c r="O2061" s="4"/>
      <c r="P2061" s="4"/>
      <c r="Q2061" s="4"/>
      <c r="R2061" s="4"/>
      <c r="S2061" s="4"/>
      <c r="T2061" s="4"/>
      <c r="U2061" s="4"/>
      <c r="V2061" s="4"/>
      <c r="W2061" s="4"/>
      <c r="X2061" s="4"/>
      <c r="Y2061" s="4"/>
      <c r="Z2061" s="4"/>
      <c r="AA2061" s="4"/>
      <c r="AB2061" s="4"/>
      <c r="AC2061" s="4"/>
      <c r="AD2061" s="4"/>
      <c r="AE2061" s="4"/>
      <c r="AF2061" s="4"/>
      <c r="AG2061" s="4"/>
      <c r="AH2061" s="4"/>
      <c r="AI2061" s="4"/>
      <c r="AJ2061" s="4"/>
      <c r="AK2061" s="4"/>
      <c r="AL2061" s="4"/>
      <c r="AM2061" s="4"/>
      <c r="AN2061" s="4"/>
      <c r="AO2061" s="4"/>
      <c r="AP2061" s="4"/>
      <c r="AQ2061" s="4"/>
      <c r="AR2061" s="4"/>
      <c r="AS2061" s="4"/>
      <c r="AT2061" s="4"/>
      <c r="AU2061" s="4"/>
      <c r="AV2061" s="4"/>
      <c r="AW2061" s="4"/>
      <c r="AX2061" s="4"/>
      <c r="AY2061" s="4"/>
      <c r="AZ2061" s="4"/>
      <c r="BA2061" s="4"/>
      <c r="BB2061" s="4"/>
      <c r="BC2061" s="4"/>
      <c r="BD2061" s="4"/>
      <c r="BE2061" s="4"/>
      <c r="BF2061" s="4"/>
      <c r="BG2061" s="4"/>
      <c r="BH2061" s="4"/>
      <c r="BI2061" s="4"/>
      <c r="BJ2061" s="4"/>
      <c r="BK2061" s="4"/>
      <c r="BL2061" s="4"/>
      <c r="BM2061" s="4"/>
      <c r="BN2061" s="4"/>
      <c r="BO2061" s="4"/>
      <c r="BP2061" s="4"/>
      <c r="BQ2061" s="4"/>
      <c r="BR2061" s="4"/>
      <c r="BS2061" s="4"/>
      <c r="BT2061" s="4"/>
      <c r="BU2061" s="4"/>
      <c r="BV2061" s="4"/>
      <c r="BW2061" s="4"/>
      <c r="BX2061" s="4"/>
      <c r="BY2061" s="4"/>
      <c r="BZ2061" s="4"/>
      <c r="CA2061" s="4"/>
      <c r="CB2061" s="4"/>
      <c r="CC2061" s="4"/>
      <c r="CD2061" s="4"/>
      <c r="CE2061" s="4"/>
      <c r="CF2061" s="4"/>
      <c r="CG2061" s="4"/>
      <c r="CH2061" s="4"/>
      <c r="CI2061" s="4"/>
      <c r="CJ2061" s="4"/>
      <c r="CK2061" s="4"/>
      <c r="CL2061" s="4"/>
      <c r="CM2061" s="4"/>
      <c r="CN2061" s="4"/>
      <c r="CO2061" s="4"/>
      <c r="CP2061" s="4"/>
      <c r="CQ2061" s="4"/>
      <c r="CR2061" s="4"/>
      <c r="CS2061" s="4"/>
      <c r="CT2061" s="4"/>
      <c r="CU2061" s="4"/>
      <c r="CV2061" s="4"/>
      <c r="CW2061" s="4"/>
      <c r="CX2061" s="4"/>
      <c r="CY2061" s="4"/>
      <c r="CZ2061" s="4"/>
      <c r="DA2061" s="4"/>
      <c r="DB2061" s="4"/>
      <c r="DC2061" s="4"/>
      <c r="DD2061" s="4"/>
      <c r="DE2061" s="4"/>
      <c r="DF2061" s="4"/>
      <c r="DG2061" s="4"/>
      <c r="DH2061" s="4"/>
      <c r="DI2061" s="4"/>
      <c r="DJ2061" s="4"/>
      <c r="DK2061" s="4"/>
      <c r="DL2061" s="4"/>
      <c r="DM2061" s="4"/>
      <c r="DN2061" s="4"/>
      <c r="DO2061" s="4"/>
      <c r="DP2061" s="4"/>
      <c r="DQ2061" s="4"/>
      <c r="DR2061" s="4"/>
      <c r="DS2061" s="4"/>
    </row>
    <row r="2062">
      <c r="A2062" s="4"/>
      <c r="B2062" s="4"/>
      <c r="C2062" s="4"/>
      <c r="D2062" s="4"/>
      <c r="E2062" s="4"/>
      <c r="F2062" s="4" t="s">
        <v>17</v>
      </c>
      <c r="G2062" s="15"/>
      <c r="H2062" s="4"/>
      <c r="I2062" s="4"/>
      <c r="J2062" s="4"/>
      <c r="K2062" s="4"/>
      <c r="L2062" s="4"/>
      <c r="M2062" s="4"/>
      <c r="N2062" s="4"/>
      <c r="O2062" s="4"/>
      <c r="P2062" s="4"/>
      <c r="Q2062" s="4"/>
      <c r="R2062" s="4"/>
      <c r="S2062" s="4"/>
      <c r="T2062" s="4"/>
      <c r="U2062" s="4"/>
      <c r="V2062" s="4"/>
      <c r="W2062" s="4"/>
      <c r="X2062" s="4"/>
      <c r="Y2062" s="4"/>
      <c r="Z2062" s="4"/>
      <c r="AA2062" s="4"/>
      <c r="AB2062" s="4"/>
      <c r="AC2062" s="4"/>
      <c r="AD2062" s="4"/>
      <c r="AE2062" s="4"/>
      <c r="AF2062" s="4"/>
      <c r="AG2062" s="4"/>
      <c r="AH2062" s="4"/>
      <c r="AI2062" s="4"/>
      <c r="AJ2062" s="4"/>
      <c r="AK2062" s="4"/>
      <c r="AL2062" s="4"/>
      <c r="AM2062" s="4"/>
      <c r="AN2062" s="4"/>
      <c r="AO2062" s="4"/>
      <c r="AP2062" s="4"/>
      <c r="AQ2062" s="4"/>
      <c r="AR2062" s="4"/>
      <c r="AS2062" s="4"/>
      <c r="AT2062" s="4"/>
      <c r="AU2062" s="4"/>
      <c r="AV2062" s="4"/>
      <c r="AW2062" s="4"/>
      <c r="AX2062" s="4"/>
      <c r="AY2062" s="4"/>
      <c r="AZ2062" s="4"/>
      <c r="BA2062" s="4"/>
      <c r="BB2062" s="4"/>
      <c r="BC2062" s="4"/>
      <c r="BD2062" s="4"/>
      <c r="BE2062" s="4"/>
      <c r="BF2062" s="4"/>
      <c r="BG2062" s="4"/>
      <c r="BH2062" s="4"/>
      <c r="BI2062" s="4"/>
      <c r="BJ2062" s="4"/>
      <c r="BK2062" s="4"/>
      <c r="BL2062" s="4"/>
      <c r="BM2062" s="4"/>
      <c r="BN2062" s="4"/>
      <c r="BO2062" s="4"/>
      <c r="BP2062" s="4"/>
      <c r="BQ2062" s="4"/>
      <c r="BR2062" s="4"/>
      <c r="BS2062" s="4"/>
      <c r="BT2062" s="4"/>
      <c r="BU2062" s="4"/>
      <c r="BV2062" s="4"/>
      <c r="BW2062" s="4"/>
      <c r="BX2062" s="4"/>
      <c r="BY2062" s="4"/>
      <c r="BZ2062" s="4"/>
      <c r="CA2062" s="4"/>
      <c r="CB2062" s="4"/>
      <c r="CC2062" s="4"/>
      <c r="CD2062" s="4"/>
      <c r="CE2062" s="4"/>
      <c r="CF2062" s="4"/>
      <c r="CG2062" s="4"/>
      <c r="CH2062" s="4"/>
      <c r="CI2062" s="4"/>
      <c r="CJ2062" s="4"/>
      <c r="CK2062" s="4"/>
      <c r="CL2062" s="4"/>
      <c r="CM2062" s="4"/>
      <c r="CN2062" s="4"/>
      <c r="CO2062" s="4"/>
      <c r="CP2062" s="4"/>
      <c r="CQ2062" s="4"/>
      <c r="CR2062" s="4"/>
      <c r="CS2062" s="4"/>
      <c r="CT2062" s="4"/>
      <c r="CU2062" s="4"/>
      <c r="CV2062" s="4"/>
      <c r="CW2062" s="4"/>
      <c r="CX2062" s="4"/>
      <c r="CY2062" s="4"/>
      <c r="CZ2062" s="4"/>
      <c r="DA2062" s="4"/>
      <c r="DB2062" s="4"/>
      <c r="DC2062" s="4"/>
      <c r="DD2062" s="4"/>
      <c r="DE2062" s="4"/>
      <c r="DF2062" s="4"/>
      <c r="DG2062" s="4"/>
      <c r="DH2062" s="4"/>
      <c r="DI2062" s="4"/>
      <c r="DJ2062" s="4"/>
      <c r="DK2062" s="4"/>
      <c r="DL2062" s="4"/>
      <c r="DM2062" s="4"/>
      <c r="DN2062" s="4"/>
      <c r="DO2062" s="4"/>
      <c r="DP2062" s="4"/>
      <c r="DQ2062" s="4"/>
      <c r="DR2062" s="4"/>
      <c r="DS2062" s="4"/>
    </row>
    <row r="2063">
      <c r="A2063" s="4"/>
      <c r="B2063" s="4"/>
      <c r="C2063" s="4"/>
      <c r="D2063" s="4"/>
      <c r="E2063" s="4"/>
      <c r="F2063" s="4" t="s">
        <v>17</v>
      </c>
      <c r="G2063" s="15"/>
      <c r="H2063" s="4"/>
      <c r="I2063" s="4"/>
      <c r="J2063" s="4"/>
      <c r="K2063" s="4"/>
      <c r="L2063" s="4"/>
      <c r="M2063" s="4"/>
      <c r="N2063" s="4"/>
      <c r="O2063" s="4"/>
      <c r="P2063" s="4"/>
      <c r="Q2063" s="4"/>
      <c r="R2063" s="4"/>
      <c r="S2063" s="4"/>
      <c r="T2063" s="4"/>
      <c r="U2063" s="4"/>
      <c r="V2063" s="4"/>
      <c r="W2063" s="4"/>
      <c r="X2063" s="4"/>
      <c r="Y2063" s="4"/>
      <c r="Z2063" s="4"/>
      <c r="AA2063" s="4"/>
      <c r="AB2063" s="4"/>
      <c r="AC2063" s="4"/>
      <c r="AD2063" s="4"/>
      <c r="AE2063" s="4"/>
      <c r="AF2063" s="4"/>
      <c r="AG2063" s="4"/>
      <c r="AH2063" s="4"/>
      <c r="AI2063" s="4"/>
      <c r="AJ2063" s="4"/>
      <c r="AK2063" s="4"/>
      <c r="AL2063" s="4"/>
      <c r="AM2063" s="4"/>
      <c r="AN2063" s="4"/>
      <c r="AO2063" s="4"/>
      <c r="AP2063" s="4"/>
      <c r="AQ2063" s="4"/>
      <c r="AR2063" s="4"/>
      <c r="AS2063" s="4"/>
      <c r="AT2063" s="4"/>
      <c r="AU2063" s="4"/>
      <c r="AV2063" s="4"/>
      <c r="AW2063" s="4"/>
      <c r="AX2063" s="4"/>
      <c r="AY2063" s="4"/>
      <c r="AZ2063" s="4"/>
      <c r="BA2063" s="4"/>
      <c r="BB2063" s="4"/>
      <c r="BC2063" s="4"/>
      <c r="BD2063" s="4"/>
      <c r="BE2063" s="4"/>
      <c r="BF2063" s="4"/>
      <c r="BG2063" s="4"/>
      <c r="BH2063" s="4"/>
      <c r="BI2063" s="4"/>
      <c r="BJ2063" s="4"/>
      <c r="BK2063" s="4"/>
      <c r="BL2063" s="4"/>
      <c r="BM2063" s="4"/>
      <c r="BN2063" s="4"/>
      <c r="BO2063" s="4"/>
      <c r="BP2063" s="4"/>
      <c r="BQ2063" s="4"/>
      <c r="BR2063" s="4"/>
      <c r="BS2063" s="4"/>
      <c r="BT2063" s="4"/>
      <c r="BU2063" s="4"/>
      <c r="BV2063" s="4"/>
      <c r="BW2063" s="4"/>
      <c r="BX2063" s="4"/>
      <c r="BY2063" s="4"/>
      <c r="BZ2063" s="4"/>
      <c r="CA2063" s="4"/>
      <c r="CB2063" s="4"/>
      <c r="CC2063" s="4"/>
      <c r="CD2063" s="4"/>
      <c r="CE2063" s="4"/>
      <c r="CF2063" s="4"/>
      <c r="CG2063" s="4"/>
      <c r="CH2063" s="4"/>
      <c r="CI2063" s="4"/>
      <c r="CJ2063" s="4"/>
      <c r="CK2063" s="4"/>
      <c r="CL2063" s="4"/>
      <c r="CM2063" s="4"/>
      <c r="CN2063" s="4"/>
      <c r="CO2063" s="4"/>
      <c r="CP2063" s="4"/>
      <c r="CQ2063" s="4"/>
      <c r="CR2063" s="4"/>
      <c r="CS2063" s="4"/>
      <c r="CT2063" s="4"/>
      <c r="CU2063" s="4"/>
      <c r="CV2063" s="4"/>
      <c r="CW2063" s="4"/>
      <c r="CX2063" s="4"/>
      <c r="CY2063" s="4"/>
      <c r="CZ2063" s="4"/>
      <c r="DA2063" s="4"/>
      <c r="DB2063" s="4"/>
      <c r="DC2063" s="4"/>
      <c r="DD2063" s="4"/>
      <c r="DE2063" s="4"/>
      <c r="DF2063" s="4"/>
      <c r="DG2063" s="4"/>
      <c r="DH2063" s="4"/>
      <c r="DI2063" s="4"/>
      <c r="DJ2063" s="4"/>
      <c r="DK2063" s="4"/>
      <c r="DL2063" s="4"/>
      <c r="DM2063" s="4"/>
      <c r="DN2063" s="4"/>
      <c r="DO2063" s="4"/>
      <c r="DP2063" s="4"/>
      <c r="DQ2063" s="4"/>
      <c r="DR2063" s="4"/>
      <c r="DS2063" s="4"/>
    </row>
    <row r="2064">
      <c r="A2064" s="4"/>
      <c r="B2064" s="4"/>
      <c r="C2064" s="4"/>
      <c r="D2064" s="4"/>
      <c r="E2064" s="4"/>
      <c r="F2064" s="4" t="s">
        <v>17</v>
      </c>
      <c r="G2064" s="15"/>
      <c r="H2064" s="4"/>
      <c r="I2064" s="4"/>
      <c r="J2064" s="4"/>
      <c r="K2064" s="4"/>
      <c r="L2064" s="4"/>
      <c r="M2064" s="4"/>
      <c r="N2064" s="4"/>
      <c r="O2064" s="4"/>
      <c r="P2064" s="4"/>
      <c r="Q2064" s="4"/>
      <c r="R2064" s="4"/>
      <c r="S2064" s="4"/>
      <c r="T2064" s="4"/>
      <c r="U2064" s="4"/>
      <c r="V2064" s="4"/>
      <c r="W2064" s="4"/>
      <c r="X2064" s="4"/>
      <c r="Y2064" s="4"/>
      <c r="Z2064" s="4"/>
      <c r="AA2064" s="4"/>
      <c r="AB2064" s="4"/>
      <c r="AC2064" s="4"/>
      <c r="AD2064" s="4"/>
      <c r="AE2064" s="4"/>
      <c r="AF2064" s="4"/>
      <c r="AG2064" s="4"/>
      <c r="AH2064" s="4"/>
      <c r="AI2064" s="4"/>
      <c r="AJ2064" s="4"/>
      <c r="AK2064" s="4"/>
      <c r="AL2064" s="4"/>
      <c r="AM2064" s="4"/>
      <c r="AN2064" s="4"/>
      <c r="AO2064" s="4"/>
      <c r="AP2064" s="4"/>
      <c r="AQ2064" s="4"/>
      <c r="AR2064" s="4"/>
      <c r="AS2064" s="4"/>
      <c r="AT2064" s="4"/>
      <c r="AU2064" s="4"/>
      <c r="AV2064" s="4"/>
      <c r="AW2064" s="4"/>
      <c r="AX2064" s="4"/>
      <c r="AY2064" s="4"/>
      <c r="AZ2064" s="4"/>
      <c r="BA2064" s="4"/>
      <c r="BB2064" s="4"/>
      <c r="BC2064" s="4"/>
      <c r="BD2064" s="4"/>
      <c r="BE2064" s="4"/>
      <c r="BF2064" s="4"/>
      <c r="BG2064" s="4"/>
      <c r="BH2064" s="4"/>
      <c r="BI2064" s="4"/>
      <c r="BJ2064" s="4"/>
      <c r="BK2064" s="4"/>
      <c r="BL2064" s="4"/>
      <c r="BM2064" s="4"/>
      <c r="BN2064" s="4"/>
      <c r="BO2064" s="4"/>
      <c r="BP2064" s="4"/>
      <c r="BQ2064" s="4"/>
      <c r="BR2064" s="4"/>
      <c r="BS2064" s="4"/>
      <c r="BT2064" s="4"/>
      <c r="BU2064" s="4"/>
      <c r="BV2064" s="4"/>
      <c r="BW2064" s="4"/>
      <c r="BX2064" s="4"/>
      <c r="BY2064" s="4"/>
      <c r="BZ2064" s="4"/>
      <c r="CA2064" s="4"/>
      <c r="CB2064" s="4"/>
      <c r="CC2064" s="4"/>
      <c r="CD2064" s="4"/>
      <c r="CE2064" s="4"/>
      <c r="CF2064" s="4"/>
      <c r="CG2064" s="4"/>
      <c r="CH2064" s="4"/>
      <c r="CI2064" s="4"/>
      <c r="CJ2064" s="4"/>
      <c r="CK2064" s="4"/>
      <c r="CL2064" s="4"/>
      <c r="CM2064" s="4"/>
      <c r="CN2064" s="4"/>
      <c r="CO2064" s="4"/>
      <c r="CP2064" s="4"/>
      <c r="CQ2064" s="4"/>
      <c r="CR2064" s="4"/>
      <c r="CS2064" s="4"/>
      <c r="CT2064" s="4"/>
      <c r="CU2064" s="4"/>
      <c r="CV2064" s="4"/>
      <c r="CW2064" s="4"/>
      <c r="CX2064" s="4"/>
      <c r="CY2064" s="4"/>
      <c r="CZ2064" s="4"/>
      <c r="DA2064" s="4"/>
      <c r="DB2064" s="4"/>
      <c r="DC2064" s="4"/>
      <c r="DD2064" s="4"/>
      <c r="DE2064" s="4"/>
      <c r="DF2064" s="4"/>
      <c r="DG2064" s="4"/>
      <c r="DH2064" s="4"/>
      <c r="DI2064" s="4"/>
      <c r="DJ2064" s="4"/>
      <c r="DK2064" s="4"/>
      <c r="DL2064" s="4"/>
      <c r="DM2064" s="4"/>
      <c r="DN2064" s="4"/>
      <c r="DO2064" s="4"/>
      <c r="DP2064" s="4"/>
      <c r="DQ2064" s="4"/>
      <c r="DR2064" s="4"/>
      <c r="DS2064" s="4"/>
    </row>
    <row r="2065">
      <c r="A2065" s="4"/>
      <c r="B2065" s="4"/>
      <c r="C2065" s="4"/>
      <c r="D2065" s="4"/>
      <c r="E2065" s="4"/>
      <c r="F2065" s="4" t="s">
        <v>17</v>
      </c>
      <c r="G2065" s="15"/>
      <c r="H2065" s="4"/>
      <c r="I2065" s="4"/>
      <c r="J2065" s="4"/>
      <c r="K2065" s="4"/>
      <c r="L2065" s="4"/>
      <c r="M2065" s="4"/>
      <c r="N2065" s="4"/>
      <c r="O2065" s="4"/>
      <c r="P2065" s="4"/>
      <c r="Q2065" s="4"/>
      <c r="R2065" s="4"/>
      <c r="S2065" s="4"/>
      <c r="T2065" s="4"/>
      <c r="U2065" s="4"/>
      <c r="V2065" s="4"/>
      <c r="W2065" s="4"/>
      <c r="X2065" s="4"/>
      <c r="Y2065" s="4"/>
      <c r="Z2065" s="4"/>
      <c r="AA2065" s="4"/>
      <c r="AB2065" s="4"/>
      <c r="AC2065" s="4"/>
      <c r="AD2065" s="4"/>
      <c r="AE2065" s="4"/>
      <c r="AF2065" s="4"/>
      <c r="AG2065" s="4"/>
      <c r="AH2065" s="4"/>
      <c r="AI2065" s="4"/>
      <c r="AJ2065" s="4"/>
      <c r="AK2065" s="4"/>
      <c r="AL2065" s="4"/>
      <c r="AM2065" s="4"/>
      <c r="AN2065" s="4"/>
      <c r="AO2065" s="4"/>
      <c r="AP2065" s="4"/>
      <c r="AQ2065" s="4"/>
      <c r="AR2065" s="4"/>
      <c r="AS2065" s="4"/>
      <c r="AT2065" s="4"/>
      <c r="AU2065" s="4"/>
      <c r="AV2065" s="4"/>
      <c r="AW2065" s="4"/>
      <c r="AX2065" s="4"/>
      <c r="AY2065" s="4"/>
      <c r="AZ2065" s="4"/>
      <c r="BA2065" s="4"/>
      <c r="BB2065" s="4"/>
      <c r="BC2065" s="4"/>
      <c r="BD2065" s="4"/>
      <c r="BE2065" s="4"/>
      <c r="BF2065" s="4"/>
      <c r="BG2065" s="4"/>
      <c r="BH2065" s="4"/>
      <c r="BI2065" s="4"/>
      <c r="BJ2065" s="4"/>
      <c r="BK2065" s="4"/>
      <c r="BL2065" s="4"/>
      <c r="BM2065" s="4"/>
      <c r="BN2065" s="4"/>
      <c r="BO2065" s="4"/>
      <c r="BP2065" s="4"/>
      <c r="BQ2065" s="4"/>
      <c r="BR2065" s="4"/>
      <c r="BS2065" s="4"/>
      <c r="BT2065" s="4"/>
      <c r="BU2065" s="4"/>
      <c r="BV2065" s="4"/>
      <c r="BW2065" s="4"/>
      <c r="BX2065" s="4"/>
      <c r="BY2065" s="4"/>
      <c r="BZ2065" s="4"/>
      <c r="CA2065" s="4"/>
      <c r="CB2065" s="4"/>
      <c r="CC2065" s="4"/>
      <c r="CD2065" s="4"/>
      <c r="CE2065" s="4"/>
      <c r="CF2065" s="4"/>
      <c r="CG2065" s="4"/>
      <c r="CH2065" s="4"/>
      <c r="CI2065" s="4"/>
      <c r="CJ2065" s="4"/>
      <c r="CK2065" s="4"/>
      <c r="CL2065" s="4"/>
      <c r="CM2065" s="4"/>
      <c r="CN2065" s="4"/>
      <c r="CO2065" s="4"/>
      <c r="CP2065" s="4"/>
      <c r="CQ2065" s="4"/>
      <c r="CR2065" s="4"/>
      <c r="CS2065" s="4"/>
      <c r="CT2065" s="4"/>
      <c r="CU2065" s="4"/>
      <c r="CV2065" s="4"/>
      <c r="CW2065" s="4"/>
      <c r="CX2065" s="4"/>
      <c r="CY2065" s="4"/>
      <c r="CZ2065" s="4"/>
      <c r="DA2065" s="4"/>
      <c r="DB2065" s="4"/>
      <c r="DC2065" s="4"/>
      <c r="DD2065" s="4"/>
      <c r="DE2065" s="4"/>
      <c r="DF2065" s="4"/>
      <c r="DG2065" s="4"/>
      <c r="DH2065" s="4"/>
      <c r="DI2065" s="4"/>
      <c r="DJ2065" s="4"/>
      <c r="DK2065" s="4"/>
      <c r="DL2065" s="4"/>
      <c r="DM2065" s="4"/>
      <c r="DN2065" s="4"/>
      <c r="DO2065" s="4"/>
      <c r="DP2065" s="4"/>
      <c r="DQ2065" s="4"/>
      <c r="DR2065" s="4"/>
      <c r="DS2065" s="4"/>
    </row>
    <row r="2066">
      <c r="A2066" s="4"/>
      <c r="B2066" s="4"/>
      <c r="C2066" s="4"/>
      <c r="D2066" s="4"/>
      <c r="E2066" s="4"/>
      <c r="F2066" s="4" t="s">
        <v>17</v>
      </c>
      <c r="G2066" s="15"/>
      <c r="H2066" s="4"/>
      <c r="I2066" s="4"/>
      <c r="J2066" s="4"/>
      <c r="K2066" s="4"/>
      <c r="L2066" s="4"/>
      <c r="M2066" s="4"/>
      <c r="N2066" s="4"/>
      <c r="O2066" s="4"/>
      <c r="P2066" s="4"/>
      <c r="Q2066" s="4"/>
      <c r="R2066" s="4"/>
      <c r="S2066" s="4"/>
      <c r="T2066" s="4"/>
      <c r="U2066" s="4"/>
      <c r="V2066" s="4"/>
      <c r="W2066" s="4"/>
      <c r="X2066" s="4"/>
      <c r="Y2066" s="4"/>
      <c r="Z2066" s="4"/>
      <c r="AA2066" s="4"/>
      <c r="AB2066" s="4"/>
      <c r="AC2066" s="4"/>
      <c r="AD2066" s="4"/>
      <c r="AE2066" s="4"/>
      <c r="AF2066" s="4"/>
      <c r="AG2066" s="4"/>
      <c r="AH2066" s="4"/>
      <c r="AI2066" s="4"/>
      <c r="AJ2066" s="4"/>
      <c r="AK2066" s="4"/>
      <c r="AL2066" s="4"/>
      <c r="AM2066" s="4"/>
      <c r="AN2066" s="4"/>
      <c r="AO2066" s="4"/>
      <c r="AP2066" s="4"/>
      <c r="AQ2066" s="4"/>
      <c r="AR2066" s="4"/>
      <c r="AS2066" s="4"/>
      <c r="AT2066" s="4"/>
      <c r="AU2066" s="4"/>
      <c r="AV2066" s="4"/>
      <c r="AW2066" s="4"/>
      <c r="AX2066" s="4"/>
      <c r="AY2066" s="4"/>
      <c r="AZ2066" s="4"/>
      <c r="BA2066" s="4"/>
      <c r="BB2066" s="4"/>
      <c r="BC2066" s="4"/>
      <c r="BD2066" s="4"/>
      <c r="BE2066" s="4"/>
      <c r="BF2066" s="4"/>
      <c r="BG2066" s="4"/>
      <c r="BH2066" s="4"/>
      <c r="BI2066" s="4"/>
      <c r="BJ2066" s="4"/>
      <c r="BK2066" s="4"/>
      <c r="BL2066" s="4"/>
      <c r="BM2066" s="4"/>
      <c r="BN2066" s="4"/>
      <c r="BO2066" s="4"/>
      <c r="BP2066" s="4"/>
      <c r="BQ2066" s="4"/>
      <c r="BR2066" s="4"/>
      <c r="BS2066" s="4"/>
      <c r="BT2066" s="4"/>
      <c r="BU2066" s="4"/>
      <c r="BV2066" s="4"/>
      <c r="BW2066" s="4"/>
      <c r="BX2066" s="4"/>
      <c r="BY2066" s="4"/>
      <c r="BZ2066" s="4"/>
      <c r="CA2066" s="4"/>
      <c r="CB2066" s="4"/>
      <c r="CC2066" s="4"/>
      <c r="CD2066" s="4"/>
      <c r="CE2066" s="4"/>
      <c r="CF2066" s="4"/>
      <c r="CG2066" s="4"/>
      <c r="CH2066" s="4"/>
      <c r="CI2066" s="4"/>
      <c r="CJ2066" s="4"/>
      <c r="CK2066" s="4"/>
      <c r="CL2066" s="4"/>
      <c r="CM2066" s="4"/>
      <c r="CN2066" s="4"/>
      <c r="CO2066" s="4"/>
      <c r="CP2066" s="4"/>
      <c r="CQ2066" s="4"/>
      <c r="CR2066" s="4"/>
      <c r="CS2066" s="4"/>
      <c r="CT2066" s="4"/>
      <c r="CU2066" s="4"/>
      <c r="CV2066" s="4"/>
      <c r="CW2066" s="4"/>
      <c r="CX2066" s="4"/>
      <c r="CY2066" s="4"/>
      <c r="CZ2066" s="4"/>
      <c r="DA2066" s="4"/>
      <c r="DB2066" s="4"/>
      <c r="DC2066" s="4"/>
      <c r="DD2066" s="4"/>
      <c r="DE2066" s="4"/>
      <c r="DF2066" s="4"/>
      <c r="DG2066" s="4"/>
      <c r="DH2066" s="4"/>
      <c r="DI2066" s="4"/>
      <c r="DJ2066" s="4"/>
      <c r="DK2066" s="4"/>
      <c r="DL2066" s="4"/>
      <c r="DM2066" s="4"/>
      <c r="DN2066" s="4"/>
      <c r="DO2066" s="4"/>
      <c r="DP2066" s="4"/>
      <c r="DQ2066" s="4"/>
      <c r="DR2066" s="4"/>
      <c r="DS2066" s="4"/>
    </row>
    <row r="2067">
      <c r="A2067" s="4"/>
      <c r="B2067" s="4"/>
      <c r="C2067" s="4"/>
      <c r="D2067" s="4"/>
      <c r="E2067" s="4"/>
      <c r="F2067" s="4" t="s">
        <v>17</v>
      </c>
      <c r="G2067" s="15"/>
      <c r="H2067" s="4"/>
      <c r="I2067" s="4"/>
      <c r="J2067" s="4"/>
      <c r="K2067" s="4"/>
      <c r="L2067" s="4"/>
      <c r="M2067" s="4"/>
      <c r="N2067" s="4"/>
      <c r="O2067" s="4"/>
      <c r="P2067" s="4"/>
      <c r="Q2067" s="4"/>
      <c r="R2067" s="4"/>
      <c r="S2067" s="4"/>
      <c r="T2067" s="4"/>
      <c r="U2067" s="4"/>
      <c r="V2067" s="4"/>
      <c r="W2067" s="4"/>
      <c r="X2067" s="4"/>
      <c r="Y2067" s="4"/>
      <c r="Z2067" s="4"/>
      <c r="AA2067" s="4"/>
      <c r="AB2067" s="4"/>
      <c r="AC2067" s="4"/>
      <c r="AD2067" s="4"/>
      <c r="AE2067" s="4"/>
      <c r="AF2067" s="4"/>
      <c r="AG2067" s="4"/>
      <c r="AH2067" s="4"/>
      <c r="AI2067" s="4"/>
      <c r="AJ2067" s="4"/>
      <c r="AK2067" s="4"/>
      <c r="AL2067" s="4"/>
      <c r="AM2067" s="4"/>
      <c r="AN2067" s="4"/>
      <c r="AO2067" s="4"/>
      <c r="AP2067" s="4"/>
      <c r="AQ2067" s="4"/>
      <c r="AR2067" s="4"/>
      <c r="AS2067" s="4"/>
      <c r="AT2067" s="4"/>
      <c r="AU2067" s="4"/>
      <c r="AV2067" s="4"/>
      <c r="AW2067" s="4"/>
      <c r="AX2067" s="4"/>
      <c r="AY2067" s="4"/>
      <c r="AZ2067" s="4"/>
      <c r="BA2067" s="4"/>
      <c r="BB2067" s="4"/>
      <c r="BC2067" s="4"/>
      <c r="BD2067" s="4"/>
      <c r="BE2067" s="4"/>
      <c r="BF2067" s="4"/>
      <c r="BG2067" s="4"/>
      <c r="BH2067" s="4"/>
      <c r="BI2067" s="4"/>
      <c r="BJ2067" s="4"/>
      <c r="BK2067" s="4"/>
      <c r="BL2067" s="4"/>
      <c r="BM2067" s="4"/>
      <c r="BN2067" s="4"/>
      <c r="BO2067" s="4"/>
      <c r="BP2067" s="4"/>
      <c r="BQ2067" s="4"/>
      <c r="BR2067" s="4"/>
      <c r="BS2067" s="4"/>
      <c r="BT2067" s="4"/>
      <c r="BU2067" s="4"/>
      <c r="BV2067" s="4"/>
      <c r="BW2067" s="4"/>
      <c r="BX2067" s="4"/>
      <c r="BY2067" s="4"/>
      <c r="BZ2067" s="4"/>
      <c r="CA2067" s="4"/>
      <c r="CB2067" s="4"/>
      <c r="CC2067" s="4"/>
      <c r="CD2067" s="4"/>
      <c r="CE2067" s="4"/>
      <c r="CF2067" s="4"/>
      <c r="CG2067" s="4"/>
      <c r="CH2067" s="4"/>
      <c r="CI2067" s="4"/>
      <c r="CJ2067" s="4"/>
      <c r="CK2067" s="4"/>
      <c r="CL2067" s="4"/>
      <c r="CM2067" s="4"/>
      <c r="CN2067" s="4"/>
      <c r="CO2067" s="4"/>
      <c r="CP2067" s="4"/>
      <c r="CQ2067" s="4"/>
      <c r="CR2067" s="4"/>
      <c r="CS2067" s="4"/>
      <c r="CT2067" s="4"/>
      <c r="CU2067" s="4"/>
      <c r="CV2067" s="4"/>
      <c r="CW2067" s="4"/>
      <c r="CX2067" s="4"/>
      <c r="CY2067" s="4"/>
      <c r="CZ2067" s="4"/>
      <c r="DA2067" s="4"/>
      <c r="DB2067" s="4"/>
      <c r="DC2067" s="4"/>
      <c r="DD2067" s="4"/>
      <c r="DE2067" s="4"/>
      <c r="DF2067" s="4"/>
      <c r="DG2067" s="4"/>
      <c r="DH2067" s="4"/>
      <c r="DI2067" s="4"/>
      <c r="DJ2067" s="4"/>
      <c r="DK2067" s="4"/>
      <c r="DL2067" s="4"/>
      <c r="DM2067" s="4"/>
      <c r="DN2067" s="4"/>
      <c r="DO2067" s="4"/>
      <c r="DP2067" s="4"/>
      <c r="DQ2067" s="4"/>
      <c r="DR2067" s="4"/>
      <c r="DS2067" s="4"/>
    </row>
    <row r="2068">
      <c r="A2068" s="4"/>
      <c r="B2068" s="4"/>
      <c r="C2068" s="4"/>
      <c r="D2068" s="4"/>
      <c r="E2068" s="4"/>
      <c r="F2068" s="4" t="s">
        <v>17</v>
      </c>
      <c r="G2068" s="15"/>
      <c r="H2068" s="4"/>
      <c r="I2068" s="4"/>
      <c r="J2068" s="4"/>
      <c r="K2068" s="4"/>
      <c r="L2068" s="4"/>
      <c r="M2068" s="4"/>
      <c r="N2068" s="4"/>
      <c r="O2068" s="4"/>
      <c r="P2068" s="4"/>
      <c r="Q2068" s="4"/>
      <c r="R2068" s="4"/>
      <c r="S2068" s="4"/>
      <c r="T2068" s="4"/>
      <c r="U2068" s="4"/>
      <c r="V2068" s="4"/>
      <c r="W2068" s="4"/>
      <c r="X2068" s="4"/>
      <c r="Y2068" s="4"/>
      <c r="Z2068" s="4"/>
      <c r="AA2068" s="4"/>
      <c r="AB2068" s="4"/>
      <c r="AC2068" s="4"/>
      <c r="AD2068" s="4"/>
      <c r="AE2068" s="4"/>
      <c r="AF2068" s="4"/>
      <c r="AG2068" s="4"/>
      <c r="AH2068" s="4"/>
      <c r="AI2068" s="4"/>
      <c r="AJ2068" s="4"/>
      <c r="AK2068" s="4"/>
      <c r="AL2068" s="4"/>
      <c r="AM2068" s="4"/>
      <c r="AN2068" s="4"/>
      <c r="AO2068" s="4"/>
      <c r="AP2068" s="4"/>
      <c r="AQ2068" s="4"/>
      <c r="AR2068" s="4"/>
      <c r="AS2068" s="4"/>
      <c r="AT2068" s="4"/>
      <c r="AU2068" s="4"/>
      <c r="AV2068" s="4"/>
      <c r="AW2068" s="4"/>
      <c r="AX2068" s="4"/>
      <c r="AY2068" s="4"/>
      <c r="AZ2068" s="4"/>
      <c r="BA2068" s="4"/>
      <c r="BB2068" s="4"/>
      <c r="BC2068" s="4"/>
      <c r="BD2068" s="4"/>
      <c r="BE2068" s="4"/>
      <c r="BF2068" s="4"/>
      <c r="BG2068" s="4"/>
      <c r="BH2068" s="4"/>
      <c r="BI2068" s="4"/>
      <c r="BJ2068" s="4"/>
      <c r="BK2068" s="4"/>
      <c r="BL2068" s="4"/>
      <c r="BM2068" s="4"/>
      <c r="BN2068" s="4"/>
      <c r="BO2068" s="4"/>
      <c r="BP2068" s="4"/>
      <c r="BQ2068" s="4"/>
      <c r="BR2068" s="4"/>
      <c r="BS2068" s="4"/>
      <c r="BT2068" s="4"/>
      <c r="BU2068" s="4"/>
      <c r="BV2068" s="4"/>
      <c r="BW2068" s="4"/>
      <c r="BX2068" s="4"/>
      <c r="BY2068" s="4"/>
      <c r="BZ2068" s="4"/>
      <c r="CA2068" s="4"/>
      <c r="CB2068" s="4"/>
      <c r="CC2068" s="4"/>
      <c r="CD2068" s="4"/>
      <c r="CE2068" s="4"/>
      <c r="CF2068" s="4"/>
      <c r="CG2068" s="4"/>
      <c r="CH2068" s="4"/>
      <c r="CI2068" s="4"/>
      <c r="CJ2068" s="4"/>
      <c r="CK2068" s="4"/>
      <c r="CL2068" s="4"/>
      <c r="CM2068" s="4"/>
      <c r="CN2068" s="4"/>
      <c r="CO2068" s="4"/>
      <c r="CP2068" s="4"/>
      <c r="CQ2068" s="4"/>
      <c r="CR2068" s="4"/>
      <c r="CS2068" s="4"/>
      <c r="CT2068" s="4"/>
      <c r="CU2068" s="4"/>
      <c r="CV2068" s="4"/>
      <c r="CW2068" s="4"/>
      <c r="CX2068" s="4"/>
      <c r="CY2068" s="4"/>
      <c r="CZ2068" s="4"/>
      <c r="DA2068" s="4"/>
      <c r="DB2068" s="4"/>
      <c r="DC2068" s="4"/>
      <c r="DD2068" s="4"/>
      <c r="DE2068" s="4"/>
      <c r="DF2068" s="4"/>
      <c r="DG2068" s="4"/>
      <c r="DH2068" s="4"/>
      <c r="DI2068" s="4"/>
      <c r="DJ2068" s="4"/>
      <c r="DK2068" s="4"/>
      <c r="DL2068" s="4"/>
      <c r="DM2068" s="4"/>
      <c r="DN2068" s="4"/>
      <c r="DO2068" s="4"/>
      <c r="DP2068" s="4"/>
      <c r="DQ2068" s="4"/>
      <c r="DR2068" s="4"/>
      <c r="DS2068" s="4"/>
    </row>
    <row r="2069">
      <c r="A2069" s="4"/>
      <c r="B2069" s="4"/>
      <c r="C2069" s="4"/>
      <c r="D2069" s="4"/>
      <c r="E2069" s="4"/>
      <c r="F2069" s="4" t="s">
        <v>17</v>
      </c>
      <c r="G2069" s="15"/>
      <c r="H2069" s="4"/>
      <c r="I2069" s="4"/>
      <c r="J2069" s="4"/>
      <c r="K2069" s="4"/>
      <c r="L2069" s="4"/>
      <c r="M2069" s="4"/>
      <c r="N2069" s="4"/>
      <c r="O2069" s="4"/>
      <c r="P2069" s="4"/>
      <c r="Q2069" s="4"/>
      <c r="R2069" s="4"/>
      <c r="S2069" s="4"/>
      <c r="T2069" s="4"/>
      <c r="U2069" s="4"/>
      <c r="V2069" s="4"/>
      <c r="W2069" s="4"/>
      <c r="X2069" s="4"/>
      <c r="Y2069" s="4"/>
      <c r="Z2069" s="4"/>
      <c r="AA2069" s="4"/>
      <c r="AB2069" s="4"/>
      <c r="AC2069" s="4"/>
      <c r="AD2069" s="4"/>
      <c r="AE2069" s="4"/>
      <c r="AF2069" s="4"/>
      <c r="AG2069" s="4"/>
      <c r="AH2069" s="4"/>
      <c r="AI2069" s="4"/>
      <c r="AJ2069" s="4"/>
      <c r="AK2069" s="4"/>
      <c r="AL2069" s="4"/>
      <c r="AM2069" s="4"/>
      <c r="AN2069" s="4"/>
      <c r="AO2069" s="4"/>
      <c r="AP2069" s="4"/>
      <c r="AQ2069" s="4"/>
      <c r="AR2069" s="4"/>
      <c r="AS2069" s="4"/>
      <c r="AT2069" s="4"/>
      <c r="AU2069" s="4"/>
      <c r="AV2069" s="4"/>
      <c r="AW2069" s="4"/>
      <c r="AX2069" s="4"/>
      <c r="AY2069" s="4"/>
      <c r="AZ2069" s="4"/>
      <c r="BA2069" s="4"/>
      <c r="BB2069" s="4"/>
      <c r="BC2069" s="4"/>
      <c r="BD2069" s="4"/>
      <c r="BE2069" s="4"/>
      <c r="BF2069" s="4"/>
      <c r="BG2069" s="4"/>
      <c r="BH2069" s="4"/>
      <c r="BI2069" s="4"/>
      <c r="BJ2069" s="4"/>
      <c r="BK2069" s="4"/>
      <c r="BL2069" s="4"/>
      <c r="BM2069" s="4"/>
      <c r="BN2069" s="4"/>
      <c r="BO2069" s="4"/>
      <c r="BP2069" s="4"/>
      <c r="BQ2069" s="4"/>
      <c r="BR2069" s="4"/>
      <c r="BS2069" s="4"/>
      <c r="BT2069" s="4"/>
      <c r="BU2069" s="4"/>
      <c r="BV2069" s="4"/>
      <c r="BW2069" s="4"/>
      <c r="BX2069" s="4"/>
      <c r="BY2069" s="4"/>
      <c r="BZ2069" s="4"/>
      <c r="CA2069" s="4"/>
      <c r="CB2069" s="4"/>
      <c r="CC2069" s="4"/>
      <c r="CD2069" s="4"/>
      <c r="CE2069" s="4"/>
      <c r="CF2069" s="4"/>
      <c r="CG2069" s="4"/>
      <c r="CH2069" s="4"/>
      <c r="CI2069" s="4"/>
      <c r="CJ2069" s="4"/>
      <c r="CK2069" s="4"/>
      <c r="CL2069" s="4"/>
      <c r="CM2069" s="4"/>
      <c r="CN2069" s="4"/>
      <c r="CO2069" s="4"/>
      <c r="CP2069" s="4"/>
      <c r="CQ2069" s="4"/>
      <c r="CR2069" s="4"/>
      <c r="CS2069" s="4"/>
      <c r="CT2069" s="4"/>
      <c r="CU2069" s="4"/>
      <c r="CV2069" s="4"/>
      <c r="CW2069" s="4"/>
      <c r="CX2069" s="4"/>
      <c r="CY2069" s="4"/>
      <c r="CZ2069" s="4"/>
      <c r="DA2069" s="4"/>
      <c r="DB2069" s="4"/>
      <c r="DC2069" s="4"/>
      <c r="DD2069" s="4"/>
      <c r="DE2069" s="4"/>
      <c r="DF2069" s="4"/>
      <c r="DG2069" s="4"/>
      <c r="DH2069" s="4"/>
      <c r="DI2069" s="4"/>
      <c r="DJ2069" s="4"/>
      <c r="DK2069" s="4"/>
      <c r="DL2069" s="4"/>
      <c r="DM2069" s="4"/>
      <c r="DN2069" s="4"/>
      <c r="DO2069" s="4"/>
      <c r="DP2069" s="4"/>
      <c r="DQ2069" s="4"/>
      <c r="DR2069" s="4"/>
      <c r="DS2069" s="4"/>
    </row>
    <row r="2070">
      <c r="A2070" s="4"/>
      <c r="B2070" s="4"/>
      <c r="C2070" s="4"/>
      <c r="D2070" s="4"/>
      <c r="E2070" s="4"/>
      <c r="F2070" s="4" t="s">
        <v>17</v>
      </c>
      <c r="G2070" s="15"/>
      <c r="H2070" s="4"/>
      <c r="I2070" s="4"/>
      <c r="J2070" s="4"/>
      <c r="K2070" s="4"/>
      <c r="L2070" s="4"/>
      <c r="M2070" s="4"/>
      <c r="N2070" s="4"/>
      <c r="O2070" s="4"/>
      <c r="P2070" s="4"/>
      <c r="Q2070" s="4"/>
      <c r="R2070" s="4"/>
      <c r="S2070" s="4"/>
      <c r="T2070" s="4"/>
      <c r="U2070" s="4"/>
      <c r="V2070" s="4"/>
      <c r="W2070" s="4"/>
      <c r="X2070" s="4"/>
      <c r="Y2070" s="4"/>
      <c r="Z2070" s="4"/>
      <c r="AA2070" s="4"/>
      <c r="AB2070" s="4"/>
      <c r="AC2070" s="4"/>
      <c r="AD2070" s="4"/>
      <c r="AE2070" s="4"/>
      <c r="AF2070" s="4"/>
      <c r="AG2070" s="4"/>
      <c r="AH2070" s="4"/>
      <c r="AI2070" s="4"/>
      <c r="AJ2070" s="4"/>
      <c r="AK2070" s="4"/>
      <c r="AL2070" s="4"/>
      <c r="AM2070" s="4"/>
      <c r="AN2070" s="4"/>
      <c r="AO2070" s="4"/>
      <c r="AP2070" s="4"/>
      <c r="AQ2070" s="4"/>
      <c r="AR2070" s="4"/>
      <c r="AS2070" s="4"/>
      <c r="AT2070" s="4"/>
      <c r="AU2070" s="4"/>
      <c r="AV2070" s="4"/>
      <c r="AW2070" s="4"/>
      <c r="AX2070" s="4"/>
      <c r="AY2070" s="4"/>
      <c r="AZ2070" s="4"/>
      <c r="BA2070" s="4"/>
      <c r="BB2070" s="4"/>
      <c r="BC2070" s="4"/>
      <c r="BD2070" s="4"/>
      <c r="BE2070" s="4"/>
      <c r="BF2070" s="4"/>
      <c r="BG2070" s="4"/>
      <c r="BH2070" s="4"/>
      <c r="BI2070" s="4"/>
      <c r="BJ2070" s="4"/>
      <c r="BK2070" s="4"/>
      <c r="BL2070" s="4"/>
      <c r="BM2070" s="4"/>
      <c r="BN2070" s="4"/>
      <c r="BO2070" s="4"/>
      <c r="BP2070" s="4"/>
      <c r="BQ2070" s="4"/>
      <c r="BR2070" s="4"/>
      <c r="BS2070" s="4"/>
      <c r="BT2070" s="4"/>
      <c r="BU2070" s="4"/>
      <c r="BV2070" s="4"/>
      <c r="BW2070" s="4"/>
      <c r="BX2070" s="4"/>
      <c r="BY2070" s="4"/>
      <c r="BZ2070" s="4"/>
      <c r="CA2070" s="4"/>
      <c r="CB2070" s="4"/>
      <c r="CC2070" s="4"/>
      <c r="CD2070" s="4"/>
      <c r="CE2070" s="4"/>
      <c r="CF2070" s="4"/>
      <c r="CG2070" s="4"/>
      <c r="CH2070" s="4"/>
      <c r="CI2070" s="4"/>
      <c r="CJ2070" s="4"/>
      <c r="CK2070" s="4"/>
      <c r="CL2070" s="4"/>
      <c r="CM2070" s="4"/>
      <c r="CN2070" s="4"/>
      <c r="CO2070" s="4"/>
      <c r="CP2070" s="4"/>
      <c r="CQ2070" s="4"/>
      <c r="CR2070" s="4"/>
      <c r="CS2070" s="4"/>
      <c r="CT2070" s="4"/>
      <c r="CU2070" s="4"/>
      <c r="CV2070" s="4"/>
      <c r="CW2070" s="4"/>
      <c r="CX2070" s="4"/>
      <c r="CY2070" s="4"/>
      <c r="CZ2070" s="4"/>
      <c r="DA2070" s="4"/>
      <c r="DB2070" s="4"/>
      <c r="DC2070" s="4"/>
      <c r="DD2070" s="4"/>
      <c r="DE2070" s="4"/>
      <c r="DF2070" s="4"/>
      <c r="DG2070" s="4"/>
      <c r="DH2070" s="4"/>
      <c r="DI2070" s="4"/>
      <c r="DJ2070" s="4"/>
      <c r="DK2070" s="4"/>
      <c r="DL2070" s="4"/>
      <c r="DM2070" s="4"/>
      <c r="DN2070" s="4"/>
      <c r="DO2070" s="4"/>
      <c r="DP2070" s="4"/>
      <c r="DQ2070" s="4"/>
      <c r="DR2070" s="4"/>
      <c r="DS2070" s="4"/>
    </row>
    <row r="2071">
      <c r="A2071" s="4"/>
      <c r="B2071" s="4"/>
      <c r="C2071" s="4"/>
      <c r="D2071" s="4"/>
      <c r="E2071" s="4"/>
      <c r="F2071" s="4" t="s">
        <v>17</v>
      </c>
      <c r="G2071" s="15"/>
      <c r="H2071" s="4"/>
      <c r="I2071" s="4"/>
      <c r="J2071" s="4"/>
      <c r="K2071" s="4"/>
      <c r="L2071" s="4"/>
      <c r="M2071" s="4"/>
      <c r="N2071" s="4"/>
      <c r="O2071" s="4"/>
      <c r="P2071" s="4"/>
      <c r="Q2071" s="4"/>
      <c r="R2071" s="4"/>
      <c r="S2071" s="4"/>
      <c r="T2071" s="4"/>
      <c r="U2071" s="4"/>
      <c r="V2071" s="4"/>
      <c r="W2071" s="4"/>
      <c r="X2071" s="4"/>
      <c r="Y2071" s="4"/>
      <c r="Z2071" s="4"/>
      <c r="AA2071" s="4"/>
      <c r="AB2071" s="4"/>
      <c r="AC2071" s="4"/>
      <c r="AD2071" s="4"/>
      <c r="AE2071" s="4"/>
      <c r="AF2071" s="4"/>
      <c r="AG2071" s="4"/>
      <c r="AH2071" s="4"/>
      <c r="AI2071" s="4"/>
      <c r="AJ2071" s="4"/>
      <c r="AK2071" s="4"/>
      <c r="AL2071" s="4"/>
      <c r="AM2071" s="4"/>
      <c r="AN2071" s="4"/>
      <c r="AO2071" s="4"/>
      <c r="AP2071" s="4"/>
      <c r="AQ2071" s="4"/>
      <c r="AR2071" s="4"/>
      <c r="AS2071" s="4"/>
      <c r="AT2071" s="4"/>
      <c r="AU2071" s="4"/>
      <c r="AV2071" s="4"/>
      <c r="AW2071" s="4"/>
      <c r="AX2071" s="4"/>
      <c r="AY2071" s="4"/>
      <c r="AZ2071" s="4"/>
      <c r="BA2071" s="4"/>
      <c r="BB2071" s="4"/>
      <c r="BC2071" s="4"/>
      <c r="BD2071" s="4"/>
      <c r="BE2071" s="4"/>
      <c r="BF2071" s="4"/>
      <c r="BG2071" s="4"/>
      <c r="BH2071" s="4"/>
      <c r="BI2071" s="4"/>
      <c r="BJ2071" s="4"/>
      <c r="BK2071" s="4"/>
      <c r="BL2071" s="4"/>
      <c r="BM2071" s="4"/>
      <c r="BN2071" s="4"/>
      <c r="BO2071" s="4"/>
      <c r="BP2071" s="4"/>
      <c r="BQ2071" s="4"/>
      <c r="BR2071" s="4"/>
      <c r="BS2071" s="4"/>
      <c r="BT2071" s="4"/>
      <c r="BU2071" s="4"/>
      <c r="BV2071" s="4"/>
      <c r="BW2071" s="4"/>
      <c r="BX2071" s="4"/>
      <c r="BY2071" s="4"/>
      <c r="BZ2071" s="4"/>
      <c r="CA2071" s="4"/>
      <c r="CB2071" s="4"/>
      <c r="CC2071" s="4"/>
      <c r="CD2071" s="4"/>
      <c r="CE2071" s="4"/>
      <c r="CF2071" s="4"/>
      <c r="CG2071" s="4"/>
      <c r="CH2071" s="4"/>
      <c r="CI2071" s="4"/>
      <c r="CJ2071" s="4"/>
      <c r="CK2071" s="4"/>
      <c r="CL2071" s="4"/>
      <c r="CM2071" s="4"/>
      <c r="CN2071" s="4"/>
      <c r="CO2071" s="4"/>
      <c r="CP2071" s="4"/>
      <c r="CQ2071" s="4"/>
      <c r="CR2071" s="4"/>
      <c r="CS2071" s="4"/>
      <c r="CT2071" s="4"/>
      <c r="CU2071" s="4"/>
      <c r="CV2071" s="4"/>
      <c r="CW2071" s="4"/>
      <c r="CX2071" s="4"/>
      <c r="CY2071" s="4"/>
      <c r="CZ2071" s="4"/>
      <c r="DA2071" s="4"/>
      <c r="DB2071" s="4"/>
      <c r="DC2071" s="4"/>
      <c r="DD2071" s="4"/>
      <c r="DE2071" s="4"/>
      <c r="DF2071" s="4"/>
      <c r="DG2071" s="4"/>
      <c r="DH2071" s="4"/>
      <c r="DI2071" s="4"/>
      <c r="DJ2071" s="4"/>
      <c r="DK2071" s="4"/>
      <c r="DL2071" s="4"/>
      <c r="DM2071" s="4"/>
      <c r="DN2071" s="4"/>
      <c r="DO2071" s="4"/>
      <c r="DP2071" s="4"/>
      <c r="DQ2071" s="4"/>
      <c r="DR2071" s="4"/>
      <c r="DS2071" s="4"/>
    </row>
    <row r="2072">
      <c r="A2072" s="4"/>
      <c r="B2072" s="4"/>
      <c r="C2072" s="4"/>
      <c r="D2072" s="4"/>
      <c r="E2072" s="4"/>
      <c r="F2072" s="4" t="s">
        <v>17</v>
      </c>
      <c r="G2072" s="15"/>
      <c r="H2072" s="4"/>
      <c r="I2072" s="4"/>
      <c r="J2072" s="4"/>
      <c r="K2072" s="4"/>
      <c r="L2072" s="4"/>
      <c r="M2072" s="4"/>
      <c r="N2072" s="4"/>
      <c r="O2072" s="4"/>
      <c r="P2072" s="4"/>
      <c r="Q2072" s="4"/>
      <c r="R2072" s="4"/>
      <c r="S2072" s="4"/>
      <c r="T2072" s="4"/>
      <c r="U2072" s="4"/>
      <c r="V2072" s="4"/>
      <c r="W2072" s="4"/>
      <c r="X2072" s="4"/>
      <c r="Y2072" s="4"/>
      <c r="Z2072" s="4"/>
      <c r="AA2072" s="4"/>
      <c r="AB2072" s="4"/>
      <c r="AC2072" s="4"/>
      <c r="AD2072" s="4"/>
      <c r="AE2072" s="4"/>
      <c r="AF2072" s="4"/>
      <c r="AG2072" s="4"/>
      <c r="AH2072" s="4"/>
      <c r="AI2072" s="4"/>
      <c r="AJ2072" s="4"/>
      <c r="AK2072" s="4"/>
      <c r="AL2072" s="4"/>
      <c r="AM2072" s="4"/>
      <c r="AN2072" s="4"/>
      <c r="AO2072" s="4"/>
      <c r="AP2072" s="4"/>
      <c r="AQ2072" s="4"/>
      <c r="AR2072" s="4"/>
      <c r="AS2072" s="4"/>
      <c r="AT2072" s="4"/>
      <c r="AU2072" s="4"/>
      <c r="AV2072" s="4"/>
      <c r="AW2072" s="4"/>
      <c r="AX2072" s="4"/>
      <c r="AY2072" s="4"/>
      <c r="AZ2072" s="4"/>
      <c r="BA2072" s="4"/>
      <c r="BB2072" s="4"/>
      <c r="BC2072" s="4"/>
      <c r="BD2072" s="4"/>
      <c r="BE2072" s="4"/>
      <c r="BF2072" s="4"/>
      <c r="BG2072" s="4"/>
      <c r="BH2072" s="4"/>
      <c r="BI2072" s="4"/>
      <c r="BJ2072" s="4"/>
      <c r="BK2072" s="4"/>
      <c r="BL2072" s="4"/>
      <c r="BM2072" s="4"/>
      <c r="BN2072" s="4"/>
      <c r="BO2072" s="4"/>
      <c r="BP2072" s="4"/>
      <c r="BQ2072" s="4"/>
      <c r="BR2072" s="4"/>
      <c r="BS2072" s="4"/>
      <c r="BT2072" s="4"/>
      <c r="BU2072" s="4"/>
      <c r="BV2072" s="4"/>
      <c r="BW2072" s="4"/>
      <c r="BX2072" s="4"/>
      <c r="BY2072" s="4"/>
      <c r="BZ2072" s="4"/>
      <c r="CA2072" s="4"/>
      <c r="CB2072" s="4"/>
      <c r="CC2072" s="4"/>
      <c r="CD2072" s="4"/>
      <c r="CE2072" s="4"/>
      <c r="CF2072" s="4"/>
      <c r="CG2072" s="4"/>
      <c r="CH2072" s="4"/>
      <c r="CI2072" s="4"/>
      <c r="CJ2072" s="4"/>
      <c r="CK2072" s="4"/>
      <c r="CL2072" s="4"/>
      <c r="CM2072" s="4"/>
      <c r="CN2072" s="4"/>
      <c r="CO2072" s="4"/>
      <c r="CP2072" s="4"/>
      <c r="CQ2072" s="4"/>
      <c r="CR2072" s="4"/>
      <c r="CS2072" s="4"/>
      <c r="CT2072" s="4"/>
      <c r="CU2072" s="4"/>
      <c r="CV2072" s="4"/>
      <c r="CW2072" s="4"/>
      <c r="CX2072" s="4"/>
      <c r="CY2072" s="4"/>
      <c r="CZ2072" s="4"/>
      <c r="DA2072" s="4"/>
      <c r="DB2072" s="4"/>
      <c r="DC2072" s="4"/>
      <c r="DD2072" s="4"/>
      <c r="DE2072" s="4"/>
      <c r="DF2072" s="4"/>
      <c r="DG2072" s="4"/>
      <c r="DH2072" s="4"/>
      <c r="DI2072" s="4"/>
      <c r="DJ2072" s="4"/>
      <c r="DK2072" s="4"/>
      <c r="DL2072" s="4"/>
      <c r="DM2072" s="4"/>
      <c r="DN2072" s="4"/>
      <c r="DO2072" s="4"/>
      <c r="DP2072" s="4"/>
      <c r="DQ2072" s="4"/>
      <c r="DR2072" s="4"/>
      <c r="DS2072" s="4"/>
    </row>
    <row r="2073">
      <c r="A2073" s="4"/>
      <c r="B2073" s="4"/>
      <c r="C2073" s="4"/>
      <c r="D2073" s="4"/>
      <c r="E2073" s="4"/>
      <c r="F2073" s="4" t="s">
        <v>17</v>
      </c>
      <c r="G2073" s="15"/>
      <c r="H2073" s="4"/>
      <c r="I2073" s="4"/>
      <c r="J2073" s="4"/>
      <c r="K2073" s="4"/>
      <c r="L2073" s="4"/>
      <c r="M2073" s="4"/>
      <c r="N2073" s="4"/>
      <c r="O2073" s="4"/>
      <c r="P2073" s="4"/>
      <c r="Q2073" s="4"/>
      <c r="R2073" s="4"/>
      <c r="S2073" s="4"/>
      <c r="T2073" s="4"/>
      <c r="U2073" s="4"/>
      <c r="V2073" s="4"/>
      <c r="W2073" s="4"/>
      <c r="X2073" s="4"/>
      <c r="Y2073" s="4"/>
      <c r="Z2073" s="4"/>
      <c r="AA2073" s="4"/>
      <c r="AB2073" s="4"/>
      <c r="AC2073" s="4"/>
      <c r="AD2073" s="4"/>
      <c r="AE2073" s="4"/>
      <c r="AF2073" s="4"/>
      <c r="AG2073" s="4"/>
      <c r="AH2073" s="4"/>
      <c r="AI2073" s="4"/>
      <c r="AJ2073" s="4"/>
      <c r="AK2073" s="4"/>
      <c r="AL2073" s="4"/>
      <c r="AM2073" s="4"/>
      <c r="AN2073" s="4"/>
      <c r="AO2073" s="4"/>
      <c r="AP2073" s="4"/>
      <c r="AQ2073" s="4"/>
      <c r="AR2073" s="4"/>
      <c r="AS2073" s="4"/>
      <c r="AT2073" s="4"/>
      <c r="AU2073" s="4"/>
      <c r="AV2073" s="4"/>
      <c r="AW2073" s="4"/>
      <c r="AX2073" s="4"/>
      <c r="AY2073" s="4"/>
      <c r="AZ2073" s="4"/>
      <c r="BA2073" s="4"/>
      <c r="BB2073" s="4"/>
      <c r="BC2073" s="4"/>
      <c r="BD2073" s="4"/>
      <c r="BE2073" s="4"/>
      <c r="BF2073" s="4"/>
      <c r="BG2073" s="4"/>
      <c r="BH2073" s="4"/>
      <c r="BI2073" s="4"/>
      <c r="BJ2073" s="4"/>
      <c r="BK2073" s="4"/>
      <c r="BL2073" s="4"/>
      <c r="BM2073" s="4"/>
      <c r="BN2073" s="4"/>
      <c r="BO2073" s="4"/>
      <c r="BP2073" s="4"/>
      <c r="BQ2073" s="4"/>
      <c r="BR2073" s="4"/>
      <c r="BS2073" s="4"/>
      <c r="BT2073" s="4"/>
      <c r="BU2073" s="4"/>
      <c r="BV2073" s="4"/>
      <c r="BW2073" s="4"/>
      <c r="BX2073" s="4"/>
      <c r="BY2073" s="4"/>
      <c r="BZ2073" s="4"/>
      <c r="CA2073" s="4"/>
      <c r="CB2073" s="4"/>
      <c r="CC2073" s="4"/>
      <c r="CD2073" s="4"/>
      <c r="CE2073" s="4"/>
      <c r="CF2073" s="4"/>
      <c r="CG2073" s="4"/>
      <c r="CH2073" s="4"/>
      <c r="CI2073" s="4"/>
      <c r="CJ2073" s="4"/>
      <c r="CK2073" s="4"/>
      <c r="CL2073" s="4"/>
      <c r="CM2073" s="4"/>
      <c r="CN2073" s="4"/>
      <c r="CO2073" s="4"/>
      <c r="CP2073" s="4"/>
      <c r="CQ2073" s="4"/>
      <c r="CR2073" s="4"/>
      <c r="CS2073" s="4"/>
      <c r="CT2073" s="4"/>
      <c r="CU2073" s="4"/>
      <c r="CV2073" s="4"/>
      <c r="CW2073" s="4"/>
      <c r="CX2073" s="4"/>
      <c r="CY2073" s="4"/>
      <c r="CZ2073" s="4"/>
      <c r="DA2073" s="4"/>
      <c r="DB2073" s="4"/>
      <c r="DC2073" s="4"/>
      <c r="DD2073" s="4"/>
      <c r="DE2073" s="4"/>
      <c r="DF2073" s="4"/>
      <c r="DG2073" s="4"/>
      <c r="DH2073" s="4"/>
      <c r="DI2073" s="4"/>
      <c r="DJ2073" s="4"/>
      <c r="DK2073" s="4"/>
      <c r="DL2073" s="4"/>
      <c r="DM2073" s="4"/>
      <c r="DN2073" s="4"/>
      <c r="DO2073" s="4"/>
      <c r="DP2073" s="4"/>
      <c r="DQ2073" s="4"/>
      <c r="DR2073" s="4"/>
      <c r="DS2073" s="4"/>
    </row>
    <row r="2074">
      <c r="A2074" s="4"/>
      <c r="B2074" s="4"/>
      <c r="C2074" s="4"/>
      <c r="D2074" s="4"/>
      <c r="E2074" s="4"/>
      <c r="F2074" s="4" t="s">
        <v>17</v>
      </c>
      <c r="G2074" s="15"/>
      <c r="H2074" s="4"/>
      <c r="I2074" s="4"/>
      <c r="J2074" s="4"/>
      <c r="K2074" s="4"/>
      <c r="L2074" s="4"/>
      <c r="M2074" s="4"/>
      <c r="N2074" s="4"/>
      <c r="O2074" s="4"/>
      <c r="P2074" s="4"/>
      <c r="Q2074" s="4"/>
      <c r="R2074" s="4"/>
      <c r="S2074" s="4"/>
      <c r="T2074" s="4"/>
      <c r="U2074" s="4"/>
      <c r="V2074" s="4"/>
      <c r="W2074" s="4"/>
      <c r="X2074" s="4"/>
      <c r="Y2074" s="4"/>
      <c r="Z2074" s="4"/>
      <c r="AA2074" s="4"/>
      <c r="AB2074" s="4"/>
      <c r="AC2074" s="4"/>
      <c r="AD2074" s="4"/>
      <c r="AE2074" s="4"/>
      <c r="AF2074" s="4"/>
      <c r="AG2074" s="4"/>
      <c r="AH2074" s="4"/>
      <c r="AI2074" s="4"/>
      <c r="AJ2074" s="4"/>
      <c r="AK2074" s="4"/>
      <c r="AL2074" s="4"/>
      <c r="AM2074" s="4"/>
      <c r="AN2074" s="4"/>
      <c r="AO2074" s="4"/>
      <c r="AP2074" s="4"/>
      <c r="AQ2074" s="4"/>
      <c r="AR2074" s="4"/>
      <c r="AS2074" s="4"/>
      <c r="AT2074" s="4"/>
      <c r="AU2074" s="4"/>
      <c r="AV2074" s="4"/>
      <c r="AW2074" s="4"/>
      <c r="AX2074" s="4"/>
      <c r="AY2074" s="4"/>
      <c r="AZ2074" s="4"/>
      <c r="BA2074" s="4"/>
      <c r="BB2074" s="4"/>
      <c r="BC2074" s="4"/>
      <c r="BD2074" s="4"/>
      <c r="BE2074" s="4"/>
      <c r="BF2074" s="4"/>
      <c r="BG2074" s="4"/>
      <c r="BH2074" s="4"/>
      <c r="BI2074" s="4"/>
      <c r="BJ2074" s="4"/>
      <c r="BK2074" s="4"/>
      <c r="BL2074" s="4"/>
      <c r="BM2074" s="4"/>
      <c r="BN2074" s="4"/>
      <c r="BO2074" s="4"/>
      <c r="BP2074" s="4"/>
      <c r="BQ2074" s="4"/>
      <c r="BR2074" s="4"/>
      <c r="BS2074" s="4"/>
      <c r="BT2074" s="4"/>
      <c r="BU2074" s="4"/>
      <c r="BV2074" s="4"/>
      <c r="BW2074" s="4"/>
      <c r="BX2074" s="4"/>
      <c r="BY2074" s="4"/>
      <c r="BZ2074" s="4"/>
      <c r="CA2074" s="4"/>
      <c r="CB2074" s="4"/>
      <c r="CC2074" s="4"/>
      <c r="CD2074" s="4"/>
      <c r="CE2074" s="4"/>
      <c r="CF2074" s="4"/>
      <c r="CG2074" s="4"/>
      <c r="CH2074" s="4"/>
      <c r="CI2074" s="4"/>
      <c r="CJ2074" s="4"/>
      <c r="CK2074" s="4"/>
      <c r="CL2074" s="4"/>
      <c r="CM2074" s="4"/>
      <c r="CN2074" s="4"/>
      <c r="CO2074" s="4"/>
      <c r="CP2074" s="4"/>
      <c r="CQ2074" s="4"/>
      <c r="CR2074" s="4"/>
      <c r="CS2074" s="4"/>
      <c r="CT2074" s="4"/>
      <c r="CU2074" s="4"/>
      <c r="CV2074" s="4"/>
      <c r="CW2074" s="4"/>
      <c r="CX2074" s="4"/>
      <c r="CY2074" s="4"/>
      <c r="CZ2074" s="4"/>
      <c r="DA2074" s="4"/>
      <c r="DB2074" s="4"/>
      <c r="DC2074" s="4"/>
      <c r="DD2074" s="4"/>
      <c r="DE2074" s="4"/>
      <c r="DF2074" s="4"/>
      <c r="DG2074" s="4"/>
      <c r="DH2074" s="4"/>
      <c r="DI2074" s="4"/>
      <c r="DJ2074" s="4"/>
      <c r="DK2074" s="4"/>
      <c r="DL2074" s="4"/>
      <c r="DM2074" s="4"/>
      <c r="DN2074" s="4"/>
      <c r="DO2074" s="4"/>
      <c r="DP2074" s="4"/>
      <c r="DQ2074" s="4"/>
      <c r="DR2074" s="4"/>
      <c r="DS2074" s="4"/>
    </row>
    <row r="2075">
      <c r="A2075" s="4"/>
      <c r="B2075" s="4"/>
      <c r="C2075" s="4"/>
      <c r="D2075" s="4"/>
      <c r="E2075" s="4"/>
      <c r="F2075" s="4" t="s">
        <v>17</v>
      </c>
      <c r="G2075" s="15"/>
      <c r="H2075" s="4"/>
      <c r="I2075" s="4"/>
      <c r="J2075" s="4"/>
      <c r="K2075" s="4"/>
      <c r="L2075" s="4"/>
      <c r="M2075" s="4"/>
      <c r="N2075" s="4"/>
      <c r="O2075" s="4"/>
      <c r="P2075" s="4"/>
      <c r="Q2075" s="4"/>
      <c r="R2075" s="4"/>
      <c r="S2075" s="4"/>
      <c r="T2075" s="4"/>
      <c r="U2075" s="4"/>
      <c r="V2075" s="4"/>
      <c r="W2075" s="4"/>
      <c r="X2075" s="4"/>
      <c r="Y2075" s="4"/>
      <c r="Z2075" s="4"/>
      <c r="AA2075" s="4"/>
      <c r="AB2075" s="4"/>
      <c r="AC2075" s="4"/>
      <c r="AD2075" s="4"/>
      <c r="AE2075" s="4"/>
      <c r="AF2075" s="4"/>
      <c r="AG2075" s="4"/>
      <c r="AH2075" s="4"/>
      <c r="AI2075" s="4"/>
      <c r="AJ2075" s="4"/>
      <c r="AK2075" s="4"/>
      <c r="AL2075" s="4"/>
      <c r="AM2075" s="4"/>
      <c r="AN2075" s="4"/>
      <c r="AO2075" s="4"/>
      <c r="AP2075" s="4"/>
      <c r="AQ2075" s="4"/>
      <c r="AR2075" s="4"/>
      <c r="AS2075" s="4"/>
      <c r="AT2075" s="4"/>
      <c r="AU2075" s="4"/>
      <c r="AV2075" s="4"/>
      <c r="AW2075" s="4"/>
      <c r="AX2075" s="4"/>
      <c r="AY2075" s="4"/>
      <c r="AZ2075" s="4"/>
      <c r="BA2075" s="4"/>
      <c r="BB2075" s="4"/>
      <c r="BC2075" s="4"/>
      <c r="BD2075" s="4"/>
      <c r="BE2075" s="4"/>
      <c r="BF2075" s="4"/>
      <c r="BG2075" s="4"/>
      <c r="BH2075" s="4"/>
      <c r="BI2075" s="4"/>
      <c r="BJ2075" s="4"/>
      <c r="BK2075" s="4"/>
      <c r="BL2075" s="4"/>
      <c r="BM2075" s="4"/>
      <c r="BN2075" s="4"/>
      <c r="BO2075" s="4"/>
      <c r="BP2075" s="4"/>
      <c r="BQ2075" s="4"/>
      <c r="BR2075" s="4"/>
      <c r="BS2075" s="4"/>
      <c r="BT2075" s="4"/>
      <c r="BU2075" s="4"/>
      <c r="BV2075" s="4"/>
      <c r="BW2075" s="4"/>
      <c r="BX2075" s="4"/>
      <c r="BY2075" s="4"/>
      <c r="BZ2075" s="4"/>
      <c r="CA2075" s="4"/>
      <c r="CB2075" s="4"/>
      <c r="CC2075" s="4"/>
      <c r="CD2075" s="4"/>
      <c r="CE2075" s="4"/>
      <c r="CF2075" s="4"/>
      <c r="CG2075" s="4"/>
      <c r="CH2075" s="4"/>
      <c r="CI2075" s="4"/>
      <c r="CJ2075" s="4"/>
      <c r="CK2075" s="4"/>
      <c r="CL2075" s="4"/>
      <c r="CM2075" s="4"/>
      <c r="CN2075" s="4"/>
      <c r="CO2075" s="4"/>
      <c r="CP2075" s="4"/>
      <c r="CQ2075" s="4"/>
      <c r="CR2075" s="4"/>
      <c r="CS2075" s="4"/>
      <c r="CT2075" s="4"/>
      <c r="CU2075" s="4"/>
      <c r="CV2075" s="4"/>
      <c r="CW2075" s="4"/>
      <c r="CX2075" s="4"/>
      <c r="CY2075" s="4"/>
      <c r="CZ2075" s="4"/>
      <c r="DA2075" s="4"/>
      <c r="DB2075" s="4"/>
      <c r="DC2075" s="4"/>
      <c r="DD2075" s="4"/>
      <c r="DE2075" s="4"/>
      <c r="DF2075" s="4"/>
      <c r="DG2075" s="4"/>
      <c r="DH2075" s="4"/>
      <c r="DI2075" s="4"/>
      <c r="DJ2075" s="4"/>
      <c r="DK2075" s="4"/>
      <c r="DL2075" s="4"/>
      <c r="DM2075" s="4"/>
      <c r="DN2075" s="4"/>
      <c r="DO2075" s="4"/>
      <c r="DP2075" s="4"/>
      <c r="DQ2075" s="4"/>
      <c r="DR2075" s="4"/>
      <c r="DS2075" s="4"/>
    </row>
    <row r="2076">
      <c r="A2076" s="4"/>
      <c r="B2076" s="4"/>
      <c r="C2076" s="4"/>
      <c r="D2076" s="4"/>
      <c r="E2076" s="4"/>
      <c r="F2076" s="4" t="s">
        <v>17</v>
      </c>
      <c r="G2076" s="15"/>
      <c r="H2076" s="4"/>
      <c r="I2076" s="4"/>
      <c r="J2076" s="4"/>
      <c r="K2076" s="4"/>
      <c r="L2076" s="4"/>
      <c r="M2076" s="4"/>
      <c r="N2076" s="4"/>
      <c r="O2076" s="4"/>
      <c r="P2076" s="4"/>
      <c r="Q2076" s="4"/>
      <c r="R2076" s="4"/>
      <c r="S2076" s="4"/>
      <c r="T2076" s="4"/>
      <c r="U2076" s="4"/>
      <c r="V2076" s="4"/>
      <c r="W2076" s="4"/>
      <c r="X2076" s="4"/>
      <c r="Y2076" s="4"/>
      <c r="Z2076" s="4"/>
      <c r="AA2076" s="4"/>
      <c r="AB2076" s="4"/>
      <c r="AC2076" s="4"/>
      <c r="AD2076" s="4"/>
      <c r="AE2076" s="4"/>
      <c r="AF2076" s="4"/>
      <c r="AG2076" s="4"/>
      <c r="AH2076" s="4"/>
      <c r="AI2076" s="4"/>
      <c r="AJ2076" s="4"/>
      <c r="AK2076" s="4"/>
      <c r="AL2076" s="4"/>
      <c r="AM2076" s="4"/>
      <c r="AN2076" s="4"/>
      <c r="AO2076" s="4"/>
      <c r="AP2076" s="4"/>
      <c r="AQ2076" s="4"/>
      <c r="AR2076" s="4"/>
      <c r="AS2076" s="4"/>
      <c r="AT2076" s="4"/>
      <c r="AU2076" s="4"/>
      <c r="AV2076" s="4"/>
      <c r="AW2076" s="4"/>
      <c r="AX2076" s="4"/>
      <c r="AY2076" s="4"/>
      <c r="AZ2076" s="4"/>
      <c r="BA2076" s="4"/>
      <c r="BB2076" s="4"/>
      <c r="BC2076" s="4"/>
      <c r="BD2076" s="4"/>
      <c r="BE2076" s="4"/>
      <c r="BF2076" s="4"/>
      <c r="BG2076" s="4"/>
      <c r="BH2076" s="4"/>
      <c r="BI2076" s="4"/>
      <c r="BJ2076" s="4"/>
      <c r="BK2076" s="4"/>
      <c r="BL2076" s="4"/>
      <c r="BM2076" s="4"/>
      <c r="BN2076" s="4"/>
      <c r="BO2076" s="4"/>
      <c r="BP2076" s="4"/>
      <c r="BQ2076" s="4"/>
      <c r="BR2076" s="4"/>
      <c r="BS2076" s="4"/>
      <c r="BT2076" s="4"/>
      <c r="BU2076" s="4"/>
      <c r="BV2076" s="4"/>
      <c r="BW2076" s="4"/>
      <c r="BX2076" s="4"/>
      <c r="BY2076" s="4"/>
      <c r="BZ2076" s="4"/>
      <c r="CA2076" s="4"/>
      <c r="CB2076" s="4"/>
      <c r="CC2076" s="4"/>
      <c r="CD2076" s="4"/>
      <c r="CE2076" s="4"/>
      <c r="CF2076" s="4"/>
      <c r="CG2076" s="4"/>
      <c r="CH2076" s="4"/>
      <c r="CI2076" s="4"/>
      <c r="CJ2076" s="4"/>
      <c r="CK2076" s="4"/>
      <c r="CL2076" s="4"/>
      <c r="CM2076" s="4"/>
      <c r="CN2076" s="4"/>
      <c r="CO2076" s="4"/>
      <c r="CP2076" s="4"/>
      <c r="CQ2076" s="4"/>
      <c r="CR2076" s="4"/>
      <c r="CS2076" s="4"/>
      <c r="CT2076" s="4"/>
      <c r="CU2076" s="4"/>
      <c r="CV2076" s="4"/>
      <c r="CW2076" s="4"/>
      <c r="CX2076" s="4"/>
      <c r="CY2076" s="4"/>
      <c r="CZ2076" s="4"/>
      <c r="DA2076" s="4"/>
      <c r="DB2076" s="4"/>
      <c r="DC2076" s="4"/>
      <c r="DD2076" s="4"/>
      <c r="DE2076" s="4"/>
      <c r="DF2076" s="4"/>
      <c r="DG2076" s="4"/>
      <c r="DH2076" s="4"/>
      <c r="DI2076" s="4"/>
      <c r="DJ2076" s="4"/>
      <c r="DK2076" s="4"/>
      <c r="DL2076" s="4"/>
      <c r="DM2076" s="4"/>
      <c r="DN2076" s="4"/>
      <c r="DO2076" s="4"/>
      <c r="DP2076" s="4"/>
      <c r="DQ2076" s="4"/>
      <c r="DR2076" s="4"/>
      <c r="DS2076" s="4"/>
    </row>
    <row r="2077">
      <c r="A2077" s="4"/>
      <c r="B2077" s="4"/>
      <c r="C2077" s="4"/>
      <c r="D2077" s="4"/>
      <c r="E2077" s="4"/>
      <c r="F2077" s="4" t="s">
        <v>17</v>
      </c>
      <c r="G2077" s="15"/>
      <c r="H2077" s="4"/>
      <c r="I2077" s="4"/>
      <c r="J2077" s="4"/>
      <c r="K2077" s="4"/>
      <c r="L2077" s="4"/>
      <c r="M2077" s="4"/>
      <c r="N2077" s="4"/>
      <c r="O2077" s="4"/>
      <c r="P2077" s="4"/>
      <c r="Q2077" s="4"/>
      <c r="R2077" s="4"/>
      <c r="S2077" s="4"/>
      <c r="T2077" s="4"/>
      <c r="U2077" s="4"/>
      <c r="V2077" s="4"/>
      <c r="W2077" s="4"/>
      <c r="X2077" s="4"/>
      <c r="Y2077" s="4"/>
      <c r="Z2077" s="4"/>
      <c r="AA2077" s="4"/>
      <c r="AB2077" s="4"/>
      <c r="AC2077" s="4"/>
      <c r="AD2077" s="4"/>
      <c r="AE2077" s="4"/>
      <c r="AF2077" s="4"/>
      <c r="AG2077" s="4"/>
      <c r="AH2077" s="4"/>
      <c r="AI2077" s="4"/>
      <c r="AJ2077" s="4"/>
      <c r="AK2077" s="4"/>
      <c r="AL2077" s="4"/>
      <c r="AM2077" s="4"/>
      <c r="AN2077" s="4"/>
      <c r="AO2077" s="4"/>
      <c r="AP2077" s="4"/>
      <c r="AQ2077" s="4"/>
      <c r="AR2077" s="4"/>
      <c r="AS2077" s="4"/>
      <c r="AT2077" s="4"/>
      <c r="AU2077" s="4"/>
      <c r="AV2077" s="4"/>
      <c r="AW2077" s="4"/>
      <c r="AX2077" s="4"/>
      <c r="AY2077" s="4"/>
      <c r="AZ2077" s="4"/>
      <c r="BA2077" s="4"/>
      <c r="BB2077" s="4"/>
      <c r="BC2077" s="4"/>
      <c r="BD2077" s="4"/>
      <c r="BE2077" s="4"/>
      <c r="BF2077" s="4"/>
      <c r="BG2077" s="4"/>
      <c r="BH2077" s="4"/>
      <c r="BI2077" s="4"/>
      <c r="BJ2077" s="4"/>
      <c r="BK2077" s="4"/>
      <c r="BL2077" s="4"/>
      <c r="BM2077" s="4"/>
      <c r="BN2077" s="4"/>
      <c r="BO2077" s="4"/>
      <c r="BP2077" s="4"/>
      <c r="BQ2077" s="4"/>
      <c r="BR2077" s="4"/>
      <c r="BS2077" s="4"/>
      <c r="BT2077" s="4"/>
      <c r="BU2077" s="4"/>
      <c r="BV2077" s="4"/>
      <c r="BW2077" s="4"/>
      <c r="BX2077" s="4"/>
      <c r="BY2077" s="4"/>
      <c r="BZ2077" s="4"/>
      <c r="CA2077" s="4"/>
      <c r="CB2077" s="4"/>
      <c r="CC2077" s="4"/>
      <c r="CD2077" s="4"/>
      <c r="CE2077" s="4"/>
      <c r="CF2077" s="4"/>
      <c r="CG2077" s="4"/>
      <c r="CH2077" s="4"/>
      <c r="CI2077" s="4"/>
      <c r="CJ2077" s="4"/>
      <c r="CK2077" s="4"/>
      <c r="CL2077" s="4"/>
      <c r="CM2077" s="4"/>
      <c r="CN2077" s="4"/>
      <c r="CO2077" s="4"/>
      <c r="CP2077" s="4"/>
      <c r="CQ2077" s="4"/>
      <c r="CR2077" s="4"/>
      <c r="CS2077" s="4"/>
      <c r="CT2077" s="4"/>
      <c r="CU2077" s="4"/>
      <c r="CV2077" s="4"/>
      <c r="CW2077" s="4"/>
      <c r="CX2077" s="4"/>
      <c r="CY2077" s="4"/>
      <c r="CZ2077" s="4"/>
      <c r="DA2077" s="4"/>
      <c r="DB2077" s="4"/>
      <c r="DC2077" s="4"/>
      <c r="DD2077" s="4"/>
      <c r="DE2077" s="4"/>
      <c r="DF2077" s="4"/>
      <c r="DG2077" s="4"/>
      <c r="DH2077" s="4"/>
      <c r="DI2077" s="4"/>
      <c r="DJ2077" s="4"/>
      <c r="DK2077" s="4"/>
      <c r="DL2077" s="4"/>
      <c r="DM2077" s="4"/>
      <c r="DN2077" s="4"/>
      <c r="DO2077" s="4"/>
      <c r="DP2077" s="4"/>
      <c r="DQ2077" s="4"/>
      <c r="DR2077" s="4"/>
      <c r="DS2077" s="4"/>
    </row>
    <row r="2078">
      <c r="A2078" s="4"/>
      <c r="B2078" s="4"/>
      <c r="C2078" s="4"/>
      <c r="D2078" s="4"/>
      <c r="E2078" s="4"/>
      <c r="F2078" s="4" t="s">
        <v>17</v>
      </c>
      <c r="G2078" s="15"/>
      <c r="H2078" s="4"/>
      <c r="I2078" s="4"/>
      <c r="J2078" s="4"/>
      <c r="K2078" s="4"/>
      <c r="L2078" s="4"/>
      <c r="M2078" s="4"/>
      <c r="N2078" s="4"/>
      <c r="O2078" s="4"/>
      <c r="P2078" s="4"/>
      <c r="Q2078" s="4"/>
      <c r="R2078" s="4"/>
      <c r="S2078" s="4"/>
      <c r="T2078" s="4"/>
      <c r="U2078" s="4"/>
      <c r="V2078" s="4"/>
      <c r="W2078" s="4"/>
      <c r="X2078" s="4"/>
      <c r="Y2078" s="4"/>
      <c r="Z2078" s="4"/>
      <c r="AA2078" s="4"/>
      <c r="AB2078" s="4"/>
      <c r="AC2078" s="4"/>
      <c r="AD2078" s="4"/>
      <c r="AE2078" s="4"/>
      <c r="AF2078" s="4"/>
      <c r="AG2078" s="4"/>
      <c r="AH2078" s="4"/>
      <c r="AI2078" s="4"/>
      <c r="AJ2078" s="4"/>
      <c r="AK2078" s="4"/>
      <c r="AL2078" s="4"/>
      <c r="AM2078" s="4"/>
      <c r="AN2078" s="4"/>
      <c r="AO2078" s="4"/>
      <c r="AP2078" s="4"/>
      <c r="AQ2078" s="4"/>
      <c r="AR2078" s="4"/>
      <c r="AS2078" s="4"/>
      <c r="AT2078" s="4"/>
      <c r="AU2078" s="4"/>
      <c r="AV2078" s="4"/>
      <c r="AW2078" s="4"/>
      <c r="AX2078" s="4"/>
      <c r="AY2078" s="4"/>
      <c r="AZ2078" s="4"/>
      <c r="BA2078" s="4"/>
      <c r="BB2078" s="4"/>
      <c r="BC2078" s="4"/>
      <c r="BD2078" s="4"/>
      <c r="BE2078" s="4"/>
      <c r="BF2078" s="4"/>
      <c r="BG2078" s="4"/>
      <c r="BH2078" s="4"/>
      <c r="BI2078" s="4"/>
      <c r="BJ2078" s="4"/>
      <c r="BK2078" s="4"/>
      <c r="BL2078" s="4"/>
      <c r="BM2078" s="4"/>
      <c r="BN2078" s="4"/>
      <c r="BO2078" s="4"/>
      <c r="BP2078" s="4"/>
      <c r="BQ2078" s="4"/>
      <c r="BR2078" s="4"/>
      <c r="BS2078" s="4"/>
      <c r="BT2078" s="4"/>
      <c r="BU2078" s="4"/>
      <c r="BV2078" s="4"/>
      <c r="BW2078" s="4"/>
      <c r="BX2078" s="4"/>
      <c r="BY2078" s="4"/>
      <c r="BZ2078" s="4"/>
      <c r="CA2078" s="4"/>
      <c r="CB2078" s="4"/>
      <c r="CC2078" s="4"/>
      <c r="CD2078" s="4"/>
      <c r="CE2078" s="4"/>
      <c r="CF2078" s="4"/>
      <c r="CG2078" s="4"/>
      <c r="CH2078" s="4"/>
      <c r="CI2078" s="4"/>
      <c r="CJ2078" s="4"/>
      <c r="CK2078" s="4"/>
      <c r="CL2078" s="4"/>
      <c r="CM2078" s="4"/>
      <c r="CN2078" s="4"/>
      <c r="CO2078" s="4"/>
      <c r="CP2078" s="4"/>
      <c r="CQ2078" s="4"/>
      <c r="CR2078" s="4"/>
      <c r="CS2078" s="4"/>
      <c r="CT2078" s="4"/>
      <c r="CU2078" s="4"/>
      <c r="CV2078" s="4"/>
      <c r="CW2078" s="4"/>
      <c r="CX2078" s="4"/>
      <c r="CY2078" s="4"/>
      <c r="CZ2078" s="4"/>
      <c r="DA2078" s="4"/>
      <c r="DB2078" s="4"/>
      <c r="DC2078" s="4"/>
      <c r="DD2078" s="4"/>
      <c r="DE2078" s="4"/>
      <c r="DF2078" s="4"/>
      <c r="DG2078" s="4"/>
      <c r="DH2078" s="4"/>
      <c r="DI2078" s="4"/>
      <c r="DJ2078" s="4"/>
      <c r="DK2078" s="4"/>
      <c r="DL2078" s="4"/>
      <c r="DM2078" s="4"/>
      <c r="DN2078" s="4"/>
      <c r="DO2078" s="4"/>
      <c r="DP2078" s="4"/>
      <c r="DQ2078" s="4"/>
      <c r="DR2078" s="4"/>
      <c r="DS2078" s="4"/>
    </row>
    <row r="2079">
      <c r="A2079" s="4"/>
      <c r="B2079" s="4"/>
      <c r="C2079" s="4"/>
      <c r="D2079" s="4"/>
      <c r="E2079" s="4"/>
      <c r="F2079" s="4" t="s">
        <v>17</v>
      </c>
      <c r="G2079" s="15"/>
      <c r="H2079" s="4"/>
      <c r="I2079" s="4"/>
      <c r="J2079" s="4"/>
      <c r="K2079" s="4"/>
      <c r="L2079" s="4"/>
      <c r="M2079" s="4"/>
      <c r="N2079" s="4"/>
      <c r="O2079" s="4"/>
      <c r="P2079" s="4"/>
      <c r="Q2079" s="4"/>
      <c r="R2079" s="4"/>
      <c r="S2079" s="4"/>
      <c r="T2079" s="4"/>
      <c r="U2079" s="4"/>
      <c r="V2079" s="4"/>
      <c r="W2079" s="4"/>
      <c r="X2079" s="4"/>
      <c r="Y2079" s="4"/>
      <c r="Z2079" s="4"/>
      <c r="AA2079" s="4"/>
      <c r="AB2079" s="4"/>
      <c r="AC2079" s="4"/>
      <c r="AD2079" s="4"/>
      <c r="AE2079" s="4"/>
      <c r="AF2079" s="4"/>
      <c r="AG2079" s="4"/>
      <c r="AH2079" s="4"/>
      <c r="AI2079" s="4"/>
      <c r="AJ2079" s="4"/>
      <c r="AK2079" s="4"/>
      <c r="AL2079" s="4"/>
      <c r="AM2079" s="4"/>
      <c r="AN2079" s="4"/>
      <c r="AO2079" s="4"/>
      <c r="AP2079" s="4"/>
      <c r="AQ2079" s="4"/>
      <c r="AR2079" s="4"/>
      <c r="AS2079" s="4"/>
      <c r="AT2079" s="4"/>
      <c r="AU2079" s="4"/>
      <c r="AV2079" s="4"/>
      <c r="AW2079" s="4"/>
      <c r="AX2079" s="4"/>
      <c r="AY2079" s="4"/>
      <c r="AZ2079" s="4"/>
      <c r="BA2079" s="4"/>
      <c r="BB2079" s="4"/>
      <c r="BC2079" s="4"/>
      <c r="BD2079" s="4"/>
      <c r="BE2079" s="4"/>
      <c r="BF2079" s="4"/>
      <c r="BG2079" s="4"/>
      <c r="BH2079" s="4"/>
      <c r="BI2079" s="4"/>
      <c r="BJ2079" s="4"/>
      <c r="BK2079" s="4"/>
      <c r="BL2079" s="4"/>
      <c r="BM2079" s="4"/>
      <c r="BN2079" s="4"/>
      <c r="BO2079" s="4"/>
      <c r="BP2079" s="4"/>
      <c r="BQ2079" s="4"/>
      <c r="BR2079" s="4"/>
      <c r="BS2079" s="4"/>
      <c r="BT2079" s="4"/>
      <c r="BU2079" s="4"/>
      <c r="BV2079" s="4"/>
      <c r="BW2079" s="4"/>
      <c r="BX2079" s="4"/>
      <c r="BY2079" s="4"/>
      <c r="BZ2079" s="4"/>
      <c r="CA2079" s="4"/>
      <c r="CB2079" s="4"/>
      <c r="CC2079" s="4"/>
      <c r="CD2079" s="4"/>
      <c r="CE2079" s="4"/>
      <c r="CF2079" s="4"/>
      <c r="CG2079" s="4"/>
      <c r="CH2079" s="4"/>
      <c r="CI2079" s="4"/>
      <c r="CJ2079" s="4"/>
      <c r="CK2079" s="4"/>
      <c r="CL2079" s="4"/>
      <c r="CM2079" s="4"/>
      <c r="CN2079" s="4"/>
      <c r="CO2079" s="4"/>
      <c r="CP2079" s="4"/>
      <c r="CQ2079" s="4"/>
      <c r="CR2079" s="4"/>
      <c r="CS2079" s="4"/>
      <c r="CT2079" s="4"/>
      <c r="CU2079" s="4"/>
      <c r="CV2079" s="4"/>
      <c r="CW2079" s="4"/>
      <c r="CX2079" s="4"/>
      <c r="CY2079" s="4"/>
      <c r="CZ2079" s="4"/>
      <c r="DA2079" s="4"/>
      <c r="DB2079" s="4"/>
      <c r="DC2079" s="4"/>
      <c r="DD2079" s="4"/>
      <c r="DE2079" s="4"/>
      <c r="DF2079" s="4"/>
      <c r="DG2079" s="4"/>
      <c r="DH2079" s="4"/>
      <c r="DI2079" s="4"/>
      <c r="DJ2079" s="4"/>
      <c r="DK2079" s="4"/>
      <c r="DL2079" s="4"/>
      <c r="DM2079" s="4"/>
      <c r="DN2079" s="4"/>
      <c r="DO2079" s="4"/>
      <c r="DP2079" s="4"/>
      <c r="DQ2079" s="4"/>
      <c r="DR2079" s="4"/>
      <c r="DS2079" s="4"/>
    </row>
    <row r="2080">
      <c r="A2080" s="4"/>
      <c r="B2080" s="4"/>
      <c r="C2080" s="4"/>
      <c r="D2080" s="4"/>
      <c r="E2080" s="4"/>
      <c r="F2080" s="4" t="s">
        <v>17</v>
      </c>
      <c r="G2080" s="15"/>
      <c r="H2080" s="4"/>
      <c r="I2080" s="4"/>
      <c r="J2080" s="4"/>
      <c r="K2080" s="4"/>
      <c r="L2080" s="4"/>
      <c r="M2080" s="4"/>
      <c r="N2080" s="4"/>
      <c r="O2080" s="4"/>
      <c r="P2080" s="4"/>
      <c r="Q2080" s="4"/>
      <c r="R2080" s="4"/>
      <c r="S2080" s="4"/>
      <c r="T2080" s="4"/>
      <c r="U2080" s="4"/>
      <c r="V2080" s="4"/>
      <c r="W2080" s="4"/>
      <c r="X2080" s="4"/>
      <c r="Y2080" s="4"/>
      <c r="Z2080" s="4"/>
      <c r="AA2080" s="4"/>
      <c r="AB2080" s="4"/>
      <c r="AC2080" s="4"/>
      <c r="AD2080" s="4"/>
      <c r="AE2080" s="4"/>
      <c r="AF2080" s="4"/>
      <c r="AG2080" s="4"/>
      <c r="AH2080" s="4"/>
      <c r="AI2080" s="4"/>
      <c r="AJ2080" s="4"/>
      <c r="AK2080" s="4"/>
      <c r="AL2080" s="4"/>
      <c r="AM2080" s="4"/>
      <c r="AN2080" s="4"/>
      <c r="AO2080" s="4"/>
      <c r="AP2080" s="4"/>
      <c r="AQ2080" s="4"/>
      <c r="AR2080" s="4"/>
      <c r="AS2080" s="4"/>
      <c r="AT2080" s="4"/>
      <c r="AU2080" s="4"/>
      <c r="AV2080" s="4"/>
      <c r="AW2080" s="4"/>
      <c r="AX2080" s="4"/>
      <c r="AY2080" s="4"/>
      <c r="AZ2080" s="4"/>
      <c r="BA2080" s="4"/>
      <c r="BB2080" s="4"/>
      <c r="BC2080" s="4"/>
      <c r="BD2080" s="4"/>
      <c r="BE2080" s="4"/>
      <c r="BF2080" s="4"/>
      <c r="BG2080" s="4"/>
      <c r="BH2080" s="4"/>
      <c r="BI2080" s="4"/>
      <c r="BJ2080" s="4"/>
      <c r="BK2080" s="4"/>
      <c r="BL2080" s="4"/>
      <c r="BM2080" s="4"/>
      <c r="BN2080" s="4"/>
      <c r="BO2080" s="4"/>
      <c r="BP2080" s="4"/>
      <c r="BQ2080" s="4"/>
      <c r="BR2080" s="4"/>
      <c r="BS2080" s="4"/>
      <c r="BT2080" s="4"/>
      <c r="BU2080" s="4"/>
      <c r="BV2080" s="4"/>
      <c r="BW2080" s="4"/>
      <c r="BX2080" s="4"/>
      <c r="BY2080" s="4"/>
      <c r="BZ2080" s="4"/>
      <c r="CA2080" s="4"/>
      <c r="CB2080" s="4"/>
      <c r="CC2080" s="4"/>
      <c r="CD2080" s="4"/>
      <c r="CE2080" s="4"/>
      <c r="CF2080" s="4"/>
      <c r="CG2080" s="4"/>
      <c r="CH2080" s="4"/>
      <c r="CI2080" s="4"/>
      <c r="CJ2080" s="4"/>
      <c r="CK2080" s="4"/>
      <c r="CL2080" s="4"/>
      <c r="CM2080" s="4"/>
      <c r="CN2080" s="4"/>
      <c r="CO2080" s="4"/>
      <c r="CP2080" s="4"/>
      <c r="CQ2080" s="4"/>
      <c r="CR2080" s="4"/>
      <c r="CS2080" s="4"/>
      <c r="CT2080" s="4"/>
      <c r="CU2080" s="4"/>
      <c r="CV2080" s="4"/>
      <c r="CW2080" s="4"/>
      <c r="CX2080" s="4"/>
      <c r="CY2080" s="4"/>
      <c r="CZ2080" s="4"/>
      <c r="DA2080" s="4"/>
      <c r="DB2080" s="4"/>
      <c r="DC2080" s="4"/>
      <c r="DD2080" s="4"/>
      <c r="DE2080" s="4"/>
      <c r="DF2080" s="4"/>
      <c r="DG2080" s="4"/>
      <c r="DH2080" s="4"/>
      <c r="DI2080" s="4"/>
      <c r="DJ2080" s="4"/>
      <c r="DK2080" s="4"/>
      <c r="DL2080" s="4"/>
      <c r="DM2080" s="4"/>
      <c r="DN2080" s="4"/>
      <c r="DO2080" s="4"/>
      <c r="DP2080" s="4"/>
      <c r="DQ2080" s="4"/>
      <c r="DR2080" s="4"/>
      <c r="DS2080" s="4"/>
    </row>
    <row r="2081">
      <c r="A2081" s="4"/>
      <c r="B2081" s="4"/>
      <c r="C2081" s="4"/>
      <c r="D2081" s="4"/>
      <c r="E2081" s="4"/>
      <c r="F2081" s="4" t="s">
        <v>17</v>
      </c>
      <c r="G2081" s="15"/>
      <c r="H2081" s="4"/>
      <c r="I2081" s="4"/>
      <c r="J2081" s="4"/>
      <c r="K2081" s="4"/>
      <c r="L2081" s="4"/>
      <c r="M2081" s="4"/>
      <c r="N2081" s="4"/>
      <c r="O2081" s="4"/>
      <c r="P2081" s="4"/>
      <c r="Q2081" s="4"/>
      <c r="R2081" s="4"/>
      <c r="S2081" s="4"/>
      <c r="T2081" s="4"/>
      <c r="U2081" s="4"/>
      <c r="V2081" s="4"/>
      <c r="W2081" s="4"/>
      <c r="X2081" s="4"/>
      <c r="Y2081" s="4"/>
      <c r="Z2081" s="4"/>
      <c r="AA2081" s="4"/>
      <c r="AB2081" s="4"/>
      <c r="AC2081" s="4"/>
      <c r="AD2081" s="4"/>
      <c r="AE2081" s="4"/>
      <c r="AF2081" s="4"/>
      <c r="AG2081" s="4"/>
      <c r="AH2081" s="4"/>
      <c r="AI2081" s="4"/>
      <c r="AJ2081" s="4"/>
      <c r="AK2081" s="4"/>
      <c r="AL2081" s="4"/>
      <c r="AM2081" s="4"/>
      <c r="AN2081" s="4"/>
      <c r="AO2081" s="4"/>
      <c r="AP2081" s="4"/>
      <c r="AQ2081" s="4"/>
      <c r="AR2081" s="4"/>
      <c r="AS2081" s="4"/>
      <c r="AT2081" s="4"/>
      <c r="AU2081" s="4"/>
      <c r="AV2081" s="4"/>
      <c r="AW2081" s="4"/>
      <c r="AX2081" s="4"/>
      <c r="AY2081" s="4"/>
      <c r="AZ2081" s="4"/>
      <c r="BA2081" s="4"/>
      <c r="BB2081" s="4"/>
      <c r="BC2081" s="4"/>
      <c r="BD2081" s="4"/>
      <c r="BE2081" s="4"/>
      <c r="BF2081" s="4"/>
      <c r="BG2081" s="4"/>
      <c r="BH2081" s="4"/>
      <c r="BI2081" s="4"/>
      <c r="BJ2081" s="4"/>
      <c r="BK2081" s="4"/>
      <c r="BL2081" s="4"/>
      <c r="BM2081" s="4"/>
      <c r="BN2081" s="4"/>
      <c r="BO2081" s="4"/>
      <c r="BP2081" s="4"/>
      <c r="BQ2081" s="4"/>
      <c r="BR2081" s="4"/>
      <c r="BS2081" s="4"/>
      <c r="BT2081" s="4"/>
      <c r="BU2081" s="4"/>
      <c r="BV2081" s="4"/>
      <c r="BW2081" s="4"/>
      <c r="BX2081" s="4"/>
      <c r="BY2081" s="4"/>
      <c r="BZ2081" s="4"/>
      <c r="CA2081" s="4"/>
      <c r="CB2081" s="4"/>
      <c r="CC2081" s="4"/>
      <c r="CD2081" s="4"/>
      <c r="CE2081" s="4"/>
      <c r="CF2081" s="4"/>
      <c r="CG2081" s="4"/>
      <c r="CH2081" s="4"/>
      <c r="CI2081" s="4"/>
      <c r="CJ2081" s="4"/>
      <c r="CK2081" s="4"/>
      <c r="CL2081" s="4"/>
      <c r="CM2081" s="4"/>
      <c r="CN2081" s="4"/>
      <c r="CO2081" s="4"/>
      <c r="CP2081" s="4"/>
      <c r="CQ2081" s="4"/>
      <c r="CR2081" s="4"/>
      <c r="CS2081" s="4"/>
      <c r="CT2081" s="4"/>
      <c r="CU2081" s="4"/>
      <c r="CV2081" s="4"/>
      <c r="CW2081" s="4"/>
      <c r="CX2081" s="4"/>
      <c r="CY2081" s="4"/>
      <c r="CZ2081" s="4"/>
      <c r="DA2081" s="4"/>
      <c r="DB2081" s="4"/>
      <c r="DC2081" s="4"/>
      <c r="DD2081" s="4"/>
      <c r="DE2081" s="4"/>
      <c r="DF2081" s="4"/>
      <c r="DG2081" s="4"/>
      <c r="DH2081" s="4"/>
      <c r="DI2081" s="4"/>
      <c r="DJ2081" s="4"/>
      <c r="DK2081" s="4"/>
      <c r="DL2081" s="4"/>
      <c r="DM2081" s="4"/>
      <c r="DN2081" s="4"/>
      <c r="DO2081" s="4"/>
      <c r="DP2081" s="4"/>
      <c r="DQ2081" s="4"/>
      <c r="DR2081" s="4"/>
      <c r="DS2081" s="4"/>
    </row>
    <row r="2082">
      <c r="A2082" s="4"/>
      <c r="B2082" s="4"/>
      <c r="C2082" s="4"/>
      <c r="D2082" s="4"/>
      <c r="E2082" s="4"/>
      <c r="F2082" s="4" t="s">
        <v>17</v>
      </c>
      <c r="G2082" s="15"/>
      <c r="H2082" s="4"/>
      <c r="I2082" s="4"/>
      <c r="J2082" s="4"/>
      <c r="K2082" s="4"/>
      <c r="L2082" s="4"/>
      <c r="M2082" s="4"/>
      <c r="N2082" s="4"/>
      <c r="O2082" s="4"/>
      <c r="P2082" s="4"/>
      <c r="Q2082" s="4"/>
      <c r="R2082" s="4"/>
      <c r="S2082" s="4"/>
      <c r="T2082" s="4"/>
      <c r="U2082" s="4"/>
      <c r="V2082" s="4"/>
      <c r="W2082" s="4"/>
      <c r="X2082" s="4"/>
      <c r="Y2082" s="4"/>
      <c r="Z2082" s="4"/>
      <c r="AA2082" s="4"/>
      <c r="AB2082" s="4"/>
      <c r="AC2082" s="4"/>
      <c r="AD2082" s="4"/>
      <c r="AE2082" s="4"/>
      <c r="AF2082" s="4"/>
      <c r="AG2082" s="4"/>
      <c r="AH2082" s="4"/>
      <c r="AI2082" s="4"/>
      <c r="AJ2082" s="4"/>
      <c r="AK2082" s="4"/>
      <c r="AL2082" s="4"/>
      <c r="AM2082" s="4"/>
      <c r="AN2082" s="4"/>
      <c r="AO2082" s="4"/>
      <c r="AP2082" s="4"/>
      <c r="AQ2082" s="4"/>
      <c r="AR2082" s="4"/>
      <c r="AS2082" s="4"/>
      <c r="AT2082" s="4"/>
      <c r="AU2082" s="4"/>
      <c r="AV2082" s="4"/>
      <c r="AW2082" s="4"/>
      <c r="AX2082" s="4"/>
      <c r="AY2082" s="4"/>
      <c r="AZ2082" s="4"/>
      <c r="BA2082" s="4"/>
      <c r="BB2082" s="4"/>
      <c r="BC2082" s="4"/>
      <c r="BD2082" s="4"/>
      <c r="BE2082" s="4"/>
      <c r="BF2082" s="4"/>
      <c r="BG2082" s="4"/>
      <c r="BH2082" s="4"/>
      <c r="BI2082" s="4"/>
      <c r="BJ2082" s="4"/>
      <c r="BK2082" s="4"/>
      <c r="BL2082" s="4"/>
      <c r="BM2082" s="4"/>
      <c r="BN2082" s="4"/>
      <c r="BO2082" s="4"/>
      <c r="BP2082" s="4"/>
      <c r="BQ2082" s="4"/>
      <c r="BR2082" s="4"/>
      <c r="BS2082" s="4"/>
      <c r="BT2082" s="4"/>
      <c r="BU2082" s="4"/>
      <c r="BV2082" s="4"/>
      <c r="BW2082" s="4"/>
      <c r="BX2082" s="4"/>
      <c r="BY2082" s="4"/>
      <c r="BZ2082" s="4"/>
      <c r="CA2082" s="4"/>
      <c r="CB2082" s="4"/>
      <c r="CC2082" s="4"/>
      <c r="CD2082" s="4"/>
      <c r="CE2082" s="4"/>
      <c r="CF2082" s="4"/>
      <c r="CG2082" s="4"/>
      <c r="CH2082" s="4"/>
      <c r="CI2082" s="4"/>
      <c r="CJ2082" s="4"/>
      <c r="CK2082" s="4"/>
      <c r="CL2082" s="4"/>
      <c r="CM2082" s="4"/>
      <c r="CN2082" s="4"/>
      <c r="CO2082" s="4"/>
      <c r="CP2082" s="4"/>
      <c r="CQ2082" s="4"/>
      <c r="CR2082" s="4"/>
      <c r="CS2082" s="4"/>
      <c r="CT2082" s="4"/>
      <c r="CU2082" s="4"/>
      <c r="CV2082" s="4"/>
      <c r="CW2082" s="4"/>
      <c r="CX2082" s="4"/>
      <c r="CY2082" s="4"/>
      <c r="CZ2082" s="4"/>
      <c r="DA2082" s="4"/>
      <c r="DB2082" s="4"/>
      <c r="DC2082" s="4"/>
      <c r="DD2082" s="4"/>
      <c r="DE2082" s="4"/>
      <c r="DF2082" s="4"/>
      <c r="DG2082" s="4"/>
      <c r="DH2082" s="4"/>
      <c r="DI2082" s="4"/>
      <c r="DJ2082" s="4"/>
      <c r="DK2082" s="4"/>
      <c r="DL2082" s="4"/>
      <c r="DM2082" s="4"/>
      <c r="DN2082" s="4"/>
      <c r="DO2082" s="4"/>
      <c r="DP2082" s="4"/>
      <c r="DQ2082" s="4"/>
      <c r="DR2082" s="4"/>
      <c r="DS2082" s="4"/>
    </row>
    <row r="2083">
      <c r="A2083" s="4"/>
      <c r="B2083" s="4"/>
      <c r="C2083" s="4"/>
      <c r="D2083" s="4"/>
      <c r="E2083" s="4"/>
      <c r="F2083" s="4" t="s">
        <v>17</v>
      </c>
      <c r="G2083" s="15"/>
      <c r="H2083" s="4"/>
      <c r="I2083" s="4"/>
      <c r="J2083" s="4"/>
      <c r="K2083" s="4"/>
      <c r="L2083" s="4"/>
      <c r="M2083" s="4"/>
      <c r="N2083" s="4"/>
      <c r="O2083" s="4"/>
      <c r="P2083" s="4"/>
      <c r="Q2083" s="4"/>
      <c r="R2083" s="4"/>
      <c r="S2083" s="4"/>
      <c r="T2083" s="4"/>
      <c r="U2083" s="4"/>
      <c r="V2083" s="4"/>
      <c r="W2083" s="4"/>
      <c r="X2083" s="4"/>
      <c r="Y2083" s="4"/>
      <c r="Z2083" s="4"/>
      <c r="AA2083" s="4"/>
      <c r="AB2083" s="4"/>
      <c r="AC2083" s="4"/>
      <c r="AD2083" s="4"/>
      <c r="AE2083" s="4"/>
      <c r="AF2083" s="4"/>
      <c r="AG2083" s="4"/>
      <c r="AH2083" s="4"/>
      <c r="AI2083" s="4"/>
      <c r="AJ2083" s="4"/>
      <c r="AK2083" s="4"/>
      <c r="AL2083" s="4"/>
      <c r="AM2083" s="4"/>
      <c r="AN2083" s="4"/>
      <c r="AO2083" s="4"/>
      <c r="AP2083" s="4"/>
      <c r="AQ2083" s="4"/>
      <c r="AR2083" s="4"/>
      <c r="AS2083" s="4"/>
      <c r="AT2083" s="4"/>
      <c r="AU2083" s="4"/>
      <c r="AV2083" s="4"/>
      <c r="AW2083" s="4"/>
      <c r="AX2083" s="4"/>
      <c r="AY2083" s="4"/>
      <c r="AZ2083" s="4"/>
      <c r="BA2083" s="4"/>
      <c r="BB2083" s="4"/>
      <c r="BC2083" s="4"/>
      <c r="BD2083" s="4"/>
      <c r="BE2083" s="4"/>
      <c r="BF2083" s="4"/>
      <c r="BG2083" s="4"/>
      <c r="BH2083" s="4"/>
      <c r="BI2083" s="4"/>
      <c r="BJ2083" s="4"/>
      <c r="BK2083" s="4"/>
      <c r="BL2083" s="4"/>
      <c r="BM2083" s="4"/>
      <c r="BN2083" s="4"/>
      <c r="BO2083" s="4"/>
      <c r="BP2083" s="4"/>
      <c r="BQ2083" s="4"/>
      <c r="BR2083" s="4"/>
      <c r="BS2083" s="4"/>
      <c r="BT2083" s="4"/>
      <c r="BU2083" s="4"/>
      <c r="BV2083" s="4"/>
      <c r="BW2083" s="4"/>
      <c r="BX2083" s="4"/>
      <c r="BY2083" s="4"/>
      <c r="BZ2083" s="4"/>
      <c r="CA2083" s="4"/>
      <c r="CB2083" s="4"/>
      <c r="CC2083" s="4"/>
      <c r="CD2083" s="4"/>
      <c r="CE2083" s="4"/>
      <c r="CF2083" s="4"/>
      <c r="CG2083" s="4"/>
      <c r="CH2083" s="4"/>
      <c r="CI2083" s="4"/>
      <c r="CJ2083" s="4"/>
      <c r="CK2083" s="4"/>
      <c r="CL2083" s="4"/>
      <c r="CM2083" s="4"/>
      <c r="CN2083" s="4"/>
      <c r="CO2083" s="4"/>
      <c r="CP2083" s="4"/>
      <c r="CQ2083" s="4"/>
      <c r="CR2083" s="4"/>
      <c r="CS2083" s="4"/>
      <c r="CT2083" s="4"/>
      <c r="CU2083" s="4"/>
      <c r="CV2083" s="4"/>
      <c r="CW2083" s="4"/>
      <c r="CX2083" s="4"/>
      <c r="CY2083" s="4"/>
      <c r="CZ2083" s="4"/>
      <c r="DA2083" s="4"/>
      <c r="DB2083" s="4"/>
      <c r="DC2083" s="4"/>
      <c r="DD2083" s="4"/>
      <c r="DE2083" s="4"/>
      <c r="DF2083" s="4"/>
      <c r="DG2083" s="4"/>
      <c r="DH2083" s="4"/>
      <c r="DI2083" s="4"/>
      <c r="DJ2083" s="4"/>
      <c r="DK2083" s="4"/>
      <c r="DL2083" s="4"/>
      <c r="DM2083" s="4"/>
      <c r="DN2083" s="4"/>
      <c r="DO2083" s="4"/>
      <c r="DP2083" s="4"/>
      <c r="DQ2083" s="4"/>
      <c r="DR2083" s="4"/>
      <c r="DS2083" s="4"/>
    </row>
    <row r="2084">
      <c r="A2084" s="4"/>
      <c r="B2084" s="4"/>
      <c r="C2084" s="4"/>
      <c r="D2084" s="4"/>
      <c r="E2084" s="4"/>
      <c r="F2084" s="4" t="s">
        <v>17</v>
      </c>
      <c r="G2084" s="15"/>
      <c r="H2084" s="4"/>
      <c r="I2084" s="4"/>
      <c r="J2084" s="4"/>
      <c r="K2084" s="4"/>
      <c r="L2084" s="4"/>
      <c r="M2084" s="4"/>
      <c r="N2084" s="4"/>
      <c r="O2084" s="4"/>
      <c r="P2084" s="4"/>
      <c r="Q2084" s="4"/>
      <c r="R2084" s="4"/>
      <c r="S2084" s="4"/>
      <c r="T2084" s="4"/>
      <c r="U2084" s="4"/>
      <c r="V2084" s="4"/>
      <c r="W2084" s="4"/>
      <c r="X2084" s="4"/>
      <c r="Y2084" s="4"/>
      <c r="Z2084" s="4"/>
      <c r="AA2084" s="4"/>
      <c r="AB2084" s="4"/>
      <c r="AC2084" s="4"/>
      <c r="AD2084" s="4"/>
      <c r="AE2084" s="4"/>
      <c r="AF2084" s="4"/>
      <c r="AG2084" s="4"/>
      <c r="AH2084" s="4"/>
      <c r="AI2084" s="4"/>
      <c r="AJ2084" s="4"/>
      <c r="AK2084" s="4"/>
      <c r="AL2084" s="4"/>
      <c r="AM2084" s="4"/>
      <c r="AN2084" s="4"/>
      <c r="AO2084" s="4"/>
      <c r="AP2084" s="4"/>
      <c r="AQ2084" s="4"/>
      <c r="AR2084" s="4"/>
      <c r="AS2084" s="4"/>
      <c r="AT2084" s="4"/>
      <c r="AU2084" s="4"/>
      <c r="AV2084" s="4"/>
      <c r="AW2084" s="4"/>
      <c r="AX2084" s="4"/>
      <c r="AY2084" s="4"/>
      <c r="AZ2084" s="4"/>
      <c r="BA2084" s="4"/>
      <c r="BB2084" s="4"/>
      <c r="BC2084" s="4"/>
      <c r="BD2084" s="4"/>
      <c r="BE2084" s="4"/>
      <c r="BF2084" s="4"/>
      <c r="BG2084" s="4"/>
      <c r="BH2084" s="4"/>
      <c r="BI2084" s="4"/>
      <c r="BJ2084" s="4"/>
      <c r="BK2084" s="4"/>
      <c r="BL2084" s="4"/>
      <c r="BM2084" s="4"/>
      <c r="BN2084" s="4"/>
      <c r="BO2084" s="4"/>
      <c r="BP2084" s="4"/>
      <c r="BQ2084" s="4"/>
      <c r="BR2084" s="4"/>
      <c r="BS2084" s="4"/>
      <c r="BT2084" s="4"/>
      <c r="BU2084" s="4"/>
      <c r="BV2084" s="4"/>
      <c r="BW2084" s="4"/>
      <c r="BX2084" s="4"/>
      <c r="BY2084" s="4"/>
      <c r="BZ2084" s="4"/>
      <c r="CA2084" s="4"/>
      <c r="CB2084" s="4"/>
      <c r="CC2084" s="4"/>
      <c r="CD2084" s="4"/>
      <c r="CE2084" s="4"/>
      <c r="CF2084" s="4"/>
      <c r="CG2084" s="4"/>
      <c r="CH2084" s="4"/>
      <c r="CI2084" s="4"/>
      <c r="CJ2084" s="4"/>
      <c r="CK2084" s="4"/>
      <c r="CL2084" s="4"/>
      <c r="CM2084" s="4"/>
      <c r="CN2084" s="4"/>
      <c r="CO2084" s="4"/>
      <c r="CP2084" s="4"/>
      <c r="CQ2084" s="4"/>
      <c r="CR2084" s="4"/>
      <c r="CS2084" s="4"/>
      <c r="CT2084" s="4"/>
      <c r="CU2084" s="4"/>
      <c r="CV2084" s="4"/>
      <c r="CW2084" s="4"/>
      <c r="CX2084" s="4"/>
      <c r="CY2084" s="4"/>
      <c r="CZ2084" s="4"/>
      <c r="DA2084" s="4"/>
      <c r="DB2084" s="4"/>
      <c r="DC2084" s="4"/>
      <c r="DD2084" s="4"/>
      <c r="DE2084" s="4"/>
      <c r="DF2084" s="4"/>
      <c r="DG2084" s="4"/>
      <c r="DH2084" s="4"/>
      <c r="DI2084" s="4"/>
      <c r="DJ2084" s="4"/>
      <c r="DK2084" s="4"/>
      <c r="DL2084" s="4"/>
      <c r="DM2084" s="4"/>
      <c r="DN2084" s="4"/>
      <c r="DO2084" s="4"/>
      <c r="DP2084" s="4"/>
      <c r="DQ2084" s="4"/>
      <c r="DR2084" s="4"/>
      <c r="DS2084" s="4"/>
    </row>
    <row r="2085">
      <c r="A2085" s="4"/>
      <c r="B2085" s="4"/>
      <c r="C2085" s="4"/>
      <c r="D2085" s="4"/>
      <c r="E2085" s="4"/>
      <c r="F2085" s="4" t="s">
        <v>17</v>
      </c>
      <c r="G2085" s="15"/>
      <c r="H2085" s="4"/>
      <c r="I2085" s="4"/>
      <c r="J2085" s="4"/>
      <c r="K2085" s="4"/>
      <c r="L2085" s="4"/>
      <c r="M2085" s="4"/>
      <c r="N2085" s="4"/>
      <c r="O2085" s="4"/>
      <c r="P2085" s="4"/>
      <c r="Q2085" s="4"/>
      <c r="R2085" s="4"/>
      <c r="S2085" s="4"/>
      <c r="T2085" s="4"/>
      <c r="U2085" s="4"/>
      <c r="V2085" s="4"/>
      <c r="W2085" s="4"/>
      <c r="X2085" s="4"/>
      <c r="Y2085" s="4"/>
      <c r="Z2085" s="4"/>
      <c r="AA2085" s="4"/>
      <c r="AB2085" s="4"/>
      <c r="AC2085" s="4"/>
      <c r="AD2085" s="4"/>
      <c r="AE2085" s="4"/>
      <c r="AF2085" s="4"/>
      <c r="AG2085" s="4"/>
      <c r="AH2085" s="4"/>
      <c r="AI2085" s="4"/>
      <c r="AJ2085" s="4"/>
      <c r="AK2085" s="4"/>
      <c r="AL2085" s="4"/>
      <c r="AM2085" s="4"/>
      <c r="AN2085" s="4"/>
      <c r="AO2085" s="4"/>
      <c r="AP2085" s="4"/>
      <c r="AQ2085" s="4"/>
      <c r="AR2085" s="4"/>
      <c r="AS2085" s="4"/>
      <c r="AT2085" s="4"/>
      <c r="AU2085" s="4"/>
      <c r="AV2085" s="4"/>
      <c r="AW2085" s="4"/>
      <c r="AX2085" s="4"/>
      <c r="AY2085" s="4"/>
      <c r="AZ2085" s="4"/>
      <c r="BA2085" s="4"/>
      <c r="BB2085" s="4"/>
      <c r="BC2085" s="4"/>
      <c r="BD2085" s="4"/>
      <c r="BE2085" s="4"/>
      <c r="BF2085" s="4"/>
      <c r="BG2085" s="4"/>
      <c r="BH2085" s="4"/>
      <c r="BI2085" s="4"/>
      <c r="BJ2085" s="4"/>
      <c r="BK2085" s="4"/>
      <c r="BL2085" s="4"/>
      <c r="BM2085" s="4"/>
      <c r="BN2085" s="4"/>
      <c r="BO2085" s="4"/>
      <c r="BP2085" s="4"/>
      <c r="BQ2085" s="4"/>
      <c r="BR2085" s="4"/>
      <c r="BS2085" s="4"/>
      <c r="BT2085" s="4"/>
      <c r="BU2085" s="4"/>
      <c r="BV2085" s="4"/>
      <c r="BW2085" s="4"/>
      <c r="BX2085" s="4"/>
      <c r="BY2085" s="4"/>
      <c r="BZ2085" s="4"/>
      <c r="CA2085" s="4"/>
      <c r="CB2085" s="4"/>
      <c r="CC2085" s="4"/>
      <c r="CD2085" s="4"/>
      <c r="CE2085" s="4"/>
      <c r="CF2085" s="4"/>
      <c r="CG2085" s="4"/>
      <c r="CH2085" s="4"/>
      <c r="CI2085" s="4"/>
      <c r="CJ2085" s="4"/>
      <c r="CK2085" s="4"/>
      <c r="CL2085" s="4"/>
      <c r="CM2085" s="4"/>
      <c r="CN2085" s="4"/>
      <c r="CO2085" s="4"/>
      <c r="CP2085" s="4"/>
      <c r="CQ2085" s="4"/>
      <c r="CR2085" s="4"/>
      <c r="CS2085" s="4"/>
      <c r="CT2085" s="4"/>
      <c r="CU2085" s="4"/>
      <c r="CV2085" s="4"/>
      <c r="CW2085" s="4"/>
      <c r="CX2085" s="4"/>
      <c r="CY2085" s="4"/>
      <c r="CZ2085" s="4"/>
      <c r="DA2085" s="4"/>
      <c r="DB2085" s="4"/>
      <c r="DC2085" s="4"/>
      <c r="DD2085" s="4"/>
      <c r="DE2085" s="4"/>
      <c r="DF2085" s="4"/>
      <c r="DG2085" s="4"/>
      <c r="DH2085" s="4"/>
      <c r="DI2085" s="4"/>
      <c r="DJ2085" s="4"/>
      <c r="DK2085" s="4"/>
      <c r="DL2085" s="4"/>
      <c r="DM2085" s="4"/>
      <c r="DN2085" s="4"/>
      <c r="DO2085" s="4"/>
      <c r="DP2085" s="4"/>
      <c r="DQ2085" s="4"/>
      <c r="DR2085" s="4"/>
      <c r="DS2085" s="4"/>
    </row>
    <row r="2086">
      <c r="A2086" s="4"/>
      <c r="B2086" s="4"/>
      <c r="C2086" s="4"/>
      <c r="D2086" s="4"/>
      <c r="E2086" s="4"/>
      <c r="F2086" s="4" t="s">
        <v>17</v>
      </c>
      <c r="G2086" s="15"/>
      <c r="H2086" s="4"/>
      <c r="I2086" s="4"/>
      <c r="J2086" s="4"/>
      <c r="K2086" s="4"/>
      <c r="L2086" s="4"/>
      <c r="M2086" s="4"/>
      <c r="N2086" s="4"/>
      <c r="O2086" s="4"/>
      <c r="P2086" s="4"/>
      <c r="Q2086" s="4"/>
      <c r="R2086" s="4"/>
      <c r="S2086" s="4"/>
      <c r="T2086" s="4"/>
      <c r="U2086" s="4"/>
      <c r="V2086" s="4"/>
      <c r="W2086" s="4"/>
      <c r="X2086" s="4"/>
      <c r="Y2086" s="4"/>
      <c r="Z2086" s="4"/>
      <c r="AA2086" s="4"/>
      <c r="AB2086" s="4"/>
      <c r="AC2086" s="4"/>
      <c r="AD2086" s="4"/>
      <c r="AE2086" s="4"/>
      <c r="AF2086" s="4"/>
      <c r="AG2086" s="4"/>
      <c r="AH2086" s="4"/>
      <c r="AI2086" s="4"/>
      <c r="AJ2086" s="4"/>
      <c r="AK2086" s="4"/>
      <c r="AL2086" s="4"/>
      <c r="AM2086" s="4"/>
      <c r="AN2086" s="4"/>
      <c r="AO2086" s="4"/>
      <c r="AP2086" s="4"/>
      <c r="AQ2086" s="4"/>
      <c r="AR2086" s="4"/>
      <c r="AS2086" s="4"/>
      <c r="AT2086" s="4"/>
      <c r="AU2086" s="4"/>
      <c r="AV2086" s="4"/>
      <c r="AW2086" s="4"/>
      <c r="AX2086" s="4"/>
      <c r="AY2086" s="4"/>
      <c r="AZ2086" s="4"/>
      <c r="BA2086" s="4"/>
      <c r="BB2086" s="4"/>
      <c r="BC2086" s="4"/>
      <c r="BD2086" s="4"/>
      <c r="BE2086" s="4"/>
      <c r="BF2086" s="4"/>
      <c r="BG2086" s="4"/>
      <c r="BH2086" s="4"/>
      <c r="BI2086" s="4"/>
      <c r="BJ2086" s="4"/>
      <c r="BK2086" s="4"/>
      <c r="BL2086" s="4"/>
      <c r="BM2086" s="4"/>
      <c r="BN2086" s="4"/>
      <c r="BO2086" s="4"/>
      <c r="BP2086" s="4"/>
      <c r="BQ2086" s="4"/>
      <c r="BR2086" s="4"/>
      <c r="BS2086" s="4"/>
      <c r="BT2086" s="4"/>
      <c r="BU2086" s="4"/>
      <c r="BV2086" s="4"/>
      <c r="BW2086" s="4"/>
      <c r="BX2086" s="4"/>
      <c r="BY2086" s="4"/>
      <c r="BZ2086" s="4"/>
      <c r="CA2086" s="4"/>
      <c r="CB2086" s="4"/>
      <c r="CC2086" s="4"/>
      <c r="CD2086" s="4"/>
      <c r="CE2086" s="4"/>
      <c r="CF2086" s="4"/>
      <c r="CG2086" s="4"/>
      <c r="CH2086" s="4"/>
      <c r="CI2086" s="4"/>
      <c r="CJ2086" s="4"/>
      <c r="CK2086" s="4"/>
      <c r="CL2086" s="4"/>
      <c r="CM2086" s="4"/>
      <c r="CN2086" s="4"/>
      <c r="CO2086" s="4"/>
      <c r="CP2086" s="4"/>
      <c r="CQ2086" s="4"/>
      <c r="CR2086" s="4"/>
      <c r="CS2086" s="4"/>
      <c r="CT2086" s="4"/>
      <c r="CU2086" s="4"/>
      <c r="CV2086" s="4"/>
      <c r="CW2086" s="4"/>
      <c r="CX2086" s="4"/>
      <c r="CY2086" s="4"/>
      <c r="CZ2086" s="4"/>
      <c r="DA2086" s="4"/>
      <c r="DB2086" s="4"/>
      <c r="DC2086" s="4"/>
      <c r="DD2086" s="4"/>
      <c r="DE2086" s="4"/>
      <c r="DF2086" s="4"/>
      <c r="DG2086" s="4"/>
      <c r="DH2086" s="4"/>
      <c r="DI2086" s="4"/>
      <c r="DJ2086" s="4"/>
      <c r="DK2086" s="4"/>
      <c r="DL2086" s="4"/>
      <c r="DM2086" s="4"/>
      <c r="DN2086" s="4"/>
      <c r="DO2086" s="4"/>
      <c r="DP2086" s="4"/>
      <c r="DQ2086" s="4"/>
      <c r="DR2086" s="4"/>
      <c r="DS2086" s="4"/>
    </row>
    <row r="2087">
      <c r="A2087" s="4"/>
      <c r="B2087" s="4"/>
      <c r="C2087" s="4"/>
      <c r="D2087" s="4"/>
      <c r="E2087" s="4"/>
      <c r="F2087" s="4" t="s">
        <v>17</v>
      </c>
      <c r="G2087" s="15"/>
      <c r="H2087" s="4"/>
      <c r="I2087" s="4"/>
      <c r="J2087" s="4"/>
      <c r="K2087" s="4"/>
      <c r="L2087" s="4"/>
      <c r="M2087" s="4"/>
      <c r="N2087" s="4"/>
      <c r="O2087" s="4"/>
      <c r="P2087" s="4"/>
      <c r="Q2087" s="4"/>
      <c r="R2087" s="4"/>
      <c r="S2087" s="4"/>
      <c r="T2087" s="4"/>
      <c r="U2087" s="4"/>
      <c r="V2087" s="4"/>
      <c r="W2087" s="4"/>
      <c r="X2087" s="4"/>
      <c r="Y2087" s="4"/>
      <c r="Z2087" s="4"/>
      <c r="AA2087" s="4"/>
      <c r="AB2087" s="4"/>
      <c r="AC2087" s="4"/>
      <c r="AD2087" s="4"/>
      <c r="AE2087" s="4"/>
      <c r="AF2087" s="4"/>
      <c r="AG2087" s="4"/>
      <c r="AH2087" s="4"/>
      <c r="AI2087" s="4"/>
      <c r="AJ2087" s="4"/>
      <c r="AK2087" s="4"/>
      <c r="AL2087" s="4"/>
      <c r="AM2087" s="4"/>
      <c r="AN2087" s="4"/>
      <c r="AO2087" s="4"/>
      <c r="AP2087" s="4"/>
      <c r="AQ2087" s="4"/>
      <c r="AR2087" s="4"/>
      <c r="AS2087" s="4"/>
      <c r="AT2087" s="4"/>
      <c r="AU2087" s="4"/>
      <c r="AV2087" s="4"/>
      <c r="AW2087" s="4"/>
      <c r="AX2087" s="4"/>
      <c r="AY2087" s="4"/>
      <c r="AZ2087" s="4"/>
      <c r="BA2087" s="4"/>
      <c r="BB2087" s="4"/>
      <c r="BC2087" s="4"/>
      <c r="BD2087" s="4"/>
      <c r="BE2087" s="4"/>
      <c r="BF2087" s="4"/>
      <c r="BG2087" s="4"/>
      <c r="BH2087" s="4"/>
      <c r="BI2087" s="4"/>
      <c r="BJ2087" s="4"/>
      <c r="BK2087" s="4"/>
      <c r="BL2087" s="4"/>
      <c r="BM2087" s="4"/>
      <c r="BN2087" s="4"/>
      <c r="BO2087" s="4"/>
      <c r="BP2087" s="4"/>
      <c r="BQ2087" s="4"/>
      <c r="BR2087" s="4"/>
      <c r="BS2087" s="4"/>
      <c r="BT2087" s="4"/>
      <c r="BU2087" s="4"/>
      <c r="BV2087" s="4"/>
      <c r="BW2087" s="4"/>
      <c r="BX2087" s="4"/>
      <c r="BY2087" s="4"/>
      <c r="BZ2087" s="4"/>
      <c r="CA2087" s="4"/>
      <c r="CB2087" s="4"/>
      <c r="CC2087" s="4"/>
      <c r="CD2087" s="4"/>
      <c r="CE2087" s="4"/>
      <c r="CF2087" s="4"/>
      <c r="CG2087" s="4"/>
      <c r="CH2087" s="4"/>
      <c r="CI2087" s="4"/>
      <c r="CJ2087" s="4"/>
      <c r="CK2087" s="4"/>
      <c r="CL2087" s="4"/>
      <c r="CM2087" s="4"/>
      <c r="CN2087" s="4"/>
      <c r="CO2087" s="4"/>
      <c r="CP2087" s="4"/>
      <c r="CQ2087" s="4"/>
      <c r="CR2087" s="4"/>
      <c r="CS2087" s="4"/>
      <c r="CT2087" s="4"/>
      <c r="CU2087" s="4"/>
      <c r="CV2087" s="4"/>
      <c r="CW2087" s="4"/>
      <c r="CX2087" s="4"/>
      <c r="CY2087" s="4"/>
      <c r="CZ2087" s="4"/>
      <c r="DA2087" s="4"/>
      <c r="DB2087" s="4"/>
      <c r="DC2087" s="4"/>
      <c r="DD2087" s="4"/>
      <c r="DE2087" s="4"/>
      <c r="DF2087" s="4"/>
      <c r="DG2087" s="4"/>
      <c r="DH2087" s="4"/>
      <c r="DI2087" s="4"/>
      <c r="DJ2087" s="4"/>
      <c r="DK2087" s="4"/>
      <c r="DL2087" s="4"/>
      <c r="DM2087" s="4"/>
      <c r="DN2087" s="4"/>
      <c r="DO2087" s="4"/>
      <c r="DP2087" s="4"/>
      <c r="DQ2087" s="4"/>
      <c r="DR2087" s="4"/>
      <c r="DS2087" s="4"/>
    </row>
    <row r="2088">
      <c r="A2088" s="4"/>
      <c r="B2088" s="4"/>
      <c r="C2088" s="4"/>
      <c r="D2088" s="4"/>
      <c r="E2088" s="4"/>
      <c r="F2088" s="4" t="s">
        <v>17</v>
      </c>
      <c r="G2088" s="15"/>
      <c r="H2088" s="4"/>
      <c r="I2088" s="4"/>
      <c r="J2088" s="4"/>
      <c r="K2088" s="4"/>
      <c r="L2088" s="4"/>
      <c r="M2088" s="4"/>
      <c r="N2088" s="4"/>
      <c r="O2088" s="4"/>
      <c r="P2088" s="4"/>
      <c r="Q2088" s="4"/>
      <c r="R2088" s="4"/>
      <c r="S2088" s="4"/>
      <c r="T2088" s="4"/>
      <c r="U2088" s="4"/>
      <c r="V2088" s="4"/>
      <c r="W2088" s="4"/>
      <c r="X2088" s="4"/>
      <c r="Y2088" s="4"/>
      <c r="Z2088" s="4"/>
      <c r="AA2088" s="4"/>
      <c r="AB2088" s="4"/>
      <c r="AC2088" s="4"/>
      <c r="AD2088" s="4"/>
      <c r="AE2088" s="4"/>
      <c r="AF2088" s="4"/>
      <c r="AG2088" s="4"/>
      <c r="AH2088" s="4"/>
      <c r="AI2088" s="4"/>
      <c r="AJ2088" s="4"/>
      <c r="AK2088" s="4"/>
      <c r="AL2088" s="4"/>
      <c r="AM2088" s="4"/>
      <c r="AN2088" s="4"/>
      <c r="AO2088" s="4"/>
      <c r="AP2088" s="4"/>
      <c r="AQ2088" s="4"/>
      <c r="AR2088" s="4"/>
      <c r="AS2088" s="4"/>
      <c r="AT2088" s="4"/>
      <c r="AU2088" s="4"/>
      <c r="AV2088" s="4"/>
      <c r="AW2088" s="4"/>
      <c r="AX2088" s="4"/>
      <c r="AY2088" s="4"/>
      <c r="AZ2088" s="4"/>
      <c r="BA2088" s="4"/>
      <c r="BB2088" s="4"/>
      <c r="BC2088" s="4"/>
      <c r="BD2088" s="4"/>
      <c r="BE2088" s="4"/>
      <c r="BF2088" s="4"/>
      <c r="BG2088" s="4"/>
      <c r="BH2088" s="4"/>
      <c r="BI2088" s="4"/>
      <c r="BJ2088" s="4"/>
      <c r="BK2088" s="4"/>
      <c r="BL2088" s="4"/>
      <c r="BM2088" s="4"/>
      <c r="BN2088" s="4"/>
      <c r="BO2088" s="4"/>
      <c r="BP2088" s="4"/>
      <c r="BQ2088" s="4"/>
      <c r="BR2088" s="4"/>
      <c r="BS2088" s="4"/>
      <c r="BT2088" s="4"/>
      <c r="BU2088" s="4"/>
      <c r="BV2088" s="4"/>
      <c r="BW2088" s="4"/>
      <c r="BX2088" s="4"/>
      <c r="BY2088" s="4"/>
      <c r="BZ2088" s="4"/>
      <c r="CA2088" s="4"/>
      <c r="CB2088" s="4"/>
      <c r="CC2088" s="4"/>
      <c r="CD2088" s="4"/>
      <c r="CE2088" s="4"/>
      <c r="CF2088" s="4"/>
      <c r="CG2088" s="4"/>
      <c r="CH2088" s="4"/>
      <c r="CI2088" s="4"/>
      <c r="CJ2088" s="4"/>
      <c r="CK2088" s="4"/>
      <c r="CL2088" s="4"/>
      <c r="CM2088" s="4"/>
      <c r="CN2088" s="4"/>
      <c r="CO2088" s="4"/>
      <c r="CP2088" s="4"/>
      <c r="CQ2088" s="4"/>
      <c r="CR2088" s="4"/>
      <c r="CS2088" s="4"/>
      <c r="CT2088" s="4"/>
      <c r="CU2088" s="4"/>
      <c r="CV2088" s="4"/>
      <c r="CW2088" s="4"/>
      <c r="CX2088" s="4"/>
      <c r="CY2088" s="4"/>
      <c r="CZ2088" s="4"/>
      <c r="DA2088" s="4"/>
      <c r="DB2088" s="4"/>
      <c r="DC2088" s="4"/>
      <c r="DD2088" s="4"/>
      <c r="DE2088" s="4"/>
      <c r="DF2088" s="4"/>
      <c r="DG2088" s="4"/>
      <c r="DH2088" s="4"/>
      <c r="DI2088" s="4"/>
      <c r="DJ2088" s="4"/>
      <c r="DK2088" s="4"/>
      <c r="DL2088" s="4"/>
      <c r="DM2088" s="4"/>
      <c r="DN2088" s="4"/>
      <c r="DO2088" s="4"/>
      <c r="DP2088" s="4"/>
      <c r="DQ2088" s="4"/>
      <c r="DR2088" s="4"/>
      <c r="DS2088" s="4"/>
    </row>
    <row r="2089">
      <c r="A2089" s="4"/>
      <c r="B2089" s="4"/>
      <c r="C2089" s="4"/>
      <c r="D2089" s="4"/>
      <c r="E2089" s="4"/>
      <c r="F2089" s="4" t="s">
        <v>17</v>
      </c>
      <c r="G2089" s="15"/>
      <c r="H2089" s="4"/>
      <c r="I2089" s="4"/>
      <c r="J2089" s="4"/>
      <c r="K2089" s="4"/>
      <c r="L2089" s="4"/>
      <c r="M2089" s="4"/>
      <c r="N2089" s="4"/>
      <c r="O2089" s="4"/>
      <c r="P2089" s="4"/>
      <c r="Q2089" s="4"/>
      <c r="R2089" s="4"/>
      <c r="S2089" s="4"/>
      <c r="T2089" s="4"/>
      <c r="U2089" s="4"/>
      <c r="V2089" s="4"/>
      <c r="W2089" s="4"/>
      <c r="X2089" s="4"/>
      <c r="Y2089" s="4"/>
      <c r="Z2089" s="4"/>
      <c r="AA2089" s="4"/>
      <c r="AB2089" s="4"/>
      <c r="AC2089" s="4"/>
      <c r="AD2089" s="4"/>
      <c r="AE2089" s="4"/>
      <c r="AF2089" s="4"/>
      <c r="AG2089" s="4"/>
      <c r="AH2089" s="4"/>
      <c r="AI2089" s="4"/>
      <c r="AJ2089" s="4"/>
      <c r="AK2089" s="4"/>
      <c r="AL2089" s="4"/>
      <c r="AM2089" s="4"/>
      <c r="AN2089" s="4"/>
      <c r="AO2089" s="4"/>
      <c r="AP2089" s="4"/>
      <c r="AQ2089" s="4"/>
      <c r="AR2089" s="4"/>
      <c r="AS2089" s="4"/>
      <c r="AT2089" s="4"/>
      <c r="AU2089" s="4"/>
      <c r="AV2089" s="4"/>
      <c r="AW2089" s="4"/>
      <c r="AX2089" s="4"/>
      <c r="AY2089" s="4"/>
      <c r="AZ2089" s="4"/>
      <c r="BA2089" s="4"/>
      <c r="BB2089" s="4"/>
      <c r="BC2089" s="4"/>
      <c r="BD2089" s="4"/>
      <c r="BE2089" s="4"/>
      <c r="BF2089" s="4"/>
      <c r="BG2089" s="4"/>
      <c r="BH2089" s="4"/>
      <c r="BI2089" s="4"/>
      <c r="BJ2089" s="4"/>
      <c r="BK2089" s="4"/>
      <c r="BL2089" s="4"/>
      <c r="BM2089" s="4"/>
      <c r="BN2089" s="4"/>
      <c r="BO2089" s="4"/>
      <c r="BP2089" s="4"/>
      <c r="BQ2089" s="4"/>
      <c r="BR2089" s="4"/>
      <c r="BS2089" s="4"/>
      <c r="BT2089" s="4"/>
      <c r="BU2089" s="4"/>
      <c r="BV2089" s="4"/>
      <c r="BW2089" s="4"/>
      <c r="BX2089" s="4"/>
      <c r="BY2089" s="4"/>
      <c r="BZ2089" s="4"/>
      <c r="CA2089" s="4"/>
      <c r="CB2089" s="4"/>
      <c r="CC2089" s="4"/>
      <c r="CD2089" s="4"/>
      <c r="CE2089" s="4"/>
      <c r="CF2089" s="4"/>
      <c r="CG2089" s="4"/>
      <c r="CH2089" s="4"/>
      <c r="CI2089" s="4"/>
      <c r="CJ2089" s="4"/>
      <c r="CK2089" s="4"/>
      <c r="CL2089" s="4"/>
      <c r="CM2089" s="4"/>
      <c r="CN2089" s="4"/>
      <c r="CO2089" s="4"/>
      <c r="CP2089" s="4"/>
      <c r="CQ2089" s="4"/>
      <c r="CR2089" s="4"/>
      <c r="CS2089" s="4"/>
      <c r="CT2089" s="4"/>
      <c r="CU2089" s="4"/>
      <c r="CV2089" s="4"/>
      <c r="CW2089" s="4"/>
      <c r="CX2089" s="4"/>
      <c r="CY2089" s="4"/>
      <c r="CZ2089" s="4"/>
      <c r="DA2089" s="4"/>
      <c r="DB2089" s="4"/>
      <c r="DC2089" s="4"/>
      <c r="DD2089" s="4"/>
      <c r="DE2089" s="4"/>
      <c r="DF2089" s="4"/>
      <c r="DG2089" s="4"/>
      <c r="DH2089" s="4"/>
      <c r="DI2089" s="4"/>
      <c r="DJ2089" s="4"/>
      <c r="DK2089" s="4"/>
      <c r="DL2089" s="4"/>
      <c r="DM2089" s="4"/>
      <c r="DN2089" s="4"/>
      <c r="DO2089" s="4"/>
      <c r="DP2089" s="4"/>
      <c r="DQ2089" s="4"/>
      <c r="DR2089" s="4"/>
      <c r="DS2089" s="4"/>
    </row>
    <row r="2090">
      <c r="A2090" s="4"/>
      <c r="B2090" s="4"/>
      <c r="C2090" s="4"/>
      <c r="D2090" s="4"/>
      <c r="E2090" s="4"/>
      <c r="F2090" s="4" t="s">
        <v>17</v>
      </c>
      <c r="G2090" s="15"/>
      <c r="H2090" s="4"/>
      <c r="I2090" s="4"/>
      <c r="J2090" s="4"/>
      <c r="K2090" s="4"/>
      <c r="L2090" s="4"/>
      <c r="M2090" s="4"/>
      <c r="N2090" s="4"/>
      <c r="O2090" s="4"/>
      <c r="P2090" s="4"/>
      <c r="Q2090" s="4"/>
      <c r="R2090" s="4"/>
      <c r="S2090" s="4"/>
      <c r="T2090" s="4"/>
      <c r="U2090" s="4"/>
      <c r="V2090" s="4"/>
      <c r="W2090" s="4"/>
      <c r="X2090" s="4"/>
      <c r="Y2090" s="4"/>
      <c r="Z2090" s="4"/>
      <c r="AA2090" s="4"/>
      <c r="AB2090" s="4"/>
      <c r="AC2090" s="4"/>
      <c r="AD2090" s="4"/>
      <c r="AE2090" s="4"/>
      <c r="AF2090" s="4"/>
      <c r="AG2090" s="4"/>
      <c r="AH2090" s="4"/>
      <c r="AI2090" s="4"/>
      <c r="AJ2090" s="4"/>
      <c r="AK2090" s="4"/>
      <c r="AL2090" s="4"/>
      <c r="AM2090" s="4"/>
      <c r="AN2090" s="4"/>
      <c r="AO2090" s="4"/>
      <c r="AP2090" s="4"/>
      <c r="AQ2090" s="4"/>
      <c r="AR2090" s="4"/>
      <c r="AS2090" s="4"/>
      <c r="AT2090" s="4"/>
      <c r="AU2090" s="4"/>
      <c r="AV2090" s="4"/>
      <c r="AW2090" s="4"/>
      <c r="AX2090" s="4"/>
      <c r="AY2090" s="4"/>
      <c r="AZ2090" s="4"/>
      <c r="BA2090" s="4"/>
      <c r="BB2090" s="4"/>
      <c r="BC2090" s="4"/>
      <c r="BD2090" s="4"/>
      <c r="BE2090" s="4"/>
      <c r="BF2090" s="4"/>
      <c r="BG2090" s="4"/>
      <c r="BH2090" s="4"/>
      <c r="BI2090" s="4"/>
      <c r="BJ2090" s="4"/>
      <c r="BK2090" s="4"/>
      <c r="BL2090" s="4"/>
      <c r="BM2090" s="4"/>
      <c r="BN2090" s="4"/>
      <c r="BO2090" s="4"/>
      <c r="BP2090" s="4"/>
      <c r="BQ2090" s="4"/>
      <c r="BR2090" s="4"/>
      <c r="BS2090" s="4"/>
      <c r="BT2090" s="4"/>
      <c r="BU2090" s="4"/>
      <c r="BV2090" s="4"/>
      <c r="BW2090" s="4"/>
      <c r="BX2090" s="4"/>
      <c r="BY2090" s="4"/>
      <c r="BZ2090" s="4"/>
      <c r="CA2090" s="4"/>
      <c r="CB2090" s="4"/>
      <c r="CC2090" s="4"/>
      <c r="CD2090" s="4"/>
      <c r="CE2090" s="4"/>
      <c r="CF2090" s="4"/>
      <c r="CG2090" s="4"/>
      <c r="CH2090" s="4"/>
      <c r="CI2090" s="4"/>
      <c r="CJ2090" s="4"/>
      <c r="CK2090" s="4"/>
      <c r="CL2090" s="4"/>
      <c r="CM2090" s="4"/>
      <c r="CN2090" s="4"/>
      <c r="CO2090" s="4"/>
      <c r="CP2090" s="4"/>
      <c r="CQ2090" s="4"/>
      <c r="CR2090" s="4"/>
      <c r="CS2090" s="4"/>
      <c r="CT2090" s="4"/>
      <c r="CU2090" s="4"/>
      <c r="CV2090" s="4"/>
      <c r="CW2090" s="4"/>
      <c r="CX2090" s="4"/>
      <c r="CY2090" s="4"/>
      <c r="CZ2090" s="4"/>
      <c r="DA2090" s="4"/>
      <c r="DB2090" s="4"/>
      <c r="DC2090" s="4"/>
      <c r="DD2090" s="4"/>
      <c r="DE2090" s="4"/>
      <c r="DF2090" s="4"/>
      <c r="DG2090" s="4"/>
      <c r="DH2090" s="4"/>
      <c r="DI2090" s="4"/>
      <c r="DJ2090" s="4"/>
      <c r="DK2090" s="4"/>
      <c r="DL2090" s="4"/>
      <c r="DM2090" s="4"/>
      <c r="DN2090" s="4"/>
      <c r="DO2090" s="4"/>
      <c r="DP2090" s="4"/>
      <c r="DQ2090" s="4"/>
      <c r="DR2090" s="4"/>
      <c r="DS2090" s="4"/>
    </row>
    <row r="2091">
      <c r="A2091" s="4"/>
      <c r="B2091" s="4"/>
      <c r="C2091" s="4"/>
      <c r="D2091" s="4"/>
      <c r="E2091" s="4"/>
      <c r="F2091" s="4" t="s">
        <v>17</v>
      </c>
      <c r="G2091" s="15"/>
      <c r="H2091" s="4"/>
      <c r="I2091" s="4"/>
      <c r="J2091" s="4"/>
      <c r="K2091" s="4"/>
      <c r="L2091" s="4"/>
      <c r="M2091" s="4"/>
      <c r="N2091" s="4"/>
      <c r="O2091" s="4"/>
      <c r="P2091" s="4"/>
      <c r="Q2091" s="4"/>
      <c r="R2091" s="4"/>
      <c r="S2091" s="4"/>
      <c r="T2091" s="4"/>
      <c r="U2091" s="4"/>
      <c r="V2091" s="4"/>
      <c r="W2091" s="4"/>
      <c r="X2091" s="4"/>
      <c r="Y2091" s="4"/>
      <c r="Z2091" s="4"/>
      <c r="AA2091" s="4"/>
      <c r="AB2091" s="4"/>
      <c r="AC2091" s="4"/>
      <c r="AD2091" s="4"/>
      <c r="AE2091" s="4"/>
      <c r="AF2091" s="4"/>
      <c r="AG2091" s="4"/>
      <c r="AH2091" s="4"/>
      <c r="AI2091" s="4"/>
      <c r="AJ2091" s="4"/>
      <c r="AK2091" s="4"/>
      <c r="AL2091" s="4"/>
      <c r="AM2091" s="4"/>
      <c r="AN2091" s="4"/>
      <c r="AO2091" s="4"/>
      <c r="AP2091" s="4"/>
      <c r="AQ2091" s="4"/>
      <c r="AR2091" s="4"/>
      <c r="AS2091" s="4"/>
      <c r="AT2091" s="4"/>
      <c r="AU2091" s="4"/>
      <c r="AV2091" s="4"/>
      <c r="AW2091" s="4"/>
      <c r="AX2091" s="4"/>
      <c r="AY2091" s="4"/>
      <c r="AZ2091" s="4"/>
      <c r="BA2091" s="4"/>
      <c r="BB2091" s="4"/>
      <c r="BC2091" s="4"/>
      <c r="BD2091" s="4"/>
      <c r="BE2091" s="4"/>
      <c r="BF2091" s="4"/>
      <c r="BG2091" s="4"/>
      <c r="BH2091" s="4"/>
      <c r="BI2091" s="4"/>
      <c r="BJ2091" s="4"/>
      <c r="BK2091" s="4"/>
      <c r="BL2091" s="4"/>
      <c r="BM2091" s="4"/>
      <c r="BN2091" s="4"/>
      <c r="BO2091" s="4"/>
      <c r="BP2091" s="4"/>
      <c r="BQ2091" s="4"/>
      <c r="BR2091" s="4"/>
      <c r="BS2091" s="4"/>
      <c r="BT2091" s="4"/>
      <c r="BU2091" s="4"/>
      <c r="BV2091" s="4"/>
      <c r="BW2091" s="4"/>
      <c r="BX2091" s="4"/>
      <c r="BY2091" s="4"/>
      <c r="BZ2091" s="4"/>
      <c r="CA2091" s="4"/>
      <c r="CB2091" s="4"/>
      <c r="CC2091" s="4"/>
      <c r="CD2091" s="4"/>
      <c r="CE2091" s="4"/>
      <c r="CF2091" s="4"/>
      <c r="CG2091" s="4"/>
      <c r="CH2091" s="4"/>
      <c r="CI2091" s="4"/>
      <c r="CJ2091" s="4"/>
      <c r="CK2091" s="4"/>
      <c r="CL2091" s="4"/>
      <c r="CM2091" s="4"/>
      <c r="CN2091" s="4"/>
      <c r="CO2091" s="4"/>
      <c r="CP2091" s="4"/>
      <c r="CQ2091" s="4"/>
      <c r="CR2091" s="4"/>
      <c r="CS2091" s="4"/>
      <c r="CT2091" s="4"/>
      <c r="CU2091" s="4"/>
      <c r="CV2091" s="4"/>
      <c r="CW2091" s="4"/>
      <c r="CX2091" s="4"/>
      <c r="CY2091" s="4"/>
      <c r="CZ2091" s="4"/>
      <c r="DA2091" s="4"/>
      <c r="DB2091" s="4"/>
      <c r="DC2091" s="4"/>
      <c r="DD2091" s="4"/>
      <c r="DE2091" s="4"/>
      <c r="DF2091" s="4"/>
      <c r="DG2091" s="4"/>
      <c r="DH2091" s="4"/>
      <c r="DI2091" s="4"/>
      <c r="DJ2091" s="4"/>
      <c r="DK2091" s="4"/>
      <c r="DL2091" s="4"/>
      <c r="DM2091" s="4"/>
      <c r="DN2091" s="4"/>
      <c r="DO2091" s="4"/>
      <c r="DP2091" s="4"/>
      <c r="DQ2091" s="4"/>
      <c r="DR2091" s="4"/>
      <c r="DS2091" s="4"/>
    </row>
    <row r="2092">
      <c r="A2092" s="4"/>
      <c r="B2092" s="4"/>
      <c r="C2092" s="4"/>
      <c r="D2092" s="4"/>
      <c r="E2092" s="4"/>
      <c r="F2092" s="4" t="s">
        <v>17</v>
      </c>
      <c r="G2092" s="15"/>
      <c r="H2092" s="4"/>
      <c r="I2092" s="4"/>
      <c r="J2092" s="4"/>
      <c r="K2092" s="4"/>
      <c r="L2092" s="4"/>
      <c r="M2092" s="4"/>
      <c r="N2092" s="4"/>
      <c r="O2092" s="4"/>
      <c r="P2092" s="4"/>
      <c r="Q2092" s="4"/>
      <c r="R2092" s="4"/>
      <c r="S2092" s="4"/>
      <c r="T2092" s="4"/>
      <c r="U2092" s="4"/>
      <c r="V2092" s="4"/>
      <c r="W2092" s="4"/>
      <c r="X2092" s="4"/>
      <c r="Y2092" s="4"/>
      <c r="Z2092" s="4"/>
      <c r="AA2092" s="4"/>
      <c r="AB2092" s="4"/>
      <c r="AC2092" s="4"/>
      <c r="AD2092" s="4"/>
      <c r="AE2092" s="4"/>
      <c r="AF2092" s="4"/>
      <c r="AG2092" s="4"/>
      <c r="AH2092" s="4"/>
      <c r="AI2092" s="4"/>
      <c r="AJ2092" s="4"/>
      <c r="AK2092" s="4"/>
      <c r="AL2092" s="4"/>
      <c r="AM2092" s="4"/>
      <c r="AN2092" s="4"/>
      <c r="AO2092" s="4"/>
      <c r="AP2092" s="4"/>
      <c r="AQ2092" s="4"/>
      <c r="AR2092" s="4"/>
      <c r="AS2092" s="4"/>
      <c r="AT2092" s="4"/>
      <c r="AU2092" s="4"/>
      <c r="AV2092" s="4"/>
      <c r="AW2092" s="4"/>
      <c r="AX2092" s="4"/>
      <c r="AY2092" s="4"/>
      <c r="AZ2092" s="4"/>
      <c r="BA2092" s="4"/>
      <c r="BB2092" s="4"/>
      <c r="BC2092" s="4"/>
      <c r="BD2092" s="4"/>
      <c r="BE2092" s="4"/>
      <c r="BF2092" s="4"/>
      <c r="BG2092" s="4"/>
      <c r="BH2092" s="4"/>
      <c r="BI2092" s="4"/>
      <c r="BJ2092" s="4"/>
      <c r="BK2092" s="4"/>
      <c r="BL2092" s="4"/>
      <c r="BM2092" s="4"/>
      <c r="BN2092" s="4"/>
      <c r="BO2092" s="4"/>
      <c r="BP2092" s="4"/>
      <c r="BQ2092" s="4"/>
      <c r="BR2092" s="4"/>
      <c r="BS2092" s="4"/>
      <c r="BT2092" s="4"/>
      <c r="BU2092" s="4"/>
      <c r="BV2092" s="4"/>
      <c r="BW2092" s="4"/>
      <c r="BX2092" s="4"/>
      <c r="BY2092" s="4"/>
      <c r="BZ2092" s="4"/>
      <c r="CA2092" s="4"/>
      <c r="CB2092" s="4"/>
      <c r="CC2092" s="4"/>
      <c r="CD2092" s="4"/>
      <c r="CE2092" s="4"/>
      <c r="CF2092" s="4"/>
      <c r="CG2092" s="4"/>
      <c r="CH2092" s="4"/>
      <c r="CI2092" s="4"/>
      <c r="CJ2092" s="4"/>
      <c r="CK2092" s="4"/>
      <c r="CL2092" s="4"/>
      <c r="CM2092" s="4"/>
      <c r="CN2092" s="4"/>
      <c r="CO2092" s="4"/>
      <c r="CP2092" s="4"/>
      <c r="CQ2092" s="4"/>
      <c r="CR2092" s="4"/>
      <c r="CS2092" s="4"/>
      <c r="CT2092" s="4"/>
      <c r="CU2092" s="4"/>
      <c r="CV2092" s="4"/>
      <c r="CW2092" s="4"/>
      <c r="CX2092" s="4"/>
      <c r="CY2092" s="4"/>
      <c r="CZ2092" s="4"/>
      <c r="DA2092" s="4"/>
      <c r="DB2092" s="4"/>
      <c r="DC2092" s="4"/>
      <c r="DD2092" s="4"/>
      <c r="DE2092" s="4"/>
      <c r="DF2092" s="4"/>
      <c r="DG2092" s="4"/>
      <c r="DH2092" s="4"/>
      <c r="DI2092" s="4"/>
      <c r="DJ2092" s="4"/>
      <c r="DK2092" s="4"/>
      <c r="DL2092" s="4"/>
      <c r="DM2092" s="4"/>
      <c r="DN2092" s="4"/>
      <c r="DO2092" s="4"/>
      <c r="DP2092" s="4"/>
      <c r="DQ2092" s="4"/>
      <c r="DR2092" s="4"/>
      <c r="DS2092" s="4"/>
    </row>
    <row r="2093">
      <c r="A2093" s="4"/>
      <c r="B2093" s="4"/>
      <c r="C2093" s="4"/>
      <c r="D2093" s="4"/>
      <c r="E2093" s="4"/>
      <c r="F2093" s="4" t="s">
        <v>17</v>
      </c>
      <c r="G2093" s="15"/>
      <c r="H2093" s="4"/>
      <c r="I2093" s="4"/>
      <c r="J2093" s="4"/>
      <c r="K2093" s="4"/>
      <c r="L2093" s="4"/>
      <c r="M2093" s="4"/>
      <c r="N2093" s="4"/>
      <c r="O2093" s="4"/>
      <c r="P2093" s="4"/>
      <c r="Q2093" s="4"/>
      <c r="R2093" s="4"/>
      <c r="S2093" s="4"/>
      <c r="T2093" s="4"/>
      <c r="U2093" s="4"/>
      <c r="V2093" s="4"/>
      <c r="W2093" s="4"/>
      <c r="X2093" s="4"/>
      <c r="Y2093" s="4"/>
      <c r="Z2093" s="4"/>
      <c r="AA2093" s="4"/>
      <c r="AB2093" s="4"/>
      <c r="AC2093" s="4"/>
      <c r="AD2093" s="4"/>
      <c r="AE2093" s="4"/>
      <c r="AF2093" s="4"/>
      <c r="AG2093" s="4"/>
      <c r="AH2093" s="4"/>
      <c r="AI2093" s="4"/>
      <c r="AJ2093" s="4"/>
      <c r="AK2093" s="4"/>
      <c r="AL2093" s="4"/>
      <c r="AM2093" s="4"/>
      <c r="AN2093" s="4"/>
      <c r="AO2093" s="4"/>
      <c r="AP2093" s="4"/>
      <c r="AQ2093" s="4"/>
      <c r="AR2093" s="4"/>
      <c r="AS2093" s="4"/>
      <c r="AT2093" s="4"/>
      <c r="AU2093" s="4"/>
      <c r="AV2093" s="4"/>
      <c r="AW2093" s="4"/>
      <c r="AX2093" s="4"/>
      <c r="AY2093" s="4"/>
      <c r="AZ2093" s="4"/>
      <c r="BA2093" s="4"/>
      <c r="BB2093" s="4"/>
      <c r="BC2093" s="4"/>
      <c r="BD2093" s="4"/>
      <c r="BE2093" s="4"/>
      <c r="BF2093" s="4"/>
      <c r="BG2093" s="4"/>
      <c r="BH2093" s="4"/>
      <c r="BI2093" s="4"/>
      <c r="BJ2093" s="4"/>
      <c r="BK2093" s="4"/>
      <c r="BL2093" s="4"/>
      <c r="BM2093" s="4"/>
      <c r="BN2093" s="4"/>
      <c r="BO2093" s="4"/>
      <c r="BP2093" s="4"/>
      <c r="BQ2093" s="4"/>
      <c r="BR2093" s="4"/>
      <c r="BS2093" s="4"/>
      <c r="BT2093" s="4"/>
      <c r="BU2093" s="4"/>
      <c r="BV2093" s="4"/>
      <c r="BW2093" s="4"/>
      <c r="BX2093" s="4"/>
      <c r="BY2093" s="4"/>
      <c r="BZ2093" s="4"/>
      <c r="CA2093" s="4"/>
      <c r="CB2093" s="4"/>
      <c r="CC2093" s="4"/>
      <c r="CD2093" s="4"/>
      <c r="CE2093" s="4"/>
      <c r="CF2093" s="4"/>
      <c r="CG2093" s="4"/>
      <c r="CH2093" s="4"/>
      <c r="CI2093" s="4"/>
      <c r="CJ2093" s="4"/>
      <c r="CK2093" s="4"/>
      <c r="CL2093" s="4"/>
      <c r="CM2093" s="4"/>
      <c r="CN2093" s="4"/>
      <c r="CO2093" s="4"/>
      <c r="CP2093" s="4"/>
      <c r="CQ2093" s="4"/>
      <c r="CR2093" s="4"/>
      <c r="CS2093" s="4"/>
      <c r="CT2093" s="4"/>
      <c r="CU2093" s="4"/>
      <c r="CV2093" s="4"/>
      <c r="CW2093" s="4"/>
      <c r="CX2093" s="4"/>
      <c r="CY2093" s="4"/>
      <c r="CZ2093" s="4"/>
      <c r="DA2093" s="4"/>
      <c r="DB2093" s="4"/>
      <c r="DC2093" s="4"/>
      <c r="DD2093" s="4"/>
      <c r="DE2093" s="4"/>
      <c r="DF2093" s="4"/>
      <c r="DG2093" s="4"/>
      <c r="DH2093" s="4"/>
      <c r="DI2093" s="4"/>
      <c r="DJ2093" s="4"/>
      <c r="DK2093" s="4"/>
      <c r="DL2093" s="4"/>
      <c r="DM2093" s="4"/>
      <c r="DN2093" s="4"/>
      <c r="DO2093" s="4"/>
      <c r="DP2093" s="4"/>
      <c r="DQ2093" s="4"/>
      <c r="DR2093" s="4"/>
      <c r="DS2093" s="4"/>
    </row>
    <row r="2094">
      <c r="A2094" s="4"/>
      <c r="B2094" s="4"/>
      <c r="C2094" s="4"/>
      <c r="D2094" s="4"/>
      <c r="E2094" s="4"/>
      <c r="F2094" s="4" t="s">
        <v>17</v>
      </c>
      <c r="G2094" s="15"/>
      <c r="H2094" s="4"/>
      <c r="I2094" s="4"/>
      <c r="J2094" s="4"/>
      <c r="K2094" s="4"/>
      <c r="L2094" s="4"/>
      <c r="M2094" s="4"/>
      <c r="N2094" s="4"/>
      <c r="O2094" s="4"/>
      <c r="P2094" s="4"/>
      <c r="Q2094" s="4"/>
      <c r="R2094" s="4"/>
      <c r="S2094" s="4"/>
      <c r="T2094" s="4"/>
      <c r="U2094" s="4"/>
      <c r="V2094" s="4"/>
      <c r="W2094" s="4"/>
      <c r="X2094" s="4"/>
      <c r="Y2094" s="4"/>
      <c r="Z2094" s="4"/>
      <c r="AA2094" s="4"/>
      <c r="AB2094" s="4"/>
      <c r="AC2094" s="4"/>
      <c r="AD2094" s="4"/>
      <c r="AE2094" s="4"/>
      <c r="AF2094" s="4"/>
      <c r="AG2094" s="4"/>
      <c r="AH2094" s="4"/>
      <c r="AI2094" s="4"/>
      <c r="AJ2094" s="4"/>
      <c r="AK2094" s="4"/>
      <c r="AL2094" s="4"/>
      <c r="AM2094" s="4"/>
      <c r="AN2094" s="4"/>
      <c r="AO2094" s="4"/>
      <c r="AP2094" s="4"/>
      <c r="AQ2094" s="4"/>
      <c r="AR2094" s="4"/>
      <c r="AS2094" s="4"/>
      <c r="AT2094" s="4"/>
      <c r="AU2094" s="4"/>
      <c r="AV2094" s="4"/>
      <c r="AW2094" s="4"/>
      <c r="AX2094" s="4"/>
      <c r="AY2094" s="4"/>
      <c r="AZ2094" s="4"/>
      <c r="BA2094" s="4"/>
      <c r="BB2094" s="4"/>
      <c r="BC2094" s="4"/>
      <c r="BD2094" s="4"/>
      <c r="BE2094" s="4"/>
      <c r="BF2094" s="4"/>
      <c r="BG2094" s="4"/>
      <c r="BH2094" s="4"/>
      <c r="BI2094" s="4"/>
      <c r="BJ2094" s="4"/>
      <c r="BK2094" s="4"/>
      <c r="BL2094" s="4"/>
      <c r="BM2094" s="4"/>
      <c r="BN2094" s="4"/>
      <c r="BO2094" s="4"/>
      <c r="BP2094" s="4"/>
      <c r="BQ2094" s="4"/>
      <c r="BR2094" s="4"/>
      <c r="BS2094" s="4"/>
      <c r="BT2094" s="4"/>
      <c r="BU2094" s="4"/>
      <c r="BV2094" s="4"/>
      <c r="BW2094" s="4"/>
      <c r="BX2094" s="4"/>
      <c r="BY2094" s="4"/>
      <c r="BZ2094" s="4"/>
      <c r="CA2094" s="4"/>
      <c r="CB2094" s="4"/>
      <c r="CC2094" s="4"/>
      <c r="CD2094" s="4"/>
      <c r="CE2094" s="4"/>
      <c r="CF2094" s="4"/>
      <c r="CG2094" s="4"/>
      <c r="CH2094" s="4"/>
      <c r="CI2094" s="4"/>
      <c r="CJ2094" s="4"/>
      <c r="CK2094" s="4"/>
      <c r="CL2094" s="4"/>
      <c r="CM2094" s="4"/>
      <c r="CN2094" s="4"/>
      <c r="CO2094" s="4"/>
      <c r="CP2094" s="4"/>
      <c r="CQ2094" s="4"/>
      <c r="CR2094" s="4"/>
      <c r="CS2094" s="4"/>
      <c r="CT2094" s="4"/>
      <c r="CU2094" s="4"/>
      <c r="CV2094" s="4"/>
      <c r="CW2094" s="4"/>
      <c r="CX2094" s="4"/>
      <c r="CY2094" s="4"/>
      <c r="CZ2094" s="4"/>
      <c r="DA2094" s="4"/>
      <c r="DB2094" s="4"/>
      <c r="DC2094" s="4"/>
      <c r="DD2094" s="4"/>
      <c r="DE2094" s="4"/>
      <c r="DF2094" s="4"/>
      <c r="DG2094" s="4"/>
      <c r="DH2094" s="4"/>
      <c r="DI2094" s="4"/>
      <c r="DJ2094" s="4"/>
      <c r="DK2094" s="4"/>
      <c r="DL2094" s="4"/>
      <c r="DM2094" s="4"/>
      <c r="DN2094" s="4"/>
      <c r="DO2094" s="4"/>
      <c r="DP2094" s="4"/>
      <c r="DQ2094" s="4"/>
      <c r="DR2094" s="4"/>
      <c r="DS2094" s="4"/>
    </row>
    <row r="2095">
      <c r="A2095" s="4"/>
      <c r="B2095" s="4"/>
      <c r="C2095" s="4"/>
      <c r="D2095" s="4"/>
      <c r="E2095" s="4"/>
      <c r="F2095" s="4" t="s">
        <v>17</v>
      </c>
      <c r="G2095" s="15"/>
      <c r="H2095" s="4"/>
      <c r="I2095" s="4"/>
      <c r="J2095" s="4"/>
      <c r="K2095" s="4"/>
      <c r="L2095" s="4"/>
      <c r="M2095" s="4"/>
      <c r="N2095" s="4"/>
      <c r="O2095" s="4"/>
      <c r="P2095" s="4"/>
      <c r="Q2095" s="4"/>
      <c r="R2095" s="4"/>
      <c r="S2095" s="4"/>
      <c r="T2095" s="4"/>
      <c r="U2095" s="4"/>
      <c r="V2095" s="4"/>
      <c r="W2095" s="4"/>
      <c r="X2095" s="4"/>
      <c r="Y2095" s="4"/>
      <c r="Z2095" s="4"/>
      <c r="AA2095" s="4"/>
      <c r="AB2095" s="4"/>
      <c r="AC2095" s="4"/>
      <c r="AD2095" s="4"/>
      <c r="AE2095" s="4"/>
      <c r="AF2095" s="4"/>
      <c r="AG2095" s="4"/>
      <c r="AH2095" s="4"/>
      <c r="AI2095" s="4"/>
      <c r="AJ2095" s="4"/>
      <c r="AK2095" s="4"/>
      <c r="AL2095" s="4"/>
      <c r="AM2095" s="4"/>
      <c r="AN2095" s="4"/>
      <c r="AO2095" s="4"/>
      <c r="AP2095" s="4"/>
      <c r="AQ2095" s="4"/>
      <c r="AR2095" s="4"/>
      <c r="AS2095" s="4"/>
      <c r="AT2095" s="4"/>
      <c r="AU2095" s="4"/>
      <c r="AV2095" s="4"/>
      <c r="AW2095" s="4"/>
      <c r="AX2095" s="4"/>
      <c r="AY2095" s="4"/>
      <c r="AZ2095" s="4"/>
      <c r="BA2095" s="4"/>
      <c r="BB2095" s="4"/>
      <c r="BC2095" s="4"/>
      <c r="BD2095" s="4"/>
      <c r="BE2095" s="4"/>
      <c r="BF2095" s="4"/>
      <c r="BG2095" s="4"/>
      <c r="BH2095" s="4"/>
      <c r="BI2095" s="4"/>
      <c r="BJ2095" s="4"/>
      <c r="BK2095" s="4"/>
      <c r="BL2095" s="4"/>
      <c r="BM2095" s="4"/>
      <c r="BN2095" s="4"/>
      <c r="BO2095" s="4"/>
      <c r="BP2095" s="4"/>
      <c r="BQ2095" s="4"/>
      <c r="BR2095" s="4"/>
      <c r="BS2095" s="4"/>
      <c r="BT2095" s="4"/>
      <c r="BU2095" s="4"/>
      <c r="BV2095" s="4"/>
      <c r="BW2095" s="4"/>
      <c r="BX2095" s="4"/>
      <c r="BY2095" s="4"/>
      <c r="BZ2095" s="4"/>
      <c r="CA2095" s="4"/>
      <c r="CB2095" s="4"/>
      <c r="CC2095" s="4"/>
      <c r="CD2095" s="4"/>
      <c r="CE2095" s="4"/>
      <c r="CF2095" s="4"/>
      <c r="CG2095" s="4"/>
      <c r="CH2095" s="4"/>
      <c r="CI2095" s="4"/>
      <c r="CJ2095" s="4"/>
      <c r="CK2095" s="4"/>
      <c r="CL2095" s="4"/>
      <c r="CM2095" s="4"/>
      <c r="CN2095" s="4"/>
      <c r="CO2095" s="4"/>
      <c r="CP2095" s="4"/>
      <c r="CQ2095" s="4"/>
      <c r="CR2095" s="4"/>
      <c r="CS2095" s="4"/>
      <c r="CT2095" s="4"/>
      <c r="CU2095" s="4"/>
      <c r="CV2095" s="4"/>
      <c r="CW2095" s="4"/>
      <c r="CX2095" s="4"/>
      <c r="CY2095" s="4"/>
      <c r="CZ2095" s="4"/>
      <c r="DA2095" s="4"/>
      <c r="DB2095" s="4"/>
      <c r="DC2095" s="4"/>
      <c r="DD2095" s="4"/>
      <c r="DE2095" s="4"/>
      <c r="DF2095" s="4"/>
      <c r="DG2095" s="4"/>
      <c r="DH2095" s="4"/>
      <c r="DI2095" s="4"/>
      <c r="DJ2095" s="4"/>
      <c r="DK2095" s="4"/>
      <c r="DL2095" s="4"/>
      <c r="DM2095" s="4"/>
      <c r="DN2095" s="4"/>
      <c r="DO2095" s="4"/>
      <c r="DP2095" s="4"/>
      <c r="DQ2095" s="4"/>
      <c r="DR2095" s="4"/>
      <c r="DS2095" s="4"/>
    </row>
    <row r="2096">
      <c r="A2096" s="4"/>
      <c r="B2096" s="4"/>
      <c r="C2096" s="4"/>
      <c r="D2096" s="4"/>
      <c r="E2096" s="4"/>
      <c r="F2096" s="4" t="s">
        <v>17</v>
      </c>
      <c r="G2096" s="15"/>
      <c r="H2096" s="4"/>
      <c r="I2096" s="4"/>
      <c r="J2096" s="4"/>
      <c r="K2096" s="4"/>
      <c r="L2096" s="4"/>
      <c r="M2096" s="4"/>
      <c r="N2096" s="4"/>
      <c r="O2096" s="4"/>
      <c r="P2096" s="4"/>
      <c r="Q2096" s="4"/>
      <c r="R2096" s="4"/>
      <c r="S2096" s="4"/>
      <c r="T2096" s="4"/>
      <c r="U2096" s="4"/>
      <c r="V2096" s="4"/>
      <c r="W2096" s="4"/>
      <c r="X2096" s="4"/>
      <c r="Y2096" s="4"/>
      <c r="Z2096" s="4"/>
      <c r="AA2096" s="4"/>
      <c r="AB2096" s="4"/>
      <c r="AC2096" s="4"/>
      <c r="AD2096" s="4"/>
      <c r="AE2096" s="4"/>
      <c r="AF2096" s="4"/>
      <c r="AG2096" s="4"/>
      <c r="AH2096" s="4"/>
      <c r="AI2096" s="4"/>
      <c r="AJ2096" s="4"/>
      <c r="AK2096" s="4"/>
      <c r="AL2096" s="4"/>
      <c r="AM2096" s="4"/>
      <c r="AN2096" s="4"/>
      <c r="AO2096" s="4"/>
      <c r="AP2096" s="4"/>
      <c r="AQ2096" s="4"/>
      <c r="AR2096" s="4"/>
      <c r="AS2096" s="4"/>
      <c r="AT2096" s="4"/>
      <c r="AU2096" s="4"/>
      <c r="AV2096" s="4"/>
      <c r="AW2096" s="4"/>
      <c r="AX2096" s="4"/>
      <c r="AY2096" s="4"/>
      <c r="AZ2096" s="4"/>
      <c r="BA2096" s="4"/>
      <c r="BB2096" s="4"/>
      <c r="BC2096" s="4"/>
      <c r="BD2096" s="4"/>
      <c r="BE2096" s="4"/>
      <c r="BF2096" s="4"/>
      <c r="BG2096" s="4"/>
      <c r="BH2096" s="4"/>
      <c r="BI2096" s="4"/>
      <c r="BJ2096" s="4"/>
      <c r="BK2096" s="4"/>
      <c r="BL2096" s="4"/>
      <c r="BM2096" s="4"/>
      <c r="BN2096" s="4"/>
      <c r="BO2096" s="4"/>
      <c r="BP2096" s="4"/>
      <c r="BQ2096" s="4"/>
      <c r="BR2096" s="4"/>
      <c r="BS2096" s="4"/>
      <c r="BT2096" s="4"/>
      <c r="BU2096" s="4"/>
      <c r="BV2096" s="4"/>
      <c r="BW2096" s="4"/>
      <c r="BX2096" s="4"/>
      <c r="BY2096" s="4"/>
      <c r="BZ2096" s="4"/>
      <c r="CA2096" s="4"/>
      <c r="CB2096" s="4"/>
      <c r="CC2096" s="4"/>
      <c r="CD2096" s="4"/>
      <c r="CE2096" s="4"/>
      <c r="CF2096" s="4"/>
      <c r="CG2096" s="4"/>
      <c r="CH2096" s="4"/>
      <c r="CI2096" s="4"/>
      <c r="CJ2096" s="4"/>
      <c r="CK2096" s="4"/>
      <c r="CL2096" s="4"/>
      <c r="CM2096" s="4"/>
      <c r="CN2096" s="4"/>
      <c r="CO2096" s="4"/>
      <c r="CP2096" s="4"/>
      <c r="CQ2096" s="4"/>
      <c r="CR2096" s="4"/>
      <c r="CS2096" s="4"/>
      <c r="CT2096" s="4"/>
      <c r="CU2096" s="4"/>
      <c r="CV2096" s="4"/>
      <c r="CW2096" s="4"/>
      <c r="CX2096" s="4"/>
      <c r="CY2096" s="4"/>
      <c r="CZ2096" s="4"/>
      <c r="DA2096" s="4"/>
      <c r="DB2096" s="4"/>
      <c r="DC2096" s="4"/>
      <c r="DD2096" s="4"/>
      <c r="DE2096" s="4"/>
      <c r="DF2096" s="4"/>
      <c r="DG2096" s="4"/>
      <c r="DH2096" s="4"/>
      <c r="DI2096" s="4"/>
      <c r="DJ2096" s="4"/>
      <c r="DK2096" s="4"/>
      <c r="DL2096" s="4"/>
      <c r="DM2096" s="4"/>
      <c r="DN2096" s="4"/>
      <c r="DO2096" s="4"/>
      <c r="DP2096" s="4"/>
      <c r="DQ2096" s="4"/>
      <c r="DR2096" s="4"/>
      <c r="DS2096" s="4"/>
    </row>
    <row r="2097">
      <c r="A2097" s="4"/>
      <c r="B2097" s="4"/>
      <c r="C2097" s="4"/>
      <c r="D2097" s="4"/>
      <c r="E2097" s="4"/>
      <c r="F2097" s="4" t="s">
        <v>17</v>
      </c>
      <c r="G2097" s="15"/>
      <c r="H2097" s="4"/>
      <c r="I2097" s="4"/>
      <c r="J2097" s="4"/>
      <c r="K2097" s="4"/>
      <c r="L2097" s="4"/>
      <c r="M2097" s="4"/>
      <c r="N2097" s="4"/>
      <c r="O2097" s="4"/>
      <c r="P2097" s="4"/>
      <c r="Q2097" s="4"/>
      <c r="R2097" s="4"/>
      <c r="S2097" s="4"/>
      <c r="T2097" s="4"/>
      <c r="U2097" s="4"/>
      <c r="V2097" s="4"/>
      <c r="W2097" s="4"/>
      <c r="X2097" s="4"/>
      <c r="Y2097" s="4"/>
      <c r="Z2097" s="4"/>
      <c r="AA2097" s="4"/>
      <c r="AB2097" s="4"/>
      <c r="AC2097" s="4"/>
      <c r="AD2097" s="4"/>
      <c r="AE2097" s="4"/>
      <c r="AF2097" s="4"/>
      <c r="AG2097" s="4"/>
      <c r="AH2097" s="4"/>
      <c r="AI2097" s="4"/>
      <c r="AJ2097" s="4"/>
      <c r="AK2097" s="4"/>
      <c r="AL2097" s="4"/>
      <c r="AM2097" s="4"/>
      <c r="AN2097" s="4"/>
      <c r="AO2097" s="4"/>
      <c r="AP2097" s="4"/>
      <c r="AQ2097" s="4"/>
      <c r="AR2097" s="4"/>
      <c r="AS2097" s="4"/>
      <c r="AT2097" s="4"/>
      <c r="AU2097" s="4"/>
      <c r="AV2097" s="4"/>
      <c r="AW2097" s="4"/>
      <c r="AX2097" s="4"/>
      <c r="AY2097" s="4"/>
      <c r="AZ2097" s="4"/>
      <c r="BA2097" s="4"/>
      <c r="BB2097" s="4"/>
      <c r="BC2097" s="4"/>
      <c r="BD2097" s="4"/>
      <c r="BE2097" s="4"/>
      <c r="BF2097" s="4"/>
      <c r="BG2097" s="4"/>
      <c r="BH2097" s="4"/>
      <c r="BI2097" s="4"/>
      <c r="BJ2097" s="4"/>
      <c r="BK2097" s="4"/>
      <c r="BL2097" s="4"/>
      <c r="BM2097" s="4"/>
      <c r="BN2097" s="4"/>
      <c r="BO2097" s="4"/>
      <c r="BP2097" s="4"/>
      <c r="BQ2097" s="4"/>
      <c r="BR2097" s="4"/>
      <c r="BS2097" s="4"/>
      <c r="BT2097" s="4"/>
      <c r="BU2097" s="4"/>
      <c r="BV2097" s="4"/>
      <c r="BW2097" s="4"/>
      <c r="BX2097" s="4"/>
      <c r="BY2097" s="4"/>
      <c r="BZ2097" s="4"/>
      <c r="CA2097" s="4"/>
      <c r="CB2097" s="4"/>
      <c r="CC2097" s="4"/>
      <c r="CD2097" s="4"/>
      <c r="CE2097" s="4"/>
      <c r="CF2097" s="4"/>
      <c r="CG2097" s="4"/>
      <c r="CH2097" s="4"/>
      <c r="CI2097" s="4"/>
      <c r="CJ2097" s="4"/>
      <c r="CK2097" s="4"/>
      <c r="CL2097" s="4"/>
      <c r="CM2097" s="4"/>
      <c r="CN2097" s="4"/>
      <c r="CO2097" s="4"/>
      <c r="CP2097" s="4"/>
      <c r="CQ2097" s="4"/>
      <c r="CR2097" s="4"/>
      <c r="CS2097" s="4"/>
      <c r="CT2097" s="4"/>
      <c r="CU2097" s="4"/>
      <c r="CV2097" s="4"/>
      <c r="CW2097" s="4"/>
      <c r="CX2097" s="4"/>
      <c r="CY2097" s="4"/>
      <c r="CZ2097" s="4"/>
      <c r="DA2097" s="4"/>
      <c r="DB2097" s="4"/>
      <c r="DC2097" s="4"/>
      <c r="DD2097" s="4"/>
      <c r="DE2097" s="4"/>
      <c r="DF2097" s="4"/>
      <c r="DG2097" s="4"/>
      <c r="DH2097" s="4"/>
      <c r="DI2097" s="4"/>
      <c r="DJ2097" s="4"/>
      <c r="DK2097" s="4"/>
      <c r="DL2097" s="4"/>
      <c r="DM2097" s="4"/>
      <c r="DN2097" s="4"/>
      <c r="DO2097" s="4"/>
      <c r="DP2097" s="4"/>
      <c r="DQ2097" s="4"/>
      <c r="DR2097" s="4"/>
      <c r="DS2097" s="4"/>
    </row>
    <row r="2098">
      <c r="A2098" s="4"/>
      <c r="B2098" s="4"/>
      <c r="C2098" s="4"/>
      <c r="D2098" s="4"/>
      <c r="E2098" s="4"/>
      <c r="F2098" s="4" t="s">
        <v>17</v>
      </c>
      <c r="G2098" s="15"/>
      <c r="H2098" s="4"/>
      <c r="I2098" s="4"/>
      <c r="J2098" s="4"/>
      <c r="K2098" s="4"/>
      <c r="L2098" s="4"/>
      <c r="M2098" s="4"/>
      <c r="N2098" s="4"/>
      <c r="O2098" s="4"/>
      <c r="P2098" s="4"/>
      <c r="Q2098" s="4"/>
      <c r="R2098" s="4"/>
      <c r="S2098" s="4"/>
      <c r="T2098" s="4"/>
      <c r="U2098" s="4"/>
      <c r="V2098" s="4"/>
      <c r="W2098" s="4"/>
      <c r="X2098" s="4"/>
      <c r="Y2098" s="4"/>
      <c r="Z2098" s="4"/>
      <c r="AA2098" s="4"/>
      <c r="AB2098" s="4"/>
      <c r="AC2098" s="4"/>
      <c r="AD2098" s="4"/>
      <c r="AE2098" s="4"/>
      <c r="AF2098" s="4"/>
      <c r="AG2098" s="4"/>
      <c r="AH2098" s="4"/>
      <c r="AI2098" s="4"/>
      <c r="AJ2098" s="4"/>
      <c r="AK2098" s="4"/>
      <c r="AL2098" s="4"/>
      <c r="AM2098" s="4"/>
      <c r="AN2098" s="4"/>
      <c r="AO2098" s="4"/>
      <c r="AP2098" s="4"/>
      <c r="AQ2098" s="4"/>
      <c r="AR2098" s="4"/>
      <c r="AS2098" s="4"/>
      <c r="AT2098" s="4"/>
      <c r="AU2098" s="4"/>
      <c r="AV2098" s="4"/>
      <c r="AW2098" s="4"/>
      <c r="AX2098" s="4"/>
      <c r="AY2098" s="4"/>
      <c r="AZ2098" s="4"/>
      <c r="BA2098" s="4"/>
      <c r="BB2098" s="4"/>
      <c r="BC2098" s="4"/>
      <c r="BD2098" s="4"/>
      <c r="BE2098" s="4"/>
      <c r="BF2098" s="4"/>
      <c r="BG2098" s="4"/>
      <c r="BH2098" s="4"/>
      <c r="BI2098" s="4"/>
      <c r="BJ2098" s="4"/>
      <c r="BK2098" s="4"/>
      <c r="BL2098" s="4"/>
      <c r="BM2098" s="4"/>
      <c r="BN2098" s="4"/>
      <c r="BO2098" s="4"/>
      <c r="BP2098" s="4"/>
      <c r="BQ2098" s="4"/>
      <c r="BR2098" s="4"/>
      <c r="BS2098" s="4"/>
      <c r="BT2098" s="4"/>
      <c r="BU2098" s="4"/>
      <c r="BV2098" s="4"/>
      <c r="BW2098" s="4"/>
      <c r="BX2098" s="4"/>
      <c r="BY2098" s="4"/>
      <c r="BZ2098" s="4"/>
      <c r="CA2098" s="4"/>
      <c r="CB2098" s="4"/>
      <c r="CC2098" s="4"/>
      <c r="CD2098" s="4"/>
      <c r="CE2098" s="4"/>
      <c r="CF2098" s="4"/>
      <c r="CG2098" s="4"/>
      <c r="CH2098" s="4"/>
      <c r="CI2098" s="4"/>
      <c r="CJ2098" s="4"/>
      <c r="CK2098" s="4"/>
      <c r="CL2098" s="4"/>
      <c r="CM2098" s="4"/>
      <c r="CN2098" s="4"/>
      <c r="CO2098" s="4"/>
      <c r="CP2098" s="4"/>
      <c r="CQ2098" s="4"/>
      <c r="CR2098" s="4"/>
      <c r="CS2098" s="4"/>
      <c r="CT2098" s="4"/>
      <c r="CU2098" s="4"/>
      <c r="CV2098" s="4"/>
      <c r="CW2098" s="4"/>
      <c r="CX2098" s="4"/>
      <c r="CY2098" s="4"/>
      <c r="CZ2098" s="4"/>
      <c r="DA2098" s="4"/>
      <c r="DB2098" s="4"/>
      <c r="DC2098" s="4"/>
      <c r="DD2098" s="4"/>
      <c r="DE2098" s="4"/>
      <c r="DF2098" s="4"/>
      <c r="DG2098" s="4"/>
      <c r="DH2098" s="4"/>
      <c r="DI2098" s="4"/>
      <c r="DJ2098" s="4"/>
      <c r="DK2098" s="4"/>
      <c r="DL2098" s="4"/>
      <c r="DM2098" s="4"/>
      <c r="DN2098" s="4"/>
      <c r="DO2098" s="4"/>
      <c r="DP2098" s="4"/>
      <c r="DQ2098" s="4"/>
      <c r="DR2098" s="4"/>
      <c r="DS2098" s="4"/>
    </row>
    <row r="2099">
      <c r="A2099" s="4"/>
      <c r="B2099" s="4"/>
      <c r="C2099" s="4"/>
      <c r="D2099" s="4"/>
      <c r="E2099" s="4"/>
      <c r="F2099" s="4" t="s">
        <v>17</v>
      </c>
      <c r="G2099" s="15"/>
      <c r="H2099" s="4"/>
      <c r="I2099" s="4"/>
      <c r="J2099" s="4"/>
      <c r="K2099" s="4"/>
      <c r="L2099" s="4"/>
      <c r="M2099" s="4"/>
      <c r="N2099" s="4"/>
      <c r="O2099" s="4"/>
      <c r="P2099" s="4"/>
      <c r="Q2099" s="4"/>
      <c r="R2099" s="4"/>
      <c r="S2099" s="4"/>
      <c r="T2099" s="4"/>
      <c r="U2099" s="4"/>
      <c r="V2099" s="4"/>
      <c r="W2099" s="4"/>
      <c r="X2099" s="4"/>
      <c r="Y2099" s="4"/>
      <c r="Z2099" s="4"/>
      <c r="AA2099" s="4"/>
      <c r="AB2099" s="4"/>
      <c r="AC2099" s="4"/>
      <c r="AD2099" s="4"/>
      <c r="AE2099" s="4"/>
      <c r="AF2099" s="4"/>
      <c r="AG2099" s="4"/>
      <c r="AH2099" s="4"/>
      <c r="AI2099" s="4"/>
      <c r="AJ2099" s="4"/>
      <c r="AK2099" s="4"/>
      <c r="AL2099" s="4"/>
      <c r="AM2099" s="4"/>
      <c r="AN2099" s="4"/>
      <c r="AO2099" s="4"/>
      <c r="AP2099" s="4"/>
      <c r="AQ2099" s="4"/>
      <c r="AR2099" s="4"/>
      <c r="AS2099" s="4"/>
      <c r="AT2099" s="4"/>
      <c r="AU2099" s="4"/>
      <c r="AV2099" s="4"/>
      <c r="AW2099" s="4"/>
      <c r="AX2099" s="4"/>
      <c r="AY2099" s="4"/>
      <c r="AZ2099" s="4"/>
      <c r="BA2099" s="4"/>
      <c r="BB2099" s="4"/>
      <c r="BC2099" s="4"/>
      <c r="BD2099" s="4"/>
      <c r="BE2099" s="4"/>
      <c r="BF2099" s="4"/>
      <c r="BG2099" s="4"/>
      <c r="BH2099" s="4"/>
      <c r="BI2099" s="4"/>
      <c r="BJ2099" s="4"/>
      <c r="BK2099" s="4"/>
      <c r="BL2099" s="4"/>
      <c r="BM2099" s="4"/>
      <c r="BN2099" s="4"/>
      <c r="BO2099" s="4"/>
      <c r="BP2099" s="4"/>
      <c r="BQ2099" s="4"/>
      <c r="BR2099" s="4"/>
      <c r="BS2099" s="4"/>
      <c r="BT2099" s="4"/>
      <c r="BU2099" s="4"/>
      <c r="BV2099" s="4"/>
      <c r="BW2099" s="4"/>
      <c r="BX2099" s="4"/>
      <c r="BY2099" s="4"/>
      <c r="BZ2099" s="4"/>
      <c r="CA2099" s="4"/>
      <c r="CB2099" s="4"/>
      <c r="CC2099" s="4"/>
      <c r="CD2099" s="4"/>
      <c r="CE2099" s="4"/>
      <c r="CF2099" s="4"/>
      <c r="CG2099" s="4"/>
      <c r="CH2099" s="4"/>
      <c r="CI2099" s="4"/>
      <c r="CJ2099" s="4"/>
      <c r="CK2099" s="4"/>
      <c r="CL2099" s="4"/>
      <c r="CM2099" s="4"/>
      <c r="CN2099" s="4"/>
      <c r="CO2099" s="4"/>
      <c r="CP2099" s="4"/>
      <c r="CQ2099" s="4"/>
      <c r="CR2099" s="4"/>
      <c r="CS2099" s="4"/>
      <c r="CT2099" s="4"/>
      <c r="CU2099" s="4"/>
      <c r="CV2099" s="4"/>
      <c r="CW2099" s="4"/>
      <c r="CX2099" s="4"/>
      <c r="CY2099" s="4"/>
      <c r="CZ2099" s="4"/>
      <c r="DA2099" s="4"/>
      <c r="DB2099" s="4"/>
      <c r="DC2099" s="4"/>
      <c r="DD2099" s="4"/>
      <c r="DE2099" s="4"/>
      <c r="DF2099" s="4"/>
      <c r="DG2099" s="4"/>
      <c r="DH2099" s="4"/>
      <c r="DI2099" s="4"/>
      <c r="DJ2099" s="4"/>
      <c r="DK2099" s="4"/>
      <c r="DL2099" s="4"/>
      <c r="DM2099" s="4"/>
      <c r="DN2099" s="4"/>
      <c r="DO2099" s="4"/>
      <c r="DP2099" s="4"/>
      <c r="DQ2099" s="4"/>
      <c r="DR2099" s="4"/>
      <c r="DS2099" s="4"/>
    </row>
    <row r="2100">
      <c r="A2100" s="4"/>
      <c r="B2100" s="4"/>
      <c r="C2100" s="4"/>
      <c r="D2100" s="4"/>
      <c r="E2100" s="4"/>
      <c r="F2100" s="4" t="s">
        <v>17</v>
      </c>
      <c r="G2100" s="15"/>
      <c r="H2100" s="4"/>
      <c r="I2100" s="4"/>
      <c r="J2100" s="4"/>
      <c r="K2100" s="4"/>
      <c r="L2100" s="4"/>
      <c r="M2100" s="4"/>
      <c r="N2100" s="4"/>
      <c r="O2100" s="4"/>
      <c r="P2100" s="4"/>
      <c r="Q2100" s="4"/>
      <c r="R2100" s="4"/>
      <c r="S2100" s="4"/>
      <c r="T2100" s="4"/>
      <c r="U2100" s="4"/>
      <c r="V2100" s="4"/>
      <c r="W2100" s="4"/>
      <c r="X2100" s="4"/>
      <c r="Y2100" s="4"/>
      <c r="Z2100" s="4"/>
      <c r="AA2100" s="4"/>
      <c r="AB2100" s="4"/>
      <c r="AC2100" s="4"/>
      <c r="AD2100" s="4"/>
      <c r="AE2100" s="4"/>
      <c r="AF2100" s="4"/>
      <c r="AG2100" s="4"/>
      <c r="AH2100" s="4"/>
      <c r="AI2100" s="4"/>
      <c r="AJ2100" s="4"/>
      <c r="AK2100" s="4"/>
      <c r="AL2100" s="4"/>
      <c r="AM2100" s="4"/>
      <c r="AN2100" s="4"/>
      <c r="AO2100" s="4"/>
      <c r="AP2100" s="4"/>
      <c r="AQ2100" s="4"/>
      <c r="AR2100" s="4"/>
      <c r="AS2100" s="4"/>
      <c r="AT2100" s="4"/>
      <c r="AU2100" s="4"/>
      <c r="AV2100" s="4"/>
      <c r="AW2100" s="4"/>
      <c r="AX2100" s="4"/>
      <c r="AY2100" s="4"/>
      <c r="AZ2100" s="4"/>
      <c r="BA2100" s="4"/>
      <c r="BB2100" s="4"/>
      <c r="BC2100" s="4"/>
      <c r="BD2100" s="4"/>
      <c r="BE2100" s="4"/>
      <c r="BF2100" s="4"/>
      <c r="BG2100" s="4"/>
      <c r="BH2100" s="4"/>
      <c r="BI2100" s="4"/>
      <c r="BJ2100" s="4"/>
      <c r="BK2100" s="4"/>
      <c r="BL2100" s="4"/>
      <c r="BM2100" s="4"/>
      <c r="BN2100" s="4"/>
      <c r="BO2100" s="4"/>
      <c r="BP2100" s="4"/>
      <c r="BQ2100" s="4"/>
      <c r="BR2100" s="4"/>
      <c r="BS2100" s="4"/>
      <c r="BT2100" s="4"/>
      <c r="BU2100" s="4"/>
      <c r="BV2100" s="4"/>
      <c r="BW2100" s="4"/>
      <c r="BX2100" s="4"/>
      <c r="BY2100" s="4"/>
      <c r="BZ2100" s="4"/>
      <c r="CA2100" s="4"/>
      <c r="CB2100" s="4"/>
      <c r="CC2100" s="4"/>
      <c r="CD2100" s="4"/>
      <c r="CE2100" s="4"/>
      <c r="CF2100" s="4"/>
      <c r="CG2100" s="4"/>
      <c r="CH2100" s="4"/>
      <c r="CI2100" s="4"/>
      <c r="CJ2100" s="4"/>
      <c r="CK2100" s="4"/>
      <c r="CL2100" s="4"/>
      <c r="CM2100" s="4"/>
      <c r="CN2100" s="4"/>
      <c r="CO2100" s="4"/>
      <c r="CP2100" s="4"/>
      <c r="CQ2100" s="4"/>
      <c r="CR2100" s="4"/>
      <c r="CS2100" s="4"/>
      <c r="CT2100" s="4"/>
      <c r="CU2100" s="4"/>
      <c r="CV2100" s="4"/>
      <c r="CW2100" s="4"/>
      <c r="CX2100" s="4"/>
      <c r="CY2100" s="4"/>
      <c r="CZ2100" s="4"/>
      <c r="DA2100" s="4"/>
      <c r="DB2100" s="4"/>
      <c r="DC2100" s="4"/>
      <c r="DD2100" s="4"/>
      <c r="DE2100" s="4"/>
      <c r="DF2100" s="4"/>
      <c r="DG2100" s="4"/>
      <c r="DH2100" s="4"/>
      <c r="DI2100" s="4"/>
      <c r="DJ2100" s="4"/>
      <c r="DK2100" s="4"/>
      <c r="DL2100" s="4"/>
      <c r="DM2100" s="4"/>
      <c r="DN2100" s="4"/>
      <c r="DO2100" s="4"/>
      <c r="DP2100" s="4"/>
      <c r="DQ2100" s="4"/>
      <c r="DR2100" s="4"/>
      <c r="DS2100" s="4"/>
    </row>
    <row r="2101">
      <c r="A2101" s="4"/>
      <c r="B2101" s="4"/>
      <c r="C2101" s="4"/>
      <c r="D2101" s="4"/>
      <c r="E2101" s="4"/>
      <c r="F2101" s="4" t="s">
        <v>17</v>
      </c>
      <c r="G2101" s="15"/>
      <c r="H2101" s="4"/>
      <c r="I2101" s="4"/>
      <c r="J2101" s="4"/>
      <c r="K2101" s="4"/>
      <c r="L2101" s="4"/>
      <c r="M2101" s="4"/>
      <c r="N2101" s="4"/>
      <c r="O2101" s="4"/>
      <c r="P2101" s="4"/>
      <c r="Q2101" s="4"/>
      <c r="R2101" s="4"/>
      <c r="S2101" s="4"/>
      <c r="T2101" s="4"/>
      <c r="U2101" s="4"/>
      <c r="V2101" s="4"/>
      <c r="W2101" s="4"/>
      <c r="X2101" s="4"/>
      <c r="Y2101" s="4"/>
      <c r="Z2101" s="4"/>
      <c r="AA2101" s="4"/>
      <c r="AB2101" s="4"/>
      <c r="AC2101" s="4"/>
      <c r="AD2101" s="4"/>
      <c r="AE2101" s="4"/>
      <c r="AF2101" s="4"/>
      <c r="AG2101" s="4"/>
      <c r="AH2101" s="4"/>
      <c r="AI2101" s="4"/>
      <c r="AJ2101" s="4"/>
      <c r="AK2101" s="4"/>
      <c r="AL2101" s="4"/>
      <c r="AM2101" s="4"/>
      <c r="AN2101" s="4"/>
      <c r="AO2101" s="4"/>
      <c r="AP2101" s="4"/>
      <c r="AQ2101" s="4"/>
      <c r="AR2101" s="4"/>
      <c r="AS2101" s="4"/>
      <c r="AT2101" s="4"/>
      <c r="AU2101" s="4"/>
      <c r="AV2101" s="4"/>
      <c r="AW2101" s="4"/>
      <c r="AX2101" s="4"/>
      <c r="AY2101" s="4"/>
      <c r="AZ2101" s="4"/>
      <c r="BA2101" s="4"/>
      <c r="BB2101" s="4"/>
      <c r="BC2101" s="4"/>
      <c r="BD2101" s="4"/>
      <c r="BE2101" s="4"/>
      <c r="BF2101" s="4"/>
      <c r="BG2101" s="4"/>
      <c r="BH2101" s="4"/>
      <c r="BI2101" s="4"/>
      <c r="BJ2101" s="4"/>
      <c r="BK2101" s="4"/>
      <c r="BL2101" s="4"/>
      <c r="BM2101" s="4"/>
      <c r="BN2101" s="4"/>
      <c r="BO2101" s="4"/>
      <c r="BP2101" s="4"/>
      <c r="BQ2101" s="4"/>
      <c r="BR2101" s="4"/>
      <c r="BS2101" s="4"/>
      <c r="BT2101" s="4"/>
      <c r="BU2101" s="4"/>
      <c r="BV2101" s="4"/>
      <c r="BW2101" s="4"/>
      <c r="BX2101" s="4"/>
      <c r="BY2101" s="4"/>
      <c r="BZ2101" s="4"/>
      <c r="CA2101" s="4"/>
      <c r="CB2101" s="4"/>
      <c r="CC2101" s="4"/>
      <c r="CD2101" s="4"/>
      <c r="CE2101" s="4"/>
      <c r="CF2101" s="4"/>
      <c r="CG2101" s="4"/>
      <c r="CH2101" s="4"/>
      <c r="CI2101" s="4"/>
      <c r="CJ2101" s="4"/>
      <c r="CK2101" s="4"/>
      <c r="CL2101" s="4"/>
      <c r="CM2101" s="4"/>
      <c r="CN2101" s="4"/>
      <c r="CO2101" s="4"/>
      <c r="CP2101" s="4"/>
      <c r="CQ2101" s="4"/>
      <c r="CR2101" s="4"/>
      <c r="CS2101" s="4"/>
      <c r="CT2101" s="4"/>
      <c r="CU2101" s="4"/>
      <c r="CV2101" s="4"/>
      <c r="CW2101" s="4"/>
      <c r="CX2101" s="4"/>
      <c r="CY2101" s="4"/>
      <c r="CZ2101" s="4"/>
      <c r="DA2101" s="4"/>
      <c r="DB2101" s="4"/>
      <c r="DC2101" s="4"/>
      <c r="DD2101" s="4"/>
      <c r="DE2101" s="4"/>
      <c r="DF2101" s="4"/>
      <c r="DG2101" s="4"/>
      <c r="DH2101" s="4"/>
      <c r="DI2101" s="4"/>
      <c r="DJ2101" s="4"/>
      <c r="DK2101" s="4"/>
      <c r="DL2101" s="4"/>
      <c r="DM2101" s="4"/>
      <c r="DN2101" s="4"/>
      <c r="DO2101" s="4"/>
      <c r="DP2101" s="4"/>
      <c r="DQ2101" s="4"/>
      <c r="DR2101" s="4"/>
      <c r="DS2101" s="4"/>
    </row>
    <row r="2102">
      <c r="A2102" s="4"/>
      <c r="B2102" s="4"/>
      <c r="C2102" s="4"/>
      <c r="D2102" s="4"/>
      <c r="E2102" s="4"/>
      <c r="F2102" s="4" t="s">
        <v>17</v>
      </c>
      <c r="G2102" s="15"/>
      <c r="H2102" s="4"/>
      <c r="I2102" s="4"/>
      <c r="J2102" s="4"/>
      <c r="K2102" s="4"/>
      <c r="L2102" s="4"/>
      <c r="M2102" s="4"/>
      <c r="N2102" s="4"/>
      <c r="O2102" s="4"/>
      <c r="P2102" s="4"/>
      <c r="Q2102" s="4"/>
      <c r="R2102" s="4"/>
      <c r="S2102" s="4"/>
      <c r="T2102" s="4"/>
      <c r="U2102" s="4"/>
      <c r="V2102" s="4"/>
      <c r="W2102" s="4"/>
      <c r="X2102" s="4"/>
      <c r="Y2102" s="4"/>
      <c r="Z2102" s="4"/>
      <c r="AA2102" s="4"/>
      <c r="AB2102" s="4"/>
      <c r="AC2102" s="4"/>
      <c r="AD2102" s="4"/>
      <c r="AE2102" s="4"/>
      <c r="AF2102" s="4"/>
      <c r="AG2102" s="4"/>
      <c r="AH2102" s="4"/>
      <c r="AI2102" s="4"/>
      <c r="AJ2102" s="4"/>
      <c r="AK2102" s="4"/>
      <c r="AL2102" s="4"/>
      <c r="AM2102" s="4"/>
      <c r="AN2102" s="4"/>
      <c r="AO2102" s="4"/>
      <c r="AP2102" s="4"/>
      <c r="AQ2102" s="4"/>
      <c r="AR2102" s="4"/>
      <c r="AS2102" s="4"/>
      <c r="AT2102" s="4"/>
      <c r="AU2102" s="4"/>
      <c r="AV2102" s="4"/>
      <c r="AW2102" s="4"/>
      <c r="AX2102" s="4"/>
      <c r="AY2102" s="4"/>
      <c r="AZ2102" s="4"/>
      <c r="BA2102" s="4"/>
      <c r="BB2102" s="4"/>
      <c r="BC2102" s="4"/>
      <c r="BD2102" s="4"/>
      <c r="BE2102" s="4"/>
      <c r="BF2102" s="4"/>
      <c r="BG2102" s="4"/>
      <c r="BH2102" s="4"/>
      <c r="BI2102" s="4"/>
      <c r="BJ2102" s="4"/>
      <c r="BK2102" s="4"/>
      <c r="BL2102" s="4"/>
      <c r="BM2102" s="4"/>
      <c r="BN2102" s="4"/>
      <c r="BO2102" s="4"/>
      <c r="BP2102" s="4"/>
      <c r="BQ2102" s="4"/>
      <c r="BR2102" s="4"/>
      <c r="BS2102" s="4"/>
      <c r="BT2102" s="4"/>
      <c r="BU2102" s="4"/>
      <c r="BV2102" s="4"/>
      <c r="BW2102" s="4"/>
      <c r="BX2102" s="4"/>
      <c r="BY2102" s="4"/>
      <c r="BZ2102" s="4"/>
      <c r="CA2102" s="4"/>
      <c r="CB2102" s="4"/>
      <c r="CC2102" s="4"/>
      <c r="CD2102" s="4"/>
      <c r="CE2102" s="4"/>
      <c r="CF2102" s="4"/>
      <c r="CG2102" s="4"/>
      <c r="CH2102" s="4"/>
      <c r="CI2102" s="4"/>
      <c r="CJ2102" s="4"/>
      <c r="CK2102" s="4"/>
      <c r="CL2102" s="4"/>
      <c r="CM2102" s="4"/>
      <c r="CN2102" s="4"/>
      <c r="CO2102" s="4"/>
      <c r="CP2102" s="4"/>
      <c r="CQ2102" s="4"/>
      <c r="CR2102" s="4"/>
      <c r="CS2102" s="4"/>
      <c r="CT2102" s="4"/>
      <c r="CU2102" s="4"/>
      <c r="CV2102" s="4"/>
      <c r="CW2102" s="4"/>
      <c r="CX2102" s="4"/>
      <c r="CY2102" s="4"/>
      <c r="CZ2102" s="4"/>
      <c r="DA2102" s="4"/>
      <c r="DB2102" s="4"/>
      <c r="DC2102" s="4"/>
      <c r="DD2102" s="4"/>
      <c r="DE2102" s="4"/>
      <c r="DF2102" s="4"/>
      <c r="DG2102" s="4"/>
      <c r="DH2102" s="4"/>
      <c r="DI2102" s="4"/>
      <c r="DJ2102" s="4"/>
      <c r="DK2102" s="4"/>
      <c r="DL2102" s="4"/>
      <c r="DM2102" s="4"/>
      <c r="DN2102" s="4"/>
      <c r="DO2102" s="4"/>
      <c r="DP2102" s="4"/>
      <c r="DQ2102" s="4"/>
      <c r="DR2102" s="4"/>
      <c r="DS2102" s="4"/>
    </row>
    <row r="2103">
      <c r="A2103" s="4"/>
      <c r="B2103" s="4"/>
      <c r="C2103" s="4"/>
      <c r="D2103" s="4"/>
      <c r="E2103" s="4"/>
      <c r="F2103" s="4" t="s">
        <v>17</v>
      </c>
      <c r="G2103" s="15"/>
      <c r="H2103" s="4"/>
      <c r="I2103" s="4"/>
      <c r="J2103" s="4"/>
      <c r="K2103" s="4"/>
      <c r="L2103" s="4"/>
      <c r="M2103" s="4"/>
      <c r="N2103" s="4"/>
      <c r="O2103" s="4"/>
      <c r="P2103" s="4"/>
      <c r="Q2103" s="4"/>
      <c r="R2103" s="4"/>
      <c r="S2103" s="4"/>
      <c r="T2103" s="4"/>
      <c r="U2103" s="4"/>
      <c r="V2103" s="4"/>
      <c r="W2103" s="4"/>
      <c r="X2103" s="4"/>
      <c r="Y2103" s="4"/>
      <c r="Z2103" s="4"/>
      <c r="AA2103" s="4"/>
      <c r="AB2103" s="4"/>
      <c r="AC2103" s="4"/>
      <c r="AD2103" s="4"/>
      <c r="AE2103" s="4"/>
      <c r="AF2103" s="4"/>
      <c r="AG2103" s="4"/>
      <c r="AH2103" s="4"/>
      <c r="AI2103" s="4"/>
      <c r="AJ2103" s="4"/>
      <c r="AK2103" s="4"/>
      <c r="AL2103" s="4"/>
      <c r="AM2103" s="4"/>
      <c r="AN2103" s="4"/>
      <c r="AO2103" s="4"/>
      <c r="AP2103" s="4"/>
      <c r="AQ2103" s="4"/>
      <c r="AR2103" s="4"/>
      <c r="AS2103" s="4"/>
      <c r="AT2103" s="4"/>
      <c r="AU2103" s="4"/>
      <c r="AV2103" s="4"/>
      <c r="AW2103" s="4"/>
      <c r="AX2103" s="4"/>
      <c r="AY2103" s="4"/>
      <c r="AZ2103" s="4"/>
      <c r="BA2103" s="4"/>
      <c r="BB2103" s="4"/>
      <c r="BC2103" s="4"/>
      <c r="BD2103" s="4"/>
      <c r="BE2103" s="4"/>
      <c r="BF2103" s="4"/>
      <c r="BG2103" s="4"/>
      <c r="BH2103" s="4"/>
      <c r="BI2103" s="4"/>
      <c r="BJ2103" s="4"/>
      <c r="BK2103" s="4"/>
      <c r="BL2103" s="4"/>
      <c r="BM2103" s="4"/>
      <c r="BN2103" s="4"/>
      <c r="BO2103" s="4"/>
      <c r="BP2103" s="4"/>
      <c r="BQ2103" s="4"/>
      <c r="BR2103" s="4"/>
      <c r="BS2103" s="4"/>
      <c r="BT2103" s="4"/>
      <c r="BU2103" s="4"/>
      <c r="BV2103" s="4"/>
      <c r="BW2103" s="4"/>
      <c r="BX2103" s="4"/>
      <c r="BY2103" s="4"/>
      <c r="BZ2103" s="4"/>
      <c r="CA2103" s="4"/>
      <c r="CB2103" s="4"/>
      <c r="CC2103" s="4"/>
      <c r="CD2103" s="4"/>
      <c r="CE2103" s="4"/>
      <c r="CF2103" s="4"/>
      <c r="CG2103" s="4"/>
      <c r="CH2103" s="4"/>
      <c r="CI2103" s="4"/>
      <c r="CJ2103" s="4"/>
      <c r="CK2103" s="4"/>
      <c r="CL2103" s="4"/>
      <c r="CM2103" s="4"/>
      <c r="CN2103" s="4"/>
      <c r="CO2103" s="4"/>
      <c r="CP2103" s="4"/>
      <c r="CQ2103" s="4"/>
      <c r="CR2103" s="4"/>
      <c r="CS2103" s="4"/>
      <c r="CT2103" s="4"/>
      <c r="CU2103" s="4"/>
      <c r="CV2103" s="4"/>
      <c r="CW2103" s="4"/>
      <c r="CX2103" s="4"/>
      <c r="CY2103" s="4"/>
      <c r="CZ2103" s="4"/>
      <c r="DA2103" s="4"/>
      <c r="DB2103" s="4"/>
      <c r="DC2103" s="4"/>
      <c r="DD2103" s="4"/>
      <c r="DE2103" s="4"/>
      <c r="DF2103" s="4"/>
      <c r="DG2103" s="4"/>
      <c r="DH2103" s="4"/>
      <c r="DI2103" s="4"/>
      <c r="DJ2103" s="4"/>
      <c r="DK2103" s="4"/>
      <c r="DL2103" s="4"/>
      <c r="DM2103" s="4"/>
      <c r="DN2103" s="4"/>
      <c r="DO2103" s="4"/>
      <c r="DP2103" s="4"/>
      <c r="DQ2103" s="4"/>
      <c r="DR2103" s="4"/>
      <c r="DS2103" s="4"/>
    </row>
    <row r="2104">
      <c r="A2104" s="4"/>
      <c r="B2104" s="4"/>
      <c r="C2104" s="4"/>
      <c r="D2104" s="4"/>
      <c r="E2104" s="4"/>
      <c r="F2104" s="4" t="s">
        <v>17</v>
      </c>
      <c r="G2104" s="15"/>
      <c r="H2104" s="4"/>
      <c r="I2104" s="4"/>
      <c r="J2104" s="4"/>
      <c r="K2104" s="4"/>
      <c r="L2104" s="4"/>
      <c r="M2104" s="4"/>
      <c r="N2104" s="4"/>
      <c r="O2104" s="4"/>
      <c r="P2104" s="4"/>
      <c r="Q2104" s="4"/>
      <c r="R2104" s="4"/>
      <c r="S2104" s="4"/>
      <c r="T2104" s="4"/>
      <c r="U2104" s="4"/>
      <c r="V2104" s="4"/>
      <c r="W2104" s="4"/>
      <c r="X2104" s="4"/>
      <c r="Y2104" s="4"/>
      <c r="Z2104" s="4"/>
      <c r="AA2104" s="4"/>
      <c r="AB2104" s="4"/>
      <c r="AC2104" s="4"/>
      <c r="AD2104" s="4"/>
      <c r="AE2104" s="4"/>
      <c r="AF2104" s="4"/>
      <c r="AG2104" s="4"/>
      <c r="AH2104" s="4"/>
      <c r="AI2104" s="4"/>
      <c r="AJ2104" s="4"/>
      <c r="AK2104" s="4"/>
      <c r="AL2104" s="4"/>
      <c r="AM2104" s="4"/>
      <c r="AN2104" s="4"/>
      <c r="AO2104" s="4"/>
      <c r="AP2104" s="4"/>
      <c r="AQ2104" s="4"/>
      <c r="AR2104" s="4"/>
      <c r="AS2104" s="4"/>
      <c r="AT2104" s="4"/>
      <c r="AU2104" s="4"/>
      <c r="AV2104" s="4"/>
      <c r="AW2104" s="4"/>
      <c r="AX2104" s="4"/>
      <c r="AY2104" s="4"/>
      <c r="AZ2104" s="4"/>
      <c r="BA2104" s="4"/>
      <c r="BB2104" s="4"/>
      <c r="BC2104" s="4"/>
      <c r="BD2104" s="4"/>
      <c r="BE2104" s="4"/>
      <c r="BF2104" s="4"/>
      <c r="BG2104" s="4"/>
      <c r="BH2104" s="4"/>
      <c r="BI2104" s="4"/>
      <c r="BJ2104" s="4"/>
      <c r="BK2104" s="4"/>
      <c r="BL2104" s="4"/>
      <c r="BM2104" s="4"/>
      <c r="BN2104" s="4"/>
      <c r="BO2104" s="4"/>
      <c r="BP2104" s="4"/>
      <c r="BQ2104" s="4"/>
      <c r="BR2104" s="4"/>
      <c r="BS2104" s="4"/>
      <c r="BT2104" s="4"/>
      <c r="BU2104" s="4"/>
      <c r="BV2104" s="4"/>
      <c r="BW2104" s="4"/>
      <c r="BX2104" s="4"/>
      <c r="BY2104" s="4"/>
      <c r="BZ2104" s="4"/>
      <c r="CA2104" s="4"/>
      <c r="CB2104" s="4"/>
      <c r="CC2104" s="4"/>
      <c r="CD2104" s="4"/>
      <c r="CE2104" s="4"/>
      <c r="CF2104" s="4"/>
      <c r="CG2104" s="4"/>
      <c r="CH2104" s="4"/>
      <c r="CI2104" s="4"/>
      <c r="CJ2104" s="4"/>
      <c r="CK2104" s="4"/>
      <c r="CL2104" s="4"/>
      <c r="CM2104" s="4"/>
      <c r="CN2104" s="4"/>
      <c r="CO2104" s="4"/>
      <c r="CP2104" s="4"/>
      <c r="CQ2104" s="4"/>
      <c r="CR2104" s="4"/>
      <c r="CS2104" s="4"/>
      <c r="CT2104" s="4"/>
      <c r="CU2104" s="4"/>
      <c r="CV2104" s="4"/>
      <c r="CW2104" s="4"/>
      <c r="CX2104" s="4"/>
      <c r="CY2104" s="4"/>
      <c r="CZ2104" s="4"/>
      <c r="DA2104" s="4"/>
      <c r="DB2104" s="4"/>
      <c r="DC2104" s="4"/>
      <c r="DD2104" s="4"/>
      <c r="DE2104" s="4"/>
      <c r="DF2104" s="4"/>
      <c r="DG2104" s="4"/>
      <c r="DH2104" s="4"/>
      <c r="DI2104" s="4"/>
      <c r="DJ2104" s="4"/>
      <c r="DK2104" s="4"/>
      <c r="DL2104" s="4"/>
      <c r="DM2104" s="4"/>
      <c r="DN2104" s="4"/>
      <c r="DO2104" s="4"/>
      <c r="DP2104" s="4"/>
      <c r="DQ2104" s="4"/>
      <c r="DR2104" s="4"/>
      <c r="DS2104" s="4"/>
    </row>
    <row r="2105">
      <c r="A2105" s="4"/>
      <c r="B2105" s="4"/>
      <c r="C2105" s="4"/>
      <c r="D2105" s="4"/>
      <c r="E2105" s="4"/>
      <c r="F2105" s="4" t="s">
        <v>17</v>
      </c>
      <c r="G2105" s="15"/>
      <c r="H2105" s="4"/>
      <c r="I2105" s="4"/>
      <c r="J2105" s="4"/>
      <c r="K2105" s="4"/>
      <c r="L2105" s="4"/>
      <c r="M2105" s="4"/>
      <c r="N2105" s="4"/>
      <c r="O2105" s="4"/>
      <c r="P2105" s="4"/>
      <c r="Q2105" s="4"/>
      <c r="R2105" s="4"/>
      <c r="S2105" s="4"/>
      <c r="T2105" s="4"/>
      <c r="U2105" s="4"/>
      <c r="V2105" s="4"/>
      <c r="W2105" s="4"/>
      <c r="X2105" s="4"/>
      <c r="Y2105" s="4"/>
      <c r="Z2105" s="4"/>
      <c r="AA2105" s="4"/>
      <c r="AB2105" s="4"/>
      <c r="AC2105" s="4"/>
      <c r="AD2105" s="4"/>
      <c r="AE2105" s="4"/>
      <c r="AF2105" s="4"/>
      <c r="AG2105" s="4"/>
      <c r="AH2105" s="4"/>
      <c r="AI2105" s="4"/>
      <c r="AJ2105" s="4"/>
      <c r="AK2105" s="4"/>
      <c r="AL2105" s="4"/>
      <c r="AM2105" s="4"/>
      <c r="AN2105" s="4"/>
      <c r="AO2105" s="4"/>
      <c r="AP2105" s="4"/>
      <c r="AQ2105" s="4"/>
      <c r="AR2105" s="4"/>
      <c r="AS2105" s="4"/>
      <c r="AT2105" s="4"/>
      <c r="AU2105" s="4"/>
      <c r="AV2105" s="4"/>
      <c r="AW2105" s="4"/>
      <c r="AX2105" s="4"/>
      <c r="AY2105" s="4"/>
      <c r="AZ2105" s="4"/>
      <c r="BA2105" s="4"/>
      <c r="BB2105" s="4"/>
      <c r="BC2105" s="4"/>
      <c r="BD2105" s="4"/>
      <c r="BE2105" s="4"/>
      <c r="BF2105" s="4"/>
      <c r="BG2105" s="4"/>
      <c r="BH2105" s="4"/>
      <c r="BI2105" s="4"/>
      <c r="BJ2105" s="4"/>
      <c r="BK2105" s="4"/>
      <c r="BL2105" s="4"/>
      <c r="BM2105" s="4"/>
      <c r="BN2105" s="4"/>
      <c r="BO2105" s="4"/>
      <c r="BP2105" s="4"/>
      <c r="BQ2105" s="4"/>
      <c r="BR2105" s="4"/>
      <c r="BS2105" s="4"/>
      <c r="BT2105" s="4"/>
      <c r="BU2105" s="4"/>
      <c r="BV2105" s="4"/>
      <c r="BW2105" s="4"/>
      <c r="BX2105" s="4"/>
      <c r="BY2105" s="4"/>
      <c r="BZ2105" s="4"/>
      <c r="CA2105" s="4"/>
      <c r="CB2105" s="4"/>
      <c r="CC2105" s="4"/>
      <c r="CD2105" s="4"/>
      <c r="CE2105" s="4"/>
      <c r="CF2105" s="4"/>
      <c r="CG2105" s="4"/>
      <c r="CH2105" s="4"/>
      <c r="CI2105" s="4"/>
      <c r="CJ2105" s="4"/>
      <c r="CK2105" s="4"/>
      <c r="CL2105" s="4"/>
      <c r="CM2105" s="4"/>
      <c r="CN2105" s="4"/>
      <c r="CO2105" s="4"/>
      <c r="CP2105" s="4"/>
      <c r="CQ2105" s="4"/>
      <c r="CR2105" s="4"/>
      <c r="CS2105" s="4"/>
      <c r="CT2105" s="4"/>
      <c r="CU2105" s="4"/>
      <c r="CV2105" s="4"/>
      <c r="CW2105" s="4"/>
      <c r="CX2105" s="4"/>
      <c r="CY2105" s="4"/>
      <c r="CZ2105" s="4"/>
      <c r="DA2105" s="4"/>
      <c r="DB2105" s="4"/>
      <c r="DC2105" s="4"/>
      <c r="DD2105" s="4"/>
      <c r="DE2105" s="4"/>
      <c r="DF2105" s="4"/>
      <c r="DG2105" s="4"/>
      <c r="DH2105" s="4"/>
      <c r="DI2105" s="4"/>
      <c r="DJ2105" s="4"/>
      <c r="DK2105" s="4"/>
      <c r="DL2105" s="4"/>
      <c r="DM2105" s="4"/>
      <c r="DN2105" s="4"/>
      <c r="DO2105" s="4"/>
      <c r="DP2105" s="4"/>
      <c r="DQ2105" s="4"/>
      <c r="DR2105" s="4"/>
      <c r="DS2105" s="4"/>
    </row>
    <row r="2106">
      <c r="A2106" s="4"/>
      <c r="B2106" s="4"/>
      <c r="C2106" s="4"/>
      <c r="D2106" s="4"/>
      <c r="E2106" s="4"/>
      <c r="F2106" s="4" t="s">
        <v>17</v>
      </c>
      <c r="G2106" s="15"/>
      <c r="H2106" s="4"/>
      <c r="I2106" s="4"/>
      <c r="J2106" s="4"/>
      <c r="K2106" s="4"/>
      <c r="L2106" s="4"/>
      <c r="M2106" s="4"/>
      <c r="N2106" s="4"/>
      <c r="O2106" s="4"/>
      <c r="P2106" s="4"/>
      <c r="Q2106" s="4"/>
      <c r="R2106" s="4"/>
      <c r="S2106" s="4"/>
      <c r="T2106" s="4"/>
      <c r="U2106" s="4"/>
      <c r="V2106" s="4"/>
      <c r="W2106" s="4"/>
      <c r="X2106" s="4"/>
      <c r="Y2106" s="4"/>
      <c r="Z2106" s="4"/>
      <c r="AA2106" s="4"/>
      <c r="AB2106" s="4"/>
      <c r="AC2106" s="4"/>
      <c r="AD2106" s="4"/>
      <c r="AE2106" s="4"/>
      <c r="AF2106" s="4"/>
      <c r="AG2106" s="4"/>
      <c r="AH2106" s="4"/>
      <c r="AI2106" s="4"/>
      <c r="AJ2106" s="4"/>
      <c r="AK2106" s="4"/>
      <c r="AL2106" s="4"/>
      <c r="AM2106" s="4"/>
      <c r="AN2106" s="4"/>
      <c r="AO2106" s="4"/>
      <c r="AP2106" s="4"/>
      <c r="AQ2106" s="4"/>
      <c r="AR2106" s="4"/>
      <c r="AS2106" s="4"/>
      <c r="AT2106" s="4"/>
      <c r="AU2106" s="4"/>
      <c r="AV2106" s="4"/>
      <c r="AW2106" s="4"/>
      <c r="AX2106" s="4"/>
      <c r="AY2106" s="4"/>
      <c r="AZ2106" s="4"/>
      <c r="BA2106" s="4"/>
      <c r="BB2106" s="4"/>
      <c r="BC2106" s="4"/>
      <c r="BD2106" s="4"/>
      <c r="BE2106" s="4"/>
      <c r="BF2106" s="4"/>
      <c r="BG2106" s="4"/>
      <c r="BH2106" s="4"/>
      <c r="BI2106" s="4"/>
      <c r="BJ2106" s="4"/>
      <c r="BK2106" s="4"/>
      <c r="BL2106" s="4"/>
      <c r="BM2106" s="4"/>
      <c r="BN2106" s="4"/>
      <c r="BO2106" s="4"/>
      <c r="BP2106" s="4"/>
      <c r="BQ2106" s="4"/>
      <c r="BR2106" s="4"/>
      <c r="BS2106" s="4"/>
      <c r="BT2106" s="4"/>
      <c r="BU2106" s="4"/>
      <c r="BV2106" s="4"/>
      <c r="BW2106" s="4"/>
      <c r="BX2106" s="4"/>
      <c r="BY2106" s="4"/>
      <c r="BZ2106" s="4"/>
      <c r="CA2106" s="4"/>
      <c r="CB2106" s="4"/>
      <c r="CC2106" s="4"/>
      <c r="CD2106" s="4"/>
      <c r="CE2106" s="4"/>
      <c r="CF2106" s="4"/>
      <c r="CG2106" s="4"/>
      <c r="CH2106" s="4"/>
      <c r="CI2106" s="4"/>
      <c r="CJ2106" s="4"/>
      <c r="CK2106" s="4"/>
      <c r="CL2106" s="4"/>
      <c r="CM2106" s="4"/>
      <c r="CN2106" s="4"/>
      <c r="CO2106" s="4"/>
      <c r="CP2106" s="4"/>
      <c r="CQ2106" s="4"/>
      <c r="CR2106" s="4"/>
      <c r="CS2106" s="4"/>
      <c r="CT2106" s="4"/>
      <c r="CU2106" s="4"/>
      <c r="CV2106" s="4"/>
      <c r="CW2106" s="4"/>
      <c r="CX2106" s="4"/>
      <c r="CY2106" s="4"/>
      <c r="CZ2106" s="4"/>
      <c r="DA2106" s="4"/>
      <c r="DB2106" s="4"/>
      <c r="DC2106" s="4"/>
      <c r="DD2106" s="4"/>
      <c r="DE2106" s="4"/>
      <c r="DF2106" s="4"/>
      <c r="DG2106" s="4"/>
      <c r="DH2106" s="4"/>
      <c r="DI2106" s="4"/>
      <c r="DJ2106" s="4"/>
      <c r="DK2106" s="4"/>
      <c r="DL2106" s="4"/>
      <c r="DM2106" s="4"/>
      <c r="DN2106" s="4"/>
      <c r="DO2106" s="4"/>
      <c r="DP2106" s="4"/>
      <c r="DQ2106" s="4"/>
      <c r="DR2106" s="4"/>
      <c r="DS2106" s="4"/>
    </row>
    <row r="2107">
      <c r="A2107" s="4"/>
      <c r="B2107" s="4"/>
      <c r="C2107" s="4"/>
      <c r="D2107" s="4"/>
      <c r="E2107" s="4"/>
      <c r="F2107" s="4" t="s">
        <v>17</v>
      </c>
      <c r="G2107" s="15"/>
      <c r="H2107" s="4"/>
      <c r="I2107" s="4"/>
      <c r="J2107" s="4"/>
      <c r="K2107" s="4"/>
      <c r="L2107" s="4"/>
      <c r="M2107" s="4"/>
      <c r="N2107" s="4"/>
      <c r="O2107" s="4"/>
      <c r="P2107" s="4"/>
      <c r="Q2107" s="4"/>
      <c r="R2107" s="4"/>
      <c r="S2107" s="4"/>
      <c r="T2107" s="4"/>
      <c r="U2107" s="4"/>
      <c r="V2107" s="4"/>
      <c r="W2107" s="4"/>
      <c r="X2107" s="4"/>
      <c r="Y2107" s="4"/>
      <c r="Z2107" s="4"/>
      <c r="AA2107" s="4"/>
      <c r="AB2107" s="4"/>
      <c r="AC2107" s="4"/>
      <c r="AD2107" s="4"/>
      <c r="AE2107" s="4"/>
      <c r="AF2107" s="4"/>
      <c r="AG2107" s="4"/>
      <c r="AH2107" s="4"/>
      <c r="AI2107" s="4"/>
      <c r="AJ2107" s="4"/>
      <c r="AK2107" s="4"/>
      <c r="AL2107" s="4"/>
      <c r="AM2107" s="4"/>
      <c r="AN2107" s="4"/>
      <c r="AO2107" s="4"/>
      <c r="AP2107" s="4"/>
      <c r="AQ2107" s="4"/>
      <c r="AR2107" s="4"/>
      <c r="AS2107" s="4"/>
      <c r="AT2107" s="4"/>
      <c r="AU2107" s="4"/>
      <c r="AV2107" s="4"/>
      <c r="AW2107" s="4"/>
      <c r="AX2107" s="4"/>
      <c r="AY2107" s="4"/>
      <c r="AZ2107" s="4"/>
      <c r="BA2107" s="4"/>
      <c r="BB2107" s="4"/>
      <c r="BC2107" s="4"/>
      <c r="BD2107" s="4"/>
      <c r="BE2107" s="4"/>
      <c r="BF2107" s="4"/>
      <c r="BG2107" s="4"/>
      <c r="BH2107" s="4"/>
      <c r="BI2107" s="4"/>
      <c r="BJ2107" s="4"/>
      <c r="BK2107" s="4"/>
      <c r="BL2107" s="4"/>
      <c r="BM2107" s="4"/>
      <c r="BN2107" s="4"/>
      <c r="BO2107" s="4"/>
      <c r="BP2107" s="4"/>
      <c r="BQ2107" s="4"/>
      <c r="BR2107" s="4"/>
      <c r="BS2107" s="4"/>
      <c r="BT2107" s="4"/>
      <c r="BU2107" s="4"/>
      <c r="BV2107" s="4"/>
      <c r="BW2107" s="4"/>
      <c r="BX2107" s="4"/>
      <c r="BY2107" s="4"/>
      <c r="BZ2107" s="4"/>
      <c r="CA2107" s="4"/>
      <c r="CB2107" s="4"/>
      <c r="CC2107" s="4"/>
      <c r="CD2107" s="4"/>
      <c r="CE2107" s="4"/>
      <c r="CF2107" s="4"/>
      <c r="CG2107" s="4"/>
      <c r="CH2107" s="4"/>
      <c r="CI2107" s="4"/>
      <c r="CJ2107" s="4"/>
      <c r="CK2107" s="4"/>
      <c r="CL2107" s="4"/>
      <c r="CM2107" s="4"/>
      <c r="CN2107" s="4"/>
      <c r="CO2107" s="4"/>
      <c r="CP2107" s="4"/>
      <c r="CQ2107" s="4"/>
      <c r="CR2107" s="4"/>
      <c r="CS2107" s="4"/>
      <c r="CT2107" s="4"/>
      <c r="CU2107" s="4"/>
      <c r="CV2107" s="4"/>
      <c r="CW2107" s="4"/>
      <c r="CX2107" s="4"/>
      <c r="CY2107" s="4"/>
      <c r="CZ2107" s="4"/>
      <c r="DA2107" s="4"/>
      <c r="DB2107" s="4"/>
      <c r="DC2107" s="4"/>
      <c r="DD2107" s="4"/>
      <c r="DE2107" s="4"/>
      <c r="DF2107" s="4"/>
      <c r="DG2107" s="4"/>
      <c r="DH2107" s="4"/>
      <c r="DI2107" s="4"/>
      <c r="DJ2107" s="4"/>
      <c r="DK2107" s="4"/>
      <c r="DL2107" s="4"/>
      <c r="DM2107" s="4"/>
      <c r="DN2107" s="4"/>
      <c r="DO2107" s="4"/>
      <c r="DP2107" s="4"/>
      <c r="DQ2107" s="4"/>
      <c r="DR2107" s="4"/>
      <c r="DS2107" s="4"/>
    </row>
    <row r="2108">
      <c r="A2108" s="4"/>
      <c r="B2108" s="4"/>
      <c r="C2108" s="4"/>
      <c r="D2108" s="4"/>
      <c r="E2108" s="4"/>
      <c r="F2108" s="4" t="s">
        <v>17</v>
      </c>
      <c r="G2108" s="15"/>
      <c r="H2108" s="4"/>
      <c r="I2108" s="4"/>
      <c r="J2108" s="4"/>
      <c r="K2108" s="4"/>
      <c r="L2108" s="4"/>
      <c r="M2108" s="4"/>
      <c r="N2108" s="4"/>
      <c r="O2108" s="4"/>
      <c r="P2108" s="4"/>
      <c r="Q2108" s="4"/>
      <c r="R2108" s="4"/>
      <c r="S2108" s="4"/>
      <c r="T2108" s="4"/>
      <c r="U2108" s="4"/>
      <c r="V2108" s="4"/>
      <c r="W2108" s="4"/>
      <c r="X2108" s="4"/>
      <c r="Y2108" s="4"/>
      <c r="Z2108" s="4"/>
      <c r="AA2108" s="4"/>
      <c r="AB2108" s="4"/>
      <c r="AC2108" s="4"/>
      <c r="AD2108" s="4"/>
      <c r="AE2108" s="4"/>
      <c r="AF2108" s="4"/>
      <c r="AG2108" s="4"/>
      <c r="AH2108" s="4"/>
      <c r="AI2108" s="4"/>
      <c r="AJ2108" s="4"/>
      <c r="AK2108" s="4"/>
      <c r="AL2108" s="4"/>
      <c r="AM2108" s="4"/>
      <c r="AN2108" s="4"/>
      <c r="AO2108" s="4"/>
      <c r="AP2108" s="4"/>
      <c r="AQ2108" s="4"/>
      <c r="AR2108" s="4"/>
      <c r="AS2108" s="4"/>
      <c r="AT2108" s="4"/>
      <c r="AU2108" s="4"/>
      <c r="AV2108" s="4"/>
      <c r="AW2108" s="4"/>
      <c r="AX2108" s="4"/>
      <c r="AY2108" s="4"/>
      <c r="AZ2108" s="4"/>
      <c r="BA2108" s="4"/>
      <c r="BB2108" s="4"/>
      <c r="BC2108" s="4"/>
      <c r="BD2108" s="4"/>
      <c r="BE2108" s="4"/>
      <c r="BF2108" s="4"/>
      <c r="BG2108" s="4"/>
      <c r="BH2108" s="4"/>
      <c r="BI2108" s="4"/>
      <c r="BJ2108" s="4"/>
      <c r="BK2108" s="4"/>
      <c r="BL2108" s="4"/>
      <c r="BM2108" s="4"/>
      <c r="BN2108" s="4"/>
      <c r="BO2108" s="4"/>
      <c r="BP2108" s="4"/>
      <c r="BQ2108" s="4"/>
      <c r="BR2108" s="4"/>
      <c r="BS2108" s="4"/>
      <c r="BT2108" s="4"/>
      <c r="BU2108" s="4"/>
      <c r="BV2108" s="4"/>
      <c r="BW2108" s="4"/>
      <c r="BX2108" s="4"/>
      <c r="BY2108" s="4"/>
      <c r="BZ2108" s="4"/>
      <c r="CA2108" s="4"/>
      <c r="CB2108" s="4"/>
      <c r="CC2108" s="4"/>
      <c r="CD2108" s="4"/>
      <c r="CE2108" s="4"/>
      <c r="CF2108" s="4"/>
      <c r="CG2108" s="4"/>
      <c r="CH2108" s="4"/>
      <c r="CI2108" s="4"/>
      <c r="CJ2108" s="4"/>
      <c r="CK2108" s="4"/>
      <c r="CL2108" s="4"/>
      <c r="CM2108" s="4"/>
      <c r="CN2108" s="4"/>
      <c r="CO2108" s="4"/>
      <c r="CP2108" s="4"/>
      <c r="CQ2108" s="4"/>
      <c r="CR2108" s="4"/>
      <c r="CS2108" s="4"/>
      <c r="CT2108" s="4"/>
      <c r="CU2108" s="4"/>
      <c r="CV2108" s="4"/>
      <c r="CW2108" s="4"/>
      <c r="CX2108" s="4"/>
      <c r="CY2108" s="4"/>
      <c r="CZ2108" s="4"/>
      <c r="DA2108" s="4"/>
      <c r="DB2108" s="4"/>
      <c r="DC2108" s="4"/>
      <c r="DD2108" s="4"/>
      <c r="DE2108" s="4"/>
      <c r="DF2108" s="4"/>
      <c r="DG2108" s="4"/>
      <c r="DH2108" s="4"/>
      <c r="DI2108" s="4"/>
      <c r="DJ2108" s="4"/>
      <c r="DK2108" s="4"/>
      <c r="DL2108" s="4"/>
      <c r="DM2108" s="4"/>
      <c r="DN2108" s="4"/>
      <c r="DO2108" s="4"/>
      <c r="DP2108" s="4"/>
      <c r="DQ2108" s="4"/>
      <c r="DR2108" s="4"/>
      <c r="DS2108" s="4"/>
    </row>
    <row r="2109">
      <c r="A2109" s="4"/>
      <c r="B2109" s="4"/>
      <c r="C2109" s="4"/>
      <c r="D2109" s="4"/>
      <c r="E2109" s="4"/>
      <c r="F2109" s="4" t="s">
        <v>17</v>
      </c>
      <c r="G2109" s="15"/>
      <c r="H2109" s="4"/>
      <c r="I2109" s="4"/>
      <c r="J2109" s="4"/>
      <c r="K2109" s="4"/>
      <c r="L2109" s="4"/>
      <c r="M2109" s="4"/>
      <c r="N2109" s="4"/>
      <c r="O2109" s="4"/>
      <c r="P2109" s="4"/>
      <c r="Q2109" s="4"/>
      <c r="R2109" s="4"/>
      <c r="S2109" s="4"/>
      <c r="T2109" s="4"/>
      <c r="U2109" s="4"/>
      <c r="V2109" s="4"/>
      <c r="W2109" s="4"/>
      <c r="X2109" s="4"/>
      <c r="Y2109" s="4"/>
      <c r="Z2109" s="4"/>
      <c r="AA2109" s="4"/>
      <c r="AB2109" s="4"/>
      <c r="AC2109" s="4"/>
      <c r="AD2109" s="4"/>
      <c r="AE2109" s="4"/>
      <c r="AF2109" s="4"/>
      <c r="AG2109" s="4"/>
      <c r="AH2109" s="4"/>
      <c r="AI2109" s="4"/>
      <c r="AJ2109" s="4"/>
      <c r="AK2109" s="4"/>
      <c r="AL2109" s="4"/>
      <c r="AM2109" s="4"/>
      <c r="AN2109" s="4"/>
      <c r="AO2109" s="4"/>
      <c r="AP2109" s="4"/>
      <c r="AQ2109" s="4"/>
      <c r="AR2109" s="4"/>
      <c r="AS2109" s="4"/>
      <c r="AT2109" s="4"/>
      <c r="AU2109" s="4"/>
      <c r="AV2109" s="4"/>
      <c r="AW2109" s="4"/>
      <c r="AX2109" s="4"/>
      <c r="AY2109" s="4"/>
      <c r="AZ2109" s="4"/>
      <c r="BA2109" s="4"/>
      <c r="BB2109" s="4"/>
      <c r="BC2109" s="4"/>
      <c r="BD2109" s="4"/>
      <c r="BE2109" s="4"/>
      <c r="BF2109" s="4"/>
      <c r="BG2109" s="4"/>
      <c r="BH2109" s="4"/>
      <c r="BI2109" s="4"/>
      <c r="BJ2109" s="4"/>
      <c r="BK2109" s="4"/>
      <c r="BL2109" s="4"/>
      <c r="BM2109" s="4"/>
      <c r="BN2109" s="4"/>
      <c r="BO2109" s="4"/>
      <c r="BP2109" s="4"/>
      <c r="BQ2109" s="4"/>
      <c r="BR2109" s="4"/>
      <c r="BS2109" s="4"/>
      <c r="BT2109" s="4"/>
      <c r="BU2109" s="4"/>
      <c r="BV2109" s="4"/>
      <c r="BW2109" s="4"/>
      <c r="BX2109" s="4"/>
      <c r="BY2109" s="4"/>
      <c r="BZ2109" s="4"/>
      <c r="CA2109" s="4"/>
      <c r="CB2109" s="4"/>
      <c r="CC2109" s="4"/>
      <c r="CD2109" s="4"/>
      <c r="CE2109" s="4"/>
      <c r="CF2109" s="4"/>
      <c r="CG2109" s="4"/>
      <c r="CH2109" s="4"/>
      <c r="CI2109" s="4"/>
      <c r="CJ2109" s="4"/>
      <c r="CK2109" s="4"/>
      <c r="CL2109" s="4"/>
      <c r="CM2109" s="4"/>
      <c r="CN2109" s="4"/>
      <c r="CO2109" s="4"/>
      <c r="CP2109" s="4"/>
      <c r="CQ2109" s="4"/>
      <c r="CR2109" s="4"/>
      <c r="CS2109" s="4"/>
      <c r="CT2109" s="4"/>
      <c r="CU2109" s="4"/>
      <c r="CV2109" s="4"/>
      <c r="CW2109" s="4"/>
      <c r="CX2109" s="4"/>
      <c r="CY2109" s="4"/>
      <c r="CZ2109" s="4"/>
      <c r="DA2109" s="4"/>
      <c r="DB2109" s="4"/>
      <c r="DC2109" s="4"/>
      <c r="DD2109" s="4"/>
      <c r="DE2109" s="4"/>
      <c r="DF2109" s="4"/>
      <c r="DG2109" s="4"/>
      <c r="DH2109" s="4"/>
      <c r="DI2109" s="4"/>
      <c r="DJ2109" s="4"/>
      <c r="DK2109" s="4"/>
      <c r="DL2109" s="4"/>
      <c r="DM2109" s="4"/>
      <c r="DN2109" s="4"/>
      <c r="DO2109" s="4"/>
      <c r="DP2109" s="4"/>
      <c r="DQ2109" s="4"/>
      <c r="DR2109" s="4"/>
      <c r="DS2109" s="4"/>
    </row>
    <row r="2110">
      <c r="A2110" s="4"/>
      <c r="B2110" s="4"/>
      <c r="C2110" s="4"/>
      <c r="D2110" s="4"/>
      <c r="E2110" s="4"/>
      <c r="F2110" s="4" t="s">
        <v>17</v>
      </c>
      <c r="G2110" s="15"/>
      <c r="H2110" s="4"/>
      <c r="I2110" s="4"/>
      <c r="J2110" s="4"/>
      <c r="K2110" s="4"/>
      <c r="L2110" s="4"/>
      <c r="M2110" s="4"/>
      <c r="N2110" s="4"/>
      <c r="O2110" s="4"/>
      <c r="P2110" s="4"/>
      <c r="Q2110" s="4"/>
      <c r="R2110" s="4"/>
      <c r="S2110" s="4"/>
      <c r="T2110" s="4"/>
      <c r="U2110" s="4"/>
      <c r="V2110" s="4"/>
      <c r="W2110" s="4"/>
      <c r="X2110" s="4"/>
      <c r="Y2110" s="4"/>
      <c r="Z2110" s="4"/>
      <c r="AA2110" s="4"/>
      <c r="AB2110" s="4"/>
      <c r="AC2110" s="4"/>
      <c r="AD2110" s="4"/>
      <c r="AE2110" s="4"/>
      <c r="AF2110" s="4"/>
      <c r="AG2110" s="4"/>
      <c r="AH2110" s="4"/>
      <c r="AI2110" s="4"/>
      <c r="AJ2110" s="4"/>
      <c r="AK2110" s="4"/>
      <c r="AL2110" s="4"/>
      <c r="AM2110" s="4"/>
      <c r="AN2110" s="4"/>
      <c r="AO2110" s="4"/>
      <c r="AP2110" s="4"/>
      <c r="AQ2110" s="4"/>
      <c r="AR2110" s="4"/>
      <c r="AS2110" s="4"/>
      <c r="AT2110" s="4"/>
      <c r="AU2110" s="4"/>
      <c r="AV2110" s="4"/>
      <c r="AW2110" s="4"/>
      <c r="AX2110" s="4"/>
      <c r="AY2110" s="4"/>
      <c r="AZ2110" s="4"/>
      <c r="BA2110" s="4"/>
      <c r="BB2110" s="4"/>
      <c r="BC2110" s="4"/>
      <c r="BD2110" s="4"/>
      <c r="BE2110" s="4"/>
      <c r="BF2110" s="4"/>
      <c r="BG2110" s="4"/>
      <c r="BH2110" s="4"/>
      <c r="BI2110" s="4"/>
      <c r="BJ2110" s="4"/>
      <c r="BK2110" s="4"/>
      <c r="BL2110" s="4"/>
      <c r="BM2110" s="4"/>
      <c r="BN2110" s="4"/>
      <c r="BO2110" s="4"/>
      <c r="BP2110" s="4"/>
      <c r="BQ2110" s="4"/>
      <c r="BR2110" s="4"/>
      <c r="BS2110" s="4"/>
      <c r="BT2110" s="4"/>
      <c r="BU2110" s="4"/>
      <c r="BV2110" s="4"/>
      <c r="BW2110" s="4"/>
      <c r="BX2110" s="4"/>
      <c r="BY2110" s="4"/>
      <c r="BZ2110" s="4"/>
      <c r="CA2110" s="4"/>
      <c r="CB2110" s="4"/>
      <c r="CC2110" s="4"/>
      <c r="CD2110" s="4"/>
      <c r="CE2110" s="4"/>
      <c r="CF2110" s="4"/>
      <c r="CG2110" s="4"/>
      <c r="CH2110" s="4"/>
      <c r="CI2110" s="4"/>
      <c r="CJ2110" s="4"/>
      <c r="CK2110" s="4"/>
      <c r="CL2110" s="4"/>
      <c r="CM2110" s="4"/>
      <c r="CN2110" s="4"/>
      <c r="CO2110" s="4"/>
      <c r="CP2110" s="4"/>
      <c r="CQ2110" s="4"/>
      <c r="CR2110" s="4"/>
      <c r="CS2110" s="4"/>
      <c r="CT2110" s="4"/>
      <c r="CU2110" s="4"/>
      <c r="CV2110" s="4"/>
      <c r="CW2110" s="4"/>
      <c r="CX2110" s="4"/>
      <c r="CY2110" s="4"/>
      <c r="CZ2110" s="4"/>
      <c r="DA2110" s="4"/>
      <c r="DB2110" s="4"/>
      <c r="DC2110" s="4"/>
      <c r="DD2110" s="4"/>
      <c r="DE2110" s="4"/>
      <c r="DF2110" s="4"/>
      <c r="DG2110" s="4"/>
      <c r="DH2110" s="4"/>
      <c r="DI2110" s="4"/>
      <c r="DJ2110" s="4"/>
      <c r="DK2110" s="4"/>
      <c r="DL2110" s="4"/>
      <c r="DM2110" s="4"/>
      <c r="DN2110" s="4"/>
      <c r="DO2110" s="4"/>
      <c r="DP2110" s="4"/>
      <c r="DQ2110" s="4"/>
      <c r="DR2110" s="4"/>
      <c r="DS2110" s="4"/>
    </row>
    <row r="2111">
      <c r="A2111" s="4"/>
      <c r="B2111" s="4"/>
      <c r="C2111" s="4"/>
      <c r="D2111" s="4"/>
      <c r="E2111" s="4"/>
      <c r="F2111" s="4" t="s">
        <v>17</v>
      </c>
      <c r="G2111" s="15"/>
      <c r="H2111" s="4"/>
      <c r="I2111" s="4"/>
      <c r="J2111" s="4"/>
      <c r="K2111" s="4"/>
      <c r="L2111" s="4"/>
      <c r="M2111" s="4"/>
      <c r="N2111" s="4"/>
      <c r="O2111" s="4"/>
      <c r="P2111" s="4"/>
      <c r="Q2111" s="4"/>
      <c r="R2111" s="4"/>
      <c r="S2111" s="4"/>
      <c r="T2111" s="4"/>
      <c r="U2111" s="4"/>
      <c r="V2111" s="4"/>
      <c r="W2111" s="4"/>
      <c r="X2111" s="4"/>
      <c r="Y2111" s="4"/>
      <c r="Z2111" s="4"/>
      <c r="AA2111" s="4"/>
      <c r="AB2111" s="4"/>
      <c r="AC2111" s="4"/>
      <c r="AD2111" s="4"/>
      <c r="AE2111" s="4"/>
      <c r="AF2111" s="4"/>
      <c r="AG2111" s="4"/>
      <c r="AH2111" s="4"/>
      <c r="AI2111" s="4"/>
      <c r="AJ2111" s="4"/>
      <c r="AK2111" s="4"/>
      <c r="AL2111" s="4"/>
      <c r="AM2111" s="4"/>
      <c r="AN2111" s="4"/>
      <c r="AO2111" s="4"/>
      <c r="AP2111" s="4"/>
      <c r="AQ2111" s="4"/>
      <c r="AR2111" s="4"/>
      <c r="AS2111" s="4"/>
      <c r="AT2111" s="4"/>
      <c r="AU2111" s="4"/>
      <c r="AV2111" s="4"/>
      <c r="AW2111" s="4"/>
      <c r="AX2111" s="4"/>
      <c r="AY2111" s="4"/>
      <c r="AZ2111" s="4"/>
      <c r="BA2111" s="4"/>
      <c r="BB2111" s="4"/>
      <c r="BC2111" s="4"/>
      <c r="BD2111" s="4"/>
      <c r="BE2111" s="4"/>
      <c r="BF2111" s="4"/>
      <c r="BG2111" s="4"/>
      <c r="BH2111" s="4"/>
      <c r="BI2111" s="4"/>
      <c r="BJ2111" s="4"/>
      <c r="BK2111" s="4"/>
      <c r="BL2111" s="4"/>
      <c r="BM2111" s="4"/>
      <c r="BN2111" s="4"/>
      <c r="BO2111" s="4"/>
      <c r="BP2111" s="4"/>
      <c r="BQ2111" s="4"/>
      <c r="BR2111" s="4"/>
      <c r="BS2111" s="4"/>
      <c r="BT2111" s="4"/>
      <c r="BU2111" s="4"/>
      <c r="BV2111" s="4"/>
      <c r="BW2111" s="4"/>
      <c r="BX2111" s="4"/>
      <c r="BY2111" s="4"/>
      <c r="BZ2111" s="4"/>
      <c r="CA2111" s="4"/>
      <c r="CB2111" s="4"/>
      <c r="CC2111" s="4"/>
      <c r="CD2111" s="4"/>
      <c r="CE2111" s="4"/>
      <c r="CF2111" s="4"/>
      <c r="CG2111" s="4"/>
      <c r="CH2111" s="4"/>
      <c r="CI2111" s="4"/>
      <c r="CJ2111" s="4"/>
      <c r="CK2111" s="4"/>
      <c r="CL2111" s="4"/>
      <c r="CM2111" s="4"/>
      <c r="CN2111" s="4"/>
      <c r="CO2111" s="4"/>
      <c r="CP2111" s="4"/>
      <c r="CQ2111" s="4"/>
      <c r="CR2111" s="4"/>
      <c r="CS2111" s="4"/>
      <c r="CT2111" s="4"/>
      <c r="CU2111" s="4"/>
      <c r="CV2111" s="4"/>
      <c r="CW2111" s="4"/>
      <c r="CX2111" s="4"/>
      <c r="CY2111" s="4"/>
      <c r="CZ2111" s="4"/>
      <c r="DA2111" s="4"/>
      <c r="DB2111" s="4"/>
      <c r="DC2111" s="4"/>
      <c r="DD2111" s="4"/>
      <c r="DE2111" s="4"/>
      <c r="DF2111" s="4"/>
      <c r="DG2111" s="4"/>
      <c r="DH2111" s="4"/>
      <c r="DI2111" s="4"/>
      <c r="DJ2111" s="4"/>
      <c r="DK2111" s="4"/>
      <c r="DL2111" s="4"/>
      <c r="DM2111" s="4"/>
      <c r="DN2111" s="4"/>
      <c r="DO2111" s="4"/>
      <c r="DP2111" s="4"/>
      <c r="DQ2111" s="4"/>
      <c r="DR2111" s="4"/>
      <c r="DS2111" s="4"/>
    </row>
    <row r="2112">
      <c r="A2112" s="4"/>
      <c r="B2112" s="4"/>
      <c r="C2112" s="4"/>
      <c r="D2112" s="4"/>
      <c r="E2112" s="4"/>
      <c r="F2112" s="4" t="s">
        <v>17</v>
      </c>
      <c r="G2112" s="15"/>
      <c r="H2112" s="4"/>
      <c r="I2112" s="4"/>
      <c r="J2112" s="4"/>
      <c r="K2112" s="4"/>
      <c r="L2112" s="4"/>
      <c r="M2112" s="4"/>
      <c r="N2112" s="4"/>
      <c r="O2112" s="4"/>
      <c r="P2112" s="4"/>
      <c r="Q2112" s="4"/>
      <c r="R2112" s="4"/>
      <c r="S2112" s="4"/>
      <c r="T2112" s="4"/>
      <c r="U2112" s="4"/>
      <c r="V2112" s="4"/>
      <c r="W2112" s="4"/>
      <c r="X2112" s="4"/>
      <c r="Y2112" s="4"/>
      <c r="Z2112" s="4"/>
      <c r="AA2112" s="4"/>
      <c r="AB2112" s="4"/>
      <c r="AC2112" s="4"/>
      <c r="AD2112" s="4"/>
      <c r="AE2112" s="4"/>
      <c r="AF2112" s="4"/>
      <c r="AG2112" s="4"/>
      <c r="AH2112" s="4"/>
      <c r="AI2112" s="4"/>
      <c r="AJ2112" s="4"/>
      <c r="AK2112" s="4"/>
      <c r="AL2112" s="4"/>
      <c r="AM2112" s="4"/>
      <c r="AN2112" s="4"/>
      <c r="AO2112" s="4"/>
      <c r="AP2112" s="4"/>
      <c r="AQ2112" s="4"/>
      <c r="AR2112" s="4"/>
      <c r="AS2112" s="4"/>
      <c r="AT2112" s="4"/>
      <c r="AU2112" s="4"/>
      <c r="AV2112" s="4"/>
      <c r="AW2112" s="4"/>
      <c r="AX2112" s="4"/>
      <c r="AY2112" s="4"/>
      <c r="AZ2112" s="4"/>
      <c r="BA2112" s="4"/>
      <c r="BB2112" s="4"/>
      <c r="BC2112" s="4"/>
      <c r="BD2112" s="4"/>
      <c r="BE2112" s="4"/>
      <c r="BF2112" s="4"/>
      <c r="BG2112" s="4"/>
      <c r="BH2112" s="4"/>
      <c r="BI2112" s="4"/>
      <c r="BJ2112" s="4"/>
      <c r="BK2112" s="4"/>
      <c r="BL2112" s="4"/>
      <c r="BM2112" s="4"/>
      <c r="BN2112" s="4"/>
      <c r="BO2112" s="4"/>
      <c r="BP2112" s="4"/>
      <c r="BQ2112" s="4"/>
      <c r="BR2112" s="4"/>
      <c r="BS2112" s="4"/>
      <c r="BT2112" s="4"/>
      <c r="BU2112" s="4"/>
      <c r="BV2112" s="4"/>
      <c r="BW2112" s="4"/>
      <c r="BX2112" s="4"/>
      <c r="BY2112" s="4"/>
      <c r="BZ2112" s="4"/>
      <c r="CA2112" s="4"/>
      <c r="CB2112" s="4"/>
      <c r="CC2112" s="4"/>
      <c r="CD2112" s="4"/>
      <c r="CE2112" s="4"/>
      <c r="CF2112" s="4"/>
      <c r="CG2112" s="4"/>
      <c r="CH2112" s="4"/>
      <c r="CI2112" s="4"/>
      <c r="CJ2112" s="4"/>
      <c r="CK2112" s="4"/>
      <c r="CL2112" s="4"/>
      <c r="CM2112" s="4"/>
      <c r="CN2112" s="4"/>
      <c r="CO2112" s="4"/>
      <c r="CP2112" s="4"/>
      <c r="CQ2112" s="4"/>
      <c r="CR2112" s="4"/>
      <c r="CS2112" s="4"/>
      <c r="CT2112" s="4"/>
      <c r="CU2112" s="4"/>
      <c r="CV2112" s="4"/>
      <c r="CW2112" s="4"/>
      <c r="CX2112" s="4"/>
      <c r="CY2112" s="4"/>
      <c r="CZ2112" s="4"/>
      <c r="DA2112" s="4"/>
      <c r="DB2112" s="4"/>
      <c r="DC2112" s="4"/>
      <c r="DD2112" s="4"/>
      <c r="DE2112" s="4"/>
      <c r="DF2112" s="4"/>
      <c r="DG2112" s="4"/>
      <c r="DH2112" s="4"/>
      <c r="DI2112" s="4"/>
      <c r="DJ2112" s="4"/>
      <c r="DK2112" s="4"/>
      <c r="DL2112" s="4"/>
      <c r="DM2112" s="4"/>
      <c r="DN2112" s="4"/>
      <c r="DO2112" s="4"/>
      <c r="DP2112" s="4"/>
      <c r="DQ2112" s="4"/>
      <c r="DR2112" s="4"/>
      <c r="DS2112" s="4"/>
    </row>
    <row r="2113">
      <c r="A2113" s="4"/>
      <c r="B2113" s="4"/>
      <c r="C2113" s="4"/>
      <c r="D2113" s="4"/>
      <c r="E2113" s="4"/>
      <c r="F2113" s="4" t="s">
        <v>17</v>
      </c>
      <c r="G2113" s="15"/>
      <c r="H2113" s="4"/>
      <c r="I2113" s="4"/>
      <c r="J2113" s="4"/>
      <c r="K2113" s="4"/>
      <c r="L2113" s="4"/>
      <c r="M2113" s="4"/>
      <c r="N2113" s="4"/>
      <c r="O2113" s="4"/>
      <c r="P2113" s="4"/>
      <c r="Q2113" s="4"/>
      <c r="R2113" s="4"/>
      <c r="S2113" s="4"/>
      <c r="T2113" s="4"/>
      <c r="U2113" s="4"/>
      <c r="V2113" s="4"/>
      <c r="W2113" s="4"/>
      <c r="X2113" s="4"/>
      <c r="Y2113" s="4"/>
      <c r="Z2113" s="4"/>
      <c r="AA2113" s="4"/>
      <c r="AB2113" s="4"/>
      <c r="AC2113" s="4"/>
      <c r="AD2113" s="4"/>
      <c r="AE2113" s="4"/>
      <c r="AF2113" s="4"/>
      <c r="AG2113" s="4"/>
      <c r="AH2113" s="4"/>
      <c r="AI2113" s="4"/>
      <c r="AJ2113" s="4"/>
      <c r="AK2113" s="4"/>
      <c r="AL2113" s="4"/>
      <c r="AM2113" s="4"/>
      <c r="AN2113" s="4"/>
      <c r="AO2113" s="4"/>
      <c r="AP2113" s="4"/>
      <c r="AQ2113" s="4"/>
      <c r="AR2113" s="4"/>
      <c r="AS2113" s="4"/>
      <c r="AT2113" s="4"/>
      <c r="AU2113" s="4"/>
      <c r="AV2113" s="4"/>
      <c r="AW2113" s="4"/>
      <c r="AX2113" s="4"/>
      <c r="AY2113" s="4"/>
      <c r="AZ2113" s="4"/>
      <c r="BA2113" s="4"/>
      <c r="BB2113" s="4"/>
      <c r="BC2113" s="4"/>
      <c r="BD2113" s="4"/>
      <c r="BE2113" s="4"/>
      <c r="BF2113" s="4"/>
      <c r="BG2113" s="4"/>
      <c r="BH2113" s="4"/>
      <c r="BI2113" s="4"/>
      <c r="BJ2113" s="4"/>
      <c r="BK2113" s="4"/>
      <c r="BL2113" s="4"/>
      <c r="BM2113" s="4"/>
      <c r="BN2113" s="4"/>
      <c r="BO2113" s="4"/>
      <c r="BP2113" s="4"/>
      <c r="BQ2113" s="4"/>
      <c r="BR2113" s="4"/>
      <c r="BS2113" s="4"/>
      <c r="BT2113" s="4"/>
      <c r="BU2113" s="4"/>
      <c r="BV2113" s="4"/>
      <c r="BW2113" s="4"/>
      <c r="BX2113" s="4"/>
      <c r="BY2113" s="4"/>
      <c r="BZ2113" s="4"/>
      <c r="CA2113" s="4"/>
      <c r="CB2113" s="4"/>
      <c r="CC2113" s="4"/>
      <c r="CD2113" s="4"/>
      <c r="CE2113" s="4"/>
      <c r="CF2113" s="4"/>
      <c r="CG2113" s="4"/>
      <c r="CH2113" s="4"/>
      <c r="CI2113" s="4"/>
      <c r="CJ2113" s="4"/>
      <c r="CK2113" s="4"/>
      <c r="CL2113" s="4"/>
      <c r="CM2113" s="4"/>
      <c r="CN2113" s="4"/>
      <c r="CO2113" s="4"/>
      <c r="CP2113" s="4"/>
      <c r="CQ2113" s="4"/>
      <c r="CR2113" s="4"/>
      <c r="CS2113" s="4"/>
      <c r="CT2113" s="4"/>
      <c r="CU2113" s="4"/>
      <c r="CV2113" s="4"/>
      <c r="CW2113" s="4"/>
      <c r="CX2113" s="4"/>
      <c r="CY2113" s="4"/>
      <c r="CZ2113" s="4"/>
      <c r="DA2113" s="4"/>
      <c r="DB2113" s="4"/>
      <c r="DC2113" s="4"/>
      <c r="DD2113" s="4"/>
      <c r="DE2113" s="4"/>
      <c r="DF2113" s="4"/>
      <c r="DG2113" s="4"/>
      <c r="DH2113" s="4"/>
      <c r="DI2113" s="4"/>
      <c r="DJ2113" s="4"/>
      <c r="DK2113" s="4"/>
      <c r="DL2113" s="4"/>
      <c r="DM2113" s="4"/>
      <c r="DN2113" s="4"/>
      <c r="DO2113" s="4"/>
      <c r="DP2113" s="4"/>
      <c r="DQ2113" s="4"/>
      <c r="DR2113" s="4"/>
      <c r="DS2113" s="4"/>
    </row>
    <row r="2114">
      <c r="A2114" s="4"/>
      <c r="B2114" s="4"/>
      <c r="C2114" s="4"/>
      <c r="D2114" s="4"/>
      <c r="E2114" s="4"/>
      <c r="F2114" s="4" t="s">
        <v>17</v>
      </c>
      <c r="G2114" s="15"/>
      <c r="H2114" s="4"/>
      <c r="I2114" s="4"/>
      <c r="J2114" s="4"/>
      <c r="K2114" s="4"/>
      <c r="L2114" s="4"/>
      <c r="M2114" s="4"/>
      <c r="N2114" s="4"/>
      <c r="O2114" s="4"/>
      <c r="P2114" s="4"/>
      <c r="Q2114" s="4"/>
      <c r="R2114" s="4"/>
      <c r="S2114" s="4"/>
      <c r="T2114" s="4"/>
      <c r="U2114" s="4"/>
      <c r="V2114" s="4"/>
      <c r="W2114" s="4"/>
      <c r="X2114" s="4"/>
      <c r="Y2114" s="4"/>
      <c r="Z2114" s="4"/>
      <c r="AA2114" s="4"/>
      <c r="AB2114" s="4"/>
      <c r="AC2114" s="4"/>
      <c r="AD2114" s="4"/>
      <c r="AE2114" s="4"/>
      <c r="AF2114" s="4"/>
      <c r="AG2114" s="4"/>
      <c r="AH2114" s="4"/>
      <c r="AI2114" s="4"/>
      <c r="AJ2114" s="4"/>
      <c r="AK2114" s="4"/>
      <c r="AL2114" s="4"/>
      <c r="AM2114" s="4"/>
      <c r="AN2114" s="4"/>
      <c r="AO2114" s="4"/>
      <c r="AP2114" s="4"/>
      <c r="AQ2114" s="4"/>
      <c r="AR2114" s="4"/>
      <c r="AS2114" s="4"/>
      <c r="AT2114" s="4"/>
      <c r="AU2114" s="4"/>
      <c r="AV2114" s="4"/>
      <c r="AW2114" s="4"/>
      <c r="AX2114" s="4"/>
      <c r="AY2114" s="4"/>
      <c r="AZ2114" s="4"/>
      <c r="BA2114" s="4"/>
      <c r="BB2114" s="4"/>
      <c r="BC2114" s="4"/>
      <c r="BD2114" s="4"/>
      <c r="BE2114" s="4"/>
      <c r="BF2114" s="4"/>
      <c r="BG2114" s="4"/>
      <c r="BH2114" s="4"/>
      <c r="BI2114" s="4"/>
      <c r="BJ2114" s="4"/>
      <c r="BK2114" s="4"/>
      <c r="BL2114" s="4"/>
      <c r="BM2114" s="4"/>
      <c r="BN2114" s="4"/>
      <c r="BO2114" s="4"/>
      <c r="BP2114" s="4"/>
      <c r="BQ2114" s="4"/>
      <c r="BR2114" s="4"/>
      <c r="BS2114" s="4"/>
      <c r="BT2114" s="4"/>
      <c r="BU2114" s="4"/>
      <c r="BV2114" s="4"/>
      <c r="BW2114" s="4"/>
      <c r="BX2114" s="4"/>
      <c r="BY2114" s="4"/>
      <c r="BZ2114" s="4"/>
      <c r="CA2114" s="4"/>
      <c r="CB2114" s="4"/>
      <c r="CC2114" s="4"/>
      <c r="CD2114" s="4"/>
      <c r="CE2114" s="4"/>
      <c r="CF2114" s="4"/>
      <c r="CG2114" s="4"/>
      <c r="CH2114" s="4"/>
      <c r="CI2114" s="4"/>
      <c r="CJ2114" s="4"/>
      <c r="CK2114" s="4"/>
      <c r="CL2114" s="4"/>
      <c r="CM2114" s="4"/>
      <c r="CN2114" s="4"/>
      <c r="CO2114" s="4"/>
      <c r="CP2114" s="4"/>
      <c r="CQ2114" s="4"/>
      <c r="CR2114" s="4"/>
      <c r="CS2114" s="4"/>
      <c r="CT2114" s="4"/>
      <c r="CU2114" s="4"/>
      <c r="CV2114" s="4"/>
      <c r="CW2114" s="4"/>
      <c r="CX2114" s="4"/>
      <c r="CY2114" s="4"/>
      <c r="CZ2114" s="4"/>
      <c r="DA2114" s="4"/>
      <c r="DB2114" s="4"/>
      <c r="DC2114" s="4"/>
      <c r="DD2114" s="4"/>
      <c r="DE2114" s="4"/>
      <c r="DF2114" s="4"/>
      <c r="DG2114" s="4"/>
      <c r="DH2114" s="4"/>
      <c r="DI2114" s="4"/>
      <c r="DJ2114" s="4"/>
      <c r="DK2114" s="4"/>
      <c r="DL2114" s="4"/>
      <c r="DM2114" s="4"/>
      <c r="DN2114" s="4"/>
      <c r="DO2114" s="4"/>
      <c r="DP2114" s="4"/>
      <c r="DQ2114" s="4"/>
      <c r="DR2114" s="4"/>
      <c r="DS2114" s="4"/>
    </row>
    <row r="2115">
      <c r="A2115" s="4"/>
      <c r="B2115" s="4"/>
      <c r="C2115" s="4"/>
      <c r="D2115" s="4"/>
      <c r="E2115" s="4"/>
      <c r="F2115" s="4" t="s">
        <v>17</v>
      </c>
      <c r="G2115" s="15"/>
      <c r="H2115" s="4"/>
      <c r="I2115" s="4"/>
      <c r="J2115" s="4"/>
      <c r="K2115" s="4"/>
      <c r="L2115" s="4"/>
      <c r="M2115" s="4"/>
      <c r="N2115" s="4"/>
      <c r="O2115" s="4"/>
      <c r="P2115" s="4"/>
      <c r="Q2115" s="4"/>
      <c r="R2115" s="4"/>
      <c r="S2115" s="4"/>
      <c r="T2115" s="4"/>
      <c r="U2115" s="4"/>
      <c r="V2115" s="4"/>
      <c r="W2115" s="4"/>
      <c r="X2115" s="4"/>
      <c r="Y2115" s="4"/>
      <c r="Z2115" s="4"/>
      <c r="AA2115" s="4"/>
      <c r="AB2115" s="4"/>
      <c r="AC2115" s="4"/>
      <c r="AD2115" s="4"/>
      <c r="AE2115" s="4"/>
      <c r="AF2115" s="4"/>
      <c r="AG2115" s="4"/>
      <c r="AH2115" s="4"/>
      <c r="AI2115" s="4"/>
      <c r="AJ2115" s="4"/>
      <c r="AK2115" s="4"/>
      <c r="AL2115" s="4"/>
      <c r="AM2115" s="4"/>
      <c r="AN2115" s="4"/>
      <c r="AO2115" s="4"/>
      <c r="AP2115" s="4"/>
      <c r="AQ2115" s="4"/>
      <c r="AR2115" s="4"/>
      <c r="AS2115" s="4"/>
      <c r="AT2115" s="4"/>
      <c r="AU2115" s="4"/>
      <c r="AV2115" s="4"/>
      <c r="AW2115" s="4"/>
      <c r="AX2115" s="4"/>
      <c r="AY2115" s="4"/>
      <c r="AZ2115" s="4"/>
      <c r="BA2115" s="4"/>
      <c r="BB2115" s="4"/>
      <c r="BC2115" s="4"/>
      <c r="BD2115" s="4"/>
      <c r="BE2115" s="4"/>
      <c r="BF2115" s="4"/>
      <c r="BG2115" s="4"/>
      <c r="BH2115" s="4"/>
      <c r="BI2115" s="4"/>
      <c r="BJ2115" s="4"/>
      <c r="BK2115" s="4"/>
      <c r="BL2115" s="4"/>
      <c r="BM2115" s="4"/>
      <c r="BN2115" s="4"/>
      <c r="BO2115" s="4"/>
      <c r="BP2115" s="4"/>
      <c r="BQ2115" s="4"/>
      <c r="BR2115" s="4"/>
      <c r="BS2115" s="4"/>
      <c r="BT2115" s="4"/>
      <c r="BU2115" s="4"/>
      <c r="BV2115" s="4"/>
      <c r="BW2115" s="4"/>
      <c r="BX2115" s="4"/>
      <c r="BY2115" s="4"/>
      <c r="BZ2115" s="4"/>
      <c r="CA2115" s="4"/>
      <c r="CB2115" s="4"/>
      <c r="CC2115" s="4"/>
      <c r="CD2115" s="4"/>
      <c r="CE2115" s="4"/>
      <c r="CF2115" s="4"/>
      <c r="CG2115" s="4"/>
      <c r="CH2115" s="4"/>
      <c r="CI2115" s="4"/>
      <c r="CJ2115" s="4"/>
      <c r="CK2115" s="4"/>
      <c r="CL2115" s="4"/>
      <c r="CM2115" s="4"/>
      <c r="CN2115" s="4"/>
      <c r="CO2115" s="4"/>
      <c r="CP2115" s="4"/>
      <c r="CQ2115" s="4"/>
      <c r="CR2115" s="4"/>
      <c r="CS2115" s="4"/>
      <c r="CT2115" s="4"/>
      <c r="CU2115" s="4"/>
      <c r="CV2115" s="4"/>
      <c r="CW2115" s="4"/>
      <c r="CX2115" s="4"/>
      <c r="CY2115" s="4"/>
      <c r="CZ2115" s="4"/>
      <c r="DA2115" s="4"/>
      <c r="DB2115" s="4"/>
      <c r="DC2115" s="4"/>
      <c r="DD2115" s="4"/>
      <c r="DE2115" s="4"/>
      <c r="DF2115" s="4"/>
      <c r="DG2115" s="4"/>
      <c r="DH2115" s="4"/>
      <c r="DI2115" s="4"/>
      <c r="DJ2115" s="4"/>
      <c r="DK2115" s="4"/>
      <c r="DL2115" s="4"/>
      <c r="DM2115" s="4"/>
      <c r="DN2115" s="4"/>
      <c r="DO2115" s="4"/>
      <c r="DP2115" s="4"/>
      <c r="DQ2115" s="4"/>
      <c r="DR2115" s="4"/>
      <c r="DS2115" s="4"/>
    </row>
    <row r="2116">
      <c r="A2116" s="4"/>
      <c r="B2116" s="4"/>
      <c r="C2116" s="4"/>
      <c r="D2116" s="4"/>
      <c r="E2116" s="4"/>
      <c r="F2116" s="4" t="s">
        <v>17</v>
      </c>
      <c r="G2116" s="15"/>
      <c r="H2116" s="4"/>
      <c r="I2116" s="4"/>
      <c r="J2116" s="4"/>
      <c r="K2116" s="4"/>
      <c r="L2116" s="4"/>
      <c r="M2116" s="4"/>
      <c r="N2116" s="4"/>
      <c r="O2116" s="4"/>
      <c r="P2116" s="4"/>
      <c r="Q2116" s="4"/>
      <c r="R2116" s="4"/>
      <c r="S2116" s="4"/>
      <c r="T2116" s="4"/>
      <c r="U2116" s="4"/>
      <c r="V2116" s="4"/>
      <c r="W2116" s="4"/>
      <c r="X2116" s="4"/>
      <c r="Y2116" s="4"/>
      <c r="Z2116" s="4"/>
      <c r="AA2116" s="4"/>
      <c r="AB2116" s="4"/>
      <c r="AC2116" s="4"/>
      <c r="AD2116" s="4"/>
      <c r="AE2116" s="4"/>
      <c r="AF2116" s="4"/>
      <c r="AG2116" s="4"/>
      <c r="AH2116" s="4"/>
      <c r="AI2116" s="4"/>
      <c r="AJ2116" s="4"/>
      <c r="AK2116" s="4"/>
      <c r="AL2116" s="4"/>
      <c r="AM2116" s="4"/>
      <c r="AN2116" s="4"/>
      <c r="AO2116" s="4"/>
      <c r="AP2116" s="4"/>
      <c r="AQ2116" s="4"/>
      <c r="AR2116" s="4"/>
      <c r="AS2116" s="4"/>
      <c r="AT2116" s="4"/>
      <c r="AU2116" s="4"/>
      <c r="AV2116" s="4"/>
      <c r="AW2116" s="4"/>
      <c r="AX2116" s="4"/>
      <c r="AY2116" s="4"/>
      <c r="AZ2116" s="4"/>
      <c r="BA2116" s="4"/>
      <c r="BB2116" s="4"/>
      <c r="BC2116" s="4"/>
      <c r="BD2116" s="4"/>
      <c r="BE2116" s="4"/>
      <c r="BF2116" s="4"/>
      <c r="BG2116" s="4"/>
      <c r="BH2116" s="4"/>
      <c r="BI2116" s="4"/>
      <c r="BJ2116" s="4"/>
      <c r="BK2116" s="4"/>
      <c r="BL2116" s="4"/>
      <c r="BM2116" s="4"/>
      <c r="BN2116" s="4"/>
      <c r="BO2116" s="4"/>
      <c r="BP2116" s="4"/>
      <c r="BQ2116" s="4"/>
      <c r="BR2116" s="4"/>
      <c r="BS2116" s="4"/>
      <c r="BT2116" s="4"/>
      <c r="BU2116" s="4"/>
      <c r="BV2116" s="4"/>
      <c r="BW2116" s="4"/>
      <c r="BX2116" s="4"/>
      <c r="BY2116" s="4"/>
      <c r="BZ2116" s="4"/>
      <c r="CA2116" s="4"/>
      <c r="CB2116" s="4"/>
      <c r="CC2116" s="4"/>
      <c r="CD2116" s="4"/>
      <c r="CE2116" s="4"/>
      <c r="CF2116" s="4"/>
      <c r="CG2116" s="4"/>
      <c r="CH2116" s="4"/>
      <c r="CI2116" s="4"/>
      <c r="CJ2116" s="4"/>
      <c r="CK2116" s="4"/>
      <c r="CL2116" s="4"/>
      <c r="CM2116" s="4"/>
      <c r="CN2116" s="4"/>
      <c r="CO2116" s="4"/>
      <c r="CP2116" s="4"/>
      <c r="CQ2116" s="4"/>
      <c r="CR2116" s="4"/>
      <c r="CS2116" s="4"/>
      <c r="CT2116" s="4"/>
      <c r="CU2116" s="4"/>
      <c r="CV2116" s="4"/>
      <c r="CW2116" s="4"/>
      <c r="CX2116" s="4"/>
      <c r="CY2116" s="4"/>
      <c r="CZ2116" s="4"/>
      <c r="DA2116" s="4"/>
      <c r="DB2116" s="4"/>
      <c r="DC2116" s="4"/>
      <c r="DD2116" s="4"/>
      <c r="DE2116" s="4"/>
      <c r="DF2116" s="4"/>
      <c r="DG2116" s="4"/>
      <c r="DH2116" s="4"/>
      <c r="DI2116" s="4"/>
      <c r="DJ2116" s="4"/>
      <c r="DK2116" s="4"/>
      <c r="DL2116" s="4"/>
      <c r="DM2116" s="4"/>
      <c r="DN2116" s="4"/>
      <c r="DO2116" s="4"/>
      <c r="DP2116" s="4"/>
      <c r="DQ2116" s="4"/>
      <c r="DR2116" s="4"/>
      <c r="DS2116" s="4"/>
    </row>
    <row r="2117">
      <c r="A2117" s="4"/>
      <c r="B2117" s="4"/>
      <c r="C2117" s="4"/>
      <c r="D2117" s="4"/>
      <c r="E2117" s="4"/>
      <c r="F2117" s="4" t="s">
        <v>17</v>
      </c>
      <c r="G2117" s="15"/>
      <c r="H2117" s="4"/>
      <c r="I2117" s="4"/>
      <c r="J2117" s="4"/>
      <c r="K2117" s="4"/>
      <c r="L2117" s="4"/>
      <c r="M2117" s="4"/>
      <c r="N2117" s="4"/>
      <c r="O2117" s="4"/>
      <c r="P2117" s="4"/>
      <c r="Q2117" s="4"/>
      <c r="R2117" s="4"/>
      <c r="S2117" s="4"/>
      <c r="T2117" s="4"/>
      <c r="U2117" s="4"/>
      <c r="V2117" s="4"/>
      <c r="W2117" s="4"/>
      <c r="X2117" s="4"/>
      <c r="Y2117" s="4"/>
      <c r="Z2117" s="4"/>
      <c r="AA2117" s="4"/>
      <c r="AB2117" s="4"/>
      <c r="AC2117" s="4"/>
      <c r="AD2117" s="4"/>
      <c r="AE2117" s="4"/>
      <c r="AF2117" s="4"/>
      <c r="AG2117" s="4"/>
      <c r="AH2117" s="4"/>
      <c r="AI2117" s="4"/>
      <c r="AJ2117" s="4"/>
      <c r="AK2117" s="4"/>
      <c r="AL2117" s="4"/>
      <c r="AM2117" s="4"/>
      <c r="AN2117" s="4"/>
      <c r="AO2117" s="4"/>
      <c r="AP2117" s="4"/>
      <c r="AQ2117" s="4"/>
      <c r="AR2117" s="4"/>
      <c r="AS2117" s="4"/>
      <c r="AT2117" s="4"/>
      <c r="AU2117" s="4"/>
      <c r="AV2117" s="4"/>
      <c r="AW2117" s="4"/>
      <c r="AX2117" s="4"/>
      <c r="AY2117" s="4"/>
      <c r="AZ2117" s="4"/>
      <c r="BA2117" s="4"/>
      <c r="BB2117" s="4"/>
      <c r="BC2117" s="4"/>
      <c r="BD2117" s="4"/>
      <c r="BE2117" s="4"/>
      <c r="BF2117" s="4"/>
      <c r="BG2117" s="4"/>
      <c r="BH2117" s="4"/>
      <c r="BI2117" s="4"/>
      <c r="BJ2117" s="4"/>
      <c r="BK2117" s="4"/>
      <c r="BL2117" s="4"/>
      <c r="BM2117" s="4"/>
      <c r="BN2117" s="4"/>
      <c r="BO2117" s="4"/>
      <c r="BP2117" s="4"/>
      <c r="BQ2117" s="4"/>
      <c r="BR2117" s="4"/>
      <c r="BS2117" s="4"/>
      <c r="BT2117" s="4"/>
      <c r="BU2117" s="4"/>
      <c r="BV2117" s="4"/>
      <c r="BW2117" s="4"/>
      <c r="BX2117" s="4"/>
      <c r="BY2117" s="4"/>
      <c r="BZ2117" s="4"/>
      <c r="CA2117" s="4"/>
      <c r="CB2117" s="4"/>
      <c r="CC2117" s="4"/>
      <c r="CD2117" s="4"/>
      <c r="CE2117" s="4"/>
      <c r="CF2117" s="4"/>
      <c r="CG2117" s="4"/>
      <c r="CH2117" s="4"/>
      <c r="CI2117" s="4"/>
      <c r="CJ2117" s="4"/>
      <c r="CK2117" s="4"/>
      <c r="CL2117" s="4"/>
      <c r="CM2117" s="4"/>
      <c r="CN2117" s="4"/>
      <c r="CO2117" s="4"/>
      <c r="CP2117" s="4"/>
      <c r="CQ2117" s="4"/>
      <c r="CR2117" s="4"/>
      <c r="CS2117" s="4"/>
      <c r="CT2117" s="4"/>
      <c r="CU2117" s="4"/>
      <c r="CV2117" s="4"/>
      <c r="CW2117" s="4"/>
      <c r="CX2117" s="4"/>
      <c r="CY2117" s="4"/>
      <c r="CZ2117" s="4"/>
      <c r="DA2117" s="4"/>
      <c r="DB2117" s="4"/>
      <c r="DC2117" s="4"/>
      <c r="DD2117" s="4"/>
      <c r="DE2117" s="4"/>
      <c r="DF2117" s="4"/>
      <c r="DG2117" s="4"/>
      <c r="DH2117" s="4"/>
      <c r="DI2117" s="4"/>
      <c r="DJ2117" s="4"/>
      <c r="DK2117" s="4"/>
      <c r="DL2117" s="4"/>
      <c r="DM2117" s="4"/>
      <c r="DN2117" s="4"/>
      <c r="DO2117" s="4"/>
      <c r="DP2117" s="4"/>
      <c r="DQ2117" s="4"/>
      <c r="DR2117" s="4"/>
      <c r="DS2117" s="4"/>
    </row>
    <row r="2118">
      <c r="A2118" s="4"/>
      <c r="B2118" s="4"/>
      <c r="C2118" s="4"/>
      <c r="D2118" s="4"/>
      <c r="E2118" s="4"/>
      <c r="F2118" s="4" t="s">
        <v>17</v>
      </c>
      <c r="G2118" s="15"/>
      <c r="H2118" s="4"/>
      <c r="I2118" s="4"/>
      <c r="J2118" s="4"/>
      <c r="K2118" s="4"/>
      <c r="L2118" s="4"/>
      <c r="M2118" s="4"/>
      <c r="N2118" s="4"/>
      <c r="O2118" s="4"/>
      <c r="P2118" s="4"/>
      <c r="Q2118" s="4"/>
      <c r="R2118" s="4"/>
      <c r="S2118" s="4"/>
      <c r="T2118" s="4"/>
      <c r="U2118" s="4"/>
      <c r="V2118" s="4"/>
      <c r="W2118" s="4"/>
      <c r="X2118" s="4"/>
      <c r="Y2118" s="4"/>
      <c r="Z2118" s="4"/>
      <c r="AA2118" s="4"/>
      <c r="AB2118" s="4"/>
      <c r="AC2118" s="4"/>
      <c r="AD2118" s="4"/>
      <c r="AE2118" s="4"/>
      <c r="AF2118" s="4"/>
      <c r="AG2118" s="4"/>
      <c r="AH2118" s="4"/>
      <c r="AI2118" s="4"/>
      <c r="AJ2118" s="4"/>
      <c r="AK2118" s="4"/>
      <c r="AL2118" s="4"/>
      <c r="AM2118" s="4"/>
      <c r="AN2118" s="4"/>
      <c r="AO2118" s="4"/>
      <c r="AP2118" s="4"/>
      <c r="AQ2118" s="4"/>
      <c r="AR2118" s="4"/>
      <c r="AS2118" s="4"/>
      <c r="AT2118" s="4"/>
      <c r="AU2118" s="4"/>
      <c r="AV2118" s="4"/>
      <c r="AW2118" s="4"/>
      <c r="AX2118" s="4"/>
      <c r="AY2118" s="4"/>
      <c r="AZ2118" s="4"/>
      <c r="BA2118" s="4"/>
      <c r="BB2118" s="4"/>
      <c r="BC2118" s="4"/>
      <c r="BD2118" s="4"/>
      <c r="BE2118" s="4"/>
      <c r="BF2118" s="4"/>
      <c r="BG2118" s="4"/>
      <c r="BH2118" s="4"/>
      <c r="BI2118" s="4"/>
      <c r="BJ2118" s="4"/>
      <c r="BK2118" s="4"/>
      <c r="BL2118" s="4"/>
      <c r="BM2118" s="4"/>
      <c r="BN2118" s="4"/>
      <c r="BO2118" s="4"/>
      <c r="BP2118" s="4"/>
      <c r="BQ2118" s="4"/>
      <c r="BR2118" s="4"/>
      <c r="BS2118" s="4"/>
      <c r="BT2118" s="4"/>
      <c r="BU2118" s="4"/>
      <c r="BV2118" s="4"/>
      <c r="BW2118" s="4"/>
      <c r="BX2118" s="4"/>
      <c r="BY2118" s="4"/>
      <c r="BZ2118" s="4"/>
      <c r="CA2118" s="4"/>
      <c r="CB2118" s="4"/>
      <c r="CC2118" s="4"/>
      <c r="CD2118" s="4"/>
      <c r="CE2118" s="4"/>
      <c r="CF2118" s="4"/>
      <c r="CG2118" s="4"/>
      <c r="CH2118" s="4"/>
      <c r="CI2118" s="4"/>
      <c r="CJ2118" s="4"/>
      <c r="CK2118" s="4"/>
      <c r="CL2118" s="4"/>
      <c r="CM2118" s="4"/>
      <c r="CN2118" s="4"/>
      <c r="CO2118" s="4"/>
      <c r="CP2118" s="4"/>
      <c r="CQ2118" s="4"/>
      <c r="CR2118" s="4"/>
      <c r="CS2118" s="4"/>
      <c r="CT2118" s="4"/>
      <c r="CU2118" s="4"/>
      <c r="CV2118" s="4"/>
      <c r="CW2118" s="4"/>
      <c r="CX2118" s="4"/>
      <c r="CY2118" s="4"/>
      <c r="CZ2118" s="4"/>
      <c r="DA2118" s="4"/>
      <c r="DB2118" s="4"/>
      <c r="DC2118" s="4"/>
      <c r="DD2118" s="4"/>
      <c r="DE2118" s="4"/>
      <c r="DF2118" s="4"/>
      <c r="DG2118" s="4"/>
      <c r="DH2118" s="4"/>
      <c r="DI2118" s="4"/>
      <c r="DJ2118" s="4"/>
      <c r="DK2118" s="4"/>
      <c r="DL2118" s="4"/>
      <c r="DM2118" s="4"/>
      <c r="DN2118" s="4"/>
      <c r="DO2118" s="4"/>
      <c r="DP2118" s="4"/>
      <c r="DQ2118" s="4"/>
      <c r="DR2118" s="4"/>
      <c r="DS2118" s="4"/>
    </row>
    <row r="2119">
      <c r="A2119" s="4"/>
      <c r="B2119" s="4"/>
      <c r="C2119" s="4"/>
      <c r="D2119" s="4"/>
      <c r="E2119" s="4"/>
      <c r="F2119" s="4" t="s">
        <v>17</v>
      </c>
      <c r="G2119" s="15"/>
      <c r="H2119" s="4"/>
      <c r="I2119" s="4"/>
      <c r="J2119" s="4"/>
      <c r="K2119" s="4"/>
      <c r="L2119" s="4"/>
      <c r="M2119" s="4"/>
      <c r="N2119" s="4"/>
      <c r="O2119" s="4"/>
      <c r="P2119" s="4"/>
      <c r="Q2119" s="4"/>
      <c r="R2119" s="4"/>
      <c r="S2119" s="4"/>
      <c r="T2119" s="4"/>
      <c r="U2119" s="4"/>
      <c r="V2119" s="4"/>
      <c r="W2119" s="4"/>
      <c r="X2119" s="4"/>
      <c r="Y2119" s="4"/>
      <c r="Z2119" s="4"/>
      <c r="AA2119" s="4"/>
      <c r="AB2119" s="4"/>
      <c r="AC2119" s="4"/>
      <c r="AD2119" s="4"/>
      <c r="AE2119" s="4"/>
      <c r="AF2119" s="4"/>
      <c r="AG2119" s="4"/>
      <c r="AH2119" s="4"/>
      <c r="AI2119" s="4"/>
      <c r="AJ2119" s="4"/>
      <c r="AK2119" s="4"/>
      <c r="AL2119" s="4"/>
      <c r="AM2119" s="4"/>
      <c r="AN2119" s="4"/>
      <c r="AO2119" s="4"/>
      <c r="AP2119" s="4"/>
      <c r="AQ2119" s="4"/>
      <c r="AR2119" s="4"/>
      <c r="AS2119" s="4"/>
      <c r="AT2119" s="4"/>
      <c r="AU2119" s="4"/>
      <c r="AV2119" s="4"/>
      <c r="AW2119" s="4"/>
      <c r="AX2119" s="4"/>
      <c r="AY2119" s="4"/>
      <c r="AZ2119" s="4"/>
      <c r="BA2119" s="4"/>
      <c r="BB2119" s="4"/>
      <c r="BC2119" s="4"/>
      <c r="BD2119" s="4"/>
      <c r="BE2119" s="4"/>
      <c r="BF2119" s="4"/>
      <c r="BG2119" s="4"/>
      <c r="BH2119" s="4"/>
      <c r="BI2119" s="4"/>
      <c r="BJ2119" s="4"/>
      <c r="BK2119" s="4"/>
      <c r="BL2119" s="4"/>
      <c r="BM2119" s="4"/>
      <c r="BN2119" s="4"/>
      <c r="BO2119" s="4"/>
      <c r="BP2119" s="4"/>
      <c r="BQ2119" s="4"/>
      <c r="BR2119" s="4"/>
      <c r="BS2119" s="4"/>
      <c r="BT2119" s="4"/>
      <c r="BU2119" s="4"/>
      <c r="BV2119" s="4"/>
      <c r="BW2119" s="4"/>
      <c r="BX2119" s="4"/>
      <c r="BY2119" s="4"/>
      <c r="BZ2119" s="4"/>
      <c r="CA2119" s="4"/>
      <c r="CB2119" s="4"/>
      <c r="CC2119" s="4"/>
      <c r="CD2119" s="4"/>
      <c r="CE2119" s="4"/>
      <c r="CF2119" s="4"/>
      <c r="CG2119" s="4"/>
      <c r="CH2119" s="4"/>
      <c r="CI2119" s="4"/>
      <c r="CJ2119" s="4"/>
      <c r="CK2119" s="4"/>
      <c r="CL2119" s="4"/>
      <c r="CM2119" s="4"/>
      <c r="CN2119" s="4"/>
      <c r="CO2119" s="4"/>
      <c r="CP2119" s="4"/>
      <c r="CQ2119" s="4"/>
      <c r="CR2119" s="4"/>
      <c r="CS2119" s="4"/>
      <c r="CT2119" s="4"/>
      <c r="CU2119" s="4"/>
      <c r="CV2119" s="4"/>
      <c r="CW2119" s="4"/>
      <c r="CX2119" s="4"/>
      <c r="CY2119" s="4"/>
      <c r="CZ2119" s="4"/>
      <c r="DA2119" s="4"/>
      <c r="DB2119" s="4"/>
      <c r="DC2119" s="4"/>
      <c r="DD2119" s="4"/>
      <c r="DE2119" s="4"/>
      <c r="DF2119" s="4"/>
      <c r="DG2119" s="4"/>
      <c r="DH2119" s="4"/>
      <c r="DI2119" s="4"/>
      <c r="DJ2119" s="4"/>
      <c r="DK2119" s="4"/>
      <c r="DL2119" s="4"/>
      <c r="DM2119" s="4"/>
      <c r="DN2119" s="4"/>
      <c r="DO2119" s="4"/>
      <c r="DP2119" s="4"/>
      <c r="DQ2119" s="4"/>
      <c r="DR2119" s="4"/>
      <c r="DS2119" s="4"/>
    </row>
    <row r="2120">
      <c r="A2120" s="4"/>
      <c r="B2120" s="4"/>
      <c r="C2120" s="4"/>
      <c r="D2120" s="4"/>
      <c r="E2120" s="4"/>
      <c r="F2120" s="4" t="s">
        <v>17</v>
      </c>
      <c r="G2120" s="15"/>
      <c r="H2120" s="4"/>
      <c r="I2120" s="4"/>
      <c r="J2120" s="4"/>
      <c r="K2120" s="4"/>
      <c r="L2120" s="4"/>
      <c r="M2120" s="4"/>
      <c r="N2120" s="4"/>
      <c r="O2120" s="4"/>
      <c r="P2120" s="4"/>
      <c r="Q2120" s="4"/>
      <c r="R2120" s="4"/>
      <c r="S2120" s="4"/>
      <c r="T2120" s="4"/>
      <c r="U2120" s="4"/>
      <c r="V2120" s="4"/>
      <c r="W2120" s="4"/>
      <c r="X2120" s="4"/>
      <c r="Y2120" s="4"/>
      <c r="Z2120" s="4"/>
      <c r="AA2120" s="4"/>
      <c r="AB2120" s="4"/>
      <c r="AC2120" s="4"/>
      <c r="AD2120" s="4"/>
      <c r="AE2120" s="4"/>
      <c r="AF2120" s="4"/>
      <c r="AG2120" s="4"/>
      <c r="AH2120" s="4"/>
      <c r="AI2120" s="4"/>
      <c r="AJ2120" s="4"/>
      <c r="AK2120" s="4"/>
      <c r="AL2120" s="4"/>
      <c r="AM2120" s="4"/>
      <c r="AN2120" s="4"/>
      <c r="AO2120" s="4"/>
      <c r="AP2120" s="4"/>
      <c r="AQ2120" s="4"/>
      <c r="AR2120" s="4"/>
      <c r="AS2120" s="4"/>
      <c r="AT2120" s="4"/>
      <c r="AU2120" s="4"/>
      <c r="AV2120" s="4"/>
      <c r="AW2120" s="4"/>
      <c r="AX2120" s="4"/>
      <c r="AY2120" s="4"/>
      <c r="AZ2120" s="4"/>
      <c r="BA2120" s="4"/>
      <c r="BB2120" s="4"/>
      <c r="BC2120" s="4"/>
      <c r="BD2120" s="4"/>
      <c r="BE2120" s="4"/>
      <c r="BF2120" s="4"/>
      <c r="BG2120" s="4"/>
      <c r="BH2120" s="4"/>
      <c r="BI2120" s="4"/>
      <c r="BJ2120" s="4"/>
      <c r="BK2120" s="4"/>
      <c r="BL2120" s="4"/>
      <c r="BM2120" s="4"/>
      <c r="BN2120" s="4"/>
      <c r="BO2120" s="4"/>
      <c r="BP2120" s="4"/>
      <c r="BQ2120" s="4"/>
      <c r="BR2120" s="4"/>
      <c r="BS2120" s="4"/>
      <c r="BT2120" s="4"/>
      <c r="BU2120" s="4"/>
      <c r="BV2120" s="4"/>
      <c r="BW2120" s="4"/>
      <c r="BX2120" s="4"/>
      <c r="BY2120" s="4"/>
      <c r="BZ2120" s="4"/>
      <c r="CA2120" s="4"/>
      <c r="CB2120" s="4"/>
      <c r="CC2120" s="4"/>
      <c r="CD2120" s="4"/>
      <c r="CE2120" s="4"/>
      <c r="CF2120" s="4"/>
      <c r="CG2120" s="4"/>
      <c r="CH2120" s="4"/>
      <c r="CI2120" s="4"/>
      <c r="CJ2120" s="4"/>
      <c r="CK2120" s="4"/>
      <c r="CL2120" s="4"/>
      <c r="CM2120" s="4"/>
      <c r="CN2120" s="4"/>
      <c r="CO2120" s="4"/>
      <c r="CP2120" s="4"/>
      <c r="CQ2120" s="4"/>
      <c r="CR2120" s="4"/>
      <c r="CS2120" s="4"/>
      <c r="CT2120" s="4"/>
      <c r="CU2120" s="4"/>
      <c r="CV2120" s="4"/>
      <c r="CW2120" s="4"/>
      <c r="CX2120" s="4"/>
      <c r="CY2120" s="4"/>
      <c r="CZ2120" s="4"/>
      <c r="DA2120" s="4"/>
      <c r="DB2120" s="4"/>
      <c r="DC2120" s="4"/>
      <c r="DD2120" s="4"/>
      <c r="DE2120" s="4"/>
      <c r="DF2120" s="4"/>
      <c r="DG2120" s="4"/>
      <c r="DH2120" s="4"/>
      <c r="DI2120" s="4"/>
      <c r="DJ2120" s="4"/>
      <c r="DK2120" s="4"/>
      <c r="DL2120" s="4"/>
      <c r="DM2120" s="4"/>
      <c r="DN2120" s="4"/>
      <c r="DO2120" s="4"/>
      <c r="DP2120" s="4"/>
      <c r="DQ2120" s="4"/>
      <c r="DR2120" s="4"/>
      <c r="DS2120" s="4"/>
    </row>
    <row r="2121">
      <c r="A2121" s="4"/>
      <c r="B2121" s="4"/>
      <c r="C2121" s="4"/>
      <c r="D2121" s="4"/>
      <c r="E2121" s="4"/>
      <c r="F2121" s="4" t="s">
        <v>17</v>
      </c>
      <c r="G2121" s="15"/>
      <c r="H2121" s="4"/>
      <c r="I2121" s="4"/>
      <c r="J2121" s="4"/>
      <c r="K2121" s="4"/>
      <c r="L2121" s="4"/>
      <c r="M2121" s="4"/>
      <c r="N2121" s="4"/>
      <c r="O2121" s="4"/>
      <c r="P2121" s="4"/>
      <c r="Q2121" s="4"/>
      <c r="R2121" s="4"/>
      <c r="S2121" s="4"/>
      <c r="T2121" s="4"/>
      <c r="U2121" s="4"/>
      <c r="V2121" s="4"/>
      <c r="W2121" s="4"/>
      <c r="X2121" s="4"/>
      <c r="Y2121" s="4"/>
      <c r="Z2121" s="4"/>
      <c r="AA2121" s="4"/>
      <c r="AB2121" s="4"/>
      <c r="AC2121" s="4"/>
      <c r="AD2121" s="4"/>
      <c r="AE2121" s="4"/>
      <c r="AF2121" s="4"/>
      <c r="AG2121" s="4"/>
      <c r="AH2121" s="4"/>
      <c r="AI2121" s="4"/>
      <c r="AJ2121" s="4"/>
      <c r="AK2121" s="4"/>
      <c r="AL2121" s="4"/>
      <c r="AM2121" s="4"/>
      <c r="AN2121" s="4"/>
      <c r="AO2121" s="4"/>
      <c r="AP2121" s="4"/>
      <c r="AQ2121" s="4"/>
      <c r="AR2121" s="4"/>
      <c r="AS2121" s="4"/>
      <c r="AT2121" s="4"/>
      <c r="AU2121" s="4"/>
      <c r="AV2121" s="4"/>
      <c r="AW2121" s="4"/>
      <c r="AX2121" s="4"/>
      <c r="AY2121" s="4"/>
      <c r="AZ2121" s="4"/>
      <c r="BA2121" s="4"/>
      <c r="BB2121" s="4"/>
      <c r="BC2121" s="4"/>
      <c r="BD2121" s="4"/>
      <c r="BE2121" s="4"/>
      <c r="BF2121" s="4"/>
      <c r="BG2121" s="4"/>
      <c r="BH2121" s="4"/>
      <c r="BI2121" s="4"/>
      <c r="BJ2121" s="4"/>
      <c r="BK2121" s="4"/>
      <c r="BL2121" s="4"/>
      <c r="BM2121" s="4"/>
      <c r="BN2121" s="4"/>
      <c r="BO2121" s="4"/>
      <c r="BP2121" s="4"/>
      <c r="BQ2121" s="4"/>
      <c r="BR2121" s="4"/>
      <c r="BS2121" s="4"/>
      <c r="BT2121" s="4"/>
      <c r="BU2121" s="4"/>
      <c r="BV2121" s="4"/>
      <c r="BW2121" s="4"/>
      <c r="BX2121" s="4"/>
      <c r="BY2121" s="4"/>
      <c r="BZ2121" s="4"/>
      <c r="CA2121" s="4"/>
      <c r="CB2121" s="4"/>
      <c r="CC2121" s="4"/>
      <c r="CD2121" s="4"/>
      <c r="CE2121" s="4"/>
      <c r="CF2121" s="4"/>
      <c r="CG2121" s="4"/>
      <c r="CH2121" s="4"/>
      <c r="CI2121" s="4"/>
      <c r="CJ2121" s="4"/>
      <c r="CK2121" s="4"/>
      <c r="CL2121" s="4"/>
      <c r="CM2121" s="4"/>
      <c r="CN2121" s="4"/>
      <c r="CO2121" s="4"/>
      <c r="CP2121" s="4"/>
      <c r="CQ2121" s="4"/>
      <c r="CR2121" s="4"/>
      <c r="CS2121" s="4"/>
      <c r="CT2121" s="4"/>
      <c r="CU2121" s="4"/>
      <c r="CV2121" s="4"/>
      <c r="CW2121" s="4"/>
      <c r="CX2121" s="4"/>
      <c r="CY2121" s="4"/>
      <c r="CZ2121" s="4"/>
      <c r="DA2121" s="4"/>
      <c r="DB2121" s="4"/>
      <c r="DC2121" s="4"/>
      <c r="DD2121" s="4"/>
      <c r="DE2121" s="4"/>
      <c r="DF2121" s="4"/>
      <c r="DG2121" s="4"/>
      <c r="DH2121" s="4"/>
      <c r="DI2121" s="4"/>
      <c r="DJ2121" s="4"/>
      <c r="DK2121" s="4"/>
      <c r="DL2121" s="4"/>
      <c r="DM2121" s="4"/>
      <c r="DN2121" s="4"/>
      <c r="DO2121" s="4"/>
      <c r="DP2121" s="4"/>
      <c r="DQ2121" s="4"/>
      <c r="DR2121" s="4"/>
      <c r="DS2121" s="4"/>
    </row>
    <row r="2122">
      <c r="A2122" s="4"/>
      <c r="B2122" s="4"/>
      <c r="C2122" s="4"/>
      <c r="D2122" s="4"/>
      <c r="E2122" s="4"/>
      <c r="F2122" s="4" t="s">
        <v>17</v>
      </c>
      <c r="G2122" s="15"/>
      <c r="H2122" s="4"/>
      <c r="I2122" s="4"/>
      <c r="J2122" s="4"/>
      <c r="K2122" s="4"/>
      <c r="L2122" s="4"/>
      <c r="M2122" s="4"/>
      <c r="N2122" s="4"/>
      <c r="O2122" s="4"/>
      <c r="P2122" s="4"/>
      <c r="Q2122" s="4"/>
      <c r="R2122" s="4"/>
      <c r="S2122" s="4"/>
      <c r="T2122" s="4"/>
      <c r="U2122" s="4"/>
      <c r="V2122" s="4"/>
      <c r="W2122" s="4"/>
      <c r="X2122" s="4"/>
      <c r="Y2122" s="4"/>
      <c r="Z2122" s="4"/>
      <c r="AA2122" s="4"/>
      <c r="AB2122" s="4"/>
      <c r="AC2122" s="4"/>
      <c r="AD2122" s="4"/>
      <c r="AE2122" s="4"/>
      <c r="AF2122" s="4"/>
      <c r="AG2122" s="4"/>
      <c r="AH2122" s="4"/>
      <c r="AI2122" s="4"/>
      <c r="AJ2122" s="4"/>
      <c r="AK2122" s="4"/>
      <c r="AL2122" s="4"/>
      <c r="AM2122" s="4"/>
      <c r="AN2122" s="4"/>
      <c r="AO2122" s="4"/>
      <c r="AP2122" s="4"/>
      <c r="AQ2122" s="4"/>
      <c r="AR2122" s="4"/>
      <c r="AS2122" s="4"/>
      <c r="AT2122" s="4"/>
      <c r="AU2122" s="4"/>
      <c r="AV2122" s="4"/>
      <c r="AW2122" s="4"/>
      <c r="AX2122" s="4"/>
      <c r="AY2122" s="4"/>
      <c r="AZ2122" s="4"/>
      <c r="BA2122" s="4"/>
      <c r="BB2122" s="4"/>
      <c r="BC2122" s="4"/>
      <c r="BD2122" s="4"/>
      <c r="BE2122" s="4"/>
      <c r="BF2122" s="4"/>
      <c r="BG2122" s="4"/>
      <c r="BH2122" s="4"/>
      <c r="BI2122" s="4"/>
      <c r="BJ2122" s="4"/>
      <c r="BK2122" s="4"/>
      <c r="BL2122" s="4"/>
      <c r="BM2122" s="4"/>
      <c r="BN2122" s="4"/>
      <c r="BO2122" s="4"/>
      <c r="BP2122" s="4"/>
      <c r="BQ2122" s="4"/>
      <c r="BR2122" s="4"/>
      <c r="BS2122" s="4"/>
      <c r="BT2122" s="4"/>
      <c r="BU2122" s="4"/>
      <c r="BV2122" s="4"/>
      <c r="BW2122" s="4"/>
      <c r="BX2122" s="4"/>
      <c r="BY2122" s="4"/>
      <c r="BZ2122" s="4"/>
      <c r="CA2122" s="4"/>
      <c r="CB2122" s="4"/>
      <c r="CC2122" s="4"/>
      <c r="CD2122" s="4"/>
      <c r="CE2122" s="4"/>
      <c r="CF2122" s="4"/>
      <c r="CG2122" s="4"/>
      <c r="CH2122" s="4"/>
      <c r="CI2122" s="4"/>
      <c r="CJ2122" s="4"/>
      <c r="CK2122" s="4"/>
      <c r="CL2122" s="4"/>
      <c r="CM2122" s="4"/>
      <c r="CN2122" s="4"/>
      <c r="CO2122" s="4"/>
      <c r="CP2122" s="4"/>
      <c r="CQ2122" s="4"/>
      <c r="CR2122" s="4"/>
      <c r="CS2122" s="4"/>
      <c r="CT2122" s="4"/>
      <c r="CU2122" s="4"/>
      <c r="CV2122" s="4"/>
      <c r="CW2122" s="4"/>
      <c r="CX2122" s="4"/>
      <c r="CY2122" s="4"/>
      <c r="CZ2122" s="4"/>
      <c r="DA2122" s="4"/>
      <c r="DB2122" s="4"/>
      <c r="DC2122" s="4"/>
      <c r="DD2122" s="4"/>
      <c r="DE2122" s="4"/>
      <c r="DF2122" s="4"/>
      <c r="DG2122" s="4"/>
      <c r="DH2122" s="4"/>
      <c r="DI2122" s="4"/>
      <c r="DJ2122" s="4"/>
      <c r="DK2122" s="4"/>
      <c r="DL2122" s="4"/>
      <c r="DM2122" s="4"/>
      <c r="DN2122" s="4"/>
      <c r="DO2122" s="4"/>
      <c r="DP2122" s="4"/>
      <c r="DQ2122" s="4"/>
      <c r="DR2122" s="4"/>
      <c r="DS2122" s="4"/>
    </row>
    <row r="2123">
      <c r="A2123" s="4"/>
      <c r="B2123" s="4"/>
      <c r="C2123" s="4"/>
      <c r="D2123" s="4"/>
      <c r="E2123" s="4"/>
      <c r="F2123" s="4" t="s">
        <v>17</v>
      </c>
      <c r="G2123" s="15"/>
      <c r="H2123" s="4"/>
      <c r="I2123" s="4"/>
      <c r="J2123" s="4"/>
      <c r="K2123" s="4"/>
      <c r="L2123" s="4"/>
      <c r="M2123" s="4"/>
      <c r="N2123" s="4"/>
      <c r="O2123" s="4"/>
      <c r="P2123" s="4"/>
      <c r="Q2123" s="4"/>
      <c r="R2123" s="4"/>
      <c r="S2123" s="4"/>
      <c r="T2123" s="4"/>
      <c r="U2123" s="4"/>
      <c r="V2123" s="4"/>
      <c r="W2123" s="4"/>
      <c r="X2123" s="4"/>
      <c r="Y2123" s="4"/>
      <c r="Z2123" s="4"/>
      <c r="AA2123" s="4"/>
      <c r="AB2123" s="4"/>
      <c r="AC2123" s="4"/>
      <c r="AD2123" s="4"/>
      <c r="AE2123" s="4"/>
      <c r="AF2123" s="4"/>
      <c r="AG2123" s="4"/>
      <c r="AH2123" s="4"/>
      <c r="AI2123" s="4"/>
      <c r="AJ2123" s="4"/>
      <c r="AK2123" s="4"/>
      <c r="AL2123" s="4"/>
      <c r="AM2123" s="4"/>
      <c r="AN2123" s="4"/>
      <c r="AO2123" s="4"/>
      <c r="AP2123" s="4"/>
      <c r="AQ2123" s="4"/>
      <c r="AR2123" s="4"/>
      <c r="AS2123" s="4"/>
      <c r="AT2123" s="4"/>
      <c r="AU2123" s="4"/>
      <c r="AV2123" s="4"/>
      <c r="AW2123" s="4"/>
      <c r="AX2123" s="4"/>
      <c r="AY2123" s="4"/>
      <c r="AZ2123" s="4"/>
      <c r="BA2123" s="4"/>
      <c r="BB2123" s="4"/>
      <c r="BC2123" s="4"/>
      <c r="BD2123" s="4"/>
      <c r="BE2123" s="4"/>
      <c r="BF2123" s="4"/>
      <c r="BG2123" s="4"/>
      <c r="BH2123" s="4"/>
      <c r="BI2123" s="4"/>
      <c r="BJ2123" s="4"/>
      <c r="BK2123" s="4"/>
      <c r="BL2123" s="4"/>
      <c r="BM2123" s="4"/>
      <c r="BN2123" s="4"/>
      <c r="BO2123" s="4"/>
      <c r="BP2123" s="4"/>
      <c r="BQ2123" s="4"/>
      <c r="BR2123" s="4"/>
      <c r="BS2123" s="4"/>
      <c r="BT2123" s="4"/>
      <c r="BU2123" s="4"/>
      <c r="BV2123" s="4"/>
      <c r="BW2123" s="4"/>
      <c r="BX2123" s="4"/>
      <c r="BY2123" s="4"/>
      <c r="BZ2123" s="4"/>
      <c r="CA2123" s="4"/>
      <c r="CB2123" s="4"/>
      <c r="CC2123" s="4"/>
      <c r="CD2123" s="4"/>
      <c r="CE2123" s="4"/>
      <c r="CF2123" s="4"/>
      <c r="CG2123" s="4"/>
      <c r="CH2123" s="4"/>
      <c r="CI2123" s="4"/>
      <c r="CJ2123" s="4"/>
      <c r="CK2123" s="4"/>
      <c r="CL2123" s="4"/>
      <c r="CM2123" s="4"/>
      <c r="CN2123" s="4"/>
      <c r="CO2123" s="4"/>
      <c r="CP2123" s="4"/>
      <c r="CQ2123" s="4"/>
      <c r="CR2123" s="4"/>
      <c r="CS2123" s="4"/>
      <c r="CT2123" s="4"/>
      <c r="CU2123" s="4"/>
      <c r="CV2123" s="4"/>
      <c r="CW2123" s="4"/>
      <c r="CX2123" s="4"/>
      <c r="CY2123" s="4"/>
      <c r="CZ2123" s="4"/>
      <c r="DA2123" s="4"/>
      <c r="DB2123" s="4"/>
      <c r="DC2123" s="4"/>
      <c r="DD2123" s="4"/>
      <c r="DE2123" s="4"/>
      <c r="DF2123" s="4"/>
      <c r="DG2123" s="4"/>
      <c r="DH2123" s="4"/>
      <c r="DI2123" s="4"/>
      <c r="DJ2123" s="4"/>
      <c r="DK2123" s="4"/>
      <c r="DL2123" s="4"/>
      <c r="DM2123" s="4"/>
      <c r="DN2123" s="4"/>
      <c r="DO2123" s="4"/>
      <c r="DP2123" s="4"/>
      <c r="DQ2123" s="4"/>
      <c r="DR2123" s="4"/>
      <c r="DS2123" s="4"/>
    </row>
    <row r="2124">
      <c r="A2124" s="4"/>
      <c r="B2124" s="4"/>
      <c r="C2124" s="4"/>
      <c r="D2124" s="4"/>
      <c r="E2124" s="4"/>
      <c r="F2124" s="4" t="s">
        <v>17</v>
      </c>
      <c r="G2124" s="15"/>
      <c r="H2124" s="4"/>
      <c r="I2124" s="4"/>
      <c r="J2124" s="4"/>
      <c r="K2124" s="4"/>
      <c r="L2124" s="4"/>
      <c r="M2124" s="4"/>
      <c r="N2124" s="4"/>
      <c r="O2124" s="4"/>
      <c r="P2124" s="4"/>
      <c r="Q2124" s="4"/>
      <c r="R2124" s="4"/>
      <c r="S2124" s="4"/>
      <c r="T2124" s="4"/>
      <c r="U2124" s="4"/>
      <c r="V2124" s="4"/>
      <c r="W2124" s="4"/>
      <c r="X2124" s="4"/>
      <c r="Y2124" s="4"/>
      <c r="Z2124" s="4"/>
      <c r="AA2124" s="4"/>
      <c r="AB2124" s="4"/>
      <c r="AC2124" s="4"/>
      <c r="AD2124" s="4"/>
      <c r="AE2124" s="4"/>
      <c r="AF2124" s="4"/>
      <c r="AG2124" s="4"/>
      <c r="AH2124" s="4"/>
      <c r="AI2124" s="4"/>
      <c r="AJ2124" s="4"/>
      <c r="AK2124" s="4"/>
      <c r="AL2124" s="4"/>
      <c r="AM2124" s="4"/>
      <c r="AN2124" s="4"/>
      <c r="AO2124" s="4"/>
      <c r="AP2124" s="4"/>
      <c r="AQ2124" s="4"/>
      <c r="AR2124" s="4"/>
      <c r="AS2124" s="4"/>
      <c r="AT2124" s="4"/>
      <c r="AU2124" s="4"/>
      <c r="AV2124" s="4"/>
      <c r="AW2124" s="4"/>
      <c r="AX2124" s="4"/>
      <c r="AY2124" s="4"/>
      <c r="AZ2124" s="4"/>
      <c r="BA2124" s="4"/>
      <c r="BB2124" s="4"/>
      <c r="BC2124" s="4"/>
      <c r="BD2124" s="4"/>
      <c r="BE2124" s="4"/>
      <c r="BF2124" s="4"/>
      <c r="BG2124" s="4"/>
      <c r="BH2124" s="4"/>
      <c r="BI2124" s="4"/>
      <c r="BJ2124" s="4"/>
      <c r="BK2124" s="4"/>
      <c r="BL2124" s="4"/>
      <c r="BM2124" s="4"/>
      <c r="BN2124" s="4"/>
      <c r="BO2124" s="4"/>
      <c r="BP2124" s="4"/>
      <c r="BQ2124" s="4"/>
      <c r="BR2124" s="4"/>
      <c r="BS2124" s="4"/>
      <c r="BT2124" s="4"/>
      <c r="BU2124" s="4"/>
      <c r="BV2124" s="4"/>
      <c r="BW2124" s="4"/>
      <c r="BX2124" s="4"/>
      <c r="BY2124" s="4"/>
      <c r="BZ2124" s="4"/>
      <c r="CA2124" s="4"/>
      <c r="CB2124" s="4"/>
      <c r="CC2124" s="4"/>
      <c r="CD2124" s="4"/>
      <c r="CE2124" s="4"/>
      <c r="CF2124" s="4"/>
      <c r="CG2124" s="4"/>
      <c r="CH2124" s="4"/>
      <c r="CI2124" s="4"/>
      <c r="CJ2124" s="4"/>
      <c r="CK2124" s="4"/>
      <c r="CL2124" s="4"/>
      <c r="CM2124" s="4"/>
      <c r="CN2124" s="4"/>
      <c r="CO2124" s="4"/>
      <c r="CP2124" s="4"/>
      <c r="CQ2124" s="4"/>
      <c r="CR2124" s="4"/>
      <c r="CS2124" s="4"/>
      <c r="CT2124" s="4"/>
      <c r="CU2124" s="4"/>
      <c r="CV2124" s="4"/>
      <c r="CW2124" s="4"/>
      <c r="CX2124" s="4"/>
      <c r="CY2124" s="4"/>
      <c r="CZ2124" s="4"/>
      <c r="DA2124" s="4"/>
      <c r="DB2124" s="4"/>
      <c r="DC2124" s="4"/>
      <c r="DD2124" s="4"/>
      <c r="DE2124" s="4"/>
      <c r="DF2124" s="4"/>
      <c r="DG2124" s="4"/>
      <c r="DH2124" s="4"/>
      <c r="DI2124" s="4"/>
      <c r="DJ2124" s="4"/>
      <c r="DK2124" s="4"/>
      <c r="DL2124" s="4"/>
      <c r="DM2124" s="4"/>
      <c r="DN2124" s="4"/>
      <c r="DO2124" s="4"/>
      <c r="DP2124" s="4"/>
      <c r="DQ2124" s="4"/>
      <c r="DR2124" s="4"/>
      <c r="DS2124" s="4"/>
    </row>
    <row r="2125">
      <c r="A2125" s="4"/>
      <c r="B2125" s="4"/>
      <c r="C2125" s="4"/>
      <c r="D2125" s="4"/>
      <c r="E2125" s="4"/>
      <c r="F2125" s="4" t="s">
        <v>17</v>
      </c>
      <c r="G2125" s="15"/>
      <c r="H2125" s="4"/>
      <c r="I2125" s="4"/>
      <c r="J2125" s="4"/>
      <c r="K2125" s="4"/>
      <c r="L2125" s="4"/>
      <c r="M2125" s="4"/>
      <c r="N2125" s="4"/>
      <c r="O2125" s="4"/>
      <c r="P2125" s="4"/>
      <c r="Q2125" s="4"/>
      <c r="R2125" s="4"/>
      <c r="S2125" s="4"/>
      <c r="T2125" s="4"/>
      <c r="U2125" s="4"/>
      <c r="V2125" s="4"/>
      <c r="W2125" s="4"/>
      <c r="X2125" s="4"/>
      <c r="Y2125" s="4"/>
      <c r="Z2125" s="4"/>
      <c r="AA2125" s="4"/>
      <c r="AB2125" s="4"/>
      <c r="AC2125" s="4"/>
      <c r="AD2125" s="4"/>
      <c r="AE2125" s="4"/>
      <c r="AF2125" s="4"/>
      <c r="AG2125" s="4"/>
      <c r="AH2125" s="4"/>
      <c r="AI2125" s="4"/>
      <c r="AJ2125" s="4"/>
      <c r="AK2125" s="4"/>
      <c r="AL2125" s="4"/>
      <c r="AM2125" s="4"/>
      <c r="AN2125" s="4"/>
      <c r="AO2125" s="4"/>
      <c r="AP2125" s="4"/>
      <c r="AQ2125" s="4"/>
      <c r="AR2125" s="4"/>
      <c r="AS2125" s="4"/>
      <c r="AT2125" s="4"/>
      <c r="AU2125" s="4"/>
      <c r="AV2125" s="4"/>
      <c r="AW2125" s="4"/>
      <c r="AX2125" s="4"/>
      <c r="AY2125" s="4"/>
      <c r="AZ2125" s="4"/>
      <c r="BA2125" s="4"/>
      <c r="BB2125" s="4"/>
      <c r="BC2125" s="4"/>
      <c r="BD2125" s="4"/>
      <c r="BE2125" s="4"/>
      <c r="BF2125" s="4"/>
      <c r="BG2125" s="4"/>
      <c r="BH2125" s="4"/>
      <c r="BI2125" s="4"/>
      <c r="BJ2125" s="4"/>
      <c r="BK2125" s="4"/>
      <c r="BL2125" s="4"/>
      <c r="BM2125" s="4"/>
      <c r="BN2125" s="4"/>
      <c r="BO2125" s="4"/>
      <c r="BP2125" s="4"/>
      <c r="BQ2125" s="4"/>
      <c r="BR2125" s="4"/>
      <c r="BS2125" s="4"/>
      <c r="BT2125" s="4"/>
      <c r="BU2125" s="4"/>
      <c r="BV2125" s="4"/>
      <c r="BW2125" s="4"/>
      <c r="BX2125" s="4"/>
      <c r="BY2125" s="4"/>
      <c r="BZ2125" s="4"/>
      <c r="CA2125" s="4"/>
      <c r="CB2125" s="4"/>
      <c r="CC2125" s="4"/>
      <c r="CD2125" s="4"/>
      <c r="CE2125" s="4"/>
      <c r="CF2125" s="4"/>
      <c r="CG2125" s="4"/>
      <c r="CH2125" s="4"/>
      <c r="CI2125" s="4"/>
      <c r="CJ2125" s="4"/>
      <c r="CK2125" s="4"/>
      <c r="CL2125" s="4"/>
      <c r="CM2125" s="4"/>
      <c r="CN2125" s="4"/>
      <c r="CO2125" s="4"/>
      <c r="CP2125" s="4"/>
      <c r="CQ2125" s="4"/>
      <c r="CR2125" s="4"/>
      <c r="CS2125" s="4"/>
      <c r="CT2125" s="4"/>
      <c r="CU2125" s="4"/>
      <c r="CV2125" s="4"/>
      <c r="CW2125" s="4"/>
      <c r="CX2125" s="4"/>
      <c r="CY2125" s="4"/>
      <c r="CZ2125" s="4"/>
      <c r="DA2125" s="4"/>
      <c r="DB2125" s="4"/>
      <c r="DC2125" s="4"/>
      <c r="DD2125" s="4"/>
      <c r="DE2125" s="4"/>
      <c r="DF2125" s="4"/>
      <c r="DG2125" s="4"/>
      <c r="DH2125" s="4"/>
      <c r="DI2125" s="4"/>
      <c r="DJ2125" s="4"/>
      <c r="DK2125" s="4"/>
      <c r="DL2125" s="4"/>
      <c r="DM2125" s="4"/>
      <c r="DN2125" s="4"/>
      <c r="DO2125" s="4"/>
      <c r="DP2125" s="4"/>
      <c r="DQ2125" s="4"/>
      <c r="DR2125" s="4"/>
      <c r="DS2125" s="4"/>
    </row>
    <row r="2126">
      <c r="A2126" s="4"/>
      <c r="B2126" s="4"/>
      <c r="C2126" s="4"/>
      <c r="D2126" s="4"/>
      <c r="E2126" s="4"/>
      <c r="F2126" s="4" t="s">
        <v>17</v>
      </c>
      <c r="G2126" s="15"/>
      <c r="H2126" s="4"/>
      <c r="I2126" s="4"/>
      <c r="J2126" s="4"/>
      <c r="K2126" s="4"/>
      <c r="L2126" s="4"/>
      <c r="M2126" s="4"/>
      <c r="N2126" s="4"/>
      <c r="O2126" s="4"/>
      <c r="P2126" s="4"/>
      <c r="Q2126" s="4"/>
      <c r="R2126" s="4"/>
      <c r="S2126" s="4"/>
      <c r="T2126" s="4"/>
      <c r="U2126" s="4"/>
      <c r="V2126" s="4"/>
      <c r="W2126" s="4"/>
      <c r="X2126" s="4"/>
      <c r="Y2126" s="4"/>
      <c r="Z2126" s="4"/>
      <c r="AA2126" s="4"/>
      <c r="AB2126" s="4"/>
      <c r="AC2126" s="4"/>
      <c r="AD2126" s="4"/>
      <c r="AE2126" s="4"/>
      <c r="AF2126" s="4"/>
      <c r="AG2126" s="4"/>
      <c r="AH2126" s="4"/>
      <c r="AI2126" s="4"/>
      <c r="AJ2126" s="4"/>
      <c r="AK2126" s="4"/>
      <c r="AL2126" s="4"/>
      <c r="AM2126" s="4"/>
      <c r="AN2126" s="4"/>
      <c r="AO2126" s="4"/>
      <c r="AP2126" s="4"/>
      <c r="AQ2126" s="4"/>
      <c r="AR2126" s="4"/>
      <c r="AS2126" s="4"/>
      <c r="AT2126" s="4"/>
      <c r="AU2126" s="4"/>
      <c r="AV2126" s="4"/>
      <c r="AW2126" s="4"/>
      <c r="AX2126" s="4"/>
      <c r="AY2126" s="4"/>
      <c r="AZ2126" s="4"/>
      <c r="BA2126" s="4"/>
      <c r="BB2126" s="4"/>
      <c r="BC2126" s="4"/>
      <c r="BD2126" s="4"/>
      <c r="BE2126" s="4"/>
      <c r="BF2126" s="4"/>
      <c r="BG2126" s="4"/>
      <c r="BH2126" s="4"/>
      <c r="BI2126" s="4"/>
      <c r="BJ2126" s="4"/>
      <c r="BK2126" s="4"/>
      <c r="BL2126" s="4"/>
      <c r="BM2126" s="4"/>
      <c r="BN2126" s="4"/>
      <c r="BO2126" s="4"/>
      <c r="BP2126" s="4"/>
      <c r="BQ2126" s="4"/>
      <c r="BR2126" s="4"/>
      <c r="BS2126" s="4"/>
      <c r="BT2126" s="4"/>
      <c r="BU2126" s="4"/>
      <c r="BV2126" s="4"/>
      <c r="BW2126" s="4"/>
      <c r="BX2126" s="4"/>
      <c r="BY2126" s="4"/>
      <c r="BZ2126" s="4"/>
      <c r="CA2126" s="4"/>
      <c r="CB2126" s="4"/>
      <c r="CC2126" s="4"/>
      <c r="CD2126" s="4"/>
      <c r="CE2126" s="4"/>
      <c r="CF2126" s="4"/>
      <c r="CG2126" s="4"/>
      <c r="CH2126" s="4"/>
      <c r="CI2126" s="4"/>
      <c r="CJ2126" s="4"/>
      <c r="CK2126" s="4"/>
      <c r="CL2126" s="4"/>
      <c r="CM2126" s="4"/>
      <c r="CN2126" s="4"/>
      <c r="CO2126" s="4"/>
      <c r="CP2126" s="4"/>
      <c r="CQ2126" s="4"/>
      <c r="CR2126" s="4"/>
      <c r="CS2126" s="4"/>
      <c r="CT2126" s="4"/>
      <c r="CU2126" s="4"/>
      <c r="CV2126" s="4"/>
      <c r="CW2126" s="4"/>
      <c r="CX2126" s="4"/>
      <c r="CY2126" s="4"/>
      <c r="CZ2126" s="4"/>
      <c r="DA2126" s="4"/>
      <c r="DB2126" s="4"/>
      <c r="DC2126" s="4"/>
      <c r="DD2126" s="4"/>
      <c r="DE2126" s="4"/>
      <c r="DF2126" s="4"/>
      <c r="DG2126" s="4"/>
      <c r="DH2126" s="4"/>
      <c r="DI2126" s="4"/>
      <c r="DJ2126" s="4"/>
      <c r="DK2126" s="4"/>
      <c r="DL2126" s="4"/>
      <c r="DM2126" s="4"/>
      <c r="DN2126" s="4"/>
      <c r="DO2126" s="4"/>
      <c r="DP2126" s="4"/>
      <c r="DQ2126" s="4"/>
      <c r="DR2126" s="4"/>
      <c r="DS2126" s="4"/>
    </row>
    <row r="2127">
      <c r="A2127" s="4"/>
      <c r="B2127" s="4"/>
      <c r="C2127" s="4"/>
      <c r="D2127" s="4"/>
      <c r="E2127" s="4"/>
      <c r="F2127" s="4" t="s">
        <v>17</v>
      </c>
      <c r="G2127" s="15"/>
      <c r="H2127" s="4"/>
      <c r="I2127" s="4"/>
      <c r="J2127" s="4"/>
      <c r="K2127" s="4"/>
      <c r="L2127" s="4"/>
      <c r="M2127" s="4"/>
      <c r="N2127" s="4"/>
      <c r="O2127" s="4"/>
      <c r="P2127" s="4"/>
      <c r="Q2127" s="4"/>
      <c r="R2127" s="4"/>
      <c r="S2127" s="4"/>
      <c r="T2127" s="4"/>
      <c r="U2127" s="4"/>
      <c r="V2127" s="4"/>
      <c r="W2127" s="4"/>
      <c r="X2127" s="4"/>
      <c r="Y2127" s="4"/>
      <c r="Z2127" s="4"/>
      <c r="AA2127" s="4"/>
      <c r="AB2127" s="4"/>
      <c r="AC2127" s="4"/>
      <c r="AD2127" s="4"/>
      <c r="AE2127" s="4"/>
      <c r="AF2127" s="4"/>
      <c r="AG2127" s="4"/>
      <c r="AH2127" s="4"/>
      <c r="AI2127" s="4"/>
      <c r="AJ2127" s="4"/>
      <c r="AK2127" s="4"/>
      <c r="AL2127" s="4"/>
      <c r="AM2127" s="4"/>
      <c r="AN2127" s="4"/>
      <c r="AO2127" s="4"/>
      <c r="AP2127" s="4"/>
      <c r="AQ2127" s="4"/>
      <c r="AR2127" s="4"/>
      <c r="AS2127" s="4"/>
      <c r="AT2127" s="4"/>
      <c r="AU2127" s="4"/>
      <c r="AV2127" s="4"/>
      <c r="AW2127" s="4"/>
      <c r="AX2127" s="4"/>
      <c r="AY2127" s="4"/>
      <c r="AZ2127" s="4"/>
      <c r="BA2127" s="4"/>
      <c r="BB2127" s="4"/>
      <c r="BC2127" s="4"/>
      <c r="BD2127" s="4"/>
      <c r="BE2127" s="4"/>
      <c r="BF2127" s="4"/>
      <c r="BG2127" s="4"/>
      <c r="BH2127" s="4"/>
      <c r="BI2127" s="4"/>
      <c r="BJ2127" s="4"/>
      <c r="BK2127" s="4"/>
      <c r="BL2127" s="4"/>
      <c r="BM2127" s="4"/>
      <c r="BN2127" s="4"/>
      <c r="BO2127" s="4"/>
      <c r="BP2127" s="4"/>
      <c r="BQ2127" s="4"/>
      <c r="BR2127" s="4"/>
      <c r="BS2127" s="4"/>
      <c r="BT2127" s="4"/>
      <c r="BU2127" s="4"/>
      <c r="BV2127" s="4"/>
      <c r="BW2127" s="4"/>
      <c r="BX2127" s="4"/>
      <c r="BY2127" s="4"/>
      <c r="BZ2127" s="4"/>
      <c r="CA2127" s="4"/>
      <c r="CB2127" s="4"/>
      <c r="CC2127" s="4"/>
      <c r="CD2127" s="4"/>
      <c r="CE2127" s="4"/>
      <c r="CF2127" s="4"/>
      <c r="CG2127" s="4"/>
      <c r="CH2127" s="4"/>
      <c r="CI2127" s="4"/>
      <c r="CJ2127" s="4"/>
      <c r="CK2127" s="4"/>
      <c r="CL2127" s="4"/>
      <c r="CM2127" s="4"/>
      <c r="CN2127" s="4"/>
      <c r="CO2127" s="4"/>
      <c r="CP2127" s="4"/>
      <c r="CQ2127" s="4"/>
      <c r="CR2127" s="4"/>
      <c r="CS2127" s="4"/>
      <c r="CT2127" s="4"/>
      <c r="CU2127" s="4"/>
      <c r="CV2127" s="4"/>
      <c r="CW2127" s="4"/>
      <c r="CX2127" s="4"/>
      <c r="CY2127" s="4"/>
      <c r="CZ2127" s="4"/>
      <c r="DA2127" s="4"/>
      <c r="DB2127" s="4"/>
      <c r="DC2127" s="4"/>
      <c r="DD2127" s="4"/>
      <c r="DE2127" s="4"/>
      <c r="DF2127" s="4"/>
      <c r="DG2127" s="4"/>
      <c r="DH2127" s="4"/>
      <c r="DI2127" s="4"/>
      <c r="DJ2127" s="4"/>
      <c r="DK2127" s="4"/>
      <c r="DL2127" s="4"/>
      <c r="DM2127" s="4"/>
      <c r="DN2127" s="4"/>
      <c r="DO2127" s="4"/>
      <c r="DP2127" s="4"/>
      <c r="DQ2127" s="4"/>
      <c r="DR2127" s="4"/>
      <c r="DS2127" s="4"/>
    </row>
    <row r="2128">
      <c r="A2128" s="4"/>
      <c r="B2128" s="4"/>
      <c r="C2128" s="4"/>
      <c r="D2128" s="4"/>
      <c r="E2128" s="4"/>
      <c r="F2128" s="4" t="s">
        <v>17</v>
      </c>
      <c r="G2128" s="15"/>
      <c r="H2128" s="4"/>
      <c r="I2128" s="4"/>
      <c r="J2128" s="4"/>
      <c r="K2128" s="4"/>
      <c r="L2128" s="4"/>
      <c r="M2128" s="4"/>
      <c r="N2128" s="4"/>
      <c r="O2128" s="4"/>
      <c r="P2128" s="4"/>
      <c r="Q2128" s="4"/>
      <c r="R2128" s="4"/>
      <c r="S2128" s="4"/>
      <c r="T2128" s="4"/>
      <c r="U2128" s="4"/>
      <c r="V2128" s="4"/>
      <c r="W2128" s="4"/>
      <c r="X2128" s="4"/>
      <c r="Y2128" s="4"/>
      <c r="Z2128" s="4"/>
      <c r="AA2128" s="4"/>
      <c r="AB2128" s="4"/>
      <c r="AC2128" s="4"/>
      <c r="AD2128" s="4"/>
      <c r="AE2128" s="4"/>
      <c r="AF2128" s="4"/>
      <c r="AG2128" s="4"/>
      <c r="AH2128" s="4"/>
      <c r="AI2128" s="4"/>
      <c r="AJ2128" s="4"/>
      <c r="AK2128" s="4"/>
      <c r="AL2128" s="4"/>
      <c r="AM2128" s="4"/>
      <c r="AN2128" s="4"/>
      <c r="AO2128" s="4"/>
      <c r="AP2128" s="4"/>
      <c r="AQ2128" s="4"/>
      <c r="AR2128" s="4"/>
      <c r="AS2128" s="4"/>
      <c r="AT2128" s="4"/>
      <c r="AU2128" s="4"/>
      <c r="AV2128" s="4"/>
      <c r="AW2128" s="4"/>
      <c r="AX2128" s="4"/>
      <c r="AY2128" s="4"/>
      <c r="AZ2128" s="4"/>
      <c r="BA2128" s="4"/>
      <c r="BB2128" s="4"/>
      <c r="BC2128" s="4"/>
      <c r="BD2128" s="4"/>
      <c r="BE2128" s="4"/>
      <c r="BF2128" s="4"/>
      <c r="BG2128" s="4"/>
      <c r="BH2128" s="4"/>
      <c r="BI2128" s="4"/>
      <c r="BJ2128" s="4"/>
      <c r="BK2128" s="4"/>
      <c r="BL2128" s="4"/>
      <c r="BM2128" s="4"/>
      <c r="BN2128" s="4"/>
      <c r="BO2128" s="4"/>
      <c r="BP2128" s="4"/>
      <c r="BQ2128" s="4"/>
      <c r="BR2128" s="4"/>
      <c r="BS2128" s="4"/>
      <c r="BT2128" s="4"/>
      <c r="BU2128" s="4"/>
      <c r="BV2128" s="4"/>
      <c r="BW2128" s="4"/>
      <c r="BX2128" s="4"/>
      <c r="BY2128" s="4"/>
      <c r="BZ2128" s="4"/>
      <c r="CA2128" s="4"/>
      <c r="CB2128" s="4"/>
      <c r="CC2128" s="4"/>
      <c r="CD2128" s="4"/>
      <c r="CE2128" s="4"/>
      <c r="CF2128" s="4"/>
      <c r="CG2128" s="4"/>
      <c r="CH2128" s="4"/>
      <c r="CI2128" s="4"/>
      <c r="CJ2128" s="4"/>
      <c r="CK2128" s="4"/>
      <c r="CL2128" s="4"/>
      <c r="CM2128" s="4"/>
      <c r="CN2128" s="4"/>
      <c r="CO2128" s="4"/>
      <c r="CP2128" s="4"/>
      <c r="CQ2128" s="4"/>
      <c r="CR2128" s="4"/>
      <c r="CS2128" s="4"/>
      <c r="CT2128" s="4"/>
      <c r="CU2128" s="4"/>
      <c r="CV2128" s="4"/>
      <c r="CW2128" s="4"/>
      <c r="CX2128" s="4"/>
      <c r="CY2128" s="4"/>
      <c r="CZ2128" s="4"/>
      <c r="DA2128" s="4"/>
      <c r="DB2128" s="4"/>
      <c r="DC2128" s="4"/>
      <c r="DD2128" s="4"/>
      <c r="DE2128" s="4"/>
      <c r="DF2128" s="4"/>
      <c r="DG2128" s="4"/>
      <c r="DH2128" s="4"/>
      <c r="DI2128" s="4"/>
      <c r="DJ2128" s="4"/>
      <c r="DK2128" s="4"/>
      <c r="DL2128" s="4"/>
      <c r="DM2128" s="4"/>
      <c r="DN2128" s="4"/>
      <c r="DO2128" s="4"/>
      <c r="DP2128" s="4"/>
      <c r="DQ2128" s="4"/>
      <c r="DR2128" s="4"/>
      <c r="DS2128" s="4"/>
    </row>
    <row r="2129">
      <c r="A2129" s="4"/>
      <c r="B2129" s="4"/>
      <c r="C2129" s="4"/>
      <c r="D2129" s="4"/>
      <c r="E2129" s="4"/>
      <c r="F2129" s="4" t="s">
        <v>17</v>
      </c>
      <c r="G2129" s="15"/>
      <c r="H2129" s="4"/>
      <c r="I2129" s="4"/>
      <c r="J2129" s="4"/>
      <c r="K2129" s="4"/>
      <c r="L2129" s="4"/>
      <c r="M2129" s="4"/>
      <c r="N2129" s="4"/>
      <c r="O2129" s="4"/>
      <c r="P2129" s="4"/>
      <c r="Q2129" s="4"/>
      <c r="R2129" s="4"/>
      <c r="S2129" s="4"/>
      <c r="T2129" s="4"/>
      <c r="U2129" s="4"/>
      <c r="V2129" s="4"/>
      <c r="W2129" s="4"/>
      <c r="X2129" s="4"/>
      <c r="Y2129" s="4"/>
      <c r="Z2129" s="4"/>
      <c r="AA2129" s="4"/>
      <c r="AB2129" s="4"/>
      <c r="AC2129" s="4"/>
      <c r="AD2129" s="4"/>
      <c r="AE2129" s="4"/>
      <c r="AF2129" s="4"/>
      <c r="AG2129" s="4"/>
      <c r="AH2129" s="4"/>
      <c r="AI2129" s="4"/>
      <c r="AJ2129" s="4"/>
      <c r="AK2129" s="4"/>
      <c r="AL2129" s="4"/>
      <c r="AM2129" s="4"/>
      <c r="AN2129" s="4"/>
      <c r="AO2129" s="4"/>
      <c r="AP2129" s="4"/>
      <c r="AQ2129" s="4"/>
      <c r="AR2129" s="4"/>
      <c r="AS2129" s="4"/>
      <c r="AT2129" s="4"/>
      <c r="AU2129" s="4"/>
      <c r="AV2129" s="4"/>
      <c r="AW2129" s="4"/>
      <c r="AX2129" s="4"/>
      <c r="AY2129" s="4"/>
      <c r="AZ2129" s="4"/>
      <c r="BA2129" s="4"/>
      <c r="BB2129" s="4"/>
      <c r="BC2129" s="4"/>
      <c r="BD2129" s="4"/>
      <c r="BE2129" s="4"/>
      <c r="BF2129" s="4"/>
      <c r="BG2129" s="4"/>
      <c r="BH2129" s="4"/>
      <c r="BI2129" s="4"/>
      <c r="BJ2129" s="4"/>
      <c r="BK2129" s="4"/>
      <c r="BL2129" s="4"/>
      <c r="BM2129" s="4"/>
      <c r="BN2129" s="4"/>
      <c r="BO2129" s="4"/>
      <c r="BP2129" s="4"/>
      <c r="BQ2129" s="4"/>
      <c r="BR2129" s="4"/>
      <c r="BS2129" s="4"/>
      <c r="BT2129" s="4"/>
      <c r="BU2129" s="4"/>
      <c r="BV2129" s="4"/>
      <c r="BW2129" s="4"/>
      <c r="BX2129" s="4"/>
      <c r="BY2129" s="4"/>
      <c r="BZ2129" s="4"/>
      <c r="CA2129" s="4"/>
      <c r="CB2129" s="4"/>
      <c r="CC2129" s="4"/>
      <c r="CD2129" s="4"/>
      <c r="CE2129" s="4"/>
      <c r="CF2129" s="4"/>
      <c r="CG2129" s="4"/>
      <c r="CH2129" s="4"/>
      <c r="CI2129" s="4"/>
      <c r="CJ2129" s="4"/>
      <c r="CK2129" s="4"/>
      <c r="CL2129" s="4"/>
      <c r="CM2129" s="4"/>
      <c r="CN2129" s="4"/>
      <c r="CO2129" s="4"/>
      <c r="CP2129" s="4"/>
      <c r="CQ2129" s="4"/>
      <c r="CR2129" s="4"/>
      <c r="CS2129" s="4"/>
      <c r="CT2129" s="4"/>
      <c r="CU2129" s="4"/>
      <c r="CV2129" s="4"/>
      <c r="CW2129" s="4"/>
      <c r="CX2129" s="4"/>
      <c r="CY2129" s="4"/>
      <c r="CZ2129" s="4"/>
      <c r="DA2129" s="4"/>
      <c r="DB2129" s="4"/>
      <c r="DC2129" s="4"/>
      <c r="DD2129" s="4"/>
      <c r="DE2129" s="4"/>
      <c r="DF2129" s="4"/>
      <c r="DG2129" s="4"/>
      <c r="DH2129" s="4"/>
      <c r="DI2129" s="4"/>
      <c r="DJ2129" s="4"/>
      <c r="DK2129" s="4"/>
      <c r="DL2129" s="4"/>
      <c r="DM2129" s="4"/>
      <c r="DN2129" s="4"/>
      <c r="DO2129" s="4"/>
      <c r="DP2129" s="4"/>
      <c r="DQ2129" s="4"/>
      <c r="DR2129" s="4"/>
      <c r="DS2129" s="4"/>
    </row>
    <row r="2130">
      <c r="A2130" s="4"/>
      <c r="B2130" s="4"/>
      <c r="C2130" s="4"/>
      <c r="D2130" s="4"/>
      <c r="E2130" s="4"/>
      <c r="F2130" s="4" t="s">
        <v>17</v>
      </c>
      <c r="G2130" s="15"/>
      <c r="H2130" s="4"/>
      <c r="I2130" s="4"/>
      <c r="J2130" s="4"/>
      <c r="K2130" s="4"/>
      <c r="L2130" s="4"/>
      <c r="M2130" s="4"/>
      <c r="N2130" s="4"/>
      <c r="O2130" s="4"/>
      <c r="P2130" s="4"/>
      <c r="Q2130" s="4"/>
      <c r="R2130" s="4"/>
      <c r="S2130" s="4"/>
      <c r="T2130" s="4"/>
      <c r="U2130" s="4"/>
      <c r="V2130" s="4"/>
      <c r="W2130" s="4"/>
      <c r="X2130" s="4"/>
      <c r="Y2130" s="4"/>
      <c r="Z2130" s="4"/>
      <c r="AA2130" s="4"/>
      <c r="AB2130" s="4"/>
      <c r="AC2130" s="4"/>
      <c r="AD2130" s="4"/>
      <c r="AE2130" s="4"/>
      <c r="AF2130" s="4"/>
      <c r="AG2130" s="4"/>
      <c r="AH2130" s="4"/>
      <c r="AI2130" s="4"/>
      <c r="AJ2130" s="4"/>
      <c r="AK2130" s="4"/>
      <c r="AL2130" s="4"/>
      <c r="AM2130" s="4"/>
      <c r="AN2130" s="4"/>
      <c r="AO2130" s="4"/>
      <c r="AP2130" s="4"/>
      <c r="AQ2130" s="4"/>
      <c r="AR2130" s="4"/>
      <c r="AS2130" s="4"/>
      <c r="AT2130" s="4"/>
      <c r="AU2130" s="4"/>
      <c r="AV2130" s="4"/>
      <c r="AW2130" s="4"/>
      <c r="AX2130" s="4"/>
      <c r="AY2130" s="4"/>
      <c r="AZ2130" s="4"/>
      <c r="BA2130" s="4"/>
      <c r="BB2130" s="4"/>
      <c r="BC2130" s="4"/>
      <c r="BD2130" s="4"/>
      <c r="BE2130" s="4"/>
      <c r="BF2130" s="4"/>
      <c r="BG2130" s="4"/>
      <c r="BH2130" s="4"/>
      <c r="BI2130" s="4"/>
      <c r="BJ2130" s="4"/>
      <c r="BK2130" s="4"/>
      <c r="BL2130" s="4"/>
      <c r="BM2130" s="4"/>
      <c r="BN2130" s="4"/>
      <c r="BO2130" s="4"/>
      <c r="BP2130" s="4"/>
      <c r="BQ2130" s="4"/>
      <c r="BR2130" s="4"/>
      <c r="BS2130" s="4"/>
      <c r="BT2130" s="4"/>
      <c r="BU2130" s="4"/>
      <c r="BV2130" s="4"/>
      <c r="BW2130" s="4"/>
      <c r="BX2130" s="4"/>
      <c r="BY2130" s="4"/>
      <c r="BZ2130" s="4"/>
      <c r="CA2130" s="4"/>
      <c r="CB2130" s="4"/>
      <c r="CC2130" s="4"/>
      <c r="CD2130" s="4"/>
      <c r="CE2130" s="4"/>
      <c r="CF2130" s="4"/>
      <c r="CG2130" s="4"/>
      <c r="CH2130" s="4"/>
      <c r="CI2130" s="4"/>
      <c r="CJ2130" s="4"/>
      <c r="CK2130" s="4"/>
      <c r="CL2130" s="4"/>
      <c r="CM2130" s="4"/>
      <c r="CN2130" s="4"/>
      <c r="CO2130" s="4"/>
      <c r="CP2130" s="4"/>
      <c r="CQ2130" s="4"/>
      <c r="CR2130" s="4"/>
      <c r="CS2130" s="4"/>
      <c r="CT2130" s="4"/>
      <c r="CU2130" s="4"/>
      <c r="CV2130" s="4"/>
      <c r="CW2130" s="4"/>
      <c r="CX2130" s="4"/>
      <c r="CY2130" s="4"/>
      <c r="CZ2130" s="4"/>
      <c r="DA2130" s="4"/>
      <c r="DB2130" s="4"/>
      <c r="DC2130" s="4"/>
      <c r="DD2130" s="4"/>
      <c r="DE2130" s="4"/>
      <c r="DF2130" s="4"/>
      <c r="DG2130" s="4"/>
      <c r="DH2130" s="4"/>
      <c r="DI2130" s="4"/>
      <c r="DJ2130" s="4"/>
      <c r="DK2130" s="4"/>
      <c r="DL2130" s="4"/>
      <c r="DM2130" s="4"/>
      <c r="DN2130" s="4"/>
      <c r="DO2130" s="4"/>
      <c r="DP2130" s="4"/>
      <c r="DQ2130" s="4"/>
      <c r="DR2130" s="4"/>
      <c r="DS2130" s="4"/>
    </row>
    <row r="2131">
      <c r="A2131" s="4"/>
      <c r="B2131" s="4"/>
      <c r="C2131" s="4"/>
      <c r="D2131" s="4"/>
      <c r="E2131" s="4"/>
      <c r="F2131" s="4" t="s">
        <v>17</v>
      </c>
      <c r="G2131" s="15"/>
      <c r="H2131" s="4"/>
      <c r="I2131" s="4"/>
      <c r="J2131" s="4"/>
      <c r="K2131" s="4"/>
      <c r="L2131" s="4"/>
      <c r="M2131" s="4"/>
      <c r="N2131" s="4"/>
      <c r="O2131" s="4"/>
      <c r="P2131" s="4"/>
      <c r="Q2131" s="4"/>
      <c r="R2131" s="4"/>
      <c r="S2131" s="4"/>
      <c r="T2131" s="4"/>
      <c r="U2131" s="4"/>
      <c r="V2131" s="4"/>
      <c r="W2131" s="4"/>
      <c r="X2131" s="4"/>
      <c r="Y2131" s="4"/>
      <c r="Z2131" s="4"/>
      <c r="AA2131" s="4"/>
      <c r="AB2131" s="4"/>
      <c r="AC2131" s="4"/>
      <c r="AD2131" s="4"/>
      <c r="AE2131" s="4"/>
      <c r="AF2131" s="4"/>
      <c r="AG2131" s="4"/>
      <c r="AH2131" s="4"/>
      <c r="AI2131" s="4"/>
      <c r="AJ2131" s="4"/>
      <c r="AK2131" s="4"/>
      <c r="AL2131" s="4"/>
      <c r="AM2131" s="4"/>
      <c r="AN2131" s="4"/>
      <c r="AO2131" s="4"/>
      <c r="AP2131" s="4"/>
      <c r="AQ2131" s="4"/>
      <c r="AR2131" s="4"/>
      <c r="AS2131" s="4"/>
      <c r="AT2131" s="4"/>
      <c r="AU2131" s="4"/>
      <c r="AV2131" s="4"/>
      <c r="AW2131" s="4"/>
      <c r="AX2131" s="4"/>
      <c r="AY2131" s="4"/>
      <c r="AZ2131" s="4"/>
      <c r="BA2131" s="4"/>
      <c r="BB2131" s="4"/>
      <c r="BC2131" s="4"/>
      <c r="BD2131" s="4"/>
      <c r="BE2131" s="4"/>
      <c r="BF2131" s="4"/>
      <c r="BG2131" s="4"/>
      <c r="BH2131" s="4"/>
      <c r="BI2131" s="4"/>
      <c r="BJ2131" s="4"/>
      <c r="BK2131" s="4"/>
      <c r="BL2131" s="4"/>
      <c r="BM2131" s="4"/>
      <c r="BN2131" s="4"/>
      <c r="BO2131" s="4"/>
      <c r="BP2131" s="4"/>
      <c r="BQ2131" s="4"/>
      <c r="BR2131" s="4"/>
      <c r="BS2131" s="4"/>
      <c r="BT2131" s="4"/>
      <c r="BU2131" s="4"/>
      <c r="BV2131" s="4"/>
      <c r="BW2131" s="4"/>
      <c r="BX2131" s="4"/>
      <c r="BY2131" s="4"/>
      <c r="BZ2131" s="4"/>
      <c r="CA2131" s="4"/>
      <c r="CB2131" s="4"/>
      <c r="CC2131" s="4"/>
      <c r="CD2131" s="4"/>
      <c r="CE2131" s="4"/>
      <c r="CF2131" s="4"/>
      <c r="CG2131" s="4"/>
      <c r="CH2131" s="4"/>
      <c r="CI2131" s="4"/>
      <c r="CJ2131" s="4"/>
      <c r="CK2131" s="4"/>
      <c r="CL2131" s="4"/>
      <c r="CM2131" s="4"/>
      <c r="CN2131" s="4"/>
      <c r="CO2131" s="4"/>
      <c r="CP2131" s="4"/>
      <c r="CQ2131" s="4"/>
      <c r="CR2131" s="4"/>
      <c r="CS2131" s="4"/>
      <c r="CT2131" s="4"/>
      <c r="CU2131" s="4"/>
      <c r="CV2131" s="4"/>
      <c r="CW2131" s="4"/>
      <c r="CX2131" s="4"/>
      <c r="CY2131" s="4"/>
      <c r="CZ2131" s="4"/>
      <c r="DA2131" s="4"/>
      <c r="DB2131" s="4"/>
      <c r="DC2131" s="4"/>
      <c r="DD2131" s="4"/>
      <c r="DE2131" s="4"/>
      <c r="DF2131" s="4"/>
      <c r="DG2131" s="4"/>
      <c r="DH2131" s="4"/>
      <c r="DI2131" s="4"/>
      <c r="DJ2131" s="4"/>
      <c r="DK2131" s="4"/>
      <c r="DL2131" s="4"/>
      <c r="DM2131" s="4"/>
      <c r="DN2131" s="4"/>
      <c r="DO2131" s="4"/>
      <c r="DP2131" s="4"/>
      <c r="DQ2131" s="4"/>
      <c r="DR2131" s="4"/>
      <c r="DS2131" s="4"/>
    </row>
    <row r="2132">
      <c r="A2132" s="4"/>
      <c r="B2132" s="4"/>
      <c r="C2132" s="4"/>
      <c r="D2132" s="4"/>
      <c r="E2132" s="4"/>
      <c r="F2132" s="4" t="s">
        <v>17</v>
      </c>
      <c r="G2132" s="15"/>
      <c r="H2132" s="4"/>
      <c r="I2132" s="4"/>
      <c r="J2132" s="4"/>
      <c r="K2132" s="4"/>
      <c r="L2132" s="4"/>
      <c r="M2132" s="4"/>
      <c r="N2132" s="4"/>
      <c r="O2132" s="4"/>
      <c r="P2132" s="4"/>
      <c r="Q2132" s="4"/>
      <c r="R2132" s="4"/>
      <c r="S2132" s="4"/>
      <c r="T2132" s="4"/>
      <c r="U2132" s="4"/>
      <c r="V2132" s="4"/>
      <c r="W2132" s="4"/>
      <c r="X2132" s="4"/>
      <c r="Y2132" s="4"/>
      <c r="Z2132" s="4"/>
      <c r="AA2132" s="4"/>
      <c r="AB2132" s="4"/>
      <c r="AC2132" s="4"/>
      <c r="AD2132" s="4"/>
      <c r="AE2132" s="4"/>
      <c r="AF2132" s="4"/>
      <c r="AG2132" s="4"/>
      <c r="AH2132" s="4"/>
      <c r="AI2132" s="4"/>
      <c r="AJ2132" s="4"/>
      <c r="AK2132" s="4"/>
      <c r="AL2132" s="4"/>
      <c r="AM2132" s="4"/>
      <c r="AN2132" s="4"/>
      <c r="AO2132" s="4"/>
      <c r="AP2132" s="4"/>
      <c r="AQ2132" s="4"/>
      <c r="AR2132" s="4"/>
      <c r="AS2132" s="4"/>
      <c r="AT2132" s="4"/>
      <c r="AU2132" s="4"/>
      <c r="AV2132" s="4"/>
      <c r="AW2132" s="4"/>
      <c r="AX2132" s="4"/>
      <c r="AY2132" s="4"/>
      <c r="AZ2132" s="4"/>
      <c r="BA2132" s="4"/>
      <c r="BB2132" s="4"/>
      <c r="BC2132" s="4"/>
      <c r="BD2132" s="4"/>
      <c r="BE2132" s="4"/>
      <c r="BF2132" s="4"/>
      <c r="BG2132" s="4"/>
      <c r="BH2132" s="4"/>
      <c r="BI2132" s="4"/>
      <c r="BJ2132" s="4"/>
      <c r="BK2132" s="4"/>
      <c r="BL2132" s="4"/>
      <c r="BM2132" s="4"/>
      <c r="BN2132" s="4"/>
      <c r="BO2132" s="4"/>
      <c r="BP2132" s="4"/>
      <c r="BQ2132" s="4"/>
      <c r="BR2132" s="4"/>
      <c r="BS2132" s="4"/>
      <c r="BT2132" s="4"/>
      <c r="BU2132" s="4"/>
      <c r="BV2132" s="4"/>
      <c r="BW2132" s="4"/>
      <c r="BX2132" s="4"/>
      <c r="BY2132" s="4"/>
      <c r="BZ2132" s="4"/>
      <c r="CA2132" s="4"/>
      <c r="CB2132" s="4"/>
      <c r="CC2132" s="4"/>
      <c r="CD2132" s="4"/>
      <c r="CE2132" s="4"/>
      <c r="CF2132" s="4"/>
      <c r="CG2132" s="4"/>
      <c r="CH2132" s="4"/>
      <c r="CI2132" s="4"/>
      <c r="CJ2132" s="4"/>
      <c r="CK2132" s="4"/>
      <c r="CL2132" s="4"/>
      <c r="CM2132" s="4"/>
      <c r="CN2132" s="4"/>
      <c r="CO2132" s="4"/>
      <c r="CP2132" s="4"/>
      <c r="CQ2132" s="4"/>
      <c r="CR2132" s="4"/>
      <c r="CS2132" s="4"/>
      <c r="CT2132" s="4"/>
      <c r="CU2132" s="4"/>
      <c r="CV2132" s="4"/>
      <c r="CW2132" s="4"/>
      <c r="CX2132" s="4"/>
      <c r="CY2132" s="4"/>
      <c r="CZ2132" s="4"/>
      <c r="DA2132" s="4"/>
      <c r="DB2132" s="4"/>
      <c r="DC2132" s="4"/>
      <c r="DD2132" s="4"/>
      <c r="DE2132" s="4"/>
      <c r="DF2132" s="4"/>
      <c r="DG2132" s="4"/>
      <c r="DH2132" s="4"/>
      <c r="DI2132" s="4"/>
      <c r="DJ2132" s="4"/>
      <c r="DK2132" s="4"/>
      <c r="DL2132" s="4"/>
      <c r="DM2132" s="4"/>
      <c r="DN2132" s="4"/>
      <c r="DO2132" s="4"/>
      <c r="DP2132" s="4"/>
      <c r="DQ2132" s="4"/>
      <c r="DR2132" s="4"/>
      <c r="DS2132" s="4"/>
    </row>
    <row r="2133">
      <c r="A2133" s="4"/>
      <c r="B2133" s="4"/>
      <c r="C2133" s="4"/>
      <c r="D2133" s="4"/>
      <c r="E2133" s="4"/>
      <c r="F2133" s="4" t="s">
        <v>17</v>
      </c>
      <c r="G2133" s="15"/>
      <c r="H2133" s="4"/>
      <c r="I2133" s="4"/>
      <c r="J2133" s="4"/>
      <c r="K2133" s="4"/>
      <c r="L2133" s="4"/>
      <c r="M2133" s="4"/>
      <c r="N2133" s="4"/>
      <c r="O2133" s="4"/>
      <c r="P2133" s="4"/>
      <c r="Q2133" s="4"/>
      <c r="R2133" s="4"/>
      <c r="S2133" s="4"/>
      <c r="T2133" s="4"/>
      <c r="U2133" s="4"/>
      <c r="V2133" s="4"/>
      <c r="W2133" s="4"/>
      <c r="X2133" s="4"/>
      <c r="Y2133" s="4"/>
      <c r="Z2133" s="4"/>
      <c r="AA2133" s="4"/>
      <c r="AB2133" s="4"/>
      <c r="AC2133" s="4"/>
      <c r="AD2133" s="4"/>
      <c r="AE2133" s="4"/>
      <c r="AF2133" s="4"/>
      <c r="AG2133" s="4"/>
      <c r="AH2133" s="4"/>
      <c r="AI2133" s="4"/>
      <c r="AJ2133" s="4"/>
      <c r="AK2133" s="4"/>
      <c r="AL2133" s="4"/>
      <c r="AM2133" s="4"/>
      <c r="AN2133" s="4"/>
      <c r="AO2133" s="4"/>
      <c r="AP2133" s="4"/>
      <c r="AQ2133" s="4"/>
      <c r="AR2133" s="4"/>
      <c r="AS2133" s="4"/>
      <c r="AT2133" s="4"/>
      <c r="AU2133" s="4"/>
      <c r="AV2133" s="4"/>
      <c r="AW2133" s="4"/>
      <c r="AX2133" s="4"/>
      <c r="AY2133" s="4"/>
      <c r="AZ2133" s="4"/>
      <c r="BA2133" s="4"/>
      <c r="BB2133" s="4"/>
      <c r="BC2133" s="4"/>
      <c r="BD2133" s="4"/>
      <c r="BE2133" s="4"/>
      <c r="BF2133" s="4"/>
      <c r="BG2133" s="4"/>
      <c r="BH2133" s="4"/>
      <c r="BI2133" s="4"/>
      <c r="BJ2133" s="4"/>
      <c r="BK2133" s="4"/>
      <c r="BL2133" s="4"/>
      <c r="BM2133" s="4"/>
      <c r="BN2133" s="4"/>
      <c r="BO2133" s="4"/>
      <c r="BP2133" s="4"/>
      <c r="BQ2133" s="4"/>
      <c r="BR2133" s="4"/>
      <c r="BS2133" s="4"/>
      <c r="BT2133" s="4"/>
      <c r="BU2133" s="4"/>
      <c r="BV2133" s="4"/>
      <c r="BW2133" s="4"/>
      <c r="BX2133" s="4"/>
      <c r="BY2133" s="4"/>
      <c r="BZ2133" s="4"/>
      <c r="CA2133" s="4"/>
      <c r="CB2133" s="4"/>
      <c r="CC2133" s="4"/>
      <c r="CD2133" s="4"/>
      <c r="CE2133" s="4"/>
      <c r="CF2133" s="4"/>
      <c r="CG2133" s="4"/>
      <c r="CH2133" s="4"/>
      <c r="CI2133" s="4"/>
      <c r="CJ2133" s="4"/>
      <c r="CK2133" s="4"/>
      <c r="CL2133" s="4"/>
      <c r="CM2133" s="4"/>
      <c r="CN2133" s="4"/>
      <c r="CO2133" s="4"/>
      <c r="CP2133" s="4"/>
      <c r="CQ2133" s="4"/>
      <c r="CR2133" s="4"/>
      <c r="CS2133" s="4"/>
      <c r="CT2133" s="4"/>
      <c r="CU2133" s="4"/>
      <c r="CV2133" s="4"/>
      <c r="CW2133" s="4"/>
      <c r="CX2133" s="4"/>
      <c r="CY2133" s="4"/>
      <c r="CZ2133" s="4"/>
      <c r="DA2133" s="4"/>
      <c r="DB2133" s="4"/>
      <c r="DC2133" s="4"/>
      <c r="DD2133" s="4"/>
      <c r="DE2133" s="4"/>
      <c r="DF2133" s="4"/>
      <c r="DG2133" s="4"/>
      <c r="DH2133" s="4"/>
      <c r="DI2133" s="4"/>
      <c r="DJ2133" s="4"/>
      <c r="DK2133" s="4"/>
      <c r="DL2133" s="4"/>
      <c r="DM2133" s="4"/>
      <c r="DN2133" s="4"/>
      <c r="DO2133" s="4"/>
      <c r="DP2133" s="4"/>
      <c r="DQ2133" s="4"/>
      <c r="DR2133" s="4"/>
      <c r="DS2133" s="4"/>
    </row>
    <row r="2134">
      <c r="A2134" s="4"/>
      <c r="B2134" s="4"/>
      <c r="C2134" s="4"/>
      <c r="D2134" s="4"/>
      <c r="E2134" s="4"/>
      <c r="F2134" s="4" t="s">
        <v>17</v>
      </c>
      <c r="G2134" s="15"/>
      <c r="H2134" s="4"/>
      <c r="I2134" s="4"/>
      <c r="J2134" s="4"/>
      <c r="K2134" s="4"/>
      <c r="L2134" s="4"/>
      <c r="M2134" s="4"/>
      <c r="N2134" s="4"/>
      <c r="O2134" s="4"/>
      <c r="P2134" s="4"/>
      <c r="Q2134" s="4"/>
      <c r="R2134" s="4"/>
      <c r="S2134" s="4"/>
      <c r="T2134" s="4"/>
      <c r="U2134" s="4"/>
      <c r="V2134" s="4"/>
      <c r="W2134" s="4"/>
      <c r="X2134" s="4"/>
      <c r="Y2134" s="4"/>
      <c r="Z2134" s="4"/>
      <c r="AA2134" s="4"/>
      <c r="AB2134" s="4"/>
      <c r="AC2134" s="4"/>
      <c r="AD2134" s="4"/>
      <c r="AE2134" s="4"/>
      <c r="AF2134" s="4"/>
      <c r="AG2134" s="4"/>
      <c r="AH2134" s="4"/>
      <c r="AI2134" s="4"/>
      <c r="AJ2134" s="4"/>
      <c r="AK2134" s="4"/>
      <c r="AL2134" s="4"/>
      <c r="AM2134" s="4"/>
      <c r="AN2134" s="4"/>
      <c r="AO2134" s="4"/>
      <c r="AP2134" s="4"/>
      <c r="AQ2134" s="4"/>
      <c r="AR2134" s="4"/>
      <c r="AS2134" s="4"/>
      <c r="AT2134" s="4"/>
      <c r="AU2134" s="4"/>
      <c r="AV2134" s="4"/>
      <c r="AW2134" s="4"/>
      <c r="AX2134" s="4"/>
      <c r="AY2134" s="4"/>
      <c r="AZ2134" s="4"/>
      <c r="BA2134" s="4"/>
      <c r="BB2134" s="4"/>
      <c r="BC2134" s="4"/>
      <c r="BD2134" s="4"/>
      <c r="BE2134" s="4"/>
      <c r="BF2134" s="4"/>
      <c r="BG2134" s="4"/>
      <c r="BH2134" s="4"/>
      <c r="BI2134" s="4"/>
      <c r="BJ2134" s="4"/>
      <c r="BK2134" s="4"/>
      <c r="BL2134" s="4"/>
      <c r="BM2134" s="4"/>
      <c r="BN2134" s="4"/>
      <c r="BO2134" s="4"/>
      <c r="BP2134" s="4"/>
      <c r="BQ2134" s="4"/>
      <c r="BR2134" s="4"/>
      <c r="BS2134" s="4"/>
      <c r="BT2134" s="4"/>
      <c r="BU2134" s="4"/>
      <c r="BV2134" s="4"/>
      <c r="BW2134" s="4"/>
      <c r="BX2134" s="4"/>
      <c r="BY2134" s="4"/>
      <c r="BZ2134" s="4"/>
      <c r="CA2134" s="4"/>
      <c r="CB2134" s="4"/>
      <c r="CC2134" s="4"/>
      <c r="CD2134" s="4"/>
      <c r="CE2134" s="4"/>
      <c r="CF2134" s="4"/>
      <c r="CG2134" s="4"/>
      <c r="CH2134" s="4"/>
      <c r="CI2134" s="4"/>
      <c r="CJ2134" s="4"/>
      <c r="CK2134" s="4"/>
      <c r="CL2134" s="4"/>
      <c r="CM2134" s="4"/>
      <c r="CN2134" s="4"/>
      <c r="CO2134" s="4"/>
      <c r="CP2134" s="4"/>
      <c r="CQ2134" s="4"/>
      <c r="CR2134" s="4"/>
      <c r="CS2134" s="4"/>
      <c r="CT2134" s="4"/>
      <c r="CU2134" s="4"/>
      <c r="CV2134" s="4"/>
      <c r="CW2134" s="4"/>
      <c r="CX2134" s="4"/>
      <c r="CY2134" s="4"/>
      <c r="CZ2134" s="4"/>
      <c r="DA2134" s="4"/>
      <c r="DB2134" s="4"/>
      <c r="DC2134" s="4"/>
      <c r="DD2134" s="4"/>
      <c r="DE2134" s="4"/>
      <c r="DF2134" s="4"/>
      <c r="DG2134" s="4"/>
      <c r="DH2134" s="4"/>
      <c r="DI2134" s="4"/>
      <c r="DJ2134" s="4"/>
      <c r="DK2134" s="4"/>
      <c r="DL2134" s="4"/>
      <c r="DM2134" s="4"/>
      <c r="DN2134" s="4"/>
      <c r="DO2134" s="4"/>
      <c r="DP2134" s="4"/>
      <c r="DQ2134" s="4"/>
      <c r="DR2134" s="4"/>
      <c r="DS2134" s="4"/>
    </row>
    <row r="2135">
      <c r="A2135" s="4"/>
      <c r="B2135" s="4"/>
      <c r="C2135" s="4"/>
      <c r="D2135" s="4"/>
      <c r="E2135" s="4"/>
      <c r="F2135" s="4" t="s">
        <v>17</v>
      </c>
      <c r="G2135" s="15"/>
      <c r="H2135" s="4"/>
      <c r="I2135" s="4"/>
      <c r="J2135" s="4"/>
      <c r="K2135" s="4"/>
      <c r="L2135" s="4"/>
      <c r="M2135" s="4"/>
      <c r="N2135" s="4"/>
      <c r="O2135" s="4"/>
      <c r="P2135" s="4"/>
      <c r="Q2135" s="4"/>
      <c r="R2135" s="4"/>
      <c r="S2135" s="4"/>
      <c r="T2135" s="4"/>
      <c r="U2135" s="4"/>
      <c r="V2135" s="4"/>
      <c r="W2135" s="4"/>
      <c r="X2135" s="4"/>
      <c r="Y2135" s="4"/>
      <c r="Z2135" s="4"/>
      <c r="AA2135" s="4"/>
      <c r="AB2135" s="4"/>
      <c r="AC2135" s="4"/>
      <c r="AD2135" s="4"/>
      <c r="AE2135" s="4"/>
      <c r="AF2135" s="4"/>
      <c r="AG2135" s="4"/>
      <c r="AH2135" s="4"/>
      <c r="AI2135" s="4"/>
      <c r="AJ2135" s="4"/>
      <c r="AK2135" s="4"/>
      <c r="AL2135" s="4"/>
      <c r="AM2135" s="4"/>
      <c r="AN2135" s="4"/>
      <c r="AO2135" s="4"/>
      <c r="AP2135" s="4"/>
      <c r="AQ2135" s="4"/>
      <c r="AR2135" s="4"/>
      <c r="AS2135" s="4"/>
      <c r="AT2135" s="4"/>
      <c r="AU2135" s="4"/>
      <c r="AV2135" s="4"/>
      <c r="AW2135" s="4"/>
      <c r="AX2135" s="4"/>
      <c r="AY2135" s="4"/>
      <c r="AZ2135" s="4"/>
      <c r="BA2135" s="4"/>
      <c r="BB2135" s="4"/>
      <c r="BC2135" s="4"/>
      <c r="BD2135" s="4"/>
      <c r="BE2135" s="4"/>
      <c r="BF2135" s="4"/>
      <c r="BG2135" s="4"/>
      <c r="BH2135" s="4"/>
      <c r="BI2135" s="4"/>
      <c r="BJ2135" s="4"/>
      <c r="BK2135" s="4"/>
      <c r="BL2135" s="4"/>
      <c r="BM2135" s="4"/>
      <c r="BN2135" s="4"/>
      <c r="BO2135" s="4"/>
      <c r="BP2135" s="4"/>
      <c r="BQ2135" s="4"/>
      <c r="BR2135" s="4"/>
      <c r="BS2135" s="4"/>
      <c r="BT2135" s="4"/>
      <c r="BU2135" s="4"/>
      <c r="BV2135" s="4"/>
      <c r="BW2135" s="4"/>
      <c r="BX2135" s="4"/>
      <c r="BY2135" s="4"/>
      <c r="BZ2135" s="4"/>
      <c r="CA2135" s="4"/>
      <c r="CB2135" s="4"/>
      <c r="CC2135" s="4"/>
      <c r="CD2135" s="4"/>
      <c r="CE2135" s="4"/>
      <c r="CF2135" s="4"/>
      <c r="CG2135" s="4"/>
      <c r="CH2135" s="4"/>
      <c r="CI2135" s="4"/>
      <c r="CJ2135" s="4"/>
      <c r="CK2135" s="4"/>
      <c r="CL2135" s="4"/>
      <c r="CM2135" s="4"/>
      <c r="CN2135" s="4"/>
      <c r="CO2135" s="4"/>
      <c r="CP2135" s="4"/>
      <c r="CQ2135" s="4"/>
      <c r="CR2135" s="4"/>
      <c r="CS2135" s="4"/>
      <c r="CT2135" s="4"/>
      <c r="CU2135" s="4"/>
      <c r="CV2135" s="4"/>
      <c r="CW2135" s="4"/>
      <c r="CX2135" s="4"/>
      <c r="CY2135" s="4"/>
      <c r="CZ2135" s="4"/>
      <c r="DA2135" s="4"/>
      <c r="DB2135" s="4"/>
      <c r="DC2135" s="4"/>
      <c r="DD2135" s="4"/>
      <c r="DE2135" s="4"/>
      <c r="DF2135" s="4"/>
      <c r="DG2135" s="4"/>
      <c r="DH2135" s="4"/>
      <c r="DI2135" s="4"/>
      <c r="DJ2135" s="4"/>
      <c r="DK2135" s="4"/>
      <c r="DL2135" s="4"/>
      <c r="DM2135" s="4"/>
      <c r="DN2135" s="4"/>
      <c r="DO2135" s="4"/>
      <c r="DP2135" s="4"/>
      <c r="DQ2135" s="4"/>
      <c r="DR2135" s="4"/>
      <c r="DS2135" s="4"/>
    </row>
    <row r="2136">
      <c r="A2136" s="4"/>
      <c r="B2136" s="4"/>
      <c r="C2136" s="4"/>
      <c r="D2136" s="4"/>
      <c r="E2136" s="4"/>
      <c r="F2136" s="4" t="s">
        <v>17</v>
      </c>
      <c r="G2136" s="15"/>
      <c r="H2136" s="4"/>
      <c r="I2136" s="4"/>
      <c r="J2136" s="4"/>
      <c r="K2136" s="4"/>
      <c r="L2136" s="4"/>
      <c r="M2136" s="4"/>
      <c r="N2136" s="4"/>
      <c r="O2136" s="4"/>
      <c r="P2136" s="4"/>
      <c r="Q2136" s="4"/>
      <c r="R2136" s="4"/>
      <c r="S2136" s="4"/>
      <c r="T2136" s="4"/>
      <c r="U2136" s="4"/>
      <c r="V2136" s="4"/>
      <c r="W2136" s="4"/>
      <c r="X2136" s="4"/>
      <c r="Y2136" s="4"/>
      <c r="Z2136" s="4"/>
      <c r="AA2136" s="4"/>
      <c r="AB2136" s="4"/>
      <c r="AC2136" s="4"/>
      <c r="AD2136" s="4"/>
      <c r="AE2136" s="4"/>
      <c r="AF2136" s="4"/>
      <c r="AG2136" s="4"/>
      <c r="AH2136" s="4"/>
      <c r="AI2136" s="4"/>
      <c r="AJ2136" s="4"/>
      <c r="AK2136" s="4"/>
      <c r="AL2136" s="4"/>
      <c r="AM2136" s="4"/>
      <c r="AN2136" s="4"/>
      <c r="AO2136" s="4"/>
      <c r="AP2136" s="4"/>
      <c r="AQ2136" s="4"/>
      <c r="AR2136" s="4"/>
      <c r="AS2136" s="4"/>
      <c r="AT2136" s="4"/>
      <c r="AU2136" s="4"/>
      <c r="AV2136" s="4"/>
      <c r="AW2136" s="4"/>
      <c r="AX2136" s="4"/>
      <c r="AY2136" s="4"/>
      <c r="AZ2136" s="4"/>
      <c r="BA2136" s="4"/>
      <c r="BB2136" s="4"/>
      <c r="BC2136" s="4"/>
      <c r="BD2136" s="4"/>
      <c r="BE2136" s="4"/>
      <c r="BF2136" s="4"/>
      <c r="BG2136" s="4"/>
      <c r="BH2136" s="4"/>
      <c r="BI2136" s="4"/>
      <c r="BJ2136" s="4"/>
      <c r="BK2136" s="4"/>
      <c r="BL2136" s="4"/>
      <c r="BM2136" s="4"/>
      <c r="BN2136" s="4"/>
      <c r="BO2136" s="4"/>
      <c r="BP2136" s="4"/>
      <c r="BQ2136" s="4"/>
      <c r="BR2136" s="4"/>
      <c r="BS2136" s="4"/>
      <c r="BT2136" s="4"/>
      <c r="BU2136" s="4"/>
      <c r="BV2136" s="4"/>
      <c r="BW2136" s="4"/>
      <c r="BX2136" s="4"/>
      <c r="BY2136" s="4"/>
      <c r="BZ2136" s="4"/>
      <c r="CA2136" s="4"/>
      <c r="CB2136" s="4"/>
      <c r="CC2136" s="4"/>
      <c r="CD2136" s="4"/>
      <c r="CE2136" s="4"/>
      <c r="CF2136" s="4"/>
      <c r="CG2136" s="4"/>
      <c r="CH2136" s="4"/>
      <c r="CI2136" s="4"/>
      <c r="CJ2136" s="4"/>
      <c r="CK2136" s="4"/>
      <c r="CL2136" s="4"/>
      <c r="CM2136" s="4"/>
      <c r="CN2136" s="4"/>
      <c r="CO2136" s="4"/>
      <c r="CP2136" s="4"/>
      <c r="CQ2136" s="4"/>
      <c r="CR2136" s="4"/>
      <c r="CS2136" s="4"/>
      <c r="CT2136" s="4"/>
      <c r="CU2136" s="4"/>
      <c r="CV2136" s="4"/>
      <c r="CW2136" s="4"/>
      <c r="CX2136" s="4"/>
      <c r="CY2136" s="4"/>
      <c r="CZ2136" s="4"/>
      <c r="DA2136" s="4"/>
      <c r="DB2136" s="4"/>
      <c r="DC2136" s="4"/>
      <c r="DD2136" s="4"/>
      <c r="DE2136" s="4"/>
      <c r="DF2136" s="4"/>
      <c r="DG2136" s="4"/>
      <c r="DH2136" s="4"/>
      <c r="DI2136" s="4"/>
      <c r="DJ2136" s="4"/>
      <c r="DK2136" s="4"/>
      <c r="DL2136" s="4"/>
      <c r="DM2136" s="4"/>
      <c r="DN2136" s="4"/>
      <c r="DO2136" s="4"/>
      <c r="DP2136" s="4"/>
      <c r="DQ2136" s="4"/>
      <c r="DR2136" s="4"/>
      <c r="DS2136" s="4"/>
    </row>
    <row r="2137">
      <c r="A2137" s="4"/>
      <c r="B2137" s="4"/>
      <c r="C2137" s="4"/>
      <c r="D2137" s="4"/>
      <c r="E2137" s="4"/>
      <c r="F2137" s="4" t="s">
        <v>17</v>
      </c>
      <c r="G2137" s="15"/>
      <c r="H2137" s="4"/>
      <c r="I2137" s="4"/>
      <c r="J2137" s="4"/>
      <c r="K2137" s="4"/>
      <c r="L2137" s="4"/>
      <c r="M2137" s="4"/>
      <c r="N2137" s="4"/>
      <c r="O2137" s="4"/>
      <c r="P2137" s="4"/>
      <c r="Q2137" s="4"/>
      <c r="R2137" s="4"/>
      <c r="S2137" s="4"/>
      <c r="T2137" s="4"/>
      <c r="U2137" s="4"/>
      <c r="V2137" s="4"/>
      <c r="W2137" s="4"/>
      <c r="X2137" s="4"/>
      <c r="Y2137" s="4"/>
      <c r="Z2137" s="4"/>
      <c r="AA2137" s="4"/>
      <c r="AB2137" s="4"/>
      <c r="AC2137" s="4"/>
      <c r="AD2137" s="4"/>
      <c r="AE2137" s="4"/>
      <c r="AF2137" s="4"/>
      <c r="AG2137" s="4"/>
      <c r="AH2137" s="4"/>
      <c r="AI2137" s="4"/>
      <c r="AJ2137" s="4"/>
      <c r="AK2137" s="4"/>
      <c r="AL2137" s="4"/>
      <c r="AM2137" s="4"/>
      <c r="AN2137" s="4"/>
      <c r="AO2137" s="4"/>
      <c r="AP2137" s="4"/>
      <c r="AQ2137" s="4"/>
      <c r="AR2137" s="4"/>
      <c r="AS2137" s="4"/>
      <c r="AT2137" s="4"/>
      <c r="AU2137" s="4"/>
      <c r="AV2137" s="4"/>
      <c r="AW2137" s="4"/>
      <c r="AX2137" s="4"/>
      <c r="AY2137" s="4"/>
      <c r="AZ2137" s="4"/>
      <c r="BA2137" s="4"/>
      <c r="BB2137" s="4"/>
      <c r="BC2137" s="4"/>
      <c r="BD2137" s="4"/>
      <c r="BE2137" s="4"/>
      <c r="BF2137" s="4"/>
      <c r="BG2137" s="4"/>
      <c r="BH2137" s="4"/>
      <c r="BI2137" s="4"/>
      <c r="BJ2137" s="4"/>
      <c r="BK2137" s="4"/>
      <c r="BL2137" s="4"/>
      <c r="BM2137" s="4"/>
      <c r="BN2137" s="4"/>
      <c r="BO2137" s="4"/>
      <c r="BP2137" s="4"/>
      <c r="BQ2137" s="4"/>
      <c r="BR2137" s="4"/>
      <c r="BS2137" s="4"/>
      <c r="BT2137" s="4"/>
      <c r="BU2137" s="4"/>
      <c r="BV2137" s="4"/>
      <c r="BW2137" s="4"/>
      <c r="BX2137" s="4"/>
      <c r="BY2137" s="4"/>
      <c r="BZ2137" s="4"/>
      <c r="CA2137" s="4"/>
      <c r="CB2137" s="4"/>
      <c r="CC2137" s="4"/>
      <c r="CD2137" s="4"/>
      <c r="CE2137" s="4"/>
      <c r="CF2137" s="4"/>
      <c r="CG2137" s="4"/>
      <c r="CH2137" s="4"/>
      <c r="CI2137" s="4"/>
      <c r="CJ2137" s="4"/>
      <c r="CK2137" s="4"/>
      <c r="CL2137" s="4"/>
      <c r="CM2137" s="4"/>
      <c r="CN2137" s="4"/>
      <c r="CO2137" s="4"/>
      <c r="CP2137" s="4"/>
      <c r="CQ2137" s="4"/>
      <c r="CR2137" s="4"/>
      <c r="CS2137" s="4"/>
      <c r="CT2137" s="4"/>
      <c r="CU2137" s="4"/>
      <c r="CV2137" s="4"/>
      <c r="CW2137" s="4"/>
      <c r="CX2137" s="4"/>
      <c r="CY2137" s="4"/>
      <c r="CZ2137" s="4"/>
      <c r="DA2137" s="4"/>
      <c r="DB2137" s="4"/>
      <c r="DC2137" s="4"/>
      <c r="DD2137" s="4"/>
      <c r="DE2137" s="4"/>
      <c r="DF2137" s="4"/>
      <c r="DG2137" s="4"/>
      <c r="DH2137" s="4"/>
      <c r="DI2137" s="4"/>
      <c r="DJ2137" s="4"/>
      <c r="DK2137" s="4"/>
      <c r="DL2137" s="4"/>
      <c r="DM2137" s="4"/>
      <c r="DN2137" s="4"/>
      <c r="DO2137" s="4"/>
      <c r="DP2137" s="4"/>
      <c r="DQ2137" s="4"/>
      <c r="DR2137" s="4"/>
      <c r="DS2137" s="4"/>
    </row>
    <row r="2138">
      <c r="A2138" s="4"/>
      <c r="B2138" s="4"/>
      <c r="C2138" s="4"/>
      <c r="D2138" s="4"/>
      <c r="E2138" s="4"/>
      <c r="F2138" s="4" t="s">
        <v>17</v>
      </c>
      <c r="G2138" s="15"/>
      <c r="H2138" s="4"/>
      <c r="I2138" s="4"/>
      <c r="J2138" s="4"/>
      <c r="K2138" s="4"/>
      <c r="L2138" s="4"/>
      <c r="M2138" s="4"/>
      <c r="N2138" s="4"/>
      <c r="O2138" s="4"/>
      <c r="P2138" s="4"/>
      <c r="Q2138" s="4"/>
      <c r="R2138" s="4"/>
      <c r="S2138" s="4"/>
      <c r="T2138" s="4"/>
      <c r="U2138" s="4"/>
      <c r="V2138" s="4"/>
      <c r="W2138" s="4"/>
      <c r="X2138" s="4"/>
      <c r="Y2138" s="4"/>
      <c r="Z2138" s="4"/>
      <c r="AA2138" s="4"/>
      <c r="AB2138" s="4"/>
      <c r="AC2138" s="4"/>
      <c r="AD2138" s="4"/>
      <c r="AE2138" s="4"/>
      <c r="AF2138" s="4"/>
      <c r="AG2138" s="4"/>
      <c r="AH2138" s="4"/>
      <c r="AI2138" s="4"/>
      <c r="AJ2138" s="4"/>
      <c r="AK2138" s="4"/>
      <c r="AL2138" s="4"/>
      <c r="AM2138" s="4"/>
      <c r="AN2138" s="4"/>
      <c r="AO2138" s="4"/>
      <c r="AP2138" s="4"/>
      <c r="AQ2138" s="4"/>
      <c r="AR2138" s="4"/>
      <c r="AS2138" s="4"/>
      <c r="AT2138" s="4"/>
      <c r="AU2138" s="4"/>
      <c r="AV2138" s="4"/>
      <c r="AW2138" s="4"/>
      <c r="AX2138" s="4"/>
      <c r="AY2138" s="4"/>
      <c r="AZ2138" s="4"/>
      <c r="BA2138" s="4"/>
      <c r="BB2138" s="4"/>
      <c r="BC2138" s="4"/>
      <c r="BD2138" s="4"/>
      <c r="BE2138" s="4"/>
      <c r="BF2138" s="4"/>
      <c r="BG2138" s="4"/>
      <c r="BH2138" s="4"/>
      <c r="BI2138" s="4"/>
      <c r="BJ2138" s="4"/>
      <c r="BK2138" s="4"/>
      <c r="BL2138" s="4"/>
      <c r="BM2138" s="4"/>
      <c r="BN2138" s="4"/>
      <c r="BO2138" s="4"/>
      <c r="BP2138" s="4"/>
      <c r="BQ2138" s="4"/>
      <c r="BR2138" s="4"/>
      <c r="BS2138" s="4"/>
      <c r="BT2138" s="4"/>
      <c r="BU2138" s="4"/>
      <c r="BV2138" s="4"/>
      <c r="BW2138" s="4"/>
      <c r="BX2138" s="4"/>
      <c r="BY2138" s="4"/>
      <c r="BZ2138" s="4"/>
      <c r="CA2138" s="4"/>
      <c r="CB2138" s="4"/>
      <c r="CC2138" s="4"/>
      <c r="CD2138" s="4"/>
      <c r="CE2138" s="4"/>
      <c r="CF2138" s="4"/>
      <c r="CG2138" s="4"/>
      <c r="CH2138" s="4"/>
      <c r="CI2138" s="4"/>
      <c r="CJ2138" s="4"/>
      <c r="CK2138" s="4"/>
      <c r="CL2138" s="4"/>
      <c r="CM2138" s="4"/>
      <c r="CN2138" s="4"/>
      <c r="CO2138" s="4"/>
      <c r="CP2138" s="4"/>
      <c r="CQ2138" s="4"/>
      <c r="CR2138" s="4"/>
      <c r="CS2138" s="4"/>
      <c r="CT2138" s="4"/>
      <c r="CU2138" s="4"/>
      <c r="CV2138" s="4"/>
      <c r="CW2138" s="4"/>
      <c r="CX2138" s="4"/>
      <c r="CY2138" s="4"/>
      <c r="CZ2138" s="4"/>
      <c r="DA2138" s="4"/>
      <c r="DB2138" s="4"/>
      <c r="DC2138" s="4"/>
      <c r="DD2138" s="4"/>
      <c r="DE2138" s="4"/>
      <c r="DF2138" s="4"/>
      <c r="DG2138" s="4"/>
      <c r="DH2138" s="4"/>
      <c r="DI2138" s="4"/>
      <c r="DJ2138" s="4"/>
      <c r="DK2138" s="4"/>
      <c r="DL2138" s="4"/>
      <c r="DM2138" s="4"/>
      <c r="DN2138" s="4"/>
      <c r="DO2138" s="4"/>
      <c r="DP2138" s="4"/>
      <c r="DQ2138" s="4"/>
      <c r="DR2138" s="4"/>
      <c r="DS2138" s="4"/>
    </row>
    <row r="2139">
      <c r="A2139" s="4"/>
      <c r="B2139" s="4"/>
      <c r="C2139" s="4"/>
      <c r="D2139" s="4"/>
      <c r="E2139" s="4"/>
      <c r="F2139" s="4" t="s">
        <v>17</v>
      </c>
      <c r="G2139" s="15"/>
      <c r="H2139" s="4"/>
      <c r="I2139" s="4"/>
      <c r="J2139" s="4"/>
      <c r="K2139" s="4"/>
      <c r="L2139" s="4"/>
      <c r="M2139" s="4"/>
      <c r="N2139" s="4"/>
      <c r="O2139" s="4"/>
      <c r="P2139" s="4"/>
      <c r="Q2139" s="4"/>
      <c r="R2139" s="4"/>
      <c r="S2139" s="4"/>
      <c r="T2139" s="4"/>
      <c r="U2139" s="4"/>
      <c r="V2139" s="4"/>
      <c r="W2139" s="4"/>
      <c r="X2139" s="4"/>
      <c r="Y2139" s="4"/>
      <c r="Z2139" s="4"/>
      <c r="AA2139" s="4"/>
      <c r="AB2139" s="4"/>
      <c r="AC2139" s="4"/>
      <c r="AD2139" s="4"/>
      <c r="AE2139" s="4"/>
      <c r="AF2139" s="4"/>
      <c r="AG2139" s="4"/>
      <c r="AH2139" s="4"/>
      <c r="AI2139" s="4"/>
      <c r="AJ2139" s="4"/>
      <c r="AK2139" s="4"/>
      <c r="AL2139" s="4"/>
      <c r="AM2139" s="4"/>
      <c r="AN2139" s="4"/>
      <c r="AO2139" s="4"/>
      <c r="AP2139" s="4"/>
      <c r="AQ2139" s="4"/>
      <c r="AR2139" s="4"/>
      <c r="AS2139" s="4"/>
      <c r="AT2139" s="4"/>
      <c r="AU2139" s="4"/>
      <c r="AV2139" s="4"/>
      <c r="AW2139" s="4"/>
      <c r="AX2139" s="4"/>
      <c r="AY2139" s="4"/>
      <c r="AZ2139" s="4"/>
      <c r="BA2139" s="4"/>
      <c r="BB2139" s="4"/>
      <c r="BC2139" s="4"/>
      <c r="BD2139" s="4"/>
      <c r="BE2139" s="4"/>
      <c r="BF2139" s="4"/>
      <c r="BG2139" s="4"/>
      <c r="BH2139" s="4"/>
      <c r="BI2139" s="4"/>
      <c r="BJ2139" s="4"/>
      <c r="BK2139" s="4"/>
      <c r="BL2139" s="4"/>
      <c r="BM2139" s="4"/>
      <c r="BN2139" s="4"/>
      <c r="BO2139" s="4"/>
      <c r="BP2139" s="4"/>
      <c r="BQ2139" s="4"/>
      <c r="BR2139" s="4"/>
      <c r="BS2139" s="4"/>
      <c r="BT2139" s="4"/>
      <c r="BU2139" s="4"/>
      <c r="BV2139" s="4"/>
      <c r="BW2139" s="4"/>
      <c r="BX2139" s="4"/>
      <c r="BY2139" s="4"/>
      <c r="BZ2139" s="4"/>
      <c r="CA2139" s="4"/>
      <c r="CB2139" s="4"/>
      <c r="CC2139" s="4"/>
      <c r="CD2139" s="4"/>
      <c r="CE2139" s="4"/>
      <c r="CF2139" s="4"/>
      <c r="CG2139" s="4"/>
      <c r="CH2139" s="4"/>
      <c r="CI2139" s="4"/>
      <c r="CJ2139" s="4"/>
      <c r="CK2139" s="4"/>
      <c r="CL2139" s="4"/>
      <c r="CM2139" s="4"/>
      <c r="CN2139" s="4"/>
      <c r="CO2139" s="4"/>
      <c r="CP2139" s="4"/>
      <c r="CQ2139" s="4"/>
      <c r="CR2139" s="4"/>
      <c r="CS2139" s="4"/>
      <c r="CT2139" s="4"/>
      <c r="CU2139" s="4"/>
      <c r="CV2139" s="4"/>
      <c r="CW2139" s="4"/>
      <c r="CX2139" s="4"/>
      <c r="CY2139" s="4"/>
      <c r="CZ2139" s="4"/>
      <c r="DA2139" s="4"/>
      <c r="DB2139" s="4"/>
      <c r="DC2139" s="4"/>
      <c r="DD2139" s="4"/>
      <c r="DE2139" s="4"/>
      <c r="DF2139" s="4"/>
      <c r="DG2139" s="4"/>
      <c r="DH2139" s="4"/>
      <c r="DI2139" s="4"/>
      <c r="DJ2139" s="4"/>
      <c r="DK2139" s="4"/>
      <c r="DL2139" s="4"/>
      <c r="DM2139" s="4"/>
      <c r="DN2139" s="4"/>
      <c r="DO2139" s="4"/>
      <c r="DP2139" s="4"/>
      <c r="DQ2139" s="4"/>
      <c r="DR2139" s="4"/>
      <c r="DS2139" s="4"/>
    </row>
    <row r="2140">
      <c r="A2140" s="4"/>
      <c r="B2140" s="4"/>
      <c r="C2140" s="4"/>
      <c r="D2140" s="4"/>
      <c r="E2140" s="4"/>
      <c r="F2140" s="4" t="s">
        <v>17</v>
      </c>
      <c r="G2140" s="15"/>
      <c r="H2140" s="4"/>
      <c r="I2140" s="4"/>
      <c r="J2140" s="4"/>
      <c r="K2140" s="4"/>
      <c r="L2140" s="4"/>
      <c r="M2140" s="4"/>
      <c r="N2140" s="4"/>
      <c r="O2140" s="4"/>
      <c r="P2140" s="4"/>
      <c r="Q2140" s="4"/>
      <c r="R2140" s="4"/>
      <c r="S2140" s="4"/>
      <c r="T2140" s="4"/>
      <c r="U2140" s="4"/>
      <c r="V2140" s="4"/>
      <c r="W2140" s="4"/>
      <c r="X2140" s="4"/>
      <c r="Y2140" s="4"/>
      <c r="Z2140" s="4"/>
      <c r="AA2140" s="4"/>
      <c r="AB2140" s="4"/>
      <c r="AC2140" s="4"/>
      <c r="AD2140" s="4"/>
      <c r="AE2140" s="4"/>
      <c r="AF2140" s="4"/>
      <c r="AG2140" s="4"/>
      <c r="AH2140" s="4"/>
      <c r="AI2140" s="4"/>
      <c r="AJ2140" s="4"/>
      <c r="AK2140" s="4"/>
      <c r="AL2140" s="4"/>
      <c r="AM2140" s="4"/>
      <c r="AN2140" s="4"/>
      <c r="AO2140" s="4"/>
      <c r="AP2140" s="4"/>
      <c r="AQ2140" s="4"/>
      <c r="AR2140" s="4"/>
      <c r="AS2140" s="4"/>
      <c r="AT2140" s="4"/>
      <c r="AU2140" s="4"/>
      <c r="AV2140" s="4"/>
      <c r="AW2140" s="4"/>
      <c r="AX2140" s="4"/>
      <c r="AY2140" s="4"/>
      <c r="AZ2140" s="4"/>
      <c r="BA2140" s="4"/>
      <c r="BB2140" s="4"/>
      <c r="BC2140" s="4"/>
      <c r="BD2140" s="4"/>
      <c r="BE2140" s="4"/>
      <c r="BF2140" s="4"/>
      <c r="BG2140" s="4"/>
      <c r="BH2140" s="4"/>
      <c r="BI2140" s="4"/>
      <c r="BJ2140" s="4"/>
      <c r="BK2140" s="4"/>
      <c r="BL2140" s="4"/>
      <c r="BM2140" s="4"/>
      <c r="BN2140" s="4"/>
      <c r="BO2140" s="4"/>
      <c r="BP2140" s="4"/>
      <c r="BQ2140" s="4"/>
      <c r="BR2140" s="4"/>
      <c r="BS2140" s="4"/>
      <c r="BT2140" s="4"/>
      <c r="BU2140" s="4"/>
      <c r="BV2140" s="4"/>
      <c r="BW2140" s="4"/>
      <c r="BX2140" s="4"/>
      <c r="BY2140" s="4"/>
      <c r="BZ2140" s="4"/>
      <c r="CA2140" s="4"/>
      <c r="CB2140" s="4"/>
      <c r="CC2140" s="4"/>
      <c r="CD2140" s="4"/>
      <c r="CE2140" s="4"/>
      <c r="CF2140" s="4"/>
      <c r="CG2140" s="4"/>
      <c r="CH2140" s="4"/>
      <c r="CI2140" s="4"/>
      <c r="CJ2140" s="4"/>
      <c r="CK2140" s="4"/>
      <c r="CL2140" s="4"/>
      <c r="CM2140" s="4"/>
      <c r="CN2140" s="4"/>
      <c r="CO2140" s="4"/>
      <c r="CP2140" s="4"/>
      <c r="CQ2140" s="4"/>
      <c r="CR2140" s="4"/>
      <c r="CS2140" s="4"/>
      <c r="CT2140" s="4"/>
      <c r="CU2140" s="4"/>
      <c r="CV2140" s="4"/>
      <c r="CW2140" s="4"/>
      <c r="CX2140" s="4"/>
      <c r="CY2140" s="4"/>
      <c r="CZ2140" s="4"/>
      <c r="DA2140" s="4"/>
      <c r="DB2140" s="4"/>
      <c r="DC2140" s="4"/>
      <c r="DD2140" s="4"/>
      <c r="DE2140" s="4"/>
      <c r="DF2140" s="4"/>
      <c r="DG2140" s="4"/>
      <c r="DH2140" s="4"/>
      <c r="DI2140" s="4"/>
      <c r="DJ2140" s="4"/>
      <c r="DK2140" s="4"/>
      <c r="DL2140" s="4"/>
      <c r="DM2140" s="4"/>
      <c r="DN2140" s="4"/>
      <c r="DO2140" s="4"/>
      <c r="DP2140" s="4"/>
      <c r="DQ2140" s="4"/>
      <c r="DR2140" s="4"/>
      <c r="DS2140" s="4"/>
    </row>
    <row r="2141">
      <c r="A2141" s="4"/>
      <c r="B2141" s="4"/>
      <c r="C2141" s="4"/>
      <c r="D2141" s="4"/>
      <c r="E2141" s="4"/>
      <c r="F2141" s="4" t="s">
        <v>17</v>
      </c>
      <c r="G2141" s="15"/>
      <c r="H2141" s="4"/>
      <c r="I2141" s="4"/>
      <c r="J2141" s="4"/>
      <c r="K2141" s="4"/>
      <c r="L2141" s="4"/>
      <c r="M2141" s="4"/>
      <c r="N2141" s="4"/>
      <c r="O2141" s="4"/>
      <c r="P2141" s="4"/>
      <c r="Q2141" s="4"/>
      <c r="R2141" s="4"/>
      <c r="S2141" s="4"/>
      <c r="T2141" s="4"/>
      <c r="U2141" s="4"/>
      <c r="V2141" s="4"/>
      <c r="W2141" s="4"/>
      <c r="X2141" s="4"/>
      <c r="Y2141" s="4"/>
      <c r="Z2141" s="4"/>
      <c r="AA2141" s="4"/>
      <c r="AB2141" s="4"/>
      <c r="AC2141" s="4"/>
      <c r="AD2141" s="4"/>
      <c r="AE2141" s="4"/>
      <c r="AF2141" s="4"/>
      <c r="AG2141" s="4"/>
      <c r="AH2141" s="4"/>
      <c r="AI2141" s="4"/>
      <c r="AJ2141" s="4"/>
      <c r="AK2141" s="4"/>
      <c r="AL2141" s="4"/>
      <c r="AM2141" s="4"/>
      <c r="AN2141" s="4"/>
      <c r="AO2141" s="4"/>
      <c r="AP2141" s="4"/>
      <c r="AQ2141" s="4"/>
      <c r="AR2141" s="4"/>
      <c r="AS2141" s="4"/>
      <c r="AT2141" s="4"/>
      <c r="AU2141" s="4"/>
      <c r="AV2141" s="4"/>
      <c r="AW2141" s="4"/>
      <c r="AX2141" s="4"/>
      <c r="AY2141" s="4"/>
      <c r="AZ2141" s="4"/>
      <c r="BA2141" s="4"/>
      <c r="BB2141" s="4"/>
      <c r="BC2141" s="4"/>
      <c r="BD2141" s="4"/>
      <c r="BE2141" s="4"/>
      <c r="BF2141" s="4"/>
      <c r="BG2141" s="4"/>
      <c r="BH2141" s="4"/>
      <c r="BI2141" s="4"/>
      <c r="BJ2141" s="4"/>
      <c r="BK2141" s="4"/>
      <c r="BL2141" s="4"/>
      <c r="BM2141" s="4"/>
      <c r="BN2141" s="4"/>
      <c r="BO2141" s="4"/>
      <c r="BP2141" s="4"/>
      <c r="BQ2141" s="4"/>
      <c r="BR2141" s="4"/>
      <c r="BS2141" s="4"/>
      <c r="BT2141" s="4"/>
      <c r="BU2141" s="4"/>
      <c r="BV2141" s="4"/>
      <c r="BW2141" s="4"/>
      <c r="BX2141" s="4"/>
      <c r="BY2141" s="4"/>
      <c r="BZ2141" s="4"/>
      <c r="CA2141" s="4"/>
      <c r="CB2141" s="4"/>
      <c r="CC2141" s="4"/>
      <c r="CD2141" s="4"/>
      <c r="CE2141" s="4"/>
      <c r="CF2141" s="4"/>
      <c r="CG2141" s="4"/>
      <c r="CH2141" s="4"/>
      <c r="CI2141" s="4"/>
      <c r="CJ2141" s="4"/>
      <c r="CK2141" s="4"/>
      <c r="CL2141" s="4"/>
      <c r="CM2141" s="4"/>
      <c r="CN2141" s="4"/>
      <c r="CO2141" s="4"/>
      <c r="CP2141" s="4"/>
      <c r="CQ2141" s="4"/>
      <c r="CR2141" s="4"/>
      <c r="CS2141" s="4"/>
      <c r="CT2141" s="4"/>
      <c r="CU2141" s="4"/>
      <c r="CV2141" s="4"/>
      <c r="CW2141" s="4"/>
      <c r="CX2141" s="4"/>
      <c r="CY2141" s="4"/>
      <c r="CZ2141" s="4"/>
      <c r="DA2141" s="4"/>
      <c r="DB2141" s="4"/>
      <c r="DC2141" s="4"/>
      <c r="DD2141" s="4"/>
      <c r="DE2141" s="4"/>
      <c r="DF2141" s="4"/>
      <c r="DG2141" s="4"/>
      <c r="DH2141" s="4"/>
      <c r="DI2141" s="4"/>
      <c r="DJ2141" s="4"/>
      <c r="DK2141" s="4"/>
      <c r="DL2141" s="4"/>
      <c r="DM2141" s="4"/>
      <c r="DN2141" s="4"/>
      <c r="DO2141" s="4"/>
      <c r="DP2141" s="4"/>
      <c r="DQ2141" s="4"/>
      <c r="DR2141" s="4"/>
      <c r="DS2141" s="4"/>
    </row>
    <row r="2142">
      <c r="A2142" s="4"/>
      <c r="B2142" s="4"/>
      <c r="C2142" s="4"/>
      <c r="D2142" s="4"/>
      <c r="E2142" s="4"/>
      <c r="F2142" s="4" t="s">
        <v>17</v>
      </c>
      <c r="G2142" s="15"/>
      <c r="H2142" s="4"/>
      <c r="I2142" s="4"/>
      <c r="J2142" s="4"/>
      <c r="K2142" s="4"/>
      <c r="L2142" s="4"/>
      <c r="M2142" s="4"/>
      <c r="N2142" s="4"/>
      <c r="O2142" s="4"/>
      <c r="P2142" s="4"/>
      <c r="Q2142" s="4"/>
      <c r="R2142" s="4"/>
      <c r="S2142" s="4"/>
      <c r="T2142" s="4"/>
      <c r="U2142" s="4"/>
      <c r="V2142" s="4"/>
      <c r="W2142" s="4"/>
      <c r="X2142" s="4"/>
      <c r="Y2142" s="4"/>
      <c r="Z2142" s="4"/>
      <c r="AA2142" s="4"/>
      <c r="AB2142" s="4"/>
      <c r="AC2142" s="4"/>
      <c r="AD2142" s="4"/>
      <c r="AE2142" s="4"/>
      <c r="AF2142" s="4"/>
      <c r="AG2142" s="4"/>
      <c r="AH2142" s="4"/>
      <c r="AI2142" s="4"/>
      <c r="AJ2142" s="4"/>
      <c r="AK2142" s="4"/>
      <c r="AL2142" s="4"/>
      <c r="AM2142" s="4"/>
      <c r="AN2142" s="4"/>
      <c r="AO2142" s="4"/>
      <c r="AP2142" s="4"/>
      <c r="AQ2142" s="4"/>
      <c r="AR2142" s="4"/>
      <c r="AS2142" s="4"/>
      <c r="AT2142" s="4"/>
      <c r="AU2142" s="4"/>
      <c r="AV2142" s="4"/>
      <c r="AW2142" s="4"/>
      <c r="AX2142" s="4"/>
      <c r="AY2142" s="4"/>
      <c r="AZ2142" s="4"/>
      <c r="BA2142" s="4"/>
      <c r="BB2142" s="4"/>
      <c r="BC2142" s="4"/>
      <c r="BD2142" s="4"/>
      <c r="BE2142" s="4"/>
      <c r="BF2142" s="4"/>
      <c r="BG2142" s="4"/>
      <c r="BH2142" s="4"/>
      <c r="BI2142" s="4"/>
      <c r="BJ2142" s="4"/>
      <c r="BK2142" s="4"/>
      <c r="BL2142" s="4"/>
      <c r="BM2142" s="4"/>
      <c r="BN2142" s="4"/>
      <c r="BO2142" s="4"/>
      <c r="BP2142" s="4"/>
      <c r="BQ2142" s="4"/>
      <c r="BR2142" s="4"/>
      <c r="BS2142" s="4"/>
      <c r="BT2142" s="4"/>
      <c r="BU2142" s="4"/>
      <c r="BV2142" s="4"/>
      <c r="BW2142" s="4"/>
      <c r="BX2142" s="4"/>
      <c r="BY2142" s="4"/>
      <c r="BZ2142" s="4"/>
      <c r="CA2142" s="4"/>
      <c r="CB2142" s="4"/>
      <c r="CC2142" s="4"/>
      <c r="CD2142" s="4"/>
      <c r="CE2142" s="4"/>
      <c r="CF2142" s="4"/>
      <c r="CG2142" s="4"/>
      <c r="CH2142" s="4"/>
      <c r="CI2142" s="4"/>
      <c r="CJ2142" s="4"/>
      <c r="CK2142" s="4"/>
      <c r="CL2142" s="4"/>
      <c r="CM2142" s="4"/>
      <c r="CN2142" s="4"/>
      <c r="CO2142" s="4"/>
      <c r="CP2142" s="4"/>
      <c r="CQ2142" s="4"/>
      <c r="CR2142" s="4"/>
      <c r="CS2142" s="4"/>
      <c r="CT2142" s="4"/>
      <c r="CU2142" s="4"/>
      <c r="CV2142" s="4"/>
      <c r="CW2142" s="4"/>
      <c r="CX2142" s="4"/>
      <c r="CY2142" s="4"/>
      <c r="CZ2142" s="4"/>
      <c r="DA2142" s="4"/>
      <c r="DB2142" s="4"/>
      <c r="DC2142" s="4"/>
      <c r="DD2142" s="4"/>
      <c r="DE2142" s="4"/>
      <c r="DF2142" s="4"/>
      <c r="DG2142" s="4"/>
      <c r="DH2142" s="4"/>
      <c r="DI2142" s="4"/>
      <c r="DJ2142" s="4"/>
      <c r="DK2142" s="4"/>
      <c r="DL2142" s="4"/>
      <c r="DM2142" s="4"/>
      <c r="DN2142" s="4"/>
      <c r="DO2142" s="4"/>
      <c r="DP2142" s="4"/>
      <c r="DQ2142" s="4"/>
      <c r="DR2142" s="4"/>
      <c r="DS2142" s="4"/>
    </row>
    <row r="2143">
      <c r="A2143" s="4"/>
      <c r="B2143" s="4"/>
      <c r="C2143" s="4"/>
      <c r="D2143" s="4"/>
      <c r="E2143" s="4"/>
      <c r="F2143" s="4" t="s">
        <v>17</v>
      </c>
      <c r="G2143" s="15"/>
      <c r="H2143" s="4"/>
      <c r="I2143" s="4"/>
      <c r="J2143" s="4"/>
      <c r="K2143" s="4"/>
      <c r="L2143" s="4"/>
      <c r="M2143" s="4"/>
      <c r="N2143" s="4"/>
      <c r="O2143" s="4"/>
      <c r="P2143" s="4"/>
      <c r="Q2143" s="4"/>
      <c r="R2143" s="4"/>
      <c r="S2143" s="4"/>
      <c r="T2143" s="4"/>
      <c r="U2143" s="4"/>
      <c r="V2143" s="4"/>
      <c r="W2143" s="4"/>
      <c r="X2143" s="4"/>
      <c r="Y2143" s="4"/>
      <c r="Z2143" s="4"/>
      <c r="AA2143" s="4"/>
      <c r="AB2143" s="4"/>
      <c r="AC2143" s="4"/>
      <c r="AD2143" s="4"/>
      <c r="AE2143" s="4"/>
      <c r="AF2143" s="4"/>
      <c r="AG2143" s="4"/>
      <c r="AH2143" s="4"/>
      <c r="AI2143" s="4"/>
      <c r="AJ2143" s="4"/>
      <c r="AK2143" s="4"/>
      <c r="AL2143" s="4"/>
      <c r="AM2143" s="4"/>
      <c r="AN2143" s="4"/>
      <c r="AO2143" s="4"/>
      <c r="AP2143" s="4"/>
      <c r="AQ2143" s="4"/>
      <c r="AR2143" s="4"/>
      <c r="AS2143" s="4"/>
      <c r="AT2143" s="4"/>
      <c r="AU2143" s="4"/>
      <c r="AV2143" s="4"/>
      <c r="AW2143" s="4"/>
      <c r="AX2143" s="4"/>
      <c r="AY2143" s="4"/>
      <c r="AZ2143" s="4"/>
      <c r="BA2143" s="4"/>
      <c r="BB2143" s="4"/>
      <c r="BC2143" s="4"/>
      <c r="BD2143" s="4"/>
      <c r="BE2143" s="4"/>
      <c r="BF2143" s="4"/>
      <c r="BG2143" s="4"/>
      <c r="BH2143" s="4"/>
      <c r="BI2143" s="4"/>
      <c r="BJ2143" s="4"/>
      <c r="BK2143" s="4"/>
      <c r="BL2143" s="4"/>
      <c r="BM2143" s="4"/>
      <c r="BN2143" s="4"/>
      <c r="BO2143" s="4"/>
      <c r="BP2143" s="4"/>
      <c r="BQ2143" s="4"/>
      <c r="BR2143" s="4"/>
      <c r="BS2143" s="4"/>
      <c r="BT2143" s="4"/>
      <c r="BU2143" s="4"/>
      <c r="BV2143" s="4"/>
      <c r="BW2143" s="4"/>
      <c r="BX2143" s="4"/>
      <c r="BY2143" s="4"/>
      <c r="BZ2143" s="4"/>
      <c r="CA2143" s="4"/>
      <c r="CB2143" s="4"/>
      <c r="CC2143" s="4"/>
      <c r="CD2143" s="4"/>
      <c r="CE2143" s="4"/>
      <c r="CF2143" s="4"/>
      <c r="CG2143" s="4"/>
      <c r="CH2143" s="4"/>
      <c r="CI2143" s="4"/>
      <c r="CJ2143" s="4"/>
      <c r="CK2143" s="4"/>
      <c r="CL2143" s="4"/>
      <c r="CM2143" s="4"/>
      <c r="CN2143" s="4"/>
      <c r="CO2143" s="4"/>
      <c r="CP2143" s="4"/>
      <c r="CQ2143" s="4"/>
      <c r="CR2143" s="4"/>
      <c r="CS2143" s="4"/>
      <c r="CT2143" s="4"/>
      <c r="CU2143" s="4"/>
      <c r="CV2143" s="4"/>
      <c r="CW2143" s="4"/>
      <c r="CX2143" s="4"/>
      <c r="CY2143" s="4"/>
      <c r="CZ2143" s="4"/>
      <c r="DA2143" s="4"/>
      <c r="DB2143" s="4"/>
      <c r="DC2143" s="4"/>
      <c r="DD2143" s="4"/>
      <c r="DE2143" s="4"/>
      <c r="DF2143" s="4"/>
      <c r="DG2143" s="4"/>
      <c r="DH2143" s="4"/>
      <c r="DI2143" s="4"/>
      <c r="DJ2143" s="4"/>
      <c r="DK2143" s="4"/>
      <c r="DL2143" s="4"/>
      <c r="DM2143" s="4"/>
      <c r="DN2143" s="4"/>
      <c r="DO2143" s="4"/>
      <c r="DP2143" s="4"/>
      <c r="DQ2143" s="4"/>
      <c r="DR2143" s="4"/>
      <c r="DS2143" s="4"/>
    </row>
    <row r="2144">
      <c r="A2144" s="4"/>
      <c r="B2144" s="4"/>
      <c r="C2144" s="4"/>
      <c r="D2144" s="4"/>
      <c r="E2144" s="4"/>
      <c r="F2144" s="4" t="s">
        <v>17</v>
      </c>
      <c r="G2144" s="15"/>
      <c r="H2144" s="4"/>
      <c r="I2144" s="4"/>
      <c r="J2144" s="4"/>
      <c r="K2144" s="4"/>
      <c r="L2144" s="4"/>
      <c r="M2144" s="4"/>
      <c r="N2144" s="4"/>
      <c r="O2144" s="4"/>
      <c r="P2144" s="4"/>
      <c r="Q2144" s="4"/>
      <c r="R2144" s="4"/>
      <c r="S2144" s="4"/>
      <c r="T2144" s="4"/>
      <c r="U2144" s="4"/>
      <c r="V2144" s="4"/>
      <c r="W2144" s="4"/>
      <c r="X2144" s="4"/>
      <c r="Y2144" s="4"/>
      <c r="Z2144" s="4"/>
      <c r="AA2144" s="4"/>
      <c r="AB2144" s="4"/>
      <c r="AC2144" s="4"/>
      <c r="AD2144" s="4"/>
      <c r="AE2144" s="4"/>
      <c r="AF2144" s="4"/>
      <c r="AG2144" s="4"/>
      <c r="AH2144" s="4"/>
      <c r="AI2144" s="4"/>
      <c r="AJ2144" s="4"/>
      <c r="AK2144" s="4"/>
      <c r="AL2144" s="4"/>
      <c r="AM2144" s="4"/>
      <c r="AN2144" s="4"/>
      <c r="AO2144" s="4"/>
      <c r="AP2144" s="4"/>
      <c r="AQ2144" s="4"/>
      <c r="AR2144" s="4"/>
      <c r="AS2144" s="4"/>
      <c r="AT2144" s="4"/>
      <c r="AU2144" s="4"/>
      <c r="AV2144" s="4"/>
      <c r="AW2144" s="4"/>
      <c r="AX2144" s="4"/>
      <c r="AY2144" s="4"/>
      <c r="AZ2144" s="4"/>
      <c r="BA2144" s="4"/>
      <c r="BB2144" s="4"/>
      <c r="BC2144" s="4"/>
      <c r="BD2144" s="4"/>
      <c r="BE2144" s="4"/>
      <c r="BF2144" s="4"/>
      <c r="BG2144" s="4"/>
      <c r="BH2144" s="4"/>
      <c r="BI2144" s="4"/>
      <c r="BJ2144" s="4"/>
      <c r="BK2144" s="4"/>
      <c r="BL2144" s="4"/>
      <c r="BM2144" s="4"/>
      <c r="BN2144" s="4"/>
      <c r="BO2144" s="4"/>
      <c r="BP2144" s="4"/>
      <c r="BQ2144" s="4"/>
      <c r="BR2144" s="4"/>
      <c r="BS2144" s="4"/>
      <c r="BT2144" s="4"/>
      <c r="BU2144" s="4"/>
      <c r="BV2144" s="4"/>
      <c r="BW2144" s="4"/>
      <c r="BX2144" s="4"/>
      <c r="BY2144" s="4"/>
      <c r="BZ2144" s="4"/>
      <c r="CA2144" s="4"/>
      <c r="CB2144" s="4"/>
      <c r="CC2144" s="4"/>
      <c r="CD2144" s="4"/>
      <c r="CE2144" s="4"/>
      <c r="CF2144" s="4"/>
      <c r="CG2144" s="4"/>
      <c r="CH2144" s="4"/>
      <c r="CI2144" s="4"/>
      <c r="CJ2144" s="4"/>
      <c r="CK2144" s="4"/>
      <c r="CL2144" s="4"/>
      <c r="CM2144" s="4"/>
      <c r="CN2144" s="4"/>
      <c r="CO2144" s="4"/>
      <c r="CP2144" s="4"/>
      <c r="CQ2144" s="4"/>
      <c r="CR2144" s="4"/>
      <c r="CS2144" s="4"/>
      <c r="CT2144" s="4"/>
      <c r="CU2144" s="4"/>
      <c r="CV2144" s="4"/>
      <c r="CW2144" s="4"/>
      <c r="CX2144" s="4"/>
      <c r="CY2144" s="4"/>
      <c r="CZ2144" s="4"/>
      <c r="DA2144" s="4"/>
      <c r="DB2144" s="4"/>
      <c r="DC2144" s="4"/>
      <c r="DD2144" s="4"/>
      <c r="DE2144" s="4"/>
      <c r="DF2144" s="4"/>
      <c r="DG2144" s="4"/>
      <c r="DH2144" s="4"/>
      <c r="DI2144" s="4"/>
      <c r="DJ2144" s="4"/>
      <c r="DK2144" s="4"/>
      <c r="DL2144" s="4"/>
      <c r="DM2144" s="4"/>
      <c r="DN2144" s="4"/>
      <c r="DO2144" s="4"/>
      <c r="DP2144" s="4"/>
      <c r="DQ2144" s="4"/>
      <c r="DR2144" s="4"/>
      <c r="DS2144" s="4"/>
    </row>
    <row r="2145">
      <c r="A2145" s="4"/>
      <c r="B2145" s="4"/>
      <c r="C2145" s="4"/>
      <c r="D2145" s="4"/>
      <c r="E2145" s="4"/>
      <c r="F2145" s="4" t="s">
        <v>17</v>
      </c>
      <c r="G2145" s="15"/>
      <c r="H2145" s="4"/>
      <c r="I2145" s="4"/>
      <c r="J2145" s="4"/>
      <c r="K2145" s="4"/>
      <c r="L2145" s="4"/>
      <c r="M2145" s="4"/>
      <c r="N2145" s="4"/>
      <c r="O2145" s="4"/>
      <c r="P2145" s="4"/>
      <c r="Q2145" s="4"/>
      <c r="R2145" s="4"/>
      <c r="S2145" s="4"/>
      <c r="T2145" s="4"/>
      <c r="U2145" s="4"/>
      <c r="V2145" s="4"/>
      <c r="W2145" s="4"/>
      <c r="X2145" s="4"/>
      <c r="Y2145" s="4"/>
      <c r="Z2145" s="4"/>
      <c r="AA2145" s="4"/>
      <c r="AB2145" s="4"/>
      <c r="AC2145" s="4"/>
      <c r="AD2145" s="4"/>
      <c r="AE2145" s="4"/>
      <c r="AF2145" s="4"/>
      <c r="AG2145" s="4"/>
      <c r="AH2145" s="4"/>
      <c r="AI2145" s="4"/>
      <c r="AJ2145" s="4"/>
      <c r="AK2145" s="4"/>
      <c r="AL2145" s="4"/>
      <c r="AM2145" s="4"/>
      <c r="AN2145" s="4"/>
      <c r="AO2145" s="4"/>
      <c r="AP2145" s="4"/>
      <c r="AQ2145" s="4"/>
      <c r="AR2145" s="4"/>
      <c r="AS2145" s="4"/>
      <c r="AT2145" s="4"/>
      <c r="AU2145" s="4"/>
      <c r="AV2145" s="4"/>
      <c r="AW2145" s="4"/>
      <c r="AX2145" s="4"/>
      <c r="AY2145" s="4"/>
      <c r="AZ2145" s="4"/>
      <c r="BA2145" s="4"/>
      <c r="BB2145" s="4"/>
      <c r="BC2145" s="4"/>
      <c r="BD2145" s="4"/>
      <c r="BE2145" s="4"/>
      <c r="BF2145" s="4"/>
      <c r="BG2145" s="4"/>
      <c r="BH2145" s="4"/>
      <c r="BI2145" s="4"/>
      <c r="BJ2145" s="4"/>
      <c r="BK2145" s="4"/>
      <c r="BL2145" s="4"/>
      <c r="BM2145" s="4"/>
      <c r="BN2145" s="4"/>
      <c r="BO2145" s="4"/>
      <c r="BP2145" s="4"/>
      <c r="BQ2145" s="4"/>
      <c r="BR2145" s="4"/>
      <c r="BS2145" s="4"/>
      <c r="BT2145" s="4"/>
      <c r="BU2145" s="4"/>
      <c r="BV2145" s="4"/>
      <c r="BW2145" s="4"/>
      <c r="BX2145" s="4"/>
      <c r="BY2145" s="4"/>
      <c r="BZ2145" s="4"/>
      <c r="CA2145" s="4"/>
      <c r="CB2145" s="4"/>
      <c r="CC2145" s="4"/>
      <c r="CD2145" s="4"/>
      <c r="CE2145" s="4"/>
      <c r="CF2145" s="4"/>
      <c r="CG2145" s="4"/>
      <c r="CH2145" s="4"/>
      <c r="CI2145" s="4"/>
      <c r="CJ2145" s="4"/>
      <c r="CK2145" s="4"/>
      <c r="CL2145" s="4"/>
      <c r="CM2145" s="4"/>
      <c r="CN2145" s="4"/>
      <c r="CO2145" s="4"/>
      <c r="CP2145" s="4"/>
      <c r="CQ2145" s="4"/>
      <c r="CR2145" s="4"/>
      <c r="CS2145" s="4"/>
      <c r="CT2145" s="4"/>
      <c r="CU2145" s="4"/>
      <c r="CV2145" s="4"/>
      <c r="CW2145" s="4"/>
      <c r="CX2145" s="4"/>
      <c r="CY2145" s="4"/>
      <c r="CZ2145" s="4"/>
      <c r="DA2145" s="4"/>
      <c r="DB2145" s="4"/>
      <c r="DC2145" s="4"/>
      <c r="DD2145" s="4"/>
      <c r="DE2145" s="4"/>
      <c r="DF2145" s="4"/>
      <c r="DG2145" s="4"/>
      <c r="DH2145" s="4"/>
      <c r="DI2145" s="4"/>
      <c r="DJ2145" s="4"/>
      <c r="DK2145" s="4"/>
      <c r="DL2145" s="4"/>
      <c r="DM2145" s="4"/>
      <c r="DN2145" s="4"/>
      <c r="DO2145" s="4"/>
      <c r="DP2145" s="4"/>
      <c r="DQ2145" s="4"/>
      <c r="DR2145" s="4"/>
      <c r="DS2145" s="4"/>
    </row>
    <row r="2146">
      <c r="A2146" s="4"/>
      <c r="B2146" s="4"/>
      <c r="C2146" s="4"/>
      <c r="D2146" s="4"/>
      <c r="E2146" s="4"/>
      <c r="F2146" s="4" t="s">
        <v>17</v>
      </c>
      <c r="G2146" s="15"/>
      <c r="H2146" s="4"/>
      <c r="I2146" s="4"/>
      <c r="J2146" s="4"/>
      <c r="K2146" s="4"/>
      <c r="L2146" s="4"/>
      <c r="M2146" s="4"/>
      <c r="N2146" s="4"/>
      <c r="O2146" s="4"/>
      <c r="P2146" s="4"/>
      <c r="Q2146" s="4"/>
      <c r="R2146" s="4"/>
      <c r="S2146" s="4"/>
      <c r="T2146" s="4"/>
      <c r="U2146" s="4"/>
      <c r="V2146" s="4"/>
      <c r="W2146" s="4"/>
      <c r="X2146" s="4"/>
      <c r="Y2146" s="4"/>
      <c r="Z2146" s="4"/>
      <c r="AA2146" s="4"/>
      <c r="AB2146" s="4"/>
      <c r="AC2146" s="4"/>
      <c r="AD2146" s="4"/>
      <c r="AE2146" s="4"/>
      <c r="AF2146" s="4"/>
      <c r="AG2146" s="4"/>
      <c r="AH2146" s="4"/>
      <c r="AI2146" s="4"/>
      <c r="AJ2146" s="4"/>
      <c r="AK2146" s="4"/>
      <c r="AL2146" s="4"/>
      <c r="AM2146" s="4"/>
      <c r="AN2146" s="4"/>
      <c r="AO2146" s="4"/>
      <c r="AP2146" s="4"/>
      <c r="AQ2146" s="4"/>
      <c r="AR2146" s="4"/>
      <c r="AS2146" s="4"/>
      <c r="AT2146" s="4"/>
      <c r="AU2146" s="4"/>
      <c r="AV2146" s="4"/>
      <c r="AW2146" s="4"/>
      <c r="AX2146" s="4"/>
      <c r="AY2146" s="4"/>
      <c r="AZ2146" s="4"/>
      <c r="BA2146" s="4"/>
      <c r="BB2146" s="4"/>
      <c r="BC2146" s="4"/>
      <c r="BD2146" s="4"/>
      <c r="BE2146" s="4"/>
      <c r="BF2146" s="4"/>
      <c r="BG2146" s="4"/>
      <c r="BH2146" s="4"/>
      <c r="BI2146" s="4"/>
      <c r="BJ2146" s="4"/>
      <c r="BK2146" s="4"/>
      <c r="BL2146" s="4"/>
      <c r="BM2146" s="4"/>
      <c r="BN2146" s="4"/>
      <c r="BO2146" s="4"/>
      <c r="BP2146" s="4"/>
      <c r="BQ2146" s="4"/>
      <c r="BR2146" s="4"/>
      <c r="BS2146" s="4"/>
      <c r="BT2146" s="4"/>
      <c r="BU2146" s="4"/>
      <c r="BV2146" s="4"/>
      <c r="BW2146" s="4"/>
      <c r="BX2146" s="4"/>
      <c r="BY2146" s="4"/>
      <c r="BZ2146" s="4"/>
      <c r="CA2146" s="4"/>
      <c r="CB2146" s="4"/>
      <c r="CC2146" s="4"/>
      <c r="CD2146" s="4"/>
      <c r="CE2146" s="4"/>
      <c r="CF2146" s="4"/>
      <c r="CG2146" s="4"/>
      <c r="CH2146" s="4"/>
      <c r="CI2146" s="4"/>
      <c r="CJ2146" s="4"/>
      <c r="CK2146" s="4"/>
      <c r="CL2146" s="4"/>
      <c r="CM2146" s="4"/>
      <c r="CN2146" s="4"/>
      <c r="CO2146" s="4"/>
      <c r="CP2146" s="4"/>
      <c r="CQ2146" s="4"/>
      <c r="CR2146" s="4"/>
      <c r="CS2146" s="4"/>
      <c r="CT2146" s="4"/>
      <c r="CU2146" s="4"/>
      <c r="CV2146" s="4"/>
      <c r="CW2146" s="4"/>
      <c r="CX2146" s="4"/>
      <c r="CY2146" s="4"/>
      <c r="CZ2146" s="4"/>
      <c r="DA2146" s="4"/>
      <c r="DB2146" s="4"/>
      <c r="DC2146" s="4"/>
      <c r="DD2146" s="4"/>
      <c r="DE2146" s="4"/>
      <c r="DF2146" s="4"/>
      <c r="DG2146" s="4"/>
      <c r="DH2146" s="4"/>
      <c r="DI2146" s="4"/>
      <c r="DJ2146" s="4"/>
      <c r="DK2146" s="4"/>
      <c r="DL2146" s="4"/>
      <c r="DM2146" s="4"/>
      <c r="DN2146" s="4"/>
      <c r="DO2146" s="4"/>
      <c r="DP2146" s="4"/>
      <c r="DQ2146" s="4"/>
      <c r="DR2146" s="4"/>
      <c r="DS2146" s="4"/>
    </row>
    <row r="2147">
      <c r="A2147" s="4"/>
      <c r="B2147" s="4"/>
      <c r="C2147" s="4"/>
      <c r="D2147" s="4"/>
      <c r="E2147" s="4"/>
      <c r="F2147" s="4" t="s">
        <v>17</v>
      </c>
      <c r="G2147" s="15"/>
      <c r="H2147" s="4"/>
      <c r="I2147" s="4"/>
      <c r="J2147" s="4"/>
      <c r="K2147" s="4"/>
      <c r="L2147" s="4"/>
      <c r="M2147" s="4"/>
      <c r="N2147" s="4"/>
      <c r="O2147" s="4"/>
      <c r="P2147" s="4"/>
      <c r="Q2147" s="4"/>
      <c r="R2147" s="4"/>
      <c r="S2147" s="4"/>
      <c r="T2147" s="4"/>
      <c r="U2147" s="4"/>
      <c r="V2147" s="4"/>
      <c r="W2147" s="4"/>
      <c r="X2147" s="4"/>
      <c r="Y2147" s="4"/>
      <c r="Z2147" s="4"/>
      <c r="AA2147" s="4"/>
      <c r="AB2147" s="4"/>
      <c r="AC2147" s="4"/>
      <c r="AD2147" s="4"/>
      <c r="AE2147" s="4"/>
      <c r="AF2147" s="4"/>
      <c r="AG2147" s="4"/>
      <c r="AH2147" s="4"/>
      <c r="AI2147" s="4"/>
      <c r="AJ2147" s="4"/>
      <c r="AK2147" s="4"/>
      <c r="AL2147" s="4"/>
      <c r="AM2147" s="4"/>
      <c r="AN2147" s="4"/>
      <c r="AO2147" s="4"/>
      <c r="AP2147" s="4"/>
      <c r="AQ2147" s="4"/>
      <c r="AR2147" s="4"/>
      <c r="AS2147" s="4"/>
      <c r="AT2147" s="4"/>
      <c r="AU2147" s="4"/>
      <c r="AV2147" s="4"/>
      <c r="AW2147" s="4"/>
      <c r="AX2147" s="4"/>
      <c r="AY2147" s="4"/>
      <c r="AZ2147" s="4"/>
      <c r="BA2147" s="4"/>
      <c r="BB2147" s="4"/>
      <c r="BC2147" s="4"/>
      <c r="BD2147" s="4"/>
      <c r="BE2147" s="4"/>
      <c r="BF2147" s="4"/>
      <c r="BG2147" s="4"/>
      <c r="BH2147" s="4"/>
      <c r="BI2147" s="4"/>
      <c r="BJ2147" s="4"/>
      <c r="BK2147" s="4"/>
      <c r="BL2147" s="4"/>
      <c r="BM2147" s="4"/>
      <c r="BN2147" s="4"/>
      <c r="BO2147" s="4"/>
      <c r="BP2147" s="4"/>
      <c r="BQ2147" s="4"/>
      <c r="BR2147" s="4"/>
      <c r="BS2147" s="4"/>
      <c r="BT2147" s="4"/>
      <c r="BU2147" s="4"/>
      <c r="BV2147" s="4"/>
      <c r="BW2147" s="4"/>
      <c r="BX2147" s="4"/>
      <c r="BY2147" s="4"/>
      <c r="BZ2147" s="4"/>
      <c r="CA2147" s="4"/>
      <c r="CB2147" s="4"/>
      <c r="CC2147" s="4"/>
      <c r="CD2147" s="4"/>
      <c r="CE2147" s="4"/>
      <c r="CF2147" s="4"/>
      <c r="CG2147" s="4"/>
      <c r="CH2147" s="4"/>
      <c r="CI2147" s="4"/>
      <c r="CJ2147" s="4"/>
      <c r="CK2147" s="4"/>
      <c r="CL2147" s="4"/>
      <c r="CM2147" s="4"/>
      <c r="CN2147" s="4"/>
      <c r="CO2147" s="4"/>
      <c r="CP2147" s="4"/>
      <c r="CQ2147" s="4"/>
      <c r="CR2147" s="4"/>
      <c r="CS2147" s="4"/>
      <c r="CT2147" s="4"/>
      <c r="CU2147" s="4"/>
      <c r="CV2147" s="4"/>
      <c r="CW2147" s="4"/>
      <c r="CX2147" s="4"/>
      <c r="CY2147" s="4"/>
      <c r="CZ2147" s="4"/>
      <c r="DA2147" s="4"/>
      <c r="DB2147" s="4"/>
      <c r="DC2147" s="4"/>
      <c r="DD2147" s="4"/>
      <c r="DE2147" s="4"/>
      <c r="DF2147" s="4"/>
      <c r="DG2147" s="4"/>
      <c r="DH2147" s="4"/>
      <c r="DI2147" s="4"/>
      <c r="DJ2147" s="4"/>
      <c r="DK2147" s="4"/>
      <c r="DL2147" s="4"/>
      <c r="DM2147" s="4"/>
      <c r="DN2147" s="4"/>
      <c r="DO2147" s="4"/>
      <c r="DP2147" s="4"/>
      <c r="DQ2147" s="4"/>
      <c r="DR2147" s="4"/>
      <c r="DS2147" s="4"/>
    </row>
    <row r="2148">
      <c r="A2148" s="4"/>
      <c r="B2148" s="4"/>
      <c r="C2148" s="4"/>
      <c r="D2148" s="4"/>
      <c r="E2148" s="4"/>
      <c r="F2148" s="4" t="s">
        <v>17</v>
      </c>
      <c r="G2148" s="15"/>
      <c r="H2148" s="4"/>
      <c r="I2148" s="4"/>
      <c r="J2148" s="4"/>
      <c r="K2148" s="4"/>
      <c r="L2148" s="4"/>
      <c r="M2148" s="4"/>
      <c r="N2148" s="4"/>
      <c r="O2148" s="4"/>
      <c r="P2148" s="4"/>
      <c r="Q2148" s="4"/>
      <c r="R2148" s="4"/>
      <c r="S2148" s="4"/>
      <c r="T2148" s="4"/>
      <c r="U2148" s="4"/>
      <c r="V2148" s="4"/>
      <c r="W2148" s="4"/>
      <c r="X2148" s="4"/>
      <c r="Y2148" s="4"/>
      <c r="Z2148" s="4"/>
      <c r="AA2148" s="4"/>
      <c r="AB2148" s="4"/>
      <c r="AC2148" s="4"/>
      <c r="AD2148" s="4"/>
      <c r="AE2148" s="4"/>
      <c r="AF2148" s="4"/>
      <c r="AG2148" s="4"/>
      <c r="AH2148" s="4"/>
      <c r="AI2148" s="4"/>
      <c r="AJ2148" s="4"/>
      <c r="AK2148" s="4"/>
      <c r="AL2148" s="4"/>
      <c r="AM2148" s="4"/>
      <c r="AN2148" s="4"/>
      <c r="AO2148" s="4"/>
      <c r="AP2148" s="4"/>
      <c r="AQ2148" s="4"/>
      <c r="AR2148" s="4"/>
      <c r="AS2148" s="4"/>
      <c r="AT2148" s="4"/>
      <c r="AU2148" s="4"/>
      <c r="AV2148" s="4"/>
      <c r="AW2148" s="4"/>
      <c r="AX2148" s="4"/>
      <c r="AY2148" s="4"/>
      <c r="AZ2148" s="4"/>
      <c r="BA2148" s="4"/>
      <c r="BB2148" s="4"/>
      <c r="BC2148" s="4"/>
      <c r="BD2148" s="4"/>
      <c r="BE2148" s="4"/>
      <c r="BF2148" s="4"/>
      <c r="BG2148" s="4"/>
      <c r="BH2148" s="4"/>
      <c r="BI2148" s="4"/>
      <c r="BJ2148" s="4"/>
      <c r="BK2148" s="4"/>
      <c r="BL2148" s="4"/>
      <c r="BM2148" s="4"/>
      <c r="BN2148" s="4"/>
      <c r="BO2148" s="4"/>
      <c r="BP2148" s="4"/>
      <c r="BQ2148" s="4"/>
      <c r="BR2148" s="4"/>
      <c r="BS2148" s="4"/>
      <c r="BT2148" s="4"/>
      <c r="BU2148" s="4"/>
      <c r="BV2148" s="4"/>
      <c r="BW2148" s="4"/>
      <c r="BX2148" s="4"/>
      <c r="BY2148" s="4"/>
      <c r="BZ2148" s="4"/>
      <c r="CA2148" s="4"/>
      <c r="CB2148" s="4"/>
      <c r="CC2148" s="4"/>
      <c r="CD2148" s="4"/>
      <c r="CE2148" s="4"/>
      <c r="CF2148" s="4"/>
      <c r="CG2148" s="4"/>
      <c r="CH2148" s="4"/>
      <c r="CI2148" s="4"/>
      <c r="CJ2148" s="4"/>
      <c r="CK2148" s="4"/>
      <c r="CL2148" s="4"/>
      <c r="CM2148" s="4"/>
      <c r="CN2148" s="4"/>
      <c r="CO2148" s="4"/>
      <c r="CP2148" s="4"/>
      <c r="CQ2148" s="4"/>
      <c r="CR2148" s="4"/>
      <c r="CS2148" s="4"/>
      <c r="CT2148" s="4"/>
      <c r="CU2148" s="4"/>
      <c r="CV2148" s="4"/>
      <c r="CW2148" s="4"/>
      <c r="CX2148" s="4"/>
      <c r="CY2148" s="4"/>
      <c r="CZ2148" s="4"/>
      <c r="DA2148" s="4"/>
      <c r="DB2148" s="4"/>
      <c r="DC2148" s="4"/>
      <c r="DD2148" s="4"/>
      <c r="DE2148" s="4"/>
      <c r="DF2148" s="4"/>
      <c r="DG2148" s="4"/>
      <c r="DH2148" s="4"/>
      <c r="DI2148" s="4"/>
      <c r="DJ2148" s="4"/>
      <c r="DK2148" s="4"/>
      <c r="DL2148" s="4"/>
      <c r="DM2148" s="4"/>
      <c r="DN2148" s="4"/>
      <c r="DO2148" s="4"/>
      <c r="DP2148" s="4"/>
      <c r="DQ2148" s="4"/>
      <c r="DR2148" s="4"/>
      <c r="DS2148" s="4"/>
    </row>
    <row r="2149">
      <c r="A2149" s="4"/>
      <c r="B2149" s="4"/>
      <c r="C2149" s="4"/>
      <c r="D2149" s="4"/>
      <c r="E2149" s="4"/>
      <c r="F2149" s="4" t="s">
        <v>17</v>
      </c>
      <c r="G2149" s="15"/>
      <c r="H2149" s="4"/>
      <c r="I2149" s="4"/>
      <c r="J2149" s="4"/>
      <c r="K2149" s="4"/>
      <c r="L2149" s="4"/>
      <c r="M2149" s="4"/>
      <c r="N2149" s="4"/>
      <c r="O2149" s="4"/>
      <c r="P2149" s="4"/>
      <c r="Q2149" s="4"/>
      <c r="R2149" s="4"/>
      <c r="S2149" s="4"/>
      <c r="T2149" s="4"/>
      <c r="U2149" s="4"/>
      <c r="V2149" s="4"/>
      <c r="W2149" s="4"/>
      <c r="X2149" s="4"/>
      <c r="Y2149" s="4"/>
      <c r="Z2149" s="4"/>
      <c r="AA2149" s="4"/>
      <c r="AB2149" s="4"/>
      <c r="AC2149" s="4"/>
      <c r="AD2149" s="4"/>
      <c r="AE2149" s="4"/>
      <c r="AF2149" s="4"/>
      <c r="AG2149" s="4"/>
      <c r="AH2149" s="4"/>
      <c r="AI2149" s="4"/>
      <c r="AJ2149" s="4"/>
      <c r="AK2149" s="4"/>
      <c r="AL2149" s="4"/>
      <c r="AM2149" s="4"/>
      <c r="AN2149" s="4"/>
      <c r="AO2149" s="4"/>
      <c r="AP2149" s="4"/>
      <c r="AQ2149" s="4"/>
      <c r="AR2149" s="4"/>
      <c r="AS2149" s="4"/>
      <c r="AT2149" s="4"/>
      <c r="AU2149" s="4"/>
      <c r="AV2149" s="4"/>
      <c r="AW2149" s="4"/>
      <c r="AX2149" s="4"/>
      <c r="AY2149" s="4"/>
      <c r="AZ2149" s="4"/>
      <c r="BA2149" s="4"/>
      <c r="BB2149" s="4"/>
      <c r="BC2149" s="4"/>
      <c r="BD2149" s="4"/>
      <c r="BE2149" s="4"/>
      <c r="BF2149" s="4"/>
      <c r="BG2149" s="4"/>
      <c r="BH2149" s="4"/>
      <c r="BI2149" s="4"/>
      <c r="BJ2149" s="4"/>
      <c r="BK2149" s="4"/>
      <c r="BL2149" s="4"/>
      <c r="BM2149" s="4"/>
      <c r="BN2149" s="4"/>
      <c r="BO2149" s="4"/>
      <c r="BP2149" s="4"/>
      <c r="BQ2149" s="4"/>
      <c r="BR2149" s="4"/>
      <c r="BS2149" s="4"/>
      <c r="BT2149" s="4"/>
      <c r="BU2149" s="4"/>
      <c r="BV2149" s="4"/>
      <c r="BW2149" s="4"/>
      <c r="BX2149" s="4"/>
      <c r="BY2149" s="4"/>
      <c r="BZ2149" s="4"/>
      <c r="CA2149" s="4"/>
      <c r="CB2149" s="4"/>
      <c r="CC2149" s="4"/>
      <c r="CD2149" s="4"/>
      <c r="CE2149" s="4"/>
      <c r="CF2149" s="4"/>
      <c r="CG2149" s="4"/>
      <c r="CH2149" s="4"/>
      <c r="CI2149" s="4"/>
      <c r="CJ2149" s="4"/>
      <c r="CK2149" s="4"/>
      <c r="CL2149" s="4"/>
      <c r="CM2149" s="4"/>
      <c r="CN2149" s="4"/>
      <c r="CO2149" s="4"/>
      <c r="CP2149" s="4"/>
      <c r="CQ2149" s="4"/>
      <c r="CR2149" s="4"/>
      <c r="CS2149" s="4"/>
      <c r="CT2149" s="4"/>
      <c r="CU2149" s="4"/>
      <c r="CV2149" s="4"/>
      <c r="CW2149" s="4"/>
      <c r="CX2149" s="4"/>
      <c r="CY2149" s="4"/>
      <c r="CZ2149" s="4"/>
      <c r="DA2149" s="4"/>
      <c r="DB2149" s="4"/>
      <c r="DC2149" s="4"/>
      <c r="DD2149" s="4"/>
      <c r="DE2149" s="4"/>
      <c r="DF2149" s="4"/>
      <c r="DG2149" s="4"/>
      <c r="DH2149" s="4"/>
      <c r="DI2149" s="4"/>
      <c r="DJ2149" s="4"/>
      <c r="DK2149" s="4"/>
      <c r="DL2149" s="4"/>
      <c r="DM2149" s="4"/>
      <c r="DN2149" s="4"/>
      <c r="DO2149" s="4"/>
      <c r="DP2149" s="4"/>
      <c r="DQ2149" s="4"/>
      <c r="DR2149" s="4"/>
      <c r="DS2149" s="4"/>
    </row>
    <row r="2150">
      <c r="A2150" s="4"/>
      <c r="B2150" s="4"/>
      <c r="C2150" s="4"/>
      <c r="D2150" s="4"/>
      <c r="E2150" s="4"/>
      <c r="F2150" s="4" t="s">
        <v>17</v>
      </c>
      <c r="G2150" s="15"/>
      <c r="H2150" s="4"/>
      <c r="I2150" s="4"/>
      <c r="J2150" s="4"/>
      <c r="K2150" s="4"/>
      <c r="L2150" s="4"/>
      <c r="M2150" s="4"/>
      <c r="N2150" s="4"/>
      <c r="O2150" s="4"/>
      <c r="P2150" s="4"/>
      <c r="Q2150" s="4"/>
      <c r="R2150" s="4"/>
      <c r="S2150" s="4"/>
      <c r="T2150" s="4"/>
      <c r="U2150" s="4"/>
      <c r="V2150" s="4"/>
      <c r="W2150" s="4"/>
      <c r="X2150" s="4"/>
      <c r="Y2150" s="4"/>
      <c r="Z2150" s="4"/>
      <c r="AA2150" s="4"/>
      <c r="AB2150" s="4"/>
      <c r="AC2150" s="4"/>
      <c r="AD2150" s="4"/>
      <c r="AE2150" s="4"/>
      <c r="AF2150" s="4"/>
      <c r="AG2150" s="4"/>
      <c r="AH2150" s="4"/>
      <c r="AI2150" s="4"/>
      <c r="AJ2150" s="4"/>
      <c r="AK2150" s="4"/>
      <c r="AL2150" s="4"/>
      <c r="AM2150" s="4"/>
      <c r="AN2150" s="4"/>
      <c r="AO2150" s="4"/>
      <c r="AP2150" s="4"/>
      <c r="AQ2150" s="4"/>
      <c r="AR2150" s="4"/>
      <c r="AS2150" s="4"/>
      <c r="AT2150" s="4"/>
      <c r="AU2150" s="4"/>
      <c r="AV2150" s="4"/>
      <c r="AW2150" s="4"/>
      <c r="AX2150" s="4"/>
      <c r="AY2150" s="4"/>
      <c r="AZ2150" s="4"/>
      <c r="BA2150" s="4"/>
      <c r="BB2150" s="4"/>
      <c r="BC2150" s="4"/>
      <c r="BD2150" s="4"/>
      <c r="BE2150" s="4"/>
      <c r="BF2150" s="4"/>
      <c r="BG2150" s="4"/>
      <c r="BH2150" s="4"/>
      <c r="BI2150" s="4"/>
      <c r="BJ2150" s="4"/>
      <c r="BK2150" s="4"/>
      <c r="BL2150" s="4"/>
      <c r="BM2150" s="4"/>
      <c r="BN2150" s="4"/>
      <c r="BO2150" s="4"/>
      <c r="BP2150" s="4"/>
      <c r="BQ2150" s="4"/>
      <c r="BR2150" s="4"/>
      <c r="BS2150" s="4"/>
      <c r="BT2150" s="4"/>
      <c r="BU2150" s="4"/>
      <c r="BV2150" s="4"/>
      <c r="BW2150" s="4"/>
      <c r="BX2150" s="4"/>
      <c r="BY2150" s="4"/>
      <c r="BZ2150" s="4"/>
      <c r="CA2150" s="4"/>
      <c r="CB2150" s="4"/>
      <c r="CC2150" s="4"/>
      <c r="CD2150" s="4"/>
      <c r="CE2150" s="4"/>
      <c r="CF2150" s="4"/>
      <c r="CG2150" s="4"/>
      <c r="CH2150" s="4"/>
      <c r="CI2150" s="4"/>
      <c r="CJ2150" s="4"/>
      <c r="CK2150" s="4"/>
      <c r="CL2150" s="4"/>
      <c r="CM2150" s="4"/>
      <c r="CN2150" s="4"/>
      <c r="CO2150" s="4"/>
      <c r="CP2150" s="4"/>
      <c r="CQ2150" s="4"/>
      <c r="CR2150" s="4"/>
      <c r="CS2150" s="4"/>
      <c r="CT2150" s="4"/>
      <c r="CU2150" s="4"/>
      <c r="CV2150" s="4"/>
      <c r="CW2150" s="4"/>
      <c r="CX2150" s="4"/>
      <c r="CY2150" s="4"/>
      <c r="CZ2150" s="4"/>
      <c r="DA2150" s="4"/>
      <c r="DB2150" s="4"/>
      <c r="DC2150" s="4"/>
      <c r="DD2150" s="4"/>
      <c r="DE2150" s="4"/>
      <c r="DF2150" s="4"/>
      <c r="DG2150" s="4"/>
      <c r="DH2150" s="4"/>
      <c r="DI2150" s="4"/>
      <c r="DJ2150" s="4"/>
      <c r="DK2150" s="4"/>
      <c r="DL2150" s="4"/>
      <c r="DM2150" s="4"/>
      <c r="DN2150" s="4"/>
      <c r="DO2150" s="4"/>
      <c r="DP2150" s="4"/>
      <c r="DQ2150" s="4"/>
      <c r="DR2150" s="4"/>
      <c r="DS2150" s="4"/>
    </row>
    <row r="2151">
      <c r="A2151" s="4"/>
      <c r="B2151" s="4"/>
      <c r="C2151" s="4"/>
      <c r="D2151" s="4"/>
      <c r="E2151" s="4"/>
      <c r="F2151" s="4" t="s">
        <v>17</v>
      </c>
      <c r="G2151" s="15"/>
      <c r="H2151" s="4"/>
      <c r="I2151" s="4"/>
      <c r="J2151" s="4"/>
      <c r="K2151" s="4"/>
      <c r="L2151" s="4"/>
      <c r="M2151" s="4"/>
      <c r="N2151" s="4"/>
      <c r="O2151" s="4"/>
      <c r="P2151" s="4"/>
      <c r="Q2151" s="4"/>
      <c r="R2151" s="4"/>
      <c r="S2151" s="4"/>
      <c r="T2151" s="4"/>
      <c r="U2151" s="4"/>
      <c r="V2151" s="4"/>
      <c r="W2151" s="4"/>
      <c r="X2151" s="4"/>
      <c r="Y2151" s="4"/>
      <c r="Z2151" s="4"/>
      <c r="AA2151" s="4"/>
      <c r="AB2151" s="4"/>
      <c r="AC2151" s="4"/>
      <c r="AD2151" s="4"/>
      <c r="AE2151" s="4"/>
      <c r="AF2151" s="4"/>
      <c r="AG2151" s="4"/>
      <c r="AH2151" s="4"/>
      <c r="AI2151" s="4"/>
      <c r="AJ2151" s="4"/>
      <c r="AK2151" s="4"/>
      <c r="AL2151" s="4"/>
      <c r="AM2151" s="4"/>
      <c r="AN2151" s="4"/>
      <c r="AO2151" s="4"/>
      <c r="AP2151" s="4"/>
      <c r="AQ2151" s="4"/>
      <c r="AR2151" s="4"/>
      <c r="AS2151" s="4"/>
      <c r="AT2151" s="4"/>
      <c r="AU2151" s="4"/>
      <c r="AV2151" s="4"/>
      <c r="AW2151" s="4"/>
      <c r="AX2151" s="4"/>
      <c r="AY2151" s="4"/>
      <c r="AZ2151" s="4"/>
      <c r="BA2151" s="4"/>
      <c r="BB2151" s="4"/>
      <c r="BC2151" s="4"/>
      <c r="BD2151" s="4"/>
      <c r="BE2151" s="4"/>
      <c r="BF2151" s="4"/>
      <c r="BG2151" s="4"/>
      <c r="BH2151" s="4"/>
      <c r="BI2151" s="4"/>
      <c r="BJ2151" s="4"/>
      <c r="BK2151" s="4"/>
      <c r="BL2151" s="4"/>
      <c r="BM2151" s="4"/>
      <c r="BN2151" s="4"/>
      <c r="BO2151" s="4"/>
      <c r="BP2151" s="4"/>
      <c r="BQ2151" s="4"/>
      <c r="BR2151" s="4"/>
      <c r="BS2151" s="4"/>
      <c r="BT2151" s="4"/>
      <c r="BU2151" s="4"/>
      <c r="BV2151" s="4"/>
      <c r="BW2151" s="4"/>
      <c r="BX2151" s="4"/>
      <c r="BY2151" s="4"/>
      <c r="BZ2151" s="4"/>
      <c r="CA2151" s="4"/>
      <c r="CB2151" s="4"/>
      <c r="CC2151" s="4"/>
      <c r="CD2151" s="4"/>
      <c r="CE2151" s="4"/>
      <c r="CF2151" s="4"/>
      <c r="CG2151" s="4"/>
      <c r="CH2151" s="4"/>
      <c r="CI2151" s="4"/>
      <c r="CJ2151" s="4"/>
      <c r="CK2151" s="4"/>
      <c r="CL2151" s="4"/>
      <c r="CM2151" s="4"/>
      <c r="CN2151" s="4"/>
      <c r="CO2151" s="4"/>
      <c r="CP2151" s="4"/>
      <c r="CQ2151" s="4"/>
      <c r="CR2151" s="4"/>
      <c r="CS2151" s="4"/>
      <c r="CT2151" s="4"/>
      <c r="CU2151" s="4"/>
      <c r="CV2151" s="4"/>
      <c r="CW2151" s="4"/>
      <c r="CX2151" s="4"/>
      <c r="CY2151" s="4"/>
      <c r="CZ2151" s="4"/>
      <c r="DA2151" s="4"/>
      <c r="DB2151" s="4"/>
      <c r="DC2151" s="4"/>
      <c r="DD2151" s="4"/>
      <c r="DE2151" s="4"/>
      <c r="DF2151" s="4"/>
      <c r="DG2151" s="4"/>
      <c r="DH2151" s="4"/>
      <c r="DI2151" s="4"/>
      <c r="DJ2151" s="4"/>
      <c r="DK2151" s="4"/>
      <c r="DL2151" s="4"/>
      <c r="DM2151" s="4"/>
      <c r="DN2151" s="4"/>
      <c r="DO2151" s="4"/>
      <c r="DP2151" s="4"/>
      <c r="DQ2151" s="4"/>
      <c r="DR2151" s="4"/>
      <c r="DS2151" s="4"/>
    </row>
    <row r="2152">
      <c r="A2152" s="4"/>
      <c r="B2152" s="4"/>
      <c r="C2152" s="4"/>
      <c r="D2152" s="4"/>
      <c r="E2152" s="4"/>
      <c r="F2152" s="4" t="s">
        <v>17</v>
      </c>
      <c r="G2152" s="15"/>
      <c r="H2152" s="4"/>
      <c r="I2152" s="4"/>
      <c r="J2152" s="4"/>
      <c r="K2152" s="4"/>
      <c r="L2152" s="4"/>
      <c r="M2152" s="4"/>
      <c r="N2152" s="4"/>
      <c r="O2152" s="4"/>
      <c r="P2152" s="4"/>
      <c r="Q2152" s="4"/>
      <c r="R2152" s="4"/>
      <c r="S2152" s="4"/>
      <c r="T2152" s="4"/>
      <c r="U2152" s="4"/>
      <c r="V2152" s="4"/>
      <c r="W2152" s="4"/>
      <c r="X2152" s="4"/>
      <c r="Y2152" s="4"/>
      <c r="Z2152" s="4"/>
      <c r="AA2152" s="4"/>
      <c r="AB2152" s="4"/>
      <c r="AC2152" s="4"/>
      <c r="AD2152" s="4"/>
      <c r="AE2152" s="4"/>
      <c r="AF2152" s="4"/>
      <c r="AG2152" s="4"/>
      <c r="AH2152" s="4"/>
      <c r="AI2152" s="4"/>
      <c r="AJ2152" s="4"/>
      <c r="AK2152" s="4"/>
      <c r="AL2152" s="4"/>
      <c r="AM2152" s="4"/>
      <c r="AN2152" s="4"/>
      <c r="AO2152" s="4"/>
      <c r="AP2152" s="4"/>
      <c r="AQ2152" s="4"/>
      <c r="AR2152" s="4"/>
      <c r="AS2152" s="4"/>
      <c r="AT2152" s="4"/>
      <c r="AU2152" s="4"/>
      <c r="AV2152" s="4"/>
      <c r="AW2152" s="4"/>
      <c r="AX2152" s="4"/>
      <c r="AY2152" s="4"/>
      <c r="AZ2152" s="4"/>
      <c r="BA2152" s="4"/>
      <c r="BB2152" s="4"/>
      <c r="BC2152" s="4"/>
      <c r="BD2152" s="4"/>
      <c r="BE2152" s="4"/>
      <c r="BF2152" s="4"/>
      <c r="BG2152" s="4"/>
      <c r="BH2152" s="4"/>
      <c r="BI2152" s="4"/>
      <c r="BJ2152" s="4"/>
      <c r="BK2152" s="4"/>
      <c r="BL2152" s="4"/>
      <c r="BM2152" s="4"/>
      <c r="BN2152" s="4"/>
      <c r="BO2152" s="4"/>
      <c r="BP2152" s="4"/>
      <c r="BQ2152" s="4"/>
      <c r="BR2152" s="4"/>
      <c r="BS2152" s="4"/>
      <c r="BT2152" s="4"/>
      <c r="BU2152" s="4"/>
      <c r="BV2152" s="4"/>
      <c r="BW2152" s="4"/>
      <c r="BX2152" s="4"/>
      <c r="BY2152" s="4"/>
      <c r="BZ2152" s="4"/>
      <c r="CA2152" s="4"/>
      <c r="CB2152" s="4"/>
      <c r="CC2152" s="4"/>
      <c r="CD2152" s="4"/>
      <c r="CE2152" s="4"/>
      <c r="CF2152" s="4"/>
      <c r="CG2152" s="4"/>
      <c r="CH2152" s="4"/>
      <c r="CI2152" s="4"/>
      <c r="CJ2152" s="4"/>
      <c r="CK2152" s="4"/>
      <c r="CL2152" s="4"/>
      <c r="CM2152" s="4"/>
      <c r="CN2152" s="4"/>
      <c r="CO2152" s="4"/>
      <c r="CP2152" s="4"/>
      <c r="CQ2152" s="4"/>
      <c r="CR2152" s="4"/>
      <c r="CS2152" s="4"/>
      <c r="CT2152" s="4"/>
      <c r="CU2152" s="4"/>
      <c r="CV2152" s="4"/>
      <c r="CW2152" s="4"/>
      <c r="CX2152" s="4"/>
      <c r="CY2152" s="4"/>
      <c r="CZ2152" s="4"/>
      <c r="DA2152" s="4"/>
      <c r="DB2152" s="4"/>
      <c r="DC2152" s="4"/>
      <c r="DD2152" s="4"/>
      <c r="DE2152" s="4"/>
      <c r="DF2152" s="4"/>
      <c r="DG2152" s="4"/>
      <c r="DH2152" s="4"/>
      <c r="DI2152" s="4"/>
      <c r="DJ2152" s="4"/>
      <c r="DK2152" s="4"/>
      <c r="DL2152" s="4"/>
      <c r="DM2152" s="4"/>
      <c r="DN2152" s="4"/>
      <c r="DO2152" s="4"/>
      <c r="DP2152" s="4"/>
      <c r="DQ2152" s="4"/>
      <c r="DR2152" s="4"/>
      <c r="DS2152" s="4"/>
    </row>
    <row r="2153">
      <c r="A2153" s="4"/>
      <c r="B2153" s="4"/>
      <c r="C2153" s="4"/>
      <c r="D2153" s="4"/>
      <c r="E2153" s="4"/>
      <c r="F2153" s="4" t="s">
        <v>17</v>
      </c>
      <c r="G2153" s="15"/>
      <c r="H2153" s="4"/>
      <c r="I2153" s="4"/>
      <c r="J2153" s="4"/>
      <c r="K2153" s="4"/>
      <c r="L2153" s="4"/>
      <c r="M2153" s="4"/>
      <c r="N2153" s="4"/>
      <c r="O2153" s="4"/>
      <c r="P2153" s="4"/>
      <c r="Q2153" s="4"/>
      <c r="R2153" s="4"/>
      <c r="S2153" s="4"/>
      <c r="T2153" s="4"/>
      <c r="U2153" s="4"/>
      <c r="V2153" s="4"/>
      <c r="W2153" s="4"/>
      <c r="X2153" s="4"/>
      <c r="Y2153" s="4"/>
      <c r="Z2153" s="4"/>
      <c r="AA2153" s="4"/>
      <c r="AB2153" s="4"/>
      <c r="AC2153" s="4"/>
      <c r="AD2153" s="4"/>
      <c r="AE2153" s="4"/>
      <c r="AF2153" s="4"/>
      <c r="AG2153" s="4"/>
      <c r="AH2153" s="4"/>
      <c r="AI2153" s="4"/>
      <c r="AJ2153" s="4"/>
      <c r="AK2153" s="4"/>
      <c r="AL2153" s="4"/>
      <c r="AM2153" s="4"/>
      <c r="AN2153" s="4"/>
      <c r="AO2153" s="4"/>
      <c r="AP2153" s="4"/>
      <c r="AQ2153" s="4"/>
      <c r="AR2153" s="4"/>
      <c r="AS2153" s="4"/>
      <c r="AT2153" s="4"/>
      <c r="AU2153" s="4"/>
      <c r="AV2153" s="4"/>
      <c r="AW2153" s="4"/>
      <c r="AX2153" s="4"/>
      <c r="AY2153" s="4"/>
      <c r="AZ2153" s="4"/>
      <c r="BA2153" s="4"/>
      <c r="BB2153" s="4"/>
      <c r="BC2153" s="4"/>
      <c r="BD2153" s="4"/>
      <c r="BE2153" s="4"/>
      <c r="BF2153" s="4"/>
      <c r="BG2153" s="4"/>
      <c r="BH2153" s="4"/>
      <c r="BI2153" s="4"/>
      <c r="BJ2153" s="4"/>
      <c r="BK2153" s="4"/>
      <c r="BL2153" s="4"/>
      <c r="BM2153" s="4"/>
      <c r="BN2153" s="4"/>
      <c r="BO2153" s="4"/>
      <c r="BP2153" s="4"/>
      <c r="BQ2153" s="4"/>
      <c r="BR2153" s="4"/>
      <c r="BS2153" s="4"/>
      <c r="BT2153" s="4"/>
      <c r="BU2153" s="4"/>
      <c r="BV2153" s="4"/>
      <c r="BW2153" s="4"/>
      <c r="BX2153" s="4"/>
      <c r="BY2153" s="4"/>
      <c r="BZ2153" s="4"/>
      <c r="CA2153" s="4"/>
      <c r="CB2153" s="4"/>
      <c r="CC2153" s="4"/>
      <c r="CD2153" s="4"/>
      <c r="CE2153" s="4"/>
      <c r="CF2153" s="4"/>
      <c r="CG2153" s="4"/>
      <c r="CH2153" s="4"/>
      <c r="CI2153" s="4"/>
      <c r="CJ2153" s="4"/>
      <c r="CK2153" s="4"/>
      <c r="CL2153" s="4"/>
      <c r="CM2153" s="4"/>
      <c r="CN2153" s="4"/>
      <c r="CO2153" s="4"/>
      <c r="CP2153" s="4"/>
      <c r="CQ2153" s="4"/>
      <c r="CR2153" s="4"/>
      <c r="CS2153" s="4"/>
      <c r="CT2153" s="4"/>
      <c r="CU2153" s="4"/>
      <c r="CV2153" s="4"/>
      <c r="CW2153" s="4"/>
      <c r="CX2153" s="4"/>
      <c r="CY2153" s="4"/>
      <c r="CZ2153" s="4"/>
      <c r="DA2153" s="4"/>
      <c r="DB2153" s="4"/>
      <c r="DC2153" s="4"/>
      <c r="DD2153" s="4"/>
      <c r="DE2153" s="4"/>
      <c r="DF2153" s="4"/>
      <c r="DG2153" s="4"/>
      <c r="DH2153" s="4"/>
      <c r="DI2153" s="4"/>
      <c r="DJ2153" s="4"/>
      <c r="DK2153" s="4"/>
      <c r="DL2153" s="4"/>
      <c r="DM2153" s="4"/>
      <c r="DN2153" s="4"/>
      <c r="DO2153" s="4"/>
      <c r="DP2153" s="4"/>
      <c r="DQ2153" s="4"/>
      <c r="DR2153" s="4"/>
      <c r="DS2153" s="4"/>
    </row>
    <row r="2154">
      <c r="A2154" s="4"/>
      <c r="B2154" s="4"/>
      <c r="C2154" s="4"/>
      <c r="D2154" s="4"/>
      <c r="E2154" s="4"/>
      <c r="F2154" s="4" t="s">
        <v>17</v>
      </c>
      <c r="G2154" s="15"/>
      <c r="H2154" s="4"/>
      <c r="I2154" s="4"/>
      <c r="J2154" s="4"/>
      <c r="K2154" s="4"/>
      <c r="L2154" s="4"/>
      <c r="M2154" s="4"/>
      <c r="N2154" s="4"/>
      <c r="O2154" s="4"/>
      <c r="P2154" s="4"/>
      <c r="Q2154" s="4"/>
      <c r="R2154" s="4"/>
      <c r="S2154" s="4"/>
      <c r="T2154" s="4"/>
      <c r="U2154" s="4"/>
      <c r="V2154" s="4"/>
      <c r="W2154" s="4"/>
      <c r="X2154" s="4"/>
      <c r="Y2154" s="4"/>
      <c r="Z2154" s="4"/>
      <c r="AA2154" s="4"/>
      <c r="AB2154" s="4"/>
      <c r="AC2154" s="4"/>
      <c r="AD2154" s="4"/>
      <c r="AE2154" s="4"/>
      <c r="AF2154" s="4"/>
      <c r="AG2154" s="4"/>
      <c r="AH2154" s="4"/>
      <c r="AI2154" s="4"/>
      <c r="AJ2154" s="4"/>
      <c r="AK2154" s="4"/>
      <c r="AL2154" s="4"/>
      <c r="AM2154" s="4"/>
      <c r="AN2154" s="4"/>
      <c r="AO2154" s="4"/>
      <c r="AP2154" s="4"/>
      <c r="AQ2154" s="4"/>
      <c r="AR2154" s="4"/>
      <c r="AS2154" s="4"/>
      <c r="AT2154" s="4"/>
      <c r="AU2154" s="4"/>
      <c r="AV2154" s="4"/>
      <c r="AW2154" s="4"/>
      <c r="AX2154" s="4"/>
      <c r="AY2154" s="4"/>
      <c r="AZ2154" s="4"/>
      <c r="BA2154" s="4"/>
      <c r="BB2154" s="4"/>
      <c r="BC2154" s="4"/>
      <c r="BD2154" s="4"/>
      <c r="BE2154" s="4"/>
      <c r="BF2154" s="4"/>
      <c r="BG2154" s="4"/>
      <c r="BH2154" s="4"/>
      <c r="BI2154" s="4"/>
      <c r="BJ2154" s="4"/>
      <c r="BK2154" s="4"/>
      <c r="BL2154" s="4"/>
      <c r="BM2154" s="4"/>
      <c r="BN2154" s="4"/>
      <c r="BO2154" s="4"/>
      <c r="BP2154" s="4"/>
      <c r="BQ2154" s="4"/>
      <c r="BR2154" s="4"/>
      <c r="BS2154" s="4"/>
      <c r="BT2154" s="4"/>
      <c r="BU2154" s="4"/>
      <c r="BV2154" s="4"/>
      <c r="BW2154" s="4"/>
      <c r="BX2154" s="4"/>
      <c r="BY2154" s="4"/>
      <c r="BZ2154" s="4"/>
      <c r="CA2154" s="4"/>
      <c r="CB2154" s="4"/>
      <c r="CC2154" s="4"/>
      <c r="CD2154" s="4"/>
      <c r="CE2154" s="4"/>
      <c r="CF2154" s="4"/>
      <c r="CG2154" s="4"/>
      <c r="CH2154" s="4"/>
      <c r="CI2154" s="4"/>
      <c r="CJ2154" s="4"/>
      <c r="CK2154" s="4"/>
      <c r="CL2154" s="4"/>
      <c r="CM2154" s="4"/>
      <c r="CN2154" s="4"/>
      <c r="CO2154" s="4"/>
      <c r="CP2154" s="4"/>
      <c r="CQ2154" s="4"/>
      <c r="CR2154" s="4"/>
      <c r="CS2154" s="4"/>
      <c r="CT2154" s="4"/>
      <c r="CU2154" s="4"/>
      <c r="CV2154" s="4"/>
      <c r="CW2154" s="4"/>
      <c r="CX2154" s="4"/>
      <c r="CY2154" s="4"/>
      <c r="CZ2154" s="4"/>
      <c r="DA2154" s="4"/>
      <c r="DB2154" s="4"/>
      <c r="DC2154" s="4"/>
      <c r="DD2154" s="4"/>
      <c r="DE2154" s="4"/>
      <c r="DF2154" s="4"/>
      <c r="DG2154" s="4"/>
      <c r="DH2154" s="4"/>
      <c r="DI2154" s="4"/>
      <c r="DJ2154" s="4"/>
      <c r="DK2154" s="4"/>
      <c r="DL2154" s="4"/>
      <c r="DM2154" s="4"/>
      <c r="DN2154" s="4"/>
      <c r="DO2154" s="4"/>
      <c r="DP2154" s="4"/>
      <c r="DQ2154" s="4"/>
      <c r="DR2154" s="4"/>
      <c r="DS2154" s="4"/>
    </row>
    <row r="2155">
      <c r="A2155" s="4"/>
      <c r="B2155" s="4"/>
      <c r="C2155" s="4"/>
      <c r="D2155" s="4"/>
      <c r="E2155" s="4"/>
      <c r="F2155" s="4" t="s">
        <v>17</v>
      </c>
      <c r="G2155" s="15"/>
      <c r="H2155" s="4"/>
      <c r="I2155" s="4"/>
      <c r="J2155" s="4"/>
      <c r="K2155" s="4"/>
      <c r="L2155" s="4"/>
      <c r="M2155" s="4"/>
      <c r="N2155" s="4"/>
      <c r="O2155" s="4"/>
      <c r="P2155" s="4"/>
      <c r="Q2155" s="4"/>
      <c r="R2155" s="4"/>
      <c r="S2155" s="4"/>
      <c r="T2155" s="4"/>
      <c r="U2155" s="4"/>
      <c r="V2155" s="4"/>
      <c r="W2155" s="4"/>
      <c r="X2155" s="4"/>
      <c r="Y2155" s="4"/>
      <c r="Z2155" s="4"/>
      <c r="AA2155" s="4"/>
      <c r="AB2155" s="4"/>
      <c r="AC2155" s="4"/>
      <c r="AD2155" s="4"/>
      <c r="AE2155" s="4"/>
      <c r="AF2155" s="4"/>
      <c r="AG2155" s="4"/>
      <c r="AH2155" s="4"/>
      <c r="AI2155" s="4"/>
      <c r="AJ2155" s="4"/>
      <c r="AK2155" s="4"/>
      <c r="AL2155" s="4"/>
      <c r="AM2155" s="4"/>
      <c r="AN2155" s="4"/>
      <c r="AO2155" s="4"/>
      <c r="AP2155" s="4"/>
      <c r="AQ2155" s="4"/>
      <c r="AR2155" s="4"/>
      <c r="AS2155" s="4"/>
      <c r="AT2155" s="4"/>
      <c r="AU2155" s="4"/>
      <c r="AV2155" s="4"/>
      <c r="AW2155" s="4"/>
      <c r="AX2155" s="4"/>
      <c r="AY2155" s="4"/>
      <c r="AZ2155" s="4"/>
      <c r="BA2155" s="4"/>
      <c r="BB2155" s="4"/>
      <c r="BC2155" s="4"/>
      <c r="BD2155" s="4"/>
      <c r="BE2155" s="4"/>
      <c r="BF2155" s="4"/>
      <c r="BG2155" s="4"/>
      <c r="BH2155" s="4"/>
      <c r="BI2155" s="4"/>
      <c r="BJ2155" s="4"/>
      <c r="BK2155" s="4"/>
      <c r="BL2155" s="4"/>
      <c r="BM2155" s="4"/>
      <c r="BN2155" s="4"/>
      <c r="BO2155" s="4"/>
      <c r="BP2155" s="4"/>
      <c r="BQ2155" s="4"/>
      <c r="BR2155" s="4"/>
      <c r="BS2155" s="4"/>
      <c r="BT2155" s="4"/>
      <c r="BU2155" s="4"/>
      <c r="BV2155" s="4"/>
      <c r="BW2155" s="4"/>
      <c r="BX2155" s="4"/>
      <c r="BY2155" s="4"/>
      <c r="BZ2155" s="4"/>
      <c r="CA2155" s="4"/>
      <c r="CB2155" s="4"/>
      <c r="CC2155" s="4"/>
      <c r="CD2155" s="4"/>
      <c r="CE2155" s="4"/>
      <c r="CF2155" s="4"/>
      <c r="CG2155" s="4"/>
      <c r="CH2155" s="4"/>
      <c r="CI2155" s="4"/>
      <c r="CJ2155" s="4"/>
      <c r="CK2155" s="4"/>
      <c r="CL2155" s="4"/>
      <c r="CM2155" s="4"/>
      <c r="CN2155" s="4"/>
      <c r="CO2155" s="4"/>
      <c r="CP2155" s="4"/>
      <c r="CQ2155" s="4"/>
      <c r="CR2155" s="4"/>
      <c r="CS2155" s="4"/>
      <c r="CT2155" s="4"/>
      <c r="CU2155" s="4"/>
      <c r="CV2155" s="4"/>
      <c r="CW2155" s="4"/>
      <c r="CX2155" s="4"/>
      <c r="CY2155" s="4"/>
      <c r="CZ2155" s="4"/>
      <c r="DA2155" s="4"/>
      <c r="DB2155" s="4"/>
      <c r="DC2155" s="4"/>
      <c r="DD2155" s="4"/>
      <c r="DE2155" s="4"/>
      <c r="DF2155" s="4"/>
      <c r="DG2155" s="4"/>
      <c r="DH2155" s="4"/>
      <c r="DI2155" s="4"/>
      <c r="DJ2155" s="4"/>
      <c r="DK2155" s="4"/>
      <c r="DL2155" s="4"/>
      <c r="DM2155" s="4"/>
      <c r="DN2155" s="4"/>
      <c r="DO2155" s="4"/>
      <c r="DP2155" s="4"/>
      <c r="DQ2155" s="4"/>
      <c r="DR2155" s="4"/>
      <c r="DS2155" s="4"/>
    </row>
    <row r="2156">
      <c r="A2156" s="4"/>
      <c r="B2156" s="4"/>
      <c r="C2156" s="4"/>
      <c r="D2156" s="4"/>
      <c r="E2156" s="4"/>
      <c r="F2156" s="4" t="s">
        <v>17</v>
      </c>
      <c r="G2156" s="15"/>
      <c r="H2156" s="4"/>
      <c r="I2156" s="4"/>
      <c r="J2156" s="4"/>
      <c r="K2156" s="4"/>
      <c r="L2156" s="4"/>
      <c r="M2156" s="4"/>
      <c r="N2156" s="4"/>
      <c r="O2156" s="4"/>
      <c r="P2156" s="4"/>
      <c r="Q2156" s="4"/>
      <c r="R2156" s="4"/>
      <c r="S2156" s="4"/>
      <c r="T2156" s="4"/>
      <c r="U2156" s="4"/>
      <c r="V2156" s="4"/>
      <c r="W2156" s="4"/>
      <c r="X2156" s="4"/>
      <c r="Y2156" s="4"/>
      <c r="Z2156" s="4"/>
      <c r="AA2156" s="4"/>
      <c r="AB2156" s="4"/>
      <c r="AC2156" s="4"/>
      <c r="AD2156" s="4"/>
      <c r="AE2156" s="4"/>
      <c r="AF2156" s="4"/>
      <c r="AG2156" s="4"/>
      <c r="AH2156" s="4"/>
      <c r="AI2156" s="4"/>
      <c r="AJ2156" s="4"/>
      <c r="AK2156" s="4"/>
      <c r="AL2156" s="4"/>
      <c r="AM2156" s="4"/>
      <c r="AN2156" s="4"/>
      <c r="AO2156" s="4"/>
      <c r="AP2156" s="4"/>
      <c r="AQ2156" s="4"/>
      <c r="AR2156" s="4"/>
      <c r="AS2156" s="4"/>
      <c r="AT2156" s="4"/>
      <c r="AU2156" s="4"/>
      <c r="AV2156" s="4"/>
      <c r="AW2156" s="4"/>
      <c r="AX2156" s="4"/>
      <c r="AY2156" s="4"/>
      <c r="AZ2156" s="4"/>
      <c r="BA2156" s="4"/>
      <c r="BB2156" s="4"/>
      <c r="BC2156" s="4"/>
      <c r="BD2156" s="4"/>
      <c r="BE2156" s="4"/>
      <c r="BF2156" s="4"/>
      <c r="BG2156" s="4"/>
      <c r="BH2156" s="4"/>
      <c r="BI2156" s="4"/>
      <c r="BJ2156" s="4"/>
      <c r="BK2156" s="4"/>
      <c r="BL2156" s="4"/>
      <c r="BM2156" s="4"/>
      <c r="BN2156" s="4"/>
      <c r="BO2156" s="4"/>
      <c r="BP2156" s="4"/>
      <c r="BQ2156" s="4"/>
      <c r="BR2156" s="4"/>
      <c r="BS2156" s="4"/>
      <c r="BT2156" s="4"/>
      <c r="BU2156" s="4"/>
      <c r="BV2156" s="4"/>
      <c r="BW2156" s="4"/>
      <c r="BX2156" s="4"/>
      <c r="BY2156" s="4"/>
      <c r="BZ2156" s="4"/>
      <c r="CA2156" s="4"/>
      <c r="CB2156" s="4"/>
      <c r="CC2156" s="4"/>
      <c r="CD2156" s="4"/>
      <c r="CE2156" s="4"/>
      <c r="CF2156" s="4"/>
      <c r="CG2156" s="4"/>
      <c r="CH2156" s="4"/>
      <c r="CI2156" s="4"/>
      <c r="CJ2156" s="4"/>
      <c r="CK2156" s="4"/>
      <c r="CL2156" s="4"/>
      <c r="CM2156" s="4"/>
      <c r="CN2156" s="4"/>
      <c r="CO2156" s="4"/>
      <c r="CP2156" s="4"/>
      <c r="CQ2156" s="4"/>
      <c r="CR2156" s="4"/>
      <c r="CS2156" s="4"/>
      <c r="CT2156" s="4"/>
      <c r="CU2156" s="4"/>
      <c r="CV2156" s="4"/>
      <c r="CW2156" s="4"/>
      <c r="CX2156" s="4"/>
      <c r="CY2156" s="4"/>
      <c r="CZ2156" s="4"/>
      <c r="DA2156" s="4"/>
      <c r="DB2156" s="4"/>
      <c r="DC2156" s="4"/>
      <c r="DD2156" s="4"/>
      <c r="DE2156" s="4"/>
      <c r="DF2156" s="4"/>
      <c r="DG2156" s="4"/>
      <c r="DH2156" s="4"/>
      <c r="DI2156" s="4"/>
      <c r="DJ2156" s="4"/>
      <c r="DK2156" s="4"/>
      <c r="DL2156" s="4"/>
      <c r="DM2156" s="4"/>
      <c r="DN2156" s="4"/>
      <c r="DO2156" s="4"/>
      <c r="DP2156" s="4"/>
      <c r="DQ2156" s="4"/>
      <c r="DR2156" s="4"/>
      <c r="DS2156" s="4"/>
    </row>
    <row r="2157">
      <c r="A2157" s="4"/>
      <c r="B2157" s="4"/>
      <c r="C2157" s="4"/>
      <c r="D2157" s="4"/>
      <c r="E2157" s="4"/>
      <c r="F2157" s="4" t="s">
        <v>17</v>
      </c>
      <c r="G2157" s="15"/>
      <c r="H2157" s="4"/>
      <c r="I2157" s="4"/>
      <c r="J2157" s="4"/>
      <c r="K2157" s="4"/>
      <c r="L2157" s="4"/>
      <c r="M2157" s="4"/>
      <c r="N2157" s="4"/>
      <c r="O2157" s="4"/>
      <c r="P2157" s="4"/>
      <c r="Q2157" s="4"/>
      <c r="R2157" s="4"/>
      <c r="S2157" s="4"/>
      <c r="T2157" s="4"/>
      <c r="U2157" s="4"/>
      <c r="V2157" s="4"/>
      <c r="W2157" s="4"/>
      <c r="X2157" s="4"/>
      <c r="Y2157" s="4"/>
      <c r="Z2157" s="4"/>
      <c r="AA2157" s="4"/>
      <c r="AB2157" s="4"/>
      <c r="AC2157" s="4"/>
      <c r="AD2157" s="4"/>
      <c r="AE2157" s="4"/>
      <c r="AF2157" s="4"/>
      <c r="AG2157" s="4"/>
      <c r="AH2157" s="4"/>
      <c r="AI2157" s="4"/>
      <c r="AJ2157" s="4"/>
      <c r="AK2157" s="4"/>
      <c r="AL2157" s="4"/>
      <c r="AM2157" s="4"/>
      <c r="AN2157" s="4"/>
      <c r="AO2157" s="4"/>
      <c r="AP2157" s="4"/>
      <c r="AQ2157" s="4"/>
      <c r="AR2157" s="4"/>
      <c r="AS2157" s="4"/>
      <c r="AT2157" s="4"/>
      <c r="AU2157" s="4"/>
      <c r="AV2157" s="4"/>
      <c r="AW2157" s="4"/>
      <c r="AX2157" s="4"/>
      <c r="AY2157" s="4"/>
      <c r="AZ2157" s="4"/>
      <c r="BA2157" s="4"/>
      <c r="BB2157" s="4"/>
      <c r="BC2157" s="4"/>
      <c r="BD2157" s="4"/>
      <c r="BE2157" s="4"/>
      <c r="BF2157" s="4"/>
      <c r="BG2157" s="4"/>
      <c r="BH2157" s="4"/>
      <c r="BI2157" s="4"/>
      <c r="BJ2157" s="4"/>
      <c r="BK2157" s="4"/>
      <c r="BL2157" s="4"/>
      <c r="BM2157" s="4"/>
      <c r="BN2157" s="4"/>
      <c r="BO2157" s="4"/>
      <c r="BP2157" s="4"/>
      <c r="BQ2157" s="4"/>
      <c r="BR2157" s="4"/>
      <c r="BS2157" s="4"/>
      <c r="BT2157" s="4"/>
      <c r="BU2157" s="4"/>
      <c r="BV2157" s="4"/>
      <c r="BW2157" s="4"/>
      <c r="BX2157" s="4"/>
      <c r="BY2157" s="4"/>
      <c r="BZ2157" s="4"/>
      <c r="CA2157" s="4"/>
      <c r="CB2157" s="4"/>
      <c r="CC2157" s="4"/>
      <c r="CD2157" s="4"/>
      <c r="CE2157" s="4"/>
      <c r="CF2157" s="4"/>
      <c r="CG2157" s="4"/>
      <c r="CH2157" s="4"/>
      <c r="CI2157" s="4"/>
      <c r="CJ2157" s="4"/>
      <c r="CK2157" s="4"/>
      <c r="CL2157" s="4"/>
      <c r="CM2157" s="4"/>
      <c r="CN2157" s="4"/>
      <c r="CO2157" s="4"/>
      <c r="CP2157" s="4"/>
      <c r="CQ2157" s="4"/>
      <c r="CR2157" s="4"/>
      <c r="CS2157" s="4"/>
      <c r="CT2157" s="4"/>
      <c r="CU2157" s="4"/>
      <c r="CV2157" s="4"/>
      <c r="CW2157" s="4"/>
      <c r="CX2157" s="4"/>
      <c r="CY2157" s="4"/>
      <c r="CZ2157" s="4"/>
      <c r="DA2157" s="4"/>
      <c r="DB2157" s="4"/>
      <c r="DC2157" s="4"/>
      <c r="DD2157" s="4"/>
      <c r="DE2157" s="4"/>
      <c r="DF2157" s="4"/>
      <c r="DG2157" s="4"/>
      <c r="DH2157" s="4"/>
      <c r="DI2157" s="4"/>
      <c r="DJ2157" s="4"/>
      <c r="DK2157" s="4"/>
      <c r="DL2157" s="4"/>
      <c r="DM2157" s="4"/>
      <c r="DN2157" s="4"/>
      <c r="DO2157" s="4"/>
      <c r="DP2157" s="4"/>
      <c r="DQ2157" s="4"/>
      <c r="DR2157" s="4"/>
      <c r="DS2157" s="4"/>
    </row>
    <row r="2158">
      <c r="A2158" s="4"/>
      <c r="B2158" s="4"/>
      <c r="C2158" s="4"/>
      <c r="D2158" s="4"/>
      <c r="E2158" s="4"/>
      <c r="F2158" s="4" t="s">
        <v>17</v>
      </c>
      <c r="G2158" s="15"/>
      <c r="H2158" s="4"/>
      <c r="I2158" s="4"/>
      <c r="J2158" s="4"/>
      <c r="K2158" s="4"/>
      <c r="L2158" s="4"/>
      <c r="M2158" s="4"/>
      <c r="N2158" s="4"/>
      <c r="O2158" s="4"/>
      <c r="P2158" s="4"/>
      <c r="Q2158" s="4"/>
      <c r="R2158" s="4"/>
      <c r="S2158" s="4"/>
      <c r="T2158" s="4"/>
      <c r="U2158" s="4"/>
      <c r="V2158" s="4"/>
      <c r="W2158" s="4"/>
      <c r="X2158" s="4"/>
      <c r="Y2158" s="4"/>
      <c r="Z2158" s="4"/>
      <c r="AA2158" s="4"/>
      <c r="AB2158" s="4"/>
      <c r="AC2158" s="4"/>
      <c r="AD2158" s="4"/>
      <c r="AE2158" s="4"/>
      <c r="AF2158" s="4"/>
      <c r="AG2158" s="4"/>
      <c r="AH2158" s="4"/>
      <c r="AI2158" s="4"/>
      <c r="AJ2158" s="4"/>
      <c r="AK2158" s="4"/>
      <c r="AL2158" s="4"/>
      <c r="AM2158" s="4"/>
      <c r="AN2158" s="4"/>
      <c r="AO2158" s="4"/>
      <c r="AP2158" s="4"/>
      <c r="AQ2158" s="4"/>
      <c r="AR2158" s="4"/>
      <c r="AS2158" s="4"/>
      <c r="AT2158" s="4"/>
      <c r="AU2158" s="4"/>
      <c r="AV2158" s="4"/>
      <c r="AW2158" s="4"/>
      <c r="AX2158" s="4"/>
      <c r="AY2158" s="4"/>
      <c r="AZ2158" s="4"/>
      <c r="BA2158" s="4"/>
      <c r="BB2158" s="4"/>
      <c r="BC2158" s="4"/>
      <c r="BD2158" s="4"/>
      <c r="BE2158" s="4"/>
      <c r="BF2158" s="4"/>
      <c r="BG2158" s="4"/>
      <c r="BH2158" s="4"/>
      <c r="BI2158" s="4"/>
      <c r="BJ2158" s="4"/>
      <c r="BK2158" s="4"/>
      <c r="BL2158" s="4"/>
      <c r="BM2158" s="4"/>
      <c r="BN2158" s="4"/>
      <c r="BO2158" s="4"/>
      <c r="BP2158" s="4"/>
      <c r="BQ2158" s="4"/>
      <c r="BR2158" s="4"/>
      <c r="BS2158" s="4"/>
      <c r="BT2158" s="4"/>
      <c r="BU2158" s="4"/>
      <c r="BV2158" s="4"/>
      <c r="BW2158" s="4"/>
      <c r="BX2158" s="4"/>
      <c r="BY2158" s="4"/>
      <c r="BZ2158" s="4"/>
      <c r="CA2158" s="4"/>
      <c r="CB2158" s="4"/>
      <c r="CC2158" s="4"/>
      <c r="CD2158" s="4"/>
      <c r="CE2158" s="4"/>
      <c r="CF2158" s="4"/>
      <c r="CG2158" s="4"/>
      <c r="CH2158" s="4"/>
      <c r="CI2158" s="4"/>
      <c r="CJ2158" s="4"/>
      <c r="CK2158" s="4"/>
      <c r="CL2158" s="4"/>
      <c r="CM2158" s="4"/>
      <c r="CN2158" s="4"/>
      <c r="CO2158" s="4"/>
      <c r="CP2158" s="4"/>
      <c r="CQ2158" s="4"/>
      <c r="CR2158" s="4"/>
      <c r="CS2158" s="4"/>
      <c r="CT2158" s="4"/>
      <c r="CU2158" s="4"/>
      <c r="CV2158" s="4"/>
      <c r="CW2158" s="4"/>
      <c r="CX2158" s="4"/>
      <c r="CY2158" s="4"/>
      <c r="CZ2158" s="4"/>
      <c r="DA2158" s="4"/>
      <c r="DB2158" s="4"/>
      <c r="DC2158" s="4"/>
      <c r="DD2158" s="4"/>
      <c r="DE2158" s="4"/>
      <c r="DF2158" s="4"/>
      <c r="DG2158" s="4"/>
      <c r="DH2158" s="4"/>
      <c r="DI2158" s="4"/>
      <c r="DJ2158" s="4"/>
      <c r="DK2158" s="4"/>
      <c r="DL2158" s="4"/>
      <c r="DM2158" s="4"/>
      <c r="DN2158" s="4"/>
      <c r="DO2158" s="4"/>
      <c r="DP2158" s="4"/>
      <c r="DQ2158" s="4"/>
      <c r="DR2158" s="4"/>
      <c r="DS2158" s="4"/>
    </row>
    <row r="2159">
      <c r="A2159" s="4"/>
      <c r="B2159" s="4"/>
      <c r="C2159" s="4"/>
      <c r="D2159" s="4"/>
      <c r="E2159" s="4"/>
      <c r="F2159" s="4" t="s">
        <v>17</v>
      </c>
      <c r="G2159" s="15"/>
      <c r="H2159" s="4"/>
      <c r="I2159" s="4"/>
      <c r="J2159" s="4"/>
      <c r="K2159" s="4"/>
      <c r="L2159" s="4"/>
      <c r="M2159" s="4"/>
      <c r="N2159" s="4"/>
      <c r="O2159" s="4"/>
      <c r="P2159" s="4"/>
      <c r="Q2159" s="4"/>
      <c r="R2159" s="4"/>
      <c r="S2159" s="4"/>
      <c r="T2159" s="4"/>
      <c r="U2159" s="4"/>
      <c r="V2159" s="4"/>
      <c r="W2159" s="4"/>
      <c r="X2159" s="4"/>
      <c r="Y2159" s="4"/>
      <c r="Z2159" s="4"/>
      <c r="AA2159" s="4"/>
      <c r="AB2159" s="4"/>
      <c r="AC2159" s="4"/>
      <c r="AD2159" s="4"/>
      <c r="AE2159" s="4"/>
      <c r="AF2159" s="4"/>
      <c r="AG2159" s="4"/>
      <c r="AH2159" s="4"/>
      <c r="AI2159" s="4"/>
      <c r="AJ2159" s="4"/>
      <c r="AK2159" s="4"/>
      <c r="AL2159" s="4"/>
      <c r="AM2159" s="4"/>
      <c r="AN2159" s="4"/>
      <c r="AO2159" s="4"/>
      <c r="AP2159" s="4"/>
      <c r="AQ2159" s="4"/>
      <c r="AR2159" s="4"/>
      <c r="AS2159" s="4"/>
      <c r="AT2159" s="4"/>
      <c r="AU2159" s="4"/>
      <c r="AV2159" s="4"/>
      <c r="AW2159" s="4"/>
      <c r="AX2159" s="4"/>
      <c r="AY2159" s="4"/>
      <c r="AZ2159" s="4"/>
      <c r="BA2159" s="4"/>
      <c r="BB2159" s="4"/>
      <c r="BC2159" s="4"/>
      <c r="BD2159" s="4"/>
      <c r="BE2159" s="4"/>
      <c r="BF2159" s="4"/>
      <c r="BG2159" s="4"/>
      <c r="BH2159" s="4"/>
      <c r="BI2159" s="4"/>
      <c r="BJ2159" s="4"/>
      <c r="BK2159" s="4"/>
      <c r="BL2159" s="4"/>
      <c r="BM2159" s="4"/>
      <c r="BN2159" s="4"/>
      <c r="BO2159" s="4"/>
      <c r="BP2159" s="4"/>
      <c r="BQ2159" s="4"/>
      <c r="BR2159" s="4"/>
      <c r="BS2159" s="4"/>
      <c r="BT2159" s="4"/>
      <c r="BU2159" s="4"/>
      <c r="BV2159" s="4"/>
      <c r="BW2159" s="4"/>
      <c r="BX2159" s="4"/>
      <c r="BY2159" s="4"/>
      <c r="BZ2159" s="4"/>
      <c r="CA2159" s="4"/>
      <c r="CB2159" s="4"/>
      <c r="CC2159" s="4"/>
      <c r="CD2159" s="4"/>
      <c r="CE2159" s="4"/>
      <c r="CF2159" s="4"/>
      <c r="CG2159" s="4"/>
      <c r="CH2159" s="4"/>
      <c r="CI2159" s="4"/>
      <c r="CJ2159" s="4"/>
      <c r="CK2159" s="4"/>
      <c r="CL2159" s="4"/>
      <c r="CM2159" s="4"/>
      <c r="CN2159" s="4"/>
      <c r="CO2159" s="4"/>
      <c r="CP2159" s="4"/>
      <c r="CQ2159" s="4"/>
      <c r="CR2159" s="4"/>
      <c r="CS2159" s="4"/>
      <c r="CT2159" s="4"/>
      <c r="CU2159" s="4"/>
      <c r="CV2159" s="4"/>
      <c r="CW2159" s="4"/>
      <c r="CX2159" s="4"/>
      <c r="CY2159" s="4"/>
      <c r="CZ2159" s="4"/>
      <c r="DA2159" s="4"/>
      <c r="DB2159" s="4"/>
      <c r="DC2159" s="4"/>
      <c r="DD2159" s="4"/>
      <c r="DE2159" s="4"/>
      <c r="DF2159" s="4"/>
      <c r="DG2159" s="4"/>
      <c r="DH2159" s="4"/>
      <c r="DI2159" s="4"/>
      <c r="DJ2159" s="4"/>
      <c r="DK2159" s="4"/>
      <c r="DL2159" s="4"/>
      <c r="DM2159" s="4"/>
      <c r="DN2159" s="4"/>
      <c r="DO2159" s="4"/>
      <c r="DP2159" s="4"/>
      <c r="DQ2159" s="4"/>
      <c r="DR2159" s="4"/>
      <c r="DS2159" s="4"/>
    </row>
    <row r="2160">
      <c r="A2160" s="4"/>
      <c r="B2160" s="4"/>
      <c r="C2160" s="4"/>
      <c r="D2160" s="4"/>
      <c r="E2160" s="4"/>
      <c r="F2160" s="4" t="s">
        <v>17</v>
      </c>
      <c r="G2160" s="15"/>
      <c r="H2160" s="4"/>
      <c r="I2160" s="4"/>
      <c r="J2160" s="4"/>
      <c r="K2160" s="4"/>
      <c r="L2160" s="4"/>
      <c r="M2160" s="4"/>
      <c r="N2160" s="4"/>
      <c r="O2160" s="4"/>
      <c r="P2160" s="4"/>
      <c r="Q2160" s="4"/>
      <c r="R2160" s="4"/>
      <c r="S2160" s="4"/>
      <c r="T2160" s="4"/>
      <c r="U2160" s="4"/>
      <c r="V2160" s="4"/>
      <c r="W2160" s="4"/>
      <c r="X2160" s="4"/>
      <c r="Y2160" s="4"/>
      <c r="Z2160" s="4"/>
      <c r="AA2160" s="4"/>
      <c r="AB2160" s="4"/>
      <c r="AC2160" s="4"/>
      <c r="AD2160" s="4"/>
      <c r="AE2160" s="4"/>
      <c r="AF2160" s="4"/>
      <c r="AG2160" s="4"/>
      <c r="AH2160" s="4"/>
      <c r="AI2160" s="4"/>
      <c r="AJ2160" s="4"/>
      <c r="AK2160" s="4"/>
      <c r="AL2160" s="4"/>
      <c r="AM2160" s="4"/>
      <c r="AN2160" s="4"/>
      <c r="AO2160" s="4"/>
      <c r="AP2160" s="4"/>
      <c r="AQ2160" s="4"/>
      <c r="AR2160" s="4"/>
      <c r="AS2160" s="4"/>
      <c r="AT2160" s="4"/>
      <c r="AU2160" s="4"/>
      <c r="AV2160" s="4"/>
      <c r="AW2160" s="4"/>
      <c r="AX2160" s="4"/>
      <c r="AY2160" s="4"/>
      <c r="AZ2160" s="4"/>
      <c r="BA2160" s="4"/>
      <c r="BB2160" s="4"/>
      <c r="BC2160" s="4"/>
      <c r="BD2160" s="4"/>
      <c r="BE2160" s="4"/>
      <c r="BF2160" s="4"/>
      <c r="BG2160" s="4"/>
      <c r="BH2160" s="4"/>
      <c r="BI2160" s="4"/>
      <c r="BJ2160" s="4"/>
      <c r="BK2160" s="4"/>
      <c r="BL2160" s="4"/>
      <c r="BM2160" s="4"/>
      <c r="BN2160" s="4"/>
      <c r="BO2160" s="4"/>
      <c r="BP2160" s="4"/>
      <c r="BQ2160" s="4"/>
      <c r="BR2160" s="4"/>
      <c r="BS2160" s="4"/>
      <c r="BT2160" s="4"/>
      <c r="BU2160" s="4"/>
      <c r="BV2160" s="4"/>
      <c r="BW2160" s="4"/>
      <c r="BX2160" s="4"/>
      <c r="BY2160" s="4"/>
      <c r="BZ2160" s="4"/>
      <c r="CA2160" s="4"/>
      <c r="CB2160" s="4"/>
      <c r="CC2160" s="4"/>
      <c r="CD2160" s="4"/>
      <c r="CE2160" s="4"/>
      <c r="CF2160" s="4"/>
      <c r="CG2160" s="4"/>
      <c r="CH2160" s="4"/>
      <c r="CI2160" s="4"/>
      <c r="CJ2160" s="4"/>
      <c r="CK2160" s="4"/>
      <c r="CL2160" s="4"/>
      <c r="CM2160" s="4"/>
      <c r="CN2160" s="4"/>
      <c r="CO2160" s="4"/>
      <c r="CP2160" s="4"/>
      <c r="CQ2160" s="4"/>
      <c r="CR2160" s="4"/>
      <c r="CS2160" s="4"/>
      <c r="CT2160" s="4"/>
      <c r="CU2160" s="4"/>
      <c r="CV2160" s="4"/>
      <c r="CW2160" s="4"/>
      <c r="CX2160" s="4"/>
      <c r="CY2160" s="4"/>
      <c r="CZ2160" s="4"/>
      <c r="DA2160" s="4"/>
      <c r="DB2160" s="4"/>
      <c r="DC2160" s="4"/>
      <c r="DD2160" s="4"/>
      <c r="DE2160" s="4"/>
      <c r="DF2160" s="4"/>
      <c r="DG2160" s="4"/>
      <c r="DH2160" s="4"/>
      <c r="DI2160" s="4"/>
      <c r="DJ2160" s="4"/>
      <c r="DK2160" s="4"/>
      <c r="DL2160" s="4"/>
      <c r="DM2160" s="4"/>
      <c r="DN2160" s="4"/>
      <c r="DO2160" s="4"/>
      <c r="DP2160" s="4"/>
      <c r="DQ2160" s="4"/>
      <c r="DR2160" s="4"/>
      <c r="DS2160" s="4"/>
    </row>
    <row r="2161">
      <c r="A2161" s="4"/>
      <c r="B2161" s="4"/>
      <c r="C2161" s="4"/>
      <c r="D2161" s="4"/>
      <c r="E2161" s="4"/>
      <c r="F2161" s="4" t="s">
        <v>17</v>
      </c>
      <c r="G2161" s="15"/>
      <c r="H2161" s="4"/>
      <c r="I2161" s="4"/>
      <c r="J2161" s="4"/>
      <c r="K2161" s="4"/>
      <c r="L2161" s="4"/>
      <c r="M2161" s="4"/>
      <c r="N2161" s="4"/>
      <c r="O2161" s="4"/>
      <c r="P2161" s="4"/>
      <c r="Q2161" s="4"/>
      <c r="R2161" s="4"/>
      <c r="S2161" s="4"/>
      <c r="T2161" s="4"/>
      <c r="U2161" s="4"/>
      <c r="V2161" s="4"/>
      <c r="W2161" s="4"/>
      <c r="X2161" s="4"/>
      <c r="Y2161" s="4"/>
      <c r="Z2161" s="4"/>
      <c r="AA2161" s="4"/>
      <c r="AB2161" s="4"/>
      <c r="AC2161" s="4"/>
      <c r="AD2161" s="4"/>
      <c r="AE2161" s="4"/>
      <c r="AF2161" s="4"/>
      <c r="AG2161" s="4"/>
      <c r="AH2161" s="4"/>
      <c r="AI2161" s="4"/>
      <c r="AJ2161" s="4"/>
      <c r="AK2161" s="4"/>
      <c r="AL2161" s="4"/>
      <c r="AM2161" s="4"/>
      <c r="AN2161" s="4"/>
      <c r="AO2161" s="4"/>
      <c r="AP2161" s="4"/>
      <c r="AQ2161" s="4"/>
      <c r="AR2161" s="4"/>
      <c r="AS2161" s="4"/>
      <c r="AT2161" s="4"/>
      <c r="AU2161" s="4"/>
      <c r="AV2161" s="4"/>
      <c r="AW2161" s="4"/>
      <c r="AX2161" s="4"/>
      <c r="AY2161" s="4"/>
      <c r="AZ2161" s="4"/>
      <c r="BA2161" s="4"/>
      <c r="BB2161" s="4"/>
      <c r="BC2161" s="4"/>
      <c r="BD2161" s="4"/>
      <c r="BE2161" s="4"/>
      <c r="BF2161" s="4"/>
      <c r="BG2161" s="4"/>
      <c r="BH2161" s="4"/>
      <c r="BI2161" s="4"/>
      <c r="BJ2161" s="4"/>
      <c r="BK2161" s="4"/>
      <c r="BL2161" s="4"/>
      <c r="BM2161" s="4"/>
      <c r="BN2161" s="4"/>
      <c r="BO2161" s="4"/>
      <c r="BP2161" s="4"/>
      <c r="BQ2161" s="4"/>
      <c r="BR2161" s="4"/>
      <c r="BS2161" s="4"/>
      <c r="BT2161" s="4"/>
      <c r="BU2161" s="4"/>
      <c r="BV2161" s="4"/>
      <c r="BW2161" s="4"/>
      <c r="BX2161" s="4"/>
      <c r="BY2161" s="4"/>
      <c r="BZ2161" s="4"/>
      <c r="CA2161" s="4"/>
      <c r="CB2161" s="4"/>
      <c r="CC2161" s="4"/>
      <c r="CD2161" s="4"/>
      <c r="CE2161" s="4"/>
      <c r="CF2161" s="4"/>
      <c r="CG2161" s="4"/>
      <c r="CH2161" s="4"/>
      <c r="CI2161" s="4"/>
      <c r="CJ2161" s="4"/>
      <c r="CK2161" s="4"/>
      <c r="CL2161" s="4"/>
      <c r="CM2161" s="4"/>
      <c r="CN2161" s="4"/>
      <c r="CO2161" s="4"/>
      <c r="CP2161" s="4"/>
      <c r="CQ2161" s="4"/>
      <c r="CR2161" s="4"/>
      <c r="CS2161" s="4"/>
      <c r="CT2161" s="4"/>
      <c r="CU2161" s="4"/>
      <c r="CV2161" s="4"/>
      <c r="CW2161" s="4"/>
      <c r="CX2161" s="4"/>
      <c r="CY2161" s="4"/>
      <c r="CZ2161" s="4"/>
      <c r="DA2161" s="4"/>
      <c r="DB2161" s="4"/>
      <c r="DC2161" s="4"/>
      <c r="DD2161" s="4"/>
      <c r="DE2161" s="4"/>
      <c r="DF2161" s="4"/>
      <c r="DG2161" s="4"/>
      <c r="DH2161" s="4"/>
      <c r="DI2161" s="4"/>
      <c r="DJ2161" s="4"/>
      <c r="DK2161" s="4"/>
      <c r="DL2161" s="4"/>
      <c r="DM2161" s="4"/>
      <c r="DN2161" s="4"/>
      <c r="DO2161" s="4"/>
      <c r="DP2161" s="4"/>
      <c r="DQ2161" s="4"/>
      <c r="DR2161" s="4"/>
      <c r="DS2161" s="4"/>
    </row>
    <row r="2162">
      <c r="A2162" s="4"/>
      <c r="B2162" s="4"/>
      <c r="C2162" s="4"/>
      <c r="D2162" s="4"/>
      <c r="E2162" s="4"/>
      <c r="F2162" s="4" t="s">
        <v>17</v>
      </c>
      <c r="G2162" s="15"/>
      <c r="H2162" s="4"/>
      <c r="I2162" s="4"/>
      <c r="J2162" s="4"/>
      <c r="K2162" s="4"/>
      <c r="L2162" s="4"/>
      <c r="M2162" s="4"/>
      <c r="N2162" s="4"/>
      <c r="O2162" s="4"/>
      <c r="P2162" s="4"/>
      <c r="Q2162" s="4"/>
      <c r="R2162" s="4"/>
      <c r="S2162" s="4"/>
      <c r="T2162" s="4"/>
      <c r="U2162" s="4"/>
      <c r="V2162" s="4"/>
      <c r="W2162" s="4"/>
      <c r="X2162" s="4"/>
      <c r="Y2162" s="4"/>
      <c r="Z2162" s="4"/>
      <c r="AA2162" s="4"/>
      <c r="AB2162" s="4"/>
      <c r="AC2162" s="4"/>
      <c r="AD2162" s="4"/>
      <c r="AE2162" s="4"/>
      <c r="AF2162" s="4"/>
      <c r="AG2162" s="4"/>
      <c r="AH2162" s="4"/>
      <c r="AI2162" s="4"/>
      <c r="AJ2162" s="4"/>
      <c r="AK2162" s="4"/>
      <c r="AL2162" s="4"/>
      <c r="AM2162" s="4"/>
      <c r="AN2162" s="4"/>
      <c r="AO2162" s="4"/>
      <c r="AP2162" s="4"/>
      <c r="AQ2162" s="4"/>
      <c r="AR2162" s="4"/>
      <c r="AS2162" s="4"/>
      <c r="AT2162" s="4"/>
      <c r="AU2162" s="4"/>
      <c r="AV2162" s="4"/>
      <c r="AW2162" s="4"/>
      <c r="AX2162" s="4"/>
      <c r="AY2162" s="4"/>
      <c r="AZ2162" s="4"/>
      <c r="BA2162" s="4"/>
      <c r="BB2162" s="4"/>
      <c r="BC2162" s="4"/>
      <c r="BD2162" s="4"/>
      <c r="BE2162" s="4"/>
      <c r="BF2162" s="4"/>
      <c r="BG2162" s="4"/>
      <c r="BH2162" s="4"/>
      <c r="BI2162" s="4"/>
      <c r="BJ2162" s="4"/>
      <c r="BK2162" s="4"/>
      <c r="BL2162" s="4"/>
      <c r="BM2162" s="4"/>
      <c r="BN2162" s="4"/>
      <c r="BO2162" s="4"/>
      <c r="BP2162" s="4"/>
      <c r="BQ2162" s="4"/>
      <c r="BR2162" s="4"/>
      <c r="BS2162" s="4"/>
      <c r="BT2162" s="4"/>
      <c r="BU2162" s="4"/>
      <c r="BV2162" s="4"/>
      <c r="BW2162" s="4"/>
      <c r="BX2162" s="4"/>
      <c r="BY2162" s="4"/>
      <c r="BZ2162" s="4"/>
      <c r="CA2162" s="4"/>
      <c r="CB2162" s="4"/>
      <c r="CC2162" s="4"/>
      <c r="CD2162" s="4"/>
      <c r="CE2162" s="4"/>
      <c r="CF2162" s="4"/>
      <c r="CG2162" s="4"/>
      <c r="CH2162" s="4"/>
      <c r="CI2162" s="4"/>
      <c r="CJ2162" s="4"/>
      <c r="CK2162" s="4"/>
      <c r="CL2162" s="4"/>
      <c r="CM2162" s="4"/>
      <c r="CN2162" s="4"/>
      <c r="CO2162" s="4"/>
      <c r="CP2162" s="4"/>
      <c r="CQ2162" s="4"/>
      <c r="CR2162" s="4"/>
      <c r="CS2162" s="4"/>
      <c r="CT2162" s="4"/>
      <c r="CU2162" s="4"/>
      <c r="CV2162" s="4"/>
      <c r="CW2162" s="4"/>
      <c r="CX2162" s="4"/>
      <c r="CY2162" s="4"/>
      <c r="CZ2162" s="4"/>
      <c r="DA2162" s="4"/>
      <c r="DB2162" s="4"/>
      <c r="DC2162" s="4"/>
      <c r="DD2162" s="4"/>
      <c r="DE2162" s="4"/>
      <c r="DF2162" s="4"/>
      <c r="DG2162" s="4"/>
      <c r="DH2162" s="4"/>
      <c r="DI2162" s="4"/>
      <c r="DJ2162" s="4"/>
      <c r="DK2162" s="4"/>
      <c r="DL2162" s="4"/>
      <c r="DM2162" s="4"/>
      <c r="DN2162" s="4"/>
      <c r="DO2162" s="4"/>
      <c r="DP2162" s="4"/>
      <c r="DQ2162" s="4"/>
      <c r="DR2162" s="4"/>
      <c r="DS2162" s="4"/>
    </row>
    <row r="2163">
      <c r="A2163" s="4"/>
      <c r="B2163" s="4"/>
      <c r="C2163" s="4"/>
      <c r="D2163" s="4"/>
      <c r="E2163" s="4"/>
      <c r="F2163" s="4" t="s">
        <v>17</v>
      </c>
      <c r="G2163" s="15"/>
      <c r="H2163" s="4"/>
      <c r="I2163" s="4"/>
      <c r="J2163" s="4"/>
      <c r="K2163" s="4"/>
      <c r="L2163" s="4"/>
      <c r="M2163" s="4"/>
      <c r="N2163" s="4"/>
      <c r="O2163" s="4"/>
      <c r="P2163" s="4"/>
      <c r="Q2163" s="4"/>
      <c r="R2163" s="4"/>
      <c r="S2163" s="4"/>
      <c r="T2163" s="4"/>
      <c r="U2163" s="4"/>
      <c r="V2163" s="4"/>
      <c r="W2163" s="4"/>
      <c r="X2163" s="4"/>
      <c r="Y2163" s="4"/>
      <c r="Z2163" s="4"/>
      <c r="AA2163" s="4"/>
      <c r="AB2163" s="4"/>
      <c r="AC2163" s="4"/>
      <c r="AD2163" s="4"/>
      <c r="AE2163" s="4"/>
      <c r="AF2163" s="4"/>
      <c r="AG2163" s="4"/>
      <c r="AH2163" s="4"/>
      <c r="AI2163" s="4"/>
      <c r="AJ2163" s="4"/>
      <c r="AK2163" s="4"/>
      <c r="AL2163" s="4"/>
      <c r="AM2163" s="4"/>
      <c r="AN2163" s="4"/>
      <c r="AO2163" s="4"/>
      <c r="AP2163" s="4"/>
      <c r="AQ2163" s="4"/>
      <c r="AR2163" s="4"/>
      <c r="AS2163" s="4"/>
      <c r="AT2163" s="4"/>
      <c r="AU2163" s="4"/>
      <c r="AV2163" s="4"/>
      <c r="AW2163" s="4"/>
      <c r="AX2163" s="4"/>
      <c r="AY2163" s="4"/>
      <c r="AZ2163" s="4"/>
      <c r="BA2163" s="4"/>
      <c r="BB2163" s="4"/>
      <c r="BC2163" s="4"/>
      <c r="BD2163" s="4"/>
      <c r="BE2163" s="4"/>
      <c r="BF2163" s="4"/>
      <c r="BG2163" s="4"/>
      <c r="BH2163" s="4"/>
      <c r="BI2163" s="4"/>
      <c r="BJ2163" s="4"/>
      <c r="BK2163" s="4"/>
      <c r="BL2163" s="4"/>
      <c r="BM2163" s="4"/>
      <c r="BN2163" s="4"/>
      <c r="BO2163" s="4"/>
      <c r="BP2163" s="4"/>
      <c r="BQ2163" s="4"/>
      <c r="BR2163" s="4"/>
      <c r="BS2163" s="4"/>
      <c r="BT2163" s="4"/>
      <c r="BU2163" s="4"/>
      <c r="BV2163" s="4"/>
      <c r="BW2163" s="4"/>
      <c r="BX2163" s="4"/>
      <c r="BY2163" s="4"/>
      <c r="BZ2163" s="4"/>
      <c r="CA2163" s="4"/>
      <c r="CB2163" s="4"/>
      <c r="CC2163" s="4"/>
      <c r="CD2163" s="4"/>
      <c r="CE2163" s="4"/>
      <c r="CF2163" s="4"/>
      <c r="CG2163" s="4"/>
      <c r="CH2163" s="4"/>
      <c r="CI2163" s="4"/>
      <c r="CJ2163" s="4"/>
      <c r="CK2163" s="4"/>
      <c r="CL2163" s="4"/>
      <c r="CM2163" s="4"/>
      <c r="CN2163" s="4"/>
      <c r="CO2163" s="4"/>
      <c r="CP2163" s="4"/>
      <c r="CQ2163" s="4"/>
      <c r="CR2163" s="4"/>
      <c r="CS2163" s="4"/>
      <c r="CT2163" s="4"/>
      <c r="CU2163" s="4"/>
      <c r="CV2163" s="4"/>
      <c r="CW2163" s="4"/>
      <c r="CX2163" s="4"/>
      <c r="CY2163" s="4"/>
      <c r="CZ2163" s="4"/>
      <c r="DA2163" s="4"/>
      <c r="DB2163" s="4"/>
      <c r="DC2163" s="4"/>
      <c r="DD2163" s="4"/>
      <c r="DE2163" s="4"/>
      <c r="DF2163" s="4"/>
      <c r="DG2163" s="4"/>
      <c r="DH2163" s="4"/>
      <c r="DI2163" s="4"/>
      <c r="DJ2163" s="4"/>
      <c r="DK2163" s="4"/>
      <c r="DL2163" s="4"/>
      <c r="DM2163" s="4"/>
      <c r="DN2163" s="4"/>
      <c r="DO2163" s="4"/>
      <c r="DP2163" s="4"/>
      <c r="DQ2163" s="4"/>
      <c r="DR2163" s="4"/>
      <c r="DS2163" s="4"/>
    </row>
    <row r="2164">
      <c r="A2164" s="4"/>
      <c r="B2164" s="4"/>
      <c r="C2164" s="4"/>
      <c r="D2164" s="4"/>
      <c r="E2164" s="4"/>
      <c r="F2164" s="4" t="s">
        <v>17</v>
      </c>
      <c r="G2164" s="15"/>
      <c r="H2164" s="4"/>
      <c r="I2164" s="4"/>
      <c r="J2164" s="4"/>
      <c r="K2164" s="4"/>
      <c r="L2164" s="4"/>
      <c r="M2164" s="4"/>
      <c r="N2164" s="4"/>
      <c r="O2164" s="4"/>
      <c r="P2164" s="4"/>
      <c r="Q2164" s="4"/>
      <c r="R2164" s="4"/>
      <c r="S2164" s="4"/>
      <c r="T2164" s="4"/>
      <c r="U2164" s="4"/>
      <c r="V2164" s="4"/>
      <c r="W2164" s="4"/>
      <c r="X2164" s="4"/>
      <c r="Y2164" s="4"/>
      <c r="Z2164" s="4"/>
      <c r="AA2164" s="4"/>
      <c r="AB2164" s="4"/>
      <c r="AC2164" s="4"/>
      <c r="AD2164" s="4"/>
      <c r="AE2164" s="4"/>
      <c r="AF2164" s="4"/>
      <c r="AG2164" s="4"/>
      <c r="AH2164" s="4"/>
      <c r="AI2164" s="4"/>
      <c r="AJ2164" s="4"/>
      <c r="AK2164" s="4"/>
      <c r="AL2164" s="4"/>
      <c r="AM2164" s="4"/>
      <c r="AN2164" s="4"/>
      <c r="AO2164" s="4"/>
      <c r="AP2164" s="4"/>
      <c r="AQ2164" s="4"/>
      <c r="AR2164" s="4"/>
      <c r="AS2164" s="4"/>
      <c r="AT2164" s="4"/>
      <c r="AU2164" s="4"/>
      <c r="AV2164" s="4"/>
      <c r="AW2164" s="4"/>
      <c r="AX2164" s="4"/>
      <c r="AY2164" s="4"/>
      <c r="AZ2164" s="4"/>
      <c r="BA2164" s="4"/>
      <c r="BB2164" s="4"/>
      <c r="BC2164" s="4"/>
      <c r="BD2164" s="4"/>
      <c r="BE2164" s="4"/>
      <c r="BF2164" s="4"/>
      <c r="BG2164" s="4"/>
      <c r="BH2164" s="4"/>
      <c r="BI2164" s="4"/>
      <c r="BJ2164" s="4"/>
      <c r="BK2164" s="4"/>
      <c r="BL2164" s="4"/>
      <c r="BM2164" s="4"/>
      <c r="BN2164" s="4"/>
      <c r="BO2164" s="4"/>
      <c r="BP2164" s="4"/>
      <c r="BQ2164" s="4"/>
      <c r="BR2164" s="4"/>
      <c r="BS2164" s="4"/>
      <c r="BT2164" s="4"/>
      <c r="BU2164" s="4"/>
      <c r="BV2164" s="4"/>
      <c r="BW2164" s="4"/>
      <c r="BX2164" s="4"/>
      <c r="BY2164" s="4"/>
      <c r="BZ2164" s="4"/>
      <c r="CA2164" s="4"/>
      <c r="CB2164" s="4"/>
      <c r="CC2164" s="4"/>
      <c r="CD2164" s="4"/>
      <c r="CE2164" s="4"/>
      <c r="CF2164" s="4"/>
      <c r="CG2164" s="4"/>
      <c r="CH2164" s="4"/>
      <c r="CI2164" s="4"/>
      <c r="CJ2164" s="4"/>
      <c r="CK2164" s="4"/>
      <c r="CL2164" s="4"/>
      <c r="CM2164" s="4"/>
      <c r="CN2164" s="4"/>
      <c r="CO2164" s="4"/>
      <c r="CP2164" s="4"/>
      <c r="CQ2164" s="4"/>
      <c r="CR2164" s="4"/>
      <c r="CS2164" s="4"/>
      <c r="CT2164" s="4"/>
      <c r="CU2164" s="4"/>
      <c r="CV2164" s="4"/>
      <c r="CW2164" s="4"/>
      <c r="CX2164" s="4"/>
      <c r="CY2164" s="4"/>
      <c r="CZ2164" s="4"/>
      <c r="DA2164" s="4"/>
      <c r="DB2164" s="4"/>
      <c r="DC2164" s="4"/>
      <c r="DD2164" s="4"/>
      <c r="DE2164" s="4"/>
      <c r="DF2164" s="4"/>
      <c r="DG2164" s="4"/>
      <c r="DH2164" s="4"/>
      <c r="DI2164" s="4"/>
      <c r="DJ2164" s="4"/>
      <c r="DK2164" s="4"/>
      <c r="DL2164" s="4"/>
      <c r="DM2164" s="4"/>
      <c r="DN2164" s="4"/>
      <c r="DO2164" s="4"/>
      <c r="DP2164" s="4"/>
      <c r="DQ2164" s="4"/>
      <c r="DR2164" s="4"/>
      <c r="DS2164" s="4"/>
    </row>
    <row r="2165">
      <c r="A2165" s="4"/>
      <c r="B2165" s="4"/>
      <c r="C2165" s="4"/>
      <c r="D2165" s="4"/>
      <c r="E2165" s="4"/>
      <c r="F2165" s="4" t="s">
        <v>17</v>
      </c>
      <c r="G2165" s="15"/>
      <c r="H2165" s="4"/>
      <c r="I2165" s="4"/>
      <c r="J2165" s="4"/>
      <c r="K2165" s="4"/>
      <c r="L2165" s="4"/>
      <c r="M2165" s="4"/>
      <c r="N2165" s="4"/>
      <c r="O2165" s="4"/>
      <c r="P2165" s="4"/>
      <c r="Q2165" s="4"/>
      <c r="R2165" s="4"/>
      <c r="S2165" s="4"/>
      <c r="T2165" s="4"/>
      <c r="U2165" s="4"/>
      <c r="V2165" s="4"/>
      <c r="W2165" s="4"/>
      <c r="X2165" s="4"/>
      <c r="Y2165" s="4"/>
      <c r="Z2165" s="4"/>
      <c r="AA2165" s="4"/>
      <c r="AB2165" s="4"/>
      <c r="AC2165" s="4"/>
      <c r="AD2165" s="4"/>
      <c r="AE2165" s="4"/>
      <c r="AF2165" s="4"/>
      <c r="AG2165" s="4"/>
      <c r="AH2165" s="4"/>
      <c r="AI2165" s="4"/>
      <c r="AJ2165" s="4"/>
      <c r="AK2165" s="4"/>
      <c r="AL2165" s="4"/>
      <c r="AM2165" s="4"/>
      <c r="AN2165" s="4"/>
      <c r="AO2165" s="4"/>
      <c r="AP2165" s="4"/>
      <c r="AQ2165" s="4"/>
      <c r="AR2165" s="4"/>
      <c r="AS2165" s="4"/>
      <c r="AT2165" s="4"/>
      <c r="AU2165" s="4"/>
      <c r="AV2165" s="4"/>
      <c r="AW2165" s="4"/>
      <c r="AX2165" s="4"/>
      <c r="AY2165" s="4"/>
      <c r="AZ2165" s="4"/>
      <c r="BA2165" s="4"/>
      <c r="BB2165" s="4"/>
      <c r="BC2165" s="4"/>
      <c r="BD2165" s="4"/>
      <c r="BE2165" s="4"/>
      <c r="BF2165" s="4"/>
      <c r="BG2165" s="4"/>
      <c r="BH2165" s="4"/>
      <c r="BI2165" s="4"/>
      <c r="BJ2165" s="4"/>
      <c r="BK2165" s="4"/>
      <c r="BL2165" s="4"/>
      <c r="BM2165" s="4"/>
      <c r="BN2165" s="4"/>
      <c r="BO2165" s="4"/>
      <c r="BP2165" s="4"/>
      <c r="BQ2165" s="4"/>
      <c r="BR2165" s="4"/>
      <c r="BS2165" s="4"/>
      <c r="BT2165" s="4"/>
      <c r="BU2165" s="4"/>
      <c r="BV2165" s="4"/>
      <c r="BW2165" s="4"/>
      <c r="BX2165" s="4"/>
      <c r="BY2165" s="4"/>
      <c r="BZ2165" s="4"/>
      <c r="CA2165" s="4"/>
      <c r="CB2165" s="4"/>
      <c r="CC2165" s="4"/>
      <c r="CD2165" s="4"/>
      <c r="CE2165" s="4"/>
      <c r="CF2165" s="4"/>
      <c r="CG2165" s="4"/>
      <c r="CH2165" s="4"/>
      <c r="CI2165" s="4"/>
      <c r="CJ2165" s="4"/>
      <c r="CK2165" s="4"/>
      <c r="CL2165" s="4"/>
      <c r="CM2165" s="4"/>
      <c r="CN2165" s="4"/>
      <c r="CO2165" s="4"/>
      <c r="CP2165" s="4"/>
      <c r="CQ2165" s="4"/>
      <c r="CR2165" s="4"/>
      <c r="CS2165" s="4"/>
      <c r="CT2165" s="4"/>
      <c r="CU2165" s="4"/>
      <c r="CV2165" s="4"/>
      <c r="CW2165" s="4"/>
      <c r="CX2165" s="4"/>
      <c r="CY2165" s="4"/>
      <c r="CZ2165" s="4"/>
      <c r="DA2165" s="4"/>
      <c r="DB2165" s="4"/>
      <c r="DC2165" s="4"/>
      <c r="DD2165" s="4"/>
      <c r="DE2165" s="4"/>
      <c r="DF2165" s="4"/>
      <c r="DG2165" s="4"/>
      <c r="DH2165" s="4"/>
      <c r="DI2165" s="4"/>
      <c r="DJ2165" s="4"/>
      <c r="DK2165" s="4"/>
      <c r="DL2165" s="4"/>
      <c r="DM2165" s="4"/>
      <c r="DN2165" s="4"/>
      <c r="DO2165" s="4"/>
      <c r="DP2165" s="4"/>
      <c r="DQ2165" s="4"/>
      <c r="DR2165" s="4"/>
      <c r="DS2165" s="4"/>
    </row>
    <row r="2166">
      <c r="A2166" s="4"/>
      <c r="B2166" s="4"/>
      <c r="C2166" s="4"/>
      <c r="D2166" s="4"/>
      <c r="E2166" s="4"/>
      <c r="F2166" s="4" t="s">
        <v>17</v>
      </c>
      <c r="G2166" s="15"/>
      <c r="H2166" s="4"/>
      <c r="I2166" s="4"/>
      <c r="J2166" s="4"/>
      <c r="K2166" s="4"/>
      <c r="L2166" s="4"/>
      <c r="M2166" s="4"/>
      <c r="N2166" s="4"/>
      <c r="O2166" s="4"/>
      <c r="P2166" s="4"/>
      <c r="Q2166" s="4"/>
      <c r="R2166" s="4"/>
      <c r="S2166" s="4"/>
      <c r="T2166" s="4"/>
      <c r="U2166" s="4"/>
      <c r="V2166" s="4"/>
      <c r="W2166" s="4"/>
      <c r="X2166" s="4"/>
      <c r="Y2166" s="4"/>
      <c r="Z2166" s="4"/>
      <c r="AA2166" s="4"/>
      <c r="AB2166" s="4"/>
      <c r="AC2166" s="4"/>
      <c r="AD2166" s="4"/>
      <c r="AE2166" s="4"/>
      <c r="AF2166" s="4"/>
      <c r="AG2166" s="4"/>
      <c r="AH2166" s="4"/>
      <c r="AI2166" s="4"/>
      <c r="AJ2166" s="4"/>
      <c r="AK2166" s="4"/>
      <c r="AL2166" s="4"/>
      <c r="AM2166" s="4"/>
      <c r="AN2166" s="4"/>
      <c r="AO2166" s="4"/>
      <c r="AP2166" s="4"/>
      <c r="AQ2166" s="4"/>
      <c r="AR2166" s="4"/>
      <c r="AS2166" s="4"/>
      <c r="AT2166" s="4"/>
      <c r="AU2166" s="4"/>
      <c r="AV2166" s="4"/>
      <c r="AW2166" s="4"/>
      <c r="AX2166" s="4"/>
      <c r="AY2166" s="4"/>
      <c r="AZ2166" s="4"/>
      <c r="BA2166" s="4"/>
      <c r="BB2166" s="4"/>
      <c r="BC2166" s="4"/>
      <c r="BD2166" s="4"/>
      <c r="BE2166" s="4"/>
      <c r="BF2166" s="4"/>
      <c r="BG2166" s="4"/>
      <c r="BH2166" s="4"/>
      <c r="BI2166" s="4"/>
      <c r="BJ2166" s="4"/>
      <c r="BK2166" s="4"/>
      <c r="BL2166" s="4"/>
      <c r="BM2166" s="4"/>
      <c r="BN2166" s="4"/>
      <c r="BO2166" s="4"/>
      <c r="BP2166" s="4"/>
      <c r="BQ2166" s="4"/>
      <c r="BR2166" s="4"/>
      <c r="BS2166" s="4"/>
      <c r="BT2166" s="4"/>
      <c r="BU2166" s="4"/>
      <c r="BV2166" s="4"/>
      <c r="BW2166" s="4"/>
      <c r="BX2166" s="4"/>
      <c r="BY2166" s="4"/>
      <c r="BZ2166" s="4"/>
      <c r="CA2166" s="4"/>
      <c r="CB2166" s="4"/>
      <c r="CC2166" s="4"/>
      <c r="CD2166" s="4"/>
      <c r="CE2166" s="4"/>
      <c r="CF2166" s="4"/>
      <c r="CG2166" s="4"/>
      <c r="CH2166" s="4"/>
      <c r="CI2166" s="4"/>
      <c r="CJ2166" s="4"/>
      <c r="CK2166" s="4"/>
      <c r="CL2166" s="4"/>
      <c r="CM2166" s="4"/>
      <c r="CN2166" s="4"/>
      <c r="CO2166" s="4"/>
      <c r="CP2166" s="4"/>
      <c r="CQ2166" s="4"/>
      <c r="CR2166" s="4"/>
      <c r="CS2166" s="4"/>
      <c r="CT2166" s="4"/>
      <c r="CU2166" s="4"/>
      <c r="CV2166" s="4"/>
      <c r="CW2166" s="4"/>
      <c r="CX2166" s="4"/>
      <c r="CY2166" s="4"/>
      <c r="CZ2166" s="4"/>
      <c r="DA2166" s="4"/>
      <c r="DB2166" s="4"/>
      <c r="DC2166" s="4"/>
      <c r="DD2166" s="4"/>
      <c r="DE2166" s="4"/>
      <c r="DF2166" s="4"/>
      <c r="DG2166" s="4"/>
      <c r="DH2166" s="4"/>
      <c r="DI2166" s="4"/>
      <c r="DJ2166" s="4"/>
      <c r="DK2166" s="4"/>
      <c r="DL2166" s="4"/>
      <c r="DM2166" s="4"/>
      <c r="DN2166" s="4"/>
      <c r="DO2166" s="4"/>
      <c r="DP2166" s="4"/>
      <c r="DQ2166" s="4"/>
      <c r="DR2166" s="4"/>
      <c r="DS2166" s="4"/>
    </row>
    <row r="2167">
      <c r="A2167" s="4"/>
      <c r="B2167" s="4"/>
      <c r="C2167" s="4"/>
      <c r="D2167" s="4"/>
      <c r="E2167" s="4"/>
      <c r="F2167" s="4" t="s">
        <v>17</v>
      </c>
      <c r="G2167" s="15"/>
      <c r="H2167" s="4"/>
      <c r="I2167" s="4"/>
      <c r="J2167" s="4"/>
      <c r="K2167" s="4"/>
      <c r="L2167" s="4"/>
      <c r="M2167" s="4"/>
      <c r="N2167" s="4"/>
      <c r="O2167" s="4"/>
      <c r="P2167" s="4"/>
      <c r="Q2167" s="4"/>
      <c r="R2167" s="4"/>
      <c r="S2167" s="4"/>
      <c r="T2167" s="4"/>
      <c r="U2167" s="4"/>
      <c r="V2167" s="4"/>
      <c r="W2167" s="4"/>
      <c r="X2167" s="4"/>
      <c r="Y2167" s="4"/>
      <c r="Z2167" s="4"/>
      <c r="AA2167" s="4"/>
      <c r="AB2167" s="4"/>
      <c r="AC2167" s="4"/>
      <c r="AD2167" s="4"/>
      <c r="AE2167" s="4"/>
      <c r="AF2167" s="4"/>
      <c r="AG2167" s="4"/>
      <c r="AH2167" s="4"/>
      <c r="AI2167" s="4"/>
      <c r="AJ2167" s="4"/>
      <c r="AK2167" s="4"/>
      <c r="AL2167" s="4"/>
      <c r="AM2167" s="4"/>
      <c r="AN2167" s="4"/>
      <c r="AO2167" s="4"/>
      <c r="AP2167" s="4"/>
      <c r="AQ2167" s="4"/>
      <c r="AR2167" s="4"/>
      <c r="AS2167" s="4"/>
      <c r="AT2167" s="4"/>
      <c r="AU2167" s="4"/>
      <c r="AV2167" s="4"/>
      <c r="AW2167" s="4"/>
      <c r="AX2167" s="4"/>
      <c r="AY2167" s="4"/>
      <c r="AZ2167" s="4"/>
      <c r="BA2167" s="4"/>
      <c r="BB2167" s="4"/>
      <c r="BC2167" s="4"/>
      <c r="BD2167" s="4"/>
      <c r="BE2167" s="4"/>
      <c r="BF2167" s="4"/>
      <c r="BG2167" s="4"/>
      <c r="BH2167" s="4"/>
      <c r="BI2167" s="4"/>
      <c r="BJ2167" s="4"/>
      <c r="BK2167" s="4"/>
      <c r="BL2167" s="4"/>
      <c r="BM2167" s="4"/>
      <c r="BN2167" s="4"/>
      <c r="BO2167" s="4"/>
      <c r="BP2167" s="4"/>
      <c r="BQ2167" s="4"/>
      <c r="BR2167" s="4"/>
      <c r="BS2167" s="4"/>
      <c r="BT2167" s="4"/>
      <c r="BU2167" s="4"/>
      <c r="BV2167" s="4"/>
      <c r="BW2167" s="4"/>
      <c r="BX2167" s="4"/>
      <c r="BY2167" s="4"/>
      <c r="BZ2167" s="4"/>
      <c r="CA2167" s="4"/>
      <c r="CB2167" s="4"/>
      <c r="CC2167" s="4"/>
      <c r="CD2167" s="4"/>
      <c r="CE2167" s="4"/>
      <c r="CF2167" s="4"/>
      <c r="CG2167" s="4"/>
      <c r="CH2167" s="4"/>
      <c r="CI2167" s="4"/>
      <c r="CJ2167" s="4"/>
      <c r="CK2167" s="4"/>
      <c r="CL2167" s="4"/>
      <c r="CM2167" s="4"/>
      <c r="CN2167" s="4"/>
      <c r="CO2167" s="4"/>
      <c r="CP2167" s="4"/>
      <c r="CQ2167" s="4"/>
      <c r="CR2167" s="4"/>
      <c r="CS2167" s="4"/>
      <c r="CT2167" s="4"/>
      <c r="CU2167" s="4"/>
      <c r="CV2167" s="4"/>
      <c r="CW2167" s="4"/>
      <c r="CX2167" s="4"/>
      <c r="CY2167" s="4"/>
      <c r="CZ2167" s="4"/>
      <c r="DA2167" s="4"/>
      <c r="DB2167" s="4"/>
      <c r="DC2167" s="4"/>
      <c r="DD2167" s="4"/>
      <c r="DE2167" s="4"/>
      <c r="DF2167" s="4"/>
      <c r="DG2167" s="4"/>
      <c r="DH2167" s="4"/>
      <c r="DI2167" s="4"/>
      <c r="DJ2167" s="4"/>
      <c r="DK2167" s="4"/>
      <c r="DL2167" s="4"/>
      <c r="DM2167" s="4"/>
      <c r="DN2167" s="4"/>
      <c r="DO2167" s="4"/>
      <c r="DP2167" s="4"/>
      <c r="DQ2167" s="4"/>
      <c r="DR2167" s="4"/>
      <c r="DS2167" s="4"/>
    </row>
    <row r="2168">
      <c r="A2168" s="4"/>
      <c r="B2168" s="4"/>
      <c r="C2168" s="4"/>
      <c r="D2168" s="4"/>
      <c r="E2168" s="4"/>
      <c r="F2168" s="4" t="s">
        <v>17</v>
      </c>
      <c r="G2168" s="15"/>
      <c r="H2168" s="4"/>
      <c r="I2168" s="4"/>
      <c r="J2168" s="4"/>
      <c r="K2168" s="4"/>
      <c r="L2168" s="4"/>
      <c r="M2168" s="4"/>
      <c r="N2168" s="4"/>
      <c r="O2168" s="4"/>
      <c r="P2168" s="4"/>
      <c r="Q2168" s="4"/>
      <c r="R2168" s="4"/>
      <c r="S2168" s="4"/>
      <c r="T2168" s="4"/>
      <c r="U2168" s="4"/>
      <c r="V2168" s="4"/>
      <c r="W2168" s="4"/>
      <c r="X2168" s="4"/>
      <c r="Y2168" s="4"/>
      <c r="Z2168" s="4"/>
      <c r="AA2168" s="4"/>
      <c r="AB2168" s="4"/>
      <c r="AC2168" s="4"/>
      <c r="AD2168" s="4"/>
      <c r="AE2168" s="4"/>
      <c r="AF2168" s="4"/>
      <c r="AG2168" s="4"/>
      <c r="AH2168" s="4"/>
      <c r="AI2168" s="4"/>
      <c r="AJ2168" s="4"/>
      <c r="AK2168" s="4"/>
      <c r="AL2168" s="4"/>
      <c r="AM2168" s="4"/>
      <c r="AN2168" s="4"/>
      <c r="AO2168" s="4"/>
      <c r="AP2168" s="4"/>
      <c r="AQ2168" s="4"/>
      <c r="AR2168" s="4"/>
      <c r="AS2168" s="4"/>
      <c r="AT2168" s="4"/>
      <c r="AU2168" s="4"/>
      <c r="AV2168" s="4"/>
      <c r="AW2168" s="4"/>
      <c r="AX2168" s="4"/>
      <c r="AY2168" s="4"/>
      <c r="AZ2168" s="4"/>
      <c r="BA2168" s="4"/>
      <c r="BB2168" s="4"/>
      <c r="BC2168" s="4"/>
      <c r="BD2168" s="4"/>
      <c r="BE2168" s="4"/>
      <c r="BF2168" s="4"/>
      <c r="BG2168" s="4"/>
      <c r="BH2168" s="4"/>
      <c r="BI2168" s="4"/>
      <c r="BJ2168" s="4"/>
      <c r="BK2168" s="4"/>
      <c r="BL2168" s="4"/>
      <c r="BM2168" s="4"/>
      <c r="BN2168" s="4"/>
      <c r="BO2168" s="4"/>
      <c r="BP2168" s="4"/>
      <c r="BQ2168" s="4"/>
      <c r="BR2168" s="4"/>
      <c r="BS2168" s="4"/>
      <c r="BT2168" s="4"/>
      <c r="BU2168" s="4"/>
      <c r="BV2168" s="4"/>
      <c r="BW2168" s="4"/>
      <c r="BX2168" s="4"/>
      <c r="BY2168" s="4"/>
      <c r="BZ2168" s="4"/>
      <c r="CA2168" s="4"/>
      <c r="CB2168" s="4"/>
      <c r="CC2168" s="4"/>
      <c r="CD2168" s="4"/>
      <c r="CE2168" s="4"/>
      <c r="CF2168" s="4"/>
      <c r="CG2168" s="4"/>
      <c r="CH2168" s="4"/>
      <c r="CI2168" s="4"/>
      <c r="CJ2168" s="4"/>
      <c r="CK2168" s="4"/>
      <c r="CL2168" s="4"/>
      <c r="CM2168" s="4"/>
      <c r="CN2168" s="4"/>
      <c r="CO2168" s="4"/>
      <c r="CP2168" s="4"/>
      <c r="CQ2168" s="4"/>
      <c r="CR2168" s="4"/>
      <c r="CS2168" s="4"/>
      <c r="CT2168" s="4"/>
      <c r="CU2168" s="4"/>
      <c r="CV2168" s="4"/>
      <c r="CW2168" s="4"/>
      <c r="CX2168" s="4"/>
      <c r="CY2168" s="4"/>
      <c r="CZ2168" s="4"/>
      <c r="DA2168" s="4"/>
      <c r="DB2168" s="4"/>
      <c r="DC2168" s="4"/>
      <c r="DD2168" s="4"/>
      <c r="DE2168" s="4"/>
      <c r="DF2168" s="4"/>
      <c r="DG2168" s="4"/>
      <c r="DH2168" s="4"/>
      <c r="DI2168" s="4"/>
      <c r="DJ2168" s="4"/>
      <c r="DK2168" s="4"/>
      <c r="DL2168" s="4"/>
      <c r="DM2168" s="4"/>
      <c r="DN2168" s="4"/>
      <c r="DO2168" s="4"/>
      <c r="DP2168" s="4"/>
      <c r="DQ2168" s="4"/>
      <c r="DR2168" s="4"/>
      <c r="DS2168" s="4"/>
    </row>
    <row r="2169">
      <c r="A2169" s="4"/>
      <c r="B2169" s="4"/>
      <c r="C2169" s="4"/>
      <c r="D2169" s="4"/>
      <c r="E2169" s="4"/>
      <c r="F2169" s="4" t="s">
        <v>17</v>
      </c>
      <c r="G2169" s="15"/>
      <c r="H2169" s="4"/>
      <c r="I2169" s="4"/>
      <c r="J2169" s="4"/>
      <c r="K2169" s="4"/>
      <c r="L2169" s="4"/>
      <c r="M2169" s="4"/>
      <c r="N2169" s="4"/>
      <c r="O2169" s="4"/>
      <c r="P2169" s="4"/>
      <c r="Q2169" s="4"/>
      <c r="R2169" s="4"/>
      <c r="S2169" s="4"/>
      <c r="T2169" s="4"/>
      <c r="U2169" s="4"/>
      <c r="V2169" s="4"/>
      <c r="W2169" s="4"/>
      <c r="X2169" s="4"/>
      <c r="Y2169" s="4"/>
      <c r="Z2169" s="4"/>
      <c r="AA2169" s="4"/>
      <c r="AB2169" s="4"/>
      <c r="AC2169" s="4"/>
      <c r="AD2169" s="4"/>
      <c r="AE2169" s="4"/>
      <c r="AF2169" s="4"/>
      <c r="AG2169" s="4"/>
      <c r="AH2169" s="4"/>
      <c r="AI2169" s="4"/>
      <c r="AJ2169" s="4"/>
      <c r="AK2169" s="4"/>
      <c r="AL2169" s="4"/>
      <c r="AM2169" s="4"/>
      <c r="AN2169" s="4"/>
      <c r="AO2169" s="4"/>
      <c r="AP2169" s="4"/>
      <c r="AQ2169" s="4"/>
      <c r="AR2169" s="4"/>
      <c r="AS2169" s="4"/>
      <c r="AT2169" s="4"/>
      <c r="AU2169" s="4"/>
      <c r="AV2169" s="4"/>
      <c r="AW2169" s="4"/>
      <c r="AX2169" s="4"/>
      <c r="AY2169" s="4"/>
      <c r="AZ2169" s="4"/>
      <c r="BA2169" s="4"/>
      <c r="BB2169" s="4"/>
      <c r="BC2169" s="4"/>
      <c r="BD2169" s="4"/>
      <c r="BE2169" s="4"/>
      <c r="BF2169" s="4"/>
      <c r="BG2169" s="4"/>
      <c r="BH2169" s="4"/>
      <c r="BI2169" s="4"/>
      <c r="BJ2169" s="4"/>
      <c r="BK2169" s="4"/>
      <c r="BL2169" s="4"/>
      <c r="BM2169" s="4"/>
      <c r="BN2169" s="4"/>
      <c r="BO2169" s="4"/>
      <c r="BP2169" s="4"/>
      <c r="BQ2169" s="4"/>
      <c r="BR2169" s="4"/>
      <c r="BS2169" s="4"/>
      <c r="BT2169" s="4"/>
      <c r="BU2169" s="4"/>
      <c r="BV2169" s="4"/>
      <c r="BW2169" s="4"/>
      <c r="BX2169" s="4"/>
      <c r="BY2169" s="4"/>
      <c r="BZ2169" s="4"/>
      <c r="CA2169" s="4"/>
      <c r="CB2169" s="4"/>
      <c r="CC2169" s="4"/>
      <c r="CD2169" s="4"/>
      <c r="CE2169" s="4"/>
      <c r="CF2169" s="4"/>
      <c r="CG2169" s="4"/>
      <c r="CH2169" s="4"/>
      <c r="CI2169" s="4"/>
      <c r="CJ2169" s="4"/>
      <c r="CK2169" s="4"/>
      <c r="CL2169" s="4"/>
      <c r="CM2169" s="4"/>
      <c r="CN2169" s="4"/>
      <c r="CO2169" s="4"/>
      <c r="CP2169" s="4"/>
      <c r="CQ2169" s="4"/>
      <c r="CR2169" s="4"/>
      <c r="CS2169" s="4"/>
      <c r="CT2169" s="4"/>
      <c r="CU2169" s="4"/>
      <c r="CV2169" s="4"/>
      <c r="CW2169" s="4"/>
      <c r="CX2169" s="4"/>
      <c r="CY2169" s="4"/>
      <c r="CZ2169" s="4"/>
      <c r="DA2169" s="4"/>
      <c r="DB2169" s="4"/>
      <c r="DC2169" s="4"/>
      <c r="DD2169" s="4"/>
      <c r="DE2169" s="4"/>
      <c r="DF2169" s="4"/>
      <c r="DG2169" s="4"/>
      <c r="DH2169" s="4"/>
      <c r="DI2169" s="4"/>
      <c r="DJ2169" s="4"/>
      <c r="DK2169" s="4"/>
      <c r="DL2169" s="4"/>
      <c r="DM2169" s="4"/>
      <c r="DN2169" s="4"/>
      <c r="DO2169" s="4"/>
      <c r="DP2169" s="4"/>
      <c r="DQ2169" s="4"/>
      <c r="DR2169" s="4"/>
      <c r="DS2169" s="4"/>
    </row>
    <row r="2170">
      <c r="A2170" s="4"/>
      <c r="B2170" s="4"/>
      <c r="C2170" s="4"/>
      <c r="D2170" s="4"/>
      <c r="E2170" s="4"/>
      <c r="F2170" s="4" t="s">
        <v>17</v>
      </c>
      <c r="G2170" s="15"/>
      <c r="H2170" s="4"/>
      <c r="I2170" s="4"/>
      <c r="J2170" s="4"/>
      <c r="K2170" s="4"/>
      <c r="L2170" s="4"/>
      <c r="M2170" s="4"/>
      <c r="N2170" s="4"/>
      <c r="O2170" s="4"/>
      <c r="P2170" s="4"/>
      <c r="Q2170" s="4"/>
      <c r="R2170" s="4"/>
      <c r="S2170" s="4"/>
      <c r="T2170" s="4"/>
      <c r="U2170" s="4"/>
      <c r="V2170" s="4"/>
      <c r="W2170" s="4"/>
      <c r="X2170" s="4"/>
      <c r="Y2170" s="4"/>
      <c r="Z2170" s="4"/>
      <c r="AA2170" s="4"/>
      <c r="AB2170" s="4"/>
      <c r="AC2170" s="4"/>
      <c r="AD2170" s="4"/>
      <c r="AE2170" s="4"/>
      <c r="AF2170" s="4"/>
      <c r="AG2170" s="4"/>
      <c r="AH2170" s="4"/>
      <c r="AI2170" s="4"/>
      <c r="AJ2170" s="4"/>
      <c r="AK2170" s="4"/>
      <c r="AL2170" s="4"/>
      <c r="AM2170" s="4"/>
      <c r="AN2170" s="4"/>
      <c r="AO2170" s="4"/>
      <c r="AP2170" s="4"/>
      <c r="AQ2170" s="4"/>
      <c r="AR2170" s="4"/>
      <c r="AS2170" s="4"/>
      <c r="AT2170" s="4"/>
      <c r="AU2170" s="4"/>
      <c r="AV2170" s="4"/>
      <c r="AW2170" s="4"/>
      <c r="AX2170" s="4"/>
      <c r="AY2170" s="4"/>
      <c r="AZ2170" s="4"/>
      <c r="BA2170" s="4"/>
      <c r="BB2170" s="4"/>
      <c r="BC2170" s="4"/>
      <c r="BD2170" s="4"/>
      <c r="BE2170" s="4"/>
      <c r="BF2170" s="4"/>
      <c r="BG2170" s="4"/>
      <c r="BH2170" s="4"/>
      <c r="BI2170" s="4"/>
      <c r="BJ2170" s="4"/>
      <c r="BK2170" s="4"/>
      <c r="BL2170" s="4"/>
      <c r="BM2170" s="4"/>
      <c r="BN2170" s="4"/>
      <c r="BO2170" s="4"/>
      <c r="BP2170" s="4"/>
      <c r="BQ2170" s="4"/>
      <c r="BR2170" s="4"/>
      <c r="BS2170" s="4"/>
      <c r="BT2170" s="4"/>
      <c r="BU2170" s="4"/>
      <c r="BV2170" s="4"/>
      <c r="BW2170" s="4"/>
      <c r="BX2170" s="4"/>
      <c r="BY2170" s="4"/>
      <c r="BZ2170" s="4"/>
      <c r="CA2170" s="4"/>
      <c r="CB2170" s="4"/>
      <c r="CC2170" s="4"/>
      <c r="CD2170" s="4"/>
      <c r="CE2170" s="4"/>
      <c r="CF2170" s="4"/>
      <c r="CG2170" s="4"/>
      <c r="CH2170" s="4"/>
      <c r="CI2170" s="4"/>
      <c r="CJ2170" s="4"/>
      <c r="CK2170" s="4"/>
      <c r="CL2170" s="4"/>
      <c r="CM2170" s="4"/>
      <c r="CN2170" s="4"/>
      <c r="CO2170" s="4"/>
      <c r="CP2170" s="4"/>
      <c r="CQ2170" s="4"/>
      <c r="CR2170" s="4"/>
      <c r="CS2170" s="4"/>
      <c r="CT2170" s="4"/>
      <c r="CU2170" s="4"/>
      <c r="CV2170" s="4"/>
      <c r="CW2170" s="4"/>
      <c r="CX2170" s="4"/>
      <c r="CY2170" s="4"/>
      <c r="CZ2170" s="4"/>
      <c r="DA2170" s="4"/>
      <c r="DB2170" s="4"/>
      <c r="DC2170" s="4"/>
      <c r="DD2170" s="4"/>
      <c r="DE2170" s="4"/>
      <c r="DF2170" s="4"/>
      <c r="DG2170" s="4"/>
      <c r="DH2170" s="4"/>
      <c r="DI2170" s="4"/>
      <c r="DJ2170" s="4"/>
      <c r="DK2170" s="4"/>
      <c r="DL2170" s="4"/>
      <c r="DM2170" s="4"/>
      <c r="DN2170" s="4"/>
      <c r="DO2170" s="4"/>
      <c r="DP2170" s="4"/>
      <c r="DQ2170" s="4"/>
      <c r="DR2170" s="4"/>
      <c r="DS2170" s="4"/>
    </row>
    <row r="2171">
      <c r="A2171" s="4"/>
      <c r="B2171" s="4"/>
      <c r="C2171" s="4"/>
      <c r="D2171" s="4"/>
      <c r="E2171" s="4"/>
      <c r="F2171" s="4" t="s">
        <v>17</v>
      </c>
      <c r="G2171" s="15"/>
      <c r="H2171" s="4"/>
      <c r="I2171" s="4"/>
      <c r="J2171" s="4"/>
      <c r="K2171" s="4"/>
      <c r="L2171" s="4"/>
      <c r="M2171" s="4"/>
      <c r="N2171" s="4"/>
      <c r="O2171" s="4"/>
      <c r="P2171" s="4"/>
      <c r="Q2171" s="4"/>
      <c r="R2171" s="4"/>
      <c r="S2171" s="4"/>
      <c r="T2171" s="4"/>
      <c r="U2171" s="4"/>
      <c r="V2171" s="4"/>
      <c r="W2171" s="4"/>
      <c r="X2171" s="4"/>
      <c r="Y2171" s="4"/>
      <c r="Z2171" s="4"/>
      <c r="AA2171" s="4"/>
      <c r="AB2171" s="4"/>
      <c r="AC2171" s="4"/>
      <c r="AD2171" s="4"/>
      <c r="AE2171" s="4"/>
      <c r="AF2171" s="4"/>
      <c r="AG2171" s="4"/>
      <c r="AH2171" s="4"/>
      <c r="AI2171" s="4"/>
      <c r="AJ2171" s="4"/>
      <c r="AK2171" s="4"/>
      <c r="AL2171" s="4"/>
      <c r="AM2171" s="4"/>
      <c r="AN2171" s="4"/>
      <c r="AO2171" s="4"/>
      <c r="AP2171" s="4"/>
      <c r="AQ2171" s="4"/>
      <c r="AR2171" s="4"/>
      <c r="AS2171" s="4"/>
      <c r="AT2171" s="4"/>
      <c r="AU2171" s="4"/>
      <c r="AV2171" s="4"/>
      <c r="AW2171" s="4"/>
      <c r="AX2171" s="4"/>
      <c r="AY2171" s="4"/>
      <c r="AZ2171" s="4"/>
      <c r="BA2171" s="4"/>
      <c r="BB2171" s="4"/>
      <c r="BC2171" s="4"/>
      <c r="BD2171" s="4"/>
      <c r="BE2171" s="4"/>
      <c r="BF2171" s="4"/>
      <c r="BG2171" s="4"/>
      <c r="BH2171" s="4"/>
      <c r="BI2171" s="4"/>
      <c r="BJ2171" s="4"/>
      <c r="BK2171" s="4"/>
      <c r="BL2171" s="4"/>
      <c r="BM2171" s="4"/>
      <c r="BN2171" s="4"/>
      <c r="BO2171" s="4"/>
      <c r="BP2171" s="4"/>
      <c r="BQ2171" s="4"/>
      <c r="BR2171" s="4"/>
      <c r="BS2171" s="4"/>
      <c r="BT2171" s="4"/>
      <c r="BU2171" s="4"/>
      <c r="BV2171" s="4"/>
      <c r="BW2171" s="4"/>
      <c r="BX2171" s="4"/>
      <c r="BY2171" s="4"/>
      <c r="BZ2171" s="4"/>
      <c r="CA2171" s="4"/>
      <c r="CB2171" s="4"/>
      <c r="CC2171" s="4"/>
      <c r="CD2171" s="4"/>
      <c r="CE2171" s="4"/>
      <c r="CF2171" s="4"/>
      <c r="CG2171" s="4"/>
      <c r="CH2171" s="4"/>
      <c r="CI2171" s="4"/>
      <c r="CJ2171" s="4"/>
      <c r="CK2171" s="4"/>
      <c r="CL2171" s="4"/>
      <c r="CM2171" s="4"/>
      <c r="CN2171" s="4"/>
      <c r="CO2171" s="4"/>
      <c r="CP2171" s="4"/>
      <c r="CQ2171" s="4"/>
      <c r="CR2171" s="4"/>
      <c r="CS2171" s="4"/>
      <c r="CT2171" s="4"/>
      <c r="CU2171" s="4"/>
      <c r="CV2171" s="4"/>
      <c r="CW2171" s="4"/>
      <c r="CX2171" s="4"/>
      <c r="CY2171" s="4"/>
      <c r="CZ2171" s="4"/>
      <c r="DA2171" s="4"/>
      <c r="DB2171" s="4"/>
      <c r="DC2171" s="4"/>
      <c r="DD2171" s="4"/>
      <c r="DE2171" s="4"/>
      <c r="DF2171" s="4"/>
      <c r="DG2171" s="4"/>
      <c r="DH2171" s="4"/>
      <c r="DI2171" s="4"/>
      <c r="DJ2171" s="4"/>
      <c r="DK2171" s="4"/>
      <c r="DL2171" s="4"/>
      <c r="DM2171" s="4"/>
      <c r="DN2171" s="4"/>
      <c r="DO2171" s="4"/>
      <c r="DP2171" s="4"/>
      <c r="DQ2171" s="4"/>
      <c r="DR2171" s="4"/>
      <c r="DS2171" s="4"/>
    </row>
    <row r="2172">
      <c r="A2172" s="4"/>
      <c r="B2172" s="4"/>
      <c r="C2172" s="4"/>
      <c r="D2172" s="4"/>
      <c r="E2172" s="4"/>
      <c r="F2172" s="4" t="s">
        <v>17</v>
      </c>
      <c r="G2172" s="15"/>
      <c r="H2172" s="4"/>
      <c r="I2172" s="4"/>
      <c r="J2172" s="4"/>
      <c r="K2172" s="4"/>
      <c r="L2172" s="4"/>
      <c r="M2172" s="4"/>
      <c r="N2172" s="4"/>
      <c r="O2172" s="4"/>
      <c r="P2172" s="4"/>
      <c r="Q2172" s="4"/>
      <c r="R2172" s="4"/>
      <c r="S2172" s="4"/>
      <c r="T2172" s="4"/>
      <c r="U2172" s="4"/>
      <c r="V2172" s="4"/>
      <c r="W2172" s="4"/>
      <c r="X2172" s="4"/>
      <c r="Y2172" s="4"/>
      <c r="Z2172" s="4"/>
      <c r="AA2172" s="4"/>
      <c r="AB2172" s="4"/>
      <c r="AC2172" s="4"/>
      <c r="AD2172" s="4"/>
      <c r="AE2172" s="4"/>
      <c r="AF2172" s="4"/>
      <c r="AG2172" s="4"/>
      <c r="AH2172" s="4"/>
      <c r="AI2172" s="4"/>
      <c r="AJ2172" s="4"/>
      <c r="AK2172" s="4"/>
      <c r="AL2172" s="4"/>
      <c r="AM2172" s="4"/>
      <c r="AN2172" s="4"/>
      <c r="AO2172" s="4"/>
      <c r="AP2172" s="4"/>
      <c r="AQ2172" s="4"/>
      <c r="AR2172" s="4"/>
      <c r="AS2172" s="4"/>
      <c r="AT2172" s="4"/>
      <c r="AU2172" s="4"/>
      <c r="AV2172" s="4"/>
      <c r="AW2172" s="4"/>
      <c r="AX2172" s="4"/>
      <c r="AY2172" s="4"/>
      <c r="AZ2172" s="4"/>
      <c r="BA2172" s="4"/>
      <c r="BB2172" s="4"/>
      <c r="BC2172" s="4"/>
      <c r="BD2172" s="4"/>
      <c r="BE2172" s="4"/>
      <c r="BF2172" s="4"/>
      <c r="BG2172" s="4"/>
      <c r="BH2172" s="4"/>
      <c r="BI2172" s="4"/>
      <c r="BJ2172" s="4"/>
      <c r="BK2172" s="4"/>
      <c r="BL2172" s="4"/>
      <c r="BM2172" s="4"/>
      <c r="BN2172" s="4"/>
      <c r="BO2172" s="4"/>
      <c r="BP2172" s="4"/>
      <c r="BQ2172" s="4"/>
      <c r="BR2172" s="4"/>
      <c r="BS2172" s="4"/>
      <c r="BT2172" s="4"/>
      <c r="BU2172" s="4"/>
      <c r="BV2172" s="4"/>
      <c r="BW2172" s="4"/>
      <c r="BX2172" s="4"/>
      <c r="BY2172" s="4"/>
      <c r="BZ2172" s="4"/>
      <c r="CA2172" s="4"/>
      <c r="CB2172" s="4"/>
      <c r="CC2172" s="4"/>
      <c r="CD2172" s="4"/>
      <c r="CE2172" s="4"/>
      <c r="CF2172" s="4"/>
      <c r="CG2172" s="4"/>
      <c r="CH2172" s="4"/>
      <c r="CI2172" s="4"/>
      <c r="CJ2172" s="4"/>
      <c r="CK2172" s="4"/>
      <c r="CL2172" s="4"/>
      <c r="CM2172" s="4"/>
      <c r="CN2172" s="4"/>
      <c r="CO2172" s="4"/>
      <c r="CP2172" s="4"/>
      <c r="CQ2172" s="4"/>
      <c r="CR2172" s="4"/>
      <c r="CS2172" s="4"/>
      <c r="CT2172" s="4"/>
      <c r="CU2172" s="4"/>
      <c r="CV2172" s="4"/>
      <c r="CW2172" s="4"/>
      <c r="CX2172" s="4"/>
      <c r="CY2172" s="4"/>
      <c r="CZ2172" s="4"/>
      <c r="DA2172" s="4"/>
      <c r="DB2172" s="4"/>
      <c r="DC2172" s="4"/>
      <c r="DD2172" s="4"/>
      <c r="DE2172" s="4"/>
      <c r="DF2172" s="4"/>
      <c r="DG2172" s="4"/>
      <c r="DH2172" s="4"/>
      <c r="DI2172" s="4"/>
      <c r="DJ2172" s="4"/>
      <c r="DK2172" s="4"/>
      <c r="DL2172" s="4"/>
      <c r="DM2172" s="4"/>
      <c r="DN2172" s="4"/>
      <c r="DO2172" s="4"/>
      <c r="DP2172" s="4"/>
      <c r="DQ2172" s="4"/>
      <c r="DR2172" s="4"/>
      <c r="DS2172" s="4"/>
    </row>
    <row r="2173">
      <c r="A2173" s="4"/>
      <c r="B2173" s="4"/>
      <c r="C2173" s="4"/>
      <c r="D2173" s="4"/>
      <c r="E2173" s="4"/>
      <c r="F2173" s="4" t="s">
        <v>17</v>
      </c>
      <c r="G2173" s="15"/>
      <c r="H2173" s="4"/>
      <c r="I2173" s="4"/>
      <c r="J2173" s="4"/>
      <c r="K2173" s="4"/>
      <c r="L2173" s="4"/>
      <c r="M2173" s="4"/>
      <c r="N2173" s="4"/>
      <c r="O2173" s="4"/>
      <c r="P2173" s="4"/>
      <c r="Q2173" s="4"/>
      <c r="R2173" s="4"/>
      <c r="S2173" s="4"/>
      <c r="T2173" s="4"/>
      <c r="U2173" s="4"/>
      <c r="V2173" s="4"/>
      <c r="W2173" s="4"/>
      <c r="X2173" s="4"/>
      <c r="Y2173" s="4"/>
      <c r="Z2173" s="4"/>
      <c r="AA2173" s="4"/>
      <c r="AB2173" s="4"/>
      <c r="AC2173" s="4"/>
      <c r="AD2173" s="4"/>
      <c r="AE2173" s="4"/>
      <c r="AF2173" s="4"/>
      <c r="AG2173" s="4"/>
      <c r="AH2173" s="4"/>
      <c r="AI2173" s="4"/>
      <c r="AJ2173" s="4"/>
      <c r="AK2173" s="4"/>
      <c r="AL2173" s="4"/>
      <c r="AM2173" s="4"/>
      <c r="AN2173" s="4"/>
      <c r="AO2173" s="4"/>
      <c r="AP2173" s="4"/>
      <c r="AQ2173" s="4"/>
      <c r="AR2173" s="4"/>
      <c r="AS2173" s="4"/>
      <c r="AT2173" s="4"/>
      <c r="AU2173" s="4"/>
      <c r="AV2173" s="4"/>
      <c r="AW2173" s="4"/>
      <c r="AX2173" s="4"/>
      <c r="AY2173" s="4"/>
      <c r="AZ2173" s="4"/>
      <c r="BA2173" s="4"/>
      <c r="BB2173" s="4"/>
      <c r="BC2173" s="4"/>
      <c r="BD2173" s="4"/>
      <c r="BE2173" s="4"/>
      <c r="BF2173" s="4"/>
      <c r="BG2173" s="4"/>
      <c r="BH2173" s="4"/>
      <c r="BI2173" s="4"/>
      <c r="BJ2173" s="4"/>
      <c r="BK2173" s="4"/>
      <c r="BL2173" s="4"/>
      <c r="BM2173" s="4"/>
      <c r="BN2173" s="4"/>
      <c r="BO2173" s="4"/>
      <c r="BP2173" s="4"/>
      <c r="BQ2173" s="4"/>
      <c r="BR2173" s="4"/>
      <c r="BS2173" s="4"/>
      <c r="BT2173" s="4"/>
      <c r="BU2173" s="4"/>
      <c r="BV2173" s="4"/>
      <c r="BW2173" s="4"/>
      <c r="BX2173" s="4"/>
      <c r="BY2173" s="4"/>
      <c r="BZ2173" s="4"/>
      <c r="CA2173" s="4"/>
      <c r="CB2173" s="4"/>
      <c r="CC2173" s="4"/>
      <c r="CD2173" s="4"/>
      <c r="CE2173" s="4"/>
      <c r="CF2173" s="4"/>
      <c r="CG2173" s="4"/>
      <c r="CH2173" s="4"/>
      <c r="CI2173" s="4"/>
      <c r="CJ2173" s="4"/>
      <c r="CK2173" s="4"/>
      <c r="CL2173" s="4"/>
      <c r="CM2173" s="4"/>
      <c r="CN2173" s="4"/>
      <c r="CO2173" s="4"/>
      <c r="CP2173" s="4"/>
      <c r="CQ2173" s="4"/>
      <c r="CR2173" s="4"/>
      <c r="CS2173" s="4"/>
      <c r="CT2173" s="4"/>
      <c r="CU2173" s="4"/>
      <c r="CV2173" s="4"/>
      <c r="CW2173" s="4"/>
      <c r="CX2173" s="4"/>
      <c r="CY2173" s="4"/>
      <c r="CZ2173" s="4"/>
      <c r="DA2173" s="4"/>
      <c r="DB2173" s="4"/>
      <c r="DC2173" s="4"/>
      <c r="DD2173" s="4"/>
      <c r="DE2173" s="4"/>
      <c r="DF2173" s="4"/>
      <c r="DG2173" s="4"/>
      <c r="DH2173" s="4"/>
      <c r="DI2173" s="4"/>
      <c r="DJ2173" s="4"/>
      <c r="DK2173" s="4"/>
      <c r="DL2173" s="4"/>
      <c r="DM2173" s="4"/>
      <c r="DN2173" s="4"/>
      <c r="DO2173" s="4"/>
      <c r="DP2173" s="4"/>
      <c r="DQ2173" s="4"/>
      <c r="DR2173" s="4"/>
      <c r="DS2173" s="4"/>
    </row>
    <row r="2174">
      <c r="A2174" s="4"/>
      <c r="B2174" s="4"/>
      <c r="C2174" s="4"/>
      <c r="D2174" s="4"/>
      <c r="E2174" s="4"/>
      <c r="F2174" s="4" t="s">
        <v>17</v>
      </c>
      <c r="G2174" s="15"/>
      <c r="H2174" s="4"/>
      <c r="I2174" s="4"/>
      <c r="J2174" s="4"/>
      <c r="K2174" s="4"/>
      <c r="L2174" s="4"/>
      <c r="M2174" s="4"/>
      <c r="N2174" s="4"/>
      <c r="O2174" s="4"/>
      <c r="P2174" s="4"/>
      <c r="Q2174" s="4"/>
      <c r="R2174" s="4"/>
      <c r="S2174" s="4"/>
      <c r="T2174" s="4"/>
      <c r="U2174" s="4"/>
      <c r="V2174" s="4"/>
      <c r="W2174" s="4"/>
      <c r="X2174" s="4"/>
      <c r="Y2174" s="4"/>
      <c r="Z2174" s="4"/>
      <c r="AA2174" s="4"/>
      <c r="AB2174" s="4"/>
      <c r="AC2174" s="4"/>
      <c r="AD2174" s="4"/>
      <c r="AE2174" s="4"/>
      <c r="AF2174" s="4"/>
      <c r="AG2174" s="4"/>
      <c r="AH2174" s="4"/>
      <c r="AI2174" s="4"/>
      <c r="AJ2174" s="4"/>
      <c r="AK2174" s="4"/>
      <c r="AL2174" s="4"/>
      <c r="AM2174" s="4"/>
      <c r="AN2174" s="4"/>
      <c r="AO2174" s="4"/>
      <c r="AP2174" s="4"/>
      <c r="AQ2174" s="4"/>
      <c r="AR2174" s="4"/>
      <c r="AS2174" s="4"/>
      <c r="AT2174" s="4"/>
      <c r="AU2174" s="4"/>
      <c r="AV2174" s="4"/>
      <c r="AW2174" s="4"/>
      <c r="AX2174" s="4"/>
      <c r="AY2174" s="4"/>
      <c r="AZ2174" s="4"/>
      <c r="BA2174" s="4"/>
      <c r="BB2174" s="4"/>
      <c r="BC2174" s="4"/>
      <c r="BD2174" s="4"/>
      <c r="BE2174" s="4"/>
      <c r="BF2174" s="4"/>
      <c r="BG2174" s="4"/>
      <c r="BH2174" s="4"/>
      <c r="BI2174" s="4"/>
      <c r="BJ2174" s="4"/>
      <c r="BK2174" s="4"/>
      <c r="BL2174" s="4"/>
      <c r="BM2174" s="4"/>
      <c r="BN2174" s="4"/>
      <c r="BO2174" s="4"/>
      <c r="BP2174" s="4"/>
      <c r="BQ2174" s="4"/>
      <c r="BR2174" s="4"/>
      <c r="BS2174" s="4"/>
      <c r="BT2174" s="4"/>
      <c r="BU2174" s="4"/>
      <c r="BV2174" s="4"/>
      <c r="BW2174" s="4"/>
      <c r="BX2174" s="4"/>
      <c r="BY2174" s="4"/>
      <c r="BZ2174" s="4"/>
      <c r="CA2174" s="4"/>
      <c r="CB2174" s="4"/>
      <c r="CC2174" s="4"/>
      <c r="CD2174" s="4"/>
      <c r="CE2174" s="4"/>
      <c r="CF2174" s="4"/>
      <c r="CG2174" s="4"/>
      <c r="CH2174" s="4"/>
      <c r="CI2174" s="4"/>
      <c r="CJ2174" s="4"/>
      <c r="CK2174" s="4"/>
      <c r="CL2174" s="4"/>
      <c r="CM2174" s="4"/>
      <c r="CN2174" s="4"/>
      <c r="CO2174" s="4"/>
      <c r="CP2174" s="4"/>
      <c r="CQ2174" s="4"/>
      <c r="CR2174" s="4"/>
      <c r="CS2174" s="4"/>
      <c r="CT2174" s="4"/>
      <c r="CU2174" s="4"/>
      <c r="CV2174" s="4"/>
      <c r="CW2174" s="4"/>
      <c r="CX2174" s="4"/>
      <c r="CY2174" s="4"/>
      <c r="CZ2174" s="4"/>
      <c r="DA2174" s="4"/>
      <c r="DB2174" s="4"/>
      <c r="DC2174" s="4"/>
      <c r="DD2174" s="4"/>
      <c r="DE2174" s="4"/>
      <c r="DF2174" s="4"/>
      <c r="DG2174" s="4"/>
      <c r="DH2174" s="4"/>
      <c r="DI2174" s="4"/>
      <c r="DJ2174" s="4"/>
      <c r="DK2174" s="4"/>
      <c r="DL2174" s="4"/>
      <c r="DM2174" s="4"/>
      <c r="DN2174" s="4"/>
      <c r="DO2174" s="4"/>
      <c r="DP2174" s="4"/>
      <c r="DQ2174" s="4"/>
      <c r="DR2174" s="4"/>
      <c r="DS2174" s="4"/>
    </row>
    <row r="2175">
      <c r="A2175" s="4"/>
      <c r="B2175" s="4"/>
      <c r="C2175" s="4"/>
      <c r="D2175" s="4"/>
      <c r="E2175" s="4"/>
      <c r="F2175" s="4" t="s">
        <v>17</v>
      </c>
      <c r="G2175" s="15"/>
      <c r="H2175" s="4"/>
      <c r="I2175" s="4"/>
      <c r="J2175" s="4"/>
      <c r="K2175" s="4"/>
      <c r="L2175" s="4"/>
      <c r="M2175" s="4"/>
      <c r="N2175" s="4"/>
      <c r="O2175" s="4"/>
      <c r="P2175" s="4"/>
      <c r="Q2175" s="4"/>
      <c r="R2175" s="4"/>
      <c r="S2175" s="4"/>
      <c r="T2175" s="4"/>
      <c r="U2175" s="4"/>
      <c r="V2175" s="4"/>
      <c r="W2175" s="4"/>
      <c r="X2175" s="4"/>
      <c r="Y2175" s="4"/>
      <c r="Z2175" s="4"/>
      <c r="AA2175" s="4"/>
      <c r="AB2175" s="4"/>
      <c r="AC2175" s="4"/>
      <c r="AD2175" s="4"/>
      <c r="AE2175" s="4"/>
      <c r="AF2175" s="4"/>
      <c r="AG2175" s="4"/>
      <c r="AH2175" s="4"/>
      <c r="AI2175" s="4"/>
      <c r="AJ2175" s="4"/>
      <c r="AK2175" s="4"/>
      <c r="AL2175" s="4"/>
      <c r="AM2175" s="4"/>
      <c r="AN2175" s="4"/>
      <c r="AO2175" s="4"/>
      <c r="AP2175" s="4"/>
      <c r="AQ2175" s="4"/>
      <c r="AR2175" s="4"/>
      <c r="AS2175" s="4"/>
      <c r="AT2175" s="4"/>
      <c r="AU2175" s="4"/>
      <c r="AV2175" s="4"/>
      <c r="AW2175" s="4"/>
      <c r="AX2175" s="4"/>
      <c r="AY2175" s="4"/>
      <c r="AZ2175" s="4"/>
      <c r="BA2175" s="4"/>
      <c r="BB2175" s="4"/>
      <c r="BC2175" s="4"/>
      <c r="BD2175" s="4"/>
      <c r="BE2175" s="4"/>
      <c r="BF2175" s="4"/>
      <c r="BG2175" s="4"/>
      <c r="BH2175" s="4"/>
      <c r="BI2175" s="4"/>
      <c r="BJ2175" s="4"/>
      <c r="BK2175" s="4"/>
      <c r="BL2175" s="4"/>
      <c r="BM2175" s="4"/>
      <c r="BN2175" s="4"/>
      <c r="BO2175" s="4"/>
      <c r="BP2175" s="4"/>
      <c r="BQ2175" s="4"/>
      <c r="BR2175" s="4"/>
      <c r="BS2175" s="4"/>
      <c r="BT2175" s="4"/>
      <c r="BU2175" s="4"/>
      <c r="BV2175" s="4"/>
      <c r="BW2175" s="4"/>
      <c r="BX2175" s="4"/>
      <c r="BY2175" s="4"/>
      <c r="BZ2175" s="4"/>
      <c r="CA2175" s="4"/>
      <c r="CB2175" s="4"/>
      <c r="CC2175" s="4"/>
      <c r="CD2175" s="4"/>
      <c r="CE2175" s="4"/>
      <c r="CF2175" s="4"/>
      <c r="CG2175" s="4"/>
      <c r="CH2175" s="4"/>
      <c r="CI2175" s="4"/>
      <c r="CJ2175" s="4"/>
      <c r="CK2175" s="4"/>
      <c r="CL2175" s="4"/>
      <c r="CM2175" s="4"/>
      <c r="CN2175" s="4"/>
      <c r="CO2175" s="4"/>
      <c r="CP2175" s="4"/>
      <c r="CQ2175" s="4"/>
      <c r="CR2175" s="4"/>
      <c r="CS2175" s="4"/>
      <c r="CT2175" s="4"/>
      <c r="CU2175" s="4"/>
      <c r="CV2175" s="4"/>
      <c r="CW2175" s="4"/>
      <c r="CX2175" s="4"/>
      <c r="CY2175" s="4"/>
      <c r="CZ2175" s="4"/>
      <c r="DA2175" s="4"/>
      <c r="DB2175" s="4"/>
      <c r="DC2175" s="4"/>
      <c r="DD2175" s="4"/>
      <c r="DE2175" s="4"/>
      <c r="DF2175" s="4"/>
      <c r="DG2175" s="4"/>
      <c r="DH2175" s="4"/>
      <c r="DI2175" s="4"/>
      <c r="DJ2175" s="4"/>
      <c r="DK2175" s="4"/>
      <c r="DL2175" s="4"/>
      <c r="DM2175" s="4"/>
      <c r="DN2175" s="4"/>
      <c r="DO2175" s="4"/>
      <c r="DP2175" s="4"/>
      <c r="DQ2175" s="4"/>
      <c r="DR2175" s="4"/>
      <c r="DS2175" s="4"/>
    </row>
    <row r="2176">
      <c r="A2176" s="4"/>
      <c r="B2176" s="4"/>
      <c r="C2176" s="4"/>
      <c r="D2176" s="4"/>
      <c r="E2176" s="4"/>
      <c r="F2176" s="4" t="s">
        <v>17</v>
      </c>
      <c r="G2176" s="15"/>
      <c r="H2176" s="4"/>
      <c r="I2176" s="4"/>
      <c r="J2176" s="4"/>
      <c r="K2176" s="4"/>
      <c r="L2176" s="4"/>
      <c r="M2176" s="4"/>
      <c r="N2176" s="4"/>
      <c r="O2176" s="4"/>
      <c r="P2176" s="4"/>
      <c r="Q2176" s="4"/>
      <c r="R2176" s="4"/>
      <c r="S2176" s="4"/>
      <c r="T2176" s="4"/>
      <c r="U2176" s="4"/>
      <c r="V2176" s="4"/>
      <c r="W2176" s="4"/>
      <c r="X2176" s="4"/>
      <c r="Y2176" s="4"/>
      <c r="Z2176" s="4"/>
      <c r="AA2176" s="4"/>
      <c r="AB2176" s="4"/>
      <c r="AC2176" s="4"/>
      <c r="AD2176" s="4"/>
      <c r="AE2176" s="4"/>
      <c r="AF2176" s="4"/>
      <c r="AG2176" s="4"/>
      <c r="AH2176" s="4"/>
      <c r="AI2176" s="4"/>
      <c r="AJ2176" s="4"/>
      <c r="AK2176" s="4"/>
      <c r="AL2176" s="4"/>
      <c r="AM2176" s="4"/>
      <c r="AN2176" s="4"/>
      <c r="AO2176" s="4"/>
      <c r="AP2176" s="4"/>
      <c r="AQ2176" s="4"/>
      <c r="AR2176" s="4"/>
      <c r="AS2176" s="4"/>
      <c r="AT2176" s="4"/>
      <c r="AU2176" s="4"/>
      <c r="AV2176" s="4"/>
      <c r="AW2176" s="4"/>
      <c r="AX2176" s="4"/>
      <c r="AY2176" s="4"/>
      <c r="AZ2176" s="4"/>
      <c r="BA2176" s="4"/>
      <c r="BB2176" s="4"/>
      <c r="BC2176" s="4"/>
      <c r="BD2176" s="4"/>
      <c r="BE2176" s="4"/>
      <c r="BF2176" s="4"/>
      <c r="BG2176" s="4"/>
      <c r="BH2176" s="4"/>
      <c r="BI2176" s="4"/>
      <c r="BJ2176" s="4"/>
      <c r="BK2176" s="4"/>
      <c r="BL2176" s="4"/>
      <c r="BM2176" s="4"/>
      <c r="BN2176" s="4"/>
      <c r="BO2176" s="4"/>
      <c r="BP2176" s="4"/>
      <c r="BQ2176" s="4"/>
      <c r="BR2176" s="4"/>
      <c r="BS2176" s="4"/>
      <c r="BT2176" s="4"/>
      <c r="BU2176" s="4"/>
      <c r="BV2176" s="4"/>
      <c r="BW2176" s="4"/>
      <c r="BX2176" s="4"/>
      <c r="BY2176" s="4"/>
      <c r="BZ2176" s="4"/>
      <c r="CA2176" s="4"/>
      <c r="CB2176" s="4"/>
      <c r="CC2176" s="4"/>
      <c r="CD2176" s="4"/>
      <c r="CE2176" s="4"/>
      <c r="CF2176" s="4"/>
      <c r="CG2176" s="4"/>
      <c r="CH2176" s="4"/>
      <c r="CI2176" s="4"/>
      <c r="CJ2176" s="4"/>
      <c r="CK2176" s="4"/>
      <c r="CL2176" s="4"/>
      <c r="CM2176" s="4"/>
      <c r="CN2176" s="4"/>
      <c r="CO2176" s="4"/>
      <c r="CP2176" s="4"/>
      <c r="CQ2176" s="4"/>
      <c r="CR2176" s="4"/>
      <c r="CS2176" s="4"/>
      <c r="CT2176" s="4"/>
      <c r="CU2176" s="4"/>
      <c r="CV2176" s="4"/>
      <c r="CW2176" s="4"/>
      <c r="CX2176" s="4"/>
      <c r="CY2176" s="4"/>
      <c r="CZ2176" s="4"/>
      <c r="DA2176" s="4"/>
      <c r="DB2176" s="4"/>
      <c r="DC2176" s="4"/>
      <c r="DD2176" s="4"/>
      <c r="DE2176" s="4"/>
      <c r="DF2176" s="4"/>
      <c r="DG2176" s="4"/>
      <c r="DH2176" s="4"/>
      <c r="DI2176" s="4"/>
      <c r="DJ2176" s="4"/>
      <c r="DK2176" s="4"/>
      <c r="DL2176" s="4"/>
      <c r="DM2176" s="4"/>
      <c r="DN2176" s="4"/>
      <c r="DO2176" s="4"/>
      <c r="DP2176" s="4"/>
      <c r="DQ2176" s="4"/>
      <c r="DR2176" s="4"/>
      <c r="DS2176" s="4"/>
    </row>
    <row r="2177">
      <c r="A2177" s="4"/>
      <c r="B2177" s="4"/>
      <c r="C2177" s="4"/>
      <c r="D2177" s="4"/>
      <c r="E2177" s="4"/>
      <c r="F2177" s="4" t="s">
        <v>17</v>
      </c>
      <c r="G2177" s="15"/>
      <c r="H2177" s="4"/>
      <c r="I2177" s="4"/>
      <c r="J2177" s="4"/>
      <c r="K2177" s="4"/>
      <c r="L2177" s="4"/>
      <c r="M2177" s="4"/>
      <c r="N2177" s="4"/>
      <c r="O2177" s="4"/>
      <c r="P2177" s="4"/>
      <c r="Q2177" s="4"/>
      <c r="R2177" s="4"/>
      <c r="S2177" s="4"/>
      <c r="T2177" s="4"/>
      <c r="U2177" s="4"/>
      <c r="V2177" s="4"/>
      <c r="W2177" s="4"/>
      <c r="X2177" s="4"/>
      <c r="Y2177" s="4"/>
      <c r="Z2177" s="4"/>
      <c r="AA2177" s="4"/>
      <c r="AB2177" s="4"/>
      <c r="AC2177" s="4"/>
      <c r="AD2177" s="4"/>
      <c r="AE2177" s="4"/>
      <c r="AF2177" s="4"/>
      <c r="AG2177" s="4"/>
      <c r="AH2177" s="4"/>
      <c r="AI2177" s="4"/>
      <c r="AJ2177" s="4"/>
      <c r="AK2177" s="4"/>
      <c r="AL2177" s="4"/>
      <c r="AM2177" s="4"/>
      <c r="AN2177" s="4"/>
      <c r="AO2177" s="4"/>
      <c r="AP2177" s="4"/>
      <c r="AQ2177" s="4"/>
      <c r="AR2177" s="4"/>
      <c r="AS2177" s="4"/>
      <c r="AT2177" s="4"/>
      <c r="AU2177" s="4"/>
      <c r="AV2177" s="4"/>
      <c r="AW2177" s="4"/>
      <c r="AX2177" s="4"/>
      <c r="AY2177" s="4"/>
      <c r="AZ2177" s="4"/>
      <c r="BA2177" s="4"/>
      <c r="BB2177" s="4"/>
      <c r="BC2177" s="4"/>
      <c r="BD2177" s="4"/>
      <c r="BE2177" s="4"/>
      <c r="BF2177" s="4"/>
      <c r="BG2177" s="4"/>
      <c r="BH2177" s="4"/>
      <c r="BI2177" s="4"/>
      <c r="BJ2177" s="4"/>
      <c r="BK2177" s="4"/>
      <c r="BL2177" s="4"/>
      <c r="BM2177" s="4"/>
      <c r="BN2177" s="4"/>
      <c r="BO2177" s="4"/>
      <c r="BP2177" s="4"/>
      <c r="BQ2177" s="4"/>
      <c r="BR2177" s="4"/>
      <c r="BS2177" s="4"/>
      <c r="BT2177" s="4"/>
      <c r="BU2177" s="4"/>
      <c r="BV2177" s="4"/>
      <c r="BW2177" s="4"/>
      <c r="BX2177" s="4"/>
      <c r="BY2177" s="4"/>
      <c r="BZ2177" s="4"/>
      <c r="CA2177" s="4"/>
      <c r="CB2177" s="4"/>
      <c r="CC2177" s="4"/>
      <c r="CD2177" s="4"/>
      <c r="CE2177" s="4"/>
      <c r="CF2177" s="4"/>
      <c r="CG2177" s="4"/>
      <c r="CH2177" s="4"/>
      <c r="CI2177" s="4"/>
      <c r="CJ2177" s="4"/>
      <c r="CK2177" s="4"/>
      <c r="CL2177" s="4"/>
      <c r="CM2177" s="4"/>
      <c r="CN2177" s="4"/>
      <c r="CO2177" s="4"/>
      <c r="CP2177" s="4"/>
      <c r="CQ2177" s="4"/>
      <c r="CR2177" s="4"/>
      <c r="CS2177" s="4"/>
      <c r="CT2177" s="4"/>
      <c r="CU2177" s="4"/>
      <c r="CV2177" s="4"/>
      <c r="CW2177" s="4"/>
      <c r="CX2177" s="4"/>
      <c r="CY2177" s="4"/>
      <c r="CZ2177" s="4"/>
      <c r="DA2177" s="4"/>
      <c r="DB2177" s="4"/>
      <c r="DC2177" s="4"/>
      <c r="DD2177" s="4"/>
      <c r="DE2177" s="4"/>
      <c r="DF2177" s="4"/>
      <c r="DG2177" s="4"/>
      <c r="DH2177" s="4"/>
      <c r="DI2177" s="4"/>
      <c r="DJ2177" s="4"/>
      <c r="DK2177" s="4"/>
      <c r="DL2177" s="4"/>
      <c r="DM2177" s="4"/>
      <c r="DN2177" s="4"/>
      <c r="DO2177" s="4"/>
      <c r="DP2177" s="4"/>
      <c r="DQ2177" s="4"/>
      <c r="DR2177" s="4"/>
      <c r="DS2177" s="4"/>
    </row>
    <row r="2178">
      <c r="A2178" s="4"/>
      <c r="B2178" s="4"/>
      <c r="C2178" s="4"/>
      <c r="D2178" s="4"/>
      <c r="E2178" s="4"/>
      <c r="F2178" s="4" t="s">
        <v>17</v>
      </c>
      <c r="G2178" s="15"/>
      <c r="H2178" s="4"/>
      <c r="I2178" s="4"/>
      <c r="J2178" s="4"/>
      <c r="K2178" s="4"/>
      <c r="L2178" s="4"/>
      <c r="M2178" s="4"/>
      <c r="N2178" s="4"/>
      <c r="O2178" s="4"/>
      <c r="P2178" s="4"/>
      <c r="Q2178" s="4"/>
      <c r="R2178" s="4"/>
      <c r="S2178" s="4"/>
      <c r="T2178" s="4"/>
      <c r="U2178" s="4"/>
      <c r="V2178" s="4"/>
      <c r="W2178" s="4"/>
      <c r="X2178" s="4"/>
      <c r="Y2178" s="4"/>
      <c r="Z2178" s="4"/>
      <c r="AA2178" s="4"/>
      <c r="AB2178" s="4"/>
      <c r="AC2178" s="4"/>
      <c r="AD2178" s="4"/>
      <c r="AE2178" s="4"/>
      <c r="AF2178" s="4"/>
      <c r="AG2178" s="4"/>
      <c r="AH2178" s="4"/>
      <c r="AI2178" s="4"/>
      <c r="AJ2178" s="4"/>
      <c r="AK2178" s="4"/>
      <c r="AL2178" s="4"/>
      <c r="AM2178" s="4"/>
      <c r="AN2178" s="4"/>
      <c r="AO2178" s="4"/>
      <c r="AP2178" s="4"/>
      <c r="AQ2178" s="4"/>
      <c r="AR2178" s="4"/>
      <c r="AS2178" s="4"/>
      <c r="AT2178" s="4"/>
      <c r="AU2178" s="4"/>
      <c r="AV2178" s="4"/>
      <c r="AW2178" s="4"/>
      <c r="AX2178" s="4"/>
      <c r="AY2178" s="4"/>
      <c r="AZ2178" s="4"/>
      <c r="BA2178" s="4"/>
      <c r="BB2178" s="4"/>
      <c r="BC2178" s="4"/>
      <c r="BD2178" s="4"/>
      <c r="BE2178" s="4"/>
      <c r="BF2178" s="4"/>
      <c r="BG2178" s="4"/>
      <c r="BH2178" s="4"/>
      <c r="BI2178" s="4"/>
      <c r="BJ2178" s="4"/>
      <c r="BK2178" s="4"/>
      <c r="BL2178" s="4"/>
      <c r="BM2178" s="4"/>
      <c r="BN2178" s="4"/>
      <c r="BO2178" s="4"/>
      <c r="BP2178" s="4"/>
      <c r="BQ2178" s="4"/>
      <c r="BR2178" s="4"/>
      <c r="BS2178" s="4"/>
      <c r="BT2178" s="4"/>
      <c r="BU2178" s="4"/>
      <c r="BV2178" s="4"/>
      <c r="BW2178" s="4"/>
      <c r="BX2178" s="4"/>
      <c r="BY2178" s="4"/>
      <c r="BZ2178" s="4"/>
      <c r="CA2178" s="4"/>
      <c r="CB2178" s="4"/>
      <c r="CC2178" s="4"/>
      <c r="CD2178" s="4"/>
      <c r="CE2178" s="4"/>
      <c r="CF2178" s="4"/>
      <c r="CG2178" s="4"/>
      <c r="CH2178" s="4"/>
      <c r="CI2178" s="4"/>
      <c r="CJ2178" s="4"/>
      <c r="CK2178" s="4"/>
      <c r="CL2178" s="4"/>
      <c r="CM2178" s="4"/>
      <c r="CN2178" s="4"/>
      <c r="CO2178" s="4"/>
      <c r="CP2178" s="4"/>
      <c r="CQ2178" s="4"/>
      <c r="CR2178" s="4"/>
      <c r="CS2178" s="4"/>
      <c r="CT2178" s="4"/>
      <c r="CU2178" s="4"/>
      <c r="CV2178" s="4"/>
      <c r="CW2178" s="4"/>
      <c r="CX2178" s="4"/>
      <c r="CY2178" s="4"/>
      <c r="CZ2178" s="4"/>
      <c r="DA2178" s="4"/>
      <c r="DB2178" s="4"/>
      <c r="DC2178" s="4"/>
      <c r="DD2178" s="4"/>
      <c r="DE2178" s="4"/>
      <c r="DF2178" s="4"/>
      <c r="DG2178" s="4"/>
      <c r="DH2178" s="4"/>
      <c r="DI2178" s="4"/>
      <c r="DJ2178" s="4"/>
      <c r="DK2178" s="4"/>
      <c r="DL2178" s="4"/>
      <c r="DM2178" s="4"/>
      <c r="DN2178" s="4"/>
      <c r="DO2178" s="4"/>
      <c r="DP2178" s="4"/>
      <c r="DQ2178" s="4"/>
      <c r="DR2178" s="4"/>
      <c r="DS2178" s="4"/>
    </row>
    <row r="2179">
      <c r="A2179" s="4"/>
      <c r="B2179" s="4"/>
      <c r="C2179" s="4"/>
      <c r="D2179" s="4"/>
      <c r="E2179" s="4"/>
      <c r="F2179" s="4" t="s">
        <v>17</v>
      </c>
      <c r="G2179" s="15"/>
      <c r="H2179" s="4"/>
      <c r="I2179" s="4"/>
      <c r="J2179" s="4"/>
      <c r="K2179" s="4"/>
      <c r="L2179" s="4"/>
      <c r="M2179" s="4"/>
      <c r="N2179" s="4"/>
      <c r="O2179" s="4"/>
      <c r="P2179" s="4"/>
      <c r="Q2179" s="4"/>
      <c r="R2179" s="4"/>
      <c r="S2179" s="4"/>
      <c r="T2179" s="4"/>
      <c r="U2179" s="4"/>
      <c r="V2179" s="4"/>
      <c r="W2179" s="4"/>
      <c r="X2179" s="4"/>
      <c r="Y2179" s="4"/>
      <c r="Z2179" s="4"/>
      <c r="AA2179" s="4"/>
      <c r="AB2179" s="4"/>
      <c r="AC2179" s="4"/>
      <c r="AD2179" s="4"/>
      <c r="AE2179" s="4"/>
      <c r="AF2179" s="4"/>
      <c r="AG2179" s="4"/>
      <c r="AH2179" s="4"/>
      <c r="AI2179" s="4"/>
      <c r="AJ2179" s="4"/>
      <c r="AK2179" s="4"/>
      <c r="AL2179" s="4"/>
      <c r="AM2179" s="4"/>
      <c r="AN2179" s="4"/>
      <c r="AO2179" s="4"/>
      <c r="AP2179" s="4"/>
      <c r="AQ2179" s="4"/>
      <c r="AR2179" s="4"/>
      <c r="AS2179" s="4"/>
      <c r="AT2179" s="4"/>
      <c r="AU2179" s="4"/>
      <c r="AV2179" s="4"/>
      <c r="AW2179" s="4"/>
      <c r="AX2179" s="4"/>
      <c r="AY2179" s="4"/>
      <c r="AZ2179" s="4"/>
      <c r="BA2179" s="4"/>
      <c r="BB2179" s="4"/>
      <c r="BC2179" s="4"/>
      <c r="BD2179" s="4"/>
      <c r="BE2179" s="4"/>
      <c r="BF2179" s="4"/>
      <c r="BG2179" s="4"/>
      <c r="BH2179" s="4"/>
      <c r="BI2179" s="4"/>
      <c r="BJ2179" s="4"/>
      <c r="BK2179" s="4"/>
      <c r="BL2179" s="4"/>
      <c r="BM2179" s="4"/>
      <c r="BN2179" s="4"/>
      <c r="BO2179" s="4"/>
      <c r="BP2179" s="4"/>
      <c r="BQ2179" s="4"/>
      <c r="BR2179" s="4"/>
      <c r="BS2179" s="4"/>
      <c r="BT2179" s="4"/>
      <c r="BU2179" s="4"/>
      <c r="BV2179" s="4"/>
      <c r="BW2179" s="4"/>
      <c r="BX2179" s="4"/>
      <c r="BY2179" s="4"/>
      <c r="BZ2179" s="4"/>
      <c r="CA2179" s="4"/>
      <c r="CB2179" s="4"/>
      <c r="CC2179" s="4"/>
      <c r="CD2179" s="4"/>
      <c r="CE2179" s="4"/>
      <c r="CF2179" s="4"/>
      <c r="CG2179" s="4"/>
      <c r="CH2179" s="4"/>
      <c r="CI2179" s="4"/>
      <c r="CJ2179" s="4"/>
      <c r="CK2179" s="4"/>
      <c r="CL2179" s="4"/>
      <c r="CM2179" s="4"/>
      <c r="CN2179" s="4"/>
      <c r="CO2179" s="4"/>
      <c r="CP2179" s="4"/>
      <c r="CQ2179" s="4"/>
      <c r="CR2179" s="4"/>
      <c r="CS2179" s="4"/>
      <c r="CT2179" s="4"/>
      <c r="CU2179" s="4"/>
      <c r="CV2179" s="4"/>
      <c r="CW2179" s="4"/>
      <c r="CX2179" s="4"/>
      <c r="CY2179" s="4"/>
      <c r="CZ2179" s="4"/>
      <c r="DA2179" s="4"/>
      <c r="DB2179" s="4"/>
      <c r="DC2179" s="4"/>
      <c r="DD2179" s="4"/>
      <c r="DE2179" s="4"/>
      <c r="DF2179" s="4"/>
      <c r="DG2179" s="4"/>
      <c r="DH2179" s="4"/>
      <c r="DI2179" s="4"/>
      <c r="DJ2179" s="4"/>
      <c r="DK2179" s="4"/>
      <c r="DL2179" s="4"/>
      <c r="DM2179" s="4"/>
      <c r="DN2179" s="4"/>
      <c r="DO2179" s="4"/>
      <c r="DP2179" s="4"/>
      <c r="DQ2179" s="4"/>
      <c r="DR2179" s="4"/>
      <c r="DS2179" s="4"/>
    </row>
    <row r="2180">
      <c r="A2180" s="4"/>
      <c r="B2180" s="4"/>
      <c r="C2180" s="4"/>
      <c r="D2180" s="4"/>
      <c r="E2180" s="4"/>
      <c r="F2180" s="4" t="s">
        <v>17</v>
      </c>
      <c r="G2180" s="15"/>
      <c r="H2180" s="4"/>
      <c r="I2180" s="4"/>
      <c r="J2180" s="4"/>
      <c r="K2180" s="4"/>
      <c r="L2180" s="4"/>
      <c r="M2180" s="4"/>
      <c r="N2180" s="4"/>
      <c r="O2180" s="4"/>
      <c r="P2180" s="4"/>
      <c r="Q2180" s="4"/>
      <c r="R2180" s="4"/>
      <c r="S2180" s="4"/>
      <c r="T2180" s="4"/>
      <c r="U2180" s="4"/>
      <c r="V2180" s="4"/>
      <c r="W2180" s="4"/>
      <c r="X2180" s="4"/>
      <c r="Y2180" s="4"/>
      <c r="Z2180" s="4"/>
      <c r="AA2180" s="4"/>
      <c r="AB2180" s="4"/>
      <c r="AC2180" s="4"/>
      <c r="AD2180" s="4"/>
      <c r="AE2180" s="4"/>
      <c r="AF2180" s="4"/>
      <c r="AG2180" s="4"/>
      <c r="AH2180" s="4"/>
      <c r="AI2180" s="4"/>
      <c r="AJ2180" s="4"/>
      <c r="AK2180" s="4"/>
      <c r="AL2180" s="4"/>
      <c r="AM2180" s="4"/>
      <c r="AN2180" s="4"/>
      <c r="AO2180" s="4"/>
      <c r="AP2180" s="4"/>
      <c r="AQ2180" s="4"/>
      <c r="AR2180" s="4"/>
      <c r="AS2180" s="4"/>
      <c r="AT2180" s="4"/>
      <c r="AU2180" s="4"/>
      <c r="AV2180" s="4"/>
      <c r="AW2180" s="4"/>
      <c r="AX2180" s="4"/>
      <c r="AY2180" s="4"/>
      <c r="AZ2180" s="4"/>
      <c r="BA2180" s="4"/>
      <c r="BB2180" s="4"/>
      <c r="BC2180" s="4"/>
      <c r="BD2180" s="4"/>
      <c r="BE2180" s="4"/>
      <c r="BF2180" s="4"/>
      <c r="BG2180" s="4"/>
      <c r="BH2180" s="4"/>
      <c r="BI2180" s="4"/>
      <c r="BJ2180" s="4"/>
      <c r="BK2180" s="4"/>
      <c r="BL2180" s="4"/>
      <c r="BM2180" s="4"/>
      <c r="BN2180" s="4"/>
      <c r="BO2180" s="4"/>
      <c r="BP2180" s="4"/>
      <c r="BQ2180" s="4"/>
      <c r="BR2180" s="4"/>
      <c r="BS2180" s="4"/>
      <c r="BT2180" s="4"/>
      <c r="BU2180" s="4"/>
      <c r="BV2180" s="4"/>
      <c r="BW2180" s="4"/>
      <c r="BX2180" s="4"/>
      <c r="BY2180" s="4"/>
      <c r="BZ2180" s="4"/>
      <c r="CA2180" s="4"/>
      <c r="CB2180" s="4"/>
      <c r="CC2180" s="4"/>
      <c r="CD2180" s="4"/>
      <c r="CE2180" s="4"/>
      <c r="CF2180" s="4"/>
      <c r="CG2180" s="4"/>
      <c r="CH2180" s="4"/>
      <c r="CI2180" s="4"/>
      <c r="CJ2180" s="4"/>
      <c r="CK2180" s="4"/>
      <c r="CL2180" s="4"/>
      <c r="CM2180" s="4"/>
      <c r="CN2180" s="4"/>
      <c r="CO2180" s="4"/>
      <c r="CP2180" s="4"/>
      <c r="CQ2180" s="4"/>
      <c r="CR2180" s="4"/>
      <c r="CS2180" s="4"/>
      <c r="CT2180" s="4"/>
      <c r="CU2180" s="4"/>
      <c r="CV2180" s="4"/>
      <c r="CW2180" s="4"/>
      <c r="CX2180" s="4"/>
      <c r="CY2180" s="4"/>
      <c r="CZ2180" s="4"/>
      <c r="DA2180" s="4"/>
      <c r="DB2180" s="4"/>
      <c r="DC2180" s="4"/>
      <c r="DD2180" s="4"/>
      <c r="DE2180" s="4"/>
      <c r="DF2180" s="4"/>
      <c r="DG2180" s="4"/>
      <c r="DH2180" s="4"/>
      <c r="DI2180" s="4"/>
      <c r="DJ2180" s="4"/>
      <c r="DK2180" s="4"/>
      <c r="DL2180" s="4"/>
      <c r="DM2180" s="4"/>
      <c r="DN2180" s="4"/>
      <c r="DO2180" s="4"/>
      <c r="DP2180" s="4"/>
      <c r="DQ2180" s="4"/>
      <c r="DR2180" s="4"/>
      <c r="DS2180" s="4"/>
    </row>
    <row r="2181">
      <c r="A2181" s="4"/>
      <c r="B2181" s="4"/>
      <c r="C2181" s="4"/>
      <c r="D2181" s="4"/>
      <c r="E2181" s="4"/>
      <c r="F2181" s="4" t="s">
        <v>17</v>
      </c>
      <c r="G2181" s="15"/>
      <c r="H2181" s="4"/>
      <c r="I2181" s="4"/>
      <c r="J2181" s="4"/>
      <c r="K2181" s="4"/>
      <c r="L2181" s="4"/>
      <c r="M2181" s="4"/>
      <c r="N2181" s="4"/>
      <c r="O2181" s="4"/>
      <c r="P2181" s="4"/>
      <c r="Q2181" s="4"/>
      <c r="R2181" s="4"/>
      <c r="S2181" s="4"/>
      <c r="T2181" s="4"/>
      <c r="U2181" s="4"/>
      <c r="V2181" s="4"/>
      <c r="W2181" s="4"/>
      <c r="X2181" s="4"/>
      <c r="Y2181" s="4"/>
      <c r="Z2181" s="4"/>
      <c r="AA2181" s="4"/>
      <c r="AB2181" s="4"/>
      <c r="AC2181" s="4"/>
      <c r="AD2181" s="4"/>
      <c r="AE2181" s="4"/>
      <c r="AF2181" s="4"/>
      <c r="AG2181" s="4"/>
      <c r="AH2181" s="4"/>
      <c r="AI2181" s="4"/>
      <c r="AJ2181" s="4"/>
      <c r="AK2181" s="4"/>
      <c r="AL2181" s="4"/>
      <c r="AM2181" s="4"/>
      <c r="AN2181" s="4"/>
      <c r="AO2181" s="4"/>
      <c r="AP2181" s="4"/>
      <c r="AQ2181" s="4"/>
      <c r="AR2181" s="4"/>
      <c r="AS2181" s="4"/>
      <c r="AT2181" s="4"/>
      <c r="AU2181" s="4"/>
      <c r="AV2181" s="4"/>
      <c r="AW2181" s="4"/>
      <c r="AX2181" s="4"/>
      <c r="AY2181" s="4"/>
      <c r="AZ2181" s="4"/>
      <c r="BA2181" s="4"/>
      <c r="BB2181" s="4"/>
      <c r="BC2181" s="4"/>
      <c r="BD2181" s="4"/>
      <c r="BE2181" s="4"/>
      <c r="BF2181" s="4"/>
      <c r="BG2181" s="4"/>
      <c r="BH2181" s="4"/>
      <c r="BI2181" s="4"/>
      <c r="BJ2181" s="4"/>
      <c r="BK2181" s="4"/>
      <c r="BL2181" s="4"/>
      <c r="BM2181" s="4"/>
      <c r="BN2181" s="4"/>
      <c r="BO2181" s="4"/>
      <c r="BP2181" s="4"/>
      <c r="BQ2181" s="4"/>
      <c r="BR2181" s="4"/>
      <c r="BS2181" s="4"/>
      <c r="BT2181" s="4"/>
      <c r="BU2181" s="4"/>
      <c r="BV2181" s="4"/>
      <c r="BW2181" s="4"/>
      <c r="BX2181" s="4"/>
      <c r="BY2181" s="4"/>
      <c r="BZ2181" s="4"/>
      <c r="CA2181" s="4"/>
      <c r="CB2181" s="4"/>
      <c r="CC2181" s="4"/>
      <c r="CD2181" s="4"/>
      <c r="CE2181" s="4"/>
      <c r="CF2181" s="4"/>
      <c r="CG2181" s="4"/>
      <c r="CH2181" s="4"/>
      <c r="CI2181" s="4"/>
      <c r="CJ2181" s="4"/>
      <c r="CK2181" s="4"/>
      <c r="CL2181" s="4"/>
      <c r="CM2181" s="4"/>
      <c r="CN2181" s="4"/>
      <c r="CO2181" s="4"/>
      <c r="CP2181" s="4"/>
      <c r="CQ2181" s="4"/>
      <c r="CR2181" s="4"/>
      <c r="CS2181" s="4"/>
      <c r="CT2181" s="4"/>
      <c r="CU2181" s="4"/>
      <c r="CV2181" s="4"/>
      <c r="CW2181" s="4"/>
      <c r="CX2181" s="4"/>
      <c r="CY2181" s="4"/>
      <c r="CZ2181" s="4"/>
      <c r="DA2181" s="4"/>
      <c r="DB2181" s="4"/>
      <c r="DC2181" s="4"/>
      <c r="DD2181" s="4"/>
      <c r="DE2181" s="4"/>
      <c r="DF2181" s="4"/>
      <c r="DG2181" s="4"/>
      <c r="DH2181" s="4"/>
      <c r="DI2181" s="4"/>
      <c r="DJ2181" s="4"/>
      <c r="DK2181" s="4"/>
      <c r="DL2181" s="4"/>
      <c r="DM2181" s="4"/>
      <c r="DN2181" s="4"/>
      <c r="DO2181" s="4"/>
      <c r="DP2181" s="4"/>
      <c r="DQ2181" s="4"/>
      <c r="DR2181" s="4"/>
      <c r="DS2181" s="4"/>
    </row>
    <row r="2182">
      <c r="A2182" s="4"/>
      <c r="B2182" s="4"/>
      <c r="C2182" s="4"/>
      <c r="D2182" s="4"/>
      <c r="E2182" s="4"/>
      <c r="F2182" s="4" t="s">
        <v>17</v>
      </c>
      <c r="G2182" s="15"/>
      <c r="H2182" s="4"/>
      <c r="I2182" s="4"/>
      <c r="J2182" s="4"/>
      <c r="K2182" s="4"/>
      <c r="L2182" s="4"/>
      <c r="M2182" s="4"/>
      <c r="N2182" s="4"/>
      <c r="O2182" s="4"/>
      <c r="P2182" s="4"/>
      <c r="Q2182" s="4"/>
      <c r="R2182" s="4"/>
      <c r="S2182" s="4"/>
      <c r="T2182" s="4"/>
      <c r="U2182" s="4"/>
      <c r="V2182" s="4"/>
      <c r="W2182" s="4"/>
      <c r="X2182" s="4"/>
      <c r="Y2182" s="4"/>
      <c r="Z2182" s="4"/>
      <c r="AA2182" s="4"/>
      <c r="AB2182" s="4"/>
      <c r="AC2182" s="4"/>
      <c r="AD2182" s="4"/>
      <c r="AE2182" s="4"/>
      <c r="AF2182" s="4"/>
      <c r="AG2182" s="4"/>
      <c r="AH2182" s="4"/>
      <c r="AI2182" s="4"/>
      <c r="AJ2182" s="4"/>
      <c r="AK2182" s="4"/>
      <c r="AL2182" s="4"/>
      <c r="AM2182" s="4"/>
      <c r="AN2182" s="4"/>
      <c r="AO2182" s="4"/>
      <c r="AP2182" s="4"/>
      <c r="AQ2182" s="4"/>
      <c r="AR2182" s="4"/>
      <c r="AS2182" s="4"/>
      <c r="AT2182" s="4"/>
      <c r="AU2182" s="4"/>
      <c r="AV2182" s="4"/>
      <c r="AW2182" s="4"/>
      <c r="AX2182" s="4"/>
      <c r="AY2182" s="4"/>
      <c r="AZ2182" s="4"/>
      <c r="BA2182" s="4"/>
      <c r="BB2182" s="4"/>
      <c r="BC2182" s="4"/>
      <c r="BD2182" s="4"/>
      <c r="BE2182" s="4"/>
      <c r="BF2182" s="4"/>
      <c r="BG2182" s="4"/>
      <c r="BH2182" s="4"/>
      <c r="BI2182" s="4"/>
      <c r="BJ2182" s="4"/>
      <c r="BK2182" s="4"/>
      <c r="BL2182" s="4"/>
      <c r="BM2182" s="4"/>
      <c r="BN2182" s="4"/>
      <c r="BO2182" s="4"/>
      <c r="BP2182" s="4"/>
      <c r="BQ2182" s="4"/>
      <c r="BR2182" s="4"/>
      <c r="BS2182" s="4"/>
      <c r="BT2182" s="4"/>
      <c r="BU2182" s="4"/>
      <c r="BV2182" s="4"/>
      <c r="BW2182" s="4"/>
      <c r="BX2182" s="4"/>
      <c r="BY2182" s="4"/>
      <c r="BZ2182" s="4"/>
      <c r="CA2182" s="4"/>
      <c r="CB2182" s="4"/>
      <c r="CC2182" s="4"/>
      <c r="CD2182" s="4"/>
      <c r="CE2182" s="4"/>
      <c r="CF2182" s="4"/>
      <c r="CG2182" s="4"/>
      <c r="CH2182" s="4"/>
      <c r="CI2182" s="4"/>
      <c r="CJ2182" s="4"/>
      <c r="CK2182" s="4"/>
      <c r="CL2182" s="4"/>
      <c r="CM2182" s="4"/>
      <c r="CN2182" s="4"/>
      <c r="CO2182" s="4"/>
      <c r="CP2182" s="4"/>
      <c r="CQ2182" s="4"/>
      <c r="CR2182" s="4"/>
      <c r="CS2182" s="4"/>
      <c r="CT2182" s="4"/>
      <c r="CU2182" s="4"/>
      <c r="CV2182" s="4"/>
      <c r="CW2182" s="4"/>
      <c r="CX2182" s="4"/>
      <c r="CY2182" s="4"/>
      <c r="CZ2182" s="4"/>
      <c r="DA2182" s="4"/>
      <c r="DB2182" s="4"/>
      <c r="DC2182" s="4"/>
      <c r="DD2182" s="4"/>
      <c r="DE2182" s="4"/>
      <c r="DF2182" s="4"/>
      <c r="DG2182" s="4"/>
      <c r="DH2182" s="4"/>
      <c r="DI2182" s="4"/>
      <c r="DJ2182" s="4"/>
      <c r="DK2182" s="4"/>
      <c r="DL2182" s="4"/>
      <c r="DM2182" s="4"/>
      <c r="DN2182" s="4"/>
      <c r="DO2182" s="4"/>
      <c r="DP2182" s="4"/>
      <c r="DQ2182" s="4"/>
      <c r="DR2182" s="4"/>
      <c r="DS2182" s="4"/>
    </row>
    <row r="2183">
      <c r="A2183" s="4"/>
      <c r="B2183" s="4"/>
      <c r="C2183" s="4"/>
      <c r="D2183" s="4"/>
      <c r="E2183" s="4"/>
      <c r="F2183" s="4" t="s">
        <v>17</v>
      </c>
      <c r="G2183" s="15"/>
      <c r="H2183" s="4"/>
      <c r="I2183" s="4"/>
      <c r="J2183" s="4"/>
      <c r="K2183" s="4"/>
      <c r="L2183" s="4"/>
      <c r="M2183" s="4"/>
      <c r="N2183" s="4"/>
      <c r="O2183" s="4"/>
      <c r="P2183" s="4"/>
      <c r="Q2183" s="4"/>
      <c r="R2183" s="4"/>
      <c r="S2183" s="4"/>
      <c r="T2183" s="4"/>
      <c r="U2183" s="4"/>
      <c r="V2183" s="4"/>
      <c r="W2183" s="4"/>
      <c r="X2183" s="4"/>
      <c r="Y2183" s="4"/>
      <c r="Z2183" s="4"/>
      <c r="AA2183" s="4"/>
      <c r="AB2183" s="4"/>
      <c r="AC2183" s="4"/>
      <c r="AD2183" s="4"/>
      <c r="AE2183" s="4"/>
      <c r="AF2183" s="4"/>
      <c r="AG2183" s="4"/>
      <c r="AH2183" s="4"/>
      <c r="AI2183" s="4"/>
      <c r="AJ2183" s="4"/>
      <c r="AK2183" s="4"/>
      <c r="AL2183" s="4"/>
      <c r="AM2183" s="4"/>
      <c r="AN2183" s="4"/>
      <c r="AO2183" s="4"/>
      <c r="AP2183" s="4"/>
      <c r="AQ2183" s="4"/>
      <c r="AR2183" s="4"/>
      <c r="AS2183" s="4"/>
      <c r="AT2183" s="4"/>
      <c r="AU2183" s="4"/>
      <c r="AV2183" s="4"/>
      <c r="AW2183" s="4"/>
      <c r="AX2183" s="4"/>
      <c r="AY2183" s="4"/>
      <c r="AZ2183" s="4"/>
      <c r="BA2183" s="4"/>
      <c r="BB2183" s="4"/>
      <c r="BC2183" s="4"/>
      <c r="BD2183" s="4"/>
      <c r="BE2183" s="4"/>
      <c r="BF2183" s="4"/>
      <c r="BG2183" s="4"/>
      <c r="BH2183" s="4"/>
      <c r="BI2183" s="4"/>
      <c r="BJ2183" s="4"/>
      <c r="BK2183" s="4"/>
      <c r="BL2183" s="4"/>
      <c r="BM2183" s="4"/>
      <c r="BN2183" s="4"/>
      <c r="BO2183" s="4"/>
      <c r="BP2183" s="4"/>
      <c r="BQ2183" s="4"/>
      <c r="BR2183" s="4"/>
      <c r="BS2183" s="4"/>
      <c r="BT2183" s="4"/>
      <c r="BU2183" s="4"/>
      <c r="BV2183" s="4"/>
      <c r="BW2183" s="4"/>
      <c r="BX2183" s="4"/>
      <c r="BY2183" s="4"/>
      <c r="BZ2183" s="4"/>
      <c r="CA2183" s="4"/>
      <c r="CB2183" s="4"/>
      <c r="CC2183" s="4"/>
      <c r="CD2183" s="4"/>
      <c r="CE2183" s="4"/>
      <c r="CF2183" s="4"/>
      <c r="CG2183" s="4"/>
      <c r="CH2183" s="4"/>
      <c r="CI2183" s="4"/>
      <c r="CJ2183" s="4"/>
      <c r="CK2183" s="4"/>
      <c r="CL2183" s="4"/>
      <c r="CM2183" s="4"/>
      <c r="CN2183" s="4"/>
      <c r="CO2183" s="4"/>
      <c r="CP2183" s="4"/>
      <c r="CQ2183" s="4"/>
      <c r="CR2183" s="4"/>
      <c r="CS2183" s="4"/>
      <c r="CT2183" s="4"/>
      <c r="CU2183" s="4"/>
      <c r="CV2183" s="4"/>
      <c r="CW2183" s="4"/>
      <c r="CX2183" s="4"/>
      <c r="CY2183" s="4"/>
      <c r="CZ2183" s="4"/>
      <c r="DA2183" s="4"/>
      <c r="DB2183" s="4"/>
      <c r="DC2183" s="4"/>
      <c r="DD2183" s="4"/>
      <c r="DE2183" s="4"/>
      <c r="DF2183" s="4"/>
      <c r="DG2183" s="4"/>
      <c r="DH2183" s="4"/>
      <c r="DI2183" s="4"/>
      <c r="DJ2183" s="4"/>
      <c r="DK2183" s="4"/>
      <c r="DL2183" s="4"/>
      <c r="DM2183" s="4"/>
      <c r="DN2183" s="4"/>
      <c r="DO2183" s="4"/>
      <c r="DP2183" s="4"/>
      <c r="DQ2183" s="4"/>
      <c r="DR2183" s="4"/>
      <c r="DS2183" s="4"/>
    </row>
    <row r="2184">
      <c r="A2184" s="4"/>
      <c r="B2184" s="4"/>
      <c r="C2184" s="4"/>
      <c r="D2184" s="4"/>
      <c r="E2184" s="4"/>
      <c r="F2184" s="4" t="s">
        <v>17</v>
      </c>
      <c r="G2184" s="15"/>
      <c r="H2184" s="4"/>
      <c r="I2184" s="4"/>
      <c r="J2184" s="4"/>
      <c r="K2184" s="4"/>
      <c r="L2184" s="4"/>
      <c r="M2184" s="4"/>
      <c r="N2184" s="4"/>
      <c r="O2184" s="4"/>
      <c r="P2184" s="4"/>
      <c r="Q2184" s="4"/>
      <c r="R2184" s="4"/>
      <c r="S2184" s="4"/>
      <c r="T2184" s="4"/>
      <c r="U2184" s="4"/>
      <c r="V2184" s="4"/>
      <c r="W2184" s="4"/>
      <c r="X2184" s="4"/>
      <c r="Y2184" s="4"/>
      <c r="Z2184" s="4"/>
      <c r="AA2184" s="4"/>
      <c r="AB2184" s="4"/>
      <c r="AC2184" s="4"/>
      <c r="AD2184" s="4"/>
      <c r="AE2184" s="4"/>
      <c r="AF2184" s="4"/>
      <c r="AG2184" s="4"/>
      <c r="AH2184" s="4"/>
      <c r="AI2184" s="4"/>
      <c r="AJ2184" s="4"/>
      <c r="AK2184" s="4"/>
      <c r="AL2184" s="4"/>
      <c r="AM2184" s="4"/>
      <c r="AN2184" s="4"/>
      <c r="AO2184" s="4"/>
      <c r="AP2184" s="4"/>
      <c r="AQ2184" s="4"/>
      <c r="AR2184" s="4"/>
      <c r="AS2184" s="4"/>
      <c r="AT2184" s="4"/>
      <c r="AU2184" s="4"/>
      <c r="AV2184" s="4"/>
      <c r="AW2184" s="4"/>
      <c r="AX2184" s="4"/>
      <c r="AY2184" s="4"/>
      <c r="AZ2184" s="4"/>
      <c r="BA2184" s="4"/>
      <c r="BB2184" s="4"/>
      <c r="BC2184" s="4"/>
      <c r="BD2184" s="4"/>
      <c r="BE2184" s="4"/>
      <c r="BF2184" s="4"/>
      <c r="BG2184" s="4"/>
      <c r="BH2184" s="4"/>
      <c r="BI2184" s="4"/>
      <c r="BJ2184" s="4"/>
      <c r="BK2184" s="4"/>
      <c r="BL2184" s="4"/>
      <c r="BM2184" s="4"/>
      <c r="BN2184" s="4"/>
      <c r="BO2184" s="4"/>
      <c r="BP2184" s="4"/>
      <c r="BQ2184" s="4"/>
      <c r="BR2184" s="4"/>
      <c r="BS2184" s="4"/>
      <c r="BT2184" s="4"/>
      <c r="BU2184" s="4"/>
      <c r="BV2184" s="4"/>
      <c r="BW2184" s="4"/>
      <c r="BX2184" s="4"/>
      <c r="BY2184" s="4"/>
      <c r="BZ2184" s="4"/>
      <c r="CA2184" s="4"/>
      <c r="CB2184" s="4"/>
      <c r="CC2184" s="4"/>
      <c r="CD2184" s="4"/>
      <c r="CE2184" s="4"/>
      <c r="CF2184" s="4"/>
      <c r="CG2184" s="4"/>
      <c r="CH2184" s="4"/>
      <c r="CI2184" s="4"/>
      <c r="CJ2184" s="4"/>
      <c r="CK2184" s="4"/>
      <c r="CL2184" s="4"/>
      <c r="CM2184" s="4"/>
      <c r="CN2184" s="4"/>
      <c r="CO2184" s="4"/>
      <c r="CP2184" s="4"/>
      <c r="CQ2184" s="4"/>
      <c r="CR2184" s="4"/>
      <c r="CS2184" s="4"/>
      <c r="CT2184" s="4"/>
      <c r="CU2184" s="4"/>
      <c r="CV2184" s="4"/>
      <c r="CW2184" s="4"/>
      <c r="CX2184" s="4"/>
      <c r="CY2184" s="4"/>
      <c r="CZ2184" s="4"/>
      <c r="DA2184" s="4"/>
      <c r="DB2184" s="4"/>
      <c r="DC2184" s="4"/>
      <c r="DD2184" s="4"/>
      <c r="DE2184" s="4"/>
      <c r="DF2184" s="4"/>
      <c r="DG2184" s="4"/>
      <c r="DH2184" s="4"/>
      <c r="DI2184" s="4"/>
      <c r="DJ2184" s="4"/>
      <c r="DK2184" s="4"/>
      <c r="DL2184" s="4"/>
      <c r="DM2184" s="4"/>
      <c r="DN2184" s="4"/>
      <c r="DO2184" s="4"/>
      <c r="DP2184" s="4"/>
      <c r="DQ2184" s="4"/>
      <c r="DR2184" s="4"/>
      <c r="DS2184" s="4"/>
    </row>
    <row r="2185">
      <c r="A2185" s="4"/>
      <c r="B2185" s="4"/>
      <c r="C2185" s="4"/>
      <c r="D2185" s="4"/>
      <c r="E2185" s="4"/>
      <c r="F2185" s="4" t="s">
        <v>17</v>
      </c>
      <c r="G2185" s="15"/>
      <c r="H2185" s="4"/>
      <c r="I2185" s="4"/>
      <c r="J2185" s="4"/>
      <c r="K2185" s="4"/>
      <c r="L2185" s="4"/>
      <c r="M2185" s="4"/>
      <c r="N2185" s="4"/>
      <c r="O2185" s="4"/>
      <c r="P2185" s="4"/>
      <c r="Q2185" s="4"/>
      <c r="R2185" s="4"/>
      <c r="S2185" s="4"/>
      <c r="T2185" s="4"/>
      <c r="U2185" s="4"/>
      <c r="V2185" s="4"/>
      <c r="W2185" s="4"/>
      <c r="X2185" s="4"/>
      <c r="Y2185" s="4"/>
      <c r="Z2185" s="4"/>
      <c r="AA2185" s="4"/>
      <c r="AB2185" s="4"/>
      <c r="AC2185" s="4"/>
      <c r="AD2185" s="4"/>
      <c r="AE2185" s="4"/>
      <c r="AF2185" s="4"/>
      <c r="AG2185" s="4"/>
      <c r="AH2185" s="4"/>
      <c r="AI2185" s="4"/>
      <c r="AJ2185" s="4"/>
      <c r="AK2185" s="4"/>
      <c r="AL2185" s="4"/>
      <c r="AM2185" s="4"/>
      <c r="AN2185" s="4"/>
      <c r="AO2185" s="4"/>
      <c r="AP2185" s="4"/>
      <c r="AQ2185" s="4"/>
      <c r="AR2185" s="4"/>
      <c r="AS2185" s="4"/>
      <c r="AT2185" s="4"/>
      <c r="AU2185" s="4"/>
      <c r="AV2185" s="4"/>
      <c r="AW2185" s="4"/>
      <c r="AX2185" s="4"/>
      <c r="AY2185" s="4"/>
      <c r="AZ2185" s="4"/>
      <c r="BA2185" s="4"/>
      <c r="BB2185" s="4"/>
      <c r="BC2185" s="4"/>
      <c r="BD2185" s="4"/>
      <c r="BE2185" s="4"/>
      <c r="BF2185" s="4"/>
      <c r="BG2185" s="4"/>
      <c r="BH2185" s="4"/>
      <c r="BI2185" s="4"/>
      <c r="BJ2185" s="4"/>
      <c r="BK2185" s="4"/>
      <c r="BL2185" s="4"/>
      <c r="BM2185" s="4"/>
      <c r="BN2185" s="4"/>
      <c r="BO2185" s="4"/>
      <c r="BP2185" s="4"/>
      <c r="BQ2185" s="4"/>
      <c r="BR2185" s="4"/>
      <c r="BS2185" s="4"/>
      <c r="BT2185" s="4"/>
      <c r="BU2185" s="4"/>
      <c r="BV2185" s="4"/>
      <c r="BW2185" s="4"/>
      <c r="BX2185" s="4"/>
      <c r="BY2185" s="4"/>
      <c r="BZ2185" s="4"/>
      <c r="CA2185" s="4"/>
      <c r="CB2185" s="4"/>
      <c r="CC2185" s="4"/>
      <c r="CD2185" s="4"/>
      <c r="CE2185" s="4"/>
      <c r="CF2185" s="4"/>
      <c r="CG2185" s="4"/>
      <c r="CH2185" s="4"/>
      <c r="CI2185" s="4"/>
      <c r="CJ2185" s="4"/>
      <c r="CK2185" s="4"/>
      <c r="CL2185" s="4"/>
      <c r="CM2185" s="4"/>
      <c r="CN2185" s="4"/>
      <c r="CO2185" s="4"/>
      <c r="CP2185" s="4"/>
      <c r="CQ2185" s="4"/>
      <c r="CR2185" s="4"/>
      <c r="CS2185" s="4"/>
      <c r="CT2185" s="4"/>
      <c r="CU2185" s="4"/>
      <c r="CV2185" s="4"/>
      <c r="CW2185" s="4"/>
      <c r="CX2185" s="4"/>
      <c r="CY2185" s="4"/>
      <c r="CZ2185" s="4"/>
      <c r="DA2185" s="4"/>
      <c r="DB2185" s="4"/>
      <c r="DC2185" s="4"/>
      <c r="DD2185" s="4"/>
      <c r="DE2185" s="4"/>
      <c r="DF2185" s="4"/>
      <c r="DG2185" s="4"/>
      <c r="DH2185" s="4"/>
      <c r="DI2185" s="4"/>
      <c r="DJ2185" s="4"/>
      <c r="DK2185" s="4"/>
      <c r="DL2185" s="4"/>
      <c r="DM2185" s="4"/>
      <c r="DN2185" s="4"/>
      <c r="DO2185" s="4"/>
      <c r="DP2185" s="4"/>
      <c r="DQ2185" s="4"/>
      <c r="DR2185" s="4"/>
      <c r="DS2185" s="4"/>
    </row>
    <row r="2186">
      <c r="A2186" s="4"/>
      <c r="B2186" s="4"/>
      <c r="C2186" s="4"/>
      <c r="D2186" s="4"/>
      <c r="E2186" s="4"/>
      <c r="F2186" s="4" t="s">
        <v>17</v>
      </c>
      <c r="G2186" s="15"/>
      <c r="H2186" s="4"/>
      <c r="I2186" s="4"/>
      <c r="J2186" s="4"/>
      <c r="K2186" s="4"/>
      <c r="L2186" s="4"/>
      <c r="M2186" s="4"/>
      <c r="N2186" s="4"/>
      <c r="O2186" s="4"/>
      <c r="P2186" s="4"/>
      <c r="Q2186" s="4"/>
      <c r="R2186" s="4"/>
      <c r="S2186" s="4"/>
      <c r="T2186" s="4"/>
      <c r="U2186" s="4"/>
      <c r="V2186" s="4"/>
      <c r="W2186" s="4"/>
      <c r="X2186" s="4"/>
      <c r="Y2186" s="4"/>
      <c r="Z2186" s="4"/>
      <c r="AA2186" s="4"/>
      <c r="AB2186" s="4"/>
      <c r="AC2186" s="4"/>
      <c r="AD2186" s="4"/>
      <c r="AE2186" s="4"/>
      <c r="AF2186" s="4"/>
      <c r="AG2186" s="4"/>
      <c r="AH2186" s="4"/>
      <c r="AI2186" s="4"/>
      <c r="AJ2186" s="4"/>
      <c r="AK2186" s="4"/>
      <c r="AL2186" s="4"/>
      <c r="AM2186" s="4"/>
      <c r="AN2186" s="4"/>
      <c r="AO2186" s="4"/>
      <c r="AP2186" s="4"/>
      <c r="AQ2186" s="4"/>
      <c r="AR2186" s="4"/>
      <c r="AS2186" s="4"/>
      <c r="AT2186" s="4"/>
      <c r="AU2186" s="4"/>
      <c r="AV2186" s="4"/>
      <c r="AW2186" s="4"/>
      <c r="AX2186" s="4"/>
      <c r="AY2186" s="4"/>
      <c r="AZ2186" s="4"/>
      <c r="BA2186" s="4"/>
      <c r="BB2186" s="4"/>
      <c r="BC2186" s="4"/>
      <c r="BD2186" s="4"/>
      <c r="BE2186" s="4"/>
      <c r="BF2186" s="4"/>
      <c r="BG2186" s="4"/>
      <c r="BH2186" s="4"/>
      <c r="BI2186" s="4"/>
      <c r="BJ2186" s="4"/>
      <c r="BK2186" s="4"/>
      <c r="BL2186" s="4"/>
      <c r="BM2186" s="4"/>
      <c r="BN2186" s="4"/>
      <c r="BO2186" s="4"/>
      <c r="BP2186" s="4"/>
      <c r="BQ2186" s="4"/>
      <c r="BR2186" s="4"/>
      <c r="BS2186" s="4"/>
      <c r="BT2186" s="4"/>
      <c r="BU2186" s="4"/>
      <c r="BV2186" s="4"/>
      <c r="BW2186" s="4"/>
      <c r="BX2186" s="4"/>
      <c r="BY2186" s="4"/>
      <c r="BZ2186" s="4"/>
      <c r="CA2186" s="4"/>
      <c r="CB2186" s="4"/>
      <c r="CC2186" s="4"/>
      <c r="CD2186" s="4"/>
      <c r="CE2186" s="4"/>
      <c r="CF2186" s="4"/>
      <c r="CG2186" s="4"/>
      <c r="CH2186" s="4"/>
      <c r="CI2186" s="4"/>
      <c r="CJ2186" s="4"/>
      <c r="CK2186" s="4"/>
      <c r="CL2186" s="4"/>
      <c r="CM2186" s="4"/>
      <c r="CN2186" s="4"/>
      <c r="CO2186" s="4"/>
      <c r="CP2186" s="4"/>
      <c r="CQ2186" s="4"/>
      <c r="CR2186" s="4"/>
      <c r="CS2186" s="4"/>
      <c r="CT2186" s="4"/>
      <c r="CU2186" s="4"/>
      <c r="CV2186" s="4"/>
      <c r="CW2186" s="4"/>
      <c r="CX2186" s="4"/>
      <c r="CY2186" s="4"/>
      <c r="CZ2186" s="4"/>
      <c r="DA2186" s="4"/>
      <c r="DB2186" s="4"/>
      <c r="DC2186" s="4"/>
      <c r="DD2186" s="4"/>
      <c r="DE2186" s="4"/>
      <c r="DF2186" s="4"/>
      <c r="DG2186" s="4"/>
      <c r="DH2186" s="4"/>
      <c r="DI2186" s="4"/>
      <c r="DJ2186" s="4"/>
      <c r="DK2186" s="4"/>
      <c r="DL2186" s="4"/>
      <c r="DM2186" s="4"/>
      <c r="DN2186" s="4"/>
      <c r="DO2186" s="4"/>
      <c r="DP2186" s="4"/>
      <c r="DQ2186" s="4"/>
      <c r="DR2186" s="4"/>
      <c r="DS2186" s="4"/>
    </row>
    <row r="2187">
      <c r="A2187" s="4"/>
      <c r="B2187" s="4"/>
      <c r="C2187" s="4"/>
      <c r="D2187" s="4"/>
      <c r="E2187" s="4"/>
      <c r="F2187" s="4" t="s">
        <v>17</v>
      </c>
      <c r="G2187" s="15"/>
      <c r="H2187" s="4"/>
      <c r="I2187" s="4"/>
      <c r="J2187" s="4"/>
      <c r="K2187" s="4"/>
      <c r="L2187" s="4"/>
      <c r="M2187" s="4"/>
      <c r="N2187" s="4"/>
      <c r="O2187" s="4"/>
      <c r="P2187" s="4"/>
      <c r="Q2187" s="4"/>
      <c r="R2187" s="4"/>
      <c r="S2187" s="4"/>
      <c r="T2187" s="4"/>
      <c r="U2187" s="4"/>
      <c r="V2187" s="4"/>
      <c r="W2187" s="4"/>
      <c r="X2187" s="4"/>
      <c r="Y2187" s="4"/>
      <c r="Z2187" s="4"/>
      <c r="AA2187" s="4"/>
      <c r="AB2187" s="4"/>
      <c r="AC2187" s="4"/>
      <c r="AD2187" s="4"/>
      <c r="AE2187" s="4"/>
      <c r="AF2187" s="4"/>
      <c r="AG2187" s="4"/>
      <c r="AH2187" s="4"/>
      <c r="AI2187" s="4"/>
      <c r="AJ2187" s="4"/>
      <c r="AK2187" s="4"/>
      <c r="AL2187" s="4"/>
      <c r="AM2187" s="4"/>
      <c r="AN2187" s="4"/>
      <c r="AO2187" s="4"/>
      <c r="AP2187" s="4"/>
      <c r="AQ2187" s="4"/>
      <c r="AR2187" s="4"/>
      <c r="AS2187" s="4"/>
      <c r="AT2187" s="4"/>
      <c r="AU2187" s="4"/>
      <c r="AV2187" s="4"/>
      <c r="AW2187" s="4"/>
      <c r="AX2187" s="4"/>
      <c r="AY2187" s="4"/>
      <c r="AZ2187" s="4"/>
      <c r="BA2187" s="4"/>
      <c r="BB2187" s="4"/>
      <c r="BC2187" s="4"/>
      <c r="BD2187" s="4"/>
      <c r="BE2187" s="4"/>
      <c r="BF2187" s="4"/>
      <c r="BG2187" s="4"/>
      <c r="BH2187" s="4"/>
      <c r="BI2187" s="4"/>
      <c r="BJ2187" s="4"/>
      <c r="BK2187" s="4"/>
      <c r="BL2187" s="4"/>
      <c r="BM2187" s="4"/>
      <c r="BN2187" s="4"/>
      <c r="BO2187" s="4"/>
      <c r="BP2187" s="4"/>
      <c r="BQ2187" s="4"/>
      <c r="BR2187" s="4"/>
      <c r="BS2187" s="4"/>
      <c r="BT2187" s="4"/>
      <c r="BU2187" s="4"/>
      <c r="BV2187" s="4"/>
      <c r="BW2187" s="4"/>
      <c r="BX2187" s="4"/>
      <c r="BY2187" s="4"/>
      <c r="BZ2187" s="4"/>
      <c r="CA2187" s="4"/>
      <c r="CB2187" s="4"/>
      <c r="CC2187" s="4"/>
      <c r="CD2187" s="4"/>
      <c r="CE2187" s="4"/>
      <c r="CF2187" s="4"/>
      <c r="CG2187" s="4"/>
      <c r="CH2187" s="4"/>
      <c r="CI2187" s="4"/>
      <c r="CJ2187" s="4"/>
      <c r="CK2187" s="4"/>
      <c r="CL2187" s="4"/>
      <c r="CM2187" s="4"/>
      <c r="CN2187" s="4"/>
      <c r="CO2187" s="4"/>
      <c r="CP2187" s="4"/>
      <c r="CQ2187" s="4"/>
      <c r="CR2187" s="4"/>
      <c r="CS2187" s="4"/>
      <c r="CT2187" s="4"/>
      <c r="CU2187" s="4"/>
      <c r="CV2187" s="4"/>
      <c r="CW2187" s="4"/>
      <c r="CX2187" s="4"/>
      <c r="CY2187" s="4"/>
      <c r="CZ2187" s="4"/>
      <c r="DA2187" s="4"/>
      <c r="DB2187" s="4"/>
      <c r="DC2187" s="4"/>
      <c r="DD2187" s="4"/>
      <c r="DE2187" s="4"/>
      <c r="DF2187" s="4"/>
      <c r="DG2187" s="4"/>
      <c r="DH2187" s="4"/>
      <c r="DI2187" s="4"/>
      <c r="DJ2187" s="4"/>
      <c r="DK2187" s="4"/>
      <c r="DL2187" s="4"/>
      <c r="DM2187" s="4"/>
      <c r="DN2187" s="4"/>
      <c r="DO2187" s="4"/>
      <c r="DP2187" s="4"/>
      <c r="DQ2187" s="4"/>
      <c r="DR2187" s="4"/>
      <c r="DS2187" s="4"/>
    </row>
    <row r="2188">
      <c r="A2188" s="4"/>
      <c r="B2188" s="4"/>
      <c r="C2188" s="4"/>
      <c r="D2188" s="4"/>
      <c r="E2188" s="4"/>
      <c r="F2188" s="4" t="s">
        <v>17</v>
      </c>
      <c r="G2188" s="15"/>
      <c r="H2188" s="4"/>
      <c r="I2188" s="4"/>
      <c r="J2188" s="4"/>
      <c r="K2188" s="4"/>
      <c r="L2188" s="4"/>
      <c r="M2188" s="4"/>
      <c r="N2188" s="4"/>
      <c r="O2188" s="4"/>
      <c r="P2188" s="4"/>
      <c r="Q2188" s="4"/>
      <c r="R2188" s="4"/>
      <c r="S2188" s="4"/>
      <c r="T2188" s="4"/>
      <c r="U2188" s="4"/>
      <c r="V2188" s="4"/>
      <c r="W2188" s="4"/>
      <c r="X2188" s="4"/>
      <c r="Y2188" s="4"/>
      <c r="Z2188" s="4"/>
      <c r="AA2188" s="4"/>
      <c r="AB2188" s="4"/>
      <c r="AC2188" s="4"/>
      <c r="AD2188" s="4"/>
      <c r="AE2188" s="4"/>
      <c r="AF2188" s="4"/>
      <c r="AG2188" s="4"/>
      <c r="AH2188" s="4"/>
      <c r="AI2188" s="4"/>
      <c r="AJ2188" s="4"/>
      <c r="AK2188" s="4"/>
      <c r="AL2188" s="4"/>
      <c r="AM2188" s="4"/>
      <c r="AN2188" s="4"/>
      <c r="AO2188" s="4"/>
      <c r="AP2188" s="4"/>
      <c r="AQ2188" s="4"/>
      <c r="AR2188" s="4"/>
      <c r="AS2188" s="4"/>
      <c r="AT2188" s="4"/>
      <c r="AU2188" s="4"/>
      <c r="AV2188" s="4"/>
      <c r="AW2188" s="4"/>
      <c r="AX2188" s="4"/>
      <c r="AY2188" s="4"/>
      <c r="AZ2188" s="4"/>
      <c r="BA2188" s="4"/>
      <c r="BB2188" s="4"/>
      <c r="BC2188" s="4"/>
      <c r="BD2188" s="4"/>
      <c r="BE2188" s="4"/>
      <c r="BF2188" s="4"/>
      <c r="BG2188" s="4"/>
      <c r="BH2188" s="4"/>
      <c r="BI2188" s="4"/>
      <c r="BJ2188" s="4"/>
      <c r="BK2188" s="4"/>
      <c r="BL2188" s="4"/>
      <c r="BM2188" s="4"/>
      <c r="BN2188" s="4"/>
      <c r="BO2188" s="4"/>
      <c r="BP2188" s="4"/>
      <c r="BQ2188" s="4"/>
      <c r="BR2188" s="4"/>
      <c r="BS2188" s="4"/>
      <c r="BT2188" s="4"/>
      <c r="BU2188" s="4"/>
      <c r="BV2188" s="4"/>
      <c r="BW2188" s="4"/>
      <c r="BX2188" s="4"/>
      <c r="BY2188" s="4"/>
      <c r="BZ2188" s="4"/>
      <c r="CA2188" s="4"/>
      <c r="CB2188" s="4"/>
      <c r="CC2188" s="4"/>
      <c r="CD2188" s="4"/>
      <c r="CE2188" s="4"/>
      <c r="CF2188" s="4"/>
      <c r="CG2188" s="4"/>
      <c r="CH2188" s="4"/>
      <c r="CI2188" s="4"/>
      <c r="CJ2188" s="4"/>
      <c r="CK2188" s="4"/>
      <c r="CL2188" s="4"/>
      <c r="CM2188" s="4"/>
      <c r="CN2188" s="4"/>
      <c r="CO2188" s="4"/>
      <c r="CP2188" s="4"/>
      <c r="CQ2188" s="4"/>
      <c r="CR2188" s="4"/>
      <c r="CS2188" s="4"/>
      <c r="CT2188" s="4"/>
      <c r="CU2188" s="4"/>
      <c r="CV2188" s="4"/>
      <c r="CW2188" s="4"/>
      <c r="CX2188" s="4"/>
      <c r="CY2188" s="4"/>
      <c r="CZ2188" s="4"/>
      <c r="DA2188" s="4"/>
      <c r="DB2188" s="4"/>
      <c r="DC2188" s="4"/>
      <c r="DD2188" s="4"/>
      <c r="DE2188" s="4"/>
      <c r="DF2188" s="4"/>
      <c r="DG2188" s="4"/>
      <c r="DH2188" s="4"/>
      <c r="DI2188" s="4"/>
      <c r="DJ2188" s="4"/>
      <c r="DK2188" s="4"/>
      <c r="DL2188" s="4"/>
      <c r="DM2188" s="4"/>
      <c r="DN2188" s="4"/>
      <c r="DO2188" s="4"/>
      <c r="DP2188" s="4"/>
      <c r="DQ2188" s="4"/>
      <c r="DR2188" s="4"/>
      <c r="DS2188" s="4"/>
    </row>
    <row r="2189">
      <c r="A2189" s="4"/>
      <c r="B2189" s="4"/>
      <c r="C2189" s="4"/>
      <c r="D2189" s="4"/>
      <c r="E2189" s="4"/>
      <c r="F2189" s="4" t="s">
        <v>17</v>
      </c>
      <c r="G2189" s="15"/>
      <c r="H2189" s="4"/>
      <c r="I2189" s="4"/>
      <c r="J2189" s="4"/>
      <c r="K2189" s="4"/>
      <c r="L2189" s="4"/>
      <c r="M2189" s="4"/>
      <c r="N2189" s="4"/>
      <c r="O2189" s="4"/>
      <c r="P2189" s="4"/>
      <c r="Q2189" s="4"/>
      <c r="R2189" s="4"/>
      <c r="S2189" s="4"/>
      <c r="T2189" s="4"/>
      <c r="U2189" s="4"/>
      <c r="V2189" s="4"/>
      <c r="W2189" s="4"/>
      <c r="X2189" s="4"/>
      <c r="Y2189" s="4"/>
      <c r="Z2189" s="4"/>
      <c r="AA2189" s="4"/>
      <c r="AB2189" s="4"/>
      <c r="AC2189" s="4"/>
      <c r="AD2189" s="4"/>
      <c r="AE2189" s="4"/>
      <c r="AF2189" s="4"/>
      <c r="AG2189" s="4"/>
      <c r="AH2189" s="4"/>
      <c r="AI2189" s="4"/>
      <c r="AJ2189" s="4"/>
      <c r="AK2189" s="4"/>
      <c r="AL2189" s="4"/>
      <c r="AM2189" s="4"/>
      <c r="AN2189" s="4"/>
      <c r="AO2189" s="4"/>
      <c r="AP2189" s="4"/>
      <c r="AQ2189" s="4"/>
      <c r="AR2189" s="4"/>
      <c r="AS2189" s="4"/>
      <c r="AT2189" s="4"/>
      <c r="AU2189" s="4"/>
      <c r="AV2189" s="4"/>
      <c r="AW2189" s="4"/>
      <c r="AX2189" s="4"/>
      <c r="AY2189" s="4"/>
      <c r="AZ2189" s="4"/>
      <c r="BA2189" s="4"/>
      <c r="BB2189" s="4"/>
      <c r="BC2189" s="4"/>
      <c r="BD2189" s="4"/>
      <c r="BE2189" s="4"/>
      <c r="BF2189" s="4"/>
      <c r="BG2189" s="4"/>
      <c r="BH2189" s="4"/>
      <c r="BI2189" s="4"/>
      <c r="BJ2189" s="4"/>
      <c r="BK2189" s="4"/>
      <c r="BL2189" s="4"/>
      <c r="BM2189" s="4"/>
      <c r="BN2189" s="4"/>
      <c r="BO2189" s="4"/>
      <c r="BP2189" s="4"/>
      <c r="BQ2189" s="4"/>
      <c r="BR2189" s="4"/>
      <c r="BS2189" s="4"/>
      <c r="BT2189" s="4"/>
      <c r="BU2189" s="4"/>
      <c r="BV2189" s="4"/>
      <c r="BW2189" s="4"/>
      <c r="BX2189" s="4"/>
      <c r="BY2189" s="4"/>
      <c r="BZ2189" s="4"/>
      <c r="CA2189" s="4"/>
      <c r="CB2189" s="4"/>
      <c r="CC2189" s="4"/>
      <c r="CD2189" s="4"/>
      <c r="CE2189" s="4"/>
      <c r="CF2189" s="4"/>
      <c r="CG2189" s="4"/>
      <c r="CH2189" s="4"/>
      <c r="CI2189" s="4"/>
      <c r="CJ2189" s="4"/>
      <c r="CK2189" s="4"/>
      <c r="CL2189" s="4"/>
      <c r="CM2189" s="4"/>
      <c r="CN2189" s="4"/>
      <c r="CO2189" s="4"/>
      <c r="CP2189" s="4"/>
      <c r="CQ2189" s="4"/>
      <c r="CR2189" s="4"/>
      <c r="CS2189" s="4"/>
      <c r="CT2189" s="4"/>
      <c r="CU2189" s="4"/>
      <c r="CV2189" s="4"/>
      <c r="CW2189" s="4"/>
      <c r="CX2189" s="4"/>
      <c r="CY2189" s="4"/>
      <c r="CZ2189" s="4"/>
      <c r="DA2189" s="4"/>
      <c r="DB2189" s="4"/>
      <c r="DC2189" s="4"/>
      <c r="DD2189" s="4"/>
      <c r="DE2189" s="4"/>
      <c r="DF2189" s="4"/>
      <c r="DG2189" s="4"/>
      <c r="DH2189" s="4"/>
      <c r="DI2189" s="4"/>
      <c r="DJ2189" s="4"/>
      <c r="DK2189" s="4"/>
      <c r="DL2189" s="4"/>
      <c r="DM2189" s="4"/>
      <c r="DN2189" s="4"/>
      <c r="DO2189" s="4"/>
      <c r="DP2189" s="4"/>
      <c r="DQ2189" s="4"/>
      <c r="DR2189" s="4"/>
      <c r="DS2189" s="4"/>
    </row>
    <row r="2190">
      <c r="A2190" s="4"/>
      <c r="B2190" s="4"/>
      <c r="C2190" s="4"/>
      <c r="D2190" s="4"/>
      <c r="E2190" s="4"/>
      <c r="F2190" s="4" t="s">
        <v>17</v>
      </c>
      <c r="G2190" s="15"/>
      <c r="H2190" s="4"/>
      <c r="I2190" s="4"/>
      <c r="J2190" s="4"/>
      <c r="K2190" s="4"/>
      <c r="L2190" s="4"/>
      <c r="M2190" s="4"/>
      <c r="N2190" s="4"/>
      <c r="O2190" s="4"/>
      <c r="P2190" s="4"/>
      <c r="Q2190" s="4"/>
      <c r="R2190" s="4"/>
      <c r="S2190" s="4"/>
      <c r="T2190" s="4"/>
      <c r="U2190" s="4"/>
      <c r="V2190" s="4"/>
      <c r="W2190" s="4"/>
      <c r="X2190" s="4"/>
      <c r="Y2190" s="4"/>
      <c r="Z2190" s="4"/>
      <c r="AA2190" s="4"/>
      <c r="AB2190" s="4"/>
      <c r="AC2190" s="4"/>
      <c r="AD2190" s="4"/>
      <c r="AE2190" s="4"/>
      <c r="AF2190" s="4"/>
      <c r="AG2190" s="4"/>
      <c r="AH2190" s="4"/>
      <c r="AI2190" s="4"/>
      <c r="AJ2190" s="4"/>
      <c r="AK2190" s="4"/>
      <c r="AL2190" s="4"/>
      <c r="AM2190" s="4"/>
      <c r="AN2190" s="4"/>
      <c r="AO2190" s="4"/>
      <c r="AP2190" s="4"/>
      <c r="AQ2190" s="4"/>
      <c r="AR2190" s="4"/>
      <c r="AS2190" s="4"/>
      <c r="AT2190" s="4"/>
      <c r="AU2190" s="4"/>
      <c r="AV2190" s="4"/>
      <c r="AW2190" s="4"/>
      <c r="AX2190" s="4"/>
      <c r="AY2190" s="4"/>
      <c r="AZ2190" s="4"/>
      <c r="BA2190" s="4"/>
      <c r="BB2190" s="4"/>
      <c r="BC2190" s="4"/>
      <c r="BD2190" s="4"/>
      <c r="BE2190" s="4"/>
      <c r="BF2190" s="4"/>
      <c r="BG2190" s="4"/>
      <c r="BH2190" s="4"/>
      <c r="BI2190" s="4"/>
      <c r="BJ2190" s="4"/>
      <c r="BK2190" s="4"/>
      <c r="BL2190" s="4"/>
      <c r="BM2190" s="4"/>
      <c r="BN2190" s="4"/>
      <c r="BO2190" s="4"/>
      <c r="BP2190" s="4"/>
      <c r="BQ2190" s="4"/>
      <c r="BR2190" s="4"/>
      <c r="BS2190" s="4"/>
      <c r="BT2190" s="4"/>
      <c r="BU2190" s="4"/>
      <c r="BV2190" s="4"/>
      <c r="BW2190" s="4"/>
      <c r="BX2190" s="4"/>
      <c r="BY2190" s="4"/>
      <c r="BZ2190" s="4"/>
      <c r="CA2190" s="4"/>
      <c r="CB2190" s="4"/>
      <c r="CC2190" s="4"/>
      <c r="CD2190" s="4"/>
      <c r="CE2190" s="4"/>
      <c r="CF2190" s="4"/>
      <c r="CG2190" s="4"/>
      <c r="CH2190" s="4"/>
      <c r="CI2190" s="4"/>
      <c r="CJ2190" s="4"/>
      <c r="CK2190" s="4"/>
      <c r="CL2190" s="4"/>
      <c r="CM2190" s="4"/>
      <c r="CN2190" s="4"/>
      <c r="CO2190" s="4"/>
      <c r="CP2190" s="4"/>
      <c r="CQ2190" s="4"/>
      <c r="CR2190" s="4"/>
      <c r="CS2190" s="4"/>
      <c r="CT2190" s="4"/>
      <c r="CU2190" s="4"/>
      <c r="CV2190" s="4"/>
      <c r="CW2190" s="4"/>
      <c r="CX2190" s="4"/>
      <c r="CY2190" s="4"/>
      <c r="CZ2190" s="4"/>
      <c r="DA2190" s="4"/>
      <c r="DB2190" s="4"/>
      <c r="DC2190" s="4"/>
      <c r="DD2190" s="4"/>
      <c r="DE2190" s="4"/>
      <c r="DF2190" s="4"/>
      <c r="DG2190" s="4"/>
      <c r="DH2190" s="4"/>
      <c r="DI2190" s="4"/>
      <c r="DJ2190" s="4"/>
      <c r="DK2190" s="4"/>
      <c r="DL2190" s="4"/>
      <c r="DM2190" s="4"/>
      <c r="DN2190" s="4"/>
      <c r="DO2190" s="4"/>
      <c r="DP2190" s="4"/>
      <c r="DQ2190" s="4"/>
      <c r="DR2190" s="4"/>
      <c r="DS2190" s="4"/>
    </row>
    <row r="2191">
      <c r="A2191" s="4"/>
      <c r="B2191" s="4"/>
      <c r="C2191" s="4"/>
      <c r="D2191" s="4"/>
      <c r="E2191" s="4"/>
      <c r="F2191" s="4" t="s">
        <v>17</v>
      </c>
      <c r="G2191" s="15"/>
      <c r="H2191" s="4"/>
      <c r="I2191" s="4"/>
      <c r="J2191" s="4"/>
      <c r="K2191" s="4"/>
      <c r="L2191" s="4"/>
      <c r="M2191" s="4"/>
      <c r="N2191" s="4"/>
      <c r="O2191" s="4"/>
      <c r="P2191" s="4"/>
      <c r="Q2191" s="4"/>
      <c r="R2191" s="4"/>
      <c r="S2191" s="4"/>
      <c r="T2191" s="4"/>
      <c r="U2191" s="4"/>
      <c r="V2191" s="4"/>
      <c r="W2191" s="4"/>
      <c r="X2191" s="4"/>
      <c r="Y2191" s="4"/>
      <c r="Z2191" s="4"/>
      <c r="AA2191" s="4"/>
      <c r="AB2191" s="4"/>
      <c r="AC2191" s="4"/>
      <c r="AD2191" s="4"/>
      <c r="AE2191" s="4"/>
      <c r="AF2191" s="4"/>
      <c r="AG2191" s="4"/>
      <c r="AH2191" s="4"/>
      <c r="AI2191" s="4"/>
      <c r="AJ2191" s="4"/>
      <c r="AK2191" s="4"/>
      <c r="AL2191" s="4"/>
      <c r="AM2191" s="4"/>
      <c r="AN2191" s="4"/>
      <c r="AO2191" s="4"/>
      <c r="AP2191" s="4"/>
      <c r="AQ2191" s="4"/>
      <c r="AR2191" s="4"/>
      <c r="AS2191" s="4"/>
      <c r="AT2191" s="4"/>
      <c r="AU2191" s="4"/>
      <c r="AV2191" s="4"/>
      <c r="AW2191" s="4"/>
      <c r="AX2191" s="4"/>
      <c r="AY2191" s="4"/>
      <c r="AZ2191" s="4"/>
      <c r="BA2191" s="4"/>
      <c r="BB2191" s="4"/>
      <c r="BC2191" s="4"/>
      <c r="BD2191" s="4"/>
      <c r="BE2191" s="4"/>
      <c r="BF2191" s="4"/>
      <c r="BG2191" s="4"/>
      <c r="BH2191" s="4"/>
      <c r="BI2191" s="4"/>
      <c r="BJ2191" s="4"/>
      <c r="BK2191" s="4"/>
      <c r="BL2191" s="4"/>
      <c r="BM2191" s="4"/>
      <c r="BN2191" s="4"/>
      <c r="BO2191" s="4"/>
      <c r="BP2191" s="4"/>
      <c r="BQ2191" s="4"/>
      <c r="BR2191" s="4"/>
      <c r="BS2191" s="4"/>
      <c r="BT2191" s="4"/>
      <c r="BU2191" s="4"/>
      <c r="BV2191" s="4"/>
      <c r="BW2191" s="4"/>
      <c r="BX2191" s="4"/>
      <c r="BY2191" s="4"/>
      <c r="BZ2191" s="4"/>
      <c r="CA2191" s="4"/>
      <c r="CB2191" s="4"/>
      <c r="CC2191" s="4"/>
      <c r="CD2191" s="4"/>
      <c r="CE2191" s="4"/>
      <c r="CF2191" s="4"/>
      <c r="CG2191" s="4"/>
      <c r="CH2191" s="4"/>
      <c r="CI2191" s="4"/>
      <c r="CJ2191" s="4"/>
      <c r="CK2191" s="4"/>
      <c r="CL2191" s="4"/>
      <c r="CM2191" s="4"/>
      <c r="CN2191" s="4"/>
      <c r="CO2191" s="4"/>
      <c r="CP2191" s="4"/>
      <c r="CQ2191" s="4"/>
      <c r="CR2191" s="4"/>
      <c r="CS2191" s="4"/>
      <c r="CT2191" s="4"/>
      <c r="CU2191" s="4"/>
      <c r="CV2191" s="4"/>
      <c r="CW2191" s="4"/>
      <c r="CX2191" s="4"/>
      <c r="CY2191" s="4"/>
      <c r="CZ2191" s="4"/>
      <c r="DA2191" s="4"/>
      <c r="DB2191" s="4"/>
      <c r="DC2191" s="4"/>
      <c r="DD2191" s="4"/>
      <c r="DE2191" s="4"/>
      <c r="DF2191" s="4"/>
      <c r="DG2191" s="4"/>
      <c r="DH2191" s="4"/>
      <c r="DI2191" s="4"/>
      <c r="DJ2191" s="4"/>
      <c r="DK2191" s="4"/>
      <c r="DL2191" s="4"/>
      <c r="DM2191" s="4"/>
      <c r="DN2191" s="4"/>
      <c r="DO2191" s="4"/>
      <c r="DP2191" s="4"/>
      <c r="DQ2191" s="4"/>
      <c r="DR2191" s="4"/>
      <c r="DS2191" s="4"/>
    </row>
    <row r="2192">
      <c r="A2192" s="4"/>
      <c r="B2192" s="4"/>
      <c r="C2192" s="4"/>
      <c r="D2192" s="4"/>
      <c r="E2192" s="4"/>
      <c r="F2192" s="4" t="s">
        <v>17</v>
      </c>
      <c r="G2192" s="15"/>
      <c r="H2192" s="4"/>
      <c r="I2192" s="4"/>
      <c r="J2192" s="4"/>
      <c r="K2192" s="4"/>
      <c r="L2192" s="4"/>
      <c r="M2192" s="4"/>
      <c r="N2192" s="4"/>
      <c r="O2192" s="4"/>
      <c r="P2192" s="4"/>
      <c r="Q2192" s="4"/>
      <c r="R2192" s="4"/>
      <c r="S2192" s="4"/>
      <c r="T2192" s="4"/>
      <c r="U2192" s="4"/>
      <c r="V2192" s="4"/>
      <c r="W2192" s="4"/>
      <c r="X2192" s="4"/>
      <c r="Y2192" s="4"/>
      <c r="Z2192" s="4"/>
      <c r="AA2192" s="4"/>
      <c r="AB2192" s="4"/>
      <c r="AC2192" s="4"/>
      <c r="AD2192" s="4"/>
      <c r="AE2192" s="4"/>
      <c r="AF2192" s="4"/>
      <c r="AG2192" s="4"/>
      <c r="AH2192" s="4"/>
      <c r="AI2192" s="4"/>
      <c r="AJ2192" s="4"/>
      <c r="AK2192" s="4"/>
      <c r="AL2192" s="4"/>
      <c r="AM2192" s="4"/>
      <c r="AN2192" s="4"/>
      <c r="AO2192" s="4"/>
      <c r="AP2192" s="4"/>
      <c r="AQ2192" s="4"/>
      <c r="AR2192" s="4"/>
      <c r="AS2192" s="4"/>
      <c r="AT2192" s="4"/>
      <c r="AU2192" s="4"/>
      <c r="AV2192" s="4"/>
      <c r="AW2192" s="4"/>
      <c r="AX2192" s="4"/>
      <c r="AY2192" s="4"/>
      <c r="AZ2192" s="4"/>
      <c r="BA2192" s="4"/>
      <c r="BB2192" s="4"/>
      <c r="BC2192" s="4"/>
      <c r="BD2192" s="4"/>
      <c r="BE2192" s="4"/>
      <c r="BF2192" s="4"/>
      <c r="BG2192" s="4"/>
      <c r="BH2192" s="4"/>
      <c r="BI2192" s="4"/>
      <c r="BJ2192" s="4"/>
      <c r="BK2192" s="4"/>
      <c r="BL2192" s="4"/>
      <c r="BM2192" s="4"/>
      <c r="BN2192" s="4"/>
      <c r="BO2192" s="4"/>
      <c r="BP2192" s="4"/>
      <c r="BQ2192" s="4"/>
      <c r="BR2192" s="4"/>
      <c r="BS2192" s="4"/>
      <c r="BT2192" s="4"/>
      <c r="BU2192" s="4"/>
      <c r="BV2192" s="4"/>
      <c r="BW2192" s="4"/>
      <c r="BX2192" s="4"/>
      <c r="BY2192" s="4"/>
      <c r="BZ2192" s="4"/>
      <c r="CA2192" s="4"/>
      <c r="CB2192" s="4"/>
      <c r="CC2192" s="4"/>
      <c r="CD2192" s="4"/>
      <c r="CE2192" s="4"/>
      <c r="CF2192" s="4"/>
      <c r="CG2192" s="4"/>
      <c r="CH2192" s="4"/>
      <c r="CI2192" s="4"/>
      <c r="CJ2192" s="4"/>
      <c r="CK2192" s="4"/>
      <c r="CL2192" s="4"/>
      <c r="CM2192" s="4"/>
      <c r="CN2192" s="4"/>
      <c r="CO2192" s="4"/>
      <c r="CP2192" s="4"/>
      <c r="CQ2192" s="4"/>
      <c r="CR2192" s="4"/>
      <c r="CS2192" s="4"/>
      <c r="CT2192" s="4"/>
      <c r="CU2192" s="4"/>
      <c r="CV2192" s="4"/>
      <c r="CW2192" s="4"/>
      <c r="CX2192" s="4"/>
      <c r="CY2192" s="4"/>
      <c r="CZ2192" s="4"/>
      <c r="DA2192" s="4"/>
      <c r="DB2192" s="4"/>
      <c r="DC2192" s="4"/>
      <c r="DD2192" s="4"/>
      <c r="DE2192" s="4"/>
      <c r="DF2192" s="4"/>
      <c r="DG2192" s="4"/>
      <c r="DH2192" s="4"/>
      <c r="DI2192" s="4"/>
      <c r="DJ2192" s="4"/>
      <c r="DK2192" s="4"/>
      <c r="DL2192" s="4"/>
      <c r="DM2192" s="4"/>
      <c r="DN2192" s="4"/>
      <c r="DO2192" s="4"/>
      <c r="DP2192" s="4"/>
      <c r="DQ2192" s="4"/>
      <c r="DR2192" s="4"/>
      <c r="DS2192" s="4"/>
    </row>
    <row r="2193">
      <c r="A2193" s="4"/>
      <c r="B2193" s="4"/>
      <c r="C2193" s="4"/>
      <c r="D2193" s="4"/>
      <c r="E2193" s="4"/>
      <c r="F2193" s="4" t="s">
        <v>17</v>
      </c>
      <c r="G2193" s="15"/>
      <c r="H2193" s="4"/>
      <c r="I2193" s="4"/>
      <c r="J2193" s="4"/>
      <c r="K2193" s="4"/>
      <c r="L2193" s="4"/>
      <c r="M2193" s="4"/>
      <c r="N2193" s="4"/>
      <c r="O2193" s="4"/>
      <c r="P2193" s="4"/>
      <c r="Q2193" s="4"/>
      <c r="R2193" s="4"/>
      <c r="S2193" s="4"/>
      <c r="T2193" s="4"/>
      <c r="U2193" s="4"/>
      <c r="V2193" s="4"/>
      <c r="W2193" s="4"/>
      <c r="X2193" s="4"/>
      <c r="Y2193" s="4"/>
      <c r="Z2193" s="4"/>
      <c r="AA2193" s="4"/>
      <c r="AB2193" s="4"/>
      <c r="AC2193" s="4"/>
      <c r="AD2193" s="4"/>
      <c r="AE2193" s="4"/>
      <c r="AF2193" s="4"/>
      <c r="AG2193" s="4"/>
      <c r="AH2193" s="4"/>
      <c r="AI2193" s="4"/>
      <c r="AJ2193" s="4"/>
      <c r="AK2193" s="4"/>
      <c r="AL2193" s="4"/>
      <c r="AM2193" s="4"/>
      <c r="AN2193" s="4"/>
      <c r="AO2193" s="4"/>
      <c r="AP2193" s="4"/>
      <c r="AQ2193" s="4"/>
      <c r="AR2193" s="4"/>
      <c r="AS2193" s="4"/>
      <c r="AT2193" s="4"/>
      <c r="AU2193" s="4"/>
      <c r="AV2193" s="4"/>
      <c r="AW2193" s="4"/>
      <c r="AX2193" s="4"/>
      <c r="AY2193" s="4"/>
      <c r="AZ2193" s="4"/>
      <c r="BA2193" s="4"/>
      <c r="BB2193" s="4"/>
      <c r="BC2193" s="4"/>
      <c r="BD2193" s="4"/>
      <c r="BE2193" s="4"/>
      <c r="BF2193" s="4"/>
      <c r="BG2193" s="4"/>
      <c r="BH2193" s="4"/>
      <c r="BI2193" s="4"/>
      <c r="BJ2193" s="4"/>
      <c r="BK2193" s="4"/>
      <c r="BL2193" s="4"/>
      <c r="BM2193" s="4"/>
      <c r="BN2193" s="4"/>
      <c r="BO2193" s="4"/>
      <c r="BP2193" s="4"/>
      <c r="BQ2193" s="4"/>
      <c r="BR2193" s="4"/>
      <c r="BS2193" s="4"/>
      <c r="BT2193" s="4"/>
      <c r="BU2193" s="4"/>
      <c r="BV2193" s="4"/>
      <c r="BW2193" s="4"/>
      <c r="BX2193" s="4"/>
      <c r="BY2193" s="4"/>
      <c r="BZ2193" s="4"/>
      <c r="CA2193" s="4"/>
      <c r="CB2193" s="4"/>
      <c r="CC2193" s="4"/>
      <c r="CD2193" s="4"/>
      <c r="CE2193" s="4"/>
      <c r="CF2193" s="4"/>
      <c r="CG2193" s="4"/>
      <c r="CH2193" s="4"/>
      <c r="CI2193" s="4"/>
      <c r="CJ2193" s="4"/>
      <c r="CK2193" s="4"/>
      <c r="CL2193" s="4"/>
      <c r="CM2193" s="4"/>
      <c r="CN2193" s="4"/>
      <c r="CO2193" s="4"/>
      <c r="CP2193" s="4"/>
      <c r="CQ2193" s="4"/>
      <c r="CR2193" s="4"/>
      <c r="CS2193" s="4"/>
      <c r="CT2193" s="4"/>
      <c r="CU2193" s="4"/>
      <c r="CV2193" s="4"/>
      <c r="CW2193" s="4"/>
      <c r="CX2193" s="4"/>
      <c r="CY2193" s="4"/>
      <c r="CZ2193" s="4"/>
      <c r="DA2193" s="4"/>
      <c r="DB2193" s="4"/>
      <c r="DC2193" s="4"/>
      <c r="DD2193" s="4"/>
      <c r="DE2193" s="4"/>
      <c r="DF2193" s="4"/>
      <c r="DG2193" s="4"/>
      <c r="DH2193" s="4"/>
      <c r="DI2193" s="4"/>
      <c r="DJ2193" s="4"/>
      <c r="DK2193" s="4"/>
      <c r="DL2193" s="4"/>
      <c r="DM2193" s="4"/>
      <c r="DN2193" s="4"/>
      <c r="DO2193" s="4"/>
      <c r="DP2193" s="4"/>
      <c r="DQ2193" s="4"/>
      <c r="DR2193" s="4"/>
      <c r="DS2193" s="4"/>
    </row>
    <row r="2194">
      <c r="A2194" s="4"/>
      <c r="B2194" s="4"/>
      <c r="C2194" s="4"/>
      <c r="D2194" s="4"/>
      <c r="E2194" s="4"/>
      <c r="F2194" s="4" t="s">
        <v>17</v>
      </c>
      <c r="G2194" s="15"/>
      <c r="H2194" s="4"/>
      <c r="I2194" s="4"/>
      <c r="J2194" s="4"/>
      <c r="K2194" s="4"/>
      <c r="L2194" s="4"/>
      <c r="M2194" s="4"/>
      <c r="N2194" s="4"/>
      <c r="O2194" s="4"/>
      <c r="P2194" s="4"/>
      <c r="Q2194" s="4"/>
      <c r="R2194" s="4"/>
      <c r="S2194" s="4"/>
      <c r="T2194" s="4"/>
      <c r="U2194" s="4"/>
      <c r="V2194" s="4"/>
      <c r="W2194" s="4"/>
      <c r="X2194" s="4"/>
      <c r="Y2194" s="4"/>
      <c r="Z2194" s="4"/>
      <c r="AA2194" s="4"/>
      <c r="AB2194" s="4"/>
      <c r="AC2194" s="4"/>
      <c r="AD2194" s="4"/>
      <c r="AE2194" s="4"/>
      <c r="AF2194" s="4"/>
      <c r="AG2194" s="4"/>
      <c r="AH2194" s="4"/>
      <c r="AI2194" s="4"/>
      <c r="AJ2194" s="4"/>
      <c r="AK2194" s="4"/>
      <c r="AL2194" s="4"/>
      <c r="AM2194" s="4"/>
      <c r="AN2194" s="4"/>
      <c r="AO2194" s="4"/>
      <c r="AP2194" s="4"/>
      <c r="AQ2194" s="4"/>
      <c r="AR2194" s="4"/>
      <c r="AS2194" s="4"/>
      <c r="AT2194" s="4"/>
      <c r="AU2194" s="4"/>
      <c r="AV2194" s="4"/>
      <c r="AW2194" s="4"/>
      <c r="AX2194" s="4"/>
      <c r="AY2194" s="4"/>
      <c r="AZ2194" s="4"/>
      <c r="BA2194" s="4"/>
      <c r="BB2194" s="4"/>
      <c r="BC2194" s="4"/>
      <c r="BD2194" s="4"/>
      <c r="BE2194" s="4"/>
      <c r="BF2194" s="4"/>
      <c r="BG2194" s="4"/>
      <c r="BH2194" s="4"/>
      <c r="BI2194" s="4"/>
      <c r="BJ2194" s="4"/>
      <c r="BK2194" s="4"/>
      <c r="BL2194" s="4"/>
      <c r="BM2194" s="4"/>
      <c r="BN2194" s="4"/>
      <c r="BO2194" s="4"/>
      <c r="BP2194" s="4"/>
      <c r="BQ2194" s="4"/>
      <c r="BR2194" s="4"/>
      <c r="BS2194" s="4"/>
      <c r="BT2194" s="4"/>
      <c r="BU2194" s="4"/>
      <c r="BV2194" s="4"/>
      <c r="BW2194" s="4"/>
      <c r="BX2194" s="4"/>
      <c r="BY2194" s="4"/>
      <c r="BZ2194" s="4"/>
      <c r="CA2194" s="4"/>
      <c r="CB2194" s="4"/>
      <c r="CC2194" s="4"/>
      <c r="CD2194" s="4"/>
      <c r="CE2194" s="4"/>
      <c r="CF2194" s="4"/>
      <c r="CG2194" s="4"/>
      <c r="CH2194" s="4"/>
      <c r="CI2194" s="4"/>
      <c r="CJ2194" s="4"/>
      <c r="CK2194" s="4"/>
      <c r="CL2194" s="4"/>
      <c r="CM2194" s="4"/>
      <c r="CN2194" s="4"/>
      <c r="CO2194" s="4"/>
      <c r="CP2194" s="4"/>
      <c r="CQ2194" s="4"/>
      <c r="CR2194" s="4"/>
      <c r="CS2194" s="4"/>
      <c r="CT2194" s="4"/>
      <c r="CU2194" s="4"/>
      <c r="CV2194" s="4"/>
      <c r="CW2194" s="4"/>
      <c r="CX2194" s="4"/>
      <c r="CY2194" s="4"/>
      <c r="CZ2194" s="4"/>
      <c r="DA2194" s="4"/>
      <c r="DB2194" s="4"/>
      <c r="DC2194" s="4"/>
      <c r="DD2194" s="4"/>
      <c r="DE2194" s="4"/>
      <c r="DF2194" s="4"/>
      <c r="DG2194" s="4"/>
      <c r="DH2194" s="4"/>
      <c r="DI2194" s="4"/>
      <c r="DJ2194" s="4"/>
      <c r="DK2194" s="4"/>
      <c r="DL2194" s="4"/>
      <c r="DM2194" s="4"/>
      <c r="DN2194" s="4"/>
      <c r="DO2194" s="4"/>
      <c r="DP2194" s="4"/>
      <c r="DQ2194" s="4"/>
      <c r="DR2194" s="4"/>
      <c r="DS2194" s="4"/>
    </row>
    <row r="2195">
      <c r="A2195" s="4"/>
      <c r="B2195" s="4"/>
      <c r="C2195" s="4"/>
      <c r="D2195" s="4"/>
      <c r="E2195" s="4"/>
      <c r="F2195" s="4" t="s">
        <v>17</v>
      </c>
      <c r="G2195" s="15"/>
      <c r="H2195" s="4"/>
      <c r="I2195" s="4"/>
      <c r="J2195" s="4"/>
      <c r="K2195" s="4"/>
      <c r="L2195" s="4"/>
      <c r="M2195" s="4"/>
      <c r="N2195" s="4"/>
      <c r="O2195" s="4"/>
      <c r="P2195" s="4"/>
      <c r="Q2195" s="4"/>
      <c r="R2195" s="4"/>
      <c r="S2195" s="4"/>
      <c r="T2195" s="4"/>
      <c r="U2195" s="4"/>
      <c r="V2195" s="4"/>
      <c r="W2195" s="4"/>
      <c r="X2195" s="4"/>
      <c r="Y2195" s="4"/>
      <c r="Z2195" s="4"/>
      <c r="AA2195" s="4"/>
      <c r="AB2195" s="4"/>
      <c r="AC2195" s="4"/>
      <c r="AD2195" s="4"/>
      <c r="AE2195" s="4"/>
      <c r="AF2195" s="4"/>
      <c r="AG2195" s="4"/>
      <c r="AH2195" s="4"/>
      <c r="AI2195" s="4"/>
      <c r="AJ2195" s="4"/>
      <c r="AK2195" s="4"/>
      <c r="AL2195" s="4"/>
      <c r="AM2195" s="4"/>
      <c r="AN2195" s="4"/>
      <c r="AO2195" s="4"/>
      <c r="AP2195" s="4"/>
      <c r="AQ2195" s="4"/>
      <c r="AR2195" s="4"/>
      <c r="AS2195" s="4"/>
      <c r="AT2195" s="4"/>
      <c r="AU2195" s="4"/>
      <c r="AV2195" s="4"/>
      <c r="AW2195" s="4"/>
      <c r="AX2195" s="4"/>
      <c r="AY2195" s="4"/>
      <c r="AZ2195" s="4"/>
      <c r="BA2195" s="4"/>
      <c r="BB2195" s="4"/>
      <c r="BC2195" s="4"/>
      <c r="BD2195" s="4"/>
      <c r="BE2195" s="4"/>
      <c r="BF2195" s="4"/>
      <c r="BG2195" s="4"/>
      <c r="BH2195" s="4"/>
      <c r="BI2195" s="4"/>
      <c r="BJ2195" s="4"/>
      <c r="BK2195" s="4"/>
      <c r="BL2195" s="4"/>
      <c r="BM2195" s="4"/>
      <c r="BN2195" s="4"/>
      <c r="BO2195" s="4"/>
      <c r="BP2195" s="4"/>
      <c r="BQ2195" s="4"/>
      <c r="BR2195" s="4"/>
      <c r="BS2195" s="4"/>
      <c r="BT2195" s="4"/>
      <c r="BU2195" s="4"/>
      <c r="BV2195" s="4"/>
      <c r="BW2195" s="4"/>
      <c r="BX2195" s="4"/>
      <c r="BY2195" s="4"/>
      <c r="BZ2195" s="4"/>
      <c r="CA2195" s="4"/>
      <c r="CB2195" s="4"/>
      <c r="CC2195" s="4"/>
      <c r="CD2195" s="4"/>
      <c r="CE2195" s="4"/>
      <c r="CF2195" s="4"/>
      <c r="CG2195" s="4"/>
      <c r="CH2195" s="4"/>
      <c r="CI2195" s="4"/>
      <c r="CJ2195" s="4"/>
      <c r="CK2195" s="4"/>
      <c r="CL2195" s="4"/>
      <c r="CM2195" s="4"/>
      <c r="CN2195" s="4"/>
      <c r="CO2195" s="4"/>
      <c r="CP2195" s="4"/>
      <c r="CQ2195" s="4"/>
      <c r="CR2195" s="4"/>
      <c r="CS2195" s="4"/>
      <c r="CT2195" s="4"/>
      <c r="CU2195" s="4"/>
      <c r="CV2195" s="4"/>
      <c r="CW2195" s="4"/>
      <c r="CX2195" s="4"/>
      <c r="CY2195" s="4"/>
      <c r="CZ2195" s="4"/>
      <c r="DA2195" s="4"/>
      <c r="DB2195" s="4"/>
      <c r="DC2195" s="4"/>
      <c r="DD2195" s="4"/>
      <c r="DE2195" s="4"/>
      <c r="DF2195" s="4"/>
      <c r="DG2195" s="4"/>
      <c r="DH2195" s="4"/>
      <c r="DI2195" s="4"/>
      <c r="DJ2195" s="4"/>
      <c r="DK2195" s="4"/>
      <c r="DL2195" s="4"/>
      <c r="DM2195" s="4"/>
      <c r="DN2195" s="4"/>
      <c r="DO2195" s="4"/>
      <c r="DP2195" s="4"/>
      <c r="DQ2195" s="4"/>
      <c r="DR2195" s="4"/>
      <c r="DS2195" s="4"/>
    </row>
    <row r="2196">
      <c r="A2196" s="4"/>
      <c r="B2196" s="4"/>
      <c r="C2196" s="4"/>
      <c r="D2196" s="4"/>
      <c r="E2196" s="4"/>
      <c r="F2196" s="4" t="s">
        <v>17</v>
      </c>
      <c r="G2196" s="15"/>
      <c r="H2196" s="4"/>
      <c r="I2196" s="4"/>
      <c r="J2196" s="4"/>
      <c r="K2196" s="4"/>
      <c r="L2196" s="4"/>
      <c r="M2196" s="4"/>
      <c r="N2196" s="4"/>
      <c r="O2196" s="4"/>
      <c r="P2196" s="4"/>
      <c r="Q2196" s="4"/>
      <c r="R2196" s="4"/>
      <c r="S2196" s="4"/>
      <c r="T2196" s="4"/>
      <c r="U2196" s="4"/>
      <c r="V2196" s="4"/>
      <c r="W2196" s="4"/>
      <c r="X2196" s="4"/>
      <c r="Y2196" s="4"/>
      <c r="Z2196" s="4"/>
      <c r="AA2196" s="4"/>
      <c r="AB2196" s="4"/>
      <c r="AC2196" s="4"/>
      <c r="AD2196" s="4"/>
      <c r="AE2196" s="4"/>
      <c r="AF2196" s="4"/>
      <c r="AG2196" s="4"/>
      <c r="AH2196" s="4"/>
      <c r="AI2196" s="4"/>
      <c r="AJ2196" s="4"/>
      <c r="AK2196" s="4"/>
      <c r="AL2196" s="4"/>
      <c r="AM2196" s="4"/>
      <c r="AN2196" s="4"/>
      <c r="AO2196" s="4"/>
      <c r="AP2196" s="4"/>
      <c r="AQ2196" s="4"/>
      <c r="AR2196" s="4"/>
      <c r="AS2196" s="4"/>
      <c r="AT2196" s="4"/>
      <c r="AU2196" s="4"/>
      <c r="AV2196" s="4"/>
      <c r="AW2196" s="4"/>
      <c r="AX2196" s="4"/>
      <c r="AY2196" s="4"/>
      <c r="AZ2196" s="4"/>
      <c r="BA2196" s="4"/>
      <c r="BB2196" s="4"/>
      <c r="BC2196" s="4"/>
      <c r="BD2196" s="4"/>
      <c r="BE2196" s="4"/>
      <c r="BF2196" s="4"/>
      <c r="BG2196" s="4"/>
      <c r="BH2196" s="4"/>
      <c r="BI2196" s="4"/>
      <c r="BJ2196" s="4"/>
      <c r="BK2196" s="4"/>
      <c r="BL2196" s="4"/>
      <c r="BM2196" s="4"/>
      <c r="BN2196" s="4"/>
      <c r="BO2196" s="4"/>
      <c r="BP2196" s="4"/>
      <c r="BQ2196" s="4"/>
      <c r="BR2196" s="4"/>
      <c r="BS2196" s="4"/>
      <c r="BT2196" s="4"/>
      <c r="BU2196" s="4"/>
      <c r="BV2196" s="4"/>
      <c r="BW2196" s="4"/>
      <c r="BX2196" s="4"/>
      <c r="BY2196" s="4"/>
      <c r="BZ2196" s="4"/>
      <c r="CA2196" s="4"/>
      <c r="CB2196" s="4"/>
      <c r="CC2196" s="4"/>
      <c r="CD2196" s="4"/>
      <c r="CE2196" s="4"/>
      <c r="CF2196" s="4"/>
      <c r="CG2196" s="4"/>
      <c r="CH2196" s="4"/>
      <c r="CI2196" s="4"/>
      <c r="CJ2196" s="4"/>
      <c r="CK2196" s="4"/>
      <c r="CL2196" s="4"/>
      <c r="CM2196" s="4"/>
      <c r="CN2196" s="4"/>
      <c r="CO2196" s="4"/>
      <c r="CP2196" s="4"/>
      <c r="CQ2196" s="4"/>
      <c r="CR2196" s="4"/>
      <c r="CS2196" s="4"/>
      <c r="CT2196" s="4"/>
      <c r="CU2196" s="4"/>
      <c r="CV2196" s="4"/>
      <c r="CW2196" s="4"/>
      <c r="CX2196" s="4"/>
      <c r="CY2196" s="4"/>
      <c r="CZ2196" s="4"/>
      <c r="DA2196" s="4"/>
      <c r="DB2196" s="4"/>
      <c r="DC2196" s="4"/>
      <c r="DD2196" s="4"/>
      <c r="DE2196" s="4"/>
      <c r="DF2196" s="4"/>
      <c r="DG2196" s="4"/>
      <c r="DH2196" s="4"/>
      <c r="DI2196" s="4"/>
      <c r="DJ2196" s="4"/>
      <c r="DK2196" s="4"/>
      <c r="DL2196" s="4"/>
      <c r="DM2196" s="4"/>
      <c r="DN2196" s="4"/>
      <c r="DO2196" s="4"/>
      <c r="DP2196" s="4"/>
      <c r="DQ2196" s="4"/>
      <c r="DR2196" s="4"/>
      <c r="DS2196" s="4"/>
    </row>
    <row r="2197">
      <c r="A2197" s="4"/>
      <c r="B2197" s="4"/>
      <c r="C2197" s="4"/>
      <c r="D2197" s="4"/>
      <c r="E2197" s="4"/>
      <c r="F2197" s="4" t="s">
        <v>17</v>
      </c>
      <c r="G2197" s="15"/>
      <c r="H2197" s="4"/>
      <c r="I2197" s="4"/>
      <c r="J2197" s="4"/>
      <c r="K2197" s="4"/>
      <c r="L2197" s="4"/>
      <c r="M2197" s="4"/>
      <c r="N2197" s="4"/>
      <c r="O2197" s="4"/>
      <c r="P2197" s="4"/>
      <c r="Q2197" s="4"/>
      <c r="R2197" s="4"/>
      <c r="S2197" s="4"/>
      <c r="T2197" s="4"/>
      <c r="U2197" s="4"/>
      <c r="V2197" s="4"/>
      <c r="W2197" s="4"/>
      <c r="X2197" s="4"/>
      <c r="Y2197" s="4"/>
      <c r="Z2197" s="4"/>
      <c r="AA2197" s="4"/>
      <c r="AB2197" s="4"/>
      <c r="AC2197" s="4"/>
      <c r="AD2197" s="4"/>
      <c r="AE2197" s="4"/>
      <c r="AF2197" s="4"/>
      <c r="AG2197" s="4"/>
      <c r="AH2197" s="4"/>
      <c r="AI2197" s="4"/>
      <c r="AJ2197" s="4"/>
      <c r="AK2197" s="4"/>
      <c r="AL2197" s="4"/>
      <c r="AM2197" s="4"/>
      <c r="AN2197" s="4"/>
      <c r="AO2197" s="4"/>
      <c r="AP2197" s="4"/>
      <c r="AQ2197" s="4"/>
      <c r="AR2197" s="4"/>
      <c r="AS2197" s="4"/>
      <c r="AT2197" s="4"/>
      <c r="AU2197" s="4"/>
      <c r="AV2197" s="4"/>
      <c r="AW2197" s="4"/>
      <c r="AX2197" s="4"/>
      <c r="AY2197" s="4"/>
      <c r="AZ2197" s="4"/>
      <c r="BA2197" s="4"/>
      <c r="BB2197" s="4"/>
      <c r="BC2197" s="4"/>
      <c r="BD2197" s="4"/>
      <c r="BE2197" s="4"/>
      <c r="BF2197" s="4"/>
      <c r="BG2197" s="4"/>
      <c r="BH2197" s="4"/>
      <c r="BI2197" s="4"/>
      <c r="BJ2197" s="4"/>
      <c r="BK2197" s="4"/>
      <c r="BL2197" s="4"/>
      <c r="BM2197" s="4"/>
      <c r="BN2197" s="4"/>
      <c r="BO2197" s="4"/>
      <c r="BP2197" s="4"/>
      <c r="BQ2197" s="4"/>
      <c r="BR2197" s="4"/>
      <c r="BS2197" s="4"/>
      <c r="BT2197" s="4"/>
      <c r="BU2197" s="4"/>
      <c r="BV2197" s="4"/>
      <c r="BW2197" s="4"/>
      <c r="BX2197" s="4"/>
      <c r="BY2197" s="4"/>
      <c r="BZ2197" s="4"/>
      <c r="CA2197" s="4"/>
      <c r="CB2197" s="4"/>
      <c r="CC2197" s="4"/>
      <c r="CD2197" s="4"/>
      <c r="CE2197" s="4"/>
      <c r="CF2197" s="4"/>
      <c r="CG2197" s="4"/>
      <c r="CH2197" s="4"/>
      <c r="CI2197" s="4"/>
      <c r="CJ2197" s="4"/>
      <c r="CK2197" s="4"/>
      <c r="CL2197" s="4"/>
      <c r="CM2197" s="4"/>
      <c r="CN2197" s="4"/>
      <c r="CO2197" s="4"/>
      <c r="CP2197" s="4"/>
      <c r="CQ2197" s="4"/>
      <c r="CR2197" s="4"/>
      <c r="CS2197" s="4"/>
      <c r="CT2197" s="4"/>
      <c r="CU2197" s="4"/>
      <c r="CV2197" s="4"/>
      <c r="CW2197" s="4"/>
      <c r="CX2197" s="4"/>
      <c r="CY2197" s="4"/>
      <c r="CZ2197" s="4"/>
      <c r="DA2197" s="4"/>
      <c r="DB2197" s="4"/>
      <c r="DC2197" s="4"/>
      <c r="DD2197" s="4"/>
      <c r="DE2197" s="4"/>
      <c r="DF2197" s="4"/>
      <c r="DG2197" s="4"/>
      <c r="DH2197" s="4"/>
      <c r="DI2197" s="4"/>
      <c r="DJ2197" s="4"/>
      <c r="DK2197" s="4"/>
      <c r="DL2197" s="4"/>
      <c r="DM2197" s="4"/>
      <c r="DN2197" s="4"/>
      <c r="DO2197" s="4"/>
      <c r="DP2197" s="4"/>
      <c r="DQ2197" s="4"/>
      <c r="DR2197" s="4"/>
      <c r="DS2197" s="4"/>
    </row>
    <row r="2198">
      <c r="A2198" s="4"/>
      <c r="B2198" s="4"/>
      <c r="C2198" s="4"/>
      <c r="D2198" s="4"/>
      <c r="E2198" s="4"/>
      <c r="F2198" s="4" t="s">
        <v>17</v>
      </c>
      <c r="G2198" s="15"/>
      <c r="H2198" s="4"/>
      <c r="I2198" s="4"/>
      <c r="J2198" s="4"/>
      <c r="K2198" s="4"/>
      <c r="L2198" s="4"/>
      <c r="M2198" s="4"/>
      <c r="N2198" s="4"/>
      <c r="O2198" s="4"/>
      <c r="P2198" s="4"/>
      <c r="Q2198" s="4"/>
      <c r="R2198" s="4"/>
      <c r="S2198" s="4"/>
      <c r="T2198" s="4"/>
      <c r="U2198" s="4"/>
      <c r="V2198" s="4"/>
      <c r="W2198" s="4"/>
      <c r="X2198" s="4"/>
      <c r="Y2198" s="4"/>
      <c r="Z2198" s="4"/>
      <c r="AA2198" s="4"/>
      <c r="AB2198" s="4"/>
      <c r="AC2198" s="4"/>
      <c r="AD2198" s="4"/>
      <c r="AE2198" s="4"/>
      <c r="AF2198" s="4"/>
      <c r="AG2198" s="4"/>
      <c r="AH2198" s="4"/>
      <c r="AI2198" s="4"/>
      <c r="AJ2198" s="4"/>
      <c r="AK2198" s="4"/>
      <c r="AL2198" s="4"/>
      <c r="AM2198" s="4"/>
      <c r="AN2198" s="4"/>
      <c r="AO2198" s="4"/>
      <c r="AP2198" s="4"/>
      <c r="AQ2198" s="4"/>
      <c r="AR2198" s="4"/>
      <c r="AS2198" s="4"/>
      <c r="AT2198" s="4"/>
      <c r="AU2198" s="4"/>
      <c r="AV2198" s="4"/>
      <c r="AW2198" s="4"/>
      <c r="AX2198" s="4"/>
      <c r="AY2198" s="4"/>
      <c r="AZ2198" s="4"/>
      <c r="BA2198" s="4"/>
      <c r="BB2198" s="4"/>
      <c r="BC2198" s="4"/>
      <c r="BD2198" s="4"/>
      <c r="BE2198" s="4"/>
      <c r="BF2198" s="4"/>
      <c r="BG2198" s="4"/>
      <c r="BH2198" s="4"/>
      <c r="BI2198" s="4"/>
      <c r="BJ2198" s="4"/>
      <c r="BK2198" s="4"/>
      <c r="BL2198" s="4"/>
      <c r="BM2198" s="4"/>
      <c r="BN2198" s="4"/>
      <c r="BO2198" s="4"/>
      <c r="BP2198" s="4"/>
      <c r="BQ2198" s="4"/>
      <c r="BR2198" s="4"/>
      <c r="BS2198" s="4"/>
      <c r="BT2198" s="4"/>
      <c r="BU2198" s="4"/>
      <c r="BV2198" s="4"/>
      <c r="BW2198" s="4"/>
      <c r="BX2198" s="4"/>
      <c r="BY2198" s="4"/>
      <c r="BZ2198" s="4"/>
      <c r="CA2198" s="4"/>
      <c r="CB2198" s="4"/>
      <c r="CC2198" s="4"/>
      <c r="CD2198" s="4"/>
      <c r="CE2198" s="4"/>
      <c r="CF2198" s="4"/>
      <c r="CG2198" s="4"/>
      <c r="CH2198" s="4"/>
      <c r="CI2198" s="4"/>
      <c r="CJ2198" s="4"/>
      <c r="CK2198" s="4"/>
      <c r="CL2198" s="4"/>
      <c r="CM2198" s="4"/>
      <c r="CN2198" s="4"/>
      <c r="CO2198" s="4"/>
      <c r="CP2198" s="4"/>
      <c r="CQ2198" s="4"/>
      <c r="CR2198" s="4"/>
      <c r="CS2198" s="4"/>
      <c r="CT2198" s="4"/>
      <c r="CU2198" s="4"/>
      <c r="CV2198" s="4"/>
      <c r="CW2198" s="4"/>
      <c r="CX2198" s="4"/>
      <c r="CY2198" s="4"/>
      <c r="CZ2198" s="4"/>
      <c r="DA2198" s="4"/>
      <c r="DB2198" s="4"/>
      <c r="DC2198" s="4"/>
      <c r="DD2198" s="4"/>
      <c r="DE2198" s="4"/>
      <c r="DF2198" s="4"/>
      <c r="DG2198" s="4"/>
      <c r="DH2198" s="4"/>
      <c r="DI2198" s="4"/>
      <c r="DJ2198" s="4"/>
      <c r="DK2198" s="4"/>
      <c r="DL2198" s="4"/>
      <c r="DM2198" s="4"/>
      <c r="DN2198" s="4"/>
      <c r="DO2198" s="4"/>
      <c r="DP2198" s="4"/>
      <c r="DQ2198" s="4"/>
      <c r="DR2198" s="4"/>
      <c r="DS2198" s="4"/>
    </row>
    <row r="2199">
      <c r="A2199" s="4"/>
      <c r="B2199" s="4"/>
      <c r="C2199" s="4"/>
      <c r="D2199" s="4"/>
      <c r="E2199" s="4"/>
      <c r="F2199" s="4" t="s">
        <v>17</v>
      </c>
      <c r="G2199" s="15"/>
      <c r="H2199" s="4"/>
      <c r="I2199" s="4"/>
      <c r="J2199" s="4"/>
      <c r="K2199" s="4"/>
      <c r="L2199" s="4"/>
      <c r="M2199" s="4"/>
      <c r="N2199" s="4"/>
      <c r="O2199" s="4"/>
      <c r="P2199" s="4"/>
      <c r="Q2199" s="4"/>
      <c r="R2199" s="4"/>
      <c r="S2199" s="4"/>
      <c r="T2199" s="4"/>
      <c r="U2199" s="4"/>
      <c r="V2199" s="4"/>
      <c r="W2199" s="4"/>
      <c r="X2199" s="4"/>
      <c r="Y2199" s="4"/>
      <c r="Z2199" s="4"/>
      <c r="AA2199" s="4"/>
      <c r="AB2199" s="4"/>
      <c r="AC2199" s="4"/>
      <c r="AD2199" s="4"/>
      <c r="AE2199" s="4"/>
      <c r="AF2199" s="4"/>
      <c r="AG2199" s="4"/>
      <c r="AH2199" s="4"/>
      <c r="AI2199" s="4"/>
      <c r="AJ2199" s="4"/>
      <c r="AK2199" s="4"/>
      <c r="AL2199" s="4"/>
      <c r="AM2199" s="4"/>
      <c r="AN2199" s="4"/>
      <c r="AO2199" s="4"/>
      <c r="AP2199" s="4"/>
      <c r="AQ2199" s="4"/>
      <c r="AR2199" s="4"/>
      <c r="AS2199" s="4"/>
      <c r="AT2199" s="4"/>
      <c r="AU2199" s="4"/>
      <c r="AV2199" s="4"/>
      <c r="AW2199" s="4"/>
      <c r="AX2199" s="4"/>
      <c r="AY2199" s="4"/>
      <c r="AZ2199" s="4"/>
      <c r="BA2199" s="4"/>
      <c r="BB2199" s="4"/>
      <c r="BC2199" s="4"/>
      <c r="BD2199" s="4"/>
      <c r="BE2199" s="4"/>
      <c r="BF2199" s="4"/>
      <c r="BG2199" s="4"/>
      <c r="BH2199" s="4"/>
      <c r="BI2199" s="4"/>
      <c r="BJ2199" s="4"/>
      <c r="BK2199" s="4"/>
      <c r="BL2199" s="4"/>
      <c r="BM2199" s="4"/>
      <c r="BN2199" s="4"/>
      <c r="BO2199" s="4"/>
      <c r="BP2199" s="4"/>
      <c r="BQ2199" s="4"/>
      <c r="BR2199" s="4"/>
      <c r="BS2199" s="4"/>
      <c r="BT2199" s="4"/>
      <c r="BU2199" s="4"/>
      <c r="BV2199" s="4"/>
      <c r="BW2199" s="4"/>
      <c r="BX2199" s="4"/>
      <c r="BY2199" s="4"/>
      <c r="BZ2199" s="4"/>
      <c r="CA2199" s="4"/>
      <c r="CB2199" s="4"/>
      <c r="CC2199" s="4"/>
      <c r="CD2199" s="4"/>
      <c r="CE2199" s="4"/>
      <c r="CF2199" s="4"/>
      <c r="CG2199" s="4"/>
      <c r="CH2199" s="4"/>
      <c r="CI2199" s="4"/>
      <c r="CJ2199" s="4"/>
      <c r="CK2199" s="4"/>
      <c r="CL2199" s="4"/>
      <c r="CM2199" s="4"/>
      <c r="CN2199" s="4"/>
      <c r="CO2199" s="4"/>
      <c r="CP2199" s="4"/>
      <c r="CQ2199" s="4"/>
      <c r="CR2199" s="4"/>
      <c r="CS2199" s="4"/>
      <c r="CT2199" s="4"/>
      <c r="CU2199" s="4"/>
      <c r="CV2199" s="4"/>
      <c r="CW2199" s="4"/>
      <c r="CX2199" s="4"/>
      <c r="CY2199" s="4"/>
      <c r="CZ2199" s="4"/>
      <c r="DA2199" s="4"/>
      <c r="DB2199" s="4"/>
      <c r="DC2199" s="4"/>
      <c r="DD2199" s="4"/>
      <c r="DE2199" s="4"/>
      <c r="DF2199" s="4"/>
      <c r="DG2199" s="4"/>
      <c r="DH2199" s="4"/>
      <c r="DI2199" s="4"/>
      <c r="DJ2199" s="4"/>
      <c r="DK2199" s="4"/>
      <c r="DL2199" s="4"/>
      <c r="DM2199" s="4"/>
      <c r="DN2199" s="4"/>
      <c r="DO2199" s="4"/>
      <c r="DP2199" s="4"/>
      <c r="DQ2199" s="4"/>
      <c r="DR2199" s="4"/>
      <c r="DS2199" s="4"/>
    </row>
    <row r="2200">
      <c r="A2200" s="4"/>
      <c r="B2200" s="4"/>
      <c r="C2200" s="4"/>
      <c r="D2200" s="4"/>
      <c r="E2200" s="4"/>
      <c r="F2200" s="4" t="s">
        <v>17</v>
      </c>
      <c r="G2200" s="15"/>
      <c r="H2200" s="4"/>
      <c r="I2200" s="4"/>
      <c r="J2200" s="4"/>
      <c r="K2200" s="4"/>
      <c r="L2200" s="4"/>
      <c r="M2200" s="4"/>
      <c r="N2200" s="4"/>
      <c r="O2200" s="4"/>
      <c r="P2200" s="4"/>
      <c r="Q2200" s="4"/>
      <c r="R2200" s="4"/>
      <c r="S2200" s="4"/>
      <c r="T2200" s="4"/>
      <c r="U2200" s="4"/>
      <c r="V2200" s="4"/>
      <c r="W2200" s="4"/>
      <c r="X2200" s="4"/>
      <c r="Y2200" s="4"/>
      <c r="Z2200" s="4"/>
      <c r="AA2200" s="4"/>
      <c r="AB2200" s="4"/>
      <c r="AC2200" s="4"/>
      <c r="AD2200" s="4"/>
      <c r="AE2200" s="4"/>
      <c r="AF2200" s="4"/>
      <c r="AG2200" s="4"/>
      <c r="AH2200" s="4"/>
      <c r="AI2200" s="4"/>
      <c r="AJ2200" s="4"/>
      <c r="AK2200" s="4"/>
      <c r="AL2200" s="4"/>
      <c r="AM2200" s="4"/>
      <c r="AN2200" s="4"/>
      <c r="AO2200" s="4"/>
      <c r="AP2200" s="4"/>
      <c r="AQ2200" s="4"/>
      <c r="AR2200" s="4"/>
      <c r="AS2200" s="4"/>
      <c r="AT2200" s="4"/>
      <c r="AU2200" s="4"/>
      <c r="AV2200" s="4"/>
      <c r="AW2200" s="4"/>
      <c r="AX2200" s="4"/>
      <c r="AY2200" s="4"/>
      <c r="AZ2200" s="4"/>
      <c r="BA2200" s="4"/>
      <c r="BB2200" s="4"/>
      <c r="BC2200" s="4"/>
      <c r="BD2200" s="4"/>
      <c r="BE2200" s="4"/>
      <c r="BF2200" s="4"/>
      <c r="BG2200" s="4"/>
      <c r="BH2200" s="4"/>
      <c r="BI2200" s="4"/>
      <c r="BJ2200" s="4"/>
      <c r="BK2200" s="4"/>
      <c r="BL2200" s="4"/>
      <c r="BM2200" s="4"/>
      <c r="BN2200" s="4"/>
      <c r="BO2200" s="4"/>
      <c r="BP2200" s="4"/>
      <c r="BQ2200" s="4"/>
      <c r="BR2200" s="4"/>
      <c r="BS2200" s="4"/>
      <c r="BT2200" s="4"/>
      <c r="BU2200" s="4"/>
      <c r="BV2200" s="4"/>
      <c r="BW2200" s="4"/>
      <c r="BX2200" s="4"/>
      <c r="BY2200" s="4"/>
      <c r="BZ2200" s="4"/>
      <c r="CA2200" s="4"/>
      <c r="CB2200" s="4"/>
      <c r="CC2200" s="4"/>
      <c r="CD2200" s="4"/>
      <c r="CE2200" s="4"/>
      <c r="CF2200" s="4"/>
      <c r="CG2200" s="4"/>
      <c r="CH2200" s="4"/>
      <c r="CI2200" s="4"/>
      <c r="CJ2200" s="4"/>
      <c r="CK2200" s="4"/>
      <c r="CL2200" s="4"/>
      <c r="CM2200" s="4"/>
      <c r="CN2200" s="4"/>
      <c r="CO2200" s="4"/>
      <c r="CP2200" s="4"/>
      <c r="CQ2200" s="4"/>
      <c r="CR2200" s="4"/>
      <c r="CS2200" s="4"/>
      <c r="CT2200" s="4"/>
      <c r="CU2200" s="4"/>
      <c r="CV2200" s="4"/>
      <c r="CW2200" s="4"/>
      <c r="CX2200" s="4"/>
      <c r="CY2200" s="4"/>
      <c r="CZ2200" s="4"/>
      <c r="DA2200" s="4"/>
      <c r="DB2200" s="4"/>
      <c r="DC2200" s="4"/>
      <c r="DD2200" s="4"/>
      <c r="DE2200" s="4"/>
      <c r="DF2200" s="4"/>
      <c r="DG2200" s="4"/>
      <c r="DH2200" s="4"/>
      <c r="DI2200" s="4"/>
      <c r="DJ2200" s="4"/>
      <c r="DK2200" s="4"/>
      <c r="DL2200" s="4"/>
      <c r="DM2200" s="4"/>
      <c r="DN2200" s="4"/>
      <c r="DO2200" s="4"/>
      <c r="DP2200" s="4"/>
      <c r="DQ2200" s="4"/>
      <c r="DR2200" s="4"/>
      <c r="DS2200" s="4"/>
    </row>
    <row r="2201">
      <c r="A2201" s="4"/>
      <c r="B2201" s="4"/>
      <c r="C2201" s="4"/>
      <c r="D2201" s="4"/>
      <c r="E2201" s="4"/>
      <c r="F2201" s="4" t="s">
        <v>17</v>
      </c>
      <c r="G2201" s="15"/>
      <c r="H2201" s="4"/>
      <c r="I2201" s="4"/>
      <c r="J2201" s="4"/>
      <c r="K2201" s="4"/>
      <c r="L2201" s="4"/>
      <c r="M2201" s="4"/>
      <c r="N2201" s="4"/>
      <c r="O2201" s="4"/>
      <c r="P2201" s="4"/>
      <c r="Q2201" s="4"/>
      <c r="R2201" s="4"/>
      <c r="S2201" s="4"/>
      <c r="T2201" s="4"/>
      <c r="U2201" s="4"/>
      <c r="V2201" s="4"/>
      <c r="W2201" s="4"/>
      <c r="X2201" s="4"/>
      <c r="Y2201" s="4"/>
      <c r="Z2201" s="4"/>
      <c r="AA2201" s="4"/>
      <c r="AB2201" s="4"/>
      <c r="AC2201" s="4"/>
      <c r="AD2201" s="4"/>
      <c r="AE2201" s="4"/>
      <c r="AF2201" s="4"/>
      <c r="AG2201" s="4"/>
      <c r="AH2201" s="4"/>
      <c r="AI2201" s="4"/>
      <c r="AJ2201" s="4"/>
      <c r="AK2201" s="4"/>
      <c r="AL2201" s="4"/>
      <c r="AM2201" s="4"/>
      <c r="AN2201" s="4"/>
      <c r="AO2201" s="4"/>
      <c r="AP2201" s="4"/>
      <c r="AQ2201" s="4"/>
      <c r="AR2201" s="4"/>
      <c r="AS2201" s="4"/>
      <c r="AT2201" s="4"/>
      <c r="AU2201" s="4"/>
      <c r="AV2201" s="4"/>
      <c r="AW2201" s="4"/>
      <c r="AX2201" s="4"/>
      <c r="AY2201" s="4"/>
      <c r="AZ2201" s="4"/>
      <c r="BA2201" s="4"/>
      <c r="BB2201" s="4"/>
      <c r="BC2201" s="4"/>
      <c r="BD2201" s="4"/>
      <c r="BE2201" s="4"/>
      <c r="BF2201" s="4"/>
      <c r="BG2201" s="4"/>
      <c r="BH2201" s="4"/>
      <c r="BI2201" s="4"/>
      <c r="BJ2201" s="4"/>
      <c r="BK2201" s="4"/>
      <c r="BL2201" s="4"/>
      <c r="BM2201" s="4"/>
      <c r="BN2201" s="4"/>
      <c r="BO2201" s="4"/>
      <c r="BP2201" s="4"/>
      <c r="BQ2201" s="4"/>
      <c r="BR2201" s="4"/>
      <c r="BS2201" s="4"/>
      <c r="BT2201" s="4"/>
      <c r="BU2201" s="4"/>
      <c r="BV2201" s="4"/>
      <c r="BW2201" s="4"/>
      <c r="BX2201" s="4"/>
      <c r="BY2201" s="4"/>
      <c r="BZ2201" s="4"/>
      <c r="CA2201" s="4"/>
      <c r="CB2201" s="4"/>
      <c r="CC2201" s="4"/>
      <c r="CD2201" s="4"/>
      <c r="CE2201" s="4"/>
      <c r="CF2201" s="4"/>
      <c r="CG2201" s="4"/>
      <c r="CH2201" s="4"/>
      <c r="CI2201" s="4"/>
      <c r="CJ2201" s="4"/>
      <c r="CK2201" s="4"/>
      <c r="CL2201" s="4"/>
      <c r="CM2201" s="4"/>
      <c r="CN2201" s="4"/>
      <c r="CO2201" s="4"/>
      <c r="CP2201" s="4"/>
      <c r="CQ2201" s="4"/>
      <c r="CR2201" s="4"/>
      <c r="CS2201" s="4"/>
      <c r="CT2201" s="4"/>
      <c r="CU2201" s="4"/>
      <c r="CV2201" s="4"/>
      <c r="CW2201" s="4"/>
      <c r="CX2201" s="4"/>
      <c r="CY2201" s="4"/>
      <c r="CZ2201" s="4"/>
      <c r="DA2201" s="4"/>
      <c r="DB2201" s="4"/>
      <c r="DC2201" s="4"/>
      <c r="DD2201" s="4"/>
      <c r="DE2201" s="4"/>
      <c r="DF2201" s="4"/>
      <c r="DG2201" s="4"/>
      <c r="DH2201" s="4"/>
      <c r="DI2201" s="4"/>
      <c r="DJ2201" s="4"/>
      <c r="DK2201" s="4"/>
      <c r="DL2201" s="4"/>
      <c r="DM2201" s="4"/>
      <c r="DN2201" s="4"/>
      <c r="DO2201" s="4"/>
      <c r="DP2201" s="4"/>
      <c r="DQ2201" s="4"/>
      <c r="DR2201" s="4"/>
      <c r="DS2201" s="4"/>
    </row>
    <row r="2202">
      <c r="A2202" s="4"/>
      <c r="B2202" s="4"/>
      <c r="C2202" s="4"/>
      <c r="D2202" s="4"/>
      <c r="E2202" s="4"/>
      <c r="F2202" s="4" t="s">
        <v>17</v>
      </c>
      <c r="G2202" s="15"/>
      <c r="H2202" s="4"/>
      <c r="I2202" s="4"/>
      <c r="J2202" s="4"/>
      <c r="K2202" s="4"/>
      <c r="L2202" s="4"/>
      <c r="M2202" s="4"/>
      <c r="N2202" s="4"/>
      <c r="O2202" s="4"/>
      <c r="P2202" s="4"/>
      <c r="Q2202" s="4"/>
      <c r="R2202" s="4"/>
      <c r="S2202" s="4"/>
      <c r="T2202" s="4"/>
      <c r="U2202" s="4"/>
      <c r="V2202" s="4"/>
      <c r="W2202" s="4"/>
      <c r="X2202" s="4"/>
      <c r="Y2202" s="4"/>
      <c r="Z2202" s="4"/>
      <c r="AA2202" s="4"/>
      <c r="AB2202" s="4"/>
      <c r="AC2202" s="4"/>
      <c r="AD2202" s="4"/>
      <c r="AE2202" s="4"/>
      <c r="AF2202" s="4"/>
      <c r="AG2202" s="4"/>
      <c r="AH2202" s="4"/>
      <c r="AI2202" s="4"/>
      <c r="AJ2202" s="4"/>
      <c r="AK2202" s="4"/>
      <c r="AL2202" s="4"/>
      <c r="AM2202" s="4"/>
      <c r="AN2202" s="4"/>
      <c r="AO2202" s="4"/>
      <c r="AP2202" s="4"/>
      <c r="AQ2202" s="4"/>
      <c r="AR2202" s="4"/>
      <c r="AS2202" s="4"/>
      <c r="AT2202" s="4"/>
      <c r="AU2202" s="4"/>
      <c r="AV2202" s="4"/>
      <c r="AW2202" s="4"/>
      <c r="AX2202" s="4"/>
      <c r="AY2202" s="4"/>
      <c r="AZ2202" s="4"/>
      <c r="BA2202" s="4"/>
      <c r="BB2202" s="4"/>
      <c r="BC2202" s="4"/>
      <c r="BD2202" s="4"/>
      <c r="BE2202" s="4"/>
      <c r="BF2202" s="4"/>
      <c r="BG2202" s="4"/>
      <c r="BH2202" s="4"/>
      <c r="BI2202" s="4"/>
      <c r="BJ2202" s="4"/>
      <c r="BK2202" s="4"/>
      <c r="BL2202" s="4"/>
      <c r="BM2202" s="4"/>
      <c r="BN2202" s="4"/>
      <c r="BO2202" s="4"/>
      <c r="BP2202" s="4"/>
      <c r="BQ2202" s="4"/>
      <c r="BR2202" s="4"/>
      <c r="BS2202" s="4"/>
      <c r="BT2202" s="4"/>
      <c r="BU2202" s="4"/>
      <c r="BV2202" s="4"/>
      <c r="BW2202" s="4"/>
      <c r="BX2202" s="4"/>
      <c r="BY2202" s="4"/>
      <c r="BZ2202" s="4"/>
      <c r="CA2202" s="4"/>
      <c r="CB2202" s="4"/>
      <c r="CC2202" s="4"/>
      <c r="CD2202" s="4"/>
      <c r="CE2202" s="4"/>
      <c r="CF2202" s="4"/>
      <c r="CG2202" s="4"/>
      <c r="CH2202" s="4"/>
      <c r="CI2202" s="4"/>
      <c r="CJ2202" s="4"/>
      <c r="CK2202" s="4"/>
      <c r="CL2202" s="4"/>
      <c r="CM2202" s="4"/>
      <c r="CN2202" s="4"/>
      <c r="CO2202" s="4"/>
      <c r="CP2202" s="4"/>
      <c r="CQ2202" s="4"/>
      <c r="CR2202" s="4"/>
      <c r="CS2202" s="4"/>
      <c r="CT2202" s="4"/>
      <c r="CU2202" s="4"/>
      <c r="CV2202" s="4"/>
      <c r="CW2202" s="4"/>
      <c r="CX2202" s="4"/>
      <c r="CY2202" s="4"/>
      <c r="CZ2202" s="4"/>
      <c r="DA2202" s="4"/>
      <c r="DB2202" s="4"/>
      <c r="DC2202" s="4"/>
      <c r="DD2202" s="4"/>
      <c r="DE2202" s="4"/>
      <c r="DF2202" s="4"/>
      <c r="DG2202" s="4"/>
      <c r="DH2202" s="4"/>
      <c r="DI2202" s="4"/>
      <c r="DJ2202" s="4"/>
      <c r="DK2202" s="4"/>
      <c r="DL2202" s="4"/>
      <c r="DM2202" s="4"/>
      <c r="DN2202" s="4"/>
      <c r="DO2202" s="4"/>
      <c r="DP2202" s="4"/>
      <c r="DQ2202" s="4"/>
      <c r="DR2202" s="4"/>
      <c r="DS2202" s="4"/>
    </row>
    <row r="2203">
      <c r="A2203" s="4"/>
      <c r="B2203" s="4"/>
      <c r="C2203" s="4"/>
      <c r="D2203" s="4"/>
      <c r="E2203" s="4"/>
      <c r="F2203" s="4" t="s">
        <v>17</v>
      </c>
      <c r="G2203" s="15"/>
      <c r="H2203" s="4"/>
      <c r="I2203" s="4"/>
      <c r="J2203" s="4"/>
      <c r="K2203" s="4"/>
      <c r="L2203" s="4"/>
      <c r="M2203" s="4"/>
      <c r="N2203" s="4"/>
      <c r="O2203" s="4"/>
      <c r="P2203" s="4"/>
      <c r="Q2203" s="4"/>
      <c r="R2203" s="4"/>
      <c r="S2203" s="4"/>
      <c r="T2203" s="4"/>
      <c r="U2203" s="4"/>
      <c r="V2203" s="4"/>
      <c r="W2203" s="4"/>
      <c r="X2203" s="4"/>
      <c r="Y2203" s="4"/>
      <c r="Z2203" s="4"/>
      <c r="AA2203" s="4"/>
      <c r="AB2203" s="4"/>
      <c r="AC2203" s="4"/>
      <c r="AD2203" s="4"/>
      <c r="AE2203" s="4"/>
      <c r="AF2203" s="4"/>
      <c r="AG2203" s="4"/>
      <c r="AH2203" s="4"/>
      <c r="AI2203" s="4"/>
      <c r="AJ2203" s="4"/>
      <c r="AK2203" s="4"/>
      <c r="AL2203" s="4"/>
      <c r="AM2203" s="4"/>
      <c r="AN2203" s="4"/>
      <c r="AO2203" s="4"/>
      <c r="AP2203" s="4"/>
      <c r="AQ2203" s="4"/>
      <c r="AR2203" s="4"/>
      <c r="AS2203" s="4"/>
      <c r="AT2203" s="4"/>
      <c r="AU2203" s="4"/>
      <c r="AV2203" s="4"/>
      <c r="AW2203" s="4"/>
      <c r="AX2203" s="4"/>
      <c r="AY2203" s="4"/>
      <c r="AZ2203" s="4"/>
      <c r="BA2203" s="4"/>
      <c r="BB2203" s="4"/>
      <c r="BC2203" s="4"/>
      <c r="BD2203" s="4"/>
      <c r="BE2203" s="4"/>
      <c r="BF2203" s="4"/>
      <c r="BG2203" s="4"/>
      <c r="BH2203" s="4"/>
      <c r="BI2203" s="4"/>
      <c r="BJ2203" s="4"/>
      <c r="BK2203" s="4"/>
      <c r="BL2203" s="4"/>
      <c r="BM2203" s="4"/>
      <c r="BN2203" s="4"/>
      <c r="BO2203" s="4"/>
      <c r="BP2203" s="4"/>
      <c r="BQ2203" s="4"/>
      <c r="BR2203" s="4"/>
      <c r="BS2203" s="4"/>
      <c r="BT2203" s="4"/>
      <c r="BU2203" s="4"/>
      <c r="BV2203" s="4"/>
      <c r="BW2203" s="4"/>
      <c r="BX2203" s="4"/>
      <c r="BY2203" s="4"/>
      <c r="BZ2203" s="4"/>
      <c r="CA2203" s="4"/>
      <c r="CB2203" s="4"/>
      <c r="CC2203" s="4"/>
      <c r="CD2203" s="4"/>
      <c r="CE2203" s="4"/>
      <c r="CF2203" s="4"/>
      <c r="CG2203" s="4"/>
      <c r="CH2203" s="4"/>
      <c r="CI2203" s="4"/>
      <c r="CJ2203" s="4"/>
      <c r="CK2203" s="4"/>
      <c r="CL2203" s="4"/>
      <c r="CM2203" s="4"/>
      <c r="CN2203" s="4"/>
      <c r="CO2203" s="4"/>
      <c r="CP2203" s="4"/>
      <c r="CQ2203" s="4"/>
      <c r="CR2203" s="4"/>
      <c r="CS2203" s="4"/>
      <c r="CT2203" s="4"/>
      <c r="CU2203" s="4"/>
      <c r="CV2203" s="4"/>
      <c r="CW2203" s="4"/>
      <c r="CX2203" s="4"/>
      <c r="CY2203" s="4"/>
      <c r="CZ2203" s="4"/>
      <c r="DA2203" s="4"/>
      <c r="DB2203" s="4"/>
      <c r="DC2203" s="4"/>
      <c r="DD2203" s="4"/>
      <c r="DE2203" s="4"/>
      <c r="DF2203" s="4"/>
      <c r="DG2203" s="4"/>
      <c r="DH2203" s="4"/>
      <c r="DI2203" s="4"/>
      <c r="DJ2203" s="4"/>
      <c r="DK2203" s="4"/>
      <c r="DL2203" s="4"/>
      <c r="DM2203" s="4"/>
      <c r="DN2203" s="4"/>
      <c r="DO2203" s="4"/>
      <c r="DP2203" s="4"/>
      <c r="DQ2203" s="4"/>
      <c r="DR2203" s="4"/>
      <c r="DS2203" s="4"/>
    </row>
    <row r="2204">
      <c r="A2204" s="4"/>
      <c r="B2204" s="4"/>
      <c r="C2204" s="4"/>
      <c r="D2204" s="4"/>
      <c r="E2204" s="4"/>
      <c r="F2204" s="4" t="s">
        <v>17</v>
      </c>
      <c r="G2204" s="15"/>
      <c r="H2204" s="4"/>
      <c r="I2204" s="4"/>
      <c r="J2204" s="4"/>
      <c r="K2204" s="4"/>
      <c r="L2204" s="4"/>
      <c r="M2204" s="4"/>
      <c r="N2204" s="4"/>
      <c r="O2204" s="4"/>
      <c r="P2204" s="4"/>
      <c r="Q2204" s="4"/>
      <c r="R2204" s="4"/>
      <c r="S2204" s="4"/>
      <c r="T2204" s="4"/>
      <c r="U2204" s="4"/>
      <c r="V2204" s="4"/>
      <c r="W2204" s="4"/>
      <c r="X2204" s="4"/>
      <c r="Y2204" s="4"/>
      <c r="Z2204" s="4"/>
      <c r="AA2204" s="4"/>
      <c r="AB2204" s="4"/>
      <c r="AC2204" s="4"/>
      <c r="AD2204" s="4"/>
      <c r="AE2204" s="4"/>
      <c r="AF2204" s="4"/>
      <c r="AG2204" s="4"/>
      <c r="AH2204" s="4"/>
      <c r="AI2204" s="4"/>
      <c r="AJ2204" s="4"/>
      <c r="AK2204" s="4"/>
      <c r="AL2204" s="4"/>
      <c r="AM2204" s="4"/>
      <c r="AN2204" s="4"/>
      <c r="AO2204" s="4"/>
      <c r="AP2204" s="4"/>
      <c r="AQ2204" s="4"/>
      <c r="AR2204" s="4"/>
      <c r="AS2204" s="4"/>
      <c r="AT2204" s="4"/>
      <c r="AU2204" s="4"/>
      <c r="AV2204" s="4"/>
      <c r="AW2204" s="4"/>
      <c r="AX2204" s="4"/>
      <c r="AY2204" s="4"/>
      <c r="AZ2204" s="4"/>
      <c r="BA2204" s="4"/>
      <c r="BB2204" s="4"/>
      <c r="BC2204" s="4"/>
      <c r="BD2204" s="4"/>
      <c r="BE2204" s="4"/>
      <c r="BF2204" s="4"/>
      <c r="BG2204" s="4"/>
      <c r="BH2204" s="4"/>
      <c r="BI2204" s="4"/>
      <c r="BJ2204" s="4"/>
      <c r="BK2204" s="4"/>
      <c r="BL2204" s="4"/>
      <c r="BM2204" s="4"/>
      <c r="BN2204" s="4"/>
      <c r="BO2204" s="4"/>
      <c r="BP2204" s="4"/>
      <c r="BQ2204" s="4"/>
      <c r="BR2204" s="4"/>
      <c r="BS2204" s="4"/>
      <c r="BT2204" s="4"/>
      <c r="BU2204" s="4"/>
      <c r="BV2204" s="4"/>
      <c r="BW2204" s="4"/>
      <c r="BX2204" s="4"/>
      <c r="BY2204" s="4"/>
      <c r="BZ2204" s="4"/>
      <c r="CA2204" s="4"/>
      <c r="CB2204" s="4"/>
      <c r="CC2204" s="4"/>
      <c r="CD2204" s="4"/>
      <c r="CE2204" s="4"/>
      <c r="CF2204" s="4"/>
      <c r="CG2204" s="4"/>
      <c r="CH2204" s="4"/>
      <c r="CI2204" s="4"/>
      <c r="CJ2204" s="4"/>
      <c r="CK2204" s="4"/>
      <c r="CL2204" s="4"/>
      <c r="CM2204" s="4"/>
      <c r="CN2204" s="4"/>
      <c r="CO2204" s="4"/>
      <c r="CP2204" s="4"/>
      <c r="CQ2204" s="4"/>
      <c r="CR2204" s="4"/>
      <c r="CS2204" s="4"/>
      <c r="CT2204" s="4"/>
      <c r="CU2204" s="4"/>
      <c r="CV2204" s="4"/>
      <c r="CW2204" s="4"/>
      <c r="CX2204" s="4"/>
      <c r="CY2204" s="4"/>
      <c r="CZ2204" s="4"/>
      <c r="DA2204" s="4"/>
      <c r="DB2204" s="4"/>
      <c r="DC2204" s="4"/>
      <c r="DD2204" s="4"/>
      <c r="DE2204" s="4"/>
      <c r="DF2204" s="4"/>
      <c r="DG2204" s="4"/>
      <c r="DH2204" s="4"/>
      <c r="DI2204" s="4"/>
      <c r="DJ2204" s="4"/>
      <c r="DK2204" s="4"/>
      <c r="DL2204" s="4"/>
      <c r="DM2204" s="4"/>
      <c r="DN2204" s="4"/>
      <c r="DO2204" s="4"/>
      <c r="DP2204" s="4"/>
      <c r="DQ2204" s="4"/>
      <c r="DR2204" s="4"/>
      <c r="DS2204" s="4"/>
    </row>
    <row r="2205">
      <c r="A2205" s="4"/>
      <c r="B2205" s="4"/>
      <c r="C2205" s="4"/>
      <c r="D2205" s="4"/>
      <c r="E2205" s="4"/>
      <c r="F2205" s="4" t="s">
        <v>17</v>
      </c>
      <c r="G2205" s="15"/>
      <c r="H2205" s="4"/>
      <c r="I2205" s="4"/>
      <c r="J2205" s="4"/>
      <c r="K2205" s="4"/>
      <c r="L2205" s="4"/>
      <c r="M2205" s="4"/>
      <c r="N2205" s="4"/>
      <c r="O2205" s="4"/>
      <c r="P2205" s="4"/>
      <c r="Q2205" s="4"/>
      <c r="R2205" s="4"/>
      <c r="S2205" s="4"/>
      <c r="T2205" s="4"/>
      <c r="U2205" s="4"/>
      <c r="V2205" s="4"/>
      <c r="W2205" s="4"/>
      <c r="X2205" s="4"/>
      <c r="Y2205" s="4"/>
      <c r="Z2205" s="4"/>
      <c r="AA2205" s="4"/>
      <c r="AB2205" s="4"/>
      <c r="AC2205" s="4"/>
      <c r="AD2205" s="4"/>
      <c r="AE2205" s="4"/>
      <c r="AF2205" s="4"/>
      <c r="AG2205" s="4"/>
      <c r="AH2205" s="4"/>
      <c r="AI2205" s="4"/>
      <c r="AJ2205" s="4"/>
      <c r="AK2205" s="4"/>
      <c r="AL2205" s="4"/>
      <c r="AM2205" s="4"/>
      <c r="AN2205" s="4"/>
      <c r="AO2205" s="4"/>
      <c r="AP2205" s="4"/>
      <c r="AQ2205" s="4"/>
      <c r="AR2205" s="4"/>
      <c r="AS2205" s="4"/>
      <c r="AT2205" s="4"/>
      <c r="AU2205" s="4"/>
      <c r="AV2205" s="4"/>
      <c r="AW2205" s="4"/>
      <c r="AX2205" s="4"/>
      <c r="AY2205" s="4"/>
      <c r="AZ2205" s="4"/>
      <c r="BA2205" s="4"/>
      <c r="BB2205" s="4"/>
      <c r="BC2205" s="4"/>
      <c r="BD2205" s="4"/>
      <c r="BE2205" s="4"/>
      <c r="BF2205" s="4"/>
      <c r="BG2205" s="4"/>
      <c r="BH2205" s="4"/>
      <c r="BI2205" s="4"/>
      <c r="BJ2205" s="4"/>
      <c r="BK2205" s="4"/>
      <c r="BL2205" s="4"/>
      <c r="BM2205" s="4"/>
      <c r="BN2205" s="4"/>
      <c r="BO2205" s="4"/>
      <c r="BP2205" s="4"/>
      <c r="BQ2205" s="4"/>
      <c r="BR2205" s="4"/>
      <c r="BS2205" s="4"/>
      <c r="BT2205" s="4"/>
      <c r="BU2205" s="4"/>
      <c r="BV2205" s="4"/>
      <c r="BW2205" s="4"/>
      <c r="BX2205" s="4"/>
      <c r="BY2205" s="4"/>
      <c r="BZ2205" s="4"/>
      <c r="CA2205" s="4"/>
      <c r="CB2205" s="4"/>
      <c r="CC2205" s="4"/>
      <c r="CD2205" s="4"/>
      <c r="CE2205" s="4"/>
      <c r="CF2205" s="4"/>
      <c r="CG2205" s="4"/>
      <c r="CH2205" s="4"/>
      <c r="CI2205" s="4"/>
      <c r="CJ2205" s="4"/>
      <c r="CK2205" s="4"/>
      <c r="CL2205" s="4"/>
      <c r="CM2205" s="4"/>
      <c r="CN2205" s="4"/>
      <c r="CO2205" s="4"/>
      <c r="CP2205" s="4"/>
      <c r="CQ2205" s="4"/>
      <c r="CR2205" s="4"/>
      <c r="CS2205" s="4"/>
      <c r="CT2205" s="4"/>
      <c r="CU2205" s="4"/>
      <c r="CV2205" s="4"/>
      <c r="CW2205" s="4"/>
      <c r="CX2205" s="4"/>
      <c r="CY2205" s="4"/>
      <c r="CZ2205" s="4"/>
      <c r="DA2205" s="4"/>
      <c r="DB2205" s="4"/>
      <c r="DC2205" s="4"/>
      <c r="DD2205" s="4"/>
      <c r="DE2205" s="4"/>
      <c r="DF2205" s="4"/>
      <c r="DG2205" s="4"/>
      <c r="DH2205" s="4"/>
      <c r="DI2205" s="4"/>
      <c r="DJ2205" s="4"/>
      <c r="DK2205" s="4"/>
      <c r="DL2205" s="4"/>
      <c r="DM2205" s="4"/>
      <c r="DN2205" s="4"/>
      <c r="DO2205" s="4"/>
      <c r="DP2205" s="4"/>
      <c r="DQ2205" s="4"/>
      <c r="DR2205" s="4"/>
      <c r="DS2205" s="4"/>
    </row>
    <row r="2206">
      <c r="A2206" s="4"/>
      <c r="B2206" s="4"/>
      <c r="C2206" s="4"/>
      <c r="D2206" s="4"/>
      <c r="E2206" s="4"/>
      <c r="F2206" s="4" t="s">
        <v>17</v>
      </c>
      <c r="G2206" s="15"/>
      <c r="H2206" s="4"/>
      <c r="I2206" s="4"/>
      <c r="J2206" s="4"/>
      <c r="K2206" s="4"/>
      <c r="L2206" s="4"/>
      <c r="M2206" s="4"/>
      <c r="N2206" s="4"/>
      <c r="O2206" s="4"/>
      <c r="P2206" s="4"/>
      <c r="Q2206" s="4"/>
      <c r="R2206" s="4"/>
      <c r="S2206" s="4"/>
      <c r="T2206" s="4"/>
      <c r="U2206" s="4"/>
      <c r="V2206" s="4"/>
      <c r="W2206" s="4"/>
      <c r="X2206" s="4"/>
      <c r="Y2206" s="4"/>
      <c r="Z2206" s="4"/>
      <c r="AA2206" s="4"/>
      <c r="AB2206" s="4"/>
      <c r="AC2206" s="4"/>
      <c r="AD2206" s="4"/>
      <c r="AE2206" s="4"/>
      <c r="AF2206" s="4"/>
      <c r="AG2206" s="4"/>
      <c r="AH2206" s="4"/>
      <c r="AI2206" s="4"/>
      <c r="AJ2206" s="4"/>
      <c r="AK2206" s="4"/>
      <c r="AL2206" s="4"/>
      <c r="AM2206" s="4"/>
      <c r="AN2206" s="4"/>
      <c r="AO2206" s="4"/>
      <c r="AP2206" s="4"/>
      <c r="AQ2206" s="4"/>
      <c r="AR2206" s="4"/>
      <c r="AS2206" s="4"/>
      <c r="AT2206" s="4"/>
      <c r="AU2206" s="4"/>
      <c r="AV2206" s="4"/>
      <c r="AW2206" s="4"/>
      <c r="AX2206" s="4"/>
      <c r="AY2206" s="4"/>
      <c r="AZ2206" s="4"/>
      <c r="BA2206" s="4"/>
      <c r="BB2206" s="4"/>
      <c r="BC2206" s="4"/>
      <c r="BD2206" s="4"/>
      <c r="BE2206" s="4"/>
      <c r="BF2206" s="4"/>
      <c r="BG2206" s="4"/>
      <c r="BH2206" s="4"/>
      <c r="BI2206" s="4"/>
      <c r="BJ2206" s="4"/>
      <c r="BK2206" s="4"/>
      <c r="BL2206" s="4"/>
      <c r="BM2206" s="4"/>
      <c r="BN2206" s="4"/>
      <c r="BO2206" s="4"/>
      <c r="BP2206" s="4"/>
      <c r="BQ2206" s="4"/>
      <c r="BR2206" s="4"/>
      <c r="BS2206" s="4"/>
      <c r="BT2206" s="4"/>
      <c r="BU2206" s="4"/>
      <c r="BV2206" s="4"/>
      <c r="BW2206" s="4"/>
      <c r="BX2206" s="4"/>
      <c r="BY2206" s="4"/>
      <c r="BZ2206" s="4"/>
      <c r="CA2206" s="4"/>
      <c r="CB2206" s="4"/>
      <c r="CC2206" s="4"/>
      <c r="CD2206" s="4"/>
      <c r="CE2206" s="4"/>
      <c r="CF2206" s="4"/>
      <c r="CG2206" s="4"/>
      <c r="CH2206" s="4"/>
      <c r="CI2206" s="4"/>
      <c r="CJ2206" s="4"/>
      <c r="CK2206" s="4"/>
      <c r="CL2206" s="4"/>
      <c r="CM2206" s="4"/>
      <c r="CN2206" s="4"/>
      <c r="CO2206" s="4"/>
      <c r="CP2206" s="4"/>
      <c r="CQ2206" s="4"/>
      <c r="CR2206" s="4"/>
      <c r="CS2206" s="4"/>
      <c r="CT2206" s="4"/>
      <c r="CU2206" s="4"/>
      <c r="CV2206" s="4"/>
      <c r="CW2206" s="4"/>
      <c r="CX2206" s="4"/>
      <c r="CY2206" s="4"/>
      <c r="CZ2206" s="4"/>
      <c r="DA2206" s="4"/>
      <c r="DB2206" s="4"/>
      <c r="DC2206" s="4"/>
      <c r="DD2206" s="4"/>
      <c r="DE2206" s="4"/>
      <c r="DF2206" s="4"/>
      <c r="DG2206" s="4"/>
      <c r="DH2206" s="4"/>
      <c r="DI2206" s="4"/>
      <c r="DJ2206" s="4"/>
      <c r="DK2206" s="4"/>
      <c r="DL2206" s="4"/>
      <c r="DM2206" s="4"/>
      <c r="DN2206" s="4"/>
      <c r="DO2206" s="4"/>
      <c r="DP2206" s="4"/>
      <c r="DQ2206" s="4"/>
      <c r="DR2206" s="4"/>
      <c r="DS2206" s="4"/>
    </row>
    <row r="2207">
      <c r="A2207" s="4"/>
      <c r="B2207" s="4"/>
      <c r="C2207" s="4"/>
      <c r="D2207" s="4"/>
      <c r="E2207" s="4"/>
      <c r="F2207" s="4" t="s">
        <v>17</v>
      </c>
      <c r="G2207" s="15"/>
      <c r="H2207" s="4"/>
      <c r="I2207" s="4"/>
      <c r="J2207" s="4"/>
      <c r="K2207" s="4"/>
      <c r="L2207" s="4"/>
      <c r="M2207" s="4"/>
      <c r="N2207" s="4"/>
      <c r="O2207" s="4"/>
      <c r="P2207" s="4"/>
      <c r="Q2207" s="4"/>
      <c r="R2207" s="4"/>
      <c r="S2207" s="4"/>
      <c r="T2207" s="4"/>
      <c r="U2207" s="4"/>
      <c r="V2207" s="4"/>
      <c r="W2207" s="4"/>
      <c r="X2207" s="4"/>
      <c r="Y2207" s="4"/>
      <c r="Z2207" s="4"/>
      <c r="AA2207" s="4"/>
      <c r="AB2207" s="4"/>
      <c r="AC2207" s="4"/>
      <c r="AD2207" s="4"/>
      <c r="AE2207" s="4"/>
      <c r="AF2207" s="4"/>
      <c r="AG2207" s="4"/>
      <c r="AH2207" s="4"/>
      <c r="AI2207" s="4"/>
      <c r="AJ2207" s="4"/>
      <c r="AK2207" s="4"/>
      <c r="AL2207" s="4"/>
      <c r="AM2207" s="4"/>
      <c r="AN2207" s="4"/>
      <c r="AO2207" s="4"/>
      <c r="AP2207" s="4"/>
      <c r="AQ2207" s="4"/>
      <c r="AR2207" s="4"/>
      <c r="AS2207" s="4"/>
      <c r="AT2207" s="4"/>
      <c r="AU2207" s="4"/>
      <c r="AV2207" s="4"/>
      <c r="AW2207" s="4"/>
      <c r="AX2207" s="4"/>
      <c r="AY2207" s="4"/>
      <c r="AZ2207" s="4"/>
      <c r="BA2207" s="4"/>
      <c r="BB2207" s="4"/>
      <c r="BC2207" s="4"/>
      <c r="BD2207" s="4"/>
      <c r="BE2207" s="4"/>
      <c r="BF2207" s="4"/>
      <c r="BG2207" s="4"/>
      <c r="BH2207" s="4"/>
      <c r="BI2207" s="4"/>
      <c r="BJ2207" s="4"/>
      <c r="BK2207" s="4"/>
      <c r="BL2207" s="4"/>
      <c r="BM2207" s="4"/>
      <c r="BN2207" s="4"/>
      <c r="BO2207" s="4"/>
      <c r="BP2207" s="4"/>
      <c r="BQ2207" s="4"/>
      <c r="BR2207" s="4"/>
      <c r="BS2207" s="4"/>
      <c r="BT2207" s="4"/>
      <c r="BU2207" s="4"/>
      <c r="BV2207" s="4"/>
      <c r="BW2207" s="4"/>
      <c r="BX2207" s="4"/>
      <c r="BY2207" s="4"/>
      <c r="BZ2207" s="4"/>
      <c r="CA2207" s="4"/>
      <c r="CB2207" s="4"/>
      <c r="CC2207" s="4"/>
      <c r="CD2207" s="4"/>
      <c r="CE2207" s="4"/>
      <c r="CF2207" s="4"/>
      <c r="CG2207" s="4"/>
      <c r="CH2207" s="4"/>
      <c r="CI2207" s="4"/>
      <c r="CJ2207" s="4"/>
      <c r="CK2207" s="4"/>
      <c r="CL2207" s="4"/>
      <c r="CM2207" s="4"/>
      <c r="CN2207" s="4"/>
      <c r="CO2207" s="4"/>
      <c r="CP2207" s="4"/>
      <c r="CQ2207" s="4"/>
      <c r="CR2207" s="4"/>
      <c r="CS2207" s="4"/>
      <c r="CT2207" s="4"/>
      <c r="CU2207" s="4"/>
      <c r="CV2207" s="4"/>
      <c r="CW2207" s="4"/>
      <c r="CX2207" s="4"/>
      <c r="CY2207" s="4"/>
      <c r="CZ2207" s="4"/>
      <c r="DA2207" s="4"/>
      <c r="DB2207" s="4"/>
      <c r="DC2207" s="4"/>
      <c r="DD2207" s="4"/>
      <c r="DE2207" s="4"/>
      <c r="DF2207" s="4"/>
      <c r="DG2207" s="4"/>
      <c r="DH2207" s="4"/>
      <c r="DI2207" s="4"/>
      <c r="DJ2207" s="4"/>
      <c r="DK2207" s="4"/>
      <c r="DL2207" s="4"/>
      <c r="DM2207" s="4"/>
      <c r="DN2207" s="4"/>
      <c r="DO2207" s="4"/>
      <c r="DP2207" s="4"/>
      <c r="DQ2207" s="4"/>
      <c r="DR2207" s="4"/>
      <c r="DS2207" s="4"/>
    </row>
    <row r="2208">
      <c r="A2208" s="4"/>
      <c r="B2208" s="4"/>
      <c r="C2208" s="4"/>
      <c r="D2208" s="4"/>
      <c r="E2208" s="4"/>
      <c r="F2208" s="4" t="s">
        <v>17</v>
      </c>
      <c r="G2208" s="15"/>
      <c r="H2208" s="4"/>
      <c r="I2208" s="4"/>
      <c r="J2208" s="4"/>
      <c r="K2208" s="4"/>
      <c r="L2208" s="4"/>
      <c r="M2208" s="4"/>
      <c r="N2208" s="4"/>
      <c r="O2208" s="4"/>
      <c r="P2208" s="4"/>
      <c r="Q2208" s="4"/>
      <c r="R2208" s="4"/>
      <c r="S2208" s="4"/>
      <c r="T2208" s="4"/>
      <c r="U2208" s="4"/>
      <c r="V2208" s="4"/>
      <c r="W2208" s="4"/>
      <c r="X2208" s="4"/>
      <c r="Y2208" s="4"/>
      <c r="Z2208" s="4"/>
      <c r="AA2208" s="4"/>
      <c r="AB2208" s="4"/>
      <c r="AC2208" s="4"/>
      <c r="AD2208" s="4"/>
      <c r="AE2208" s="4"/>
      <c r="AF2208" s="4"/>
      <c r="AG2208" s="4"/>
      <c r="AH2208" s="4"/>
      <c r="AI2208" s="4"/>
      <c r="AJ2208" s="4"/>
      <c r="AK2208" s="4"/>
      <c r="AL2208" s="4"/>
      <c r="AM2208" s="4"/>
      <c r="AN2208" s="4"/>
      <c r="AO2208" s="4"/>
      <c r="AP2208" s="4"/>
      <c r="AQ2208" s="4"/>
      <c r="AR2208" s="4"/>
      <c r="AS2208" s="4"/>
      <c r="AT2208" s="4"/>
      <c r="AU2208" s="4"/>
      <c r="AV2208" s="4"/>
      <c r="AW2208" s="4"/>
      <c r="AX2208" s="4"/>
      <c r="AY2208" s="4"/>
      <c r="AZ2208" s="4"/>
      <c r="BA2208" s="4"/>
      <c r="BB2208" s="4"/>
      <c r="BC2208" s="4"/>
      <c r="BD2208" s="4"/>
      <c r="BE2208" s="4"/>
      <c r="BF2208" s="4"/>
      <c r="BG2208" s="4"/>
      <c r="BH2208" s="4"/>
      <c r="BI2208" s="4"/>
      <c r="BJ2208" s="4"/>
      <c r="BK2208" s="4"/>
      <c r="BL2208" s="4"/>
      <c r="BM2208" s="4"/>
      <c r="BN2208" s="4"/>
      <c r="BO2208" s="4"/>
      <c r="BP2208" s="4"/>
      <c r="BQ2208" s="4"/>
      <c r="BR2208" s="4"/>
      <c r="BS2208" s="4"/>
      <c r="BT2208" s="4"/>
      <c r="BU2208" s="4"/>
      <c r="BV2208" s="4"/>
      <c r="BW2208" s="4"/>
      <c r="BX2208" s="4"/>
      <c r="BY2208" s="4"/>
      <c r="BZ2208" s="4"/>
      <c r="CA2208" s="4"/>
      <c r="CB2208" s="4"/>
      <c r="CC2208" s="4"/>
      <c r="CD2208" s="4"/>
      <c r="CE2208" s="4"/>
      <c r="CF2208" s="4"/>
      <c r="CG2208" s="4"/>
      <c r="CH2208" s="4"/>
      <c r="CI2208" s="4"/>
      <c r="CJ2208" s="4"/>
      <c r="CK2208" s="4"/>
      <c r="CL2208" s="4"/>
      <c r="CM2208" s="4"/>
      <c r="CN2208" s="4"/>
      <c r="CO2208" s="4"/>
      <c r="CP2208" s="4"/>
      <c r="CQ2208" s="4"/>
      <c r="CR2208" s="4"/>
      <c r="CS2208" s="4"/>
      <c r="CT2208" s="4"/>
      <c r="CU2208" s="4"/>
      <c r="CV2208" s="4"/>
      <c r="CW2208" s="4"/>
      <c r="CX2208" s="4"/>
      <c r="CY2208" s="4"/>
      <c r="CZ2208" s="4"/>
      <c r="DA2208" s="4"/>
      <c r="DB2208" s="4"/>
      <c r="DC2208" s="4"/>
      <c r="DD2208" s="4"/>
      <c r="DE2208" s="4"/>
      <c r="DF2208" s="4"/>
      <c r="DG2208" s="4"/>
      <c r="DH2208" s="4"/>
      <c r="DI2208" s="4"/>
      <c r="DJ2208" s="4"/>
      <c r="DK2208" s="4"/>
      <c r="DL2208" s="4"/>
      <c r="DM2208" s="4"/>
      <c r="DN2208" s="4"/>
      <c r="DO2208" s="4"/>
      <c r="DP2208" s="4"/>
      <c r="DQ2208" s="4"/>
      <c r="DR2208" s="4"/>
      <c r="DS2208" s="4"/>
    </row>
    <row r="2209">
      <c r="A2209" s="4"/>
      <c r="B2209" s="4"/>
      <c r="C2209" s="4"/>
      <c r="D2209" s="4"/>
      <c r="E2209" s="4"/>
      <c r="F2209" s="4" t="s">
        <v>17</v>
      </c>
      <c r="G2209" s="15"/>
      <c r="H2209" s="4"/>
      <c r="I2209" s="4"/>
      <c r="J2209" s="4"/>
      <c r="K2209" s="4"/>
      <c r="L2209" s="4"/>
      <c r="M2209" s="4"/>
      <c r="N2209" s="4"/>
      <c r="O2209" s="4"/>
      <c r="P2209" s="4"/>
      <c r="Q2209" s="4"/>
      <c r="R2209" s="4"/>
      <c r="S2209" s="4"/>
      <c r="T2209" s="4"/>
      <c r="U2209" s="4"/>
      <c r="V2209" s="4"/>
      <c r="W2209" s="4"/>
      <c r="X2209" s="4"/>
      <c r="Y2209" s="4"/>
      <c r="Z2209" s="4"/>
      <c r="AA2209" s="4"/>
      <c r="AB2209" s="4"/>
      <c r="AC2209" s="4"/>
      <c r="AD2209" s="4"/>
      <c r="AE2209" s="4"/>
      <c r="AF2209" s="4"/>
      <c r="AG2209" s="4"/>
      <c r="AH2209" s="4"/>
      <c r="AI2209" s="4"/>
      <c r="AJ2209" s="4"/>
      <c r="AK2209" s="4"/>
      <c r="AL2209" s="4"/>
      <c r="AM2209" s="4"/>
      <c r="AN2209" s="4"/>
      <c r="AO2209" s="4"/>
      <c r="AP2209" s="4"/>
      <c r="AQ2209" s="4"/>
      <c r="AR2209" s="4"/>
      <c r="AS2209" s="4"/>
      <c r="AT2209" s="4"/>
      <c r="AU2209" s="4"/>
      <c r="AV2209" s="4"/>
      <c r="AW2209" s="4"/>
      <c r="AX2209" s="4"/>
      <c r="AY2209" s="4"/>
      <c r="AZ2209" s="4"/>
      <c r="BA2209" s="4"/>
      <c r="BB2209" s="4"/>
      <c r="BC2209" s="4"/>
      <c r="BD2209" s="4"/>
      <c r="BE2209" s="4"/>
      <c r="BF2209" s="4"/>
      <c r="BG2209" s="4"/>
      <c r="BH2209" s="4"/>
      <c r="BI2209" s="4"/>
      <c r="BJ2209" s="4"/>
      <c r="BK2209" s="4"/>
      <c r="BL2209" s="4"/>
      <c r="BM2209" s="4"/>
      <c r="BN2209" s="4"/>
      <c r="BO2209" s="4"/>
      <c r="BP2209" s="4"/>
      <c r="BQ2209" s="4"/>
      <c r="BR2209" s="4"/>
      <c r="BS2209" s="4"/>
      <c r="BT2209" s="4"/>
      <c r="BU2209" s="4"/>
      <c r="BV2209" s="4"/>
      <c r="BW2209" s="4"/>
      <c r="BX2209" s="4"/>
      <c r="BY2209" s="4"/>
      <c r="BZ2209" s="4"/>
      <c r="CA2209" s="4"/>
      <c r="CB2209" s="4"/>
      <c r="CC2209" s="4"/>
      <c r="CD2209" s="4"/>
      <c r="CE2209" s="4"/>
      <c r="CF2209" s="4"/>
      <c r="CG2209" s="4"/>
      <c r="CH2209" s="4"/>
      <c r="CI2209" s="4"/>
      <c r="CJ2209" s="4"/>
      <c r="CK2209" s="4"/>
      <c r="CL2209" s="4"/>
      <c r="CM2209" s="4"/>
      <c r="CN2209" s="4"/>
      <c r="CO2209" s="4"/>
      <c r="CP2209" s="4"/>
      <c r="CQ2209" s="4"/>
      <c r="CR2209" s="4"/>
      <c r="CS2209" s="4"/>
      <c r="CT2209" s="4"/>
      <c r="CU2209" s="4"/>
      <c r="CV2209" s="4"/>
      <c r="CW2209" s="4"/>
      <c r="CX2209" s="4"/>
      <c r="CY2209" s="4"/>
      <c r="CZ2209" s="4"/>
      <c r="DA2209" s="4"/>
      <c r="DB2209" s="4"/>
      <c r="DC2209" s="4"/>
      <c r="DD2209" s="4"/>
      <c r="DE2209" s="4"/>
      <c r="DF2209" s="4"/>
      <c r="DG2209" s="4"/>
      <c r="DH2209" s="4"/>
      <c r="DI2209" s="4"/>
      <c r="DJ2209" s="4"/>
      <c r="DK2209" s="4"/>
      <c r="DL2209" s="4"/>
      <c r="DM2209" s="4"/>
      <c r="DN2209" s="4"/>
      <c r="DO2209" s="4"/>
      <c r="DP2209" s="4"/>
      <c r="DQ2209" s="4"/>
      <c r="DR2209" s="4"/>
      <c r="DS2209" s="4"/>
    </row>
    <row r="2210">
      <c r="A2210" s="4"/>
      <c r="B2210" s="4"/>
      <c r="C2210" s="4"/>
      <c r="D2210" s="4"/>
      <c r="E2210" s="4"/>
      <c r="F2210" s="4" t="s">
        <v>17</v>
      </c>
      <c r="G2210" s="15"/>
      <c r="H2210" s="4"/>
      <c r="I2210" s="4"/>
      <c r="J2210" s="4"/>
      <c r="K2210" s="4"/>
      <c r="L2210" s="4"/>
      <c r="M2210" s="4"/>
      <c r="N2210" s="4"/>
      <c r="O2210" s="4"/>
      <c r="P2210" s="4"/>
      <c r="Q2210" s="4"/>
      <c r="R2210" s="4"/>
      <c r="S2210" s="4"/>
      <c r="T2210" s="4"/>
      <c r="U2210" s="4"/>
      <c r="V2210" s="4"/>
      <c r="W2210" s="4"/>
      <c r="X2210" s="4"/>
      <c r="Y2210" s="4"/>
      <c r="Z2210" s="4"/>
      <c r="AA2210" s="4"/>
      <c r="AB2210" s="4"/>
      <c r="AC2210" s="4"/>
      <c r="AD2210" s="4"/>
      <c r="AE2210" s="4"/>
      <c r="AF2210" s="4"/>
      <c r="AG2210" s="4"/>
      <c r="AH2210" s="4"/>
      <c r="AI2210" s="4"/>
      <c r="AJ2210" s="4"/>
      <c r="AK2210" s="4"/>
      <c r="AL2210" s="4"/>
      <c r="AM2210" s="4"/>
      <c r="AN2210" s="4"/>
      <c r="AO2210" s="4"/>
      <c r="AP2210" s="4"/>
      <c r="AQ2210" s="4"/>
      <c r="AR2210" s="4"/>
      <c r="AS2210" s="4"/>
      <c r="AT2210" s="4"/>
      <c r="AU2210" s="4"/>
      <c r="AV2210" s="4"/>
      <c r="AW2210" s="4"/>
      <c r="AX2210" s="4"/>
      <c r="AY2210" s="4"/>
      <c r="AZ2210" s="4"/>
      <c r="BA2210" s="4"/>
      <c r="BB2210" s="4"/>
      <c r="BC2210" s="4"/>
      <c r="BD2210" s="4"/>
      <c r="BE2210" s="4"/>
      <c r="BF2210" s="4"/>
      <c r="BG2210" s="4"/>
      <c r="BH2210" s="4"/>
      <c r="BI2210" s="4"/>
      <c r="BJ2210" s="4"/>
      <c r="BK2210" s="4"/>
      <c r="BL2210" s="4"/>
      <c r="BM2210" s="4"/>
      <c r="BN2210" s="4"/>
      <c r="BO2210" s="4"/>
      <c r="BP2210" s="4"/>
      <c r="BQ2210" s="4"/>
      <c r="BR2210" s="4"/>
      <c r="BS2210" s="4"/>
      <c r="BT2210" s="4"/>
      <c r="BU2210" s="4"/>
      <c r="BV2210" s="4"/>
      <c r="BW2210" s="4"/>
      <c r="BX2210" s="4"/>
      <c r="BY2210" s="4"/>
      <c r="BZ2210" s="4"/>
      <c r="CA2210" s="4"/>
      <c r="CB2210" s="4"/>
      <c r="CC2210" s="4"/>
      <c r="CD2210" s="4"/>
      <c r="CE2210" s="4"/>
      <c r="CF2210" s="4"/>
      <c r="CG2210" s="4"/>
      <c r="CH2210" s="4"/>
      <c r="CI2210" s="4"/>
      <c r="CJ2210" s="4"/>
      <c r="CK2210" s="4"/>
      <c r="CL2210" s="4"/>
      <c r="CM2210" s="4"/>
      <c r="CN2210" s="4"/>
      <c r="CO2210" s="4"/>
      <c r="CP2210" s="4"/>
      <c r="CQ2210" s="4"/>
      <c r="CR2210" s="4"/>
      <c r="CS2210" s="4"/>
      <c r="CT2210" s="4"/>
      <c r="CU2210" s="4"/>
      <c r="CV2210" s="4"/>
      <c r="CW2210" s="4"/>
      <c r="CX2210" s="4"/>
      <c r="CY2210" s="4"/>
      <c r="CZ2210" s="4"/>
      <c r="DA2210" s="4"/>
      <c r="DB2210" s="4"/>
      <c r="DC2210" s="4"/>
      <c r="DD2210" s="4"/>
      <c r="DE2210" s="4"/>
      <c r="DF2210" s="4"/>
      <c r="DG2210" s="4"/>
      <c r="DH2210" s="4"/>
      <c r="DI2210" s="4"/>
      <c r="DJ2210" s="4"/>
      <c r="DK2210" s="4"/>
      <c r="DL2210" s="4"/>
      <c r="DM2210" s="4"/>
      <c r="DN2210" s="4"/>
      <c r="DO2210" s="4"/>
      <c r="DP2210" s="4"/>
      <c r="DQ2210" s="4"/>
      <c r="DR2210" s="4"/>
      <c r="DS2210" s="4"/>
    </row>
    <row r="2211">
      <c r="A2211" s="4"/>
      <c r="B2211" s="4"/>
      <c r="C2211" s="4"/>
      <c r="D2211" s="4"/>
      <c r="E2211" s="4"/>
      <c r="F2211" s="4" t="s">
        <v>17</v>
      </c>
      <c r="G2211" s="15"/>
      <c r="H2211" s="4"/>
      <c r="I2211" s="4"/>
      <c r="J2211" s="4"/>
      <c r="K2211" s="4"/>
      <c r="L2211" s="4"/>
      <c r="M2211" s="4"/>
      <c r="N2211" s="4"/>
      <c r="O2211" s="4"/>
      <c r="P2211" s="4"/>
      <c r="Q2211" s="4"/>
      <c r="R2211" s="4"/>
      <c r="S2211" s="4"/>
      <c r="T2211" s="4"/>
      <c r="U2211" s="4"/>
      <c r="V2211" s="4"/>
      <c r="W2211" s="4"/>
      <c r="X2211" s="4"/>
      <c r="Y2211" s="4"/>
      <c r="Z2211" s="4"/>
      <c r="AA2211" s="4"/>
      <c r="AB2211" s="4"/>
      <c r="AC2211" s="4"/>
      <c r="AD2211" s="4"/>
      <c r="AE2211" s="4"/>
      <c r="AF2211" s="4"/>
      <c r="AG2211" s="4"/>
      <c r="AH2211" s="4"/>
      <c r="AI2211" s="4"/>
      <c r="AJ2211" s="4"/>
      <c r="AK2211" s="4"/>
      <c r="AL2211" s="4"/>
      <c r="AM2211" s="4"/>
      <c r="AN2211" s="4"/>
      <c r="AO2211" s="4"/>
      <c r="AP2211" s="4"/>
      <c r="AQ2211" s="4"/>
      <c r="AR2211" s="4"/>
      <c r="AS2211" s="4"/>
      <c r="AT2211" s="4"/>
      <c r="AU2211" s="4"/>
      <c r="AV2211" s="4"/>
      <c r="AW2211" s="4"/>
      <c r="AX2211" s="4"/>
      <c r="AY2211" s="4"/>
      <c r="AZ2211" s="4"/>
      <c r="BA2211" s="4"/>
      <c r="BB2211" s="4"/>
      <c r="BC2211" s="4"/>
      <c r="BD2211" s="4"/>
      <c r="BE2211" s="4"/>
      <c r="BF2211" s="4"/>
      <c r="BG2211" s="4"/>
      <c r="BH2211" s="4"/>
      <c r="BI2211" s="4"/>
      <c r="BJ2211" s="4"/>
      <c r="BK2211" s="4"/>
      <c r="BL2211" s="4"/>
      <c r="BM2211" s="4"/>
      <c r="BN2211" s="4"/>
      <c r="BO2211" s="4"/>
      <c r="BP2211" s="4"/>
      <c r="BQ2211" s="4"/>
      <c r="BR2211" s="4"/>
      <c r="BS2211" s="4"/>
      <c r="BT2211" s="4"/>
      <c r="BU2211" s="4"/>
      <c r="BV2211" s="4"/>
      <c r="BW2211" s="4"/>
      <c r="BX2211" s="4"/>
      <c r="BY2211" s="4"/>
      <c r="BZ2211" s="4"/>
      <c r="CA2211" s="4"/>
      <c r="CB2211" s="4"/>
      <c r="CC2211" s="4"/>
      <c r="CD2211" s="4"/>
      <c r="CE2211" s="4"/>
      <c r="CF2211" s="4"/>
      <c r="CG2211" s="4"/>
      <c r="CH2211" s="4"/>
      <c r="CI2211" s="4"/>
      <c r="CJ2211" s="4"/>
      <c r="CK2211" s="4"/>
      <c r="CL2211" s="4"/>
      <c r="CM2211" s="4"/>
      <c r="CN2211" s="4"/>
      <c r="CO2211" s="4"/>
      <c r="CP2211" s="4"/>
      <c r="CQ2211" s="4"/>
      <c r="CR2211" s="4"/>
      <c r="CS2211" s="4"/>
      <c r="CT2211" s="4"/>
      <c r="CU2211" s="4"/>
      <c r="CV2211" s="4"/>
      <c r="CW2211" s="4"/>
      <c r="CX2211" s="4"/>
      <c r="CY2211" s="4"/>
      <c r="CZ2211" s="4"/>
      <c r="DA2211" s="4"/>
      <c r="DB2211" s="4"/>
      <c r="DC2211" s="4"/>
      <c r="DD2211" s="4"/>
      <c r="DE2211" s="4"/>
      <c r="DF2211" s="4"/>
      <c r="DG2211" s="4"/>
      <c r="DH2211" s="4"/>
      <c r="DI2211" s="4"/>
      <c r="DJ2211" s="4"/>
      <c r="DK2211" s="4"/>
      <c r="DL2211" s="4"/>
      <c r="DM2211" s="4"/>
      <c r="DN2211" s="4"/>
      <c r="DO2211" s="4"/>
      <c r="DP2211" s="4"/>
      <c r="DQ2211" s="4"/>
      <c r="DR2211" s="4"/>
      <c r="DS2211" s="4"/>
    </row>
    <row r="2212">
      <c r="A2212" s="4"/>
      <c r="B2212" s="4"/>
      <c r="C2212" s="4"/>
      <c r="D2212" s="4"/>
      <c r="E2212" s="4"/>
      <c r="F2212" s="4" t="s">
        <v>17</v>
      </c>
      <c r="G2212" s="15"/>
      <c r="H2212" s="4"/>
      <c r="I2212" s="4"/>
      <c r="J2212" s="4"/>
      <c r="K2212" s="4"/>
      <c r="L2212" s="4"/>
      <c r="M2212" s="4"/>
      <c r="N2212" s="4"/>
      <c r="O2212" s="4"/>
      <c r="P2212" s="4"/>
      <c r="Q2212" s="4"/>
      <c r="R2212" s="4"/>
      <c r="S2212" s="4"/>
      <c r="T2212" s="4"/>
      <c r="U2212" s="4"/>
      <c r="V2212" s="4"/>
      <c r="W2212" s="4"/>
      <c r="X2212" s="4"/>
      <c r="Y2212" s="4"/>
      <c r="Z2212" s="4"/>
      <c r="AA2212" s="4"/>
      <c r="AB2212" s="4"/>
      <c r="AC2212" s="4"/>
      <c r="AD2212" s="4"/>
      <c r="AE2212" s="4"/>
      <c r="AF2212" s="4"/>
      <c r="AG2212" s="4"/>
      <c r="AH2212" s="4"/>
      <c r="AI2212" s="4"/>
      <c r="AJ2212" s="4"/>
      <c r="AK2212" s="4"/>
      <c r="AL2212" s="4"/>
      <c r="AM2212" s="4"/>
      <c r="AN2212" s="4"/>
      <c r="AO2212" s="4"/>
      <c r="AP2212" s="4"/>
      <c r="AQ2212" s="4"/>
      <c r="AR2212" s="4"/>
      <c r="AS2212" s="4"/>
      <c r="AT2212" s="4"/>
      <c r="AU2212" s="4"/>
      <c r="AV2212" s="4"/>
      <c r="AW2212" s="4"/>
      <c r="AX2212" s="4"/>
      <c r="AY2212" s="4"/>
      <c r="AZ2212" s="4"/>
      <c r="BA2212" s="4"/>
      <c r="BB2212" s="4"/>
      <c r="BC2212" s="4"/>
      <c r="BD2212" s="4"/>
      <c r="BE2212" s="4"/>
      <c r="BF2212" s="4"/>
      <c r="BG2212" s="4"/>
      <c r="BH2212" s="4"/>
      <c r="BI2212" s="4"/>
      <c r="BJ2212" s="4"/>
      <c r="BK2212" s="4"/>
      <c r="BL2212" s="4"/>
      <c r="BM2212" s="4"/>
      <c r="BN2212" s="4"/>
      <c r="BO2212" s="4"/>
      <c r="BP2212" s="4"/>
      <c r="BQ2212" s="4"/>
      <c r="BR2212" s="4"/>
      <c r="BS2212" s="4"/>
      <c r="BT2212" s="4"/>
      <c r="BU2212" s="4"/>
      <c r="BV2212" s="4"/>
      <c r="BW2212" s="4"/>
      <c r="BX2212" s="4"/>
      <c r="BY2212" s="4"/>
      <c r="BZ2212" s="4"/>
      <c r="CA2212" s="4"/>
      <c r="CB2212" s="4"/>
      <c r="CC2212" s="4"/>
      <c r="CD2212" s="4"/>
      <c r="CE2212" s="4"/>
      <c r="CF2212" s="4"/>
      <c r="CG2212" s="4"/>
      <c r="CH2212" s="4"/>
      <c r="CI2212" s="4"/>
      <c r="CJ2212" s="4"/>
      <c r="CK2212" s="4"/>
      <c r="CL2212" s="4"/>
      <c r="CM2212" s="4"/>
      <c r="CN2212" s="4"/>
      <c r="CO2212" s="4"/>
      <c r="CP2212" s="4"/>
      <c r="CQ2212" s="4"/>
      <c r="CR2212" s="4"/>
      <c r="CS2212" s="4"/>
      <c r="CT2212" s="4"/>
      <c r="CU2212" s="4"/>
      <c r="CV2212" s="4"/>
      <c r="CW2212" s="4"/>
      <c r="CX2212" s="4"/>
      <c r="CY2212" s="4"/>
      <c r="CZ2212" s="4"/>
      <c r="DA2212" s="4"/>
      <c r="DB2212" s="4"/>
      <c r="DC2212" s="4"/>
      <c r="DD2212" s="4"/>
      <c r="DE2212" s="4"/>
      <c r="DF2212" s="4"/>
      <c r="DG2212" s="4"/>
      <c r="DH2212" s="4"/>
      <c r="DI2212" s="4"/>
      <c r="DJ2212" s="4"/>
      <c r="DK2212" s="4"/>
      <c r="DL2212" s="4"/>
      <c r="DM2212" s="4"/>
      <c r="DN2212" s="4"/>
      <c r="DO2212" s="4"/>
      <c r="DP2212" s="4"/>
      <c r="DQ2212" s="4"/>
      <c r="DR2212" s="4"/>
      <c r="DS2212" s="4"/>
    </row>
    <row r="2213">
      <c r="A2213" s="4"/>
      <c r="B2213" s="4"/>
      <c r="C2213" s="4"/>
      <c r="D2213" s="4"/>
      <c r="E2213" s="4"/>
      <c r="F2213" s="4" t="s">
        <v>17</v>
      </c>
      <c r="G2213" s="15"/>
      <c r="H2213" s="4"/>
      <c r="I2213" s="4"/>
      <c r="J2213" s="4"/>
      <c r="K2213" s="4"/>
      <c r="L2213" s="4"/>
      <c r="M2213" s="4"/>
      <c r="N2213" s="4"/>
      <c r="O2213" s="4"/>
      <c r="P2213" s="4"/>
      <c r="Q2213" s="4"/>
      <c r="R2213" s="4"/>
      <c r="S2213" s="4"/>
      <c r="T2213" s="4"/>
      <c r="U2213" s="4"/>
      <c r="V2213" s="4"/>
      <c r="W2213" s="4"/>
      <c r="X2213" s="4"/>
      <c r="Y2213" s="4"/>
      <c r="Z2213" s="4"/>
      <c r="AA2213" s="4"/>
      <c r="AB2213" s="4"/>
      <c r="AC2213" s="4"/>
      <c r="AD2213" s="4"/>
      <c r="AE2213" s="4"/>
      <c r="AF2213" s="4"/>
      <c r="AG2213" s="4"/>
      <c r="AH2213" s="4"/>
      <c r="AI2213" s="4"/>
      <c r="AJ2213" s="4"/>
      <c r="AK2213" s="4"/>
      <c r="AL2213" s="4"/>
      <c r="AM2213" s="4"/>
      <c r="AN2213" s="4"/>
      <c r="AO2213" s="4"/>
      <c r="AP2213" s="4"/>
      <c r="AQ2213" s="4"/>
      <c r="AR2213" s="4"/>
      <c r="AS2213" s="4"/>
      <c r="AT2213" s="4"/>
      <c r="AU2213" s="4"/>
      <c r="AV2213" s="4"/>
      <c r="AW2213" s="4"/>
      <c r="AX2213" s="4"/>
      <c r="AY2213" s="4"/>
      <c r="AZ2213" s="4"/>
      <c r="BA2213" s="4"/>
      <c r="BB2213" s="4"/>
      <c r="BC2213" s="4"/>
      <c r="BD2213" s="4"/>
      <c r="BE2213" s="4"/>
      <c r="BF2213" s="4"/>
      <c r="BG2213" s="4"/>
      <c r="BH2213" s="4"/>
      <c r="BI2213" s="4"/>
      <c r="BJ2213" s="4"/>
      <c r="BK2213" s="4"/>
      <c r="BL2213" s="4"/>
      <c r="BM2213" s="4"/>
      <c r="BN2213" s="4"/>
      <c r="BO2213" s="4"/>
      <c r="BP2213" s="4"/>
      <c r="BQ2213" s="4"/>
      <c r="BR2213" s="4"/>
      <c r="BS2213" s="4"/>
      <c r="BT2213" s="4"/>
      <c r="BU2213" s="4"/>
      <c r="BV2213" s="4"/>
      <c r="BW2213" s="4"/>
      <c r="BX2213" s="4"/>
      <c r="BY2213" s="4"/>
      <c r="BZ2213" s="4"/>
      <c r="CA2213" s="4"/>
      <c r="CB2213" s="4"/>
      <c r="CC2213" s="4"/>
      <c r="CD2213" s="4"/>
      <c r="CE2213" s="4"/>
      <c r="CF2213" s="4"/>
      <c r="CG2213" s="4"/>
      <c r="CH2213" s="4"/>
      <c r="CI2213" s="4"/>
      <c r="CJ2213" s="4"/>
      <c r="CK2213" s="4"/>
      <c r="CL2213" s="4"/>
      <c r="CM2213" s="4"/>
      <c r="CN2213" s="4"/>
      <c r="CO2213" s="4"/>
      <c r="CP2213" s="4"/>
      <c r="CQ2213" s="4"/>
      <c r="CR2213" s="4"/>
      <c r="CS2213" s="4"/>
      <c r="CT2213" s="4"/>
      <c r="CU2213" s="4"/>
      <c r="CV2213" s="4"/>
      <c r="CW2213" s="4"/>
      <c r="CX2213" s="4"/>
      <c r="CY2213" s="4"/>
      <c r="CZ2213" s="4"/>
      <c r="DA2213" s="4"/>
      <c r="DB2213" s="4"/>
      <c r="DC2213" s="4"/>
      <c r="DD2213" s="4"/>
      <c r="DE2213" s="4"/>
      <c r="DF2213" s="4"/>
      <c r="DG2213" s="4"/>
      <c r="DH2213" s="4"/>
      <c r="DI2213" s="4"/>
      <c r="DJ2213" s="4"/>
      <c r="DK2213" s="4"/>
      <c r="DL2213" s="4"/>
      <c r="DM2213" s="4"/>
      <c r="DN2213" s="4"/>
      <c r="DO2213" s="4"/>
      <c r="DP2213" s="4"/>
      <c r="DQ2213" s="4"/>
      <c r="DR2213" s="4"/>
      <c r="DS2213" s="4"/>
    </row>
    <row r="2214">
      <c r="A2214" s="4"/>
      <c r="B2214" s="4"/>
      <c r="C2214" s="4"/>
      <c r="D2214" s="4"/>
      <c r="E2214" s="4"/>
      <c r="F2214" s="4" t="s">
        <v>17</v>
      </c>
      <c r="G2214" s="15"/>
      <c r="H2214" s="4"/>
      <c r="I2214" s="4"/>
      <c r="J2214" s="4"/>
      <c r="K2214" s="4"/>
      <c r="L2214" s="4"/>
      <c r="M2214" s="4"/>
      <c r="N2214" s="4"/>
      <c r="O2214" s="4"/>
      <c r="P2214" s="4"/>
      <c r="Q2214" s="4"/>
      <c r="R2214" s="4"/>
      <c r="S2214" s="4"/>
      <c r="T2214" s="4"/>
      <c r="U2214" s="4"/>
      <c r="V2214" s="4"/>
      <c r="W2214" s="4"/>
      <c r="X2214" s="4"/>
      <c r="Y2214" s="4"/>
      <c r="Z2214" s="4"/>
      <c r="AA2214" s="4"/>
      <c r="AB2214" s="4"/>
      <c r="AC2214" s="4"/>
      <c r="AD2214" s="4"/>
      <c r="AE2214" s="4"/>
      <c r="AF2214" s="4"/>
      <c r="AG2214" s="4"/>
      <c r="AH2214" s="4"/>
      <c r="AI2214" s="4"/>
      <c r="AJ2214" s="4"/>
      <c r="AK2214" s="4"/>
      <c r="AL2214" s="4"/>
      <c r="AM2214" s="4"/>
      <c r="AN2214" s="4"/>
      <c r="AO2214" s="4"/>
      <c r="AP2214" s="4"/>
      <c r="AQ2214" s="4"/>
      <c r="AR2214" s="4"/>
      <c r="AS2214" s="4"/>
      <c r="AT2214" s="4"/>
      <c r="AU2214" s="4"/>
      <c r="AV2214" s="4"/>
      <c r="AW2214" s="4"/>
      <c r="AX2214" s="4"/>
      <c r="AY2214" s="4"/>
      <c r="AZ2214" s="4"/>
      <c r="BA2214" s="4"/>
      <c r="BB2214" s="4"/>
      <c r="BC2214" s="4"/>
      <c r="BD2214" s="4"/>
      <c r="BE2214" s="4"/>
      <c r="BF2214" s="4"/>
      <c r="BG2214" s="4"/>
      <c r="BH2214" s="4"/>
      <c r="BI2214" s="4"/>
      <c r="BJ2214" s="4"/>
      <c r="BK2214" s="4"/>
      <c r="BL2214" s="4"/>
      <c r="BM2214" s="4"/>
      <c r="BN2214" s="4"/>
      <c r="BO2214" s="4"/>
      <c r="BP2214" s="4"/>
      <c r="BQ2214" s="4"/>
      <c r="BR2214" s="4"/>
      <c r="BS2214" s="4"/>
      <c r="BT2214" s="4"/>
      <c r="BU2214" s="4"/>
      <c r="BV2214" s="4"/>
      <c r="BW2214" s="4"/>
      <c r="BX2214" s="4"/>
      <c r="BY2214" s="4"/>
      <c r="BZ2214" s="4"/>
      <c r="CA2214" s="4"/>
      <c r="CB2214" s="4"/>
      <c r="CC2214" s="4"/>
      <c r="CD2214" s="4"/>
      <c r="CE2214" s="4"/>
      <c r="CF2214" s="4"/>
      <c r="CG2214" s="4"/>
      <c r="CH2214" s="4"/>
      <c r="CI2214" s="4"/>
      <c r="CJ2214" s="4"/>
      <c r="CK2214" s="4"/>
      <c r="CL2214" s="4"/>
      <c r="CM2214" s="4"/>
      <c r="CN2214" s="4"/>
      <c r="CO2214" s="4"/>
      <c r="CP2214" s="4"/>
      <c r="CQ2214" s="4"/>
      <c r="CR2214" s="4"/>
      <c r="CS2214" s="4"/>
      <c r="CT2214" s="4"/>
      <c r="CU2214" s="4"/>
      <c r="CV2214" s="4"/>
      <c r="CW2214" s="4"/>
      <c r="CX2214" s="4"/>
      <c r="CY2214" s="4"/>
      <c r="CZ2214" s="4"/>
      <c r="DA2214" s="4"/>
      <c r="DB2214" s="4"/>
      <c r="DC2214" s="4"/>
      <c r="DD2214" s="4"/>
      <c r="DE2214" s="4"/>
      <c r="DF2214" s="4"/>
      <c r="DG2214" s="4"/>
      <c r="DH2214" s="4"/>
      <c r="DI2214" s="4"/>
      <c r="DJ2214" s="4"/>
      <c r="DK2214" s="4"/>
      <c r="DL2214" s="4"/>
      <c r="DM2214" s="4"/>
      <c r="DN2214" s="4"/>
      <c r="DO2214" s="4"/>
      <c r="DP2214" s="4"/>
      <c r="DQ2214" s="4"/>
      <c r="DR2214" s="4"/>
      <c r="DS2214" s="4"/>
    </row>
    <row r="2215">
      <c r="A2215" s="4"/>
      <c r="B2215" s="4"/>
      <c r="C2215" s="4"/>
      <c r="D2215" s="4"/>
      <c r="E2215" s="4"/>
      <c r="F2215" s="4" t="s">
        <v>17</v>
      </c>
      <c r="G2215" s="15"/>
      <c r="H2215" s="4"/>
      <c r="I2215" s="4"/>
      <c r="J2215" s="4"/>
      <c r="K2215" s="4"/>
      <c r="L2215" s="4"/>
      <c r="M2215" s="4"/>
      <c r="N2215" s="4"/>
      <c r="O2215" s="4"/>
      <c r="P2215" s="4"/>
      <c r="Q2215" s="4"/>
      <c r="R2215" s="4"/>
      <c r="S2215" s="4"/>
      <c r="T2215" s="4"/>
      <c r="U2215" s="4"/>
      <c r="V2215" s="4"/>
      <c r="W2215" s="4"/>
      <c r="X2215" s="4"/>
      <c r="Y2215" s="4"/>
      <c r="Z2215" s="4"/>
      <c r="AA2215" s="4"/>
      <c r="AB2215" s="4"/>
      <c r="AC2215" s="4"/>
      <c r="AD2215" s="4"/>
      <c r="AE2215" s="4"/>
      <c r="AF2215" s="4"/>
      <c r="AG2215" s="4"/>
      <c r="AH2215" s="4"/>
      <c r="AI2215" s="4"/>
      <c r="AJ2215" s="4"/>
      <c r="AK2215" s="4"/>
      <c r="AL2215" s="4"/>
      <c r="AM2215" s="4"/>
      <c r="AN2215" s="4"/>
      <c r="AO2215" s="4"/>
      <c r="AP2215" s="4"/>
      <c r="AQ2215" s="4"/>
      <c r="AR2215" s="4"/>
      <c r="AS2215" s="4"/>
      <c r="AT2215" s="4"/>
      <c r="AU2215" s="4"/>
      <c r="AV2215" s="4"/>
      <c r="AW2215" s="4"/>
      <c r="AX2215" s="4"/>
      <c r="AY2215" s="4"/>
      <c r="AZ2215" s="4"/>
      <c r="BA2215" s="4"/>
      <c r="BB2215" s="4"/>
      <c r="BC2215" s="4"/>
      <c r="BD2215" s="4"/>
      <c r="BE2215" s="4"/>
      <c r="BF2215" s="4"/>
      <c r="BG2215" s="4"/>
      <c r="BH2215" s="4"/>
      <c r="BI2215" s="4"/>
      <c r="BJ2215" s="4"/>
      <c r="BK2215" s="4"/>
      <c r="BL2215" s="4"/>
      <c r="BM2215" s="4"/>
      <c r="BN2215" s="4"/>
      <c r="BO2215" s="4"/>
      <c r="BP2215" s="4"/>
      <c r="BQ2215" s="4"/>
      <c r="BR2215" s="4"/>
      <c r="BS2215" s="4"/>
      <c r="BT2215" s="4"/>
      <c r="BU2215" s="4"/>
      <c r="BV2215" s="4"/>
      <c r="BW2215" s="4"/>
      <c r="BX2215" s="4"/>
      <c r="BY2215" s="4"/>
      <c r="BZ2215" s="4"/>
      <c r="CA2215" s="4"/>
      <c r="CB2215" s="4"/>
      <c r="CC2215" s="4"/>
      <c r="CD2215" s="4"/>
      <c r="CE2215" s="4"/>
      <c r="CF2215" s="4"/>
      <c r="CG2215" s="4"/>
      <c r="CH2215" s="4"/>
      <c r="CI2215" s="4"/>
      <c r="CJ2215" s="4"/>
      <c r="CK2215" s="4"/>
      <c r="CL2215" s="4"/>
      <c r="CM2215" s="4"/>
      <c r="CN2215" s="4"/>
      <c r="CO2215" s="4"/>
      <c r="CP2215" s="4"/>
      <c r="CQ2215" s="4"/>
      <c r="CR2215" s="4"/>
      <c r="CS2215" s="4"/>
      <c r="CT2215" s="4"/>
      <c r="CU2215" s="4"/>
      <c r="CV2215" s="4"/>
      <c r="CW2215" s="4"/>
      <c r="CX2215" s="4"/>
      <c r="CY2215" s="4"/>
      <c r="CZ2215" s="4"/>
      <c r="DA2215" s="4"/>
      <c r="DB2215" s="4"/>
      <c r="DC2215" s="4"/>
      <c r="DD2215" s="4"/>
      <c r="DE2215" s="4"/>
      <c r="DF2215" s="4"/>
      <c r="DG2215" s="4"/>
      <c r="DH2215" s="4"/>
      <c r="DI2215" s="4"/>
      <c r="DJ2215" s="4"/>
      <c r="DK2215" s="4"/>
      <c r="DL2215" s="4"/>
      <c r="DM2215" s="4"/>
      <c r="DN2215" s="4"/>
      <c r="DO2215" s="4"/>
      <c r="DP2215" s="4"/>
      <c r="DQ2215" s="4"/>
      <c r="DR2215" s="4"/>
      <c r="DS2215" s="4"/>
    </row>
    <row r="2216">
      <c r="A2216" s="4"/>
      <c r="B2216" s="4"/>
      <c r="C2216" s="4"/>
      <c r="D2216" s="4"/>
      <c r="E2216" s="4"/>
      <c r="F2216" s="4" t="s">
        <v>17</v>
      </c>
      <c r="G2216" s="15"/>
      <c r="H2216" s="4"/>
      <c r="I2216" s="4"/>
      <c r="J2216" s="4"/>
      <c r="K2216" s="4"/>
      <c r="L2216" s="4"/>
      <c r="M2216" s="4"/>
      <c r="N2216" s="4"/>
      <c r="O2216" s="4"/>
      <c r="P2216" s="4"/>
      <c r="Q2216" s="4"/>
      <c r="R2216" s="4"/>
      <c r="S2216" s="4"/>
      <c r="T2216" s="4"/>
      <c r="U2216" s="4"/>
      <c r="V2216" s="4"/>
      <c r="W2216" s="4"/>
      <c r="X2216" s="4"/>
      <c r="Y2216" s="4"/>
      <c r="Z2216" s="4"/>
      <c r="AA2216" s="4"/>
      <c r="AB2216" s="4"/>
      <c r="AC2216" s="4"/>
      <c r="AD2216" s="4"/>
      <c r="AE2216" s="4"/>
      <c r="AF2216" s="4"/>
      <c r="AG2216" s="4"/>
      <c r="AH2216" s="4"/>
      <c r="AI2216" s="4"/>
      <c r="AJ2216" s="4"/>
      <c r="AK2216" s="4"/>
      <c r="AL2216" s="4"/>
      <c r="AM2216" s="4"/>
      <c r="AN2216" s="4"/>
      <c r="AO2216" s="4"/>
      <c r="AP2216" s="4"/>
      <c r="AQ2216" s="4"/>
      <c r="AR2216" s="4"/>
      <c r="AS2216" s="4"/>
      <c r="AT2216" s="4"/>
      <c r="AU2216" s="4"/>
      <c r="AV2216" s="4"/>
      <c r="AW2216" s="4"/>
      <c r="AX2216" s="4"/>
      <c r="AY2216" s="4"/>
      <c r="AZ2216" s="4"/>
      <c r="BA2216" s="4"/>
      <c r="BB2216" s="4"/>
      <c r="BC2216" s="4"/>
      <c r="BD2216" s="4"/>
      <c r="BE2216" s="4"/>
      <c r="BF2216" s="4"/>
      <c r="BG2216" s="4"/>
      <c r="BH2216" s="4"/>
      <c r="BI2216" s="4"/>
      <c r="BJ2216" s="4"/>
      <c r="BK2216" s="4"/>
      <c r="BL2216" s="4"/>
      <c r="BM2216" s="4"/>
      <c r="BN2216" s="4"/>
      <c r="BO2216" s="4"/>
      <c r="BP2216" s="4"/>
      <c r="BQ2216" s="4"/>
      <c r="BR2216" s="4"/>
      <c r="BS2216" s="4"/>
      <c r="BT2216" s="4"/>
      <c r="BU2216" s="4"/>
      <c r="BV2216" s="4"/>
      <c r="BW2216" s="4"/>
      <c r="BX2216" s="4"/>
      <c r="BY2216" s="4"/>
      <c r="BZ2216" s="4"/>
      <c r="CA2216" s="4"/>
      <c r="CB2216" s="4"/>
      <c r="CC2216" s="4"/>
      <c r="CD2216" s="4"/>
      <c r="CE2216" s="4"/>
      <c r="CF2216" s="4"/>
      <c r="CG2216" s="4"/>
      <c r="CH2216" s="4"/>
      <c r="CI2216" s="4"/>
      <c r="CJ2216" s="4"/>
      <c r="CK2216" s="4"/>
      <c r="CL2216" s="4"/>
      <c r="CM2216" s="4"/>
      <c r="CN2216" s="4"/>
      <c r="CO2216" s="4"/>
      <c r="CP2216" s="4"/>
      <c r="CQ2216" s="4"/>
      <c r="CR2216" s="4"/>
      <c r="CS2216" s="4"/>
      <c r="CT2216" s="4"/>
      <c r="CU2216" s="4"/>
      <c r="CV2216" s="4"/>
      <c r="CW2216" s="4"/>
      <c r="CX2216" s="4"/>
      <c r="CY2216" s="4"/>
      <c r="CZ2216" s="4"/>
      <c r="DA2216" s="4"/>
      <c r="DB2216" s="4"/>
      <c r="DC2216" s="4"/>
      <c r="DD2216" s="4"/>
      <c r="DE2216" s="4"/>
      <c r="DF2216" s="4"/>
      <c r="DG2216" s="4"/>
      <c r="DH2216" s="4"/>
      <c r="DI2216" s="4"/>
      <c r="DJ2216" s="4"/>
      <c r="DK2216" s="4"/>
      <c r="DL2216" s="4"/>
      <c r="DM2216" s="4"/>
      <c r="DN2216" s="4"/>
      <c r="DO2216" s="4"/>
      <c r="DP2216" s="4"/>
      <c r="DQ2216" s="4"/>
      <c r="DR2216" s="4"/>
      <c r="DS2216" s="4"/>
    </row>
    <row r="2217">
      <c r="A2217" s="4"/>
      <c r="B2217" s="4"/>
      <c r="C2217" s="4"/>
      <c r="D2217" s="4"/>
      <c r="E2217" s="4"/>
      <c r="F2217" s="4" t="s">
        <v>17</v>
      </c>
      <c r="G2217" s="15"/>
      <c r="H2217" s="4"/>
      <c r="I2217" s="4"/>
      <c r="J2217" s="4"/>
      <c r="K2217" s="4"/>
      <c r="L2217" s="4"/>
      <c r="M2217" s="4"/>
      <c r="N2217" s="4"/>
      <c r="O2217" s="4"/>
      <c r="P2217" s="4"/>
      <c r="Q2217" s="4"/>
      <c r="R2217" s="4"/>
      <c r="S2217" s="4"/>
      <c r="T2217" s="4"/>
      <c r="U2217" s="4"/>
      <c r="V2217" s="4"/>
      <c r="W2217" s="4"/>
      <c r="X2217" s="4"/>
      <c r="Y2217" s="4"/>
      <c r="Z2217" s="4"/>
      <c r="AA2217" s="4"/>
      <c r="AB2217" s="4"/>
      <c r="AC2217" s="4"/>
      <c r="AD2217" s="4"/>
      <c r="AE2217" s="4"/>
      <c r="AF2217" s="4"/>
      <c r="AG2217" s="4"/>
      <c r="AH2217" s="4"/>
      <c r="AI2217" s="4"/>
      <c r="AJ2217" s="4"/>
      <c r="AK2217" s="4"/>
      <c r="AL2217" s="4"/>
      <c r="AM2217" s="4"/>
      <c r="AN2217" s="4"/>
      <c r="AO2217" s="4"/>
      <c r="AP2217" s="4"/>
      <c r="AQ2217" s="4"/>
      <c r="AR2217" s="4"/>
      <c r="AS2217" s="4"/>
      <c r="AT2217" s="4"/>
      <c r="AU2217" s="4"/>
      <c r="AV2217" s="4"/>
      <c r="AW2217" s="4"/>
      <c r="AX2217" s="4"/>
      <c r="AY2217" s="4"/>
      <c r="AZ2217" s="4"/>
      <c r="BA2217" s="4"/>
      <c r="BB2217" s="4"/>
      <c r="BC2217" s="4"/>
      <c r="BD2217" s="4"/>
      <c r="BE2217" s="4"/>
      <c r="BF2217" s="4"/>
      <c r="BG2217" s="4"/>
      <c r="BH2217" s="4"/>
      <c r="BI2217" s="4"/>
      <c r="BJ2217" s="4"/>
      <c r="BK2217" s="4"/>
      <c r="BL2217" s="4"/>
      <c r="BM2217" s="4"/>
      <c r="BN2217" s="4"/>
      <c r="BO2217" s="4"/>
      <c r="BP2217" s="4"/>
      <c r="BQ2217" s="4"/>
      <c r="BR2217" s="4"/>
      <c r="BS2217" s="4"/>
      <c r="BT2217" s="4"/>
      <c r="BU2217" s="4"/>
      <c r="BV2217" s="4"/>
      <c r="BW2217" s="4"/>
      <c r="BX2217" s="4"/>
      <c r="BY2217" s="4"/>
      <c r="BZ2217" s="4"/>
      <c r="CA2217" s="4"/>
      <c r="CB2217" s="4"/>
      <c r="CC2217" s="4"/>
      <c r="CD2217" s="4"/>
      <c r="CE2217" s="4"/>
      <c r="CF2217" s="4"/>
      <c r="CG2217" s="4"/>
      <c r="CH2217" s="4"/>
      <c r="CI2217" s="4"/>
      <c r="CJ2217" s="4"/>
      <c r="CK2217" s="4"/>
      <c r="CL2217" s="4"/>
      <c r="CM2217" s="4"/>
      <c r="CN2217" s="4"/>
      <c r="CO2217" s="4"/>
      <c r="CP2217" s="4"/>
      <c r="CQ2217" s="4"/>
      <c r="CR2217" s="4"/>
      <c r="CS2217" s="4"/>
      <c r="CT2217" s="4"/>
      <c r="CU2217" s="4"/>
      <c r="CV2217" s="4"/>
      <c r="CW2217" s="4"/>
      <c r="CX2217" s="4"/>
      <c r="CY2217" s="4"/>
      <c r="CZ2217" s="4"/>
      <c r="DA2217" s="4"/>
      <c r="DB2217" s="4"/>
      <c r="DC2217" s="4"/>
      <c r="DD2217" s="4"/>
      <c r="DE2217" s="4"/>
      <c r="DF2217" s="4"/>
      <c r="DG2217" s="4"/>
      <c r="DH2217" s="4"/>
      <c r="DI2217" s="4"/>
      <c r="DJ2217" s="4"/>
      <c r="DK2217" s="4"/>
      <c r="DL2217" s="4"/>
      <c r="DM2217" s="4"/>
      <c r="DN2217" s="4"/>
      <c r="DO2217" s="4"/>
      <c r="DP2217" s="4"/>
      <c r="DQ2217" s="4"/>
      <c r="DR2217" s="4"/>
      <c r="DS2217" s="4"/>
    </row>
    <row r="2218">
      <c r="A2218" s="4"/>
      <c r="B2218" s="4"/>
      <c r="C2218" s="4"/>
      <c r="D2218" s="4"/>
      <c r="E2218" s="4"/>
      <c r="F2218" s="4" t="s">
        <v>17</v>
      </c>
      <c r="G2218" s="15"/>
      <c r="H2218" s="4"/>
      <c r="I2218" s="4"/>
      <c r="J2218" s="4"/>
      <c r="K2218" s="4"/>
      <c r="L2218" s="4"/>
      <c r="M2218" s="4"/>
      <c r="N2218" s="4"/>
      <c r="O2218" s="4"/>
      <c r="P2218" s="4"/>
      <c r="Q2218" s="4"/>
      <c r="R2218" s="4"/>
      <c r="S2218" s="4"/>
      <c r="T2218" s="4"/>
      <c r="U2218" s="4"/>
      <c r="V2218" s="4"/>
      <c r="W2218" s="4"/>
      <c r="X2218" s="4"/>
      <c r="Y2218" s="4"/>
      <c r="Z2218" s="4"/>
      <c r="AA2218" s="4"/>
      <c r="AB2218" s="4"/>
      <c r="AC2218" s="4"/>
      <c r="AD2218" s="4"/>
      <c r="AE2218" s="4"/>
      <c r="AF2218" s="4"/>
      <c r="AG2218" s="4"/>
      <c r="AH2218" s="4"/>
      <c r="AI2218" s="4"/>
      <c r="AJ2218" s="4"/>
      <c r="AK2218" s="4"/>
      <c r="AL2218" s="4"/>
      <c r="AM2218" s="4"/>
      <c r="AN2218" s="4"/>
      <c r="AO2218" s="4"/>
      <c r="AP2218" s="4"/>
      <c r="AQ2218" s="4"/>
      <c r="AR2218" s="4"/>
      <c r="AS2218" s="4"/>
      <c r="AT2218" s="4"/>
      <c r="AU2218" s="4"/>
      <c r="AV2218" s="4"/>
      <c r="AW2218" s="4"/>
      <c r="AX2218" s="4"/>
      <c r="AY2218" s="4"/>
      <c r="AZ2218" s="4"/>
      <c r="BA2218" s="4"/>
      <c r="BB2218" s="4"/>
      <c r="BC2218" s="4"/>
      <c r="BD2218" s="4"/>
      <c r="BE2218" s="4"/>
      <c r="BF2218" s="4"/>
      <c r="BG2218" s="4"/>
      <c r="BH2218" s="4"/>
      <c r="BI2218" s="4"/>
      <c r="BJ2218" s="4"/>
      <c r="BK2218" s="4"/>
      <c r="BL2218" s="4"/>
      <c r="BM2218" s="4"/>
      <c r="BN2218" s="4"/>
      <c r="BO2218" s="4"/>
      <c r="BP2218" s="4"/>
      <c r="BQ2218" s="4"/>
      <c r="BR2218" s="4"/>
      <c r="BS2218" s="4"/>
      <c r="BT2218" s="4"/>
      <c r="BU2218" s="4"/>
      <c r="BV2218" s="4"/>
      <c r="BW2218" s="4"/>
      <c r="BX2218" s="4"/>
      <c r="BY2218" s="4"/>
      <c r="BZ2218" s="4"/>
      <c r="CA2218" s="4"/>
      <c r="CB2218" s="4"/>
      <c r="CC2218" s="4"/>
      <c r="CD2218" s="4"/>
      <c r="CE2218" s="4"/>
      <c r="CF2218" s="4"/>
      <c r="CG2218" s="4"/>
      <c r="CH2218" s="4"/>
      <c r="CI2218" s="4"/>
      <c r="CJ2218" s="4"/>
      <c r="CK2218" s="4"/>
      <c r="CL2218" s="4"/>
      <c r="CM2218" s="4"/>
      <c r="CN2218" s="4"/>
      <c r="CO2218" s="4"/>
      <c r="CP2218" s="4"/>
      <c r="CQ2218" s="4"/>
      <c r="CR2218" s="4"/>
      <c r="CS2218" s="4"/>
      <c r="CT2218" s="4"/>
      <c r="CU2218" s="4"/>
      <c r="CV2218" s="4"/>
      <c r="CW2218" s="4"/>
      <c r="CX2218" s="4"/>
      <c r="CY2218" s="4"/>
      <c r="CZ2218" s="4"/>
      <c r="DA2218" s="4"/>
      <c r="DB2218" s="4"/>
      <c r="DC2218" s="4"/>
      <c r="DD2218" s="4"/>
      <c r="DE2218" s="4"/>
      <c r="DF2218" s="4"/>
      <c r="DG2218" s="4"/>
      <c r="DH2218" s="4"/>
      <c r="DI2218" s="4"/>
      <c r="DJ2218" s="4"/>
      <c r="DK2218" s="4"/>
      <c r="DL2218" s="4"/>
      <c r="DM2218" s="4"/>
      <c r="DN2218" s="4"/>
      <c r="DO2218" s="4"/>
      <c r="DP2218" s="4"/>
      <c r="DQ2218" s="4"/>
      <c r="DR2218" s="4"/>
      <c r="DS2218" s="4"/>
    </row>
    <row r="2219">
      <c r="A2219" s="4"/>
      <c r="B2219" s="4"/>
      <c r="C2219" s="4"/>
      <c r="D2219" s="4"/>
      <c r="E2219" s="4"/>
      <c r="F2219" s="4" t="s">
        <v>17</v>
      </c>
      <c r="G2219" s="15"/>
      <c r="H2219" s="4"/>
      <c r="I2219" s="4"/>
      <c r="J2219" s="4"/>
      <c r="K2219" s="4"/>
      <c r="L2219" s="4"/>
      <c r="M2219" s="4"/>
      <c r="N2219" s="4"/>
      <c r="O2219" s="4"/>
      <c r="P2219" s="4"/>
      <c r="Q2219" s="4"/>
      <c r="R2219" s="4"/>
      <c r="S2219" s="4"/>
      <c r="T2219" s="4"/>
      <c r="U2219" s="4"/>
      <c r="V2219" s="4"/>
      <c r="W2219" s="4"/>
      <c r="X2219" s="4"/>
      <c r="Y2219" s="4"/>
      <c r="Z2219" s="4"/>
      <c r="AA2219" s="4"/>
      <c r="AB2219" s="4"/>
      <c r="AC2219" s="4"/>
      <c r="AD2219" s="4"/>
      <c r="AE2219" s="4"/>
      <c r="AF2219" s="4"/>
      <c r="AG2219" s="4"/>
      <c r="AH2219" s="4"/>
      <c r="AI2219" s="4"/>
      <c r="AJ2219" s="4"/>
      <c r="AK2219" s="4"/>
      <c r="AL2219" s="4"/>
      <c r="AM2219" s="4"/>
      <c r="AN2219" s="4"/>
      <c r="AO2219" s="4"/>
      <c r="AP2219" s="4"/>
      <c r="AQ2219" s="4"/>
      <c r="AR2219" s="4"/>
      <c r="AS2219" s="4"/>
      <c r="AT2219" s="4"/>
      <c r="AU2219" s="4"/>
      <c r="AV2219" s="4"/>
      <c r="AW2219" s="4"/>
      <c r="AX2219" s="4"/>
      <c r="AY2219" s="4"/>
      <c r="AZ2219" s="4"/>
      <c r="BA2219" s="4"/>
      <c r="BB2219" s="4"/>
      <c r="BC2219" s="4"/>
      <c r="BD2219" s="4"/>
      <c r="BE2219" s="4"/>
      <c r="BF2219" s="4"/>
      <c r="BG2219" s="4"/>
      <c r="BH2219" s="4"/>
      <c r="BI2219" s="4"/>
      <c r="BJ2219" s="4"/>
      <c r="BK2219" s="4"/>
      <c r="BL2219" s="4"/>
      <c r="BM2219" s="4"/>
      <c r="BN2219" s="4"/>
      <c r="BO2219" s="4"/>
      <c r="BP2219" s="4"/>
      <c r="BQ2219" s="4"/>
      <c r="BR2219" s="4"/>
      <c r="BS2219" s="4"/>
      <c r="BT2219" s="4"/>
      <c r="BU2219" s="4"/>
      <c r="BV2219" s="4"/>
      <c r="BW2219" s="4"/>
      <c r="BX2219" s="4"/>
      <c r="BY2219" s="4"/>
      <c r="BZ2219" s="4"/>
      <c r="CA2219" s="4"/>
      <c r="CB2219" s="4"/>
      <c r="CC2219" s="4"/>
      <c r="CD2219" s="4"/>
      <c r="CE2219" s="4"/>
      <c r="CF2219" s="4"/>
      <c r="CG2219" s="4"/>
      <c r="CH2219" s="4"/>
      <c r="CI2219" s="4"/>
      <c r="CJ2219" s="4"/>
      <c r="CK2219" s="4"/>
      <c r="CL2219" s="4"/>
      <c r="CM2219" s="4"/>
      <c r="CN2219" s="4"/>
      <c r="CO2219" s="4"/>
      <c r="CP2219" s="4"/>
      <c r="CQ2219" s="4"/>
      <c r="CR2219" s="4"/>
      <c r="CS2219" s="4"/>
      <c r="CT2219" s="4"/>
      <c r="CU2219" s="4"/>
      <c r="CV2219" s="4"/>
      <c r="CW2219" s="4"/>
      <c r="CX2219" s="4"/>
      <c r="CY2219" s="4"/>
      <c r="CZ2219" s="4"/>
      <c r="DA2219" s="4"/>
      <c r="DB2219" s="4"/>
      <c r="DC2219" s="4"/>
      <c r="DD2219" s="4"/>
      <c r="DE2219" s="4"/>
      <c r="DF2219" s="4"/>
      <c r="DG2219" s="4"/>
      <c r="DH2219" s="4"/>
      <c r="DI2219" s="4"/>
      <c r="DJ2219" s="4"/>
      <c r="DK2219" s="4"/>
      <c r="DL2219" s="4"/>
      <c r="DM2219" s="4"/>
      <c r="DN2219" s="4"/>
      <c r="DO2219" s="4"/>
      <c r="DP2219" s="4"/>
      <c r="DQ2219" s="4"/>
      <c r="DR2219" s="4"/>
      <c r="DS2219" s="4"/>
    </row>
    <row r="2220">
      <c r="A2220" s="4"/>
      <c r="B2220" s="4"/>
      <c r="C2220" s="4"/>
      <c r="D2220" s="4"/>
      <c r="E2220" s="4"/>
      <c r="F2220" s="4" t="s">
        <v>17</v>
      </c>
      <c r="G2220" s="15"/>
      <c r="H2220" s="4"/>
      <c r="I2220" s="4"/>
      <c r="J2220" s="4"/>
      <c r="K2220" s="4"/>
      <c r="L2220" s="4"/>
      <c r="M2220" s="4"/>
      <c r="N2220" s="4"/>
      <c r="O2220" s="4"/>
      <c r="P2220" s="4"/>
      <c r="Q2220" s="4"/>
      <c r="R2220" s="4"/>
      <c r="S2220" s="4"/>
      <c r="T2220" s="4"/>
      <c r="U2220" s="4"/>
      <c r="V2220" s="4"/>
      <c r="W2220" s="4"/>
      <c r="X2220" s="4"/>
      <c r="Y2220" s="4"/>
      <c r="Z2220" s="4"/>
      <c r="AA2220" s="4"/>
      <c r="AB2220" s="4"/>
      <c r="AC2220" s="4"/>
      <c r="AD2220" s="4"/>
      <c r="AE2220" s="4"/>
      <c r="AF2220" s="4"/>
      <c r="AG2220" s="4"/>
      <c r="AH2220" s="4"/>
      <c r="AI2220" s="4"/>
      <c r="AJ2220" s="4"/>
      <c r="AK2220" s="4"/>
      <c r="AL2220" s="4"/>
      <c r="AM2220" s="4"/>
      <c r="AN2220" s="4"/>
      <c r="AO2220" s="4"/>
      <c r="AP2220" s="4"/>
      <c r="AQ2220" s="4"/>
      <c r="AR2220" s="4"/>
      <c r="AS2220" s="4"/>
      <c r="AT2220" s="4"/>
      <c r="AU2220" s="4"/>
      <c r="AV2220" s="4"/>
      <c r="AW2220" s="4"/>
      <c r="AX2220" s="4"/>
      <c r="AY2220" s="4"/>
      <c r="AZ2220" s="4"/>
      <c r="BA2220" s="4"/>
      <c r="BB2220" s="4"/>
      <c r="BC2220" s="4"/>
      <c r="BD2220" s="4"/>
      <c r="BE2220" s="4"/>
      <c r="BF2220" s="4"/>
      <c r="BG2220" s="4"/>
      <c r="BH2220" s="4"/>
      <c r="BI2220" s="4"/>
      <c r="BJ2220" s="4"/>
      <c r="BK2220" s="4"/>
      <c r="BL2220" s="4"/>
      <c r="BM2220" s="4"/>
      <c r="BN2220" s="4"/>
      <c r="BO2220" s="4"/>
      <c r="BP2220" s="4"/>
      <c r="BQ2220" s="4"/>
      <c r="BR2220" s="4"/>
      <c r="BS2220" s="4"/>
      <c r="BT2220" s="4"/>
      <c r="BU2220" s="4"/>
      <c r="BV2220" s="4"/>
      <c r="BW2220" s="4"/>
      <c r="BX2220" s="4"/>
      <c r="BY2220" s="4"/>
      <c r="BZ2220" s="4"/>
      <c r="CA2220" s="4"/>
      <c r="CB2220" s="4"/>
      <c r="CC2220" s="4"/>
      <c r="CD2220" s="4"/>
      <c r="CE2220" s="4"/>
      <c r="CF2220" s="4"/>
      <c r="CG2220" s="4"/>
      <c r="CH2220" s="4"/>
      <c r="CI2220" s="4"/>
      <c r="CJ2220" s="4"/>
      <c r="CK2220" s="4"/>
      <c r="CL2220" s="4"/>
      <c r="CM2220" s="4"/>
      <c r="CN2220" s="4"/>
      <c r="CO2220" s="4"/>
      <c r="CP2220" s="4"/>
      <c r="CQ2220" s="4"/>
      <c r="CR2220" s="4"/>
      <c r="CS2220" s="4"/>
      <c r="CT2220" s="4"/>
      <c r="CU2220" s="4"/>
      <c r="CV2220" s="4"/>
      <c r="CW2220" s="4"/>
      <c r="CX2220" s="4"/>
      <c r="CY2220" s="4"/>
      <c r="CZ2220" s="4"/>
      <c r="DA2220" s="4"/>
      <c r="DB2220" s="4"/>
      <c r="DC2220" s="4"/>
      <c r="DD2220" s="4"/>
      <c r="DE2220" s="4"/>
      <c r="DF2220" s="4"/>
      <c r="DG2220" s="4"/>
      <c r="DH2220" s="4"/>
      <c r="DI2220" s="4"/>
      <c r="DJ2220" s="4"/>
      <c r="DK2220" s="4"/>
      <c r="DL2220" s="4"/>
      <c r="DM2220" s="4"/>
      <c r="DN2220" s="4"/>
      <c r="DO2220" s="4"/>
      <c r="DP2220" s="4"/>
      <c r="DQ2220" s="4"/>
      <c r="DR2220" s="4"/>
      <c r="DS2220" s="4"/>
    </row>
    <row r="2221">
      <c r="A2221" s="4"/>
      <c r="B2221" s="4"/>
      <c r="C2221" s="4"/>
      <c r="D2221" s="4"/>
      <c r="E2221" s="4"/>
      <c r="F2221" s="4" t="s">
        <v>17</v>
      </c>
      <c r="G2221" s="15"/>
      <c r="H2221" s="4"/>
      <c r="I2221" s="4"/>
      <c r="J2221" s="4"/>
      <c r="K2221" s="4"/>
      <c r="L2221" s="4"/>
      <c r="M2221" s="4"/>
      <c r="N2221" s="4"/>
      <c r="O2221" s="4"/>
      <c r="P2221" s="4"/>
      <c r="Q2221" s="4"/>
      <c r="R2221" s="4"/>
      <c r="S2221" s="4"/>
      <c r="T2221" s="4"/>
      <c r="U2221" s="4"/>
      <c r="V2221" s="4"/>
      <c r="W2221" s="4"/>
      <c r="X2221" s="4"/>
      <c r="Y2221" s="4"/>
      <c r="Z2221" s="4"/>
      <c r="AA2221" s="4"/>
      <c r="AB2221" s="4"/>
      <c r="AC2221" s="4"/>
      <c r="AD2221" s="4"/>
      <c r="AE2221" s="4"/>
      <c r="AF2221" s="4"/>
      <c r="AG2221" s="4"/>
      <c r="AH2221" s="4"/>
      <c r="AI2221" s="4"/>
      <c r="AJ2221" s="4"/>
      <c r="AK2221" s="4"/>
      <c r="AL2221" s="4"/>
      <c r="AM2221" s="4"/>
      <c r="AN2221" s="4"/>
      <c r="AO2221" s="4"/>
      <c r="AP2221" s="4"/>
      <c r="AQ2221" s="4"/>
      <c r="AR2221" s="4"/>
      <c r="AS2221" s="4"/>
      <c r="AT2221" s="4"/>
      <c r="AU2221" s="4"/>
      <c r="AV2221" s="4"/>
      <c r="AW2221" s="4"/>
      <c r="AX2221" s="4"/>
      <c r="AY2221" s="4"/>
      <c r="AZ2221" s="4"/>
      <c r="BA2221" s="4"/>
      <c r="BB2221" s="4"/>
      <c r="BC2221" s="4"/>
      <c r="BD2221" s="4"/>
      <c r="BE2221" s="4"/>
      <c r="BF2221" s="4"/>
      <c r="BG2221" s="4"/>
      <c r="BH2221" s="4"/>
      <c r="BI2221" s="4"/>
      <c r="BJ2221" s="4"/>
      <c r="BK2221" s="4"/>
      <c r="BL2221" s="4"/>
      <c r="BM2221" s="4"/>
      <c r="BN2221" s="4"/>
      <c r="BO2221" s="4"/>
      <c r="BP2221" s="4"/>
      <c r="BQ2221" s="4"/>
      <c r="BR2221" s="4"/>
      <c r="BS2221" s="4"/>
      <c r="BT2221" s="4"/>
      <c r="BU2221" s="4"/>
      <c r="BV2221" s="4"/>
      <c r="BW2221" s="4"/>
      <c r="BX2221" s="4"/>
      <c r="BY2221" s="4"/>
      <c r="BZ2221" s="4"/>
      <c r="CA2221" s="4"/>
      <c r="CB2221" s="4"/>
      <c r="CC2221" s="4"/>
      <c r="CD2221" s="4"/>
      <c r="CE2221" s="4"/>
      <c r="CF2221" s="4"/>
      <c r="CG2221" s="4"/>
      <c r="CH2221" s="4"/>
      <c r="CI2221" s="4"/>
      <c r="CJ2221" s="4"/>
      <c r="CK2221" s="4"/>
      <c r="CL2221" s="4"/>
      <c r="CM2221" s="4"/>
      <c r="CN2221" s="4"/>
      <c r="CO2221" s="4"/>
      <c r="CP2221" s="4"/>
      <c r="CQ2221" s="4"/>
      <c r="CR2221" s="4"/>
      <c r="CS2221" s="4"/>
      <c r="CT2221" s="4"/>
      <c r="CU2221" s="4"/>
      <c r="CV2221" s="4"/>
      <c r="CW2221" s="4"/>
      <c r="CX2221" s="4"/>
      <c r="CY2221" s="4"/>
      <c r="CZ2221" s="4"/>
      <c r="DA2221" s="4"/>
      <c r="DB2221" s="4"/>
      <c r="DC2221" s="4"/>
      <c r="DD2221" s="4"/>
      <c r="DE2221" s="4"/>
      <c r="DF2221" s="4"/>
      <c r="DG2221" s="4"/>
      <c r="DH2221" s="4"/>
      <c r="DI2221" s="4"/>
      <c r="DJ2221" s="4"/>
      <c r="DK2221" s="4"/>
      <c r="DL2221" s="4"/>
      <c r="DM2221" s="4"/>
      <c r="DN2221" s="4"/>
      <c r="DO2221" s="4"/>
      <c r="DP2221" s="4"/>
      <c r="DQ2221" s="4"/>
      <c r="DR2221" s="4"/>
      <c r="DS2221" s="4"/>
    </row>
    <row r="2222">
      <c r="A2222" s="4"/>
      <c r="B2222" s="4"/>
      <c r="C2222" s="4"/>
      <c r="D2222" s="4"/>
      <c r="E2222" s="4"/>
      <c r="F2222" s="4" t="s">
        <v>17</v>
      </c>
      <c r="G2222" s="15"/>
      <c r="H2222" s="4"/>
      <c r="I2222" s="4"/>
      <c r="J2222" s="4"/>
      <c r="K2222" s="4"/>
      <c r="L2222" s="4"/>
      <c r="M2222" s="4"/>
      <c r="N2222" s="4"/>
      <c r="O2222" s="4"/>
      <c r="P2222" s="4"/>
      <c r="Q2222" s="4"/>
      <c r="R2222" s="4"/>
      <c r="S2222" s="4"/>
      <c r="T2222" s="4"/>
      <c r="U2222" s="4"/>
      <c r="V2222" s="4"/>
      <c r="W2222" s="4"/>
      <c r="X2222" s="4"/>
      <c r="Y2222" s="4"/>
      <c r="Z2222" s="4"/>
      <c r="AA2222" s="4"/>
      <c r="AB2222" s="4"/>
      <c r="AC2222" s="4"/>
      <c r="AD2222" s="4"/>
      <c r="AE2222" s="4"/>
      <c r="AF2222" s="4"/>
      <c r="AG2222" s="4"/>
      <c r="AH2222" s="4"/>
      <c r="AI2222" s="4"/>
      <c r="AJ2222" s="4"/>
      <c r="AK2222" s="4"/>
      <c r="AL2222" s="4"/>
      <c r="AM2222" s="4"/>
      <c r="AN2222" s="4"/>
      <c r="AO2222" s="4"/>
      <c r="AP2222" s="4"/>
      <c r="AQ2222" s="4"/>
      <c r="AR2222" s="4"/>
      <c r="AS2222" s="4"/>
      <c r="AT2222" s="4"/>
      <c r="AU2222" s="4"/>
      <c r="AV2222" s="4"/>
      <c r="AW2222" s="4"/>
      <c r="AX2222" s="4"/>
      <c r="AY2222" s="4"/>
      <c r="AZ2222" s="4"/>
      <c r="BA2222" s="4"/>
      <c r="BB2222" s="4"/>
      <c r="BC2222" s="4"/>
      <c r="BD2222" s="4"/>
      <c r="BE2222" s="4"/>
      <c r="BF2222" s="4"/>
      <c r="BG2222" s="4"/>
      <c r="BH2222" s="4"/>
      <c r="BI2222" s="4"/>
      <c r="BJ2222" s="4"/>
      <c r="BK2222" s="4"/>
      <c r="BL2222" s="4"/>
      <c r="BM2222" s="4"/>
      <c r="BN2222" s="4"/>
      <c r="BO2222" s="4"/>
      <c r="BP2222" s="4"/>
      <c r="BQ2222" s="4"/>
      <c r="BR2222" s="4"/>
      <c r="BS2222" s="4"/>
      <c r="BT2222" s="4"/>
      <c r="BU2222" s="4"/>
      <c r="BV2222" s="4"/>
      <c r="BW2222" s="4"/>
      <c r="BX2222" s="4"/>
      <c r="BY2222" s="4"/>
      <c r="BZ2222" s="4"/>
      <c r="CA2222" s="4"/>
      <c r="CB2222" s="4"/>
      <c r="CC2222" s="4"/>
      <c r="CD2222" s="4"/>
      <c r="CE2222" s="4"/>
      <c r="CF2222" s="4"/>
      <c r="CG2222" s="4"/>
      <c r="CH2222" s="4"/>
      <c r="CI2222" s="4"/>
      <c r="CJ2222" s="4"/>
      <c r="CK2222" s="4"/>
      <c r="CL2222" s="4"/>
      <c r="CM2222" s="4"/>
      <c r="CN2222" s="4"/>
      <c r="CO2222" s="4"/>
      <c r="CP2222" s="4"/>
      <c r="CQ2222" s="4"/>
      <c r="CR2222" s="4"/>
      <c r="CS2222" s="4"/>
      <c r="CT2222" s="4"/>
      <c r="CU2222" s="4"/>
      <c r="CV2222" s="4"/>
      <c r="CW2222" s="4"/>
      <c r="CX2222" s="4"/>
      <c r="CY2222" s="4"/>
      <c r="CZ2222" s="4"/>
      <c r="DA2222" s="4"/>
      <c r="DB2222" s="4"/>
      <c r="DC2222" s="4"/>
      <c r="DD2222" s="4"/>
      <c r="DE2222" s="4"/>
      <c r="DF2222" s="4"/>
      <c r="DG2222" s="4"/>
      <c r="DH2222" s="4"/>
      <c r="DI2222" s="4"/>
      <c r="DJ2222" s="4"/>
      <c r="DK2222" s="4"/>
      <c r="DL2222" s="4"/>
      <c r="DM2222" s="4"/>
      <c r="DN2222" s="4"/>
      <c r="DO2222" s="4"/>
      <c r="DP2222" s="4"/>
      <c r="DQ2222" s="4"/>
      <c r="DR2222" s="4"/>
      <c r="DS2222" s="4"/>
    </row>
    <row r="2223">
      <c r="A2223" s="4"/>
      <c r="B2223" s="4"/>
      <c r="C2223" s="4"/>
      <c r="D2223" s="4"/>
      <c r="E2223" s="4"/>
      <c r="F2223" s="4" t="s">
        <v>17</v>
      </c>
      <c r="G2223" s="15"/>
      <c r="H2223" s="4"/>
      <c r="I2223" s="4"/>
      <c r="J2223" s="4"/>
      <c r="K2223" s="4"/>
      <c r="L2223" s="4"/>
      <c r="M2223" s="4"/>
      <c r="N2223" s="4"/>
      <c r="O2223" s="4"/>
      <c r="P2223" s="4"/>
      <c r="Q2223" s="4"/>
      <c r="R2223" s="4"/>
      <c r="S2223" s="4"/>
      <c r="T2223" s="4"/>
      <c r="U2223" s="4"/>
      <c r="V2223" s="4"/>
      <c r="W2223" s="4"/>
      <c r="X2223" s="4"/>
      <c r="Y2223" s="4"/>
      <c r="Z2223" s="4"/>
      <c r="AA2223" s="4"/>
      <c r="AB2223" s="4"/>
      <c r="AC2223" s="4"/>
      <c r="AD2223" s="4"/>
      <c r="AE2223" s="4"/>
      <c r="AF2223" s="4"/>
      <c r="AG2223" s="4"/>
      <c r="AH2223" s="4"/>
      <c r="AI2223" s="4"/>
      <c r="AJ2223" s="4"/>
      <c r="AK2223" s="4"/>
      <c r="AL2223" s="4"/>
      <c r="AM2223" s="4"/>
      <c r="AN2223" s="4"/>
      <c r="AO2223" s="4"/>
      <c r="AP2223" s="4"/>
      <c r="AQ2223" s="4"/>
      <c r="AR2223" s="4"/>
      <c r="AS2223" s="4"/>
      <c r="AT2223" s="4"/>
      <c r="AU2223" s="4"/>
      <c r="AV2223" s="4"/>
      <c r="AW2223" s="4"/>
      <c r="AX2223" s="4"/>
      <c r="AY2223" s="4"/>
      <c r="AZ2223" s="4"/>
      <c r="BA2223" s="4"/>
      <c r="BB2223" s="4"/>
      <c r="BC2223" s="4"/>
      <c r="BD2223" s="4"/>
      <c r="BE2223" s="4"/>
      <c r="BF2223" s="4"/>
      <c r="BG2223" s="4"/>
      <c r="BH2223" s="4"/>
      <c r="BI2223" s="4"/>
      <c r="BJ2223" s="4"/>
      <c r="BK2223" s="4"/>
      <c r="BL2223" s="4"/>
      <c r="BM2223" s="4"/>
      <c r="BN2223" s="4"/>
      <c r="BO2223" s="4"/>
      <c r="BP2223" s="4"/>
      <c r="BQ2223" s="4"/>
      <c r="BR2223" s="4"/>
      <c r="BS2223" s="4"/>
      <c r="BT2223" s="4"/>
      <c r="BU2223" s="4"/>
      <c r="BV2223" s="4"/>
      <c r="BW2223" s="4"/>
      <c r="BX2223" s="4"/>
      <c r="BY2223" s="4"/>
      <c r="BZ2223" s="4"/>
      <c r="CA2223" s="4"/>
      <c r="CB2223" s="4"/>
      <c r="CC2223" s="4"/>
      <c r="CD2223" s="4"/>
      <c r="CE2223" s="4"/>
      <c r="CF2223" s="4"/>
      <c r="CG2223" s="4"/>
      <c r="CH2223" s="4"/>
      <c r="CI2223" s="4"/>
      <c r="CJ2223" s="4"/>
      <c r="CK2223" s="4"/>
      <c r="CL2223" s="4"/>
      <c r="CM2223" s="4"/>
      <c r="CN2223" s="4"/>
      <c r="CO2223" s="4"/>
      <c r="CP2223" s="4"/>
      <c r="CQ2223" s="4"/>
      <c r="CR2223" s="4"/>
      <c r="CS2223" s="4"/>
      <c r="CT2223" s="4"/>
      <c r="CU2223" s="4"/>
      <c r="CV2223" s="4"/>
      <c r="CW2223" s="4"/>
      <c r="CX2223" s="4"/>
      <c r="CY2223" s="4"/>
      <c r="CZ2223" s="4"/>
      <c r="DA2223" s="4"/>
      <c r="DB2223" s="4"/>
      <c r="DC2223" s="4"/>
      <c r="DD2223" s="4"/>
      <c r="DE2223" s="4"/>
      <c r="DF2223" s="4"/>
      <c r="DG2223" s="4"/>
      <c r="DH2223" s="4"/>
      <c r="DI2223" s="4"/>
      <c r="DJ2223" s="4"/>
      <c r="DK2223" s="4"/>
      <c r="DL2223" s="4"/>
      <c r="DM2223" s="4"/>
      <c r="DN2223" s="4"/>
      <c r="DO2223" s="4"/>
      <c r="DP2223" s="4"/>
      <c r="DQ2223" s="4"/>
      <c r="DR2223" s="4"/>
      <c r="DS2223" s="4"/>
    </row>
    <row r="2224">
      <c r="A2224" s="4"/>
      <c r="B2224" s="4"/>
      <c r="C2224" s="4"/>
      <c r="D2224" s="4"/>
      <c r="E2224" s="4"/>
      <c r="F2224" s="4" t="s">
        <v>17</v>
      </c>
      <c r="G2224" s="15"/>
      <c r="H2224" s="4"/>
      <c r="I2224" s="4"/>
      <c r="J2224" s="4"/>
      <c r="K2224" s="4"/>
      <c r="L2224" s="4"/>
      <c r="M2224" s="4"/>
      <c r="N2224" s="4"/>
      <c r="O2224" s="4"/>
      <c r="P2224" s="4"/>
      <c r="Q2224" s="4"/>
      <c r="R2224" s="4"/>
      <c r="S2224" s="4"/>
      <c r="T2224" s="4"/>
      <c r="U2224" s="4"/>
      <c r="V2224" s="4"/>
      <c r="W2224" s="4"/>
      <c r="X2224" s="4"/>
      <c r="Y2224" s="4"/>
      <c r="Z2224" s="4"/>
      <c r="AA2224" s="4"/>
      <c r="AB2224" s="4"/>
      <c r="AC2224" s="4"/>
      <c r="AD2224" s="4"/>
      <c r="AE2224" s="4"/>
      <c r="AF2224" s="4"/>
      <c r="AG2224" s="4"/>
      <c r="AH2224" s="4"/>
      <c r="AI2224" s="4"/>
      <c r="AJ2224" s="4"/>
      <c r="AK2224" s="4"/>
      <c r="AL2224" s="4"/>
      <c r="AM2224" s="4"/>
      <c r="AN2224" s="4"/>
      <c r="AO2224" s="4"/>
      <c r="AP2224" s="4"/>
      <c r="AQ2224" s="4"/>
      <c r="AR2224" s="4"/>
      <c r="AS2224" s="4"/>
      <c r="AT2224" s="4"/>
      <c r="AU2224" s="4"/>
      <c r="AV2224" s="4"/>
      <c r="AW2224" s="4"/>
      <c r="AX2224" s="4"/>
      <c r="AY2224" s="4"/>
      <c r="AZ2224" s="4"/>
      <c r="BA2224" s="4"/>
      <c r="BB2224" s="4"/>
      <c r="BC2224" s="4"/>
      <c r="BD2224" s="4"/>
      <c r="BE2224" s="4"/>
      <c r="BF2224" s="4"/>
      <c r="BG2224" s="4"/>
      <c r="BH2224" s="4"/>
      <c r="BI2224" s="4"/>
      <c r="BJ2224" s="4"/>
      <c r="BK2224" s="4"/>
      <c r="BL2224" s="4"/>
      <c r="BM2224" s="4"/>
      <c r="BN2224" s="4"/>
      <c r="BO2224" s="4"/>
      <c r="BP2224" s="4"/>
      <c r="BQ2224" s="4"/>
      <c r="BR2224" s="4"/>
      <c r="BS2224" s="4"/>
      <c r="BT2224" s="4"/>
      <c r="BU2224" s="4"/>
      <c r="BV2224" s="4"/>
      <c r="BW2224" s="4"/>
      <c r="BX2224" s="4"/>
      <c r="BY2224" s="4"/>
      <c r="BZ2224" s="4"/>
      <c r="CA2224" s="4"/>
      <c r="CB2224" s="4"/>
      <c r="CC2224" s="4"/>
      <c r="CD2224" s="4"/>
      <c r="CE2224" s="4"/>
      <c r="CF2224" s="4"/>
      <c r="CG2224" s="4"/>
      <c r="CH2224" s="4"/>
      <c r="CI2224" s="4"/>
      <c r="CJ2224" s="4"/>
      <c r="CK2224" s="4"/>
      <c r="CL2224" s="4"/>
      <c r="CM2224" s="4"/>
      <c r="CN2224" s="4"/>
      <c r="CO2224" s="4"/>
      <c r="CP2224" s="4"/>
      <c r="CQ2224" s="4"/>
      <c r="CR2224" s="4"/>
      <c r="CS2224" s="4"/>
      <c r="CT2224" s="4"/>
      <c r="CU2224" s="4"/>
      <c r="CV2224" s="4"/>
      <c r="CW2224" s="4"/>
      <c r="CX2224" s="4"/>
      <c r="CY2224" s="4"/>
      <c r="CZ2224" s="4"/>
      <c r="DA2224" s="4"/>
      <c r="DB2224" s="4"/>
      <c r="DC2224" s="4"/>
      <c r="DD2224" s="4"/>
      <c r="DE2224" s="4"/>
      <c r="DF2224" s="4"/>
      <c r="DG2224" s="4"/>
      <c r="DH2224" s="4"/>
      <c r="DI2224" s="4"/>
      <c r="DJ2224" s="4"/>
      <c r="DK2224" s="4"/>
      <c r="DL2224" s="4"/>
      <c r="DM2224" s="4"/>
      <c r="DN2224" s="4"/>
      <c r="DO2224" s="4"/>
      <c r="DP2224" s="4"/>
      <c r="DQ2224" s="4"/>
      <c r="DR2224" s="4"/>
      <c r="DS2224" s="4"/>
    </row>
    <row r="2225">
      <c r="A2225" s="4"/>
      <c r="B2225" s="4"/>
      <c r="C2225" s="4"/>
      <c r="D2225" s="4"/>
      <c r="E2225" s="4"/>
      <c r="F2225" s="4" t="s">
        <v>17</v>
      </c>
      <c r="G2225" s="15"/>
      <c r="H2225" s="4"/>
      <c r="I2225" s="4"/>
      <c r="J2225" s="4"/>
      <c r="K2225" s="4"/>
      <c r="L2225" s="4"/>
      <c r="M2225" s="4"/>
      <c r="N2225" s="4"/>
      <c r="O2225" s="4"/>
      <c r="P2225" s="4"/>
      <c r="Q2225" s="4"/>
      <c r="R2225" s="4"/>
      <c r="S2225" s="4"/>
      <c r="T2225" s="4"/>
      <c r="U2225" s="4"/>
      <c r="V2225" s="4"/>
      <c r="W2225" s="4"/>
      <c r="X2225" s="4"/>
      <c r="Y2225" s="4"/>
      <c r="Z2225" s="4"/>
      <c r="AA2225" s="4"/>
      <c r="AB2225" s="4"/>
      <c r="AC2225" s="4"/>
      <c r="AD2225" s="4"/>
      <c r="AE2225" s="4"/>
      <c r="AF2225" s="4"/>
      <c r="AG2225" s="4"/>
      <c r="AH2225" s="4"/>
      <c r="AI2225" s="4"/>
      <c r="AJ2225" s="4"/>
      <c r="AK2225" s="4"/>
      <c r="AL2225" s="4"/>
      <c r="AM2225" s="4"/>
      <c r="AN2225" s="4"/>
      <c r="AO2225" s="4"/>
      <c r="AP2225" s="4"/>
      <c r="AQ2225" s="4"/>
      <c r="AR2225" s="4"/>
      <c r="AS2225" s="4"/>
      <c r="AT2225" s="4"/>
      <c r="AU2225" s="4"/>
      <c r="AV2225" s="4"/>
      <c r="AW2225" s="4"/>
      <c r="AX2225" s="4"/>
      <c r="AY2225" s="4"/>
      <c r="AZ2225" s="4"/>
      <c r="BA2225" s="4"/>
      <c r="BB2225" s="4"/>
      <c r="BC2225" s="4"/>
      <c r="BD2225" s="4"/>
      <c r="BE2225" s="4"/>
      <c r="BF2225" s="4"/>
      <c r="BG2225" s="4"/>
      <c r="BH2225" s="4"/>
      <c r="BI2225" s="4"/>
      <c r="BJ2225" s="4"/>
      <c r="BK2225" s="4"/>
      <c r="BL2225" s="4"/>
      <c r="BM2225" s="4"/>
      <c r="BN2225" s="4"/>
      <c r="BO2225" s="4"/>
      <c r="BP2225" s="4"/>
      <c r="BQ2225" s="4"/>
      <c r="BR2225" s="4"/>
      <c r="BS2225" s="4"/>
      <c r="BT2225" s="4"/>
      <c r="BU2225" s="4"/>
      <c r="BV2225" s="4"/>
      <c r="BW2225" s="4"/>
      <c r="BX2225" s="4"/>
      <c r="BY2225" s="4"/>
      <c r="BZ2225" s="4"/>
      <c r="CA2225" s="4"/>
      <c r="CB2225" s="4"/>
      <c r="CC2225" s="4"/>
      <c r="CD2225" s="4"/>
      <c r="CE2225" s="4"/>
      <c r="CF2225" s="4"/>
      <c r="CG2225" s="4"/>
      <c r="CH2225" s="4"/>
      <c r="CI2225" s="4"/>
      <c r="CJ2225" s="4"/>
      <c r="CK2225" s="4"/>
      <c r="CL2225" s="4"/>
      <c r="CM2225" s="4"/>
      <c r="CN2225" s="4"/>
      <c r="CO2225" s="4"/>
      <c r="CP2225" s="4"/>
      <c r="CQ2225" s="4"/>
      <c r="CR2225" s="4"/>
      <c r="CS2225" s="4"/>
      <c r="CT2225" s="4"/>
      <c r="CU2225" s="4"/>
      <c r="CV2225" s="4"/>
      <c r="CW2225" s="4"/>
      <c r="CX2225" s="4"/>
      <c r="CY2225" s="4"/>
      <c r="CZ2225" s="4"/>
      <c r="DA2225" s="4"/>
      <c r="DB2225" s="4"/>
      <c r="DC2225" s="4"/>
      <c r="DD2225" s="4"/>
      <c r="DE2225" s="4"/>
      <c r="DF2225" s="4"/>
      <c r="DG2225" s="4"/>
      <c r="DH2225" s="4"/>
      <c r="DI2225" s="4"/>
      <c r="DJ2225" s="4"/>
      <c r="DK2225" s="4"/>
      <c r="DL2225" s="4"/>
      <c r="DM2225" s="4"/>
      <c r="DN2225" s="4"/>
      <c r="DO2225" s="4"/>
      <c r="DP2225" s="4"/>
      <c r="DQ2225" s="4"/>
      <c r="DR2225" s="4"/>
      <c r="DS2225" s="4"/>
    </row>
    <row r="2226">
      <c r="A2226" s="4"/>
      <c r="B2226" s="4"/>
      <c r="C2226" s="4"/>
      <c r="D2226" s="4"/>
      <c r="E2226" s="4"/>
      <c r="F2226" s="4" t="s">
        <v>17</v>
      </c>
      <c r="G2226" s="15"/>
      <c r="H2226" s="4"/>
      <c r="I2226" s="4"/>
      <c r="J2226" s="4"/>
      <c r="K2226" s="4"/>
      <c r="L2226" s="4"/>
      <c r="M2226" s="4"/>
      <c r="N2226" s="4"/>
      <c r="O2226" s="4"/>
      <c r="P2226" s="4"/>
      <c r="Q2226" s="4"/>
      <c r="R2226" s="4"/>
      <c r="S2226" s="4"/>
      <c r="T2226" s="4"/>
      <c r="U2226" s="4"/>
      <c r="V2226" s="4"/>
      <c r="W2226" s="4"/>
      <c r="X2226" s="4"/>
      <c r="Y2226" s="4"/>
      <c r="Z2226" s="4"/>
      <c r="AA2226" s="4"/>
      <c r="AB2226" s="4"/>
      <c r="AC2226" s="4"/>
      <c r="AD2226" s="4"/>
      <c r="AE2226" s="4"/>
      <c r="AF2226" s="4"/>
      <c r="AG2226" s="4"/>
      <c r="AH2226" s="4"/>
      <c r="AI2226" s="4"/>
      <c r="AJ2226" s="4"/>
      <c r="AK2226" s="4"/>
      <c r="AL2226" s="4"/>
      <c r="AM2226" s="4"/>
      <c r="AN2226" s="4"/>
      <c r="AO2226" s="4"/>
      <c r="AP2226" s="4"/>
      <c r="AQ2226" s="4"/>
      <c r="AR2226" s="4"/>
      <c r="AS2226" s="4"/>
      <c r="AT2226" s="4"/>
      <c r="AU2226" s="4"/>
      <c r="AV2226" s="4"/>
      <c r="AW2226" s="4"/>
      <c r="AX2226" s="4"/>
      <c r="AY2226" s="4"/>
      <c r="AZ2226" s="4"/>
      <c r="BA2226" s="4"/>
      <c r="BB2226" s="4"/>
      <c r="BC2226" s="4"/>
      <c r="BD2226" s="4"/>
      <c r="BE2226" s="4"/>
      <c r="BF2226" s="4"/>
      <c r="BG2226" s="4"/>
      <c r="BH2226" s="4"/>
      <c r="BI2226" s="4"/>
      <c r="BJ2226" s="4"/>
      <c r="BK2226" s="4"/>
      <c r="BL2226" s="4"/>
      <c r="BM2226" s="4"/>
      <c r="BN2226" s="4"/>
      <c r="BO2226" s="4"/>
      <c r="BP2226" s="4"/>
      <c r="BQ2226" s="4"/>
      <c r="BR2226" s="4"/>
      <c r="BS2226" s="4"/>
      <c r="BT2226" s="4"/>
      <c r="BU2226" s="4"/>
      <c r="BV2226" s="4"/>
      <c r="BW2226" s="4"/>
      <c r="BX2226" s="4"/>
      <c r="BY2226" s="4"/>
      <c r="BZ2226" s="4"/>
      <c r="CA2226" s="4"/>
      <c r="CB2226" s="4"/>
      <c r="CC2226" s="4"/>
      <c r="CD2226" s="4"/>
      <c r="CE2226" s="4"/>
      <c r="CF2226" s="4"/>
      <c r="CG2226" s="4"/>
      <c r="CH2226" s="4"/>
      <c r="CI2226" s="4"/>
      <c r="CJ2226" s="4"/>
      <c r="CK2226" s="4"/>
      <c r="CL2226" s="4"/>
      <c r="CM2226" s="4"/>
      <c r="CN2226" s="4"/>
      <c r="CO2226" s="4"/>
      <c r="CP2226" s="4"/>
      <c r="CQ2226" s="4"/>
      <c r="CR2226" s="4"/>
      <c r="CS2226" s="4"/>
      <c r="CT2226" s="4"/>
      <c r="CU2226" s="4"/>
      <c r="CV2226" s="4"/>
      <c r="CW2226" s="4"/>
      <c r="CX2226" s="4"/>
      <c r="CY2226" s="4"/>
      <c r="CZ2226" s="4"/>
      <c r="DA2226" s="4"/>
      <c r="DB2226" s="4"/>
      <c r="DC2226" s="4"/>
      <c r="DD2226" s="4"/>
      <c r="DE2226" s="4"/>
      <c r="DF2226" s="4"/>
      <c r="DG2226" s="4"/>
      <c r="DH2226" s="4"/>
      <c r="DI2226" s="4"/>
      <c r="DJ2226" s="4"/>
      <c r="DK2226" s="4"/>
      <c r="DL2226" s="4"/>
      <c r="DM2226" s="4"/>
      <c r="DN2226" s="4"/>
      <c r="DO2226" s="4"/>
      <c r="DP2226" s="4"/>
      <c r="DQ2226" s="4"/>
      <c r="DR2226" s="4"/>
      <c r="DS2226" s="4"/>
    </row>
    <row r="2227">
      <c r="A2227" s="4"/>
      <c r="B2227" s="4"/>
      <c r="C2227" s="4"/>
      <c r="D2227" s="4"/>
      <c r="E2227" s="4"/>
      <c r="F2227" s="4" t="s">
        <v>17</v>
      </c>
      <c r="G2227" s="15"/>
      <c r="H2227" s="4"/>
      <c r="I2227" s="4"/>
      <c r="J2227" s="4"/>
      <c r="K2227" s="4"/>
      <c r="L2227" s="4"/>
      <c r="M2227" s="4"/>
      <c r="N2227" s="4"/>
      <c r="O2227" s="4"/>
      <c r="P2227" s="4"/>
      <c r="Q2227" s="4"/>
      <c r="R2227" s="4"/>
      <c r="S2227" s="4"/>
      <c r="T2227" s="4"/>
      <c r="U2227" s="4"/>
      <c r="V2227" s="4"/>
      <c r="W2227" s="4"/>
      <c r="X2227" s="4"/>
      <c r="Y2227" s="4"/>
      <c r="Z2227" s="4"/>
      <c r="AA2227" s="4"/>
      <c r="AB2227" s="4"/>
      <c r="AC2227" s="4"/>
      <c r="AD2227" s="4"/>
      <c r="AE2227" s="4"/>
      <c r="AF2227" s="4"/>
      <c r="AG2227" s="4"/>
      <c r="AH2227" s="4"/>
      <c r="AI2227" s="4"/>
      <c r="AJ2227" s="4"/>
      <c r="AK2227" s="4"/>
      <c r="AL2227" s="4"/>
      <c r="AM2227" s="4"/>
      <c r="AN2227" s="4"/>
      <c r="AO2227" s="4"/>
      <c r="AP2227" s="4"/>
      <c r="AQ2227" s="4"/>
      <c r="AR2227" s="4"/>
      <c r="AS2227" s="4"/>
      <c r="AT2227" s="4"/>
      <c r="AU2227" s="4"/>
      <c r="AV2227" s="4"/>
      <c r="AW2227" s="4"/>
      <c r="AX2227" s="4"/>
      <c r="AY2227" s="4"/>
      <c r="AZ2227" s="4"/>
      <c r="BA2227" s="4"/>
      <c r="BB2227" s="4"/>
      <c r="BC2227" s="4"/>
      <c r="BD2227" s="4"/>
      <c r="BE2227" s="4"/>
      <c r="BF2227" s="4"/>
      <c r="BG2227" s="4"/>
      <c r="BH2227" s="4"/>
      <c r="BI2227" s="4"/>
      <c r="BJ2227" s="4"/>
      <c r="BK2227" s="4"/>
      <c r="BL2227" s="4"/>
      <c r="BM2227" s="4"/>
      <c r="BN2227" s="4"/>
      <c r="BO2227" s="4"/>
      <c r="BP2227" s="4"/>
      <c r="BQ2227" s="4"/>
      <c r="BR2227" s="4"/>
      <c r="BS2227" s="4"/>
      <c r="BT2227" s="4"/>
      <c r="BU2227" s="4"/>
      <c r="BV2227" s="4"/>
      <c r="BW2227" s="4"/>
      <c r="BX2227" s="4"/>
      <c r="BY2227" s="4"/>
      <c r="BZ2227" s="4"/>
      <c r="CA2227" s="4"/>
      <c r="CB2227" s="4"/>
      <c r="CC2227" s="4"/>
      <c r="CD2227" s="4"/>
      <c r="CE2227" s="4"/>
      <c r="CF2227" s="4"/>
      <c r="CG2227" s="4"/>
      <c r="CH2227" s="4"/>
      <c r="CI2227" s="4"/>
      <c r="CJ2227" s="4"/>
      <c r="CK2227" s="4"/>
      <c r="CL2227" s="4"/>
      <c r="CM2227" s="4"/>
      <c r="CN2227" s="4"/>
      <c r="CO2227" s="4"/>
      <c r="CP2227" s="4"/>
      <c r="CQ2227" s="4"/>
      <c r="CR2227" s="4"/>
      <c r="CS2227" s="4"/>
      <c r="CT2227" s="4"/>
      <c r="CU2227" s="4"/>
      <c r="CV2227" s="4"/>
      <c r="CW2227" s="4"/>
      <c r="CX2227" s="4"/>
      <c r="CY2227" s="4"/>
      <c r="CZ2227" s="4"/>
      <c r="DA2227" s="4"/>
      <c r="DB2227" s="4"/>
      <c r="DC2227" s="4"/>
      <c r="DD2227" s="4"/>
      <c r="DE2227" s="4"/>
      <c r="DF2227" s="4"/>
      <c r="DG2227" s="4"/>
      <c r="DH2227" s="4"/>
      <c r="DI2227" s="4"/>
      <c r="DJ2227" s="4"/>
      <c r="DK2227" s="4"/>
      <c r="DL2227" s="4"/>
      <c r="DM2227" s="4"/>
      <c r="DN2227" s="4"/>
      <c r="DO2227" s="4"/>
      <c r="DP2227" s="4"/>
      <c r="DQ2227" s="4"/>
      <c r="DR2227" s="4"/>
      <c r="DS2227" s="4"/>
    </row>
    <row r="2228">
      <c r="A2228" s="4"/>
      <c r="B2228" s="4"/>
      <c r="C2228" s="4"/>
      <c r="D2228" s="4"/>
      <c r="E2228" s="4"/>
      <c r="F2228" s="4" t="s">
        <v>17</v>
      </c>
      <c r="G2228" s="15"/>
      <c r="H2228" s="4"/>
      <c r="I2228" s="4"/>
      <c r="J2228" s="4"/>
      <c r="K2228" s="4"/>
      <c r="L2228" s="4"/>
      <c r="M2228" s="4"/>
      <c r="N2228" s="4"/>
      <c r="O2228" s="4"/>
      <c r="P2228" s="4"/>
      <c r="Q2228" s="4"/>
      <c r="R2228" s="4"/>
      <c r="S2228" s="4"/>
      <c r="T2228" s="4"/>
      <c r="U2228" s="4"/>
      <c r="V2228" s="4"/>
      <c r="W2228" s="4"/>
      <c r="X2228" s="4"/>
      <c r="Y2228" s="4"/>
      <c r="Z2228" s="4"/>
      <c r="AA2228" s="4"/>
      <c r="AB2228" s="4"/>
      <c r="AC2228" s="4"/>
      <c r="AD2228" s="4"/>
      <c r="AE2228" s="4"/>
      <c r="AF2228" s="4"/>
      <c r="AG2228" s="4"/>
      <c r="AH2228" s="4"/>
      <c r="AI2228" s="4"/>
      <c r="AJ2228" s="4"/>
      <c r="AK2228" s="4"/>
      <c r="AL2228" s="4"/>
      <c r="AM2228" s="4"/>
      <c r="AN2228" s="4"/>
      <c r="AO2228" s="4"/>
      <c r="AP2228" s="4"/>
      <c r="AQ2228" s="4"/>
      <c r="AR2228" s="4"/>
      <c r="AS2228" s="4"/>
      <c r="AT2228" s="4"/>
      <c r="AU2228" s="4"/>
      <c r="AV2228" s="4"/>
      <c r="AW2228" s="4"/>
      <c r="AX2228" s="4"/>
      <c r="AY2228" s="4"/>
      <c r="AZ2228" s="4"/>
      <c r="BA2228" s="4"/>
      <c r="BB2228" s="4"/>
      <c r="BC2228" s="4"/>
      <c r="BD2228" s="4"/>
      <c r="BE2228" s="4"/>
      <c r="BF2228" s="4"/>
      <c r="BG2228" s="4"/>
      <c r="BH2228" s="4"/>
      <c r="BI2228" s="4"/>
      <c r="BJ2228" s="4"/>
      <c r="BK2228" s="4"/>
      <c r="BL2228" s="4"/>
      <c r="BM2228" s="4"/>
      <c r="BN2228" s="4"/>
      <c r="BO2228" s="4"/>
      <c r="BP2228" s="4"/>
      <c r="BQ2228" s="4"/>
      <c r="BR2228" s="4"/>
      <c r="BS2228" s="4"/>
      <c r="BT2228" s="4"/>
      <c r="BU2228" s="4"/>
      <c r="BV2228" s="4"/>
      <c r="BW2228" s="4"/>
      <c r="BX2228" s="4"/>
      <c r="BY2228" s="4"/>
      <c r="BZ2228" s="4"/>
      <c r="CA2228" s="4"/>
      <c r="CB2228" s="4"/>
      <c r="CC2228" s="4"/>
      <c r="CD2228" s="4"/>
      <c r="CE2228" s="4"/>
      <c r="CF2228" s="4"/>
      <c r="CG2228" s="4"/>
      <c r="CH2228" s="4"/>
      <c r="CI2228" s="4"/>
      <c r="CJ2228" s="4"/>
      <c r="CK2228" s="4"/>
      <c r="CL2228" s="4"/>
      <c r="CM2228" s="4"/>
      <c r="CN2228" s="4"/>
      <c r="CO2228" s="4"/>
      <c r="CP2228" s="4"/>
      <c r="CQ2228" s="4"/>
      <c r="CR2228" s="4"/>
      <c r="CS2228" s="4"/>
      <c r="CT2228" s="4"/>
      <c r="CU2228" s="4"/>
      <c r="CV2228" s="4"/>
      <c r="CW2228" s="4"/>
      <c r="CX2228" s="4"/>
      <c r="CY2228" s="4"/>
      <c r="CZ2228" s="4"/>
      <c r="DA2228" s="4"/>
      <c r="DB2228" s="4"/>
      <c r="DC2228" s="4"/>
      <c r="DD2228" s="4"/>
      <c r="DE2228" s="4"/>
      <c r="DF2228" s="4"/>
      <c r="DG2228" s="4"/>
      <c r="DH2228" s="4"/>
      <c r="DI2228" s="4"/>
      <c r="DJ2228" s="4"/>
      <c r="DK2228" s="4"/>
      <c r="DL2228" s="4"/>
      <c r="DM2228" s="4"/>
      <c r="DN2228" s="4"/>
      <c r="DO2228" s="4"/>
      <c r="DP2228" s="4"/>
      <c r="DQ2228" s="4"/>
      <c r="DR2228" s="4"/>
      <c r="DS2228" s="4"/>
    </row>
    <row r="2229">
      <c r="A2229" s="4"/>
      <c r="B2229" s="4"/>
      <c r="C2229" s="4"/>
      <c r="D2229" s="4"/>
      <c r="E2229" s="4"/>
      <c r="F2229" s="4" t="s">
        <v>17</v>
      </c>
      <c r="G2229" s="15"/>
      <c r="H2229" s="4"/>
      <c r="I2229" s="4"/>
      <c r="J2229" s="4"/>
      <c r="K2229" s="4"/>
      <c r="L2229" s="4"/>
      <c r="M2229" s="4"/>
      <c r="N2229" s="4"/>
      <c r="O2229" s="4"/>
      <c r="P2229" s="4"/>
      <c r="Q2229" s="4"/>
      <c r="R2229" s="4"/>
      <c r="S2229" s="4"/>
      <c r="T2229" s="4"/>
      <c r="U2229" s="4"/>
      <c r="V2229" s="4"/>
      <c r="W2229" s="4"/>
      <c r="X2229" s="4"/>
      <c r="Y2229" s="4"/>
      <c r="Z2229" s="4"/>
      <c r="AA2229" s="4"/>
      <c r="AB2229" s="4"/>
      <c r="AC2229" s="4"/>
      <c r="AD2229" s="4"/>
      <c r="AE2229" s="4"/>
      <c r="AF2229" s="4"/>
      <c r="AG2229" s="4"/>
      <c r="AH2229" s="4"/>
      <c r="AI2229" s="4"/>
      <c r="AJ2229" s="4"/>
      <c r="AK2229" s="4"/>
      <c r="AL2229" s="4"/>
      <c r="AM2229" s="4"/>
      <c r="AN2229" s="4"/>
      <c r="AO2229" s="4"/>
      <c r="AP2229" s="4"/>
      <c r="AQ2229" s="4"/>
      <c r="AR2229" s="4"/>
      <c r="AS2229" s="4"/>
      <c r="AT2229" s="4"/>
      <c r="AU2229" s="4"/>
      <c r="AV2229" s="4"/>
      <c r="AW2229" s="4"/>
      <c r="AX2229" s="4"/>
      <c r="AY2229" s="4"/>
      <c r="AZ2229" s="4"/>
      <c r="BA2229" s="4"/>
      <c r="BB2229" s="4"/>
      <c r="BC2229" s="4"/>
      <c r="BD2229" s="4"/>
      <c r="BE2229" s="4"/>
      <c r="BF2229" s="4"/>
      <c r="BG2229" s="4"/>
      <c r="BH2229" s="4"/>
      <c r="BI2229" s="4"/>
      <c r="BJ2229" s="4"/>
      <c r="BK2229" s="4"/>
      <c r="BL2229" s="4"/>
      <c r="BM2229" s="4"/>
      <c r="BN2229" s="4"/>
      <c r="BO2229" s="4"/>
      <c r="BP2229" s="4"/>
      <c r="BQ2229" s="4"/>
      <c r="BR2229" s="4"/>
      <c r="BS2229" s="4"/>
      <c r="BT2229" s="4"/>
      <c r="BU2229" s="4"/>
      <c r="BV2229" s="4"/>
      <c r="BW2229" s="4"/>
      <c r="BX2229" s="4"/>
      <c r="BY2229" s="4"/>
      <c r="BZ2229" s="4"/>
      <c r="CA2229" s="4"/>
      <c r="CB2229" s="4"/>
      <c r="CC2229" s="4"/>
      <c r="CD2229" s="4"/>
      <c r="CE2229" s="4"/>
      <c r="CF2229" s="4"/>
      <c r="CG2229" s="4"/>
      <c r="CH2229" s="4"/>
      <c r="CI2229" s="4"/>
      <c r="CJ2229" s="4"/>
      <c r="CK2229" s="4"/>
      <c r="CL2229" s="4"/>
      <c r="CM2229" s="4"/>
      <c r="CN2229" s="4"/>
      <c r="CO2229" s="4"/>
      <c r="CP2229" s="4"/>
      <c r="CQ2229" s="4"/>
      <c r="CR2229" s="4"/>
      <c r="CS2229" s="4"/>
      <c r="CT2229" s="4"/>
      <c r="CU2229" s="4"/>
      <c r="CV2229" s="4"/>
      <c r="CW2229" s="4"/>
      <c r="CX2229" s="4"/>
      <c r="CY2229" s="4"/>
      <c r="CZ2229" s="4"/>
      <c r="DA2229" s="4"/>
      <c r="DB2229" s="4"/>
      <c r="DC2229" s="4"/>
      <c r="DD2229" s="4"/>
      <c r="DE2229" s="4"/>
      <c r="DF2229" s="4"/>
      <c r="DG2229" s="4"/>
      <c r="DH2229" s="4"/>
      <c r="DI2229" s="4"/>
      <c r="DJ2229" s="4"/>
      <c r="DK2229" s="4"/>
      <c r="DL2229" s="4"/>
      <c r="DM2229" s="4"/>
      <c r="DN2229" s="4"/>
      <c r="DO2229" s="4"/>
      <c r="DP2229" s="4"/>
      <c r="DQ2229" s="4"/>
      <c r="DR2229" s="4"/>
      <c r="DS2229" s="4"/>
    </row>
    <row r="2230">
      <c r="A2230" s="4"/>
      <c r="B2230" s="4"/>
      <c r="C2230" s="4"/>
      <c r="D2230" s="4"/>
      <c r="E2230" s="4"/>
      <c r="F2230" s="4" t="s">
        <v>17</v>
      </c>
      <c r="G2230" s="15"/>
      <c r="H2230" s="4"/>
      <c r="I2230" s="4"/>
      <c r="J2230" s="4"/>
      <c r="K2230" s="4"/>
      <c r="L2230" s="4"/>
      <c r="M2230" s="4"/>
      <c r="N2230" s="4"/>
      <c r="O2230" s="4"/>
      <c r="P2230" s="4"/>
      <c r="Q2230" s="4"/>
      <c r="R2230" s="4"/>
      <c r="S2230" s="4"/>
      <c r="T2230" s="4"/>
      <c r="U2230" s="4"/>
      <c r="V2230" s="4"/>
      <c r="W2230" s="4"/>
      <c r="X2230" s="4"/>
      <c r="Y2230" s="4"/>
      <c r="Z2230" s="4"/>
      <c r="AA2230" s="4"/>
      <c r="AB2230" s="4"/>
      <c r="AC2230" s="4"/>
      <c r="AD2230" s="4"/>
      <c r="AE2230" s="4"/>
      <c r="AF2230" s="4"/>
      <c r="AG2230" s="4"/>
      <c r="AH2230" s="4"/>
      <c r="AI2230" s="4"/>
      <c r="AJ2230" s="4"/>
      <c r="AK2230" s="4"/>
      <c r="AL2230" s="4"/>
      <c r="AM2230" s="4"/>
      <c r="AN2230" s="4"/>
      <c r="AO2230" s="4"/>
      <c r="AP2230" s="4"/>
      <c r="AQ2230" s="4"/>
      <c r="AR2230" s="4"/>
      <c r="AS2230" s="4"/>
      <c r="AT2230" s="4"/>
      <c r="AU2230" s="4"/>
      <c r="AV2230" s="4"/>
      <c r="AW2230" s="4"/>
      <c r="AX2230" s="4"/>
      <c r="AY2230" s="4"/>
      <c r="AZ2230" s="4"/>
      <c r="BA2230" s="4"/>
      <c r="BB2230" s="4"/>
      <c r="BC2230" s="4"/>
      <c r="BD2230" s="4"/>
      <c r="BE2230" s="4"/>
      <c r="BF2230" s="4"/>
      <c r="BG2230" s="4"/>
      <c r="BH2230" s="4"/>
      <c r="BI2230" s="4"/>
      <c r="BJ2230" s="4"/>
      <c r="BK2230" s="4"/>
      <c r="BL2230" s="4"/>
      <c r="BM2230" s="4"/>
      <c r="BN2230" s="4"/>
      <c r="BO2230" s="4"/>
      <c r="BP2230" s="4"/>
      <c r="BQ2230" s="4"/>
      <c r="BR2230" s="4"/>
      <c r="BS2230" s="4"/>
      <c r="BT2230" s="4"/>
      <c r="BU2230" s="4"/>
      <c r="BV2230" s="4"/>
      <c r="BW2230" s="4"/>
      <c r="BX2230" s="4"/>
      <c r="BY2230" s="4"/>
      <c r="BZ2230" s="4"/>
      <c r="CA2230" s="4"/>
      <c r="CB2230" s="4"/>
      <c r="CC2230" s="4"/>
      <c r="CD2230" s="4"/>
      <c r="CE2230" s="4"/>
      <c r="CF2230" s="4"/>
      <c r="CG2230" s="4"/>
      <c r="CH2230" s="4"/>
      <c r="CI2230" s="4"/>
      <c r="CJ2230" s="4"/>
      <c r="CK2230" s="4"/>
      <c r="CL2230" s="4"/>
      <c r="CM2230" s="4"/>
      <c r="CN2230" s="4"/>
      <c r="CO2230" s="4"/>
      <c r="CP2230" s="4"/>
      <c r="CQ2230" s="4"/>
      <c r="CR2230" s="4"/>
      <c r="CS2230" s="4"/>
      <c r="CT2230" s="4"/>
      <c r="CU2230" s="4"/>
      <c r="CV2230" s="4"/>
      <c r="CW2230" s="4"/>
      <c r="CX2230" s="4"/>
      <c r="CY2230" s="4"/>
      <c r="CZ2230" s="4"/>
      <c r="DA2230" s="4"/>
      <c r="DB2230" s="4"/>
      <c r="DC2230" s="4"/>
      <c r="DD2230" s="4"/>
      <c r="DE2230" s="4"/>
      <c r="DF2230" s="4"/>
      <c r="DG2230" s="4"/>
      <c r="DH2230" s="4"/>
      <c r="DI2230" s="4"/>
      <c r="DJ2230" s="4"/>
      <c r="DK2230" s="4"/>
      <c r="DL2230" s="4"/>
      <c r="DM2230" s="4"/>
      <c r="DN2230" s="4"/>
      <c r="DO2230" s="4"/>
      <c r="DP2230" s="4"/>
      <c r="DQ2230" s="4"/>
      <c r="DR2230" s="4"/>
      <c r="DS2230" s="4"/>
    </row>
    <row r="2231">
      <c r="A2231" s="4"/>
      <c r="B2231" s="4"/>
      <c r="C2231" s="4"/>
      <c r="D2231" s="4"/>
      <c r="E2231" s="4"/>
      <c r="F2231" s="4" t="s">
        <v>17</v>
      </c>
      <c r="G2231" s="15"/>
      <c r="H2231" s="4"/>
      <c r="I2231" s="4"/>
      <c r="J2231" s="4"/>
      <c r="K2231" s="4"/>
      <c r="L2231" s="4"/>
      <c r="M2231" s="4"/>
      <c r="N2231" s="4"/>
      <c r="O2231" s="4"/>
      <c r="P2231" s="4"/>
      <c r="Q2231" s="4"/>
      <c r="R2231" s="4"/>
      <c r="S2231" s="4"/>
      <c r="T2231" s="4"/>
      <c r="U2231" s="4"/>
      <c r="V2231" s="4"/>
      <c r="W2231" s="4"/>
      <c r="X2231" s="4"/>
      <c r="Y2231" s="4"/>
      <c r="Z2231" s="4"/>
      <c r="AA2231" s="4"/>
      <c r="AB2231" s="4"/>
      <c r="AC2231" s="4"/>
      <c r="AD2231" s="4"/>
      <c r="AE2231" s="4"/>
      <c r="AF2231" s="4"/>
      <c r="AG2231" s="4"/>
      <c r="AH2231" s="4"/>
      <c r="AI2231" s="4"/>
      <c r="AJ2231" s="4"/>
      <c r="AK2231" s="4"/>
      <c r="AL2231" s="4"/>
      <c r="AM2231" s="4"/>
      <c r="AN2231" s="4"/>
      <c r="AO2231" s="4"/>
      <c r="AP2231" s="4"/>
      <c r="AQ2231" s="4"/>
      <c r="AR2231" s="4"/>
      <c r="AS2231" s="4"/>
      <c r="AT2231" s="4"/>
      <c r="AU2231" s="4"/>
      <c r="AV2231" s="4"/>
      <c r="AW2231" s="4"/>
      <c r="AX2231" s="4"/>
      <c r="AY2231" s="4"/>
      <c r="AZ2231" s="4"/>
      <c r="BA2231" s="4"/>
      <c r="BB2231" s="4"/>
      <c r="BC2231" s="4"/>
      <c r="BD2231" s="4"/>
      <c r="BE2231" s="4"/>
      <c r="BF2231" s="4"/>
      <c r="BG2231" s="4"/>
      <c r="BH2231" s="4"/>
      <c r="BI2231" s="4"/>
      <c r="BJ2231" s="4"/>
      <c r="BK2231" s="4"/>
      <c r="BL2231" s="4"/>
      <c r="BM2231" s="4"/>
      <c r="BN2231" s="4"/>
      <c r="BO2231" s="4"/>
      <c r="BP2231" s="4"/>
      <c r="BQ2231" s="4"/>
      <c r="BR2231" s="4"/>
      <c r="BS2231" s="4"/>
      <c r="BT2231" s="4"/>
      <c r="BU2231" s="4"/>
      <c r="BV2231" s="4"/>
      <c r="BW2231" s="4"/>
      <c r="BX2231" s="4"/>
      <c r="BY2231" s="4"/>
      <c r="BZ2231" s="4"/>
      <c r="CA2231" s="4"/>
      <c r="CB2231" s="4"/>
      <c r="CC2231" s="4"/>
      <c r="CD2231" s="4"/>
      <c r="CE2231" s="4"/>
      <c r="CF2231" s="4"/>
      <c r="CG2231" s="4"/>
      <c r="CH2231" s="4"/>
      <c r="CI2231" s="4"/>
      <c r="CJ2231" s="4"/>
      <c r="CK2231" s="4"/>
      <c r="CL2231" s="4"/>
      <c r="CM2231" s="4"/>
      <c r="CN2231" s="4"/>
      <c r="CO2231" s="4"/>
      <c r="CP2231" s="4"/>
      <c r="CQ2231" s="4"/>
      <c r="CR2231" s="4"/>
      <c r="CS2231" s="4"/>
      <c r="CT2231" s="4"/>
      <c r="CU2231" s="4"/>
      <c r="CV2231" s="4"/>
      <c r="CW2231" s="4"/>
      <c r="CX2231" s="4"/>
      <c r="CY2231" s="4"/>
      <c r="CZ2231" s="4"/>
      <c r="DA2231" s="4"/>
      <c r="DB2231" s="4"/>
      <c r="DC2231" s="4"/>
      <c r="DD2231" s="4"/>
      <c r="DE2231" s="4"/>
      <c r="DF2231" s="4"/>
      <c r="DG2231" s="4"/>
      <c r="DH2231" s="4"/>
      <c r="DI2231" s="4"/>
      <c r="DJ2231" s="4"/>
      <c r="DK2231" s="4"/>
      <c r="DL2231" s="4"/>
      <c r="DM2231" s="4"/>
      <c r="DN2231" s="4"/>
      <c r="DO2231" s="4"/>
      <c r="DP2231" s="4"/>
      <c r="DQ2231" s="4"/>
      <c r="DR2231" s="4"/>
      <c r="DS2231" s="4"/>
    </row>
    <row r="2232">
      <c r="A2232" s="4"/>
      <c r="B2232" s="4"/>
      <c r="C2232" s="4"/>
      <c r="D2232" s="4"/>
      <c r="E2232" s="4"/>
      <c r="F2232" s="4" t="s">
        <v>17</v>
      </c>
      <c r="G2232" s="15"/>
      <c r="H2232" s="4"/>
      <c r="I2232" s="4"/>
      <c r="J2232" s="4"/>
      <c r="K2232" s="4"/>
      <c r="L2232" s="4"/>
      <c r="M2232" s="4"/>
      <c r="N2232" s="4"/>
      <c r="O2232" s="4"/>
      <c r="P2232" s="4"/>
      <c r="Q2232" s="4"/>
      <c r="R2232" s="4"/>
      <c r="S2232" s="4"/>
      <c r="T2232" s="4"/>
      <c r="U2232" s="4"/>
      <c r="V2232" s="4"/>
      <c r="W2232" s="4"/>
      <c r="X2232" s="4"/>
      <c r="Y2232" s="4"/>
      <c r="Z2232" s="4"/>
      <c r="AA2232" s="4"/>
      <c r="AB2232" s="4"/>
      <c r="AC2232" s="4"/>
      <c r="AD2232" s="4"/>
      <c r="AE2232" s="4"/>
      <c r="AF2232" s="4"/>
      <c r="AG2232" s="4"/>
      <c r="AH2232" s="4"/>
      <c r="AI2232" s="4"/>
      <c r="AJ2232" s="4"/>
      <c r="AK2232" s="4"/>
      <c r="AL2232" s="4"/>
      <c r="AM2232" s="4"/>
      <c r="AN2232" s="4"/>
      <c r="AO2232" s="4"/>
      <c r="AP2232" s="4"/>
      <c r="AQ2232" s="4"/>
      <c r="AR2232" s="4"/>
      <c r="AS2232" s="4"/>
      <c r="AT2232" s="4"/>
      <c r="AU2232" s="4"/>
      <c r="AV2232" s="4"/>
      <c r="AW2232" s="4"/>
      <c r="AX2232" s="4"/>
      <c r="AY2232" s="4"/>
      <c r="AZ2232" s="4"/>
      <c r="BA2232" s="4"/>
      <c r="BB2232" s="4"/>
      <c r="BC2232" s="4"/>
      <c r="BD2232" s="4"/>
      <c r="BE2232" s="4"/>
      <c r="BF2232" s="4"/>
      <c r="BG2232" s="4"/>
      <c r="BH2232" s="4"/>
      <c r="BI2232" s="4"/>
      <c r="BJ2232" s="4"/>
      <c r="BK2232" s="4"/>
      <c r="BL2232" s="4"/>
      <c r="BM2232" s="4"/>
      <c r="BN2232" s="4"/>
      <c r="BO2232" s="4"/>
      <c r="BP2232" s="4"/>
      <c r="BQ2232" s="4"/>
      <c r="BR2232" s="4"/>
      <c r="BS2232" s="4"/>
      <c r="BT2232" s="4"/>
      <c r="BU2232" s="4"/>
      <c r="BV2232" s="4"/>
      <c r="BW2232" s="4"/>
      <c r="BX2232" s="4"/>
      <c r="BY2232" s="4"/>
      <c r="BZ2232" s="4"/>
      <c r="CA2232" s="4"/>
      <c r="CB2232" s="4"/>
      <c r="CC2232" s="4"/>
      <c r="CD2232" s="4"/>
      <c r="CE2232" s="4"/>
      <c r="CF2232" s="4"/>
      <c r="CG2232" s="4"/>
      <c r="CH2232" s="4"/>
      <c r="CI2232" s="4"/>
      <c r="CJ2232" s="4"/>
      <c r="CK2232" s="4"/>
      <c r="CL2232" s="4"/>
      <c r="CM2232" s="4"/>
      <c r="CN2232" s="4"/>
      <c r="CO2232" s="4"/>
      <c r="CP2232" s="4"/>
      <c r="CQ2232" s="4"/>
      <c r="CR2232" s="4"/>
      <c r="CS2232" s="4"/>
      <c r="CT2232" s="4"/>
      <c r="CU2232" s="4"/>
      <c r="CV2232" s="4"/>
      <c r="CW2232" s="4"/>
      <c r="CX2232" s="4"/>
      <c r="CY2232" s="4"/>
      <c r="CZ2232" s="4"/>
      <c r="DA2232" s="4"/>
      <c r="DB2232" s="4"/>
      <c r="DC2232" s="4"/>
      <c r="DD2232" s="4"/>
      <c r="DE2232" s="4"/>
      <c r="DF2232" s="4"/>
      <c r="DG2232" s="4"/>
      <c r="DH2232" s="4"/>
      <c r="DI2232" s="4"/>
      <c r="DJ2232" s="4"/>
      <c r="DK2232" s="4"/>
      <c r="DL2232" s="4"/>
      <c r="DM2232" s="4"/>
      <c r="DN2232" s="4"/>
      <c r="DO2232" s="4"/>
      <c r="DP2232" s="4"/>
      <c r="DQ2232" s="4"/>
      <c r="DR2232" s="4"/>
      <c r="DS2232" s="4"/>
    </row>
    <row r="2233">
      <c r="A2233" s="4"/>
      <c r="B2233" s="4"/>
      <c r="C2233" s="4"/>
      <c r="D2233" s="4"/>
      <c r="E2233" s="4"/>
      <c r="F2233" s="4" t="s">
        <v>17</v>
      </c>
      <c r="G2233" s="15"/>
      <c r="H2233" s="4"/>
      <c r="I2233" s="4"/>
      <c r="J2233" s="4"/>
      <c r="K2233" s="4"/>
      <c r="L2233" s="4"/>
      <c r="M2233" s="4"/>
      <c r="N2233" s="4"/>
      <c r="O2233" s="4"/>
      <c r="P2233" s="4"/>
      <c r="Q2233" s="4"/>
      <c r="R2233" s="4"/>
      <c r="S2233" s="4"/>
      <c r="T2233" s="4"/>
      <c r="U2233" s="4"/>
      <c r="V2233" s="4"/>
      <c r="W2233" s="4"/>
      <c r="X2233" s="4"/>
      <c r="Y2233" s="4"/>
      <c r="Z2233" s="4"/>
      <c r="AA2233" s="4"/>
      <c r="AB2233" s="4"/>
      <c r="AC2233" s="4"/>
      <c r="AD2233" s="4"/>
      <c r="AE2233" s="4"/>
      <c r="AF2233" s="4"/>
      <c r="AG2233" s="4"/>
      <c r="AH2233" s="4"/>
      <c r="AI2233" s="4"/>
      <c r="AJ2233" s="4"/>
      <c r="AK2233" s="4"/>
      <c r="AL2233" s="4"/>
      <c r="AM2233" s="4"/>
      <c r="AN2233" s="4"/>
      <c r="AO2233" s="4"/>
      <c r="AP2233" s="4"/>
      <c r="AQ2233" s="4"/>
      <c r="AR2233" s="4"/>
      <c r="AS2233" s="4"/>
      <c r="AT2233" s="4"/>
      <c r="AU2233" s="4"/>
      <c r="AV2233" s="4"/>
      <c r="AW2233" s="4"/>
      <c r="AX2233" s="4"/>
      <c r="AY2233" s="4"/>
      <c r="AZ2233" s="4"/>
      <c r="BA2233" s="4"/>
      <c r="BB2233" s="4"/>
      <c r="BC2233" s="4"/>
      <c r="BD2233" s="4"/>
      <c r="BE2233" s="4"/>
      <c r="BF2233" s="4"/>
      <c r="BG2233" s="4"/>
      <c r="BH2233" s="4"/>
      <c r="BI2233" s="4"/>
      <c r="BJ2233" s="4"/>
      <c r="BK2233" s="4"/>
      <c r="BL2233" s="4"/>
      <c r="BM2233" s="4"/>
      <c r="BN2233" s="4"/>
      <c r="BO2233" s="4"/>
      <c r="BP2233" s="4"/>
      <c r="BQ2233" s="4"/>
      <c r="BR2233" s="4"/>
      <c r="BS2233" s="4"/>
      <c r="BT2233" s="4"/>
      <c r="BU2233" s="4"/>
      <c r="BV2233" s="4"/>
      <c r="BW2233" s="4"/>
      <c r="BX2233" s="4"/>
      <c r="BY2233" s="4"/>
      <c r="BZ2233" s="4"/>
      <c r="CA2233" s="4"/>
      <c r="CB2233" s="4"/>
      <c r="CC2233" s="4"/>
      <c r="CD2233" s="4"/>
      <c r="CE2233" s="4"/>
      <c r="CF2233" s="4"/>
      <c r="CG2233" s="4"/>
      <c r="CH2233" s="4"/>
      <c r="CI2233" s="4"/>
      <c r="CJ2233" s="4"/>
      <c r="CK2233" s="4"/>
      <c r="CL2233" s="4"/>
      <c r="CM2233" s="4"/>
      <c r="CN2233" s="4"/>
      <c r="CO2233" s="4"/>
      <c r="CP2233" s="4"/>
      <c r="CQ2233" s="4"/>
      <c r="CR2233" s="4"/>
      <c r="CS2233" s="4"/>
      <c r="CT2233" s="4"/>
      <c r="CU2233" s="4"/>
      <c r="CV2233" s="4"/>
      <c r="CW2233" s="4"/>
      <c r="CX2233" s="4"/>
      <c r="CY2233" s="4"/>
      <c r="CZ2233" s="4"/>
      <c r="DA2233" s="4"/>
      <c r="DB2233" s="4"/>
      <c r="DC2233" s="4"/>
      <c r="DD2233" s="4"/>
      <c r="DE2233" s="4"/>
      <c r="DF2233" s="4"/>
      <c r="DG2233" s="4"/>
      <c r="DH2233" s="4"/>
      <c r="DI2233" s="4"/>
      <c r="DJ2233" s="4"/>
      <c r="DK2233" s="4"/>
      <c r="DL2233" s="4"/>
      <c r="DM2233" s="4"/>
      <c r="DN2233" s="4"/>
      <c r="DO2233" s="4"/>
      <c r="DP2233" s="4"/>
      <c r="DQ2233" s="4"/>
      <c r="DR2233" s="4"/>
      <c r="DS2233" s="4"/>
    </row>
    <row r="2234">
      <c r="A2234" s="4"/>
      <c r="B2234" s="4"/>
      <c r="C2234" s="4"/>
      <c r="D2234" s="4"/>
      <c r="E2234" s="4"/>
      <c r="F2234" s="4" t="s">
        <v>17</v>
      </c>
      <c r="G2234" s="15"/>
      <c r="H2234" s="4"/>
      <c r="I2234" s="4"/>
      <c r="J2234" s="4"/>
      <c r="K2234" s="4"/>
      <c r="L2234" s="4"/>
      <c r="M2234" s="4"/>
      <c r="N2234" s="4"/>
      <c r="O2234" s="4"/>
      <c r="P2234" s="4"/>
      <c r="Q2234" s="4"/>
      <c r="R2234" s="4"/>
      <c r="S2234" s="4"/>
      <c r="T2234" s="4"/>
      <c r="U2234" s="4"/>
      <c r="V2234" s="4"/>
      <c r="W2234" s="4"/>
      <c r="X2234" s="4"/>
      <c r="Y2234" s="4"/>
      <c r="Z2234" s="4"/>
      <c r="AA2234" s="4"/>
      <c r="AB2234" s="4"/>
      <c r="AC2234" s="4"/>
      <c r="AD2234" s="4"/>
      <c r="AE2234" s="4"/>
      <c r="AF2234" s="4"/>
      <c r="AG2234" s="4"/>
      <c r="AH2234" s="4"/>
      <c r="AI2234" s="4"/>
      <c r="AJ2234" s="4"/>
      <c r="AK2234" s="4"/>
      <c r="AL2234" s="4"/>
      <c r="AM2234" s="4"/>
      <c r="AN2234" s="4"/>
      <c r="AO2234" s="4"/>
      <c r="AP2234" s="4"/>
      <c r="AQ2234" s="4"/>
      <c r="AR2234" s="4"/>
      <c r="AS2234" s="4"/>
      <c r="AT2234" s="4"/>
      <c r="AU2234" s="4"/>
      <c r="AV2234" s="4"/>
      <c r="AW2234" s="4"/>
      <c r="AX2234" s="4"/>
      <c r="AY2234" s="4"/>
      <c r="AZ2234" s="4"/>
      <c r="BA2234" s="4"/>
      <c r="BB2234" s="4"/>
      <c r="BC2234" s="4"/>
      <c r="BD2234" s="4"/>
      <c r="BE2234" s="4"/>
      <c r="BF2234" s="4"/>
      <c r="BG2234" s="4"/>
      <c r="BH2234" s="4"/>
      <c r="BI2234" s="4"/>
      <c r="BJ2234" s="4"/>
      <c r="BK2234" s="4"/>
      <c r="BL2234" s="4"/>
      <c r="BM2234" s="4"/>
      <c r="BN2234" s="4"/>
      <c r="BO2234" s="4"/>
      <c r="BP2234" s="4"/>
      <c r="BQ2234" s="4"/>
      <c r="BR2234" s="4"/>
      <c r="BS2234" s="4"/>
      <c r="BT2234" s="4"/>
      <c r="BU2234" s="4"/>
      <c r="BV2234" s="4"/>
      <c r="BW2234" s="4"/>
      <c r="BX2234" s="4"/>
      <c r="BY2234" s="4"/>
      <c r="BZ2234" s="4"/>
      <c r="CA2234" s="4"/>
      <c r="CB2234" s="4"/>
      <c r="CC2234" s="4"/>
      <c r="CD2234" s="4"/>
      <c r="CE2234" s="4"/>
      <c r="CF2234" s="4"/>
      <c r="CG2234" s="4"/>
      <c r="CH2234" s="4"/>
      <c r="CI2234" s="4"/>
      <c r="CJ2234" s="4"/>
      <c r="CK2234" s="4"/>
      <c r="CL2234" s="4"/>
      <c r="CM2234" s="4"/>
      <c r="CN2234" s="4"/>
      <c r="CO2234" s="4"/>
      <c r="CP2234" s="4"/>
      <c r="CQ2234" s="4"/>
      <c r="CR2234" s="4"/>
      <c r="CS2234" s="4"/>
      <c r="CT2234" s="4"/>
      <c r="CU2234" s="4"/>
      <c r="CV2234" s="4"/>
      <c r="CW2234" s="4"/>
      <c r="CX2234" s="4"/>
      <c r="CY2234" s="4"/>
      <c r="CZ2234" s="4"/>
      <c r="DA2234" s="4"/>
      <c r="DB2234" s="4"/>
      <c r="DC2234" s="4"/>
      <c r="DD2234" s="4"/>
      <c r="DE2234" s="4"/>
      <c r="DF2234" s="4"/>
      <c r="DG2234" s="4"/>
      <c r="DH2234" s="4"/>
      <c r="DI2234" s="4"/>
      <c r="DJ2234" s="4"/>
      <c r="DK2234" s="4"/>
      <c r="DL2234" s="4"/>
      <c r="DM2234" s="4"/>
      <c r="DN2234" s="4"/>
      <c r="DO2234" s="4"/>
      <c r="DP2234" s="4"/>
      <c r="DQ2234" s="4"/>
      <c r="DR2234" s="4"/>
      <c r="DS2234" s="4"/>
    </row>
    <row r="2235">
      <c r="A2235" s="4"/>
      <c r="B2235" s="4"/>
      <c r="C2235" s="4"/>
      <c r="D2235" s="4"/>
      <c r="E2235" s="4"/>
      <c r="F2235" s="4" t="s">
        <v>17</v>
      </c>
      <c r="G2235" s="15"/>
      <c r="H2235" s="4"/>
      <c r="I2235" s="4"/>
      <c r="J2235" s="4"/>
      <c r="K2235" s="4"/>
      <c r="L2235" s="4"/>
      <c r="M2235" s="4"/>
      <c r="N2235" s="4"/>
      <c r="O2235" s="4"/>
      <c r="P2235" s="4"/>
      <c r="Q2235" s="4"/>
      <c r="R2235" s="4"/>
      <c r="S2235" s="4"/>
      <c r="T2235" s="4"/>
      <c r="U2235" s="4"/>
      <c r="V2235" s="4"/>
      <c r="W2235" s="4"/>
      <c r="X2235" s="4"/>
      <c r="Y2235" s="4"/>
      <c r="Z2235" s="4"/>
      <c r="AA2235" s="4"/>
      <c r="AB2235" s="4"/>
      <c r="AC2235" s="4"/>
      <c r="AD2235" s="4"/>
      <c r="AE2235" s="4"/>
      <c r="AF2235" s="4"/>
      <c r="AG2235" s="4"/>
      <c r="AH2235" s="4"/>
      <c r="AI2235" s="4"/>
      <c r="AJ2235" s="4"/>
      <c r="AK2235" s="4"/>
      <c r="AL2235" s="4"/>
      <c r="AM2235" s="4"/>
      <c r="AN2235" s="4"/>
      <c r="AO2235" s="4"/>
      <c r="AP2235" s="4"/>
      <c r="AQ2235" s="4"/>
      <c r="AR2235" s="4"/>
      <c r="AS2235" s="4"/>
      <c r="AT2235" s="4"/>
      <c r="AU2235" s="4"/>
      <c r="AV2235" s="4"/>
      <c r="AW2235" s="4"/>
      <c r="AX2235" s="4"/>
      <c r="AY2235" s="4"/>
      <c r="AZ2235" s="4"/>
      <c r="BA2235" s="4"/>
      <c r="BB2235" s="4"/>
      <c r="BC2235" s="4"/>
      <c r="BD2235" s="4"/>
      <c r="BE2235" s="4"/>
      <c r="BF2235" s="4"/>
      <c r="BG2235" s="4"/>
      <c r="BH2235" s="4"/>
      <c r="BI2235" s="4"/>
      <c r="BJ2235" s="4"/>
      <c r="BK2235" s="4"/>
      <c r="BL2235" s="4"/>
      <c r="BM2235" s="4"/>
      <c r="BN2235" s="4"/>
      <c r="BO2235" s="4"/>
      <c r="BP2235" s="4"/>
      <c r="BQ2235" s="4"/>
      <c r="BR2235" s="4"/>
      <c r="BS2235" s="4"/>
      <c r="BT2235" s="4"/>
      <c r="BU2235" s="4"/>
      <c r="BV2235" s="4"/>
      <c r="BW2235" s="4"/>
      <c r="BX2235" s="4"/>
      <c r="BY2235" s="4"/>
      <c r="BZ2235" s="4"/>
      <c r="CA2235" s="4"/>
      <c r="CB2235" s="4"/>
      <c r="CC2235" s="4"/>
      <c r="CD2235" s="4"/>
      <c r="CE2235" s="4"/>
      <c r="CF2235" s="4"/>
      <c r="CG2235" s="4"/>
      <c r="CH2235" s="4"/>
      <c r="CI2235" s="4"/>
      <c r="CJ2235" s="4"/>
      <c r="CK2235" s="4"/>
      <c r="CL2235" s="4"/>
      <c r="CM2235" s="4"/>
      <c r="CN2235" s="4"/>
      <c r="CO2235" s="4"/>
      <c r="CP2235" s="4"/>
      <c r="CQ2235" s="4"/>
      <c r="CR2235" s="4"/>
      <c r="CS2235" s="4"/>
      <c r="CT2235" s="4"/>
      <c r="CU2235" s="4"/>
      <c r="CV2235" s="4"/>
      <c r="CW2235" s="4"/>
      <c r="CX2235" s="4"/>
      <c r="CY2235" s="4"/>
      <c r="CZ2235" s="4"/>
      <c r="DA2235" s="4"/>
      <c r="DB2235" s="4"/>
      <c r="DC2235" s="4"/>
      <c r="DD2235" s="4"/>
      <c r="DE2235" s="4"/>
      <c r="DF2235" s="4"/>
      <c r="DG2235" s="4"/>
      <c r="DH2235" s="4"/>
      <c r="DI2235" s="4"/>
      <c r="DJ2235" s="4"/>
      <c r="DK2235" s="4"/>
      <c r="DL2235" s="4"/>
      <c r="DM2235" s="4"/>
      <c r="DN2235" s="4"/>
      <c r="DO2235" s="4"/>
      <c r="DP2235" s="4"/>
      <c r="DQ2235" s="4"/>
      <c r="DR2235" s="4"/>
      <c r="DS2235" s="4"/>
    </row>
    <row r="2236">
      <c r="A2236" s="4"/>
      <c r="B2236" s="4"/>
      <c r="C2236" s="4"/>
      <c r="D2236" s="4"/>
      <c r="E2236" s="4"/>
      <c r="F2236" s="4" t="s">
        <v>17</v>
      </c>
      <c r="G2236" s="15"/>
      <c r="H2236" s="4"/>
      <c r="I2236" s="4"/>
      <c r="J2236" s="4"/>
      <c r="K2236" s="4"/>
      <c r="L2236" s="4"/>
      <c r="M2236" s="4"/>
      <c r="N2236" s="4"/>
      <c r="O2236" s="4"/>
      <c r="P2236" s="4"/>
      <c r="Q2236" s="4"/>
      <c r="R2236" s="4"/>
      <c r="S2236" s="4"/>
      <c r="T2236" s="4"/>
      <c r="U2236" s="4"/>
      <c r="V2236" s="4"/>
      <c r="W2236" s="4"/>
      <c r="X2236" s="4"/>
      <c r="Y2236" s="4"/>
      <c r="Z2236" s="4"/>
      <c r="AA2236" s="4"/>
      <c r="AB2236" s="4"/>
      <c r="AC2236" s="4"/>
      <c r="AD2236" s="4"/>
      <c r="AE2236" s="4"/>
      <c r="AF2236" s="4"/>
      <c r="AG2236" s="4"/>
      <c r="AH2236" s="4"/>
      <c r="AI2236" s="4"/>
      <c r="AJ2236" s="4"/>
      <c r="AK2236" s="4"/>
      <c r="AL2236" s="4"/>
      <c r="AM2236" s="4"/>
      <c r="AN2236" s="4"/>
      <c r="AO2236" s="4"/>
      <c r="AP2236" s="4"/>
      <c r="AQ2236" s="4"/>
      <c r="AR2236" s="4"/>
      <c r="AS2236" s="4"/>
      <c r="AT2236" s="4"/>
      <c r="AU2236" s="4"/>
      <c r="AV2236" s="4"/>
      <c r="AW2236" s="4"/>
      <c r="AX2236" s="4"/>
      <c r="AY2236" s="4"/>
      <c r="AZ2236" s="4"/>
      <c r="BA2236" s="4"/>
      <c r="BB2236" s="4"/>
      <c r="BC2236" s="4"/>
      <c r="BD2236" s="4"/>
      <c r="BE2236" s="4"/>
      <c r="BF2236" s="4"/>
      <c r="BG2236" s="4"/>
      <c r="BH2236" s="4"/>
      <c r="BI2236" s="4"/>
      <c r="BJ2236" s="4"/>
      <c r="BK2236" s="4"/>
      <c r="BL2236" s="4"/>
      <c r="BM2236" s="4"/>
      <c r="BN2236" s="4"/>
      <c r="BO2236" s="4"/>
      <c r="BP2236" s="4"/>
      <c r="BQ2236" s="4"/>
      <c r="BR2236" s="4"/>
      <c r="BS2236" s="4"/>
      <c r="BT2236" s="4"/>
      <c r="BU2236" s="4"/>
      <c r="BV2236" s="4"/>
      <c r="BW2236" s="4"/>
      <c r="BX2236" s="4"/>
      <c r="BY2236" s="4"/>
      <c r="BZ2236" s="4"/>
      <c r="CA2236" s="4"/>
      <c r="CB2236" s="4"/>
      <c r="CC2236" s="4"/>
      <c r="CD2236" s="4"/>
      <c r="CE2236" s="4"/>
      <c r="CF2236" s="4"/>
      <c r="CG2236" s="4"/>
      <c r="CH2236" s="4"/>
      <c r="CI2236" s="4"/>
      <c r="CJ2236" s="4"/>
      <c r="CK2236" s="4"/>
      <c r="CL2236" s="4"/>
      <c r="CM2236" s="4"/>
      <c r="CN2236" s="4"/>
      <c r="CO2236" s="4"/>
      <c r="CP2236" s="4"/>
      <c r="CQ2236" s="4"/>
      <c r="CR2236" s="4"/>
      <c r="CS2236" s="4"/>
      <c r="CT2236" s="4"/>
      <c r="CU2236" s="4"/>
      <c r="CV2236" s="4"/>
      <c r="CW2236" s="4"/>
      <c r="CX2236" s="4"/>
      <c r="CY2236" s="4"/>
      <c r="CZ2236" s="4"/>
      <c r="DA2236" s="4"/>
      <c r="DB2236" s="4"/>
      <c r="DC2236" s="4"/>
      <c r="DD2236" s="4"/>
      <c r="DE2236" s="4"/>
      <c r="DF2236" s="4"/>
      <c r="DG2236" s="4"/>
      <c r="DH2236" s="4"/>
      <c r="DI2236" s="4"/>
      <c r="DJ2236" s="4"/>
      <c r="DK2236" s="4"/>
      <c r="DL2236" s="4"/>
      <c r="DM2236" s="4"/>
      <c r="DN2236" s="4"/>
      <c r="DO2236" s="4"/>
      <c r="DP2236" s="4"/>
      <c r="DQ2236" s="4"/>
      <c r="DR2236" s="4"/>
      <c r="DS2236" s="4"/>
    </row>
    <row r="2237">
      <c r="A2237" s="4"/>
      <c r="B2237" s="4"/>
      <c r="C2237" s="4"/>
      <c r="D2237" s="4"/>
      <c r="E2237" s="4"/>
      <c r="F2237" s="4" t="s">
        <v>17</v>
      </c>
      <c r="G2237" s="15"/>
      <c r="H2237" s="4"/>
      <c r="I2237" s="4"/>
      <c r="J2237" s="4"/>
      <c r="K2237" s="4"/>
      <c r="L2237" s="4"/>
      <c r="M2237" s="4"/>
      <c r="N2237" s="4"/>
      <c r="O2237" s="4"/>
      <c r="P2237" s="4"/>
      <c r="Q2237" s="4"/>
      <c r="R2237" s="4"/>
      <c r="S2237" s="4"/>
      <c r="T2237" s="4"/>
      <c r="U2237" s="4"/>
      <c r="V2237" s="4"/>
      <c r="W2237" s="4"/>
      <c r="X2237" s="4"/>
      <c r="Y2237" s="4"/>
      <c r="Z2237" s="4"/>
      <c r="AA2237" s="4"/>
      <c r="AB2237" s="4"/>
      <c r="AC2237" s="4"/>
      <c r="AD2237" s="4"/>
      <c r="AE2237" s="4"/>
      <c r="AF2237" s="4"/>
      <c r="AG2237" s="4"/>
      <c r="AH2237" s="4"/>
      <c r="AI2237" s="4"/>
      <c r="AJ2237" s="4"/>
      <c r="AK2237" s="4"/>
      <c r="AL2237" s="4"/>
      <c r="AM2237" s="4"/>
      <c r="AN2237" s="4"/>
      <c r="AO2237" s="4"/>
      <c r="AP2237" s="4"/>
      <c r="AQ2237" s="4"/>
      <c r="AR2237" s="4"/>
      <c r="AS2237" s="4"/>
      <c r="AT2237" s="4"/>
      <c r="AU2237" s="4"/>
      <c r="AV2237" s="4"/>
      <c r="AW2237" s="4"/>
      <c r="AX2237" s="4"/>
      <c r="AY2237" s="4"/>
      <c r="AZ2237" s="4"/>
      <c r="BA2237" s="4"/>
      <c r="BB2237" s="4"/>
      <c r="BC2237" s="4"/>
      <c r="BD2237" s="4"/>
      <c r="BE2237" s="4"/>
      <c r="BF2237" s="4"/>
      <c r="BG2237" s="4"/>
      <c r="BH2237" s="4"/>
      <c r="BI2237" s="4"/>
      <c r="BJ2237" s="4"/>
      <c r="BK2237" s="4"/>
      <c r="BL2237" s="4"/>
      <c r="BM2237" s="4"/>
      <c r="BN2237" s="4"/>
      <c r="BO2237" s="4"/>
      <c r="BP2237" s="4"/>
      <c r="BQ2237" s="4"/>
      <c r="BR2237" s="4"/>
      <c r="BS2237" s="4"/>
      <c r="BT2237" s="4"/>
      <c r="BU2237" s="4"/>
      <c r="BV2237" s="4"/>
      <c r="BW2237" s="4"/>
      <c r="BX2237" s="4"/>
      <c r="BY2237" s="4"/>
      <c r="BZ2237" s="4"/>
      <c r="CA2237" s="4"/>
      <c r="CB2237" s="4"/>
      <c r="CC2237" s="4"/>
      <c r="CD2237" s="4"/>
      <c r="CE2237" s="4"/>
      <c r="CF2237" s="4"/>
      <c r="CG2237" s="4"/>
      <c r="CH2237" s="4"/>
      <c r="CI2237" s="4"/>
      <c r="CJ2237" s="4"/>
      <c r="CK2237" s="4"/>
      <c r="CL2237" s="4"/>
      <c r="CM2237" s="4"/>
      <c r="CN2237" s="4"/>
      <c r="CO2237" s="4"/>
      <c r="CP2237" s="4"/>
      <c r="CQ2237" s="4"/>
      <c r="CR2237" s="4"/>
      <c r="CS2237" s="4"/>
      <c r="CT2237" s="4"/>
      <c r="CU2237" s="4"/>
      <c r="CV2237" s="4"/>
      <c r="CW2237" s="4"/>
      <c r="CX2237" s="4"/>
      <c r="CY2237" s="4"/>
      <c r="CZ2237" s="4"/>
      <c r="DA2237" s="4"/>
      <c r="DB2237" s="4"/>
      <c r="DC2237" s="4"/>
      <c r="DD2237" s="4"/>
      <c r="DE2237" s="4"/>
      <c r="DF2237" s="4"/>
      <c r="DG2237" s="4"/>
      <c r="DH2237" s="4"/>
      <c r="DI2237" s="4"/>
      <c r="DJ2237" s="4"/>
      <c r="DK2237" s="4"/>
      <c r="DL2237" s="4"/>
      <c r="DM2237" s="4"/>
      <c r="DN2237" s="4"/>
      <c r="DO2237" s="4"/>
      <c r="DP2237" s="4"/>
      <c r="DQ2237" s="4"/>
      <c r="DR2237" s="4"/>
      <c r="DS2237" s="4"/>
    </row>
    <row r="2238">
      <c r="A2238" s="4"/>
      <c r="B2238" s="4"/>
      <c r="C2238" s="4"/>
      <c r="D2238" s="4"/>
      <c r="E2238" s="4"/>
      <c r="F2238" s="4" t="s">
        <v>17</v>
      </c>
      <c r="G2238" s="15"/>
      <c r="H2238" s="4"/>
      <c r="I2238" s="4"/>
      <c r="J2238" s="4"/>
      <c r="K2238" s="4"/>
      <c r="L2238" s="4"/>
      <c r="M2238" s="4"/>
      <c r="N2238" s="4"/>
      <c r="O2238" s="4"/>
      <c r="P2238" s="4"/>
      <c r="Q2238" s="4"/>
      <c r="R2238" s="4"/>
      <c r="S2238" s="4"/>
      <c r="T2238" s="4"/>
      <c r="U2238" s="4"/>
      <c r="V2238" s="4"/>
      <c r="W2238" s="4"/>
      <c r="X2238" s="4"/>
      <c r="Y2238" s="4"/>
      <c r="Z2238" s="4"/>
      <c r="AA2238" s="4"/>
      <c r="AB2238" s="4"/>
      <c r="AC2238" s="4"/>
      <c r="AD2238" s="4"/>
      <c r="AE2238" s="4"/>
      <c r="AF2238" s="4"/>
      <c r="AG2238" s="4"/>
      <c r="AH2238" s="4"/>
      <c r="AI2238" s="4"/>
      <c r="AJ2238" s="4"/>
      <c r="AK2238" s="4"/>
      <c r="AL2238" s="4"/>
      <c r="AM2238" s="4"/>
      <c r="AN2238" s="4"/>
      <c r="AO2238" s="4"/>
      <c r="AP2238" s="4"/>
      <c r="AQ2238" s="4"/>
      <c r="AR2238" s="4"/>
      <c r="AS2238" s="4"/>
      <c r="AT2238" s="4"/>
      <c r="AU2238" s="4"/>
      <c r="AV2238" s="4"/>
      <c r="AW2238" s="4"/>
      <c r="AX2238" s="4"/>
      <c r="AY2238" s="4"/>
      <c r="AZ2238" s="4"/>
      <c r="BA2238" s="4"/>
      <c r="BB2238" s="4"/>
      <c r="BC2238" s="4"/>
      <c r="BD2238" s="4"/>
      <c r="BE2238" s="4"/>
      <c r="BF2238" s="4"/>
      <c r="BG2238" s="4"/>
      <c r="BH2238" s="4"/>
      <c r="BI2238" s="4"/>
      <c r="BJ2238" s="4"/>
      <c r="BK2238" s="4"/>
      <c r="BL2238" s="4"/>
      <c r="BM2238" s="4"/>
      <c r="BN2238" s="4"/>
      <c r="BO2238" s="4"/>
      <c r="BP2238" s="4"/>
      <c r="BQ2238" s="4"/>
      <c r="BR2238" s="4"/>
      <c r="BS2238" s="4"/>
      <c r="BT2238" s="4"/>
      <c r="BU2238" s="4"/>
      <c r="BV2238" s="4"/>
      <c r="BW2238" s="4"/>
      <c r="BX2238" s="4"/>
      <c r="BY2238" s="4"/>
      <c r="BZ2238" s="4"/>
      <c r="CA2238" s="4"/>
      <c r="CB2238" s="4"/>
      <c r="CC2238" s="4"/>
      <c r="CD2238" s="4"/>
      <c r="CE2238" s="4"/>
      <c r="CF2238" s="4"/>
      <c r="CG2238" s="4"/>
      <c r="CH2238" s="4"/>
      <c r="CI2238" s="4"/>
      <c r="CJ2238" s="4"/>
      <c r="CK2238" s="4"/>
      <c r="CL2238" s="4"/>
      <c r="CM2238" s="4"/>
      <c r="CN2238" s="4"/>
      <c r="CO2238" s="4"/>
      <c r="CP2238" s="4"/>
      <c r="CQ2238" s="4"/>
      <c r="CR2238" s="4"/>
      <c r="CS2238" s="4"/>
      <c r="CT2238" s="4"/>
      <c r="CU2238" s="4"/>
      <c r="CV2238" s="4"/>
      <c r="CW2238" s="4"/>
      <c r="CX2238" s="4"/>
      <c r="CY2238" s="4"/>
      <c r="CZ2238" s="4"/>
      <c r="DA2238" s="4"/>
      <c r="DB2238" s="4"/>
      <c r="DC2238" s="4"/>
      <c r="DD2238" s="4"/>
      <c r="DE2238" s="4"/>
      <c r="DF2238" s="4"/>
      <c r="DG2238" s="4"/>
      <c r="DH2238" s="4"/>
      <c r="DI2238" s="4"/>
      <c r="DJ2238" s="4"/>
      <c r="DK2238" s="4"/>
      <c r="DL2238" s="4"/>
      <c r="DM2238" s="4"/>
      <c r="DN2238" s="4"/>
      <c r="DO2238" s="4"/>
      <c r="DP2238" s="4"/>
      <c r="DQ2238" s="4"/>
      <c r="DR2238" s="4"/>
      <c r="DS2238" s="4"/>
    </row>
    <row r="2239">
      <c r="A2239" s="4"/>
      <c r="B2239" s="4"/>
      <c r="C2239" s="4"/>
      <c r="D2239" s="4"/>
      <c r="E2239" s="4"/>
      <c r="F2239" s="4" t="s">
        <v>17</v>
      </c>
      <c r="G2239" s="15"/>
      <c r="H2239" s="4"/>
      <c r="I2239" s="4"/>
      <c r="J2239" s="4"/>
      <c r="K2239" s="4"/>
      <c r="L2239" s="4"/>
      <c r="M2239" s="4"/>
      <c r="N2239" s="4"/>
      <c r="O2239" s="4"/>
      <c r="P2239" s="4"/>
      <c r="Q2239" s="4"/>
      <c r="R2239" s="4"/>
      <c r="S2239" s="4"/>
      <c r="T2239" s="4"/>
      <c r="U2239" s="4"/>
      <c r="V2239" s="4"/>
      <c r="W2239" s="4"/>
      <c r="X2239" s="4"/>
      <c r="Y2239" s="4"/>
      <c r="Z2239" s="4"/>
      <c r="AA2239" s="4"/>
      <c r="AB2239" s="4"/>
      <c r="AC2239" s="4"/>
      <c r="AD2239" s="4"/>
      <c r="AE2239" s="4"/>
      <c r="AF2239" s="4"/>
      <c r="AG2239" s="4"/>
      <c r="AH2239" s="4"/>
      <c r="AI2239" s="4"/>
      <c r="AJ2239" s="4"/>
      <c r="AK2239" s="4"/>
      <c r="AL2239" s="4"/>
      <c r="AM2239" s="4"/>
      <c r="AN2239" s="4"/>
      <c r="AO2239" s="4"/>
      <c r="AP2239" s="4"/>
      <c r="AQ2239" s="4"/>
      <c r="AR2239" s="4"/>
      <c r="AS2239" s="4"/>
      <c r="AT2239" s="4"/>
      <c r="AU2239" s="4"/>
      <c r="AV2239" s="4"/>
      <c r="AW2239" s="4"/>
      <c r="AX2239" s="4"/>
      <c r="AY2239" s="4"/>
      <c r="AZ2239" s="4"/>
      <c r="BA2239" s="4"/>
      <c r="BB2239" s="4"/>
      <c r="BC2239" s="4"/>
      <c r="BD2239" s="4"/>
      <c r="BE2239" s="4"/>
      <c r="BF2239" s="4"/>
      <c r="BG2239" s="4"/>
      <c r="BH2239" s="4"/>
      <c r="BI2239" s="4"/>
      <c r="BJ2239" s="4"/>
      <c r="BK2239" s="4"/>
      <c r="BL2239" s="4"/>
      <c r="BM2239" s="4"/>
      <c r="BN2239" s="4"/>
      <c r="BO2239" s="4"/>
      <c r="BP2239" s="4"/>
      <c r="BQ2239" s="4"/>
      <c r="BR2239" s="4"/>
      <c r="BS2239" s="4"/>
      <c r="BT2239" s="4"/>
      <c r="BU2239" s="4"/>
      <c r="BV2239" s="4"/>
      <c r="BW2239" s="4"/>
      <c r="BX2239" s="4"/>
      <c r="BY2239" s="4"/>
      <c r="BZ2239" s="4"/>
      <c r="CA2239" s="4"/>
      <c r="CB2239" s="4"/>
      <c r="CC2239" s="4"/>
      <c r="CD2239" s="4"/>
      <c r="CE2239" s="4"/>
      <c r="CF2239" s="4"/>
      <c r="CG2239" s="4"/>
      <c r="CH2239" s="4"/>
      <c r="CI2239" s="4"/>
      <c r="CJ2239" s="4"/>
      <c r="CK2239" s="4"/>
      <c r="CL2239" s="4"/>
      <c r="CM2239" s="4"/>
      <c r="CN2239" s="4"/>
      <c r="CO2239" s="4"/>
      <c r="CP2239" s="4"/>
      <c r="CQ2239" s="4"/>
      <c r="CR2239" s="4"/>
      <c r="CS2239" s="4"/>
      <c r="CT2239" s="4"/>
      <c r="CU2239" s="4"/>
      <c r="CV2239" s="4"/>
      <c r="CW2239" s="4"/>
      <c r="CX2239" s="4"/>
      <c r="CY2239" s="4"/>
      <c r="CZ2239" s="4"/>
      <c r="DA2239" s="4"/>
      <c r="DB2239" s="4"/>
      <c r="DC2239" s="4"/>
      <c r="DD2239" s="4"/>
      <c r="DE2239" s="4"/>
      <c r="DF2239" s="4"/>
      <c r="DG2239" s="4"/>
      <c r="DH2239" s="4"/>
      <c r="DI2239" s="4"/>
      <c r="DJ2239" s="4"/>
      <c r="DK2239" s="4"/>
      <c r="DL2239" s="4"/>
      <c r="DM2239" s="4"/>
      <c r="DN2239" s="4"/>
      <c r="DO2239" s="4"/>
      <c r="DP2239" s="4"/>
      <c r="DQ2239" s="4"/>
      <c r="DR2239" s="4"/>
      <c r="DS2239" s="4"/>
    </row>
    <row r="2240">
      <c r="A2240" s="4"/>
      <c r="B2240" s="4"/>
      <c r="C2240" s="4"/>
      <c r="D2240" s="4"/>
      <c r="E2240" s="4"/>
      <c r="F2240" s="4" t="s">
        <v>17</v>
      </c>
      <c r="G2240" s="15"/>
      <c r="H2240" s="4"/>
      <c r="I2240" s="4"/>
      <c r="J2240" s="4"/>
      <c r="K2240" s="4"/>
      <c r="L2240" s="4"/>
      <c r="M2240" s="4"/>
      <c r="N2240" s="4"/>
      <c r="O2240" s="4"/>
      <c r="P2240" s="4"/>
      <c r="Q2240" s="4"/>
      <c r="R2240" s="4"/>
      <c r="S2240" s="4"/>
      <c r="T2240" s="4"/>
      <c r="U2240" s="4"/>
      <c r="V2240" s="4"/>
      <c r="W2240" s="4"/>
      <c r="X2240" s="4"/>
      <c r="Y2240" s="4"/>
      <c r="Z2240" s="4"/>
      <c r="AA2240" s="4"/>
      <c r="AB2240" s="4"/>
      <c r="AC2240" s="4"/>
      <c r="AD2240" s="4"/>
      <c r="AE2240" s="4"/>
      <c r="AF2240" s="4"/>
      <c r="AG2240" s="4"/>
      <c r="AH2240" s="4"/>
      <c r="AI2240" s="4"/>
      <c r="AJ2240" s="4"/>
      <c r="AK2240" s="4"/>
      <c r="AL2240" s="4"/>
      <c r="AM2240" s="4"/>
      <c r="AN2240" s="4"/>
      <c r="AO2240" s="4"/>
      <c r="AP2240" s="4"/>
      <c r="AQ2240" s="4"/>
      <c r="AR2240" s="4"/>
      <c r="AS2240" s="4"/>
      <c r="AT2240" s="4"/>
      <c r="AU2240" s="4"/>
      <c r="AV2240" s="4"/>
      <c r="AW2240" s="4"/>
      <c r="AX2240" s="4"/>
      <c r="AY2240" s="4"/>
      <c r="AZ2240" s="4"/>
      <c r="BA2240" s="4"/>
      <c r="BB2240" s="4"/>
      <c r="BC2240" s="4"/>
      <c r="BD2240" s="4"/>
      <c r="BE2240" s="4"/>
      <c r="BF2240" s="4"/>
      <c r="BG2240" s="4"/>
      <c r="BH2240" s="4"/>
      <c r="BI2240" s="4"/>
      <c r="BJ2240" s="4"/>
      <c r="BK2240" s="4"/>
      <c r="BL2240" s="4"/>
      <c r="BM2240" s="4"/>
      <c r="BN2240" s="4"/>
      <c r="BO2240" s="4"/>
      <c r="BP2240" s="4"/>
      <c r="BQ2240" s="4"/>
      <c r="BR2240" s="4"/>
      <c r="BS2240" s="4"/>
      <c r="BT2240" s="4"/>
      <c r="BU2240" s="4"/>
      <c r="BV2240" s="4"/>
      <c r="BW2240" s="4"/>
      <c r="BX2240" s="4"/>
      <c r="BY2240" s="4"/>
      <c r="BZ2240" s="4"/>
      <c r="CA2240" s="4"/>
      <c r="CB2240" s="4"/>
      <c r="CC2240" s="4"/>
      <c r="CD2240" s="4"/>
      <c r="CE2240" s="4"/>
      <c r="CF2240" s="4"/>
      <c r="CG2240" s="4"/>
      <c r="CH2240" s="4"/>
      <c r="CI2240" s="4"/>
      <c r="CJ2240" s="4"/>
      <c r="CK2240" s="4"/>
      <c r="CL2240" s="4"/>
      <c r="CM2240" s="4"/>
      <c r="CN2240" s="4"/>
      <c r="CO2240" s="4"/>
      <c r="CP2240" s="4"/>
      <c r="CQ2240" s="4"/>
      <c r="CR2240" s="4"/>
      <c r="CS2240" s="4"/>
      <c r="CT2240" s="4"/>
      <c r="CU2240" s="4"/>
      <c r="CV2240" s="4"/>
      <c r="CW2240" s="4"/>
      <c r="CX2240" s="4"/>
      <c r="CY2240" s="4"/>
      <c r="CZ2240" s="4"/>
      <c r="DA2240" s="4"/>
      <c r="DB2240" s="4"/>
      <c r="DC2240" s="4"/>
      <c r="DD2240" s="4"/>
      <c r="DE2240" s="4"/>
      <c r="DF2240" s="4"/>
      <c r="DG2240" s="4"/>
      <c r="DH2240" s="4"/>
      <c r="DI2240" s="4"/>
      <c r="DJ2240" s="4"/>
      <c r="DK2240" s="4"/>
      <c r="DL2240" s="4"/>
      <c r="DM2240" s="4"/>
      <c r="DN2240" s="4"/>
      <c r="DO2240" s="4"/>
      <c r="DP2240" s="4"/>
      <c r="DQ2240" s="4"/>
      <c r="DR2240" s="4"/>
      <c r="DS2240" s="4"/>
    </row>
    <row r="2241">
      <c r="A2241" s="4"/>
      <c r="B2241" s="4"/>
      <c r="C2241" s="4"/>
      <c r="D2241" s="4"/>
      <c r="E2241" s="4"/>
      <c r="F2241" s="4" t="s">
        <v>17</v>
      </c>
      <c r="G2241" s="15"/>
      <c r="H2241" s="4"/>
      <c r="I2241" s="4"/>
      <c r="J2241" s="4"/>
      <c r="K2241" s="4"/>
      <c r="L2241" s="4"/>
      <c r="M2241" s="4"/>
      <c r="N2241" s="4"/>
      <c r="O2241" s="4"/>
      <c r="P2241" s="4"/>
      <c r="Q2241" s="4"/>
      <c r="R2241" s="4"/>
      <c r="S2241" s="4"/>
      <c r="T2241" s="4"/>
      <c r="U2241" s="4"/>
      <c r="V2241" s="4"/>
      <c r="W2241" s="4"/>
      <c r="X2241" s="4"/>
      <c r="Y2241" s="4"/>
      <c r="Z2241" s="4"/>
      <c r="AA2241" s="4"/>
      <c r="AB2241" s="4"/>
      <c r="AC2241" s="4"/>
      <c r="AD2241" s="4"/>
      <c r="AE2241" s="4"/>
      <c r="AF2241" s="4"/>
      <c r="AG2241" s="4"/>
      <c r="AH2241" s="4"/>
      <c r="AI2241" s="4"/>
      <c r="AJ2241" s="4"/>
      <c r="AK2241" s="4"/>
      <c r="AL2241" s="4"/>
      <c r="AM2241" s="4"/>
      <c r="AN2241" s="4"/>
      <c r="AO2241" s="4"/>
      <c r="AP2241" s="4"/>
      <c r="AQ2241" s="4"/>
      <c r="AR2241" s="4"/>
      <c r="AS2241" s="4"/>
      <c r="AT2241" s="4"/>
      <c r="AU2241" s="4"/>
      <c r="AV2241" s="4"/>
      <c r="AW2241" s="4"/>
      <c r="AX2241" s="4"/>
      <c r="AY2241" s="4"/>
      <c r="AZ2241" s="4"/>
      <c r="BA2241" s="4"/>
      <c r="BB2241" s="4"/>
      <c r="BC2241" s="4"/>
      <c r="BD2241" s="4"/>
      <c r="BE2241" s="4"/>
      <c r="BF2241" s="4"/>
      <c r="BG2241" s="4"/>
      <c r="BH2241" s="4"/>
      <c r="BI2241" s="4"/>
      <c r="BJ2241" s="4"/>
      <c r="BK2241" s="4"/>
      <c r="BL2241" s="4"/>
      <c r="BM2241" s="4"/>
      <c r="BN2241" s="4"/>
      <c r="BO2241" s="4"/>
      <c r="BP2241" s="4"/>
      <c r="BQ2241" s="4"/>
      <c r="BR2241" s="4"/>
      <c r="BS2241" s="4"/>
      <c r="BT2241" s="4"/>
      <c r="BU2241" s="4"/>
      <c r="BV2241" s="4"/>
      <c r="BW2241" s="4"/>
      <c r="BX2241" s="4"/>
      <c r="BY2241" s="4"/>
      <c r="BZ2241" s="4"/>
      <c r="CA2241" s="4"/>
      <c r="CB2241" s="4"/>
      <c r="CC2241" s="4"/>
      <c r="CD2241" s="4"/>
      <c r="CE2241" s="4"/>
      <c r="CF2241" s="4"/>
      <c r="CG2241" s="4"/>
      <c r="CH2241" s="4"/>
      <c r="CI2241" s="4"/>
      <c r="CJ2241" s="4"/>
      <c r="CK2241" s="4"/>
      <c r="CL2241" s="4"/>
      <c r="CM2241" s="4"/>
      <c r="CN2241" s="4"/>
      <c r="CO2241" s="4"/>
      <c r="CP2241" s="4"/>
      <c r="CQ2241" s="4"/>
      <c r="CR2241" s="4"/>
      <c r="CS2241" s="4"/>
      <c r="CT2241" s="4"/>
      <c r="CU2241" s="4"/>
      <c r="CV2241" s="4"/>
      <c r="CW2241" s="4"/>
      <c r="CX2241" s="4"/>
      <c r="CY2241" s="4"/>
      <c r="CZ2241" s="4"/>
      <c r="DA2241" s="4"/>
      <c r="DB2241" s="4"/>
      <c r="DC2241" s="4"/>
      <c r="DD2241" s="4"/>
      <c r="DE2241" s="4"/>
      <c r="DF2241" s="4"/>
      <c r="DG2241" s="4"/>
      <c r="DH2241" s="4"/>
      <c r="DI2241" s="4"/>
      <c r="DJ2241" s="4"/>
      <c r="DK2241" s="4"/>
      <c r="DL2241" s="4"/>
      <c r="DM2241" s="4"/>
      <c r="DN2241" s="4"/>
      <c r="DO2241" s="4"/>
      <c r="DP2241" s="4"/>
      <c r="DQ2241" s="4"/>
      <c r="DR2241" s="4"/>
      <c r="DS2241" s="4"/>
    </row>
    <row r="2242">
      <c r="A2242" s="4"/>
      <c r="B2242" s="4"/>
      <c r="C2242" s="4"/>
      <c r="D2242" s="4"/>
      <c r="E2242" s="4"/>
      <c r="F2242" s="4" t="s">
        <v>17</v>
      </c>
      <c r="G2242" s="15"/>
      <c r="H2242" s="4"/>
      <c r="I2242" s="4"/>
      <c r="J2242" s="4"/>
      <c r="K2242" s="4"/>
      <c r="L2242" s="4"/>
      <c r="M2242" s="4"/>
      <c r="N2242" s="4"/>
      <c r="O2242" s="4"/>
      <c r="P2242" s="4"/>
      <c r="Q2242" s="4"/>
      <c r="R2242" s="4"/>
      <c r="S2242" s="4"/>
      <c r="T2242" s="4"/>
      <c r="U2242" s="4"/>
      <c r="V2242" s="4"/>
      <c r="W2242" s="4"/>
      <c r="X2242" s="4"/>
      <c r="Y2242" s="4"/>
      <c r="Z2242" s="4"/>
      <c r="AA2242" s="4"/>
      <c r="AB2242" s="4"/>
      <c r="AC2242" s="4"/>
      <c r="AD2242" s="4"/>
      <c r="AE2242" s="4"/>
      <c r="AF2242" s="4"/>
      <c r="AG2242" s="4"/>
      <c r="AH2242" s="4"/>
      <c r="AI2242" s="4"/>
      <c r="AJ2242" s="4"/>
      <c r="AK2242" s="4"/>
      <c r="AL2242" s="4"/>
      <c r="AM2242" s="4"/>
      <c r="AN2242" s="4"/>
      <c r="AO2242" s="4"/>
      <c r="AP2242" s="4"/>
      <c r="AQ2242" s="4"/>
      <c r="AR2242" s="4"/>
      <c r="AS2242" s="4"/>
      <c r="AT2242" s="4"/>
      <c r="AU2242" s="4"/>
      <c r="AV2242" s="4"/>
      <c r="AW2242" s="4"/>
      <c r="AX2242" s="4"/>
      <c r="AY2242" s="4"/>
      <c r="AZ2242" s="4"/>
      <c r="BA2242" s="4"/>
      <c r="BB2242" s="4"/>
      <c r="BC2242" s="4"/>
      <c r="BD2242" s="4"/>
      <c r="BE2242" s="4"/>
      <c r="BF2242" s="4"/>
      <c r="BG2242" s="4"/>
      <c r="BH2242" s="4"/>
      <c r="BI2242" s="4"/>
      <c r="BJ2242" s="4"/>
      <c r="BK2242" s="4"/>
      <c r="BL2242" s="4"/>
      <c r="BM2242" s="4"/>
      <c r="BN2242" s="4"/>
      <c r="BO2242" s="4"/>
      <c r="BP2242" s="4"/>
      <c r="BQ2242" s="4"/>
      <c r="BR2242" s="4"/>
      <c r="BS2242" s="4"/>
      <c r="BT2242" s="4"/>
      <c r="BU2242" s="4"/>
      <c r="BV2242" s="4"/>
      <c r="BW2242" s="4"/>
      <c r="BX2242" s="4"/>
      <c r="BY2242" s="4"/>
      <c r="BZ2242" s="4"/>
      <c r="CA2242" s="4"/>
      <c r="CB2242" s="4"/>
      <c r="CC2242" s="4"/>
      <c r="CD2242" s="4"/>
      <c r="CE2242" s="4"/>
      <c r="CF2242" s="4"/>
      <c r="CG2242" s="4"/>
      <c r="CH2242" s="4"/>
      <c r="CI2242" s="4"/>
      <c r="CJ2242" s="4"/>
      <c r="CK2242" s="4"/>
      <c r="CL2242" s="4"/>
      <c r="CM2242" s="4"/>
      <c r="CN2242" s="4"/>
      <c r="CO2242" s="4"/>
      <c r="CP2242" s="4"/>
      <c r="CQ2242" s="4"/>
      <c r="CR2242" s="4"/>
      <c r="CS2242" s="4"/>
      <c r="CT2242" s="4"/>
      <c r="CU2242" s="4"/>
      <c r="CV2242" s="4"/>
      <c r="CW2242" s="4"/>
      <c r="CX2242" s="4"/>
      <c r="CY2242" s="4"/>
      <c r="CZ2242" s="4"/>
      <c r="DA2242" s="4"/>
      <c r="DB2242" s="4"/>
      <c r="DC2242" s="4"/>
      <c r="DD2242" s="4"/>
      <c r="DE2242" s="4"/>
      <c r="DF2242" s="4"/>
      <c r="DG2242" s="4"/>
      <c r="DH2242" s="4"/>
      <c r="DI2242" s="4"/>
      <c r="DJ2242" s="4"/>
      <c r="DK2242" s="4"/>
      <c r="DL2242" s="4"/>
      <c r="DM2242" s="4"/>
      <c r="DN2242" s="4"/>
      <c r="DO2242" s="4"/>
      <c r="DP2242" s="4"/>
      <c r="DQ2242" s="4"/>
      <c r="DR2242" s="4"/>
      <c r="DS2242" s="4"/>
    </row>
    <row r="2243">
      <c r="A2243" s="4"/>
      <c r="B2243" s="4"/>
      <c r="C2243" s="4"/>
      <c r="D2243" s="4"/>
      <c r="E2243" s="4"/>
      <c r="F2243" s="4" t="s">
        <v>17</v>
      </c>
      <c r="G2243" s="15"/>
      <c r="H2243" s="4"/>
      <c r="I2243" s="4"/>
      <c r="J2243" s="4"/>
      <c r="K2243" s="4"/>
      <c r="L2243" s="4"/>
      <c r="M2243" s="4"/>
      <c r="N2243" s="4"/>
      <c r="O2243" s="4"/>
      <c r="P2243" s="4"/>
      <c r="Q2243" s="4"/>
      <c r="R2243" s="4"/>
      <c r="S2243" s="4"/>
      <c r="T2243" s="4"/>
      <c r="U2243" s="4"/>
      <c r="V2243" s="4"/>
      <c r="W2243" s="4"/>
      <c r="X2243" s="4"/>
      <c r="Y2243" s="4"/>
      <c r="Z2243" s="4"/>
      <c r="AA2243" s="4"/>
      <c r="AB2243" s="4"/>
      <c r="AC2243" s="4"/>
      <c r="AD2243" s="4"/>
      <c r="AE2243" s="4"/>
      <c r="AF2243" s="4"/>
      <c r="AG2243" s="4"/>
      <c r="AH2243" s="4"/>
      <c r="AI2243" s="4"/>
      <c r="AJ2243" s="4"/>
      <c r="AK2243" s="4"/>
      <c r="AL2243" s="4"/>
      <c r="AM2243" s="4"/>
      <c r="AN2243" s="4"/>
      <c r="AO2243" s="4"/>
      <c r="AP2243" s="4"/>
      <c r="AQ2243" s="4"/>
      <c r="AR2243" s="4"/>
      <c r="AS2243" s="4"/>
      <c r="AT2243" s="4"/>
      <c r="AU2243" s="4"/>
      <c r="AV2243" s="4"/>
      <c r="AW2243" s="4"/>
      <c r="AX2243" s="4"/>
      <c r="AY2243" s="4"/>
      <c r="AZ2243" s="4"/>
      <c r="BA2243" s="4"/>
      <c r="BB2243" s="4"/>
      <c r="BC2243" s="4"/>
      <c r="BD2243" s="4"/>
      <c r="BE2243" s="4"/>
      <c r="BF2243" s="4"/>
      <c r="BG2243" s="4"/>
      <c r="BH2243" s="4"/>
      <c r="BI2243" s="4"/>
      <c r="BJ2243" s="4"/>
      <c r="BK2243" s="4"/>
      <c r="BL2243" s="4"/>
      <c r="BM2243" s="4"/>
      <c r="BN2243" s="4"/>
      <c r="BO2243" s="4"/>
      <c r="BP2243" s="4"/>
      <c r="BQ2243" s="4"/>
      <c r="BR2243" s="4"/>
      <c r="BS2243" s="4"/>
      <c r="BT2243" s="4"/>
      <c r="BU2243" s="4"/>
      <c r="BV2243" s="4"/>
      <c r="BW2243" s="4"/>
      <c r="BX2243" s="4"/>
      <c r="BY2243" s="4"/>
      <c r="BZ2243" s="4"/>
      <c r="CA2243" s="4"/>
      <c r="CB2243" s="4"/>
      <c r="CC2243" s="4"/>
      <c r="CD2243" s="4"/>
      <c r="CE2243" s="4"/>
      <c r="CF2243" s="4"/>
      <c r="CG2243" s="4"/>
      <c r="CH2243" s="4"/>
      <c r="CI2243" s="4"/>
      <c r="CJ2243" s="4"/>
      <c r="CK2243" s="4"/>
      <c r="CL2243" s="4"/>
      <c r="CM2243" s="4"/>
      <c r="CN2243" s="4"/>
      <c r="CO2243" s="4"/>
      <c r="CP2243" s="4"/>
      <c r="CQ2243" s="4"/>
      <c r="CR2243" s="4"/>
      <c r="CS2243" s="4"/>
      <c r="CT2243" s="4"/>
      <c r="CU2243" s="4"/>
      <c r="CV2243" s="4"/>
      <c r="CW2243" s="4"/>
      <c r="CX2243" s="4"/>
      <c r="CY2243" s="4"/>
      <c r="CZ2243" s="4"/>
      <c r="DA2243" s="4"/>
      <c r="DB2243" s="4"/>
      <c r="DC2243" s="4"/>
      <c r="DD2243" s="4"/>
      <c r="DE2243" s="4"/>
      <c r="DF2243" s="4"/>
      <c r="DG2243" s="4"/>
      <c r="DH2243" s="4"/>
      <c r="DI2243" s="4"/>
      <c r="DJ2243" s="4"/>
      <c r="DK2243" s="4"/>
      <c r="DL2243" s="4"/>
      <c r="DM2243" s="4"/>
      <c r="DN2243" s="4"/>
      <c r="DO2243" s="4"/>
      <c r="DP2243" s="4"/>
      <c r="DQ2243" s="4"/>
      <c r="DR2243" s="4"/>
      <c r="DS2243" s="4"/>
    </row>
    <row r="2244">
      <c r="A2244" s="4"/>
      <c r="B2244" s="4"/>
      <c r="C2244" s="4"/>
      <c r="D2244" s="4"/>
      <c r="E2244" s="4"/>
      <c r="F2244" s="4" t="s">
        <v>17</v>
      </c>
      <c r="G2244" s="15"/>
      <c r="H2244" s="4"/>
      <c r="I2244" s="4"/>
      <c r="J2244" s="4"/>
      <c r="K2244" s="4"/>
      <c r="L2244" s="4"/>
      <c r="M2244" s="4"/>
      <c r="N2244" s="4"/>
      <c r="O2244" s="4"/>
      <c r="P2244" s="4"/>
      <c r="Q2244" s="4"/>
      <c r="R2244" s="4"/>
      <c r="S2244" s="4"/>
      <c r="T2244" s="4"/>
      <c r="U2244" s="4"/>
      <c r="V2244" s="4"/>
      <c r="W2244" s="4"/>
      <c r="X2244" s="4"/>
      <c r="Y2244" s="4"/>
      <c r="Z2244" s="4"/>
      <c r="AA2244" s="4"/>
      <c r="AB2244" s="4"/>
      <c r="AC2244" s="4"/>
      <c r="AD2244" s="4"/>
      <c r="AE2244" s="4"/>
      <c r="AF2244" s="4"/>
      <c r="AG2244" s="4"/>
      <c r="AH2244" s="4"/>
      <c r="AI2244" s="4"/>
      <c r="AJ2244" s="4"/>
      <c r="AK2244" s="4"/>
      <c r="AL2244" s="4"/>
      <c r="AM2244" s="4"/>
      <c r="AN2244" s="4"/>
      <c r="AO2244" s="4"/>
      <c r="AP2244" s="4"/>
      <c r="AQ2244" s="4"/>
      <c r="AR2244" s="4"/>
      <c r="AS2244" s="4"/>
      <c r="AT2244" s="4"/>
      <c r="AU2244" s="4"/>
      <c r="AV2244" s="4"/>
      <c r="AW2244" s="4"/>
      <c r="AX2244" s="4"/>
      <c r="AY2244" s="4"/>
      <c r="AZ2244" s="4"/>
      <c r="BA2244" s="4"/>
      <c r="BB2244" s="4"/>
      <c r="BC2244" s="4"/>
      <c r="BD2244" s="4"/>
      <c r="BE2244" s="4"/>
      <c r="BF2244" s="4"/>
      <c r="BG2244" s="4"/>
      <c r="BH2244" s="4"/>
      <c r="BI2244" s="4"/>
      <c r="BJ2244" s="4"/>
      <c r="BK2244" s="4"/>
      <c r="BL2244" s="4"/>
      <c r="BM2244" s="4"/>
      <c r="BN2244" s="4"/>
      <c r="BO2244" s="4"/>
      <c r="BP2244" s="4"/>
      <c r="BQ2244" s="4"/>
      <c r="BR2244" s="4"/>
      <c r="BS2244" s="4"/>
      <c r="BT2244" s="4"/>
      <c r="BU2244" s="4"/>
      <c r="BV2244" s="4"/>
      <c r="BW2244" s="4"/>
      <c r="BX2244" s="4"/>
      <c r="BY2244" s="4"/>
      <c r="BZ2244" s="4"/>
      <c r="CA2244" s="4"/>
      <c r="CB2244" s="4"/>
      <c r="CC2244" s="4"/>
      <c r="CD2244" s="4"/>
      <c r="CE2244" s="4"/>
      <c r="CF2244" s="4"/>
      <c r="CG2244" s="4"/>
      <c r="CH2244" s="4"/>
      <c r="CI2244" s="4"/>
      <c r="CJ2244" s="4"/>
      <c r="CK2244" s="4"/>
      <c r="CL2244" s="4"/>
      <c r="CM2244" s="4"/>
      <c r="CN2244" s="4"/>
      <c r="CO2244" s="4"/>
      <c r="CP2244" s="4"/>
      <c r="CQ2244" s="4"/>
      <c r="CR2244" s="4"/>
      <c r="CS2244" s="4"/>
      <c r="CT2244" s="4"/>
      <c r="CU2244" s="4"/>
      <c r="CV2244" s="4"/>
      <c r="CW2244" s="4"/>
      <c r="CX2244" s="4"/>
      <c r="CY2244" s="4"/>
      <c r="CZ2244" s="4"/>
      <c r="DA2244" s="4"/>
      <c r="DB2244" s="4"/>
      <c r="DC2244" s="4"/>
      <c r="DD2244" s="4"/>
      <c r="DE2244" s="4"/>
      <c r="DF2244" s="4"/>
      <c r="DG2244" s="4"/>
      <c r="DH2244" s="4"/>
      <c r="DI2244" s="4"/>
      <c r="DJ2244" s="4"/>
      <c r="DK2244" s="4"/>
      <c r="DL2244" s="4"/>
      <c r="DM2244" s="4"/>
      <c r="DN2244" s="4"/>
      <c r="DO2244" s="4"/>
      <c r="DP2244" s="4"/>
      <c r="DQ2244" s="4"/>
      <c r="DR2244" s="4"/>
      <c r="DS2244" s="4"/>
    </row>
    <row r="2245">
      <c r="A2245" s="4"/>
      <c r="B2245" s="4"/>
      <c r="C2245" s="4"/>
      <c r="D2245" s="4"/>
      <c r="E2245" s="4"/>
      <c r="F2245" s="4" t="s">
        <v>17</v>
      </c>
      <c r="G2245" s="15"/>
      <c r="H2245" s="4"/>
      <c r="I2245" s="4"/>
      <c r="J2245" s="4"/>
      <c r="K2245" s="4"/>
      <c r="L2245" s="4"/>
      <c r="M2245" s="4"/>
      <c r="N2245" s="4"/>
      <c r="O2245" s="4"/>
      <c r="P2245" s="4"/>
      <c r="Q2245" s="4"/>
      <c r="R2245" s="4"/>
      <c r="S2245" s="4"/>
      <c r="T2245" s="4"/>
      <c r="U2245" s="4"/>
      <c r="V2245" s="4"/>
      <c r="W2245" s="4"/>
      <c r="X2245" s="4"/>
      <c r="Y2245" s="4"/>
      <c r="Z2245" s="4"/>
      <c r="AA2245" s="4"/>
      <c r="AB2245" s="4"/>
      <c r="AC2245" s="4"/>
      <c r="AD2245" s="4"/>
      <c r="AE2245" s="4"/>
      <c r="AF2245" s="4"/>
      <c r="AG2245" s="4"/>
      <c r="AH2245" s="4"/>
      <c r="AI2245" s="4"/>
      <c r="AJ2245" s="4"/>
      <c r="AK2245" s="4"/>
      <c r="AL2245" s="4"/>
      <c r="AM2245" s="4"/>
      <c r="AN2245" s="4"/>
      <c r="AO2245" s="4"/>
      <c r="AP2245" s="4"/>
      <c r="AQ2245" s="4"/>
      <c r="AR2245" s="4"/>
      <c r="AS2245" s="4"/>
      <c r="AT2245" s="4"/>
      <c r="AU2245" s="4"/>
      <c r="AV2245" s="4"/>
      <c r="AW2245" s="4"/>
      <c r="AX2245" s="4"/>
      <c r="AY2245" s="4"/>
      <c r="AZ2245" s="4"/>
      <c r="BA2245" s="4"/>
      <c r="BB2245" s="4"/>
      <c r="BC2245" s="4"/>
      <c r="BD2245" s="4"/>
      <c r="BE2245" s="4"/>
      <c r="BF2245" s="4"/>
      <c r="BG2245" s="4"/>
      <c r="BH2245" s="4"/>
      <c r="BI2245" s="4"/>
      <c r="BJ2245" s="4"/>
      <c r="BK2245" s="4"/>
      <c r="BL2245" s="4"/>
      <c r="BM2245" s="4"/>
      <c r="BN2245" s="4"/>
      <c r="BO2245" s="4"/>
      <c r="BP2245" s="4"/>
      <c r="BQ2245" s="4"/>
      <c r="BR2245" s="4"/>
      <c r="BS2245" s="4"/>
      <c r="BT2245" s="4"/>
      <c r="BU2245" s="4"/>
      <c r="BV2245" s="4"/>
      <c r="BW2245" s="4"/>
      <c r="BX2245" s="4"/>
      <c r="BY2245" s="4"/>
      <c r="BZ2245" s="4"/>
      <c r="CA2245" s="4"/>
      <c r="CB2245" s="4"/>
      <c r="CC2245" s="4"/>
      <c r="CD2245" s="4"/>
      <c r="CE2245" s="4"/>
      <c r="CF2245" s="4"/>
      <c r="CG2245" s="4"/>
      <c r="CH2245" s="4"/>
      <c r="CI2245" s="4"/>
      <c r="CJ2245" s="4"/>
      <c r="CK2245" s="4"/>
      <c r="CL2245" s="4"/>
      <c r="CM2245" s="4"/>
      <c r="CN2245" s="4"/>
      <c r="CO2245" s="4"/>
      <c r="CP2245" s="4"/>
      <c r="CQ2245" s="4"/>
      <c r="CR2245" s="4"/>
      <c r="CS2245" s="4"/>
      <c r="CT2245" s="4"/>
      <c r="CU2245" s="4"/>
      <c r="CV2245" s="4"/>
      <c r="CW2245" s="4"/>
      <c r="CX2245" s="4"/>
      <c r="CY2245" s="4"/>
      <c r="CZ2245" s="4"/>
      <c r="DA2245" s="4"/>
      <c r="DB2245" s="4"/>
      <c r="DC2245" s="4"/>
      <c r="DD2245" s="4"/>
      <c r="DE2245" s="4"/>
      <c r="DF2245" s="4"/>
      <c r="DG2245" s="4"/>
      <c r="DH2245" s="4"/>
      <c r="DI2245" s="4"/>
      <c r="DJ2245" s="4"/>
      <c r="DK2245" s="4"/>
      <c r="DL2245" s="4"/>
      <c r="DM2245" s="4"/>
      <c r="DN2245" s="4"/>
      <c r="DO2245" s="4"/>
      <c r="DP2245" s="4"/>
      <c r="DQ2245" s="4"/>
      <c r="DR2245" s="4"/>
      <c r="DS2245" s="4"/>
    </row>
    <row r="2246">
      <c r="A2246" s="4"/>
      <c r="B2246" s="4"/>
      <c r="C2246" s="4"/>
      <c r="D2246" s="4"/>
      <c r="E2246" s="4"/>
      <c r="F2246" s="4" t="s">
        <v>17</v>
      </c>
      <c r="G2246" s="15"/>
      <c r="H2246" s="4"/>
      <c r="I2246" s="4"/>
      <c r="J2246" s="4"/>
      <c r="K2246" s="4"/>
      <c r="L2246" s="4"/>
      <c r="M2246" s="4"/>
      <c r="N2246" s="4"/>
      <c r="O2246" s="4"/>
      <c r="P2246" s="4"/>
      <c r="Q2246" s="4"/>
      <c r="R2246" s="4"/>
      <c r="S2246" s="4"/>
      <c r="T2246" s="4"/>
      <c r="U2246" s="4"/>
      <c r="V2246" s="4"/>
      <c r="W2246" s="4"/>
      <c r="X2246" s="4"/>
      <c r="Y2246" s="4"/>
      <c r="Z2246" s="4"/>
      <c r="AA2246" s="4"/>
      <c r="AB2246" s="4"/>
      <c r="AC2246" s="4"/>
      <c r="AD2246" s="4"/>
      <c r="AE2246" s="4"/>
      <c r="AF2246" s="4"/>
      <c r="AG2246" s="4"/>
      <c r="AH2246" s="4"/>
      <c r="AI2246" s="4"/>
      <c r="AJ2246" s="4"/>
      <c r="AK2246" s="4"/>
      <c r="AL2246" s="4"/>
      <c r="AM2246" s="4"/>
      <c r="AN2246" s="4"/>
      <c r="AO2246" s="4"/>
      <c r="AP2246" s="4"/>
      <c r="AQ2246" s="4"/>
      <c r="AR2246" s="4"/>
      <c r="AS2246" s="4"/>
      <c r="AT2246" s="4"/>
      <c r="AU2246" s="4"/>
      <c r="AV2246" s="4"/>
      <c r="AW2246" s="4"/>
      <c r="AX2246" s="4"/>
      <c r="AY2246" s="4"/>
      <c r="AZ2246" s="4"/>
      <c r="BA2246" s="4"/>
      <c r="BB2246" s="4"/>
      <c r="BC2246" s="4"/>
      <c r="BD2246" s="4"/>
      <c r="BE2246" s="4"/>
      <c r="BF2246" s="4"/>
      <c r="BG2246" s="4"/>
      <c r="BH2246" s="4"/>
      <c r="BI2246" s="4"/>
      <c r="BJ2246" s="4"/>
      <c r="BK2246" s="4"/>
      <c r="BL2246" s="4"/>
      <c r="BM2246" s="4"/>
      <c r="BN2246" s="4"/>
      <c r="BO2246" s="4"/>
      <c r="BP2246" s="4"/>
      <c r="BQ2246" s="4"/>
      <c r="BR2246" s="4"/>
      <c r="BS2246" s="4"/>
      <c r="BT2246" s="4"/>
      <c r="BU2246" s="4"/>
      <c r="BV2246" s="4"/>
      <c r="BW2246" s="4"/>
      <c r="BX2246" s="4"/>
      <c r="BY2246" s="4"/>
      <c r="BZ2246" s="4"/>
      <c r="CA2246" s="4"/>
      <c r="CB2246" s="4"/>
      <c r="CC2246" s="4"/>
      <c r="CD2246" s="4"/>
      <c r="CE2246" s="4"/>
      <c r="CF2246" s="4"/>
      <c r="CG2246" s="4"/>
      <c r="CH2246" s="4"/>
      <c r="CI2246" s="4"/>
      <c r="CJ2246" s="4"/>
      <c r="CK2246" s="4"/>
      <c r="CL2246" s="4"/>
      <c r="CM2246" s="4"/>
      <c r="CN2246" s="4"/>
      <c r="CO2246" s="4"/>
      <c r="CP2246" s="4"/>
      <c r="CQ2246" s="4"/>
      <c r="CR2246" s="4"/>
      <c r="CS2246" s="4"/>
      <c r="CT2246" s="4"/>
      <c r="CU2246" s="4"/>
      <c r="CV2246" s="4"/>
      <c r="CW2246" s="4"/>
      <c r="CX2246" s="4"/>
      <c r="CY2246" s="4"/>
      <c r="CZ2246" s="4"/>
      <c r="DA2246" s="4"/>
      <c r="DB2246" s="4"/>
      <c r="DC2246" s="4"/>
      <c r="DD2246" s="4"/>
      <c r="DE2246" s="4"/>
      <c r="DF2246" s="4"/>
      <c r="DG2246" s="4"/>
      <c r="DH2246" s="4"/>
      <c r="DI2246" s="4"/>
      <c r="DJ2246" s="4"/>
      <c r="DK2246" s="4"/>
      <c r="DL2246" s="4"/>
      <c r="DM2246" s="4"/>
      <c r="DN2246" s="4"/>
      <c r="DO2246" s="4"/>
      <c r="DP2246" s="4"/>
      <c r="DQ2246" s="4"/>
      <c r="DR2246" s="4"/>
      <c r="DS2246" s="4"/>
    </row>
    <row r="2247">
      <c r="A2247" s="4"/>
      <c r="B2247" s="4"/>
      <c r="C2247" s="4"/>
      <c r="D2247" s="4"/>
      <c r="E2247" s="4"/>
      <c r="F2247" s="4" t="s">
        <v>17</v>
      </c>
      <c r="G2247" s="15"/>
      <c r="H2247" s="4"/>
      <c r="I2247" s="4"/>
      <c r="J2247" s="4"/>
      <c r="K2247" s="4"/>
      <c r="L2247" s="4"/>
      <c r="M2247" s="4"/>
      <c r="N2247" s="4"/>
      <c r="O2247" s="4"/>
      <c r="P2247" s="4"/>
      <c r="Q2247" s="4"/>
      <c r="R2247" s="4"/>
      <c r="S2247" s="4"/>
      <c r="T2247" s="4"/>
      <c r="U2247" s="4"/>
      <c r="V2247" s="4"/>
      <c r="W2247" s="4"/>
      <c r="X2247" s="4"/>
      <c r="Y2247" s="4"/>
      <c r="Z2247" s="4"/>
      <c r="AA2247" s="4"/>
      <c r="AB2247" s="4"/>
      <c r="AC2247" s="4"/>
      <c r="AD2247" s="4"/>
      <c r="AE2247" s="4"/>
      <c r="AF2247" s="4"/>
      <c r="AG2247" s="4"/>
      <c r="AH2247" s="4"/>
      <c r="AI2247" s="4"/>
      <c r="AJ2247" s="4"/>
      <c r="AK2247" s="4"/>
      <c r="AL2247" s="4"/>
      <c r="AM2247" s="4"/>
      <c r="AN2247" s="4"/>
      <c r="AO2247" s="4"/>
      <c r="AP2247" s="4"/>
      <c r="AQ2247" s="4"/>
      <c r="AR2247" s="4"/>
      <c r="AS2247" s="4"/>
      <c r="AT2247" s="4"/>
      <c r="AU2247" s="4"/>
      <c r="AV2247" s="4"/>
      <c r="AW2247" s="4"/>
      <c r="AX2247" s="4"/>
      <c r="AY2247" s="4"/>
      <c r="AZ2247" s="4"/>
      <c r="BA2247" s="4"/>
      <c r="BB2247" s="4"/>
      <c r="BC2247" s="4"/>
      <c r="BD2247" s="4"/>
      <c r="BE2247" s="4"/>
      <c r="BF2247" s="4"/>
      <c r="BG2247" s="4"/>
      <c r="BH2247" s="4"/>
      <c r="BI2247" s="4"/>
      <c r="BJ2247" s="4"/>
      <c r="BK2247" s="4"/>
      <c r="BL2247" s="4"/>
      <c r="BM2247" s="4"/>
      <c r="BN2247" s="4"/>
      <c r="BO2247" s="4"/>
      <c r="BP2247" s="4"/>
      <c r="BQ2247" s="4"/>
      <c r="BR2247" s="4"/>
      <c r="BS2247" s="4"/>
      <c r="BT2247" s="4"/>
      <c r="BU2247" s="4"/>
      <c r="BV2247" s="4"/>
      <c r="BW2247" s="4"/>
      <c r="BX2247" s="4"/>
      <c r="BY2247" s="4"/>
      <c r="BZ2247" s="4"/>
      <c r="CA2247" s="4"/>
      <c r="CB2247" s="4"/>
      <c r="CC2247" s="4"/>
      <c r="CD2247" s="4"/>
      <c r="CE2247" s="4"/>
      <c r="CF2247" s="4"/>
      <c r="CG2247" s="4"/>
      <c r="CH2247" s="4"/>
      <c r="CI2247" s="4"/>
      <c r="CJ2247" s="4"/>
      <c r="CK2247" s="4"/>
      <c r="CL2247" s="4"/>
      <c r="CM2247" s="4"/>
      <c r="CN2247" s="4"/>
      <c r="CO2247" s="4"/>
      <c r="CP2247" s="4"/>
      <c r="CQ2247" s="4"/>
      <c r="CR2247" s="4"/>
      <c r="CS2247" s="4"/>
      <c r="CT2247" s="4"/>
      <c r="CU2247" s="4"/>
      <c r="CV2247" s="4"/>
      <c r="CW2247" s="4"/>
      <c r="CX2247" s="4"/>
      <c r="CY2247" s="4"/>
      <c r="CZ2247" s="4"/>
      <c r="DA2247" s="4"/>
      <c r="DB2247" s="4"/>
      <c r="DC2247" s="4"/>
      <c r="DD2247" s="4"/>
      <c r="DE2247" s="4"/>
      <c r="DF2247" s="4"/>
      <c r="DG2247" s="4"/>
      <c r="DH2247" s="4"/>
      <c r="DI2247" s="4"/>
      <c r="DJ2247" s="4"/>
      <c r="DK2247" s="4"/>
      <c r="DL2247" s="4"/>
      <c r="DM2247" s="4"/>
      <c r="DN2247" s="4"/>
      <c r="DO2247" s="4"/>
      <c r="DP2247" s="4"/>
      <c r="DQ2247" s="4"/>
      <c r="DR2247" s="4"/>
      <c r="DS2247" s="4"/>
    </row>
    <row r="2248">
      <c r="A2248" s="4"/>
      <c r="B2248" s="4"/>
      <c r="C2248" s="4"/>
      <c r="D2248" s="4"/>
      <c r="E2248" s="4"/>
      <c r="F2248" s="4" t="s">
        <v>17</v>
      </c>
      <c r="G2248" s="15"/>
      <c r="H2248" s="4"/>
      <c r="I2248" s="4"/>
      <c r="J2248" s="4"/>
      <c r="K2248" s="4"/>
      <c r="L2248" s="4"/>
      <c r="M2248" s="4"/>
      <c r="N2248" s="4"/>
      <c r="O2248" s="4"/>
      <c r="P2248" s="4"/>
      <c r="Q2248" s="4"/>
      <c r="R2248" s="4"/>
      <c r="S2248" s="4"/>
      <c r="T2248" s="4"/>
      <c r="U2248" s="4"/>
      <c r="V2248" s="4"/>
      <c r="W2248" s="4"/>
      <c r="X2248" s="4"/>
      <c r="Y2248" s="4"/>
      <c r="Z2248" s="4"/>
      <c r="AA2248" s="4"/>
      <c r="AB2248" s="4"/>
      <c r="AC2248" s="4"/>
      <c r="AD2248" s="4"/>
      <c r="AE2248" s="4"/>
      <c r="AF2248" s="4"/>
      <c r="AG2248" s="4"/>
      <c r="AH2248" s="4"/>
      <c r="AI2248" s="4"/>
      <c r="AJ2248" s="4"/>
      <c r="AK2248" s="4"/>
      <c r="AL2248" s="4"/>
      <c r="AM2248" s="4"/>
      <c r="AN2248" s="4"/>
      <c r="AO2248" s="4"/>
      <c r="AP2248" s="4"/>
      <c r="AQ2248" s="4"/>
      <c r="AR2248" s="4"/>
      <c r="AS2248" s="4"/>
      <c r="AT2248" s="4"/>
      <c r="AU2248" s="4"/>
      <c r="AV2248" s="4"/>
      <c r="AW2248" s="4"/>
      <c r="AX2248" s="4"/>
      <c r="AY2248" s="4"/>
      <c r="AZ2248" s="4"/>
      <c r="BA2248" s="4"/>
      <c r="BB2248" s="4"/>
      <c r="BC2248" s="4"/>
      <c r="BD2248" s="4"/>
      <c r="BE2248" s="4"/>
      <c r="BF2248" s="4"/>
      <c r="BG2248" s="4"/>
      <c r="BH2248" s="4"/>
      <c r="BI2248" s="4"/>
      <c r="BJ2248" s="4"/>
      <c r="BK2248" s="4"/>
      <c r="BL2248" s="4"/>
      <c r="BM2248" s="4"/>
      <c r="BN2248" s="4"/>
      <c r="BO2248" s="4"/>
      <c r="BP2248" s="4"/>
      <c r="BQ2248" s="4"/>
      <c r="BR2248" s="4"/>
      <c r="BS2248" s="4"/>
      <c r="BT2248" s="4"/>
      <c r="BU2248" s="4"/>
      <c r="BV2248" s="4"/>
      <c r="BW2248" s="4"/>
      <c r="BX2248" s="4"/>
      <c r="BY2248" s="4"/>
      <c r="BZ2248" s="4"/>
      <c r="CA2248" s="4"/>
      <c r="CB2248" s="4"/>
      <c r="CC2248" s="4"/>
      <c r="CD2248" s="4"/>
      <c r="CE2248" s="4"/>
      <c r="CF2248" s="4"/>
      <c r="CG2248" s="4"/>
      <c r="CH2248" s="4"/>
      <c r="CI2248" s="4"/>
      <c r="CJ2248" s="4"/>
      <c r="CK2248" s="4"/>
      <c r="CL2248" s="4"/>
      <c r="CM2248" s="4"/>
      <c r="CN2248" s="4"/>
      <c r="CO2248" s="4"/>
      <c r="CP2248" s="4"/>
      <c r="CQ2248" s="4"/>
      <c r="CR2248" s="4"/>
      <c r="CS2248" s="4"/>
      <c r="CT2248" s="4"/>
      <c r="CU2248" s="4"/>
      <c r="CV2248" s="4"/>
      <c r="CW2248" s="4"/>
      <c r="CX2248" s="4"/>
      <c r="CY2248" s="4"/>
      <c r="CZ2248" s="4"/>
      <c r="DA2248" s="4"/>
      <c r="DB2248" s="4"/>
      <c r="DC2248" s="4"/>
      <c r="DD2248" s="4"/>
      <c r="DE2248" s="4"/>
      <c r="DF2248" s="4"/>
      <c r="DG2248" s="4"/>
      <c r="DH2248" s="4"/>
      <c r="DI2248" s="4"/>
      <c r="DJ2248" s="4"/>
      <c r="DK2248" s="4"/>
      <c r="DL2248" s="4"/>
      <c r="DM2248" s="4"/>
      <c r="DN2248" s="4"/>
      <c r="DO2248" s="4"/>
      <c r="DP2248" s="4"/>
      <c r="DQ2248" s="4"/>
      <c r="DR2248" s="4"/>
      <c r="DS2248" s="4"/>
    </row>
    <row r="2249">
      <c r="A2249" s="4"/>
      <c r="B2249" s="4"/>
      <c r="C2249" s="4"/>
      <c r="D2249" s="4"/>
      <c r="E2249" s="4"/>
      <c r="F2249" s="4" t="s">
        <v>17</v>
      </c>
      <c r="G2249" s="15"/>
      <c r="H2249" s="4"/>
      <c r="I2249" s="4"/>
      <c r="J2249" s="4"/>
      <c r="K2249" s="4"/>
      <c r="L2249" s="4"/>
      <c r="M2249" s="4"/>
      <c r="N2249" s="4"/>
      <c r="O2249" s="4"/>
      <c r="P2249" s="4"/>
      <c r="Q2249" s="4"/>
      <c r="R2249" s="4"/>
      <c r="S2249" s="4"/>
      <c r="T2249" s="4"/>
      <c r="U2249" s="4"/>
      <c r="V2249" s="4"/>
      <c r="W2249" s="4"/>
      <c r="X2249" s="4"/>
      <c r="Y2249" s="4"/>
      <c r="Z2249" s="4"/>
      <c r="AA2249" s="4"/>
      <c r="AB2249" s="4"/>
      <c r="AC2249" s="4"/>
      <c r="AD2249" s="4"/>
      <c r="AE2249" s="4"/>
      <c r="AF2249" s="4"/>
      <c r="AG2249" s="4"/>
      <c r="AH2249" s="4"/>
      <c r="AI2249" s="4"/>
      <c r="AJ2249" s="4"/>
      <c r="AK2249" s="4"/>
      <c r="AL2249" s="4"/>
      <c r="AM2249" s="4"/>
      <c r="AN2249" s="4"/>
      <c r="AO2249" s="4"/>
      <c r="AP2249" s="4"/>
      <c r="AQ2249" s="4"/>
      <c r="AR2249" s="4"/>
      <c r="AS2249" s="4"/>
      <c r="AT2249" s="4"/>
      <c r="AU2249" s="4"/>
      <c r="AV2249" s="4"/>
      <c r="AW2249" s="4"/>
      <c r="AX2249" s="4"/>
      <c r="AY2249" s="4"/>
      <c r="AZ2249" s="4"/>
      <c r="BA2249" s="4"/>
      <c r="BB2249" s="4"/>
      <c r="BC2249" s="4"/>
      <c r="BD2249" s="4"/>
      <c r="BE2249" s="4"/>
      <c r="BF2249" s="4"/>
      <c r="BG2249" s="4"/>
      <c r="BH2249" s="4"/>
      <c r="BI2249" s="4"/>
      <c r="BJ2249" s="4"/>
      <c r="BK2249" s="4"/>
      <c r="BL2249" s="4"/>
      <c r="BM2249" s="4"/>
      <c r="BN2249" s="4"/>
      <c r="BO2249" s="4"/>
      <c r="BP2249" s="4"/>
      <c r="BQ2249" s="4"/>
      <c r="BR2249" s="4"/>
      <c r="BS2249" s="4"/>
      <c r="BT2249" s="4"/>
      <c r="BU2249" s="4"/>
      <c r="BV2249" s="4"/>
      <c r="BW2249" s="4"/>
      <c r="BX2249" s="4"/>
      <c r="BY2249" s="4"/>
      <c r="BZ2249" s="4"/>
      <c r="CA2249" s="4"/>
      <c r="CB2249" s="4"/>
      <c r="CC2249" s="4"/>
      <c r="CD2249" s="4"/>
      <c r="CE2249" s="4"/>
      <c r="CF2249" s="4"/>
      <c r="CG2249" s="4"/>
      <c r="CH2249" s="4"/>
      <c r="CI2249" s="4"/>
      <c r="CJ2249" s="4"/>
      <c r="CK2249" s="4"/>
      <c r="CL2249" s="4"/>
      <c r="CM2249" s="4"/>
      <c r="CN2249" s="4"/>
      <c r="CO2249" s="4"/>
      <c r="CP2249" s="4"/>
      <c r="CQ2249" s="4"/>
      <c r="CR2249" s="4"/>
      <c r="CS2249" s="4"/>
      <c r="CT2249" s="4"/>
      <c r="CU2249" s="4"/>
      <c r="CV2249" s="4"/>
      <c r="CW2249" s="4"/>
      <c r="CX2249" s="4"/>
      <c r="CY2249" s="4"/>
      <c r="CZ2249" s="4"/>
      <c r="DA2249" s="4"/>
      <c r="DB2249" s="4"/>
      <c r="DC2249" s="4"/>
      <c r="DD2249" s="4"/>
      <c r="DE2249" s="4"/>
      <c r="DF2249" s="4"/>
      <c r="DG2249" s="4"/>
      <c r="DH2249" s="4"/>
      <c r="DI2249" s="4"/>
      <c r="DJ2249" s="4"/>
      <c r="DK2249" s="4"/>
      <c r="DL2249" s="4"/>
      <c r="DM2249" s="4"/>
      <c r="DN2249" s="4"/>
      <c r="DO2249" s="4"/>
      <c r="DP2249" s="4"/>
      <c r="DQ2249" s="4"/>
      <c r="DR2249" s="4"/>
      <c r="DS2249" s="4"/>
    </row>
    <row r="2250">
      <c r="A2250" s="4"/>
      <c r="B2250" s="4"/>
      <c r="C2250" s="4"/>
      <c r="D2250" s="4"/>
      <c r="E2250" s="4"/>
      <c r="F2250" s="4" t="s">
        <v>17</v>
      </c>
      <c r="G2250" s="15"/>
      <c r="H2250" s="4"/>
      <c r="I2250" s="4"/>
      <c r="J2250" s="4"/>
      <c r="K2250" s="4"/>
      <c r="L2250" s="4"/>
      <c r="M2250" s="4"/>
      <c r="N2250" s="4"/>
      <c r="O2250" s="4"/>
      <c r="P2250" s="4"/>
      <c r="Q2250" s="4"/>
      <c r="R2250" s="4"/>
      <c r="S2250" s="4"/>
      <c r="T2250" s="4"/>
      <c r="U2250" s="4"/>
      <c r="V2250" s="4"/>
      <c r="W2250" s="4"/>
      <c r="X2250" s="4"/>
      <c r="Y2250" s="4"/>
      <c r="Z2250" s="4"/>
      <c r="AA2250" s="4"/>
      <c r="AB2250" s="4"/>
      <c r="AC2250" s="4"/>
      <c r="AD2250" s="4"/>
      <c r="AE2250" s="4"/>
      <c r="AF2250" s="4"/>
      <c r="AG2250" s="4"/>
      <c r="AH2250" s="4"/>
      <c r="AI2250" s="4"/>
      <c r="AJ2250" s="4"/>
      <c r="AK2250" s="4"/>
      <c r="AL2250" s="4"/>
      <c r="AM2250" s="4"/>
      <c r="AN2250" s="4"/>
      <c r="AO2250" s="4"/>
      <c r="AP2250" s="4"/>
      <c r="AQ2250" s="4"/>
      <c r="AR2250" s="4"/>
      <c r="AS2250" s="4"/>
      <c r="AT2250" s="4"/>
      <c r="AU2250" s="4"/>
      <c r="AV2250" s="4"/>
      <c r="AW2250" s="4"/>
      <c r="AX2250" s="4"/>
      <c r="AY2250" s="4"/>
      <c r="AZ2250" s="4"/>
      <c r="BA2250" s="4"/>
      <c r="BB2250" s="4"/>
      <c r="BC2250" s="4"/>
      <c r="BD2250" s="4"/>
      <c r="BE2250" s="4"/>
      <c r="BF2250" s="4"/>
      <c r="BG2250" s="4"/>
      <c r="BH2250" s="4"/>
      <c r="BI2250" s="4"/>
      <c r="BJ2250" s="4"/>
      <c r="BK2250" s="4"/>
      <c r="BL2250" s="4"/>
      <c r="BM2250" s="4"/>
      <c r="BN2250" s="4"/>
      <c r="BO2250" s="4"/>
      <c r="BP2250" s="4"/>
      <c r="BQ2250" s="4"/>
      <c r="BR2250" s="4"/>
      <c r="BS2250" s="4"/>
      <c r="BT2250" s="4"/>
      <c r="BU2250" s="4"/>
      <c r="BV2250" s="4"/>
      <c r="BW2250" s="4"/>
      <c r="BX2250" s="4"/>
      <c r="BY2250" s="4"/>
      <c r="BZ2250" s="4"/>
      <c r="CA2250" s="4"/>
      <c r="CB2250" s="4"/>
      <c r="CC2250" s="4"/>
      <c r="CD2250" s="4"/>
      <c r="CE2250" s="4"/>
      <c r="CF2250" s="4"/>
      <c r="CG2250" s="4"/>
      <c r="CH2250" s="4"/>
      <c r="CI2250" s="4"/>
      <c r="CJ2250" s="4"/>
      <c r="CK2250" s="4"/>
      <c r="CL2250" s="4"/>
      <c r="CM2250" s="4"/>
      <c r="CN2250" s="4"/>
      <c r="CO2250" s="4"/>
      <c r="CP2250" s="4"/>
      <c r="CQ2250" s="4"/>
      <c r="CR2250" s="4"/>
      <c r="CS2250" s="4"/>
      <c r="CT2250" s="4"/>
      <c r="CU2250" s="4"/>
      <c r="CV2250" s="4"/>
      <c r="CW2250" s="4"/>
      <c r="CX2250" s="4"/>
      <c r="CY2250" s="4"/>
      <c r="CZ2250" s="4"/>
      <c r="DA2250" s="4"/>
      <c r="DB2250" s="4"/>
      <c r="DC2250" s="4"/>
      <c r="DD2250" s="4"/>
      <c r="DE2250" s="4"/>
      <c r="DF2250" s="4"/>
      <c r="DG2250" s="4"/>
      <c r="DH2250" s="4"/>
      <c r="DI2250" s="4"/>
      <c r="DJ2250" s="4"/>
      <c r="DK2250" s="4"/>
      <c r="DL2250" s="4"/>
      <c r="DM2250" s="4"/>
      <c r="DN2250" s="4"/>
      <c r="DO2250" s="4"/>
      <c r="DP2250" s="4"/>
      <c r="DQ2250" s="4"/>
      <c r="DR2250" s="4"/>
      <c r="DS2250" s="4"/>
    </row>
    <row r="2251">
      <c r="A2251" s="4"/>
      <c r="B2251" s="4"/>
      <c r="C2251" s="4"/>
      <c r="D2251" s="4"/>
      <c r="E2251" s="4"/>
      <c r="F2251" s="4" t="s">
        <v>17</v>
      </c>
      <c r="G2251" s="15"/>
      <c r="H2251" s="4"/>
      <c r="I2251" s="4"/>
      <c r="J2251" s="4"/>
      <c r="K2251" s="4"/>
      <c r="L2251" s="4"/>
      <c r="M2251" s="4"/>
      <c r="N2251" s="4"/>
      <c r="O2251" s="4"/>
      <c r="P2251" s="4"/>
      <c r="Q2251" s="4"/>
      <c r="R2251" s="4"/>
      <c r="S2251" s="4"/>
      <c r="T2251" s="4"/>
      <c r="U2251" s="4"/>
      <c r="V2251" s="4"/>
      <c r="W2251" s="4"/>
      <c r="X2251" s="4"/>
      <c r="Y2251" s="4"/>
      <c r="Z2251" s="4"/>
      <c r="AA2251" s="4"/>
      <c r="AB2251" s="4"/>
      <c r="AC2251" s="4"/>
      <c r="AD2251" s="4"/>
      <c r="AE2251" s="4"/>
      <c r="AF2251" s="4"/>
      <c r="AG2251" s="4"/>
      <c r="AH2251" s="4"/>
      <c r="AI2251" s="4"/>
      <c r="AJ2251" s="4"/>
      <c r="AK2251" s="4"/>
      <c r="AL2251" s="4"/>
      <c r="AM2251" s="4"/>
      <c r="AN2251" s="4"/>
      <c r="AO2251" s="4"/>
      <c r="AP2251" s="4"/>
      <c r="AQ2251" s="4"/>
      <c r="AR2251" s="4"/>
      <c r="AS2251" s="4"/>
      <c r="AT2251" s="4"/>
      <c r="AU2251" s="4"/>
      <c r="AV2251" s="4"/>
      <c r="AW2251" s="4"/>
      <c r="AX2251" s="4"/>
      <c r="AY2251" s="4"/>
      <c r="AZ2251" s="4"/>
      <c r="BA2251" s="4"/>
      <c r="BB2251" s="4"/>
      <c r="BC2251" s="4"/>
      <c r="BD2251" s="4"/>
      <c r="BE2251" s="4"/>
      <c r="BF2251" s="4"/>
      <c r="BG2251" s="4"/>
      <c r="BH2251" s="4"/>
      <c r="BI2251" s="4"/>
      <c r="BJ2251" s="4"/>
      <c r="BK2251" s="4"/>
      <c r="BL2251" s="4"/>
      <c r="BM2251" s="4"/>
      <c r="BN2251" s="4"/>
      <c r="BO2251" s="4"/>
      <c r="BP2251" s="4"/>
      <c r="BQ2251" s="4"/>
      <c r="BR2251" s="4"/>
      <c r="BS2251" s="4"/>
      <c r="BT2251" s="4"/>
      <c r="BU2251" s="4"/>
      <c r="BV2251" s="4"/>
      <c r="BW2251" s="4"/>
      <c r="BX2251" s="4"/>
      <c r="BY2251" s="4"/>
      <c r="BZ2251" s="4"/>
      <c r="CA2251" s="4"/>
      <c r="CB2251" s="4"/>
      <c r="CC2251" s="4"/>
      <c r="CD2251" s="4"/>
      <c r="CE2251" s="4"/>
      <c r="CF2251" s="4"/>
      <c r="CG2251" s="4"/>
      <c r="CH2251" s="4"/>
      <c r="CI2251" s="4"/>
      <c r="CJ2251" s="4"/>
      <c r="CK2251" s="4"/>
      <c r="CL2251" s="4"/>
      <c r="CM2251" s="4"/>
      <c r="CN2251" s="4"/>
      <c r="CO2251" s="4"/>
      <c r="CP2251" s="4"/>
      <c r="CQ2251" s="4"/>
      <c r="CR2251" s="4"/>
      <c r="CS2251" s="4"/>
      <c r="CT2251" s="4"/>
      <c r="CU2251" s="4"/>
      <c r="CV2251" s="4"/>
      <c r="CW2251" s="4"/>
      <c r="CX2251" s="4"/>
      <c r="CY2251" s="4"/>
      <c r="CZ2251" s="4"/>
      <c r="DA2251" s="4"/>
      <c r="DB2251" s="4"/>
      <c r="DC2251" s="4"/>
      <c r="DD2251" s="4"/>
      <c r="DE2251" s="4"/>
      <c r="DF2251" s="4"/>
      <c r="DG2251" s="4"/>
      <c r="DH2251" s="4"/>
      <c r="DI2251" s="4"/>
      <c r="DJ2251" s="4"/>
      <c r="DK2251" s="4"/>
      <c r="DL2251" s="4"/>
      <c r="DM2251" s="4"/>
      <c r="DN2251" s="4"/>
      <c r="DO2251" s="4"/>
      <c r="DP2251" s="4"/>
      <c r="DQ2251" s="4"/>
      <c r="DR2251" s="4"/>
      <c r="DS2251" s="4"/>
    </row>
    <row r="2252">
      <c r="A2252" s="4"/>
      <c r="B2252" s="4"/>
      <c r="C2252" s="4"/>
      <c r="D2252" s="4"/>
      <c r="E2252" s="4"/>
      <c r="F2252" s="4" t="s">
        <v>17</v>
      </c>
      <c r="G2252" s="15"/>
      <c r="H2252" s="4"/>
      <c r="I2252" s="4"/>
      <c r="J2252" s="4"/>
      <c r="K2252" s="4"/>
      <c r="L2252" s="4"/>
      <c r="M2252" s="4"/>
      <c r="N2252" s="4"/>
      <c r="O2252" s="4"/>
      <c r="P2252" s="4"/>
      <c r="Q2252" s="4"/>
      <c r="R2252" s="4"/>
      <c r="S2252" s="4"/>
      <c r="T2252" s="4"/>
      <c r="U2252" s="4"/>
      <c r="V2252" s="4"/>
      <c r="W2252" s="4"/>
      <c r="X2252" s="4"/>
      <c r="Y2252" s="4"/>
      <c r="Z2252" s="4"/>
      <c r="AA2252" s="4"/>
      <c r="AB2252" s="4"/>
      <c r="AC2252" s="4"/>
      <c r="AD2252" s="4"/>
      <c r="AE2252" s="4"/>
      <c r="AF2252" s="4"/>
      <c r="AG2252" s="4"/>
      <c r="AH2252" s="4"/>
      <c r="AI2252" s="4"/>
      <c r="AJ2252" s="4"/>
      <c r="AK2252" s="4"/>
      <c r="AL2252" s="4"/>
      <c r="AM2252" s="4"/>
      <c r="AN2252" s="4"/>
      <c r="AO2252" s="4"/>
      <c r="AP2252" s="4"/>
      <c r="AQ2252" s="4"/>
      <c r="AR2252" s="4"/>
      <c r="AS2252" s="4"/>
      <c r="AT2252" s="4"/>
      <c r="AU2252" s="4"/>
      <c r="AV2252" s="4"/>
      <c r="AW2252" s="4"/>
      <c r="AX2252" s="4"/>
      <c r="AY2252" s="4"/>
      <c r="AZ2252" s="4"/>
      <c r="BA2252" s="4"/>
      <c r="BB2252" s="4"/>
      <c r="BC2252" s="4"/>
      <c r="BD2252" s="4"/>
      <c r="BE2252" s="4"/>
      <c r="BF2252" s="4"/>
      <c r="BG2252" s="4"/>
      <c r="BH2252" s="4"/>
      <c r="BI2252" s="4"/>
      <c r="BJ2252" s="4"/>
      <c r="BK2252" s="4"/>
      <c r="BL2252" s="4"/>
      <c r="BM2252" s="4"/>
      <c r="BN2252" s="4"/>
      <c r="BO2252" s="4"/>
      <c r="BP2252" s="4"/>
      <c r="BQ2252" s="4"/>
      <c r="BR2252" s="4"/>
      <c r="BS2252" s="4"/>
      <c r="BT2252" s="4"/>
      <c r="BU2252" s="4"/>
      <c r="BV2252" s="4"/>
      <c r="BW2252" s="4"/>
      <c r="BX2252" s="4"/>
      <c r="BY2252" s="4"/>
      <c r="BZ2252" s="4"/>
      <c r="CA2252" s="4"/>
      <c r="CB2252" s="4"/>
      <c r="CC2252" s="4"/>
      <c r="CD2252" s="4"/>
      <c r="CE2252" s="4"/>
      <c r="CF2252" s="4"/>
      <c r="CG2252" s="4"/>
      <c r="CH2252" s="4"/>
      <c r="CI2252" s="4"/>
      <c r="CJ2252" s="4"/>
      <c r="CK2252" s="4"/>
      <c r="CL2252" s="4"/>
      <c r="CM2252" s="4"/>
      <c r="CN2252" s="4"/>
      <c r="CO2252" s="4"/>
      <c r="CP2252" s="4"/>
      <c r="CQ2252" s="4"/>
      <c r="CR2252" s="4"/>
      <c r="CS2252" s="4"/>
      <c r="CT2252" s="4"/>
      <c r="CU2252" s="4"/>
      <c r="CV2252" s="4"/>
      <c r="CW2252" s="4"/>
      <c r="CX2252" s="4"/>
      <c r="CY2252" s="4"/>
      <c r="CZ2252" s="4"/>
      <c r="DA2252" s="4"/>
      <c r="DB2252" s="4"/>
      <c r="DC2252" s="4"/>
      <c r="DD2252" s="4"/>
      <c r="DE2252" s="4"/>
      <c r="DF2252" s="4"/>
      <c r="DG2252" s="4"/>
      <c r="DH2252" s="4"/>
      <c r="DI2252" s="4"/>
      <c r="DJ2252" s="4"/>
      <c r="DK2252" s="4"/>
      <c r="DL2252" s="4"/>
      <c r="DM2252" s="4"/>
      <c r="DN2252" s="4"/>
      <c r="DO2252" s="4"/>
      <c r="DP2252" s="4"/>
      <c r="DQ2252" s="4"/>
      <c r="DR2252" s="4"/>
      <c r="DS2252" s="4"/>
    </row>
    <row r="2253">
      <c r="A2253" s="4"/>
      <c r="B2253" s="4"/>
      <c r="C2253" s="4"/>
      <c r="D2253" s="4"/>
      <c r="E2253" s="4"/>
      <c r="F2253" s="4" t="s">
        <v>17</v>
      </c>
      <c r="G2253" s="15"/>
      <c r="H2253" s="4"/>
      <c r="I2253" s="4"/>
      <c r="J2253" s="4"/>
      <c r="K2253" s="4"/>
      <c r="L2253" s="4"/>
      <c r="M2253" s="4"/>
      <c r="N2253" s="4"/>
      <c r="O2253" s="4"/>
      <c r="P2253" s="4"/>
      <c r="Q2253" s="4"/>
      <c r="R2253" s="4"/>
      <c r="S2253" s="4"/>
      <c r="T2253" s="4"/>
      <c r="U2253" s="4"/>
      <c r="V2253" s="4"/>
      <c r="W2253" s="4"/>
      <c r="X2253" s="4"/>
      <c r="Y2253" s="4"/>
      <c r="Z2253" s="4"/>
      <c r="AA2253" s="4"/>
      <c r="AB2253" s="4"/>
      <c r="AC2253" s="4"/>
      <c r="AD2253" s="4"/>
      <c r="AE2253" s="4"/>
      <c r="AF2253" s="4"/>
      <c r="AG2253" s="4"/>
      <c r="AH2253" s="4"/>
      <c r="AI2253" s="4"/>
      <c r="AJ2253" s="4"/>
      <c r="AK2253" s="4"/>
      <c r="AL2253" s="4"/>
      <c r="AM2253" s="4"/>
      <c r="AN2253" s="4"/>
      <c r="AO2253" s="4"/>
      <c r="AP2253" s="4"/>
      <c r="AQ2253" s="4"/>
      <c r="AR2253" s="4"/>
      <c r="AS2253" s="4"/>
      <c r="AT2253" s="4"/>
      <c r="AU2253" s="4"/>
      <c r="AV2253" s="4"/>
      <c r="AW2253" s="4"/>
      <c r="AX2253" s="4"/>
      <c r="AY2253" s="4"/>
      <c r="AZ2253" s="4"/>
      <c r="BA2253" s="4"/>
      <c r="BB2253" s="4"/>
      <c r="BC2253" s="4"/>
      <c r="BD2253" s="4"/>
      <c r="BE2253" s="4"/>
      <c r="BF2253" s="4"/>
      <c r="BG2253" s="4"/>
      <c r="BH2253" s="4"/>
      <c r="BI2253" s="4"/>
      <c r="BJ2253" s="4"/>
      <c r="BK2253" s="4"/>
      <c r="BL2253" s="4"/>
      <c r="BM2253" s="4"/>
      <c r="BN2253" s="4"/>
      <c r="BO2253" s="4"/>
      <c r="BP2253" s="4"/>
      <c r="BQ2253" s="4"/>
      <c r="BR2253" s="4"/>
      <c r="BS2253" s="4"/>
      <c r="BT2253" s="4"/>
      <c r="BU2253" s="4"/>
      <c r="BV2253" s="4"/>
      <c r="BW2253" s="4"/>
      <c r="BX2253" s="4"/>
      <c r="BY2253" s="4"/>
      <c r="BZ2253" s="4"/>
      <c r="CA2253" s="4"/>
      <c r="CB2253" s="4"/>
      <c r="CC2253" s="4"/>
      <c r="CD2253" s="4"/>
      <c r="CE2253" s="4"/>
      <c r="CF2253" s="4"/>
      <c r="CG2253" s="4"/>
      <c r="CH2253" s="4"/>
      <c r="CI2253" s="4"/>
      <c r="CJ2253" s="4"/>
      <c r="CK2253" s="4"/>
      <c r="CL2253" s="4"/>
      <c r="CM2253" s="4"/>
      <c r="CN2253" s="4"/>
      <c r="CO2253" s="4"/>
      <c r="CP2253" s="4"/>
      <c r="CQ2253" s="4"/>
      <c r="CR2253" s="4"/>
      <c r="CS2253" s="4"/>
      <c r="CT2253" s="4"/>
      <c r="CU2253" s="4"/>
      <c r="CV2253" s="4"/>
      <c r="CW2253" s="4"/>
      <c r="CX2253" s="4"/>
      <c r="CY2253" s="4"/>
      <c r="CZ2253" s="4"/>
      <c r="DA2253" s="4"/>
      <c r="DB2253" s="4"/>
      <c r="DC2253" s="4"/>
      <c r="DD2253" s="4"/>
      <c r="DE2253" s="4"/>
      <c r="DF2253" s="4"/>
      <c r="DG2253" s="4"/>
      <c r="DH2253" s="4"/>
      <c r="DI2253" s="4"/>
      <c r="DJ2253" s="4"/>
      <c r="DK2253" s="4"/>
      <c r="DL2253" s="4"/>
      <c r="DM2253" s="4"/>
      <c r="DN2253" s="4"/>
      <c r="DO2253" s="4"/>
      <c r="DP2253" s="4"/>
      <c r="DQ2253" s="4"/>
      <c r="DR2253" s="4"/>
      <c r="DS2253" s="4"/>
    </row>
    <row r="2254">
      <c r="A2254" s="4"/>
      <c r="B2254" s="4"/>
      <c r="C2254" s="4"/>
      <c r="D2254" s="4"/>
      <c r="E2254" s="4"/>
      <c r="F2254" s="4" t="s">
        <v>17</v>
      </c>
      <c r="G2254" s="15"/>
      <c r="H2254" s="4"/>
      <c r="I2254" s="4"/>
      <c r="J2254" s="4"/>
      <c r="K2254" s="4"/>
      <c r="L2254" s="4"/>
      <c r="M2254" s="4"/>
      <c r="N2254" s="4"/>
      <c r="O2254" s="4"/>
      <c r="P2254" s="4"/>
      <c r="Q2254" s="4"/>
      <c r="R2254" s="4"/>
      <c r="S2254" s="4"/>
      <c r="T2254" s="4"/>
      <c r="U2254" s="4"/>
      <c r="V2254" s="4"/>
      <c r="W2254" s="4"/>
      <c r="X2254" s="4"/>
      <c r="Y2254" s="4"/>
      <c r="Z2254" s="4"/>
      <c r="AA2254" s="4"/>
      <c r="AB2254" s="4"/>
      <c r="AC2254" s="4"/>
      <c r="AD2254" s="4"/>
      <c r="AE2254" s="4"/>
      <c r="AF2254" s="4"/>
      <c r="AG2254" s="4"/>
      <c r="AH2254" s="4"/>
      <c r="AI2254" s="4"/>
      <c r="AJ2254" s="4"/>
      <c r="AK2254" s="4"/>
      <c r="AL2254" s="4"/>
      <c r="AM2254" s="4"/>
      <c r="AN2254" s="4"/>
      <c r="AO2254" s="4"/>
      <c r="AP2254" s="4"/>
      <c r="AQ2254" s="4"/>
      <c r="AR2254" s="4"/>
      <c r="AS2254" s="4"/>
      <c r="AT2254" s="4"/>
      <c r="AU2254" s="4"/>
      <c r="AV2254" s="4"/>
      <c r="AW2254" s="4"/>
      <c r="AX2254" s="4"/>
      <c r="AY2254" s="4"/>
      <c r="AZ2254" s="4"/>
      <c r="BA2254" s="4"/>
      <c r="BB2254" s="4"/>
      <c r="BC2254" s="4"/>
      <c r="BD2254" s="4"/>
      <c r="BE2254" s="4"/>
      <c r="BF2254" s="4"/>
      <c r="BG2254" s="4"/>
      <c r="BH2254" s="4"/>
      <c r="BI2254" s="4"/>
      <c r="BJ2254" s="4"/>
      <c r="BK2254" s="4"/>
      <c r="BL2254" s="4"/>
      <c r="BM2254" s="4"/>
      <c r="BN2254" s="4"/>
      <c r="BO2254" s="4"/>
      <c r="BP2254" s="4"/>
      <c r="BQ2254" s="4"/>
      <c r="BR2254" s="4"/>
      <c r="BS2254" s="4"/>
      <c r="BT2254" s="4"/>
      <c r="BU2254" s="4"/>
      <c r="BV2254" s="4"/>
      <c r="BW2254" s="4"/>
      <c r="BX2254" s="4"/>
      <c r="BY2254" s="4"/>
      <c r="BZ2254" s="4"/>
      <c r="CA2254" s="4"/>
      <c r="CB2254" s="4"/>
      <c r="CC2254" s="4"/>
      <c r="CD2254" s="4"/>
      <c r="CE2254" s="4"/>
      <c r="CF2254" s="4"/>
      <c r="CG2254" s="4"/>
      <c r="CH2254" s="4"/>
      <c r="CI2254" s="4"/>
      <c r="CJ2254" s="4"/>
      <c r="CK2254" s="4"/>
      <c r="CL2254" s="4"/>
      <c r="CM2254" s="4"/>
      <c r="CN2254" s="4"/>
      <c r="CO2254" s="4"/>
      <c r="CP2254" s="4"/>
      <c r="CQ2254" s="4"/>
      <c r="CR2254" s="4"/>
      <c r="CS2254" s="4"/>
      <c r="CT2254" s="4"/>
      <c r="CU2254" s="4"/>
      <c r="CV2254" s="4"/>
      <c r="CW2254" s="4"/>
      <c r="CX2254" s="4"/>
      <c r="CY2254" s="4"/>
      <c r="CZ2254" s="4"/>
      <c r="DA2254" s="4"/>
      <c r="DB2254" s="4"/>
      <c r="DC2254" s="4"/>
      <c r="DD2254" s="4"/>
      <c r="DE2254" s="4"/>
      <c r="DF2254" s="4"/>
      <c r="DG2254" s="4"/>
      <c r="DH2254" s="4"/>
      <c r="DI2254" s="4"/>
      <c r="DJ2254" s="4"/>
      <c r="DK2254" s="4"/>
      <c r="DL2254" s="4"/>
      <c r="DM2254" s="4"/>
      <c r="DN2254" s="4"/>
      <c r="DO2254" s="4"/>
      <c r="DP2254" s="4"/>
      <c r="DQ2254" s="4"/>
      <c r="DR2254" s="4"/>
      <c r="DS2254" s="4"/>
    </row>
    <row r="2255">
      <c r="A2255" s="4"/>
      <c r="B2255" s="4"/>
      <c r="C2255" s="4"/>
      <c r="D2255" s="4"/>
      <c r="E2255" s="4"/>
      <c r="F2255" s="4" t="s">
        <v>17</v>
      </c>
      <c r="G2255" s="15"/>
      <c r="H2255" s="4"/>
      <c r="I2255" s="4"/>
      <c r="J2255" s="4"/>
      <c r="K2255" s="4"/>
      <c r="L2255" s="4"/>
      <c r="M2255" s="4"/>
      <c r="N2255" s="4"/>
      <c r="O2255" s="4"/>
      <c r="P2255" s="4"/>
      <c r="Q2255" s="4"/>
      <c r="R2255" s="4"/>
      <c r="S2255" s="4"/>
      <c r="T2255" s="4"/>
      <c r="U2255" s="4"/>
      <c r="V2255" s="4"/>
      <c r="W2255" s="4"/>
      <c r="X2255" s="4"/>
      <c r="Y2255" s="4"/>
      <c r="Z2255" s="4"/>
      <c r="AA2255" s="4"/>
      <c r="AB2255" s="4"/>
      <c r="AC2255" s="4"/>
      <c r="AD2255" s="4"/>
      <c r="AE2255" s="4"/>
      <c r="AF2255" s="4"/>
      <c r="AG2255" s="4"/>
      <c r="AH2255" s="4"/>
      <c r="AI2255" s="4"/>
      <c r="AJ2255" s="4"/>
      <c r="AK2255" s="4"/>
      <c r="AL2255" s="4"/>
      <c r="AM2255" s="4"/>
      <c r="AN2255" s="4"/>
      <c r="AO2255" s="4"/>
      <c r="AP2255" s="4"/>
      <c r="AQ2255" s="4"/>
      <c r="AR2255" s="4"/>
      <c r="AS2255" s="4"/>
      <c r="AT2255" s="4"/>
      <c r="AU2255" s="4"/>
      <c r="AV2255" s="4"/>
      <c r="AW2255" s="4"/>
      <c r="AX2255" s="4"/>
      <c r="AY2255" s="4"/>
      <c r="AZ2255" s="4"/>
      <c r="BA2255" s="4"/>
      <c r="BB2255" s="4"/>
      <c r="BC2255" s="4"/>
      <c r="BD2255" s="4"/>
      <c r="BE2255" s="4"/>
      <c r="BF2255" s="4"/>
      <c r="BG2255" s="4"/>
      <c r="BH2255" s="4"/>
      <c r="BI2255" s="4"/>
      <c r="BJ2255" s="4"/>
      <c r="BK2255" s="4"/>
      <c r="BL2255" s="4"/>
      <c r="BM2255" s="4"/>
      <c r="BN2255" s="4"/>
      <c r="BO2255" s="4"/>
      <c r="BP2255" s="4"/>
      <c r="BQ2255" s="4"/>
      <c r="BR2255" s="4"/>
      <c r="BS2255" s="4"/>
      <c r="BT2255" s="4"/>
      <c r="BU2255" s="4"/>
      <c r="BV2255" s="4"/>
      <c r="BW2255" s="4"/>
      <c r="BX2255" s="4"/>
      <c r="BY2255" s="4"/>
      <c r="BZ2255" s="4"/>
      <c r="CA2255" s="4"/>
      <c r="CB2255" s="4"/>
      <c r="CC2255" s="4"/>
      <c r="CD2255" s="4"/>
      <c r="CE2255" s="4"/>
      <c r="CF2255" s="4"/>
      <c r="CG2255" s="4"/>
      <c r="CH2255" s="4"/>
      <c r="CI2255" s="4"/>
      <c r="CJ2255" s="4"/>
      <c r="CK2255" s="4"/>
      <c r="CL2255" s="4"/>
      <c r="CM2255" s="4"/>
      <c r="CN2255" s="4"/>
      <c r="CO2255" s="4"/>
      <c r="CP2255" s="4"/>
      <c r="CQ2255" s="4"/>
      <c r="CR2255" s="4"/>
      <c r="CS2255" s="4"/>
      <c r="CT2255" s="4"/>
      <c r="CU2255" s="4"/>
      <c r="CV2255" s="4"/>
      <c r="CW2255" s="4"/>
      <c r="CX2255" s="4"/>
      <c r="CY2255" s="4"/>
      <c r="CZ2255" s="4"/>
      <c r="DA2255" s="4"/>
      <c r="DB2255" s="4"/>
      <c r="DC2255" s="4"/>
      <c r="DD2255" s="4"/>
      <c r="DE2255" s="4"/>
      <c r="DF2255" s="4"/>
      <c r="DG2255" s="4"/>
      <c r="DH2255" s="4"/>
      <c r="DI2255" s="4"/>
      <c r="DJ2255" s="4"/>
      <c r="DK2255" s="4"/>
      <c r="DL2255" s="4"/>
      <c r="DM2255" s="4"/>
      <c r="DN2255" s="4"/>
      <c r="DO2255" s="4"/>
      <c r="DP2255" s="4"/>
      <c r="DQ2255" s="4"/>
      <c r="DR2255" s="4"/>
      <c r="DS2255" s="4"/>
    </row>
    <row r="2256">
      <c r="A2256" s="4"/>
      <c r="B2256" s="4"/>
      <c r="C2256" s="4"/>
      <c r="D2256" s="4"/>
      <c r="E2256" s="4"/>
      <c r="F2256" s="4" t="s">
        <v>17</v>
      </c>
      <c r="G2256" s="15"/>
      <c r="H2256" s="4"/>
      <c r="I2256" s="4"/>
      <c r="J2256" s="4"/>
      <c r="K2256" s="4"/>
      <c r="L2256" s="4"/>
      <c r="M2256" s="4"/>
      <c r="N2256" s="4"/>
      <c r="O2256" s="4"/>
      <c r="P2256" s="4"/>
      <c r="Q2256" s="4"/>
      <c r="R2256" s="4"/>
      <c r="S2256" s="4"/>
      <c r="T2256" s="4"/>
      <c r="U2256" s="4"/>
      <c r="V2256" s="4"/>
      <c r="W2256" s="4"/>
      <c r="X2256" s="4"/>
      <c r="Y2256" s="4"/>
      <c r="Z2256" s="4"/>
      <c r="AA2256" s="4"/>
      <c r="AB2256" s="4"/>
      <c r="AC2256" s="4"/>
      <c r="AD2256" s="4"/>
      <c r="AE2256" s="4"/>
      <c r="AF2256" s="4"/>
      <c r="AG2256" s="4"/>
      <c r="AH2256" s="4"/>
      <c r="AI2256" s="4"/>
      <c r="AJ2256" s="4"/>
      <c r="AK2256" s="4"/>
      <c r="AL2256" s="4"/>
      <c r="AM2256" s="4"/>
      <c r="AN2256" s="4"/>
      <c r="AO2256" s="4"/>
      <c r="AP2256" s="4"/>
      <c r="AQ2256" s="4"/>
      <c r="AR2256" s="4"/>
      <c r="AS2256" s="4"/>
      <c r="AT2256" s="4"/>
      <c r="AU2256" s="4"/>
      <c r="AV2256" s="4"/>
      <c r="AW2256" s="4"/>
      <c r="AX2256" s="4"/>
      <c r="AY2256" s="4"/>
      <c r="AZ2256" s="4"/>
      <c r="BA2256" s="4"/>
      <c r="BB2256" s="4"/>
      <c r="BC2256" s="4"/>
      <c r="BD2256" s="4"/>
      <c r="BE2256" s="4"/>
      <c r="BF2256" s="4"/>
      <c r="BG2256" s="4"/>
      <c r="BH2256" s="4"/>
      <c r="BI2256" s="4"/>
      <c r="BJ2256" s="4"/>
      <c r="BK2256" s="4"/>
      <c r="BL2256" s="4"/>
      <c r="BM2256" s="4"/>
      <c r="BN2256" s="4"/>
      <c r="BO2256" s="4"/>
      <c r="BP2256" s="4"/>
      <c r="BQ2256" s="4"/>
      <c r="BR2256" s="4"/>
      <c r="BS2256" s="4"/>
      <c r="BT2256" s="4"/>
      <c r="BU2256" s="4"/>
      <c r="BV2256" s="4"/>
      <c r="BW2256" s="4"/>
      <c r="BX2256" s="4"/>
      <c r="BY2256" s="4"/>
      <c r="BZ2256" s="4"/>
      <c r="CA2256" s="4"/>
      <c r="CB2256" s="4"/>
      <c r="CC2256" s="4"/>
      <c r="CD2256" s="4"/>
      <c r="CE2256" s="4"/>
      <c r="CF2256" s="4"/>
      <c r="CG2256" s="4"/>
      <c r="CH2256" s="4"/>
      <c r="CI2256" s="4"/>
      <c r="CJ2256" s="4"/>
      <c r="CK2256" s="4"/>
      <c r="CL2256" s="4"/>
      <c r="CM2256" s="4"/>
      <c r="CN2256" s="4"/>
      <c r="CO2256" s="4"/>
      <c r="CP2256" s="4"/>
      <c r="CQ2256" s="4"/>
      <c r="CR2256" s="4"/>
      <c r="CS2256" s="4"/>
      <c r="CT2256" s="4"/>
      <c r="CU2256" s="4"/>
      <c r="CV2256" s="4"/>
      <c r="CW2256" s="4"/>
      <c r="CX2256" s="4"/>
      <c r="CY2256" s="4"/>
      <c r="CZ2256" s="4"/>
      <c r="DA2256" s="4"/>
      <c r="DB2256" s="4"/>
      <c r="DC2256" s="4"/>
      <c r="DD2256" s="4"/>
      <c r="DE2256" s="4"/>
      <c r="DF2256" s="4"/>
      <c r="DG2256" s="4"/>
      <c r="DH2256" s="4"/>
      <c r="DI2256" s="4"/>
      <c r="DJ2256" s="4"/>
      <c r="DK2256" s="4"/>
      <c r="DL2256" s="4"/>
      <c r="DM2256" s="4"/>
      <c r="DN2256" s="4"/>
      <c r="DO2256" s="4"/>
      <c r="DP2256" s="4"/>
      <c r="DQ2256" s="4"/>
      <c r="DR2256" s="4"/>
      <c r="DS2256" s="4"/>
    </row>
    <row r="2257">
      <c r="A2257" s="4"/>
      <c r="B2257" s="4"/>
      <c r="C2257" s="4"/>
      <c r="D2257" s="4"/>
      <c r="E2257" s="4"/>
      <c r="F2257" s="4" t="s">
        <v>17</v>
      </c>
      <c r="G2257" s="15"/>
      <c r="H2257" s="4"/>
      <c r="I2257" s="4"/>
      <c r="J2257" s="4"/>
      <c r="K2257" s="4"/>
      <c r="L2257" s="4"/>
      <c r="M2257" s="4"/>
      <c r="N2257" s="4"/>
      <c r="O2257" s="4"/>
      <c r="P2257" s="4"/>
      <c r="Q2257" s="4"/>
      <c r="R2257" s="4"/>
      <c r="S2257" s="4"/>
      <c r="T2257" s="4"/>
      <c r="U2257" s="4"/>
      <c r="V2257" s="4"/>
      <c r="W2257" s="4"/>
      <c r="X2257" s="4"/>
      <c r="Y2257" s="4"/>
      <c r="Z2257" s="4"/>
      <c r="AA2257" s="4"/>
      <c r="AB2257" s="4"/>
      <c r="AC2257" s="4"/>
      <c r="AD2257" s="4"/>
      <c r="AE2257" s="4"/>
      <c r="AF2257" s="4"/>
      <c r="AG2257" s="4"/>
      <c r="AH2257" s="4"/>
      <c r="AI2257" s="4"/>
      <c r="AJ2257" s="4"/>
      <c r="AK2257" s="4"/>
      <c r="AL2257" s="4"/>
      <c r="AM2257" s="4"/>
      <c r="AN2257" s="4"/>
      <c r="AO2257" s="4"/>
      <c r="AP2257" s="4"/>
      <c r="AQ2257" s="4"/>
      <c r="AR2257" s="4"/>
      <c r="AS2257" s="4"/>
      <c r="AT2257" s="4"/>
      <c r="AU2257" s="4"/>
      <c r="AV2257" s="4"/>
      <c r="AW2257" s="4"/>
      <c r="AX2257" s="4"/>
      <c r="AY2257" s="4"/>
      <c r="AZ2257" s="4"/>
      <c r="BA2257" s="4"/>
      <c r="BB2257" s="4"/>
      <c r="BC2257" s="4"/>
      <c r="BD2257" s="4"/>
      <c r="BE2257" s="4"/>
      <c r="BF2257" s="4"/>
      <c r="BG2257" s="4"/>
      <c r="BH2257" s="4"/>
      <c r="BI2257" s="4"/>
      <c r="BJ2257" s="4"/>
      <c r="BK2257" s="4"/>
      <c r="BL2257" s="4"/>
      <c r="BM2257" s="4"/>
      <c r="BN2257" s="4"/>
      <c r="BO2257" s="4"/>
      <c r="BP2257" s="4"/>
      <c r="BQ2257" s="4"/>
      <c r="BR2257" s="4"/>
      <c r="BS2257" s="4"/>
      <c r="BT2257" s="4"/>
      <c r="BU2257" s="4"/>
      <c r="BV2257" s="4"/>
      <c r="BW2257" s="4"/>
      <c r="BX2257" s="4"/>
      <c r="BY2257" s="4"/>
      <c r="BZ2257" s="4"/>
      <c r="CA2257" s="4"/>
      <c r="CB2257" s="4"/>
      <c r="CC2257" s="4"/>
      <c r="CD2257" s="4"/>
      <c r="CE2257" s="4"/>
      <c r="CF2257" s="4"/>
      <c r="CG2257" s="4"/>
      <c r="CH2257" s="4"/>
      <c r="CI2257" s="4"/>
      <c r="CJ2257" s="4"/>
      <c r="CK2257" s="4"/>
      <c r="CL2257" s="4"/>
      <c r="CM2257" s="4"/>
      <c r="CN2257" s="4"/>
      <c r="CO2257" s="4"/>
      <c r="CP2257" s="4"/>
      <c r="CQ2257" s="4"/>
      <c r="CR2257" s="4"/>
      <c r="CS2257" s="4"/>
      <c r="CT2257" s="4"/>
      <c r="CU2257" s="4"/>
      <c r="CV2257" s="4"/>
      <c r="CW2257" s="4"/>
      <c r="CX2257" s="4"/>
      <c r="CY2257" s="4"/>
      <c r="CZ2257" s="4"/>
      <c r="DA2257" s="4"/>
      <c r="DB2257" s="4"/>
      <c r="DC2257" s="4"/>
      <c r="DD2257" s="4"/>
      <c r="DE2257" s="4"/>
      <c r="DF2257" s="4"/>
      <c r="DG2257" s="4"/>
      <c r="DH2257" s="4"/>
      <c r="DI2257" s="4"/>
      <c r="DJ2257" s="4"/>
      <c r="DK2257" s="4"/>
      <c r="DL2257" s="4"/>
      <c r="DM2257" s="4"/>
      <c r="DN2257" s="4"/>
      <c r="DO2257" s="4"/>
      <c r="DP2257" s="4"/>
      <c r="DQ2257" s="4"/>
      <c r="DR2257" s="4"/>
      <c r="DS2257" s="4"/>
    </row>
    <row r="2258">
      <c r="A2258" s="4"/>
      <c r="B2258" s="4"/>
      <c r="C2258" s="4"/>
      <c r="D2258" s="4"/>
      <c r="E2258" s="4"/>
      <c r="F2258" s="4" t="s">
        <v>17</v>
      </c>
      <c r="G2258" s="15"/>
      <c r="H2258" s="4"/>
      <c r="I2258" s="4"/>
      <c r="J2258" s="4"/>
      <c r="K2258" s="4"/>
      <c r="L2258" s="4"/>
      <c r="M2258" s="4"/>
      <c r="N2258" s="4"/>
      <c r="O2258" s="4"/>
      <c r="P2258" s="4"/>
      <c r="Q2258" s="4"/>
      <c r="R2258" s="4"/>
      <c r="S2258" s="4"/>
      <c r="T2258" s="4"/>
      <c r="U2258" s="4"/>
      <c r="V2258" s="4"/>
      <c r="W2258" s="4"/>
      <c r="X2258" s="4"/>
      <c r="Y2258" s="4"/>
      <c r="Z2258" s="4"/>
      <c r="AA2258" s="4"/>
      <c r="AB2258" s="4"/>
      <c r="AC2258" s="4"/>
      <c r="AD2258" s="4"/>
      <c r="AE2258" s="4"/>
      <c r="AF2258" s="4"/>
      <c r="AG2258" s="4"/>
      <c r="AH2258" s="4"/>
      <c r="AI2258" s="4"/>
      <c r="AJ2258" s="4"/>
      <c r="AK2258" s="4"/>
      <c r="AL2258" s="4"/>
      <c r="AM2258" s="4"/>
      <c r="AN2258" s="4"/>
      <c r="AO2258" s="4"/>
      <c r="AP2258" s="4"/>
      <c r="AQ2258" s="4"/>
      <c r="AR2258" s="4"/>
      <c r="AS2258" s="4"/>
      <c r="AT2258" s="4"/>
      <c r="AU2258" s="4"/>
      <c r="AV2258" s="4"/>
      <c r="AW2258" s="4"/>
      <c r="AX2258" s="4"/>
      <c r="AY2258" s="4"/>
      <c r="AZ2258" s="4"/>
      <c r="BA2258" s="4"/>
      <c r="BB2258" s="4"/>
      <c r="BC2258" s="4"/>
      <c r="BD2258" s="4"/>
      <c r="BE2258" s="4"/>
      <c r="BF2258" s="4"/>
      <c r="BG2258" s="4"/>
      <c r="BH2258" s="4"/>
      <c r="BI2258" s="4"/>
      <c r="BJ2258" s="4"/>
      <c r="BK2258" s="4"/>
      <c r="BL2258" s="4"/>
      <c r="BM2258" s="4"/>
      <c r="BN2258" s="4"/>
      <c r="BO2258" s="4"/>
      <c r="BP2258" s="4"/>
      <c r="BQ2258" s="4"/>
      <c r="BR2258" s="4"/>
      <c r="BS2258" s="4"/>
      <c r="BT2258" s="4"/>
      <c r="BU2258" s="4"/>
      <c r="BV2258" s="4"/>
      <c r="BW2258" s="4"/>
      <c r="BX2258" s="4"/>
      <c r="BY2258" s="4"/>
      <c r="BZ2258" s="4"/>
      <c r="CA2258" s="4"/>
      <c r="CB2258" s="4"/>
      <c r="CC2258" s="4"/>
      <c r="CD2258" s="4"/>
      <c r="CE2258" s="4"/>
      <c r="CF2258" s="4"/>
      <c r="CG2258" s="4"/>
      <c r="CH2258" s="4"/>
      <c r="CI2258" s="4"/>
      <c r="CJ2258" s="4"/>
      <c r="CK2258" s="4"/>
      <c r="CL2258" s="4"/>
      <c r="CM2258" s="4"/>
      <c r="CN2258" s="4"/>
      <c r="CO2258" s="4"/>
      <c r="CP2258" s="4"/>
      <c r="CQ2258" s="4"/>
      <c r="CR2258" s="4"/>
      <c r="CS2258" s="4"/>
      <c r="CT2258" s="4"/>
      <c r="CU2258" s="4"/>
      <c r="CV2258" s="4"/>
      <c r="CW2258" s="4"/>
      <c r="CX2258" s="4"/>
      <c r="CY2258" s="4"/>
      <c r="CZ2258" s="4"/>
      <c r="DA2258" s="4"/>
      <c r="DB2258" s="4"/>
      <c r="DC2258" s="4"/>
      <c r="DD2258" s="4"/>
      <c r="DE2258" s="4"/>
      <c r="DF2258" s="4"/>
      <c r="DG2258" s="4"/>
      <c r="DH2258" s="4"/>
      <c r="DI2258" s="4"/>
      <c r="DJ2258" s="4"/>
      <c r="DK2258" s="4"/>
      <c r="DL2258" s="4"/>
      <c r="DM2258" s="4"/>
      <c r="DN2258" s="4"/>
      <c r="DO2258" s="4"/>
      <c r="DP2258" s="4"/>
      <c r="DQ2258" s="4"/>
      <c r="DR2258" s="4"/>
      <c r="DS2258" s="4"/>
    </row>
    <row r="2259">
      <c r="A2259" s="4"/>
      <c r="B2259" s="4"/>
      <c r="C2259" s="4"/>
      <c r="D2259" s="4"/>
      <c r="E2259" s="4"/>
      <c r="F2259" s="4" t="s">
        <v>17</v>
      </c>
      <c r="G2259" s="15"/>
      <c r="H2259" s="4"/>
      <c r="I2259" s="4"/>
      <c r="J2259" s="4"/>
      <c r="K2259" s="4"/>
      <c r="L2259" s="4"/>
      <c r="M2259" s="4"/>
      <c r="N2259" s="4"/>
      <c r="O2259" s="4"/>
      <c r="P2259" s="4"/>
      <c r="Q2259" s="4"/>
      <c r="R2259" s="4"/>
      <c r="S2259" s="4"/>
      <c r="T2259" s="4"/>
      <c r="U2259" s="4"/>
      <c r="V2259" s="4"/>
      <c r="W2259" s="4"/>
      <c r="X2259" s="4"/>
      <c r="Y2259" s="4"/>
      <c r="Z2259" s="4"/>
      <c r="AA2259" s="4"/>
      <c r="AB2259" s="4"/>
      <c r="AC2259" s="4"/>
      <c r="AD2259" s="4"/>
      <c r="AE2259" s="4"/>
      <c r="AF2259" s="4"/>
      <c r="AG2259" s="4"/>
      <c r="AH2259" s="4"/>
      <c r="AI2259" s="4"/>
      <c r="AJ2259" s="4"/>
      <c r="AK2259" s="4"/>
      <c r="AL2259" s="4"/>
      <c r="AM2259" s="4"/>
      <c r="AN2259" s="4"/>
      <c r="AO2259" s="4"/>
      <c r="AP2259" s="4"/>
      <c r="AQ2259" s="4"/>
      <c r="AR2259" s="4"/>
      <c r="AS2259" s="4"/>
      <c r="AT2259" s="4"/>
      <c r="AU2259" s="4"/>
      <c r="AV2259" s="4"/>
      <c r="AW2259" s="4"/>
      <c r="AX2259" s="4"/>
      <c r="AY2259" s="4"/>
      <c r="AZ2259" s="4"/>
      <c r="BA2259" s="4"/>
      <c r="BB2259" s="4"/>
      <c r="BC2259" s="4"/>
      <c r="BD2259" s="4"/>
      <c r="BE2259" s="4"/>
      <c r="BF2259" s="4"/>
      <c r="BG2259" s="4"/>
      <c r="BH2259" s="4"/>
      <c r="BI2259" s="4"/>
      <c r="BJ2259" s="4"/>
      <c r="BK2259" s="4"/>
      <c r="BL2259" s="4"/>
      <c r="BM2259" s="4"/>
      <c r="BN2259" s="4"/>
      <c r="BO2259" s="4"/>
      <c r="BP2259" s="4"/>
      <c r="BQ2259" s="4"/>
      <c r="BR2259" s="4"/>
      <c r="BS2259" s="4"/>
      <c r="BT2259" s="4"/>
      <c r="BU2259" s="4"/>
      <c r="BV2259" s="4"/>
      <c r="BW2259" s="4"/>
      <c r="BX2259" s="4"/>
      <c r="BY2259" s="4"/>
      <c r="BZ2259" s="4"/>
      <c r="CA2259" s="4"/>
      <c r="CB2259" s="4"/>
      <c r="CC2259" s="4"/>
      <c r="CD2259" s="4"/>
      <c r="CE2259" s="4"/>
      <c r="CF2259" s="4"/>
      <c r="CG2259" s="4"/>
      <c r="CH2259" s="4"/>
      <c r="CI2259" s="4"/>
      <c r="CJ2259" s="4"/>
      <c r="CK2259" s="4"/>
      <c r="CL2259" s="4"/>
      <c r="CM2259" s="4"/>
      <c r="CN2259" s="4"/>
      <c r="CO2259" s="4"/>
      <c r="CP2259" s="4"/>
      <c r="CQ2259" s="4"/>
      <c r="CR2259" s="4"/>
      <c r="CS2259" s="4"/>
      <c r="CT2259" s="4"/>
      <c r="CU2259" s="4"/>
      <c r="CV2259" s="4"/>
      <c r="CW2259" s="4"/>
      <c r="CX2259" s="4"/>
      <c r="CY2259" s="4"/>
      <c r="CZ2259" s="4"/>
      <c r="DA2259" s="4"/>
      <c r="DB2259" s="4"/>
      <c r="DC2259" s="4"/>
      <c r="DD2259" s="4"/>
      <c r="DE2259" s="4"/>
      <c r="DF2259" s="4"/>
      <c r="DG2259" s="4"/>
      <c r="DH2259" s="4"/>
      <c r="DI2259" s="4"/>
      <c r="DJ2259" s="4"/>
      <c r="DK2259" s="4"/>
      <c r="DL2259" s="4"/>
      <c r="DM2259" s="4"/>
      <c r="DN2259" s="4"/>
      <c r="DO2259" s="4"/>
      <c r="DP2259" s="4"/>
      <c r="DQ2259" s="4"/>
      <c r="DR2259" s="4"/>
      <c r="DS2259" s="4"/>
    </row>
    <row r="2260">
      <c r="A2260" s="4"/>
      <c r="B2260" s="4"/>
      <c r="C2260" s="4"/>
      <c r="D2260" s="4"/>
      <c r="E2260" s="4"/>
      <c r="F2260" s="4" t="s">
        <v>17</v>
      </c>
      <c r="G2260" s="15"/>
      <c r="H2260" s="4"/>
      <c r="I2260" s="4"/>
      <c r="J2260" s="4"/>
      <c r="K2260" s="4"/>
      <c r="L2260" s="4"/>
      <c r="M2260" s="4"/>
      <c r="N2260" s="4"/>
      <c r="O2260" s="4"/>
      <c r="P2260" s="4"/>
      <c r="Q2260" s="4"/>
      <c r="R2260" s="4"/>
      <c r="S2260" s="4"/>
      <c r="T2260" s="4"/>
      <c r="U2260" s="4"/>
      <c r="V2260" s="4"/>
      <c r="W2260" s="4"/>
      <c r="X2260" s="4"/>
      <c r="Y2260" s="4"/>
      <c r="Z2260" s="4"/>
      <c r="AA2260" s="4"/>
      <c r="AB2260" s="4"/>
      <c r="AC2260" s="4"/>
      <c r="AD2260" s="4"/>
      <c r="AE2260" s="4"/>
      <c r="AF2260" s="4"/>
      <c r="AG2260" s="4"/>
      <c r="AH2260" s="4"/>
      <c r="AI2260" s="4"/>
      <c r="AJ2260" s="4"/>
      <c r="AK2260" s="4"/>
      <c r="AL2260" s="4"/>
      <c r="AM2260" s="4"/>
      <c r="AN2260" s="4"/>
      <c r="AO2260" s="4"/>
      <c r="AP2260" s="4"/>
      <c r="AQ2260" s="4"/>
      <c r="AR2260" s="4"/>
      <c r="AS2260" s="4"/>
      <c r="AT2260" s="4"/>
      <c r="AU2260" s="4"/>
      <c r="AV2260" s="4"/>
      <c r="AW2260" s="4"/>
      <c r="AX2260" s="4"/>
      <c r="AY2260" s="4"/>
      <c r="AZ2260" s="4"/>
      <c r="BA2260" s="4"/>
      <c r="BB2260" s="4"/>
      <c r="BC2260" s="4"/>
      <c r="BD2260" s="4"/>
      <c r="BE2260" s="4"/>
      <c r="BF2260" s="4"/>
      <c r="BG2260" s="4"/>
      <c r="BH2260" s="4"/>
      <c r="BI2260" s="4"/>
      <c r="BJ2260" s="4"/>
      <c r="BK2260" s="4"/>
      <c r="BL2260" s="4"/>
      <c r="BM2260" s="4"/>
      <c r="BN2260" s="4"/>
      <c r="BO2260" s="4"/>
      <c r="BP2260" s="4"/>
      <c r="BQ2260" s="4"/>
      <c r="BR2260" s="4"/>
      <c r="BS2260" s="4"/>
      <c r="BT2260" s="4"/>
      <c r="BU2260" s="4"/>
      <c r="BV2260" s="4"/>
      <c r="BW2260" s="4"/>
      <c r="BX2260" s="4"/>
      <c r="BY2260" s="4"/>
      <c r="BZ2260" s="4"/>
      <c r="CA2260" s="4"/>
      <c r="CB2260" s="4"/>
      <c r="CC2260" s="4"/>
      <c r="CD2260" s="4"/>
      <c r="CE2260" s="4"/>
      <c r="CF2260" s="4"/>
      <c r="CG2260" s="4"/>
      <c r="CH2260" s="4"/>
      <c r="CI2260" s="4"/>
      <c r="CJ2260" s="4"/>
      <c r="CK2260" s="4"/>
      <c r="CL2260" s="4"/>
      <c r="CM2260" s="4"/>
      <c r="CN2260" s="4"/>
      <c r="CO2260" s="4"/>
      <c r="CP2260" s="4"/>
      <c r="CQ2260" s="4"/>
      <c r="CR2260" s="4"/>
      <c r="CS2260" s="4"/>
      <c r="CT2260" s="4"/>
      <c r="CU2260" s="4"/>
      <c r="CV2260" s="4"/>
      <c r="CW2260" s="4"/>
      <c r="CX2260" s="4"/>
      <c r="CY2260" s="4"/>
      <c r="CZ2260" s="4"/>
      <c r="DA2260" s="4"/>
      <c r="DB2260" s="4"/>
      <c r="DC2260" s="4"/>
      <c r="DD2260" s="4"/>
      <c r="DE2260" s="4"/>
      <c r="DF2260" s="4"/>
      <c r="DG2260" s="4"/>
      <c r="DH2260" s="4"/>
      <c r="DI2260" s="4"/>
      <c r="DJ2260" s="4"/>
      <c r="DK2260" s="4"/>
      <c r="DL2260" s="4"/>
      <c r="DM2260" s="4"/>
      <c r="DN2260" s="4"/>
      <c r="DO2260" s="4"/>
      <c r="DP2260" s="4"/>
      <c r="DQ2260" s="4"/>
      <c r="DR2260" s="4"/>
      <c r="DS2260" s="4"/>
    </row>
    <row r="2261">
      <c r="A2261" s="4"/>
      <c r="B2261" s="4"/>
      <c r="C2261" s="4"/>
      <c r="D2261" s="4"/>
      <c r="E2261" s="4"/>
      <c r="F2261" s="4" t="s">
        <v>17</v>
      </c>
      <c r="G2261" s="15"/>
      <c r="H2261" s="4"/>
      <c r="I2261" s="4"/>
      <c r="J2261" s="4"/>
      <c r="K2261" s="4"/>
      <c r="L2261" s="4"/>
      <c r="M2261" s="4"/>
      <c r="N2261" s="4"/>
      <c r="O2261" s="4"/>
      <c r="P2261" s="4"/>
      <c r="Q2261" s="4"/>
      <c r="R2261" s="4"/>
      <c r="S2261" s="4"/>
      <c r="T2261" s="4"/>
      <c r="U2261" s="4"/>
      <c r="V2261" s="4"/>
      <c r="W2261" s="4"/>
      <c r="X2261" s="4"/>
      <c r="Y2261" s="4"/>
      <c r="Z2261" s="4"/>
      <c r="AA2261" s="4"/>
      <c r="AB2261" s="4"/>
      <c r="AC2261" s="4"/>
      <c r="AD2261" s="4"/>
      <c r="AE2261" s="4"/>
      <c r="AF2261" s="4"/>
      <c r="AG2261" s="4"/>
      <c r="AH2261" s="4"/>
      <c r="AI2261" s="4"/>
      <c r="AJ2261" s="4"/>
      <c r="AK2261" s="4"/>
      <c r="AL2261" s="4"/>
      <c r="AM2261" s="4"/>
      <c r="AN2261" s="4"/>
      <c r="AO2261" s="4"/>
      <c r="AP2261" s="4"/>
      <c r="AQ2261" s="4"/>
      <c r="AR2261" s="4"/>
      <c r="AS2261" s="4"/>
      <c r="AT2261" s="4"/>
      <c r="AU2261" s="4"/>
      <c r="AV2261" s="4"/>
      <c r="AW2261" s="4"/>
      <c r="AX2261" s="4"/>
      <c r="AY2261" s="4"/>
      <c r="AZ2261" s="4"/>
      <c r="BA2261" s="4"/>
      <c r="BB2261" s="4"/>
      <c r="BC2261" s="4"/>
      <c r="BD2261" s="4"/>
      <c r="BE2261" s="4"/>
      <c r="BF2261" s="4"/>
      <c r="BG2261" s="4"/>
      <c r="BH2261" s="4"/>
      <c r="BI2261" s="4"/>
      <c r="BJ2261" s="4"/>
      <c r="BK2261" s="4"/>
      <c r="BL2261" s="4"/>
      <c r="BM2261" s="4"/>
      <c r="BN2261" s="4"/>
      <c r="BO2261" s="4"/>
      <c r="BP2261" s="4"/>
      <c r="BQ2261" s="4"/>
      <c r="BR2261" s="4"/>
      <c r="BS2261" s="4"/>
      <c r="BT2261" s="4"/>
      <c r="BU2261" s="4"/>
      <c r="BV2261" s="4"/>
      <c r="BW2261" s="4"/>
      <c r="BX2261" s="4"/>
      <c r="BY2261" s="4"/>
      <c r="BZ2261" s="4"/>
      <c r="CA2261" s="4"/>
      <c r="CB2261" s="4"/>
      <c r="CC2261" s="4"/>
      <c r="CD2261" s="4"/>
      <c r="CE2261" s="4"/>
      <c r="CF2261" s="4"/>
      <c r="CG2261" s="4"/>
      <c r="CH2261" s="4"/>
      <c r="CI2261" s="4"/>
      <c r="CJ2261" s="4"/>
      <c r="CK2261" s="4"/>
      <c r="CL2261" s="4"/>
      <c r="CM2261" s="4"/>
      <c r="CN2261" s="4"/>
      <c r="CO2261" s="4"/>
      <c r="CP2261" s="4"/>
      <c r="CQ2261" s="4"/>
      <c r="CR2261" s="4"/>
      <c r="CS2261" s="4"/>
      <c r="CT2261" s="4"/>
      <c r="CU2261" s="4"/>
      <c r="CV2261" s="4"/>
      <c r="CW2261" s="4"/>
      <c r="CX2261" s="4"/>
      <c r="CY2261" s="4"/>
      <c r="CZ2261" s="4"/>
      <c r="DA2261" s="4"/>
      <c r="DB2261" s="4"/>
      <c r="DC2261" s="4"/>
      <c r="DD2261" s="4"/>
      <c r="DE2261" s="4"/>
      <c r="DF2261" s="4"/>
      <c r="DG2261" s="4"/>
      <c r="DH2261" s="4"/>
      <c r="DI2261" s="4"/>
      <c r="DJ2261" s="4"/>
      <c r="DK2261" s="4"/>
      <c r="DL2261" s="4"/>
      <c r="DM2261" s="4"/>
      <c r="DN2261" s="4"/>
      <c r="DO2261" s="4"/>
      <c r="DP2261" s="4"/>
      <c r="DQ2261" s="4"/>
      <c r="DR2261" s="4"/>
      <c r="DS2261" s="4"/>
    </row>
    <row r="2262">
      <c r="A2262" s="4"/>
      <c r="B2262" s="4"/>
      <c r="C2262" s="4"/>
      <c r="D2262" s="4"/>
      <c r="E2262" s="4"/>
      <c r="F2262" s="4" t="s">
        <v>17</v>
      </c>
      <c r="G2262" s="15"/>
      <c r="H2262" s="4"/>
      <c r="I2262" s="4"/>
      <c r="J2262" s="4"/>
      <c r="K2262" s="4"/>
      <c r="L2262" s="4"/>
      <c r="M2262" s="4"/>
      <c r="N2262" s="4"/>
      <c r="O2262" s="4"/>
      <c r="P2262" s="4"/>
      <c r="Q2262" s="4"/>
      <c r="R2262" s="4"/>
      <c r="S2262" s="4"/>
      <c r="T2262" s="4"/>
      <c r="U2262" s="4"/>
      <c r="V2262" s="4"/>
      <c r="W2262" s="4"/>
      <c r="X2262" s="4"/>
      <c r="Y2262" s="4"/>
      <c r="Z2262" s="4"/>
      <c r="AA2262" s="4"/>
      <c r="AB2262" s="4"/>
      <c r="AC2262" s="4"/>
      <c r="AD2262" s="4"/>
      <c r="AE2262" s="4"/>
      <c r="AF2262" s="4"/>
      <c r="AG2262" s="4"/>
      <c r="AH2262" s="4"/>
      <c r="AI2262" s="4"/>
      <c r="AJ2262" s="4"/>
      <c r="AK2262" s="4"/>
      <c r="AL2262" s="4"/>
      <c r="AM2262" s="4"/>
      <c r="AN2262" s="4"/>
      <c r="AO2262" s="4"/>
      <c r="AP2262" s="4"/>
      <c r="AQ2262" s="4"/>
      <c r="AR2262" s="4"/>
      <c r="AS2262" s="4"/>
      <c r="AT2262" s="4"/>
      <c r="AU2262" s="4"/>
      <c r="AV2262" s="4"/>
      <c r="AW2262" s="4"/>
      <c r="AX2262" s="4"/>
      <c r="AY2262" s="4"/>
      <c r="AZ2262" s="4"/>
      <c r="BA2262" s="4"/>
      <c r="BB2262" s="4"/>
      <c r="BC2262" s="4"/>
      <c r="BD2262" s="4"/>
      <c r="BE2262" s="4"/>
      <c r="BF2262" s="4"/>
      <c r="BG2262" s="4"/>
      <c r="BH2262" s="4"/>
      <c r="BI2262" s="4"/>
      <c r="BJ2262" s="4"/>
      <c r="BK2262" s="4"/>
      <c r="BL2262" s="4"/>
      <c r="BM2262" s="4"/>
      <c r="BN2262" s="4"/>
      <c r="BO2262" s="4"/>
      <c r="BP2262" s="4"/>
      <c r="BQ2262" s="4"/>
      <c r="BR2262" s="4"/>
      <c r="BS2262" s="4"/>
      <c r="BT2262" s="4"/>
      <c r="BU2262" s="4"/>
      <c r="BV2262" s="4"/>
      <c r="BW2262" s="4"/>
      <c r="BX2262" s="4"/>
      <c r="BY2262" s="4"/>
      <c r="BZ2262" s="4"/>
      <c r="CA2262" s="4"/>
      <c r="CB2262" s="4"/>
      <c r="CC2262" s="4"/>
      <c r="CD2262" s="4"/>
      <c r="CE2262" s="4"/>
      <c r="CF2262" s="4"/>
      <c r="CG2262" s="4"/>
      <c r="CH2262" s="4"/>
      <c r="CI2262" s="4"/>
      <c r="CJ2262" s="4"/>
      <c r="CK2262" s="4"/>
      <c r="CL2262" s="4"/>
      <c r="CM2262" s="4"/>
      <c r="CN2262" s="4"/>
      <c r="CO2262" s="4"/>
      <c r="CP2262" s="4"/>
      <c r="CQ2262" s="4"/>
      <c r="CR2262" s="4"/>
      <c r="CS2262" s="4"/>
      <c r="CT2262" s="4"/>
      <c r="CU2262" s="4"/>
      <c r="CV2262" s="4"/>
      <c r="CW2262" s="4"/>
      <c r="CX2262" s="4"/>
      <c r="CY2262" s="4"/>
      <c r="CZ2262" s="4"/>
      <c r="DA2262" s="4"/>
      <c r="DB2262" s="4"/>
      <c r="DC2262" s="4"/>
      <c r="DD2262" s="4"/>
      <c r="DE2262" s="4"/>
      <c r="DF2262" s="4"/>
      <c r="DG2262" s="4"/>
      <c r="DH2262" s="4"/>
      <c r="DI2262" s="4"/>
      <c r="DJ2262" s="4"/>
      <c r="DK2262" s="4"/>
      <c r="DL2262" s="4"/>
      <c r="DM2262" s="4"/>
      <c r="DN2262" s="4"/>
      <c r="DO2262" s="4"/>
      <c r="DP2262" s="4"/>
      <c r="DQ2262" s="4"/>
      <c r="DR2262" s="4"/>
      <c r="DS2262" s="4"/>
    </row>
    <row r="2263">
      <c r="A2263" s="4"/>
      <c r="B2263" s="4"/>
      <c r="C2263" s="4"/>
      <c r="D2263" s="4"/>
      <c r="E2263" s="4"/>
      <c r="F2263" s="4" t="s">
        <v>17</v>
      </c>
      <c r="G2263" s="15"/>
      <c r="H2263" s="4"/>
      <c r="I2263" s="4"/>
      <c r="J2263" s="4"/>
      <c r="K2263" s="4"/>
      <c r="L2263" s="4"/>
      <c r="M2263" s="4"/>
      <c r="N2263" s="4"/>
      <c r="O2263" s="4"/>
      <c r="P2263" s="4"/>
      <c r="Q2263" s="4"/>
      <c r="R2263" s="4"/>
      <c r="S2263" s="4"/>
      <c r="T2263" s="4"/>
      <c r="U2263" s="4"/>
      <c r="V2263" s="4"/>
      <c r="W2263" s="4"/>
      <c r="X2263" s="4"/>
      <c r="Y2263" s="4"/>
      <c r="Z2263" s="4"/>
      <c r="AA2263" s="4"/>
      <c r="AB2263" s="4"/>
      <c r="AC2263" s="4"/>
      <c r="AD2263" s="4"/>
      <c r="AE2263" s="4"/>
      <c r="AF2263" s="4"/>
      <c r="AG2263" s="4"/>
      <c r="AH2263" s="4"/>
      <c r="AI2263" s="4"/>
      <c r="AJ2263" s="4"/>
      <c r="AK2263" s="4"/>
      <c r="AL2263" s="4"/>
      <c r="AM2263" s="4"/>
      <c r="AN2263" s="4"/>
      <c r="AO2263" s="4"/>
      <c r="AP2263" s="4"/>
      <c r="AQ2263" s="4"/>
      <c r="AR2263" s="4"/>
      <c r="AS2263" s="4"/>
      <c r="AT2263" s="4"/>
      <c r="AU2263" s="4"/>
      <c r="AV2263" s="4"/>
      <c r="AW2263" s="4"/>
      <c r="AX2263" s="4"/>
      <c r="AY2263" s="4"/>
      <c r="AZ2263" s="4"/>
      <c r="BA2263" s="4"/>
      <c r="BB2263" s="4"/>
      <c r="BC2263" s="4"/>
      <c r="BD2263" s="4"/>
      <c r="BE2263" s="4"/>
      <c r="BF2263" s="4"/>
      <c r="BG2263" s="4"/>
      <c r="BH2263" s="4"/>
      <c r="BI2263" s="4"/>
      <c r="BJ2263" s="4"/>
      <c r="BK2263" s="4"/>
      <c r="BL2263" s="4"/>
      <c r="BM2263" s="4"/>
      <c r="BN2263" s="4"/>
      <c r="BO2263" s="4"/>
      <c r="BP2263" s="4"/>
      <c r="BQ2263" s="4"/>
      <c r="BR2263" s="4"/>
      <c r="BS2263" s="4"/>
      <c r="BT2263" s="4"/>
      <c r="BU2263" s="4"/>
      <c r="BV2263" s="4"/>
      <c r="BW2263" s="4"/>
      <c r="BX2263" s="4"/>
      <c r="BY2263" s="4"/>
      <c r="BZ2263" s="4"/>
      <c r="CA2263" s="4"/>
      <c r="CB2263" s="4"/>
      <c r="CC2263" s="4"/>
      <c r="CD2263" s="4"/>
      <c r="CE2263" s="4"/>
      <c r="CF2263" s="4"/>
      <c r="CG2263" s="4"/>
      <c r="CH2263" s="4"/>
      <c r="CI2263" s="4"/>
      <c r="CJ2263" s="4"/>
      <c r="CK2263" s="4"/>
      <c r="CL2263" s="4"/>
      <c r="CM2263" s="4"/>
      <c r="CN2263" s="4"/>
      <c r="CO2263" s="4"/>
      <c r="CP2263" s="4"/>
      <c r="CQ2263" s="4"/>
      <c r="CR2263" s="4"/>
      <c r="CS2263" s="4"/>
      <c r="CT2263" s="4"/>
      <c r="CU2263" s="4"/>
      <c r="CV2263" s="4"/>
      <c r="CW2263" s="4"/>
      <c r="CX2263" s="4"/>
      <c r="CY2263" s="4"/>
      <c r="CZ2263" s="4"/>
      <c r="DA2263" s="4"/>
      <c r="DB2263" s="4"/>
      <c r="DC2263" s="4"/>
      <c r="DD2263" s="4"/>
      <c r="DE2263" s="4"/>
      <c r="DF2263" s="4"/>
      <c r="DG2263" s="4"/>
      <c r="DH2263" s="4"/>
      <c r="DI2263" s="4"/>
      <c r="DJ2263" s="4"/>
      <c r="DK2263" s="4"/>
      <c r="DL2263" s="4"/>
      <c r="DM2263" s="4"/>
      <c r="DN2263" s="4"/>
      <c r="DO2263" s="4"/>
      <c r="DP2263" s="4"/>
      <c r="DQ2263" s="4"/>
      <c r="DR2263" s="4"/>
      <c r="DS2263" s="4"/>
    </row>
    <row r="2264">
      <c r="A2264" s="4"/>
      <c r="B2264" s="4"/>
      <c r="C2264" s="4"/>
      <c r="D2264" s="4"/>
      <c r="E2264" s="4"/>
      <c r="F2264" s="4" t="s">
        <v>17</v>
      </c>
      <c r="G2264" s="15"/>
      <c r="H2264" s="4"/>
      <c r="I2264" s="4"/>
      <c r="J2264" s="4"/>
      <c r="K2264" s="4"/>
      <c r="L2264" s="4"/>
      <c r="M2264" s="4"/>
      <c r="N2264" s="4"/>
      <c r="O2264" s="4"/>
      <c r="P2264" s="4"/>
      <c r="Q2264" s="4"/>
      <c r="R2264" s="4"/>
      <c r="S2264" s="4"/>
      <c r="T2264" s="4"/>
      <c r="U2264" s="4"/>
      <c r="V2264" s="4"/>
      <c r="W2264" s="4"/>
      <c r="X2264" s="4"/>
      <c r="Y2264" s="4"/>
      <c r="Z2264" s="4"/>
      <c r="AA2264" s="4"/>
      <c r="AB2264" s="4"/>
      <c r="AC2264" s="4"/>
      <c r="AD2264" s="4"/>
      <c r="AE2264" s="4"/>
      <c r="AF2264" s="4"/>
      <c r="AG2264" s="4"/>
      <c r="AH2264" s="4"/>
      <c r="AI2264" s="4"/>
      <c r="AJ2264" s="4"/>
      <c r="AK2264" s="4"/>
      <c r="AL2264" s="4"/>
      <c r="AM2264" s="4"/>
      <c r="AN2264" s="4"/>
      <c r="AO2264" s="4"/>
      <c r="AP2264" s="4"/>
      <c r="AQ2264" s="4"/>
      <c r="AR2264" s="4"/>
      <c r="AS2264" s="4"/>
      <c r="AT2264" s="4"/>
      <c r="AU2264" s="4"/>
      <c r="AV2264" s="4"/>
      <c r="AW2264" s="4"/>
      <c r="AX2264" s="4"/>
      <c r="AY2264" s="4"/>
      <c r="AZ2264" s="4"/>
      <c r="BA2264" s="4"/>
      <c r="BB2264" s="4"/>
      <c r="BC2264" s="4"/>
      <c r="BD2264" s="4"/>
      <c r="BE2264" s="4"/>
      <c r="BF2264" s="4"/>
      <c r="BG2264" s="4"/>
      <c r="BH2264" s="4"/>
      <c r="BI2264" s="4"/>
      <c r="BJ2264" s="4"/>
      <c r="BK2264" s="4"/>
      <c r="BL2264" s="4"/>
      <c r="BM2264" s="4"/>
      <c r="BN2264" s="4"/>
      <c r="BO2264" s="4"/>
      <c r="BP2264" s="4"/>
      <c r="BQ2264" s="4"/>
      <c r="BR2264" s="4"/>
      <c r="BS2264" s="4"/>
      <c r="BT2264" s="4"/>
      <c r="BU2264" s="4"/>
      <c r="BV2264" s="4"/>
      <c r="BW2264" s="4"/>
      <c r="BX2264" s="4"/>
      <c r="BY2264" s="4"/>
      <c r="BZ2264" s="4"/>
      <c r="CA2264" s="4"/>
      <c r="CB2264" s="4"/>
      <c r="CC2264" s="4"/>
      <c r="CD2264" s="4"/>
      <c r="CE2264" s="4"/>
      <c r="CF2264" s="4"/>
      <c r="CG2264" s="4"/>
      <c r="CH2264" s="4"/>
      <c r="CI2264" s="4"/>
      <c r="CJ2264" s="4"/>
      <c r="CK2264" s="4"/>
      <c r="CL2264" s="4"/>
      <c r="CM2264" s="4"/>
      <c r="CN2264" s="4"/>
      <c r="CO2264" s="4"/>
      <c r="CP2264" s="4"/>
      <c r="CQ2264" s="4"/>
      <c r="CR2264" s="4"/>
      <c r="CS2264" s="4"/>
      <c r="CT2264" s="4"/>
      <c r="CU2264" s="4"/>
      <c r="CV2264" s="4"/>
      <c r="CW2264" s="4"/>
      <c r="CX2264" s="4"/>
      <c r="CY2264" s="4"/>
      <c r="CZ2264" s="4"/>
      <c r="DA2264" s="4"/>
      <c r="DB2264" s="4"/>
      <c r="DC2264" s="4"/>
      <c r="DD2264" s="4"/>
      <c r="DE2264" s="4"/>
      <c r="DF2264" s="4"/>
      <c r="DG2264" s="4"/>
      <c r="DH2264" s="4"/>
      <c r="DI2264" s="4"/>
      <c r="DJ2264" s="4"/>
      <c r="DK2264" s="4"/>
      <c r="DL2264" s="4"/>
      <c r="DM2264" s="4"/>
      <c r="DN2264" s="4"/>
      <c r="DO2264" s="4"/>
      <c r="DP2264" s="4"/>
      <c r="DQ2264" s="4"/>
      <c r="DR2264" s="4"/>
      <c r="DS2264" s="4"/>
    </row>
    <row r="2265">
      <c r="A2265" s="4"/>
      <c r="B2265" s="4"/>
      <c r="C2265" s="4"/>
      <c r="D2265" s="4"/>
      <c r="E2265" s="4"/>
      <c r="F2265" s="4" t="s">
        <v>17</v>
      </c>
      <c r="G2265" s="15"/>
      <c r="H2265" s="4"/>
      <c r="I2265" s="4"/>
      <c r="J2265" s="4"/>
      <c r="K2265" s="4"/>
      <c r="L2265" s="4"/>
      <c r="M2265" s="4"/>
      <c r="N2265" s="4"/>
      <c r="O2265" s="4"/>
      <c r="P2265" s="4"/>
      <c r="Q2265" s="4"/>
      <c r="R2265" s="4"/>
      <c r="S2265" s="4"/>
      <c r="T2265" s="4"/>
      <c r="U2265" s="4"/>
      <c r="V2265" s="4"/>
      <c r="W2265" s="4"/>
      <c r="X2265" s="4"/>
      <c r="Y2265" s="4"/>
      <c r="Z2265" s="4"/>
      <c r="AA2265" s="4"/>
      <c r="AB2265" s="4"/>
      <c r="AC2265" s="4"/>
      <c r="AD2265" s="4"/>
      <c r="AE2265" s="4"/>
      <c r="AF2265" s="4"/>
      <c r="AG2265" s="4"/>
      <c r="AH2265" s="4"/>
      <c r="AI2265" s="4"/>
      <c r="AJ2265" s="4"/>
      <c r="AK2265" s="4"/>
      <c r="AL2265" s="4"/>
      <c r="AM2265" s="4"/>
      <c r="AN2265" s="4"/>
      <c r="AO2265" s="4"/>
      <c r="AP2265" s="4"/>
      <c r="AQ2265" s="4"/>
      <c r="AR2265" s="4"/>
      <c r="AS2265" s="4"/>
      <c r="AT2265" s="4"/>
      <c r="AU2265" s="4"/>
      <c r="AV2265" s="4"/>
      <c r="AW2265" s="4"/>
      <c r="AX2265" s="4"/>
      <c r="AY2265" s="4"/>
      <c r="AZ2265" s="4"/>
      <c r="BA2265" s="4"/>
      <c r="BB2265" s="4"/>
      <c r="BC2265" s="4"/>
      <c r="BD2265" s="4"/>
      <c r="BE2265" s="4"/>
      <c r="BF2265" s="4"/>
      <c r="BG2265" s="4"/>
      <c r="BH2265" s="4"/>
      <c r="BI2265" s="4"/>
      <c r="BJ2265" s="4"/>
      <c r="BK2265" s="4"/>
      <c r="BL2265" s="4"/>
      <c r="BM2265" s="4"/>
      <c r="BN2265" s="4"/>
      <c r="BO2265" s="4"/>
      <c r="BP2265" s="4"/>
      <c r="BQ2265" s="4"/>
      <c r="BR2265" s="4"/>
      <c r="BS2265" s="4"/>
      <c r="BT2265" s="4"/>
      <c r="BU2265" s="4"/>
      <c r="BV2265" s="4"/>
      <c r="BW2265" s="4"/>
      <c r="BX2265" s="4"/>
      <c r="BY2265" s="4"/>
      <c r="BZ2265" s="4"/>
      <c r="CA2265" s="4"/>
      <c r="CB2265" s="4"/>
      <c r="CC2265" s="4"/>
      <c r="CD2265" s="4"/>
      <c r="CE2265" s="4"/>
      <c r="CF2265" s="4"/>
      <c r="CG2265" s="4"/>
      <c r="CH2265" s="4"/>
      <c r="CI2265" s="4"/>
      <c r="CJ2265" s="4"/>
      <c r="CK2265" s="4"/>
      <c r="CL2265" s="4"/>
      <c r="CM2265" s="4"/>
      <c r="CN2265" s="4"/>
      <c r="CO2265" s="4"/>
      <c r="CP2265" s="4"/>
      <c r="CQ2265" s="4"/>
      <c r="CR2265" s="4"/>
      <c r="CS2265" s="4"/>
      <c r="CT2265" s="4"/>
      <c r="CU2265" s="4"/>
      <c r="CV2265" s="4"/>
      <c r="CW2265" s="4"/>
      <c r="CX2265" s="4"/>
      <c r="CY2265" s="4"/>
      <c r="CZ2265" s="4"/>
      <c r="DA2265" s="4"/>
      <c r="DB2265" s="4"/>
      <c r="DC2265" s="4"/>
      <c r="DD2265" s="4"/>
      <c r="DE2265" s="4"/>
      <c r="DF2265" s="4"/>
      <c r="DG2265" s="4"/>
      <c r="DH2265" s="4"/>
      <c r="DI2265" s="4"/>
      <c r="DJ2265" s="4"/>
      <c r="DK2265" s="4"/>
      <c r="DL2265" s="4"/>
      <c r="DM2265" s="4"/>
      <c r="DN2265" s="4"/>
      <c r="DO2265" s="4"/>
      <c r="DP2265" s="4"/>
      <c r="DQ2265" s="4"/>
      <c r="DR2265" s="4"/>
      <c r="DS2265" s="4"/>
    </row>
    <row r="2266">
      <c r="A2266" s="4"/>
      <c r="B2266" s="4"/>
      <c r="C2266" s="4"/>
      <c r="D2266" s="4"/>
      <c r="E2266" s="4"/>
      <c r="F2266" s="4" t="s">
        <v>17</v>
      </c>
      <c r="G2266" s="15"/>
      <c r="H2266" s="4"/>
      <c r="I2266" s="4"/>
      <c r="J2266" s="4"/>
      <c r="K2266" s="4"/>
      <c r="L2266" s="4"/>
      <c r="M2266" s="4"/>
      <c r="N2266" s="4"/>
      <c r="O2266" s="4"/>
      <c r="P2266" s="4"/>
      <c r="Q2266" s="4"/>
      <c r="R2266" s="4"/>
      <c r="S2266" s="4"/>
      <c r="T2266" s="4"/>
      <c r="U2266" s="4"/>
      <c r="V2266" s="4"/>
      <c r="W2266" s="4"/>
      <c r="X2266" s="4"/>
      <c r="Y2266" s="4"/>
      <c r="Z2266" s="4"/>
      <c r="AA2266" s="4"/>
      <c r="AB2266" s="4"/>
      <c r="AC2266" s="4"/>
      <c r="AD2266" s="4"/>
      <c r="AE2266" s="4"/>
      <c r="AF2266" s="4"/>
      <c r="AG2266" s="4"/>
      <c r="AH2266" s="4"/>
      <c r="AI2266" s="4"/>
      <c r="AJ2266" s="4"/>
      <c r="AK2266" s="4"/>
      <c r="AL2266" s="4"/>
      <c r="AM2266" s="4"/>
      <c r="AN2266" s="4"/>
      <c r="AO2266" s="4"/>
      <c r="AP2266" s="4"/>
      <c r="AQ2266" s="4"/>
      <c r="AR2266" s="4"/>
      <c r="AS2266" s="4"/>
      <c r="AT2266" s="4"/>
      <c r="AU2266" s="4"/>
      <c r="AV2266" s="4"/>
      <c r="AW2266" s="4"/>
      <c r="AX2266" s="4"/>
      <c r="AY2266" s="4"/>
      <c r="AZ2266" s="4"/>
      <c r="BA2266" s="4"/>
      <c r="BB2266" s="4"/>
      <c r="BC2266" s="4"/>
      <c r="BD2266" s="4"/>
      <c r="BE2266" s="4"/>
      <c r="BF2266" s="4"/>
      <c r="BG2266" s="4"/>
      <c r="BH2266" s="4"/>
      <c r="BI2266" s="4"/>
      <c r="BJ2266" s="4"/>
      <c r="BK2266" s="4"/>
      <c r="BL2266" s="4"/>
      <c r="BM2266" s="4"/>
      <c r="BN2266" s="4"/>
      <c r="BO2266" s="4"/>
      <c r="BP2266" s="4"/>
      <c r="BQ2266" s="4"/>
      <c r="BR2266" s="4"/>
      <c r="BS2266" s="4"/>
      <c r="BT2266" s="4"/>
      <c r="BU2266" s="4"/>
      <c r="BV2266" s="4"/>
      <c r="BW2266" s="4"/>
      <c r="BX2266" s="4"/>
      <c r="BY2266" s="4"/>
      <c r="BZ2266" s="4"/>
      <c r="CA2266" s="4"/>
      <c r="CB2266" s="4"/>
      <c r="CC2266" s="4"/>
      <c r="CD2266" s="4"/>
      <c r="CE2266" s="4"/>
      <c r="CF2266" s="4"/>
      <c r="CG2266" s="4"/>
      <c r="CH2266" s="4"/>
      <c r="CI2266" s="4"/>
      <c r="CJ2266" s="4"/>
      <c r="CK2266" s="4"/>
      <c r="CL2266" s="4"/>
      <c r="CM2266" s="4"/>
      <c r="CN2266" s="4"/>
      <c r="CO2266" s="4"/>
      <c r="CP2266" s="4"/>
      <c r="CQ2266" s="4"/>
      <c r="CR2266" s="4"/>
      <c r="CS2266" s="4"/>
      <c r="CT2266" s="4"/>
      <c r="CU2266" s="4"/>
      <c r="CV2266" s="4"/>
      <c r="CW2266" s="4"/>
      <c r="CX2266" s="4"/>
      <c r="CY2266" s="4"/>
      <c r="CZ2266" s="4"/>
      <c r="DA2266" s="4"/>
      <c r="DB2266" s="4"/>
      <c r="DC2266" s="4"/>
      <c r="DD2266" s="4"/>
      <c r="DE2266" s="4"/>
      <c r="DF2266" s="4"/>
      <c r="DG2266" s="4"/>
      <c r="DH2266" s="4"/>
      <c r="DI2266" s="4"/>
      <c r="DJ2266" s="4"/>
      <c r="DK2266" s="4"/>
      <c r="DL2266" s="4"/>
      <c r="DM2266" s="4"/>
      <c r="DN2266" s="4"/>
      <c r="DO2266" s="4"/>
      <c r="DP2266" s="4"/>
      <c r="DQ2266" s="4"/>
      <c r="DR2266" s="4"/>
      <c r="DS2266" s="4"/>
    </row>
    <row r="2267">
      <c r="A2267" s="4"/>
      <c r="B2267" s="4"/>
      <c r="C2267" s="4"/>
      <c r="D2267" s="4"/>
      <c r="E2267" s="4"/>
      <c r="F2267" s="4" t="s">
        <v>17</v>
      </c>
      <c r="G2267" s="15"/>
      <c r="H2267" s="4"/>
      <c r="I2267" s="4"/>
      <c r="J2267" s="4"/>
      <c r="K2267" s="4"/>
      <c r="L2267" s="4"/>
      <c r="M2267" s="4"/>
      <c r="N2267" s="4"/>
      <c r="O2267" s="4"/>
      <c r="P2267" s="4"/>
      <c r="Q2267" s="4"/>
      <c r="R2267" s="4"/>
      <c r="S2267" s="4"/>
      <c r="T2267" s="4"/>
      <c r="U2267" s="4"/>
      <c r="V2267" s="4"/>
      <c r="W2267" s="4"/>
      <c r="X2267" s="4"/>
      <c r="Y2267" s="4"/>
      <c r="Z2267" s="4"/>
      <c r="AA2267" s="4"/>
      <c r="AB2267" s="4"/>
      <c r="AC2267" s="4"/>
      <c r="AD2267" s="4"/>
      <c r="AE2267" s="4"/>
      <c r="AF2267" s="4"/>
      <c r="AG2267" s="4"/>
      <c r="AH2267" s="4"/>
      <c r="AI2267" s="4"/>
      <c r="AJ2267" s="4"/>
      <c r="AK2267" s="4"/>
      <c r="AL2267" s="4"/>
      <c r="AM2267" s="4"/>
      <c r="AN2267" s="4"/>
      <c r="AO2267" s="4"/>
      <c r="AP2267" s="4"/>
      <c r="AQ2267" s="4"/>
      <c r="AR2267" s="4"/>
      <c r="AS2267" s="4"/>
      <c r="AT2267" s="4"/>
      <c r="AU2267" s="4"/>
      <c r="AV2267" s="4"/>
      <c r="AW2267" s="4"/>
      <c r="AX2267" s="4"/>
      <c r="AY2267" s="4"/>
      <c r="AZ2267" s="4"/>
      <c r="BA2267" s="4"/>
      <c r="BB2267" s="4"/>
      <c r="BC2267" s="4"/>
      <c r="BD2267" s="4"/>
      <c r="BE2267" s="4"/>
      <c r="BF2267" s="4"/>
      <c r="BG2267" s="4"/>
      <c r="BH2267" s="4"/>
      <c r="BI2267" s="4"/>
      <c r="BJ2267" s="4"/>
      <c r="BK2267" s="4"/>
      <c r="BL2267" s="4"/>
      <c r="BM2267" s="4"/>
      <c r="BN2267" s="4"/>
      <c r="BO2267" s="4"/>
      <c r="BP2267" s="4"/>
      <c r="BQ2267" s="4"/>
      <c r="BR2267" s="4"/>
      <c r="BS2267" s="4"/>
      <c r="BT2267" s="4"/>
      <c r="BU2267" s="4"/>
      <c r="BV2267" s="4"/>
      <c r="BW2267" s="4"/>
      <c r="BX2267" s="4"/>
      <c r="BY2267" s="4"/>
      <c r="BZ2267" s="4"/>
      <c r="CA2267" s="4"/>
      <c r="CB2267" s="4"/>
      <c r="CC2267" s="4"/>
      <c r="CD2267" s="4"/>
      <c r="CE2267" s="4"/>
      <c r="CF2267" s="4"/>
      <c r="CG2267" s="4"/>
      <c r="CH2267" s="4"/>
      <c r="CI2267" s="4"/>
      <c r="CJ2267" s="4"/>
      <c r="CK2267" s="4"/>
      <c r="CL2267" s="4"/>
      <c r="CM2267" s="4"/>
      <c r="CN2267" s="4"/>
      <c r="CO2267" s="4"/>
      <c r="CP2267" s="4"/>
      <c r="CQ2267" s="4"/>
      <c r="CR2267" s="4"/>
      <c r="CS2267" s="4"/>
      <c r="CT2267" s="4"/>
      <c r="CU2267" s="4"/>
      <c r="CV2267" s="4"/>
      <c r="CW2267" s="4"/>
      <c r="CX2267" s="4"/>
      <c r="CY2267" s="4"/>
      <c r="CZ2267" s="4"/>
      <c r="DA2267" s="4"/>
      <c r="DB2267" s="4"/>
      <c r="DC2267" s="4"/>
      <c r="DD2267" s="4"/>
      <c r="DE2267" s="4"/>
      <c r="DF2267" s="4"/>
      <c r="DG2267" s="4"/>
      <c r="DH2267" s="4"/>
      <c r="DI2267" s="4"/>
      <c r="DJ2267" s="4"/>
      <c r="DK2267" s="4"/>
      <c r="DL2267" s="4"/>
      <c r="DM2267" s="4"/>
      <c r="DN2267" s="4"/>
      <c r="DO2267" s="4"/>
      <c r="DP2267" s="4"/>
      <c r="DQ2267" s="4"/>
      <c r="DR2267" s="4"/>
      <c r="DS2267" s="4"/>
    </row>
    <row r="2268">
      <c r="A2268" s="4"/>
      <c r="B2268" s="4"/>
      <c r="C2268" s="4"/>
      <c r="D2268" s="4"/>
      <c r="E2268" s="4"/>
      <c r="F2268" s="4" t="s">
        <v>17</v>
      </c>
      <c r="G2268" s="15"/>
      <c r="H2268" s="4"/>
      <c r="I2268" s="4"/>
      <c r="J2268" s="4"/>
      <c r="K2268" s="4"/>
      <c r="L2268" s="4"/>
      <c r="M2268" s="4"/>
      <c r="N2268" s="4"/>
      <c r="O2268" s="4"/>
      <c r="P2268" s="4"/>
      <c r="Q2268" s="4"/>
      <c r="R2268" s="4"/>
      <c r="S2268" s="4"/>
      <c r="T2268" s="4"/>
      <c r="U2268" s="4"/>
      <c r="V2268" s="4"/>
      <c r="W2268" s="4"/>
      <c r="X2268" s="4"/>
      <c r="Y2268" s="4"/>
      <c r="Z2268" s="4"/>
      <c r="AA2268" s="4"/>
      <c r="AB2268" s="4"/>
      <c r="AC2268" s="4"/>
      <c r="AD2268" s="4"/>
      <c r="AE2268" s="4"/>
      <c r="AF2268" s="4"/>
      <c r="AG2268" s="4"/>
      <c r="AH2268" s="4"/>
      <c r="AI2268" s="4"/>
      <c r="AJ2268" s="4"/>
      <c r="AK2268" s="4"/>
      <c r="AL2268" s="4"/>
      <c r="AM2268" s="4"/>
      <c r="AN2268" s="4"/>
      <c r="AO2268" s="4"/>
      <c r="AP2268" s="4"/>
      <c r="AQ2268" s="4"/>
      <c r="AR2268" s="4"/>
      <c r="AS2268" s="4"/>
      <c r="AT2268" s="4"/>
      <c r="AU2268" s="4"/>
      <c r="AV2268" s="4"/>
      <c r="AW2268" s="4"/>
      <c r="AX2268" s="4"/>
      <c r="AY2268" s="4"/>
      <c r="AZ2268" s="4"/>
      <c r="BA2268" s="4"/>
      <c r="BB2268" s="4"/>
      <c r="BC2268" s="4"/>
      <c r="BD2268" s="4"/>
      <c r="BE2268" s="4"/>
      <c r="BF2268" s="4"/>
      <c r="BG2268" s="4"/>
      <c r="BH2268" s="4"/>
      <c r="BI2268" s="4"/>
      <c r="BJ2268" s="4"/>
      <c r="BK2268" s="4"/>
      <c r="BL2268" s="4"/>
      <c r="BM2268" s="4"/>
      <c r="BN2268" s="4"/>
      <c r="BO2268" s="4"/>
      <c r="BP2268" s="4"/>
      <c r="BQ2268" s="4"/>
      <c r="BR2268" s="4"/>
      <c r="BS2268" s="4"/>
      <c r="BT2268" s="4"/>
      <c r="BU2268" s="4"/>
      <c r="BV2268" s="4"/>
      <c r="BW2268" s="4"/>
      <c r="BX2268" s="4"/>
      <c r="BY2268" s="4"/>
      <c r="BZ2268" s="4"/>
      <c r="CA2268" s="4"/>
      <c r="CB2268" s="4"/>
      <c r="CC2268" s="4"/>
      <c r="CD2268" s="4"/>
      <c r="CE2268" s="4"/>
      <c r="CF2268" s="4"/>
      <c r="CG2268" s="4"/>
      <c r="CH2268" s="4"/>
      <c r="CI2268" s="4"/>
      <c r="CJ2268" s="4"/>
      <c r="CK2268" s="4"/>
      <c r="CL2268" s="4"/>
      <c r="CM2268" s="4"/>
      <c r="CN2268" s="4"/>
      <c r="CO2268" s="4"/>
      <c r="CP2268" s="4"/>
      <c r="CQ2268" s="4"/>
      <c r="CR2268" s="4"/>
      <c r="CS2268" s="4"/>
      <c r="CT2268" s="4"/>
      <c r="CU2268" s="4"/>
      <c r="CV2268" s="4"/>
      <c r="CW2268" s="4"/>
      <c r="CX2268" s="4"/>
      <c r="CY2268" s="4"/>
      <c r="CZ2268" s="4"/>
      <c r="DA2268" s="4"/>
      <c r="DB2268" s="4"/>
      <c r="DC2268" s="4"/>
      <c r="DD2268" s="4"/>
      <c r="DE2268" s="4"/>
      <c r="DF2268" s="4"/>
      <c r="DG2268" s="4"/>
      <c r="DH2268" s="4"/>
      <c r="DI2268" s="4"/>
      <c r="DJ2268" s="4"/>
      <c r="DK2268" s="4"/>
      <c r="DL2268" s="4"/>
      <c r="DM2268" s="4"/>
      <c r="DN2268" s="4"/>
      <c r="DO2268" s="4"/>
      <c r="DP2268" s="4"/>
      <c r="DQ2268" s="4"/>
      <c r="DR2268" s="4"/>
      <c r="DS2268" s="4"/>
    </row>
    <row r="2269">
      <c r="A2269" s="4"/>
      <c r="B2269" s="4"/>
      <c r="C2269" s="4"/>
      <c r="D2269" s="4"/>
      <c r="E2269" s="4"/>
      <c r="F2269" s="4" t="s">
        <v>17</v>
      </c>
      <c r="G2269" s="15"/>
      <c r="H2269" s="4"/>
      <c r="I2269" s="4"/>
      <c r="J2269" s="4"/>
      <c r="K2269" s="4"/>
      <c r="L2269" s="4"/>
      <c r="M2269" s="4"/>
      <c r="N2269" s="4"/>
      <c r="O2269" s="4"/>
      <c r="P2269" s="4"/>
      <c r="Q2269" s="4"/>
      <c r="R2269" s="4"/>
      <c r="S2269" s="4"/>
      <c r="T2269" s="4"/>
      <c r="U2269" s="4"/>
      <c r="V2269" s="4"/>
      <c r="W2269" s="4"/>
      <c r="X2269" s="4"/>
      <c r="Y2269" s="4"/>
      <c r="Z2269" s="4"/>
      <c r="AA2269" s="4"/>
      <c r="AB2269" s="4"/>
      <c r="AC2269" s="4"/>
      <c r="AD2269" s="4"/>
      <c r="AE2269" s="4"/>
      <c r="AF2269" s="4"/>
      <c r="AG2269" s="4"/>
      <c r="AH2269" s="4"/>
      <c r="AI2269" s="4"/>
      <c r="AJ2269" s="4"/>
      <c r="AK2269" s="4"/>
      <c r="AL2269" s="4"/>
      <c r="AM2269" s="4"/>
      <c r="AN2269" s="4"/>
      <c r="AO2269" s="4"/>
      <c r="AP2269" s="4"/>
      <c r="AQ2269" s="4"/>
      <c r="AR2269" s="4"/>
      <c r="AS2269" s="4"/>
      <c r="AT2269" s="4"/>
      <c r="AU2269" s="4"/>
      <c r="AV2269" s="4"/>
      <c r="AW2269" s="4"/>
      <c r="AX2269" s="4"/>
      <c r="AY2269" s="4"/>
      <c r="AZ2269" s="4"/>
      <c r="BA2269" s="4"/>
      <c r="BB2269" s="4"/>
      <c r="BC2269" s="4"/>
      <c r="BD2269" s="4"/>
      <c r="BE2269" s="4"/>
      <c r="BF2269" s="4"/>
      <c r="BG2269" s="4"/>
      <c r="BH2269" s="4"/>
      <c r="BI2269" s="4"/>
      <c r="BJ2269" s="4"/>
      <c r="BK2269" s="4"/>
      <c r="BL2269" s="4"/>
      <c r="BM2269" s="4"/>
      <c r="BN2269" s="4"/>
      <c r="BO2269" s="4"/>
      <c r="BP2269" s="4"/>
      <c r="BQ2269" s="4"/>
      <c r="BR2269" s="4"/>
      <c r="BS2269" s="4"/>
      <c r="BT2269" s="4"/>
      <c r="BU2269" s="4"/>
      <c r="BV2269" s="4"/>
      <c r="BW2269" s="4"/>
      <c r="BX2269" s="4"/>
      <c r="BY2269" s="4"/>
      <c r="BZ2269" s="4"/>
      <c r="CA2269" s="4"/>
      <c r="CB2269" s="4"/>
      <c r="CC2269" s="4"/>
      <c r="CD2269" s="4"/>
      <c r="CE2269" s="4"/>
      <c r="CF2269" s="4"/>
      <c r="CG2269" s="4"/>
      <c r="CH2269" s="4"/>
      <c r="CI2269" s="4"/>
      <c r="CJ2269" s="4"/>
      <c r="CK2269" s="4"/>
      <c r="CL2269" s="4"/>
      <c r="CM2269" s="4"/>
      <c r="CN2269" s="4"/>
      <c r="CO2269" s="4"/>
      <c r="CP2269" s="4"/>
      <c r="CQ2269" s="4"/>
      <c r="CR2269" s="4"/>
      <c r="CS2269" s="4"/>
      <c r="CT2269" s="4"/>
      <c r="CU2269" s="4"/>
      <c r="CV2269" s="4"/>
      <c r="CW2269" s="4"/>
      <c r="CX2269" s="4"/>
      <c r="CY2269" s="4"/>
      <c r="CZ2269" s="4"/>
      <c r="DA2269" s="4"/>
      <c r="DB2269" s="4"/>
      <c r="DC2269" s="4"/>
      <c r="DD2269" s="4"/>
      <c r="DE2269" s="4"/>
      <c r="DF2269" s="4"/>
      <c r="DG2269" s="4"/>
      <c r="DH2269" s="4"/>
      <c r="DI2269" s="4"/>
      <c r="DJ2269" s="4"/>
      <c r="DK2269" s="4"/>
      <c r="DL2269" s="4"/>
      <c r="DM2269" s="4"/>
      <c r="DN2269" s="4"/>
      <c r="DO2269" s="4"/>
      <c r="DP2269" s="4"/>
      <c r="DQ2269" s="4"/>
      <c r="DR2269" s="4"/>
      <c r="DS2269" s="4"/>
    </row>
    <row r="2270">
      <c r="A2270" s="4"/>
      <c r="B2270" s="4"/>
      <c r="C2270" s="4"/>
      <c r="D2270" s="4"/>
      <c r="E2270" s="4"/>
      <c r="F2270" s="4" t="s">
        <v>17</v>
      </c>
      <c r="G2270" s="15"/>
      <c r="H2270" s="4"/>
      <c r="I2270" s="4"/>
      <c r="J2270" s="4"/>
      <c r="K2270" s="4"/>
      <c r="L2270" s="4"/>
      <c r="M2270" s="4"/>
      <c r="N2270" s="4"/>
      <c r="O2270" s="4"/>
      <c r="P2270" s="4"/>
      <c r="Q2270" s="4"/>
      <c r="R2270" s="4"/>
      <c r="S2270" s="4"/>
      <c r="T2270" s="4"/>
      <c r="U2270" s="4"/>
      <c r="V2270" s="4"/>
      <c r="W2270" s="4"/>
      <c r="X2270" s="4"/>
      <c r="Y2270" s="4"/>
      <c r="Z2270" s="4"/>
      <c r="AA2270" s="4"/>
      <c r="AB2270" s="4"/>
      <c r="AC2270" s="4"/>
      <c r="AD2270" s="4"/>
      <c r="AE2270" s="4"/>
      <c r="AF2270" s="4"/>
      <c r="AG2270" s="4"/>
      <c r="AH2270" s="4"/>
      <c r="AI2270" s="4"/>
      <c r="AJ2270" s="4"/>
      <c r="AK2270" s="4"/>
      <c r="AL2270" s="4"/>
      <c r="AM2270" s="4"/>
      <c r="AN2270" s="4"/>
      <c r="AO2270" s="4"/>
      <c r="AP2270" s="4"/>
      <c r="AQ2270" s="4"/>
      <c r="AR2270" s="4"/>
      <c r="AS2270" s="4"/>
      <c r="AT2270" s="4"/>
      <c r="AU2270" s="4"/>
      <c r="AV2270" s="4"/>
      <c r="AW2270" s="4"/>
      <c r="AX2270" s="4"/>
      <c r="AY2270" s="4"/>
      <c r="AZ2270" s="4"/>
      <c r="BA2270" s="4"/>
      <c r="BB2270" s="4"/>
      <c r="BC2270" s="4"/>
      <c r="BD2270" s="4"/>
      <c r="BE2270" s="4"/>
      <c r="BF2270" s="4"/>
      <c r="BG2270" s="4"/>
      <c r="BH2270" s="4"/>
      <c r="BI2270" s="4"/>
      <c r="BJ2270" s="4"/>
      <c r="BK2270" s="4"/>
      <c r="BL2270" s="4"/>
      <c r="BM2270" s="4"/>
      <c r="BN2270" s="4"/>
      <c r="BO2270" s="4"/>
      <c r="BP2270" s="4"/>
      <c r="BQ2270" s="4"/>
      <c r="BR2270" s="4"/>
      <c r="BS2270" s="4"/>
      <c r="BT2270" s="4"/>
      <c r="BU2270" s="4"/>
      <c r="BV2270" s="4"/>
      <c r="BW2270" s="4"/>
      <c r="BX2270" s="4"/>
      <c r="BY2270" s="4"/>
      <c r="BZ2270" s="4"/>
      <c r="CA2270" s="4"/>
      <c r="CB2270" s="4"/>
      <c r="CC2270" s="4"/>
      <c r="CD2270" s="4"/>
      <c r="CE2270" s="4"/>
      <c r="CF2270" s="4"/>
      <c r="CG2270" s="4"/>
      <c r="CH2270" s="4"/>
      <c r="CI2270" s="4"/>
      <c r="CJ2270" s="4"/>
      <c r="CK2270" s="4"/>
      <c r="CL2270" s="4"/>
      <c r="CM2270" s="4"/>
      <c r="CN2270" s="4"/>
      <c r="CO2270" s="4"/>
      <c r="CP2270" s="4"/>
      <c r="CQ2270" s="4"/>
      <c r="CR2270" s="4"/>
      <c r="CS2270" s="4"/>
      <c r="CT2270" s="4"/>
      <c r="CU2270" s="4"/>
      <c r="CV2270" s="4"/>
      <c r="CW2270" s="4"/>
      <c r="CX2270" s="4"/>
      <c r="CY2270" s="4"/>
      <c r="CZ2270" s="4"/>
      <c r="DA2270" s="4"/>
      <c r="DB2270" s="4"/>
      <c r="DC2270" s="4"/>
      <c r="DD2270" s="4"/>
      <c r="DE2270" s="4"/>
      <c r="DF2270" s="4"/>
      <c r="DG2270" s="4"/>
      <c r="DH2270" s="4"/>
      <c r="DI2270" s="4"/>
      <c r="DJ2270" s="4"/>
      <c r="DK2270" s="4"/>
      <c r="DL2270" s="4"/>
      <c r="DM2270" s="4"/>
      <c r="DN2270" s="4"/>
      <c r="DO2270" s="4"/>
      <c r="DP2270" s="4"/>
      <c r="DQ2270" s="4"/>
      <c r="DR2270" s="4"/>
      <c r="DS2270" s="4"/>
    </row>
    <row r="2271">
      <c r="A2271" s="4"/>
      <c r="B2271" s="4"/>
      <c r="C2271" s="4"/>
      <c r="D2271" s="4"/>
      <c r="E2271" s="4"/>
      <c r="F2271" s="4" t="s">
        <v>17</v>
      </c>
      <c r="G2271" s="15"/>
      <c r="H2271" s="4"/>
      <c r="I2271" s="4"/>
      <c r="J2271" s="4"/>
      <c r="K2271" s="4"/>
      <c r="L2271" s="4"/>
      <c r="M2271" s="4"/>
      <c r="N2271" s="4"/>
      <c r="O2271" s="4"/>
      <c r="P2271" s="4"/>
      <c r="Q2271" s="4"/>
      <c r="R2271" s="4"/>
      <c r="S2271" s="4"/>
      <c r="T2271" s="4"/>
      <c r="U2271" s="4"/>
      <c r="V2271" s="4"/>
      <c r="W2271" s="4"/>
      <c r="X2271" s="4"/>
      <c r="Y2271" s="4"/>
      <c r="Z2271" s="4"/>
      <c r="AA2271" s="4"/>
      <c r="AB2271" s="4"/>
      <c r="AC2271" s="4"/>
      <c r="AD2271" s="4"/>
      <c r="AE2271" s="4"/>
      <c r="AF2271" s="4"/>
      <c r="AG2271" s="4"/>
      <c r="AH2271" s="4"/>
      <c r="AI2271" s="4"/>
      <c r="AJ2271" s="4"/>
      <c r="AK2271" s="4"/>
      <c r="AL2271" s="4"/>
      <c r="AM2271" s="4"/>
      <c r="AN2271" s="4"/>
      <c r="AO2271" s="4"/>
      <c r="AP2271" s="4"/>
      <c r="AQ2271" s="4"/>
      <c r="AR2271" s="4"/>
      <c r="AS2271" s="4"/>
      <c r="AT2271" s="4"/>
      <c r="AU2271" s="4"/>
      <c r="AV2271" s="4"/>
      <c r="AW2271" s="4"/>
      <c r="AX2271" s="4"/>
      <c r="AY2271" s="4"/>
      <c r="AZ2271" s="4"/>
      <c r="BA2271" s="4"/>
      <c r="BB2271" s="4"/>
      <c r="BC2271" s="4"/>
      <c r="BD2271" s="4"/>
      <c r="BE2271" s="4"/>
      <c r="BF2271" s="4"/>
      <c r="BG2271" s="4"/>
      <c r="BH2271" s="4"/>
      <c r="BI2271" s="4"/>
      <c r="BJ2271" s="4"/>
      <c r="BK2271" s="4"/>
      <c r="BL2271" s="4"/>
      <c r="BM2271" s="4"/>
      <c r="BN2271" s="4"/>
      <c r="BO2271" s="4"/>
      <c r="BP2271" s="4"/>
      <c r="BQ2271" s="4"/>
      <c r="BR2271" s="4"/>
      <c r="BS2271" s="4"/>
      <c r="BT2271" s="4"/>
      <c r="BU2271" s="4"/>
      <c r="BV2271" s="4"/>
      <c r="BW2271" s="4"/>
      <c r="BX2271" s="4"/>
      <c r="BY2271" s="4"/>
      <c r="BZ2271" s="4"/>
      <c r="CA2271" s="4"/>
      <c r="CB2271" s="4"/>
      <c r="CC2271" s="4"/>
      <c r="CD2271" s="4"/>
      <c r="CE2271" s="4"/>
      <c r="CF2271" s="4"/>
      <c r="CG2271" s="4"/>
      <c r="CH2271" s="4"/>
      <c r="CI2271" s="4"/>
      <c r="CJ2271" s="4"/>
      <c r="CK2271" s="4"/>
      <c r="CL2271" s="4"/>
      <c r="CM2271" s="4"/>
      <c r="CN2271" s="4"/>
      <c r="CO2271" s="4"/>
      <c r="CP2271" s="4"/>
      <c r="CQ2271" s="4"/>
      <c r="CR2271" s="4"/>
      <c r="CS2271" s="4"/>
      <c r="CT2271" s="4"/>
      <c r="CU2271" s="4"/>
      <c r="CV2271" s="4"/>
      <c r="CW2271" s="4"/>
      <c r="CX2271" s="4"/>
      <c r="CY2271" s="4"/>
      <c r="CZ2271" s="4"/>
      <c r="DA2271" s="4"/>
      <c r="DB2271" s="4"/>
      <c r="DC2271" s="4"/>
      <c r="DD2271" s="4"/>
      <c r="DE2271" s="4"/>
      <c r="DF2271" s="4"/>
      <c r="DG2271" s="4"/>
      <c r="DH2271" s="4"/>
      <c r="DI2271" s="4"/>
      <c r="DJ2271" s="4"/>
      <c r="DK2271" s="4"/>
      <c r="DL2271" s="4"/>
      <c r="DM2271" s="4"/>
      <c r="DN2271" s="4"/>
      <c r="DO2271" s="4"/>
      <c r="DP2271" s="4"/>
      <c r="DQ2271" s="4"/>
      <c r="DR2271" s="4"/>
      <c r="DS2271" s="4"/>
    </row>
    <row r="2272">
      <c r="A2272" s="4"/>
      <c r="B2272" s="4"/>
      <c r="C2272" s="4"/>
      <c r="D2272" s="4"/>
      <c r="E2272" s="4"/>
      <c r="F2272" s="4" t="s">
        <v>17</v>
      </c>
      <c r="G2272" s="15"/>
      <c r="H2272" s="4"/>
      <c r="I2272" s="4"/>
      <c r="J2272" s="4"/>
      <c r="K2272" s="4"/>
      <c r="L2272" s="4"/>
      <c r="M2272" s="4"/>
      <c r="N2272" s="4"/>
      <c r="O2272" s="4"/>
      <c r="P2272" s="4"/>
      <c r="Q2272" s="4"/>
      <c r="R2272" s="4"/>
      <c r="S2272" s="4"/>
      <c r="T2272" s="4"/>
      <c r="U2272" s="4"/>
      <c r="V2272" s="4"/>
      <c r="W2272" s="4"/>
      <c r="X2272" s="4"/>
      <c r="Y2272" s="4"/>
      <c r="Z2272" s="4"/>
      <c r="AA2272" s="4"/>
      <c r="AB2272" s="4"/>
      <c r="AC2272" s="4"/>
      <c r="AD2272" s="4"/>
      <c r="AE2272" s="4"/>
      <c r="AF2272" s="4"/>
      <c r="AG2272" s="4"/>
      <c r="AH2272" s="4"/>
      <c r="AI2272" s="4"/>
      <c r="AJ2272" s="4"/>
      <c r="AK2272" s="4"/>
      <c r="AL2272" s="4"/>
      <c r="AM2272" s="4"/>
      <c r="AN2272" s="4"/>
      <c r="AO2272" s="4"/>
      <c r="AP2272" s="4"/>
      <c r="AQ2272" s="4"/>
      <c r="AR2272" s="4"/>
      <c r="AS2272" s="4"/>
      <c r="AT2272" s="4"/>
      <c r="AU2272" s="4"/>
      <c r="AV2272" s="4"/>
      <c r="AW2272" s="4"/>
      <c r="AX2272" s="4"/>
      <c r="AY2272" s="4"/>
      <c r="AZ2272" s="4"/>
      <c r="BA2272" s="4"/>
      <c r="BB2272" s="4"/>
      <c r="BC2272" s="4"/>
      <c r="BD2272" s="4"/>
      <c r="BE2272" s="4"/>
      <c r="BF2272" s="4"/>
      <c r="BG2272" s="4"/>
      <c r="BH2272" s="4"/>
      <c r="BI2272" s="4"/>
      <c r="BJ2272" s="4"/>
      <c r="BK2272" s="4"/>
      <c r="BL2272" s="4"/>
      <c r="BM2272" s="4"/>
      <c r="BN2272" s="4"/>
      <c r="BO2272" s="4"/>
      <c r="BP2272" s="4"/>
      <c r="BQ2272" s="4"/>
      <c r="BR2272" s="4"/>
      <c r="BS2272" s="4"/>
      <c r="BT2272" s="4"/>
      <c r="BU2272" s="4"/>
      <c r="BV2272" s="4"/>
      <c r="BW2272" s="4"/>
      <c r="BX2272" s="4"/>
      <c r="BY2272" s="4"/>
      <c r="BZ2272" s="4"/>
      <c r="CA2272" s="4"/>
      <c r="CB2272" s="4"/>
      <c r="CC2272" s="4"/>
      <c r="CD2272" s="4"/>
      <c r="CE2272" s="4"/>
      <c r="CF2272" s="4"/>
      <c r="CG2272" s="4"/>
      <c r="CH2272" s="4"/>
      <c r="CI2272" s="4"/>
      <c r="CJ2272" s="4"/>
      <c r="CK2272" s="4"/>
      <c r="CL2272" s="4"/>
      <c r="CM2272" s="4"/>
      <c r="CN2272" s="4"/>
      <c r="CO2272" s="4"/>
      <c r="CP2272" s="4"/>
      <c r="CQ2272" s="4"/>
      <c r="CR2272" s="4"/>
      <c r="CS2272" s="4"/>
      <c r="CT2272" s="4"/>
      <c r="CU2272" s="4"/>
      <c r="CV2272" s="4"/>
      <c r="CW2272" s="4"/>
      <c r="CX2272" s="4"/>
      <c r="CY2272" s="4"/>
      <c r="CZ2272" s="4"/>
      <c r="DA2272" s="4"/>
      <c r="DB2272" s="4"/>
      <c r="DC2272" s="4"/>
      <c r="DD2272" s="4"/>
      <c r="DE2272" s="4"/>
      <c r="DF2272" s="4"/>
      <c r="DG2272" s="4"/>
      <c r="DH2272" s="4"/>
      <c r="DI2272" s="4"/>
      <c r="DJ2272" s="4"/>
      <c r="DK2272" s="4"/>
      <c r="DL2272" s="4"/>
      <c r="DM2272" s="4"/>
      <c r="DN2272" s="4"/>
      <c r="DO2272" s="4"/>
      <c r="DP2272" s="4"/>
      <c r="DQ2272" s="4"/>
      <c r="DR2272" s="4"/>
      <c r="DS2272" s="4"/>
    </row>
    <row r="2273">
      <c r="A2273" s="4"/>
      <c r="B2273" s="4"/>
      <c r="C2273" s="4"/>
      <c r="D2273" s="4"/>
      <c r="E2273" s="4"/>
      <c r="F2273" s="4" t="s">
        <v>17</v>
      </c>
      <c r="G2273" s="15"/>
      <c r="H2273" s="4"/>
      <c r="I2273" s="4"/>
      <c r="J2273" s="4"/>
      <c r="K2273" s="4"/>
      <c r="L2273" s="4"/>
      <c r="M2273" s="4"/>
      <c r="N2273" s="4"/>
      <c r="O2273" s="4"/>
      <c r="P2273" s="4"/>
      <c r="Q2273" s="4"/>
      <c r="R2273" s="4"/>
      <c r="S2273" s="4"/>
      <c r="T2273" s="4"/>
      <c r="U2273" s="4"/>
      <c r="V2273" s="4"/>
      <c r="W2273" s="4"/>
      <c r="X2273" s="4"/>
      <c r="Y2273" s="4"/>
      <c r="Z2273" s="4"/>
      <c r="AA2273" s="4"/>
      <c r="AB2273" s="4"/>
      <c r="AC2273" s="4"/>
      <c r="AD2273" s="4"/>
      <c r="AE2273" s="4"/>
      <c r="AF2273" s="4"/>
      <c r="AG2273" s="4"/>
      <c r="AH2273" s="4"/>
      <c r="AI2273" s="4"/>
      <c r="AJ2273" s="4"/>
      <c r="AK2273" s="4"/>
      <c r="AL2273" s="4"/>
      <c r="AM2273" s="4"/>
      <c r="AN2273" s="4"/>
      <c r="AO2273" s="4"/>
      <c r="AP2273" s="4"/>
      <c r="AQ2273" s="4"/>
      <c r="AR2273" s="4"/>
      <c r="AS2273" s="4"/>
      <c r="AT2273" s="4"/>
      <c r="AU2273" s="4"/>
      <c r="AV2273" s="4"/>
      <c r="AW2273" s="4"/>
      <c r="AX2273" s="4"/>
      <c r="AY2273" s="4"/>
      <c r="AZ2273" s="4"/>
      <c r="BA2273" s="4"/>
      <c r="BB2273" s="4"/>
      <c r="BC2273" s="4"/>
      <c r="BD2273" s="4"/>
      <c r="BE2273" s="4"/>
      <c r="BF2273" s="4"/>
      <c r="BG2273" s="4"/>
      <c r="BH2273" s="4"/>
      <c r="BI2273" s="4"/>
      <c r="BJ2273" s="4"/>
      <c r="BK2273" s="4"/>
      <c r="BL2273" s="4"/>
      <c r="BM2273" s="4"/>
      <c r="BN2273" s="4"/>
      <c r="BO2273" s="4"/>
      <c r="BP2273" s="4"/>
      <c r="BQ2273" s="4"/>
      <c r="BR2273" s="4"/>
      <c r="BS2273" s="4"/>
      <c r="BT2273" s="4"/>
      <c r="BU2273" s="4"/>
      <c r="BV2273" s="4"/>
      <c r="BW2273" s="4"/>
      <c r="BX2273" s="4"/>
      <c r="BY2273" s="4"/>
      <c r="BZ2273" s="4"/>
      <c r="CA2273" s="4"/>
      <c r="CB2273" s="4"/>
      <c r="CC2273" s="4"/>
      <c r="CD2273" s="4"/>
      <c r="CE2273" s="4"/>
      <c r="CF2273" s="4"/>
      <c r="CG2273" s="4"/>
      <c r="CH2273" s="4"/>
      <c r="CI2273" s="4"/>
      <c r="CJ2273" s="4"/>
      <c r="CK2273" s="4"/>
      <c r="CL2273" s="4"/>
      <c r="CM2273" s="4"/>
      <c r="CN2273" s="4"/>
      <c r="CO2273" s="4"/>
      <c r="CP2273" s="4"/>
      <c r="CQ2273" s="4"/>
      <c r="CR2273" s="4"/>
      <c r="CS2273" s="4"/>
      <c r="CT2273" s="4"/>
      <c r="CU2273" s="4"/>
      <c r="CV2273" s="4"/>
      <c r="CW2273" s="4"/>
      <c r="CX2273" s="4"/>
      <c r="CY2273" s="4"/>
      <c r="CZ2273" s="4"/>
      <c r="DA2273" s="4"/>
      <c r="DB2273" s="4"/>
      <c r="DC2273" s="4"/>
      <c r="DD2273" s="4"/>
      <c r="DE2273" s="4"/>
      <c r="DF2273" s="4"/>
      <c r="DG2273" s="4"/>
      <c r="DH2273" s="4"/>
      <c r="DI2273" s="4"/>
      <c r="DJ2273" s="4"/>
      <c r="DK2273" s="4"/>
      <c r="DL2273" s="4"/>
      <c r="DM2273" s="4"/>
      <c r="DN2273" s="4"/>
      <c r="DO2273" s="4"/>
      <c r="DP2273" s="4"/>
      <c r="DQ2273" s="4"/>
      <c r="DR2273" s="4"/>
      <c r="DS2273" s="4"/>
    </row>
    <row r="2274">
      <c r="A2274" s="4"/>
      <c r="B2274" s="4"/>
      <c r="C2274" s="4"/>
      <c r="D2274" s="4"/>
      <c r="E2274" s="4"/>
      <c r="F2274" s="4" t="s">
        <v>17</v>
      </c>
      <c r="G2274" s="15"/>
      <c r="H2274" s="4"/>
      <c r="I2274" s="4"/>
      <c r="J2274" s="4"/>
      <c r="K2274" s="4"/>
      <c r="L2274" s="4"/>
      <c r="M2274" s="4"/>
      <c r="N2274" s="4"/>
      <c r="O2274" s="4"/>
      <c r="P2274" s="4"/>
      <c r="Q2274" s="4"/>
      <c r="R2274" s="4"/>
      <c r="S2274" s="4"/>
      <c r="T2274" s="4"/>
      <c r="U2274" s="4"/>
      <c r="V2274" s="4"/>
      <c r="W2274" s="4"/>
      <c r="X2274" s="4"/>
      <c r="Y2274" s="4"/>
      <c r="Z2274" s="4"/>
      <c r="AA2274" s="4"/>
      <c r="AB2274" s="4"/>
      <c r="AC2274" s="4"/>
      <c r="AD2274" s="4"/>
      <c r="AE2274" s="4"/>
      <c r="AF2274" s="4"/>
      <c r="AG2274" s="4"/>
      <c r="AH2274" s="4"/>
      <c r="AI2274" s="4"/>
      <c r="AJ2274" s="4"/>
      <c r="AK2274" s="4"/>
      <c r="AL2274" s="4"/>
      <c r="AM2274" s="4"/>
      <c r="AN2274" s="4"/>
      <c r="AO2274" s="4"/>
      <c r="AP2274" s="4"/>
      <c r="AQ2274" s="4"/>
      <c r="AR2274" s="4"/>
      <c r="AS2274" s="4"/>
      <c r="AT2274" s="4"/>
      <c r="AU2274" s="4"/>
      <c r="AV2274" s="4"/>
      <c r="AW2274" s="4"/>
      <c r="AX2274" s="4"/>
      <c r="AY2274" s="4"/>
      <c r="AZ2274" s="4"/>
      <c r="BA2274" s="4"/>
      <c r="BB2274" s="4"/>
      <c r="BC2274" s="4"/>
      <c r="BD2274" s="4"/>
      <c r="BE2274" s="4"/>
      <c r="BF2274" s="4"/>
      <c r="BG2274" s="4"/>
      <c r="BH2274" s="4"/>
      <c r="BI2274" s="4"/>
      <c r="BJ2274" s="4"/>
      <c r="BK2274" s="4"/>
      <c r="BL2274" s="4"/>
      <c r="BM2274" s="4"/>
      <c r="BN2274" s="4"/>
      <c r="BO2274" s="4"/>
      <c r="BP2274" s="4"/>
      <c r="BQ2274" s="4"/>
      <c r="BR2274" s="4"/>
      <c r="BS2274" s="4"/>
      <c r="BT2274" s="4"/>
      <c r="BU2274" s="4"/>
      <c r="BV2274" s="4"/>
      <c r="BW2274" s="4"/>
      <c r="BX2274" s="4"/>
      <c r="BY2274" s="4"/>
      <c r="BZ2274" s="4"/>
      <c r="CA2274" s="4"/>
      <c r="CB2274" s="4"/>
      <c r="CC2274" s="4"/>
      <c r="CD2274" s="4"/>
      <c r="CE2274" s="4"/>
      <c r="CF2274" s="4"/>
      <c r="CG2274" s="4"/>
      <c r="CH2274" s="4"/>
      <c r="CI2274" s="4"/>
      <c r="CJ2274" s="4"/>
      <c r="CK2274" s="4"/>
      <c r="CL2274" s="4"/>
      <c r="CM2274" s="4"/>
      <c r="CN2274" s="4"/>
      <c r="CO2274" s="4"/>
      <c r="CP2274" s="4"/>
      <c r="CQ2274" s="4"/>
      <c r="CR2274" s="4"/>
      <c r="CS2274" s="4"/>
      <c r="CT2274" s="4"/>
      <c r="CU2274" s="4"/>
      <c r="CV2274" s="4"/>
      <c r="CW2274" s="4"/>
      <c r="CX2274" s="4"/>
      <c r="CY2274" s="4"/>
      <c r="CZ2274" s="4"/>
      <c r="DA2274" s="4"/>
      <c r="DB2274" s="4"/>
      <c r="DC2274" s="4"/>
      <c r="DD2274" s="4"/>
      <c r="DE2274" s="4"/>
      <c r="DF2274" s="4"/>
      <c r="DG2274" s="4"/>
      <c r="DH2274" s="4"/>
      <c r="DI2274" s="4"/>
      <c r="DJ2274" s="4"/>
      <c r="DK2274" s="4"/>
      <c r="DL2274" s="4"/>
      <c r="DM2274" s="4"/>
      <c r="DN2274" s="4"/>
      <c r="DO2274" s="4"/>
      <c r="DP2274" s="4"/>
      <c r="DQ2274" s="4"/>
      <c r="DR2274" s="4"/>
      <c r="DS2274" s="4"/>
    </row>
    <row r="2275">
      <c r="A2275" s="4"/>
      <c r="B2275" s="4"/>
      <c r="C2275" s="4"/>
      <c r="D2275" s="4"/>
      <c r="E2275" s="4"/>
      <c r="F2275" s="4" t="s">
        <v>17</v>
      </c>
      <c r="G2275" s="15"/>
      <c r="H2275" s="4"/>
      <c r="I2275" s="4"/>
      <c r="J2275" s="4"/>
      <c r="K2275" s="4"/>
      <c r="L2275" s="4"/>
      <c r="M2275" s="4"/>
      <c r="N2275" s="4"/>
      <c r="O2275" s="4"/>
      <c r="P2275" s="4"/>
      <c r="Q2275" s="4"/>
      <c r="R2275" s="4"/>
      <c r="S2275" s="4"/>
      <c r="T2275" s="4"/>
      <c r="U2275" s="4"/>
      <c r="V2275" s="4"/>
      <c r="W2275" s="4"/>
      <c r="X2275" s="4"/>
      <c r="Y2275" s="4"/>
      <c r="Z2275" s="4"/>
      <c r="AA2275" s="4"/>
      <c r="AB2275" s="4"/>
      <c r="AC2275" s="4"/>
      <c r="AD2275" s="4"/>
      <c r="AE2275" s="4"/>
      <c r="AF2275" s="4"/>
      <c r="AG2275" s="4"/>
      <c r="AH2275" s="4"/>
      <c r="AI2275" s="4"/>
      <c r="AJ2275" s="4"/>
      <c r="AK2275" s="4"/>
      <c r="AL2275" s="4"/>
      <c r="AM2275" s="4"/>
      <c r="AN2275" s="4"/>
      <c r="AO2275" s="4"/>
      <c r="AP2275" s="4"/>
      <c r="AQ2275" s="4"/>
      <c r="AR2275" s="4"/>
      <c r="AS2275" s="4"/>
      <c r="AT2275" s="4"/>
      <c r="AU2275" s="4"/>
      <c r="AV2275" s="4"/>
      <c r="AW2275" s="4"/>
      <c r="AX2275" s="4"/>
      <c r="AY2275" s="4"/>
      <c r="AZ2275" s="4"/>
      <c r="BA2275" s="4"/>
      <c r="BB2275" s="4"/>
      <c r="BC2275" s="4"/>
      <c r="BD2275" s="4"/>
      <c r="BE2275" s="4"/>
      <c r="BF2275" s="4"/>
      <c r="BG2275" s="4"/>
      <c r="BH2275" s="4"/>
      <c r="BI2275" s="4"/>
      <c r="BJ2275" s="4"/>
      <c r="BK2275" s="4"/>
      <c r="BL2275" s="4"/>
      <c r="BM2275" s="4"/>
      <c r="BN2275" s="4"/>
      <c r="BO2275" s="4"/>
      <c r="BP2275" s="4"/>
      <c r="BQ2275" s="4"/>
      <c r="BR2275" s="4"/>
      <c r="BS2275" s="4"/>
      <c r="BT2275" s="4"/>
      <c r="BU2275" s="4"/>
      <c r="BV2275" s="4"/>
      <c r="BW2275" s="4"/>
      <c r="BX2275" s="4"/>
      <c r="BY2275" s="4"/>
      <c r="BZ2275" s="4"/>
      <c r="CA2275" s="4"/>
      <c r="CB2275" s="4"/>
      <c r="CC2275" s="4"/>
      <c r="CD2275" s="4"/>
      <c r="CE2275" s="4"/>
      <c r="CF2275" s="4"/>
      <c r="CG2275" s="4"/>
      <c r="CH2275" s="4"/>
      <c r="CI2275" s="4"/>
      <c r="CJ2275" s="4"/>
      <c r="CK2275" s="4"/>
      <c r="CL2275" s="4"/>
      <c r="CM2275" s="4"/>
      <c r="CN2275" s="4"/>
      <c r="CO2275" s="4"/>
      <c r="CP2275" s="4"/>
      <c r="CQ2275" s="4"/>
      <c r="CR2275" s="4"/>
      <c r="CS2275" s="4"/>
      <c r="CT2275" s="4"/>
      <c r="CU2275" s="4"/>
      <c r="CV2275" s="4"/>
      <c r="CW2275" s="4"/>
      <c r="CX2275" s="4"/>
      <c r="CY2275" s="4"/>
      <c r="CZ2275" s="4"/>
      <c r="DA2275" s="4"/>
      <c r="DB2275" s="4"/>
      <c r="DC2275" s="4"/>
      <c r="DD2275" s="4"/>
      <c r="DE2275" s="4"/>
      <c r="DF2275" s="4"/>
      <c r="DG2275" s="4"/>
      <c r="DH2275" s="4"/>
      <c r="DI2275" s="4"/>
      <c r="DJ2275" s="4"/>
      <c r="DK2275" s="4"/>
      <c r="DL2275" s="4"/>
      <c r="DM2275" s="4"/>
      <c r="DN2275" s="4"/>
      <c r="DO2275" s="4"/>
      <c r="DP2275" s="4"/>
      <c r="DQ2275" s="4"/>
      <c r="DR2275" s="4"/>
      <c r="DS2275" s="4"/>
    </row>
    <row r="2276">
      <c r="A2276" s="4"/>
      <c r="B2276" s="4"/>
      <c r="C2276" s="4"/>
      <c r="D2276" s="4"/>
      <c r="E2276" s="4"/>
      <c r="F2276" s="4" t="s">
        <v>17</v>
      </c>
      <c r="G2276" s="15"/>
      <c r="H2276" s="4"/>
      <c r="I2276" s="4"/>
      <c r="J2276" s="4"/>
      <c r="K2276" s="4"/>
      <c r="L2276" s="4"/>
      <c r="M2276" s="4"/>
      <c r="N2276" s="4"/>
      <c r="O2276" s="4"/>
      <c r="P2276" s="4"/>
      <c r="Q2276" s="4"/>
      <c r="R2276" s="4"/>
      <c r="S2276" s="4"/>
      <c r="T2276" s="4"/>
      <c r="U2276" s="4"/>
      <c r="V2276" s="4"/>
      <c r="W2276" s="4"/>
      <c r="X2276" s="4"/>
      <c r="Y2276" s="4"/>
      <c r="Z2276" s="4"/>
      <c r="AA2276" s="4"/>
      <c r="AB2276" s="4"/>
      <c r="AC2276" s="4"/>
      <c r="AD2276" s="4"/>
      <c r="AE2276" s="4"/>
      <c r="AF2276" s="4"/>
      <c r="AG2276" s="4"/>
      <c r="AH2276" s="4"/>
      <c r="AI2276" s="4"/>
      <c r="AJ2276" s="4"/>
      <c r="AK2276" s="4"/>
      <c r="AL2276" s="4"/>
      <c r="AM2276" s="4"/>
      <c r="AN2276" s="4"/>
      <c r="AO2276" s="4"/>
      <c r="AP2276" s="4"/>
      <c r="AQ2276" s="4"/>
      <c r="AR2276" s="4"/>
      <c r="AS2276" s="4"/>
      <c r="AT2276" s="4"/>
      <c r="AU2276" s="4"/>
      <c r="AV2276" s="4"/>
      <c r="AW2276" s="4"/>
      <c r="AX2276" s="4"/>
      <c r="AY2276" s="4"/>
      <c r="AZ2276" s="4"/>
      <c r="BA2276" s="4"/>
      <c r="BB2276" s="4"/>
      <c r="BC2276" s="4"/>
      <c r="BD2276" s="4"/>
      <c r="BE2276" s="4"/>
      <c r="BF2276" s="4"/>
      <c r="BG2276" s="4"/>
      <c r="BH2276" s="4"/>
      <c r="BI2276" s="4"/>
      <c r="BJ2276" s="4"/>
      <c r="BK2276" s="4"/>
      <c r="BL2276" s="4"/>
      <c r="BM2276" s="4"/>
      <c r="BN2276" s="4"/>
      <c r="BO2276" s="4"/>
      <c r="BP2276" s="4"/>
      <c r="BQ2276" s="4"/>
      <c r="BR2276" s="4"/>
      <c r="BS2276" s="4"/>
      <c r="BT2276" s="4"/>
      <c r="BU2276" s="4"/>
      <c r="BV2276" s="4"/>
      <c r="BW2276" s="4"/>
      <c r="BX2276" s="4"/>
      <c r="BY2276" s="4"/>
      <c r="BZ2276" s="4"/>
      <c r="CA2276" s="4"/>
      <c r="CB2276" s="4"/>
      <c r="CC2276" s="4"/>
      <c r="CD2276" s="4"/>
      <c r="CE2276" s="4"/>
      <c r="CF2276" s="4"/>
      <c r="CG2276" s="4"/>
      <c r="CH2276" s="4"/>
      <c r="CI2276" s="4"/>
      <c r="CJ2276" s="4"/>
      <c r="CK2276" s="4"/>
      <c r="CL2276" s="4"/>
      <c r="CM2276" s="4"/>
      <c r="CN2276" s="4"/>
      <c r="CO2276" s="4"/>
      <c r="CP2276" s="4"/>
      <c r="CQ2276" s="4"/>
      <c r="CR2276" s="4"/>
      <c r="CS2276" s="4"/>
      <c r="CT2276" s="4"/>
      <c r="CU2276" s="4"/>
      <c r="CV2276" s="4"/>
      <c r="CW2276" s="4"/>
      <c r="CX2276" s="4"/>
      <c r="CY2276" s="4"/>
      <c r="CZ2276" s="4"/>
      <c r="DA2276" s="4"/>
      <c r="DB2276" s="4"/>
      <c r="DC2276" s="4"/>
      <c r="DD2276" s="4"/>
      <c r="DE2276" s="4"/>
      <c r="DF2276" s="4"/>
      <c r="DG2276" s="4"/>
      <c r="DH2276" s="4"/>
      <c r="DI2276" s="4"/>
      <c r="DJ2276" s="4"/>
      <c r="DK2276" s="4"/>
      <c r="DL2276" s="4"/>
      <c r="DM2276" s="4"/>
      <c r="DN2276" s="4"/>
      <c r="DO2276" s="4"/>
      <c r="DP2276" s="4"/>
      <c r="DQ2276" s="4"/>
      <c r="DR2276" s="4"/>
      <c r="DS2276" s="4"/>
    </row>
    <row r="2277">
      <c r="A2277" s="4"/>
      <c r="B2277" s="4"/>
      <c r="C2277" s="4"/>
      <c r="D2277" s="4"/>
      <c r="E2277" s="4"/>
      <c r="F2277" s="4" t="s">
        <v>17</v>
      </c>
      <c r="G2277" s="15"/>
      <c r="H2277" s="4"/>
      <c r="I2277" s="4"/>
      <c r="J2277" s="4"/>
      <c r="K2277" s="4"/>
      <c r="L2277" s="4"/>
      <c r="M2277" s="4"/>
      <c r="N2277" s="4"/>
      <c r="O2277" s="4"/>
      <c r="P2277" s="4"/>
      <c r="Q2277" s="4"/>
      <c r="R2277" s="4"/>
      <c r="S2277" s="4"/>
      <c r="T2277" s="4"/>
      <c r="U2277" s="4"/>
      <c r="V2277" s="4"/>
      <c r="W2277" s="4"/>
      <c r="X2277" s="4"/>
      <c r="Y2277" s="4"/>
      <c r="Z2277" s="4"/>
      <c r="AA2277" s="4"/>
      <c r="AB2277" s="4"/>
      <c r="AC2277" s="4"/>
      <c r="AD2277" s="4"/>
      <c r="AE2277" s="4"/>
      <c r="AF2277" s="4"/>
      <c r="AG2277" s="4"/>
      <c r="AH2277" s="4"/>
      <c r="AI2277" s="4"/>
      <c r="AJ2277" s="4"/>
      <c r="AK2277" s="4"/>
      <c r="AL2277" s="4"/>
      <c r="AM2277" s="4"/>
      <c r="AN2277" s="4"/>
      <c r="AO2277" s="4"/>
      <c r="AP2277" s="4"/>
      <c r="AQ2277" s="4"/>
      <c r="AR2277" s="4"/>
      <c r="AS2277" s="4"/>
      <c r="AT2277" s="4"/>
      <c r="AU2277" s="4"/>
      <c r="AV2277" s="4"/>
      <c r="AW2277" s="4"/>
      <c r="AX2277" s="4"/>
      <c r="AY2277" s="4"/>
      <c r="AZ2277" s="4"/>
      <c r="BA2277" s="4"/>
      <c r="BB2277" s="4"/>
      <c r="BC2277" s="4"/>
      <c r="BD2277" s="4"/>
      <c r="BE2277" s="4"/>
      <c r="BF2277" s="4"/>
      <c r="BG2277" s="4"/>
      <c r="BH2277" s="4"/>
      <c r="BI2277" s="4"/>
      <c r="BJ2277" s="4"/>
      <c r="BK2277" s="4"/>
      <c r="BL2277" s="4"/>
      <c r="BM2277" s="4"/>
      <c r="BN2277" s="4"/>
      <c r="BO2277" s="4"/>
      <c r="BP2277" s="4"/>
      <c r="BQ2277" s="4"/>
      <c r="BR2277" s="4"/>
      <c r="BS2277" s="4"/>
      <c r="BT2277" s="4"/>
      <c r="BU2277" s="4"/>
      <c r="BV2277" s="4"/>
      <c r="BW2277" s="4"/>
      <c r="BX2277" s="4"/>
      <c r="BY2277" s="4"/>
      <c r="BZ2277" s="4"/>
      <c r="CA2277" s="4"/>
      <c r="CB2277" s="4"/>
      <c r="CC2277" s="4"/>
      <c r="CD2277" s="4"/>
      <c r="CE2277" s="4"/>
      <c r="CF2277" s="4"/>
      <c r="CG2277" s="4"/>
      <c r="CH2277" s="4"/>
      <c r="CI2277" s="4"/>
      <c r="CJ2277" s="4"/>
      <c r="CK2277" s="4"/>
      <c r="CL2277" s="4"/>
      <c r="CM2277" s="4"/>
      <c r="CN2277" s="4"/>
      <c r="CO2277" s="4"/>
      <c r="CP2277" s="4"/>
      <c r="CQ2277" s="4"/>
      <c r="CR2277" s="4"/>
      <c r="CS2277" s="4"/>
      <c r="CT2277" s="4"/>
      <c r="CU2277" s="4"/>
      <c r="CV2277" s="4"/>
      <c r="CW2277" s="4"/>
      <c r="CX2277" s="4"/>
      <c r="CY2277" s="4"/>
      <c r="CZ2277" s="4"/>
      <c r="DA2277" s="4"/>
      <c r="DB2277" s="4"/>
      <c r="DC2277" s="4"/>
      <c r="DD2277" s="4"/>
      <c r="DE2277" s="4"/>
      <c r="DF2277" s="4"/>
      <c r="DG2277" s="4"/>
      <c r="DH2277" s="4"/>
      <c r="DI2277" s="4"/>
      <c r="DJ2277" s="4"/>
      <c r="DK2277" s="4"/>
      <c r="DL2277" s="4"/>
      <c r="DM2277" s="4"/>
      <c r="DN2277" s="4"/>
      <c r="DO2277" s="4"/>
      <c r="DP2277" s="4"/>
      <c r="DQ2277" s="4"/>
      <c r="DR2277" s="4"/>
      <c r="DS2277" s="4"/>
    </row>
    <row r="2278">
      <c r="A2278" s="4"/>
      <c r="B2278" s="4"/>
      <c r="C2278" s="4"/>
      <c r="D2278" s="4"/>
      <c r="E2278" s="4"/>
      <c r="F2278" s="4" t="s">
        <v>17</v>
      </c>
      <c r="G2278" s="15"/>
      <c r="H2278" s="4"/>
      <c r="I2278" s="4"/>
      <c r="J2278" s="4"/>
      <c r="K2278" s="4"/>
      <c r="L2278" s="4"/>
      <c r="M2278" s="4"/>
      <c r="N2278" s="4"/>
      <c r="O2278" s="4"/>
      <c r="P2278" s="4"/>
      <c r="Q2278" s="4"/>
      <c r="R2278" s="4"/>
      <c r="S2278" s="4"/>
      <c r="T2278" s="4"/>
      <c r="U2278" s="4"/>
      <c r="V2278" s="4"/>
      <c r="W2278" s="4"/>
      <c r="X2278" s="4"/>
      <c r="Y2278" s="4"/>
      <c r="Z2278" s="4"/>
      <c r="AA2278" s="4"/>
      <c r="AB2278" s="4"/>
      <c r="AC2278" s="4"/>
      <c r="AD2278" s="4"/>
      <c r="AE2278" s="4"/>
      <c r="AF2278" s="4"/>
      <c r="AG2278" s="4"/>
      <c r="AH2278" s="4"/>
      <c r="AI2278" s="4"/>
      <c r="AJ2278" s="4"/>
      <c r="AK2278" s="4"/>
      <c r="AL2278" s="4"/>
      <c r="AM2278" s="4"/>
      <c r="AN2278" s="4"/>
      <c r="AO2278" s="4"/>
      <c r="AP2278" s="4"/>
      <c r="AQ2278" s="4"/>
      <c r="AR2278" s="4"/>
      <c r="AS2278" s="4"/>
      <c r="AT2278" s="4"/>
      <c r="AU2278" s="4"/>
      <c r="AV2278" s="4"/>
      <c r="AW2278" s="4"/>
      <c r="AX2278" s="4"/>
      <c r="AY2278" s="4"/>
      <c r="AZ2278" s="4"/>
      <c r="BA2278" s="4"/>
      <c r="BB2278" s="4"/>
      <c r="BC2278" s="4"/>
      <c r="BD2278" s="4"/>
      <c r="BE2278" s="4"/>
      <c r="BF2278" s="4"/>
      <c r="BG2278" s="4"/>
      <c r="BH2278" s="4"/>
      <c r="BI2278" s="4"/>
      <c r="BJ2278" s="4"/>
      <c r="BK2278" s="4"/>
      <c r="BL2278" s="4"/>
      <c r="BM2278" s="4"/>
      <c r="BN2278" s="4"/>
      <c r="BO2278" s="4"/>
      <c r="BP2278" s="4"/>
      <c r="BQ2278" s="4"/>
      <c r="BR2278" s="4"/>
      <c r="BS2278" s="4"/>
      <c r="BT2278" s="4"/>
      <c r="BU2278" s="4"/>
      <c r="BV2278" s="4"/>
      <c r="BW2278" s="4"/>
      <c r="BX2278" s="4"/>
      <c r="BY2278" s="4"/>
      <c r="BZ2278" s="4"/>
      <c r="CA2278" s="4"/>
      <c r="CB2278" s="4"/>
      <c r="CC2278" s="4"/>
      <c r="CD2278" s="4"/>
      <c r="CE2278" s="4"/>
      <c r="CF2278" s="4"/>
      <c r="CG2278" s="4"/>
      <c r="CH2278" s="4"/>
      <c r="CI2278" s="4"/>
      <c r="CJ2278" s="4"/>
      <c r="CK2278" s="4"/>
      <c r="CL2278" s="4"/>
      <c r="CM2278" s="4"/>
      <c r="CN2278" s="4"/>
      <c r="CO2278" s="4"/>
      <c r="CP2278" s="4"/>
      <c r="CQ2278" s="4"/>
      <c r="CR2278" s="4"/>
      <c r="CS2278" s="4"/>
      <c r="CT2278" s="4"/>
      <c r="CU2278" s="4"/>
      <c r="CV2278" s="4"/>
      <c r="CW2278" s="4"/>
      <c r="CX2278" s="4"/>
      <c r="CY2278" s="4"/>
      <c r="CZ2278" s="4"/>
      <c r="DA2278" s="4"/>
      <c r="DB2278" s="4"/>
      <c r="DC2278" s="4"/>
      <c r="DD2278" s="4"/>
      <c r="DE2278" s="4"/>
      <c r="DF2278" s="4"/>
      <c r="DG2278" s="4"/>
      <c r="DH2278" s="4"/>
      <c r="DI2278" s="4"/>
      <c r="DJ2278" s="4"/>
      <c r="DK2278" s="4"/>
      <c r="DL2278" s="4"/>
      <c r="DM2278" s="4"/>
      <c r="DN2278" s="4"/>
      <c r="DO2278" s="4"/>
      <c r="DP2278" s="4"/>
      <c r="DQ2278" s="4"/>
      <c r="DR2278" s="4"/>
      <c r="DS2278" s="4"/>
    </row>
    <row r="2279">
      <c r="A2279" s="4"/>
      <c r="B2279" s="4"/>
      <c r="C2279" s="4"/>
      <c r="D2279" s="4"/>
      <c r="E2279" s="4"/>
      <c r="F2279" s="4" t="s">
        <v>17</v>
      </c>
      <c r="G2279" s="15"/>
      <c r="H2279" s="4"/>
      <c r="I2279" s="4"/>
      <c r="J2279" s="4"/>
      <c r="K2279" s="4"/>
      <c r="L2279" s="4"/>
      <c r="M2279" s="4"/>
      <c r="N2279" s="4"/>
      <c r="O2279" s="4"/>
      <c r="P2279" s="4"/>
      <c r="Q2279" s="4"/>
      <c r="R2279" s="4"/>
      <c r="S2279" s="4"/>
      <c r="T2279" s="4"/>
      <c r="U2279" s="4"/>
      <c r="V2279" s="4"/>
      <c r="W2279" s="4"/>
      <c r="X2279" s="4"/>
      <c r="Y2279" s="4"/>
      <c r="Z2279" s="4"/>
      <c r="AA2279" s="4"/>
      <c r="AB2279" s="4"/>
      <c r="AC2279" s="4"/>
      <c r="AD2279" s="4"/>
      <c r="AE2279" s="4"/>
      <c r="AF2279" s="4"/>
      <c r="AG2279" s="4"/>
      <c r="AH2279" s="4"/>
      <c r="AI2279" s="4"/>
      <c r="AJ2279" s="4"/>
      <c r="AK2279" s="4"/>
      <c r="AL2279" s="4"/>
      <c r="AM2279" s="4"/>
      <c r="AN2279" s="4"/>
      <c r="AO2279" s="4"/>
      <c r="AP2279" s="4"/>
      <c r="AQ2279" s="4"/>
      <c r="AR2279" s="4"/>
      <c r="AS2279" s="4"/>
      <c r="AT2279" s="4"/>
      <c r="AU2279" s="4"/>
      <c r="AV2279" s="4"/>
      <c r="AW2279" s="4"/>
      <c r="AX2279" s="4"/>
      <c r="AY2279" s="4"/>
      <c r="AZ2279" s="4"/>
      <c r="BA2279" s="4"/>
      <c r="BB2279" s="4"/>
      <c r="BC2279" s="4"/>
      <c r="BD2279" s="4"/>
      <c r="BE2279" s="4"/>
      <c r="BF2279" s="4"/>
      <c r="BG2279" s="4"/>
      <c r="BH2279" s="4"/>
      <c r="BI2279" s="4"/>
      <c r="BJ2279" s="4"/>
      <c r="BK2279" s="4"/>
      <c r="BL2279" s="4"/>
      <c r="BM2279" s="4"/>
      <c r="BN2279" s="4"/>
      <c r="BO2279" s="4"/>
      <c r="BP2279" s="4"/>
      <c r="BQ2279" s="4"/>
      <c r="BR2279" s="4"/>
      <c r="BS2279" s="4"/>
      <c r="BT2279" s="4"/>
      <c r="BU2279" s="4"/>
      <c r="BV2279" s="4"/>
      <c r="BW2279" s="4"/>
      <c r="BX2279" s="4"/>
      <c r="BY2279" s="4"/>
      <c r="BZ2279" s="4"/>
      <c r="CA2279" s="4"/>
      <c r="CB2279" s="4"/>
      <c r="CC2279" s="4"/>
      <c r="CD2279" s="4"/>
      <c r="CE2279" s="4"/>
      <c r="CF2279" s="4"/>
      <c r="CG2279" s="4"/>
      <c r="CH2279" s="4"/>
      <c r="CI2279" s="4"/>
      <c r="CJ2279" s="4"/>
      <c r="CK2279" s="4"/>
      <c r="CL2279" s="4"/>
      <c r="CM2279" s="4"/>
      <c r="CN2279" s="4"/>
      <c r="CO2279" s="4"/>
      <c r="CP2279" s="4"/>
      <c r="CQ2279" s="4"/>
      <c r="CR2279" s="4"/>
      <c r="CS2279" s="4"/>
      <c r="CT2279" s="4"/>
      <c r="CU2279" s="4"/>
      <c r="CV2279" s="4"/>
      <c r="CW2279" s="4"/>
      <c r="CX2279" s="4"/>
      <c r="CY2279" s="4"/>
      <c r="CZ2279" s="4"/>
      <c r="DA2279" s="4"/>
      <c r="DB2279" s="4"/>
      <c r="DC2279" s="4"/>
      <c r="DD2279" s="4"/>
      <c r="DE2279" s="4"/>
      <c r="DF2279" s="4"/>
      <c r="DG2279" s="4"/>
      <c r="DH2279" s="4"/>
      <c r="DI2279" s="4"/>
      <c r="DJ2279" s="4"/>
      <c r="DK2279" s="4"/>
      <c r="DL2279" s="4"/>
      <c r="DM2279" s="4"/>
      <c r="DN2279" s="4"/>
      <c r="DO2279" s="4"/>
      <c r="DP2279" s="4"/>
      <c r="DQ2279" s="4"/>
      <c r="DR2279" s="4"/>
      <c r="DS2279" s="4"/>
    </row>
    <row r="2280">
      <c r="A2280" s="4"/>
      <c r="B2280" s="4"/>
      <c r="C2280" s="4"/>
      <c r="D2280" s="4"/>
      <c r="E2280" s="4"/>
      <c r="F2280" s="4" t="s">
        <v>17</v>
      </c>
      <c r="G2280" s="15"/>
      <c r="H2280" s="4"/>
      <c r="I2280" s="4"/>
      <c r="J2280" s="4"/>
      <c r="K2280" s="4"/>
      <c r="L2280" s="4"/>
      <c r="M2280" s="4"/>
      <c r="N2280" s="4"/>
      <c r="O2280" s="4"/>
      <c r="P2280" s="4"/>
      <c r="Q2280" s="4"/>
      <c r="R2280" s="4"/>
      <c r="S2280" s="4"/>
      <c r="T2280" s="4"/>
      <c r="U2280" s="4"/>
      <c r="V2280" s="4"/>
      <c r="W2280" s="4"/>
      <c r="X2280" s="4"/>
      <c r="Y2280" s="4"/>
      <c r="Z2280" s="4"/>
      <c r="AA2280" s="4"/>
      <c r="AB2280" s="4"/>
      <c r="AC2280" s="4"/>
      <c r="AD2280" s="4"/>
      <c r="AE2280" s="4"/>
      <c r="AF2280" s="4"/>
      <c r="AG2280" s="4"/>
      <c r="AH2280" s="4"/>
      <c r="AI2280" s="4"/>
      <c r="AJ2280" s="4"/>
      <c r="AK2280" s="4"/>
      <c r="AL2280" s="4"/>
      <c r="AM2280" s="4"/>
      <c r="AN2280" s="4"/>
      <c r="AO2280" s="4"/>
      <c r="AP2280" s="4"/>
      <c r="AQ2280" s="4"/>
      <c r="AR2280" s="4"/>
      <c r="AS2280" s="4"/>
      <c r="AT2280" s="4"/>
      <c r="AU2280" s="4"/>
      <c r="AV2280" s="4"/>
      <c r="AW2280" s="4"/>
      <c r="AX2280" s="4"/>
      <c r="AY2280" s="4"/>
      <c r="AZ2280" s="4"/>
      <c r="BA2280" s="4"/>
      <c r="BB2280" s="4"/>
      <c r="BC2280" s="4"/>
      <c r="BD2280" s="4"/>
      <c r="BE2280" s="4"/>
      <c r="BF2280" s="4"/>
      <c r="BG2280" s="4"/>
      <c r="BH2280" s="4"/>
      <c r="BI2280" s="4"/>
      <c r="BJ2280" s="4"/>
      <c r="BK2280" s="4"/>
      <c r="BL2280" s="4"/>
      <c r="BM2280" s="4"/>
      <c r="BN2280" s="4"/>
      <c r="BO2280" s="4"/>
      <c r="BP2280" s="4"/>
      <c r="BQ2280" s="4"/>
      <c r="BR2280" s="4"/>
      <c r="BS2280" s="4"/>
      <c r="BT2280" s="4"/>
      <c r="BU2280" s="4"/>
      <c r="BV2280" s="4"/>
      <c r="BW2280" s="4"/>
      <c r="BX2280" s="4"/>
      <c r="BY2280" s="4"/>
      <c r="BZ2280" s="4"/>
      <c r="CA2280" s="4"/>
      <c r="CB2280" s="4"/>
      <c r="CC2280" s="4"/>
      <c r="CD2280" s="4"/>
      <c r="CE2280" s="4"/>
      <c r="CF2280" s="4"/>
      <c r="CG2280" s="4"/>
      <c r="CH2280" s="4"/>
      <c r="CI2280" s="4"/>
      <c r="CJ2280" s="4"/>
      <c r="CK2280" s="4"/>
      <c r="CL2280" s="4"/>
      <c r="CM2280" s="4"/>
      <c r="CN2280" s="4"/>
      <c r="CO2280" s="4"/>
      <c r="CP2280" s="4"/>
      <c r="CQ2280" s="4"/>
      <c r="CR2280" s="4"/>
      <c r="CS2280" s="4"/>
      <c r="CT2280" s="4"/>
      <c r="CU2280" s="4"/>
      <c r="CV2280" s="4"/>
      <c r="CW2280" s="4"/>
      <c r="CX2280" s="4"/>
      <c r="CY2280" s="4"/>
      <c r="CZ2280" s="4"/>
      <c r="DA2280" s="4"/>
      <c r="DB2280" s="4"/>
      <c r="DC2280" s="4"/>
      <c r="DD2280" s="4"/>
      <c r="DE2280" s="4"/>
      <c r="DF2280" s="4"/>
      <c r="DG2280" s="4"/>
      <c r="DH2280" s="4"/>
      <c r="DI2280" s="4"/>
      <c r="DJ2280" s="4"/>
      <c r="DK2280" s="4"/>
      <c r="DL2280" s="4"/>
      <c r="DM2280" s="4"/>
      <c r="DN2280" s="4"/>
      <c r="DO2280" s="4"/>
      <c r="DP2280" s="4"/>
      <c r="DQ2280" s="4"/>
      <c r="DR2280" s="4"/>
      <c r="DS2280" s="4"/>
    </row>
    <row r="2281">
      <c r="A2281" s="4"/>
      <c r="B2281" s="4"/>
      <c r="C2281" s="4"/>
      <c r="D2281" s="4"/>
      <c r="E2281" s="4"/>
      <c r="F2281" s="4" t="s">
        <v>17</v>
      </c>
      <c r="G2281" s="15"/>
      <c r="H2281" s="4"/>
      <c r="I2281" s="4"/>
      <c r="J2281" s="4"/>
      <c r="K2281" s="4"/>
      <c r="L2281" s="4"/>
      <c r="M2281" s="4"/>
      <c r="N2281" s="4"/>
      <c r="O2281" s="4"/>
      <c r="P2281" s="4"/>
      <c r="Q2281" s="4"/>
      <c r="R2281" s="4"/>
      <c r="S2281" s="4"/>
      <c r="T2281" s="4"/>
      <c r="U2281" s="4"/>
      <c r="V2281" s="4"/>
      <c r="W2281" s="4"/>
      <c r="X2281" s="4"/>
      <c r="Y2281" s="4"/>
      <c r="Z2281" s="4"/>
      <c r="AA2281" s="4"/>
      <c r="AB2281" s="4"/>
      <c r="AC2281" s="4"/>
      <c r="AD2281" s="4"/>
      <c r="AE2281" s="4"/>
      <c r="AF2281" s="4"/>
      <c r="AG2281" s="4"/>
      <c r="AH2281" s="4"/>
      <c r="AI2281" s="4"/>
      <c r="AJ2281" s="4"/>
      <c r="AK2281" s="4"/>
      <c r="AL2281" s="4"/>
      <c r="AM2281" s="4"/>
      <c r="AN2281" s="4"/>
      <c r="AO2281" s="4"/>
      <c r="AP2281" s="4"/>
      <c r="AQ2281" s="4"/>
      <c r="AR2281" s="4"/>
      <c r="AS2281" s="4"/>
      <c r="AT2281" s="4"/>
      <c r="AU2281" s="4"/>
      <c r="AV2281" s="4"/>
      <c r="AW2281" s="4"/>
      <c r="AX2281" s="4"/>
      <c r="AY2281" s="4"/>
      <c r="AZ2281" s="4"/>
      <c r="BA2281" s="4"/>
      <c r="BB2281" s="4"/>
      <c r="BC2281" s="4"/>
      <c r="BD2281" s="4"/>
      <c r="BE2281" s="4"/>
      <c r="BF2281" s="4"/>
      <c r="BG2281" s="4"/>
      <c r="BH2281" s="4"/>
      <c r="BI2281" s="4"/>
      <c r="BJ2281" s="4"/>
      <c r="BK2281" s="4"/>
      <c r="BL2281" s="4"/>
      <c r="BM2281" s="4"/>
      <c r="BN2281" s="4"/>
      <c r="BO2281" s="4"/>
      <c r="BP2281" s="4"/>
      <c r="BQ2281" s="4"/>
      <c r="BR2281" s="4"/>
      <c r="BS2281" s="4"/>
      <c r="BT2281" s="4"/>
      <c r="BU2281" s="4"/>
      <c r="BV2281" s="4"/>
      <c r="BW2281" s="4"/>
      <c r="BX2281" s="4"/>
      <c r="BY2281" s="4"/>
      <c r="BZ2281" s="4"/>
      <c r="CA2281" s="4"/>
      <c r="CB2281" s="4"/>
      <c r="CC2281" s="4"/>
      <c r="CD2281" s="4"/>
      <c r="CE2281" s="4"/>
      <c r="CF2281" s="4"/>
      <c r="CG2281" s="4"/>
      <c r="CH2281" s="4"/>
      <c r="CI2281" s="4"/>
      <c r="CJ2281" s="4"/>
      <c r="CK2281" s="4"/>
      <c r="CL2281" s="4"/>
      <c r="CM2281" s="4"/>
      <c r="CN2281" s="4"/>
      <c r="CO2281" s="4"/>
      <c r="CP2281" s="4"/>
      <c r="CQ2281" s="4"/>
      <c r="CR2281" s="4"/>
      <c r="CS2281" s="4"/>
      <c r="CT2281" s="4"/>
      <c r="CU2281" s="4"/>
      <c r="CV2281" s="4"/>
      <c r="CW2281" s="4"/>
      <c r="CX2281" s="4"/>
      <c r="CY2281" s="4"/>
      <c r="CZ2281" s="4"/>
      <c r="DA2281" s="4"/>
      <c r="DB2281" s="4"/>
      <c r="DC2281" s="4"/>
      <c r="DD2281" s="4"/>
      <c r="DE2281" s="4"/>
      <c r="DF2281" s="4"/>
      <c r="DG2281" s="4"/>
      <c r="DH2281" s="4"/>
      <c r="DI2281" s="4"/>
      <c r="DJ2281" s="4"/>
      <c r="DK2281" s="4"/>
      <c r="DL2281" s="4"/>
      <c r="DM2281" s="4"/>
      <c r="DN2281" s="4"/>
      <c r="DO2281" s="4"/>
      <c r="DP2281" s="4"/>
      <c r="DQ2281" s="4"/>
      <c r="DR2281" s="4"/>
      <c r="DS2281" s="4"/>
    </row>
    <row r="2282">
      <c r="A2282" s="4"/>
      <c r="B2282" s="4"/>
      <c r="C2282" s="4"/>
      <c r="D2282" s="4"/>
      <c r="E2282" s="4"/>
      <c r="F2282" s="4" t="s">
        <v>17</v>
      </c>
      <c r="G2282" s="15"/>
      <c r="H2282" s="4"/>
      <c r="I2282" s="4"/>
      <c r="J2282" s="4"/>
      <c r="K2282" s="4"/>
      <c r="L2282" s="4"/>
      <c r="M2282" s="4"/>
      <c r="N2282" s="4"/>
      <c r="O2282" s="4"/>
      <c r="P2282" s="4"/>
      <c r="Q2282" s="4"/>
      <c r="R2282" s="4"/>
      <c r="S2282" s="4"/>
      <c r="T2282" s="4"/>
      <c r="U2282" s="4"/>
      <c r="V2282" s="4"/>
      <c r="W2282" s="4"/>
      <c r="X2282" s="4"/>
      <c r="Y2282" s="4"/>
      <c r="Z2282" s="4"/>
      <c r="AA2282" s="4"/>
      <c r="AB2282" s="4"/>
      <c r="AC2282" s="4"/>
      <c r="AD2282" s="4"/>
      <c r="AE2282" s="4"/>
      <c r="AF2282" s="4"/>
      <c r="AG2282" s="4"/>
      <c r="AH2282" s="4"/>
      <c r="AI2282" s="4"/>
      <c r="AJ2282" s="4"/>
      <c r="AK2282" s="4"/>
      <c r="AL2282" s="4"/>
      <c r="AM2282" s="4"/>
      <c r="AN2282" s="4"/>
      <c r="AO2282" s="4"/>
      <c r="AP2282" s="4"/>
      <c r="AQ2282" s="4"/>
      <c r="AR2282" s="4"/>
      <c r="AS2282" s="4"/>
      <c r="AT2282" s="4"/>
      <c r="AU2282" s="4"/>
      <c r="AV2282" s="4"/>
      <c r="AW2282" s="4"/>
      <c r="AX2282" s="4"/>
      <c r="AY2282" s="4"/>
      <c r="AZ2282" s="4"/>
      <c r="BA2282" s="4"/>
      <c r="BB2282" s="4"/>
      <c r="BC2282" s="4"/>
      <c r="BD2282" s="4"/>
      <c r="BE2282" s="4"/>
      <c r="BF2282" s="4"/>
      <c r="BG2282" s="4"/>
      <c r="BH2282" s="4"/>
      <c r="BI2282" s="4"/>
      <c r="BJ2282" s="4"/>
      <c r="BK2282" s="4"/>
      <c r="BL2282" s="4"/>
      <c r="BM2282" s="4"/>
      <c r="BN2282" s="4"/>
      <c r="BO2282" s="4"/>
      <c r="BP2282" s="4"/>
      <c r="BQ2282" s="4"/>
      <c r="BR2282" s="4"/>
      <c r="BS2282" s="4"/>
      <c r="BT2282" s="4"/>
      <c r="BU2282" s="4"/>
      <c r="BV2282" s="4"/>
      <c r="BW2282" s="4"/>
      <c r="BX2282" s="4"/>
      <c r="BY2282" s="4"/>
      <c r="BZ2282" s="4"/>
      <c r="CA2282" s="4"/>
      <c r="CB2282" s="4"/>
      <c r="CC2282" s="4"/>
      <c r="CD2282" s="4"/>
      <c r="CE2282" s="4"/>
      <c r="CF2282" s="4"/>
      <c r="CG2282" s="4"/>
      <c r="CH2282" s="4"/>
      <c r="CI2282" s="4"/>
      <c r="CJ2282" s="4"/>
      <c r="CK2282" s="4"/>
      <c r="CL2282" s="4"/>
      <c r="CM2282" s="4"/>
      <c r="CN2282" s="4"/>
      <c r="CO2282" s="4"/>
      <c r="CP2282" s="4"/>
      <c r="CQ2282" s="4"/>
      <c r="CR2282" s="4"/>
      <c r="CS2282" s="4"/>
      <c r="CT2282" s="4"/>
      <c r="CU2282" s="4"/>
      <c r="CV2282" s="4"/>
      <c r="CW2282" s="4"/>
      <c r="CX2282" s="4"/>
      <c r="CY2282" s="4"/>
      <c r="CZ2282" s="4"/>
      <c r="DA2282" s="4"/>
      <c r="DB2282" s="4"/>
      <c r="DC2282" s="4"/>
      <c r="DD2282" s="4"/>
      <c r="DE2282" s="4"/>
      <c r="DF2282" s="4"/>
      <c r="DG2282" s="4"/>
      <c r="DH2282" s="4"/>
      <c r="DI2282" s="4"/>
      <c r="DJ2282" s="4"/>
      <c r="DK2282" s="4"/>
      <c r="DL2282" s="4"/>
      <c r="DM2282" s="4"/>
      <c r="DN2282" s="4"/>
      <c r="DO2282" s="4"/>
      <c r="DP2282" s="4"/>
      <c r="DQ2282" s="4"/>
      <c r="DR2282" s="4"/>
      <c r="DS2282" s="4"/>
    </row>
    <row r="2283">
      <c r="A2283" s="4"/>
      <c r="B2283" s="4"/>
      <c r="C2283" s="4"/>
      <c r="D2283" s="4"/>
      <c r="E2283" s="4"/>
      <c r="F2283" s="4" t="s">
        <v>17</v>
      </c>
      <c r="G2283" s="15"/>
      <c r="H2283" s="4"/>
      <c r="I2283" s="4"/>
      <c r="J2283" s="4"/>
      <c r="K2283" s="4"/>
      <c r="L2283" s="4"/>
      <c r="M2283" s="4"/>
      <c r="N2283" s="4"/>
      <c r="O2283" s="4"/>
      <c r="P2283" s="4"/>
      <c r="Q2283" s="4"/>
      <c r="R2283" s="4"/>
      <c r="S2283" s="4"/>
      <c r="T2283" s="4"/>
      <c r="U2283" s="4"/>
      <c r="V2283" s="4"/>
      <c r="W2283" s="4"/>
      <c r="X2283" s="4"/>
      <c r="Y2283" s="4"/>
      <c r="Z2283" s="4"/>
      <c r="AA2283" s="4"/>
      <c r="AB2283" s="4"/>
      <c r="AC2283" s="4"/>
      <c r="AD2283" s="4"/>
      <c r="AE2283" s="4"/>
      <c r="AF2283" s="4"/>
      <c r="AG2283" s="4"/>
      <c r="AH2283" s="4"/>
      <c r="AI2283" s="4"/>
      <c r="AJ2283" s="4"/>
      <c r="AK2283" s="4"/>
      <c r="AL2283" s="4"/>
      <c r="AM2283" s="4"/>
      <c r="AN2283" s="4"/>
      <c r="AO2283" s="4"/>
      <c r="AP2283" s="4"/>
      <c r="AQ2283" s="4"/>
      <c r="AR2283" s="4"/>
      <c r="AS2283" s="4"/>
      <c r="AT2283" s="4"/>
      <c r="AU2283" s="4"/>
      <c r="AV2283" s="4"/>
      <c r="AW2283" s="4"/>
      <c r="AX2283" s="4"/>
      <c r="AY2283" s="4"/>
      <c r="AZ2283" s="4"/>
      <c r="BA2283" s="4"/>
      <c r="BB2283" s="4"/>
      <c r="BC2283" s="4"/>
      <c r="BD2283" s="4"/>
      <c r="BE2283" s="4"/>
      <c r="BF2283" s="4"/>
      <c r="BG2283" s="4"/>
      <c r="BH2283" s="4"/>
      <c r="BI2283" s="4"/>
      <c r="BJ2283" s="4"/>
      <c r="BK2283" s="4"/>
      <c r="BL2283" s="4"/>
      <c r="BM2283" s="4"/>
      <c r="BN2283" s="4"/>
      <c r="BO2283" s="4"/>
      <c r="BP2283" s="4"/>
      <c r="BQ2283" s="4"/>
      <c r="BR2283" s="4"/>
      <c r="BS2283" s="4"/>
      <c r="BT2283" s="4"/>
      <c r="BU2283" s="4"/>
      <c r="BV2283" s="4"/>
      <c r="BW2283" s="4"/>
      <c r="BX2283" s="4"/>
      <c r="BY2283" s="4"/>
      <c r="BZ2283" s="4"/>
      <c r="CA2283" s="4"/>
      <c r="CB2283" s="4"/>
      <c r="CC2283" s="4"/>
      <c r="CD2283" s="4"/>
      <c r="CE2283" s="4"/>
      <c r="CF2283" s="4"/>
      <c r="CG2283" s="4"/>
      <c r="CH2283" s="4"/>
      <c r="CI2283" s="4"/>
      <c r="CJ2283" s="4"/>
      <c r="CK2283" s="4"/>
      <c r="CL2283" s="4"/>
      <c r="CM2283" s="4"/>
      <c r="CN2283" s="4"/>
      <c r="CO2283" s="4"/>
      <c r="CP2283" s="4"/>
      <c r="CQ2283" s="4"/>
      <c r="CR2283" s="4"/>
      <c r="CS2283" s="4"/>
      <c r="CT2283" s="4"/>
      <c r="CU2283" s="4"/>
      <c r="CV2283" s="4"/>
      <c r="CW2283" s="4"/>
      <c r="CX2283" s="4"/>
      <c r="CY2283" s="4"/>
      <c r="CZ2283" s="4"/>
      <c r="DA2283" s="4"/>
      <c r="DB2283" s="4"/>
      <c r="DC2283" s="4"/>
      <c r="DD2283" s="4"/>
      <c r="DE2283" s="4"/>
      <c r="DF2283" s="4"/>
      <c r="DG2283" s="4"/>
      <c r="DH2283" s="4"/>
      <c r="DI2283" s="4"/>
      <c r="DJ2283" s="4"/>
      <c r="DK2283" s="4"/>
      <c r="DL2283" s="4"/>
      <c r="DM2283" s="4"/>
      <c r="DN2283" s="4"/>
      <c r="DO2283" s="4"/>
      <c r="DP2283" s="4"/>
      <c r="DQ2283" s="4"/>
      <c r="DR2283" s="4"/>
      <c r="DS2283" s="4"/>
    </row>
    <row r="2284">
      <c r="A2284" s="4"/>
      <c r="B2284" s="4"/>
      <c r="C2284" s="4"/>
      <c r="D2284" s="4"/>
      <c r="E2284" s="4"/>
      <c r="F2284" s="4" t="s">
        <v>17</v>
      </c>
      <c r="G2284" s="15"/>
      <c r="H2284" s="4"/>
      <c r="I2284" s="4"/>
      <c r="J2284" s="4"/>
      <c r="K2284" s="4"/>
      <c r="L2284" s="4"/>
      <c r="M2284" s="4"/>
      <c r="N2284" s="4"/>
      <c r="O2284" s="4"/>
      <c r="P2284" s="4"/>
      <c r="Q2284" s="4"/>
      <c r="R2284" s="4"/>
      <c r="S2284" s="4"/>
      <c r="T2284" s="4"/>
      <c r="U2284" s="4"/>
      <c r="V2284" s="4"/>
      <c r="W2284" s="4"/>
      <c r="X2284" s="4"/>
      <c r="Y2284" s="4"/>
      <c r="Z2284" s="4"/>
      <c r="AA2284" s="4"/>
      <c r="AB2284" s="4"/>
      <c r="AC2284" s="4"/>
      <c r="AD2284" s="4"/>
      <c r="AE2284" s="4"/>
      <c r="AF2284" s="4"/>
      <c r="AG2284" s="4"/>
      <c r="AH2284" s="4"/>
      <c r="AI2284" s="4"/>
      <c r="AJ2284" s="4"/>
      <c r="AK2284" s="4"/>
      <c r="AL2284" s="4"/>
      <c r="AM2284" s="4"/>
      <c r="AN2284" s="4"/>
      <c r="AO2284" s="4"/>
      <c r="AP2284" s="4"/>
      <c r="AQ2284" s="4"/>
      <c r="AR2284" s="4"/>
      <c r="AS2284" s="4"/>
      <c r="AT2284" s="4"/>
      <c r="AU2284" s="4"/>
      <c r="AV2284" s="4"/>
      <c r="AW2284" s="4"/>
      <c r="AX2284" s="4"/>
      <c r="AY2284" s="4"/>
      <c r="AZ2284" s="4"/>
      <c r="BA2284" s="4"/>
      <c r="BB2284" s="4"/>
      <c r="BC2284" s="4"/>
      <c r="BD2284" s="4"/>
      <c r="BE2284" s="4"/>
      <c r="BF2284" s="4"/>
      <c r="BG2284" s="4"/>
      <c r="BH2284" s="4"/>
      <c r="BI2284" s="4"/>
      <c r="BJ2284" s="4"/>
      <c r="BK2284" s="4"/>
      <c r="BL2284" s="4"/>
      <c r="BM2284" s="4"/>
      <c r="BN2284" s="4"/>
      <c r="BO2284" s="4"/>
      <c r="BP2284" s="4"/>
      <c r="BQ2284" s="4"/>
      <c r="BR2284" s="4"/>
      <c r="BS2284" s="4"/>
      <c r="BT2284" s="4"/>
      <c r="BU2284" s="4"/>
      <c r="BV2284" s="4"/>
      <c r="BW2284" s="4"/>
      <c r="BX2284" s="4"/>
      <c r="BY2284" s="4"/>
      <c r="BZ2284" s="4"/>
      <c r="CA2284" s="4"/>
      <c r="CB2284" s="4"/>
      <c r="CC2284" s="4"/>
      <c r="CD2284" s="4"/>
      <c r="CE2284" s="4"/>
      <c r="CF2284" s="4"/>
      <c r="CG2284" s="4"/>
      <c r="CH2284" s="4"/>
      <c r="CI2284" s="4"/>
      <c r="CJ2284" s="4"/>
      <c r="CK2284" s="4"/>
      <c r="CL2284" s="4"/>
      <c r="CM2284" s="4"/>
      <c r="CN2284" s="4"/>
      <c r="CO2284" s="4"/>
      <c r="CP2284" s="4"/>
      <c r="CQ2284" s="4"/>
      <c r="CR2284" s="4"/>
      <c r="CS2284" s="4"/>
      <c r="CT2284" s="4"/>
      <c r="CU2284" s="4"/>
      <c r="CV2284" s="4"/>
      <c r="CW2284" s="4"/>
      <c r="CX2284" s="4"/>
      <c r="CY2284" s="4"/>
      <c r="CZ2284" s="4"/>
      <c r="DA2284" s="4"/>
      <c r="DB2284" s="4"/>
      <c r="DC2284" s="4"/>
      <c r="DD2284" s="4"/>
      <c r="DE2284" s="4"/>
      <c r="DF2284" s="4"/>
      <c r="DG2284" s="4"/>
      <c r="DH2284" s="4"/>
      <c r="DI2284" s="4"/>
      <c r="DJ2284" s="4"/>
      <c r="DK2284" s="4"/>
      <c r="DL2284" s="4"/>
      <c r="DM2284" s="4"/>
      <c r="DN2284" s="4"/>
      <c r="DO2284" s="4"/>
      <c r="DP2284" s="4"/>
      <c r="DQ2284" s="4"/>
      <c r="DR2284" s="4"/>
      <c r="DS2284" s="4"/>
    </row>
    <row r="2285">
      <c r="A2285" s="4"/>
      <c r="B2285" s="4"/>
      <c r="C2285" s="4"/>
      <c r="D2285" s="4"/>
      <c r="E2285" s="4"/>
      <c r="F2285" s="4" t="s">
        <v>17</v>
      </c>
      <c r="G2285" s="15"/>
      <c r="H2285" s="4"/>
      <c r="I2285" s="4"/>
      <c r="J2285" s="4"/>
      <c r="K2285" s="4"/>
      <c r="L2285" s="4"/>
      <c r="M2285" s="4"/>
      <c r="N2285" s="4"/>
      <c r="O2285" s="4"/>
      <c r="P2285" s="4"/>
      <c r="Q2285" s="4"/>
      <c r="R2285" s="4"/>
      <c r="S2285" s="4"/>
      <c r="T2285" s="4"/>
      <c r="U2285" s="4"/>
      <c r="V2285" s="4"/>
      <c r="W2285" s="4"/>
      <c r="X2285" s="4"/>
      <c r="Y2285" s="4"/>
      <c r="Z2285" s="4"/>
      <c r="AA2285" s="4"/>
      <c r="AB2285" s="4"/>
      <c r="AC2285" s="4"/>
      <c r="AD2285" s="4"/>
      <c r="AE2285" s="4"/>
      <c r="AF2285" s="4"/>
      <c r="AG2285" s="4"/>
      <c r="AH2285" s="4"/>
      <c r="AI2285" s="4"/>
      <c r="AJ2285" s="4"/>
      <c r="AK2285" s="4"/>
      <c r="AL2285" s="4"/>
      <c r="AM2285" s="4"/>
      <c r="AN2285" s="4"/>
      <c r="AO2285" s="4"/>
      <c r="AP2285" s="4"/>
      <c r="AQ2285" s="4"/>
      <c r="AR2285" s="4"/>
      <c r="AS2285" s="4"/>
      <c r="AT2285" s="4"/>
      <c r="AU2285" s="4"/>
      <c r="AV2285" s="4"/>
      <c r="AW2285" s="4"/>
      <c r="AX2285" s="4"/>
      <c r="AY2285" s="4"/>
      <c r="AZ2285" s="4"/>
      <c r="BA2285" s="4"/>
      <c r="BB2285" s="4"/>
      <c r="BC2285" s="4"/>
      <c r="BD2285" s="4"/>
      <c r="BE2285" s="4"/>
      <c r="BF2285" s="4"/>
      <c r="BG2285" s="4"/>
      <c r="BH2285" s="4"/>
      <c r="BI2285" s="4"/>
      <c r="BJ2285" s="4"/>
      <c r="BK2285" s="4"/>
      <c r="BL2285" s="4"/>
      <c r="BM2285" s="4"/>
      <c r="BN2285" s="4"/>
      <c r="BO2285" s="4"/>
      <c r="BP2285" s="4"/>
      <c r="BQ2285" s="4"/>
      <c r="BR2285" s="4"/>
      <c r="BS2285" s="4"/>
      <c r="BT2285" s="4"/>
      <c r="BU2285" s="4"/>
      <c r="BV2285" s="4"/>
      <c r="BW2285" s="4"/>
      <c r="BX2285" s="4"/>
      <c r="BY2285" s="4"/>
      <c r="BZ2285" s="4"/>
      <c r="CA2285" s="4"/>
      <c r="CB2285" s="4"/>
      <c r="CC2285" s="4"/>
      <c r="CD2285" s="4"/>
      <c r="CE2285" s="4"/>
      <c r="CF2285" s="4"/>
      <c r="CG2285" s="4"/>
      <c r="CH2285" s="4"/>
      <c r="CI2285" s="4"/>
      <c r="CJ2285" s="4"/>
      <c r="CK2285" s="4"/>
      <c r="CL2285" s="4"/>
      <c r="CM2285" s="4"/>
      <c r="CN2285" s="4"/>
      <c r="CO2285" s="4"/>
      <c r="CP2285" s="4"/>
      <c r="CQ2285" s="4"/>
      <c r="CR2285" s="4"/>
      <c r="CS2285" s="4"/>
      <c r="CT2285" s="4"/>
      <c r="CU2285" s="4"/>
      <c r="CV2285" s="4"/>
      <c r="CW2285" s="4"/>
      <c r="CX2285" s="4"/>
      <c r="CY2285" s="4"/>
      <c r="CZ2285" s="4"/>
      <c r="DA2285" s="4"/>
      <c r="DB2285" s="4"/>
      <c r="DC2285" s="4"/>
      <c r="DD2285" s="4"/>
      <c r="DE2285" s="4"/>
      <c r="DF2285" s="4"/>
      <c r="DG2285" s="4"/>
      <c r="DH2285" s="4"/>
      <c r="DI2285" s="4"/>
      <c r="DJ2285" s="4"/>
      <c r="DK2285" s="4"/>
      <c r="DL2285" s="4"/>
      <c r="DM2285" s="4"/>
      <c r="DN2285" s="4"/>
      <c r="DO2285" s="4"/>
      <c r="DP2285" s="4"/>
      <c r="DQ2285" s="4"/>
      <c r="DR2285" s="4"/>
      <c r="DS2285" s="4"/>
    </row>
    <row r="2286">
      <c r="A2286" s="4"/>
      <c r="B2286" s="4"/>
      <c r="C2286" s="4"/>
      <c r="D2286" s="4"/>
      <c r="E2286" s="4"/>
      <c r="F2286" s="4" t="s">
        <v>17</v>
      </c>
      <c r="G2286" s="15"/>
      <c r="H2286" s="4"/>
      <c r="I2286" s="4"/>
      <c r="J2286" s="4"/>
      <c r="K2286" s="4"/>
      <c r="L2286" s="4"/>
      <c r="M2286" s="4"/>
      <c r="N2286" s="4"/>
      <c r="O2286" s="4"/>
      <c r="P2286" s="4"/>
      <c r="Q2286" s="4"/>
      <c r="R2286" s="4"/>
      <c r="S2286" s="4"/>
      <c r="T2286" s="4"/>
      <c r="U2286" s="4"/>
      <c r="V2286" s="4"/>
      <c r="W2286" s="4"/>
      <c r="X2286" s="4"/>
      <c r="Y2286" s="4"/>
      <c r="Z2286" s="4"/>
      <c r="AA2286" s="4"/>
      <c r="AB2286" s="4"/>
      <c r="AC2286" s="4"/>
      <c r="AD2286" s="4"/>
      <c r="AE2286" s="4"/>
      <c r="AF2286" s="4"/>
      <c r="AG2286" s="4"/>
      <c r="AH2286" s="4"/>
      <c r="AI2286" s="4"/>
      <c r="AJ2286" s="4"/>
      <c r="AK2286" s="4"/>
      <c r="AL2286" s="4"/>
      <c r="AM2286" s="4"/>
      <c r="AN2286" s="4"/>
      <c r="AO2286" s="4"/>
      <c r="AP2286" s="4"/>
      <c r="AQ2286" s="4"/>
      <c r="AR2286" s="4"/>
      <c r="AS2286" s="4"/>
      <c r="AT2286" s="4"/>
      <c r="AU2286" s="4"/>
      <c r="AV2286" s="4"/>
      <c r="AW2286" s="4"/>
      <c r="AX2286" s="4"/>
      <c r="AY2286" s="4"/>
      <c r="AZ2286" s="4"/>
      <c r="BA2286" s="4"/>
      <c r="BB2286" s="4"/>
      <c r="BC2286" s="4"/>
      <c r="BD2286" s="4"/>
      <c r="BE2286" s="4"/>
      <c r="BF2286" s="4"/>
      <c r="BG2286" s="4"/>
      <c r="BH2286" s="4"/>
      <c r="BI2286" s="4"/>
      <c r="BJ2286" s="4"/>
      <c r="BK2286" s="4"/>
      <c r="BL2286" s="4"/>
      <c r="BM2286" s="4"/>
      <c r="BN2286" s="4"/>
      <c r="BO2286" s="4"/>
      <c r="BP2286" s="4"/>
      <c r="BQ2286" s="4"/>
      <c r="BR2286" s="4"/>
      <c r="BS2286" s="4"/>
      <c r="BT2286" s="4"/>
      <c r="BU2286" s="4"/>
      <c r="BV2286" s="4"/>
      <c r="BW2286" s="4"/>
      <c r="BX2286" s="4"/>
      <c r="BY2286" s="4"/>
      <c r="BZ2286" s="4"/>
      <c r="CA2286" s="4"/>
      <c r="CB2286" s="4"/>
      <c r="CC2286" s="4"/>
      <c r="CD2286" s="4"/>
      <c r="CE2286" s="4"/>
      <c r="CF2286" s="4"/>
      <c r="CG2286" s="4"/>
      <c r="CH2286" s="4"/>
      <c r="CI2286" s="4"/>
      <c r="CJ2286" s="4"/>
      <c r="CK2286" s="4"/>
      <c r="CL2286" s="4"/>
      <c r="CM2286" s="4"/>
      <c r="CN2286" s="4"/>
      <c r="CO2286" s="4"/>
      <c r="CP2286" s="4"/>
      <c r="CQ2286" s="4"/>
      <c r="CR2286" s="4"/>
      <c r="CS2286" s="4"/>
      <c r="CT2286" s="4"/>
      <c r="CU2286" s="4"/>
      <c r="CV2286" s="4"/>
      <c r="CW2286" s="4"/>
      <c r="CX2286" s="4"/>
      <c r="CY2286" s="4"/>
      <c r="CZ2286" s="4"/>
      <c r="DA2286" s="4"/>
      <c r="DB2286" s="4"/>
      <c r="DC2286" s="4"/>
      <c r="DD2286" s="4"/>
      <c r="DE2286" s="4"/>
      <c r="DF2286" s="4"/>
      <c r="DG2286" s="4"/>
      <c r="DH2286" s="4"/>
      <c r="DI2286" s="4"/>
      <c r="DJ2286" s="4"/>
      <c r="DK2286" s="4"/>
      <c r="DL2286" s="4"/>
      <c r="DM2286" s="4"/>
      <c r="DN2286" s="4"/>
      <c r="DO2286" s="4"/>
      <c r="DP2286" s="4"/>
      <c r="DQ2286" s="4"/>
      <c r="DR2286" s="4"/>
      <c r="DS2286" s="4"/>
    </row>
    <row r="2287">
      <c r="A2287" s="4"/>
      <c r="B2287" s="4"/>
      <c r="C2287" s="4"/>
      <c r="D2287" s="4"/>
      <c r="E2287" s="4"/>
      <c r="F2287" s="4" t="s">
        <v>17</v>
      </c>
      <c r="G2287" s="15"/>
      <c r="H2287" s="4"/>
      <c r="I2287" s="4"/>
      <c r="J2287" s="4"/>
      <c r="K2287" s="4"/>
      <c r="L2287" s="4"/>
      <c r="M2287" s="4"/>
      <c r="N2287" s="4"/>
      <c r="O2287" s="4"/>
      <c r="P2287" s="4"/>
      <c r="Q2287" s="4"/>
      <c r="R2287" s="4"/>
      <c r="S2287" s="4"/>
      <c r="T2287" s="4"/>
      <c r="U2287" s="4"/>
      <c r="V2287" s="4"/>
      <c r="W2287" s="4"/>
      <c r="X2287" s="4"/>
      <c r="Y2287" s="4"/>
      <c r="Z2287" s="4"/>
      <c r="AA2287" s="4"/>
      <c r="AB2287" s="4"/>
      <c r="AC2287" s="4"/>
      <c r="AD2287" s="4"/>
      <c r="AE2287" s="4"/>
      <c r="AF2287" s="4"/>
      <c r="AG2287" s="4"/>
      <c r="AH2287" s="4"/>
      <c r="AI2287" s="4"/>
      <c r="AJ2287" s="4"/>
      <c r="AK2287" s="4"/>
      <c r="AL2287" s="4"/>
      <c r="AM2287" s="4"/>
      <c r="AN2287" s="4"/>
      <c r="AO2287" s="4"/>
      <c r="AP2287" s="4"/>
      <c r="AQ2287" s="4"/>
      <c r="AR2287" s="4"/>
      <c r="AS2287" s="4"/>
      <c r="AT2287" s="4"/>
      <c r="AU2287" s="4"/>
      <c r="AV2287" s="4"/>
      <c r="AW2287" s="4"/>
      <c r="AX2287" s="4"/>
      <c r="AY2287" s="4"/>
      <c r="AZ2287" s="4"/>
      <c r="BA2287" s="4"/>
      <c r="BB2287" s="4"/>
      <c r="BC2287" s="4"/>
      <c r="BD2287" s="4"/>
      <c r="BE2287" s="4"/>
      <c r="BF2287" s="4"/>
      <c r="BG2287" s="4"/>
      <c r="BH2287" s="4"/>
      <c r="BI2287" s="4"/>
      <c r="BJ2287" s="4"/>
      <c r="BK2287" s="4"/>
      <c r="BL2287" s="4"/>
      <c r="BM2287" s="4"/>
      <c r="BN2287" s="4"/>
      <c r="BO2287" s="4"/>
      <c r="BP2287" s="4"/>
      <c r="BQ2287" s="4"/>
      <c r="BR2287" s="4"/>
      <c r="BS2287" s="4"/>
      <c r="BT2287" s="4"/>
      <c r="BU2287" s="4"/>
      <c r="BV2287" s="4"/>
      <c r="BW2287" s="4"/>
      <c r="BX2287" s="4"/>
      <c r="BY2287" s="4"/>
      <c r="BZ2287" s="4"/>
      <c r="CA2287" s="4"/>
      <c r="CB2287" s="4"/>
      <c r="CC2287" s="4"/>
      <c r="CD2287" s="4"/>
      <c r="CE2287" s="4"/>
      <c r="CF2287" s="4"/>
      <c r="CG2287" s="4"/>
      <c r="CH2287" s="4"/>
      <c r="CI2287" s="4"/>
      <c r="CJ2287" s="4"/>
      <c r="CK2287" s="4"/>
      <c r="CL2287" s="4"/>
      <c r="CM2287" s="4"/>
      <c r="CN2287" s="4"/>
      <c r="CO2287" s="4"/>
      <c r="CP2287" s="4"/>
      <c r="CQ2287" s="4"/>
      <c r="CR2287" s="4"/>
      <c r="CS2287" s="4"/>
      <c r="CT2287" s="4"/>
      <c r="CU2287" s="4"/>
      <c r="CV2287" s="4"/>
      <c r="CW2287" s="4"/>
      <c r="CX2287" s="4"/>
      <c r="CY2287" s="4"/>
      <c r="CZ2287" s="4"/>
      <c r="DA2287" s="4"/>
      <c r="DB2287" s="4"/>
      <c r="DC2287" s="4"/>
      <c r="DD2287" s="4"/>
      <c r="DE2287" s="4"/>
      <c r="DF2287" s="4"/>
      <c r="DG2287" s="4"/>
      <c r="DH2287" s="4"/>
      <c r="DI2287" s="4"/>
      <c r="DJ2287" s="4"/>
      <c r="DK2287" s="4"/>
      <c r="DL2287" s="4"/>
      <c r="DM2287" s="4"/>
      <c r="DN2287" s="4"/>
      <c r="DO2287" s="4"/>
      <c r="DP2287" s="4"/>
      <c r="DQ2287" s="4"/>
      <c r="DR2287" s="4"/>
      <c r="DS2287" s="4"/>
    </row>
    <row r="2288">
      <c r="A2288" s="4"/>
      <c r="B2288" s="4"/>
      <c r="C2288" s="4"/>
      <c r="D2288" s="4"/>
      <c r="E2288" s="4"/>
      <c r="F2288" s="4" t="s">
        <v>17</v>
      </c>
      <c r="G2288" s="15"/>
      <c r="H2288" s="4"/>
      <c r="I2288" s="4"/>
      <c r="J2288" s="4"/>
      <c r="K2288" s="4"/>
      <c r="L2288" s="4"/>
      <c r="M2288" s="4"/>
      <c r="N2288" s="4"/>
      <c r="O2288" s="4"/>
      <c r="P2288" s="4"/>
      <c r="Q2288" s="4"/>
      <c r="R2288" s="4"/>
      <c r="S2288" s="4"/>
      <c r="T2288" s="4"/>
      <c r="U2288" s="4"/>
      <c r="V2288" s="4"/>
      <c r="W2288" s="4"/>
      <c r="X2288" s="4"/>
      <c r="Y2288" s="4"/>
      <c r="Z2288" s="4"/>
      <c r="AA2288" s="4"/>
      <c r="AB2288" s="4"/>
      <c r="AC2288" s="4"/>
      <c r="AD2288" s="4"/>
      <c r="AE2288" s="4"/>
      <c r="AF2288" s="4"/>
      <c r="AG2288" s="4"/>
      <c r="AH2288" s="4"/>
      <c r="AI2288" s="4"/>
      <c r="AJ2288" s="4"/>
      <c r="AK2288" s="4"/>
      <c r="AL2288" s="4"/>
      <c r="AM2288" s="4"/>
      <c r="AN2288" s="4"/>
      <c r="AO2288" s="4"/>
      <c r="AP2288" s="4"/>
      <c r="AQ2288" s="4"/>
      <c r="AR2288" s="4"/>
      <c r="AS2288" s="4"/>
      <c r="AT2288" s="4"/>
      <c r="AU2288" s="4"/>
      <c r="AV2288" s="4"/>
      <c r="AW2288" s="4"/>
      <c r="AX2288" s="4"/>
      <c r="AY2288" s="4"/>
      <c r="AZ2288" s="4"/>
      <c r="BA2288" s="4"/>
      <c r="BB2288" s="4"/>
      <c r="BC2288" s="4"/>
      <c r="BD2288" s="4"/>
      <c r="BE2288" s="4"/>
      <c r="BF2288" s="4"/>
      <c r="BG2288" s="4"/>
      <c r="BH2288" s="4"/>
      <c r="BI2288" s="4"/>
      <c r="BJ2288" s="4"/>
      <c r="BK2288" s="4"/>
      <c r="BL2288" s="4"/>
      <c r="BM2288" s="4"/>
      <c r="BN2288" s="4"/>
      <c r="BO2288" s="4"/>
      <c r="BP2288" s="4"/>
      <c r="BQ2288" s="4"/>
      <c r="BR2288" s="4"/>
      <c r="BS2288" s="4"/>
      <c r="BT2288" s="4"/>
      <c r="BU2288" s="4"/>
      <c r="BV2288" s="4"/>
      <c r="BW2288" s="4"/>
      <c r="BX2288" s="4"/>
      <c r="BY2288" s="4"/>
      <c r="BZ2288" s="4"/>
      <c r="CA2288" s="4"/>
      <c r="CB2288" s="4"/>
      <c r="CC2288" s="4"/>
      <c r="CD2288" s="4"/>
      <c r="CE2288" s="4"/>
      <c r="CF2288" s="4"/>
      <c r="CG2288" s="4"/>
      <c r="CH2288" s="4"/>
      <c r="CI2288" s="4"/>
      <c r="CJ2288" s="4"/>
      <c r="CK2288" s="4"/>
      <c r="CL2288" s="4"/>
      <c r="CM2288" s="4"/>
      <c r="CN2288" s="4"/>
      <c r="CO2288" s="4"/>
      <c r="CP2288" s="4"/>
      <c r="CQ2288" s="4"/>
      <c r="CR2288" s="4"/>
      <c r="CS2288" s="4"/>
      <c r="CT2288" s="4"/>
      <c r="CU2288" s="4"/>
      <c r="CV2288" s="4"/>
      <c r="CW2288" s="4"/>
      <c r="CX2288" s="4"/>
      <c r="CY2288" s="4"/>
      <c r="CZ2288" s="4"/>
      <c r="DA2288" s="4"/>
      <c r="DB2288" s="4"/>
      <c r="DC2288" s="4"/>
      <c r="DD2288" s="4"/>
      <c r="DE2288" s="4"/>
      <c r="DF2288" s="4"/>
      <c r="DG2288" s="4"/>
      <c r="DH2288" s="4"/>
      <c r="DI2288" s="4"/>
      <c r="DJ2288" s="4"/>
      <c r="DK2288" s="4"/>
      <c r="DL2288" s="4"/>
      <c r="DM2288" s="4"/>
      <c r="DN2288" s="4"/>
      <c r="DO2288" s="4"/>
      <c r="DP2288" s="4"/>
      <c r="DQ2288" s="4"/>
      <c r="DR2288" s="4"/>
      <c r="DS2288" s="4"/>
    </row>
    <row r="2289">
      <c r="A2289" s="4"/>
      <c r="B2289" s="4"/>
      <c r="C2289" s="4"/>
      <c r="D2289" s="4"/>
      <c r="E2289" s="4"/>
      <c r="F2289" s="4" t="s">
        <v>17</v>
      </c>
      <c r="G2289" s="15"/>
      <c r="H2289" s="4"/>
      <c r="I2289" s="4"/>
      <c r="J2289" s="4"/>
      <c r="K2289" s="4"/>
      <c r="L2289" s="4"/>
      <c r="M2289" s="4"/>
      <c r="N2289" s="4"/>
      <c r="O2289" s="4"/>
      <c r="P2289" s="4"/>
      <c r="Q2289" s="4"/>
      <c r="R2289" s="4"/>
      <c r="S2289" s="4"/>
      <c r="T2289" s="4"/>
      <c r="U2289" s="4"/>
      <c r="V2289" s="4"/>
      <c r="W2289" s="4"/>
      <c r="X2289" s="4"/>
      <c r="Y2289" s="4"/>
      <c r="Z2289" s="4"/>
      <c r="AA2289" s="4"/>
      <c r="AB2289" s="4"/>
      <c r="AC2289" s="4"/>
      <c r="AD2289" s="4"/>
      <c r="AE2289" s="4"/>
      <c r="AF2289" s="4"/>
      <c r="AG2289" s="4"/>
      <c r="AH2289" s="4"/>
      <c r="AI2289" s="4"/>
      <c r="AJ2289" s="4"/>
      <c r="AK2289" s="4"/>
      <c r="AL2289" s="4"/>
      <c r="AM2289" s="4"/>
      <c r="AN2289" s="4"/>
      <c r="AO2289" s="4"/>
      <c r="AP2289" s="4"/>
      <c r="AQ2289" s="4"/>
      <c r="AR2289" s="4"/>
      <c r="AS2289" s="4"/>
      <c r="AT2289" s="4"/>
      <c r="AU2289" s="4"/>
      <c r="AV2289" s="4"/>
      <c r="AW2289" s="4"/>
      <c r="AX2289" s="4"/>
      <c r="AY2289" s="4"/>
      <c r="AZ2289" s="4"/>
      <c r="BA2289" s="4"/>
      <c r="BB2289" s="4"/>
      <c r="BC2289" s="4"/>
      <c r="BD2289" s="4"/>
      <c r="BE2289" s="4"/>
      <c r="BF2289" s="4"/>
      <c r="BG2289" s="4"/>
      <c r="BH2289" s="4"/>
      <c r="BI2289" s="4"/>
      <c r="BJ2289" s="4"/>
      <c r="BK2289" s="4"/>
      <c r="BL2289" s="4"/>
      <c r="BM2289" s="4"/>
      <c r="BN2289" s="4"/>
      <c r="BO2289" s="4"/>
      <c r="BP2289" s="4"/>
      <c r="BQ2289" s="4"/>
      <c r="BR2289" s="4"/>
      <c r="BS2289" s="4"/>
      <c r="BT2289" s="4"/>
      <c r="BU2289" s="4"/>
      <c r="BV2289" s="4"/>
      <c r="BW2289" s="4"/>
      <c r="BX2289" s="4"/>
      <c r="BY2289" s="4"/>
      <c r="BZ2289" s="4"/>
      <c r="CA2289" s="4"/>
      <c r="CB2289" s="4"/>
      <c r="CC2289" s="4"/>
      <c r="CD2289" s="4"/>
      <c r="CE2289" s="4"/>
      <c r="CF2289" s="4"/>
      <c r="CG2289" s="4"/>
      <c r="CH2289" s="4"/>
      <c r="CI2289" s="4"/>
      <c r="CJ2289" s="4"/>
      <c r="CK2289" s="4"/>
      <c r="CL2289" s="4"/>
      <c r="CM2289" s="4"/>
      <c r="CN2289" s="4"/>
      <c r="CO2289" s="4"/>
      <c r="CP2289" s="4"/>
      <c r="CQ2289" s="4"/>
      <c r="CR2289" s="4"/>
      <c r="CS2289" s="4"/>
      <c r="CT2289" s="4"/>
      <c r="CU2289" s="4"/>
      <c r="CV2289" s="4"/>
      <c r="CW2289" s="4"/>
      <c r="CX2289" s="4"/>
      <c r="CY2289" s="4"/>
      <c r="CZ2289" s="4"/>
      <c r="DA2289" s="4"/>
      <c r="DB2289" s="4"/>
      <c r="DC2289" s="4"/>
      <c r="DD2289" s="4"/>
      <c r="DE2289" s="4"/>
      <c r="DF2289" s="4"/>
      <c r="DG2289" s="4"/>
      <c r="DH2289" s="4"/>
      <c r="DI2289" s="4"/>
      <c r="DJ2289" s="4"/>
      <c r="DK2289" s="4"/>
      <c r="DL2289" s="4"/>
      <c r="DM2289" s="4"/>
      <c r="DN2289" s="4"/>
      <c r="DO2289" s="4"/>
      <c r="DP2289" s="4"/>
      <c r="DQ2289" s="4"/>
      <c r="DR2289" s="4"/>
      <c r="DS2289" s="4"/>
    </row>
    <row r="2290">
      <c r="A2290" s="4"/>
      <c r="B2290" s="4"/>
      <c r="C2290" s="4"/>
      <c r="D2290" s="4"/>
      <c r="E2290" s="4"/>
      <c r="F2290" s="4" t="s">
        <v>17</v>
      </c>
      <c r="G2290" s="15"/>
      <c r="H2290" s="4"/>
      <c r="I2290" s="4"/>
      <c r="J2290" s="4"/>
      <c r="K2290" s="4"/>
      <c r="L2290" s="4"/>
      <c r="M2290" s="4"/>
      <c r="N2290" s="4"/>
      <c r="O2290" s="4"/>
      <c r="P2290" s="4"/>
      <c r="Q2290" s="4"/>
      <c r="R2290" s="4"/>
      <c r="S2290" s="4"/>
      <c r="T2290" s="4"/>
      <c r="U2290" s="4"/>
      <c r="V2290" s="4"/>
      <c r="W2290" s="4"/>
      <c r="X2290" s="4"/>
      <c r="Y2290" s="4"/>
      <c r="Z2290" s="4"/>
      <c r="AA2290" s="4"/>
      <c r="AB2290" s="4"/>
      <c r="AC2290" s="4"/>
      <c r="AD2290" s="4"/>
      <c r="AE2290" s="4"/>
      <c r="AF2290" s="4"/>
      <c r="AG2290" s="4"/>
      <c r="AH2290" s="4"/>
      <c r="AI2290" s="4"/>
      <c r="AJ2290" s="4"/>
      <c r="AK2290" s="4"/>
      <c r="AL2290" s="4"/>
      <c r="AM2290" s="4"/>
      <c r="AN2290" s="4"/>
      <c r="AO2290" s="4"/>
      <c r="AP2290" s="4"/>
      <c r="AQ2290" s="4"/>
      <c r="AR2290" s="4"/>
      <c r="AS2290" s="4"/>
      <c r="AT2290" s="4"/>
      <c r="AU2290" s="4"/>
      <c r="AV2290" s="4"/>
      <c r="AW2290" s="4"/>
      <c r="AX2290" s="4"/>
      <c r="AY2290" s="4"/>
      <c r="AZ2290" s="4"/>
      <c r="BA2290" s="4"/>
      <c r="BB2290" s="4"/>
      <c r="BC2290" s="4"/>
      <c r="BD2290" s="4"/>
      <c r="BE2290" s="4"/>
      <c r="BF2290" s="4"/>
      <c r="BG2290" s="4"/>
      <c r="BH2290" s="4"/>
      <c r="BI2290" s="4"/>
      <c r="BJ2290" s="4"/>
      <c r="BK2290" s="4"/>
      <c r="BL2290" s="4"/>
      <c r="BM2290" s="4"/>
      <c r="BN2290" s="4"/>
      <c r="BO2290" s="4"/>
      <c r="BP2290" s="4"/>
      <c r="BQ2290" s="4"/>
      <c r="BR2290" s="4"/>
      <c r="BS2290" s="4"/>
      <c r="BT2290" s="4"/>
      <c r="BU2290" s="4"/>
      <c r="BV2290" s="4"/>
      <c r="BW2290" s="4"/>
      <c r="BX2290" s="4"/>
      <c r="BY2290" s="4"/>
      <c r="BZ2290" s="4"/>
      <c r="CA2290" s="4"/>
      <c r="CB2290" s="4"/>
      <c r="CC2290" s="4"/>
      <c r="CD2290" s="4"/>
      <c r="CE2290" s="4"/>
      <c r="CF2290" s="4"/>
      <c r="CG2290" s="4"/>
      <c r="CH2290" s="4"/>
      <c r="CI2290" s="4"/>
      <c r="CJ2290" s="4"/>
      <c r="CK2290" s="4"/>
      <c r="CL2290" s="4"/>
      <c r="CM2290" s="4"/>
      <c r="CN2290" s="4"/>
      <c r="CO2290" s="4"/>
      <c r="CP2290" s="4"/>
      <c r="CQ2290" s="4"/>
      <c r="CR2290" s="4"/>
      <c r="CS2290" s="4"/>
      <c r="CT2290" s="4"/>
      <c r="CU2290" s="4"/>
      <c r="CV2290" s="4"/>
      <c r="CW2290" s="4"/>
      <c r="CX2290" s="4"/>
      <c r="CY2290" s="4"/>
      <c r="CZ2290" s="4"/>
      <c r="DA2290" s="4"/>
      <c r="DB2290" s="4"/>
      <c r="DC2290" s="4"/>
      <c r="DD2290" s="4"/>
      <c r="DE2290" s="4"/>
      <c r="DF2290" s="4"/>
      <c r="DG2290" s="4"/>
      <c r="DH2290" s="4"/>
      <c r="DI2290" s="4"/>
      <c r="DJ2290" s="4"/>
      <c r="DK2290" s="4"/>
      <c r="DL2290" s="4"/>
      <c r="DM2290" s="4"/>
      <c r="DN2290" s="4"/>
      <c r="DO2290" s="4"/>
      <c r="DP2290" s="4"/>
      <c r="DQ2290" s="4"/>
      <c r="DR2290" s="4"/>
      <c r="DS2290" s="4"/>
    </row>
    <row r="2291">
      <c r="A2291" s="4"/>
      <c r="B2291" s="4"/>
      <c r="C2291" s="4"/>
      <c r="D2291" s="4"/>
      <c r="E2291" s="4"/>
      <c r="F2291" s="4" t="s">
        <v>17</v>
      </c>
      <c r="G2291" s="15"/>
      <c r="H2291" s="4"/>
      <c r="I2291" s="4"/>
      <c r="J2291" s="4"/>
      <c r="K2291" s="4"/>
      <c r="L2291" s="4"/>
      <c r="M2291" s="4"/>
      <c r="N2291" s="4"/>
      <c r="O2291" s="4"/>
      <c r="P2291" s="4"/>
      <c r="Q2291" s="4"/>
      <c r="R2291" s="4"/>
      <c r="S2291" s="4"/>
      <c r="T2291" s="4"/>
      <c r="U2291" s="4"/>
      <c r="V2291" s="4"/>
      <c r="W2291" s="4"/>
      <c r="X2291" s="4"/>
      <c r="Y2291" s="4"/>
      <c r="Z2291" s="4"/>
      <c r="AA2291" s="4"/>
      <c r="AB2291" s="4"/>
      <c r="AC2291" s="4"/>
      <c r="AD2291" s="4"/>
      <c r="AE2291" s="4"/>
      <c r="AF2291" s="4"/>
      <c r="AG2291" s="4"/>
      <c r="AH2291" s="4"/>
      <c r="AI2291" s="4"/>
      <c r="AJ2291" s="4"/>
      <c r="AK2291" s="4"/>
      <c r="AL2291" s="4"/>
      <c r="AM2291" s="4"/>
      <c r="AN2291" s="4"/>
      <c r="AO2291" s="4"/>
      <c r="AP2291" s="4"/>
      <c r="AQ2291" s="4"/>
      <c r="AR2291" s="4"/>
      <c r="AS2291" s="4"/>
      <c r="AT2291" s="4"/>
      <c r="AU2291" s="4"/>
      <c r="AV2291" s="4"/>
      <c r="AW2291" s="4"/>
      <c r="AX2291" s="4"/>
      <c r="AY2291" s="4"/>
      <c r="AZ2291" s="4"/>
      <c r="BA2291" s="4"/>
      <c r="BB2291" s="4"/>
      <c r="BC2291" s="4"/>
      <c r="BD2291" s="4"/>
      <c r="BE2291" s="4"/>
      <c r="BF2291" s="4"/>
      <c r="BG2291" s="4"/>
      <c r="BH2291" s="4"/>
      <c r="BI2291" s="4"/>
      <c r="BJ2291" s="4"/>
      <c r="BK2291" s="4"/>
      <c r="BL2291" s="4"/>
      <c r="BM2291" s="4"/>
      <c r="BN2291" s="4"/>
      <c r="BO2291" s="4"/>
      <c r="BP2291" s="4"/>
      <c r="BQ2291" s="4"/>
      <c r="BR2291" s="4"/>
      <c r="BS2291" s="4"/>
      <c r="BT2291" s="4"/>
      <c r="BU2291" s="4"/>
      <c r="BV2291" s="4"/>
      <c r="BW2291" s="4"/>
      <c r="BX2291" s="4"/>
      <c r="BY2291" s="4"/>
      <c r="BZ2291" s="4"/>
      <c r="CA2291" s="4"/>
      <c r="CB2291" s="4"/>
      <c r="CC2291" s="4"/>
      <c r="CD2291" s="4"/>
      <c r="CE2291" s="4"/>
      <c r="CF2291" s="4"/>
      <c r="CG2291" s="4"/>
      <c r="CH2291" s="4"/>
      <c r="CI2291" s="4"/>
      <c r="CJ2291" s="4"/>
      <c r="CK2291" s="4"/>
      <c r="CL2291" s="4"/>
      <c r="CM2291" s="4"/>
      <c r="CN2291" s="4"/>
      <c r="CO2291" s="4"/>
      <c r="CP2291" s="4"/>
      <c r="CQ2291" s="4"/>
      <c r="CR2291" s="4"/>
      <c r="CS2291" s="4"/>
      <c r="CT2291" s="4"/>
      <c r="CU2291" s="4"/>
      <c r="CV2291" s="4"/>
      <c r="CW2291" s="4"/>
      <c r="CX2291" s="4"/>
      <c r="CY2291" s="4"/>
      <c r="CZ2291" s="4"/>
      <c r="DA2291" s="4"/>
      <c r="DB2291" s="4"/>
      <c r="DC2291" s="4"/>
      <c r="DD2291" s="4"/>
      <c r="DE2291" s="4"/>
      <c r="DF2291" s="4"/>
      <c r="DG2291" s="4"/>
      <c r="DH2291" s="4"/>
      <c r="DI2291" s="4"/>
      <c r="DJ2291" s="4"/>
      <c r="DK2291" s="4"/>
      <c r="DL2291" s="4"/>
      <c r="DM2291" s="4"/>
      <c r="DN2291" s="4"/>
      <c r="DO2291" s="4"/>
      <c r="DP2291" s="4"/>
      <c r="DQ2291" s="4"/>
      <c r="DR2291" s="4"/>
      <c r="DS2291" s="4"/>
    </row>
    <row r="2292">
      <c r="A2292" s="4"/>
      <c r="B2292" s="4"/>
      <c r="C2292" s="4"/>
      <c r="D2292" s="4"/>
      <c r="E2292" s="4"/>
      <c r="F2292" s="4" t="s">
        <v>17</v>
      </c>
      <c r="G2292" s="15"/>
      <c r="H2292" s="4"/>
      <c r="I2292" s="4"/>
      <c r="J2292" s="4"/>
      <c r="K2292" s="4"/>
      <c r="L2292" s="4"/>
      <c r="M2292" s="4"/>
      <c r="N2292" s="4"/>
      <c r="O2292" s="4"/>
      <c r="P2292" s="4"/>
      <c r="Q2292" s="4"/>
      <c r="R2292" s="4"/>
      <c r="S2292" s="4"/>
      <c r="T2292" s="4"/>
      <c r="U2292" s="4"/>
      <c r="V2292" s="4"/>
      <c r="W2292" s="4"/>
      <c r="X2292" s="4"/>
      <c r="Y2292" s="4"/>
      <c r="Z2292" s="4"/>
      <c r="AA2292" s="4"/>
      <c r="AB2292" s="4"/>
      <c r="AC2292" s="4"/>
      <c r="AD2292" s="4"/>
      <c r="AE2292" s="4"/>
      <c r="AF2292" s="4"/>
      <c r="AG2292" s="4"/>
      <c r="AH2292" s="4"/>
      <c r="AI2292" s="4"/>
      <c r="AJ2292" s="4"/>
      <c r="AK2292" s="4"/>
      <c r="AL2292" s="4"/>
      <c r="AM2292" s="4"/>
      <c r="AN2292" s="4"/>
      <c r="AO2292" s="4"/>
      <c r="AP2292" s="4"/>
      <c r="AQ2292" s="4"/>
      <c r="AR2292" s="4"/>
      <c r="AS2292" s="4"/>
      <c r="AT2292" s="4"/>
      <c r="AU2292" s="4"/>
      <c r="AV2292" s="4"/>
      <c r="AW2292" s="4"/>
      <c r="AX2292" s="4"/>
      <c r="AY2292" s="4"/>
      <c r="AZ2292" s="4"/>
      <c r="BA2292" s="4"/>
      <c r="BB2292" s="4"/>
      <c r="BC2292" s="4"/>
      <c r="BD2292" s="4"/>
      <c r="BE2292" s="4"/>
      <c r="BF2292" s="4"/>
      <c r="BG2292" s="4"/>
      <c r="BH2292" s="4"/>
      <c r="BI2292" s="4"/>
      <c r="BJ2292" s="4"/>
      <c r="BK2292" s="4"/>
      <c r="BL2292" s="4"/>
      <c r="BM2292" s="4"/>
      <c r="BN2292" s="4"/>
      <c r="BO2292" s="4"/>
      <c r="BP2292" s="4"/>
      <c r="BQ2292" s="4"/>
      <c r="BR2292" s="4"/>
      <c r="BS2292" s="4"/>
      <c r="BT2292" s="4"/>
      <c r="BU2292" s="4"/>
      <c r="BV2292" s="4"/>
      <c r="BW2292" s="4"/>
      <c r="BX2292" s="4"/>
      <c r="BY2292" s="4"/>
      <c r="BZ2292" s="4"/>
      <c r="CA2292" s="4"/>
      <c r="CB2292" s="4"/>
      <c r="CC2292" s="4"/>
      <c r="CD2292" s="4"/>
      <c r="CE2292" s="4"/>
      <c r="CF2292" s="4"/>
      <c r="CG2292" s="4"/>
      <c r="CH2292" s="4"/>
      <c r="CI2292" s="4"/>
      <c r="CJ2292" s="4"/>
      <c r="CK2292" s="4"/>
      <c r="CL2292" s="4"/>
      <c r="CM2292" s="4"/>
      <c r="CN2292" s="4"/>
      <c r="CO2292" s="4"/>
      <c r="CP2292" s="4"/>
      <c r="CQ2292" s="4"/>
      <c r="CR2292" s="4"/>
      <c r="CS2292" s="4"/>
      <c r="CT2292" s="4"/>
      <c r="CU2292" s="4"/>
      <c r="CV2292" s="4"/>
      <c r="CW2292" s="4"/>
      <c r="CX2292" s="4"/>
      <c r="CY2292" s="4"/>
      <c r="CZ2292" s="4"/>
      <c r="DA2292" s="4"/>
      <c r="DB2292" s="4"/>
      <c r="DC2292" s="4"/>
      <c r="DD2292" s="4"/>
      <c r="DE2292" s="4"/>
      <c r="DF2292" s="4"/>
      <c r="DG2292" s="4"/>
      <c r="DH2292" s="4"/>
      <c r="DI2292" s="4"/>
      <c r="DJ2292" s="4"/>
      <c r="DK2292" s="4"/>
      <c r="DL2292" s="4"/>
      <c r="DM2292" s="4"/>
      <c r="DN2292" s="4"/>
      <c r="DO2292" s="4"/>
      <c r="DP2292" s="4"/>
      <c r="DQ2292" s="4"/>
      <c r="DR2292" s="4"/>
      <c r="DS2292" s="4"/>
    </row>
    <row r="2293">
      <c r="A2293" s="4"/>
      <c r="B2293" s="4"/>
      <c r="C2293" s="4"/>
      <c r="D2293" s="4"/>
      <c r="E2293" s="4"/>
      <c r="F2293" s="4" t="s">
        <v>17</v>
      </c>
      <c r="G2293" s="15"/>
      <c r="H2293" s="4"/>
      <c r="I2293" s="4"/>
      <c r="J2293" s="4"/>
      <c r="K2293" s="4"/>
      <c r="L2293" s="4"/>
      <c r="M2293" s="4"/>
      <c r="N2293" s="4"/>
      <c r="O2293" s="4"/>
      <c r="P2293" s="4"/>
      <c r="Q2293" s="4"/>
      <c r="R2293" s="4"/>
      <c r="S2293" s="4"/>
      <c r="T2293" s="4"/>
      <c r="U2293" s="4"/>
      <c r="V2293" s="4"/>
      <c r="W2293" s="4"/>
      <c r="X2293" s="4"/>
      <c r="Y2293" s="4"/>
      <c r="Z2293" s="4"/>
      <c r="AA2293" s="4"/>
      <c r="AB2293" s="4"/>
      <c r="AC2293" s="4"/>
      <c r="AD2293" s="4"/>
      <c r="AE2293" s="4"/>
      <c r="AF2293" s="4"/>
      <c r="AG2293" s="4"/>
      <c r="AH2293" s="4"/>
      <c r="AI2293" s="4"/>
      <c r="AJ2293" s="4"/>
      <c r="AK2293" s="4"/>
      <c r="AL2293" s="4"/>
      <c r="AM2293" s="4"/>
      <c r="AN2293" s="4"/>
      <c r="AO2293" s="4"/>
      <c r="AP2293" s="4"/>
      <c r="AQ2293" s="4"/>
      <c r="AR2293" s="4"/>
      <c r="AS2293" s="4"/>
      <c r="AT2293" s="4"/>
      <c r="AU2293" s="4"/>
      <c r="AV2293" s="4"/>
      <c r="AW2293" s="4"/>
      <c r="AX2293" s="4"/>
      <c r="AY2293" s="4"/>
      <c r="AZ2293" s="4"/>
      <c r="BA2293" s="4"/>
      <c r="BB2293" s="4"/>
      <c r="BC2293" s="4"/>
      <c r="BD2293" s="4"/>
      <c r="BE2293" s="4"/>
      <c r="BF2293" s="4"/>
      <c r="BG2293" s="4"/>
      <c r="BH2293" s="4"/>
      <c r="BI2293" s="4"/>
      <c r="BJ2293" s="4"/>
      <c r="BK2293" s="4"/>
      <c r="BL2293" s="4"/>
      <c r="BM2293" s="4"/>
      <c r="BN2293" s="4"/>
      <c r="BO2293" s="4"/>
      <c r="BP2293" s="4"/>
      <c r="BQ2293" s="4"/>
      <c r="BR2293" s="4"/>
      <c r="BS2293" s="4"/>
      <c r="BT2293" s="4"/>
      <c r="BU2293" s="4"/>
      <c r="BV2293" s="4"/>
      <c r="BW2293" s="4"/>
      <c r="BX2293" s="4"/>
      <c r="BY2293" s="4"/>
      <c r="BZ2293" s="4"/>
      <c r="CA2293" s="4"/>
      <c r="CB2293" s="4"/>
      <c r="CC2293" s="4"/>
      <c r="CD2293" s="4"/>
      <c r="CE2293" s="4"/>
      <c r="CF2293" s="4"/>
      <c r="CG2293" s="4"/>
      <c r="CH2293" s="4"/>
      <c r="CI2293" s="4"/>
      <c r="CJ2293" s="4"/>
      <c r="CK2293" s="4"/>
      <c r="CL2293" s="4"/>
      <c r="CM2293" s="4"/>
      <c r="CN2293" s="4"/>
      <c r="CO2293" s="4"/>
      <c r="CP2293" s="4"/>
      <c r="CQ2293" s="4"/>
      <c r="CR2293" s="4"/>
      <c r="CS2293" s="4"/>
      <c r="CT2293" s="4"/>
      <c r="CU2293" s="4"/>
      <c r="CV2293" s="4"/>
      <c r="CW2293" s="4"/>
      <c r="CX2293" s="4"/>
      <c r="CY2293" s="4"/>
      <c r="CZ2293" s="4"/>
      <c r="DA2293" s="4"/>
      <c r="DB2293" s="4"/>
      <c r="DC2293" s="4"/>
      <c r="DD2293" s="4"/>
      <c r="DE2293" s="4"/>
      <c r="DF2293" s="4"/>
      <c r="DG2293" s="4"/>
      <c r="DH2293" s="4"/>
      <c r="DI2293" s="4"/>
      <c r="DJ2293" s="4"/>
      <c r="DK2293" s="4"/>
      <c r="DL2293" s="4"/>
      <c r="DM2293" s="4"/>
      <c r="DN2293" s="4"/>
      <c r="DO2293" s="4"/>
      <c r="DP2293" s="4"/>
      <c r="DQ2293" s="4"/>
      <c r="DR2293" s="4"/>
      <c r="DS2293" s="4"/>
    </row>
    <row r="2294">
      <c r="A2294" s="4"/>
      <c r="B2294" s="4"/>
      <c r="C2294" s="4"/>
      <c r="D2294" s="4"/>
      <c r="E2294" s="4"/>
      <c r="F2294" s="4" t="s">
        <v>17</v>
      </c>
      <c r="G2294" s="15"/>
      <c r="H2294" s="4"/>
      <c r="I2294" s="4"/>
      <c r="J2294" s="4"/>
      <c r="K2294" s="4"/>
      <c r="L2294" s="4"/>
      <c r="M2294" s="4"/>
      <c r="N2294" s="4"/>
      <c r="O2294" s="4"/>
      <c r="P2294" s="4"/>
      <c r="Q2294" s="4"/>
      <c r="R2294" s="4"/>
      <c r="S2294" s="4"/>
      <c r="T2294" s="4"/>
      <c r="U2294" s="4"/>
      <c r="V2294" s="4"/>
      <c r="W2294" s="4"/>
      <c r="X2294" s="4"/>
      <c r="Y2294" s="4"/>
      <c r="Z2294" s="4"/>
      <c r="AA2294" s="4"/>
      <c r="AB2294" s="4"/>
      <c r="AC2294" s="4"/>
      <c r="AD2294" s="4"/>
      <c r="AE2294" s="4"/>
      <c r="AF2294" s="4"/>
      <c r="AG2294" s="4"/>
      <c r="AH2294" s="4"/>
      <c r="AI2294" s="4"/>
      <c r="AJ2294" s="4"/>
      <c r="AK2294" s="4"/>
      <c r="AL2294" s="4"/>
      <c r="AM2294" s="4"/>
      <c r="AN2294" s="4"/>
      <c r="AO2294" s="4"/>
      <c r="AP2294" s="4"/>
      <c r="AQ2294" s="4"/>
      <c r="AR2294" s="4"/>
      <c r="AS2294" s="4"/>
      <c r="AT2294" s="4"/>
      <c r="AU2294" s="4"/>
      <c r="AV2294" s="4"/>
      <c r="AW2294" s="4"/>
      <c r="AX2294" s="4"/>
      <c r="AY2294" s="4"/>
      <c r="AZ2294" s="4"/>
      <c r="BA2294" s="4"/>
      <c r="BB2294" s="4"/>
      <c r="BC2294" s="4"/>
      <c r="BD2294" s="4"/>
      <c r="BE2294" s="4"/>
      <c r="BF2294" s="4"/>
      <c r="BG2294" s="4"/>
      <c r="BH2294" s="4"/>
      <c r="BI2294" s="4"/>
      <c r="BJ2294" s="4"/>
      <c r="BK2294" s="4"/>
      <c r="BL2294" s="4"/>
      <c r="BM2294" s="4"/>
      <c r="BN2294" s="4"/>
      <c r="BO2294" s="4"/>
      <c r="BP2294" s="4"/>
      <c r="BQ2294" s="4"/>
      <c r="BR2294" s="4"/>
      <c r="BS2294" s="4"/>
      <c r="BT2294" s="4"/>
      <c r="BU2294" s="4"/>
      <c r="BV2294" s="4"/>
      <c r="BW2294" s="4"/>
      <c r="BX2294" s="4"/>
      <c r="BY2294" s="4"/>
      <c r="BZ2294" s="4"/>
      <c r="CA2294" s="4"/>
      <c r="CB2294" s="4"/>
      <c r="CC2294" s="4"/>
      <c r="CD2294" s="4"/>
      <c r="CE2294" s="4"/>
      <c r="CF2294" s="4"/>
      <c r="CG2294" s="4"/>
      <c r="CH2294" s="4"/>
      <c r="CI2294" s="4"/>
      <c r="CJ2294" s="4"/>
      <c r="CK2294" s="4"/>
      <c r="CL2294" s="4"/>
      <c r="CM2294" s="4"/>
      <c r="CN2294" s="4"/>
      <c r="CO2294" s="4"/>
      <c r="CP2294" s="4"/>
      <c r="CQ2294" s="4"/>
      <c r="CR2294" s="4"/>
      <c r="CS2294" s="4"/>
      <c r="CT2294" s="4"/>
      <c r="CU2294" s="4"/>
      <c r="CV2294" s="4"/>
      <c r="CW2294" s="4"/>
      <c r="CX2294" s="4"/>
      <c r="CY2294" s="4"/>
      <c r="CZ2294" s="4"/>
      <c r="DA2294" s="4"/>
      <c r="DB2294" s="4"/>
      <c r="DC2294" s="4"/>
      <c r="DD2294" s="4"/>
      <c r="DE2294" s="4"/>
      <c r="DF2294" s="4"/>
      <c r="DG2294" s="4"/>
      <c r="DH2294" s="4"/>
      <c r="DI2294" s="4"/>
      <c r="DJ2294" s="4"/>
      <c r="DK2294" s="4"/>
      <c r="DL2294" s="4"/>
      <c r="DM2294" s="4"/>
      <c r="DN2294" s="4"/>
      <c r="DO2294" s="4"/>
      <c r="DP2294" s="4"/>
      <c r="DQ2294" s="4"/>
      <c r="DR2294" s="4"/>
      <c r="DS2294" s="4"/>
    </row>
    <row r="2295">
      <c r="A2295" s="4"/>
      <c r="B2295" s="4"/>
      <c r="C2295" s="4"/>
      <c r="D2295" s="4"/>
      <c r="E2295" s="4"/>
      <c r="F2295" s="4" t="s">
        <v>17</v>
      </c>
      <c r="G2295" s="15"/>
      <c r="H2295" s="4"/>
      <c r="I2295" s="4"/>
      <c r="J2295" s="4"/>
      <c r="K2295" s="4"/>
      <c r="L2295" s="4"/>
      <c r="M2295" s="4"/>
      <c r="N2295" s="4"/>
      <c r="O2295" s="4"/>
      <c r="P2295" s="4"/>
      <c r="Q2295" s="4"/>
      <c r="R2295" s="4"/>
      <c r="S2295" s="4"/>
      <c r="T2295" s="4"/>
      <c r="U2295" s="4"/>
      <c r="V2295" s="4"/>
      <c r="W2295" s="4"/>
      <c r="X2295" s="4"/>
      <c r="Y2295" s="4"/>
      <c r="Z2295" s="4"/>
      <c r="AA2295" s="4"/>
      <c r="AB2295" s="4"/>
      <c r="AC2295" s="4"/>
      <c r="AD2295" s="4"/>
      <c r="AE2295" s="4"/>
      <c r="AF2295" s="4"/>
      <c r="AG2295" s="4"/>
      <c r="AH2295" s="4"/>
      <c r="AI2295" s="4"/>
      <c r="AJ2295" s="4"/>
      <c r="AK2295" s="4"/>
      <c r="AL2295" s="4"/>
      <c r="AM2295" s="4"/>
      <c r="AN2295" s="4"/>
      <c r="AO2295" s="4"/>
      <c r="AP2295" s="4"/>
      <c r="AQ2295" s="4"/>
      <c r="AR2295" s="4"/>
      <c r="AS2295" s="4"/>
      <c r="AT2295" s="4"/>
      <c r="AU2295" s="4"/>
      <c r="AV2295" s="4"/>
      <c r="AW2295" s="4"/>
      <c r="AX2295" s="4"/>
      <c r="AY2295" s="4"/>
      <c r="AZ2295" s="4"/>
      <c r="BA2295" s="4"/>
      <c r="BB2295" s="4"/>
      <c r="BC2295" s="4"/>
      <c r="BD2295" s="4"/>
      <c r="BE2295" s="4"/>
      <c r="BF2295" s="4"/>
      <c r="BG2295" s="4"/>
      <c r="BH2295" s="4"/>
      <c r="BI2295" s="4"/>
      <c r="BJ2295" s="4"/>
      <c r="BK2295" s="4"/>
      <c r="BL2295" s="4"/>
      <c r="BM2295" s="4"/>
      <c r="BN2295" s="4"/>
      <c r="BO2295" s="4"/>
      <c r="BP2295" s="4"/>
      <c r="BQ2295" s="4"/>
      <c r="BR2295" s="4"/>
      <c r="BS2295" s="4"/>
      <c r="BT2295" s="4"/>
      <c r="BU2295" s="4"/>
      <c r="BV2295" s="4"/>
      <c r="BW2295" s="4"/>
      <c r="BX2295" s="4"/>
      <c r="BY2295" s="4"/>
      <c r="BZ2295" s="4"/>
      <c r="CA2295" s="4"/>
      <c r="CB2295" s="4"/>
      <c r="CC2295" s="4"/>
      <c r="CD2295" s="4"/>
      <c r="CE2295" s="4"/>
      <c r="CF2295" s="4"/>
      <c r="CG2295" s="4"/>
      <c r="CH2295" s="4"/>
      <c r="CI2295" s="4"/>
      <c r="CJ2295" s="4"/>
      <c r="CK2295" s="4"/>
      <c r="CL2295" s="4"/>
      <c r="CM2295" s="4"/>
      <c r="CN2295" s="4"/>
      <c r="CO2295" s="4"/>
      <c r="CP2295" s="4"/>
      <c r="CQ2295" s="4"/>
      <c r="CR2295" s="4"/>
      <c r="CS2295" s="4"/>
      <c r="CT2295" s="4"/>
      <c r="CU2295" s="4"/>
      <c r="CV2295" s="4"/>
      <c r="CW2295" s="4"/>
      <c r="CX2295" s="4"/>
      <c r="CY2295" s="4"/>
      <c r="CZ2295" s="4"/>
      <c r="DA2295" s="4"/>
      <c r="DB2295" s="4"/>
      <c r="DC2295" s="4"/>
      <c r="DD2295" s="4"/>
      <c r="DE2295" s="4"/>
      <c r="DF2295" s="4"/>
      <c r="DG2295" s="4"/>
      <c r="DH2295" s="4"/>
      <c r="DI2295" s="4"/>
      <c r="DJ2295" s="4"/>
      <c r="DK2295" s="4"/>
      <c r="DL2295" s="4"/>
      <c r="DM2295" s="4"/>
      <c r="DN2295" s="4"/>
      <c r="DO2295" s="4"/>
      <c r="DP2295" s="4"/>
      <c r="DQ2295" s="4"/>
      <c r="DR2295" s="4"/>
      <c r="DS2295" s="4"/>
    </row>
    <row r="2296">
      <c r="A2296" s="4"/>
      <c r="B2296" s="4"/>
      <c r="C2296" s="4"/>
      <c r="D2296" s="4"/>
      <c r="E2296" s="4"/>
      <c r="F2296" s="4" t="s">
        <v>17</v>
      </c>
      <c r="G2296" s="15"/>
      <c r="H2296" s="4"/>
      <c r="I2296" s="4"/>
      <c r="J2296" s="4"/>
      <c r="K2296" s="4"/>
      <c r="L2296" s="4"/>
      <c r="M2296" s="4"/>
      <c r="N2296" s="4"/>
      <c r="O2296" s="4"/>
      <c r="P2296" s="4"/>
      <c r="Q2296" s="4"/>
      <c r="R2296" s="4"/>
      <c r="S2296" s="4"/>
      <c r="T2296" s="4"/>
      <c r="U2296" s="4"/>
      <c r="V2296" s="4"/>
      <c r="W2296" s="4"/>
      <c r="X2296" s="4"/>
      <c r="Y2296" s="4"/>
      <c r="Z2296" s="4"/>
      <c r="AA2296" s="4"/>
      <c r="AB2296" s="4"/>
      <c r="AC2296" s="4"/>
      <c r="AD2296" s="4"/>
      <c r="AE2296" s="4"/>
      <c r="AF2296" s="4"/>
      <c r="AG2296" s="4"/>
      <c r="AH2296" s="4"/>
      <c r="AI2296" s="4"/>
      <c r="AJ2296" s="4"/>
      <c r="AK2296" s="4"/>
      <c r="AL2296" s="4"/>
      <c r="AM2296" s="4"/>
      <c r="AN2296" s="4"/>
      <c r="AO2296" s="4"/>
      <c r="AP2296" s="4"/>
      <c r="AQ2296" s="4"/>
      <c r="AR2296" s="4"/>
      <c r="AS2296" s="4"/>
      <c r="AT2296" s="4"/>
      <c r="AU2296" s="4"/>
      <c r="AV2296" s="4"/>
      <c r="AW2296" s="4"/>
      <c r="AX2296" s="4"/>
      <c r="AY2296" s="4"/>
      <c r="AZ2296" s="4"/>
      <c r="BA2296" s="4"/>
      <c r="BB2296" s="4"/>
      <c r="BC2296" s="4"/>
      <c r="BD2296" s="4"/>
      <c r="BE2296" s="4"/>
      <c r="BF2296" s="4"/>
      <c r="BG2296" s="4"/>
      <c r="BH2296" s="4"/>
      <c r="BI2296" s="4"/>
      <c r="BJ2296" s="4"/>
      <c r="BK2296" s="4"/>
      <c r="BL2296" s="4"/>
      <c r="BM2296" s="4"/>
      <c r="BN2296" s="4"/>
      <c r="BO2296" s="4"/>
      <c r="BP2296" s="4"/>
      <c r="BQ2296" s="4"/>
      <c r="BR2296" s="4"/>
      <c r="BS2296" s="4"/>
      <c r="BT2296" s="4"/>
      <c r="BU2296" s="4"/>
      <c r="BV2296" s="4"/>
      <c r="BW2296" s="4"/>
      <c r="BX2296" s="4"/>
      <c r="BY2296" s="4"/>
      <c r="BZ2296" s="4"/>
      <c r="CA2296" s="4"/>
      <c r="CB2296" s="4"/>
      <c r="CC2296" s="4"/>
      <c r="CD2296" s="4"/>
      <c r="CE2296" s="4"/>
      <c r="CF2296" s="4"/>
      <c r="CG2296" s="4"/>
      <c r="CH2296" s="4"/>
      <c r="CI2296" s="4"/>
      <c r="CJ2296" s="4"/>
      <c r="CK2296" s="4"/>
      <c r="CL2296" s="4"/>
      <c r="CM2296" s="4"/>
      <c r="CN2296" s="4"/>
      <c r="CO2296" s="4"/>
      <c r="CP2296" s="4"/>
      <c r="CQ2296" s="4"/>
      <c r="CR2296" s="4"/>
      <c r="CS2296" s="4"/>
      <c r="CT2296" s="4"/>
      <c r="CU2296" s="4"/>
      <c r="CV2296" s="4"/>
      <c r="CW2296" s="4"/>
      <c r="CX2296" s="4"/>
      <c r="CY2296" s="4"/>
      <c r="CZ2296" s="4"/>
      <c r="DA2296" s="4"/>
      <c r="DB2296" s="4"/>
      <c r="DC2296" s="4"/>
      <c r="DD2296" s="4"/>
      <c r="DE2296" s="4"/>
      <c r="DF2296" s="4"/>
      <c r="DG2296" s="4"/>
      <c r="DH2296" s="4"/>
      <c r="DI2296" s="4"/>
      <c r="DJ2296" s="4"/>
      <c r="DK2296" s="4"/>
      <c r="DL2296" s="4"/>
      <c r="DM2296" s="4"/>
      <c r="DN2296" s="4"/>
      <c r="DO2296" s="4"/>
      <c r="DP2296" s="4"/>
      <c r="DQ2296" s="4"/>
      <c r="DR2296" s="4"/>
      <c r="DS2296" s="4"/>
    </row>
    <row r="2297">
      <c r="A2297" s="4"/>
      <c r="B2297" s="4"/>
      <c r="C2297" s="4"/>
      <c r="D2297" s="4"/>
      <c r="E2297" s="4"/>
      <c r="F2297" s="4" t="s">
        <v>17</v>
      </c>
      <c r="G2297" s="15"/>
      <c r="H2297" s="4"/>
      <c r="I2297" s="4"/>
      <c r="J2297" s="4"/>
      <c r="K2297" s="4"/>
      <c r="L2297" s="4"/>
      <c r="M2297" s="4"/>
      <c r="N2297" s="4"/>
      <c r="O2297" s="4"/>
      <c r="P2297" s="4"/>
      <c r="Q2297" s="4"/>
      <c r="R2297" s="4"/>
      <c r="S2297" s="4"/>
      <c r="T2297" s="4"/>
      <c r="U2297" s="4"/>
      <c r="V2297" s="4"/>
      <c r="W2297" s="4"/>
      <c r="X2297" s="4"/>
      <c r="Y2297" s="4"/>
      <c r="Z2297" s="4"/>
      <c r="AA2297" s="4"/>
      <c r="AB2297" s="4"/>
      <c r="AC2297" s="4"/>
      <c r="AD2297" s="4"/>
      <c r="AE2297" s="4"/>
      <c r="AF2297" s="4"/>
      <c r="AG2297" s="4"/>
      <c r="AH2297" s="4"/>
      <c r="AI2297" s="4"/>
      <c r="AJ2297" s="4"/>
      <c r="AK2297" s="4"/>
      <c r="AL2297" s="4"/>
      <c r="AM2297" s="4"/>
      <c r="AN2297" s="4"/>
      <c r="AO2297" s="4"/>
      <c r="AP2297" s="4"/>
      <c r="AQ2297" s="4"/>
      <c r="AR2297" s="4"/>
      <c r="AS2297" s="4"/>
      <c r="AT2297" s="4"/>
      <c r="AU2297" s="4"/>
      <c r="AV2297" s="4"/>
      <c r="AW2297" s="4"/>
      <c r="AX2297" s="4"/>
      <c r="AY2297" s="4"/>
      <c r="AZ2297" s="4"/>
      <c r="BA2297" s="4"/>
      <c r="BB2297" s="4"/>
      <c r="BC2297" s="4"/>
      <c r="BD2297" s="4"/>
      <c r="BE2297" s="4"/>
      <c r="BF2297" s="4"/>
      <c r="BG2297" s="4"/>
      <c r="BH2297" s="4"/>
      <c r="BI2297" s="4"/>
      <c r="BJ2297" s="4"/>
      <c r="BK2297" s="4"/>
      <c r="BL2297" s="4"/>
      <c r="BM2297" s="4"/>
      <c r="BN2297" s="4"/>
      <c r="BO2297" s="4"/>
      <c r="BP2297" s="4"/>
      <c r="BQ2297" s="4"/>
      <c r="BR2297" s="4"/>
      <c r="BS2297" s="4"/>
      <c r="BT2297" s="4"/>
      <c r="BU2297" s="4"/>
      <c r="BV2297" s="4"/>
      <c r="BW2297" s="4"/>
      <c r="BX2297" s="4"/>
      <c r="BY2297" s="4"/>
      <c r="BZ2297" s="4"/>
      <c r="CA2297" s="4"/>
      <c r="CB2297" s="4"/>
      <c r="CC2297" s="4"/>
      <c r="CD2297" s="4"/>
      <c r="CE2297" s="4"/>
      <c r="CF2297" s="4"/>
      <c r="CG2297" s="4"/>
      <c r="CH2297" s="4"/>
      <c r="CI2297" s="4"/>
      <c r="CJ2297" s="4"/>
      <c r="CK2297" s="4"/>
      <c r="CL2297" s="4"/>
      <c r="CM2297" s="4"/>
      <c r="CN2297" s="4"/>
      <c r="CO2297" s="4"/>
      <c r="CP2297" s="4"/>
      <c r="CQ2297" s="4"/>
      <c r="CR2297" s="4"/>
      <c r="CS2297" s="4"/>
      <c r="CT2297" s="4"/>
      <c r="CU2297" s="4"/>
      <c r="CV2297" s="4"/>
      <c r="CW2297" s="4"/>
      <c r="CX2297" s="4"/>
      <c r="CY2297" s="4"/>
      <c r="CZ2297" s="4"/>
      <c r="DA2297" s="4"/>
      <c r="DB2297" s="4"/>
      <c r="DC2297" s="4"/>
      <c r="DD2297" s="4"/>
      <c r="DE2297" s="4"/>
      <c r="DF2297" s="4"/>
      <c r="DG2297" s="4"/>
      <c r="DH2297" s="4"/>
      <c r="DI2297" s="4"/>
      <c r="DJ2297" s="4"/>
      <c r="DK2297" s="4"/>
      <c r="DL2297" s="4"/>
      <c r="DM2297" s="4"/>
      <c r="DN2297" s="4"/>
      <c r="DO2297" s="4"/>
      <c r="DP2297" s="4"/>
      <c r="DQ2297" s="4"/>
      <c r="DR2297" s="4"/>
      <c r="DS2297" s="4"/>
    </row>
    <row r="2298">
      <c r="A2298" s="4"/>
      <c r="B2298" s="4"/>
      <c r="C2298" s="4"/>
      <c r="D2298" s="4"/>
      <c r="E2298" s="4"/>
      <c r="F2298" s="4" t="s">
        <v>17</v>
      </c>
      <c r="G2298" s="15"/>
      <c r="H2298" s="4"/>
      <c r="I2298" s="4"/>
      <c r="J2298" s="4"/>
      <c r="K2298" s="4"/>
      <c r="L2298" s="4"/>
      <c r="M2298" s="4"/>
      <c r="N2298" s="4"/>
      <c r="O2298" s="4"/>
      <c r="P2298" s="4"/>
      <c r="Q2298" s="4"/>
      <c r="R2298" s="4"/>
      <c r="S2298" s="4"/>
      <c r="T2298" s="4"/>
      <c r="U2298" s="4"/>
      <c r="V2298" s="4"/>
      <c r="W2298" s="4"/>
      <c r="X2298" s="4"/>
      <c r="Y2298" s="4"/>
      <c r="Z2298" s="4"/>
      <c r="AA2298" s="4"/>
      <c r="AB2298" s="4"/>
      <c r="AC2298" s="4"/>
      <c r="AD2298" s="4"/>
      <c r="AE2298" s="4"/>
      <c r="AF2298" s="4"/>
      <c r="AG2298" s="4"/>
      <c r="AH2298" s="4"/>
      <c r="AI2298" s="4"/>
      <c r="AJ2298" s="4"/>
      <c r="AK2298" s="4"/>
      <c r="AL2298" s="4"/>
      <c r="AM2298" s="4"/>
      <c r="AN2298" s="4"/>
      <c r="AO2298" s="4"/>
      <c r="AP2298" s="4"/>
      <c r="AQ2298" s="4"/>
      <c r="AR2298" s="4"/>
      <c r="AS2298" s="4"/>
      <c r="AT2298" s="4"/>
      <c r="AU2298" s="4"/>
      <c r="AV2298" s="4"/>
      <c r="AW2298" s="4"/>
      <c r="AX2298" s="4"/>
      <c r="AY2298" s="4"/>
      <c r="AZ2298" s="4"/>
      <c r="BA2298" s="4"/>
      <c r="BB2298" s="4"/>
      <c r="BC2298" s="4"/>
      <c r="BD2298" s="4"/>
      <c r="BE2298" s="4"/>
      <c r="BF2298" s="4"/>
      <c r="BG2298" s="4"/>
      <c r="BH2298" s="4"/>
      <c r="BI2298" s="4"/>
      <c r="BJ2298" s="4"/>
      <c r="BK2298" s="4"/>
      <c r="BL2298" s="4"/>
      <c r="BM2298" s="4"/>
      <c r="BN2298" s="4"/>
      <c r="BO2298" s="4"/>
      <c r="BP2298" s="4"/>
      <c r="BQ2298" s="4"/>
      <c r="BR2298" s="4"/>
      <c r="BS2298" s="4"/>
      <c r="BT2298" s="4"/>
      <c r="BU2298" s="4"/>
      <c r="BV2298" s="4"/>
      <c r="BW2298" s="4"/>
      <c r="BX2298" s="4"/>
      <c r="BY2298" s="4"/>
      <c r="BZ2298" s="4"/>
      <c r="CA2298" s="4"/>
      <c r="CB2298" s="4"/>
      <c r="CC2298" s="4"/>
      <c r="CD2298" s="4"/>
      <c r="CE2298" s="4"/>
      <c r="CF2298" s="4"/>
      <c r="CG2298" s="4"/>
      <c r="CH2298" s="4"/>
      <c r="CI2298" s="4"/>
      <c r="CJ2298" s="4"/>
      <c r="CK2298" s="4"/>
      <c r="CL2298" s="4"/>
      <c r="CM2298" s="4"/>
      <c r="CN2298" s="4"/>
      <c r="CO2298" s="4"/>
      <c r="CP2298" s="4"/>
      <c r="CQ2298" s="4"/>
      <c r="CR2298" s="4"/>
      <c r="CS2298" s="4"/>
      <c r="CT2298" s="4"/>
      <c r="CU2298" s="4"/>
      <c r="CV2298" s="4"/>
      <c r="CW2298" s="4"/>
      <c r="CX2298" s="4"/>
      <c r="CY2298" s="4"/>
      <c r="CZ2298" s="4"/>
      <c r="DA2298" s="4"/>
      <c r="DB2298" s="4"/>
      <c r="DC2298" s="4"/>
      <c r="DD2298" s="4"/>
      <c r="DE2298" s="4"/>
      <c r="DF2298" s="4"/>
      <c r="DG2298" s="4"/>
      <c r="DH2298" s="4"/>
      <c r="DI2298" s="4"/>
      <c r="DJ2298" s="4"/>
      <c r="DK2298" s="4"/>
      <c r="DL2298" s="4"/>
      <c r="DM2298" s="4"/>
      <c r="DN2298" s="4"/>
      <c r="DO2298" s="4"/>
      <c r="DP2298" s="4"/>
      <c r="DQ2298" s="4"/>
      <c r="DR2298" s="4"/>
      <c r="DS2298" s="4"/>
    </row>
    <row r="2299">
      <c r="A2299" s="4"/>
      <c r="B2299" s="4"/>
      <c r="C2299" s="4"/>
      <c r="D2299" s="4"/>
      <c r="E2299" s="4"/>
      <c r="F2299" s="4" t="s">
        <v>17</v>
      </c>
      <c r="G2299" s="15"/>
      <c r="H2299" s="4"/>
      <c r="I2299" s="4"/>
      <c r="J2299" s="4"/>
      <c r="K2299" s="4"/>
      <c r="L2299" s="4"/>
      <c r="M2299" s="4"/>
      <c r="N2299" s="4"/>
      <c r="O2299" s="4"/>
      <c r="P2299" s="4"/>
      <c r="Q2299" s="4"/>
      <c r="R2299" s="4"/>
      <c r="S2299" s="4"/>
      <c r="T2299" s="4"/>
      <c r="U2299" s="4"/>
      <c r="V2299" s="4"/>
      <c r="W2299" s="4"/>
      <c r="X2299" s="4"/>
      <c r="Y2299" s="4"/>
      <c r="Z2299" s="4"/>
      <c r="AA2299" s="4"/>
      <c r="AB2299" s="4"/>
      <c r="AC2299" s="4"/>
      <c r="AD2299" s="4"/>
      <c r="AE2299" s="4"/>
      <c r="AF2299" s="4"/>
      <c r="AG2299" s="4"/>
      <c r="AH2299" s="4"/>
      <c r="AI2299" s="4"/>
      <c r="AJ2299" s="4"/>
      <c r="AK2299" s="4"/>
      <c r="AL2299" s="4"/>
      <c r="AM2299" s="4"/>
      <c r="AN2299" s="4"/>
      <c r="AO2299" s="4"/>
      <c r="AP2299" s="4"/>
      <c r="AQ2299" s="4"/>
      <c r="AR2299" s="4"/>
      <c r="AS2299" s="4"/>
      <c r="AT2299" s="4"/>
      <c r="AU2299" s="4"/>
      <c r="AV2299" s="4"/>
      <c r="AW2299" s="4"/>
      <c r="AX2299" s="4"/>
      <c r="AY2299" s="4"/>
      <c r="AZ2299" s="4"/>
      <c r="BA2299" s="4"/>
      <c r="BB2299" s="4"/>
      <c r="BC2299" s="4"/>
      <c r="BD2299" s="4"/>
      <c r="BE2299" s="4"/>
      <c r="BF2299" s="4"/>
      <c r="BG2299" s="4"/>
      <c r="BH2299" s="4"/>
      <c r="BI2299" s="4"/>
      <c r="BJ2299" s="4"/>
      <c r="BK2299" s="4"/>
      <c r="BL2299" s="4"/>
      <c r="BM2299" s="4"/>
      <c r="BN2299" s="4"/>
      <c r="BO2299" s="4"/>
      <c r="BP2299" s="4"/>
      <c r="BQ2299" s="4"/>
      <c r="BR2299" s="4"/>
      <c r="BS2299" s="4"/>
      <c r="BT2299" s="4"/>
      <c r="BU2299" s="4"/>
      <c r="BV2299" s="4"/>
      <c r="BW2299" s="4"/>
      <c r="BX2299" s="4"/>
      <c r="BY2299" s="4"/>
      <c r="BZ2299" s="4"/>
      <c r="CA2299" s="4"/>
      <c r="CB2299" s="4"/>
      <c r="CC2299" s="4"/>
      <c r="CD2299" s="4"/>
      <c r="CE2299" s="4"/>
      <c r="CF2299" s="4"/>
      <c r="CG2299" s="4"/>
      <c r="CH2299" s="4"/>
      <c r="CI2299" s="4"/>
      <c r="CJ2299" s="4"/>
      <c r="CK2299" s="4"/>
      <c r="CL2299" s="4"/>
      <c r="CM2299" s="4"/>
      <c r="CN2299" s="4"/>
      <c r="CO2299" s="4"/>
      <c r="CP2299" s="4"/>
      <c r="CQ2299" s="4"/>
      <c r="CR2299" s="4"/>
      <c r="CS2299" s="4"/>
      <c r="CT2299" s="4"/>
      <c r="CU2299" s="4"/>
      <c r="CV2299" s="4"/>
      <c r="CW2299" s="4"/>
      <c r="CX2299" s="4"/>
      <c r="CY2299" s="4"/>
      <c r="CZ2299" s="4"/>
      <c r="DA2299" s="4"/>
      <c r="DB2299" s="4"/>
      <c r="DC2299" s="4"/>
      <c r="DD2299" s="4"/>
      <c r="DE2299" s="4"/>
      <c r="DF2299" s="4"/>
      <c r="DG2299" s="4"/>
      <c r="DH2299" s="4"/>
      <c r="DI2299" s="4"/>
      <c r="DJ2299" s="4"/>
      <c r="DK2299" s="4"/>
      <c r="DL2299" s="4"/>
      <c r="DM2299" s="4"/>
      <c r="DN2299" s="4"/>
      <c r="DO2299" s="4"/>
      <c r="DP2299" s="4"/>
      <c r="DQ2299" s="4"/>
      <c r="DR2299" s="4"/>
      <c r="DS2299" s="4"/>
    </row>
    <row r="2300">
      <c r="A2300" s="4"/>
      <c r="B2300" s="4"/>
      <c r="C2300" s="4"/>
      <c r="D2300" s="4"/>
      <c r="E2300" s="4"/>
      <c r="F2300" s="4" t="s">
        <v>17</v>
      </c>
      <c r="G2300" s="15"/>
      <c r="H2300" s="4"/>
      <c r="I2300" s="4"/>
      <c r="J2300" s="4"/>
      <c r="K2300" s="4"/>
      <c r="L2300" s="4"/>
      <c r="M2300" s="4"/>
      <c r="N2300" s="4"/>
      <c r="O2300" s="4"/>
      <c r="P2300" s="4"/>
      <c r="Q2300" s="4"/>
      <c r="R2300" s="4"/>
      <c r="S2300" s="4"/>
      <c r="T2300" s="4"/>
      <c r="U2300" s="4"/>
      <c r="V2300" s="4"/>
      <c r="W2300" s="4"/>
      <c r="X2300" s="4"/>
      <c r="Y2300" s="4"/>
      <c r="Z2300" s="4"/>
      <c r="AA2300" s="4"/>
      <c r="AB2300" s="4"/>
      <c r="AC2300" s="4"/>
      <c r="AD2300" s="4"/>
      <c r="AE2300" s="4"/>
      <c r="AF2300" s="4"/>
      <c r="AG2300" s="4"/>
      <c r="AH2300" s="4"/>
      <c r="AI2300" s="4"/>
      <c r="AJ2300" s="4"/>
      <c r="AK2300" s="4"/>
      <c r="AL2300" s="4"/>
      <c r="AM2300" s="4"/>
      <c r="AN2300" s="4"/>
      <c r="AO2300" s="4"/>
      <c r="AP2300" s="4"/>
      <c r="AQ2300" s="4"/>
      <c r="AR2300" s="4"/>
      <c r="AS2300" s="4"/>
      <c r="AT2300" s="4"/>
      <c r="AU2300" s="4"/>
      <c r="AV2300" s="4"/>
      <c r="AW2300" s="4"/>
      <c r="AX2300" s="4"/>
      <c r="AY2300" s="4"/>
      <c r="AZ2300" s="4"/>
      <c r="BA2300" s="4"/>
      <c r="BB2300" s="4"/>
      <c r="BC2300" s="4"/>
      <c r="BD2300" s="4"/>
      <c r="BE2300" s="4"/>
      <c r="BF2300" s="4"/>
      <c r="BG2300" s="4"/>
      <c r="BH2300" s="4"/>
      <c r="BI2300" s="4"/>
      <c r="BJ2300" s="4"/>
      <c r="BK2300" s="4"/>
      <c r="BL2300" s="4"/>
      <c r="BM2300" s="4"/>
      <c r="BN2300" s="4"/>
      <c r="BO2300" s="4"/>
      <c r="BP2300" s="4"/>
      <c r="BQ2300" s="4"/>
      <c r="BR2300" s="4"/>
      <c r="BS2300" s="4"/>
      <c r="BT2300" s="4"/>
      <c r="BU2300" s="4"/>
      <c r="BV2300" s="4"/>
      <c r="BW2300" s="4"/>
      <c r="BX2300" s="4"/>
      <c r="BY2300" s="4"/>
      <c r="BZ2300" s="4"/>
      <c r="CA2300" s="4"/>
      <c r="CB2300" s="4"/>
      <c r="CC2300" s="4"/>
      <c r="CD2300" s="4"/>
      <c r="CE2300" s="4"/>
      <c r="CF2300" s="4"/>
      <c r="CG2300" s="4"/>
      <c r="CH2300" s="4"/>
      <c r="CI2300" s="4"/>
      <c r="CJ2300" s="4"/>
      <c r="CK2300" s="4"/>
      <c r="CL2300" s="4"/>
      <c r="CM2300" s="4"/>
      <c r="CN2300" s="4"/>
      <c r="CO2300" s="4"/>
      <c r="CP2300" s="4"/>
      <c r="CQ2300" s="4"/>
      <c r="CR2300" s="4"/>
      <c r="CS2300" s="4"/>
      <c r="CT2300" s="4"/>
      <c r="CU2300" s="4"/>
      <c r="CV2300" s="4"/>
      <c r="CW2300" s="4"/>
      <c r="CX2300" s="4"/>
      <c r="CY2300" s="4"/>
      <c r="CZ2300" s="4"/>
      <c r="DA2300" s="4"/>
      <c r="DB2300" s="4"/>
      <c r="DC2300" s="4"/>
      <c r="DD2300" s="4"/>
      <c r="DE2300" s="4"/>
      <c r="DF2300" s="4"/>
      <c r="DG2300" s="4"/>
      <c r="DH2300" s="4"/>
      <c r="DI2300" s="4"/>
      <c r="DJ2300" s="4"/>
      <c r="DK2300" s="4"/>
      <c r="DL2300" s="4"/>
      <c r="DM2300" s="4"/>
      <c r="DN2300" s="4"/>
      <c r="DO2300" s="4"/>
      <c r="DP2300" s="4"/>
      <c r="DQ2300" s="4"/>
      <c r="DR2300" s="4"/>
      <c r="DS2300" s="4"/>
    </row>
    <row r="2301">
      <c r="A2301" s="4"/>
      <c r="B2301" s="4"/>
      <c r="C2301" s="4"/>
      <c r="D2301" s="4"/>
      <c r="E2301" s="4"/>
      <c r="F2301" s="4" t="s">
        <v>17</v>
      </c>
      <c r="G2301" s="15"/>
      <c r="H2301" s="4"/>
      <c r="I2301" s="4"/>
      <c r="J2301" s="4"/>
      <c r="K2301" s="4"/>
      <c r="L2301" s="4"/>
      <c r="M2301" s="4"/>
      <c r="N2301" s="4"/>
      <c r="O2301" s="4"/>
      <c r="P2301" s="4"/>
      <c r="Q2301" s="4"/>
      <c r="R2301" s="4"/>
      <c r="S2301" s="4"/>
      <c r="T2301" s="4"/>
      <c r="U2301" s="4"/>
      <c r="V2301" s="4"/>
      <c r="W2301" s="4"/>
      <c r="X2301" s="4"/>
      <c r="Y2301" s="4"/>
      <c r="Z2301" s="4"/>
      <c r="AA2301" s="4"/>
      <c r="AB2301" s="4"/>
      <c r="AC2301" s="4"/>
      <c r="AD2301" s="4"/>
      <c r="AE2301" s="4"/>
      <c r="AF2301" s="4"/>
      <c r="AG2301" s="4"/>
      <c r="AH2301" s="4"/>
      <c r="AI2301" s="4"/>
      <c r="AJ2301" s="4"/>
      <c r="AK2301" s="4"/>
      <c r="AL2301" s="4"/>
      <c r="AM2301" s="4"/>
      <c r="AN2301" s="4"/>
      <c r="AO2301" s="4"/>
      <c r="AP2301" s="4"/>
      <c r="AQ2301" s="4"/>
      <c r="AR2301" s="4"/>
      <c r="AS2301" s="4"/>
      <c r="AT2301" s="4"/>
      <c r="AU2301" s="4"/>
      <c r="AV2301" s="4"/>
      <c r="AW2301" s="4"/>
      <c r="AX2301" s="4"/>
      <c r="AY2301" s="4"/>
      <c r="AZ2301" s="4"/>
      <c r="BA2301" s="4"/>
      <c r="BB2301" s="4"/>
      <c r="BC2301" s="4"/>
      <c r="BD2301" s="4"/>
      <c r="BE2301" s="4"/>
      <c r="BF2301" s="4"/>
      <c r="BG2301" s="4"/>
      <c r="BH2301" s="4"/>
      <c r="BI2301" s="4"/>
      <c r="BJ2301" s="4"/>
      <c r="BK2301" s="4"/>
      <c r="BL2301" s="4"/>
      <c r="BM2301" s="4"/>
      <c r="BN2301" s="4"/>
      <c r="BO2301" s="4"/>
      <c r="BP2301" s="4"/>
      <c r="BQ2301" s="4"/>
      <c r="BR2301" s="4"/>
      <c r="BS2301" s="4"/>
      <c r="BT2301" s="4"/>
      <c r="BU2301" s="4"/>
      <c r="BV2301" s="4"/>
      <c r="BW2301" s="4"/>
      <c r="BX2301" s="4"/>
      <c r="BY2301" s="4"/>
      <c r="BZ2301" s="4"/>
      <c r="CA2301" s="4"/>
      <c r="CB2301" s="4"/>
      <c r="CC2301" s="4"/>
      <c r="CD2301" s="4"/>
      <c r="CE2301" s="4"/>
      <c r="CF2301" s="4"/>
      <c r="CG2301" s="4"/>
      <c r="CH2301" s="4"/>
      <c r="CI2301" s="4"/>
      <c r="CJ2301" s="4"/>
      <c r="CK2301" s="4"/>
      <c r="CL2301" s="4"/>
      <c r="CM2301" s="4"/>
      <c r="CN2301" s="4"/>
      <c r="CO2301" s="4"/>
      <c r="CP2301" s="4"/>
      <c r="CQ2301" s="4"/>
      <c r="CR2301" s="4"/>
      <c r="CS2301" s="4"/>
      <c r="CT2301" s="4"/>
      <c r="CU2301" s="4"/>
      <c r="CV2301" s="4"/>
      <c r="CW2301" s="4"/>
      <c r="CX2301" s="4"/>
      <c r="CY2301" s="4"/>
      <c r="CZ2301" s="4"/>
      <c r="DA2301" s="4"/>
      <c r="DB2301" s="4"/>
      <c r="DC2301" s="4"/>
      <c r="DD2301" s="4"/>
      <c r="DE2301" s="4"/>
      <c r="DF2301" s="4"/>
      <c r="DG2301" s="4"/>
      <c r="DH2301" s="4"/>
      <c r="DI2301" s="4"/>
      <c r="DJ2301" s="4"/>
      <c r="DK2301" s="4"/>
      <c r="DL2301" s="4"/>
      <c r="DM2301" s="4"/>
      <c r="DN2301" s="4"/>
      <c r="DO2301" s="4"/>
      <c r="DP2301" s="4"/>
      <c r="DQ2301" s="4"/>
      <c r="DR2301" s="4"/>
      <c r="DS2301" s="4"/>
    </row>
    <row r="2302">
      <c r="A2302" s="4"/>
      <c r="B2302" s="4"/>
      <c r="C2302" s="4"/>
      <c r="D2302" s="4"/>
      <c r="E2302" s="4"/>
      <c r="F2302" s="4" t="s">
        <v>17</v>
      </c>
      <c r="G2302" s="15"/>
      <c r="H2302" s="4"/>
      <c r="I2302" s="4"/>
      <c r="J2302" s="4"/>
      <c r="K2302" s="4"/>
      <c r="L2302" s="4"/>
      <c r="M2302" s="4"/>
      <c r="N2302" s="4"/>
      <c r="O2302" s="4"/>
      <c r="P2302" s="4"/>
      <c r="Q2302" s="4"/>
      <c r="R2302" s="4"/>
      <c r="S2302" s="4"/>
      <c r="T2302" s="4"/>
      <c r="U2302" s="4"/>
      <c r="V2302" s="4"/>
      <c r="W2302" s="4"/>
      <c r="X2302" s="4"/>
      <c r="Y2302" s="4"/>
      <c r="Z2302" s="4"/>
      <c r="AA2302" s="4"/>
      <c r="AB2302" s="4"/>
      <c r="AC2302" s="4"/>
      <c r="AD2302" s="4"/>
      <c r="AE2302" s="4"/>
      <c r="AF2302" s="4"/>
      <c r="AG2302" s="4"/>
      <c r="AH2302" s="4"/>
      <c r="AI2302" s="4"/>
      <c r="AJ2302" s="4"/>
      <c r="AK2302" s="4"/>
      <c r="AL2302" s="4"/>
      <c r="AM2302" s="4"/>
      <c r="AN2302" s="4"/>
      <c r="AO2302" s="4"/>
      <c r="AP2302" s="4"/>
      <c r="AQ2302" s="4"/>
      <c r="AR2302" s="4"/>
      <c r="AS2302" s="4"/>
      <c r="AT2302" s="4"/>
      <c r="AU2302" s="4"/>
      <c r="AV2302" s="4"/>
      <c r="AW2302" s="4"/>
      <c r="AX2302" s="4"/>
      <c r="AY2302" s="4"/>
      <c r="AZ2302" s="4"/>
      <c r="BA2302" s="4"/>
      <c r="BB2302" s="4"/>
      <c r="BC2302" s="4"/>
      <c r="BD2302" s="4"/>
      <c r="BE2302" s="4"/>
      <c r="BF2302" s="4"/>
      <c r="BG2302" s="4"/>
      <c r="BH2302" s="4"/>
      <c r="BI2302" s="4"/>
      <c r="BJ2302" s="4"/>
      <c r="BK2302" s="4"/>
      <c r="BL2302" s="4"/>
      <c r="BM2302" s="4"/>
      <c r="BN2302" s="4"/>
      <c r="BO2302" s="4"/>
      <c r="BP2302" s="4"/>
      <c r="BQ2302" s="4"/>
      <c r="BR2302" s="4"/>
      <c r="BS2302" s="4"/>
      <c r="BT2302" s="4"/>
      <c r="BU2302" s="4"/>
      <c r="BV2302" s="4"/>
      <c r="BW2302" s="4"/>
      <c r="BX2302" s="4"/>
      <c r="BY2302" s="4"/>
      <c r="BZ2302" s="4"/>
      <c r="CA2302" s="4"/>
      <c r="CB2302" s="4"/>
      <c r="CC2302" s="4"/>
      <c r="CD2302" s="4"/>
      <c r="CE2302" s="4"/>
      <c r="CF2302" s="4"/>
      <c r="CG2302" s="4"/>
      <c r="CH2302" s="4"/>
      <c r="CI2302" s="4"/>
      <c r="CJ2302" s="4"/>
      <c r="CK2302" s="4"/>
      <c r="CL2302" s="4"/>
      <c r="CM2302" s="4"/>
      <c r="CN2302" s="4"/>
      <c r="CO2302" s="4"/>
      <c r="CP2302" s="4"/>
      <c r="CQ2302" s="4"/>
      <c r="CR2302" s="4"/>
      <c r="CS2302" s="4"/>
      <c r="CT2302" s="4"/>
      <c r="CU2302" s="4"/>
      <c r="CV2302" s="4"/>
      <c r="CW2302" s="4"/>
      <c r="CX2302" s="4"/>
      <c r="CY2302" s="4"/>
      <c r="CZ2302" s="4"/>
      <c r="DA2302" s="4"/>
      <c r="DB2302" s="4"/>
      <c r="DC2302" s="4"/>
      <c r="DD2302" s="4"/>
      <c r="DE2302" s="4"/>
      <c r="DF2302" s="4"/>
      <c r="DG2302" s="4"/>
      <c r="DH2302" s="4"/>
      <c r="DI2302" s="4"/>
      <c r="DJ2302" s="4"/>
      <c r="DK2302" s="4"/>
      <c r="DL2302" s="4"/>
      <c r="DM2302" s="4"/>
      <c r="DN2302" s="4"/>
      <c r="DO2302" s="4"/>
      <c r="DP2302" s="4"/>
      <c r="DQ2302" s="4"/>
      <c r="DR2302" s="4"/>
      <c r="DS2302" s="4"/>
    </row>
    <row r="2303">
      <c r="A2303" s="4"/>
      <c r="B2303" s="4"/>
      <c r="C2303" s="4"/>
      <c r="D2303" s="4"/>
      <c r="E2303" s="4"/>
      <c r="F2303" s="4" t="s">
        <v>17</v>
      </c>
      <c r="G2303" s="15"/>
      <c r="H2303" s="4"/>
      <c r="I2303" s="4"/>
      <c r="J2303" s="4"/>
      <c r="K2303" s="4"/>
      <c r="L2303" s="4"/>
      <c r="M2303" s="4"/>
      <c r="N2303" s="4"/>
      <c r="O2303" s="4"/>
      <c r="P2303" s="4"/>
      <c r="Q2303" s="4"/>
      <c r="R2303" s="4"/>
      <c r="S2303" s="4"/>
      <c r="T2303" s="4"/>
      <c r="U2303" s="4"/>
      <c r="V2303" s="4"/>
      <c r="W2303" s="4"/>
      <c r="X2303" s="4"/>
      <c r="Y2303" s="4"/>
      <c r="Z2303" s="4"/>
      <c r="AA2303" s="4"/>
      <c r="AB2303" s="4"/>
      <c r="AC2303" s="4"/>
      <c r="AD2303" s="4"/>
      <c r="AE2303" s="4"/>
      <c r="AF2303" s="4"/>
      <c r="AG2303" s="4"/>
      <c r="AH2303" s="4"/>
      <c r="AI2303" s="4"/>
      <c r="AJ2303" s="4"/>
      <c r="AK2303" s="4"/>
      <c r="AL2303" s="4"/>
      <c r="AM2303" s="4"/>
      <c r="AN2303" s="4"/>
      <c r="AO2303" s="4"/>
      <c r="AP2303" s="4"/>
      <c r="AQ2303" s="4"/>
      <c r="AR2303" s="4"/>
      <c r="AS2303" s="4"/>
      <c r="AT2303" s="4"/>
      <c r="AU2303" s="4"/>
      <c r="AV2303" s="4"/>
      <c r="AW2303" s="4"/>
      <c r="AX2303" s="4"/>
      <c r="AY2303" s="4"/>
      <c r="AZ2303" s="4"/>
      <c r="BA2303" s="4"/>
      <c r="BB2303" s="4"/>
      <c r="BC2303" s="4"/>
      <c r="BD2303" s="4"/>
      <c r="BE2303" s="4"/>
      <c r="BF2303" s="4"/>
      <c r="BG2303" s="4"/>
      <c r="BH2303" s="4"/>
      <c r="BI2303" s="4"/>
      <c r="BJ2303" s="4"/>
      <c r="BK2303" s="4"/>
      <c r="BL2303" s="4"/>
      <c r="BM2303" s="4"/>
      <c r="BN2303" s="4"/>
      <c r="BO2303" s="4"/>
      <c r="BP2303" s="4"/>
      <c r="BQ2303" s="4"/>
      <c r="BR2303" s="4"/>
      <c r="BS2303" s="4"/>
      <c r="BT2303" s="4"/>
      <c r="BU2303" s="4"/>
      <c r="BV2303" s="4"/>
      <c r="BW2303" s="4"/>
      <c r="BX2303" s="4"/>
      <c r="BY2303" s="4"/>
      <c r="BZ2303" s="4"/>
      <c r="CA2303" s="4"/>
      <c r="CB2303" s="4"/>
      <c r="CC2303" s="4"/>
      <c r="CD2303" s="4"/>
      <c r="CE2303" s="4"/>
      <c r="CF2303" s="4"/>
      <c r="CG2303" s="4"/>
      <c r="CH2303" s="4"/>
      <c r="CI2303" s="4"/>
      <c r="CJ2303" s="4"/>
      <c r="CK2303" s="4"/>
      <c r="CL2303" s="4"/>
      <c r="CM2303" s="4"/>
      <c r="CN2303" s="4"/>
      <c r="CO2303" s="4"/>
      <c r="CP2303" s="4"/>
      <c r="CQ2303" s="4"/>
      <c r="CR2303" s="4"/>
      <c r="CS2303" s="4"/>
      <c r="CT2303" s="4"/>
      <c r="CU2303" s="4"/>
      <c r="CV2303" s="4"/>
      <c r="CW2303" s="4"/>
      <c r="CX2303" s="4"/>
      <c r="CY2303" s="4"/>
      <c r="CZ2303" s="4"/>
      <c r="DA2303" s="4"/>
      <c r="DB2303" s="4"/>
      <c r="DC2303" s="4"/>
      <c r="DD2303" s="4"/>
      <c r="DE2303" s="4"/>
      <c r="DF2303" s="4"/>
      <c r="DG2303" s="4"/>
      <c r="DH2303" s="4"/>
      <c r="DI2303" s="4"/>
      <c r="DJ2303" s="4"/>
      <c r="DK2303" s="4"/>
      <c r="DL2303" s="4"/>
      <c r="DM2303" s="4"/>
      <c r="DN2303" s="4"/>
      <c r="DO2303" s="4"/>
      <c r="DP2303" s="4"/>
      <c r="DQ2303" s="4"/>
      <c r="DR2303" s="4"/>
      <c r="DS2303" s="4"/>
    </row>
    <row r="2304">
      <c r="A2304" s="4"/>
      <c r="B2304" s="4"/>
      <c r="C2304" s="4"/>
      <c r="D2304" s="4"/>
      <c r="E2304" s="4"/>
      <c r="F2304" s="4" t="s">
        <v>17</v>
      </c>
      <c r="G2304" s="15"/>
      <c r="H2304" s="4"/>
      <c r="I2304" s="4"/>
      <c r="J2304" s="4"/>
      <c r="K2304" s="4"/>
      <c r="L2304" s="4"/>
      <c r="M2304" s="4"/>
      <c r="N2304" s="4"/>
      <c r="O2304" s="4"/>
      <c r="P2304" s="4"/>
      <c r="Q2304" s="4"/>
      <c r="R2304" s="4"/>
      <c r="S2304" s="4"/>
      <c r="T2304" s="4"/>
      <c r="U2304" s="4"/>
      <c r="V2304" s="4"/>
      <c r="W2304" s="4"/>
      <c r="X2304" s="4"/>
      <c r="Y2304" s="4"/>
      <c r="Z2304" s="4"/>
      <c r="AA2304" s="4"/>
      <c r="AB2304" s="4"/>
      <c r="AC2304" s="4"/>
      <c r="AD2304" s="4"/>
      <c r="AE2304" s="4"/>
      <c r="AF2304" s="4"/>
      <c r="AG2304" s="4"/>
      <c r="AH2304" s="4"/>
      <c r="AI2304" s="4"/>
      <c r="AJ2304" s="4"/>
      <c r="AK2304" s="4"/>
      <c r="AL2304" s="4"/>
      <c r="AM2304" s="4"/>
      <c r="AN2304" s="4"/>
      <c r="AO2304" s="4"/>
      <c r="AP2304" s="4"/>
      <c r="AQ2304" s="4"/>
      <c r="AR2304" s="4"/>
      <c r="AS2304" s="4"/>
      <c r="AT2304" s="4"/>
      <c r="AU2304" s="4"/>
      <c r="AV2304" s="4"/>
      <c r="AW2304" s="4"/>
      <c r="AX2304" s="4"/>
      <c r="AY2304" s="4"/>
      <c r="AZ2304" s="4"/>
      <c r="BA2304" s="4"/>
      <c r="BB2304" s="4"/>
      <c r="BC2304" s="4"/>
      <c r="BD2304" s="4"/>
      <c r="BE2304" s="4"/>
      <c r="BF2304" s="4"/>
      <c r="BG2304" s="4"/>
      <c r="BH2304" s="4"/>
      <c r="BI2304" s="4"/>
      <c r="BJ2304" s="4"/>
      <c r="BK2304" s="4"/>
      <c r="BL2304" s="4"/>
      <c r="BM2304" s="4"/>
      <c r="BN2304" s="4"/>
      <c r="BO2304" s="4"/>
      <c r="BP2304" s="4"/>
      <c r="BQ2304" s="4"/>
      <c r="BR2304" s="4"/>
      <c r="BS2304" s="4"/>
      <c r="BT2304" s="4"/>
      <c r="BU2304" s="4"/>
      <c r="BV2304" s="4"/>
      <c r="BW2304" s="4"/>
      <c r="BX2304" s="4"/>
      <c r="BY2304" s="4"/>
      <c r="BZ2304" s="4"/>
      <c r="CA2304" s="4"/>
      <c r="CB2304" s="4"/>
      <c r="CC2304" s="4"/>
      <c r="CD2304" s="4"/>
      <c r="CE2304" s="4"/>
      <c r="CF2304" s="4"/>
      <c r="CG2304" s="4"/>
      <c r="CH2304" s="4"/>
      <c r="CI2304" s="4"/>
      <c r="CJ2304" s="4"/>
      <c r="CK2304" s="4"/>
      <c r="CL2304" s="4"/>
      <c r="CM2304" s="4"/>
      <c r="CN2304" s="4"/>
      <c r="CO2304" s="4"/>
      <c r="CP2304" s="4"/>
      <c r="CQ2304" s="4"/>
      <c r="CR2304" s="4"/>
      <c r="CS2304" s="4"/>
      <c r="CT2304" s="4"/>
      <c r="CU2304" s="4"/>
      <c r="CV2304" s="4"/>
      <c r="CW2304" s="4"/>
      <c r="CX2304" s="4"/>
      <c r="CY2304" s="4"/>
      <c r="CZ2304" s="4"/>
      <c r="DA2304" s="4"/>
      <c r="DB2304" s="4"/>
      <c r="DC2304" s="4"/>
      <c r="DD2304" s="4"/>
      <c r="DE2304" s="4"/>
      <c r="DF2304" s="4"/>
      <c r="DG2304" s="4"/>
      <c r="DH2304" s="4"/>
      <c r="DI2304" s="4"/>
      <c r="DJ2304" s="4"/>
      <c r="DK2304" s="4"/>
      <c r="DL2304" s="4"/>
      <c r="DM2304" s="4"/>
      <c r="DN2304" s="4"/>
      <c r="DO2304" s="4"/>
      <c r="DP2304" s="4"/>
      <c r="DQ2304" s="4"/>
      <c r="DR2304" s="4"/>
      <c r="DS2304" s="4"/>
    </row>
    <row r="2305">
      <c r="A2305" s="4"/>
      <c r="B2305" s="4"/>
      <c r="C2305" s="4"/>
      <c r="D2305" s="4"/>
      <c r="E2305" s="4"/>
      <c r="F2305" s="4" t="s">
        <v>17</v>
      </c>
      <c r="G2305" s="15"/>
      <c r="H2305" s="4"/>
      <c r="I2305" s="4"/>
      <c r="J2305" s="4"/>
      <c r="K2305" s="4"/>
      <c r="L2305" s="4"/>
      <c r="M2305" s="4"/>
      <c r="N2305" s="4"/>
      <c r="O2305" s="4"/>
      <c r="P2305" s="4"/>
      <c r="Q2305" s="4"/>
      <c r="R2305" s="4"/>
      <c r="S2305" s="4"/>
      <c r="T2305" s="4"/>
      <c r="U2305" s="4"/>
      <c r="V2305" s="4"/>
      <c r="W2305" s="4"/>
      <c r="X2305" s="4"/>
      <c r="Y2305" s="4"/>
      <c r="Z2305" s="4"/>
      <c r="AA2305" s="4"/>
      <c r="AB2305" s="4"/>
      <c r="AC2305" s="4"/>
      <c r="AD2305" s="4"/>
      <c r="AE2305" s="4"/>
      <c r="AF2305" s="4"/>
      <c r="AG2305" s="4"/>
      <c r="AH2305" s="4"/>
      <c r="AI2305" s="4"/>
      <c r="AJ2305" s="4"/>
      <c r="AK2305" s="4"/>
      <c r="AL2305" s="4"/>
      <c r="AM2305" s="4"/>
      <c r="AN2305" s="4"/>
      <c r="AO2305" s="4"/>
      <c r="AP2305" s="4"/>
      <c r="AQ2305" s="4"/>
      <c r="AR2305" s="4"/>
      <c r="AS2305" s="4"/>
      <c r="AT2305" s="4"/>
      <c r="AU2305" s="4"/>
      <c r="AV2305" s="4"/>
      <c r="AW2305" s="4"/>
      <c r="AX2305" s="4"/>
      <c r="AY2305" s="4"/>
      <c r="AZ2305" s="4"/>
      <c r="BA2305" s="4"/>
      <c r="BB2305" s="4"/>
      <c r="BC2305" s="4"/>
      <c r="BD2305" s="4"/>
      <c r="BE2305" s="4"/>
      <c r="BF2305" s="4"/>
      <c r="BG2305" s="4"/>
      <c r="BH2305" s="4"/>
      <c r="BI2305" s="4"/>
      <c r="BJ2305" s="4"/>
      <c r="BK2305" s="4"/>
      <c r="BL2305" s="4"/>
      <c r="BM2305" s="4"/>
      <c r="BN2305" s="4"/>
      <c r="BO2305" s="4"/>
      <c r="BP2305" s="4"/>
      <c r="BQ2305" s="4"/>
      <c r="BR2305" s="4"/>
      <c r="BS2305" s="4"/>
      <c r="BT2305" s="4"/>
      <c r="BU2305" s="4"/>
      <c r="BV2305" s="4"/>
      <c r="BW2305" s="4"/>
      <c r="BX2305" s="4"/>
      <c r="BY2305" s="4"/>
      <c r="BZ2305" s="4"/>
      <c r="CA2305" s="4"/>
      <c r="CB2305" s="4"/>
      <c r="CC2305" s="4"/>
      <c r="CD2305" s="4"/>
      <c r="CE2305" s="4"/>
      <c r="CF2305" s="4"/>
      <c r="CG2305" s="4"/>
      <c r="CH2305" s="4"/>
      <c r="CI2305" s="4"/>
      <c r="CJ2305" s="4"/>
      <c r="CK2305" s="4"/>
      <c r="CL2305" s="4"/>
      <c r="CM2305" s="4"/>
      <c r="CN2305" s="4"/>
      <c r="CO2305" s="4"/>
      <c r="CP2305" s="4"/>
      <c r="CQ2305" s="4"/>
      <c r="CR2305" s="4"/>
      <c r="CS2305" s="4"/>
      <c r="CT2305" s="4"/>
      <c r="CU2305" s="4"/>
      <c r="CV2305" s="4"/>
      <c r="CW2305" s="4"/>
      <c r="CX2305" s="4"/>
      <c r="CY2305" s="4"/>
      <c r="CZ2305" s="4"/>
      <c r="DA2305" s="4"/>
      <c r="DB2305" s="4"/>
      <c r="DC2305" s="4"/>
      <c r="DD2305" s="4"/>
      <c r="DE2305" s="4"/>
      <c r="DF2305" s="4"/>
      <c r="DG2305" s="4"/>
      <c r="DH2305" s="4"/>
      <c r="DI2305" s="4"/>
      <c r="DJ2305" s="4"/>
      <c r="DK2305" s="4"/>
      <c r="DL2305" s="4"/>
      <c r="DM2305" s="4"/>
      <c r="DN2305" s="4"/>
      <c r="DO2305" s="4"/>
      <c r="DP2305" s="4"/>
      <c r="DQ2305" s="4"/>
      <c r="DR2305" s="4"/>
      <c r="DS2305" s="4"/>
    </row>
    <row r="2306">
      <c r="A2306" s="4"/>
      <c r="B2306" s="4"/>
      <c r="C2306" s="4"/>
      <c r="D2306" s="4"/>
      <c r="E2306" s="4"/>
      <c r="F2306" s="4" t="s">
        <v>17</v>
      </c>
      <c r="G2306" s="15"/>
      <c r="H2306" s="4"/>
      <c r="I2306" s="4"/>
      <c r="J2306" s="4"/>
      <c r="K2306" s="4"/>
      <c r="L2306" s="4"/>
      <c r="M2306" s="4"/>
      <c r="N2306" s="4"/>
      <c r="O2306" s="4"/>
      <c r="P2306" s="4"/>
      <c r="Q2306" s="4"/>
      <c r="R2306" s="4"/>
      <c r="S2306" s="4"/>
      <c r="T2306" s="4"/>
      <c r="U2306" s="4"/>
      <c r="V2306" s="4"/>
      <c r="W2306" s="4"/>
      <c r="X2306" s="4"/>
      <c r="Y2306" s="4"/>
      <c r="Z2306" s="4"/>
      <c r="AA2306" s="4"/>
      <c r="AB2306" s="4"/>
      <c r="AC2306" s="4"/>
      <c r="AD2306" s="4"/>
      <c r="AE2306" s="4"/>
      <c r="AF2306" s="4"/>
      <c r="AG2306" s="4"/>
      <c r="AH2306" s="4"/>
      <c r="AI2306" s="4"/>
      <c r="AJ2306" s="4"/>
      <c r="AK2306" s="4"/>
      <c r="AL2306" s="4"/>
      <c r="AM2306" s="4"/>
      <c r="AN2306" s="4"/>
      <c r="AO2306" s="4"/>
      <c r="AP2306" s="4"/>
      <c r="AQ2306" s="4"/>
      <c r="AR2306" s="4"/>
      <c r="AS2306" s="4"/>
      <c r="AT2306" s="4"/>
      <c r="AU2306" s="4"/>
      <c r="AV2306" s="4"/>
      <c r="AW2306" s="4"/>
      <c r="AX2306" s="4"/>
      <c r="AY2306" s="4"/>
      <c r="AZ2306" s="4"/>
      <c r="BA2306" s="4"/>
      <c r="BB2306" s="4"/>
      <c r="BC2306" s="4"/>
      <c r="BD2306" s="4"/>
      <c r="BE2306" s="4"/>
      <c r="BF2306" s="4"/>
      <c r="BG2306" s="4"/>
      <c r="BH2306" s="4"/>
      <c r="BI2306" s="4"/>
      <c r="BJ2306" s="4"/>
      <c r="BK2306" s="4"/>
      <c r="BL2306" s="4"/>
      <c r="BM2306" s="4"/>
      <c r="BN2306" s="4"/>
      <c r="BO2306" s="4"/>
      <c r="BP2306" s="4"/>
      <c r="BQ2306" s="4"/>
      <c r="BR2306" s="4"/>
      <c r="BS2306" s="4"/>
      <c r="BT2306" s="4"/>
      <c r="BU2306" s="4"/>
      <c r="BV2306" s="4"/>
      <c r="BW2306" s="4"/>
      <c r="BX2306" s="4"/>
      <c r="BY2306" s="4"/>
      <c r="BZ2306" s="4"/>
      <c r="CA2306" s="4"/>
      <c r="CB2306" s="4"/>
      <c r="CC2306" s="4"/>
      <c r="CD2306" s="4"/>
      <c r="CE2306" s="4"/>
      <c r="CF2306" s="4"/>
      <c r="CG2306" s="4"/>
      <c r="CH2306" s="4"/>
      <c r="CI2306" s="4"/>
      <c r="CJ2306" s="4"/>
      <c r="CK2306" s="4"/>
      <c r="CL2306" s="4"/>
      <c r="CM2306" s="4"/>
      <c r="CN2306" s="4"/>
      <c r="CO2306" s="4"/>
      <c r="CP2306" s="4"/>
      <c r="CQ2306" s="4"/>
      <c r="CR2306" s="4"/>
      <c r="CS2306" s="4"/>
      <c r="CT2306" s="4"/>
      <c r="CU2306" s="4"/>
      <c r="CV2306" s="4"/>
      <c r="CW2306" s="4"/>
      <c r="CX2306" s="4"/>
      <c r="CY2306" s="4"/>
      <c r="CZ2306" s="4"/>
      <c r="DA2306" s="4"/>
      <c r="DB2306" s="4"/>
      <c r="DC2306" s="4"/>
      <c r="DD2306" s="4"/>
      <c r="DE2306" s="4"/>
      <c r="DF2306" s="4"/>
      <c r="DG2306" s="4"/>
      <c r="DH2306" s="4"/>
      <c r="DI2306" s="4"/>
      <c r="DJ2306" s="4"/>
      <c r="DK2306" s="4"/>
      <c r="DL2306" s="4"/>
      <c r="DM2306" s="4"/>
      <c r="DN2306" s="4"/>
      <c r="DO2306" s="4"/>
      <c r="DP2306" s="4"/>
      <c r="DQ2306" s="4"/>
      <c r="DR2306" s="4"/>
      <c r="DS2306" s="4"/>
    </row>
    <row r="2307">
      <c r="A2307" s="4"/>
      <c r="B2307" s="4"/>
      <c r="C2307" s="4"/>
      <c r="D2307" s="4"/>
      <c r="E2307" s="4"/>
      <c r="F2307" s="4" t="s">
        <v>17</v>
      </c>
      <c r="G2307" s="15"/>
      <c r="H2307" s="4"/>
      <c r="I2307" s="4"/>
      <c r="J2307" s="4"/>
      <c r="K2307" s="4"/>
      <c r="L2307" s="4"/>
      <c r="M2307" s="4"/>
      <c r="N2307" s="4"/>
      <c r="O2307" s="4"/>
      <c r="P2307" s="4"/>
      <c r="Q2307" s="4"/>
      <c r="R2307" s="4"/>
      <c r="S2307" s="4"/>
      <c r="T2307" s="4"/>
      <c r="U2307" s="4"/>
      <c r="V2307" s="4"/>
      <c r="W2307" s="4"/>
      <c r="X2307" s="4"/>
      <c r="Y2307" s="4"/>
      <c r="Z2307" s="4"/>
      <c r="AA2307" s="4"/>
      <c r="AB2307" s="4"/>
      <c r="AC2307" s="4"/>
      <c r="AD2307" s="4"/>
      <c r="AE2307" s="4"/>
      <c r="AF2307" s="4"/>
      <c r="AG2307" s="4"/>
      <c r="AH2307" s="4"/>
      <c r="AI2307" s="4"/>
      <c r="AJ2307" s="4"/>
      <c r="AK2307" s="4"/>
      <c r="AL2307" s="4"/>
      <c r="AM2307" s="4"/>
      <c r="AN2307" s="4"/>
      <c r="AO2307" s="4"/>
      <c r="AP2307" s="4"/>
      <c r="AQ2307" s="4"/>
      <c r="AR2307" s="4"/>
      <c r="AS2307" s="4"/>
      <c r="AT2307" s="4"/>
      <c r="AU2307" s="4"/>
      <c r="AV2307" s="4"/>
      <c r="AW2307" s="4"/>
      <c r="AX2307" s="4"/>
      <c r="AY2307" s="4"/>
      <c r="AZ2307" s="4"/>
      <c r="BA2307" s="4"/>
      <c r="BB2307" s="4"/>
      <c r="BC2307" s="4"/>
      <c r="BD2307" s="4"/>
      <c r="BE2307" s="4"/>
      <c r="BF2307" s="4"/>
      <c r="BG2307" s="4"/>
      <c r="BH2307" s="4"/>
      <c r="BI2307" s="4"/>
      <c r="BJ2307" s="4"/>
      <c r="BK2307" s="4"/>
      <c r="BL2307" s="4"/>
      <c r="BM2307" s="4"/>
      <c r="BN2307" s="4"/>
      <c r="BO2307" s="4"/>
      <c r="BP2307" s="4"/>
      <c r="BQ2307" s="4"/>
      <c r="BR2307" s="4"/>
      <c r="BS2307" s="4"/>
      <c r="BT2307" s="4"/>
      <c r="BU2307" s="4"/>
      <c r="BV2307" s="4"/>
      <c r="BW2307" s="4"/>
      <c r="BX2307" s="4"/>
      <c r="BY2307" s="4"/>
      <c r="BZ2307" s="4"/>
      <c r="CA2307" s="4"/>
      <c r="CB2307" s="4"/>
      <c r="CC2307" s="4"/>
      <c r="CD2307" s="4"/>
      <c r="CE2307" s="4"/>
      <c r="CF2307" s="4"/>
      <c r="CG2307" s="4"/>
      <c r="CH2307" s="4"/>
      <c r="CI2307" s="4"/>
      <c r="CJ2307" s="4"/>
      <c r="CK2307" s="4"/>
      <c r="CL2307" s="4"/>
      <c r="CM2307" s="4"/>
      <c r="CN2307" s="4"/>
      <c r="CO2307" s="4"/>
      <c r="CP2307" s="4"/>
      <c r="CQ2307" s="4"/>
      <c r="CR2307" s="4"/>
      <c r="CS2307" s="4"/>
      <c r="CT2307" s="4"/>
      <c r="CU2307" s="4"/>
      <c r="CV2307" s="4"/>
      <c r="CW2307" s="4"/>
      <c r="CX2307" s="4"/>
      <c r="CY2307" s="4"/>
      <c r="CZ2307" s="4"/>
      <c r="DA2307" s="4"/>
      <c r="DB2307" s="4"/>
      <c r="DC2307" s="4"/>
      <c r="DD2307" s="4"/>
      <c r="DE2307" s="4"/>
      <c r="DF2307" s="4"/>
      <c r="DG2307" s="4"/>
      <c r="DH2307" s="4"/>
      <c r="DI2307" s="4"/>
      <c r="DJ2307" s="4"/>
      <c r="DK2307" s="4"/>
      <c r="DL2307" s="4"/>
      <c r="DM2307" s="4"/>
      <c r="DN2307" s="4"/>
      <c r="DO2307" s="4"/>
      <c r="DP2307" s="4"/>
      <c r="DQ2307" s="4"/>
      <c r="DR2307" s="4"/>
      <c r="DS2307" s="4"/>
    </row>
    <row r="2308">
      <c r="A2308" s="4"/>
      <c r="B2308" s="4"/>
      <c r="C2308" s="4"/>
      <c r="D2308" s="4"/>
      <c r="E2308" s="4"/>
      <c r="F2308" s="4" t="s">
        <v>17</v>
      </c>
      <c r="G2308" s="15"/>
      <c r="H2308" s="4"/>
      <c r="I2308" s="4"/>
      <c r="J2308" s="4"/>
      <c r="K2308" s="4"/>
      <c r="L2308" s="4"/>
      <c r="M2308" s="4"/>
      <c r="N2308" s="4"/>
      <c r="O2308" s="4"/>
      <c r="P2308" s="4"/>
      <c r="Q2308" s="4"/>
      <c r="R2308" s="4"/>
      <c r="S2308" s="4"/>
      <c r="T2308" s="4"/>
      <c r="U2308" s="4"/>
      <c r="V2308" s="4"/>
      <c r="W2308" s="4"/>
      <c r="X2308" s="4"/>
      <c r="Y2308" s="4"/>
      <c r="Z2308" s="4"/>
      <c r="AA2308" s="4"/>
      <c r="AB2308" s="4"/>
      <c r="AC2308" s="4"/>
      <c r="AD2308" s="4"/>
      <c r="AE2308" s="4"/>
      <c r="AF2308" s="4"/>
      <c r="AG2308" s="4"/>
      <c r="AH2308" s="4"/>
      <c r="AI2308" s="4"/>
      <c r="AJ2308" s="4"/>
      <c r="AK2308" s="4"/>
      <c r="AL2308" s="4"/>
      <c r="AM2308" s="4"/>
      <c r="AN2308" s="4"/>
      <c r="AO2308" s="4"/>
      <c r="AP2308" s="4"/>
      <c r="AQ2308" s="4"/>
      <c r="AR2308" s="4"/>
      <c r="AS2308" s="4"/>
      <c r="AT2308" s="4"/>
      <c r="AU2308" s="4"/>
      <c r="AV2308" s="4"/>
      <c r="AW2308" s="4"/>
      <c r="AX2308" s="4"/>
      <c r="AY2308" s="4"/>
      <c r="AZ2308" s="4"/>
      <c r="BA2308" s="4"/>
      <c r="BB2308" s="4"/>
      <c r="BC2308" s="4"/>
      <c r="BD2308" s="4"/>
      <c r="BE2308" s="4"/>
      <c r="BF2308" s="4"/>
      <c r="BG2308" s="4"/>
      <c r="BH2308" s="4"/>
      <c r="BI2308" s="4"/>
      <c r="BJ2308" s="4"/>
      <c r="BK2308" s="4"/>
      <c r="BL2308" s="4"/>
      <c r="BM2308" s="4"/>
      <c r="BN2308" s="4"/>
      <c r="BO2308" s="4"/>
      <c r="BP2308" s="4"/>
      <c r="BQ2308" s="4"/>
      <c r="BR2308" s="4"/>
      <c r="BS2308" s="4"/>
      <c r="BT2308" s="4"/>
      <c r="BU2308" s="4"/>
      <c r="BV2308" s="4"/>
      <c r="BW2308" s="4"/>
      <c r="BX2308" s="4"/>
      <c r="BY2308" s="4"/>
      <c r="BZ2308" s="4"/>
      <c r="CA2308" s="4"/>
      <c r="CB2308" s="4"/>
      <c r="CC2308" s="4"/>
      <c r="CD2308" s="4"/>
      <c r="CE2308" s="4"/>
      <c r="CF2308" s="4"/>
      <c r="CG2308" s="4"/>
      <c r="CH2308" s="4"/>
      <c r="CI2308" s="4"/>
      <c r="CJ2308" s="4"/>
      <c r="CK2308" s="4"/>
      <c r="CL2308" s="4"/>
      <c r="CM2308" s="4"/>
      <c r="CN2308" s="4"/>
      <c r="CO2308" s="4"/>
      <c r="CP2308" s="4"/>
      <c r="CQ2308" s="4"/>
      <c r="CR2308" s="4"/>
      <c r="CS2308" s="4"/>
      <c r="CT2308" s="4"/>
      <c r="CU2308" s="4"/>
      <c r="CV2308" s="4"/>
      <c r="CW2308" s="4"/>
      <c r="CX2308" s="4"/>
      <c r="CY2308" s="4"/>
      <c r="CZ2308" s="4"/>
      <c r="DA2308" s="4"/>
      <c r="DB2308" s="4"/>
      <c r="DC2308" s="4"/>
      <c r="DD2308" s="4"/>
      <c r="DE2308" s="4"/>
      <c r="DF2308" s="4"/>
      <c r="DG2308" s="4"/>
      <c r="DH2308" s="4"/>
      <c r="DI2308" s="4"/>
      <c r="DJ2308" s="4"/>
      <c r="DK2308" s="4"/>
      <c r="DL2308" s="4"/>
      <c r="DM2308" s="4"/>
      <c r="DN2308" s="4"/>
      <c r="DO2308" s="4"/>
      <c r="DP2308" s="4"/>
      <c r="DQ2308" s="4"/>
      <c r="DR2308" s="4"/>
      <c r="DS2308" s="4"/>
    </row>
    <row r="2309">
      <c r="A2309" s="4"/>
      <c r="B2309" s="4"/>
      <c r="C2309" s="4"/>
      <c r="D2309" s="4"/>
      <c r="E2309" s="4"/>
      <c r="F2309" s="4" t="s">
        <v>17</v>
      </c>
      <c r="G2309" s="15"/>
      <c r="H2309" s="4"/>
      <c r="I2309" s="4"/>
      <c r="J2309" s="4"/>
      <c r="K2309" s="4"/>
      <c r="L2309" s="4"/>
      <c r="M2309" s="4"/>
      <c r="N2309" s="4"/>
      <c r="O2309" s="4"/>
      <c r="P2309" s="4"/>
      <c r="Q2309" s="4"/>
      <c r="R2309" s="4"/>
      <c r="S2309" s="4"/>
      <c r="T2309" s="4"/>
      <c r="U2309" s="4"/>
      <c r="V2309" s="4"/>
      <c r="W2309" s="4"/>
      <c r="X2309" s="4"/>
      <c r="Y2309" s="4"/>
      <c r="Z2309" s="4"/>
      <c r="AA2309" s="4"/>
      <c r="AB2309" s="4"/>
      <c r="AC2309" s="4"/>
      <c r="AD2309" s="4"/>
      <c r="AE2309" s="4"/>
      <c r="AF2309" s="4"/>
      <c r="AG2309" s="4"/>
      <c r="AH2309" s="4"/>
      <c r="AI2309" s="4"/>
      <c r="AJ2309" s="4"/>
      <c r="AK2309" s="4"/>
      <c r="AL2309" s="4"/>
      <c r="AM2309" s="4"/>
      <c r="AN2309" s="4"/>
      <c r="AO2309" s="4"/>
      <c r="AP2309" s="4"/>
      <c r="AQ2309" s="4"/>
      <c r="AR2309" s="4"/>
      <c r="AS2309" s="4"/>
      <c r="AT2309" s="4"/>
      <c r="AU2309" s="4"/>
      <c r="AV2309" s="4"/>
      <c r="AW2309" s="4"/>
      <c r="AX2309" s="4"/>
      <c r="AY2309" s="4"/>
      <c r="AZ2309" s="4"/>
      <c r="BA2309" s="4"/>
      <c r="BB2309" s="4"/>
      <c r="BC2309" s="4"/>
      <c r="BD2309" s="4"/>
      <c r="BE2309" s="4"/>
      <c r="BF2309" s="4"/>
      <c r="BG2309" s="4"/>
      <c r="BH2309" s="4"/>
      <c r="BI2309" s="4"/>
      <c r="BJ2309" s="4"/>
      <c r="BK2309" s="4"/>
      <c r="BL2309" s="4"/>
      <c r="BM2309" s="4"/>
      <c r="BN2309" s="4"/>
      <c r="BO2309" s="4"/>
      <c r="BP2309" s="4"/>
      <c r="BQ2309" s="4"/>
      <c r="BR2309" s="4"/>
      <c r="BS2309" s="4"/>
      <c r="BT2309" s="4"/>
      <c r="BU2309" s="4"/>
      <c r="BV2309" s="4"/>
      <c r="BW2309" s="4"/>
      <c r="BX2309" s="4"/>
      <c r="BY2309" s="4"/>
      <c r="BZ2309" s="4"/>
      <c r="CA2309" s="4"/>
      <c r="CB2309" s="4"/>
      <c r="CC2309" s="4"/>
      <c r="CD2309" s="4"/>
      <c r="CE2309" s="4"/>
      <c r="CF2309" s="4"/>
      <c r="CG2309" s="4"/>
      <c r="CH2309" s="4"/>
      <c r="CI2309" s="4"/>
      <c r="CJ2309" s="4"/>
      <c r="CK2309" s="4"/>
      <c r="CL2309" s="4"/>
      <c r="CM2309" s="4"/>
      <c r="CN2309" s="4"/>
      <c r="CO2309" s="4"/>
      <c r="CP2309" s="4"/>
      <c r="CQ2309" s="4"/>
      <c r="CR2309" s="4"/>
      <c r="CS2309" s="4"/>
      <c r="CT2309" s="4"/>
      <c r="CU2309" s="4"/>
      <c r="CV2309" s="4"/>
      <c r="CW2309" s="4"/>
      <c r="CX2309" s="4"/>
      <c r="CY2309" s="4"/>
      <c r="CZ2309" s="4"/>
      <c r="DA2309" s="4"/>
      <c r="DB2309" s="4"/>
      <c r="DC2309" s="4"/>
      <c r="DD2309" s="4"/>
      <c r="DE2309" s="4"/>
      <c r="DF2309" s="4"/>
      <c r="DG2309" s="4"/>
      <c r="DH2309" s="4"/>
      <c r="DI2309" s="4"/>
      <c r="DJ2309" s="4"/>
      <c r="DK2309" s="4"/>
      <c r="DL2309" s="4"/>
      <c r="DM2309" s="4"/>
      <c r="DN2309" s="4"/>
      <c r="DO2309" s="4"/>
      <c r="DP2309" s="4"/>
      <c r="DQ2309" s="4"/>
      <c r="DR2309" s="4"/>
      <c r="DS2309" s="4"/>
    </row>
    <row r="2310">
      <c r="A2310" s="4"/>
      <c r="B2310" s="4"/>
      <c r="C2310" s="4"/>
      <c r="D2310" s="4"/>
      <c r="E2310" s="4"/>
      <c r="F2310" s="4" t="s">
        <v>17</v>
      </c>
      <c r="G2310" s="15"/>
      <c r="H2310" s="4"/>
      <c r="I2310" s="4"/>
      <c r="J2310" s="4"/>
      <c r="K2310" s="4"/>
      <c r="L2310" s="4"/>
      <c r="M2310" s="4"/>
      <c r="N2310" s="4"/>
      <c r="O2310" s="4"/>
      <c r="P2310" s="4"/>
      <c r="Q2310" s="4"/>
      <c r="R2310" s="4"/>
      <c r="S2310" s="4"/>
      <c r="T2310" s="4"/>
      <c r="U2310" s="4"/>
      <c r="V2310" s="4"/>
      <c r="W2310" s="4"/>
      <c r="X2310" s="4"/>
      <c r="Y2310" s="4"/>
      <c r="Z2310" s="4"/>
      <c r="AA2310" s="4"/>
      <c r="AB2310" s="4"/>
      <c r="AC2310" s="4"/>
      <c r="AD2310" s="4"/>
      <c r="AE2310" s="4"/>
      <c r="AF2310" s="4"/>
      <c r="AG2310" s="4"/>
      <c r="AH2310" s="4"/>
      <c r="AI2310" s="4"/>
      <c r="AJ2310" s="4"/>
      <c r="AK2310" s="4"/>
      <c r="AL2310" s="4"/>
      <c r="AM2310" s="4"/>
      <c r="AN2310" s="4"/>
      <c r="AO2310" s="4"/>
      <c r="AP2310" s="4"/>
      <c r="AQ2310" s="4"/>
      <c r="AR2310" s="4"/>
      <c r="AS2310" s="4"/>
      <c r="AT2310" s="4"/>
      <c r="AU2310" s="4"/>
      <c r="AV2310" s="4"/>
      <c r="AW2310" s="4"/>
      <c r="AX2310" s="4"/>
      <c r="AY2310" s="4"/>
      <c r="AZ2310" s="4"/>
      <c r="BA2310" s="4"/>
      <c r="BB2310" s="4"/>
      <c r="BC2310" s="4"/>
      <c r="BD2310" s="4"/>
      <c r="BE2310" s="4"/>
      <c r="BF2310" s="4"/>
      <c r="BG2310" s="4"/>
      <c r="BH2310" s="4"/>
      <c r="BI2310" s="4"/>
      <c r="BJ2310" s="4"/>
      <c r="BK2310" s="4"/>
      <c r="BL2310" s="4"/>
      <c r="BM2310" s="4"/>
      <c r="BN2310" s="4"/>
      <c r="BO2310" s="4"/>
      <c r="BP2310" s="4"/>
      <c r="BQ2310" s="4"/>
      <c r="BR2310" s="4"/>
      <c r="BS2310" s="4"/>
      <c r="BT2310" s="4"/>
      <c r="BU2310" s="4"/>
      <c r="BV2310" s="4"/>
      <c r="BW2310" s="4"/>
      <c r="BX2310" s="4"/>
      <c r="BY2310" s="4"/>
      <c r="BZ2310" s="4"/>
      <c r="CA2310" s="4"/>
      <c r="CB2310" s="4"/>
      <c r="CC2310" s="4"/>
      <c r="CD2310" s="4"/>
      <c r="CE2310" s="4"/>
      <c r="CF2310" s="4"/>
      <c r="CG2310" s="4"/>
      <c r="CH2310" s="4"/>
      <c r="CI2310" s="4"/>
      <c r="CJ2310" s="4"/>
      <c r="CK2310" s="4"/>
      <c r="CL2310" s="4"/>
      <c r="CM2310" s="4"/>
      <c r="CN2310" s="4"/>
      <c r="CO2310" s="4"/>
      <c r="CP2310" s="4"/>
      <c r="CQ2310" s="4"/>
      <c r="CR2310" s="4"/>
      <c r="CS2310" s="4"/>
      <c r="CT2310" s="4"/>
      <c r="CU2310" s="4"/>
      <c r="CV2310" s="4"/>
      <c r="CW2310" s="4"/>
      <c r="CX2310" s="4"/>
      <c r="CY2310" s="4"/>
      <c r="CZ2310" s="4"/>
      <c r="DA2310" s="4"/>
      <c r="DB2310" s="4"/>
      <c r="DC2310" s="4"/>
      <c r="DD2310" s="4"/>
      <c r="DE2310" s="4"/>
      <c r="DF2310" s="4"/>
      <c r="DG2310" s="4"/>
      <c r="DH2310" s="4"/>
      <c r="DI2310" s="4"/>
      <c r="DJ2310" s="4"/>
      <c r="DK2310" s="4"/>
      <c r="DL2310" s="4"/>
      <c r="DM2310" s="4"/>
      <c r="DN2310" s="4"/>
      <c r="DO2310" s="4"/>
      <c r="DP2310" s="4"/>
      <c r="DQ2310" s="4"/>
      <c r="DR2310" s="4"/>
      <c r="DS2310" s="4"/>
    </row>
    <row r="2311">
      <c r="A2311" s="4"/>
      <c r="B2311" s="4"/>
      <c r="C2311" s="4"/>
      <c r="D2311" s="4"/>
      <c r="E2311" s="4"/>
      <c r="F2311" s="4" t="s">
        <v>17</v>
      </c>
      <c r="G2311" s="15"/>
      <c r="H2311" s="4"/>
      <c r="I2311" s="4"/>
      <c r="J2311" s="4"/>
      <c r="K2311" s="4"/>
      <c r="L2311" s="4"/>
      <c r="M2311" s="4"/>
      <c r="N2311" s="4"/>
      <c r="O2311" s="4"/>
      <c r="P2311" s="4"/>
      <c r="Q2311" s="4"/>
      <c r="R2311" s="4"/>
      <c r="S2311" s="4"/>
      <c r="T2311" s="4"/>
      <c r="U2311" s="4"/>
      <c r="V2311" s="4"/>
      <c r="W2311" s="4"/>
      <c r="X2311" s="4"/>
      <c r="Y2311" s="4"/>
      <c r="Z2311" s="4"/>
      <c r="AA2311" s="4"/>
      <c r="AB2311" s="4"/>
      <c r="AC2311" s="4"/>
      <c r="AD2311" s="4"/>
      <c r="AE2311" s="4"/>
      <c r="AF2311" s="4"/>
      <c r="AG2311" s="4"/>
      <c r="AH2311" s="4"/>
      <c r="AI2311" s="4"/>
      <c r="AJ2311" s="4"/>
      <c r="AK2311" s="4"/>
      <c r="AL2311" s="4"/>
      <c r="AM2311" s="4"/>
      <c r="AN2311" s="4"/>
      <c r="AO2311" s="4"/>
      <c r="AP2311" s="4"/>
      <c r="AQ2311" s="4"/>
      <c r="AR2311" s="4"/>
      <c r="AS2311" s="4"/>
      <c r="AT2311" s="4"/>
      <c r="AU2311" s="4"/>
      <c r="AV2311" s="4"/>
      <c r="AW2311" s="4"/>
      <c r="AX2311" s="4"/>
      <c r="AY2311" s="4"/>
      <c r="AZ2311" s="4"/>
      <c r="BA2311" s="4"/>
      <c r="BB2311" s="4"/>
      <c r="BC2311" s="4"/>
      <c r="BD2311" s="4"/>
      <c r="BE2311" s="4"/>
      <c r="BF2311" s="4"/>
      <c r="BG2311" s="4"/>
      <c r="BH2311" s="4"/>
      <c r="BI2311" s="4"/>
      <c r="BJ2311" s="4"/>
      <c r="BK2311" s="4"/>
      <c r="BL2311" s="4"/>
      <c r="BM2311" s="4"/>
      <c r="BN2311" s="4"/>
      <c r="BO2311" s="4"/>
      <c r="BP2311" s="4"/>
      <c r="BQ2311" s="4"/>
      <c r="BR2311" s="4"/>
      <c r="BS2311" s="4"/>
      <c r="BT2311" s="4"/>
      <c r="BU2311" s="4"/>
      <c r="BV2311" s="4"/>
      <c r="BW2311" s="4"/>
      <c r="BX2311" s="4"/>
      <c r="BY2311" s="4"/>
      <c r="BZ2311" s="4"/>
      <c r="CA2311" s="4"/>
      <c r="CB2311" s="4"/>
      <c r="CC2311" s="4"/>
      <c r="CD2311" s="4"/>
      <c r="CE2311" s="4"/>
      <c r="CF2311" s="4"/>
      <c r="CG2311" s="4"/>
      <c r="CH2311" s="4"/>
      <c r="CI2311" s="4"/>
      <c r="CJ2311" s="4"/>
      <c r="CK2311" s="4"/>
      <c r="CL2311" s="4"/>
      <c r="CM2311" s="4"/>
      <c r="CN2311" s="4"/>
      <c r="CO2311" s="4"/>
      <c r="CP2311" s="4"/>
      <c r="CQ2311" s="4"/>
      <c r="CR2311" s="4"/>
      <c r="CS2311" s="4"/>
      <c r="CT2311" s="4"/>
      <c r="CU2311" s="4"/>
      <c r="CV2311" s="4"/>
      <c r="CW2311" s="4"/>
      <c r="CX2311" s="4"/>
      <c r="CY2311" s="4"/>
      <c r="CZ2311" s="4"/>
      <c r="DA2311" s="4"/>
      <c r="DB2311" s="4"/>
      <c r="DC2311" s="4"/>
      <c r="DD2311" s="4"/>
      <c r="DE2311" s="4"/>
      <c r="DF2311" s="4"/>
      <c r="DG2311" s="4"/>
      <c r="DH2311" s="4"/>
      <c r="DI2311" s="4"/>
      <c r="DJ2311" s="4"/>
      <c r="DK2311" s="4"/>
      <c r="DL2311" s="4"/>
      <c r="DM2311" s="4"/>
      <c r="DN2311" s="4"/>
      <c r="DO2311" s="4"/>
      <c r="DP2311" s="4"/>
      <c r="DQ2311" s="4"/>
      <c r="DR2311" s="4"/>
      <c r="DS2311" s="4"/>
    </row>
    <row r="2312">
      <c r="A2312" s="4"/>
      <c r="B2312" s="4"/>
      <c r="C2312" s="4"/>
      <c r="D2312" s="4"/>
      <c r="E2312" s="4"/>
      <c r="F2312" s="4" t="s">
        <v>17</v>
      </c>
      <c r="G2312" s="15"/>
      <c r="H2312" s="4"/>
      <c r="I2312" s="4"/>
      <c r="J2312" s="4"/>
      <c r="K2312" s="4"/>
      <c r="L2312" s="4"/>
      <c r="M2312" s="4"/>
      <c r="N2312" s="4"/>
      <c r="O2312" s="4"/>
      <c r="P2312" s="4"/>
      <c r="Q2312" s="4"/>
      <c r="R2312" s="4"/>
      <c r="S2312" s="4"/>
      <c r="T2312" s="4"/>
      <c r="U2312" s="4"/>
      <c r="V2312" s="4"/>
      <c r="W2312" s="4"/>
      <c r="X2312" s="4"/>
      <c r="Y2312" s="4"/>
      <c r="Z2312" s="4"/>
      <c r="AA2312" s="4"/>
      <c r="AB2312" s="4"/>
      <c r="AC2312" s="4"/>
      <c r="AD2312" s="4"/>
      <c r="AE2312" s="4"/>
      <c r="AF2312" s="4"/>
      <c r="AG2312" s="4"/>
      <c r="AH2312" s="4"/>
      <c r="AI2312" s="4"/>
      <c r="AJ2312" s="4"/>
      <c r="AK2312" s="4"/>
      <c r="AL2312" s="4"/>
      <c r="AM2312" s="4"/>
      <c r="AN2312" s="4"/>
      <c r="AO2312" s="4"/>
      <c r="AP2312" s="4"/>
      <c r="AQ2312" s="4"/>
      <c r="AR2312" s="4"/>
      <c r="AS2312" s="4"/>
      <c r="AT2312" s="4"/>
      <c r="AU2312" s="4"/>
      <c r="AV2312" s="4"/>
      <c r="AW2312" s="4"/>
      <c r="AX2312" s="4"/>
      <c r="AY2312" s="4"/>
      <c r="AZ2312" s="4"/>
      <c r="BA2312" s="4"/>
      <c r="BB2312" s="4"/>
      <c r="BC2312" s="4"/>
      <c r="BD2312" s="4"/>
      <c r="BE2312" s="4"/>
      <c r="BF2312" s="4"/>
      <c r="BG2312" s="4"/>
      <c r="BH2312" s="4"/>
      <c r="BI2312" s="4"/>
      <c r="BJ2312" s="4"/>
      <c r="BK2312" s="4"/>
      <c r="BL2312" s="4"/>
      <c r="BM2312" s="4"/>
      <c r="BN2312" s="4"/>
      <c r="BO2312" s="4"/>
      <c r="BP2312" s="4"/>
      <c r="BQ2312" s="4"/>
      <c r="BR2312" s="4"/>
      <c r="BS2312" s="4"/>
      <c r="BT2312" s="4"/>
      <c r="BU2312" s="4"/>
      <c r="BV2312" s="4"/>
      <c r="BW2312" s="4"/>
      <c r="BX2312" s="4"/>
      <c r="BY2312" s="4"/>
      <c r="BZ2312" s="4"/>
      <c r="CA2312" s="4"/>
      <c r="CB2312" s="4"/>
      <c r="CC2312" s="4"/>
      <c r="CD2312" s="4"/>
      <c r="CE2312" s="4"/>
      <c r="CF2312" s="4"/>
      <c r="CG2312" s="4"/>
      <c r="CH2312" s="4"/>
      <c r="CI2312" s="4"/>
      <c r="CJ2312" s="4"/>
      <c r="CK2312" s="4"/>
      <c r="CL2312" s="4"/>
      <c r="CM2312" s="4"/>
      <c r="CN2312" s="4"/>
      <c r="CO2312" s="4"/>
      <c r="CP2312" s="4"/>
      <c r="CQ2312" s="4"/>
      <c r="CR2312" s="4"/>
      <c r="CS2312" s="4"/>
      <c r="CT2312" s="4"/>
      <c r="CU2312" s="4"/>
      <c r="CV2312" s="4"/>
      <c r="CW2312" s="4"/>
      <c r="CX2312" s="4"/>
      <c r="CY2312" s="4"/>
      <c r="CZ2312" s="4"/>
      <c r="DA2312" s="4"/>
      <c r="DB2312" s="4"/>
      <c r="DC2312" s="4"/>
      <c r="DD2312" s="4"/>
      <c r="DE2312" s="4"/>
      <c r="DF2312" s="4"/>
      <c r="DG2312" s="4"/>
      <c r="DH2312" s="4"/>
      <c r="DI2312" s="4"/>
      <c r="DJ2312" s="4"/>
      <c r="DK2312" s="4"/>
      <c r="DL2312" s="4"/>
      <c r="DM2312" s="4"/>
      <c r="DN2312" s="4"/>
      <c r="DO2312" s="4"/>
      <c r="DP2312" s="4"/>
      <c r="DQ2312" s="4"/>
      <c r="DR2312" s="4"/>
      <c r="DS2312" s="4"/>
    </row>
    <row r="2313">
      <c r="A2313" s="4"/>
      <c r="B2313" s="4"/>
      <c r="C2313" s="4"/>
      <c r="D2313" s="4"/>
      <c r="E2313" s="4"/>
      <c r="F2313" s="4" t="s">
        <v>17</v>
      </c>
      <c r="G2313" s="15"/>
      <c r="H2313" s="4"/>
      <c r="I2313" s="4"/>
      <c r="J2313" s="4"/>
      <c r="K2313" s="4"/>
      <c r="L2313" s="4"/>
      <c r="M2313" s="4"/>
      <c r="N2313" s="4"/>
      <c r="O2313" s="4"/>
      <c r="P2313" s="4"/>
      <c r="Q2313" s="4"/>
      <c r="R2313" s="4"/>
      <c r="S2313" s="4"/>
      <c r="T2313" s="4"/>
      <c r="U2313" s="4"/>
      <c r="V2313" s="4"/>
      <c r="W2313" s="4"/>
      <c r="X2313" s="4"/>
      <c r="Y2313" s="4"/>
      <c r="Z2313" s="4"/>
      <c r="AA2313" s="4"/>
      <c r="AB2313" s="4"/>
      <c r="AC2313" s="4"/>
      <c r="AD2313" s="4"/>
      <c r="AE2313" s="4"/>
      <c r="AF2313" s="4"/>
      <c r="AG2313" s="4"/>
      <c r="AH2313" s="4"/>
      <c r="AI2313" s="4"/>
      <c r="AJ2313" s="4"/>
      <c r="AK2313" s="4"/>
      <c r="AL2313" s="4"/>
      <c r="AM2313" s="4"/>
      <c r="AN2313" s="4"/>
      <c r="AO2313" s="4"/>
      <c r="AP2313" s="4"/>
      <c r="AQ2313" s="4"/>
      <c r="AR2313" s="4"/>
      <c r="AS2313" s="4"/>
      <c r="AT2313" s="4"/>
      <c r="AU2313" s="4"/>
      <c r="AV2313" s="4"/>
      <c r="AW2313" s="4"/>
      <c r="AX2313" s="4"/>
      <c r="AY2313" s="4"/>
      <c r="AZ2313" s="4"/>
      <c r="BA2313" s="4"/>
      <c r="BB2313" s="4"/>
      <c r="BC2313" s="4"/>
      <c r="BD2313" s="4"/>
      <c r="BE2313" s="4"/>
      <c r="BF2313" s="4"/>
      <c r="BG2313" s="4"/>
      <c r="BH2313" s="4"/>
      <c r="BI2313" s="4"/>
      <c r="BJ2313" s="4"/>
      <c r="BK2313" s="4"/>
      <c r="BL2313" s="4"/>
      <c r="BM2313" s="4"/>
      <c r="BN2313" s="4"/>
      <c r="BO2313" s="4"/>
      <c r="BP2313" s="4"/>
      <c r="BQ2313" s="4"/>
      <c r="BR2313" s="4"/>
      <c r="BS2313" s="4"/>
      <c r="BT2313" s="4"/>
      <c r="BU2313" s="4"/>
      <c r="BV2313" s="4"/>
      <c r="BW2313" s="4"/>
      <c r="BX2313" s="4"/>
      <c r="BY2313" s="4"/>
      <c r="BZ2313" s="4"/>
      <c r="CA2313" s="4"/>
      <c r="CB2313" s="4"/>
      <c r="CC2313" s="4"/>
      <c r="CD2313" s="4"/>
      <c r="CE2313" s="4"/>
      <c r="CF2313" s="4"/>
      <c r="CG2313" s="4"/>
      <c r="CH2313" s="4"/>
      <c r="CI2313" s="4"/>
      <c r="CJ2313" s="4"/>
      <c r="CK2313" s="4"/>
      <c r="CL2313" s="4"/>
      <c r="CM2313" s="4"/>
      <c r="CN2313" s="4"/>
      <c r="CO2313" s="4"/>
      <c r="CP2313" s="4"/>
      <c r="CQ2313" s="4"/>
      <c r="CR2313" s="4"/>
      <c r="CS2313" s="4"/>
      <c r="CT2313" s="4"/>
      <c r="CU2313" s="4"/>
      <c r="CV2313" s="4"/>
      <c r="CW2313" s="4"/>
      <c r="CX2313" s="4"/>
      <c r="CY2313" s="4"/>
      <c r="CZ2313" s="4"/>
      <c r="DA2313" s="4"/>
      <c r="DB2313" s="4"/>
      <c r="DC2313" s="4"/>
      <c r="DD2313" s="4"/>
      <c r="DE2313" s="4"/>
      <c r="DF2313" s="4"/>
      <c r="DG2313" s="4"/>
      <c r="DH2313" s="4"/>
      <c r="DI2313" s="4"/>
      <c r="DJ2313" s="4"/>
      <c r="DK2313" s="4"/>
      <c r="DL2313" s="4"/>
      <c r="DM2313" s="4"/>
      <c r="DN2313" s="4"/>
      <c r="DO2313" s="4"/>
      <c r="DP2313" s="4"/>
      <c r="DQ2313" s="4"/>
      <c r="DR2313" s="4"/>
      <c r="DS2313" s="4"/>
    </row>
    <row r="2314">
      <c r="A2314" s="4"/>
      <c r="B2314" s="4"/>
      <c r="C2314" s="4"/>
      <c r="D2314" s="4"/>
      <c r="E2314" s="4"/>
      <c r="F2314" s="4" t="s">
        <v>17</v>
      </c>
      <c r="G2314" s="15"/>
      <c r="H2314" s="4"/>
      <c r="I2314" s="4"/>
      <c r="J2314" s="4"/>
      <c r="K2314" s="4"/>
      <c r="L2314" s="4"/>
      <c r="M2314" s="4"/>
      <c r="N2314" s="4"/>
      <c r="O2314" s="4"/>
      <c r="P2314" s="4"/>
      <c r="Q2314" s="4"/>
      <c r="R2314" s="4"/>
      <c r="S2314" s="4"/>
      <c r="T2314" s="4"/>
      <c r="U2314" s="4"/>
      <c r="V2314" s="4"/>
      <c r="W2314" s="4"/>
      <c r="X2314" s="4"/>
      <c r="Y2314" s="4"/>
      <c r="Z2314" s="4"/>
      <c r="AA2314" s="4"/>
      <c r="AB2314" s="4"/>
      <c r="AC2314" s="4"/>
      <c r="AD2314" s="4"/>
      <c r="AE2314" s="4"/>
      <c r="AF2314" s="4"/>
      <c r="AG2314" s="4"/>
      <c r="AH2314" s="4"/>
      <c r="AI2314" s="4"/>
      <c r="AJ2314" s="4"/>
      <c r="AK2314" s="4"/>
      <c r="AL2314" s="4"/>
      <c r="AM2314" s="4"/>
      <c r="AN2314" s="4"/>
      <c r="AO2314" s="4"/>
      <c r="AP2314" s="4"/>
      <c r="AQ2314" s="4"/>
      <c r="AR2314" s="4"/>
      <c r="AS2314" s="4"/>
      <c r="AT2314" s="4"/>
      <c r="AU2314" s="4"/>
      <c r="AV2314" s="4"/>
      <c r="AW2314" s="4"/>
      <c r="AX2314" s="4"/>
      <c r="AY2314" s="4"/>
      <c r="AZ2314" s="4"/>
      <c r="BA2314" s="4"/>
      <c r="BB2314" s="4"/>
      <c r="BC2314" s="4"/>
      <c r="BD2314" s="4"/>
      <c r="BE2314" s="4"/>
      <c r="BF2314" s="4"/>
      <c r="BG2314" s="4"/>
      <c r="BH2314" s="4"/>
      <c r="BI2314" s="4"/>
      <c r="BJ2314" s="4"/>
      <c r="BK2314" s="4"/>
      <c r="BL2314" s="4"/>
      <c r="BM2314" s="4"/>
      <c r="BN2314" s="4"/>
      <c r="BO2314" s="4"/>
      <c r="BP2314" s="4"/>
      <c r="BQ2314" s="4"/>
      <c r="BR2314" s="4"/>
      <c r="BS2314" s="4"/>
      <c r="BT2314" s="4"/>
      <c r="BU2314" s="4"/>
      <c r="BV2314" s="4"/>
      <c r="BW2314" s="4"/>
      <c r="BX2314" s="4"/>
      <c r="BY2314" s="4"/>
      <c r="BZ2314" s="4"/>
      <c r="CA2314" s="4"/>
      <c r="CB2314" s="4"/>
      <c r="CC2314" s="4"/>
      <c r="CD2314" s="4"/>
      <c r="CE2314" s="4"/>
      <c r="CF2314" s="4"/>
      <c r="CG2314" s="4"/>
      <c r="CH2314" s="4"/>
      <c r="CI2314" s="4"/>
      <c r="CJ2314" s="4"/>
      <c r="CK2314" s="4"/>
      <c r="CL2314" s="4"/>
      <c r="CM2314" s="4"/>
      <c r="CN2314" s="4"/>
      <c r="CO2314" s="4"/>
      <c r="CP2314" s="4"/>
      <c r="CQ2314" s="4"/>
      <c r="CR2314" s="4"/>
      <c r="CS2314" s="4"/>
      <c r="CT2314" s="4"/>
      <c r="CU2314" s="4"/>
      <c r="CV2314" s="4"/>
      <c r="CW2314" s="4"/>
      <c r="CX2314" s="4"/>
      <c r="CY2314" s="4"/>
      <c r="CZ2314" s="4"/>
      <c r="DA2314" s="4"/>
      <c r="DB2314" s="4"/>
      <c r="DC2314" s="4"/>
      <c r="DD2314" s="4"/>
      <c r="DE2314" s="4"/>
      <c r="DF2314" s="4"/>
      <c r="DG2314" s="4"/>
      <c r="DH2314" s="4"/>
      <c r="DI2314" s="4"/>
      <c r="DJ2314" s="4"/>
      <c r="DK2314" s="4"/>
      <c r="DL2314" s="4"/>
      <c r="DM2314" s="4"/>
      <c r="DN2314" s="4"/>
      <c r="DO2314" s="4"/>
      <c r="DP2314" s="4"/>
      <c r="DQ2314" s="4"/>
      <c r="DR2314" s="4"/>
      <c r="DS2314" s="4"/>
    </row>
    <row r="2315">
      <c r="A2315" s="4"/>
      <c r="B2315" s="4"/>
      <c r="C2315" s="4"/>
      <c r="D2315" s="4"/>
      <c r="E2315" s="4"/>
      <c r="F2315" s="4" t="s">
        <v>17</v>
      </c>
      <c r="G2315" s="15"/>
      <c r="H2315" s="4"/>
      <c r="I2315" s="4"/>
      <c r="J2315" s="4"/>
      <c r="K2315" s="4"/>
      <c r="L2315" s="4"/>
      <c r="M2315" s="4"/>
      <c r="N2315" s="4"/>
      <c r="O2315" s="4"/>
      <c r="P2315" s="4"/>
      <c r="Q2315" s="4"/>
      <c r="R2315" s="4"/>
      <c r="S2315" s="4"/>
      <c r="T2315" s="4"/>
      <c r="U2315" s="4"/>
      <c r="V2315" s="4"/>
      <c r="W2315" s="4"/>
      <c r="X2315" s="4"/>
      <c r="Y2315" s="4"/>
      <c r="Z2315" s="4"/>
      <c r="AA2315" s="4"/>
      <c r="AB2315" s="4"/>
      <c r="AC2315" s="4"/>
      <c r="AD2315" s="4"/>
      <c r="AE2315" s="4"/>
      <c r="AF2315" s="4"/>
      <c r="AG2315" s="4"/>
      <c r="AH2315" s="4"/>
      <c r="AI2315" s="4"/>
      <c r="AJ2315" s="4"/>
      <c r="AK2315" s="4"/>
      <c r="AL2315" s="4"/>
      <c r="AM2315" s="4"/>
      <c r="AN2315" s="4"/>
      <c r="AO2315" s="4"/>
      <c r="AP2315" s="4"/>
      <c r="AQ2315" s="4"/>
      <c r="AR2315" s="4"/>
      <c r="AS2315" s="4"/>
      <c r="AT2315" s="4"/>
      <c r="AU2315" s="4"/>
      <c r="AV2315" s="4"/>
      <c r="AW2315" s="4"/>
      <c r="AX2315" s="4"/>
      <c r="AY2315" s="4"/>
      <c r="AZ2315" s="4"/>
      <c r="BA2315" s="4"/>
      <c r="BB2315" s="4"/>
      <c r="BC2315" s="4"/>
      <c r="BD2315" s="4"/>
      <c r="BE2315" s="4"/>
      <c r="BF2315" s="4"/>
      <c r="BG2315" s="4"/>
      <c r="BH2315" s="4"/>
      <c r="BI2315" s="4"/>
      <c r="BJ2315" s="4"/>
      <c r="BK2315" s="4"/>
      <c r="BL2315" s="4"/>
      <c r="BM2315" s="4"/>
      <c r="BN2315" s="4"/>
      <c r="BO2315" s="4"/>
      <c r="BP2315" s="4"/>
      <c r="BQ2315" s="4"/>
      <c r="BR2315" s="4"/>
      <c r="BS2315" s="4"/>
      <c r="BT2315" s="4"/>
      <c r="BU2315" s="4"/>
      <c r="BV2315" s="4"/>
      <c r="BW2315" s="4"/>
      <c r="BX2315" s="4"/>
      <c r="BY2315" s="4"/>
      <c r="BZ2315" s="4"/>
      <c r="CA2315" s="4"/>
      <c r="CB2315" s="4"/>
      <c r="CC2315" s="4"/>
      <c r="CD2315" s="4"/>
      <c r="CE2315" s="4"/>
      <c r="CF2315" s="4"/>
      <c r="CG2315" s="4"/>
      <c r="CH2315" s="4"/>
      <c r="CI2315" s="4"/>
      <c r="CJ2315" s="4"/>
      <c r="CK2315" s="4"/>
      <c r="CL2315" s="4"/>
      <c r="CM2315" s="4"/>
      <c r="CN2315" s="4"/>
      <c r="CO2315" s="4"/>
      <c r="CP2315" s="4"/>
      <c r="CQ2315" s="4"/>
      <c r="CR2315" s="4"/>
      <c r="CS2315" s="4"/>
      <c r="CT2315" s="4"/>
      <c r="CU2315" s="4"/>
      <c r="CV2315" s="4"/>
      <c r="CW2315" s="4"/>
      <c r="CX2315" s="4"/>
      <c r="CY2315" s="4"/>
      <c r="CZ2315" s="4"/>
      <c r="DA2315" s="4"/>
      <c r="DB2315" s="4"/>
      <c r="DC2315" s="4"/>
      <c r="DD2315" s="4"/>
      <c r="DE2315" s="4"/>
      <c r="DF2315" s="4"/>
      <c r="DG2315" s="4"/>
      <c r="DH2315" s="4"/>
      <c r="DI2315" s="4"/>
      <c r="DJ2315" s="4"/>
      <c r="DK2315" s="4"/>
      <c r="DL2315" s="4"/>
      <c r="DM2315" s="4"/>
      <c r="DN2315" s="4"/>
      <c r="DO2315" s="4"/>
      <c r="DP2315" s="4"/>
      <c r="DQ2315" s="4"/>
      <c r="DR2315" s="4"/>
      <c r="DS2315" s="4"/>
    </row>
    <row r="2316">
      <c r="A2316" s="4"/>
      <c r="B2316" s="4"/>
      <c r="C2316" s="4"/>
      <c r="D2316" s="4"/>
      <c r="E2316" s="4"/>
      <c r="F2316" s="4" t="s">
        <v>17</v>
      </c>
      <c r="G2316" s="15"/>
      <c r="H2316" s="4"/>
      <c r="I2316" s="4"/>
      <c r="J2316" s="4"/>
      <c r="K2316" s="4"/>
      <c r="L2316" s="4"/>
      <c r="M2316" s="4"/>
      <c r="N2316" s="4"/>
      <c r="O2316" s="4"/>
      <c r="P2316" s="4"/>
      <c r="Q2316" s="4"/>
      <c r="R2316" s="4"/>
      <c r="S2316" s="4"/>
      <c r="T2316" s="4"/>
      <c r="U2316" s="4"/>
      <c r="V2316" s="4"/>
      <c r="W2316" s="4"/>
      <c r="X2316" s="4"/>
      <c r="Y2316" s="4"/>
      <c r="Z2316" s="4"/>
      <c r="AA2316" s="4"/>
      <c r="AB2316" s="4"/>
      <c r="AC2316" s="4"/>
      <c r="AD2316" s="4"/>
      <c r="AE2316" s="4"/>
      <c r="AF2316" s="4"/>
      <c r="AG2316" s="4"/>
      <c r="AH2316" s="4"/>
      <c r="AI2316" s="4"/>
      <c r="AJ2316" s="4"/>
      <c r="AK2316" s="4"/>
      <c r="AL2316" s="4"/>
      <c r="AM2316" s="4"/>
      <c r="AN2316" s="4"/>
      <c r="AO2316" s="4"/>
      <c r="AP2316" s="4"/>
      <c r="AQ2316" s="4"/>
      <c r="AR2316" s="4"/>
      <c r="AS2316" s="4"/>
      <c r="AT2316" s="4"/>
      <c r="AU2316" s="4"/>
      <c r="AV2316" s="4"/>
      <c r="AW2316" s="4"/>
      <c r="AX2316" s="4"/>
      <c r="AY2316" s="4"/>
      <c r="AZ2316" s="4"/>
      <c r="BA2316" s="4"/>
      <c r="BB2316" s="4"/>
      <c r="BC2316" s="4"/>
      <c r="BD2316" s="4"/>
      <c r="BE2316" s="4"/>
      <c r="BF2316" s="4"/>
      <c r="BG2316" s="4"/>
      <c r="BH2316" s="4"/>
      <c r="BI2316" s="4"/>
      <c r="BJ2316" s="4"/>
      <c r="BK2316" s="4"/>
      <c r="BL2316" s="4"/>
      <c r="BM2316" s="4"/>
      <c r="BN2316" s="4"/>
      <c r="BO2316" s="4"/>
      <c r="BP2316" s="4"/>
      <c r="BQ2316" s="4"/>
      <c r="BR2316" s="4"/>
      <c r="BS2316" s="4"/>
      <c r="BT2316" s="4"/>
      <c r="BU2316" s="4"/>
      <c r="BV2316" s="4"/>
      <c r="BW2316" s="4"/>
      <c r="BX2316" s="4"/>
      <c r="BY2316" s="4"/>
      <c r="BZ2316" s="4"/>
      <c r="CA2316" s="4"/>
      <c r="CB2316" s="4"/>
      <c r="CC2316" s="4"/>
      <c r="CD2316" s="4"/>
      <c r="CE2316" s="4"/>
      <c r="CF2316" s="4"/>
      <c r="CG2316" s="4"/>
      <c r="CH2316" s="4"/>
      <c r="CI2316" s="4"/>
      <c r="CJ2316" s="4"/>
      <c r="CK2316" s="4"/>
      <c r="CL2316" s="4"/>
      <c r="CM2316" s="4"/>
      <c r="CN2316" s="4"/>
      <c r="CO2316" s="4"/>
      <c r="CP2316" s="4"/>
      <c r="CQ2316" s="4"/>
      <c r="CR2316" s="4"/>
      <c r="CS2316" s="4"/>
      <c r="CT2316" s="4"/>
      <c r="CU2316" s="4"/>
      <c r="CV2316" s="4"/>
      <c r="CW2316" s="4"/>
      <c r="CX2316" s="4"/>
      <c r="CY2316" s="4"/>
      <c r="CZ2316" s="4"/>
      <c r="DA2316" s="4"/>
      <c r="DB2316" s="4"/>
      <c r="DC2316" s="4"/>
      <c r="DD2316" s="4"/>
      <c r="DE2316" s="4"/>
      <c r="DF2316" s="4"/>
      <c r="DG2316" s="4"/>
      <c r="DH2316" s="4"/>
      <c r="DI2316" s="4"/>
      <c r="DJ2316" s="4"/>
      <c r="DK2316" s="4"/>
      <c r="DL2316" s="4"/>
      <c r="DM2316" s="4"/>
      <c r="DN2316" s="4"/>
      <c r="DO2316" s="4"/>
      <c r="DP2316" s="4"/>
      <c r="DQ2316" s="4"/>
      <c r="DR2316" s="4"/>
      <c r="DS2316" s="4"/>
    </row>
    <row r="2317">
      <c r="A2317" s="4"/>
      <c r="B2317" s="4"/>
      <c r="C2317" s="4"/>
      <c r="D2317" s="4"/>
      <c r="E2317" s="4"/>
      <c r="F2317" s="4" t="s">
        <v>17</v>
      </c>
      <c r="G2317" s="15"/>
      <c r="H2317" s="4"/>
      <c r="I2317" s="4"/>
      <c r="J2317" s="4"/>
      <c r="K2317" s="4"/>
      <c r="L2317" s="4"/>
      <c r="M2317" s="4"/>
      <c r="N2317" s="4"/>
      <c r="O2317" s="4"/>
      <c r="P2317" s="4"/>
      <c r="Q2317" s="4"/>
      <c r="R2317" s="4"/>
      <c r="S2317" s="4"/>
      <c r="T2317" s="4"/>
      <c r="U2317" s="4"/>
      <c r="V2317" s="4"/>
      <c r="W2317" s="4"/>
      <c r="X2317" s="4"/>
      <c r="Y2317" s="4"/>
      <c r="Z2317" s="4"/>
      <c r="AA2317" s="4"/>
      <c r="AB2317" s="4"/>
      <c r="AC2317" s="4"/>
      <c r="AD2317" s="4"/>
      <c r="AE2317" s="4"/>
      <c r="AF2317" s="4"/>
      <c r="AG2317" s="4"/>
      <c r="AH2317" s="4"/>
      <c r="AI2317" s="4"/>
      <c r="AJ2317" s="4"/>
      <c r="AK2317" s="4"/>
      <c r="AL2317" s="4"/>
      <c r="AM2317" s="4"/>
      <c r="AN2317" s="4"/>
      <c r="AO2317" s="4"/>
      <c r="AP2317" s="4"/>
      <c r="AQ2317" s="4"/>
      <c r="AR2317" s="4"/>
      <c r="AS2317" s="4"/>
      <c r="AT2317" s="4"/>
      <c r="AU2317" s="4"/>
      <c r="AV2317" s="4"/>
      <c r="AW2317" s="4"/>
      <c r="AX2317" s="4"/>
      <c r="AY2317" s="4"/>
      <c r="AZ2317" s="4"/>
      <c r="BA2317" s="4"/>
      <c r="BB2317" s="4"/>
      <c r="BC2317" s="4"/>
      <c r="BD2317" s="4"/>
      <c r="BE2317" s="4"/>
      <c r="BF2317" s="4"/>
      <c r="BG2317" s="4"/>
      <c r="BH2317" s="4"/>
      <c r="BI2317" s="4"/>
      <c r="BJ2317" s="4"/>
      <c r="BK2317" s="4"/>
      <c r="BL2317" s="4"/>
      <c r="BM2317" s="4"/>
      <c r="BN2317" s="4"/>
      <c r="BO2317" s="4"/>
      <c r="BP2317" s="4"/>
      <c r="BQ2317" s="4"/>
      <c r="BR2317" s="4"/>
      <c r="BS2317" s="4"/>
      <c r="BT2317" s="4"/>
      <c r="BU2317" s="4"/>
      <c r="BV2317" s="4"/>
      <c r="BW2317" s="4"/>
      <c r="BX2317" s="4"/>
      <c r="BY2317" s="4"/>
      <c r="BZ2317" s="4"/>
      <c r="CA2317" s="4"/>
      <c r="CB2317" s="4"/>
      <c r="CC2317" s="4"/>
      <c r="CD2317" s="4"/>
      <c r="CE2317" s="4"/>
      <c r="CF2317" s="4"/>
      <c r="CG2317" s="4"/>
      <c r="CH2317" s="4"/>
      <c r="CI2317" s="4"/>
      <c r="CJ2317" s="4"/>
      <c r="CK2317" s="4"/>
      <c r="CL2317" s="4"/>
      <c r="CM2317" s="4"/>
      <c r="CN2317" s="4"/>
      <c r="CO2317" s="4"/>
      <c r="CP2317" s="4"/>
      <c r="CQ2317" s="4"/>
      <c r="CR2317" s="4"/>
      <c r="CS2317" s="4"/>
      <c r="CT2317" s="4"/>
      <c r="CU2317" s="4"/>
      <c r="CV2317" s="4"/>
      <c r="CW2317" s="4"/>
      <c r="CX2317" s="4"/>
      <c r="CY2317" s="4"/>
      <c r="CZ2317" s="4"/>
      <c r="DA2317" s="4"/>
      <c r="DB2317" s="4"/>
      <c r="DC2317" s="4"/>
      <c r="DD2317" s="4"/>
      <c r="DE2317" s="4"/>
      <c r="DF2317" s="4"/>
      <c r="DG2317" s="4"/>
      <c r="DH2317" s="4"/>
      <c r="DI2317" s="4"/>
      <c r="DJ2317" s="4"/>
      <c r="DK2317" s="4"/>
      <c r="DL2317" s="4"/>
      <c r="DM2317" s="4"/>
      <c r="DN2317" s="4"/>
      <c r="DO2317" s="4"/>
      <c r="DP2317" s="4"/>
      <c r="DQ2317" s="4"/>
      <c r="DR2317" s="4"/>
      <c r="DS2317" s="4"/>
    </row>
    <row r="2318">
      <c r="A2318" s="4"/>
      <c r="B2318" s="4"/>
      <c r="C2318" s="4"/>
      <c r="D2318" s="4"/>
      <c r="E2318" s="4"/>
      <c r="F2318" s="4" t="s">
        <v>17</v>
      </c>
      <c r="G2318" s="15"/>
      <c r="H2318" s="4"/>
      <c r="I2318" s="4"/>
      <c r="J2318" s="4"/>
      <c r="K2318" s="4"/>
      <c r="L2318" s="4"/>
      <c r="M2318" s="4"/>
      <c r="N2318" s="4"/>
      <c r="O2318" s="4"/>
      <c r="P2318" s="4"/>
      <c r="Q2318" s="4"/>
      <c r="R2318" s="4"/>
      <c r="S2318" s="4"/>
      <c r="T2318" s="4"/>
      <c r="U2318" s="4"/>
      <c r="V2318" s="4"/>
      <c r="W2318" s="4"/>
      <c r="X2318" s="4"/>
      <c r="Y2318" s="4"/>
      <c r="Z2318" s="4"/>
      <c r="AA2318" s="4"/>
      <c r="AB2318" s="4"/>
      <c r="AC2318" s="4"/>
      <c r="AD2318" s="4"/>
      <c r="AE2318" s="4"/>
      <c r="AF2318" s="4"/>
      <c r="AG2318" s="4"/>
      <c r="AH2318" s="4"/>
      <c r="AI2318" s="4"/>
      <c r="AJ2318" s="4"/>
      <c r="AK2318" s="4"/>
      <c r="AL2318" s="4"/>
      <c r="AM2318" s="4"/>
      <c r="AN2318" s="4"/>
      <c r="AO2318" s="4"/>
      <c r="AP2318" s="4"/>
      <c r="AQ2318" s="4"/>
      <c r="AR2318" s="4"/>
      <c r="AS2318" s="4"/>
      <c r="AT2318" s="4"/>
      <c r="AU2318" s="4"/>
      <c r="AV2318" s="4"/>
      <c r="AW2318" s="4"/>
      <c r="AX2318" s="4"/>
      <c r="AY2318" s="4"/>
      <c r="AZ2318" s="4"/>
      <c r="BA2318" s="4"/>
      <c r="BB2318" s="4"/>
      <c r="BC2318" s="4"/>
      <c r="BD2318" s="4"/>
      <c r="BE2318" s="4"/>
      <c r="BF2318" s="4"/>
      <c r="BG2318" s="4"/>
      <c r="BH2318" s="4"/>
      <c r="BI2318" s="4"/>
      <c r="BJ2318" s="4"/>
      <c r="BK2318" s="4"/>
      <c r="BL2318" s="4"/>
      <c r="BM2318" s="4"/>
      <c r="BN2318" s="4"/>
      <c r="BO2318" s="4"/>
      <c r="BP2318" s="4"/>
      <c r="BQ2318" s="4"/>
      <c r="BR2318" s="4"/>
      <c r="BS2318" s="4"/>
      <c r="BT2318" s="4"/>
      <c r="BU2318" s="4"/>
      <c r="BV2318" s="4"/>
      <c r="BW2318" s="4"/>
      <c r="BX2318" s="4"/>
      <c r="BY2318" s="4"/>
      <c r="BZ2318" s="4"/>
      <c r="CA2318" s="4"/>
      <c r="CB2318" s="4"/>
      <c r="CC2318" s="4"/>
      <c r="CD2318" s="4"/>
      <c r="CE2318" s="4"/>
      <c r="CF2318" s="4"/>
      <c r="CG2318" s="4"/>
      <c r="CH2318" s="4"/>
      <c r="CI2318" s="4"/>
      <c r="CJ2318" s="4"/>
      <c r="CK2318" s="4"/>
      <c r="CL2318" s="4"/>
      <c r="CM2318" s="4"/>
      <c r="CN2318" s="4"/>
      <c r="CO2318" s="4"/>
      <c r="CP2318" s="4"/>
      <c r="CQ2318" s="4"/>
      <c r="CR2318" s="4"/>
      <c r="CS2318" s="4"/>
      <c r="CT2318" s="4"/>
      <c r="CU2318" s="4"/>
      <c r="CV2318" s="4"/>
      <c r="CW2318" s="4"/>
      <c r="CX2318" s="4"/>
      <c r="CY2318" s="4"/>
      <c r="CZ2318" s="4"/>
      <c r="DA2318" s="4"/>
      <c r="DB2318" s="4"/>
      <c r="DC2318" s="4"/>
      <c r="DD2318" s="4"/>
      <c r="DE2318" s="4"/>
      <c r="DF2318" s="4"/>
      <c r="DG2318" s="4"/>
      <c r="DH2318" s="4"/>
      <c r="DI2318" s="4"/>
      <c r="DJ2318" s="4"/>
      <c r="DK2318" s="4"/>
      <c r="DL2318" s="4"/>
      <c r="DM2318" s="4"/>
      <c r="DN2318" s="4"/>
      <c r="DO2318" s="4"/>
      <c r="DP2318" s="4"/>
      <c r="DQ2318" s="4"/>
      <c r="DR2318" s="4"/>
      <c r="DS2318" s="4"/>
    </row>
    <row r="2319">
      <c r="A2319" s="4"/>
      <c r="B2319" s="4"/>
      <c r="C2319" s="4"/>
      <c r="D2319" s="4"/>
      <c r="E2319" s="4"/>
      <c r="F2319" s="4" t="s">
        <v>17</v>
      </c>
      <c r="G2319" s="15"/>
      <c r="H2319" s="4"/>
      <c r="I2319" s="4"/>
      <c r="J2319" s="4"/>
      <c r="K2319" s="4"/>
      <c r="L2319" s="4"/>
      <c r="M2319" s="4"/>
      <c r="N2319" s="4"/>
      <c r="O2319" s="4"/>
      <c r="P2319" s="4"/>
      <c r="Q2319" s="4"/>
      <c r="R2319" s="4"/>
      <c r="S2319" s="4"/>
      <c r="T2319" s="4"/>
      <c r="U2319" s="4"/>
      <c r="V2319" s="4"/>
      <c r="W2319" s="4"/>
      <c r="X2319" s="4"/>
      <c r="Y2319" s="4"/>
      <c r="Z2319" s="4"/>
      <c r="AA2319" s="4"/>
      <c r="AB2319" s="4"/>
      <c r="AC2319" s="4"/>
      <c r="AD2319" s="4"/>
      <c r="AE2319" s="4"/>
      <c r="AF2319" s="4"/>
      <c r="AG2319" s="4"/>
      <c r="AH2319" s="4"/>
      <c r="AI2319" s="4"/>
      <c r="AJ2319" s="4"/>
      <c r="AK2319" s="4"/>
      <c r="AL2319" s="4"/>
      <c r="AM2319" s="4"/>
      <c r="AN2319" s="4"/>
      <c r="AO2319" s="4"/>
      <c r="AP2319" s="4"/>
      <c r="AQ2319" s="4"/>
      <c r="AR2319" s="4"/>
      <c r="AS2319" s="4"/>
      <c r="AT2319" s="4"/>
      <c r="AU2319" s="4"/>
      <c r="AV2319" s="4"/>
      <c r="AW2319" s="4"/>
      <c r="AX2319" s="4"/>
      <c r="AY2319" s="4"/>
      <c r="AZ2319" s="4"/>
      <c r="BA2319" s="4"/>
      <c r="BB2319" s="4"/>
      <c r="BC2319" s="4"/>
      <c r="BD2319" s="4"/>
      <c r="BE2319" s="4"/>
      <c r="BF2319" s="4"/>
      <c r="BG2319" s="4"/>
      <c r="BH2319" s="4"/>
      <c r="BI2319" s="4"/>
      <c r="BJ2319" s="4"/>
      <c r="BK2319" s="4"/>
      <c r="BL2319" s="4"/>
      <c r="BM2319" s="4"/>
      <c r="BN2319" s="4"/>
      <c r="BO2319" s="4"/>
      <c r="BP2319" s="4"/>
      <c r="BQ2319" s="4"/>
      <c r="BR2319" s="4"/>
      <c r="BS2319" s="4"/>
      <c r="BT2319" s="4"/>
      <c r="BU2319" s="4"/>
      <c r="BV2319" s="4"/>
      <c r="BW2319" s="4"/>
      <c r="BX2319" s="4"/>
      <c r="BY2319" s="4"/>
      <c r="BZ2319" s="4"/>
      <c r="CA2319" s="4"/>
      <c r="CB2319" s="4"/>
      <c r="CC2319" s="4"/>
      <c r="CD2319" s="4"/>
      <c r="CE2319" s="4"/>
      <c r="CF2319" s="4"/>
      <c r="CG2319" s="4"/>
      <c r="CH2319" s="4"/>
      <c r="CI2319" s="4"/>
      <c r="CJ2319" s="4"/>
      <c r="CK2319" s="4"/>
      <c r="CL2319" s="4"/>
      <c r="CM2319" s="4"/>
      <c r="CN2319" s="4"/>
      <c r="CO2319" s="4"/>
      <c r="CP2319" s="4"/>
      <c r="CQ2319" s="4"/>
      <c r="CR2319" s="4"/>
      <c r="CS2319" s="4"/>
      <c r="CT2319" s="4"/>
      <c r="CU2319" s="4"/>
      <c r="CV2319" s="4"/>
      <c r="CW2319" s="4"/>
      <c r="CX2319" s="4"/>
      <c r="CY2319" s="4"/>
      <c r="CZ2319" s="4"/>
      <c r="DA2319" s="4"/>
      <c r="DB2319" s="4"/>
      <c r="DC2319" s="4"/>
      <c r="DD2319" s="4"/>
      <c r="DE2319" s="4"/>
      <c r="DF2319" s="4"/>
      <c r="DG2319" s="4"/>
      <c r="DH2319" s="4"/>
      <c r="DI2319" s="4"/>
      <c r="DJ2319" s="4"/>
      <c r="DK2319" s="4"/>
      <c r="DL2319" s="4"/>
      <c r="DM2319" s="4"/>
      <c r="DN2319" s="4"/>
      <c r="DO2319" s="4"/>
      <c r="DP2319" s="4"/>
      <c r="DQ2319" s="4"/>
      <c r="DR2319" s="4"/>
      <c r="DS2319" s="4"/>
    </row>
    <row r="2320">
      <c r="A2320" s="4"/>
      <c r="B2320" s="4"/>
      <c r="C2320" s="4"/>
      <c r="D2320" s="4"/>
      <c r="E2320" s="4"/>
      <c r="F2320" s="4" t="s">
        <v>17</v>
      </c>
      <c r="G2320" s="15"/>
      <c r="H2320" s="4"/>
      <c r="I2320" s="4"/>
      <c r="J2320" s="4"/>
      <c r="K2320" s="4"/>
      <c r="L2320" s="4"/>
      <c r="M2320" s="4"/>
      <c r="N2320" s="4"/>
      <c r="O2320" s="4"/>
      <c r="P2320" s="4"/>
      <c r="Q2320" s="4"/>
      <c r="R2320" s="4"/>
      <c r="S2320" s="4"/>
      <c r="T2320" s="4"/>
      <c r="U2320" s="4"/>
      <c r="V2320" s="4"/>
      <c r="W2320" s="4"/>
      <c r="X2320" s="4"/>
      <c r="Y2320" s="4"/>
      <c r="Z2320" s="4"/>
      <c r="AA2320" s="4"/>
      <c r="AB2320" s="4"/>
      <c r="AC2320" s="4"/>
      <c r="AD2320" s="4"/>
      <c r="AE2320" s="4"/>
      <c r="AF2320" s="4"/>
      <c r="AG2320" s="4"/>
      <c r="AH2320" s="4"/>
      <c r="AI2320" s="4"/>
      <c r="AJ2320" s="4"/>
      <c r="AK2320" s="4"/>
      <c r="AL2320" s="4"/>
      <c r="AM2320" s="4"/>
      <c r="AN2320" s="4"/>
      <c r="AO2320" s="4"/>
      <c r="AP2320" s="4"/>
      <c r="AQ2320" s="4"/>
      <c r="AR2320" s="4"/>
      <c r="AS2320" s="4"/>
      <c r="AT2320" s="4"/>
      <c r="AU2320" s="4"/>
      <c r="AV2320" s="4"/>
      <c r="AW2320" s="4"/>
      <c r="AX2320" s="4"/>
      <c r="AY2320" s="4"/>
      <c r="AZ2320" s="4"/>
      <c r="BA2320" s="4"/>
      <c r="BB2320" s="4"/>
      <c r="BC2320" s="4"/>
      <c r="BD2320" s="4"/>
      <c r="BE2320" s="4"/>
      <c r="BF2320" s="4"/>
      <c r="BG2320" s="4"/>
      <c r="BH2320" s="4"/>
      <c r="BI2320" s="4"/>
      <c r="BJ2320" s="4"/>
      <c r="BK2320" s="4"/>
      <c r="BL2320" s="4"/>
      <c r="BM2320" s="4"/>
      <c r="BN2320" s="4"/>
      <c r="BO2320" s="4"/>
      <c r="BP2320" s="4"/>
      <c r="BQ2320" s="4"/>
      <c r="BR2320" s="4"/>
      <c r="BS2320" s="4"/>
      <c r="BT2320" s="4"/>
      <c r="BU2320" s="4"/>
      <c r="BV2320" s="4"/>
      <c r="BW2320" s="4"/>
      <c r="BX2320" s="4"/>
      <c r="BY2320" s="4"/>
      <c r="BZ2320" s="4"/>
      <c r="CA2320" s="4"/>
      <c r="CB2320" s="4"/>
      <c r="CC2320" s="4"/>
      <c r="CD2320" s="4"/>
      <c r="CE2320" s="4"/>
      <c r="CF2320" s="4"/>
      <c r="CG2320" s="4"/>
      <c r="CH2320" s="4"/>
      <c r="CI2320" s="4"/>
      <c r="CJ2320" s="4"/>
      <c r="CK2320" s="4"/>
      <c r="CL2320" s="4"/>
      <c r="CM2320" s="4"/>
      <c r="CN2320" s="4"/>
      <c r="CO2320" s="4"/>
      <c r="CP2320" s="4"/>
      <c r="CQ2320" s="4"/>
      <c r="CR2320" s="4"/>
      <c r="CS2320" s="4"/>
      <c r="CT2320" s="4"/>
      <c r="CU2320" s="4"/>
      <c r="CV2320" s="4"/>
      <c r="CW2320" s="4"/>
      <c r="CX2320" s="4"/>
      <c r="CY2320" s="4"/>
      <c r="CZ2320" s="4"/>
      <c r="DA2320" s="4"/>
      <c r="DB2320" s="4"/>
      <c r="DC2320" s="4"/>
      <c r="DD2320" s="4"/>
      <c r="DE2320" s="4"/>
      <c r="DF2320" s="4"/>
      <c r="DG2320" s="4"/>
      <c r="DH2320" s="4"/>
      <c r="DI2320" s="4"/>
      <c r="DJ2320" s="4"/>
      <c r="DK2320" s="4"/>
      <c r="DL2320" s="4"/>
      <c r="DM2320" s="4"/>
      <c r="DN2320" s="4"/>
      <c r="DO2320" s="4"/>
      <c r="DP2320" s="4"/>
      <c r="DQ2320" s="4"/>
      <c r="DR2320" s="4"/>
      <c r="DS2320" s="4"/>
    </row>
    <row r="2321">
      <c r="A2321" s="4"/>
      <c r="B2321" s="4"/>
      <c r="C2321" s="4"/>
      <c r="D2321" s="4"/>
      <c r="E2321" s="4"/>
      <c r="F2321" s="4" t="s">
        <v>17</v>
      </c>
      <c r="G2321" s="15"/>
      <c r="H2321" s="4"/>
      <c r="I2321" s="4"/>
      <c r="J2321" s="4"/>
      <c r="K2321" s="4"/>
      <c r="L2321" s="4"/>
      <c r="M2321" s="4"/>
      <c r="N2321" s="4"/>
      <c r="O2321" s="4"/>
      <c r="P2321" s="4"/>
      <c r="Q2321" s="4"/>
      <c r="R2321" s="4"/>
      <c r="S2321" s="4"/>
      <c r="T2321" s="4"/>
      <c r="U2321" s="4"/>
      <c r="V2321" s="4"/>
      <c r="W2321" s="4"/>
      <c r="X2321" s="4"/>
      <c r="Y2321" s="4"/>
      <c r="Z2321" s="4"/>
      <c r="AA2321" s="4"/>
      <c r="AB2321" s="4"/>
      <c r="AC2321" s="4"/>
      <c r="AD2321" s="4"/>
      <c r="AE2321" s="4"/>
      <c r="AF2321" s="4"/>
      <c r="AG2321" s="4"/>
      <c r="AH2321" s="4"/>
      <c r="AI2321" s="4"/>
      <c r="AJ2321" s="4"/>
      <c r="AK2321" s="4"/>
      <c r="AL2321" s="4"/>
      <c r="AM2321" s="4"/>
      <c r="AN2321" s="4"/>
      <c r="AO2321" s="4"/>
      <c r="AP2321" s="4"/>
      <c r="AQ2321" s="4"/>
      <c r="AR2321" s="4"/>
      <c r="AS2321" s="4"/>
      <c r="AT2321" s="4"/>
      <c r="AU2321" s="4"/>
      <c r="AV2321" s="4"/>
      <c r="AW2321" s="4"/>
      <c r="AX2321" s="4"/>
      <c r="AY2321" s="4"/>
      <c r="AZ2321" s="4"/>
      <c r="BA2321" s="4"/>
      <c r="BB2321" s="4"/>
      <c r="BC2321" s="4"/>
      <c r="BD2321" s="4"/>
      <c r="BE2321" s="4"/>
      <c r="BF2321" s="4"/>
      <c r="BG2321" s="4"/>
      <c r="BH2321" s="4"/>
      <c r="BI2321" s="4"/>
      <c r="BJ2321" s="4"/>
      <c r="BK2321" s="4"/>
      <c r="BL2321" s="4"/>
      <c r="BM2321" s="4"/>
      <c r="BN2321" s="4"/>
      <c r="BO2321" s="4"/>
      <c r="BP2321" s="4"/>
      <c r="BQ2321" s="4"/>
      <c r="BR2321" s="4"/>
      <c r="BS2321" s="4"/>
      <c r="BT2321" s="4"/>
      <c r="BU2321" s="4"/>
      <c r="BV2321" s="4"/>
      <c r="BW2321" s="4"/>
      <c r="BX2321" s="4"/>
      <c r="BY2321" s="4"/>
      <c r="BZ2321" s="4"/>
      <c r="CA2321" s="4"/>
      <c r="CB2321" s="4"/>
      <c r="CC2321" s="4"/>
      <c r="CD2321" s="4"/>
      <c r="CE2321" s="4"/>
      <c r="CF2321" s="4"/>
      <c r="CG2321" s="4"/>
      <c r="CH2321" s="4"/>
      <c r="CI2321" s="4"/>
      <c r="CJ2321" s="4"/>
      <c r="CK2321" s="4"/>
      <c r="CL2321" s="4"/>
      <c r="CM2321" s="4"/>
      <c r="CN2321" s="4"/>
      <c r="CO2321" s="4"/>
      <c r="CP2321" s="4"/>
      <c r="CQ2321" s="4"/>
      <c r="CR2321" s="4"/>
      <c r="CS2321" s="4"/>
      <c r="CT2321" s="4"/>
      <c r="CU2321" s="4"/>
      <c r="CV2321" s="4"/>
      <c r="CW2321" s="4"/>
      <c r="CX2321" s="4"/>
      <c r="CY2321" s="4"/>
      <c r="CZ2321" s="4"/>
      <c r="DA2321" s="4"/>
      <c r="DB2321" s="4"/>
      <c r="DC2321" s="4"/>
      <c r="DD2321" s="4"/>
      <c r="DE2321" s="4"/>
      <c r="DF2321" s="4"/>
      <c r="DG2321" s="4"/>
      <c r="DH2321" s="4"/>
      <c r="DI2321" s="4"/>
      <c r="DJ2321" s="4"/>
      <c r="DK2321" s="4"/>
      <c r="DL2321" s="4"/>
      <c r="DM2321" s="4"/>
      <c r="DN2321" s="4"/>
      <c r="DO2321" s="4"/>
      <c r="DP2321" s="4"/>
      <c r="DQ2321" s="4"/>
      <c r="DR2321" s="4"/>
      <c r="DS2321" s="4"/>
    </row>
    <row r="2322">
      <c r="A2322" s="4"/>
      <c r="B2322" s="4"/>
      <c r="C2322" s="4"/>
      <c r="D2322" s="4"/>
      <c r="E2322" s="4"/>
      <c r="F2322" s="4" t="s">
        <v>17</v>
      </c>
      <c r="G2322" s="15"/>
      <c r="H2322" s="4"/>
      <c r="I2322" s="4"/>
      <c r="J2322" s="4"/>
      <c r="K2322" s="4"/>
      <c r="L2322" s="4"/>
      <c r="M2322" s="4"/>
      <c r="N2322" s="4"/>
      <c r="O2322" s="4"/>
      <c r="P2322" s="4"/>
      <c r="Q2322" s="4"/>
      <c r="R2322" s="4"/>
      <c r="S2322" s="4"/>
      <c r="T2322" s="4"/>
      <c r="U2322" s="4"/>
      <c r="V2322" s="4"/>
      <c r="W2322" s="4"/>
      <c r="X2322" s="4"/>
      <c r="Y2322" s="4"/>
      <c r="Z2322" s="4"/>
      <c r="AA2322" s="4"/>
      <c r="AB2322" s="4"/>
      <c r="AC2322" s="4"/>
      <c r="AD2322" s="4"/>
      <c r="AE2322" s="4"/>
      <c r="AF2322" s="4"/>
      <c r="AG2322" s="4"/>
      <c r="AH2322" s="4"/>
      <c r="AI2322" s="4"/>
      <c r="AJ2322" s="4"/>
      <c r="AK2322" s="4"/>
      <c r="AL2322" s="4"/>
      <c r="AM2322" s="4"/>
      <c r="AN2322" s="4"/>
      <c r="AO2322" s="4"/>
      <c r="AP2322" s="4"/>
      <c r="AQ2322" s="4"/>
      <c r="AR2322" s="4"/>
      <c r="AS2322" s="4"/>
      <c r="AT2322" s="4"/>
      <c r="AU2322" s="4"/>
      <c r="AV2322" s="4"/>
      <c r="AW2322" s="4"/>
      <c r="AX2322" s="4"/>
      <c r="AY2322" s="4"/>
      <c r="AZ2322" s="4"/>
      <c r="BA2322" s="4"/>
      <c r="BB2322" s="4"/>
      <c r="BC2322" s="4"/>
      <c r="BD2322" s="4"/>
      <c r="BE2322" s="4"/>
      <c r="BF2322" s="4"/>
      <c r="BG2322" s="4"/>
      <c r="BH2322" s="4"/>
      <c r="BI2322" s="4"/>
      <c r="BJ2322" s="4"/>
      <c r="BK2322" s="4"/>
      <c r="BL2322" s="4"/>
      <c r="BM2322" s="4"/>
      <c r="BN2322" s="4"/>
      <c r="BO2322" s="4"/>
      <c r="BP2322" s="4"/>
      <c r="BQ2322" s="4"/>
      <c r="BR2322" s="4"/>
      <c r="BS2322" s="4"/>
      <c r="BT2322" s="4"/>
      <c r="BU2322" s="4"/>
      <c r="BV2322" s="4"/>
      <c r="BW2322" s="4"/>
      <c r="BX2322" s="4"/>
      <c r="BY2322" s="4"/>
      <c r="BZ2322" s="4"/>
      <c r="CA2322" s="4"/>
      <c r="CB2322" s="4"/>
      <c r="CC2322" s="4"/>
      <c r="CD2322" s="4"/>
      <c r="CE2322" s="4"/>
      <c r="CF2322" s="4"/>
      <c r="CG2322" s="4"/>
      <c r="CH2322" s="4"/>
      <c r="CI2322" s="4"/>
      <c r="CJ2322" s="4"/>
      <c r="CK2322" s="4"/>
      <c r="CL2322" s="4"/>
      <c r="CM2322" s="4"/>
      <c r="CN2322" s="4"/>
      <c r="CO2322" s="4"/>
      <c r="CP2322" s="4"/>
      <c r="CQ2322" s="4"/>
      <c r="CR2322" s="4"/>
      <c r="CS2322" s="4"/>
      <c r="CT2322" s="4"/>
      <c r="CU2322" s="4"/>
      <c r="CV2322" s="4"/>
      <c r="CW2322" s="4"/>
      <c r="CX2322" s="4"/>
      <c r="CY2322" s="4"/>
      <c r="CZ2322" s="4"/>
      <c r="DA2322" s="4"/>
      <c r="DB2322" s="4"/>
      <c r="DC2322" s="4"/>
      <c r="DD2322" s="4"/>
      <c r="DE2322" s="4"/>
      <c r="DF2322" s="4"/>
      <c r="DG2322" s="4"/>
      <c r="DH2322" s="4"/>
      <c r="DI2322" s="4"/>
      <c r="DJ2322" s="4"/>
      <c r="DK2322" s="4"/>
      <c r="DL2322" s="4"/>
      <c r="DM2322" s="4"/>
      <c r="DN2322" s="4"/>
      <c r="DO2322" s="4"/>
      <c r="DP2322" s="4"/>
      <c r="DQ2322" s="4"/>
      <c r="DR2322" s="4"/>
      <c r="DS2322" s="4"/>
    </row>
    <row r="2323">
      <c r="A2323" s="4"/>
      <c r="B2323" s="4"/>
      <c r="C2323" s="4"/>
      <c r="D2323" s="4"/>
      <c r="E2323" s="4"/>
      <c r="F2323" s="4" t="s">
        <v>17</v>
      </c>
      <c r="G2323" s="15"/>
      <c r="H2323" s="4"/>
      <c r="I2323" s="4"/>
      <c r="J2323" s="4"/>
      <c r="K2323" s="4"/>
      <c r="L2323" s="4"/>
      <c r="M2323" s="4"/>
      <c r="N2323" s="4"/>
      <c r="O2323" s="4"/>
      <c r="P2323" s="4"/>
      <c r="Q2323" s="4"/>
      <c r="R2323" s="4"/>
      <c r="S2323" s="4"/>
      <c r="T2323" s="4"/>
      <c r="U2323" s="4"/>
      <c r="V2323" s="4"/>
      <c r="W2323" s="4"/>
      <c r="X2323" s="4"/>
      <c r="Y2323" s="4"/>
      <c r="Z2323" s="4"/>
      <c r="AA2323" s="4"/>
      <c r="AB2323" s="4"/>
      <c r="AC2323" s="4"/>
      <c r="AD2323" s="4"/>
      <c r="AE2323" s="4"/>
      <c r="AF2323" s="4"/>
      <c r="AG2323" s="4"/>
      <c r="AH2323" s="4"/>
      <c r="AI2323" s="4"/>
      <c r="AJ2323" s="4"/>
      <c r="AK2323" s="4"/>
      <c r="AL2323" s="4"/>
      <c r="AM2323" s="4"/>
      <c r="AN2323" s="4"/>
      <c r="AO2323" s="4"/>
      <c r="AP2323" s="4"/>
      <c r="AQ2323" s="4"/>
      <c r="AR2323" s="4"/>
      <c r="AS2323" s="4"/>
      <c r="AT2323" s="4"/>
      <c r="AU2323" s="4"/>
      <c r="AV2323" s="4"/>
      <c r="AW2323" s="4"/>
      <c r="AX2323" s="4"/>
      <c r="AY2323" s="4"/>
      <c r="AZ2323" s="4"/>
      <c r="BA2323" s="4"/>
      <c r="BB2323" s="4"/>
      <c r="BC2323" s="4"/>
      <c r="BD2323" s="4"/>
      <c r="BE2323" s="4"/>
      <c r="BF2323" s="4"/>
      <c r="BG2323" s="4"/>
      <c r="BH2323" s="4"/>
      <c r="BI2323" s="4"/>
      <c r="BJ2323" s="4"/>
      <c r="BK2323" s="4"/>
      <c r="BL2323" s="4"/>
      <c r="BM2323" s="4"/>
      <c r="BN2323" s="4"/>
      <c r="BO2323" s="4"/>
      <c r="BP2323" s="4"/>
      <c r="BQ2323" s="4"/>
      <c r="BR2323" s="4"/>
      <c r="BS2323" s="4"/>
      <c r="BT2323" s="4"/>
      <c r="BU2323" s="4"/>
      <c r="BV2323" s="4"/>
      <c r="BW2323" s="4"/>
      <c r="BX2323" s="4"/>
      <c r="BY2323" s="4"/>
      <c r="BZ2323" s="4"/>
      <c r="CA2323" s="4"/>
      <c r="CB2323" s="4"/>
      <c r="CC2323" s="4"/>
      <c r="CD2323" s="4"/>
      <c r="CE2323" s="4"/>
      <c r="CF2323" s="4"/>
      <c r="CG2323" s="4"/>
      <c r="CH2323" s="4"/>
      <c r="CI2323" s="4"/>
      <c r="CJ2323" s="4"/>
      <c r="CK2323" s="4"/>
      <c r="CL2323" s="4"/>
      <c r="CM2323" s="4"/>
      <c r="CN2323" s="4"/>
      <c r="CO2323" s="4"/>
      <c r="CP2323" s="4"/>
      <c r="CQ2323" s="4"/>
      <c r="CR2323" s="4"/>
      <c r="CS2323" s="4"/>
      <c r="CT2323" s="4"/>
      <c r="CU2323" s="4"/>
      <c r="CV2323" s="4"/>
      <c r="CW2323" s="4"/>
      <c r="CX2323" s="4"/>
      <c r="CY2323" s="4"/>
      <c r="CZ2323" s="4"/>
      <c r="DA2323" s="4"/>
      <c r="DB2323" s="4"/>
      <c r="DC2323" s="4"/>
      <c r="DD2323" s="4"/>
      <c r="DE2323" s="4"/>
      <c r="DF2323" s="4"/>
      <c r="DG2323" s="4"/>
      <c r="DH2323" s="4"/>
      <c r="DI2323" s="4"/>
      <c r="DJ2323" s="4"/>
      <c r="DK2323" s="4"/>
      <c r="DL2323" s="4"/>
      <c r="DM2323" s="4"/>
      <c r="DN2323" s="4"/>
      <c r="DO2323" s="4"/>
      <c r="DP2323" s="4"/>
      <c r="DQ2323" s="4"/>
      <c r="DR2323" s="4"/>
      <c r="DS2323" s="4"/>
    </row>
    <row r="2324">
      <c r="A2324" s="4"/>
      <c r="B2324" s="4"/>
      <c r="C2324" s="4"/>
      <c r="D2324" s="4"/>
      <c r="E2324" s="4"/>
      <c r="F2324" s="4" t="s">
        <v>17</v>
      </c>
      <c r="G2324" s="15"/>
      <c r="H2324" s="4"/>
      <c r="I2324" s="4"/>
      <c r="J2324" s="4"/>
      <c r="K2324" s="4"/>
      <c r="L2324" s="4"/>
      <c r="M2324" s="4"/>
      <c r="N2324" s="4"/>
      <c r="O2324" s="4"/>
      <c r="P2324" s="4"/>
      <c r="Q2324" s="4"/>
      <c r="R2324" s="4"/>
      <c r="S2324" s="4"/>
      <c r="T2324" s="4"/>
      <c r="U2324" s="4"/>
      <c r="V2324" s="4"/>
      <c r="W2324" s="4"/>
      <c r="X2324" s="4"/>
      <c r="Y2324" s="4"/>
      <c r="Z2324" s="4"/>
      <c r="AA2324" s="4"/>
      <c r="AB2324" s="4"/>
      <c r="AC2324" s="4"/>
      <c r="AD2324" s="4"/>
      <c r="AE2324" s="4"/>
      <c r="AF2324" s="4"/>
      <c r="AG2324" s="4"/>
      <c r="AH2324" s="4"/>
      <c r="AI2324" s="4"/>
      <c r="AJ2324" s="4"/>
      <c r="AK2324" s="4"/>
      <c r="AL2324" s="4"/>
      <c r="AM2324" s="4"/>
      <c r="AN2324" s="4"/>
      <c r="AO2324" s="4"/>
      <c r="AP2324" s="4"/>
      <c r="AQ2324" s="4"/>
      <c r="AR2324" s="4"/>
      <c r="AS2324" s="4"/>
      <c r="AT2324" s="4"/>
      <c r="AU2324" s="4"/>
      <c r="AV2324" s="4"/>
      <c r="AW2324" s="4"/>
      <c r="AX2324" s="4"/>
      <c r="AY2324" s="4"/>
      <c r="AZ2324" s="4"/>
      <c r="BA2324" s="4"/>
      <c r="BB2324" s="4"/>
      <c r="BC2324" s="4"/>
      <c r="BD2324" s="4"/>
      <c r="BE2324" s="4"/>
      <c r="BF2324" s="4"/>
      <c r="BG2324" s="4"/>
      <c r="BH2324" s="4"/>
      <c r="BI2324" s="4"/>
      <c r="BJ2324" s="4"/>
      <c r="BK2324" s="4"/>
      <c r="BL2324" s="4"/>
      <c r="BM2324" s="4"/>
      <c r="BN2324" s="4"/>
      <c r="BO2324" s="4"/>
      <c r="BP2324" s="4"/>
      <c r="BQ2324" s="4"/>
      <c r="BR2324" s="4"/>
      <c r="BS2324" s="4"/>
      <c r="BT2324" s="4"/>
      <c r="BU2324" s="4"/>
      <c r="BV2324" s="4"/>
      <c r="BW2324" s="4"/>
      <c r="BX2324" s="4"/>
      <c r="BY2324" s="4"/>
      <c r="BZ2324" s="4"/>
      <c r="CA2324" s="4"/>
      <c r="CB2324" s="4"/>
      <c r="CC2324" s="4"/>
      <c r="CD2324" s="4"/>
      <c r="CE2324" s="4"/>
      <c r="CF2324" s="4"/>
      <c r="CG2324" s="4"/>
      <c r="CH2324" s="4"/>
      <c r="CI2324" s="4"/>
      <c r="CJ2324" s="4"/>
      <c r="CK2324" s="4"/>
      <c r="CL2324" s="4"/>
      <c r="CM2324" s="4"/>
      <c r="CN2324" s="4"/>
      <c r="CO2324" s="4"/>
      <c r="CP2324" s="4"/>
      <c r="CQ2324" s="4"/>
      <c r="CR2324" s="4"/>
      <c r="CS2324" s="4"/>
      <c r="CT2324" s="4"/>
      <c r="CU2324" s="4"/>
      <c r="CV2324" s="4"/>
      <c r="CW2324" s="4"/>
      <c r="CX2324" s="4"/>
      <c r="CY2324" s="4"/>
      <c r="CZ2324" s="4"/>
      <c r="DA2324" s="4"/>
      <c r="DB2324" s="4"/>
      <c r="DC2324" s="4"/>
      <c r="DD2324" s="4"/>
      <c r="DE2324" s="4"/>
      <c r="DF2324" s="4"/>
      <c r="DG2324" s="4"/>
      <c r="DH2324" s="4"/>
      <c r="DI2324" s="4"/>
      <c r="DJ2324" s="4"/>
      <c r="DK2324" s="4"/>
      <c r="DL2324" s="4"/>
      <c r="DM2324" s="4"/>
      <c r="DN2324" s="4"/>
      <c r="DO2324" s="4"/>
      <c r="DP2324" s="4"/>
      <c r="DQ2324" s="4"/>
      <c r="DR2324" s="4"/>
      <c r="DS2324" s="4"/>
    </row>
    <row r="2325">
      <c r="A2325" s="4"/>
      <c r="B2325" s="4"/>
      <c r="C2325" s="4"/>
      <c r="D2325" s="4"/>
      <c r="E2325" s="4"/>
      <c r="F2325" s="4" t="s">
        <v>17</v>
      </c>
      <c r="G2325" s="15"/>
      <c r="H2325" s="4"/>
      <c r="I2325" s="4"/>
      <c r="J2325" s="4"/>
      <c r="K2325" s="4"/>
      <c r="L2325" s="4"/>
      <c r="M2325" s="4"/>
      <c r="N2325" s="4"/>
      <c r="O2325" s="4"/>
      <c r="P2325" s="4"/>
      <c r="Q2325" s="4"/>
      <c r="R2325" s="4"/>
      <c r="S2325" s="4"/>
      <c r="T2325" s="4"/>
      <c r="U2325" s="4"/>
      <c r="V2325" s="4"/>
      <c r="W2325" s="4"/>
      <c r="X2325" s="4"/>
      <c r="Y2325" s="4"/>
      <c r="Z2325" s="4"/>
      <c r="AA2325" s="4"/>
      <c r="AB2325" s="4"/>
      <c r="AC2325" s="4"/>
      <c r="AD2325" s="4"/>
      <c r="AE2325" s="4"/>
      <c r="AF2325" s="4"/>
      <c r="AG2325" s="4"/>
      <c r="AH2325" s="4"/>
      <c r="AI2325" s="4"/>
      <c r="AJ2325" s="4"/>
      <c r="AK2325" s="4"/>
      <c r="AL2325" s="4"/>
      <c r="AM2325" s="4"/>
      <c r="AN2325" s="4"/>
      <c r="AO2325" s="4"/>
      <c r="AP2325" s="4"/>
      <c r="AQ2325" s="4"/>
      <c r="AR2325" s="4"/>
      <c r="AS2325" s="4"/>
      <c r="AT2325" s="4"/>
      <c r="AU2325" s="4"/>
      <c r="AV2325" s="4"/>
      <c r="AW2325" s="4"/>
      <c r="AX2325" s="4"/>
      <c r="AY2325" s="4"/>
      <c r="AZ2325" s="4"/>
      <c r="BA2325" s="4"/>
      <c r="BB2325" s="4"/>
      <c r="BC2325" s="4"/>
      <c r="BD2325" s="4"/>
      <c r="BE2325" s="4"/>
      <c r="BF2325" s="4"/>
      <c r="BG2325" s="4"/>
      <c r="BH2325" s="4"/>
      <c r="BI2325" s="4"/>
      <c r="BJ2325" s="4"/>
      <c r="BK2325" s="4"/>
      <c r="BL2325" s="4"/>
      <c r="BM2325" s="4"/>
      <c r="BN2325" s="4"/>
      <c r="BO2325" s="4"/>
      <c r="BP2325" s="4"/>
      <c r="BQ2325" s="4"/>
      <c r="BR2325" s="4"/>
      <c r="BS2325" s="4"/>
      <c r="BT2325" s="4"/>
      <c r="BU2325" s="4"/>
      <c r="BV2325" s="4"/>
      <c r="BW2325" s="4"/>
      <c r="BX2325" s="4"/>
      <c r="BY2325" s="4"/>
      <c r="BZ2325" s="4"/>
      <c r="CA2325" s="4"/>
      <c r="CB2325" s="4"/>
      <c r="CC2325" s="4"/>
      <c r="CD2325" s="4"/>
      <c r="CE2325" s="4"/>
      <c r="CF2325" s="4"/>
      <c r="CG2325" s="4"/>
      <c r="CH2325" s="4"/>
      <c r="CI2325" s="4"/>
      <c r="CJ2325" s="4"/>
      <c r="CK2325" s="4"/>
      <c r="CL2325" s="4"/>
      <c r="CM2325" s="4"/>
      <c r="CN2325" s="4"/>
      <c r="CO2325" s="4"/>
      <c r="CP2325" s="4"/>
      <c r="CQ2325" s="4"/>
      <c r="CR2325" s="4"/>
      <c r="CS2325" s="4"/>
      <c r="CT2325" s="4"/>
      <c r="CU2325" s="4"/>
      <c r="CV2325" s="4"/>
      <c r="CW2325" s="4"/>
      <c r="CX2325" s="4"/>
      <c r="CY2325" s="4"/>
      <c r="CZ2325" s="4"/>
      <c r="DA2325" s="4"/>
      <c r="DB2325" s="4"/>
      <c r="DC2325" s="4"/>
      <c r="DD2325" s="4"/>
      <c r="DE2325" s="4"/>
      <c r="DF2325" s="4"/>
      <c r="DG2325" s="4"/>
      <c r="DH2325" s="4"/>
      <c r="DI2325" s="4"/>
      <c r="DJ2325" s="4"/>
      <c r="DK2325" s="4"/>
      <c r="DL2325" s="4"/>
      <c r="DM2325" s="4"/>
      <c r="DN2325" s="4"/>
      <c r="DO2325" s="4"/>
      <c r="DP2325" s="4"/>
      <c r="DQ2325" s="4"/>
      <c r="DR2325" s="4"/>
      <c r="DS2325" s="4"/>
    </row>
    <row r="2326">
      <c r="A2326" s="4"/>
      <c r="B2326" s="4"/>
      <c r="C2326" s="4"/>
      <c r="D2326" s="4"/>
      <c r="E2326" s="4"/>
      <c r="F2326" s="4" t="s">
        <v>17</v>
      </c>
      <c r="G2326" s="15"/>
      <c r="H2326" s="4"/>
      <c r="I2326" s="4"/>
      <c r="J2326" s="4"/>
      <c r="K2326" s="4"/>
      <c r="L2326" s="4"/>
      <c r="M2326" s="4"/>
      <c r="N2326" s="4"/>
      <c r="O2326" s="4"/>
      <c r="P2326" s="4"/>
      <c r="Q2326" s="4"/>
      <c r="R2326" s="4"/>
      <c r="S2326" s="4"/>
      <c r="T2326" s="4"/>
      <c r="U2326" s="4"/>
      <c r="V2326" s="4"/>
      <c r="W2326" s="4"/>
      <c r="X2326" s="4"/>
      <c r="Y2326" s="4"/>
      <c r="Z2326" s="4"/>
      <c r="AA2326" s="4"/>
      <c r="AB2326" s="4"/>
      <c r="AC2326" s="4"/>
      <c r="AD2326" s="4"/>
      <c r="AE2326" s="4"/>
      <c r="AF2326" s="4"/>
      <c r="AG2326" s="4"/>
      <c r="AH2326" s="4"/>
      <c r="AI2326" s="4"/>
      <c r="AJ2326" s="4"/>
      <c r="AK2326" s="4"/>
      <c r="AL2326" s="4"/>
      <c r="AM2326" s="4"/>
      <c r="AN2326" s="4"/>
      <c r="AO2326" s="4"/>
      <c r="AP2326" s="4"/>
      <c r="AQ2326" s="4"/>
      <c r="AR2326" s="4"/>
      <c r="AS2326" s="4"/>
      <c r="AT2326" s="4"/>
      <c r="AU2326" s="4"/>
      <c r="AV2326" s="4"/>
      <c r="AW2326" s="4"/>
      <c r="AX2326" s="4"/>
      <c r="AY2326" s="4"/>
      <c r="AZ2326" s="4"/>
      <c r="BA2326" s="4"/>
      <c r="BB2326" s="4"/>
      <c r="BC2326" s="4"/>
      <c r="BD2326" s="4"/>
      <c r="BE2326" s="4"/>
      <c r="BF2326" s="4"/>
      <c r="BG2326" s="4"/>
      <c r="BH2326" s="4"/>
      <c r="BI2326" s="4"/>
      <c r="BJ2326" s="4"/>
      <c r="BK2326" s="4"/>
      <c r="BL2326" s="4"/>
      <c r="BM2326" s="4"/>
      <c r="BN2326" s="4"/>
      <c r="BO2326" s="4"/>
      <c r="BP2326" s="4"/>
      <c r="BQ2326" s="4"/>
      <c r="BR2326" s="4"/>
      <c r="BS2326" s="4"/>
      <c r="BT2326" s="4"/>
      <c r="BU2326" s="4"/>
      <c r="BV2326" s="4"/>
      <c r="BW2326" s="4"/>
      <c r="BX2326" s="4"/>
      <c r="BY2326" s="4"/>
      <c r="BZ2326" s="4"/>
      <c r="CA2326" s="4"/>
      <c r="CB2326" s="4"/>
      <c r="CC2326" s="4"/>
      <c r="CD2326" s="4"/>
      <c r="CE2326" s="4"/>
      <c r="CF2326" s="4"/>
      <c r="CG2326" s="4"/>
      <c r="CH2326" s="4"/>
      <c r="CI2326" s="4"/>
      <c r="CJ2326" s="4"/>
      <c r="CK2326" s="4"/>
      <c r="CL2326" s="4"/>
      <c r="CM2326" s="4"/>
      <c r="CN2326" s="4"/>
      <c r="CO2326" s="4"/>
      <c r="CP2326" s="4"/>
      <c r="CQ2326" s="4"/>
      <c r="CR2326" s="4"/>
      <c r="CS2326" s="4"/>
      <c r="CT2326" s="4"/>
      <c r="CU2326" s="4"/>
      <c r="CV2326" s="4"/>
      <c r="CW2326" s="4"/>
      <c r="CX2326" s="4"/>
      <c r="CY2326" s="4"/>
      <c r="CZ2326" s="4"/>
      <c r="DA2326" s="4"/>
      <c r="DB2326" s="4"/>
      <c r="DC2326" s="4"/>
      <c r="DD2326" s="4"/>
      <c r="DE2326" s="4"/>
      <c r="DF2326" s="4"/>
      <c r="DG2326" s="4"/>
      <c r="DH2326" s="4"/>
      <c r="DI2326" s="4"/>
      <c r="DJ2326" s="4"/>
      <c r="DK2326" s="4"/>
      <c r="DL2326" s="4"/>
      <c r="DM2326" s="4"/>
      <c r="DN2326" s="4"/>
      <c r="DO2326" s="4"/>
      <c r="DP2326" s="4"/>
      <c r="DQ2326" s="4"/>
      <c r="DR2326" s="4"/>
      <c r="DS2326" s="4"/>
    </row>
    <row r="2327">
      <c r="A2327" s="4"/>
      <c r="B2327" s="4"/>
      <c r="C2327" s="4"/>
      <c r="D2327" s="4"/>
      <c r="E2327" s="4"/>
      <c r="F2327" s="4" t="s">
        <v>17</v>
      </c>
      <c r="G2327" s="15"/>
      <c r="H2327" s="4"/>
      <c r="I2327" s="4"/>
      <c r="J2327" s="4"/>
      <c r="K2327" s="4"/>
      <c r="L2327" s="4"/>
      <c r="M2327" s="4"/>
      <c r="N2327" s="4"/>
      <c r="O2327" s="4"/>
      <c r="P2327" s="4"/>
      <c r="Q2327" s="4"/>
      <c r="R2327" s="4"/>
      <c r="S2327" s="4"/>
      <c r="T2327" s="4"/>
      <c r="U2327" s="4"/>
      <c r="V2327" s="4"/>
      <c r="W2327" s="4"/>
      <c r="X2327" s="4"/>
      <c r="Y2327" s="4"/>
      <c r="Z2327" s="4"/>
      <c r="AA2327" s="4"/>
      <c r="AB2327" s="4"/>
      <c r="AC2327" s="4"/>
      <c r="AD2327" s="4"/>
      <c r="AE2327" s="4"/>
      <c r="AF2327" s="4"/>
      <c r="AG2327" s="4"/>
      <c r="AH2327" s="4"/>
      <c r="AI2327" s="4"/>
      <c r="AJ2327" s="4"/>
      <c r="AK2327" s="4"/>
      <c r="AL2327" s="4"/>
      <c r="AM2327" s="4"/>
      <c r="AN2327" s="4"/>
      <c r="AO2327" s="4"/>
      <c r="AP2327" s="4"/>
      <c r="AQ2327" s="4"/>
      <c r="AR2327" s="4"/>
      <c r="AS2327" s="4"/>
      <c r="AT2327" s="4"/>
      <c r="AU2327" s="4"/>
      <c r="AV2327" s="4"/>
      <c r="AW2327" s="4"/>
      <c r="AX2327" s="4"/>
      <c r="AY2327" s="4"/>
      <c r="AZ2327" s="4"/>
      <c r="BA2327" s="4"/>
      <c r="BB2327" s="4"/>
      <c r="BC2327" s="4"/>
      <c r="BD2327" s="4"/>
      <c r="BE2327" s="4"/>
      <c r="BF2327" s="4"/>
      <c r="BG2327" s="4"/>
      <c r="BH2327" s="4"/>
      <c r="BI2327" s="4"/>
      <c r="BJ2327" s="4"/>
      <c r="BK2327" s="4"/>
      <c r="BL2327" s="4"/>
      <c r="BM2327" s="4"/>
      <c r="BN2327" s="4"/>
      <c r="BO2327" s="4"/>
      <c r="BP2327" s="4"/>
      <c r="BQ2327" s="4"/>
      <c r="BR2327" s="4"/>
      <c r="BS2327" s="4"/>
      <c r="BT2327" s="4"/>
      <c r="BU2327" s="4"/>
      <c r="BV2327" s="4"/>
      <c r="BW2327" s="4"/>
      <c r="BX2327" s="4"/>
      <c r="BY2327" s="4"/>
      <c r="BZ2327" s="4"/>
      <c r="CA2327" s="4"/>
      <c r="CB2327" s="4"/>
      <c r="CC2327" s="4"/>
      <c r="CD2327" s="4"/>
      <c r="CE2327" s="4"/>
      <c r="CF2327" s="4"/>
      <c r="CG2327" s="4"/>
      <c r="CH2327" s="4"/>
      <c r="CI2327" s="4"/>
      <c r="CJ2327" s="4"/>
      <c r="CK2327" s="4"/>
      <c r="CL2327" s="4"/>
      <c r="CM2327" s="4"/>
      <c r="CN2327" s="4"/>
      <c r="CO2327" s="4"/>
      <c r="CP2327" s="4"/>
      <c r="CQ2327" s="4"/>
      <c r="CR2327" s="4"/>
      <c r="CS2327" s="4"/>
      <c r="CT2327" s="4"/>
      <c r="CU2327" s="4"/>
      <c r="CV2327" s="4"/>
      <c r="CW2327" s="4"/>
      <c r="CX2327" s="4"/>
      <c r="CY2327" s="4"/>
      <c r="CZ2327" s="4"/>
      <c r="DA2327" s="4"/>
      <c r="DB2327" s="4"/>
      <c r="DC2327" s="4"/>
      <c r="DD2327" s="4"/>
      <c r="DE2327" s="4"/>
      <c r="DF2327" s="4"/>
      <c r="DG2327" s="4"/>
      <c r="DH2327" s="4"/>
      <c r="DI2327" s="4"/>
      <c r="DJ2327" s="4"/>
      <c r="DK2327" s="4"/>
      <c r="DL2327" s="4"/>
      <c r="DM2327" s="4"/>
      <c r="DN2327" s="4"/>
      <c r="DO2327" s="4"/>
      <c r="DP2327" s="4"/>
      <c r="DQ2327" s="4"/>
      <c r="DR2327" s="4"/>
      <c r="DS2327" s="4"/>
    </row>
    <row r="2328">
      <c r="A2328" s="4"/>
      <c r="B2328" s="4"/>
      <c r="C2328" s="4"/>
      <c r="D2328" s="4"/>
      <c r="E2328" s="4"/>
      <c r="F2328" s="4" t="s">
        <v>17</v>
      </c>
      <c r="G2328" s="15"/>
      <c r="H2328" s="4"/>
      <c r="I2328" s="4"/>
      <c r="J2328" s="4"/>
      <c r="K2328" s="4"/>
      <c r="L2328" s="4"/>
      <c r="M2328" s="4"/>
      <c r="N2328" s="4"/>
      <c r="O2328" s="4"/>
      <c r="P2328" s="4"/>
      <c r="Q2328" s="4"/>
      <c r="R2328" s="4"/>
      <c r="S2328" s="4"/>
      <c r="T2328" s="4"/>
      <c r="U2328" s="4"/>
      <c r="V2328" s="4"/>
      <c r="W2328" s="4"/>
      <c r="X2328" s="4"/>
      <c r="Y2328" s="4"/>
      <c r="Z2328" s="4"/>
      <c r="AA2328" s="4"/>
      <c r="AB2328" s="4"/>
      <c r="AC2328" s="4"/>
      <c r="AD2328" s="4"/>
      <c r="AE2328" s="4"/>
      <c r="AF2328" s="4"/>
      <c r="AG2328" s="4"/>
      <c r="AH2328" s="4"/>
      <c r="AI2328" s="4"/>
      <c r="AJ2328" s="4"/>
      <c r="AK2328" s="4"/>
      <c r="AL2328" s="4"/>
      <c r="AM2328" s="4"/>
      <c r="AN2328" s="4"/>
      <c r="AO2328" s="4"/>
      <c r="AP2328" s="4"/>
      <c r="AQ2328" s="4"/>
      <c r="AR2328" s="4"/>
      <c r="AS2328" s="4"/>
      <c r="AT2328" s="4"/>
      <c r="AU2328" s="4"/>
      <c r="AV2328" s="4"/>
      <c r="AW2328" s="4"/>
      <c r="AX2328" s="4"/>
      <c r="AY2328" s="4"/>
      <c r="AZ2328" s="4"/>
      <c r="BA2328" s="4"/>
      <c r="BB2328" s="4"/>
      <c r="BC2328" s="4"/>
      <c r="BD2328" s="4"/>
      <c r="BE2328" s="4"/>
      <c r="BF2328" s="4"/>
      <c r="BG2328" s="4"/>
      <c r="BH2328" s="4"/>
      <c r="BI2328" s="4"/>
      <c r="BJ2328" s="4"/>
      <c r="BK2328" s="4"/>
      <c r="BL2328" s="4"/>
      <c r="BM2328" s="4"/>
      <c r="BN2328" s="4"/>
      <c r="BO2328" s="4"/>
      <c r="BP2328" s="4"/>
      <c r="BQ2328" s="4"/>
      <c r="BR2328" s="4"/>
      <c r="BS2328" s="4"/>
      <c r="BT2328" s="4"/>
      <c r="BU2328" s="4"/>
      <c r="BV2328" s="4"/>
      <c r="BW2328" s="4"/>
      <c r="BX2328" s="4"/>
      <c r="BY2328" s="4"/>
      <c r="BZ2328" s="4"/>
      <c r="CA2328" s="4"/>
      <c r="CB2328" s="4"/>
      <c r="CC2328" s="4"/>
      <c r="CD2328" s="4"/>
      <c r="CE2328" s="4"/>
      <c r="CF2328" s="4"/>
      <c r="CG2328" s="4"/>
      <c r="CH2328" s="4"/>
      <c r="CI2328" s="4"/>
      <c r="CJ2328" s="4"/>
      <c r="CK2328" s="4"/>
      <c r="CL2328" s="4"/>
      <c r="CM2328" s="4"/>
      <c r="CN2328" s="4"/>
      <c r="CO2328" s="4"/>
      <c r="CP2328" s="4"/>
      <c r="CQ2328" s="4"/>
      <c r="CR2328" s="4"/>
      <c r="CS2328" s="4"/>
      <c r="CT2328" s="4"/>
      <c r="CU2328" s="4"/>
      <c r="CV2328" s="4"/>
      <c r="CW2328" s="4"/>
      <c r="CX2328" s="4"/>
      <c r="CY2328" s="4"/>
      <c r="CZ2328" s="4"/>
      <c r="DA2328" s="4"/>
      <c r="DB2328" s="4"/>
      <c r="DC2328" s="4"/>
      <c r="DD2328" s="4"/>
      <c r="DE2328" s="4"/>
      <c r="DF2328" s="4"/>
      <c r="DG2328" s="4"/>
      <c r="DH2328" s="4"/>
      <c r="DI2328" s="4"/>
      <c r="DJ2328" s="4"/>
      <c r="DK2328" s="4"/>
      <c r="DL2328" s="4"/>
      <c r="DM2328" s="4"/>
      <c r="DN2328" s="4"/>
      <c r="DO2328" s="4"/>
      <c r="DP2328" s="4"/>
      <c r="DQ2328" s="4"/>
      <c r="DR2328" s="4"/>
      <c r="DS2328" s="4"/>
    </row>
    <row r="2329">
      <c r="A2329" s="4"/>
      <c r="B2329" s="4"/>
      <c r="C2329" s="4"/>
      <c r="D2329" s="4"/>
      <c r="E2329" s="4"/>
      <c r="F2329" s="4" t="s">
        <v>17</v>
      </c>
      <c r="G2329" s="15"/>
      <c r="H2329" s="4"/>
      <c r="I2329" s="4"/>
      <c r="J2329" s="4"/>
      <c r="K2329" s="4"/>
      <c r="L2329" s="4"/>
      <c r="M2329" s="4"/>
      <c r="N2329" s="4"/>
      <c r="O2329" s="4"/>
      <c r="P2329" s="4"/>
      <c r="Q2329" s="4"/>
      <c r="R2329" s="4"/>
      <c r="S2329" s="4"/>
      <c r="T2329" s="4"/>
      <c r="U2329" s="4"/>
      <c r="V2329" s="4"/>
      <c r="W2329" s="4"/>
      <c r="X2329" s="4"/>
      <c r="Y2329" s="4"/>
      <c r="Z2329" s="4"/>
      <c r="AA2329" s="4"/>
      <c r="AB2329" s="4"/>
      <c r="AC2329" s="4"/>
      <c r="AD2329" s="4"/>
      <c r="AE2329" s="4"/>
      <c r="AF2329" s="4"/>
      <c r="AG2329" s="4"/>
      <c r="AH2329" s="4"/>
      <c r="AI2329" s="4"/>
      <c r="AJ2329" s="4"/>
      <c r="AK2329" s="4"/>
      <c r="AL2329" s="4"/>
      <c r="AM2329" s="4"/>
      <c r="AN2329" s="4"/>
      <c r="AO2329" s="4"/>
      <c r="AP2329" s="4"/>
      <c r="AQ2329" s="4"/>
      <c r="AR2329" s="4"/>
      <c r="AS2329" s="4"/>
      <c r="AT2329" s="4"/>
      <c r="AU2329" s="4"/>
      <c r="AV2329" s="4"/>
      <c r="AW2329" s="4"/>
      <c r="AX2329" s="4"/>
      <c r="AY2329" s="4"/>
      <c r="AZ2329" s="4"/>
      <c r="BA2329" s="4"/>
      <c r="BB2329" s="4"/>
      <c r="BC2329" s="4"/>
      <c r="BD2329" s="4"/>
      <c r="BE2329" s="4"/>
      <c r="BF2329" s="4"/>
      <c r="BG2329" s="4"/>
      <c r="BH2329" s="4"/>
      <c r="BI2329" s="4"/>
      <c r="BJ2329" s="4"/>
      <c r="BK2329" s="4"/>
      <c r="BL2329" s="4"/>
      <c r="BM2329" s="4"/>
      <c r="BN2329" s="4"/>
      <c r="BO2329" s="4"/>
      <c r="BP2329" s="4"/>
      <c r="BQ2329" s="4"/>
      <c r="BR2329" s="4"/>
      <c r="BS2329" s="4"/>
      <c r="BT2329" s="4"/>
      <c r="BU2329" s="4"/>
      <c r="BV2329" s="4"/>
      <c r="BW2329" s="4"/>
      <c r="BX2329" s="4"/>
      <c r="BY2329" s="4"/>
      <c r="BZ2329" s="4"/>
      <c r="CA2329" s="4"/>
      <c r="CB2329" s="4"/>
      <c r="CC2329" s="4"/>
      <c r="CD2329" s="4"/>
      <c r="CE2329" s="4"/>
      <c r="CF2329" s="4"/>
      <c r="CG2329" s="4"/>
      <c r="CH2329" s="4"/>
      <c r="CI2329" s="4"/>
      <c r="CJ2329" s="4"/>
      <c r="CK2329" s="4"/>
      <c r="CL2329" s="4"/>
      <c r="CM2329" s="4"/>
      <c r="CN2329" s="4"/>
      <c r="CO2329" s="4"/>
      <c r="CP2329" s="4"/>
      <c r="CQ2329" s="4"/>
      <c r="CR2329" s="4"/>
      <c r="CS2329" s="4"/>
      <c r="CT2329" s="4"/>
      <c r="CU2329" s="4"/>
      <c r="CV2329" s="4"/>
      <c r="CW2329" s="4"/>
      <c r="CX2329" s="4"/>
      <c r="CY2329" s="4"/>
      <c r="CZ2329" s="4"/>
      <c r="DA2329" s="4"/>
      <c r="DB2329" s="4"/>
      <c r="DC2329" s="4"/>
      <c r="DD2329" s="4"/>
      <c r="DE2329" s="4"/>
      <c r="DF2329" s="4"/>
      <c r="DG2329" s="4"/>
      <c r="DH2329" s="4"/>
      <c r="DI2329" s="4"/>
      <c r="DJ2329" s="4"/>
      <c r="DK2329" s="4"/>
      <c r="DL2329" s="4"/>
      <c r="DM2329" s="4"/>
      <c r="DN2329" s="4"/>
      <c r="DO2329" s="4"/>
      <c r="DP2329" s="4"/>
      <c r="DQ2329" s="4"/>
      <c r="DR2329" s="4"/>
      <c r="DS2329" s="4"/>
    </row>
    <row r="2330">
      <c r="A2330" s="4"/>
      <c r="B2330" s="4"/>
      <c r="C2330" s="4"/>
      <c r="D2330" s="4"/>
      <c r="E2330" s="4"/>
      <c r="F2330" s="4" t="s">
        <v>17</v>
      </c>
      <c r="G2330" s="15"/>
      <c r="H2330" s="4"/>
      <c r="I2330" s="4"/>
      <c r="J2330" s="4"/>
      <c r="K2330" s="4"/>
      <c r="L2330" s="4"/>
      <c r="M2330" s="4"/>
      <c r="N2330" s="4"/>
      <c r="O2330" s="4"/>
      <c r="P2330" s="4"/>
      <c r="Q2330" s="4"/>
      <c r="R2330" s="4"/>
      <c r="S2330" s="4"/>
      <c r="T2330" s="4"/>
      <c r="U2330" s="4"/>
      <c r="V2330" s="4"/>
      <c r="W2330" s="4"/>
      <c r="X2330" s="4"/>
      <c r="Y2330" s="4"/>
      <c r="Z2330" s="4"/>
      <c r="AA2330" s="4"/>
      <c r="AB2330" s="4"/>
      <c r="AC2330" s="4"/>
      <c r="AD2330" s="4"/>
      <c r="AE2330" s="4"/>
      <c r="AF2330" s="4"/>
      <c r="AG2330" s="4"/>
      <c r="AH2330" s="4"/>
      <c r="AI2330" s="4"/>
      <c r="AJ2330" s="4"/>
      <c r="AK2330" s="4"/>
      <c r="AL2330" s="4"/>
      <c r="AM2330" s="4"/>
      <c r="AN2330" s="4"/>
      <c r="AO2330" s="4"/>
      <c r="AP2330" s="4"/>
      <c r="AQ2330" s="4"/>
      <c r="AR2330" s="4"/>
      <c r="AS2330" s="4"/>
      <c r="AT2330" s="4"/>
      <c r="AU2330" s="4"/>
      <c r="AV2330" s="4"/>
      <c r="AW2330" s="4"/>
      <c r="AX2330" s="4"/>
      <c r="AY2330" s="4"/>
      <c r="AZ2330" s="4"/>
      <c r="BA2330" s="4"/>
      <c r="BB2330" s="4"/>
      <c r="BC2330" s="4"/>
      <c r="BD2330" s="4"/>
      <c r="BE2330" s="4"/>
      <c r="BF2330" s="4"/>
      <c r="BG2330" s="4"/>
      <c r="BH2330" s="4"/>
      <c r="BI2330" s="4"/>
      <c r="BJ2330" s="4"/>
      <c r="BK2330" s="4"/>
      <c r="BL2330" s="4"/>
      <c r="BM2330" s="4"/>
      <c r="BN2330" s="4"/>
      <c r="BO2330" s="4"/>
      <c r="BP2330" s="4"/>
      <c r="BQ2330" s="4"/>
      <c r="BR2330" s="4"/>
      <c r="BS2330" s="4"/>
      <c r="BT2330" s="4"/>
      <c r="BU2330" s="4"/>
      <c r="BV2330" s="4"/>
      <c r="BW2330" s="4"/>
      <c r="BX2330" s="4"/>
      <c r="BY2330" s="4"/>
      <c r="BZ2330" s="4"/>
      <c r="CA2330" s="4"/>
      <c r="CB2330" s="4"/>
      <c r="CC2330" s="4"/>
      <c r="CD2330" s="4"/>
      <c r="CE2330" s="4"/>
      <c r="CF2330" s="4"/>
      <c r="CG2330" s="4"/>
      <c r="CH2330" s="4"/>
      <c r="CI2330" s="4"/>
      <c r="CJ2330" s="4"/>
      <c r="CK2330" s="4"/>
      <c r="CL2330" s="4"/>
      <c r="CM2330" s="4"/>
      <c r="CN2330" s="4"/>
      <c r="CO2330" s="4"/>
      <c r="CP2330" s="4"/>
      <c r="CQ2330" s="4"/>
      <c r="CR2330" s="4"/>
      <c r="CS2330" s="4"/>
      <c r="CT2330" s="4"/>
      <c r="CU2330" s="4"/>
      <c r="CV2330" s="4"/>
      <c r="CW2330" s="4"/>
      <c r="CX2330" s="4"/>
      <c r="CY2330" s="4"/>
      <c r="CZ2330" s="4"/>
      <c r="DA2330" s="4"/>
      <c r="DB2330" s="4"/>
      <c r="DC2330" s="4"/>
      <c r="DD2330" s="4"/>
      <c r="DE2330" s="4"/>
      <c r="DF2330" s="4"/>
      <c r="DG2330" s="4"/>
      <c r="DH2330" s="4"/>
      <c r="DI2330" s="4"/>
      <c r="DJ2330" s="4"/>
      <c r="DK2330" s="4"/>
      <c r="DL2330" s="4"/>
      <c r="DM2330" s="4"/>
      <c r="DN2330" s="4"/>
      <c r="DO2330" s="4"/>
      <c r="DP2330" s="4"/>
      <c r="DQ2330" s="4"/>
      <c r="DR2330" s="4"/>
      <c r="DS2330" s="4"/>
    </row>
    <row r="2331">
      <c r="A2331" s="4"/>
      <c r="B2331" s="4"/>
      <c r="C2331" s="4"/>
      <c r="D2331" s="4"/>
      <c r="E2331" s="4"/>
      <c r="F2331" s="4" t="s">
        <v>17</v>
      </c>
      <c r="G2331" s="15"/>
      <c r="H2331" s="4"/>
      <c r="I2331" s="4"/>
      <c r="J2331" s="4"/>
      <c r="K2331" s="4"/>
      <c r="L2331" s="4"/>
      <c r="M2331" s="4"/>
      <c r="N2331" s="4"/>
      <c r="O2331" s="4"/>
      <c r="P2331" s="4"/>
      <c r="Q2331" s="4"/>
      <c r="R2331" s="4"/>
      <c r="S2331" s="4"/>
      <c r="T2331" s="4"/>
      <c r="U2331" s="4"/>
      <c r="V2331" s="4"/>
      <c r="W2331" s="4"/>
      <c r="X2331" s="4"/>
      <c r="Y2331" s="4"/>
      <c r="Z2331" s="4"/>
      <c r="AA2331" s="4"/>
      <c r="AB2331" s="4"/>
      <c r="AC2331" s="4"/>
      <c r="AD2331" s="4"/>
      <c r="AE2331" s="4"/>
      <c r="AF2331" s="4"/>
      <c r="AG2331" s="4"/>
      <c r="AH2331" s="4"/>
      <c r="AI2331" s="4"/>
      <c r="AJ2331" s="4"/>
      <c r="AK2331" s="4"/>
      <c r="AL2331" s="4"/>
      <c r="AM2331" s="4"/>
      <c r="AN2331" s="4"/>
      <c r="AO2331" s="4"/>
      <c r="AP2331" s="4"/>
      <c r="AQ2331" s="4"/>
      <c r="AR2331" s="4"/>
      <c r="AS2331" s="4"/>
      <c r="AT2331" s="4"/>
      <c r="AU2331" s="4"/>
      <c r="AV2331" s="4"/>
      <c r="AW2331" s="4"/>
      <c r="AX2331" s="4"/>
      <c r="AY2331" s="4"/>
      <c r="AZ2331" s="4"/>
      <c r="BA2331" s="4"/>
      <c r="BB2331" s="4"/>
      <c r="BC2331" s="4"/>
      <c r="BD2331" s="4"/>
      <c r="BE2331" s="4"/>
      <c r="BF2331" s="4"/>
      <c r="BG2331" s="4"/>
      <c r="BH2331" s="4"/>
      <c r="BI2331" s="4"/>
      <c r="BJ2331" s="4"/>
      <c r="BK2331" s="4"/>
      <c r="BL2331" s="4"/>
      <c r="BM2331" s="4"/>
      <c r="BN2331" s="4"/>
      <c r="BO2331" s="4"/>
      <c r="BP2331" s="4"/>
      <c r="BQ2331" s="4"/>
      <c r="BR2331" s="4"/>
      <c r="BS2331" s="4"/>
      <c r="BT2331" s="4"/>
      <c r="BU2331" s="4"/>
      <c r="BV2331" s="4"/>
      <c r="BW2331" s="4"/>
      <c r="BX2331" s="4"/>
      <c r="BY2331" s="4"/>
      <c r="BZ2331" s="4"/>
      <c r="CA2331" s="4"/>
      <c r="CB2331" s="4"/>
      <c r="CC2331" s="4"/>
      <c r="CD2331" s="4"/>
      <c r="CE2331" s="4"/>
      <c r="CF2331" s="4"/>
      <c r="CG2331" s="4"/>
      <c r="CH2331" s="4"/>
      <c r="CI2331" s="4"/>
      <c r="CJ2331" s="4"/>
      <c r="CK2331" s="4"/>
      <c r="CL2331" s="4"/>
      <c r="CM2331" s="4"/>
      <c r="CN2331" s="4"/>
      <c r="CO2331" s="4"/>
      <c r="CP2331" s="4"/>
      <c r="CQ2331" s="4"/>
      <c r="CR2331" s="4"/>
      <c r="CS2331" s="4"/>
      <c r="CT2331" s="4"/>
      <c r="CU2331" s="4"/>
      <c r="CV2331" s="4"/>
      <c r="CW2331" s="4"/>
      <c r="CX2331" s="4"/>
      <c r="CY2331" s="4"/>
      <c r="CZ2331" s="4"/>
      <c r="DA2331" s="4"/>
      <c r="DB2331" s="4"/>
      <c r="DC2331" s="4"/>
      <c r="DD2331" s="4"/>
      <c r="DE2331" s="4"/>
      <c r="DF2331" s="4"/>
      <c r="DG2331" s="4"/>
      <c r="DH2331" s="4"/>
      <c r="DI2331" s="4"/>
      <c r="DJ2331" s="4"/>
      <c r="DK2331" s="4"/>
      <c r="DL2331" s="4"/>
      <c r="DM2331" s="4"/>
      <c r="DN2331" s="4"/>
      <c r="DO2331" s="4"/>
      <c r="DP2331" s="4"/>
      <c r="DQ2331" s="4"/>
      <c r="DR2331" s="4"/>
      <c r="DS2331" s="4"/>
    </row>
    <row r="2332">
      <c r="A2332" s="4"/>
      <c r="B2332" s="4"/>
      <c r="C2332" s="4"/>
      <c r="D2332" s="4"/>
      <c r="E2332" s="4"/>
      <c r="F2332" s="4" t="s">
        <v>17</v>
      </c>
      <c r="G2332" s="15"/>
      <c r="H2332" s="4"/>
      <c r="I2332" s="4"/>
      <c r="J2332" s="4"/>
      <c r="K2332" s="4"/>
      <c r="L2332" s="4"/>
      <c r="M2332" s="4"/>
      <c r="N2332" s="4"/>
      <c r="O2332" s="4"/>
      <c r="P2332" s="4"/>
      <c r="Q2332" s="4"/>
      <c r="R2332" s="4"/>
      <c r="S2332" s="4"/>
      <c r="T2332" s="4"/>
      <c r="U2332" s="4"/>
      <c r="V2332" s="4"/>
      <c r="W2332" s="4"/>
      <c r="X2332" s="4"/>
      <c r="Y2332" s="4"/>
      <c r="Z2332" s="4"/>
      <c r="AA2332" s="4"/>
      <c r="AB2332" s="4"/>
      <c r="AC2332" s="4"/>
      <c r="AD2332" s="4"/>
      <c r="AE2332" s="4"/>
      <c r="AF2332" s="4"/>
      <c r="AG2332" s="4"/>
      <c r="AH2332" s="4"/>
      <c r="AI2332" s="4"/>
      <c r="AJ2332" s="4"/>
      <c r="AK2332" s="4"/>
      <c r="AL2332" s="4"/>
      <c r="AM2332" s="4"/>
      <c r="AN2332" s="4"/>
      <c r="AO2332" s="4"/>
      <c r="AP2332" s="4"/>
      <c r="AQ2332" s="4"/>
      <c r="AR2332" s="4"/>
      <c r="AS2332" s="4"/>
      <c r="AT2332" s="4"/>
      <c r="AU2332" s="4"/>
      <c r="AV2332" s="4"/>
      <c r="AW2332" s="4"/>
      <c r="AX2332" s="4"/>
      <c r="AY2332" s="4"/>
      <c r="AZ2332" s="4"/>
      <c r="BA2332" s="4"/>
      <c r="BB2332" s="4"/>
      <c r="BC2332" s="4"/>
      <c r="BD2332" s="4"/>
      <c r="BE2332" s="4"/>
      <c r="BF2332" s="4"/>
      <c r="BG2332" s="4"/>
      <c r="BH2332" s="4"/>
      <c r="BI2332" s="4"/>
      <c r="BJ2332" s="4"/>
      <c r="BK2332" s="4"/>
      <c r="BL2332" s="4"/>
      <c r="BM2332" s="4"/>
      <c r="BN2332" s="4"/>
      <c r="BO2332" s="4"/>
      <c r="BP2332" s="4"/>
      <c r="BQ2332" s="4"/>
      <c r="BR2332" s="4"/>
      <c r="BS2332" s="4"/>
      <c r="BT2332" s="4"/>
      <c r="BU2332" s="4"/>
      <c r="BV2332" s="4"/>
      <c r="BW2332" s="4"/>
      <c r="BX2332" s="4"/>
      <c r="BY2332" s="4"/>
      <c r="BZ2332" s="4"/>
      <c r="CA2332" s="4"/>
      <c r="CB2332" s="4"/>
      <c r="CC2332" s="4"/>
      <c r="CD2332" s="4"/>
      <c r="CE2332" s="4"/>
      <c r="CF2332" s="4"/>
      <c r="CG2332" s="4"/>
      <c r="CH2332" s="4"/>
      <c r="CI2332" s="4"/>
      <c r="CJ2332" s="4"/>
      <c r="CK2332" s="4"/>
      <c r="CL2332" s="4"/>
      <c r="CM2332" s="4"/>
      <c r="CN2332" s="4"/>
      <c r="CO2332" s="4"/>
      <c r="CP2332" s="4"/>
      <c r="CQ2332" s="4"/>
      <c r="CR2332" s="4"/>
      <c r="CS2332" s="4"/>
      <c r="CT2332" s="4"/>
      <c r="CU2332" s="4"/>
      <c r="CV2332" s="4"/>
      <c r="CW2332" s="4"/>
      <c r="CX2332" s="4"/>
      <c r="CY2332" s="4"/>
      <c r="CZ2332" s="4"/>
      <c r="DA2332" s="4"/>
      <c r="DB2332" s="4"/>
      <c r="DC2332" s="4"/>
      <c r="DD2332" s="4"/>
      <c r="DE2332" s="4"/>
      <c r="DF2332" s="4"/>
      <c r="DG2332" s="4"/>
      <c r="DH2332" s="4"/>
      <c r="DI2332" s="4"/>
      <c r="DJ2332" s="4"/>
      <c r="DK2332" s="4"/>
      <c r="DL2332" s="4"/>
      <c r="DM2332" s="4"/>
      <c r="DN2332" s="4"/>
      <c r="DO2332" s="4"/>
      <c r="DP2332" s="4"/>
      <c r="DQ2332" s="4"/>
      <c r="DR2332" s="4"/>
      <c r="DS2332" s="4"/>
    </row>
    <row r="2333">
      <c r="A2333" s="4"/>
      <c r="B2333" s="4"/>
      <c r="C2333" s="4"/>
      <c r="D2333" s="4"/>
      <c r="E2333" s="4"/>
      <c r="F2333" s="4" t="s">
        <v>17</v>
      </c>
      <c r="G2333" s="15"/>
      <c r="H2333" s="4"/>
      <c r="I2333" s="4"/>
      <c r="J2333" s="4"/>
      <c r="K2333" s="4"/>
      <c r="L2333" s="4"/>
      <c r="M2333" s="4"/>
      <c r="N2333" s="4"/>
      <c r="O2333" s="4"/>
      <c r="P2333" s="4"/>
      <c r="Q2333" s="4"/>
      <c r="R2333" s="4"/>
      <c r="S2333" s="4"/>
      <c r="T2333" s="4"/>
      <c r="U2333" s="4"/>
      <c r="V2333" s="4"/>
      <c r="W2333" s="4"/>
      <c r="X2333" s="4"/>
      <c r="Y2333" s="4"/>
      <c r="Z2333" s="4"/>
      <c r="AA2333" s="4"/>
      <c r="AB2333" s="4"/>
      <c r="AC2333" s="4"/>
      <c r="AD2333" s="4"/>
      <c r="AE2333" s="4"/>
      <c r="AF2333" s="4"/>
      <c r="AG2333" s="4"/>
      <c r="AH2333" s="4"/>
      <c r="AI2333" s="4"/>
      <c r="AJ2333" s="4"/>
      <c r="AK2333" s="4"/>
      <c r="AL2333" s="4"/>
      <c r="AM2333" s="4"/>
      <c r="AN2333" s="4"/>
      <c r="AO2333" s="4"/>
      <c r="AP2333" s="4"/>
      <c r="AQ2333" s="4"/>
      <c r="AR2333" s="4"/>
      <c r="AS2333" s="4"/>
      <c r="AT2333" s="4"/>
      <c r="AU2333" s="4"/>
      <c r="AV2333" s="4"/>
      <c r="AW2333" s="4"/>
      <c r="AX2333" s="4"/>
      <c r="AY2333" s="4"/>
      <c r="AZ2333" s="4"/>
      <c r="BA2333" s="4"/>
      <c r="BB2333" s="4"/>
      <c r="BC2333" s="4"/>
      <c r="BD2333" s="4"/>
      <c r="BE2333" s="4"/>
      <c r="BF2333" s="4"/>
      <c r="BG2333" s="4"/>
      <c r="BH2333" s="4"/>
      <c r="BI2333" s="4"/>
      <c r="BJ2333" s="4"/>
      <c r="BK2333" s="4"/>
      <c r="BL2333" s="4"/>
      <c r="BM2333" s="4"/>
      <c r="BN2333" s="4"/>
      <c r="BO2333" s="4"/>
      <c r="BP2333" s="4"/>
      <c r="BQ2333" s="4"/>
      <c r="BR2333" s="4"/>
      <c r="BS2333" s="4"/>
      <c r="BT2333" s="4"/>
      <c r="BU2333" s="4"/>
      <c r="BV2333" s="4"/>
      <c r="BW2333" s="4"/>
      <c r="BX2333" s="4"/>
      <c r="BY2333" s="4"/>
      <c r="BZ2333" s="4"/>
      <c r="CA2333" s="4"/>
      <c r="CB2333" s="4"/>
      <c r="CC2333" s="4"/>
      <c r="CD2333" s="4"/>
      <c r="CE2333" s="4"/>
      <c r="CF2333" s="4"/>
      <c r="CG2333" s="4"/>
      <c r="CH2333" s="4"/>
      <c r="CI2333" s="4"/>
      <c r="CJ2333" s="4"/>
      <c r="CK2333" s="4"/>
      <c r="CL2333" s="4"/>
      <c r="CM2333" s="4"/>
      <c r="CN2333" s="4"/>
      <c r="CO2333" s="4"/>
      <c r="CP2333" s="4"/>
      <c r="CQ2333" s="4"/>
      <c r="CR2333" s="4"/>
      <c r="CS2333" s="4"/>
      <c r="CT2333" s="4"/>
      <c r="CU2333" s="4"/>
      <c r="CV2333" s="4"/>
      <c r="CW2333" s="4"/>
      <c r="CX2333" s="4"/>
      <c r="CY2333" s="4"/>
      <c r="CZ2333" s="4"/>
      <c r="DA2333" s="4"/>
      <c r="DB2333" s="4"/>
      <c r="DC2333" s="4"/>
      <c r="DD2333" s="4"/>
      <c r="DE2333" s="4"/>
      <c r="DF2333" s="4"/>
      <c r="DG2333" s="4"/>
      <c r="DH2333" s="4"/>
      <c r="DI2333" s="4"/>
      <c r="DJ2333" s="4"/>
      <c r="DK2333" s="4"/>
      <c r="DL2333" s="4"/>
      <c r="DM2333" s="4"/>
      <c r="DN2333" s="4"/>
      <c r="DO2333" s="4"/>
      <c r="DP2333" s="4"/>
      <c r="DQ2333" s="4"/>
      <c r="DR2333" s="4"/>
      <c r="DS2333" s="4"/>
    </row>
    <row r="2334">
      <c r="A2334" s="4"/>
      <c r="B2334" s="4"/>
      <c r="C2334" s="4"/>
      <c r="D2334" s="4"/>
      <c r="E2334" s="4"/>
      <c r="F2334" s="4" t="s">
        <v>17</v>
      </c>
      <c r="G2334" s="15"/>
      <c r="H2334" s="4"/>
      <c r="I2334" s="4"/>
      <c r="J2334" s="4"/>
      <c r="K2334" s="4"/>
      <c r="L2334" s="4"/>
      <c r="M2334" s="4"/>
      <c r="N2334" s="4"/>
      <c r="O2334" s="4"/>
      <c r="P2334" s="4"/>
      <c r="Q2334" s="4"/>
      <c r="R2334" s="4"/>
      <c r="S2334" s="4"/>
      <c r="T2334" s="4"/>
      <c r="U2334" s="4"/>
      <c r="V2334" s="4"/>
      <c r="W2334" s="4"/>
      <c r="X2334" s="4"/>
      <c r="Y2334" s="4"/>
      <c r="Z2334" s="4"/>
      <c r="AA2334" s="4"/>
      <c r="AB2334" s="4"/>
      <c r="AC2334" s="4"/>
      <c r="AD2334" s="4"/>
      <c r="AE2334" s="4"/>
      <c r="AF2334" s="4"/>
      <c r="AG2334" s="4"/>
      <c r="AH2334" s="4"/>
      <c r="AI2334" s="4"/>
      <c r="AJ2334" s="4"/>
      <c r="AK2334" s="4"/>
      <c r="AL2334" s="4"/>
      <c r="AM2334" s="4"/>
      <c r="AN2334" s="4"/>
      <c r="AO2334" s="4"/>
      <c r="AP2334" s="4"/>
      <c r="AQ2334" s="4"/>
      <c r="AR2334" s="4"/>
      <c r="AS2334" s="4"/>
      <c r="AT2334" s="4"/>
      <c r="AU2334" s="4"/>
      <c r="AV2334" s="4"/>
      <c r="AW2334" s="4"/>
      <c r="AX2334" s="4"/>
      <c r="AY2334" s="4"/>
      <c r="AZ2334" s="4"/>
      <c r="BA2334" s="4"/>
      <c r="BB2334" s="4"/>
      <c r="BC2334" s="4"/>
      <c r="BD2334" s="4"/>
      <c r="BE2334" s="4"/>
      <c r="BF2334" s="4"/>
      <c r="BG2334" s="4"/>
      <c r="BH2334" s="4"/>
      <c r="BI2334" s="4"/>
      <c r="BJ2334" s="4"/>
      <c r="BK2334" s="4"/>
      <c r="BL2334" s="4"/>
      <c r="BM2334" s="4"/>
      <c r="BN2334" s="4"/>
      <c r="BO2334" s="4"/>
      <c r="BP2334" s="4"/>
      <c r="BQ2334" s="4"/>
      <c r="BR2334" s="4"/>
      <c r="BS2334" s="4"/>
      <c r="BT2334" s="4"/>
      <c r="BU2334" s="4"/>
      <c r="BV2334" s="4"/>
      <c r="BW2334" s="4"/>
      <c r="BX2334" s="4"/>
      <c r="BY2334" s="4"/>
      <c r="BZ2334" s="4"/>
      <c r="CA2334" s="4"/>
      <c r="CB2334" s="4"/>
      <c r="CC2334" s="4"/>
      <c r="CD2334" s="4"/>
      <c r="CE2334" s="4"/>
      <c r="CF2334" s="4"/>
      <c r="CG2334" s="4"/>
      <c r="CH2334" s="4"/>
      <c r="CI2334" s="4"/>
      <c r="CJ2334" s="4"/>
      <c r="CK2334" s="4"/>
      <c r="CL2334" s="4"/>
      <c r="CM2334" s="4"/>
      <c r="CN2334" s="4"/>
      <c r="CO2334" s="4"/>
      <c r="CP2334" s="4"/>
      <c r="CQ2334" s="4"/>
      <c r="CR2334" s="4"/>
      <c r="CS2334" s="4"/>
      <c r="CT2334" s="4"/>
      <c r="CU2334" s="4"/>
      <c r="CV2334" s="4"/>
      <c r="CW2334" s="4"/>
      <c r="CX2334" s="4"/>
      <c r="CY2334" s="4"/>
      <c r="CZ2334" s="4"/>
      <c r="DA2334" s="4"/>
      <c r="DB2334" s="4"/>
      <c r="DC2334" s="4"/>
      <c r="DD2334" s="4"/>
      <c r="DE2334" s="4"/>
      <c r="DF2334" s="4"/>
      <c r="DG2334" s="4"/>
      <c r="DH2334" s="4"/>
      <c r="DI2334" s="4"/>
      <c r="DJ2334" s="4"/>
      <c r="DK2334" s="4"/>
      <c r="DL2334" s="4"/>
      <c r="DM2334" s="4"/>
      <c r="DN2334" s="4"/>
      <c r="DO2334" s="4"/>
      <c r="DP2334" s="4"/>
      <c r="DQ2334" s="4"/>
      <c r="DR2334" s="4"/>
      <c r="DS2334" s="4"/>
    </row>
    <row r="2335">
      <c r="A2335" s="4"/>
      <c r="B2335" s="4"/>
      <c r="C2335" s="4"/>
      <c r="D2335" s="4"/>
      <c r="E2335" s="4"/>
      <c r="F2335" s="4" t="s">
        <v>17</v>
      </c>
      <c r="G2335" s="15"/>
      <c r="H2335" s="4"/>
      <c r="I2335" s="4"/>
      <c r="J2335" s="4"/>
      <c r="K2335" s="4"/>
      <c r="L2335" s="4"/>
      <c r="M2335" s="4"/>
      <c r="N2335" s="4"/>
      <c r="O2335" s="4"/>
      <c r="P2335" s="4"/>
      <c r="Q2335" s="4"/>
      <c r="R2335" s="4"/>
      <c r="S2335" s="4"/>
      <c r="T2335" s="4"/>
      <c r="U2335" s="4"/>
      <c r="V2335" s="4"/>
      <c r="W2335" s="4"/>
      <c r="X2335" s="4"/>
      <c r="Y2335" s="4"/>
      <c r="Z2335" s="4"/>
      <c r="AA2335" s="4"/>
      <c r="AB2335" s="4"/>
      <c r="AC2335" s="4"/>
      <c r="AD2335" s="4"/>
      <c r="AE2335" s="4"/>
      <c r="AF2335" s="4"/>
      <c r="AG2335" s="4"/>
      <c r="AH2335" s="4"/>
      <c r="AI2335" s="4"/>
      <c r="AJ2335" s="4"/>
      <c r="AK2335" s="4"/>
      <c r="AL2335" s="4"/>
      <c r="AM2335" s="4"/>
      <c r="AN2335" s="4"/>
      <c r="AO2335" s="4"/>
      <c r="AP2335" s="4"/>
      <c r="AQ2335" s="4"/>
      <c r="AR2335" s="4"/>
      <c r="AS2335" s="4"/>
      <c r="AT2335" s="4"/>
      <c r="AU2335" s="4"/>
      <c r="AV2335" s="4"/>
      <c r="AW2335" s="4"/>
      <c r="AX2335" s="4"/>
      <c r="AY2335" s="4"/>
      <c r="AZ2335" s="4"/>
      <c r="BA2335" s="4"/>
      <c r="BB2335" s="4"/>
      <c r="BC2335" s="4"/>
      <c r="BD2335" s="4"/>
      <c r="BE2335" s="4"/>
      <c r="BF2335" s="4"/>
      <c r="BG2335" s="4"/>
      <c r="BH2335" s="4"/>
      <c r="BI2335" s="4"/>
      <c r="BJ2335" s="4"/>
      <c r="BK2335" s="4"/>
      <c r="BL2335" s="4"/>
      <c r="BM2335" s="4"/>
      <c r="BN2335" s="4"/>
      <c r="BO2335" s="4"/>
      <c r="BP2335" s="4"/>
      <c r="BQ2335" s="4"/>
      <c r="BR2335" s="4"/>
      <c r="BS2335" s="4"/>
      <c r="BT2335" s="4"/>
      <c r="BU2335" s="4"/>
      <c r="BV2335" s="4"/>
      <c r="BW2335" s="4"/>
      <c r="BX2335" s="4"/>
      <c r="BY2335" s="4"/>
      <c r="BZ2335" s="4"/>
      <c r="CA2335" s="4"/>
      <c r="CB2335" s="4"/>
      <c r="CC2335" s="4"/>
      <c r="CD2335" s="4"/>
      <c r="CE2335" s="4"/>
      <c r="CF2335" s="4"/>
      <c r="CG2335" s="4"/>
      <c r="CH2335" s="4"/>
      <c r="CI2335" s="4"/>
      <c r="CJ2335" s="4"/>
      <c r="CK2335" s="4"/>
      <c r="CL2335" s="4"/>
      <c r="CM2335" s="4"/>
      <c r="CN2335" s="4"/>
      <c r="CO2335" s="4"/>
      <c r="CP2335" s="4"/>
      <c r="CQ2335" s="4"/>
      <c r="CR2335" s="4"/>
      <c r="CS2335" s="4"/>
      <c r="CT2335" s="4"/>
      <c r="CU2335" s="4"/>
      <c r="CV2335" s="4"/>
      <c r="CW2335" s="4"/>
      <c r="CX2335" s="4"/>
      <c r="CY2335" s="4"/>
      <c r="CZ2335" s="4"/>
      <c r="DA2335" s="4"/>
      <c r="DB2335" s="4"/>
      <c r="DC2335" s="4"/>
      <c r="DD2335" s="4"/>
      <c r="DE2335" s="4"/>
      <c r="DF2335" s="4"/>
      <c r="DG2335" s="4"/>
      <c r="DH2335" s="4"/>
      <c r="DI2335" s="4"/>
      <c r="DJ2335" s="4"/>
      <c r="DK2335" s="4"/>
      <c r="DL2335" s="4"/>
      <c r="DM2335" s="4"/>
      <c r="DN2335" s="4"/>
      <c r="DO2335" s="4"/>
      <c r="DP2335" s="4"/>
      <c r="DQ2335" s="4"/>
      <c r="DR2335" s="4"/>
      <c r="DS2335" s="4"/>
    </row>
    <row r="2336">
      <c r="A2336" s="4"/>
      <c r="B2336" s="4"/>
      <c r="C2336" s="4"/>
      <c r="D2336" s="4"/>
      <c r="E2336" s="4"/>
      <c r="F2336" s="4" t="s">
        <v>17</v>
      </c>
      <c r="G2336" s="15"/>
      <c r="H2336" s="4"/>
      <c r="I2336" s="4"/>
      <c r="J2336" s="4"/>
      <c r="K2336" s="4"/>
      <c r="L2336" s="4"/>
      <c r="M2336" s="4"/>
      <c r="N2336" s="4"/>
      <c r="O2336" s="4"/>
      <c r="P2336" s="4"/>
      <c r="Q2336" s="4"/>
      <c r="R2336" s="4"/>
      <c r="S2336" s="4"/>
      <c r="T2336" s="4"/>
      <c r="U2336" s="4"/>
      <c r="V2336" s="4"/>
      <c r="W2336" s="4"/>
      <c r="X2336" s="4"/>
      <c r="Y2336" s="4"/>
      <c r="Z2336" s="4"/>
      <c r="AA2336" s="4"/>
      <c r="AB2336" s="4"/>
      <c r="AC2336" s="4"/>
      <c r="AD2336" s="4"/>
      <c r="AE2336" s="4"/>
      <c r="AF2336" s="4"/>
      <c r="AG2336" s="4"/>
      <c r="AH2336" s="4"/>
      <c r="AI2336" s="4"/>
      <c r="AJ2336" s="4"/>
      <c r="AK2336" s="4"/>
      <c r="AL2336" s="4"/>
      <c r="AM2336" s="4"/>
      <c r="AN2336" s="4"/>
      <c r="AO2336" s="4"/>
      <c r="AP2336" s="4"/>
      <c r="AQ2336" s="4"/>
      <c r="AR2336" s="4"/>
      <c r="AS2336" s="4"/>
      <c r="AT2336" s="4"/>
      <c r="AU2336" s="4"/>
      <c r="AV2336" s="4"/>
      <c r="AW2336" s="4"/>
      <c r="AX2336" s="4"/>
      <c r="AY2336" s="4"/>
      <c r="AZ2336" s="4"/>
      <c r="BA2336" s="4"/>
      <c r="BB2336" s="4"/>
      <c r="BC2336" s="4"/>
      <c r="BD2336" s="4"/>
      <c r="BE2336" s="4"/>
      <c r="BF2336" s="4"/>
      <c r="BG2336" s="4"/>
      <c r="BH2336" s="4"/>
      <c r="BI2336" s="4"/>
      <c r="BJ2336" s="4"/>
      <c r="BK2336" s="4"/>
      <c r="BL2336" s="4"/>
      <c r="BM2336" s="4"/>
      <c r="BN2336" s="4"/>
      <c r="BO2336" s="4"/>
      <c r="BP2336" s="4"/>
      <c r="BQ2336" s="4"/>
      <c r="BR2336" s="4"/>
      <c r="BS2336" s="4"/>
      <c r="BT2336" s="4"/>
      <c r="BU2336" s="4"/>
      <c r="BV2336" s="4"/>
      <c r="BW2336" s="4"/>
      <c r="BX2336" s="4"/>
      <c r="BY2336" s="4"/>
      <c r="BZ2336" s="4"/>
      <c r="CA2336" s="4"/>
      <c r="CB2336" s="4"/>
      <c r="CC2336" s="4"/>
      <c r="CD2336" s="4"/>
      <c r="CE2336" s="4"/>
      <c r="CF2336" s="4"/>
      <c r="CG2336" s="4"/>
      <c r="CH2336" s="4"/>
      <c r="CI2336" s="4"/>
      <c r="CJ2336" s="4"/>
      <c r="CK2336" s="4"/>
      <c r="CL2336" s="4"/>
      <c r="CM2336" s="4"/>
      <c r="CN2336" s="4"/>
      <c r="CO2336" s="4"/>
      <c r="CP2336" s="4"/>
      <c r="CQ2336" s="4"/>
      <c r="CR2336" s="4"/>
      <c r="CS2336" s="4"/>
      <c r="CT2336" s="4"/>
      <c r="CU2336" s="4"/>
      <c r="CV2336" s="4"/>
      <c r="CW2336" s="4"/>
      <c r="CX2336" s="4"/>
      <c r="CY2336" s="4"/>
      <c r="CZ2336" s="4"/>
      <c r="DA2336" s="4"/>
      <c r="DB2336" s="4"/>
      <c r="DC2336" s="4"/>
      <c r="DD2336" s="4"/>
      <c r="DE2336" s="4"/>
      <c r="DF2336" s="4"/>
      <c r="DG2336" s="4"/>
      <c r="DH2336" s="4"/>
      <c r="DI2336" s="4"/>
      <c r="DJ2336" s="4"/>
      <c r="DK2336" s="4"/>
      <c r="DL2336" s="4"/>
      <c r="DM2336" s="4"/>
      <c r="DN2336" s="4"/>
      <c r="DO2336" s="4"/>
      <c r="DP2336" s="4"/>
      <c r="DQ2336" s="4"/>
      <c r="DR2336" s="4"/>
      <c r="DS2336" s="4"/>
    </row>
    <row r="2337">
      <c r="A2337" s="4"/>
      <c r="B2337" s="4"/>
      <c r="C2337" s="4"/>
      <c r="D2337" s="4"/>
      <c r="E2337" s="4"/>
      <c r="F2337" s="4" t="s">
        <v>17</v>
      </c>
      <c r="G2337" s="15"/>
      <c r="H2337" s="4"/>
      <c r="I2337" s="4"/>
      <c r="J2337" s="4"/>
      <c r="K2337" s="4"/>
      <c r="L2337" s="4"/>
      <c r="M2337" s="4"/>
      <c r="N2337" s="4"/>
      <c r="O2337" s="4"/>
      <c r="P2337" s="4"/>
      <c r="Q2337" s="4"/>
      <c r="R2337" s="4"/>
      <c r="S2337" s="4"/>
      <c r="T2337" s="4"/>
      <c r="U2337" s="4"/>
      <c r="V2337" s="4"/>
      <c r="W2337" s="4"/>
      <c r="X2337" s="4"/>
      <c r="Y2337" s="4"/>
      <c r="Z2337" s="4"/>
      <c r="AA2337" s="4"/>
      <c r="AB2337" s="4"/>
      <c r="AC2337" s="4"/>
      <c r="AD2337" s="4"/>
      <c r="AE2337" s="4"/>
      <c r="AF2337" s="4"/>
      <c r="AG2337" s="4"/>
      <c r="AH2337" s="4"/>
      <c r="AI2337" s="4"/>
      <c r="AJ2337" s="4"/>
      <c r="AK2337" s="4"/>
      <c r="AL2337" s="4"/>
      <c r="AM2337" s="4"/>
      <c r="AN2337" s="4"/>
      <c r="AO2337" s="4"/>
      <c r="AP2337" s="4"/>
      <c r="AQ2337" s="4"/>
      <c r="AR2337" s="4"/>
      <c r="AS2337" s="4"/>
      <c r="AT2337" s="4"/>
      <c r="AU2337" s="4"/>
      <c r="AV2337" s="4"/>
      <c r="AW2337" s="4"/>
      <c r="AX2337" s="4"/>
      <c r="AY2337" s="4"/>
      <c r="AZ2337" s="4"/>
      <c r="BA2337" s="4"/>
      <c r="BB2337" s="4"/>
      <c r="BC2337" s="4"/>
      <c r="BD2337" s="4"/>
      <c r="BE2337" s="4"/>
      <c r="BF2337" s="4"/>
      <c r="BG2337" s="4"/>
      <c r="BH2337" s="4"/>
      <c r="BI2337" s="4"/>
      <c r="BJ2337" s="4"/>
      <c r="BK2337" s="4"/>
      <c r="BL2337" s="4"/>
      <c r="BM2337" s="4"/>
      <c r="BN2337" s="4"/>
      <c r="BO2337" s="4"/>
      <c r="BP2337" s="4"/>
      <c r="BQ2337" s="4"/>
      <c r="BR2337" s="4"/>
      <c r="BS2337" s="4"/>
      <c r="BT2337" s="4"/>
      <c r="BU2337" s="4"/>
      <c r="BV2337" s="4"/>
      <c r="BW2337" s="4"/>
      <c r="BX2337" s="4"/>
      <c r="BY2337" s="4"/>
      <c r="BZ2337" s="4"/>
      <c r="CA2337" s="4"/>
      <c r="CB2337" s="4"/>
      <c r="CC2337" s="4"/>
      <c r="CD2337" s="4"/>
      <c r="CE2337" s="4"/>
      <c r="CF2337" s="4"/>
      <c r="CG2337" s="4"/>
      <c r="CH2337" s="4"/>
      <c r="CI2337" s="4"/>
      <c r="CJ2337" s="4"/>
      <c r="CK2337" s="4"/>
      <c r="CL2337" s="4"/>
      <c r="CM2337" s="4"/>
      <c r="CN2337" s="4"/>
      <c r="CO2337" s="4"/>
      <c r="CP2337" s="4"/>
      <c r="CQ2337" s="4"/>
      <c r="CR2337" s="4"/>
      <c r="CS2337" s="4"/>
      <c r="CT2337" s="4"/>
      <c r="CU2337" s="4"/>
      <c r="CV2337" s="4"/>
      <c r="CW2337" s="4"/>
      <c r="CX2337" s="4"/>
      <c r="CY2337" s="4"/>
      <c r="CZ2337" s="4"/>
      <c r="DA2337" s="4"/>
      <c r="DB2337" s="4"/>
      <c r="DC2337" s="4"/>
      <c r="DD2337" s="4"/>
      <c r="DE2337" s="4"/>
      <c r="DF2337" s="4"/>
      <c r="DG2337" s="4"/>
      <c r="DH2337" s="4"/>
      <c r="DI2337" s="4"/>
      <c r="DJ2337" s="4"/>
      <c r="DK2337" s="4"/>
      <c r="DL2337" s="4"/>
      <c r="DM2337" s="4"/>
      <c r="DN2337" s="4"/>
      <c r="DO2337" s="4"/>
      <c r="DP2337" s="4"/>
      <c r="DQ2337" s="4"/>
      <c r="DR2337" s="4"/>
      <c r="DS2337" s="4"/>
    </row>
    <row r="2338">
      <c r="A2338" s="4"/>
      <c r="B2338" s="4"/>
      <c r="C2338" s="4"/>
      <c r="D2338" s="4"/>
      <c r="E2338" s="4"/>
      <c r="F2338" s="4" t="s">
        <v>17</v>
      </c>
      <c r="G2338" s="15"/>
      <c r="H2338" s="4"/>
      <c r="I2338" s="4"/>
      <c r="J2338" s="4"/>
      <c r="K2338" s="4"/>
      <c r="L2338" s="4"/>
      <c r="M2338" s="4"/>
      <c r="N2338" s="4"/>
      <c r="O2338" s="4"/>
      <c r="P2338" s="4"/>
      <c r="Q2338" s="4"/>
      <c r="R2338" s="4"/>
      <c r="S2338" s="4"/>
      <c r="T2338" s="4"/>
      <c r="U2338" s="4"/>
      <c r="V2338" s="4"/>
      <c r="W2338" s="4"/>
      <c r="X2338" s="4"/>
      <c r="Y2338" s="4"/>
      <c r="Z2338" s="4"/>
      <c r="AA2338" s="4"/>
      <c r="AB2338" s="4"/>
      <c r="AC2338" s="4"/>
      <c r="AD2338" s="4"/>
      <c r="AE2338" s="4"/>
      <c r="AF2338" s="4"/>
      <c r="AG2338" s="4"/>
      <c r="AH2338" s="4"/>
      <c r="AI2338" s="4"/>
      <c r="AJ2338" s="4"/>
      <c r="AK2338" s="4"/>
      <c r="AL2338" s="4"/>
      <c r="AM2338" s="4"/>
      <c r="AN2338" s="4"/>
      <c r="AO2338" s="4"/>
      <c r="AP2338" s="4"/>
      <c r="AQ2338" s="4"/>
      <c r="AR2338" s="4"/>
      <c r="AS2338" s="4"/>
      <c r="AT2338" s="4"/>
      <c r="AU2338" s="4"/>
      <c r="AV2338" s="4"/>
      <c r="AW2338" s="4"/>
      <c r="AX2338" s="4"/>
      <c r="AY2338" s="4"/>
      <c r="AZ2338" s="4"/>
      <c r="BA2338" s="4"/>
      <c r="BB2338" s="4"/>
      <c r="BC2338" s="4"/>
      <c r="BD2338" s="4"/>
      <c r="BE2338" s="4"/>
      <c r="BF2338" s="4"/>
      <c r="BG2338" s="4"/>
      <c r="BH2338" s="4"/>
      <c r="BI2338" s="4"/>
      <c r="BJ2338" s="4"/>
      <c r="BK2338" s="4"/>
      <c r="BL2338" s="4"/>
      <c r="BM2338" s="4"/>
      <c r="BN2338" s="4"/>
      <c r="BO2338" s="4"/>
      <c r="BP2338" s="4"/>
      <c r="BQ2338" s="4"/>
      <c r="BR2338" s="4"/>
      <c r="BS2338" s="4"/>
      <c r="BT2338" s="4"/>
      <c r="BU2338" s="4"/>
      <c r="BV2338" s="4"/>
      <c r="BW2338" s="4"/>
      <c r="BX2338" s="4"/>
      <c r="BY2338" s="4"/>
      <c r="BZ2338" s="4"/>
      <c r="CA2338" s="4"/>
      <c r="CB2338" s="4"/>
      <c r="CC2338" s="4"/>
      <c r="CD2338" s="4"/>
      <c r="CE2338" s="4"/>
      <c r="CF2338" s="4"/>
      <c r="CG2338" s="4"/>
      <c r="CH2338" s="4"/>
      <c r="CI2338" s="4"/>
      <c r="CJ2338" s="4"/>
      <c r="CK2338" s="4"/>
      <c r="CL2338" s="4"/>
      <c r="CM2338" s="4"/>
      <c r="CN2338" s="4"/>
      <c r="CO2338" s="4"/>
      <c r="CP2338" s="4"/>
      <c r="CQ2338" s="4"/>
      <c r="CR2338" s="4"/>
      <c r="CS2338" s="4"/>
      <c r="CT2338" s="4"/>
      <c r="CU2338" s="4"/>
      <c r="CV2338" s="4"/>
      <c r="CW2338" s="4"/>
      <c r="CX2338" s="4"/>
      <c r="CY2338" s="4"/>
      <c r="CZ2338" s="4"/>
      <c r="DA2338" s="4"/>
      <c r="DB2338" s="4"/>
      <c r="DC2338" s="4"/>
      <c r="DD2338" s="4"/>
      <c r="DE2338" s="4"/>
      <c r="DF2338" s="4"/>
      <c r="DG2338" s="4"/>
      <c r="DH2338" s="4"/>
      <c r="DI2338" s="4"/>
      <c r="DJ2338" s="4"/>
      <c r="DK2338" s="4"/>
      <c r="DL2338" s="4"/>
      <c r="DM2338" s="4"/>
      <c r="DN2338" s="4"/>
      <c r="DO2338" s="4"/>
      <c r="DP2338" s="4"/>
      <c r="DQ2338" s="4"/>
      <c r="DR2338" s="4"/>
      <c r="DS2338" s="4"/>
    </row>
    <row r="2339">
      <c r="A2339" s="4"/>
      <c r="B2339" s="4"/>
      <c r="C2339" s="4"/>
      <c r="D2339" s="4"/>
      <c r="E2339" s="4"/>
      <c r="F2339" s="4" t="s">
        <v>17</v>
      </c>
      <c r="G2339" s="15"/>
      <c r="H2339" s="4"/>
      <c r="I2339" s="4"/>
      <c r="J2339" s="4"/>
      <c r="K2339" s="4"/>
      <c r="L2339" s="4"/>
      <c r="M2339" s="4"/>
      <c r="N2339" s="4"/>
      <c r="O2339" s="4"/>
      <c r="P2339" s="4"/>
      <c r="Q2339" s="4"/>
      <c r="R2339" s="4"/>
      <c r="S2339" s="4"/>
      <c r="T2339" s="4"/>
      <c r="U2339" s="4"/>
      <c r="V2339" s="4"/>
      <c r="W2339" s="4"/>
      <c r="X2339" s="4"/>
      <c r="Y2339" s="4"/>
      <c r="Z2339" s="4"/>
      <c r="AA2339" s="4"/>
      <c r="AB2339" s="4"/>
      <c r="AC2339" s="4"/>
      <c r="AD2339" s="4"/>
      <c r="AE2339" s="4"/>
      <c r="AF2339" s="4"/>
      <c r="AG2339" s="4"/>
      <c r="AH2339" s="4"/>
      <c r="AI2339" s="4"/>
      <c r="AJ2339" s="4"/>
      <c r="AK2339" s="4"/>
      <c r="AL2339" s="4"/>
      <c r="AM2339" s="4"/>
      <c r="AN2339" s="4"/>
      <c r="AO2339" s="4"/>
      <c r="AP2339" s="4"/>
      <c r="AQ2339" s="4"/>
      <c r="AR2339" s="4"/>
      <c r="AS2339" s="4"/>
      <c r="AT2339" s="4"/>
      <c r="AU2339" s="4"/>
      <c r="AV2339" s="4"/>
      <c r="AW2339" s="4"/>
      <c r="AX2339" s="4"/>
      <c r="AY2339" s="4"/>
      <c r="AZ2339" s="4"/>
      <c r="BA2339" s="4"/>
      <c r="BB2339" s="4"/>
      <c r="BC2339" s="4"/>
      <c r="BD2339" s="4"/>
      <c r="BE2339" s="4"/>
      <c r="BF2339" s="4"/>
      <c r="BG2339" s="4"/>
      <c r="BH2339" s="4"/>
      <c r="BI2339" s="4"/>
      <c r="BJ2339" s="4"/>
      <c r="BK2339" s="4"/>
      <c r="BL2339" s="4"/>
      <c r="BM2339" s="4"/>
      <c r="BN2339" s="4"/>
      <c r="BO2339" s="4"/>
      <c r="BP2339" s="4"/>
      <c r="BQ2339" s="4"/>
      <c r="BR2339" s="4"/>
      <c r="BS2339" s="4"/>
      <c r="BT2339" s="4"/>
      <c r="BU2339" s="4"/>
      <c r="BV2339" s="4"/>
      <c r="BW2339" s="4"/>
      <c r="BX2339" s="4"/>
      <c r="BY2339" s="4"/>
      <c r="BZ2339" s="4"/>
      <c r="CA2339" s="4"/>
      <c r="CB2339" s="4"/>
      <c r="CC2339" s="4"/>
      <c r="CD2339" s="4"/>
      <c r="CE2339" s="4"/>
      <c r="CF2339" s="4"/>
      <c r="CG2339" s="4"/>
      <c r="CH2339" s="4"/>
      <c r="CI2339" s="4"/>
      <c r="CJ2339" s="4"/>
      <c r="CK2339" s="4"/>
      <c r="CL2339" s="4"/>
      <c r="CM2339" s="4"/>
      <c r="CN2339" s="4"/>
      <c r="CO2339" s="4"/>
      <c r="CP2339" s="4"/>
      <c r="CQ2339" s="4"/>
      <c r="CR2339" s="4"/>
      <c r="CS2339" s="4"/>
      <c r="CT2339" s="4"/>
      <c r="CU2339" s="4"/>
      <c r="CV2339" s="4"/>
      <c r="CW2339" s="4"/>
      <c r="CX2339" s="4"/>
      <c r="CY2339" s="4"/>
      <c r="CZ2339" s="4"/>
      <c r="DA2339" s="4"/>
      <c r="DB2339" s="4"/>
      <c r="DC2339" s="4"/>
      <c r="DD2339" s="4"/>
      <c r="DE2339" s="4"/>
      <c r="DF2339" s="4"/>
      <c r="DG2339" s="4"/>
      <c r="DH2339" s="4"/>
      <c r="DI2339" s="4"/>
      <c r="DJ2339" s="4"/>
      <c r="DK2339" s="4"/>
      <c r="DL2339" s="4"/>
      <c r="DM2339" s="4"/>
      <c r="DN2339" s="4"/>
      <c r="DO2339" s="4"/>
      <c r="DP2339" s="4"/>
      <c r="DQ2339" s="4"/>
      <c r="DR2339" s="4"/>
      <c r="DS2339" s="4"/>
    </row>
    <row r="2340">
      <c r="A2340" s="4"/>
      <c r="B2340" s="4"/>
      <c r="C2340" s="4"/>
      <c r="D2340" s="4"/>
      <c r="E2340" s="4"/>
      <c r="F2340" s="4" t="s">
        <v>17</v>
      </c>
      <c r="G2340" s="15"/>
      <c r="H2340" s="4"/>
      <c r="I2340" s="4"/>
      <c r="J2340" s="4"/>
      <c r="K2340" s="4"/>
      <c r="L2340" s="4"/>
      <c r="M2340" s="4"/>
      <c r="N2340" s="4"/>
      <c r="O2340" s="4"/>
      <c r="P2340" s="4"/>
      <c r="Q2340" s="4"/>
      <c r="R2340" s="4"/>
      <c r="S2340" s="4"/>
      <c r="T2340" s="4"/>
      <c r="U2340" s="4"/>
      <c r="V2340" s="4"/>
      <c r="W2340" s="4"/>
      <c r="X2340" s="4"/>
      <c r="Y2340" s="4"/>
      <c r="Z2340" s="4"/>
      <c r="AA2340" s="4"/>
      <c r="AB2340" s="4"/>
      <c r="AC2340" s="4"/>
      <c r="AD2340" s="4"/>
      <c r="AE2340" s="4"/>
      <c r="AF2340" s="4"/>
      <c r="AG2340" s="4"/>
      <c r="AH2340" s="4"/>
      <c r="AI2340" s="4"/>
      <c r="AJ2340" s="4"/>
      <c r="AK2340" s="4"/>
      <c r="AL2340" s="4"/>
      <c r="AM2340" s="4"/>
      <c r="AN2340" s="4"/>
      <c r="AO2340" s="4"/>
      <c r="AP2340" s="4"/>
      <c r="AQ2340" s="4"/>
      <c r="AR2340" s="4"/>
      <c r="AS2340" s="4"/>
      <c r="AT2340" s="4"/>
      <c r="AU2340" s="4"/>
      <c r="AV2340" s="4"/>
      <c r="AW2340" s="4"/>
      <c r="AX2340" s="4"/>
      <c r="AY2340" s="4"/>
      <c r="AZ2340" s="4"/>
      <c r="BA2340" s="4"/>
      <c r="BB2340" s="4"/>
      <c r="BC2340" s="4"/>
      <c r="BD2340" s="4"/>
      <c r="BE2340" s="4"/>
      <c r="BF2340" s="4"/>
      <c r="BG2340" s="4"/>
      <c r="BH2340" s="4"/>
      <c r="BI2340" s="4"/>
      <c r="BJ2340" s="4"/>
      <c r="BK2340" s="4"/>
      <c r="BL2340" s="4"/>
      <c r="BM2340" s="4"/>
      <c r="BN2340" s="4"/>
      <c r="BO2340" s="4"/>
      <c r="BP2340" s="4"/>
      <c r="BQ2340" s="4"/>
      <c r="BR2340" s="4"/>
      <c r="BS2340" s="4"/>
      <c r="BT2340" s="4"/>
      <c r="BU2340" s="4"/>
      <c r="BV2340" s="4"/>
      <c r="BW2340" s="4"/>
      <c r="BX2340" s="4"/>
      <c r="BY2340" s="4"/>
      <c r="BZ2340" s="4"/>
      <c r="CA2340" s="4"/>
      <c r="CB2340" s="4"/>
      <c r="CC2340" s="4"/>
      <c r="CD2340" s="4"/>
      <c r="CE2340" s="4"/>
      <c r="CF2340" s="4"/>
      <c r="CG2340" s="4"/>
      <c r="CH2340" s="4"/>
      <c r="CI2340" s="4"/>
      <c r="CJ2340" s="4"/>
      <c r="CK2340" s="4"/>
      <c r="CL2340" s="4"/>
      <c r="CM2340" s="4"/>
      <c r="CN2340" s="4"/>
      <c r="CO2340" s="4"/>
      <c r="CP2340" s="4"/>
      <c r="CQ2340" s="4"/>
      <c r="CR2340" s="4"/>
      <c r="CS2340" s="4"/>
      <c r="CT2340" s="4"/>
      <c r="CU2340" s="4"/>
      <c r="CV2340" s="4"/>
      <c r="CW2340" s="4"/>
      <c r="CX2340" s="4"/>
      <c r="CY2340" s="4"/>
      <c r="CZ2340" s="4"/>
      <c r="DA2340" s="4"/>
      <c r="DB2340" s="4"/>
      <c r="DC2340" s="4"/>
      <c r="DD2340" s="4"/>
      <c r="DE2340" s="4"/>
      <c r="DF2340" s="4"/>
      <c r="DG2340" s="4"/>
      <c r="DH2340" s="4"/>
      <c r="DI2340" s="4"/>
      <c r="DJ2340" s="4"/>
      <c r="DK2340" s="4"/>
      <c r="DL2340" s="4"/>
      <c r="DM2340" s="4"/>
      <c r="DN2340" s="4"/>
      <c r="DO2340" s="4"/>
      <c r="DP2340" s="4"/>
      <c r="DQ2340" s="4"/>
      <c r="DR2340" s="4"/>
      <c r="DS2340" s="4"/>
    </row>
    <row r="2341">
      <c r="A2341" s="4"/>
      <c r="B2341" s="4"/>
      <c r="C2341" s="4"/>
      <c r="D2341" s="4"/>
      <c r="E2341" s="4"/>
      <c r="F2341" s="4" t="s">
        <v>17</v>
      </c>
      <c r="G2341" s="15"/>
      <c r="H2341" s="4"/>
      <c r="I2341" s="4"/>
      <c r="J2341" s="4"/>
      <c r="K2341" s="4"/>
      <c r="L2341" s="4"/>
      <c r="M2341" s="4"/>
      <c r="N2341" s="4"/>
      <c r="O2341" s="4"/>
      <c r="P2341" s="4"/>
      <c r="Q2341" s="4"/>
      <c r="R2341" s="4"/>
      <c r="S2341" s="4"/>
      <c r="T2341" s="4"/>
      <c r="U2341" s="4"/>
      <c r="V2341" s="4"/>
      <c r="W2341" s="4"/>
      <c r="X2341" s="4"/>
      <c r="Y2341" s="4"/>
      <c r="Z2341" s="4"/>
      <c r="AA2341" s="4"/>
      <c r="AB2341" s="4"/>
      <c r="AC2341" s="4"/>
      <c r="AD2341" s="4"/>
      <c r="AE2341" s="4"/>
      <c r="AF2341" s="4"/>
      <c r="AG2341" s="4"/>
      <c r="AH2341" s="4"/>
      <c r="AI2341" s="4"/>
      <c r="AJ2341" s="4"/>
      <c r="AK2341" s="4"/>
      <c r="AL2341" s="4"/>
      <c r="AM2341" s="4"/>
      <c r="AN2341" s="4"/>
      <c r="AO2341" s="4"/>
      <c r="AP2341" s="4"/>
      <c r="AQ2341" s="4"/>
      <c r="AR2341" s="4"/>
      <c r="AS2341" s="4"/>
      <c r="AT2341" s="4"/>
      <c r="AU2341" s="4"/>
      <c r="AV2341" s="4"/>
      <c r="AW2341" s="4"/>
      <c r="AX2341" s="4"/>
      <c r="AY2341" s="4"/>
      <c r="AZ2341" s="4"/>
      <c r="BA2341" s="4"/>
      <c r="BB2341" s="4"/>
      <c r="BC2341" s="4"/>
      <c r="BD2341" s="4"/>
      <c r="BE2341" s="4"/>
      <c r="BF2341" s="4"/>
      <c r="BG2341" s="4"/>
      <c r="BH2341" s="4"/>
      <c r="BI2341" s="4"/>
      <c r="BJ2341" s="4"/>
      <c r="BK2341" s="4"/>
      <c r="BL2341" s="4"/>
      <c r="BM2341" s="4"/>
      <c r="BN2341" s="4"/>
      <c r="BO2341" s="4"/>
      <c r="BP2341" s="4"/>
      <c r="BQ2341" s="4"/>
      <c r="BR2341" s="4"/>
      <c r="BS2341" s="4"/>
      <c r="BT2341" s="4"/>
      <c r="BU2341" s="4"/>
      <c r="BV2341" s="4"/>
      <c r="BW2341" s="4"/>
      <c r="BX2341" s="4"/>
      <c r="BY2341" s="4"/>
      <c r="BZ2341" s="4"/>
      <c r="CA2341" s="4"/>
      <c r="CB2341" s="4"/>
      <c r="CC2341" s="4"/>
      <c r="CD2341" s="4"/>
      <c r="CE2341" s="4"/>
      <c r="CF2341" s="4"/>
      <c r="CG2341" s="4"/>
      <c r="CH2341" s="4"/>
      <c r="CI2341" s="4"/>
      <c r="CJ2341" s="4"/>
      <c r="CK2341" s="4"/>
      <c r="CL2341" s="4"/>
      <c r="CM2341" s="4"/>
      <c r="CN2341" s="4"/>
      <c r="CO2341" s="4"/>
      <c r="CP2341" s="4"/>
      <c r="CQ2341" s="4"/>
      <c r="CR2341" s="4"/>
      <c r="CS2341" s="4"/>
      <c r="CT2341" s="4"/>
      <c r="CU2341" s="4"/>
      <c r="CV2341" s="4"/>
      <c r="CW2341" s="4"/>
      <c r="CX2341" s="4"/>
      <c r="CY2341" s="4"/>
      <c r="CZ2341" s="4"/>
      <c r="DA2341" s="4"/>
      <c r="DB2341" s="4"/>
      <c r="DC2341" s="4"/>
      <c r="DD2341" s="4"/>
      <c r="DE2341" s="4"/>
      <c r="DF2341" s="4"/>
      <c r="DG2341" s="4"/>
      <c r="DH2341" s="4"/>
      <c r="DI2341" s="4"/>
      <c r="DJ2341" s="4"/>
      <c r="DK2341" s="4"/>
      <c r="DL2341" s="4"/>
      <c r="DM2341" s="4"/>
      <c r="DN2341" s="4"/>
      <c r="DO2341" s="4"/>
      <c r="DP2341" s="4"/>
      <c r="DQ2341" s="4"/>
      <c r="DR2341" s="4"/>
      <c r="DS2341" s="4"/>
    </row>
    <row r="2342">
      <c r="A2342" s="4"/>
      <c r="B2342" s="4"/>
      <c r="C2342" s="4"/>
      <c r="D2342" s="4"/>
      <c r="E2342" s="4"/>
      <c r="F2342" s="4" t="s">
        <v>17</v>
      </c>
      <c r="G2342" s="15"/>
      <c r="H2342" s="4"/>
      <c r="I2342" s="4"/>
      <c r="J2342" s="4"/>
      <c r="K2342" s="4"/>
      <c r="L2342" s="4"/>
      <c r="M2342" s="4"/>
      <c r="N2342" s="4"/>
      <c r="O2342" s="4"/>
      <c r="P2342" s="4"/>
      <c r="Q2342" s="4"/>
      <c r="R2342" s="4"/>
      <c r="S2342" s="4"/>
      <c r="T2342" s="4"/>
      <c r="U2342" s="4"/>
      <c r="V2342" s="4"/>
      <c r="W2342" s="4"/>
      <c r="X2342" s="4"/>
      <c r="Y2342" s="4"/>
      <c r="Z2342" s="4"/>
      <c r="AA2342" s="4"/>
      <c r="AB2342" s="4"/>
      <c r="AC2342" s="4"/>
      <c r="AD2342" s="4"/>
      <c r="AE2342" s="4"/>
      <c r="AF2342" s="4"/>
      <c r="AG2342" s="4"/>
      <c r="AH2342" s="4"/>
      <c r="AI2342" s="4"/>
      <c r="AJ2342" s="4"/>
      <c r="AK2342" s="4"/>
      <c r="AL2342" s="4"/>
      <c r="AM2342" s="4"/>
      <c r="AN2342" s="4"/>
      <c r="AO2342" s="4"/>
      <c r="AP2342" s="4"/>
      <c r="AQ2342" s="4"/>
      <c r="AR2342" s="4"/>
      <c r="AS2342" s="4"/>
      <c r="AT2342" s="4"/>
      <c r="AU2342" s="4"/>
      <c r="AV2342" s="4"/>
      <c r="AW2342" s="4"/>
      <c r="AX2342" s="4"/>
      <c r="AY2342" s="4"/>
      <c r="AZ2342" s="4"/>
      <c r="BA2342" s="4"/>
      <c r="BB2342" s="4"/>
      <c r="BC2342" s="4"/>
      <c r="BD2342" s="4"/>
      <c r="BE2342" s="4"/>
      <c r="BF2342" s="4"/>
      <c r="BG2342" s="4"/>
      <c r="BH2342" s="4"/>
      <c r="BI2342" s="4"/>
      <c r="BJ2342" s="4"/>
      <c r="BK2342" s="4"/>
      <c r="BL2342" s="4"/>
      <c r="BM2342" s="4"/>
      <c r="BN2342" s="4"/>
      <c r="BO2342" s="4"/>
      <c r="BP2342" s="4"/>
      <c r="BQ2342" s="4"/>
      <c r="BR2342" s="4"/>
      <c r="BS2342" s="4"/>
      <c r="BT2342" s="4"/>
      <c r="BU2342" s="4"/>
      <c r="BV2342" s="4"/>
      <c r="BW2342" s="4"/>
      <c r="BX2342" s="4"/>
      <c r="BY2342" s="4"/>
      <c r="BZ2342" s="4"/>
      <c r="CA2342" s="4"/>
      <c r="CB2342" s="4"/>
      <c r="CC2342" s="4"/>
      <c r="CD2342" s="4"/>
      <c r="CE2342" s="4"/>
      <c r="CF2342" s="4"/>
      <c r="CG2342" s="4"/>
      <c r="CH2342" s="4"/>
      <c r="CI2342" s="4"/>
      <c r="CJ2342" s="4"/>
      <c r="CK2342" s="4"/>
      <c r="CL2342" s="4"/>
      <c r="CM2342" s="4"/>
      <c r="CN2342" s="4"/>
      <c r="CO2342" s="4"/>
      <c r="CP2342" s="4"/>
      <c r="CQ2342" s="4"/>
      <c r="CR2342" s="4"/>
      <c r="CS2342" s="4"/>
      <c r="CT2342" s="4"/>
      <c r="CU2342" s="4"/>
      <c r="CV2342" s="4"/>
      <c r="CW2342" s="4"/>
      <c r="CX2342" s="4"/>
      <c r="CY2342" s="4"/>
      <c r="CZ2342" s="4"/>
      <c r="DA2342" s="4"/>
      <c r="DB2342" s="4"/>
      <c r="DC2342" s="4"/>
      <c r="DD2342" s="4"/>
      <c r="DE2342" s="4"/>
      <c r="DF2342" s="4"/>
      <c r="DG2342" s="4"/>
      <c r="DH2342" s="4"/>
      <c r="DI2342" s="4"/>
      <c r="DJ2342" s="4"/>
      <c r="DK2342" s="4"/>
      <c r="DL2342" s="4"/>
      <c r="DM2342" s="4"/>
      <c r="DN2342" s="4"/>
      <c r="DO2342" s="4"/>
      <c r="DP2342" s="4"/>
      <c r="DQ2342" s="4"/>
      <c r="DR2342" s="4"/>
      <c r="DS2342" s="4"/>
    </row>
    <row r="2343">
      <c r="A2343" s="4"/>
      <c r="B2343" s="4"/>
      <c r="C2343" s="4"/>
      <c r="D2343" s="4"/>
      <c r="E2343" s="4"/>
      <c r="F2343" s="4" t="s">
        <v>17</v>
      </c>
      <c r="G2343" s="15"/>
      <c r="H2343" s="4"/>
      <c r="I2343" s="4"/>
      <c r="J2343" s="4"/>
      <c r="K2343" s="4"/>
      <c r="L2343" s="4"/>
      <c r="M2343" s="4"/>
      <c r="N2343" s="4"/>
      <c r="O2343" s="4"/>
      <c r="P2343" s="4"/>
      <c r="Q2343" s="4"/>
      <c r="R2343" s="4"/>
      <c r="S2343" s="4"/>
      <c r="T2343" s="4"/>
      <c r="U2343" s="4"/>
      <c r="V2343" s="4"/>
      <c r="W2343" s="4"/>
      <c r="X2343" s="4"/>
      <c r="Y2343" s="4"/>
      <c r="Z2343" s="4"/>
      <c r="AA2343" s="4"/>
      <c r="AB2343" s="4"/>
      <c r="AC2343" s="4"/>
      <c r="AD2343" s="4"/>
      <c r="AE2343" s="4"/>
      <c r="AF2343" s="4"/>
      <c r="AG2343" s="4"/>
      <c r="AH2343" s="4"/>
      <c r="AI2343" s="4"/>
      <c r="AJ2343" s="4"/>
      <c r="AK2343" s="4"/>
      <c r="AL2343" s="4"/>
      <c r="AM2343" s="4"/>
      <c r="AN2343" s="4"/>
      <c r="AO2343" s="4"/>
      <c r="AP2343" s="4"/>
      <c r="AQ2343" s="4"/>
      <c r="AR2343" s="4"/>
      <c r="AS2343" s="4"/>
      <c r="AT2343" s="4"/>
      <c r="AU2343" s="4"/>
      <c r="AV2343" s="4"/>
      <c r="AW2343" s="4"/>
      <c r="AX2343" s="4"/>
      <c r="AY2343" s="4"/>
      <c r="AZ2343" s="4"/>
      <c r="BA2343" s="4"/>
      <c r="BB2343" s="4"/>
      <c r="BC2343" s="4"/>
      <c r="BD2343" s="4"/>
      <c r="BE2343" s="4"/>
      <c r="BF2343" s="4"/>
      <c r="BG2343" s="4"/>
      <c r="BH2343" s="4"/>
      <c r="BI2343" s="4"/>
      <c r="BJ2343" s="4"/>
      <c r="BK2343" s="4"/>
      <c r="BL2343" s="4"/>
      <c r="BM2343" s="4"/>
      <c r="BN2343" s="4"/>
      <c r="BO2343" s="4"/>
      <c r="BP2343" s="4"/>
      <c r="BQ2343" s="4"/>
      <c r="BR2343" s="4"/>
      <c r="BS2343" s="4"/>
      <c r="BT2343" s="4"/>
      <c r="BU2343" s="4"/>
      <c r="BV2343" s="4"/>
      <c r="BW2343" s="4"/>
      <c r="BX2343" s="4"/>
      <c r="BY2343" s="4"/>
      <c r="BZ2343" s="4"/>
      <c r="CA2343" s="4"/>
      <c r="CB2343" s="4"/>
      <c r="CC2343" s="4"/>
      <c r="CD2343" s="4"/>
      <c r="CE2343" s="4"/>
      <c r="CF2343" s="4"/>
      <c r="CG2343" s="4"/>
      <c r="CH2343" s="4"/>
      <c r="CI2343" s="4"/>
      <c r="CJ2343" s="4"/>
      <c r="CK2343" s="4"/>
      <c r="CL2343" s="4"/>
      <c r="CM2343" s="4"/>
      <c r="CN2343" s="4"/>
      <c r="CO2343" s="4"/>
      <c r="CP2343" s="4"/>
      <c r="CQ2343" s="4"/>
      <c r="CR2343" s="4"/>
      <c r="CS2343" s="4"/>
      <c r="CT2343" s="4"/>
      <c r="CU2343" s="4"/>
      <c r="CV2343" s="4"/>
      <c r="CW2343" s="4"/>
      <c r="CX2343" s="4"/>
      <c r="CY2343" s="4"/>
      <c r="CZ2343" s="4"/>
      <c r="DA2343" s="4"/>
      <c r="DB2343" s="4"/>
      <c r="DC2343" s="4"/>
      <c r="DD2343" s="4"/>
      <c r="DE2343" s="4"/>
      <c r="DF2343" s="4"/>
      <c r="DG2343" s="4"/>
      <c r="DH2343" s="4"/>
      <c r="DI2343" s="4"/>
      <c r="DJ2343" s="4"/>
      <c r="DK2343" s="4"/>
      <c r="DL2343" s="4"/>
      <c r="DM2343" s="4"/>
      <c r="DN2343" s="4"/>
      <c r="DO2343" s="4"/>
      <c r="DP2343" s="4"/>
      <c r="DQ2343" s="4"/>
      <c r="DR2343" s="4"/>
      <c r="DS2343" s="4"/>
    </row>
    <row r="2344">
      <c r="A2344" s="4"/>
      <c r="B2344" s="4"/>
      <c r="C2344" s="4"/>
      <c r="D2344" s="4"/>
      <c r="E2344" s="4"/>
      <c r="F2344" s="4" t="s">
        <v>17</v>
      </c>
      <c r="G2344" s="15"/>
      <c r="H2344" s="4"/>
      <c r="I2344" s="4"/>
      <c r="J2344" s="4"/>
      <c r="K2344" s="4"/>
      <c r="L2344" s="4"/>
      <c r="M2344" s="4"/>
      <c r="N2344" s="4"/>
      <c r="O2344" s="4"/>
      <c r="P2344" s="4"/>
      <c r="Q2344" s="4"/>
      <c r="R2344" s="4"/>
      <c r="S2344" s="4"/>
      <c r="T2344" s="4"/>
      <c r="U2344" s="4"/>
      <c r="V2344" s="4"/>
      <c r="W2344" s="4"/>
      <c r="X2344" s="4"/>
      <c r="Y2344" s="4"/>
      <c r="Z2344" s="4"/>
      <c r="AA2344" s="4"/>
      <c r="AB2344" s="4"/>
      <c r="AC2344" s="4"/>
      <c r="AD2344" s="4"/>
      <c r="AE2344" s="4"/>
      <c r="AF2344" s="4"/>
      <c r="AG2344" s="4"/>
      <c r="AH2344" s="4"/>
      <c r="AI2344" s="4"/>
      <c r="AJ2344" s="4"/>
      <c r="AK2344" s="4"/>
      <c r="AL2344" s="4"/>
      <c r="AM2344" s="4"/>
      <c r="AN2344" s="4"/>
      <c r="AO2344" s="4"/>
      <c r="AP2344" s="4"/>
      <c r="AQ2344" s="4"/>
      <c r="AR2344" s="4"/>
      <c r="AS2344" s="4"/>
      <c r="AT2344" s="4"/>
      <c r="AU2344" s="4"/>
      <c r="AV2344" s="4"/>
      <c r="AW2344" s="4"/>
      <c r="AX2344" s="4"/>
      <c r="AY2344" s="4"/>
      <c r="AZ2344" s="4"/>
      <c r="BA2344" s="4"/>
      <c r="BB2344" s="4"/>
      <c r="BC2344" s="4"/>
      <c r="BD2344" s="4"/>
      <c r="BE2344" s="4"/>
      <c r="BF2344" s="4"/>
      <c r="BG2344" s="4"/>
      <c r="BH2344" s="4"/>
      <c r="BI2344" s="4"/>
      <c r="BJ2344" s="4"/>
      <c r="BK2344" s="4"/>
      <c r="BL2344" s="4"/>
      <c r="BM2344" s="4"/>
      <c r="BN2344" s="4"/>
      <c r="BO2344" s="4"/>
      <c r="BP2344" s="4"/>
      <c r="BQ2344" s="4"/>
      <c r="BR2344" s="4"/>
      <c r="BS2344" s="4"/>
      <c r="BT2344" s="4"/>
      <c r="BU2344" s="4"/>
      <c r="BV2344" s="4"/>
      <c r="BW2344" s="4"/>
      <c r="BX2344" s="4"/>
      <c r="BY2344" s="4"/>
      <c r="BZ2344" s="4"/>
      <c r="CA2344" s="4"/>
      <c r="CB2344" s="4"/>
      <c r="CC2344" s="4"/>
      <c r="CD2344" s="4"/>
      <c r="CE2344" s="4"/>
      <c r="CF2344" s="4"/>
      <c r="CG2344" s="4"/>
      <c r="CH2344" s="4"/>
      <c r="CI2344" s="4"/>
      <c r="CJ2344" s="4"/>
      <c r="CK2344" s="4"/>
      <c r="CL2344" s="4"/>
      <c r="CM2344" s="4"/>
      <c r="CN2344" s="4"/>
      <c r="CO2344" s="4"/>
      <c r="CP2344" s="4"/>
      <c r="CQ2344" s="4"/>
      <c r="CR2344" s="4"/>
      <c r="CS2344" s="4"/>
      <c r="CT2344" s="4"/>
      <c r="CU2344" s="4"/>
      <c r="CV2344" s="4"/>
      <c r="CW2344" s="4"/>
      <c r="CX2344" s="4"/>
      <c r="CY2344" s="4"/>
      <c r="CZ2344" s="4"/>
      <c r="DA2344" s="4"/>
      <c r="DB2344" s="4"/>
      <c r="DC2344" s="4"/>
      <c r="DD2344" s="4"/>
      <c r="DE2344" s="4"/>
      <c r="DF2344" s="4"/>
      <c r="DG2344" s="4"/>
      <c r="DH2344" s="4"/>
      <c r="DI2344" s="4"/>
      <c r="DJ2344" s="4"/>
      <c r="DK2344" s="4"/>
      <c r="DL2344" s="4"/>
      <c r="DM2344" s="4"/>
      <c r="DN2344" s="4"/>
      <c r="DO2344" s="4"/>
      <c r="DP2344" s="4"/>
      <c r="DQ2344" s="4"/>
      <c r="DR2344" s="4"/>
      <c r="DS2344" s="4"/>
    </row>
    <row r="2345">
      <c r="A2345" s="4"/>
      <c r="B2345" s="4"/>
      <c r="C2345" s="4"/>
      <c r="D2345" s="4"/>
      <c r="E2345" s="4"/>
      <c r="F2345" s="4" t="s">
        <v>17</v>
      </c>
      <c r="G2345" s="15"/>
      <c r="H2345" s="4"/>
      <c r="I2345" s="4"/>
      <c r="J2345" s="4"/>
      <c r="K2345" s="4"/>
      <c r="L2345" s="4"/>
      <c r="M2345" s="4"/>
      <c r="N2345" s="4"/>
      <c r="O2345" s="4"/>
      <c r="P2345" s="4"/>
      <c r="Q2345" s="4"/>
      <c r="R2345" s="4"/>
      <c r="S2345" s="4"/>
      <c r="T2345" s="4"/>
      <c r="U2345" s="4"/>
      <c r="V2345" s="4"/>
      <c r="W2345" s="4"/>
      <c r="X2345" s="4"/>
      <c r="Y2345" s="4"/>
      <c r="Z2345" s="4"/>
      <c r="AA2345" s="4"/>
      <c r="AB2345" s="4"/>
      <c r="AC2345" s="4"/>
      <c r="AD2345" s="4"/>
      <c r="AE2345" s="4"/>
      <c r="AF2345" s="4"/>
      <c r="AG2345" s="4"/>
      <c r="AH2345" s="4"/>
      <c r="AI2345" s="4"/>
      <c r="AJ2345" s="4"/>
      <c r="AK2345" s="4"/>
      <c r="AL2345" s="4"/>
      <c r="AM2345" s="4"/>
      <c r="AN2345" s="4"/>
      <c r="AO2345" s="4"/>
      <c r="AP2345" s="4"/>
      <c r="AQ2345" s="4"/>
      <c r="AR2345" s="4"/>
      <c r="AS2345" s="4"/>
      <c r="AT2345" s="4"/>
      <c r="AU2345" s="4"/>
      <c r="AV2345" s="4"/>
      <c r="AW2345" s="4"/>
      <c r="AX2345" s="4"/>
      <c r="AY2345" s="4"/>
      <c r="AZ2345" s="4"/>
      <c r="BA2345" s="4"/>
      <c r="BB2345" s="4"/>
      <c r="BC2345" s="4"/>
      <c r="BD2345" s="4"/>
      <c r="BE2345" s="4"/>
      <c r="BF2345" s="4"/>
      <c r="BG2345" s="4"/>
      <c r="BH2345" s="4"/>
      <c r="BI2345" s="4"/>
      <c r="BJ2345" s="4"/>
      <c r="BK2345" s="4"/>
      <c r="BL2345" s="4"/>
      <c r="BM2345" s="4"/>
      <c r="BN2345" s="4"/>
      <c r="BO2345" s="4"/>
      <c r="BP2345" s="4"/>
      <c r="BQ2345" s="4"/>
      <c r="BR2345" s="4"/>
      <c r="BS2345" s="4"/>
      <c r="BT2345" s="4"/>
      <c r="BU2345" s="4"/>
      <c r="BV2345" s="4"/>
      <c r="BW2345" s="4"/>
      <c r="BX2345" s="4"/>
      <c r="BY2345" s="4"/>
      <c r="BZ2345" s="4"/>
      <c r="CA2345" s="4"/>
      <c r="CB2345" s="4"/>
      <c r="CC2345" s="4"/>
      <c r="CD2345" s="4"/>
      <c r="CE2345" s="4"/>
      <c r="CF2345" s="4"/>
      <c r="CG2345" s="4"/>
      <c r="CH2345" s="4"/>
      <c r="CI2345" s="4"/>
      <c r="CJ2345" s="4"/>
      <c r="CK2345" s="4"/>
      <c r="CL2345" s="4"/>
      <c r="CM2345" s="4"/>
      <c r="CN2345" s="4"/>
      <c r="CO2345" s="4"/>
      <c r="CP2345" s="4"/>
      <c r="CQ2345" s="4"/>
      <c r="CR2345" s="4"/>
      <c r="CS2345" s="4"/>
      <c r="CT2345" s="4"/>
      <c r="CU2345" s="4"/>
      <c r="CV2345" s="4"/>
      <c r="CW2345" s="4"/>
      <c r="CX2345" s="4"/>
      <c r="CY2345" s="4"/>
      <c r="CZ2345" s="4"/>
      <c r="DA2345" s="4"/>
      <c r="DB2345" s="4"/>
      <c r="DC2345" s="4"/>
      <c r="DD2345" s="4"/>
      <c r="DE2345" s="4"/>
      <c r="DF2345" s="4"/>
      <c r="DG2345" s="4"/>
      <c r="DH2345" s="4"/>
      <c r="DI2345" s="4"/>
      <c r="DJ2345" s="4"/>
      <c r="DK2345" s="4"/>
      <c r="DL2345" s="4"/>
      <c r="DM2345" s="4"/>
      <c r="DN2345" s="4"/>
      <c r="DO2345" s="4"/>
      <c r="DP2345" s="4"/>
      <c r="DQ2345" s="4"/>
      <c r="DR2345" s="4"/>
      <c r="DS2345" s="4"/>
    </row>
    <row r="2346">
      <c r="A2346" s="4"/>
      <c r="B2346" s="4"/>
      <c r="C2346" s="4"/>
      <c r="D2346" s="4"/>
      <c r="E2346" s="4"/>
      <c r="F2346" s="4" t="s">
        <v>17</v>
      </c>
      <c r="G2346" s="15"/>
      <c r="H2346" s="4"/>
      <c r="I2346" s="4"/>
      <c r="J2346" s="4"/>
      <c r="K2346" s="4"/>
      <c r="L2346" s="4"/>
      <c r="M2346" s="4"/>
      <c r="N2346" s="4"/>
      <c r="O2346" s="4"/>
      <c r="P2346" s="4"/>
      <c r="Q2346" s="4"/>
      <c r="R2346" s="4"/>
      <c r="S2346" s="4"/>
      <c r="T2346" s="4"/>
      <c r="U2346" s="4"/>
      <c r="V2346" s="4"/>
      <c r="W2346" s="4"/>
      <c r="X2346" s="4"/>
      <c r="Y2346" s="4"/>
      <c r="Z2346" s="4"/>
      <c r="AA2346" s="4"/>
      <c r="AB2346" s="4"/>
      <c r="AC2346" s="4"/>
      <c r="AD2346" s="4"/>
      <c r="AE2346" s="4"/>
      <c r="AF2346" s="4"/>
      <c r="AG2346" s="4"/>
      <c r="AH2346" s="4"/>
      <c r="AI2346" s="4"/>
      <c r="AJ2346" s="4"/>
      <c r="AK2346" s="4"/>
      <c r="AL2346" s="4"/>
      <c r="AM2346" s="4"/>
      <c r="AN2346" s="4"/>
      <c r="AO2346" s="4"/>
      <c r="AP2346" s="4"/>
      <c r="AQ2346" s="4"/>
      <c r="AR2346" s="4"/>
      <c r="AS2346" s="4"/>
      <c r="AT2346" s="4"/>
      <c r="AU2346" s="4"/>
      <c r="AV2346" s="4"/>
      <c r="AW2346" s="4"/>
      <c r="AX2346" s="4"/>
      <c r="AY2346" s="4"/>
      <c r="AZ2346" s="4"/>
      <c r="BA2346" s="4"/>
      <c r="BB2346" s="4"/>
      <c r="BC2346" s="4"/>
      <c r="BD2346" s="4"/>
      <c r="BE2346" s="4"/>
      <c r="BF2346" s="4"/>
      <c r="BG2346" s="4"/>
      <c r="BH2346" s="4"/>
      <c r="BI2346" s="4"/>
      <c r="BJ2346" s="4"/>
      <c r="BK2346" s="4"/>
      <c r="BL2346" s="4"/>
      <c r="BM2346" s="4"/>
      <c r="BN2346" s="4"/>
      <c r="BO2346" s="4"/>
      <c r="BP2346" s="4"/>
      <c r="BQ2346" s="4"/>
      <c r="BR2346" s="4"/>
      <c r="BS2346" s="4"/>
      <c r="BT2346" s="4"/>
      <c r="BU2346" s="4"/>
      <c r="BV2346" s="4"/>
      <c r="BW2346" s="4"/>
      <c r="BX2346" s="4"/>
      <c r="BY2346" s="4"/>
      <c r="BZ2346" s="4"/>
      <c r="CA2346" s="4"/>
      <c r="CB2346" s="4"/>
      <c r="CC2346" s="4"/>
      <c r="CD2346" s="4"/>
      <c r="CE2346" s="4"/>
      <c r="CF2346" s="4"/>
      <c r="CG2346" s="4"/>
      <c r="CH2346" s="4"/>
      <c r="CI2346" s="4"/>
      <c r="CJ2346" s="4"/>
      <c r="CK2346" s="4"/>
      <c r="CL2346" s="4"/>
      <c r="CM2346" s="4"/>
      <c r="CN2346" s="4"/>
      <c r="CO2346" s="4"/>
      <c r="CP2346" s="4"/>
      <c r="CQ2346" s="4"/>
      <c r="CR2346" s="4"/>
      <c r="CS2346" s="4"/>
      <c r="CT2346" s="4"/>
      <c r="CU2346" s="4"/>
      <c r="CV2346" s="4"/>
      <c r="CW2346" s="4"/>
      <c r="CX2346" s="4"/>
      <c r="CY2346" s="4"/>
      <c r="CZ2346" s="4"/>
      <c r="DA2346" s="4"/>
      <c r="DB2346" s="4"/>
      <c r="DC2346" s="4"/>
      <c r="DD2346" s="4"/>
      <c r="DE2346" s="4"/>
      <c r="DF2346" s="4"/>
      <c r="DG2346" s="4"/>
      <c r="DH2346" s="4"/>
      <c r="DI2346" s="4"/>
      <c r="DJ2346" s="4"/>
      <c r="DK2346" s="4"/>
      <c r="DL2346" s="4"/>
      <c r="DM2346" s="4"/>
      <c r="DN2346" s="4"/>
      <c r="DO2346" s="4"/>
      <c r="DP2346" s="4"/>
      <c r="DQ2346" s="4"/>
      <c r="DR2346" s="4"/>
      <c r="DS2346" s="4"/>
    </row>
    <row r="2347">
      <c r="A2347" s="4"/>
      <c r="B2347" s="4"/>
      <c r="C2347" s="4"/>
      <c r="D2347" s="4"/>
      <c r="E2347" s="4"/>
      <c r="F2347" s="4" t="s">
        <v>17</v>
      </c>
      <c r="G2347" s="15"/>
      <c r="H2347" s="4"/>
      <c r="I2347" s="4"/>
      <c r="J2347" s="4"/>
      <c r="K2347" s="4"/>
      <c r="L2347" s="4"/>
      <c r="M2347" s="4"/>
      <c r="N2347" s="4"/>
      <c r="O2347" s="4"/>
      <c r="P2347" s="4"/>
      <c r="Q2347" s="4"/>
      <c r="R2347" s="4"/>
      <c r="S2347" s="4"/>
      <c r="T2347" s="4"/>
      <c r="U2347" s="4"/>
      <c r="V2347" s="4"/>
      <c r="W2347" s="4"/>
      <c r="X2347" s="4"/>
      <c r="Y2347" s="4"/>
      <c r="Z2347" s="4"/>
      <c r="AA2347" s="4"/>
      <c r="AB2347" s="4"/>
      <c r="AC2347" s="4"/>
      <c r="AD2347" s="4"/>
      <c r="AE2347" s="4"/>
      <c r="AF2347" s="4"/>
      <c r="AG2347" s="4"/>
      <c r="AH2347" s="4"/>
      <c r="AI2347" s="4"/>
      <c r="AJ2347" s="4"/>
      <c r="AK2347" s="4"/>
      <c r="AL2347" s="4"/>
      <c r="AM2347" s="4"/>
      <c r="AN2347" s="4"/>
      <c r="AO2347" s="4"/>
      <c r="AP2347" s="4"/>
      <c r="AQ2347" s="4"/>
      <c r="AR2347" s="4"/>
      <c r="AS2347" s="4"/>
      <c r="AT2347" s="4"/>
      <c r="AU2347" s="4"/>
      <c r="AV2347" s="4"/>
      <c r="AW2347" s="4"/>
      <c r="AX2347" s="4"/>
      <c r="AY2347" s="4"/>
      <c r="AZ2347" s="4"/>
      <c r="BA2347" s="4"/>
      <c r="BB2347" s="4"/>
      <c r="BC2347" s="4"/>
      <c r="BD2347" s="4"/>
      <c r="BE2347" s="4"/>
      <c r="BF2347" s="4"/>
      <c r="BG2347" s="4"/>
      <c r="BH2347" s="4"/>
      <c r="BI2347" s="4"/>
      <c r="BJ2347" s="4"/>
      <c r="BK2347" s="4"/>
      <c r="BL2347" s="4"/>
      <c r="BM2347" s="4"/>
      <c r="BN2347" s="4"/>
      <c r="BO2347" s="4"/>
      <c r="BP2347" s="4"/>
      <c r="BQ2347" s="4"/>
      <c r="BR2347" s="4"/>
      <c r="BS2347" s="4"/>
      <c r="BT2347" s="4"/>
      <c r="BU2347" s="4"/>
      <c r="BV2347" s="4"/>
      <c r="BW2347" s="4"/>
      <c r="BX2347" s="4"/>
      <c r="BY2347" s="4"/>
      <c r="BZ2347" s="4"/>
      <c r="CA2347" s="4"/>
      <c r="CB2347" s="4"/>
      <c r="CC2347" s="4"/>
      <c r="CD2347" s="4"/>
      <c r="CE2347" s="4"/>
      <c r="CF2347" s="4"/>
      <c r="CG2347" s="4"/>
      <c r="CH2347" s="4"/>
      <c r="CI2347" s="4"/>
      <c r="CJ2347" s="4"/>
      <c r="CK2347" s="4"/>
      <c r="CL2347" s="4"/>
      <c r="CM2347" s="4"/>
      <c r="CN2347" s="4"/>
      <c r="CO2347" s="4"/>
      <c r="CP2347" s="4"/>
      <c r="CQ2347" s="4"/>
      <c r="CR2347" s="4"/>
      <c r="CS2347" s="4"/>
      <c r="CT2347" s="4"/>
      <c r="CU2347" s="4"/>
      <c r="CV2347" s="4"/>
      <c r="CW2347" s="4"/>
      <c r="CX2347" s="4"/>
      <c r="CY2347" s="4"/>
      <c r="CZ2347" s="4"/>
      <c r="DA2347" s="4"/>
      <c r="DB2347" s="4"/>
      <c r="DC2347" s="4"/>
      <c r="DD2347" s="4"/>
      <c r="DE2347" s="4"/>
      <c r="DF2347" s="4"/>
      <c r="DG2347" s="4"/>
      <c r="DH2347" s="4"/>
      <c r="DI2347" s="4"/>
      <c r="DJ2347" s="4"/>
      <c r="DK2347" s="4"/>
      <c r="DL2347" s="4"/>
      <c r="DM2347" s="4"/>
      <c r="DN2347" s="4"/>
      <c r="DO2347" s="4"/>
      <c r="DP2347" s="4"/>
      <c r="DQ2347" s="4"/>
      <c r="DR2347" s="4"/>
      <c r="DS2347" s="4"/>
    </row>
    <row r="2348">
      <c r="A2348" s="4"/>
      <c r="B2348" s="4"/>
      <c r="C2348" s="4"/>
      <c r="D2348" s="4"/>
      <c r="E2348" s="4"/>
      <c r="F2348" s="4" t="s">
        <v>17</v>
      </c>
      <c r="G2348" s="15"/>
      <c r="H2348" s="4"/>
      <c r="I2348" s="4"/>
      <c r="J2348" s="4"/>
      <c r="K2348" s="4"/>
      <c r="L2348" s="4"/>
      <c r="M2348" s="4"/>
      <c r="N2348" s="4"/>
      <c r="O2348" s="4"/>
      <c r="P2348" s="4"/>
      <c r="Q2348" s="4"/>
      <c r="R2348" s="4"/>
      <c r="S2348" s="4"/>
      <c r="T2348" s="4"/>
      <c r="U2348" s="4"/>
      <c r="V2348" s="4"/>
      <c r="W2348" s="4"/>
      <c r="X2348" s="4"/>
      <c r="Y2348" s="4"/>
      <c r="Z2348" s="4"/>
      <c r="AA2348" s="4"/>
      <c r="AB2348" s="4"/>
      <c r="AC2348" s="4"/>
      <c r="AD2348" s="4"/>
      <c r="AE2348" s="4"/>
      <c r="AF2348" s="4"/>
      <c r="AG2348" s="4"/>
      <c r="AH2348" s="4"/>
      <c r="AI2348" s="4"/>
      <c r="AJ2348" s="4"/>
      <c r="AK2348" s="4"/>
      <c r="AL2348" s="4"/>
      <c r="AM2348" s="4"/>
      <c r="AN2348" s="4"/>
      <c r="AO2348" s="4"/>
      <c r="AP2348" s="4"/>
      <c r="AQ2348" s="4"/>
      <c r="AR2348" s="4"/>
      <c r="AS2348" s="4"/>
      <c r="AT2348" s="4"/>
      <c r="AU2348" s="4"/>
      <c r="AV2348" s="4"/>
      <c r="AW2348" s="4"/>
      <c r="AX2348" s="4"/>
      <c r="AY2348" s="4"/>
      <c r="AZ2348" s="4"/>
      <c r="BA2348" s="4"/>
      <c r="BB2348" s="4"/>
      <c r="BC2348" s="4"/>
      <c r="BD2348" s="4"/>
      <c r="BE2348" s="4"/>
      <c r="BF2348" s="4"/>
      <c r="BG2348" s="4"/>
      <c r="BH2348" s="4"/>
      <c r="BI2348" s="4"/>
      <c r="BJ2348" s="4"/>
      <c r="BK2348" s="4"/>
      <c r="BL2348" s="4"/>
      <c r="BM2348" s="4"/>
      <c r="BN2348" s="4"/>
      <c r="BO2348" s="4"/>
      <c r="BP2348" s="4"/>
      <c r="BQ2348" s="4"/>
      <c r="BR2348" s="4"/>
      <c r="BS2348" s="4"/>
      <c r="BT2348" s="4"/>
      <c r="BU2348" s="4"/>
      <c r="BV2348" s="4"/>
      <c r="BW2348" s="4"/>
      <c r="BX2348" s="4"/>
      <c r="BY2348" s="4"/>
      <c r="BZ2348" s="4"/>
      <c r="CA2348" s="4"/>
      <c r="CB2348" s="4"/>
      <c r="CC2348" s="4"/>
      <c r="CD2348" s="4"/>
      <c r="CE2348" s="4"/>
      <c r="CF2348" s="4"/>
      <c r="CG2348" s="4"/>
      <c r="CH2348" s="4"/>
      <c r="CI2348" s="4"/>
      <c r="CJ2348" s="4"/>
      <c r="CK2348" s="4"/>
      <c r="CL2348" s="4"/>
      <c r="CM2348" s="4"/>
      <c r="CN2348" s="4"/>
      <c r="CO2348" s="4"/>
      <c r="CP2348" s="4"/>
      <c r="CQ2348" s="4"/>
      <c r="CR2348" s="4"/>
      <c r="CS2348" s="4"/>
      <c r="CT2348" s="4"/>
      <c r="CU2348" s="4"/>
      <c r="CV2348" s="4"/>
      <c r="CW2348" s="4"/>
      <c r="CX2348" s="4"/>
      <c r="CY2348" s="4"/>
      <c r="CZ2348" s="4"/>
      <c r="DA2348" s="4"/>
      <c r="DB2348" s="4"/>
      <c r="DC2348" s="4"/>
      <c r="DD2348" s="4"/>
      <c r="DE2348" s="4"/>
      <c r="DF2348" s="4"/>
      <c r="DG2348" s="4"/>
      <c r="DH2348" s="4"/>
      <c r="DI2348" s="4"/>
      <c r="DJ2348" s="4"/>
      <c r="DK2348" s="4"/>
      <c r="DL2348" s="4"/>
      <c r="DM2348" s="4"/>
      <c r="DN2348" s="4"/>
      <c r="DO2348" s="4"/>
      <c r="DP2348" s="4"/>
      <c r="DQ2348" s="4"/>
      <c r="DR2348" s="4"/>
      <c r="DS2348" s="4"/>
    </row>
    <row r="2349">
      <c r="A2349" s="4"/>
      <c r="B2349" s="4"/>
      <c r="C2349" s="4"/>
      <c r="D2349" s="4"/>
      <c r="E2349" s="4"/>
      <c r="F2349" s="4" t="s">
        <v>17</v>
      </c>
      <c r="G2349" s="15"/>
      <c r="H2349" s="4"/>
      <c r="I2349" s="4"/>
      <c r="J2349" s="4"/>
      <c r="K2349" s="4"/>
      <c r="L2349" s="4"/>
      <c r="M2349" s="4"/>
      <c r="N2349" s="4"/>
      <c r="O2349" s="4"/>
      <c r="P2349" s="4"/>
      <c r="Q2349" s="4"/>
      <c r="R2349" s="4"/>
      <c r="S2349" s="4"/>
      <c r="T2349" s="4"/>
      <c r="U2349" s="4"/>
      <c r="V2349" s="4"/>
      <c r="W2349" s="4"/>
      <c r="X2349" s="4"/>
      <c r="Y2349" s="4"/>
      <c r="Z2349" s="4"/>
      <c r="AA2349" s="4"/>
      <c r="AB2349" s="4"/>
      <c r="AC2349" s="4"/>
      <c r="AD2349" s="4"/>
      <c r="AE2349" s="4"/>
      <c r="AF2349" s="4"/>
      <c r="AG2349" s="4"/>
      <c r="AH2349" s="4"/>
      <c r="AI2349" s="4"/>
      <c r="AJ2349" s="4"/>
      <c r="AK2349" s="4"/>
      <c r="AL2349" s="4"/>
      <c r="AM2349" s="4"/>
      <c r="AN2349" s="4"/>
      <c r="AO2349" s="4"/>
      <c r="AP2349" s="4"/>
      <c r="AQ2349" s="4"/>
      <c r="AR2349" s="4"/>
      <c r="AS2349" s="4"/>
      <c r="AT2349" s="4"/>
      <c r="AU2349" s="4"/>
      <c r="AV2349" s="4"/>
      <c r="AW2349" s="4"/>
      <c r="AX2349" s="4"/>
      <c r="AY2349" s="4"/>
      <c r="AZ2349" s="4"/>
      <c r="BA2349" s="4"/>
      <c r="BB2349" s="4"/>
      <c r="BC2349" s="4"/>
      <c r="BD2349" s="4"/>
      <c r="BE2349" s="4"/>
      <c r="BF2349" s="4"/>
      <c r="BG2349" s="4"/>
      <c r="BH2349" s="4"/>
      <c r="BI2349" s="4"/>
      <c r="BJ2349" s="4"/>
      <c r="BK2349" s="4"/>
      <c r="BL2349" s="4"/>
      <c r="BM2349" s="4"/>
      <c r="BN2349" s="4"/>
      <c r="BO2349" s="4"/>
      <c r="BP2349" s="4"/>
      <c r="BQ2349" s="4"/>
      <c r="BR2349" s="4"/>
      <c r="BS2349" s="4"/>
      <c r="BT2349" s="4"/>
      <c r="BU2349" s="4"/>
      <c r="BV2349" s="4"/>
      <c r="BW2349" s="4"/>
      <c r="BX2349" s="4"/>
      <c r="BY2349" s="4"/>
      <c r="BZ2349" s="4"/>
      <c r="CA2349" s="4"/>
      <c r="CB2349" s="4"/>
      <c r="CC2349" s="4"/>
      <c r="CD2349" s="4"/>
      <c r="CE2349" s="4"/>
      <c r="CF2349" s="4"/>
      <c r="CG2349" s="4"/>
      <c r="CH2349" s="4"/>
      <c r="CI2349" s="4"/>
      <c r="CJ2349" s="4"/>
      <c r="CK2349" s="4"/>
      <c r="CL2349" s="4"/>
      <c r="CM2349" s="4"/>
      <c r="CN2349" s="4"/>
      <c r="CO2349" s="4"/>
      <c r="CP2349" s="4"/>
      <c r="CQ2349" s="4"/>
      <c r="CR2349" s="4"/>
      <c r="CS2349" s="4"/>
      <c r="CT2349" s="4"/>
      <c r="CU2349" s="4"/>
      <c r="CV2349" s="4"/>
      <c r="CW2349" s="4"/>
      <c r="CX2349" s="4"/>
      <c r="CY2349" s="4"/>
      <c r="CZ2349" s="4"/>
      <c r="DA2349" s="4"/>
      <c r="DB2349" s="4"/>
      <c r="DC2349" s="4"/>
      <c r="DD2349" s="4"/>
      <c r="DE2349" s="4"/>
      <c r="DF2349" s="4"/>
      <c r="DG2349" s="4"/>
      <c r="DH2349" s="4"/>
      <c r="DI2349" s="4"/>
      <c r="DJ2349" s="4"/>
      <c r="DK2349" s="4"/>
      <c r="DL2349" s="4"/>
      <c r="DM2349" s="4"/>
      <c r="DN2349" s="4"/>
      <c r="DO2349" s="4"/>
      <c r="DP2349" s="4"/>
      <c r="DQ2349" s="4"/>
      <c r="DR2349" s="4"/>
      <c r="DS2349" s="4"/>
    </row>
    <row r="2350">
      <c r="A2350" s="4"/>
      <c r="B2350" s="4"/>
      <c r="C2350" s="4"/>
      <c r="D2350" s="4"/>
      <c r="E2350" s="4"/>
      <c r="F2350" s="4" t="s">
        <v>17</v>
      </c>
      <c r="G2350" s="15"/>
      <c r="H2350" s="4"/>
      <c r="I2350" s="4"/>
      <c r="J2350" s="4"/>
      <c r="K2350" s="4"/>
      <c r="L2350" s="4"/>
      <c r="M2350" s="4"/>
      <c r="N2350" s="4"/>
      <c r="O2350" s="4"/>
      <c r="P2350" s="4"/>
      <c r="Q2350" s="4"/>
      <c r="R2350" s="4"/>
      <c r="S2350" s="4"/>
      <c r="T2350" s="4"/>
      <c r="U2350" s="4"/>
      <c r="V2350" s="4"/>
      <c r="W2350" s="4"/>
      <c r="X2350" s="4"/>
      <c r="Y2350" s="4"/>
      <c r="Z2350" s="4"/>
      <c r="AA2350" s="4"/>
      <c r="AB2350" s="4"/>
      <c r="AC2350" s="4"/>
      <c r="AD2350" s="4"/>
      <c r="AE2350" s="4"/>
      <c r="AF2350" s="4"/>
      <c r="AG2350" s="4"/>
      <c r="AH2350" s="4"/>
      <c r="AI2350" s="4"/>
      <c r="AJ2350" s="4"/>
      <c r="AK2350" s="4"/>
      <c r="AL2350" s="4"/>
      <c r="AM2350" s="4"/>
      <c r="AN2350" s="4"/>
      <c r="AO2350" s="4"/>
      <c r="AP2350" s="4"/>
      <c r="AQ2350" s="4"/>
      <c r="AR2350" s="4"/>
      <c r="AS2350" s="4"/>
      <c r="AT2350" s="4"/>
      <c r="AU2350" s="4"/>
      <c r="AV2350" s="4"/>
      <c r="AW2350" s="4"/>
      <c r="AX2350" s="4"/>
      <c r="AY2350" s="4"/>
      <c r="AZ2350" s="4"/>
      <c r="BA2350" s="4"/>
      <c r="BB2350" s="4"/>
      <c r="BC2350" s="4"/>
      <c r="BD2350" s="4"/>
      <c r="BE2350" s="4"/>
      <c r="BF2350" s="4"/>
      <c r="BG2350" s="4"/>
      <c r="BH2350" s="4"/>
      <c r="BI2350" s="4"/>
      <c r="BJ2350" s="4"/>
      <c r="BK2350" s="4"/>
      <c r="BL2350" s="4"/>
      <c r="BM2350" s="4"/>
      <c r="BN2350" s="4"/>
      <c r="BO2350" s="4"/>
      <c r="BP2350" s="4"/>
      <c r="BQ2350" s="4"/>
      <c r="BR2350" s="4"/>
      <c r="BS2350" s="4"/>
      <c r="BT2350" s="4"/>
      <c r="BU2350" s="4"/>
      <c r="BV2350" s="4"/>
      <c r="BW2350" s="4"/>
      <c r="BX2350" s="4"/>
      <c r="BY2350" s="4"/>
      <c r="BZ2350" s="4"/>
      <c r="CA2350" s="4"/>
      <c r="CB2350" s="4"/>
      <c r="CC2350" s="4"/>
      <c r="CD2350" s="4"/>
      <c r="CE2350" s="4"/>
      <c r="CF2350" s="4"/>
      <c r="CG2350" s="4"/>
      <c r="CH2350" s="4"/>
      <c r="CI2350" s="4"/>
      <c r="CJ2350" s="4"/>
      <c r="CK2350" s="4"/>
      <c r="CL2350" s="4"/>
      <c r="CM2350" s="4"/>
      <c r="CN2350" s="4"/>
      <c r="CO2350" s="4"/>
      <c r="CP2350" s="4"/>
      <c r="CQ2350" s="4"/>
      <c r="CR2350" s="4"/>
      <c r="CS2350" s="4"/>
      <c r="CT2350" s="4"/>
      <c r="CU2350" s="4"/>
      <c r="CV2350" s="4"/>
      <c r="CW2350" s="4"/>
      <c r="CX2350" s="4"/>
      <c r="CY2350" s="4"/>
      <c r="CZ2350" s="4"/>
      <c r="DA2350" s="4"/>
      <c r="DB2350" s="4"/>
      <c r="DC2350" s="4"/>
      <c r="DD2350" s="4"/>
      <c r="DE2350" s="4"/>
      <c r="DF2350" s="4"/>
      <c r="DG2350" s="4"/>
      <c r="DH2350" s="4"/>
      <c r="DI2350" s="4"/>
      <c r="DJ2350" s="4"/>
      <c r="DK2350" s="4"/>
      <c r="DL2350" s="4"/>
      <c r="DM2350" s="4"/>
      <c r="DN2350" s="4"/>
      <c r="DO2350" s="4"/>
      <c r="DP2350" s="4"/>
      <c r="DQ2350" s="4"/>
      <c r="DR2350" s="4"/>
      <c r="DS2350" s="4"/>
    </row>
    <row r="2351">
      <c r="A2351" s="4"/>
      <c r="B2351" s="4"/>
      <c r="C2351" s="4"/>
      <c r="D2351" s="4"/>
      <c r="E2351" s="4"/>
      <c r="F2351" s="4" t="s">
        <v>17</v>
      </c>
      <c r="G2351" s="15"/>
      <c r="H2351" s="4"/>
      <c r="I2351" s="4"/>
      <c r="J2351" s="4"/>
      <c r="K2351" s="4"/>
      <c r="L2351" s="4"/>
      <c r="M2351" s="4"/>
      <c r="N2351" s="4"/>
      <c r="O2351" s="4"/>
      <c r="P2351" s="4"/>
      <c r="Q2351" s="4"/>
      <c r="R2351" s="4"/>
      <c r="S2351" s="4"/>
      <c r="T2351" s="4"/>
      <c r="U2351" s="4"/>
      <c r="V2351" s="4"/>
      <c r="W2351" s="4"/>
      <c r="X2351" s="4"/>
      <c r="Y2351" s="4"/>
      <c r="Z2351" s="4"/>
      <c r="AA2351" s="4"/>
      <c r="AB2351" s="4"/>
      <c r="AC2351" s="4"/>
      <c r="AD2351" s="4"/>
      <c r="AE2351" s="4"/>
      <c r="AF2351" s="4"/>
      <c r="AG2351" s="4"/>
      <c r="AH2351" s="4"/>
      <c r="AI2351" s="4"/>
      <c r="AJ2351" s="4"/>
      <c r="AK2351" s="4"/>
      <c r="AL2351" s="4"/>
      <c r="AM2351" s="4"/>
      <c r="AN2351" s="4"/>
      <c r="AO2351" s="4"/>
      <c r="AP2351" s="4"/>
      <c r="AQ2351" s="4"/>
      <c r="AR2351" s="4"/>
      <c r="AS2351" s="4"/>
      <c r="AT2351" s="4"/>
      <c r="AU2351" s="4"/>
      <c r="AV2351" s="4"/>
      <c r="AW2351" s="4"/>
      <c r="AX2351" s="4"/>
      <c r="AY2351" s="4"/>
      <c r="AZ2351" s="4"/>
      <c r="BA2351" s="4"/>
      <c r="BB2351" s="4"/>
      <c r="BC2351" s="4"/>
      <c r="BD2351" s="4"/>
      <c r="BE2351" s="4"/>
      <c r="BF2351" s="4"/>
      <c r="BG2351" s="4"/>
      <c r="BH2351" s="4"/>
      <c r="BI2351" s="4"/>
      <c r="BJ2351" s="4"/>
      <c r="BK2351" s="4"/>
      <c r="BL2351" s="4"/>
      <c r="BM2351" s="4"/>
      <c r="BN2351" s="4"/>
      <c r="BO2351" s="4"/>
      <c r="BP2351" s="4"/>
      <c r="BQ2351" s="4"/>
      <c r="BR2351" s="4"/>
      <c r="BS2351" s="4"/>
      <c r="BT2351" s="4"/>
      <c r="BU2351" s="4"/>
      <c r="BV2351" s="4"/>
      <c r="BW2351" s="4"/>
      <c r="BX2351" s="4"/>
      <c r="BY2351" s="4"/>
      <c r="BZ2351" s="4"/>
      <c r="CA2351" s="4"/>
      <c r="CB2351" s="4"/>
      <c r="CC2351" s="4"/>
      <c r="CD2351" s="4"/>
      <c r="CE2351" s="4"/>
      <c r="CF2351" s="4"/>
      <c r="CG2351" s="4"/>
      <c r="CH2351" s="4"/>
      <c r="CI2351" s="4"/>
      <c r="CJ2351" s="4"/>
      <c r="CK2351" s="4"/>
      <c r="CL2351" s="4"/>
      <c r="CM2351" s="4"/>
      <c r="CN2351" s="4"/>
      <c r="CO2351" s="4"/>
      <c r="CP2351" s="4"/>
      <c r="CQ2351" s="4"/>
      <c r="CR2351" s="4"/>
      <c r="CS2351" s="4"/>
      <c r="CT2351" s="4"/>
      <c r="CU2351" s="4"/>
      <c r="CV2351" s="4"/>
      <c r="CW2351" s="4"/>
      <c r="CX2351" s="4"/>
      <c r="CY2351" s="4"/>
      <c r="CZ2351" s="4"/>
      <c r="DA2351" s="4"/>
      <c r="DB2351" s="4"/>
      <c r="DC2351" s="4"/>
      <c r="DD2351" s="4"/>
      <c r="DE2351" s="4"/>
      <c r="DF2351" s="4"/>
      <c r="DG2351" s="4"/>
      <c r="DH2351" s="4"/>
      <c r="DI2351" s="4"/>
      <c r="DJ2351" s="4"/>
      <c r="DK2351" s="4"/>
      <c r="DL2351" s="4"/>
      <c r="DM2351" s="4"/>
      <c r="DN2351" s="4"/>
      <c r="DO2351" s="4"/>
      <c r="DP2351" s="4"/>
      <c r="DQ2351" s="4"/>
      <c r="DR2351" s="4"/>
      <c r="DS2351" s="4"/>
    </row>
    <row r="2352">
      <c r="A2352" s="4"/>
      <c r="B2352" s="4"/>
      <c r="C2352" s="4"/>
      <c r="D2352" s="4"/>
      <c r="E2352" s="4"/>
      <c r="F2352" s="4" t="s">
        <v>17</v>
      </c>
      <c r="G2352" s="15"/>
      <c r="H2352" s="4"/>
      <c r="I2352" s="4"/>
      <c r="J2352" s="4"/>
      <c r="K2352" s="4"/>
      <c r="L2352" s="4"/>
      <c r="M2352" s="4"/>
      <c r="N2352" s="4"/>
      <c r="O2352" s="4"/>
      <c r="P2352" s="4"/>
      <c r="Q2352" s="4"/>
      <c r="R2352" s="4"/>
      <c r="S2352" s="4"/>
      <c r="T2352" s="4"/>
      <c r="U2352" s="4"/>
      <c r="V2352" s="4"/>
      <c r="W2352" s="4"/>
      <c r="X2352" s="4"/>
      <c r="Y2352" s="4"/>
      <c r="Z2352" s="4"/>
      <c r="AA2352" s="4"/>
      <c r="AB2352" s="4"/>
      <c r="AC2352" s="4"/>
      <c r="AD2352" s="4"/>
      <c r="AE2352" s="4"/>
      <c r="AF2352" s="4"/>
      <c r="AG2352" s="4"/>
      <c r="AH2352" s="4"/>
      <c r="AI2352" s="4"/>
      <c r="AJ2352" s="4"/>
      <c r="AK2352" s="4"/>
      <c r="AL2352" s="4"/>
      <c r="AM2352" s="4"/>
      <c r="AN2352" s="4"/>
      <c r="AO2352" s="4"/>
      <c r="AP2352" s="4"/>
      <c r="AQ2352" s="4"/>
      <c r="AR2352" s="4"/>
      <c r="AS2352" s="4"/>
      <c r="AT2352" s="4"/>
      <c r="AU2352" s="4"/>
      <c r="AV2352" s="4"/>
      <c r="AW2352" s="4"/>
      <c r="AX2352" s="4"/>
      <c r="AY2352" s="4"/>
      <c r="AZ2352" s="4"/>
      <c r="BA2352" s="4"/>
      <c r="BB2352" s="4"/>
      <c r="BC2352" s="4"/>
      <c r="BD2352" s="4"/>
      <c r="BE2352" s="4"/>
      <c r="BF2352" s="4"/>
      <c r="BG2352" s="4"/>
      <c r="BH2352" s="4"/>
      <c r="BI2352" s="4"/>
      <c r="BJ2352" s="4"/>
      <c r="BK2352" s="4"/>
      <c r="BL2352" s="4"/>
      <c r="BM2352" s="4"/>
      <c r="BN2352" s="4"/>
      <c r="BO2352" s="4"/>
      <c r="BP2352" s="4"/>
      <c r="BQ2352" s="4"/>
      <c r="BR2352" s="4"/>
      <c r="BS2352" s="4"/>
      <c r="BT2352" s="4"/>
      <c r="BU2352" s="4"/>
      <c r="BV2352" s="4"/>
      <c r="BW2352" s="4"/>
      <c r="BX2352" s="4"/>
      <c r="BY2352" s="4"/>
      <c r="BZ2352" s="4"/>
      <c r="CA2352" s="4"/>
      <c r="CB2352" s="4"/>
      <c r="CC2352" s="4"/>
      <c r="CD2352" s="4"/>
      <c r="CE2352" s="4"/>
      <c r="CF2352" s="4"/>
      <c r="CG2352" s="4"/>
      <c r="CH2352" s="4"/>
      <c r="CI2352" s="4"/>
      <c r="CJ2352" s="4"/>
      <c r="CK2352" s="4"/>
      <c r="CL2352" s="4"/>
      <c r="CM2352" s="4"/>
      <c r="CN2352" s="4"/>
      <c r="CO2352" s="4"/>
      <c r="CP2352" s="4"/>
      <c r="CQ2352" s="4"/>
      <c r="CR2352" s="4"/>
      <c r="CS2352" s="4"/>
      <c r="CT2352" s="4"/>
      <c r="CU2352" s="4"/>
      <c r="CV2352" s="4"/>
      <c r="CW2352" s="4"/>
      <c r="CX2352" s="4"/>
      <c r="CY2352" s="4"/>
      <c r="CZ2352" s="4"/>
      <c r="DA2352" s="4"/>
      <c r="DB2352" s="4"/>
      <c r="DC2352" s="4"/>
      <c r="DD2352" s="4"/>
      <c r="DE2352" s="4"/>
      <c r="DF2352" s="4"/>
      <c r="DG2352" s="4"/>
      <c r="DH2352" s="4"/>
      <c r="DI2352" s="4"/>
      <c r="DJ2352" s="4"/>
      <c r="DK2352" s="4"/>
      <c r="DL2352" s="4"/>
      <c r="DM2352" s="4"/>
      <c r="DN2352" s="4"/>
      <c r="DO2352" s="4"/>
      <c r="DP2352" s="4"/>
      <c r="DQ2352" s="4"/>
      <c r="DR2352" s="4"/>
      <c r="DS2352" s="4"/>
    </row>
    <row r="2353">
      <c r="A2353" s="4"/>
      <c r="B2353" s="4"/>
      <c r="C2353" s="4"/>
      <c r="D2353" s="4"/>
      <c r="E2353" s="4"/>
      <c r="F2353" s="4" t="s">
        <v>17</v>
      </c>
      <c r="G2353" s="15"/>
      <c r="H2353" s="4"/>
      <c r="I2353" s="4"/>
      <c r="J2353" s="4"/>
      <c r="K2353" s="4"/>
      <c r="L2353" s="4"/>
      <c r="M2353" s="4"/>
      <c r="N2353" s="4"/>
      <c r="O2353" s="4"/>
      <c r="P2353" s="4"/>
      <c r="Q2353" s="4"/>
      <c r="R2353" s="4"/>
      <c r="S2353" s="4"/>
      <c r="T2353" s="4"/>
      <c r="U2353" s="4"/>
      <c r="V2353" s="4"/>
      <c r="W2353" s="4"/>
      <c r="X2353" s="4"/>
      <c r="Y2353" s="4"/>
      <c r="Z2353" s="4"/>
      <c r="AA2353" s="4"/>
      <c r="AB2353" s="4"/>
      <c r="AC2353" s="4"/>
      <c r="AD2353" s="4"/>
      <c r="AE2353" s="4"/>
      <c r="AF2353" s="4"/>
      <c r="AG2353" s="4"/>
      <c r="AH2353" s="4"/>
      <c r="AI2353" s="4"/>
      <c r="AJ2353" s="4"/>
      <c r="AK2353" s="4"/>
      <c r="AL2353" s="4"/>
      <c r="AM2353" s="4"/>
      <c r="AN2353" s="4"/>
      <c r="AO2353" s="4"/>
      <c r="AP2353" s="4"/>
      <c r="AQ2353" s="4"/>
      <c r="AR2353" s="4"/>
      <c r="AS2353" s="4"/>
      <c r="AT2353" s="4"/>
      <c r="AU2353" s="4"/>
      <c r="AV2353" s="4"/>
      <c r="AW2353" s="4"/>
      <c r="AX2353" s="4"/>
      <c r="AY2353" s="4"/>
      <c r="AZ2353" s="4"/>
      <c r="BA2353" s="4"/>
      <c r="BB2353" s="4"/>
      <c r="BC2353" s="4"/>
      <c r="BD2353" s="4"/>
      <c r="BE2353" s="4"/>
      <c r="BF2353" s="4"/>
      <c r="BG2353" s="4"/>
      <c r="BH2353" s="4"/>
      <c r="BI2353" s="4"/>
      <c r="BJ2353" s="4"/>
      <c r="BK2353" s="4"/>
      <c r="BL2353" s="4"/>
      <c r="BM2353" s="4"/>
      <c r="BN2353" s="4"/>
      <c r="BO2353" s="4"/>
      <c r="BP2353" s="4"/>
      <c r="BQ2353" s="4"/>
      <c r="BR2353" s="4"/>
      <c r="BS2353" s="4"/>
      <c r="BT2353" s="4"/>
      <c r="BU2353" s="4"/>
      <c r="BV2353" s="4"/>
      <c r="BW2353" s="4"/>
      <c r="BX2353" s="4"/>
      <c r="BY2353" s="4"/>
      <c r="BZ2353" s="4"/>
      <c r="CA2353" s="4"/>
      <c r="CB2353" s="4"/>
      <c r="CC2353" s="4"/>
      <c r="CD2353" s="4"/>
      <c r="CE2353" s="4"/>
      <c r="CF2353" s="4"/>
      <c r="CG2353" s="4"/>
      <c r="CH2353" s="4"/>
      <c r="CI2353" s="4"/>
      <c r="CJ2353" s="4"/>
      <c r="CK2353" s="4"/>
      <c r="CL2353" s="4"/>
      <c r="CM2353" s="4"/>
      <c r="CN2353" s="4"/>
      <c r="CO2353" s="4"/>
      <c r="CP2353" s="4"/>
      <c r="CQ2353" s="4"/>
      <c r="CR2353" s="4"/>
      <c r="CS2353" s="4"/>
      <c r="CT2353" s="4"/>
      <c r="CU2353" s="4"/>
      <c r="CV2353" s="4"/>
      <c r="CW2353" s="4"/>
      <c r="CX2353" s="4"/>
      <c r="CY2353" s="4"/>
      <c r="CZ2353" s="4"/>
      <c r="DA2353" s="4"/>
      <c r="DB2353" s="4"/>
      <c r="DC2353" s="4"/>
      <c r="DD2353" s="4"/>
      <c r="DE2353" s="4"/>
      <c r="DF2353" s="4"/>
      <c r="DG2353" s="4"/>
      <c r="DH2353" s="4"/>
      <c r="DI2353" s="4"/>
      <c r="DJ2353" s="4"/>
      <c r="DK2353" s="4"/>
      <c r="DL2353" s="4"/>
      <c r="DM2353" s="4"/>
      <c r="DN2353" s="4"/>
      <c r="DO2353" s="4"/>
      <c r="DP2353" s="4"/>
      <c r="DQ2353" s="4"/>
      <c r="DR2353" s="4"/>
      <c r="DS2353" s="4"/>
    </row>
    <row r="2354">
      <c r="A2354" s="4"/>
      <c r="B2354" s="4"/>
      <c r="C2354" s="4"/>
      <c r="D2354" s="4"/>
      <c r="E2354" s="4"/>
      <c r="F2354" s="4" t="s">
        <v>17</v>
      </c>
      <c r="G2354" s="15"/>
      <c r="H2354" s="4"/>
      <c r="I2354" s="4"/>
      <c r="J2354" s="4"/>
      <c r="K2354" s="4"/>
      <c r="L2354" s="4"/>
      <c r="M2354" s="4"/>
      <c r="N2354" s="4"/>
      <c r="O2354" s="4"/>
      <c r="P2354" s="4"/>
      <c r="Q2354" s="4"/>
      <c r="R2354" s="4"/>
      <c r="S2354" s="4"/>
      <c r="T2354" s="4"/>
      <c r="U2354" s="4"/>
      <c r="V2354" s="4"/>
      <c r="W2354" s="4"/>
      <c r="X2354" s="4"/>
      <c r="Y2354" s="4"/>
      <c r="Z2354" s="4"/>
      <c r="AA2354" s="4"/>
      <c r="AB2354" s="4"/>
      <c r="AC2354" s="4"/>
      <c r="AD2354" s="4"/>
      <c r="AE2354" s="4"/>
      <c r="AF2354" s="4"/>
      <c r="AG2354" s="4"/>
      <c r="AH2354" s="4"/>
      <c r="AI2354" s="4"/>
      <c r="AJ2354" s="4"/>
      <c r="AK2354" s="4"/>
      <c r="AL2354" s="4"/>
      <c r="AM2354" s="4"/>
      <c r="AN2354" s="4"/>
      <c r="AO2354" s="4"/>
      <c r="AP2354" s="4"/>
      <c r="AQ2354" s="4"/>
      <c r="AR2354" s="4"/>
      <c r="AS2354" s="4"/>
      <c r="AT2354" s="4"/>
      <c r="AU2354" s="4"/>
      <c r="AV2354" s="4"/>
      <c r="AW2354" s="4"/>
      <c r="AX2354" s="4"/>
      <c r="AY2354" s="4"/>
      <c r="AZ2354" s="4"/>
      <c r="BA2354" s="4"/>
      <c r="BB2354" s="4"/>
      <c r="BC2354" s="4"/>
      <c r="BD2354" s="4"/>
      <c r="BE2354" s="4"/>
      <c r="BF2354" s="4"/>
      <c r="BG2354" s="4"/>
      <c r="BH2354" s="4"/>
      <c r="BI2354" s="4"/>
      <c r="BJ2354" s="4"/>
      <c r="BK2354" s="4"/>
      <c r="BL2354" s="4"/>
      <c r="BM2354" s="4"/>
      <c r="BN2354" s="4"/>
      <c r="BO2354" s="4"/>
      <c r="BP2354" s="4"/>
      <c r="BQ2354" s="4"/>
      <c r="BR2354" s="4"/>
      <c r="BS2354" s="4"/>
      <c r="BT2354" s="4"/>
      <c r="BU2354" s="4"/>
      <c r="BV2354" s="4"/>
      <c r="BW2354" s="4"/>
      <c r="BX2354" s="4"/>
      <c r="BY2354" s="4"/>
      <c r="BZ2354" s="4"/>
      <c r="CA2354" s="4"/>
      <c r="CB2354" s="4"/>
      <c r="CC2354" s="4"/>
      <c r="CD2354" s="4"/>
      <c r="CE2354" s="4"/>
      <c r="CF2354" s="4"/>
      <c r="CG2354" s="4"/>
      <c r="CH2354" s="4"/>
      <c r="CI2354" s="4"/>
      <c r="CJ2354" s="4"/>
      <c r="CK2354" s="4"/>
      <c r="CL2354" s="4"/>
      <c r="CM2354" s="4"/>
      <c r="CN2354" s="4"/>
      <c r="CO2354" s="4"/>
      <c r="CP2354" s="4"/>
      <c r="CQ2354" s="4"/>
      <c r="CR2354" s="4"/>
      <c r="CS2354" s="4"/>
      <c r="CT2354" s="4"/>
      <c r="CU2354" s="4"/>
      <c r="CV2354" s="4"/>
      <c r="CW2354" s="4"/>
      <c r="CX2354" s="4"/>
      <c r="CY2354" s="4"/>
      <c r="CZ2354" s="4"/>
      <c r="DA2354" s="4"/>
      <c r="DB2354" s="4"/>
      <c r="DC2354" s="4"/>
      <c r="DD2354" s="4"/>
      <c r="DE2354" s="4"/>
      <c r="DF2354" s="4"/>
      <c r="DG2354" s="4"/>
      <c r="DH2354" s="4"/>
      <c r="DI2354" s="4"/>
      <c r="DJ2354" s="4"/>
      <c r="DK2354" s="4"/>
      <c r="DL2354" s="4"/>
      <c r="DM2354" s="4"/>
      <c r="DN2354" s="4"/>
      <c r="DO2354" s="4"/>
      <c r="DP2354" s="4"/>
      <c r="DQ2354" s="4"/>
      <c r="DR2354" s="4"/>
      <c r="DS2354" s="4"/>
    </row>
    <row r="2355">
      <c r="A2355" s="4"/>
      <c r="B2355" s="4"/>
      <c r="C2355" s="4"/>
      <c r="D2355" s="4"/>
      <c r="E2355" s="4"/>
      <c r="F2355" s="4" t="s">
        <v>17</v>
      </c>
      <c r="G2355" s="15"/>
      <c r="H2355" s="4"/>
      <c r="I2355" s="4"/>
      <c r="J2355" s="4"/>
      <c r="K2355" s="4"/>
      <c r="L2355" s="4"/>
      <c r="M2355" s="4"/>
      <c r="N2355" s="4"/>
      <c r="O2355" s="4"/>
      <c r="P2355" s="4"/>
      <c r="Q2355" s="4"/>
      <c r="R2355" s="4"/>
      <c r="S2355" s="4"/>
      <c r="T2355" s="4"/>
      <c r="U2355" s="4"/>
      <c r="V2355" s="4"/>
      <c r="W2355" s="4"/>
      <c r="X2355" s="4"/>
      <c r="Y2355" s="4"/>
      <c r="Z2355" s="4"/>
      <c r="AA2355" s="4"/>
      <c r="AB2355" s="4"/>
      <c r="AC2355" s="4"/>
      <c r="AD2355" s="4"/>
      <c r="AE2355" s="4"/>
      <c r="AF2355" s="4"/>
      <c r="AG2355" s="4"/>
      <c r="AH2355" s="4"/>
      <c r="AI2355" s="4"/>
      <c r="AJ2355" s="4"/>
      <c r="AK2355" s="4"/>
      <c r="AL2355" s="4"/>
      <c r="AM2355" s="4"/>
      <c r="AN2355" s="4"/>
      <c r="AO2355" s="4"/>
      <c r="AP2355" s="4"/>
      <c r="AQ2355" s="4"/>
      <c r="AR2355" s="4"/>
      <c r="AS2355" s="4"/>
      <c r="AT2355" s="4"/>
      <c r="AU2355" s="4"/>
      <c r="AV2355" s="4"/>
      <c r="AW2355" s="4"/>
      <c r="AX2355" s="4"/>
      <c r="AY2355" s="4"/>
      <c r="AZ2355" s="4"/>
      <c r="BA2355" s="4"/>
      <c r="BB2355" s="4"/>
      <c r="BC2355" s="4"/>
      <c r="BD2355" s="4"/>
      <c r="BE2355" s="4"/>
      <c r="BF2355" s="4"/>
      <c r="BG2355" s="4"/>
      <c r="BH2355" s="4"/>
      <c r="BI2355" s="4"/>
      <c r="BJ2355" s="4"/>
      <c r="BK2355" s="4"/>
      <c r="BL2355" s="4"/>
      <c r="BM2355" s="4"/>
      <c r="BN2355" s="4"/>
      <c r="BO2355" s="4"/>
      <c r="BP2355" s="4"/>
      <c r="BQ2355" s="4"/>
      <c r="BR2355" s="4"/>
      <c r="BS2355" s="4"/>
      <c r="BT2355" s="4"/>
      <c r="BU2355" s="4"/>
      <c r="BV2355" s="4"/>
      <c r="BW2355" s="4"/>
      <c r="BX2355" s="4"/>
      <c r="BY2355" s="4"/>
      <c r="BZ2355" s="4"/>
      <c r="CA2355" s="4"/>
      <c r="CB2355" s="4"/>
      <c r="CC2355" s="4"/>
      <c r="CD2355" s="4"/>
      <c r="CE2355" s="4"/>
      <c r="CF2355" s="4"/>
      <c r="CG2355" s="4"/>
      <c r="CH2355" s="4"/>
      <c r="CI2355" s="4"/>
      <c r="CJ2355" s="4"/>
      <c r="CK2355" s="4"/>
      <c r="CL2355" s="4"/>
      <c r="CM2355" s="4"/>
      <c r="CN2355" s="4"/>
      <c r="CO2355" s="4"/>
      <c r="CP2355" s="4"/>
      <c r="CQ2355" s="4"/>
      <c r="CR2355" s="4"/>
      <c r="CS2355" s="4"/>
      <c r="CT2355" s="4"/>
      <c r="CU2355" s="4"/>
      <c r="CV2355" s="4"/>
      <c r="CW2355" s="4"/>
      <c r="CX2355" s="4"/>
      <c r="CY2355" s="4"/>
      <c r="CZ2355" s="4"/>
      <c r="DA2355" s="4"/>
      <c r="DB2355" s="4"/>
      <c r="DC2355" s="4"/>
      <c r="DD2355" s="4"/>
      <c r="DE2355" s="4"/>
      <c r="DF2355" s="4"/>
      <c r="DG2355" s="4"/>
      <c r="DH2355" s="4"/>
      <c r="DI2355" s="4"/>
      <c r="DJ2355" s="4"/>
      <c r="DK2355" s="4"/>
      <c r="DL2355" s="4"/>
      <c r="DM2355" s="4"/>
      <c r="DN2355" s="4"/>
      <c r="DO2355" s="4"/>
      <c r="DP2355" s="4"/>
      <c r="DQ2355" s="4"/>
      <c r="DR2355" s="4"/>
      <c r="DS2355" s="4"/>
    </row>
    <row r="2356">
      <c r="A2356" s="4"/>
      <c r="B2356" s="4"/>
      <c r="C2356" s="4"/>
      <c r="D2356" s="4"/>
      <c r="E2356" s="4"/>
      <c r="F2356" s="4" t="s">
        <v>17</v>
      </c>
      <c r="G2356" s="15"/>
      <c r="H2356" s="4"/>
      <c r="I2356" s="4"/>
      <c r="J2356" s="4"/>
      <c r="K2356" s="4"/>
      <c r="L2356" s="4"/>
      <c r="M2356" s="4"/>
      <c r="N2356" s="4"/>
      <c r="O2356" s="4"/>
      <c r="P2356" s="4"/>
      <c r="Q2356" s="4"/>
      <c r="R2356" s="4"/>
      <c r="S2356" s="4"/>
      <c r="T2356" s="4"/>
      <c r="U2356" s="4"/>
      <c r="V2356" s="4"/>
      <c r="W2356" s="4"/>
      <c r="X2356" s="4"/>
      <c r="Y2356" s="4"/>
      <c r="Z2356" s="4"/>
      <c r="AA2356" s="4"/>
      <c r="AB2356" s="4"/>
      <c r="AC2356" s="4"/>
      <c r="AD2356" s="4"/>
      <c r="AE2356" s="4"/>
      <c r="AF2356" s="4"/>
      <c r="AG2356" s="4"/>
      <c r="AH2356" s="4"/>
      <c r="AI2356" s="4"/>
      <c r="AJ2356" s="4"/>
      <c r="AK2356" s="4"/>
      <c r="AL2356" s="4"/>
      <c r="AM2356" s="4"/>
      <c r="AN2356" s="4"/>
      <c r="AO2356" s="4"/>
      <c r="AP2356" s="4"/>
      <c r="AQ2356" s="4"/>
      <c r="AR2356" s="4"/>
      <c r="AS2356" s="4"/>
      <c r="AT2356" s="4"/>
      <c r="AU2356" s="4"/>
      <c r="AV2356" s="4"/>
      <c r="AW2356" s="4"/>
      <c r="AX2356" s="4"/>
      <c r="AY2356" s="4"/>
      <c r="AZ2356" s="4"/>
      <c r="BA2356" s="4"/>
      <c r="BB2356" s="4"/>
      <c r="BC2356" s="4"/>
      <c r="BD2356" s="4"/>
      <c r="BE2356" s="4"/>
      <c r="BF2356" s="4"/>
      <c r="BG2356" s="4"/>
      <c r="BH2356" s="4"/>
      <c r="BI2356" s="4"/>
      <c r="BJ2356" s="4"/>
      <c r="BK2356" s="4"/>
      <c r="BL2356" s="4"/>
      <c r="BM2356" s="4"/>
      <c r="BN2356" s="4"/>
      <c r="BO2356" s="4"/>
      <c r="BP2356" s="4"/>
      <c r="BQ2356" s="4"/>
      <c r="BR2356" s="4"/>
      <c r="BS2356" s="4"/>
      <c r="BT2356" s="4"/>
      <c r="BU2356" s="4"/>
      <c r="BV2356" s="4"/>
      <c r="BW2356" s="4"/>
      <c r="BX2356" s="4"/>
      <c r="BY2356" s="4"/>
      <c r="BZ2356" s="4"/>
      <c r="CA2356" s="4"/>
      <c r="CB2356" s="4"/>
      <c r="CC2356" s="4"/>
      <c r="CD2356" s="4"/>
      <c r="CE2356" s="4"/>
      <c r="CF2356" s="4"/>
      <c r="CG2356" s="4"/>
      <c r="CH2356" s="4"/>
      <c r="CI2356" s="4"/>
      <c r="CJ2356" s="4"/>
      <c r="CK2356" s="4"/>
      <c r="CL2356" s="4"/>
      <c r="CM2356" s="4"/>
      <c r="CN2356" s="4"/>
      <c r="CO2356" s="4"/>
      <c r="CP2356" s="4"/>
      <c r="CQ2356" s="4"/>
      <c r="CR2356" s="4"/>
      <c r="CS2356" s="4"/>
      <c r="CT2356" s="4"/>
      <c r="CU2356" s="4"/>
      <c r="CV2356" s="4"/>
      <c r="CW2356" s="4"/>
      <c r="CX2356" s="4"/>
      <c r="CY2356" s="4"/>
      <c r="CZ2356" s="4"/>
      <c r="DA2356" s="4"/>
      <c r="DB2356" s="4"/>
      <c r="DC2356" s="4"/>
      <c r="DD2356" s="4"/>
      <c r="DE2356" s="4"/>
      <c r="DF2356" s="4"/>
      <c r="DG2356" s="4"/>
      <c r="DH2356" s="4"/>
      <c r="DI2356" s="4"/>
      <c r="DJ2356" s="4"/>
      <c r="DK2356" s="4"/>
      <c r="DL2356" s="4"/>
      <c r="DM2356" s="4"/>
      <c r="DN2356" s="4"/>
      <c r="DO2356" s="4"/>
      <c r="DP2356" s="4"/>
      <c r="DQ2356" s="4"/>
      <c r="DR2356" s="4"/>
      <c r="DS2356" s="4"/>
    </row>
    <row r="2357">
      <c r="A2357" s="4"/>
      <c r="B2357" s="4"/>
      <c r="C2357" s="4"/>
      <c r="D2357" s="4"/>
      <c r="E2357" s="4"/>
      <c r="F2357" s="4" t="s">
        <v>17</v>
      </c>
      <c r="G2357" s="15"/>
      <c r="H2357" s="4"/>
      <c r="I2357" s="4"/>
      <c r="J2357" s="4"/>
      <c r="K2357" s="4"/>
      <c r="L2357" s="4"/>
      <c r="M2357" s="4"/>
      <c r="N2357" s="4"/>
      <c r="O2357" s="4"/>
      <c r="P2357" s="4"/>
      <c r="Q2357" s="4"/>
      <c r="R2357" s="4"/>
      <c r="S2357" s="4"/>
      <c r="T2357" s="4"/>
      <c r="U2357" s="4"/>
      <c r="V2357" s="4"/>
      <c r="W2357" s="4"/>
      <c r="X2357" s="4"/>
      <c r="Y2357" s="4"/>
      <c r="Z2357" s="4"/>
      <c r="AA2357" s="4"/>
      <c r="AB2357" s="4"/>
      <c r="AC2357" s="4"/>
      <c r="AD2357" s="4"/>
      <c r="AE2357" s="4"/>
      <c r="AF2357" s="4"/>
      <c r="AG2357" s="4"/>
      <c r="AH2357" s="4"/>
      <c r="AI2357" s="4"/>
      <c r="AJ2357" s="4"/>
      <c r="AK2357" s="4"/>
      <c r="AL2357" s="4"/>
      <c r="AM2357" s="4"/>
      <c r="AN2357" s="4"/>
      <c r="AO2357" s="4"/>
      <c r="AP2357" s="4"/>
      <c r="AQ2357" s="4"/>
      <c r="AR2357" s="4"/>
      <c r="AS2357" s="4"/>
      <c r="AT2357" s="4"/>
      <c r="AU2357" s="4"/>
      <c r="AV2357" s="4"/>
      <c r="AW2357" s="4"/>
      <c r="AX2357" s="4"/>
      <c r="AY2357" s="4"/>
      <c r="AZ2357" s="4"/>
      <c r="BA2357" s="4"/>
      <c r="BB2357" s="4"/>
      <c r="BC2357" s="4"/>
      <c r="BD2357" s="4"/>
      <c r="BE2357" s="4"/>
      <c r="BF2357" s="4"/>
      <c r="BG2357" s="4"/>
      <c r="BH2357" s="4"/>
      <c r="BI2357" s="4"/>
      <c r="BJ2357" s="4"/>
      <c r="BK2357" s="4"/>
      <c r="BL2357" s="4"/>
      <c r="BM2357" s="4"/>
      <c r="BN2357" s="4"/>
      <c r="BO2357" s="4"/>
      <c r="BP2357" s="4"/>
      <c r="BQ2357" s="4"/>
      <c r="BR2357" s="4"/>
      <c r="BS2357" s="4"/>
      <c r="BT2357" s="4"/>
      <c r="BU2357" s="4"/>
      <c r="BV2357" s="4"/>
      <c r="BW2357" s="4"/>
      <c r="BX2357" s="4"/>
      <c r="BY2357" s="4"/>
      <c r="BZ2357" s="4"/>
      <c r="CA2357" s="4"/>
      <c r="CB2357" s="4"/>
      <c r="CC2357" s="4"/>
      <c r="CD2357" s="4"/>
      <c r="CE2357" s="4"/>
      <c r="CF2357" s="4"/>
      <c r="CG2357" s="4"/>
      <c r="CH2357" s="4"/>
      <c r="CI2357" s="4"/>
      <c r="CJ2357" s="4"/>
      <c r="CK2357" s="4"/>
      <c r="CL2357" s="4"/>
      <c r="CM2357" s="4"/>
      <c r="CN2357" s="4"/>
      <c r="CO2357" s="4"/>
      <c r="CP2357" s="4"/>
      <c r="CQ2357" s="4"/>
      <c r="CR2357" s="4"/>
      <c r="CS2357" s="4"/>
      <c r="CT2357" s="4"/>
      <c r="CU2357" s="4"/>
      <c r="CV2357" s="4"/>
      <c r="CW2357" s="4"/>
      <c r="CX2357" s="4"/>
      <c r="CY2357" s="4"/>
      <c r="CZ2357" s="4"/>
      <c r="DA2357" s="4"/>
      <c r="DB2357" s="4"/>
      <c r="DC2357" s="4"/>
      <c r="DD2357" s="4"/>
      <c r="DE2357" s="4"/>
      <c r="DF2357" s="4"/>
      <c r="DG2357" s="4"/>
      <c r="DH2357" s="4"/>
      <c r="DI2357" s="4"/>
      <c r="DJ2357" s="4"/>
      <c r="DK2357" s="4"/>
      <c r="DL2357" s="4"/>
      <c r="DM2357" s="4"/>
      <c r="DN2357" s="4"/>
      <c r="DO2357" s="4"/>
      <c r="DP2357" s="4"/>
      <c r="DQ2357" s="4"/>
      <c r="DR2357" s="4"/>
      <c r="DS2357" s="4"/>
    </row>
    <row r="2358">
      <c r="A2358" s="4"/>
      <c r="B2358" s="4"/>
      <c r="C2358" s="4"/>
      <c r="D2358" s="4"/>
      <c r="E2358" s="4"/>
      <c r="F2358" s="4" t="s">
        <v>17</v>
      </c>
      <c r="G2358" s="15"/>
      <c r="H2358" s="4"/>
      <c r="I2358" s="4"/>
      <c r="J2358" s="4"/>
      <c r="K2358" s="4"/>
      <c r="L2358" s="4"/>
      <c r="M2358" s="4"/>
      <c r="N2358" s="4"/>
      <c r="O2358" s="4"/>
      <c r="P2358" s="4"/>
      <c r="Q2358" s="4"/>
      <c r="R2358" s="4"/>
      <c r="S2358" s="4"/>
      <c r="T2358" s="4"/>
      <c r="U2358" s="4"/>
      <c r="V2358" s="4"/>
      <c r="W2358" s="4"/>
      <c r="X2358" s="4"/>
      <c r="Y2358" s="4"/>
      <c r="Z2358" s="4"/>
      <c r="AA2358" s="4"/>
      <c r="AB2358" s="4"/>
      <c r="AC2358" s="4"/>
      <c r="AD2358" s="4"/>
      <c r="AE2358" s="4"/>
      <c r="AF2358" s="4"/>
      <c r="AG2358" s="4"/>
      <c r="AH2358" s="4"/>
      <c r="AI2358" s="4"/>
      <c r="AJ2358" s="4"/>
      <c r="AK2358" s="4"/>
      <c r="AL2358" s="4"/>
      <c r="AM2358" s="4"/>
      <c r="AN2358" s="4"/>
      <c r="AO2358" s="4"/>
      <c r="AP2358" s="4"/>
      <c r="AQ2358" s="4"/>
      <c r="AR2358" s="4"/>
      <c r="AS2358" s="4"/>
      <c r="AT2358" s="4"/>
      <c r="AU2358" s="4"/>
      <c r="AV2358" s="4"/>
      <c r="AW2358" s="4"/>
      <c r="AX2358" s="4"/>
      <c r="AY2358" s="4"/>
      <c r="AZ2358" s="4"/>
      <c r="BA2358" s="4"/>
      <c r="BB2358" s="4"/>
      <c r="BC2358" s="4"/>
      <c r="BD2358" s="4"/>
      <c r="BE2358" s="4"/>
      <c r="BF2358" s="4"/>
      <c r="BG2358" s="4"/>
      <c r="BH2358" s="4"/>
      <c r="BI2358" s="4"/>
      <c r="BJ2358" s="4"/>
      <c r="BK2358" s="4"/>
      <c r="BL2358" s="4"/>
      <c r="BM2358" s="4"/>
      <c r="BN2358" s="4"/>
      <c r="BO2358" s="4"/>
      <c r="BP2358" s="4"/>
      <c r="BQ2358" s="4"/>
      <c r="BR2358" s="4"/>
      <c r="BS2358" s="4"/>
      <c r="BT2358" s="4"/>
      <c r="BU2358" s="4"/>
      <c r="BV2358" s="4"/>
      <c r="BW2358" s="4"/>
      <c r="BX2358" s="4"/>
      <c r="BY2358" s="4"/>
      <c r="BZ2358" s="4"/>
      <c r="CA2358" s="4"/>
      <c r="CB2358" s="4"/>
      <c r="CC2358" s="4"/>
      <c r="CD2358" s="4"/>
      <c r="CE2358" s="4"/>
      <c r="CF2358" s="4"/>
      <c r="CG2358" s="4"/>
      <c r="CH2358" s="4"/>
      <c r="CI2358" s="4"/>
      <c r="CJ2358" s="4"/>
      <c r="CK2358" s="4"/>
      <c r="CL2358" s="4"/>
      <c r="CM2358" s="4"/>
      <c r="CN2358" s="4"/>
      <c r="CO2358" s="4"/>
      <c r="CP2358" s="4"/>
      <c r="CQ2358" s="4"/>
      <c r="CR2358" s="4"/>
      <c r="CS2358" s="4"/>
      <c r="CT2358" s="4"/>
      <c r="CU2358" s="4"/>
      <c r="CV2358" s="4"/>
      <c r="CW2358" s="4"/>
      <c r="CX2358" s="4"/>
      <c r="CY2358" s="4"/>
      <c r="CZ2358" s="4"/>
      <c r="DA2358" s="4"/>
      <c r="DB2358" s="4"/>
      <c r="DC2358" s="4"/>
      <c r="DD2358" s="4"/>
      <c r="DE2358" s="4"/>
      <c r="DF2358" s="4"/>
      <c r="DG2358" s="4"/>
      <c r="DH2358" s="4"/>
      <c r="DI2358" s="4"/>
      <c r="DJ2358" s="4"/>
      <c r="DK2358" s="4"/>
      <c r="DL2358" s="4"/>
      <c r="DM2358" s="4"/>
      <c r="DN2358" s="4"/>
      <c r="DO2358" s="4"/>
      <c r="DP2358" s="4"/>
      <c r="DQ2358" s="4"/>
      <c r="DR2358" s="4"/>
      <c r="DS2358" s="4"/>
    </row>
    <row r="2359">
      <c r="A2359" s="4"/>
      <c r="B2359" s="4"/>
      <c r="C2359" s="4"/>
      <c r="D2359" s="4"/>
      <c r="E2359" s="4"/>
      <c r="F2359" s="4" t="s">
        <v>17</v>
      </c>
      <c r="G2359" s="15"/>
      <c r="H2359" s="4"/>
      <c r="I2359" s="4"/>
      <c r="J2359" s="4"/>
      <c r="K2359" s="4"/>
      <c r="L2359" s="4"/>
      <c r="M2359" s="4"/>
      <c r="N2359" s="4"/>
      <c r="O2359" s="4"/>
      <c r="P2359" s="4"/>
      <c r="Q2359" s="4"/>
      <c r="R2359" s="4"/>
      <c r="S2359" s="4"/>
      <c r="T2359" s="4"/>
      <c r="U2359" s="4"/>
      <c r="V2359" s="4"/>
      <c r="W2359" s="4"/>
      <c r="X2359" s="4"/>
      <c r="Y2359" s="4"/>
      <c r="Z2359" s="4"/>
      <c r="AA2359" s="4"/>
      <c r="AB2359" s="4"/>
      <c r="AC2359" s="4"/>
      <c r="AD2359" s="4"/>
      <c r="AE2359" s="4"/>
      <c r="AF2359" s="4"/>
      <c r="AG2359" s="4"/>
      <c r="AH2359" s="4"/>
      <c r="AI2359" s="4"/>
      <c r="AJ2359" s="4"/>
      <c r="AK2359" s="4"/>
      <c r="AL2359" s="4"/>
      <c r="AM2359" s="4"/>
      <c r="AN2359" s="4"/>
      <c r="AO2359" s="4"/>
      <c r="AP2359" s="4"/>
      <c r="AQ2359" s="4"/>
      <c r="AR2359" s="4"/>
      <c r="AS2359" s="4"/>
      <c r="AT2359" s="4"/>
      <c r="AU2359" s="4"/>
      <c r="AV2359" s="4"/>
      <c r="AW2359" s="4"/>
      <c r="AX2359" s="4"/>
      <c r="AY2359" s="4"/>
      <c r="AZ2359" s="4"/>
      <c r="BA2359" s="4"/>
      <c r="BB2359" s="4"/>
      <c r="BC2359" s="4"/>
      <c r="BD2359" s="4"/>
      <c r="BE2359" s="4"/>
      <c r="BF2359" s="4"/>
      <c r="BG2359" s="4"/>
      <c r="BH2359" s="4"/>
      <c r="BI2359" s="4"/>
      <c r="BJ2359" s="4"/>
      <c r="BK2359" s="4"/>
      <c r="BL2359" s="4"/>
      <c r="BM2359" s="4"/>
      <c r="BN2359" s="4"/>
      <c r="BO2359" s="4"/>
      <c r="BP2359" s="4"/>
      <c r="BQ2359" s="4"/>
      <c r="BR2359" s="4"/>
      <c r="BS2359" s="4"/>
      <c r="BT2359" s="4"/>
      <c r="BU2359" s="4"/>
      <c r="BV2359" s="4"/>
      <c r="BW2359" s="4"/>
      <c r="BX2359" s="4"/>
      <c r="BY2359" s="4"/>
      <c r="BZ2359" s="4"/>
      <c r="CA2359" s="4"/>
      <c r="CB2359" s="4"/>
      <c r="CC2359" s="4"/>
      <c r="CD2359" s="4"/>
      <c r="CE2359" s="4"/>
      <c r="CF2359" s="4"/>
      <c r="CG2359" s="4"/>
      <c r="CH2359" s="4"/>
      <c r="CI2359" s="4"/>
      <c r="CJ2359" s="4"/>
      <c r="CK2359" s="4"/>
      <c r="CL2359" s="4"/>
      <c r="CM2359" s="4"/>
      <c r="CN2359" s="4"/>
      <c r="CO2359" s="4"/>
      <c r="CP2359" s="4"/>
      <c r="CQ2359" s="4"/>
      <c r="CR2359" s="4"/>
      <c r="CS2359" s="4"/>
      <c r="CT2359" s="4"/>
      <c r="CU2359" s="4"/>
      <c r="CV2359" s="4"/>
      <c r="CW2359" s="4"/>
      <c r="CX2359" s="4"/>
      <c r="CY2359" s="4"/>
      <c r="CZ2359" s="4"/>
      <c r="DA2359" s="4"/>
      <c r="DB2359" s="4"/>
      <c r="DC2359" s="4"/>
      <c r="DD2359" s="4"/>
      <c r="DE2359" s="4"/>
      <c r="DF2359" s="4"/>
      <c r="DG2359" s="4"/>
      <c r="DH2359" s="4"/>
      <c r="DI2359" s="4"/>
      <c r="DJ2359" s="4"/>
      <c r="DK2359" s="4"/>
      <c r="DL2359" s="4"/>
      <c r="DM2359" s="4"/>
      <c r="DN2359" s="4"/>
      <c r="DO2359" s="4"/>
      <c r="DP2359" s="4"/>
      <c r="DQ2359" s="4"/>
      <c r="DR2359" s="4"/>
      <c r="DS2359" s="4"/>
    </row>
    <row r="2360">
      <c r="A2360" s="4"/>
      <c r="B2360" s="4"/>
      <c r="C2360" s="4"/>
      <c r="D2360" s="4"/>
      <c r="E2360" s="4"/>
      <c r="F2360" s="4" t="s">
        <v>17</v>
      </c>
      <c r="G2360" s="15"/>
      <c r="H2360" s="4"/>
      <c r="I2360" s="4"/>
      <c r="J2360" s="4"/>
      <c r="K2360" s="4"/>
      <c r="L2360" s="4"/>
      <c r="M2360" s="4"/>
      <c r="N2360" s="4"/>
      <c r="O2360" s="4"/>
      <c r="P2360" s="4"/>
      <c r="Q2360" s="4"/>
      <c r="R2360" s="4"/>
      <c r="S2360" s="4"/>
      <c r="T2360" s="4"/>
      <c r="U2360" s="4"/>
      <c r="V2360" s="4"/>
      <c r="W2360" s="4"/>
      <c r="X2360" s="4"/>
      <c r="Y2360" s="4"/>
      <c r="Z2360" s="4"/>
      <c r="AA2360" s="4"/>
      <c r="AB2360" s="4"/>
      <c r="AC2360" s="4"/>
      <c r="AD2360" s="4"/>
      <c r="AE2360" s="4"/>
      <c r="AF2360" s="4"/>
      <c r="AG2360" s="4"/>
      <c r="AH2360" s="4"/>
      <c r="AI2360" s="4"/>
      <c r="AJ2360" s="4"/>
      <c r="AK2360" s="4"/>
      <c r="AL2360" s="4"/>
      <c r="AM2360" s="4"/>
      <c r="AN2360" s="4"/>
      <c r="AO2360" s="4"/>
      <c r="AP2360" s="4"/>
      <c r="AQ2360" s="4"/>
      <c r="AR2360" s="4"/>
      <c r="AS2360" s="4"/>
      <c r="AT2360" s="4"/>
      <c r="AU2360" s="4"/>
      <c r="AV2360" s="4"/>
      <c r="AW2360" s="4"/>
      <c r="AX2360" s="4"/>
      <c r="AY2360" s="4"/>
      <c r="AZ2360" s="4"/>
      <c r="BA2360" s="4"/>
      <c r="BB2360" s="4"/>
      <c r="BC2360" s="4"/>
      <c r="BD2360" s="4"/>
      <c r="BE2360" s="4"/>
      <c r="BF2360" s="4"/>
      <c r="BG2360" s="4"/>
      <c r="BH2360" s="4"/>
      <c r="BI2360" s="4"/>
      <c r="BJ2360" s="4"/>
      <c r="BK2360" s="4"/>
      <c r="BL2360" s="4"/>
      <c r="BM2360" s="4"/>
      <c r="BN2360" s="4"/>
      <c r="BO2360" s="4"/>
      <c r="BP2360" s="4"/>
      <c r="BQ2360" s="4"/>
      <c r="BR2360" s="4"/>
      <c r="BS2360" s="4"/>
      <c r="BT2360" s="4"/>
      <c r="BU2360" s="4"/>
      <c r="BV2360" s="4"/>
      <c r="BW2360" s="4"/>
      <c r="BX2360" s="4"/>
      <c r="BY2360" s="4"/>
      <c r="BZ2360" s="4"/>
      <c r="CA2360" s="4"/>
      <c r="CB2360" s="4"/>
      <c r="CC2360" s="4"/>
      <c r="CD2360" s="4"/>
      <c r="CE2360" s="4"/>
      <c r="CF2360" s="4"/>
      <c r="CG2360" s="4"/>
      <c r="CH2360" s="4"/>
      <c r="CI2360" s="4"/>
      <c r="CJ2360" s="4"/>
      <c r="CK2360" s="4"/>
      <c r="CL2360" s="4"/>
      <c r="CM2360" s="4"/>
      <c r="CN2360" s="4"/>
      <c r="CO2360" s="4"/>
      <c r="CP2360" s="4"/>
      <c r="CQ2360" s="4"/>
      <c r="CR2360" s="4"/>
      <c r="CS2360" s="4"/>
      <c r="CT2360" s="4"/>
      <c r="CU2360" s="4"/>
      <c r="CV2360" s="4"/>
      <c r="CW2360" s="4"/>
      <c r="CX2360" s="4"/>
      <c r="CY2360" s="4"/>
      <c r="CZ2360" s="4"/>
      <c r="DA2360" s="4"/>
      <c r="DB2360" s="4"/>
      <c r="DC2360" s="4"/>
      <c r="DD2360" s="4"/>
      <c r="DE2360" s="4"/>
      <c r="DF2360" s="4"/>
      <c r="DG2360" s="4"/>
      <c r="DH2360" s="4"/>
      <c r="DI2360" s="4"/>
      <c r="DJ2360" s="4"/>
      <c r="DK2360" s="4"/>
      <c r="DL2360" s="4"/>
      <c r="DM2360" s="4"/>
      <c r="DN2360" s="4"/>
      <c r="DO2360" s="4"/>
      <c r="DP2360" s="4"/>
      <c r="DQ2360" s="4"/>
      <c r="DR2360" s="4"/>
      <c r="DS2360" s="4"/>
    </row>
    <row r="2361">
      <c r="A2361" s="4"/>
      <c r="B2361" s="4"/>
      <c r="C2361" s="4"/>
      <c r="D2361" s="4"/>
      <c r="E2361" s="4"/>
      <c r="F2361" s="4" t="s">
        <v>17</v>
      </c>
      <c r="G2361" s="15"/>
      <c r="H2361" s="4"/>
      <c r="I2361" s="4"/>
      <c r="J2361" s="4"/>
      <c r="K2361" s="4"/>
      <c r="L2361" s="4"/>
      <c r="M2361" s="4"/>
      <c r="N2361" s="4"/>
      <c r="O2361" s="4"/>
      <c r="P2361" s="4"/>
      <c r="Q2361" s="4"/>
      <c r="R2361" s="4"/>
      <c r="S2361" s="4"/>
      <c r="T2361" s="4"/>
      <c r="U2361" s="4"/>
      <c r="V2361" s="4"/>
      <c r="W2361" s="4"/>
      <c r="X2361" s="4"/>
      <c r="Y2361" s="4"/>
      <c r="Z2361" s="4"/>
      <c r="AA2361" s="4"/>
      <c r="AB2361" s="4"/>
      <c r="AC2361" s="4"/>
      <c r="AD2361" s="4"/>
      <c r="AE2361" s="4"/>
      <c r="AF2361" s="4"/>
      <c r="AG2361" s="4"/>
      <c r="AH2361" s="4"/>
      <c r="AI2361" s="4"/>
      <c r="AJ2361" s="4"/>
      <c r="AK2361" s="4"/>
      <c r="AL2361" s="4"/>
      <c r="AM2361" s="4"/>
      <c r="AN2361" s="4"/>
      <c r="AO2361" s="4"/>
      <c r="AP2361" s="4"/>
      <c r="AQ2361" s="4"/>
      <c r="AR2361" s="4"/>
      <c r="AS2361" s="4"/>
      <c r="AT2361" s="4"/>
      <c r="AU2361" s="4"/>
      <c r="AV2361" s="4"/>
      <c r="AW2361" s="4"/>
      <c r="AX2361" s="4"/>
      <c r="AY2361" s="4"/>
      <c r="AZ2361" s="4"/>
      <c r="BA2361" s="4"/>
      <c r="BB2361" s="4"/>
      <c r="BC2361" s="4"/>
      <c r="BD2361" s="4"/>
      <c r="BE2361" s="4"/>
      <c r="BF2361" s="4"/>
      <c r="BG2361" s="4"/>
      <c r="BH2361" s="4"/>
      <c r="BI2361" s="4"/>
      <c r="BJ2361" s="4"/>
      <c r="BK2361" s="4"/>
      <c r="BL2361" s="4"/>
      <c r="BM2361" s="4"/>
      <c r="BN2361" s="4"/>
      <c r="BO2361" s="4"/>
      <c r="BP2361" s="4"/>
      <c r="BQ2361" s="4"/>
      <c r="BR2361" s="4"/>
      <c r="BS2361" s="4"/>
      <c r="BT2361" s="4"/>
      <c r="BU2361" s="4"/>
      <c r="BV2361" s="4"/>
      <c r="BW2361" s="4"/>
      <c r="BX2361" s="4"/>
      <c r="BY2361" s="4"/>
      <c r="BZ2361" s="4"/>
      <c r="CA2361" s="4"/>
      <c r="CB2361" s="4"/>
      <c r="CC2361" s="4"/>
      <c r="CD2361" s="4"/>
      <c r="CE2361" s="4"/>
      <c r="CF2361" s="4"/>
      <c r="CG2361" s="4"/>
      <c r="CH2361" s="4"/>
      <c r="CI2361" s="4"/>
      <c r="CJ2361" s="4"/>
      <c r="CK2361" s="4"/>
      <c r="CL2361" s="4"/>
      <c r="CM2361" s="4"/>
      <c r="CN2361" s="4"/>
      <c r="CO2361" s="4"/>
      <c r="CP2361" s="4"/>
      <c r="CQ2361" s="4"/>
      <c r="CR2361" s="4"/>
      <c r="CS2361" s="4"/>
      <c r="CT2361" s="4"/>
      <c r="CU2361" s="4"/>
      <c r="CV2361" s="4"/>
      <c r="CW2361" s="4"/>
      <c r="CX2361" s="4"/>
      <c r="CY2361" s="4"/>
      <c r="CZ2361" s="4"/>
      <c r="DA2361" s="4"/>
      <c r="DB2361" s="4"/>
      <c r="DC2361" s="4"/>
      <c r="DD2361" s="4"/>
      <c r="DE2361" s="4"/>
      <c r="DF2361" s="4"/>
      <c r="DG2361" s="4"/>
      <c r="DH2361" s="4"/>
      <c r="DI2361" s="4"/>
      <c r="DJ2361" s="4"/>
      <c r="DK2361" s="4"/>
      <c r="DL2361" s="4"/>
      <c r="DM2361" s="4"/>
      <c r="DN2361" s="4"/>
      <c r="DO2361" s="4"/>
      <c r="DP2361" s="4"/>
      <c r="DQ2361" s="4"/>
      <c r="DR2361" s="4"/>
      <c r="DS2361" s="4"/>
    </row>
    <row r="2362">
      <c r="A2362" s="4"/>
      <c r="B2362" s="4"/>
      <c r="C2362" s="4"/>
      <c r="D2362" s="4"/>
      <c r="E2362" s="4"/>
      <c r="F2362" s="4" t="s">
        <v>17</v>
      </c>
      <c r="G2362" s="15"/>
      <c r="H2362" s="4"/>
      <c r="I2362" s="4"/>
      <c r="J2362" s="4"/>
      <c r="K2362" s="4"/>
      <c r="L2362" s="4"/>
      <c r="M2362" s="4"/>
      <c r="N2362" s="4"/>
      <c r="O2362" s="4"/>
      <c r="P2362" s="4"/>
      <c r="Q2362" s="4"/>
      <c r="R2362" s="4"/>
      <c r="S2362" s="4"/>
      <c r="T2362" s="4"/>
      <c r="U2362" s="4"/>
      <c r="V2362" s="4"/>
      <c r="W2362" s="4"/>
      <c r="X2362" s="4"/>
      <c r="Y2362" s="4"/>
      <c r="Z2362" s="4"/>
      <c r="AA2362" s="4"/>
      <c r="AB2362" s="4"/>
      <c r="AC2362" s="4"/>
      <c r="AD2362" s="4"/>
      <c r="AE2362" s="4"/>
      <c r="AF2362" s="4"/>
      <c r="AG2362" s="4"/>
      <c r="AH2362" s="4"/>
      <c r="AI2362" s="4"/>
      <c r="AJ2362" s="4"/>
      <c r="AK2362" s="4"/>
      <c r="AL2362" s="4"/>
      <c r="AM2362" s="4"/>
      <c r="AN2362" s="4"/>
      <c r="AO2362" s="4"/>
      <c r="AP2362" s="4"/>
      <c r="AQ2362" s="4"/>
      <c r="AR2362" s="4"/>
      <c r="AS2362" s="4"/>
      <c r="AT2362" s="4"/>
      <c r="AU2362" s="4"/>
      <c r="AV2362" s="4"/>
      <c r="AW2362" s="4"/>
      <c r="AX2362" s="4"/>
      <c r="AY2362" s="4"/>
      <c r="AZ2362" s="4"/>
      <c r="BA2362" s="4"/>
      <c r="BB2362" s="4"/>
      <c r="BC2362" s="4"/>
      <c r="BD2362" s="4"/>
      <c r="BE2362" s="4"/>
      <c r="BF2362" s="4"/>
      <c r="BG2362" s="4"/>
      <c r="BH2362" s="4"/>
      <c r="BI2362" s="4"/>
      <c r="BJ2362" s="4"/>
      <c r="BK2362" s="4"/>
      <c r="BL2362" s="4"/>
      <c r="BM2362" s="4"/>
      <c r="BN2362" s="4"/>
      <c r="BO2362" s="4"/>
      <c r="BP2362" s="4"/>
      <c r="BQ2362" s="4"/>
      <c r="BR2362" s="4"/>
      <c r="BS2362" s="4"/>
      <c r="BT2362" s="4"/>
      <c r="BU2362" s="4"/>
      <c r="BV2362" s="4"/>
      <c r="BW2362" s="4"/>
      <c r="BX2362" s="4"/>
      <c r="BY2362" s="4"/>
      <c r="BZ2362" s="4"/>
      <c r="CA2362" s="4"/>
      <c r="CB2362" s="4"/>
      <c r="CC2362" s="4"/>
      <c r="CD2362" s="4"/>
      <c r="CE2362" s="4"/>
      <c r="CF2362" s="4"/>
      <c r="CG2362" s="4"/>
      <c r="CH2362" s="4"/>
      <c r="CI2362" s="4"/>
      <c r="CJ2362" s="4"/>
      <c r="CK2362" s="4"/>
      <c r="CL2362" s="4"/>
      <c r="CM2362" s="4"/>
      <c r="CN2362" s="4"/>
      <c r="CO2362" s="4"/>
      <c r="CP2362" s="4"/>
      <c r="CQ2362" s="4"/>
      <c r="CR2362" s="4"/>
      <c r="CS2362" s="4"/>
      <c r="CT2362" s="4"/>
      <c r="CU2362" s="4"/>
      <c r="CV2362" s="4"/>
      <c r="CW2362" s="4"/>
      <c r="CX2362" s="4"/>
      <c r="CY2362" s="4"/>
      <c r="CZ2362" s="4"/>
      <c r="DA2362" s="4"/>
      <c r="DB2362" s="4"/>
      <c r="DC2362" s="4"/>
      <c r="DD2362" s="4"/>
      <c r="DE2362" s="4"/>
      <c r="DF2362" s="4"/>
      <c r="DG2362" s="4"/>
      <c r="DH2362" s="4"/>
      <c r="DI2362" s="4"/>
      <c r="DJ2362" s="4"/>
      <c r="DK2362" s="4"/>
      <c r="DL2362" s="4"/>
      <c r="DM2362" s="4"/>
      <c r="DN2362" s="4"/>
      <c r="DO2362" s="4"/>
      <c r="DP2362" s="4"/>
      <c r="DQ2362" s="4"/>
      <c r="DR2362" s="4"/>
      <c r="DS2362" s="4"/>
    </row>
    <row r="2363">
      <c r="A2363" s="4"/>
      <c r="B2363" s="4"/>
      <c r="C2363" s="4"/>
      <c r="D2363" s="4"/>
      <c r="E2363" s="4"/>
      <c r="F2363" s="4" t="s">
        <v>17</v>
      </c>
      <c r="G2363" s="15"/>
      <c r="H2363" s="4"/>
      <c r="I2363" s="4"/>
      <c r="J2363" s="4"/>
      <c r="K2363" s="4"/>
      <c r="L2363" s="4"/>
      <c r="M2363" s="4"/>
      <c r="N2363" s="4"/>
      <c r="O2363" s="4"/>
      <c r="P2363" s="4"/>
      <c r="Q2363" s="4"/>
      <c r="R2363" s="4"/>
      <c r="S2363" s="4"/>
      <c r="T2363" s="4"/>
      <c r="U2363" s="4"/>
      <c r="V2363" s="4"/>
      <c r="W2363" s="4"/>
      <c r="X2363" s="4"/>
      <c r="Y2363" s="4"/>
      <c r="Z2363" s="4"/>
      <c r="AA2363" s="4"/>
      <c r="AB2363" s="4"/>
      <c r="AC2363" s="4"/>
      <c r="AD2363" s="4"/>
      <c r="AE2363" s="4"/>
      <c r="AF2363" s="4"/>
      <c r="AG2363" s="4"/>
      <c r="AH2363" s="4"/>
      <c r="AI2363" s="4"/>
      <c r="AJ2363" s="4"/>
      <c r="AK2363" s="4"/>
      <c r="AL2363" s="4"/>
      <c r="AM2363" s="4"/>
      <c r="AN2363" s="4"/>
      <c r="AO2363" s="4"/>
      <c r="AP2363" s="4"/>
      <c r="AQ2363" s="4"/>
      <c r="AR2363" s="4"/>
      <c r="AS2363" s="4"/>
      <c r="AT2363" s="4"/>
      <c r="AU2363" s="4"/>
      <c r="AV2363" s="4"/>
      <c r="AW2363" s="4"/>
      <c r="AX2363" s="4"/>
      <c r="AY2363" s="4"/>
      <c r="AZ2363" s="4"/>
      <c r="BA2363" s="4"/>
      <c r="BB2363" s="4"/>
      <c r="BC2363" s="4"/>
      <c r="BD2363" s="4"/>
      <c r="BE2363" s="4"/>
      <c r="BF2363" s="4"/>
      <c r="BG2363" s="4"/>
      <c r="BH2363" s="4"/>
      <c r="BI2363" s="4"/>
      <c r="BJ2363" s="4"/>
      <c r="BK2363" s="4"/>
      <c r="BL2363" s="4"/>
      <c r="BM2363" s="4"/>
      <c r="BN2363" s="4"/>
      <c r="BO2363" s="4"/>
      <c r="BP2363" s="4"/>
      <c r="BQ2363" s="4"/>
      <c r="BR2363" s="4"/>
      <c r="BS2363" s="4"/>
      <c r="BT2363" s="4"/>
      <c r="BU2363" s="4"/>
      <c r="BV2363" s="4"/>
      <c r="BW2363" s="4"/>
      <c r="BX2363" s="4"/>
      <c r="BY2363" s="4"/>
      <c r="BZ2363" s="4"/>
      <c r="CA2363" s="4"/>
      <c r="CB2363" s="4"/>
      <c r="CC2363" s="4"/>
      <c r="CD2363" s="4"/>
      <c r="CE2363" s="4"/>
      <c r="CF2363" s="4"/>
      <c r="CG2363" s="4"/>
      <c r="CH2363" s="4"/>
      <c r="CI2363" s="4"/>
      <c r="CJ2363" s="4"/>
      <c r="CK2363" s="4"/>
      <c r="CL2363" s="4"/>
      <c r="CM2363" s="4"/>
      <c r="CN2363" s="4"/>
      <c r="CO2363" s="4"/>
      <c r="CP2363" s="4"/>
      <c r="CQ2363" s="4"/>
      <c r="CR2363" s="4"/>
      <c r="CS2363" s="4"/>
      <c r="CT2363" s="4"/>
      <c r="CU2363" s="4"/>
      <c r="CV2363" s="4"/>
      <c r="CW2363" s="4"/>
      <c r="CX2363" s="4"/>
      <c r="CY2363" s="4"/>
      <c r="CZ2363" s="4"/>
      <c r="DA2363" s="4"/>
      <c r="DB2363" s="4"/>
      <c r="DC2363" s="4"/>
      <c r="DD2363" s="4"/>
      <c r="DE2363" s="4"/>
      <c r="DF2363" s="4"/>
      <c r="DG2363" s="4"/>
      <c r="DH2363" s="4"/>
      <c r="DI2363" s="4"/>
      <c r="DJ2363" s="4"/>
      <c r="DK2363" s="4"/>
      <c r="DL2363" s="4"/>
      <c r="DM2363" s="4"/>
      <c r="DN2363" s="4"/>
      <c r="DO2363" s="4"/>
      <c r="DP2363" s="4"/>
      <c r="DQ2363" s="4"/>
      <c r="DR2363" s="4"/>
      <c r="DS2363" s="4"/>
    </row>
    <row r="2364">
      <c r="A2364" s="4"/>
      <c r="B2364" s="4"/>
      <c r="C2364" s="4"/>
      <c r="D2364" s="4"/>
      <c r="E2364" s="4"/>
      <c r="F2364" s="4" t="s">
        <v>17</v>
      </c>
      <c r="G2364" s="15"/>
      <c r="H2364" s="4"/>
      <c r="I2364" s="4"/>
      <c r="J2364" s="4"/>
      <c r="K2364" s="4"/>
      <c r="L2364" s="4"/>
      <c r="M2364" s="4"/>
      <c r="N2364" s="4"/>
      <c r="O2364" s="4"/>
      <c r="P2364" s="4"/>
      <c r="Q2364" s="4"/>
      <c r="R2364" s="4"/>
      <c r="S2364" s="4"/>
      <c r="T2364" s="4"/>
      <c r="U2364" s="4"/>
      <c r="V2364" s="4"/>
      <c r="W2364" s="4"/>
      <c r="X2364" s="4"/>
      <c r="Y2364" s="4"/>
      <c r="Z2364" s="4"/>
      <c r="AA2364" s="4"/>
      <c r="AB2364" s="4"/>
      <c r="AC2364" s="4"/>
      <c r="AD2364" s="4"/>
      <c r="AE2364" s="4"/>
      <c r="AF2364" s="4"/>
      <c r="AG2364" s="4"/>
      <c r="AH2364" s="4"/>
      <c r="AI2364" s="4"/>
      <c r="AJ2364" s="4"/>
      <c r="AK2364" s="4"/>
      <c r="AL2364" s="4"/>
      <c r="AM2364" s="4"/>
      <c r="AN2364" s="4"/>
      <c r="AO2364" s="4"/>
      <c r="AP2364" s="4"/>
      <c r="AQ2364" s="4"/>
      <c r="AR2364" s="4"/>
      <c r="AS2364" s="4"/>
      <c r="AT2364" s="4"/>
      <c r="AU2364" s="4"/>
      <c r="AV2364" s="4"/>
      <c r="AW2364" s="4"/>
      <c r="AX2364" s="4"/>
      <c r="AY2364" s="4"/>
      <c r="AZ2364" s="4"/>
      <c r="BA2364" s="4"/>
      <c r="BB2364" s="4"/>
      <c r="BC2364" s="4"/>
      <c r="BD2364" s="4"/>
      <c r="BE2364" s="4"/>
      <c r="BF2364" s="4"/>
      <c r="BG2364" s="4"/>
      <c r="BH2364" s="4"/>
      <c r="BI2364" s="4"/>
      <c r="BJ2364" s="4"/>
      <c r="BK2364" s="4"/>
      <c r="BL2364" s="4"/>
      <c r="BM2364" s="4"/>
      <c r="BN2364" s="4"/>
      <c r="BO2364" s="4"/>
      <c r="BP2364" s="4"/>
      <c r="BQ2364" s="4"/>
      <c r="BR2364" s="4"/>
      <c r="BS2364" s="4"/>
      <c r="BT2364" s="4"/>
      <c r="BU2364" s="4"/>
      <c r="BV2364" s="4"/>
      <c r="BW2364" s="4"/>
      <c r="BX2364" s="4"/>
      <c r="BY2364" s="4"/>
      <c r="BZ2364" s="4"/>
      <c r="CA2364" s="4"/>
      <c r="CB2364" s="4"/>
      <c r="CC2364" s="4"/>
      <c r="CD2364" s="4"/>
      <c r="CE2364" s="4"/>
      <c r="CF2364" s="4"/>
      <c r="CG2364" s="4"/>
      <c r="CH2364" s="4"/>
      <c r="CI2364" s="4"/>
      <c r="CJ2364" s="4"/>
      <c r="CK2364" s="4"/>
      <c r="CL2364" s="4"/>
      <c r="CM2364" s="4"/>
      <c r="CN2364" s="4"/>
      <c r="CO2364" s="4"/>
      <c r="CP2364" s="4"/>
      <c r="CQ2364" s="4"/>
      <c r="CR2364" s="4"/>
      <c r="CS2364" s="4"/>
      <c r="CT2364" s="4"/>
      <c r="CU2364" s="4"/>
      <c r="CV2364" s="4"/>
      <c r="CW2364" s="4"/>
      <c r="CX2364" s="4"/>
      <c r="CY2364" s="4"/>
      <c r="CZ2364" s="4"/>
      <c r="DA2364" s="4"/>
      <c r="DB2364" s="4"/>
      <c r="DC2364" s="4"/>
      <c r="DD2364" s="4"/>
      <c r="DE2364" s="4"/>
      <c r="DF2364" s="4"/>
      <c r="DG2364" s="4"/>
      <c r="DH2364" s="4"/>
      <c r="DI2364" s="4"/>
      <c r="DJ2364" s="4"/>
      <c r="DK2364" s="4"/>
      <c r="DL2364" s="4"/>
      <c r="DM2364" s="4"/>
      <c r="DN2364" s="4"/>
      <c r="DO2364" s="4"/>
      <c r="DP2364" s="4"/>
      <c r="DQ2364" s="4"/>
      <c r="DR2364" s="4"/>
      <c r="DS2364" s="4"/>
    </row>
    <row r="2365">
      <c r="A2365" s="4"/>
      <c r="B2365" s="4"/>
      <c r="C2365" s="4"/>
      <c r="D2365" s="4"/>
      <c r="E2365" s="4"/>
      <c r="F2365" s="4" t="s">
        <v>17</v>
      </c>
      <c r="G2365" s="15"/>
      <c r="H2365" s="4"/>
      <c r="I2365" s="4"/>
      <c r="J2365" s="4"/>
      <c r="K2365" s="4"/>
      <c r="L2365" s="4"/>
      <c r="M2365" s="4"/>
      <c r="N2365" s="4"/>
      <c r="O2365" s="4"/>
      <c r="P2365" s="4"/>
      <c r="Q2365" s="4"/>
      <c r="R2365" s="4"/>
      <c r="S2365" s="4"/>
      <c r="T2365" s="4"/>
      <c r="U2365" s="4"/>
      <c r="V2365" s="4"/>
      <c r="W2365" s="4"/>
      <c r="X2365" s="4"/>
      <c r="Y2365" s="4"/>
      <c r="Z2365" s="4"/>
      <c r="AA2365" s="4"/>
      <c r="AB2365" s="4"/>
      <c r="AC2365" s="4"/>
      <c r="AD2365" s="4"/>
      <c r="AE2365" s="4"/>
      <c r="AF2365" s="4"/>
      <c r="AG2365" s="4"/>
      <c r="AH2365" s="4"/>
      <c r="AI2365" s="4"/>
      <c r="AJ2365" s="4"/>
      <c r="AK2365" s="4"/>
      <c r="AL2365" s="4"/>
      <c r="AM2365" s="4"/>
      <c r="AN2365" s="4"/>
      <c r="AO2365" s="4"/>
      <c r="AP2365" s="4"/>
      <c r="AQ2365" s="4"/>
      <c r="AR2365" s="4"/>
      <c r="AS2365" s="4"/>
      <c r="AT2365" s="4"/>
      <c r="AU2365" s="4"/>
      <c r="AV2365" s="4"/>
      <c r="AW2365" s="4"/>
      <c r="AX2365" s="4"/>
      <c r="AY2365" s="4"/>
      <c r="AZ2365" s="4"/>
      <c r="BA2365" s="4"/>
      <c r="BB2365" s="4"/>
      <c r="BC2365" s="4"/>
      <c r="BD2365" s="4"/>
      <c r="BE2365" s="4"/>
      <c r="BF2365" s="4"/>
      <c r="BG2365" s="4"/>
      <c r="BH2365" s="4"/>
      <c r="BI2365" s="4"/>
      <c r="BJ2365" s="4"/>
      <c r="BK2365" s="4"/>
      <c r="BL2365" s="4"/>
      <c r="BM2365" s="4"/>
      <c r="BN2365" s="4"/>
      <c r="BO2365" s="4"/>
      <c r="BP2365" s="4"/>
      <c r="BQ2365" s="4"/>
      <c r="BR2365" s="4"/>
      <c r="BS2365" s="4"/>
      <c r="BT2365" s="4"/>
      <c r="BU2365" s="4"/>
      <c r="BV2365" s="4"/>
      <c r="BW2365" s="4"/>
      <c r="BX2365" s="4"/>
      <c r="BY2365" s="4"/>
      <c r="BZ2365" s="4"/>
      <c r="CA2365" s="4"/>
      <c r="CB2365" s="4"/>
      <c r="CC2365" s="4"/>
      <c r="CD2365" s="4"/>
      <c r="CE2365" s="4"/>
      <c r="CF2365" s="4"/>
      <c r="CG2365" s="4"/>
      <c r="CH2365" s="4"/>
      <c r="CI2365" s="4"/>
      <c r="CJ2365" s="4"/>
      <c r="CK2365" s="4"/>
      <c r="CL2365" s="4"/>
      <c r="CM2365" s="4"/>
      <c r="CN2365" s="4"/>
      <c r="CO2365" s="4"/>
      <c r="CP2365" s="4"/>
      <c r="CQ2365" s="4"/>
      <c r="CR2365" s="4"/>
      <c r="CS2365" s="4"/>
      <c r="CT2365" s="4"/>
      <c r="CU2365" s="4"/>
      <c r="CV2365" s="4"/>
      <c r="CW2365" s="4"/>
      <c r="CX2365" s="4"/>
      <c r="CY2365" s="4"/>
      <c r="CZ2365" s="4"/>
      <c r="DA2365" s="4"/>
      <c r="DB2365" s="4"/>
      <c r="DC2365" s="4"/>
      <c r="DD2365" s="4"/>
      <c r="DE2365" s="4"/>
      <c r="DF2365" s="4"/>
      <c r="DG2365" s="4"/>
      <c r="DH2365" s="4"/>
      <c r="DI2365" s="4"/>
      <c r="DJ2365" s="4"/>
      <c r="DK2365" s="4"/>
      <c r="DL2365" s="4"/>
      <c r="DM2365" s="4"/>
      <c r="DN2365" s="4"/>
      <c r="DO2365" s="4"/>
      <c r="DP2365" s="4"/>
      <c r="DQ2365" s="4"/>
      <c r="DR2365" s="4"/>
      <c r="DS2365" s="4"/>
    </row>
    <row r="2366">
      <c r="A2366" s="4"/>
      <c r="B2366" s="4"/>
      <c r="C2366" s="4"/>
      <c r="D2366" s="4"/>
      <c r="E2366" s="4"/>
      <c r="F2366" s="4" t="s">
        <v>17</v>
      </c>
      <c r="G2366" s="15"/>
      <c r="H2366" s="4"/>
      <c r="I2366" s="4"/>
      <c r="J2366" s="4"/>
      <c r="K2366" s="4"/>
      <c r="L2366" s="4"/>
      <c r="M2366" s="4"/>
      <c r="N2366" s="4"/>
      <c r="O2366" s="4"/>
      <c r="P2366" s="4"/>
      <c r="Q2366" s="4"/>
      <c r="R2366" s="4"/>
      <c r="S2366" s="4"/>
      <c r="T2366" s="4"/>
      <c r="U2366" s="4"/>
      <c r="V2366" s="4"/>
      <c r="W2366" s="4"/>
      <c r="X2366" s="4"/>
      <c r="Y2366" s="4"/>
      <c r="Z2366" s="4"/>
      <c r="AA2366" s="4"/>
      <c r="AB2366" s="4"/>
      <c r="AC2366" s="4"/>
      <c r="AD2366" s="4"/>
      <c r="AE2366" s="4"/>
      <c r="AF2366" s="4"/>
      <c r="AG2366" s="4"/>
      <c r="AH2366" s="4"/>
      <c r="AI2366" s="4"/>
      <c r="AJ2366" s="4"/>
      <c r="AK2366" s="4"/>
      <c r="AL2366" s="4"/>
      <c r="AM2366" s="4"/>
      <c r="AN2366" s="4"/>
      <c r="AO2366" s="4"/>
      <c r="AP2366" s="4"/>
      <c r="AQ2366" s="4"/>
      <c r="AR2366" s="4"/>
      <c r="AS2366" s="4"/>
      <c r="AT2366" s="4"/>
      <c r="AU2366" s="4"/>
      <c r="AV2366" s="4"/>
      <c r="AW2366" s="4"/>
      <c r="AX2366" s="4"/>
      <c r="AY2366" s="4"/>
      <c r="AZ2366" s="4"/>
      <c r="BA2366" s="4"/>
      <c r="BB2366" s="4"/>
      <c r="BC2366" s="4"/>
      <c r="BD2366" s="4"/>
      <c r="BE2366" s="4"/>
      <c r="BF2366" s="4"/>
      <c r="BG2366" s="4"/>
      <c r="BH2366" s="4"/>
      <c r="BI2366" s="4"/>
      <c r="BJ2366" s="4"/>
      <c r="BK2366" s="4"/>
      <c r="BL2366" s="4"/>
      <c r="BM2366" s="4"/>
      <c r="BN2366" s="4"/>
      <c r="BO2366" s="4"/>
      <c r="BP2366" s="4"/>
      <c r="BQ2366" s="4"/>
      <c r="BR2366" s="4"/>
      <c r="BS2366" s="4"/>
      <c r="BT2366" s="4"/>
      <c r="BU2366" s="4"/>
      <c r="BV2366" s="4"/>
      <c r="BW2366" s="4"/>
      <c r="BX2366" s="4"/>
      <c r="BY2366" s="4"/>
      <c r="BZ2366" s="4"/>
      <c r="CA2366" s="4"/>
      <c r="CB2366" s="4"/>
      <c r="CC2366" s="4"/>
      <c r="CD2366" s="4"/>
      <c r="CE2366" s="4"/>
      <c r="CF2366" s="4"/>
      <c r="CG2366" s="4"/>
      <c r="CH2366" s="4"/>
      <c r="CI2366" s="4"/>
      <c r="CJ2366" s="4"/>
      <c r="CK2366" s="4"/>
      <c r="CL2366" s="4"/>
      <c r="CM2366" s="4"/>
      <c r="CN2366" s="4"/>
      <c r="CO2366" s="4"/>
      <c r="CP2366" s="4"/>
      <c r="CQ2366" s="4"/>
      <c r="CR2366" s="4"/>
      <c r="CS2366" s="4"/>
      <c r="CT2366" s="4"/>
      <c r="CU2366" s="4"/>
      <c r="CV2366" s="4"/>
      <c r="CW2366" s="4"/>
      <c r="CX2366" s="4"/>
      <c r="CY2366" s="4"/>
      <c r="CZ2366" s="4"/>
      <c r="DA2366" s="4"/>
      <c r="DB2366" s="4"/>
      <c r="DC2366" s="4"/>
      <c r="DD2366" s="4"/>
      <c r="DE2366" s="4"/>
      <c r="DF2366" s="4"/>
      <c r="DG2366" s="4"/>
      <c r="DH2366" s="4"/>
      <c r="DI2366" s="4"/>
      <c r="DJ2366" s="4"/>
      <c r="DK2366" s="4"/>
      <c r="DL2366" s="4"/>
      <c r="DM2366" s="4"/>
      <c r="DN2366" s="4"/>
      <c r="DO2366" s="4"/>
      <c r="DP2366" s="4"/>
      <c r="DQ2366" s="4"/>
      <c r="DR2366" s="4"/>
      <c r="DS2366" s="4"/>
    </row>
    <row r="2367">
      <c r="A2367" s="4"/>
      <c r="B2367" s="4"/>
      <c r="C2367" s="4"/>
      <c r="D2367" s="4"/>
      <c r="E2367" s="4"/>
      <c r="F2367" s="4" t="s">
        <v>17</v>
      </c>
      <c r="G2367" s="15"/>
      <c r="H2367" s="4"/>
      <c r="I2367" s="4"/>
      <c r="J2367" s="4"/>
      <c r="K2367" s="4"/>
      <c r="L2367" s="4"/>
      <c r="M2367" s="4"/>
      <c r="N2367" s="4"/>
      <c r="O2367" s="4"/>
      <c r="P2367" s="4"/>
      <c r="Q2367" s="4"/>
      <c r="R2367" s="4"/>
      <c r="S2367" s="4"/>
      <c r="T2367" s="4"/>
      <c r="U2367" s="4"/>
      <c r="V2367" s="4"/>
      <c r="W2367" s="4"/>
      <c r="X2367" s="4"/>
      <c r="Y2367" s="4"/>
      <c r="Z2367" s="4"/>
      <c r="AA2367" s="4"/>
      <c r="AB2367" s="4"/>
      <c r="AC2367" s="4"/>
      <c r="AD2367" s="4"/>
      <c r="AE2367" s="4"/>
      <c r="AF2367" s="4"/>
      <c r="AG2367" s="4"/>
      <c r="AH2367" s="4"/>
      <c r="AI2367" s="4"/>
      <c r="AJ2367" s="4"/>
      <c r="AK2367" s="4"/>
      <c r="AL2367" s="4"/>
      <c r="AM2367" s="4"/>
      <c r="AN2367" s="4"/>
      <c r="AO2367" s="4"/>
      <c r="AP2367" s="4"/>
      <c r="AQ2367" s="4"/>
      <c r="AR2367" s="4"/>
      <c r="AS2367" s="4"/>
      <c r="AT2367" s="4"/>
      <c r="AU2367" s="4"/>
      <c r="AV2367" s="4"/>
      <c r="AW2367" s="4"/>
      <c r="AX2367" s="4"/>
      <c r="AY2367" s="4"/>
      <c r="AZ2367" s="4"/>
      <c r="BA2367" s="4"/>
      <c r="BB2367" s="4"/>
      <c r="BC2367" s="4"/>
      <c r="BD2367" s="4"/>
      <c r="BE2367" s="4"/>
      <c r="BF2367" s="4"/>
      <c r="BG2367" s="4"/>
      <c r="BH2367" s="4"/>
      <c r="BI2367" s="4"/>
      <c r="BJ2367" s="4"/>
      <c r="BK2367" s="4"/>
      <c r="BL2367" s="4"/>
      <c r="BM2367" s="4"/>
      <c r="BN2367" s="4"/>
      <c r="BO2367" s="4"/>
      <c r="BP2367" s="4"/>
      <c r="BQ2367" s="4"/>
      <c r="BR2367" s="4"/>
      <c r="BS2367" s="4"/>
      <c r="BT2367" s="4"/>
      <c r="BU2367" s="4"/>
      <c r="BV2367" s="4"/>
      <c r="BW2367" s="4"/>
      <c r="BX2367" s="4"/>
      <c r="BY2367" s="4"/>
      <c r="BZ2367" s="4"/>
      <c r="CA2367" s="4"/>
      <c r="CB2367" s="4"/>
      <c r="CC2367" s="4"/>
      <c r="CD2367" s="4"/>
      <c r="CE2367" s="4"/>
      <c r="CF2367" s="4"/>
      <c r="CG2367" s="4"/>
      <c r="CH2367" s="4"/>
      <c r="CI2367" s="4"/>
      <c r="CJ2367" s="4"/>
      <c r="CK2367" s="4"/>
      <c r="CL2367" s="4"/>
      <c r="CM2367" s="4"/>
      <c r="CN2367" s="4"/>
      <c r="CO2367" s="4"/>
      <c r="CP2367" s="4"/>
      <c r="CQ2367" s="4"/>
      <c r="CR2367" s="4"/>
      <c r="CS2367" s="4"/>
      <c r="CT2367" s="4"/>
      <c r="CU2367" s="4"/>
      <c r="CV2367" s="4"/>
      <c r="CW2367" s="4"/>
      <c r="CX2367" s="4"/>
      <c r="CY2367" s="4"/>
      <c r="CZ2367" s="4"/>
      <c r="DA2367" s="4"/>
      <c r="DB2367" s="4"/>
      <c r="DC2367" s="4"/>
      <c r="DD2367" s="4"/>
      <c r="DE2367" s="4"/>
      <c r="DF2367" s="4"/>
      <c r="DG2367" s="4"/>
      <c r="DH2367" s="4"/>
      <c r="DI2367" s="4"/>
      <c r="DJ2367" s="4"/>
      <c r="DK2367" s="4"/>
      <c r="DL2367" s="4"/>
      <c r="DM2367" s="4"/>
      <c r="DN2367" s="4"/>
      <c r="DO2367" s="4"/>
      <c r="DP2367" s="4"/>
      <c r="DQ2367" s="4"/>
      <c r="DR2367" s="4"/>
      <c r="DS2367" s="4"/>
    </row>
    <row r="2368">
      <c r="A2368" s="4"/>
      <c r="B2368" s="4"/>
      <c r="C2368" s="4"/>
      <c r="D2368" s="4"/>
      <c r="E2368" s="4"/>
      <c r="F2368" s="4" t="s">
        <v>17</v>
      </c>
      <c r="G2368" s="15"/>
      <c r="H2368" s="4"/>
      <c r="I2368" s="4"/>
      <c r="J2368" s="4"/>
      <c r="K2368" s="4"/>
      <c r="L2368" s="4"/>
      <c r="M2368" s="4"/>
      <c r="N2368" s="4"/>
      <c r="O2368" s="4"/>
      <c r="P2368" s="4"/>
      <c r="Q2368" s="4"/>
      <c r="R2368" s="4"/>
      <c r="S2368" s="4"/>
      <c r="T2368" s="4"/>
      <c r="U2368" s="4"/>
      <c r="V2368" s="4"/>
      <c r="W2368" s="4"/>
      <c r="X2368" s="4"/>
      <c r="Y2368" s="4"/>
      <c r="Z2368" s="4"/>
      <c r="AA2368" s="4"/>
      <c r="AB2368" s="4"/>
      <c r="AC2368" s="4"/>
      <c r="AD2368" s="4"/>
      <c r="AE2368" s="4"/>
      <c r="AF2368" s="4"/>
      <c r="AG2368" s="4"/>
      <c r="AH2368" s="4"/>
      <c r="AI2368" s="4"/>
      <c r="AJ2368" s="4"/>
      <c r="AK2368" s="4"/>
      <c r="AL2368" s="4"/>
      <c r="AM2368" s="4"/>
      <c r="AN2368" s="4"/>
      <c r="AO2368" s="4"/>
      <c r="AP2368" s="4"/>
      <c r="AQ2368" s="4"/>
      <c r="AR2368" s="4"/>
      <c r="AS2368" s="4"/>
      <c r="AT2368" s="4"/>
      <c r="AU2368" s="4"/>
      <c r="AV2368" s="4"/>
      <c r="AW2368" s="4"/>
      <c r="AX2368" s="4"/>
      <c r="AY2368" s="4"/>
      <c r="AZ2368" s="4"/>
      <c r="BA2368" s="4"/>
      <c r="BB2368" s="4"/>
      <c r="BC2368" s="4"/>
      <c r="BD2368" s="4"/>
      <c r="BE2368" s="4"/>
      <c r="BF2368" s="4"/>
      <c r="BG2368" s="4"/>
      <c r="BH2368" s="4"/>
      <c r="BI2368" s="4"/>
      <c r="BJ2368" s="4"/>
      <c r="BK2368" s="4"/>
      <c r="BL2368" s="4"/>
      <c r="BM2368" s="4"/>
      <c r="BN2368" s="4"/>
      <c r="BO2368" s="4"/>
      <c r="BP2368" s="4"/>
      <c r="BQ2368" s="4"/>
      <c r="BR2368" s="4"/>
      <c r="BS2368" s="4"/>
      <c r="BT2368" s="4"/>
      <c r="BU2368" s="4"/>
      <c r="BV2368" s="4"/>
      <c r="BW2368" s="4"/>
      <c r="BX2368" s="4"/>
      <c r="BY2368" s="4"/>
      <c r="BZ2368" s="4"/>
      <c r="CA2368" s="4"/>
      <c r="CB2368" s="4"/>
      <c r="CC2368" s="4"/>
      <c r="CD2368" s="4"/>
      <c r="CE2368" s="4"/>
      <c r="CF2368" s="4"/>
      <c r="CG2368" s="4"/>
      <c r="CH2368" s="4"/>
      <c r="CI2368" s="4"/>
      <c r="CJ2368" s="4"/>
      <c r="CK2368" s="4"/>
      <c r="CL2368" s="4"/>
      <c r="CM2368" s="4"/>
      <c r="CN2368" s="4"/>
      <c r="CO2368" s="4"/>
      <c r="CP2368" s="4"/>
      <c r="CQ2368" s="4"/>
      <c r="CR2368" s="4"/>
      <c r="CS2368" s="4"/>
      <c r="CT2368" s="4"/>
      <c r="CU2368" s="4"/>
      <c r="CV2368" s="4"/>
      <c r="CW2368" s="4"/>
      <c r="CX2368" s="4"/>
      <c r="CY2368" s="4"/>
      <c r="CZ2368" s="4"/>
      <c r="DA2368" s="4"/>
      <c r="DB2368" s="4"/>
      <c r="DC2368" s="4"/>
      <c r="DD2368" s="4"/>
      <c r="DE2368" s="4"/>
      <c r="DF2368" s="4"/>
      <c r="DG2368" s="4"/>
      <c r="DH2368" s="4"/>
      <c r="DI2368" s="4"/>
      <c r="DJ2368" s="4"/>
      <c r="DK2368" s="4"/>
      <c r="DL2368" s="4"/>
      <c r="DM2368" s="4"/>
      <c r="DN2368" s="4"/>
      <c r="DO2368" s="4"/>
      <c r="DP2368" s="4"/>
      <c r="DQ2368" s="4"/>
      <c r="DR2368" s="4"/>
      <c r="DS2368" s="4"/>
    </row>
    <row r="2369">
      <c r="A2369" s="4"/>
      <c r="B2369" s="4"/>
      <c r="C2369" s="4"/>
      <c r="D2369" s="4"/>
      <c r="E2369" s="4"/>
      <c r="F2369" s="4" t="s">
        <v>17</v>
      </c>
      <c r="G2369" s="15"/>
      <c r="H2369" s="4"/>
      <c r="I2369" s="4"/>
      <c r="J2369" s="4"/>
      <c r="K2369" s="4"/>
      <c r="L2369" s="4"/>
      <c r="M2369" s="4"/>
      <c r="N2369" s="4"/>
      <c r="O2369" s="4"/>
      <c r="P2369" s="4"/>
      <c r="Q2369" s="4"/>
      <c r="R2369" s="4"/>
      <c r="S2369" s="4"/>
      <c r="T2369" s="4"/>
      <c r="U2369" s="4"/>
      <c r="V2369" s="4"/>
      <c r="W2369" s="4"/>
      <c r="X2369" s="4"/>
      <c r="Y2369" s="4"/>
      <c r="Z2369" s="4"/>
      <c r="AA2369" s="4"/>
      <c r="AB2369" s="4"/>
      <c r="AC2369" s="4"/>
      <c r="AD2369" s="4"/>
      <c r="AE2369" s="4"/>
      <c r="AF2369" s="4"/>
      <c r="AG2369" s="4"/>
      <c r="AH2369" s="4"/>
      <c r="AI2369" s="4"/>
      <c r="AJ2369" s="4"/>
      <c r="AK2369" s="4"/>
      <c r="AL2369" s="4"/>
      <c r="AM2369" s="4"/>
      <c r="AN2369" s="4"/>
      <c r="AO2369" s="4"/>
      <c r="AP2369" s="4"/>
      <c r="AQ2369" s="4"/>
      <c r="AR2369" s="4"/>
      <c r="AS2369" s="4"/>
      <c r="AT2369" s="4"/>
      <c r="AU2369" s="4"/>
      <c r="AV2369" s="4"/>
      <c r="AW2369" s="4"/>
      <c r="AX2369" s="4"/>
      <c r="AY2369" s="4"/>
      <c r="AZ2369" s="4"/>
      <c r="BA2369" s="4"/>
      <c r="BB2369" s="4"/>
      <c r="BC2369" s="4"/>
      <c r="BD2369" s="4"/>
      <c r="BE2369" s="4"/>
      <c r="BF2369" s="4"/>
      <c r="BG2369" s="4"/>
      <c r="BH2369" s="4"/>
      <c r="BI2369" s="4"/>
      <c r="BJ2369" s="4"/>
      <c r="BK2369" s="4"/>
      <c r="BL2369" s="4"/>
      <c r="BM2369" s="4"/>
      <c r="BN2369" s="4"/>
      <c r="BO2369" s="4"/>
      <c r="BP2369" s="4"/>
      <c r="BQ2369" s="4"/>
      <c r="BR2369" s="4"/>
      <c r="BS2369" s="4"/>
      <c r="BT2369" s="4"/>
      <c r="BU2369" s="4"/>
      <c r="BV2369" s="4"/>
      <c r="BW2369" s="4"/>
      <c r="BX2369" s="4"/>
      <c r="BY2369" s="4"/>
      <c r="BZ2369" s="4"/>
      <c r="CA2369" s="4"/>
      <c r="CB2369" s="4"/>
      <c r="CC2369" s="4"/>
      <c r="CD2369" s="4"/>
      <c r="CE2369" s="4"/>
      <c r="CF2369" s="4"/>
      <c r="CG2369" s="4"/>
      <c r="CH2369" s="4"/>
      <c r="CI2369" s="4"/>
      <c r="CJ2369" s="4"/>
      <c r="CK2369" s="4"/>
      <c r="CL2369" s="4"/>
      <c r="CM2369" s="4"/>
      <c r="CN2369" s="4"/>
      <c r="CO2369" s="4"/>
      <c r="CP2369" s="4"/>
      <c r="CQ2369" s="4"/>
      <c r="CR2369" s="4"/>
      <c r="CS2369" s="4"/>
      <c r="CT2369" s="4"/>
      <c r="CU2369" s="4"/>
      <c r="CV2369" s="4"/>
      <c r="CW2369" s="4"/>
      <c r="CX2369" s="4"/>
      <c r="CY2369" s="4"/>
      <c r="CZ2369" s="4"/>
      <c r="DA2369" s="4"/>
      <c r="DB2369" s="4"/>
      <c r="DC2369" s="4"/>
      <c r="DD2369" s="4"/>
      <c r="DE2369" s="4"/>
      <c r="DF2369" s="4"/>
      <c r="DG2369" s="4"/>
      <c r="DH2369" s="4"/>
      <c r="DI2369" s="4"/>
      <c r="DJ2369" s="4"/>
      <c r="DK2369" s="4"/>
      <c r="DL2369" s="4"/>
      <c r="DM2369" s="4"/>
      <c r="DN2369" s="4"/>
      <c r="DO2369" s="4"/>
      <c r="DP2369" s="4"/>
      <c r="DQ2369" s="4"/>
      <c r="DR2369" s="4"/>
      <c r="DS2369" s="4"/>
    </row>
    <row r="2370">
      <c r="A2370" s="4"/>
      <c r="B2370" s="4"/>
      <c r="C2370" s="4"/>
      <c r="D2370" s="4"/>
      <c r="E2370" s="4"/>
      <c r="F2370" s="4" t="s">
        <v>17</v>
      </c>
      <c r="G2370" s="15"/>
      <c r="H2370" s="4"/>
      <c r="I2370" s="4"/>
      <c r="J2370" s="4"/>
      <c r="K2370" s="4"/>
      <c r="L2370" s="4"/>
      <c r="M2370" s="4"/>
      <c r="N2370" s="4"/>
      <c r="O2370" s="4"/>
      <c r="P2370" s="4"/>
      <c r="Q2370" s="4"/>
      <c r="R2370" s="4"/>
      <c r="S2370" s="4"/>
      <c r="T2370" s="4"/>
      <c r="U2370" s="4"/>
      <c r="V2370" s="4"/>
      <c r="W2370" s="4"/>
      <c r="X2370" s="4"/>
      <c r="Y2370" s="4"/>
      <c r="Z2370" s="4"/>
      <c r="AA2370" s="4"/>
      <c r="AB2370" s="4"/>
      <c r="AC2370" s="4"/>
      <c r="AD2370" s="4"/>
      <c r="AE2370" s="4"/>
      <c r="AF2370" s="4"/>
      <c r="AG2370" s="4"/>
      <c r="AH2370" s="4"/>
      <c r="AI2370" s="4"/>
      <c r="AJ2370" s="4"/>
      <c r="AK2370" s="4"/>
      <c r="AL2370" s="4"/>
      <c r="AM2370" s="4"/>
      <c r="AN2370" s="4"/>
      <c r="AO2370" s="4"/>
      <c r="AP2370" s="4"/>
      <c r="AQ2370" s="4"/>
      <c r="AR2370" s="4"/>
      <c r="AS2370" s="4"/>
      <c r="AT2370" s="4"/>
      <c r="AU2370" s="4"/>
      <c r="AV2370" s="4"/>
      <c r="AW2370" s="4"/>
      <c r="AX2370" s="4"/>
      <c r="AY2370" s="4"/>
      <c r="AZ2370" s="4"/>
      <c r="BA2370" s="4"/>
      <c r="BB2370" s="4"/>
      <c r="BC2370" s="4"/>
      <c r="BD2370" s="4"/>
      <c r="BE2370" s="4"/>
      <c r="BF2370" s="4"/>
      <c r="BG2370" s="4"/>
      <c r="BH2370" s="4"/>
      <c r="BI2370" s="4"/>
      <c r="BJ2370" s="4"/>
      <c r="BK2370" s="4"/>
      <c r="BL2370" s="4"/>
      <c r="BM2370" s="4"/>
      <c r="BN2370" s="4"/>
      <c r="BO2370" s="4"/>
      <c r="BP2370" s="4"/>
      <c r="BQ2370" s="4"/>
      <c r="BR2370" s="4"/>
      <c r="BS2370" s="4"/>
      <c r="BT2370" s="4"/>
      <c r="BU2370" s="4"/>
      <c r="BV2370" s="4"/>
      <c r="BW2370" s="4"/>
      <c r="BX2370" s="4"/>
      <c r="BY2370" s="4"/>
      <c r="BZ2370" s="4"/>
      <c r="CA2370" s="4"/>
      <c r="CB2370" s="4"/>
      <c r="CC2370" s="4"/>
      <c r="CD2370" s="4"/>
      <c r="CE2370" s="4"/>
      <c r="CF2370" s="4"/>
      <c r="CG2370" s="4"/>
      <c r="CH2370" s="4"/>
      <c r="CI2370" s="4"/>
      <c r="CJ2370" s="4"/>
      <c r="CK2370" s="4"/>
      <c r="CL2370" s="4"/>
      <c r="CM2370" s="4"/>
      <c r="CN2370" s="4"/>
      <c r="CO2370" s="4"/>
      <c r="CP2370" s="4"/>
      <c r="CQ2370" s="4"/>
      <c r="CR2370" s="4"/>
      <c r="CS2370" s="4"/>
      <c r="CT2370" s="4"/>
      <c r="CU2370" s="4"/>
      <c r="CV2370" s="4"/>
      <c r="CW2370" s="4"/>
      <c r="CX2370" s="4"/>
      <c r="CY2370" s="4"/>
      <c r="CZ2370" s="4"/>
      <c r="DA2370" s="4"/>
      <c r="DB2370" s="4"/>
      <c r="DC2370" s="4"/>
      <c r="DD2370" s="4"/>
      <c r="DE2370" s="4"/>
      <c r="DF2370" s="4"/>
      <c r="DG2370" s="4"/>
      <c r="DH2370" s="4"/>
      <c r="DI2370" s="4"/>
      <c r="DJ2370" s="4"/>
      <c r="DK2370" s="4"/>
      <c r="DL2370" s="4"/>
      <c r="DM2370" s="4"/>
      <c r="DN2370" s="4"/>
      <c r="DO2370" s="4"/>
      <c r="DP2370" s="4"/>
      <c r="DQ2370" s="4"/>
      <c r="DR2370" s="4"/>
      <c r="DS2370" s="4"/>
    </row>
    <row r="2371">
      <c r="A2371" s="4"/>
      <c r="B2371" s="4"/>
      <c r="C2371" s="4"/>
      <c r="D2371" s="4"/>
      <c r="E2371" s="4"/>
      <c r="F2371" s="4" t="s">
        <v>17</v>
      </c>
      <c r="G2371" s="15"/>
      <c r="H2371" s="4"/>
      <c r="I2371" s="4"/>
      <c r="J2371" s="4"/>
      <c r="K2371" s="4"/>
      <c r="L2371" s="4"/>
      <c r="M2371" s="4"/>
      <c r="N2371" s="4"/>
      <c r="O2371" s="4"/>
      <c r="P2371" s="4"/>
      <c r="Q2371" s="4"/>
      <c r="R2371" s="4"/>
      <c r="S2371" s="4"/>
      <c r="T2371" s="4"/>
      <c r="U2371" s="4"/>
      <c r="V2371" s="4"/>
      <c r="W2371" s="4"/>
      <c r="X2371" s="4"/>
      <c r="Y2371" s="4"/>
      <c r="Z2371" s="4"/>
      <c r="AA2371" s="4"/>
      <c r="AB2371" s="4"/>
      <c r="AC2371" s="4"/>
      <c r="AD2371" s="4"/>
      <c r="AE2371" s="4"/>
      <c r="AF2371" s="4"/>
      <c r="AG2371" s="4"/>
      <c r="AH2371" s="4"/>
      <c r="AI2371" s="4"/>
      <c r="AJ2371" s="4"/>
      <c r="AK2371" s="4"/>
      <c r="AL2371" s="4"/>
      <c r="AM2371" s="4"/>
      <c r="AN2371" s="4"/>
      <c r="AO2371" s="4"/>
      <c r="AP2371" s="4"/>
      <c r="AQ2371" s="4"/>
      <c r="AR2371" s="4"/>
      <c r="AS2371" s="4"/>
      <c r="AT2371" s="4"/>
      <c r="AU2371" s="4"/>
      <c r="AV2371" s="4"/>
      <c r="AW2371" s="4"/>
      <c r="AX2371" s="4"/>
      <c r="AY2371" s="4"/>
      <c r="AZ2371" s="4"/>
      <c r="BA2371" s="4"/>
      <c r="BB2371" s="4"/>
      <c r="BC2371" s="4"/>
      <c r="BD2371" s="4"/>
      <c r="BE2371" s="4"/>
      <c r="BF2371" s="4"/>
      <c r="BG2371" s="4"/>
      <c r="BH2371" s="4"/>
      <c r="BI2371" s="4"/>
      <c r="BJ2371" s="4"/>
      <c r="BK2371" s="4"/>
      <c r="BL2371" s="4"/>
      <c r="BM2371" s="4"/>
      <c r="BN2371" s="4"/>
      <c r="BO2371" s="4"/>
      <c r="BP2371" s="4"/>
      <c r="BQ2371" s="4"/>
      <c r="BR2371" s="4"/>
      <c r="BS2371" s="4"/>
      <c r="BT2371" s="4"/>
      <c r="BU2371" s="4"/>
      <c r="BV2371" s="4"/>
      <c r="BW2371" s="4"/>
      <c r="BX2371" s="4"/>
      <c r="BY2371" s="4"/>
      <c r="BZ2371" s="4"/>
      <c r="CA2371" s="4"/>
      <c r="CB2371" s="4"/>
      <c r="CC2371" s="4"/>
      <c r="CD2371" s="4"/>
      <c r="CE2371" s="4"/>
      <c r="CF2371" s="4"/>
      <c r="CG2371" s="4"/>
      <c r="CH2371" s="4"/>
      <c r="CI2371" s="4"/>
      <c r="CJ2371" s="4"/>
      <c r="CK2371" s="4"/>
      <c r="CL2371" s="4"/>
      <c r="CM2371" s="4"/>
      <c r="CN2371" s="4"/>
      <c r="CO2371" s="4"/>
      <c r="CP2371" s="4"/>
      <c r="CQ2371" s="4"/>
      <c r="CR2371" s="4"/>
      <c r="CS2371" s="4"/>
      <c r="CT2371" s="4"/>
      <c r="CU2371" s="4"/>
      <c r="CV2371" s="4"/>
      <c r="CW2371" s="4"/>
      <c r="CX2371" s="4"/>
      <c r="CY2371" s="4"/>
      <c r="CZ2371" s="4"/>
      <c r="DA2371" s="4"/>
      <c r="DB2371" s="4"/>
      <c r="DC2371" s="4"/>
      <c r="DD2371" s="4"/>
      <c r="DE2371" s="4"/>
      <c r="DF2371" s="4"/>
      <c r="DG2371" s="4"/>
      <c r="DH2371" s="4"/>
      <c r="DI2371" s="4"/>
      <c r="DJ2371" s="4"/>
      <c r="DK2371" s="4"/>
      <c r="DL2371" s="4"/>
      <c r="DM2371" s="4"/>
      <c r="DN2371" s="4"/>
      <c r="DO2371" s="4"/>
      <c r="DP2371" s="4"/>
      <c r="DQ2371" s="4"/>
      <c r="DR2371" s="4"/>
      <c r="DS2371" s="4"/>
    </row>
    <row r="2372">
      <c r="A2372" s="4"/>
      <c r="B2372" s="4"/>
      <c r="C2372" s="4"/>
      <c r="D2372" s="4"/>
      <c r="E2372" s="4"/>
      <c r="F2372" s="4" t="s">
        <v>17</v>
      </c>
      <c r="G2372" s="15"/>
      <c r="H2372" s="4"/>
      <c r="I2372" s="4"/>
      <c r="J2372" s="4"/>
      <c r="K2372" s="4"/>
      <c r="L2372" s="4"/>
      <c r="M2372" s="4"/>
      <c r="N2372" s="4"/>
      <c r="O2372" s="4"/>
      <c r="P2372" s="4"/>
      <c r="Q2372" s="4"/>
      <c r="R2372" s="4"/>
      <c r="S2372" s="4"/>
      <c r="T2372" s="4"/>
      <c r="U2372" s="4"/>
      <c r="V2372" s="4"/>
      <c r="W2372" s="4"/>
      <c r="X2372" s="4"/>
      <c r="Y2372" s="4"/>
      <c r="Z2372" s="4"/>
      <c r="AA2372" s="4"/>
      <c r="AB2372" s="4"/>
      <c r="AC2372" s="4"/>
      <c r="AD2372" s="4"/>
      <c r="AE2372" s="4"/>
      <c r="AF2372" s="4"/>
      <c r="AG2372" s="4"/>
      <c r="AH2372" s="4"/>
      <c r="AI2372" s="4"/>
      <c r="AJ2372" s="4"/>
      <c r="AK2372" s="4"/>
      <c r="AL2372" s="4"/>
      <c r="AM2372" s="4"/>
      <c r="AN2372" s="4"/>
      <c r="AO2372" s="4"/>
      <c r="AP2372" s="4"/>
      <c r="AQ2372" s="4"/>
      <c r="AR2372" s="4"/>
      <c r="AS2372" s="4"/>
      <c r="AT2372" s="4"/>
      <c r="AU2372" s="4"/>
      <c r="AV2372" s="4"/>
      <c r="AW2372" s="4"/>
      <c r="AX2372" s="4"/>
      <c r="AY2372" s="4"/>
      <c r="AZ2372" s="4"/>
      <c r="BA2372" s="4"/>
      <c r="BB2372" s="4"/>
      <c r="BC2372" s="4"/>
      <c r="BD2372" s="4"/>
      <c r="BE2372" s="4"/>
      <c r="BF2372" s="4"/>
      <c r="BG2372" s="4"/>
      <c r="BH2372" s="4"/>
      <c r="BI2372" s="4"/>
      <c r="BJ2372" s="4"/>
      <c r="BK2372" s="4"/>
      <c r="BL2372" s="4"/>
      <c r="BM2372" s="4"/>
      <c r="BN2372" s="4"/>
      <c r="BO2372" s="4"/>
      <c r="BP2372" s="4"/>
      <c r="BQ2372" s="4"/>
      <c r="BR2372" s="4"/>
      <c r="BS2372" s="4"/>
      <c r="BT2372" s="4"/>
      <c r="BU2372" s="4"/>
      <c r="BV2372" s="4"/>
      <c r="BW2372" s="4"/>
      <c r="BX2372" s="4"/>
      <c r="BY2372" s="4"/>
      <c r="BZ2372" s="4"/>
      <c r="CA2372" s="4"/>
      <c r="CB2372" s="4"/>
      <c r="CC2372" s="4"/>
      <c r="CD2372" s="4"/>
      <c r="CE2372" s="4"/>
      <c r="CF2372" s="4"/>
      <c r="CG2372" s="4"/>
      <c r="CH2372" s="4"/>
      <c r="CI2372" s="4"/>
      <c r="CJ2372" s="4"/>
      <c r="CK2372" s="4"/>
      <c r="CL2372" s="4"/>
      <c r="CM2372" s="4"/>
      <c r="CN2372" s="4"/>
      <c r="CO2372" s="4"/>
      <c r="CP2372" s="4"/>
      <c r="CQ2372" s="4"/>
      <c r="CR2372" s="4"/>
      <c r="CS2372" s="4"/>
      <c r="CT2372" s="4"/>
      <c r="CU2372" s="4"/>
      <c r="CV2372" s="4"/>
      <c r="CW2372" s="4"/>
      <c r="CX2372" s="4"/>
      <c r="CY2372" s="4"/>
      <c r="CZ2372" s="4"/>
      <c r="DA2372" s="4"/>
      <c r="DB2372" s="4"/>
      <c r="DC2372" s="4"/>
      <c r="DD2372" s="4"/>
      <c r="DE2372" s="4"/>
      <c r="DF2372" s="4"/>
      <c r="DG2372" s="4"/>
      <c r="DH2372" s="4"/>
      <c r="DI2372" s="4"/>
      <c r="DJ2372" s="4"/>
      <c r="DK2372" s="4"/>
      <c r="DL2372" s="4"/>
      <c r="DM2372" s="4"/>
      <c r="DN2372" s="4"/>
      <c r="DO2372" s="4"/>
      <c r="DP2372" s="4"/>
      <c r="DQ2372" s="4"/>
      <c r="DR2372" s="4"/>
      <c r="DS2372" s="4"/>
    </row>
    <row r="2373">
      <c r="A2373" s="4"/>
      <c r="B2373" s="4"/>
      <c r="C2373" s="4"/>
      <c r="D2373" s="4"/>
      <c r="E2373" s="4"/>
      <c r="F2373" s="4" t="s">
        <v>17</v>
      </c>
      <c r="G2373" s="15"/>
      <c r="H2373" s="4"/>
      <c r="I2373" s="4"/>
      <c r="J2373" s="4"/>
      <c r="K2373" s="4"/>
      <c r="L2373" s="4"/>
      <c r="M2373" s="4"/>
      <c r="N2373" s="4"/>
      <c r="O2373" s="4"/>
      <c r="P2373" s="4"/>
      <c r="Q2373" s="4"/>
      <c r="R2373" s="4"/>
      <c r="S2373" s="4"/>
      <c r="T2373" s="4"/>
      <c r="U2373" s="4"/>
      <c r="V2373" s="4"/>
      <c r="W2373" s="4"/>
      <c r="X2373" s="4"/>
      <c r="Y2373" s="4"/>
      <c r="Z2373" s="4"/>
      <c r="AA2373" s="4"/>
      <c r="AB2373" s="4"/>
      <c r="AC2373" s="4"/>
      <c r="AD2373" s="4"/>
      <c r="AE2373" s="4"/>
      <c r="AF2373" s="4"/>
      <c r="AG2373" s="4"/>
      <c r="AH2373" s="4"/>
      <c r="AI2373" s="4"/>
      <c r="AJ2373" s="4"/>
      <c r="AK2373" s="4"/>
      <c r="AL2373" s="4"/>
      <c r="AM2373" s="4"/>
      <c r="AN2373" s="4"/>
      <c r="AO2373" s="4"/>
      <c r="AP2373" s="4"/>
      <c r="AQ2373" s="4"/>
      <c r="AR2373" s="4"/>
      <c r="AS2373" s="4"/>
      <c r="AT2373" s="4"/>
      <c r="AU2373" s="4"/>
      <c r="AV2373" s="4"/>
      <c r="AW2373" s="4"/>
      <c r="AX2373" s="4"/>
      <c r="AY2373" s="4"/>
      <c r="AZ2373" s="4"/>
      <c r="BA2373" s="4"/>
      <c r="BB2373" s="4"/>
      <c r="BC2373" s="4"/>
      <c r="BD2373" s="4"/>
      <c r="BE2373" s="4"/>
      <c r="BF2373" s="4"/>
      <c r="BG2373" s="4"/>
      <c r="BH2373" s="4"/>
      <c r="BI2373" s="4"/>
      <c r="BJ2373" s="4"/>
      <c r="BK2373" s="4"/>
      <c r="BL2373" s="4"/>
      <c r="BM2373" s="4"/>
      <c r="BN2373" s="4"/>
      <c r="BO2373" s="4"/>
      <c r="BP2373" s="4"/>
      <c r="BQ2373" s="4"/>
      <c r="BR2373" s="4"/>
      <c r="BS2373" s="4"/>
      <c r="BT2373" s="4"/>
      <c r="BU2373" s="4"/>
      <c r="BV2373" s="4"/>
      <c r="BW2373" s="4"/>
      <c r="BX2373" s="4"/>
      <c r="BY2373" s="4"/>
      <c r="BZ2373" s="4"/>
      <c r="CA2373" s="4"/>
      <c r="CB2373" s="4"/>
      <c r="CC2373" s="4"/>
      <c r="CD2373" s="4"/>
      <c r="CE2373" s="4"/>
      <c r="CF2373" s="4"/>
      <c r="CG2373" s="4"/>
      <c r="CH2373" s="4"/>
      <c r="CI2373" s="4"/>
      <c r="CJ2373" s="4"/>
      <c r="CK2373" s="4"/>
      <c r="CL2373" s="4"/>
      <c r="CM2373" s="4"/>
      <c r="CN2373" s="4"/>
      <c r="CO2373" s="4"/>
      <c r="CP2373" s="4"/>
      <c r="CQ2373" s="4"/>
      <c r="CR2373" s="4"/>
      <c r="CS2373" s="4"/>
      <c r="CT2373" s="4"/>
      <c r="CU2373" s="4"/>
      <c r="CV2373" s="4"/>
      <c r="CW2373" s="4"/>
      <c r="CX2373" s="4"/>
      <c r="CY2373" s="4"/>
      <c r="CZ2373" s="4"/>
      <c r="DA2373" s="4"/>
      <c r="DB2373" s="4"/>
      <c r="DC2373" s="4"/>
      <c r="DD2373" s="4"/>
      <c r="DE2373" s="4"/>
      <c r="DF2373" s="4"/>
      <c r="DG2373" s="4"/>
      <c r="DH2373" s="4"/>
      <c r="DI2373" s="4"/>
      <c r="DJ2373" s="4"/>
      <c r="DK2373" s="4"/>
      <c r="DL2373" s="4"/>
      <c r="DM2373" s="4"/>
      <c r="DN2373" s="4"/>
      <c r="DO2373" s="4"/>
      <c r="DP2373" s="4"/>
      <c r="DQ2373" s="4"/>
      <c r="DR2373" s="4"/>
      <c r="DS2373" s="4"/>
    </row>
    <row r="2374">
      <c r="A2374" s="4"/>
      <c r="B2374" s="4"/>
      <c r="C2374" s="4"/>
      <c r="D2374" s="4"/>
      <c r="E2374" s="4"/>
      <c r="F2374" s="4" t="s">
        <v>17</v>
      </c>
      <c r="G2374" s="15"/>
      <c r="H2374" s="4"/>
      <c r="I2374" s="4"/>
      <c r="J2374" s="4"/>
      <c r="K2374" s="4"/>
      <c r="L2374" s="4"/>
      <c r="M2374" s="4"/>
      <c r="N2374" s="4"/>
      <c r="O2374" s="4"/>
      <c r="P2374" s="4"/>
      <c r="Q2374" s="4"/>
      <c r="R2374" s="4"/>
      <c r="S2374" s="4"/>
      <c r="T2374" s="4"/>
      <c r="U2374" s="4"/>
      <c r="V2374" s="4"/>
      <c r="W2374" s="4"/>
      <c r="X2374" s="4"/>
      <c r="Y2374" s="4"/>
      <c r="Z2374" s="4"/>
      <c r="AA2374" s="4"/>
      <c r="AB2374" s="4"/>
      <c r="AC2374" s="4"/>
      <c r="AD2374" s="4"/>
      <c r="AE2374" s="4"/>
      <c r="AF2374" s="4"/>
      <c r="AG2374" s="4"/>
      <c r="AH2374" s="4"/>
      <c r="AI2374" s="4"/>
      <c r="AJ2374" s="4"/>
      <c r="AK2374" s="4"/>
      <c r="AL2374" s="4"/>
      <c r="AM2374" s="4"/>
      <c r="AN2374" s="4"/>
      <c r="AO2374" s="4"/>
      <c r="AP2374" s="4"/>
      <c r="AQ2374" s="4"/>
      <c r="AR2374" s="4"/>
      <c r="AS2374" s="4"/>
      <c r="AT2374" s="4"/>
      <c r="AU2374" s="4"/>
      <c r="AV2374" s="4"/>
      <c r="AW2374" s="4"/>
      <c r="AX2374" s="4"/>
      <c r="AY2374" s="4"/>
      <c r="AZ2374" s="4"/>
      <c r="BA2374" s="4"/>
      <c r="BB2374" s="4"/>
      <c r="BC2374" s="4"/>
      <c r="BD2374" s="4"/>
      <c r="BE2374" s="4"/>
      <c r="BF2374" s="4"/>
      <c r="BG2374" s="4"/>
      <c r="BH2374" s="4"/>
      <c r="BI2374" s="4"/>
      <c r="BJ2374" s="4"/>
      <c r="BK2374" s="4"/>
      <c r="BL2374" s="4"/>
      <c r="BM2374" s="4"/>
      <c r="BN2374" s="4"/>
      <c r="BO2374" s="4"/>
      <c r="BP2374" s="4"/>
      <c r="BQ2374" s="4"/>
      <c r="BR2374" s="4"/>
      <c r="BS2374" s="4"/>
      <c r="BT2374" s="4"/>
      <c r="BU2374" s="4"/>
      <c r="BV2374" s="4"/>
      <c r="BW2374" s="4"/>
      <c r="BX2374" s="4"/>
      <c r="BY2374" s="4"/>
      <c r="BZ2374" s="4"/>
      <c r="CA2374" s="4"/>
      <c r="CB2374" s="4"/>
      <c r="CC2374" s="4"/>
      <c r="CD2374" s="4"/>
      <c r="CE2374" s="4"/>
      <c r="CF2374" s="4"/>
      <c r="CG2374" s="4"/>
      <c r="CH2374" s="4"/>
      <c r="CI2374" s="4"/>
      <c r="CJ2374" s="4"/>
      <c r="CK2374" s="4"/>
      <c r="CL2374" s="4"/>
      <c r="CM2374" s="4"/>
      <c r="CN2374" s="4"/>
      <c r="CO2374" s="4"/>
      <c r="CP2374" s="4"/>
      <c r="CQ2374" s="4"/>
      <c r="CR2374" s="4"/>
      <c r="CS2374" s="4"/>
      <c r="CT2374" s="4"/>
      <c r="CU2374" s="4"/>
      <c r="CV2374" s="4"/>
      <c r="CW2374" s="4"/>
      <c r="CX2374" s="4"/>
      <c r="CY2374" s="4"/>
      <c r="CZ2374" s="4"/>
      <c r="DA2374" s="4"/>
      <c r="DB2374" s="4"/>
      <c r="DC2374" s="4"/>
      <c r="DD2374" s="4"/>
      <c r="DE2374" s="4"/>
      <c r="DF2374" s="4"/>
      <c r="DG2374" s="4"/>
      <c r="DH2374" s="4"/>
      <c r="DI2374" s="4"/>
      <c r="DJ2374" s="4"/>
      <c r="DK2374" s="4"/>
      <c r="DL2374" s="4"/>
      <c r="DM2374" s="4"/>
      <c r="DN2374" s="4"/>
      <c r="DO2374" s="4"/>
      <c r="DP2374" s="4"/>
      <c r="DQ2374" s="4"/>
      <c r="DR2374" s="4"/>
      <c r="DS2374" s="4"/>
    </row>
    <row r="2375">
      <c r="A2375" s="4"/>
      <c r="B2375" s="4"/>
      <c r="C2375" s="4"/>
      <c r="D2375" s="4"/>
      <c r="E2375" s="4"/>
      <c r="F2375" s="4" t="s">
        <v>17</v>
      </c>
      <c r="G2375" s="15"/>
      <c r="H2375" s="4"/>
      <c r="I2375" s="4"/>
      <c r="J2375" s="4"/>
      <c r="K2375" s="4"/>
      <c r="L2375" s="4"/>
      <c r="M2375" s="4"/>
      <c r="N2375" s="4"/>
      <c r="O2375" s="4"/>
      <c r="P2375" s="4"/>
      <c r="Q2375" s="4"/>
      <c r="R2375" s="4"/>
      <c r="S2375" s="4"/>
      <c r="T2375" s="4"/>
      <c r="U2375" s="4"/>
      <c r="V2375" s="4"/>
      <c r="W2375" s="4"/>
      <c r="X2375" s="4"/>
      <c r="Y2375" s="4"/>
      <c r="Z2375" s="4"/>
      <c r="AA2375" s="4"/>
      <c r="AB2375" s="4"/>
      <c r="AC2375" s="4"/>
      <c r="AD2375" s="4"/>
      <c r="AE2375" s="4"/>
      <c r="AF2375" s="4"/>
      <c r="AG2375" s="4"/>
      <c r="AH2375" s="4"/>
      <c r="AI2375" s="4"/>
      <c r="AJ2375" s="4"/>
      <c r="AK2375" s="4"/>
      <c r="AL2375" s="4"/>
      <c r="AM2375" s="4"/>
      <c r="AN2375" s="4"/>
      <c r="AO2375" s="4"/>
      <c r="AP2375" s="4"/>
      <c r="AQ2375" s="4"/>
      <c r="AR2375" s="4"/>
      <c r="AS2375" s="4"/>
      <c r="AT2375" s="4"/>
      <c r="AU2375" s="4"/>
      <c r="AV2375" s="4"/>
      <c r="AW2375" s="4"/>
      <c r="AX2375" s="4"/>
      <c r="AY2375" s="4"/>
      <c r="AZ2375" s="4"/>
      <c r="BA2375" s="4"/>
      <c r="BB2375" s="4"/>
      <c r="BC2375" s="4"/>
      <c r="BD2375" s="4"/>
      <c r="BE2375" s="4"/>
      <c r="BF2375" s="4"/>
      <c r="BG2375" s="4"/>
      <c r="BH2375" s="4"/>
      <c r="BI2375" s="4"/>
      <c r="BJ2375" s="4"/>
      <c r="BK2375" s="4"/>
      <c r="BL2375" s="4"/>
      <c r="BM2375" s="4"/>
      <c r="BN2375" s="4"/>
      <c r="BO2375" s="4"/>
      <c r="BP2375" s="4"/>
      <c r="BQ2375" s="4"/>
      <c r="BR2375" s="4"/>
      <c r="BS2375" s="4"/>
      <c r="BT2375" s="4"/>
      <c r="BU2375" s="4"/>
      <c r="BV2375" s="4"/>
      <c r="BW2375" s="4"/>
      <c r="BX2375" s="4"/>
      <c r="BY2375" s="4"/>
      <c r="BZ2375" s="4"/>
      <c r="CA2375" s="4"/>
      <c r="CB2375" s="4"/>
      <c r="CC2375" s="4"/>
      <c r="CD2375" s="4"/>
      <c r="CE2375" s="4"/>
      <c r="CF2375" s="4"/>
      <c r="CG2375" s="4"/>
      <c r="CH2375" s="4"/>
      <c r="CI2375" s="4"/>
      <c r="CJ2375" s="4"/>
      <c r="CK2375" s="4"/>
      <c r="CL2375" s="4"/>
      <c r="CM2375" s="4"/>
      <c r="CN2375" s="4"/>
      <c r="CO2375" s="4"/>
      <c r="CP2375" s="4"/>
      <c r="CQ2375" s="4"/>
      <c r="CR2375" s="4"/>
      <c r="CS2375" s="4"/>
      <c r="CT2375" s="4"/>
      <c r="CU2375" s="4"/>
      <c r="CV2375" s="4"/>
      <c r="CW2375" s="4"/>
      <c r="CX2375" s="4"/>
      <c r="CY2375" s="4"/>
      <c r="CZ2375" s="4"/>
      <c r="DA2375" s="4"/>
      <c r="DB2375" s="4"/>
      <c r="DC2375" s="4"/>
      <c r="DD2375" s="4"/>
      <c r="DE2375" s="4"/>
      <c r="DF2375" s="4"/>
      <c r="DG2375" s="4"/>
      <c r="DH2375" s="4"/>
      <c r="DI2375" s="4"/>
      <c r="DJ2375" s="4"/>
      <c r="DK2375" s="4"/>
      <c r="DL2375" s="4"/>
      <c r="DM2375" s="4"/>
      <c r="DN2375" s="4"/>
      <c r="DO2375" s="4"/>
      <c r="DP2375" s="4"/>
      <c r="DQ2375" s="4"/>
      <c r="DR2375" s="4"/>
      <c r="DS2375" s="4"/>
    </row>
    <row r="2376">
      <c r="A2376" s="4"/>
      <c r="B2376" s="4"/>
      <c r="C2376" s="4"/>
      <c r="D2376" s="4"/>
      <c r="E2376" s="4"/>
      <c r="F2376" s="4" t="s">
        <v>17</v>
      </c>
      <c r="G2376" s="15"/>
      <c r="H2376" s="4"/>
      <c r="I2376" s="4"/>
      <c r="J2376" s="4"/>
      <c r="K2376" s="4"/>
      <c r="L2376" s="4"/>
      <c r="M2376" s="4"/>
      <c r="N2376" s="4"/>
      <c r="O2376" s="4"/>
      <c r="P2376" s="4"/>
      <c r="Q2376" s="4"/>
      <c r="R2376" s="4"/>
      <c r="S2376" s="4"/>
      <c r="T2376" s="4"/>
      <c r="U2376" s="4"/>
      <c r="V2376" s="4"/>
      <c r="W2376" s="4"/>
      <c r="X2376" s="4"/>
      <c r="Y2376" s="4"/>
      <c r="Z2376" s="4"/>
      <c r="AA2376" s="4"/>
      <c r="AB2376" s="4"/>
      <c r="AC2376" s="4"/>
      <c r="AD2376" s="4"/>
      <c r="AE2376" s="4"/>
      <c r="AF2376" s="4"/>
      <c r="AG2376" s="4"/>
      <c r="AH2376" s="4"/>
      <c r="AI2376" s="4"/>
      <c r="AJ2376" s="4"/>
      <c r="AK2376" s="4"/>
      <c r="AL2376" s="4"/>
      <c r="AM2376" s="4"/>
      <c r="AN2376" s="4"/>
      <c r="AO2376" s="4"/>
      <c r="AP2376" s="4"/>
      <c r="AQ2376" s="4"/>
      <c r="AR2376" s="4"/>
      <c r="AS2376" s="4"/>
      <c r="AT2376" s="4"/>
      <c r="AU2376" s="4"/>
      <c r="AV2376" s="4"/>
      <c r="AW2376" s="4"/>
      <c r="AX2376" s="4"/>
      <c r="AY2376" s="4"/>
      <c r="AZ2376" s="4"/>
      <c r="BA2376" s="4"/>
      <c r="BB2376" s="4"/>
      <c r="BC2376" s="4"/>
      <c r="BD2376" s="4"/>
      <c r="BE2376" s="4"/>
      <c r="BF2376" s="4"/>
      <c r="BG2376" s="4"/>
      <c r="BH2376" s="4"/>
      <c r="BI2376" s="4"/>
      <c r="BJ2376" s="4"/>
      <c r="BK2376" s="4"/>
      <c r="BL2376" s="4"/>
      <c r="BM2376" s="4"/>
      <c r="BN2376" s="4"/>
      <c r="BO2376" s="4"/>
      <c r="BP2376" s="4"/>
      <c r="BQ2376" s="4"/>
      <c r="BR2376" s="4"/>
      <c r="BS2376" s="4"/>
      <c r="BT2376" s="4"/>
      <c r="BU2376" s="4"/>
      <c r="BV2376" s="4"/>
      <c r="BW2376" s="4"/>
      <c r="BX2376" s="4"/>
      <c r="BY2376" s="4"/>
      <c r="BZ2376" s="4"/>
      <c r="CA2376" s="4"/>
      <c r="CB2376" s="4"/>
      <c r="CC2376" s="4"/>
      <c r="CD2376" s="4"/>
      <c r="CE2376" s="4"/>
      <c r="CF2376" s="4"/>
      <c r="CG2376" s="4"/>
      <c r="CH2376" s="4"/>
      <c r="CI2376" s="4"/>
      <c r="CJ2376" s="4"/>
      <c r="CK2376" s="4"/>
      <c r="CL2376" s="4"/>
      <c r="CM2376" s="4"/>
      <c r="CN2376" s="4"/>
      <c r="CO2376" s="4"/>
      <c r="CP2376" s="4"/>
      <c r="CQ2376" s="4"/>
      <c r="CR2376" s="4"/>
      <c r="CS2376" s="4"/>
      <c r="CT2376" s="4"/>
      <c r="CU2376" s="4"/>
      <c r="CV2376" s="4"/>
      <c r="CW2376" s="4"/>
      <c r="CX2376" s="4"/>
      <c r="CY2376" s="4"/>
      <c r="CZ2376" s="4"/>
      <c r="DA2376" s="4"/>
      <c r="DB2376" s="4"/>
      <c r="DC2376" s="4"/>
      <c r="DD2376" s="4"/>
      <c r="DE2376" s="4"/>
      <c r="DF2376" s="4"/>
      <c r="DG2376" s="4"/>
      <c r="DH2376" s="4"/>
      <c r="DI2376" s="4"/>
      <c r="DJ2376" s="4"/>
      <c r="DK2376" s="4"/>
      <c r="DL2376" s="4"/>
      <c r="DM2376" s="4"/>
      <c r="DN2376" s="4"/>
      <c r="DO2376" s="4"/>
      <c r="DP2376" s="4"/>
      <c r="DQ2376" s="4"/>
      <c r="DR2376" s="4"/>
      <c r="DS2376" s="4"/>
    </row>
    <row r="2377">
      <c r="A2377" s="4"/>
      <c r="B2377" s="4"/>
      <c r="C2377" s="4"/>
      <c r="D2377" s="4"/>
      <c r="E2377" s="4"/>
      <c r="F2377" s="4" t="s">
        <v>17</v>
      </c>
      <c r="G2377" s="15"/>
      <c r="H2377" s="4"/>
      <c r="I2377" s="4"/>
      <c r="J2377" s="4"/>
      <c r="K2377" s="4"/>
      <c r="L2377" s="4"/>
      <c r="M2377" s="4"/>
      <c r="N2377" s="4"/>
      <c r="O2377" s="4"/>
      <c r="P2377" s="4"/>
      <c r="Q2377" s="4"/>
      <c r="R2377" s="4"/>
      <c r="S2377" s="4"/>
      <c r="T2377" s="4"/>
      <c r="U2377" s="4"/>
      <c r="V2377" s="4"/>
      <c r="W2377" s="4"/>
      <c r="X2377" s="4"/>
      <c r="Y2377" s="4"/>
      <c r="Z2377" s="4"/>
      <c r="AA2377" s="4"/>
      <c r="AB2377" s="4"/>
      <c r="AC2377" s="4"/>
      <c r="AD2377" s="4"/>
      <c r="AE2377" s="4"/>
      <c r="AF2377" s="4"/>
      <c r="AG2377" s="4"/>
      <c r="AH2377" s="4"/>
      <c r="AI2377" s="4"/>
      <c r="AJ2377" s="4"/>
      <c r="AK2377" s="4"/>
      <c r="AL2377" s="4"/>
      <c r="AM2377" s="4"/>
      <c r="AN2377" s="4"/>
      <c r="AO2377" s="4"/>
      <c r="AP2377" s="4"/>
      <c r="AQ2377" s="4"/>
      <c r="AR2377" s="4"/>
      <c r="AS2377" s="4"/>
      <c r="AT2377" s="4"/>
      <c r="AU2377" s="4"/>
      <c r="AV2377" s="4"/>
      <c r="AW2377" s="4"/>
      <c r="AX2377" s="4"/>
      <c r="AY2377" s="4"/>
      <c r="AZ2377" s="4"/>
      <c r="BA2377" s="4"/>
      <c r="BB2377" s="4"/>
      <c r="BC2377" s="4"/>
      <c r="BD2377" s="4"/>
      <c r="BE2377" s="4"/>
      <c r="BF2377" s="4"/>
      <c r="BG2377" s="4"/>
      <c r="BH2377" s="4"/>
      <c r="BI2377" s="4"/>
      <c r="BJ2377" s="4"/>
      <c r="BK2377" s="4"/>
      <c r="BL2377" s="4"/>
      <c r="BM2377" s="4"/>
      <c r="BN2377" s="4"/>
      <c r="BO2377" s="4"/>
      <c r="BP2377" s="4"/>
      <c r="BQ2377" s="4"/>
      <c r="BR2377" s="4"/>
      <c r="BS2377" s="4"/>
      <c r="BT2377" s="4"/>
      <c r="BU2377" s="4"/>
      <c r="BV2377" s="4"/>
      <c r="BW2377" s="4"/>
      <c r="BX2377" s="4"/>
      <c r="BY2377" s="4"/>
      <c r="BZ2377" s="4"/>
      <c r="CA2377" s="4"/>
      <c r="CB2377" s="4"/>
      <c r="CC2377" s="4"/>
      <c r="CD2377" s="4"/>
      <c r="CE2377" s="4"/>
      <c r="CF2377" s="4"/>
      <c r="CG2377" s="4"/>
      <c r="CH2377" s="4"/>
      <c r="CI2377" s="4"/>
      <c r="CJ2377" s="4"/>
      <c r="CK2377" s="4"/>
      <c r="CL2377" s="4"/>
      <c r="CM2377" s="4"/>
      <c r="CN2377" s="4"/>
      <c r="CO2377" s="4"/>
      <c r="CP2377" s="4"/>
      <c r="CQ2377" s="4"/>
      <c r="CR2377" s="4"/>
      <c r="CS2377" s="4"/>
      <c r="CT2377" s="4"/>
      <c r="CU2377" s="4"/>
      <c r="CV2377" s="4"/>
      <c r="CW2377" s="4"/>
      <c r="CX2377" s="4"/>
      <c r="CY2377" s="4"/>
      <c r="CZ2377" s="4"/>
      <c r="DA2377" s="4"/>
      <c r="DB2377" s="4"/>
      <c r="DC2377" s="4"/>
      <c r="DD2377" s="4"/>
      <c r="DE2377" s="4"/>
      <c r="DF2377" s="4"/>
      <c r="DG2377" s="4"/>
      <c r="DH2377" s="4"/>
      <c r="DI2377" s="4"/>
      <c r="DJ2377" s="4"/>
      <c r="DK2377" s="4"/>
      <c r="DL2377" s="4"/>
      <c r="DM2377" s="4"/>
      <c r="DN2377" s="4"/>
      <c r="DO2377" s="4"/>
      <c r="DP2377" s="4"/>
      <c r="DQ2377" s="4"/>
      <c r="DR2377" s="4"/>
      <c r="DS2377" s="4"/>
    </row>
    <row r="2378">
      <c r="A2378" s="4"/>
      <c r="B2378" s="4"/>
      <c r="C2378" s="4"/>
      <c r="D2378" s="4"/>
      <c r="E2378" s="4"/>
      <c r="F2378" s="4" t="s">
        <v>17</v>
      </c>
      <c r="G2378" s="15"/>
      <c r="H2378" s="4"/>
      <c r="I2378" s="4"/>
      <c r="J2378" s="4"/>
      <c r="K2378" s="4"/>
      <c r="L2378" s="4"/>
      <c r="M2378" s="4"/>
      <c r="N2378" s="4"/>
      <c r="O2378" s="4"/>
      <c r="P2378" s="4"/>
      <c r="Q2378" s="4"/>
      <c r="R2378" s="4"/>
      <c r="S2378" s="4"/>
      <c r="T2378" s="4"/>
      <c r="U2378" s="4"/>
      <c r="V2378" s="4"/>
      <c r="W2378" s="4"/>
      <c r="X2378" s="4"/>
      <c r="Y2378" s="4"/>
      <c r="Z2378" s="4"/>
      <c r="AA2378" s="4"/>
      <c r="AB2378" s="4"/>
      <c r="AC2378" s="4"/>
      <c r="AD2378" s="4"/>
      <c r="AE2378" s="4"/>
      <c r="AF2378" s="4"/>
      <c r="AG2378" s="4"/>
      <c r="AH2378" s="4"/>
      <c r="AI2378" s="4"/>
      <c r="AJ2378" s="4"/>
      <c r="AK2378" s="4"/>
      <c r="AL2378" s="4"/>
      <c r="AM2378" s="4"/>
      <c r="AN2378" s="4"/>
      <c r="AO2378" s="4"/>
      <c r="AP2378" s="4"/>
      <c r="AQ2378" s="4"/>
      <c r="AR2378" s="4"/>
      <c r="AS2378" s="4"/>
      <c r="AT2378" s="4"/>
      <c r="AU2378" s="4"/>
      <c r="AV2378" s="4"/>
      <c r="AW2378" s="4"/>
      <c r="AX2378" s="4"/>
      <c r="AY2378" s="4"/>
      <c r="AZ2378" s="4"/>
      <c r="BA2378" s="4"/>
      <c r="BB2378" s="4"/>
      <c r="BC2378" s="4"/>
      <c r="BD2378" s="4"/>
      <c r="BE2378" s="4"/>
      <c r="BF2378" s="4"/>
      <c r="BG2378" s="4"/>
      <c r="BH2378" s="4"/>
      <c r="BI2378" s="4"/>
      <c r="BJ2378" s="4"/>
      <c r="BK2378" s="4"/>
      <c r="BL2378" s="4"/>
      <c r="BM2378" s="4"/>
      <c r="BN2378" s="4"/>
      <c r="BO2378" s="4"/>
      <c r="BP2378" s="4"/>
      <c r="BQ2378" s="4"/>
      <c r="BR2378" s="4"/>
      <c r="BS2378" s="4"/>
      <c r="BT2378" s="4"/>
      <c r="BU2378" s="4"/>
      <c r="BV2378" s="4"/>
      <c r="BW2378" s="4"/>
      <c r="BX2378" s="4"/>
      <c r="BY2378" s="4"/>
      <c r="BZ2378" s="4"/>
      <c r="CA2378" s="4"/>
      <c r="CB2378" s="4"/>
      <c r="CC2378" s="4"/>
      <c r="CD2378" s="4"/>
      <c r="CE2378" s="4"/>
      <c r="CF2378" s="4"/>
      <c r="CG2378" s="4"/>
      <c r="CH2378" s="4"/>
      <c r="CI2378" s="4"/>
      <c r="CJ2378" s="4"/>
      <c r="CK2378" s="4"/>
      <c r="CL2378" s="4"/>
      <c r="CM2378" s="4"/>
      <c r="CN2378" s="4"/>
      <c r="CO2378" s="4"/>
      <c r="CP2378" s="4"/>
      <c r="CQ2378" s="4"/>
      <c r="CR2378" s="4"/>
      <c r="CS2378" s="4"/>
      <c r="CT2378" s="4"/>
      <c r="CU2378" s="4"/>
      <c r="CV2378" s="4"/>
      <c r="CW2378" s="4"/>
      <c r="CX2378" s="4"/>
      <c r="CY2378" s="4"/>
      <c r="CZ2378" s="4"/>
      <c r="DA2378" s="4"/>
      <c r="DB2378" s="4"/>
      <c r="DC2378" s="4"/>
      <c r="DD2378" s="4"/>
      <c r="DE2378" s="4"/>
      <c r="DF2378" s="4"/>
      <c r="DG2378" s="4"/>
      <c r="DH2378" s="4"/>
      <c r="DI2378" s="4"/>
      <c r="DJ2378" s="4"/>
      <c r="DK2378" s="4"/>
      <c r="DL2378" s="4"/>
      <c r="DM2378" s="4"/>
      <c r="DN2378" s="4"/>
      <c r="DO2378" s="4"/>
      <c r="DP2378" s="4"/>
      <c r="DQ2378" s="4"/>
      <c r="DR2378" s="4"/>
      <c r="DS2378" s="4"/>
    </row>
    <row r="2379">
      <c r="A2379" s="4"/>
      <c r="B2379" s="4"/>
      <c r="C2379" s="4"/>
      <c r="D2379" s="4"/>
      <c r="E2379" s="4"/>
      <c r="F2379" s="4" t="s">
        <v>17</v>
      </c>
      <c r="G2379" s="15"/>
      <c r="H2379" s="4"/>
      <c r="I2379" s="4"/>
      <c r="J2379" s="4"/>
      <c r="K2379" s="4"/>
      <c r="L2379" s="4"/>
      <c r="M2379" s="4"/>
      <c r="N2379" s="4"/>
      <c r="O2379" s="4"/>
      <c r="P2379" s="4"/>
      <c r="Q2379" s="4"/>
      <c r="R2379" s="4"/>
      <c r="S2379" s="4"/>
      <c r="T2379" s="4"/>
      <c r="U2379" s="4"/>
      <c r="V2379" s="4"/>
      <c r="W2379" s="4"/>
      <c r="X2379" s="4"/>
      <c r="Y2379" s="4"/>
      <c r="Z2379" s="4"/>
      <c r="AA2379" s="4"/>
      <c r="AB2379" s="4"/>
      <c r="AC2379" s="4"/>
      <c r="AD2379" s="4"/>
      <c r="AE2379" s="4"/>
      <c r="AF2379" s="4"/>
      <c r="AG2379" s="4"/>
      <c r="AH2379" s="4"/>
      <c r="AI2379" s="4"/>
      <c r="AJ2379" s="4"/>
      <c r="AK2379" s="4"/>
      <c r="AL2379" s="4"/>
      <c r="AM2379" s="4"/>
      <c r="AN2379" s="4"/>
      <c r="AO2379" s="4"/>
      <c r="AP2379" s="4"/>
      <c r="AQ2379" s="4"/>
      <c r="AR2379" s="4"/>
      <c r="AS2379" s="4"/>
      <c r="AT2379" s="4"/>
      <c r="AU2379" s="4"/>
      <c r="AV2379" s="4"/>
      <c r="AW2379" s="4"/>
      <c r="AX2379" s="4"/>
      <c r="AY2379" s="4"/>
      <c r="AZ2379" s="4"/>
      <c r="BA2379" s="4"/>
      <c r="BB2379" s="4"/>
      <c r="BC2379" s="4"/>
      <c r="BD2379" s="4"/>
      <c r="BE2379" s="4"/>
      <c r="BF2379" s="4"/>
      <c r="BG2379" s="4"/>
      <c r="BH2379" s="4"/>
      <c r="BI2379" s="4"/>
      <c r="BJ2379" s="4"/>
      <c r="BK2379" s="4"/>
      <c r="BL2379" s="4"/>
      <c r="BM2379" s="4"/>
      <c r="BN2379" s="4"/>
      <c r="BO2379" s="4"/>
      <c r="BP2379" s="4"/>
      <c r="BQ2379" s="4"/>
      <c r="BR2379" s="4"/>
      <c r="BS2379" s="4"/>
      <c r="BT2379" s="4"/>
      <c r="BU2379" s="4"/>
      <c r="BV2379" s="4"/>
      <c r="BW2379" s="4"/>
      <c r="BX2379" s="4"/>
      <c r="BY2379" s="4"/>
      <c r="BZ2379" s="4"/>
      <c r="CA2379" s="4"/>
      <c r="CB2379" s="4"/>
      <c r="CC2379" s="4"/>
      <c r="CD2379" s="4"/>
      <c r="CE2379" s="4"/>
      <c r="CF2379" s="4"/>
      <c r="CG2379" s="4"/>
      <c r="CH2379" s="4"/>
      <c r="CI2379" s="4"/>
      <c r="CJ2379" s="4"/>
      <c r="CK2379" s="4"/>
      <c r="CL2379" s="4"/>
      <c r="CM2379" s="4"/>
      <c r="CN2379" s="4"/>
      <c r="CO2379" s="4"/>
      <c r="CP2379" s="4"/>
      <c r="CQ2379" s="4"/>
      <c r="CR2379" s="4"/>
      <c r="CS2379" s="4"/>
      <c r="CT2379" s="4"/>
      <c r="CU2379" s="4"/>
      <c r="CV2379" s="4"/>
      <c r="CW2379" s="4"/>
      <c r="CX2379" s="4"/>
      <c r="CY2379" s="4"/>
      <c r="CZ2379" s="4"/>
      <c r="DA2379" s="4"/>
      <c r="DB2379" s="4"/>
      <c r="DC2379" s="4"/>
      <c r="DD2379" s="4"/>
      <c r="DE2379" s="4"/>
      <c r="DF2379" s="4"/>
      <c r="DG2379" s="4"/>
      <c r="DH2379" s="4"/>
      <c r="DI2379" s="4"/>
      <c r="DJ2379" s="4"/>
      <c r="DK2379" s="4"/>
      <c r="DL2379" s="4"/>
      <c r="DM2379" s="4"/>
      <c r="DN2379" s="4"/>
      <c r="DO2379" s="4"/>
      <c r="DP2379" s="4"/>
      <c r="DQ2379" s="4"/>
      <c r="DR2379" s="4"/>
      <c r="DS2379" s="4"/>
    </row>
    <row r="2380">
      <c r="A2380" s="4"/>
      <c r="B2380" s="4"/>
      <c r="C2380" s="4"/>
      <c r="D2380" s="4"/>
      <c r="E2380" s="4"/>
      <c r="F2380" s="4" t="s">
        <v>17</v>
      </c>
      <c r="G2380" s="15"/>
      <c r="H2380" s="4"/>
      <c r="I2380" s="4"/>
      <c r="J2380" s="4"/>
      <c r="K2380" s="4"/>
      <c r="L2380" s="4"/>
      <c r="M2380" s="4"/>
      <c r="N2380" s="4"/>
      <c r="O2380" s="4"/>
      <c r="P2380" s="4"/>
      <c r="Q2380" s="4"/>
      <c r="R2380" s="4"/>
      <c r="S2380" s="4"/>
      <c r="T2380" s="4"/>
      <c r="U2380" s="4"/>
      <c r="V2380" s="4"/>
      <c r="W2380" s="4"/>
      <c r="X2380" s="4"/>
      <c r="Y2380" s="4"/>
      <c r="Z2380" s="4"/>
      <c r="AA2380" s="4"/>
      <c r="AB2380" s="4"/>
      <c r="AC2380" s="4"/>
      <c r="AD2380" s="4"/>
      <c r="AE2380" s="4"/>
      <c r="AF2380" s="4"/>
      <c r="AG2380" s="4"/>
      <c r="AH2380" s="4"/>
      <c r="AI2380" s="4"/>
      <c r="AJ2380" s="4"/>
      <c r="AK2380" s="4"/>
      <c r="AL2380" s="4"/>
      <c r="AM2380" s="4"/>
      <c r="AN2380" s="4"/>
      <c r="AO2380" s="4"/>
      <c r="AP2380" s="4"/>
      <c r="AQ2380" s="4"/>
      <c r="AR2380" s="4"/>
      <c r="AS2380" s="4"/>
      <c r="AT2380" s="4"/>
      <c r="AU2380" s="4"/>
      <c r="AV2380" s="4"/>
      <c r="AW2380" s="4"/>
      <c r="AX2380" s="4"/>
      <c r="AY2380" s="4"/>
      <c r="AZ2380" s="4"/>
      <c r="BA2380" s="4"/>
      <c r="BB2380" s="4"/>
      <c r="BC2380" s="4"/>
      <c r="BD2380" s="4"/>
      <c r="BE2380" s="4"/>
      <c r="BF2380" s="4"/>
      <c r="BG2380" s="4"/>
      <c r="BH2380" s="4"/>
      <c r="BI2380" s="4"/>
      <c r="BJ2380" s="4"/>
      <c r="BK2380" s="4"/>
      <c r="BL2380" s="4"/>
      <c r="BM2380" s="4"/>
      <c r="BN2380" s="4"/>
      <c r="BO2380" s="4"/>
      <c r="BP2380" s="4"/>
      <c r="BQ2380" s="4"/>
      <c r="BR2380" s="4"/>
      <c r="BS2380" s="4"/>
      <c r="BT2380" s="4"/>
      <c r="BU2380" s="4"/>
      <c r="BV2380" s="4"/>
      <c r="BW2380" s="4"/>
      <c r="BX2380" s="4"/>
      <c r="BY2380" s="4"/>
      <c r="BZ2380" s="4"/>
      <c r="CA2380" s="4"/>
      <c r="CB2380" s="4"/>
      <c r="CC2380" s="4"/>
      <c r="CD2380" s="4"/>
      <c r="CE2380" s="4"/>
      <c r="CF2380" s="4"/>
      <c r="CG2380" s="4"/>
      <c r="CH2380" s="4"/>
      <c r="CI2380" s="4"/>
      <c r="CJ2380" s="4"/>
      <c r="CK2380" s="4"/>
      <c r="CL2380" s="4"/>
      <c r="CM2380" s="4"/>
      <c r="CN2380" s="4"/>
      <c r="CO2380" s="4"/>
      <c r="CP2380" s="4"/>
      <c r="CQ2380" s="4"/>
      <c r="CR2380" s="4"/>
      <c r="CS2380" s="4"/>
      <c r="CT2380" s="4"/>
      <c r="CU2380" s="4"/>
      <c r="CV2380" s="4"/>
      <c r="CW2380" s="4"/>
      <c r="CX2380" s="4"/>
      <c r="CY2380" s="4"/>
      <c r="CZ2380" s="4"/>
      <c r="DA2380" s="4"/>
      <c r="DB2380" s="4"/>
      <c r="DC2380" s="4"/>
      <c r="DD2380" s="4"/>
      <c r="DE2380" s="4"/>
      <c r="DF2380" s="4"/>
      <c r="DG2380" s="4"/>
      <c r="DH2380" s="4"/>
      <c r="DI2380" s="4"/>
      <c r="DJ2380" s="4"/>
      <c r="DK2380" s="4"/>
      <c r="DL2380" s="4"/>
      <c r="DM2380" s="4"/>
      <c r="DN2380" s="4"/>
      <c r="DO2380" s="4"/>
      <c r="DP2380" s="4"/>
      <c r="DQ2380" s="4"/>
      <c r="DR2380" s="4"/>
      <c r="DS2380" s="4"/>
    </row>
    <row r="2381">
      <c r="A2381" s="4"/>
      <c r="B2381" s="4"/>
      <c r="C2381" s="4"/>
      <c r="D2381" s="4"/>
      <c r="E2381" s="4"/>
      <c r="F2381" s="4" t="s">
        <v>17</v>
      </c>
      <c r="G2381" s="15"/>
      <c r="H2381" s="4"/>
      <c r="I2381" s="4"/>
      <c r="J2381" s="4"/>
      <c r="K2381" s="4"/>
      <c r="L2381" s="4"/>
      <c r="M2381" s="4"/>
      <c r="N2381" s="4"/>
      <c r="O2381" s="4"/>
      <c r="P2381" s="4"/>
      <c r="Q2381" s="4"/>
      <c r="R2381" s="4"/>
      <c r="S2381" s="4"/>
      <c r="T2381" s="4"/>
      <c r="U2381" s="4"/>
      <c r="V2381" s="4"/>
      <c r="W2381" s="4"/>
      <c r="X2381" s="4"/>
      <c r="Y2381" s="4"/>
      <c r="Z2381" s="4"/>
      <c r="AA2381" s="4"/>
      <c r="AB2381" s="4"/>
      <c r="AC2381" s="4"/>
      <c r="AD2381" s="4"/>
      <c r="AE2381" s="4"/>
      <c r="AF2381" s="4"/>
      <c r="AG2381" s="4"/>
      <c r="AH2381" s="4"/>
      <c r="AI2381" s="4"/>
      <c r="AJ2381" s="4"/>
      <c r="AK2381" s="4"/>
      <c r="AL2381" s="4"/>
      <c r="AM2381" s="4"/>
      <c r="AN2381" s="4"/>
      <c r="AO2381" s="4"/>
      <c r="AP2381" s="4"/>
      <c r="AQ2381" s="4"/>
      <c r="AR2381" s="4"/>
      <c r="AS2381" s="4"/>
      <c r="AT2381" s="4"/>
      <c r="AU2381" s="4"/>
      <c r="AV2381" s="4"/>
      <c r="AW2381" s="4"/>
      <c r="AX2381" s="4"/>
      <c r="AY2381" s="4"/>
      <c r="AZ2381" s="4"/>
      <c r="BA2381" s="4"/>
      <c r="BB2381" s="4"/>
      <c r="BC2381" s="4"/>
      <c r="BD2381" s="4"/>
      <c r="BE2381" s="4"/>
      <c r="BF2381" s="4"/>
      <c r="BG2381" s="4"/>
      <c r="BH2381" s="4"/>
      <c r="BI2381" s="4"/>
      <c r="BJ2381" s="4"/>
      <c r="BK2381" s="4"/>
      <c r="BL2381" s="4"/>
      <c r="BM2381" s="4"/>
      <c r="BN2381" s="4"/>
      <c r="BO2381" s="4"/>
      <c r="BP2381" s="4"/>
      <c r="BQ2381" s="4"/>
      <c r="BR2381" s="4"/>
      <c r="BS2381" s="4"/>
      <c r="BT2381" s="4"/>
      <c r="BU2381" s="4"/>
      <c r="BV2381" s="4"/>
      <c r="BW2381" s="4"/>
      <c r="BX2381" s="4"/>
      <c r="BY2381" s="4"/>
      <c r="BZ2381" s="4"/>
      <c r="CA2381" s="4"/>
      <c r="CB2381" s="4"/>
      <c r="CC2381" s="4"/>
      <c r="CD2381" s="4"/>
      <c r="CE2381" s="4"/>
      <c r="CF2381" s="4"/>
      <c r="CG2381" s="4"/>
      <c r="CH2381" s="4"/>
      <c r="CI2381" s="4"/>
      <c r="CJ2381" s="4"/>
      <c r="CK2381" s="4"/>
      <c r="CL2381" s="4"/>
      <c r="CM2381" s="4"/>
      <c r="CN2381" s="4"/>
      <c r="CO2381" s="4"/>
      <c r="CP2381" s="4"/>
      <c r="CQ2381" s="4"/>
      <c r="CR2381" s="4"/>
      <c r="CS2381" s="4"/>
      <c r="CT2381" s="4"/>
      <c r="CU2381" s="4"/>
      <c r="CV2381" s="4"/>
      <c r="CW2381" s="4"/>
      <c r="CX2381" s="4"/>
      <c r="CY2381" s="4"/>
      <c r="CZ2381" s="4"/>
      <c r="DA2381" s="4"/>
      <c r="DB2381" s="4"/>
      <c r="DC2381" s="4"/>
      <c r="DD2381" s="4"/>
      <c r="DE2381" s="4"/>
      <c r="DF2381" s="4"/>
      <c r="DG2381" s="4"/>
      <c r="DH2381" s="4"/>
      <c r="DI2381" s="4"/>
      <c r="DJ2381" s="4"/>
      <c r="DK2381" s="4"/>
      <c r="DL2381" s="4"/>
      <c r="DM2381" s="4"/>
      <c r="DN2381" s="4"/>
      <c r="DO2381" s="4"/>
      <c r="DP2381" s="4"/>
      <c r="DQ2381" s="4"/>
      <c r="DR2381" s="4"/>
      <c r="DS2381" s="4"/>
    </row>
    <row r="2382">
      <c r="A2382" s="4"/>
      <c r="B2382" s="4"/>
      <c r="C2382" s="4"/>
      <c r="D2382" s="4"/>
      <c r="E2382" s="4"/>
      <c r="F2382" s="4" t="s">
        <v>17</v>
      </c>
      <c r="G2382" s="15"/>
      <c r="H2382" s="4"/>
      <c r="I2382" s="4"/>
      <c r="J2382" s="4"/>
      <c r="K2382" s="4"/>
      <c r="L2382" s="4"/>
      <c r="M2382" s="4"/>
      <c r="N2382" s="4"/>
      <c r="O2382" s="4"/>
      <c r="P2382" s="4"/>
      <c r="Q2382" s="4"/>
      <c r="R2382" s="4"/>
      <c r="S2382" s="4"/>
      <c r="T2382" s="4"/>
      <c r="U2382" s="4"/>
      <c r="V2382" s="4"/>
      <c r="W2382" s="4"/>
      <c r="X2382" s="4"/>
      <c r="Y2382" s="4"/>
      <c r="Z2382" s="4"/>
      <c r="AA2382" s="4"/>
      <c r="AB2382" s="4"/>
      <c r="AC2382" s="4"/>
      <c r="AD2382" s="4"/>
      <c r="AE2382" s="4"/>
      <c r="AF2382" s="4"/>
      <c r="AG2382" s="4"/>
      <c r="AH2382" s="4"/>
      <c r="AI2382" s="4"/>
      <c r="AJ2382" s="4"/>
      <c r="AK2382" s="4"/>
      <c r="AL2382" s="4"/>
      <c r="AM2382" s="4"/>
      <c r="AN2382" s="4"/>
      <c r="AO2382" s="4"/>
      <c r="AP2382" s="4"/>
      <c r="AQ2382" s="4"/>
      <c r="AR2382" s="4"/>
      <c r="AS2382" s="4"/>
      <c r="AT2382" s="4"/>
      <c r="AU2382" s="4"/>
      <c r="AV2382" s="4"/>
      <c r="AW2382" s="4"/>
      <c r="AX2382" s="4"/>
      <c r="AY2382" s="4"/>
      <c r="AZ2382" s="4"/>
      <c r="BA2382" s="4"/>
      <c r="BB2382" s="4"/>
      <c r="BC2382" s="4"/>
      <c r="BD2382" s="4"/>
      <c r="BE2382" s="4"/>
      <c r="BF2382" s="4"/>
      <c r="BG2382" s="4"/>
      <c r="BH2382" s="4"/>
      <c r="BI2382" s="4"/>
      <c r="BJ2382" s="4"/>
      <c r="BK2382" s="4"/>
      <c r="BL2382" s="4"/>
      <c r="BM2382" s="4"/>
      <c r="BN2382" s="4"/>
      <c r="BO2382" s="4"/>
      <c r="BP2382" s="4"/>
      <c r="BQ2382" s="4"/>
      <c r="BR2382" s="4"/>
      <c r="BS2382" s="4"/>
      <c r="BT2382" s="4"/>
      <c r="BU2382" s="4"/>
      <c r="BV2382" s="4"/>
      <c r="BW2382" s="4"/>
      <c r="BX2382" s="4"/>
      <c r="BY2382" s="4"/>
      <c r="BZ2382" s="4"/>
      <c r="CA2382" s="4"/>
      <c r="CB2382" s="4"/>
      <c r="CC2382" s="4"/>
      <c r="CD2382" s="4"/>
      <c r="CE2382" s="4"/>
      <c r="CF2382" s="4"/>
      <c r="CG2382" s="4"/>
      <c r="CH2382" s="4"/>
      <c r="CI2382" s="4"/>
      <c r="CJ2382" s="4"/>
      <c r="CK2382" s="4"/>
      <c r="CL2382" s="4"/>
      <c r="CM2382" s="4"/>
      <c r="CN2382" s="4"/>
      <c r="CO2382" s="4"/>
      <c r="CP2382" s="4"/>
      <c r="CQ2382" s="4"/>
      <c r="CR2382" s="4"/>
      <c r="CS2382" s="4"/>
      <c r="CT2382" s="4"/>
      <c r="CU2382" s="4"/>
      <c r="CV2382" s="4"/>
      <c r="CW2382" s="4"/>
      <c r="CX2382" s="4"/>
      <c r="CY2382" s="4"/>
      <c r="CZ2382" s="4"/>
      <c r="DA2382" s="4"/>
      <c r="DB2382" s="4"/>
      <c r="DC2382" s="4"/>
      <c r="DD2382" s="4"/>
      <c r="DE2382" s="4"/>
      <c r="DF2382" s="4"/>
      <c r="DG2382" s="4"/>
      <c r="DH2382" s="4"/>
      <c r="DI2382" s="4"/>
      <c r="DJ2382" s="4"/>
      <c r="DK2382" s="4"/>
      <c r="DL2382" s="4"/>
      <c r="DM2382" s="4"/>
      <c r="DN2382" s="4"/>
      <c r="DO2382" s="4"/>
      <c r="DP2382" s="4"/>
      <c r="DQ2382" s="4"/>
      <c r="DR2382" s="4"/>
      <c r="DS2382" s="4"/>
    </row>
    <row r="2383">
      <c r="A2383" s="4"/>
      <c r="B2383" s="4"/>
      <c r="C2383" s="4"/>
      <c r="D2383" s="4"/>
      <c r="E2383" s="4"/>
      <c r="F2383" s="4" t="s">
        <v>17</v>
      </c>
      <c r="G2383" s="15"/>
      <c r="H2383" s="4"/>
      <c r="I2383" s="4"/>
      <c r="J2383" s="4"/>
      <c r="K2383" s="4"/>
      <c r="L2383" s="4"/>
      <c r="M2383" s="4"/>
      <c r="N2383" s="4"/>
      <c r="O2383" s="4"/>
      <c r="P2383" s="4"/>
      <c r="Q2383" s="4"/>
      <c r="R2383" s="4"/>
      <c r="S2383" s="4"/>
      <c r="T2383" s="4"/>
      <c r="U2383" s="4"/>
      <c r="V2383" s="4"/>
      <c r="W2383" s="4"/>
      <c r="X2383" s="4"/>
      <c r="Y2383" s="4"/>
      <c r="Z2383" s="4"/>
      <c r="AA2383" s="4"/>
      <c r="AB2383" s="4"/>
      <c r="AC2383" s="4"/>
      <c r="AD2383" s="4"/>
      <c r="AE2383" s="4"/>
      <c r="AF2383" s="4"/>
      <c r="AG2383" s="4"/>
      <c r="AH2383" s="4"/>
      <c r="AI2383" s="4"/>
      <c r="AJ2383" s="4"/>
      <c r="AK2383" s="4"/>
      <c r="AL2383" s="4"/>
      <c r="AM2383" s="4"/>
      <c r="AN2383" s="4"/>
      <c r="AO2383" s="4"/>
      <c r="AP2383" s="4"/>
      <c r="AQ2383" s="4"/>
      <c r="AR2383" s="4"/>
      <c r="AS2383" s="4"/>
      <c r="AT2383" s="4"/>
      <c r="AU2383" s="4"/>
      <c r="AV2383" s="4"/>
      <c r="AW2383" s="4"/>
      <c r="AX2383" s="4"/>
      <c r="AY2383" s="4"/>
      <c r="AZ2383" s="4"/>
      <c r="BA2383" s="4"/>
      <c r="BB2383" s="4"/>
      <c r="BC2383" s="4"/>
      <c r="BD2383" s="4"/>
      <c r="BE2383" s="4"/>
      <c r="BF2383" s="4"/>
      <c r="BG2383" s="4"/>
      <c r="BH2383" s="4"/>
      <c r="BI2383" s="4"/>
      <c r="BJ2383" s="4"/>
      <c r="BK2383" s="4"/>
      <c r="BL2383" s="4"/>
      <c r="BM2383" s="4"/>
      <c r="BN2383" s="4"/>
      <c r="BO2383" s="4"/>
      <c r="BP2383" s="4"/>
      <c r="BQ2383" s="4"/>
      <c r="BR2383" s="4"/>
      <c r="BS2383" s="4"/>
      <c r="BT2383" s="4"/>
      <c r="BU2383" s="4"/>
      <c r="BV2383" s="4"/>
      <c r="BW2383" s="4"/>
      <c r="BX2383" s="4"/>
      <c r="BY2383" s="4"/>
      <c r="BZ2383" s="4"/>
      <c r="CA2383" s="4"/>
      <c r="CB2383" s="4"/>
      <c r="CC2383" s="4"/>
      <c r="CD2383" s="4"/>
      <c r="CE2383" s="4"/>
      <c r="CF2383" s="4"/>
      <c r="CG2383" s="4"/>
      <c r="CH2383" s="4"/>
      <c r="CI2383" s="4"/>
      <c r="CJ2383" s="4"/>
      <c r="CK2383" s="4"/>
      <c r="CL2383" s="4"/>
      <c r="CM2383" s="4"/>
      <c r="CN2383" s="4"/>
      <c r="CO2383" s="4"/>
      <c r="CP2383" s="4"/>
      <c r="CQ2383" s="4"/>
      <c r="CR2383" s="4"/>
      <c r="CS2383" s="4"/>
      <c r="CT2383" s="4"/>
      <c r="CU2383" s="4"/>
      <c r="CV2383" s="4"/>
      <c r="CW2383" s="4"/>
      <c r="CX2383" s="4"/>
      <c r="CY2383" s="4"/>
      <c r="CZ2383" s="4"/>
      <c r="DA2383" s="4"/>
      <c r="DB2383" s="4"/>
      <c r="DC2383" s="4"/>
      <c r="DD2383" s="4"/>
      <c r="DE2383" s="4"/>
      <c r="DF2383" s="4"/>
      <c r="DG2383" s="4"/>
      <c r="DH2383" s="4"/>
      <c r="DI2383" s="4"/>
      <c r="DJ2383" s="4"/>
      <c r="DK2383" s="4"/>
      <c r="DL2383" s="4"/>
      <c r="DM2383" s="4"/>
      <c r="DN2383" s="4"/>
      <c r="DO2383" s="4"/>
      <c r="DP2383" s="4"/>
      <c r="DQ2383" s="4"/>
      <c r="DR2383" s="4"/>
      <c r="DS2383" s="4"/>
    </row>
    <row r="2384">
      <c r="A2384" s="4"/>
      <c r="B2384" s="4"/>
      <c r="C2384" s="4"/>
      <c r="D2384" s="4"/>
      <c r="E2384" s="4"/>
      <c r="F2384" s="4" t="s">
        <v>17</v>
      </c>
      <c r="G2384" s="15"/>
      <c r="H2384" s="4"/>
      <c r="I2384" s="4"/>
      <c r="J2384" s="4"/>
      <c r="K2384" s="4"/>
      <c r="L2384" s="4"/>
      <c r="M2384" s="4"/>
      <c r="N2384" s="4"/>
      <c r="O2384" s="4"/>
      <c r="P2384" s="4"/>
      <c r="Q2384" s="4"/>
      <c r="R2384" s="4"/>
      <c r="S2384" s="4"/>
      <c r="T2384" s="4"/>
      <c r="U2384" s="4"/>
      <c r="V2384" s="4"/>
      <c r="W2384" s="4"/>
      <c r="X2384" s="4"/>
      <c r="Y2384" s="4"/>
      <c r="Z2384" s="4"/>
      <c r="AA2384" s="4"/>
      <c r="AB2384" s="4"/>
      <c r="AC2384" s="4"/>
      <c r="AD2384" s="4"/>
      <c r="AE2384" s="4"/>
      <c r="AF2384" s="4"/>
      <c r="AG2384" s="4"/>
      <c r="AH2384" s="4"/>
      <c r="AI2384" s="4"/>
      <c r="AJ2384" s="4"/>
      <c r="AK2384" s="4"/>
      <c r="AL2384" s="4"/>
      <c r="AM2384" s="4"/>
      <c r="AN2384" s="4"/>
      <c r="AO2384" s="4"/>
      <c r="AP2384" s="4"/>
      <c r="AQ2384" s="4"/>
      <c r="AR2384" s="4"/>
      <c r="AS2384" s="4"/>
      <c r="AT2384" s="4"/>
      <c r="AU2384" s="4"/>
      <c r="AV2384" s="4"/>
      <c r="AW2384" s="4"/>
      <c r="AX2384" s="4"/>
      <c r="AY2384" s="4"/>
      <c r="AZ2384" s="4"/>
      <c r="BA2384" s="4"/>
      <c r="BB2384" s="4"/>
      <c r="BC2384" s="4"/>
      <c r="BD2384" s="4"/>
      <c r="BE2384" s="4"/>
      <c r="BF2384" s="4"/>
      <c r="BG2384" s="4"/>
      <c r="BH2384" s="4"/>
      <c r="BI2384" s="4"/>
      <c r="BJ2384" s="4"/>
      <c r="BK2384" s="4"/>
      <c r="BL2384" s="4"/>
      <c r="BM2384" s="4"/>
      <c r="BN2384" s="4"/>
      <c r="BO2384" s="4"/>
      <c r="BP2384" s="4"/>
      <c r="BQ2384" s="4"/>
      <c r="BR2384" s="4"/>
      <c r="BS2384" s="4"/>
      <c r="BT2384" s="4"/>
      <c r="BU2384" s="4"/>
      <c r="BV2384" s="4"/>
      <c r="BW2384" s="4"/>
      <c r="BX2384" s="4"/>
      <c r="BY2384" s="4"/>
      <c r="BZ2384" s="4"/>
      <c r="CA2384" s="4"/>
      <c r="CB2384" s="4"/>
      <c r="CC2384" s="4"/>
      <c r="CD2384" s="4"/>
      <c r="CE2384" s="4"/>
      <c r="CF2384" s="4"/>
      <c r="CG2384" s="4"/>
      <c r="CH2384" s="4"/>
      <c r="CI2384" s="4"/>
      <c r="CJ2384" s="4"/>
      <c r="CK2384" s="4"/>
      <c r="CL2384" s="4"/>
      <c r="CM2384" s="4"/>
      <c r="CN2384" s="4"/>
      <c r="CO2384" s="4"/>
      <c r="CP2384" s="4"/>
      <c r="CQ2384" s="4"/>
      <c r="CR2384" s="4"/>
      <c r="CS2384" s="4"/>
      <c r="CT2384" s="4"/>
      <c r="CU2384" s="4"/>
      <c r="CV2384" s="4"/>
      <c r="CW2384" s="4"/>
      <c r="CX2384" s="4"/>
      <c r="CY2384" s="4"/>
      <c r="CZ2384" s="4"/>
      <c r="DA2384" s="4"/>
      <c r="DB2384" s="4"/>
      <c r="DC2384" s="4"/>
      <c r="DD2384" s="4"/>
      <c r="DE2384" s="4"/>
      <c r="DF2384" s="4"/>
      <c r="DG2384" s="4"/>
      <c r="DH2384" s="4"/>
      <c r="DI2384" s="4"/>
      <c r="DJ2384" s="4"/>
      <c r="DK2384" s="4"/>
      <c r="DL2384" s="4"/>
      <c r="DM2384" s="4"/>
      <c r="DN2384" s="4"/>
      <c r="DO2384" s="4"/>
      <c r="DP2384" s="4"/>
      <c r="DQ2384" s="4"/>
      <c r="DR2384" s="4"/>
      <c r="DS2384" s="4"/>
    </row>
    <row r="2385">
      <c r="A2385" s="4"/>
      <c r="B2385" s="4"/>
      <c r="C2385" s="4"/>
      <c r="D2385" s="4"/>
      <c r="E2385" s="4"/>
      <c r="F2385" s="4" t="s">
        <v>17</v>
      </c>
      <c r="G2385" s="15"/>
      <c r="H2385" s="4"/>
      <c r="I2385" s="4"/>
      <c r="J2385" s="4"/>
      <c r="K2385" s="4"/>
      <c r="L2385" s="4"/>
      <c r="M2385" s="4"/>
      <c r="N2385" s="4"/>
      <c r="O2385" s="4"/>
      <c r="P2385" s="4"/>
      <c r="Q2385" s="4"/>
      <c r="R2385" s="4"/>
      <c r="S2385" s="4"/>
      <c r="T2385" s="4"/>
      <c r="U2385" s="4"/>
      <c r="V2385" s="4"/>
      <c r="W2385" s="4"/>
      <c r="X2385" s="4"/>
      <c r="Y2385" s="4"/>
      <c r="Z2385" s="4"/>
      <c r="AA2385" s="4"/>
      <c r="AB2385" s="4"/>
      <c r="AC2385" s="4"/>
      <c r="AD2385" s="4"/>
      <c r="AE2385" s="4"/>
      <c r="AF2385" s="4"/>
      <c r="AG2385" s="4"/>
      <c r="AH2385" s="4"/>
      <c r="AI2385" s="4"/>
      <c r="AJ2385" s="4"/>
      <c r="AK2385" s="4"/>
      <c r="AL2385" s="4"/>
      <c r="AM2385" s="4"/>
      <c r="AN2385" s="4"/>
      <c r="AO2385" s="4"/>
      <c r="AP2385" s="4"/>
      <c r="AQ2385" s="4"/>
      <c r="AR2385" s="4"/>
      <c r="AS2385" s="4"/>
      <c r="AT2385" s="4"/>
      <c r="AU2385" s="4"/>
      <c r="AV2385" s="4"/>
      <c r="AW2385" s="4"/>
      <c r="AX2385" s="4"/>
      <c r="AY2385" s="4"/>
      <c r="AZ2385" s="4"/>
      <c r="BA2385" s="4"/>
      <c r="BB2385" s="4"/>
      <c r="BC2385" s="4"/>
      <c r="BD2385" s="4"/>
      <c r="BE2385" s="4"/>
      <c r="BF2385" s="4"/>
      <c r="BG2385" s="4"/>
      <c r="BH2385" s="4"/>
      <c r="BI2385" s="4"/>
      <c r="BJ2385" s="4"/>
      <c r="BK2385" s="4"/>
      <c r="BL2385" s="4"/>
      <c r="BM2385" s="4"/>
      <c r="BN2385" s="4"/>
      <c r="BO2385" s="4"/>
      <c r="BP2385" s="4"/>
      <c r="BQ2385" s="4"/>
      <c r="BR2385" s="4"/>
      <c r="BS2385" s="4"/>
      <c r="BT2385" s="4"/>
      <c r="BU2385" s="4"/>
      <c r="BV2385" s="4"/>
      <c r="BW2385" s="4"/>
      <c r="BX2385" s="4"/>
      <c r="BY2385" s="4"/>
      <c r="BZ2385" s="4"/>
      <c r="CA2385" s="4"/>
      <c r="CB2385" s="4"/>
      <c r="CC2385" s="4"/>
      <c r="CD2385" s="4"/>
      <c r="CE2385" s="4"/>
      <c r="CF2385" s="4"/>
      <c r="CG2385" s="4"/>
      <c r="CH2385" s="4"/>
      <c r="CI2385" s="4"/>
      <c r="CJ2385" s="4"/>
      <c r="CK2385" s="4"/>
      <c r="CL2385" s="4"/>
      <c r="CM2385" s="4"/>
      <c r="CN2385" s="4"/>
      <c r="CO2385" s="4"/>
      <c r="CP2385" s="4"/>
      <c r="CQ2385" s="4"/>
      <c r="CR2385" s="4"/>
      <c r="CS2385" s="4"/>
      <c r="CT2385" s="4"/>
      <c r="CU2385" s="4"/>
      <c r="CV2385" s="4"/>
      <c r="CW2385" s="4"/>
      <c r="CX2385" s="4"/>
      <c r="CY2385" s="4"/>
      <c r="CZ2385" s="4"/>
      <c r="DA2385" s="4"/>
      <c r="DB2385" s="4"/>
      <c r="DC2385" s="4"/>
      <c r="DD2385" s="4"/>
      <c r="DE2385" s="4"/>
      <c r="DF2385" s="4"/>
      <c r="DG2385" s="4"/>
      <c r="DH2385" s="4"/>
      <c r="DI2385" s="4"/>
      <c r="DJ2385" s="4"/>
      <c r="DK2385" s="4"/>
      <c r="DL2385" s="4"/>
      <c r="DM2385" s="4"/>
      <c r="DN2385" s="4"/>
      <c r="DO2385" s="4"/>
      <c r="DP2385" s="4"/>
      <c r="DQ2385" s="4"/>
      <c r="DR2385" s="4"/>
      <c r="DS2385" s="4"/>
    </row>
    <row r="2386">
      <c r="A2386" s="4"/>
      <c r="B2386" s="4"/>
      <c r="C2386" s="4"/>
      <c r="D2386" s="4"/>
      <c r="E2386" s="4"/>
      <c r="F2386" s="4" t="s">
        <v>17</v>
      </c>
      <c r="G2386" s="15"/>
      <c r="H2386" s="4"/>
      <c r="I2386" s="4"/>
      <c r="J2386" s="4"/>
      <c r="K2386" s="4"/>
      <c r="L2386" s="4"/>
      <c r="M2386" s="4"/>
      <c r="N2386" s="4"/>
      <c r="O2386" s="4"/>
      <c r="P2386" s="4"/>
      <c r="Q2386" s="4"/>
      <c r="R2386" s="4"/>
      <c r="S2386" s="4"/>
      <c r="T2386" s="4"/>
      <c r="U2386" s="4"/>
      <c r="V2386" s="4"/>
      <c r="W2386" s="4"/>
      <c r="X2386" s="4"/>
      <c r="Y2386" s="4"/>
      <c r="Z2386" s="4"/>
      <c r="AA2386" s="4"/>
      <c r="AB2386" s="4"/>
      <c r="AC2386" s="4"/>
      <c r="AD2386" s="4"/>
      <c r="AE2386" s="4"/>
      <c r="AF2386" s="4"/>
      <c r="AG2386" s="4"/>
      <c r="AH2386" s="4"/>
      <c r="AI2386" s="4"/>
      <c r="AJ2386" s="4"/>
      <c r="AK2386" s="4"/>
      <c r="AL2386" s="4"/>
      <c r="AM2386" s="4"/>
      <c r="AN2386" s="4"/>
      <c r="AO2386" s="4"/>
      <c r="AP2386" s="4"/>
      <c r="AQ2386" s="4"/>
      <c r="AR2386" s="4"/>
      <c r="AS2386" s="4"/>
      <c r="AT2386" s="4"/>
      <c r="AU2386" s="4"/>
      <c r="AV2386" s="4"/>
      <c r="AW2386" s="4"/>
      <c r="AX2386" s="4"/>
      <c r="AY2386" s="4"/>
      <c r="AZ2386" s="4"/>
      <c r="BA2386" s="4"/>
      <c r="BB2386" s="4"/>
      <c r="BC2386" s="4"/>
      <c r="BD2386" s="4"/>
      <c r="BE2386" s="4"/>
      <c r="BF2386" s="4"/>
      <c r="BG2386" s="4"/>
      <c r="BH2386" s="4"/>
      <c r="BI2386" s="4"/>
      <c r="BJ2386" s="4"/>
      <c r="BK2386" s="4"/>
      <c r="BL2386" s="4"/>
      <c r="BM2386" s="4"/>
      <c r="BN2386" s="4"/>
      <c r="BO2386" s="4"/>
      <c r="BP2386" s="4"/>
      <c r="BQ2386" s="4"/>
      <c r="BR2386" s="4"/>
      <c r="BS2386" s="4"/>
      <c r="BT2386" s="4"/>
      <c r="BU2386" s="4"/>
      <c r="BV2386" s="4"/>
      <c r="BW2386" s="4"/>
      <c r="BX2386" s="4"/>
      <c r="BY2386" s="4"/>
      <c r="BZ2386" s="4"/>
      <c r="CA2386" s="4"/>
      <c r="CB2386" s="4"/>
      <c r="CC2386" s="4"/>
      <c r="CD2386" s="4"/>
      <c r="CE2386" s="4"/>
      <c r="CF2386" s="4"/>
      <c r="CG2386" s="4"/>
      <c r="CH2386" s="4"/>
      <c r="CI2386" s="4"/>
      <c r="CJ2386" s="4"/>
      <c r="CK2386" s="4"/>
      <c r="CL2386" s="4"/>
      <c r="CM2386" s="4"/>
      <c r="CN2386" s="4"/>
      <c r="CO2386" s="4"/>
      <c r="CP2386" s="4"/>
      <c r="CQ2386" s="4"/>
      <c r="CR2386" s="4"/>
      <c r="CS2386" s="4"/>
      <c r="CT2386" s="4"/>
      <c r="CU2386" s="4"/>
      <c r="CV2386" s="4"/>
      <c r="CW2386" s="4"/>
      <c r="CX2386" s="4"/>
      <c r="CY2386" s="4"/>
      <c r="CZ2386" s="4"/>
      <c r="DA2386" s="4"/>
      <c r="DB2386" s="4"/>
      <c r="DC2386" s="4"/>
      <c r="DD2386" s="4"/>
      <c r="DE2386" s="4"/>
      <c r="DF2386" s="4"/>
      <c r="DG2386" s="4"/>
      <c r="DH2386" s="4"/>
      <c r="DI2386" s="4"/>
      <c r="DJ2386" s="4"/>
      <c r="DK2386" s="4"/>
      <c r="DL2386" s="4"/>
      <c r="DM2386" s="4"/>
      <c r="DN2386" s="4"/>
      <c r="DO2386" s="4"/>
      <c r="DP2386" s="4"/>
      <c r="DQ2386" s="4"/>
      <c r="DR2386" s="4"/>
      <c r="DS2386" s="4"/>
    </row>
    <row r="2387">
      <c r="A2387" s="4"/>
      <c r="B2387" s="4"/>
      <c r="C2387" s="4"/>
      <c r="D2387" s="4"/>
      <c r="E2387" s="4"/>
      <c r="F2387" s="4" t="s">
        <v>17</v>
      </c>
      <c r="G2387" s="15"/>
      <c r="H2387" s="4"/>
      <c r="I2387" s="4"/>
      <c r="J2387" s="4"/>
      <c r="K2387" s="4"/>
      <c r="L2387" s="4"/>
      <c r="M2387" s="4"/>
      <c r="N2387" s="4"/>
      <c r="O2387" s="4"/>
      <c r="P2387" s="4"/>
      <c r="Q2387" s="4"/>
      <c r="R2387" s="4"/>
      <c r="S2387" s="4"/>
      <c r="T2387" s="4"/>
      <c r="U2387" s="4"/>
      <c r="V2387" s="4"/>
      <c r="W2387" s="4"/>
      <c r="X2387" s="4"/>
      <c r="Y2387" s="4"/>
      <c r="Z2387" s="4"/>
      <c r="AA2387" s="4"/>
      <c r="AB2387" s="4"/>
      <c r="AC2387" s="4"/>
      <c r="AD2387" s="4"/>
      <c r="AE2387" s="4"/>
      <c r="AF2387" s="4"/>
      <c r="AG2387" s="4"/>
      <c r="AH2387" s="4"/>
      <c r="AI2387" s="4"/>
      <c r="AJ2387" s="4"/>
      <c r="AK2387" s="4"/>
      <c r="AL2387" s="4"/>
      <c r="AM2387" s="4"/>
      <c r="AN2387" s="4"/>
      <c r="AO2387" s="4"/>
      <c r="AP2387" s="4"/>
      <c r="AQ2387" s="4"/>
      <c r="AR2387" s="4"/>
      <c r="AS2387" s="4"/>
      <c r="AT2387" s="4"/>
      <c r="AU2387" s="4"/>
      <c r="AV2387" s="4"/>
      <c r="AW2387" s="4"/>
      <c r="AX2387" s="4"/>
      <c r="AY2387" s="4"/>
      <c r="AZ2387" s="4"/>
      <c r="BA2387" s="4"/>
      <c r="BB2387" s="4"/>
      <c r="BC2387" s="4"/>
      <c r="BD2387" s="4"/>
      <c r="BE2387" s="4"/>
      <c r="BF2387" s="4"/>
      <c r="BG2387" s="4"/>
      <c r="BH2387" s="4"/>
      <c r="BI2387" s="4"/>
      <c r="BJ2387" s="4"/>
      <c r="BK2387" s="4"/>
      <c r="BL2387" s="4"/>
      <c r="BM2387" s="4"/>
      <c r="BN2387" s="4"/>
      <c r="BO2387" s="4"/>
      <c r="BP2387" s="4"/>
      <c r="BQ2387" s="4"/>
      <c r="BR2387" s="4"/>
      <c r="BS2387" s="4"/>
      <c r="BT2387" s="4"/>
      <c r="BU2387" s="4"/>
      <c r="BV2387" s="4"/>
      <c r="BW2387" s="4"/>
      <c r="BX2387" s="4"/>
      <c r="BY2387" s="4"/>
      <c r="BZ2387" s="4"/>
      <c r="CA2387" s="4"/>
      <c r="CB2387" s="4"/>
      <c r="CC2387" s="4"/>
      <c r="CD2387" s="4"/>
      <c r="CE2387" s="4"/>
      <c r="CF2387" s="4"/>
      <c r="CG2387" s="4"/>
      <c r="CH2387" s="4"/>
      <c r="CI2387" s="4"/>
      <c r="CJ2387" s="4"/>
      <c r="CK2387" s="4"/>
      <c r="CL2387" s="4"/>
      <c r="CM2387" s="4"/>
      <c r="CN2387" s="4"/>
      <c r="CO2387" s="4"/>
      <c r="CP2387" s="4"/>
      <c r="CQ2387" s="4"/>
      <c r="CR2387" s="4"/>
      <c r="CS2387" s="4"/>
      <c r="CT2387" s="4"/>
      <c r="CU2387" s="4"/>
      <c r="CV2387" s="4"/>
      <c r="CW2387" s="4"/>
      <c r="CX2387" s="4"/>
      <c r="CY2387" s="4"/>
      <c r="CZ2387" s="4"/>
      <c r="DA2387" s="4"/>
      <c r="DB2387" s="4"/>
      <c r="DC2387" s="4"/>
      <c r="DD2387" s="4"/>
      <c r="DE2387" s="4"/>
      <c r="DF2387" s="4"/>
      <c r="DG2387" s="4"/>
      <c r="DH2387" s="4"/>
      <c r="DI2387" s="4"/>
      <c r="DJ2387" s="4"/>
      <c r="DK2387" s="4"/>
      <c r="DL2387" s="4"/>
      <c r="DM2387" s="4"/>
      <c r="DN2387" s="4"/>
      <c r="DO2387" s="4"/>
      <c r="DP2387" s="4"/>
      <c r="DQ2387" s="4"/>
      <c r="DR2387" s="4"/>
      <c r="DS2387" s="4"/>
    </row>
    <row r="2388">
      <c r="A2388" s="4"/>
      <c r="B2388" s="4"/>
      <c r="C2388" s="4"/>
      <c r="D2388" s="4"/>
      <c r="E2388" s="4"/>
      <c r="F2388" s="4" t="s">
        <v>17</v>
      </c>
      <c r="G2388" s="15"/>
      <c r="H2388" s="4"/>
      <c r="I2388" s="4"/>
      <c r="J2388" s="4"/>
      <c r="K2388" s="4"/>
      <c r="L2388" s="4"/>
      <c r="M2388" s="4"/>
      <c r="N2388" s="4"/>
      <c r="O2388" s="4"/>
      <c r="P2388" s="4"/>
      <c r="Q2388" s="4"/>
      <c r="R2388" s="4"/>
      <c r="S2388" s="4"/>
      <c r="T2388" s="4"/>
      <c r="U2388" s="4"/>
      <c r="V2388" s="4"/>
      <c r="W2388" s="4"/>
      <c r="X2388" s="4"/>
      <c r="Y2388" s="4"/>
      <c r="Z2388" s="4"/>
      <c r="AA2388" s="4"/>
      <c r="AB2388" s="4"/>
      <c r="AC2388" s="4"/>
      <c r="AD2388" s="4"/>
      <c r="AE2388" s="4"/>
      <c r="AF2388" s="4"/>
      <c r="AG2388" s="4"/>
      <c r="AH2388" s="4"/>
      <c r="AI2388" s="4"/>
      <c r="AJ2388" s="4"/>
      <c r="AK2388" s="4"/>
      <c r="AL2388" s="4"/>
      <c r="AM2388" s="4"/>
      <c r="AN2388" s="4"/>
      <c r="AO2388" s="4"/>
      <c r="AP2388" s="4"/>
      <c r="AQ2388" s="4"/>
      <c r="AR2388" s="4"/>
      <c r="AS2388" s="4"/>
      <c r="AT2388" s="4"/>
      <c r="AU2388" s="4"/>
      <c r="AV2388" s="4"/>
      <c r="AW2388" s="4"/>
      <c r="AX2388" s="4"/>
      <c r="AY2388" s="4"/>
      <c r="AZ2388" s="4"/>
      <c r="BA2388" s="4"/>
      <c r="BB2388" s="4"/>
      <c r="BC2388" s="4"/>
      <c r="BD2388" s="4"/>
      <c r="BE2388" s="4"/>
      <c r="BF2388" s="4"/>
      <c r="BG2388" s="4"/>
      <c r="BH2388" s="4"/>
      <c r="BI2388" s="4"/>
      <c r="BJ2388" s="4"/>
      <c r="BK2388" s="4"/>
      <c r="BL2388" s="4"/>
      <c r="BM2388" s="4"/>
      <c r="BN2388" s="4"/>
      <c r="BO2388" s="4"/>
      <c r="BP2388" s="4"/>
      <c r="BQ2388" s="4"/>
      <c r="BR2388" s="4"/>
      <c r="BS2388" s="4"/>
      <c r="BT2388" s="4"/>
      <c r="BU2388" s="4"/>
      <c r="BV2388" s="4"/>
      <c r="BW2388" s="4"/>
      <c r="BX2388" s="4"/>
      <c r="BY2388" s="4"/>
      <c r="BZ2388" s="4"/>
      <c r="CA2388" s="4"/>
      <c r="CB2388" s="4"/>
      <c r="CC2388" s="4"/>
      <c r="CD2388" s="4"/>
      <c r="CE2388" s="4"/>
      <c r="CF2388" s="4"/>
      <c r="CG2388" s="4"/>
      <c r="CH2388" s="4"/>
      <c r="CI2388" s="4"/>
      <c r="CJ2388" s="4"/>
      <c r="CK2388" s="4"/>
      <c r="CL2388" s="4"/>
      <c r="CM2388" s="4"/>
      <c r="CN2388" s="4"/>
      <c r="CO2388" s="4"/>
      <c r="CP2388" s="4"/>
      <c r="CQ2388" s="4"/>
      <c r="CR2388" s="4"/>
      <c r="CS2388" s="4"/>
      <c r="CT2388" s="4"/>
      <c r="CU2388" s="4"/>
      <c r="CV2388" s="4"/>
      <c r="CW2388" s="4"/>
      <c r="CX2388" s="4"/>
      <c r="CY2388" s="4"/>
      <c r="CZ2388" s="4"/>
      <c r="DA2388" s="4"/>
      <c r="DB2388" s="4"/>
      <c r="DC2388" s="4"/>
      <c r="DD2388" s="4"/>
      <c r="DE2388" s="4"/>
      <c r="DF2388" s="4"/>
      <c r="DG2388" s="4"/>
      <c r="DH2388" s="4"/>
      <c r="DI2388" s="4"/>
      <c r="DJ2388" s="4"/>
      <c r="DK2388" s="4"/>
      <c r="DL2388" s="4"/>
      <c r="DM2388" s="4"/>
      <c r="DN2388" s="4"/>
      <c r="DO2388" s="4"/>
      <c r="DP2388" s="4"/>
      <c r="DQ2388" s="4"/>
      <c r="DR2388" s="4"/>
      <c r="DS2388" s="4"/>
    </row>
    <row r="2389">
      <c r="A2389" s="4"/>
      <c r="B2389" s="4"/>
      <c r="C2389" s="4"/>
      <c r="D2389" s="4"/>
      <c r="E2389" s="4"/>
      <c r="F2389" s="4" t="s">
        <v>17</v>
      </c>
      <c r="G2389" s="15"/>
      <c r="H2389" s="4"/>
      <c r="I2389" s="4"/>
      <c r="J2389" s="4"/>
      <c r="K2389" s="4"/>
      <c r="L2389" s="4"/>
      <c r="M2389" s="4"/>
      <c r="N2389" s="4"/>
      <c r="O2389" s="4"/>
      <c r="P2389" s="4"/>
      <c r="Q2389" s="4"/>
      <c r="R2389" s="4"/>
      <c r="S2389" s="4"/>
      <c r="T2389" s="4"/>
      <c r="U2389" s="4"/>
      <c r="V2389" s="4"/>
      <c r="W2389" s="4"/>
      <c r="X2389" s="4"/>
      <c r="Y2389" s="4"/>
      <c r="Z2389" s="4"/>
      <c r="AA2389" s="4"/>
      <c r="AB2389" s="4"/>
      <c r="AC2389" s="4"/>
      <c r="AD2389" s="4"/>
      <c r="AE2389" s="4"/>
      <c r="AF2389" s="4"/>
      <c r="AG2389" s="4"/>
      <c r="AH2389" s="4"/>
      <c r="AI2389" s="4"/>
      <c r="AJ2389" s="4"/>
      <c r="AK2389" s="4"/>
      <c r="AL2389" s="4"/>
      <c r="AM2389" s="4"/>
      <c r="AN2389" s="4"/>
      <c r="AO2389" s="4"/>
      <c r="AP2389" s="4"/>
      <c r="AQ2389" s="4"/>
      <c r="AR2389" s="4"/>
      <c r="AS2389" s="4"/>
      <c r="AT2389" s="4"/>
      <c r="AU2389" s="4"/>
      <c r="AV2389" s="4"/>
      <c r="AW2389" s="4"/>
      <c r="AX2389" s="4"/>
      <c r="AY2389" s="4"/>
      <c r="AZ2389" s="4"/>
      <c r="BA2389" s="4"/>
      <c r="BB2389" s="4"/>
      <c r="BC2389" s="4"/>
      <c r="BD2389" s="4"/>
      <c r="BE2389" s="4"/>
      <c r="BF2389" s="4"/>
      <c r="BG2389" s="4"/>
      <c r="BH2389" s="4"/>
      <c r="BI2389" s="4"/>
      <c r="BJ2389" s="4"/>
      <c r="BK2389" s="4"/>
      <c r="BL2389" s="4"/>
      <c r="BM2389" s="4"/>
      <c r="BN2389" s="4"/>
      <c r="BO2389" s="4"/>
      <c r="BP2389" s="4"/>
      <c r="BQ2389" s="4"/>
      <c r="BR2389" s="4"/>
      <c r="BS2389" s="4"/>
      <c r="BT2389" s="4"/>
      <c r="BU2389" s="4"/>
      <c r="BV2389" s="4"/>
      <c r="BW2389" s="4"/>
      <c r="BX2389" s="4"/>
      <c r="BY2389" s="4"/>
      <c r="BZ2389" s="4"/>
      <c r="CA2389" s="4"/>
      <c r="CB2389" s="4"/>
      <c r="CC2389" s="4"/>
      <c r="CD2389" s="4"/>
      <c r="CE2389" s="4"/>
      <c r="CF2389" s="4"/>
      <c r="CG2389" s="4"/>
      <c r="CH2389" s="4"/>
      <c r="CI2389" s="4"/>
      <c r="CJ2389" s="4"/>
      <c r="CK2389" s="4"/>
      <c r="CL2389" s="4"/>
      <c r="CM2389" s="4"/>
      <c r="CN2389" s="4"/>
      <c r="CO2389" s="4"/>
      <c r="CP2389" s="4"/>
      <c r="CQ2389" s="4"/>
      <c r="CR2389" s="4"/>
      <c r="CS2389" s="4"/>
      <c r="CT2389" s="4"/>
      <c r="CU2389" s="4"/>
      <c r="CV2389" s="4"/>
      <c r="CW2389" s="4"/>
      <c r="CX2389" s="4"/>
      <c r="CY2389" s="4"/>
      <c r="CZ2389" s="4"/>
      <c r="DA2389" s="4"/>
      <c r="DB2389" s="4"/>
      <c r="DC2389" s="4"/>
      <c r="DD2389" s="4"/>
      <c r="DE2389" s="4"/>
      <c r="DF2389" s="4"/>
      <c r="DG2389" s="4"/>
      <c r="DH2389" s="4"/>
      <c r="DI2389" s="4"/>
      <c r="DJ2389" s="4"/>
      <c r="DK2389" s="4"/>
      <c r="DL2389" s="4"/>
      <c r="DM2389" s="4"/>
      <c r="DN2389" s="4"/>
      <c r="DO2389" s="4"/>
      <c r="DP2389" s="4"/>
      <c r="DQ2389" s="4"/>
      <c r="DR2389" s="4"/>
      <c r="DS2389" s="4"/>
    </row>
    <row r="2390">
      <c r="A2390" s="4"/>
      <c r="B2390" s="4"/>
      <c r="C2390" s="4"/>
      <c r="D2390" s="4"/>
      <c r="E2390" s="4"/>
      <c r="F2390" s="4" t="s">
        <v>17</v>
      </c>
      <c r="G2390" s="15"/>
      <c r="H2390" s="4"/>
      <c r="I2390" s="4"/>
      <c r="J2390" s="4"/>
      <c r="K2390" s="4"/>
      <c r="L2390" s="4"/>
      <c r="M2390" s="4"/>
      <c r="N2390" s="4"/>
      <c r="O2390" s="4"/>
      <c r="P2390" s="4"/>
      <c r="Q2390" s="4"/>
      <c r="R2390" s="4"/>
      <c r="S2390" s="4"/>
      <c r="T2390" s="4"/>
      <c r="U2390" s="4"/>
      <c r="V2390" s="4"/>
      <c r="W2390" s="4"/>
      <c r="X2390" s="4"/>
      <c r="Y2390" s="4"/>
      <c r="Z2390" s="4"/>
      <c r="AA2390" s="4"/>
      <c r="AB2390" s="4"/>
      <c r="AC2390" s="4"/>
      <c r="AD2390" s="4"/>
      <c r="AE2390" s="4"/>
      <c r="AF2390" s="4"/>
      <c r="AG2390" s="4"/>
      <c r="AH2390" s="4"/>
      <c r="AI2390" s="4"/>
      <c r="AJ2390" s="4"/>
      <c r="AK2390" s="4"/>
      <c r="AL2390" s="4"/>
      <c r="AM2390" s="4"/>
      <c r="AN2390" s="4"/>
      <c r="AO2390" s="4"/>
      <c r="AP2390" s="4"/>
      <c r="AQ2390" s="4"/>
      <c r="AR2390" s="4"/>
      <c r="AS2390" s="4"/>
      <c r="AT2390" s="4"/>
      <c r="AU2390" s="4"/>
      <c r="AV2390" s="4"/>
      <c r="AW2390" s="4"/>
      <c r="AX2390" s="4"/>
      <c r="AY2390" s="4"/>
      <c r="AZ2390" s="4"/>
      <c r="BA2390" s="4"/>
      <c r="BB2390" s="4"/>
      <c r="BC2390" s="4"/>
      <c r="BD2390" s="4"/>
      <c r="BE2390" s="4"/>
      <c r="BF2390" s="4"/>
      <c r="BG2390" s="4"/>
      <c r="BH2390" s="4"/>
      <c r="BI2390" s="4"/>
      <c r="BJ2390" s="4"/>
      <c r="BK2390" s="4"/>
      <c r="BL2390" s="4"/>
      <c r="BM2390" s="4"/>
      <c r="BN2390" s="4"/>
      <c r="BO2390" s="4"/>
      <c r="BP2390" s="4"/>
      <c r="BQ2390" s="4"/>
      <c r="BR2390" s="4"/>
      <c r="BS2390" s="4"/>
      <c r="BT2390" s="4"/>
      <c r="BU2390" s="4"/>
      <c r="BV2390" s="4"/>
      <c r="BW2390" s="4"/>
      <c r="BX2390" s="4"/>
      <c r="BY2390" s="4"/>
      <c r="BZ2390" s="4"/>
      <c r="CA2390" s="4"/>
      <c r="CB2390" s="4"/>
      <c r="CC2390" s="4"/>
      <c r="CD2390" s="4"/>
      <c r="CE2390" s="4"/>
      <c r="CF2390" s="4"/>
      <c r="CG2390" s="4"/>
      <c r="CH2390" s="4"/>
      <c r="CI2390" s="4"/>
      <c r="CJ2390" s="4"/>
      <c r="CK2390" s="4"/>
      <c r="CL2390" s="4"/>
      <c r="CM2390" s="4"/>
      <c r="CN2390" s="4"/>
      <c r="CO2390" s="4"/>
      <c r="CP2390" s="4"/>
      <c r="CQ2390" s="4"/>
      <c r="CR2390" s="4"/>
      <c r="CS2390" s="4"/>
      <c r="CT2390" s="4"/>
      <c r="CU2390" s="4"/>
      <c r="CV2390" s="4"/>
      <c r="CW2390" s="4"/>
      <c r="CX2390" s="4"/>
      <c r="CY2390" s="4"/>
      <c r="CZ2390" s="4"/>
      <c r="DA2390" s="4"/>
      <c r="DB2390" s="4"/>
      <c r="DC2390" s="4"/>
      <c r="DD2390" s="4"/>
      <c r="DE2390" s="4"/>
      <c r="DF2390" s="4"/>
      <c r="DG2390" s="4"/>
      <c r="DH2390" s="4"/>
      <c r="DI2390" s="4"/>
      <c r="DJ2390" s="4"/>
      <c r="DK2390" s="4"/>
      <c r="DL2390" s="4"/>
      <c r="DM2390" s="4"/>
      <c r="DN2390" s="4"/>
      <c r="DO2390" s="4"/>
      <c r="DP2390" s="4"/>
      <c r="DQ2390" s="4"/>
      <c r="DR2390" s="4"/>
      <c r="DS2390" s="4"/>
    </row>
    <row r="2391">
      <c r="A2391" s="4"/>
      <c r="B2391" s="4"/>
      <c r="C2391" s="4"/>
      <c r="D2391" s="4"/>
      <c r="E2391" s="4"/>
      <c r="F2391" s="4" t="s">
        <v>17</v>
      </c>
      <c r="G2391" s="15"/>
      <c r="H2391" s="4"/>
      <c r="I2391" s="4"/>
      <c r="J2391" s="4"/>
      <c r="K2391" s="4"/>
      <c r="L2391" s="4"/>
      <c r="M2391" s="4"/>
      <c r="N2391" s="4"/>
      <c r="O2391" s="4"/>
      <c r="P2391" s="4"/>
      <c r="Q2391" s="4"/>
      <c r="R2391" s="4"/>
      <c r="S2391" s="4"/>
      <c r="T2391" s="4"/>
      <c r="U2391" s="4"/>
      <c r="V2391" s="4"/>
      <c r="W2391" s="4"/>
      <c r="X2391" s="4"/>
      <c r="Y2391" s="4"/>
      <c r="Z2391" s="4"/>
      <c r="AA2391" s="4"/>
      <c r="AB2391" s="4"/>
      <c r="AC2391" s="4"/>
      <c r="AD2391" s="4"/>
      <c r="AE2391" s="4"/>
      <c r="AF2391" s="4"/>
      <c r="AG2391" s="4"/>
      <c r="AH2391" s="4"/>
      <c r="AI2391" s="4"/>
      <c r="AJ2391" s="4"/>
      <c r="AK2391" s="4"/>
      <c r="AL2391" s="4"/>
      <c r="AM2391" s="4"/>
      <c r="AN2391" s="4"/>
      <c r="AO2391" s="4"/>
      <c r="AP2391" s="4"/>
      <c r="AQ2391" s="4"/>
      <c r="AR2391" s="4"/>
      <c r="AS2391" s="4"/>
      <c r="AT2391" s="4"/>
      <c r="AU2391" s="4"/>
      <c r="AV2391" s="4"/>
      <c r="AW2391" s="4"/>
      <c r="AX2391" s="4"/>
      <c r="AY2391" s="4"/>
      <c r="AZ2391" s="4"/>
      <c r="BA2391" s="4"/>
      <c r="BB2391" s="4"/>
      <c r="BC2391" s="4"/>
      <c r="BD2391" s="4"/>
      <c r="BE2391" s="4"/>
      <c r="BF2391" s="4"/>
      <c r="BG2391" s="4"/>
      <c r="BH2391" s="4"/>
      <c r="BI2391" s="4"/>
      <c r="BJ2391" s="4"/>
      <c r="BK2391" s="4"/>
      <c r="BL2391" s="4"/>
      <c r="BM2391" s="4"/>
      <c r="BN2391" s="4"/>
      <c r="BO2391" s="4"/>
      <c r="BP2391" s="4"/>
      <c r="BQ2391" s="4"/>
      <c r="BR2391" s="4"/>
      <c r="BS2391" s="4"/>
      <c r="BT2391" s="4"/>
      <c r="BU2391" s="4"/>
      <c r="BV2391" s="4"/>
      <c r="BW2391" s="4"/>
      <c r="BX2391" s="4"/>
      <c r="BY2391" s="4"/>
      <c r="BZ2391" s="4"/>
      <c r="CA2391" s="4"/>
      <c r="CB2391" s="4"/>
      <c r="CC2391" s="4"/>
      <c r="CD2391" s="4"/>
      <c r="CE2391" s="4"/>
      <c r="CF2391" s="4"/>
      <c r="CG2391" s="4"/>
      <c r="CH2391" s="4"/>
      <c r="CI2391" s="4"/>
      <c r="CJ2391" s="4"/>
      <c r="CK2391" s="4"/>
      <c r="CL2391" s="4"/>
      <c r="CM2391" s="4"/>
      <c r="CN2391" s="4"/>
      <c r="CO2391" s="4"/>
      <c r="CP2391" s="4"/>
      <c r="CQ2391" s="4"/>
      <c r="CR2391" s="4"/>
      <c r="CS2391" s="4"/>
      <c r="CT2391" s="4"/>
      <c r="CU2391" s="4"/>
      <c r="CV2391" s="4"/>
      <c r="CW2391" s="4"/>
      <c r="CX2391" s="4"/>
      <c r="CY2391" s="4"/>
      <c r="CZ2391" s="4"/>
      <c r="DA2391" s="4"/>
      <c r="DB2391" s="4"/>
      <c r="DC2391" s="4"/>
      <c r="DD2391" s="4"/>
      <c r="DE2391" s="4"/>
      <c r="DF2391" s="4"/>
      <c r="DG2391" s="4"/>
      <c r="DH2391" s="4"/>
      <c r="DI2391" s="4"/>
      <c r="DJ2391" s="4"/>
      <c r="DK2391" s="4"/>
      <c r="DL2391" s="4"/>
      <c r="DM2391" s="4"/>
      <c r="DN2391" s="4"/>
      <c r="DO2391" s="4"/>
      <c r="DP2391" s="4"/>
      <c r="DQ2391" s="4"/>
      <c r="DR2391" s="4"/>
      <c r="DS2391" s="4"/>
    </row>
    <row r="2392">
      <c r="A2392" s="4"/>
      <c r="B2392" s="4"/>
      <c r="C2392" s="4"/>
      <c r="D2392" s="4"/>
      <c r="E2392" s="4"/>
      <c r="F2392" s="4" t="s">
        <v>17</v>
      </c>
      <c r="G2392" s="15"/>
      <c r="H2392" s="4"/>
      <c r="I2392" s="4"/>
      <c r="J2392" s="4"/>
      <c r="K2392" s="4"/>
      <c r="L2392" s="4"/>
      <c r="M2392" s="4"/>
      <c r="N2392" s="4"/>
      <c r="O2392" s="4"/>
      <c r="P2392" s="4"/>
      <c r="Q2392" s="4"/>
      <c r="R2392" s="4"/>
      <c r="S2392" s="4"/>
      <c r="T2392" s="4"/>
      <c r="U2392" s="4"/>
      <c r="V2392" s="4"/>
      <c r="W2392" s="4"/>
      <c r="X2392" s="4"/>
      <c r="Y2392" s="4"/>
      <c r="Z2392" s="4"/>
      <c r="AA2392" s="4"/>
      <c r="AB2392" s="4"/>
      <c r="AC2392" s="4"/>
      <c r="AD2392" s="4"/>
      <c r="AE2392" s="4"/>
      <c r="AF2392" s="4"/>
      <c r="AG2392" s="4"/>
      <c r="AH2392" s="4"/>
      <c r="AI2392" s="4"/>
      <c r="AJ2392" s="4"/>
      <c r="AK2392" s="4"/>
      <c r="AL2392" s="4"/>
      <c r="AM2392" s="4"/>
      <c r="AN2392" s="4"/>
      <c r="AO2392" s="4"/>
      <c r="AP2392" s="4"/>
      <c r="AQ2392" s="4"/>
      <c r="AR2392" s="4"/>
      <c r="AS2392" s="4"/>
      <c r="AT2392" s="4"/>
      <c r="AU2392" s="4"/>
      <c r="AV2392" s="4"/>
      <c r="AW2392" s="4"/>
      <c r="AX2392" s="4"/>
      <c r="AY2392" s="4"/>
      <c r="AZ2392" s="4"/>
      <c r="BA2392" s="4"/>
      <c r="BB2392" s="4"/>
      <c r="BC2392" s="4"/>
      <c r="BD2392" s="4"/>
      <c r="BE2392" s="4"/>
      <c r="BF2392" s="4"/>
      <c r="BG2392" s="4"/>
      <c r="BH2392" s="4"/>
      <c r="BI2392" s="4"/>
      <c r="BJ2392" s="4"/>
      <c r="BK2392" s="4"/>
      <c r="BL2392" s="4"/>
      <c r="BM2392" s="4"/>
      <c r="BN2392" s="4"/>
      <c r="BO2392" s="4"/>
      <c r="BP2392" s="4"/>
      <c r="BQ2392" s="4"/>
      <c r="BR2392" s="4"/>
      <c r="BS2392" s="4"/>
      <c r="BT2392" s="4"/>
      <c r="BU2392" s="4"/>
      <c r="BV2392" s="4"/>
      <c r="BW2392" s="4"/>
      <c r="BX2392" s="4"/>
      <c r="BY2392" s="4"/>
      <c r="BZ2392" s="4"/>
      <c r="CA2392" s="4"/>
      <c r="CB2392" s="4"/>
      <c r="CC2392" s="4"/>
      <c r="CD2392" s="4"/>
      <c r="CE2392" s="4"/>
      <c r="CF2392" s="4"/>
      <c r="CG2392" s="4"/>
      <c r="CH2392" s="4"/>
      <c r="CI2392" s="4"/>
      <c r="CJ2392" s="4"/>
      <c r="CK2392" s="4"/>
      <c r="CL2392" s="4"/>
      <c r="CM2392" s="4"/>
      <c r="CN2392" s="4"/>
      <c r="CO2392" s="4"/>
      <c r="CP2392" s="4"/>
      <c r="CQ2392" s="4"/>
      <c r="CR2392" s="4"/>
      <c r="CS2392" s="4"/>
      <c r="CT2392" s="4"/>
      <c r="CU2392" s="4"/>
      <c r="CV2392" s="4"/>
      <c r="CW2392" s="4"/>
      <c r="CX2392" s="4"/>
      <c r="CY2392" s="4"/>
      <c r="CZ2392" s="4"/>
      <c r="DA2392" s="4"/>
      <c r="DB2392" s="4"/>
      <c r="DC2392" s="4"/>
      <c r="DD2392" s="4"/>
      <c r="DE2392" s="4"/>
      <c r="DF2392" s="4"/>
      <c r="DG2392" s="4"/>
      <c r="DH2392" s="4"/>
      <c r="DI2392" s="4"/>
      <c r="DJ2392" s="4"/>
      <c r="DK2392" s="4"/>
      <c r="DL2392" s="4"/>
      <c r="DM2392" s="4"/>
      <c r="DN2392" s="4"/>
      <c r="DO2392" s="4"/>
      <c r="DP2392" s="4"/>
      <c r="DQ2392" s="4"/>
      <c r="DR2392" s="4"/>
      <c r="DS2392" s="4"/>
    </row>
    <row r="2393">
      <c r="A2393" s="4"/>
      <c r="B2393" s="4"/>
      <c r="C2393" s="4"/>
      <c r="D2393" s="4"/>
      <c r="E2393" s="4"/>
      <c r="F2393" s="4" t="s">
        <v>17</v>
      </c>
      <c r="G2393" s="15"/>
      <c r="H2393" s="4"/>
      <c r="I2393" s="4"/>
      <c r="J2393" s="4"/>
      <c r="K2393" s="4"/>
      <c r="L2393" s="4"/>
      <c r="M2393" s="4"/>
      <c r="N2393" s="4"/>
      <c r="O2393" s="4"/>
      <c r="P2393" s="4"/>
      <c r="Q2393" s="4"/>
      <c r="R2393" s="4"/>
      <c r="S2393" s="4"/>
      <c r="T2393" s="4"/>
      <c r="U2393" s="4"/>
      <c r="V2393" s="4"/>
      <c r="W2393" s="4"/>
      <c r="X2393" s="4"/>
      <c r="Y2393" s="4"/>
      <c r="Z2393" s="4"/>
      <c r="AA2393" s="4"/>
      <c r="AB2393" s="4"/>
      <c r="AC2393" s="4"/>
      <c r="AD2393" s="4"/>
      <c r="AE2393" s="4"/>
      <c r="AF2393" s="4"/>
      <c r="AG2393" s="4"/>
      <c r="AH2393" s="4"/>
      <c r="AI2393" s="4"/>
      <c r="AJ2393" s="4"/>
      <c r="AK2393" s="4"/>
      <c r="AL2393" s="4"/>
      <c r="AM2393" s="4"/>
      <c r="AN2393" s="4"/>
      <c r="AO2393" s="4"/>
      <c r="AP2393" s="4"/>
      <c r="AQ2393" s="4"/>
      <c r="AR2393" s="4"/>
      <c r="AS2393" s="4"/>
      <c r="AT2393" s="4"/>
      <c r="AU2393" s="4"/>
      <c r="AV2393" s="4"/>
      <c r="AW2393" s="4"/>
      <c r="AX2393" s="4"/>
      <c r="AY2393" s="4"/>
      <c r="AZ2393" s="4"/>
      <c r="BA2393" s="4"/>
      <c r="BB2393" s="4"/>
      <c r="BC2393" s="4"/>
      <c r="BD2393" s="4"/>
      <c r="BE2393" s="4"/>
      <c r="BF2393" s="4"/>
      <c r="BG2393" s="4"/>
      <c r="BH2393" s="4"/>
      <c r="BI2393" s="4"/>
      <c r="BJ2393" s="4"/>
      <c r="BK2393" s="4"/>
      <c r="BL2393" s="4"/>
      <c r="BM2393" s="4"/>
      <c r="BN2393" s="4"/>
      <c r="BO2393" s="4"/>
      <c r="BP2393" s="4"/>
      <c r="BQ2393" s="4"/>
      <c r="BR2393" s="4"/>
      <c r="BS2393" s="4"/>
      <c r="BT2393" s="4"/>
      <c r="BU2393" s="4"/>
      <c r="BV2393" s="4"/>
      <c r="BW2393" s="4"/>
      <c r="BX2393" s="4"/>
      <c r="BY2393" s="4"/>
      <c r="BZ2393" s="4"/>
      <c r="CA2393" s="4"/>
      <c r="CB2393" s="4"/>
      <c r="CC2393" s="4"/>
      <c r="CD2393" s="4"/>
      <c r="CE2393" s="4"/>
      <c r="CF2393" s="4"/>
      <c r="CG2393" s="4"/>
      <c r="CH2393" s="4"/>
      <c r="CI2393" s="4"/>
      <c r="CJ2393" s="4"/>
      <c r="CK2393" s="4"/>
      <c r="CL2393" s="4"/>
      <c r="CM2393" s="4"/>
      <c r="CN2393" s="4"/>
      <c r="CO2393" s="4"/>
      <c r="CP2393" s="4"/>
      <c r="CQ2393" s="4"/>
      <c r="CR2393" s="4"/>
      <c r="CS2393" s="4"/>
      <c r="CT2393" s="4"/>
      <c r="CU2393" s="4"/>
      <c r="CV2393" s="4"/>
      <c r="CW2393" s="4"/>
      <c r="CX2393" s="4"/>
      <c r="CY2393" s="4"/>
      <c r="CZ2393" s="4"/>
      <c r="DA2393" s="4"/>
      <c r="DB2393" s="4"/>
      <c r="DC2393" s="4"/>
      <c r="DD2393" s="4"/>
      <c r="DE2393" s="4"/>
      <c r="DF2393" s="4"/>
      <c r="DG2393" s="4"/>
      <c r="DH2393" s="4"/>
      <c r="DI2393" s="4"/>
      <c r="DJ2393" s="4"/>
      <c r="DK2393" s="4"/>
      <c r="DL2393" s="4"/>
      <c r="DM2393" s="4"/>
      <c r="DN2393" s="4"/>
      <c r="DO2393" s="4"/>
      <c r="DP2393" s="4"/>
      <c r="DQ2393" s="4"/>
      <c r="DR2393" s="4"/>
      <c r="DS2393" s="4"/>
    </row>
    <row r="2394">
      <c r="A2394" s="4"/>
      <c r="B2394" s="4"/>
      <c r="C2394" s="4"/>
      <c r="D2394" s="4"/>
      <c r="E2394" s="4"/>
      <c r="F2394" s="4" t="s">
        <v>17</v>
      </c>
      <c r="G2394" s="15"/>
      <c r="H2394" s="4"/>
      <c r="I2394" s="4"/>
      <c r="J2394" s="4"/>
      <c r="K2394" s="4"/>
      <c r="L2394" s="4"/>
      <c r="M2394" s="4"/>
      <c r="N2394" s="4"/>
      <c r="O2394" s="4"/>
      <c r="P2394" s="4"/>
      <c r="Q2394" s="4"/>
      <c r="R2394" s="4"/>
      <c r="S2394" s="4"/>
      <c r="T2394" s="4"/>
      <c r="U2394" s="4"/>
      <c r="V2394" s="4"/>
      <c r="W2394" s="4"/>
      <c r="X2394" s="4"/>
      <c r="Y2394" s="4"/>
      <c r="Z2394" s="4"/>
      <c r="AA2394" s="4"/>
      <c r="AB2394" s="4"/>
      <c r="AC2394" s="4"/>
      <c r="AD2394" s="4"/>
      <c r="AE2394" s="4"/>
      <c r="AF2394" s="4"/>
      <c r="AG2394" s="4"/>
      <c r="AH2394" s="4"/>
      <c r="AI2394" s="4"/>
      <c r="AJ2394" s="4"/>
      <c r="AK2394" s="4"/>
      <c r="AL2394" s="4"/>
      <c r="AM2394" s="4"/>
      <c r="AN2394" s="4"/>
      <c r="AO2394" s="4"/>
      <c r="AP2394" s="4"/>
      <c r="AQ2394" s="4"/>
      <c r="AR2394" s="4"/>
      <c r="AS2394" s="4"/>
      <c r="AT2394" s="4"/>
      <c r="AU2394" s="4"/>
      <c r="AV2394" s="4"/>
      <c r="AW2394" s="4"/>
      <c r="AX2394" s="4"/>
      <c r="AY2394" s="4"/>
      <c r="AZ2394" s="4"/>
      <c r="BA2394" s="4"/>
      <c r="BB2394" s="4"/>
      <c r="BC2394" s="4"/>
      <c r="BD2394" s="4"/>
      <c r="BE2394" s="4"/>
      <c r="BF2394" s="4"/>
      <c r="BG2394" s="4"/>
      <c r="BH2394" s="4"/>
      <c r="BI2394" s="4"/>
      <c r="BJ2394" s="4"/>
      <c r="BK2394" s="4"/>
      <c r="BL2394" s="4"/>
      <c r="BM2394" s="4"/>
      <c r="BN2394" s="4"/>
      <c r="BO2394" s="4"/>
      <c r="BP2394" s="4"/>
      <c r="BQ2394" s="4"/>
      <c r="BR2394" s="4"/>
      <c r="BS2394" s="4"/>
      <c r="BT2394" s="4"/>
      <c r="BU2394" s="4"/>
      <c r="BV2394" s="4"/>
      <c r="BW2394" s="4"/>
      <c r="BX2394" s="4"/>
      <c r="BY2394" s="4"/>
      <c r="BZ2394" s="4"/>
      <c r="CA2394" s="4"/>
      <c r="CB2394" s="4"/>
      <c r="CC2394" s="4"/>
      <c r="CD2394" s="4"/>
      <c r="CE2394" s="4"/>
      <c r="CF2394" s="4"/>
      <c r="CG2394" s="4"/>
      <c r="CH2394" s="4"/>
      <c r="CI2394" s="4"/>
      <c r="CJ2394" s="4"/>
      <c r="CK2394" s="4"/>
      <c r="CL2394" s="4"/>
      <c r="CM2394" s="4"/>
      <c r="CN2394" s="4"/>
      <c r="CO2394" s="4"/>
      <c r="CP2394" s="4"/>
      <c r="CQ2394" s="4"/>
      <c r="CR2394" s="4"/>
      <c r="CS2394" s="4"/>
      <c r="CT2394" s="4"/>
      <c r="CU2394" s="4"/>
      <c r="CV2394" s="4"/>
      <c r="CW2394" s="4"/>
      <c r="CX2394" s="4"/>
      <c r="CY2394" s="4"/>
      <c r="CZ2394" s="4"/>
      <c r="DA2394" s="4"/>
      <c r="DB2394" s="4"/>
      <c r="DC2394" s="4"/>
      <c r="DD2394" s="4"/>
      <c r="DE2394" s="4"/>
      <c r="DF2394" s="4"/>
      <c r="DG2394" s="4"/>
      <c r="DH2394" s="4"/>
      <c r="DI2394" s="4"/>
      <c r="DJ2394" s="4"/>
      <c r="DK2394" s="4"/>
      <c r="DL2394" s="4"/>
      <c r="DM2394" s="4"/>
      <c r="DN2394" s="4"/>
      <c r="DO2394" s="4"/>
      <c r="DP2394" s="4"/>
      <c r="DQ2394" s="4"/>
      <c r="DR2394" s="4"/>
      <c r="DS2394" s="4"/>
    </row>
    <row r="2395">
      <c r="A2395" s="4"/>
      <c r="B2395" s="4"/>
      <c r="C2395" s="4"/>
      <c r="D2395" s="4"/>
      <c r="E2395" s="4"/>
      <c r="F2395" s="4" t="s">
        <v>17</v>
      </c>
      <c r="G2395" s="15"/>
      <c r="H2395" s="4"/>
      <c r="I2395" s="4"/>
      <c r="J2395" s="4"/>
      <c r="K2395" s="4"/>
      <c r="L2395" s="4"/>
      <c r="M2395" s="4"/>
      <c r="N2395" s="4"/>
      <c r="O2395" s="4"/>
      <c r="P2395" s="4"/>
      <c r="Q2395" s="4"/>
      <c r="R2395" s="4"/>
      <c r="S2395" s="4"/>
      <c r="T2395" s="4"/>
      <c r="U2395" s="4"/>
      <c r="V2395" s="4"/>
      <c r="W2395" s="4"/>
      <c r="X2395" s="4"/>
      <c r="Y2395" s="4"/>
      <c r="Z2395" s="4"/>
      <c r="AA2395" s="4"/>
      <c r="AB2395" s="4"/>
      <c r="AC2395" s="4"/>
      <c r="AD2395" s="4"/>
      <c r="AE2395" s="4"/>
      <c r="AF2395" s="4"/>
      <c r="AG2395" s="4"/>
      <c r="AH2395" s="4"/>
      <c r="AI2395" s="4"/>
      <c r="AJ2395" s="4"/>
      <c r="AK2395" s="4"/>
      <c r="AL2395" s="4"/>
      <c r="AM2395" s="4"/>
      <c r="AN2395" s="4"/>
      <c r="AO2395" s="4"/>
      <c r="AP2395" s="4"/>
      <c r="AQ2395" s="4"/>
      <c r="AR2395" s="4"/>
      <c r="AS2395" s="4"/>
      <c r="AT2395" s="4"/>
      <c r="AU2395" s="4"/>
      <c r="AV2395" s="4"/>
      <c r="AW2395" s="4"/>
      <c r="AX2395" s="4"/>
      <c r="AY2395" s="4"/>
      <c r="AZ2395" s="4"/>
      <c r="BA2395" s="4"/>
      <c r="BB2395" s="4"/>
      <c r="BC2395" s="4"/>
      <c r="BD2395" s="4"/>
      <c r="BE2395" s="4"/>
      <c r="BF2395" s="4"/>
      <c r="BG2395" s="4"/>
      <c r="BH2395" s="4"/>
      <c r="BI2395" s="4"/>
      <c r="BJ2395" s="4"/>
      <c r="BK2395" s="4"/>
      <c r="BL2395" s="4"/>
      <c r="BM2395" s="4"/>
      <c r="BN2395" s="4"/>
      <c r="BO2395" s="4"/>
      <c r="BP2395" s="4"/>
      <c r="BQ2395" s="4"/>
      <c r="BR2395" s="4"/>
      <c r="BS2395" s="4"/>
      <c r="BT2395" s="4"/>
      <c r="BU2395" s="4"/>
      <c r="BV2395" s="4"/>
      <c r="BW2395" s="4"/>
      <c r="BX2395" s="4"/>
      <c r="BY2395" s="4"/>
      <c r="BZ2395" s="4"/>
      <c r="CA2395" s="4"/>
      <c r="CB2395" s="4"/>
      <c r="CC2395" s="4"/>
      <c r="CD2395" s="4"/>
      <c r="CE2395" s="4"/>
      <c r="CF2395" s="4"/>
      <c r="CG2395" s="4"/>
      <c r="CH2395" s="4"/>
      <c r="CI2395" s="4"/>
      <c r="CJ2395" s="4"/>
      <c r="CK2395" s="4"/>
      <c r="CL2395" s="4"/>
      <c r="CM2395" s="4"/>
      <c r="CN2395" s="4"/>
      <c r="CO2395" s="4"/>
      <c r="CP2395" s="4"/>
      <c r="CQ2395" s="4"/>
      <c r="CR2395" s="4"/>
      <c r="CS2395" s="4"/>
      <c r="CT2395" s="4"/>
      <c r="CU2395" s="4"/>
      <c r="CV2395" s="4"/>
      <c r="CW2395" s="4"/>
      <c r="CX2395" s="4"/>
      <c r="CY2395" s="4"/>
      <c r="CZ2395" s="4"/>
      <c r="DA2395" s="4"/>
      <c r="DB2395" s="4"/>
      <c r="DC2395" s="4"/>
      <c r="DD2395" s="4"/>
      <c r="DE2395" s="4"/>
      <c r="DF2395" s="4"/>
      <c r="DG2395" s="4"/>
      <c r="DH2395" s="4"/>
      <c r="DI2395" s="4"/>
      <c r="DJ2395" s="4"/>
      <c r="DK2395" s="4"/>
      <c r="DL2395" s="4"/>
      <c r="DM2395" s="4"/>
      <c r="DN2395" s="4"/>
      <c r="DO2395" s="4"/>
      <c r="DP2395" s="4"/>
      <c r="DQ2395" s="4"/>
      <c r="DR2395" s="4"/>
      <c r="DS2395" s="4"/>
    </row>
    <row r="2396">
      <c r="A2396" s="4"/>
      <c r="B2396" s="4"/>
      <c r="C2396" s="4"/>
      <c r="D2396" s="4"/>
      <c r="E2396" s="4"/>
      <c r="F2396" s="4" t="s">
        <v>17</v>
      </c>
      <c r="G2396" s="15"/>
      <c r="H2396" s="4"/>
      <c r="I2396" s="4"/>
      <c r="J2396" s="4"/>
      <c r="K2396" s="4"/>
      <c r="L2396" s="4"/>
      <c r="M2396" s="4"/>
      <c r="N2396" s="4"/>
      <c r="O2396" s="4"/>
      <c r="P2396" s="4"/>
      <c r="Q2396" s="4"/>
      <c r="R2396" s="4"/>
      <c r="S2396" s="4"/>
      <c r="T2396" s="4"/>
      <c r="U2396" s="4"/>
      <c r="V2396" s="4"/>
      <c r="W2396" s="4"/>
      <c r="X2396" s="4"/>
      <c r="Y2396" s="4"/>
      <c r="Z2396" s="4"/>
      <c r="AA2396" s="4"/>
      <c r="AB2396" s="4"/>
      <c r="AC2396" s="4"/>
      <c r="AD2396" s="4"/>
      <c r="AE2396" s="4"/>
      <c r="AF2396" s="4"/>
      <c r="AG2396" s="4"/>
      <c r="AH2396" s="4"/>
      <c r="AI2396" s="4"/>
      <c r="AJ2396" s="4"/>
      <c r="AK2396" s="4"/>
      <c r="AL2396" s="4"/>
      <c r="AM2396" s="4"/>
      <c r="AN2396" s="4"/>
      <c r="AO2396" s="4"/>
      <c r="AP2396" s="4"/>
      <c r="AQ2396" s="4"/>
      <c r="AR2396" s="4"/>
      <c r="AS2396" s="4"/>
      <c r="AT2396" s="4"/>
      <c r="AU2396" s="4"/>
      <c r="AV2396" s="4"/>
      <c r="AW2396" s="4"/>
      <c r="AX2396" s="4"/>
      <c r="AY2396" s="4"/>
      <c r="AZ2396" s="4"/>
      <c r="BA2396" s="4"/>
      <c r="BB2396" s="4"/>
      <c r="BC2396" s="4"/>
      <c r="BD2396" s="4"/>
      <c r="BE2396" s="4"/>
      <c r="BF2396" s="4"/>
      <c r="BG2396" s="4"/>
      <c r="BH2396" s="4"/>
      <c r="BI2396" s="4"/>
      <c r="BJ2396" s="4"/>
      <c r="BK2396" s="4"/>
      <c r="BL2396" s="4"/>
      <c r="BM2396" s="4"/>
      <c r="BN2396" s="4"/>
      <c r="BO2396" s="4"/>
      <c r="BP2396" s="4"/>
      <c r="BQ2396" s="4"/>
      <c r="BR2396" s="4"/>
      <c r="BS2396" s="4"/>
      <c r="BT2396" s="4"/>
      <c r="BU2396" s="4"/>
      <c r="BV2396" s="4"/>
      <c r="BW2396" s="4"/>
      <c r="BX2396" s="4"/>
      <c r="BY2396" s="4"/>
      <c r="BZ2396" s="4"/>
      <c r="CA2396" s="4"/>
      <c r="CB2396" s="4"/>
      <c r="CC2396" s="4"/>
      <c r="CD2396" s="4"/>
      <c r="CE2396" s="4"/>
      <c r="CF2396" s="4"/>
      <c r="CG2396" s="4"/>
      <c r="CH2396" s="4"/>
      <c r="CI2396" s="4"/>
      <c r="CJ2396" s="4"/>
      <c r="CK2396" s="4"/>
      <c r="CL2396" s="4"/>
      <c r="CM2396" s="4"/>
      <c r="CN2396" s="4"/>
      <c r="CO2396" s="4"/>
      <c r="CP2396" s="4"/>
      <c r="CQ2396" s="4"/>
      <c r="CR2396" s="4"/>
      <c r="CS2396" s="4"/>
      <c r="CT2396" s="4"/>
      <c r="CU2396" s="4"/>
      <c r="CV2396" s="4"/>
      <c r="CW2396" s="4"/>
      <c r="CX2396" s="4"/>
      <c r="CY2396" s="4"/>
      <c r="CZ2396" s="4"/>
      <c r="DA2396" s="4"/>
      <c r="DB2396" s="4"/>
      <c r="DC2396" s="4"/>
      <c r="DD2396" s="4"/>
      <c r="DE2396" s="4"/>
      <c r="DF2396" s="4"/>
      <c r="DG2396" s="4"/>
      <c r="DH2396" s="4"/>
      <c r="DI2396" s="4"/>
      <c r="DJ2396" s="4"/>
      <c r="DK2396" s="4"/>
      <c r="DL2396" s="4"/>
      <c r="DM2396" s="4"/>
      <c r="DN2396" s="4"/>
      <c r="DO2396" s="4"/>
      <c r="DP2396" s="4"/>
      <c r="DQ2396" s="4"/>
      <c r="DR2396" s="4"/>
      <c r="DS2396" s="4"/>
    </row>
    <row r="2397">
      <c r="A2397" s="4"/>
      <c r="B2397" s="4"/>
      <c r="C2397" s="4"/>
      <c r="D2397" s="4"/>
      <c r="E2397" s="4"/>
      <c r="F2397" s="4" t="s">
        <v>17</v>
      </c>
      <c r="G2397" s="15"/>
      <c r="H2397" s="4"/>
      <c r="I2397" s="4"/>
      <c r="J2397" s="4"/>
      <c r="K2397" s="4"/>
      <c r="L2397" s="4"/>
      <c r="M2397" s="4"/>
      <c r="N2397" s="4"/>
      <c r="O2397" s="4"/>
      <c r="P2397" s="4"/>
      <c r="Q2397" s="4"/>
      <c r="R2397" s="4"/>
      <c r="S2397" s="4"/>
      <c r="T2397" s="4"/>
      <c r="U2397" s="4"/>
      <c r="V2397" s="4"/>
      <c r="W2397" s="4"/>
      <c r="X2397" s="4"/>
      <c r="Y2397" s="4"/>
      <c r="Z2397" s="4"/>
      <c r="AA2397" s="4"/>
      <c r="AB2397" s="4"/>
      <c r="AC2397" s="4"/>
      <c r="AD2397" s="4"/>
      <c r="AE2397" s="4"/>
      <c r="AF2397" s="4"/>
      <c r="AG2397" s="4"/>
      <c r="AH2397" s="4"/>
      <c r="AI2397" s="4"/>
      <c r="AJ2397" s="4"/>
      <c r="AK2397" s="4"/>
      <c r="AL2397" s="4"/>
      <c r="AM2397" s="4"/>
      <c r="AN2397" s="4"/>
      <c r="AO2397" s="4"/>
      <c r="AP2397" s="4"/>
      <c r="AQ2397" s="4"/>
      <c r="AR2397" s="4"/>
      <c r="AS2397" s="4"/>
      <c r="AT2397" s="4"/>
      <c r="AU2397" s="4"/>
      <c r="AV2397" s="4"/>
      <c r="AW2397" s="4"/>
      <c r="AX2397" s="4"/>
      <c r="AY2397" s="4"/>
      <c r="AZ2397" s="4"/>
      <c r="BA2397" s="4"/>
      <c r="BB2397" s="4"/>
      <c r="BC2397" s="4"/>
      <c r="BD2397" s="4"/>
      <c r="BE2397" s="4"/>
      <c r="BF2397" s="4"/>
      <c r="BG2397" s="4"/>
      <c r="BH2397" s="4"/>
      <c r="BI2397" s="4"/>
      <c r="BJ2397" s="4"/>
      <c r="BK2397" s="4"/>
      <c r="BL2397" s="4"/>
      <c r="BM2397" s="4"/>
      <c r="BN2397" s="4"/>
      <c r="BO2397" s="4"/>
      <c r="BP2397" s="4"/>
      <c r="BQ2397" s="4"/>
      <c r="BR2397" s="4"/>
      <c r="BS2397" s="4"/>
      <c r="BT2397" s="4"/>
      <c r="BU2397" s="4"/>
      <c r="BV2397" s="4"/>
      <c r="BW2397" s="4"/>
      <c r="BX2397" s="4"/>
      <c r="BY2397" s="4"/>
      <c r="BZ2397" s="4"/>
      <c r="CA2397" s="4"/>
      <c r="CB2397" s="4"/>
      <c r="CC2397" s="4"/>
      <c r="CD2397" s="4"/>
      <c r="CE2397" s="4"/>
      <c r="CF2397" s="4"/>
      <c r="CG2397" s="4"/>
      <c r="CH2397" s="4"/>
      <c r="CI2397" s="4"/>
      <c r="CJ2397" s="4"/>
      <c r="CK2397" s="4"/>
      <c r="CL2397" s="4"/>
      <c r="CM2397" s="4"/>
      <c r="CN2397" s="4"/>
      <c r="CO2397" s="4"/>
      <c r="CP2397" s="4"/>
      <c r="CQ2397" s="4"/>
      <c r="CR2397" s="4"/>
      <c r="CS2397" s="4"/>
      <c r="CT2397" s="4"/>
      <c r="CU2397" s="4"/>
      <c r="CV2397" s="4"/>
      <c r="CW2397" s="4"/>
      <c r="CX2397" s="4"/>
      <c r="CY2397" s="4"/>
      <c r="CZ2397" s="4"/>
      <c r="DA2397" s="4"/>
      <c r="DB2397" s="4"/>
      <c r="DC2397" s="4"/>
      <c r="DD2397" s="4"/>
      <c r="DE2397" s="4"/>
      <c r="DF2397" s="4"/>
      <c r="DG2397" s="4"/>
      <c r="DH2397" s="4"/>
      <c r="DI2397" s="4"/>
      <c r="DJ2397" s="4"/>
      <c r="DK2397" s="4"/>
      <c r="DL2397" s="4"/>
      <c r="DM2397" s="4"/>
      <c r="DN2397" s="4"/>
      <c r="DO2397" s="4"/>
      <c r="DP2397" s="4"/>
      <c r="DQ2397" s="4"/>
      <c r="DR2397" s="4"/>
      <c r="DS2397" s="4"/>
    </row>
    <row r="2398">
      <c r="A2398" s="4"/>
      <c r="B2398" s="4"/>
      <c r="C2398" s="4"/>
      <c r="D2398" s="4"/>
      <c r="E2398" s="4"/>
      <c r="F2398" s="4" t="s">
        <v>17</v>
      </c>
      <c r="G2398" s="15"/>
      <c r="H2398" s="4"/>
      <c r="I2398" s="4"/>
      <c r="J2398" s="4"/>
      <c r="K2398" s="4"/>
      <c r="L2398" s="4"/>
      <c r="M2398" s="4"/>
      <c r="N2398" s="4"/>
      <c r="O2398" s="4"/>
      <c r="P2398" s="4"/>
      <c r="Q2398" s="4"/>
      <c r="R2398" s="4"/>
      <c r="S2398" s="4"/>
      <c r="T2398" s="4"/>
      <c r="U2398" s="4"/>
      <c r="V2398" s="4"/>
      <c r="W2398" s="4"/>
      <c r="X2398" s="4"/>
      <c r="Y2398" s="4"/>
      <c r="Z2398" s="4"/>
      <c r="AA2398" s="4"/>
      <c r="AB2398" s="4"/>
      <c r="AC2398" s="4"/>
      <c r="AD2398" s="4"/>
      <c r="AE2398" s="4"/>
      <c r="AF2398" s="4"/>
      <c r="AG2398" s="4"/>
      <c r="AH2398" s="4"/>
      <c r="AI2398" s="4"/>
      <c r="AJ2398" s="4"/>
      <c r="AK2398" s="4"/>
      <c r="AL2398" s="4"/>
      <c r="AM2398" s="4"/>
      <c r="AN2398" s="4"/>
      <c r="AO2398" s="4"/>
      <c r="AP2398" s="4"/>
      <c r="AQ2398" s="4"/>
      <c r="AR2398" s="4"/>
      <c r="AS2398" s="4"/>
      <c r="AT2398" s="4"/>
      <c r="AU2398" s="4"/>
      <c r="AV2398" s="4"/>
      <c r="AW2398" s="4"/>
      <c r="AX2398" s="4"/>
      <c r="AY2398" s="4"/>
      <c r="AZ2398" s="4"/>
      <c r="BA2398" s="4"/>
      <c r="BB2398" s="4"/>
      <c r="BC2398" s="4"/>
      <c r="BD2398" s="4"/>
      <c r="BE2398" s="4"/>
      <c r="BF2398" s="4"/>
      <c r="BG2398" s="4"/>
      <c r="BH2398" s="4"/>
      <c r="BI2398" s="4"/>
      <c r="BJ2398" s="4"/>
      <c r="BK2398" s="4"/>
      <c r="BL2398" s="4"/>
      <c r="BM2398" s="4"/>
      <c r="BN2398" s="4"/>
      <c r="BO2398" s="4"/>
      <c r="BP2398" s="4"/>
      <c r="BQ2398" s="4"/>
      <c r="BR2398" s="4"/>
      <c r="BS2398" s="4"/>
      <c r="BT2398" s="4"/>
      <c r="BU2398" s="4"/>
      <c r="BV2398" s="4"/>
      <c r="BW2398" s="4"/>
      <c r="BX2398" s="4"/>
      <c r="BY2398" s="4"/>
      <c r="BZ2398" s="4"/>
      <c r="CA2398" s="4"/>
      <c r="CB2398" s="4"/>
      <c r="CC2398" s="4"/>
      <c r="CD2398" s="4"/>
      <c r="CE2398" s="4"/>
      <c r="CF2398" s="4"/>
      <c r="CG2398" s="4"/>
      <c r="CH2398" s="4"/>
      <c r="CI2398" s="4"/>
      <c r="CJ2398" s="4"/>
      <c r="CK2398" s="4"/>
      <c r="CL2398" s="4"/>
      <c r="CM2398" s="4"/>
      <c r="CN2398" s="4"/>
      <c r="CO2398" s="4"/>
      <c r="CP2398" s="4"/>
      <c r="CQ2398" s="4"/>
      <c r="CR2398" s="4"/>
      <c r="CS2398" s="4"/>
      <c r="CT2398" s="4"/>
      <c r="CU2398" s="4"/>
      <c r="CV2398" s="4"/>
      <c r="CW2398" s="4"/>
      <c r="CX2398" s="4"/>
      <c r="CY2398" s="4"/>
      <c r="CZ2398" s="4"/>
      <c r="DA2398" s="4"/>
      <c r="DB2398" s="4"/>
      <c r="DC2398" s="4"/>
      <c r="DD2398" s="4"/>
      <c r="DE2398" s="4"/>
      <c r="DF2398" s="4"/>
      <c r="DG2398" s="4"/>
      <c r="DH2398" s="4"/>
      <c r="DI2398" s="4"/>
      <c r="DJ2398" s="4"/>
      <c r="DK2398" s="4"/>
      <c r="DL2398" s="4"/>
      <c r="DM2398" s="4"/>
      <c r="DN2398" s="4"/>
      <c r="DO2398" s="4"/>
      <c r="DP2398" s="4"/>
      <c r="DQ2398" s="4"/>
      <c r="DR2398" s="4"/>
      <c r="DS2398" s="4"/>
    </row>
    <row r="2399">
      <c r="A2399" s="4"/>
      <c r="B2399" s="4"/>
      <c r="C2399" s="4"/>
      <c r="D2399" s="4"/>
      <c r="E2399" s="4"/>
      <c r="F2399" s="4" t="s">
        <v>17</v>
      </c>
      <c r="G2399" s="15"/>
      <c r="H2399" s="4"/>
      <c r="I2399" s="4"/>
      <c r="J2399" s="4"/>
      <c r="K2399" s="4"/>
      <c r="L2399" s="4"/>
      <c r="M2399" s="4"/>
      <c r="N2399" s="4"/>
      <c r="O2399" s="4"/>
      <c r="P2399" s="4"/>
      <c r="Q2399" s="4"/>
      <c r="R2399" s="4"/>
      <c r="S2399" s="4"/>
      <c r="T2399" s="4"/>
      <c r="U2399" s="4"/>
      <c r="V2399" s="4"/>
      <c r="W2399" s="4"/>
      <c r="X2399" s="4"/>
      <c r="Y2399" s="4"/>
      <c r="Z2399" s="4"/>
      <c r="AA2399" s="4"/>
      <c r="AB2399" s="4"/>
      <c r="AC2399" s="4"/>
      <c r="AD2399" s="4"/>
      <c r="AE2399" s="4"/>
      <c r="AF2399" s="4"/>
      <c r="AG2399" s="4"/>
      <c r="AH2399" s="4"/>
      <c r="AI2399" s="4"/>
      <c r="AJ2399" s="4"/>
      <c r="AK2399" s="4"/>
      <c r="AL2399" s="4"/>
      <c r="AM2399" s="4"/>
      <c r="AN2399" s="4"/>
      <c r="AO2399" s="4"/>
      <c r="AP2399" s="4"/>
      <c r="AQ2399" s="4"/>
      <c r="AR2399" s="4"/>
      <c r="AS2399" s="4"/>
      <c r="AT2399" s="4"/>
      <c r="AU2399" s="4"/>
      <c r="AV2399" s="4"/>
      <c r="AW2399" s="4"/>
      <c r="AX2399" s="4"/>
      <c r="AY2399" s="4"/>
      <c r="AZ2399" s="4"/>
      <c r="BA2399" s="4"/>
      <c r="BB2399" s="4"/>
      <c r="BC2399" s="4"/>
      <c r="BD2399" s="4"/>
      <c r="BE2399" s="4"/>
      <c r="BF2399" s="4"/>
      <c r="BG2399" s="4"/>
      <c r="BH2399" s="4"/>
      <c r="BI2399" s="4"/>
      <c r="BJ2399" s="4"/>
      <c r="BK2399" s="4"/>
      <c r="BL2399" s="4"/>
      <c r="BM2399" s="4"/>
      <c r="BN2399" s="4"/>
      <c r="BO2399" s="4"/>
      <c r="BP2399" s="4"/>
      <c r="BQ2399" s="4"/>
      <c r="BR2399" s="4"/>
      <c r="BS2399" s="4"/>
      <c r="BT2399" s="4"/>
      <c r="BU2399" s="4"/>
      <c r="BV2399" s="4"/>
      <c r="BW2399" s="4"/>
      <c r="BX2399" s="4"/>
      <c r="BY2399" s="4"/>
      <c r="BZ2399" s="4"/>
      <c r="CA2399" s="4"/>
      <c r="CB2399" s="4"/>
      <c r="CC2399" s="4"/>
      <c r="CD2399" s="4"/>
      <c r="CE2399" s="4"/>
      <c r="CF2399" s="4"/>
      <c r="CG2399" s="4"/>
      <c r="CH2399" s="4"/>
      <c r="CI2399" s="4"/>
      <c r="CJ2399" s="4"/>
      <c r="CK2399" s="4"/>
      <c r="CL2399" s="4"/>
      <c r="CM2399" s="4"/>
      <c r="CN2399" s="4"/>
      <c r="CO2399" s="4"/>
      <c r="CP2399" s="4"/>
      <c r="CQ2399" s="4"/>
      <c r="CR2399" s="4"/>
      <c r="CS2399" s="4"/>
      <c r="CT2399" s="4"/>
      <c r="CU2399" s="4"/>
      <c r="CV2399" s="4"/>
      <c r="CW2399" s="4"/>
      <c r="CX2399" s="4"/>
      <c r="CY2399" s="4"/>
      <c r="CZ2399" s="4"/>
      <c r="DA2399" s="4"/>
      <c r="DB2399" s="4"/>
      <c r="DC2399" s="4"/>
      <c r="DD2399" s="4"/>
      <c r="DE2399" s="4"/>
      <c r="DF2399" s="4"/>
      <c r="DG2399" s="4"/>
      <c r="DH2399" s="4"/>
      <c r="DI2399" s="4"/>
      <c r="DJ2399" s="4"/>
      <c r="DK2399" s="4"/>
      <c r="DL2399" s="4"/>
      <c r="DM2399" s="4"/>
      <c r="DN2399" s="4"/>
      <c r="DO2399" s="4"/>
      <c r="DP2399" s="4"/>
      <c r="DQ2399" s="4"/>
      <c r="DR2399" s="4"/>
      <c r="DS2399" s="4"/>
    </row>
    <row r="2400">
      <c r="A2400" s="4"/>
      <c r="B2400" s="4"/>
      <c r="C2400" s="4"/>
      <c r="D2400" s="4"/>
      <c r="E2400" s="4"/>
      <c r="F2400" s="4" t="s">
        <v>17</v>
      </c>
      <c r="G2400" s="15"/>
      <c r="H2400" s="4"/>
      <c r="I2400" s="4"/>
      <c r="J2400" s="4"/>
      <c r="K2400" s="4"/>
      <c r="L2400" s="4"/>
      <c r="M2400" s="4"/>
      <c r="N2400" s="4"/>
      <c r="O2400" s="4"/>
      <c r="P2400" s="4"/>
      <c r="Q2400" s="4"/>
      <c r="R2400" s="4"/>
      <c r="S2400" s="4"/>
      <c r="T2400" s="4"/>
      <c r="U2400" s="4"/>
      <c r="V2400" s="4"/>
      <c r="W2400" s="4"/>
      <c r="X2400" s="4"/>
      <c r="Y2400" s="4"/>
      <c r="Z2400" s="4"/>
      <c r="AA2400" s="4"/>
      <c r="AB2400" s="4"/>
      <c r="AC2400" s="4"/>
      <c r="AD2400" s="4"/>
      <c r="AE2400" s="4"/>
      <c r="AF2400" s="4"/>
      <c r="AG2400" s="4"/>
      <c r="AH2400" s="4"/>
      <c r="AI2400" s="4"/>
      <c r="AJ2400" s="4"/>
      <c r="AK2400" s="4"/>
      <c r="AL2400" s="4"/>
      <c r="AM2400" s="4"/>
      <c r="AN2400" s="4"/>
      <c r="AO2400" s="4"/>
      <c r="AP2400" s="4"/>
      <c r="AQ2400" s="4"/>
      <c r="AR2400" s="4"/>
      <c r="AS2400" s="4"/>
      <c r="AT2400" s="4"/>
      <c r="AU2400" s="4"/>
      <c r="AV2400" s="4"/>
      <c r="AW2400" s="4"/>
      <c r="AX2400" s="4"/>
      <c r="AY2400" s="4"/>
      <c r="AZ2400" s="4"/>
      <c r="BA2400" s="4"/>
      <c r="BB2400" s="4"/>
      <c r="BC2400" s="4"/>
      <c r="BD2400" s="4"/>
      <c r="BE2400" s="4"/>
      <c r="BF2400" s="4"/>
      <c r="BG2400" s="4"/>
      <c r="BH2400" s="4"/>
      <c r="BI2400" s="4"/>
      <c r="BJ2400" s="4"/>
      <c r="BK2400" s="4"/>
      <c r="BL2400" s="4"/>
      <c r="BM2400" s="4"/>
      <c r="BN2400" s="4"/>
      <c r="BO2400" s="4"/>
      <c r="BP2400" s="4"/>
      <c r="BQ2400" s="4"/>
      <c r="BR2400" s="4"/>
      <c r="BS2400" s="4"/>
      <c r="BT2400" s="4"/>
      <c r="BU2400" s="4"/>
      <c r="BV2400" s="4"/>
      <c r="BW2400" s="4"/>
      <c r="BX2400" s="4"/>
      <c r="BY2400" s="4"/>
      <c r="BZ2400" s="4"/>
      <c r="CA2400" s="4"/>
      <c r="CB2400" s="4"/>
      <c r="CC2400" s="4"/>
      <c r="CD2400" s="4"/>
      <c r="CE2400" s="4"/>
      <c r="CF2400" s="4"/>
      <c r="CG2400" s="4"/>
      <c r="CH2400" s="4"/>
      <c r="CI2400" s="4"/>
      <c r="CJ2400" s="4"/>
      <c r="CK2400" s="4"/>
      <c r="CL2400" s="4"/>
      <c r="CM2400" s="4"/>
      <c r="CN2400" s="4"/>
      <c r="CO2400" s="4"/>
      <c r="CP2400" s="4"/>
      <c r="CQ2400" s="4"/>
      <c r="CR2400" s="4"/>
      <c r="CS2400" s="4"/>
      <c r="CT2400" s="4"/>
      <c r="CU2400" s="4"/>
      <c r="CV2400" s="4"/>
      <c r="CW2400" s="4"/>
      <c r="CX2400" s="4"/>
      <c r="CY2400" s="4"/>
      <c r="CZ2400" s="4"/>
      <c r="DA2400" s="4"/>
      <c r="DB2400" s="4"/>
      <c r="DC2400" s="4"/>
      <c r="DD2400" s="4"/>
      <c r="DE2400" s="4"/>
      <c r="DF2400" s="4"/>
      <c r="DG2400" s="4"/>
      <c r="DH2400" s="4"/>
      <c r="DI2400" s="4"/>
      <c r="DJ2400" s="4"/>
      <c r="DK2400" s="4"/>
      <c r="DL2400" s="4"/>
      <c r="DM2400" s="4"/>
      <c r="DN2400" s="4"/>
      <c r="DO2400" s="4"/>
      <c r="DP2400" s="4"/>
      <c r="DQ2400" s="4"/>
      <c r="DR2400" s="4"/>
      <c r="DS2400" s="4"/>
    </row>
    <row r="2401">
      <c r="A2401" s="4"/>
      <c r="B2401" s="4"/>
      <c r="C2401" s="4"/>
      <c r="D2401" s="4"/>
      <c r="E2401" s="4"/>
      <c r="F2401" s="4" t="s">
        <v>17</v>
      </c>
      <c r="G2401" s="15"/>
      <c r="H2401" s="4"/>
      <c r="I2401" s="4"/>
      <c r="J2401" s="4"/>
      <c r="K2401" s="4"/>
      <c r="L2401" s="4"/>
      <c r="M2401" s="4"/>
      <c r="N2401" s="4"/>
      <c r="O2401" s="4"/>
      <c r="P2401" s="4"/>
      <c r="Q2401" s="4"/>
      <c r="R2401" s="4"/>
      <c r="S2401" s="4"/>
      <c r="T2401" s="4"/>
      <c r="U2401" s="4"/>
      <c r="V2401" s="4"/>
      <c r="W2401" s="4"/>
      <c r="X2401" s="4"/>
      <c r="Y2401" s="4"/>
      <c r="Z2401" s="4"/>
      <c r="AA2401" s="4"/>
      <c r="AB2401" s="4"/>
      <c r="AC2401" s="4"/>
      <c r="AD2401" s="4"/>
      <c r="AE2401" s="4"/>
      <c r="AF2401" s="4"/>
      <c r="AG2401" s="4"/>
      <c r="AH2401" s="4"/>
      <c r="AI2401" s="4"/>
      <c r="AJ2401" s="4"/>
      <c r="AK2401" s="4"/>
      <c r="AL2401" s="4"/>
      <c r="AM2401" s="4"/>
      <c r="AN2401" s="4"/>
      <c r="AO2401" s="4"/>
      <c r="AP2401" s="4"/>
      <c r="AQ2401" s="4"/>
      <c r="AR2401" s="4"/>
      <c r="AS2401" s="4"/>
      <c r="AT2401" s="4"/>
      <c r="AU2401" s="4"/>
      <c r="AV2401" s="4"/>
      <c r="AW2401" s="4"/>
      <c r="AX2401" s="4"/>
      <c r="AY2401" s="4"/>
      <c r="AZ2401" s="4"/>
      <c r="BA2401" s="4"/>
      <c r="BB2401" s="4"/>
      <c r="BC2401" s="4"/>
      <c r="BD2401" s="4"/>
      <c r="BE2401" s="4"/>
      <c r="BF2401" s="4"/>
      <c r="BG2401" s="4"/>
      <c r="BH2401" s="4"/>
      <c r="BI2401" s="4"/>
      <c r="BJ2401" s="4"/>
      <c r="BK2401" s="4"/>
      <c r="BL2401" s="4"/>
      <c r="BM2401" s="4"/>
      <c r="BN2401" s="4"/>
      <c r="BO2401" s="4"/>
      <c r="BP2401" s="4"/>
      <c r="BQ2401" s="4"/>
      <c r="BR2401" s="4"/>
      <c r="BS2401" s="4"/>
      <c r="BT2401" s="4"/>
      <c r="BU2401" s="4"/>
      <c r="BV2401" s="4"/>
      <c r="BW2401" s="4"/>
      <c r="BX2401" s="4"/>
      <c r="BY2401" s="4"/>
      <c r="BZ2401" s="4"/>
      <c r="CA2401" s="4"/>
      <c r="CB2401" s="4"/>
      <c r="CC2401" s="4"/>
      <c r="CD2401" s="4"/>
      <c r="CE2401" s="4"/>
      <c r="CF2401" s="4"/>
      <c r="CG2401" s="4"/>
      <c r="CH2401" s="4"/>
      <c r="CI2401" s="4"/>
      <c r="CJ2401" s="4"/>
      <c r="CK2401" s="4"/>
      <c r="CL2401" s="4"/>
      <c r="CM2401" s="4"/>
      <c r="CN2401" s="4"/>
      <c r="CO2401" s="4"/>
      <c r="CP2401" s="4"/>
      <c r="CQ2401" s="4"/>
      <c r="CR2401" s="4"/>
      <c r="CS2401" s="4"/>
      <c r="CT2401" s="4"/>
      <c r="CU2401" s="4"/>
      <c r="CV2401" s="4"/>
      <c r="CW2401" s="4"/>
      <c r="CX2401" s="4"/>
      <c r="CY2401" s="4"/>
      <c r="CZ2401" s="4"/>
      <c r="DA2401" s="4"/>
      <c r="DB2401" s="4"/>
      <c r="DC2401" s="4"/>
      <c r="DD2401" s="4"/>
      <c r="DE2401" s="4"/>
      <c r="DF2401" s="4"/>
      <c r="DG2401" s="4"/>
      <c r="DH2401" s="4"/>
      <c r="DI2401" s="4"/>
      <c r="DJ2401" s="4"/>
      <c r="DK2401" s="4"/>
      <c r="DL2401" s="4"/>
      <c r="DM2401" s="4"/>
      <c r="DN2401" s="4"/>
      <c r="DO2401" s="4"/>
      <c r="DP2401" s="4"/>
      <c r="DQ2401" s="4"/>
      <c r="DR2401" s="4"/>
      <c r="DS2401" s="4"/>
    </row>
    <row r="2402">
      <c r="A2402" s="4"/>
      <c r="B2402" s="4"/>
      <c r="C2402" s="4"/>
      <c r="D2402" s="4"/>
      <c r="E2402" s="4"/>
      <c r="F2402" s="4" t="s">
        <v>17</v>
      </c>
      <c r="G2402" s="15"/>
      <c r="H2402" s="4"/>
      <c r="I2402" s="4"/>
      <c r="J2402" s="4"/>
      <c r="K2402" s="4"/>
      <c r="L2402" s="4"/>
      <c r="M2402" s="4"/>
      <c r="N2402" s="4"/>
      <c r="O2402" s="4"/>
      <c r="P2402" s="4"/>
      <c r="Q2402" s="4"/>
      <c r="R2402" s="4"/>
      <c r="S2402" s="4"/>
      <c r="T2402" s="4"/>
      <c r="U2402" s="4"/>
      <c r="V2402" s="4"/>
      <c r="W2402" s="4"/>
      <c r="X2402" s="4"/>
      <c r="Y2402" s="4"/>
      <c r="Z2402" s="4"/>
      <c r="AA2402" s="4"/>
      <c r="AB2402" s="4"/>
      <c r="AC2402" s="4"/>
      <c r="AD2402" s="4"/>
      <c r="AE2402" s="4"/>
      <c r="AF2402" s="4"/>
      <c r="AG2402" s="4"/>
      <c r="AH2402" s="4"/>
      <c r="AI2402" s="4"/>
      <c r="AJ2402" s="4"/>
      <c r="AK2402" s="4"/>
      <c r="AL2402" s="4"/>
      <c r="AM2402" s="4"/>
      <c r="AN2402" s="4"/>
      <c r="AO2402" s="4"/>
      <c r="AP2402" s="4"/>
      <c r="AQ2402" s="4"/>
      <c r="AR2402" s="4"/>
      <c r="AS2402" s="4"/>
      <c r="AT2402" s="4"/>
      <c r="AU2402" s="4"/>
      <c r="AV2402" s="4"/>
      <c r="AW2402" s="4"/>
      <c r="AX2402" s="4"/>
      <c r="AY2402" s="4"/>
      <c r="AZ2402" s="4"/>
      <c r="BA2402" s="4"/>
      <c r="BB2402" s="4"/>
      <c r="BC2402" s="4"/>
      <c r="BD2402" s="4"/>
      <c r="BE2402" s="4"/>
      <c r="BF2402" s="4"/>
      <c r="BG2402" s="4"/>
      <c r="BH2402" s="4"/>
      <c r="BI2402" s="4"/>
      <c r="BJ2402" s="4"/>
      <c r="BK2402" s="4"/>
      <c r="BL2402" s="4"/>
      <c r="BM2402" s="4"/>
      <c r="BN2402" s="4"/>
      <c r="BO2402" s="4"/>
      <c r="BP2402" s="4"/>
      <c r="BQ2402" s="4"/>
      <c r="BR2402" s="4"/>
      <c r="BS2402" s="4"/>
      <c r="BT2402" s="4"/>
      <c r="BU2402" s="4"/>
      <c r="BV2402" s="4"/>
      <c r="BW2402" s="4"/>
      <c r="BX2402" s="4"/>
      <c r="BY2402" s="4"/>
      <c r="BZ2402" s="4"/>
      <c r="CA2402" s="4"/>
      <c r="CB2402" s="4"/>
      <c r="CC2402" s="4"/>
      <c r="CD2402" s="4"/>
      <c r="CE2402" s="4"/>
      <c r="CF2402" s="4"/>
      <c r="CG2402" s="4"/>
      <c r="CH2402" s="4"/>
      <c r="CI2402" s="4"/>
      <c r="CJ2402" s="4"/>
      <c r="CK2402" s="4"/>
      <c r="CL2402" s="4"/>
      <c r="CM2402" s="4"/>
      <c r="CN2402" s="4"/>
      <c r="CO2402" s="4"/>
      <c r="CP2402" s="4"/>
      <c r="CQ2402" s="4"/>
      <c r="CR2402" s="4"/>
      <c r="CS2402" s="4"/>
      <c r="CT2402" s="4"/>
      <c r="CU2402" s="4"/>
      <c r="CV2402" s="4"/>
      <c r="CW2402" s="4"/>
      <c r="CX2402" s="4"/>
      <c r="CY2402" s="4"/>
      <c r="CZ2402" s="4"/>
      <c r="DA2402" s="4"/>
      <c r="DB2402" s="4"/>
      <c r="DC2402" s="4"/>
      <c r="DD2402" s="4"/>
      <c r="DE2402" s="4"/>
      <c r="DF2402" s="4"/>
      <c r="DG2402" s="4"/>
      <c r="DH2402" s="4"/>
      <c r="DI2402" s="4"/>
      <c r="DJ2402" s="4"/>
      <c r="DK2402" s="4"/>
      <c r="DL2402" s="4"/>
      <c r="DM2402" s="4"/>
      <c r="DN2402" s="4"/>
      <c r="DO2402" s="4"/>
      <c r="DP2402" s="4"/>
      <c r="DQ2402" s="4"/>
      <c r="DR2402" s="4"/>
      <c r="DS2402" s="4"/>
    </row>
    <row r="2403">
      <c r="A2403" s="4"/>
      <c r="B2403" s="4"/>
      <c r="C2403" s="4"/>
      <c r="D2403" s="4"/>
      <c r="E2403" s="4"/>
      <c r="F2403" s="4" t="s">
        <v>17</v>
      </c>
      <c r="G2403" s="15"/>
      <c r="H2403" s="4"/>
      <c r="I2403" s="4"/>
      <c r="J2403" s="4"/>
      <c r="K2403" s="4"/>
      <c r="L2403" s="4"/>
      <c r="M2403" s="4"/>
      <c r="N2403" s="4"/>
      <c r="O2403" s="4"/>
      <c r="P2403" s="4"/>
      <c r="Q2403" s="4"/>
      <c r="R2403" s="4"/>
      <c r="S2403" s="4"/>
      <c r="T2403" s="4"/>
      <c r="U2403" s="4"/>
      <c r="V2403" s="4"/>
      <c r="W2403" s="4"/>
      <c r="X2403" s="4"/>
      <c r="Y2403" s="4"/>
      <c r="Z2403" s="4"/>
      <c r="AA2403" s="4"/>
      <c r="AB2403" s="4"/>
      <c r="AC2403" s="4"/>
      <c r="AD2403" s="4"/>
      <c r="AE2403" s="4"/>
      <c r="AF2403" s="4"/>
      <c r="AG2403" s="4"/>
      <c r="AH2403" s="4"/>
      <c r="AI2403" s="4"/>
      <c r="AJ2403" s="4"/>
      <c r="AK2403" s="4"/>
      <c r="AL2403" s="4"/>
      <c r="AM2403" s="4"/>
      <c r="AN2403" s="4"/>
      <c r="AO2403" s="4"/>
      <c r="AP2403" s="4"/>
      <c r="AQ2403" s="4"/>
      <c r="AR2403" s="4"/>
      <c r="AS2403" s="4"/>
      <c r="AT2403" s="4"/>
      <c r="AU2403" s="4"/>
      <c r="AV2403" s="4"/>
      <c r="AW2403" s="4"/>
      <c r="AX2403" s="4"/>
      <c r="AY2403" s="4"/>
      <c r="AZ2403" s="4"/>
      <c r="BA2403" s="4"/>
      <c r="BB2403" s="4"/>
      <c r="BC2403" s="4"/>
      <c r="BD2403" s="4"/>
      <c r="BE2403" s="4"/>
      <c r="BF2403" s="4"/>
      <c r="BG2403" s="4"/>
      <c r="BH2403" s="4"/>
      <c r="BI2403" s="4"/>
      <c r="BJ2403" s="4"/>
      <c r="BK2403" s="4"/>
      <c r="BL2403" s="4"/>
      <c r="BM2403" s="4"/>
      <c r="BN2403" s="4"/>
      <c r="BO2403" s="4"/>
      <c r="BP2403" s="4"/>
      <c r="BQ2403" s="4"/>
      <c r="BR2403" s="4"/>
      <c r="BS2403" s="4"/>
      <c r="BT2403" s="4"/>
      <c r="BU2403" s="4"/>
      <c r="BV2403" s="4"/>
      <c r="BW2403" s="4"/>
      <c r="BX2403" s="4"/>
      <c r="BY2403" s="4"/>
      <c r="BZ2403" s="4"/>
      <c r="CA2403" s="4"/>
      <c r="CB2403" s="4"/>
      <c r="CC2403" s="4"/>
      <c r="CD2403" s="4"/>
      <c r="CE2403" s="4"/>
      <c r="CF2403" s="4"/>
      <c r="CG2403" s="4"/>
      <c r="CH2403" s="4"/>
      <c r="CI2403" s="4"/>
      <c r="CJ2403" s="4"/>
      <c r="CK2403" s="4"/>
      <c r="CL2403" s="4"/>
      <c r="CM2403" s="4"/>
      <c r="CN2403" s="4"/>
      <c r="CO2403" s="4"/>
      <c r="CP2403" s="4"/>
      <c r="CQ2403" s="4"/>
      <c r="CR2403" s="4"/>
      <c r="CS2403" s="4"/>
      <c r="CT2403" s="4"/>
      <c r="CU2403" s="4"/>
      <c r="CV2403" s="4"/>
      <c r="CW2403" s="4"/>
      <c r="CX2403" s="4"/>
      <c r="CY2403" s="4"/>
      <c r="CZ2403" s="4"/>
      <c r="DA2403" s="4"/>
      <c r="DB2403" s="4"/>
      <c r="DC2403" s="4"/>
      <c r="DD2403" s="4"/>
      <c r="DE2403" s="4"/>
      <c r="DF2403" s="4"/>
      <c r="DG2403" s="4"/>
      <c r="DH2403" s="4"/>
      <c r="DI2403" s="4"/>
      <c r="DJ2403" s="4"/>
      <c r="DK2403" s="4"/>
      <c r="DL2403" s="4"/>
      <c r="DM2403" s="4"/>
      <c r="DN2403" s="4"/>
      <c r="DO2403" s="4"/>
      <c r="DP2403" s="4"/>
      <c r="DQ2403" s="4"/>
      <c r="DR2403" s="4"/>
      <c r="DS2403" s="4"/>
    </row>
    <row r="2404">
      <c r="A2404" s="4"/>
      <c r="B2404" s="4"/>
      <c r="C2404" s="4"/>
      <c r="D2404" s="4"/>
      <c r="E2404" s="4"/>
      <c r="F2404" s="4" t="s">
        <v>17</v>
      </c>
      <c r="G2404" s="15"/>
      <c r="H2404" s="4"/>
      <c r="I2404" s="4"/>
      <c r="J2404" s="4"/>
      <c r="K2404" s="4"/>
      <c r="L2404" s="4"/>
      <c r="M2404" s="4"/>
      <c r="N2404" s="4"/>
      <c r="O2404" s="4"/>
      <c r="P2404" s="4"/>
      <c r="Q2404" s="4"/>
      <c r="R2404" s="4"/>
      <c r="S2404" s="4"/>
      <c r="T2404" s="4"/>
      <c r="U2404" s="4"/>
      <c r="V2404" s="4"/>
      <c r="W2404" s="4"/>
      <c r="X2404" s="4"/>
      <c r="Y2404" s="4"/>
      <c r="Z2404" s="4"/>
      <c r="AA2404" s="4"/>
      <c r="AB2404" s="4"/>
      <c r="AC2404" s="4"/>
      <c r="AD2404" s="4"/>
      <c r="AE2404" s="4"/>
      <c r="AF2404" s="4"/>
      <c r="AG2404" s="4"/>
      <c r="AH2404" s="4"/>
      <c r="AI2404" s="4"/>
      <c r="AJ2404" s="4"/>
      <c r="AK2404" s="4"/>
      <c r="AL2404" s="4"/>
      <c r="AM2404" s="4"/>
      <c r="AN2404" s="4"/>
      <c r="AO2404" s="4"/>
      <c r="AP2404" s="4"/>
      <c r="AQ2404" s="4"/>
      <c r="AR2404" s="4"/>
      <c r="AS2404" s="4"/>
      <c r="AT2404" s="4"/>
      <c r="AU2404" s="4"/>
      <c r="AV2404" s="4"/>
      <c r="AW2404" s="4"/>
      <c r="AX2404" s="4"/>
      <c r="AY2404" s="4"/>
      <c r="AZ2404" s="4"/>
      <c r="BA2404" s="4"/>
      <c r="BB2404" s="4"/>
      <c r="BC2404" s="4"/>
      <c r="BD2404" s="4"/>
      <c r="BE2404" s="4"/>
      <c r="BF2404" s="4"/>
      <c r="BG2404" s="4"/>
      <c r="BH2404" s="4"/>
      <c r="BI2404" s="4"/>
      <c r="BJ2404" s="4"/>
      <c r="BK2404" s="4"/>
      <c r="BL2404" s="4"/>
      <c r="BM2404" s="4"/>
      <c r="BN2404" s="4"/>
      <c r="BO2404" s="4"/>
      <c r="BP2404" s="4"/>
      <c r="BQ2404" s="4"/>
      <c r="BR2404" s="4"/>
      <c r="BS2404" s="4"/>
      <c r="BT2404" s="4"/>
      <c r="BU2404" s="4"/>
      <c r="BV2404" s="4"/>
      <c r="BW2404" s="4"/>
      <c r="BX2404" s="4"/>
      <c r="BY2404" s="4"/>
      <c r="BZ2404" s="4"/>
      <c r="CA2404" s="4"/>
      <c r="CB2404" s="4"/>
      <c r="CC2404" s="4"/>
      <c r="CD2404" s="4"/>
      <c r="CE2404" s="4"/>
      <c r="CF2404" s="4"/>
      <c r="CG2404" s="4"/>
      <c r="CH2404" s="4"/>
      <c r="CI2404" s="4"/>
      <c r="CJ2404" s="4"/>
      <c r="CK2404" s="4"/>
      <c r="CL2404" s="4"/>
      <c r="CM2404" s="4"/>
      <c r="CN2404" s="4"/>
      <c r="CO2404" s="4"/>
      <c r="CP2404" s="4"/>
      <c r="CQ2404" s="4"/>
      <c r="CR2404" s="4"/>
      <c r="CS2404" s="4"/>
      <c r="CT2404" s="4"/>
      <c r="CU2404" s="4"/>
      <c r="CV2404" s="4"/>
      <c r="CW2404" s="4"/>
      <c r="CX2404" s="4"/>
      <c r="CY2404" s="4"/>
      <c r="CZ2404" s="4"/>
      <c r="DA2404" s="4"/>
      <c r="DB2404" s="4"/>
      <c r="DC2404" s="4"/>
      <c r="DD2404" s="4"/>
      <c r="DE2404" s="4"/>
      <c r="DF2404" s="4"/>
      <c r="DG2404" s="4"/>
      <c r="DH2404" s="4"/>
      <c r="DI2404" s="4"/>
      <c r="DJ2404" s="4"/>
      <c r="DK2404" s="4"/>
      <c r="DL2404" s="4"/>
      <c r="DM2404" s="4"/>
      <c r="DN2404" s="4"/>
      <c r="DO2404" s="4"/>
      <c r="DP2404" s="4"/>
      <c r="DQ2404" s="4"/>
      <c r="DR2404" s="4"/>
      <c r="DS2404" s="4"/>
    </row>
    <row r="2405">
      <c r="A2405" s="4"/>
      <c r="B2405" s="4"/>
      <c r="C2405" s="4"/>
      <c r="D2405" s="4"/>
      <c r="E2405" s="4"/>
      <c r="F2405" s="4" t="s">
        <v>17</v>
      </c>
      <c r="G2405" s="15"/>
      <c r="H2405" s="4"/>
      <c r="I2405" s="4"/>
      <c r="J2405" s="4"/>
      <c r="K2405" s="4"/>
      <c r="L2405" s="4"/>
      <c r="M2405" s="4"/>
      <c r="N2405" s="4"/>
      <c r="O2405" s="4"/>
      <c r="P2405" s="4"/>
      <c r="Q2405" s="4"/>
      <c r="R2405" s="4"/>
      <c r="S2405" s="4"/>
      <c r="T2405" s="4"/>
      <c r="U2405" s="4"/>
      <c r="V2405" s="4"/>
      <c r="W2405" s="4"/>
      <c r="X2405" s="4"/>
      <c r="Y2405" s="4"/>
      <c r="Z2405" s="4"/>
      <c r="AA2405" s="4"/>
      <c r="AB2405" s="4"/>
      <c r="AC2405" s="4"/>
      <c r="AD2405" s="4"/>
      <c r="AE2405" s="4"/>
      <c r="AF2405" s="4"/>
      <c r="AG2405" s="4"/>
      <c r="AH2405" s="4"/>
      <c r="AI2405" s="4"/>
      <c r="AJ2405" s="4"/>
      <c r="AK2405" s="4"/>
      <c r="AL2405" s="4"/>
      <c r="AM2405" s="4"/>
      <c r="AN2405" s="4"/>
      <c r="AO2405" s="4"/>
      <c r="AP2405" s="4"/>
      <c r="AQ2405" s="4"/>
      <c r="AR2405" s="4"/>
      <c r="AS2405" s="4"/>
      <c r="AT2405" s="4"/>
      <c r="AU2405" s="4"/>
      <c r="AV2405" s="4"/>
      <c r="AW2405" s="4"/>
      <c r="AX2405" s="4"/>
      <c r="AY2405" s="4"/>
      <c r="AZ2405" s="4"/>
      <c r="BA2405" s="4"/>
      <c r="BB2405" s="4"/>
      <c r="BC2405" s="4"/>
      <c r="BD2405" s="4"/>
      <c r="BE2405" s="4"/>
      <c r="BF2405" s="4"/>
      <c r="BG2405" s="4"/>
      <c r="BH2405" s="4"/>
      <c r="BI2405" s="4"/>
      <c r="BJ2405" s="4"/>
      <c r="BK2405" s="4"/>
      <c r="BL2405" s="4"/>
      <c r="BM2405" s="4"/>
      <c r="BN2405" s="4"/>
      <c r="BO2405" s="4"/>
      <c r="BP2405" s="4"/>
      <c r="BQ2405" s="4"/>
      <c r="BR2405" s="4"/>
      <c r="BS2405" s="4"/>
      <c r="BT2405" s="4"/>
      <c r="BU2405" s="4"/>
      <c r="BV2405" s="4"/>
      <c r="BW2405" s="4"/>
      <c r="BX2405" s="4"/>
      <c r="BY2405" s="4"/>
      <c r="BZ2405" s="4"/>
      <c r="CA2405" s="4"/>
      <c r="CB2405" s="4"/>
      <c r="CC2405" s="4"/>
      <c r="CD2405" s="4"/>
      <c r="CE2405" s="4"/>
      <c r="CF2405" s="4"/>
      <c r="CG2405" s="4"/>
      <c r="CH2405" s="4"/>
      <c r="CI2405" s="4"/>
      <c r="CJ2405" s="4"/>
      <c r="CK2405" s="4"/>
      <c r="CL2405" s="4"/>
      <c r="CM2405" s="4"/>
      <c r="CN2405" s="4"/>
      <c r="CO2405" s="4"/>
      <c r="CP2405" s="4"/>
      <c r="CQ2405" s="4"/>
      <c r="CR2405" s="4"/>
      <c r="CS2405" s="4"/>
      <c r="CT2405" s="4"/>
      <c r="CU2405" s="4"/>
      <c r="CV2405" s="4"/>
      <c r="CW2405" s="4"/>
      <c r="CX2405" s="4"/>
      <c r="CY2405" s="4"/>
      <c r="CZ2405" s="4"/>
      <c r="DA2405" s="4"/>
      <c r="DB2405" s="4"/>
      <c r="DC2405" s="4"/>
      <c r="DD2405" s="4"/>
      <c r="DE2405" s="4"/>
      <c r="DF2405" s="4"/>
      <c r="DG2405" s="4"/>
      <c r="DH2405" s="4"/>
      <c r="DI2405" s="4"/>
      <c r="DJ2405" s="4"/>
      <c r="DK2405" s="4"/>
      <c r="DL2405" s="4"/>
      <c r="DM2405" s="4"/>
      <c r="DN2405" s="4"/>
      <c r="DO2405" s="4"/>
      <c r="DP2405" s="4"/>
      <c r="DQ2405" s="4"/>
      <c r="DR2405" s="4"/>
      <c r="DS2405" s="4"/>
    </row>
    <row r="2406">
      <c r="A2406" s="4"/>
      <c r="B2406" s="4"/>
      <c r="C2406" s="4"/>
      <c r="D2406" s="4"/>
      <c r="E2406" s="4"/>
      <c r="F2406" s="4" t="s">
        <v>17</v>
      </c>
      <c r="G2406" s="15"/>
      <c r="H2406" s="4"/>
      <c r="I2406" s="4"/>
      <c r="J2406" s="4"/>
      <c r="K2406" s="4"/>
      <c r="L2406" s="4"/>
      <c r="M2406" s="4"/>
      <c r="N2406" s="4"/>
      <c r="O2406" s="4"/>
      <c r="P2406" s="4"/>
      <c r="Q2406" s="4"/>
      <c r="R2406" s="4"/>
      <c r="S2406" s="4"/>
      <c r="T2406" s="4"/>
      <c r="U2406" s="4"/>
      <c r="V2406" s="4"/>
      <c r="W2406" s="4"/>
      <c r="X2406" s="4"/>
      <c r="Y2406" s="4"/>
      <c r="Z2406" s="4"/>
      <c r="AA2406" s="4"/>
      <c r="AB2406" s="4"/>
      <c r="AC2406" s="4"/>
      <c r="AD2406" s="4"/>
      <c r="AE2406" s="4"/>
      <c r="AF2406" s="4"/>
      <c r="AG2406" s="4"/>
      <c r="AH2406" s="4"/>
      <c r="AI2406" s="4"/>
      <c r="AJ2406" s="4"/>
      <c r="AK2406" s="4"/>
      <c r="AL2406" s="4"/>
      <c r="AM2406" s="4"/>
      <c r="AN2406" s="4"/>
      <c r="AO2406" s="4"/>
      <c r="AP2406" s="4"/>
      <c r="AQ2406" s="4"/>
      <c r="AR2406" s="4"/>
      <c r="AS2406" s="4"/>
      <c r="AT2406" s="4"/>
      <c r="AU2406" s="4"/>
      <c r="AV2406" s="4"/>
      <c r="AW2406" s="4"/>
      <c r="AX2406" s="4"/>
      <c r="AY2406" s="4"/>
      <c r="AZ2406" s="4"/>
      <c r="BA2406" s="4"/>
      <c r="BB2406" s="4"/>
      <c r="BC2406" s="4"/>
      <c r="BD2406" s="4"/>
      <c r="BE2406" s="4"/>
      <c r="BF2406" s="4"/>
      <c r="BG2406" s="4"/>
      <c r="BH2406" s="4"/>
      <c r="BI2406" s="4"/>
      <c r="BJ2406" s="4"/>
      <c r="BK2406" s="4"/>
      <c r="BL2406" s="4"/>
      <c r="BM2406" s="4"/>
      <c r="BN2406" s="4"/>
      <c r="BO2406" s="4"/>
      <c r="BP2406" s="4"/>
      <c r="BQ2406" s="4"/>
      <c r="BR2406" s="4"/>
      <c r="BS2406" s="4"/>
      <c r="BT2406" s="4"/>
      <c r="BU2406" s="4"/>
      <c r="BV2406" s="4"/>
      <c r="BW2406" s="4"/>
      <c r="BX2406" s="4"/>
      <c r="BY2406" s="4"/>
      <c r="BZ2406" s="4"/>
      <c r="CA2406" s="4"/>
      <c r="CB2406" s="4"/>
      <c r="CC2406" s="4"/>
      <c r="CD2406" s="4"/>
      <c r="CE2406" s="4"/>
      <c r="CF2406" s="4"/>
      <c r="CG2406" s="4"/>
      <c r="CH2406" s="4"/>
      <c r="CI2406" s="4"/>
      <c r="CJ2406" s="4"/>
      <c r="CK2406" s="4"/>
      <c r="CL2406" s="4"/>
      <c r="CM2406" s="4"/>
      <c r="CN2406" s="4"/>
      <c r="CO2406" s="4"/>
      <c r="CP2406" s="4"/>
      <c r="CQ2406" s="4"/>
      <c r="CR2406" s="4"/>
      <c r="CS2406" s="4"/>
      <c r="CT2406" s="4"/>
      <c r="CU2406" s="4"/>
      <c r="CV2406" s="4"/>
      <c r="CW2406" s="4"/>
      <c r="CX2406" s="4"/>
      <c r="CY2406" s="4"/>
      <c r="CZ2406" s="4"/>
      <c r="DA2406" s="4"/>
      <c r="DB2406" s="4"/>
      <c r="DC2406" s="4"/>
      <c r="DD2406" s="4"/>
      <c r="DE2406" s="4"/>
      <c r="DF2406" s="4"/>
      <c r="DG2406" s="4"/>
      <c r="DH2406" s="4"/>
      <c r="DI2406" s="4"/>
      <c r="DJ2406" s="4"/>
      <c r="DK2406" s="4"/>
      <c r="DL2406" s="4"/>
      <c r="DM2406" s="4"/>
      <c r="DN2406" s="4"/>
      <c r="DO2406" s="4"/>
      <c r="DP2406" s="4"/>
      <c r="DQ2406" s="4"/>
      <c r="DR2406" s="4"/>
      <c r="DS2406" s="4"/>
    </row>
    <row r="2407">
      <c r="A2407" s="4"/>
      <c r="B2407" s="4"/>
      <c r="C2407" s="4"/>
      <c r="D2407" s="4"/>
      <c r="E2407" s="4"/>
      <c r="F2407" s="4" t="s">
        <v>17</v>
      </c>
      <c r="G2407" s="15"/>
      <c r="H2407" s="4"/>
      <c r="I2407" s="4"/>
      <c r="J2407" s="4"/>
      <c r="K2407" s="4"/>
      <c r="L2407" s="4"/>
      <c r="M2407" s="4"/>
      <c r="N2407" s="4"/>
      <c r="O2407" s="4"/>
      <c r="P2407" s="4"/>
      <c r="Q2407" s="4"/>
      <c r="R2407" s="4"/>
      <c r="S2407" s="4"/>
      <c r="T2407" s="4"/>
      <c r="U2407" s="4"/>
      <c r="V2407" s="4"/>
      <c r="W2407" s="4"/>
      <c r="X2407" s="4"/>
      <c r="Y2407" s="4"/>
      <c r="Z2407" s="4"/>
      <c r="AA2407" s="4"/>
      <c r="AB2407" s="4"/>
      <c r="AC2407" s="4"/>
      <c r="AD2407" s="4"/>
      <c r="AE2407" s="4"/>
      <c r="AF2407" s="4"/>
      <c r="AG2407" s="4"/>
      <c r="AH2407" s="4"/>
      <c r="AI2407" s="4"/>
      <c r="AJ2407" s="4"/>
      <c r="AK2407" s="4"/>
      <c r="AL2407" s="4"/>
      <c r="AM2407" s="4"/>
      <c r="AN2407" s="4"/>
      <c r="AO2407" s="4"/>
      <c r="AP2407" s="4"/>
      <c r="AQ2407" s="4"/>
      <c r="AR2407" s="4"/>
      <c r="AS2407" s="4"/>
      <c r="AT2407" s="4"/>
      <c r="AU2407" s="4"/>
      <c r="AV2407" s="4"/>
      <c r="AW2407" s="4"/>
      <c r="AX2407" s="4"/>
      <c r="AY2407" s="4"/>
      <c r="AZ2407" s="4"/>
      <c r="BA2407" s="4"/>
      <c r="BB2407" s="4"/>
      <c r="BC2407" s="4"/>
      <c r="BD2407" s="4"/>
      <c r="BE2407" s="4"/>
      <c r="BF2407" s="4"/>
      <c r="BG2407" s="4"/>
      <c r="BH2407" s="4"/>
      <c r="BI2407" s="4"/>
      <c r="BJ2407" s="4"/>
      <c r="BK2407" s="4"/>
      <c r="BL2407" s="4"/>
      <c r="BM2407" s="4"/>
      <c r="BN2407" s="4"/>
      <c r="BO2407" s="4"/>
      <c r="BP2407" s="4"/>
      <c r="BQ2407" s="4"/>
      <c r="BR2407" s="4"/>
      <c r="BS2407" s="4"/>
      <c r="BT2407" s="4"/>
      <c r="BU2407" s="4"/>
      <c r="BV2407" s="4"/>
      <c r="BW2407" s="4"/>
      <c r="BX2407" s="4"/>
      <c r="BY2407" s="4"/>
      <c r="BZ2407" s="4"/>
      <c r="CA2407" s="4"/>
      <c r="CB2407" s="4"/>
      <c r="CC2407" s="4"/>
      <c r="CD2407" s="4"/>
      <c r="CE2407" s="4"/>
      <c r="CF2407" s="4"/>
      <c r="CG2407" s="4"/>
      <c r="CH2407" s="4"/>
      <c r="CI2407" s="4"/>
      <c r="CJ2407" s="4"/>
      <c r="CK2407" s="4"/>
      <c r="CL2407" s="4"/>
      <c r="CM2407" s="4"/>
      <c r="CN2407" s="4"/>
      <c r="CO2407" s="4"/>
      <c r="CP2407" s="4"/>
      <c r="CQ2407" s="4"/>
      <c r="CR2407" s="4"/>
      <c r="CS2407" s="4"/>
      <c r="CT2407" s="4"/>
      <c r="CU2407" s="4"/>
      <c r="CV2407" s="4"/>
      <c r="CW2407" s="4"/>
      <c r="CX2407" s="4"/>
      <c r="CY2407" s="4"/>
      <c r="CZ2407" s="4"/>
      <c r="DA2407" s="4"/>
      <c r="DB2407" s="4"/>
      <c r="DC2407" s="4"/>
      <c r="DD2407" s="4"/>
      <c r="DE2407" s="4"/>
      <c r="DF2407" s="4"/>
      <c r="DG2407" s="4"/>
      <c r="DH2407" s="4"/>
      <c r="DI2407" s="4"/>
      <c r="DJ2407" s="4"/>
      <c r="DK2407" s="4"/>
      <c r="DL2407" s="4"/>
      <c r="DM2407" s="4"/>
      <c r="DN2407" s="4"/>
      <c r="DO2407" s="4"/>
      <c r="DP2407" s="4"/>
      <c r="DQ2407" s="4"/>
      <c r="DR2407" s="4"/>
      <c r="DS2407" s="4"/>
    </row>
    <row r="2408">
      <c r="A2408" s="4"/>
      <c r="B2408" s="4"/>
      <c r="C2408" s="4"/>
      <c r="D2408" s="4"/>
      <c r="E2408" s="4"/>
      <c r="F2408" s="4" t="s">
        <v>17</v>
      </c>
      <c r="G2408" s="15"/>
      <c r="H2408" s="4"/>
      <c r="I2408" s="4"/>
      <c r="J2408" s="4"/>
      <c r="K2408" s="4"/>
      <c r="L2408" s="4"/>
      <c r="M2408" s="4"/>
      <c r="N2408" s="4"/>
      <c r="O2408" s="4"/>
      <c r="P2408" s="4"/>
      <c r="Q2408" s="4"/>
      <c r="R2408" s="4"/>
      <c r="S2408" s="4"/>
      <c r="T2408" s="4"/>
      <c r="U2408" s="4"/>
      <c r="V2408" s="4"/>
      <c r="W2408" s="4"/>
      <c r="X2408" s="4"/>
      <c r="Y2408" s="4"/>
      <c r="Z2408" s="4"/>
      <c r="AA2408" s="4"/>
      <c r="AB2408" s="4"/>
      <c r="AC2408" s="4"/>
      <c r="AD2408" s="4"/>
      <c r="AE2408" s="4"/>
      <c r="AF2408" s="4"/>
      <c r="AG2408" s="4"/>
      <c r="AH2408" s="4"/>
      <c r="AI2408" s="4"/>
      <c r="AJ2408" s="4"/>
      <c r="AK2408" s="4"/>
      <c r="AL2408" s="4"/>
      <c r="AM2408" s="4"/>
      <c r="AN2408" s="4"/>
      <c r="AO2408" s="4"/>
      <c r="AP2408" s="4"/>
      <c r="AQ2408" s="4"/>
      <c r="AR2408" s="4"/>
      <c r="AS2408" s="4"/>
      <c r="AT2408" s="4"/>
      <c r="AU2408" s="4"/>
      <c r="AV2408" s="4"/>
      <c r="AW2408" s="4"/>
      <c r="AX2408" s="4"/>
      <c r="AY2408" s="4"/>
      <c r="AZ2408" s="4"/>
      <c r="BA2408" s="4"/>
      <c r="BB2408" s="4"/>
      <c r="BC2408" s="4"/>
      <c r="BD2408" s="4"/>
      <c r="BE2408" s="4"/>
      <c r="BF2408" s="4"/>
      <c r="BG2408" s="4"/>
      <c r="BH2408" s="4"/>
      <c r="BI2408" s="4"/>
      <c r="BJ2408" s="4"/>
      <c r="BK2408" s="4"/>
      <c r="BL2408" s="4"/>
      <c r="BM2408" s="4"/>
      <c r="BN2408" s="4"/>
      <c r="BO2408" s="4"/>
      <c r="BP2408" s="4"/>
      <c r="BQ2408" s="4"/>
      <c r="BR2408" s="4"/>
      <c r="BS2408" s="4"/>
      <c r="BT2408" s="4"/>
      <c r="BU2408" s="4"/>
      <c r="BV2408" s="4"/>
      <c r="BW2408" s="4"/>
      <c r="BX2408" s="4"/>
      <c r="BY2408" s="4"/>
      <c r="BZ2408" s="4"/>
      <c r="CA2408" s="4"/>
      <c r="CB2408" s="4"/>
      <c r="CC2408" s="4"/>
      <c r="CD2408" s="4"/>
      <c r="CE2408" s="4"/>
      <c r="CF2408" s="4"/>
      <c r="CG2408" s="4"/>
      <c r="CH2408" s="4"/>
      <c r="CI2408" s="4"/>
      <c r="CJ2408" s="4"/>
      <c r="CK2408" s="4"/>
      <c r="CL2408" s="4"/>
      <c r="CM2408" s="4"/>
      <c r="CN2408" s="4"/>
      <c r="CO2408" s="4"/>
      <c r="CP2408" s="4"/>
      <c r="CQ2408" s="4"/>
      <c r="CR2408" s="4"/>
      <c r="CS2408" s="4"/>
      <c r="CT2408" s="4"/>
      <c r="CU2408" s="4"/>
      <c r="CV2408" s="4"/>
      <c r="CW2408" s="4"/>
      <c r="CX2408" s="4"/>
      <c r="CY2408" s="4"/>
      <c r="CZ2408" s="4"/>
      <c r="DA2408" s="4"/>
      <c r="DB2408" s="4"/>
      <c r="DC2408" s="4"/>
      <c r="DD2408" s="4"/>
      <c r="DE2408" s="4"/>
      <c r="DF2408" s="4"/>
      <c r="DG2408" s="4"/>
      <c r="DH2408" s="4"/>
      <c r="DI2408" s="4"/>
      <c r="DJ2408" s="4"/>
      <c r="DK2408" s="4"/>
      <c r="DL2408" s="4"/>
      <c r="DM2408" s="4"/>
      <c r="DN2408" s="4"/>
      <c r="DO2408" s="4"/>
      <c r="DP2408" s="4"/>
      <c r="DQ2408" s="4"/>
      <c r="DR2408" s="4"/>
      <c r="DS2408" s="4"/>
    </row>
    <row r="2409">
      <c r="A2409" s="4"/>
      <c r="B2409" s="4"/>
      <c r="C2409" s="4"/>
      <c r="D2409" s="4"/>
      <c r="E2409" s="4"/>
      <c r="F2409" s="4" t="s">
        <v>17</v>
      </c>
      <c r="G2409" s="15"/>
      <c r="H2409" s="4"/>
      <c r="I2409" s="4"/>
      <c r="J2409" s="4"/>
      <c r="K2409" s="4"/>
      <c r="L2409" s="4"/>
      <c r="M2409" s="4"/>
      <c r="N2409" s="4"/>
      <c r="O2409" s="4"/>
      <c r="P2409" s="4"/>
      <c r="Q2409" s="4"/>
      <c r="R2409" s="4"/>
      <c r="S2409" s="4"/>
      <c r="T2409" s="4"/>
      <c r="U2409" s="4"/>
      <c r="V2409" s="4"/>
      <c r="W2409" s="4"/>
      <c r="X2409" s="4"/>
      <c r="Y2409" s="4"/>
      <c r="Z2409" s="4"/>
      <c r="AA2409" s="4"/>
      <c r="AB2409" s="4"/>
      <c r="AC2409" s="4"/>
      <c r="AD2409" s="4"/>
      <c r="AE2409" s="4"/>
      <c r="AF2409" s="4"/>
      <c r="AG2409" s="4"/>
      <c r="AH2409" s="4"/>
      <c r="AI2409" s="4"/>
      <c r="AJ2409" s="4"/>
      <c r="AK2409" s="4"/>
      <c r="AL2409" s="4"/>
      <c r="AM2409" s="4"/>
      <c r="AN2409" s="4"/>
      <c r="AO2409" s="4"/>
      <c r="AP2409" s="4"/>
      <c r="AQ2409" s="4"/>
      <c r="AR2409" s="4"/>
      <c r="AS2409" s="4"/>
      <c r="AT2409" s="4"/>
      <c r="AU2409" s="4"/>
      <c r="AV2409" s="4"/>
      <c r="AW2409" s="4"/>
      <c r="AX2409" s="4"/>
      <c r="AY2409" s="4"/>
      <c r="AZ2409" s="4"/>
      <c r="BA2409" s="4"/>
      <c r="BB2409" s="4"/>
      <c r="BC2409" s="4"/>
      <c r="BD2409" s="4"/>
      <c r="BE2409" s="4"/>
      <c r="BF2409" s="4"/>
      <c r="BG2409" s="4"/>
      <c r="BH2409" s="4"/>
      <c r="BI2409" s="4"/>
      <c r="BJ2409" s="4"/>
      <c r="BK2409" s="4"/>
      <c r="BL2409" s="4"/>
      <c r="BM2409" s="4"/>
      <c r="BN2409" s="4"/>
      <c r="BO2409" s="4"/>
      <c r="BP2409" s="4"/>
      <c r="BQ2409" s="4"/>
      <c r="BR2409" s="4"/>
      <c r="BS2409" s="4"/>
      <c r="BT2409" s="4"/>
      <c r="BU2409" s="4"/>
      <c r="BV2409" s="4"/>
      <c r="BW2409" s="4"/>
      <c r="BX2409" s="4"/>
      <c r="BY2409" s="4"/>
      <c r="BZ2409" s="4"/>
      <c r="CA2409" s="4"/>
      <c r="CB2409" s="4"/>
      <c r="CC2409" s="4"/>
      <c r="CD2409" s="4"/>
      <c r="CE2409" s="4"/>
      <c r="CF2409" s="4"/>
      <c r="CG2409" s="4"/>
      <c r="CH2409" s="4"/>
      <c r="CI2409" s="4"/>
      <c r="CJ2409" s="4"/>
      <c r="CK2409" s="4"/>
      <c r="CL2409" s="4"/>
      <c r="CM2409" s="4"/>
      <c r="CN2409" s="4"/>
      <c r="CO2409" s="4"/>
      <c r="CP2409" s="4"/>
      <c r="CQ2409" s="4"/>
      <c r="CR2409" s="4"/>
      <c r="CS2409" s="4"/>
      <c r="CT2409" s="4"/>
      <c r="CU2409" s="4"/>
      <c r="CV2409" s="4"/>
      <c r="CW2409" s="4"/>
      <c r="CX2409" s="4"/>
      <c r="CY2409" s="4"/>
      <c r="CZ2409" s="4"/>
      <c r="DA2409" s="4"/>
      <c r="DB2409" s="4"/>
      <c r="DC2409" s="4"/>
      <c r="DD2409" s="4"/>
      <c r="DE2409" s="4"/>
      <c r="DF2409" s="4"/>
      <c r="DG2409" s="4"/>
      <c r="DH2409" s="4"/>
      <c r="DI2409" s="4"/>
      <c r="DJ2409" s="4"/>
      <c r="DK2409" s="4"/>
      <c r="DL2409" s="4"/>
      <c r="DM2409" s="4"/>
      <c r="DN2409" s="4"/>
      <c r="DO2409" s="4"/>
      <c r="DP2409" s="4"/>
      <c r="DQ2409" s="4"/>
      <c r="DR2409" s="4"/>
      <c r="DS2409" s="4"/>
    </row>
    <row r="2410">
      <c r="A2410" s="4"/>
      <c r="B2410" s="4"/>
      <c r="C2410" s="4"/>
      <c r="D2410" s="4"/>
      <c r="E2410" s="4"/>
      <c r="F2410" s="4" t="s">
        <v>17</v>
      </c>
      <c r="G2410" s="15"/>
      <c r="H2410" s="4"/>
      <c r="I2410" s="4"/>
      <c r="J2410" s="4"/>
      <c r="K2410" s="4"/>
      <c r="L2410" s="4"/>
      <c r="M2410" s="4"/>
      <c r="N2410" s="4"/>
      <c r="O2410" s="4"/>
      <c r="P2410" s="4"/>
      <c r="Q2410" s="4"/>
      <c r="R2410" s="4"/>
      <c r="S2410" s="4"/>
      <c r="T2410" s="4"/>
      <c r="U2410" s="4"/>
      <c r="V2410" s="4"/>
      <c r="W2410" s="4"/>
      <c r="X2410" s="4"/>
      <c r="Y2410" s="4"/>
      <c r="Z2410" s="4"/>
      <c r="AA2410" s="4"/>
      <c r="AB2410" s="4"/>
      <c r="AC2410" s="4"/>
      <c r="AD2410" s="4"/>
      <c r="AE2410" s="4"/>
      <c r="AF2410" s="4"/>
      <c r="AG2410" s="4"/>
      <c r="AH2410" s="4"/>
      <c r="AI2410" s="4"/>
      <c r="AJ2410" s="4"/>
      <c r="AK2410" s="4"/>
      <c r="AL2410" s="4"/>
      <c r="AM2410" s="4"/>
      <c r="AN2410" s="4"/>
      <c r="AO2410" s="4"/>
      <c r="AP2410" s="4"/>
      <c r="AQ2410" s="4"/>
      <c r="AR2410" s="4"/>
      <c r="AS2410" s="4"/>
      <c r="AT2410" s="4"/>
      <c r="AU2410" s="4"/>
      <c r="AV2410" s="4"/>
      <c r="AW2410" s="4"/>
      <c r="AX2410" s="4"/>
      <c r="AY2410" s="4"/>
      <c r="AZ2410" s="4"/>
      <c r="BA2410" s="4"/>
      <c r="BB2410" s="4"/>
      <c r="BC2410" s="4"/>
      <c r="BD2410" s="4"/>
      <c r="BE2410" s="4"/>
      <c r="BF2410" s="4"/>
      <c r="BG2410" s="4"/>
      <c r="BH2410" s="4"/>
      <c r="BI2410" s="4"/>
      <c r="BJ2410" s="4"/>
      <c r="BK2410" s="4"/>
      <c r="BL2410" s="4"/>
      <c r="BM2410" s="4"/>
      <c r="BN2410" s="4"/>
      <c r="BO2410" s="4"/>
      <c r="BP2410" s="4"/>
      <c r="BQ2410" s="4"/>
      <c r="BR2410" s="4"/>
      <c r="BS2410" s="4"/>
      <c r="BT2410" s="4"/>
      <c r="BU2410" s="4"/>
      <c r="BV2410" s="4"/>
      <c r="BW2410" s="4"/>
      <c r="BX2410" s="4"/>
      <c r="BY2410" s="4"/>
      <c r="BZ2410" s="4"/>
      <c r="CA2410" s="4"/>
      <c r="CB2410" s="4"/>
      <c r="CC2410" s="4"/>
      <c r="CD2410" s="4"/>
      <c r="CE2410" s="4"/>
      <c r="CF2410" s="4"/>
      <c r="CG2410" s="4"/>
      <c r="CH2410" s="4"/>
      <c r="CI2410" s="4"/>
      <c r="CJ2410" s="4"/>
      <c r="CK2410" s="4"/>
      <c r="CL2410" s="4"/>
      <c r="CM2410" s="4"/>
      <c r="CN2410" s="4"/>
      <c r="CO2410" s="4"/>
      <c r="CP2410" s="4"/>
      <c r="CQ2410" s="4"/>
      <c r="CR2410" s="4"/>
      <c r="CS2410" s="4"/>
      <c r="CT2410" s="4"/>
      <c r="CU2410" s="4"/>
      <c r="CV2410" s="4"/>
      <c r="CW2410" s="4"/>
      <c r="CX2410" s="4"/>
      <c r="CY2410" s="4"/>
      <c r="CZ2410" s="4"/>
      <c r="DA2410" s="4"/>
      <c r="DB2410" s="4"/>
      <c r="DC2410" s="4"/>
      <c r="DD2410" s="4"/>
      <c r="DE2410" s="4"/>
      <c r="DF2410" s="4"/>
      <c r="DG2410" s="4"/>
      <c r="DH2410" s="4"/>
      <c r="DI2410" s="4"/>
      <c r="DJ2410" s="4"/>
      <c r="DK2410" s="4"/>
      <c r="DL2410" s="4"/>
      <c r="DM2410" s="4"/>
      <c r="DN2410" s="4"/>
      <c r="DO2410" s="4"/>
      <c r="DP2410" s="4"/>
      <c r="DQ2410" s="4"/>
      <c r="DR2410" s="4"/>
      <c r="DS2410" s="4"/>
    </row>
    <row r="2411">
      <c r="A2411" s="4"/>
      <c r="B2411" s="4"/>
      <c r="C2411" s="4"/>
      <c r="D2411" s="4"/>
      <c r="E2411" s="4"/>
      <c r="F2411" s="4" t="s">
        <v>17</v>
      </c>
      <c r="G2411" s="15"/>
      <c r="H2411" s="4"/>
      <c r="I2411" s="4"/>
      <c r="J2411" s="4"/>
      <c r="K2411" s="4"/>
      <c r="L2411" s="4"/>
      <c r="M2411" s="4"/>
      <c r="N2411" s="4"/>
      <c r="O2411" s="4"/>
      <c r="P2411" s="4"/>
      <c r="Q2411" s="4"/>
      <c r="R2411" s="4"/>
      <c r="S2411" s="4"/>
      <c r="T2411" s="4"/>
      <c r="U2411" s="4"/>
      <c r="V2411" s="4"/>
      <c r="W2411" s="4"/>
      <c r="X2411" s="4"/>
      <c r="Y2411" s="4"/>
      <c r="Z2411" s="4"/>
      <c r="AA2411" s="4"/>
      <c r="AB2411" s="4"/>
      <c r="AC2411" s="4"/>
      <c r="AD2411" s="4"/>
      <c r="AE2411" s="4"/>
      <c r="AF2411" s="4"/>
      <c r="AG2411" s="4"/>
      <c r="AH2411" s="4"/>
      <c r="AI2411" s="4"/>
      <c r="AJ2411" s="4"/>
      <c r="AK2411" s="4"/>
      <c r="AL2411" s="4"/>
      <c r="AM2411" s="4"/>
      <c r="AN2411" s="4"/>
      <c r="AO2411" s="4"/>
      <c r="AP2411" s="4"/>
      <c r="AQ2411" s="4"/>
      <c r="AR2411" s="4"/>
      <c r="AS2411" s="4"/>
      <c r="AT2411" s="4"/>
      <c r="AU2411" s="4"/>
      <c r="AV2411" s="4"/>
      <c r="AW2411" s="4"/>
      <c r="AX2411" s="4"/>
      <c r="AY2411" s="4"/>
      <c r="AZ2411" s="4"/>
      <c r="BA2411" s="4"/>
      <c r="BB2411" s="4"/>
      <c r="BC2411" s="4"/>
      <c r="BD2411" s="4"/>
      <c r="BE2411" s="4"/>
      <c r="BF2411" s="4"/>
      <c r="BG2411" s="4"/>
      <c r="BH2411" s="4"/>
      <c r="BI2411" s="4"/>
      <c r="BJ2411" s="4"/>
      <c r="BK2411" s="4"/>
      <c r="BL2411" s="4"/>
      <c r="BM2411" s="4"/>
      <c r="BN2411" s="4"/>
      <c r="BO2411" s="4"/>
      <c r="BP2411" s="4"/>
      <c r="BQ2411" s="4"/>
      <c r="BR2411" s="4"/>
      <c r="BS2411" s="4"/>
      <c r="BT2411" s="4"/>
      <c r="BU2411" s="4"/>
      <c r="BV2411" s="4"/>
      <c r="BW2411" s="4"/>
      <c r="BX2411" s="4"/>
      <c r="BY2411" s="4"/>
      <c r="BZ2411" s="4"/>
      <c r="CA2411" s="4"/>
      <c r="CB2411" s="4"/>
      <c r="CC2411" s="4"/>
      <c r="CD2411" s="4"/>
      <c r="CE2411" s="4"/>
      <c r="CF2411" s="4"/>
      <c r="CG2411" s="4"/>
      <c r="CH2411" s="4"/>
      <c r="CI2411" s="4"/>
      <c r="CJ2411" s="4"/>
      <c r="CK2411" s="4"/>
      <c r="CL2411" s="4"/>
      <c r="CM2411" s="4"/>
      <c r="CN2411" s="4"/>
      <c r="CO2411" s="4"/>
      <c r="CP2411" s="4"/>
      <c r="CQ2411" s="4"/>
      <c r="CR2411" s="4"/>
      <c r="CS2411" s="4"/>
      <c r="CT2411" s="4"/>
      <c r="CU2411" s="4"/>
      <c r="CV2411" s="4"/>
      <c r="CW2411" s="4"/>
      <c r="CX2411" s="4"/>
      <c r="CY2411" s="4"/>
      <c r="CZ2411" s="4"/>
      <c r="DA2411" s="4"/>
      <c r="DB2411" s="4"/>
      <c r="DC2411" s="4"/>
      <c r="DD2411" s="4"/>
      <c r="DE2411" s="4"/>
      <c r="DF2411" s="4"/>
      <c r="DG2411" s="4"/>
      <c r="DH2411" s="4"/>
      <c r="DI2411" s="4"/>
      <c r="DJ2411" s="4"/>
      <c r="DK2411" s="4"/>
      <c r="DL2411" s="4"/>
      <c r="DM2411" s="4"/>
      <c r="DN2411" s="4"/>
      <c r="DO2411" s="4"/>
      <c r="DP2411" s="4"/>
      <c r="DQ2411" s="4"/>
      <c r="DR2411" s="4"/>
      <c r="DS2411" s="4"/>
    </row>
    <row r="2412">
      <c r="A2412" s="4"/>
      <c r="B2412" s="4"/>
      <c r="C2412" s="4"/>
      <c r="D2412" s="4"/>
      <c r="E2412" s="4"/>
      <c r="F2412" s="4" t="s">
        <v>17</v>
      </c>
      <c r="G2412" s="15"/>
      <c r="H2412" s="4"/>
      <c r="I2412" s="4"/>
      <c r="J2412" s="4"/>
      <c r="K2412" s="4"/>
      <c r="L2412" s="4"/>
      <c r="M2412" s="4"/>
      <c r="N2412" s="4"/>
      <c r="O2412" s="4"/>
      <c r="P2412" s="4"/>
      <c r="Q2412" s="4"/>
      <c r="R2412" s="4"/>
      <c r="S2412" s="4"/>
      <c r="T2412" s="4"/>
      <c r="U2412" s="4"/>
      <c r="V2412" s="4"/>
      <c r="W2412" s="4"/>
      <c r="X2412" s="4"/>
      <c r="Y2412" s="4"/>
      <c r="Z2412" s="4"/>
      <c r="AA2412" s="4"/>
      <c r="AB2412" s="4"/>
      <c r="AC2412" s="4"/>
      <c r="AD2412" s="4"/>
      <c r="AE2412" s="4"/>
      <c r="AF2412" s="4"/>
      <c r="AG2412" s="4"/>
      <c r="AH2412" s="4"/>
      <c r="AI2412" s="4"/>
      <c r="AJ2412" s="4"/>
      <c r="AK2412" s="4"/>
      <c r="AL2412" s="4"/>
      <c r="AM2412" s="4"/>
      <c r="AN2412" s="4"/>
      <c r="AO2412" s="4"/>
      <c r="AP2412" s="4"/>
      <c r="AQ2412" s="4"/>
      <c r="AR2412" s="4"/>
      <c r="AS2412" s="4"/>
      <c r="AT2412" s="4"/>
      <c r="AU2412" s="4"/>
      <c r="AV2412" s="4"/>
      <c r="AW2412" s="4"/>
      <c r="AX2412" s="4"/>
      <c r="AY2412" s="4"/>
      <c r="AZ2412" s="4"/>
      <c r="BA2412" s="4"/>
      <c r="BB2412" s="4"/>
      <c r="BC2412" s="4"/>
      <c r="BD2412" s="4"/>
      <c r="BE2412" s="4"/>
      <c r="BF2412" s="4"/>
      <c r="BG2412" s="4"/>
      <c r="BH2412" s="4"/>
      <c r="BI2412" s="4"/>
      <c r="BJ2412" s="4"/>
      <c r="BK2412" s="4"/>
      <c r="BL2412" s="4"/>
      <c r="BM2412" s="4"/>
      <c r="BN2412" s="4"/>
      <c r="BO2412" s="4"/>
      <c r="BP2412" s="4"/>
      <c r="BQ2412" s="4"/>
      <c r="BR2412" s="4"/>
      <c r="BS2412" s="4"/>
      <c r="BT2412" s="4"/>
      <c r="BU2412" s="4"/>
      <c r="BV2412" s="4"/>
      <c r="BW2412" s="4"/>
      <c r="BX2412" s="4"/>
      <c r="BY2412" s="4"/>
      <c r="BZ2412" s="4"/>
      <c r="CA2412" s="4"/>
      <c r="CB2412" s="4"/>
      <c r="CC2412" s="4"/>
      <c r="CD2412" s="4"/>
      <c r="CE2412" s="4"/>
      <c r="CF2412" s="4"/>
      <c r="CG2412" s="4"/>
      <c r="CH2412" s="4"/>
      <c r="CI2412" s="4"/>
      <c r="CJ2412" s="4"/>
      <c r="CK2412" s="4"/>
      <c r="CL2412" s="4"/>
      <c r="CM2412" s="4"/>
      <c r="CN2412" s="4"/>
      <c r="CO2412" s="4"/>
      <c r="CP2412" s="4"/>
      <c r="CQ2412" s="4"/>
      <c r="CR2412" s="4"/>
      <c r="CS2412" s="4"/>
      <c r="CT2412" s="4"/>
      <c r="CU2412" s="4"/>
      <c r="CV2412" s="4"/>
      <c r="CW2412" s="4"/>
      <c r="CX2412" s="4"/>
      <c r="CY2412" s="4"/>
      <c r="CZ2412" s="4"/>
      <c r="DA2412" s="4"/>
      <c r="DB2412" s="4"/>
      <c r="DC2412" s="4"/>
      <c r="DD2412" s="4"/>
      <c r="DE2412" s="4"/>
      <c r="DF2412" s="4"/>
      <c r="DG2412" s="4"/>
      <c r="DH2412" s="4"/>
      <c r="DI2412" s="4"/>
      <c r="DJ2412" s="4"/>
      <c r="DK2412" s="4"/>
      <c r="DL2412" s="4"/>
      <c r="DM2412" s="4"/>
      <c r="DN2412" s="4"/>
      <c r="DO2412" s="4"/>
      <c r="DP2412" s="4"/>
      <c r="DQ2412" s="4"/>
      <c r="DR2412" s="4"/>
      <c r="DS2412" s="4"/>
    </row>
    <row r="2413">
      <c r="A2413" s="4"/>
      <c r="B2413" s="4"/>
      <c r="C2413" s="4"/>
      <c r="D2413" s="4"/>
      <c r="E2413" s="4"/>
      <c r="F2413" s="4" t="s">
        <v>17</v>
      </c>
      <c r="G2413" s="15"/>
      <c r="H2413" s="4"/>
      <c r="I2413" s="4"/>
      <c r="J2413" s="4"/>
      <c r="K2413" s="4"/>
      <c r="L2413" s="4"/>
      <c r="M2413" s="4"/>
      <c r="N2413" s="4"/>
      <c r="O2413" s="4"/>
      <c r="P2413" s="4"/>
      <c r="Q2413" s="4"/>
      <c r="R2413" s="4"/>
      <c r="S2413" s="4"/>
      <c r="T2413" s="4"/>
      <c r="U2413" s="4"/>
      <c r="V2413" s="4"/>
      <c r="W2413" s="4"/>
      <c r="X2413" s="4"/>
      <c r="Y2413" s="4"/>
      <c r="Z2413" s="4"/>
      <c r="AA2413" s="4"/>
      <c r="AB2413" s="4"/>
      <c r="AC2413" s="4"/>
      <c r="AD2413" s="4"/>
      <c r="AE2413" s="4"/>
      <c r="AF2413" s="4"/>
      <c r="AG2413" s="4"/>
      <c r="AH2413" s="4"/>
      <c r="AI2413" s="4"/>
      <c r="AJ2413" s="4"/>
      <c r="AK2413" s="4"/>
      <c r="AL2413" s="4"/>
      <c r="AM2413" s="4"/>
      <c r="AN2413" s="4"/>
      <c r="AO2413" s="4"/>
      <c r="AP2413" s="4"/>
      <c r="AQ2413" s="4"/>
      <c r="AR2413" s="4"/>
      <c r="AS2413" s="4"/>
      <c r="AT2413" s="4"/>
      <c r="AU2413" s="4"/>
      <c r="AV2413" s="4"/>
      <c r="AW2413" s="4"/>
      <c r="AX2413" s="4"/>
      <c r="AY2413" s="4"/>
      <c r="AZ2413" s="4"/>
      <c r="BA2413" s="4"/>
      <c r="BB2413" s="4"/>
      <c r="BC2413" s="4"/>
      <c r="BD2413" s="4"/>
      <c r="BE2413" s="4"/>
      <c r="BF2413" s="4"/>
      <c r="BG2413" s="4"/>
      <c r="BH2413" s="4"/>
      <c r="BI2413" s="4"/>
      <c r="BJ2413" s="4"/>
      <c r="BK2413" s="4"/>
      <c r="BL2413" s="4"/>
      <c r="BM2413" s="4"/>
      <c r="BN2413" s="4"/>
      <c r="BO2413" s="4"/>
      <c r="BP2413" s="4"/>
      <c r="BQ2413" s="4"/>
      <c r="BR2413" s="4"/>
      <c r="BS2413" s="4"/>
      <c r="BT2413" s="4"/>
      <c r="BU2413" s="4"/>
      <c r="BV2413" s="4"/>
      <c r="BW2413" s="4"/>
      <c r="BX2413" s="4"/>
      <c r="BY2413" s="4"/>
      <c r="BZ2413" s="4"/>
      <c r="CA2413" s="4"/>
      <c r="CB2413" s="4"/>
      <c r="CC2413" s="4"/>
      <c r="CD2413" s="4"/>
      <c r="CE2413" s="4"/>
      <c r="CF2413" s="4"/>
      <c r="CG2413" s="4"/>
      <c r="CH2413" s="4"/>
      <c r="CI2413" s="4"/>
      <c r="CJ2413" s="4"/>
      <c r="CK2413" s="4"/>
      <c r="CL2413" s="4"/>
      <c r="CM2413" s="4"/>
      <c r="CN2413" s="4"/>
      <c r="CO2413" s="4"/>
      <c r="CP2413" s="4"/>
      <c r="CQ2413" s="4"/>
      <c r="CR2413" s="4"/>
      <c r="CS2413" s="4"/>
      <c r="CT2413" s="4"/>
      <c r="CU2413" s="4"/>
      <c r="CV2413" s="4"/>
      <c r="CW2413" s="4"/>
      <c r="CX2413" s="4"/>
      <c r="CY2413" s="4"/>
      <c r="CZ2413" s="4"/>
      <c r="DA2413" s="4"/>
      <c r="DB2413" s="4"/>
      <c r="DC2413" s="4"/>
      <c r="DD2413" s="4"/>
      <c r="DE2413" s="4"/>
      <c r="DF2413" s="4"/>
      <c r="DG2413" s="4"/>
      <c r="DH2413" s="4"/>
      <c r="DI2413" s="4"/>
      <c r="DJ2413" s="4"/>
      <c r="DK2413" s="4"/>
      <c r="DL2413" s="4"/>
      <c r="DM2413" s="4"/>
      <c r="DN2413" s="4"/>
      <c r="DO2413" s="4"/>
      <c r="DP2413" s="4"/>
      <c r="DQ2413" s="4"/>
      <c r="DR2413" s="4"/>
      <c r="DS2413" s="4"/>
    </row>
    <row r="2414">
      <c r="A2414" s="4"/>
      <c r="B2414" s="4"/>
      <c r="C2414" s="4"/>
      <c r="D2414" s="4"/>
      <c r="E2414" s="4"/>
      <c r="F2414" s="4" t="s">
        <v>17</v>
      </c>
      <c r="G2414" s="15"/>
      <c r="H2414" s="4"/>
      <c r="I2414" s="4"/>
      <c r="J2414" s="4"/>
      <c r="K2414" s="4"/>
      <c r="L2414" s="4"/>
      <c r="M2414" s="4"/>
      <c r="N2414" s="4"/>
      <c r="O2414" s="4"/>
      <c r="P2414" s="4"/>
      <c r="Q2414" s="4"/>
      <c r="R2414" s="4"/>
      <c r="S2414" s="4"/>
      <c r="T2414" s="4"/>
      <c r="U2414" s="4"/>
      <c r="V2414" s="4"/>
      <c r="W2414" s="4"/>
      <c r="X2414" s="4"/>
      <c r="Y2414" s="4"/>
      <c r="Z2414" s="4"/>
      <c r="AA2414" s="4"/>
      <c r="AB2414" s="4"/>
      <c r="AC2414" s="4"/>
      <c r="AD2414" s="4"/>
      <c r="AE2414" s="4"/>
      <c r="AF2414" s="4"/>
      <c r="AG2414" s="4"/>
      <c r="AH2414" s="4"/>
      <c r="AI2414" s="4"/>
      <c r="AJ2414" s="4"/>
      <c r="AK2414" s="4"/>
      <c r="AL2414" s="4"/>
      <c r="AM2414" s="4"/>
      <c r="AN2414" s="4"/>
      <c r="AO2414" s="4"/>
      <c r="AP2414" s="4"/>
      <c r="AQ2414" s="4"/>
      <c r="AR2414" s="4"/>
      <c r="AS2414" s="4"/>
      <c r="AT2414" s="4"/>
      <c r="AU2414" s="4"/>
      <c r="AV2414" s="4"/>
      <c r="AW2414" s="4"/>
      <c r="AX2414" s="4"/>
      <c r="AY2414" s="4"/>
      <c r="AZ2414" s="4"/>
      <c r="BA2414" s="4"/>
      <c r="BB2414" s="4"/>
      <c r="BC2414" s="4"/>
      <c r="BD2414" s="4"/>
      <c r="BE2414" s="4"/>
      <c r="BF2414" s="4"/>
      <c r="BG2414" s="4"/>
      <c r="BH2414" s="4"/>
      <c r="BI2414" s="4"/>
      <c r="BJ2414" s="4"/>
      <c r="BK2414" s="4"/>
      <c r="BL2414" s="4"/>
      <c r="BM2414" s="4"/>
      <c r="BN2414" s="4"/>
      <c r="BO2414" s="4"/>
      <c r="BP2414" s="4"/>
      <c r="BQ2414" s="4"/>
      <c r="BR2414" s="4"/>
      <c r="BS2414" s="4"/>
      <c r="BT2414" s="4"/>
      <c r="BU2414" s="4"/>
      <c r="BV2414" s="4"/>
      <c r="BW2414" s="4"/>
      <c r="BX2414" s="4"/>
      <c r="BY2414" s="4"/>
      <c r="BZ2414" s="4"/>
      <c r="CA2414" s="4"/>
      <c r="CB2414" s="4"/>
      <c r="CC2414" s="4"/>
      <c r="CD2414" s="4"/>
      <c r="CE2414" s="4"/>
      <c r="CF2414" s="4"/>
      <c r="CG2414" s="4"/>
      <c r="CH2414" s="4"/>
      <c r="CI2414" s="4"/>
      <c r="CJ2414" s="4"/>
      <c r="CK2414" s="4"/>
      <c r="CL2414" s="4"/>
      <c r="CM2414" s="4"/>
      <c r="CN2414" s="4"/>
      <c r="CO2414" s="4"/>
      <c r="CP2414" s="4"/>
      <c r="CQ2414" s="4"/>
      <c r="CR2414" s="4"/>
      <c r="CS2414" s="4"/>
      <c r="CT2414" s="4"/>
      <c r="CU2414" s="4"/>
      <c r="CV2414" s="4"/>
      <c r="CW2414" s="4"/>
      <c r="CX2414" s="4"/>
      <c r="CY2414" s="4"/>
      <c r="CZ2414" s="4"/>
      <c r="DA2414" s="4"/>
      <c r="DB2414" s="4"/>
      <c r="DC2414" s="4"/>
      <c r="DD2414" s="4"/>
      <c r="DE2414" s="4"/>
      <c r="DF2414" s="4"/>
      <c r="DG2414" s="4"/>
      <c r="DH2414" s="4"/>
      <c r="DI2414" s="4"/>
      <c r="DJ2414" s="4"/>
      <c r="DK2414" s="4"/>
      <c r="DL2414" s="4"/>
      <c r="DM2414" s="4"/>
      <c r="DN2414" s="4"/>
      <c r="DO2414" s="4"/>
      <c r="DP2414" s="4"/>
      <c r="DQ2414" s="4"/>
      <c r="DR2414" s="4"/>
      <c r="DS2414" s="4"/>
    </row>
    <row r="2415">
      <c r="A2415" s="4"/>
      <c r="B2415" s="4"/>
      <c r="C2415" s="4"/>
      <c r="D2415" s="4"/>
      <c r="E2415" s="4"/>
      <c r="F2415" s="4" t="s">
        <v>17</v>
      </c>
      <c r="G2415" s="15"/>
      <c r="H2415" s="4"/>
      <c r="I2415" s="4"/>
      <c r="J2415" s="4"/>
      <c r="K2415" s="4"/>
      <c r="L2415" s="4"/>
      <c r="M2415" s="4"/>
      <c r="N2415" s="4"/>
      <c r="O2415" s="4"/>
      <c r="P2415" s="4"/>
      <c r="Q2415" s="4"/>
      <c r="R2415" s="4"/>
      <c r="S2415" s="4"/>
      <c r="T2415" s="4"/>
      <c r="U2415" s="4"/>
      <c r="V2415" s="4"/>
      <c r="W2415" s="4"/>
      <c r="X2415" s="4"/>
      <c r="Y2415" s="4"/>
      <c r="Z2415" s="4"/>
      <c r="AA2415" s="4"/>
      <c r="AB2415" s="4"/>
      <c r="AC2415" s="4"/>
      <c r="AD2415" s="4"/>
      <c r="AE2415" s="4"/>
      <c r="AF2415" s="4"/>
      <c r="AG2415" s="4"/>
      <c r="AH2415" s="4"/>
      <c r="AI2415" s="4"/>
      <c r="AJ2415" s="4"/>
      <c r="AK2415" s="4"/>
      <c r="AL2415" s="4"/>
      <c r="AM2415" s="4"/>
      <c r="AN2415" s="4"/>
      <c r="AO2415" s="4"/>
      <c r="AP2415" s="4"/>
      <c r="AQ2415" s="4"/>
      <c r="AR2415" s="4"/>
      <c r="AS2415" s="4"/>
      <c r="AT2415" s="4"/>
      <c r="AU2415" s="4"/>
      <c r="AV2415" s="4"/>
      <c r="AW2415" s="4"/>
      <c r="AX2415" s="4"/>
      <c r="AY2415" s="4"/>
      <c r="AZ2415" s="4"/>
      <c r="BA2415" s="4"/>
      <c r="BB2415" s="4"/>
      <c r="BC2415" s="4"/>
      <c r="BD2415" s="4"/>
      <c r="BE2415" s="4"/>
      <c r="BF2415" s="4"/>
      <c r="BG2415" s="4"/>
      <c r="BH2415" s="4"/>
      <c r="BI2415" s="4"/>
      <c r="BJ2415" s="4"/>
      <c r="BK2415" s="4"/>
      <c r="BL2415" s="4"/>
      <c r="BM2415" s="4"/>
      <c r="BN2415" s="4"/>
      <c r="BO2415" s="4"/>
      <c r="BP2415" s="4"/>
      <c r="BQ2415" s="4"/>
      <c r="BR2415" s="4"/>
      <c r="BS2415" s="4"/>
      <c r="BT2415" s="4"/>
      <c r="BU2415" s="4"/>
      <c r="BV2415" s="4"/>
      <c r="BW2415" s="4"/>
      <c r="BX2415" s="4"/>
      <c r="BY2415" s="4"/>
      <c r="BZ2415" s="4"/>
      <c r="CA2415" s="4"/>
      <c r="CB2415" s="4"/>
      <c r="CC2415" s="4"/>
      <c r="CD2415" s="4"/>
      <c r="CE2415" s="4"/>
      <c r="CF2415" s="4"/>
      <c r="CG2415" s="4"/>
      <c r="CH2415" s="4"/>
      <c r="CI2415" s="4"/>
      <c r="CJ2415" s="4"/>
      <c r="CK2415" s="4"/>
      <c r="CL2415" s="4"/>
      <c r="CM2415" s="4"/>
      <c r="CN2415" s="4"/>
      <c r="CO2415" s="4"/>
      <c r="CP2415" s="4"/>
      <c r="CQ2415" s="4"/>
      <c r="CR2415" s="4"/>
      <c r="CS2415" s="4"/>
      <c r="CT2415" s="4"/>
      <c r="CU2415" s="4"/>
      <c r="CV2415" s="4"/>
      <c r="CW2415" s="4"/>
      <c r="CX2415" s="4"/>
      <c r="CY2415" s="4"/>
      <c r="CZ2415" s="4"/>
      <c r="DA2415" s="4"/>
      <c r="DB2415" s="4"/>
      <c r="DC2415" s="4"/>
      <c r="DD2415" s="4"/>
      <c r="DE2415" s="4"/>
      <c r="DF2415" s="4"/>
      <c r="DG2415" s="4"/>
      <c r="DH2415" s="4"/>
      <c r="DI2415" s="4"/>
      <c r="DJ2415" s="4"/>
      <c r="DK2415" s="4"/>
      <c r="DL2415" s="4"/>
      <c r="DM2415" s="4"/>
      <c r="DN2415" s="4"/>
      <c r="DO2415" s="4"/>
      <c r="DP2415" s="4"/>
      <c r="DQ2415" s="4"/>
      <c r="DR2415" s="4"/>
      <c r="DS2415" s="4"/>
    </row>
    <row r="2416">
      <c r="A2416" s="4"/>
      <c r="B2416" s="4"/>
      <c r="C2416" s="4"/>
      <c r="D2416" s="4"/>
      <c r="E2416" s="4"/>
      <c r="F2416" s="4" t="s">
        <v>17</v>
      </c>
      <c r="G2416" s="15"/>
      <c r="H2416" s="4"/>
      <c r="I2416" s="4"/>
      <c r="J2416" s="4"/>
      <c r="K2416" s="4"/>
      <c r="L2416" s="4"/>
      <c r="M2416" s="4"/>
      <c r="N2416" s="4"/>
      <c r="O2416" s="4"/>
      <c r="P2416" s="4"/>
      <c r="Q2416" s="4"/>
      <c r="R2416" s="4"/>
      <c r="S2416" s="4"/>
      <c r="T2416" s="4"/>
      <c r="U2416" s="4"/>
      <c r="V2416" s="4"/>
      <c r="W2416" s="4"/>
      <c r="X2416" s="4"/>
      <c r="Y2416" s="4"/>
      <c r="Z2416" s="4"/>
      <c r="AA2416" s="4"/>
      <c r="AB2416" s="4"/>
      <c r="AC2416" s="4"/>
      <c r="AD2416" s="4"/>
      <c r="AE2416" s="4"/>
      <c r="AF2416" s="4"/>
      <c r="AG2416" s="4"/>
      <c r="AH2416" s="4"/>
      <c r="AI2416" s="4"/>
      <c r="AJ2416" s="4"/>
      <c r="AK2416" s="4"/>
      <c r="AL2416" s="4"/>
      <c r="AM2416" s="4"/>
      <c r="AN2416" s="4"/>
      <c r="AO2416" s="4"/>
      <c r="AP2416" s="4"/>
      <c r="AQ2416" s="4"/>
      <c r="AR2416" s="4"/>
      <c r="AS2416" s="4"/>
      <c r="AT2416" s="4"/>
      <c r="AU2416" s="4"/>
      <c r="AV2416" s="4"/>
      <c r="AW2416" s="4"/>
      <c r="AX2416" s="4"/>
      <c r="AY2416" s="4"/>
      <c r="AZ2416" s="4"/>
      <c r="BA2416" s="4"/>
      <c r="BB2416" s="4"/>
      <c r="BC2416" s="4"/>
      <c r="BD2416" s="4"/>
      <c r="BE2416" s="4"/>
      <c r="BF2416" s="4"/>
      <c r="BG2416" s="4"/>
      <c r="BH2416" s="4"/>
      <c r="BI2416" s="4"/>
      <c r="BJ2416" s="4"/>
      <c r="BK2416" s="4"/>
      <c r="BL2416" s="4"/>
      <c r="BM2416" s="4"/>
      <c r="BN2416" s="4"/>
      <c r="BO2416" s="4"/>
      <c r="BP2416" s="4"/>
      <c r="BQ2416" s="4"/>
      <c r="BR2416" s="4"/>
      <c r="BS2416" s="4"/>
      <c r="BT2416" s="4"/>
      <c r="BU2416" s="4"/>
      <c r="BV2416" s="4"/>
      <c r="BW2416" s="4"/>
      <c r="BX2416" s="4"/>
      <c r="BY2416" s="4"/>
      <c r="BZ2416" s="4"/>
      <c r="CA2416" s="4"/>
      <c r="CB2416" s="4"/>
      <c r="CC2416" s="4"/>
      <c r="CD2416" s="4"/>
      <c r="CE2416" s="4"/>
      <c r="CF2416" s="4"/>
      <c r="CG2416" s="4"/>
      <c r="CH2416" s="4"/>
      <c r="CI2416" s="4"/>
      <c r="CJ2416" s="4"/>
      <c r="CK2416" s="4"/>
      <c r="CL2416" s="4"/>
      <c r="CM2416" s="4"/>
      <c r="CN2416" s="4"/>
      <c r="CO2416" s="4"/>
      <c r="CP2416" s="4"/>
      <c r="CQ2416" s="4"/>
      <c r="CR2416" s="4"/>
      <c r="CS2416" s="4"/>
      <c r="CT2416" s="4"/>
      <c r="CU2416" s="4"/>
      <c r="CV2416" s="4"/>
      <c r="CW2416" s="4"/>
      <c r="CX2416" s="4"/>
      <c r="CY2416" s="4"/>
      <c r="CZ2416" s="4"/>
      <c r="DA2416" s="4"/>
      <c r="DB2416" s="4"/>
      <c r="DC2416" s="4"/>
      <c r="DD2416" s="4"/>
      <c r="DE2416" s="4"/>
      <c r="DF2416" s="4"/>
      <c r="DG2416" s="4"/>
      <c r="DH2416" s="4"/>
      <c r="DI2416" s="4"/>
      <c r="DJ2416" s="4"/>
      <c r="DK2416" s="4"/>
      <c r="DL2416" s="4"/>
      <c r="DM2416" s="4"/>
      <c r="DN2416" s="4"/>
      <c r="DO2416" s="4"/>
      <c r="DP2416" s="4"/>
      <c r="DQ2416" s="4"/>
      <c r="DR2416" s="4"/>
      <c r="DS2416" s="4"/>
    </row>
    <row r="2417">
      <c r="A2417" s="4"/>
      <c r="B2417" s="4"/>
      <c r="C2417" s="4"/>
      <c r="D2417" s="4"/>
      <c r="E2417" s="4"/>
      <c r="F2417" s="4" t="s">
        <v>17</v>
      </c>
      <c r="G2417" s="15"/>
      <c r="H2417" s="4"/>
      <c r="I2417" s="4"/>
      <c r="J2417" s="4"/>
      <c r="K2417" s="4"/>
      <c r="L2417" s="4"/>
      <c r="M2417" s="4"/>
      <c r="N2417" s="4"/>
      <c r="O2417" s="4"/>
      <c r="P2417" s="4"/>
      <c r="Q2417" s="4"/>
      <c r="R2417" s="4"/>
      <c r="S2417" s="4"/>
      <c r="T2417" s="4"/>
      <c r="U2417" s="4"/>
      <c r="V2417" s="4"/>
      <c r="W2417" s="4"/>
      <c r="X2417" s="4"/>
      <c r="Y2417" s="4"/>
      <c r="Z2417" s="4"/>
      <c r="AA2417" s="4"/>
      <c r="AB2417" s="4"/>
      <c r="AC2417" s="4"/>
      <c r="AD2417" s="4"/>
      <c r="AE2417" s="4"/>
      <c r="AF2417" s="4"/>
      <c r="AG2417" s="4"/>
      <c r="AH2417" s="4"/>
      <c r="AI2417" s="4"/>
      <c r="AJ2417" s="4"/>
      <c r="AK2417" s="4"/>
      <c r="AL2417" s="4"/>
      <c r="AM2417" s="4"/>
      <c r="AN2417" s="4"/>
      <c r="AO2417" s="4"/>
      <c r="AP2417" s="4"/>
      <c r="AQ2417" s="4"/>
      <c r="AR2417" s="4"/>
      <c r="AS2417" s="4"/>
      <c r="AT2417" s="4"/>
      <c r="AU2417" s="4"/>
      <c r="AV2417" s="4"/>
      <c r="AW2417" s="4"/>
      <c r="AX2417" s="4"/>
      <c r="AY2417" s="4"/>
      <c r="AZ2417" s="4"/>
      <c r="BA2417" s="4"/>
      <c r="BB2417" s="4"/>
      <c r="BC2417" s="4"/>
      <c r="BD2417" s="4"/>
      <c r="BE2417" s="4"/>
      <c r="BF2417" s="4"/>
      <c r="BG2417" s="4"/>
      <c r="BH2417" s="4"/>
      <c r="BI2417" s="4"/>
      <c r="BJ2417" s="4"/>
      <c r="BK2417" s="4"/>
      <c r="BL2417" s="4"/>
      <c r="BM2417" s="4"/>
      <c r="BN2417" s="4"/>
      <c r="BO2417" s="4"/>
      <c r="BP2417" s="4"/>
      <c r="BQ2417" s="4"/>
      <c r="BR2417" s="4"/>
      <c r="BS2417" s="4"/>
      <c r="BT2417" s="4"/>
      <c r="BU2417" s="4"/>
      <c r="BV2417" s="4"/>
      <c r="BW2417" s="4"/>
      <c r="BX2417" s="4"/>
      <c r="BY2417" s="4"/>
      <c r="BZ2417" s="4"/>
      <c r="CA2417" s="4"/>
      <c r="CB2417" s="4"/>
      <c r="CC2417" s="4"/>
      <c r="CD2417" s="4"/>
      <c r="CE2417" s="4"/>
      <c r="CF2417" s="4"/>
      <c r="CG2417" s="4"/>
      <c r="CH2417" s="4"/>
      <c r="CI2417" s="4"/>
      <c r="CJ2417" s="4"/>
      <c r="CK2417" s="4"/>
      <c r="CL2417" s="4"/>
      <c r="CM2417" s="4"/>
      <c r="CN2417" s="4"/>
      <c r="CO2417" s="4"/>
      <c r="CP2417" s="4"/>
      <c r="CQ2417" s="4"/>
      <c r="CR2417" s="4"/>
      <c r="CS2417" s="4"/>
      <c r="CT2417" s="4"/>
      <c r="CU2417" s="4"/>
      <c r="CV2417" s="4"/>
      <c r="CW2417" s="4"/>
      <c r="CX2417" s="4"/>
      <c r="CY2417" s="4"/>
      <c r="CZ2417" s="4"/>
      <c r="DA2417" s="4"/>
      <c r="DB2417" s="4"/>
      <c r="DC2417" s="4"/>
      <c r="DD2417" s="4"/>
      <c r="DE2417" s="4"/>
      <c r="DF2417" s="4"/>
      <c r="DG2417" s="4"/>
      <c r="DH2417" s="4"/>
      <c r="DI2417" s="4"/>
      <c r="DJ2417" s="4"/>
      <c r="DK2417" s="4"/>
      <c r="DL2417" s="4"/>
      <c r="DM2417" s="4"/>
      <c r="DN2417" s="4"/>
      <c r="DO2417" s="4"/>
      <c r="DP2417" s="4"/>
      <c r="DQ2417" s="4"/>
      <c r="DR2417" s="4"/>
      <c r="DS2417" s="4"/>
    </row>
    <row r="2418">
      <c r="A2418" s="4"/>
      <c r="B2418" s="4"/>
      <c r="C2418" s="4"/>
      <c r="D2418" s="4"/>
      <c r="E2418" s="4"/>
      <c r="F2418" s="4" t="s">
        <v>17</v>
      </c>
      <c r="G2418" s="15"/>
      <c r="H2418" s="4"/>
      <c r="I2418" s="4"/>
      <c r="J2418" s="4"/>
      <c r="K2418" s="4"/>
      <c r="L2418" s="4"/>
      <c r="M2418" s="4"/>
      <c r="N2418" s="4"/>
      <c r="O2418" s="4"/>
      <c r="P2418" s="4"/>
      <c r="Q2418" s="4"/>
      <c r="R2418" s="4"/>
      <c r="S2418" s="4"/>
      <c r="T2418" s="4"/>
      <c r="U2418" s="4"/>
      <c r="V2418" s="4"/>
      <c r="W2418" s="4"/>
      <c r="X2418" s="4"/>
      <c r="Y2418" s="4"/>
      <c r="Z2418" s="4"/>
      <c r="AA2418" s="4"/>
      <c r="AB2418" s="4"/>
      <c r="AC2418" s="4"/>
      <c r="AD2418" s="4"/>
      <c r="AE2418" s="4"/>
      <c r="AF2418" s="4"/>
      <c r="AG2418" s="4"/>
      <c r="AH2418" s="4"/>
      <c r="AI2418" s="4"/>
      <c r="AJ2418" s="4"/>
      <c r="AK2418" s="4"/>
      <c r="AL2418" s="4"/>
      <c r="AM2418" s="4"/>
      <c r="AN2418" s="4"/>
      <c r="AO2418" s="4"/>
      <c r="AP2418" s="4"/>
      <c r="AQ2418" s="4"/>
      <c r="AR2418" s="4"/>
      <c r="AS2418" s="4"/>
      <c r="AT2418" s="4"/>
      <c r="AU2418" s="4"/>
      <c r="AV2418" s="4"/>
      <c r="AW2418" s="4"/>
      <c r="AX2418" s="4"/>
      <c r="AY2418" s="4"/>
      <c r="AZ2418" s="4"/>
      <c r="BA2418" s="4"/>
      <c r="BB2418" s="4"/>
      <c r="BC2418" s="4"/>
      <c r="BD2418" s="4"/>
      <c r="BE2418" s="4"/>
      <c r="BF2418" s="4"/>
      <c r="BG2418" s="4"/>
      <c r="BH2418" s="4"/>
      <c r="BI2418" s="4"/>
      <c r="BJ2418" s="4"/>
      <c r="BK2418" s="4"/>
      <c r="BL2418" s="4"/>
      <c r="BM2418" s="4"/>
      <c r="BN2418" s="4"/>
      <c r="BO2418" s="4"/>
      <c r="BP2418" s="4"/>
      <c r="BQ2418" s="4"/>
      <c r="BR2418" s="4"/>
      <c r="BS2418" s="4"/>
      <c r="BT2418" s="4"/>
      <c r="BU2418" s="4"/>
      <c r="BV2418" s="4"/>
      <c r="BW2418" s="4"/>
      <c r="BX2418" s="4"/>
      <c r="BY2418" s="4"/>
      <c r="BZ2418" s="4"/>
      <c r="CA2418" s="4"/>
      <c r="CB2418" s="4"/>
      <c r="CC2418" s="4"/>
      <c r="CD2418" s="4"/>
      <c r="CE2418" s="4"/>
      <c r="CF2418" s="4"/>
      <c r="CG2418" s="4"/>
      <c r="CH2418" s="4"/>
      <c r="CI2418" s="4"/>
      <c r="CJ2418" s="4"/>
      <c r="CK2418" s="4"/>
      <c r="CL2418" s="4"/>
      <c r="CM2418" s="4"/>
      <c r="CN2418" s="4"/>
      <c r="CO2418" s="4"/>
      <c r="CP2418" s="4"/>
      <c r="CQ2418" s="4"/>
      <c r="CR2418" s="4"/>
      <c r="CS2418" s="4"/>
      <c r="CT2418" s="4"/>
      <c r="CU2418" s="4"/>
      <c r="CV2418" s="4"/>
      <c r="CW2418" s="4"/>
      <c r="CX2418" s="4"/>
      <c r="CY2418" s="4"/>
      <c r="CZ2418" s="4"/>
      <c r="DA2418" s="4"/>
      <c r="DB2418" s="4"/>
      <c r="DC2418" s="4"/>
      <c r="DD2418" s="4"/>
      <c r="DE2418" s="4"/>
      <c r="DF2418" s="4"/>
      <c r="DG2418" s="4"/>
      <c r="DH2418" s="4"/>
      <c r="DI2418" s="4"/>
      <c r="DJ2418" s="4"/>
      <c r="DK2418" s="4"/>
      <c r="DL2418" s="4"/>
      <c r="DM2418" s="4"/>
      <c r="DN2418" s="4"/>
      <c r="DO2418" s="4"/>
      <c r="DP2418" s="4"/>
      <c r="DQ2418" s="4"/>
      <c r="DR2418" s="4"/>
      <c r="DS2418" s="4"/>
    </row>
    <row r="2419">
      <c r="A2419" s="4"/>
      <c r="B2419" s="4"/>
      <c r="C2419" s="4"/>
      <c r="D2419" s="4"/>
      <c r="E2419" s="4"/>
      <c r="F2419" s="4" t="s">
        <v>17</v>
      </c>
      <c r="G2419" s="15"/>
      <c r="H2419" s="4"/>
      <c r="I2419" s="4"/>
      <c r="J2419" s="4"/>
      <c r="K2419" s="4"/>
      <c r="L2419" s="4"/>
      <c r="M2419" s="4"/>
      <c r="N2419" s="4"/>
      <c r="O2419" s="4"/>
      <c r="P2419" s="4"/>
      <c r="Q2419" s="4"/>
      <c r="R2419" s="4"/>
      <c r="S2419" s="4"/>
      <c r="T2419" s="4"/>
      <c r="U2419" s="4"/>
      <c r="V2419" s="4"/>
      <c r="W2419" s="4"/>
      <c r="X2419" s="4"/>
      <c r="Y2419" s="4"/>
      <c r="Z2419" s="4"/>
      <c r="AA2419" s="4"/>
      <c r="AB2419" s="4"/>
      <c r="AC2419" s="4"/>
      <c r="AD2419" s="4"/>
      <c r="AE2419" s="4"/>
      <c r="AF2419" s="4"/>
      <c r="AG2419" s="4"/>
      <c r="AH2419" s="4"/>
      <c r="AI2419" s="4"/>
      <c r="AJ2419" s="4"/>
      <c r="AK2419" s="4"/>
      <c r="AL2419" s="4"/>
      <c r="AM2419" s="4"/>
      <c r="AN2419" s="4"/>
      <c r="AO2419" s="4"/>
      <c r="AP2419" s="4"/>
      <c r="AQ2419" s="4"/>
      <c r="AR2419" s="4"/>
      <c r="AS2419" s="4"/>
      <c r="AT2419" s="4"/>
      <c r="AU2419" s="4"/>
      <c r="AV2419" s="4"/>
      <c r="AW2419" s="4"/>
      <c r="AX2419" s="4"/>
      <c r="AY2419" s="4"/>
      <c r="AZ2419" s="4"/>
      <c r="BA2419" s="4"/>
      <c r="BB2419" s="4"/>
      <c r="BC2419" s="4"/>
      <c r="BD2419" s="4"/>
      <c r="BE2419" s="4"/>
      <c r="BF2419" s="4"/>
      <c r="BG2419" s="4"/>
      <c r="BH2419" s="4"/>
      <c r="BI2419" s="4"/>
      <c r="BJ2419" s="4"/>
      <c r="BK2419" s="4"/>
      <c r="BL2419" s="4"/>
      <c r="BM2419" s="4"/>
      <c r="BN2419" s="4"/>
      <c r="BO2419" s="4"/>
      <c r="BP2419" s="4"/>
      <c r="BQ2419" s="4"/>
      <c r="BR2419" s="4"/>
      <c r="BS2419" s="4"/>
      <c r="BT2419" s="4"/>
      <c r="BU2419" s="4"/>
      <c r="BV2419" s="4"/>
      <c r="BW2419" s="4"/>
      <c r="BX2419" s="4"/>
      <c r="BY2419" s="4"/>
      <c r="BZ2419" s="4"/>
      <c r="CA2419" s="4"/>
      <c r="CB2419" s="4"/>
      <c r="CC2419" s="4"/>
      <c r="CD2419" s="4"/>
      <c r="CE2419" s="4"/>
      <c r="CF2419" s="4"/>
      <c r="CG2419" s="4"/>
      <c r="CH2419" s="4"/>
      <c r="CI2419" s="4"/>
      <c r="CJ2419" s="4"/>
      <c r="CK2419" s="4"/>
      <c r="CL2419" s="4"/>
      <c r="CM2419" s="4"/>
      <c r="CN2419" s="4"/>
      <c r="CO2419" s="4"/>
      <c r="CP2419" s="4"/>
      <c r="CQ2419" s="4"/>
      <c r="CR2419" s="4"/>
      <c r="CS2419" s="4"/>
      <c r="CT2419" s="4"/>
      <c r="CU2419" s="4"/>
      <c r="CV2419" s="4"/>
      <c r="CW2419" s="4"/>
      <c r="CX2419" s="4"/>
      <c r="CY2419" s="4"/>
      <c r="CZ2419" s="4"/>
      <c r="DA2419" s="4"/>
      <c r="DB2419" s="4"/>
      <c r="DC2419" s="4"/>
      <c r="DD2419" s="4"/>
      <c r="DE2419" s="4"/>
      <c r="DF2419" s="4"/>
      <c r="DG2419" s="4"/>
      <c r="DH2419" s="4"/>
      <c r="DI2419" s="4"/>
      <c r="DJ2419" s="4"/>
      <c r="DK2419" s="4"/>
      <c r="DL2419" s="4"/>
      <c r="DM2419" s="4"/>
      <c r="DN2419" s="4"/>
      <c r="DO2419" s="4"/>
      <c r="DP2419" s="4"/>
      <c r="DQ2419" s="4"/>
      <c r="DR2419" s="4"/>
      <c r="DS2419" s="4"/>
    </row>
    <row r="2420">
      <c r="A2420" s="4"/>
      <c r="B2420" s="4"/>
      <c r="C2420" s="4"/>
      <c r="D2420" s="4"/>
      <c r="E2420" s="4"/>
      <c r="F2420" s="4" t="s">
        <v>17</v>
      </c>
      <c r="G2420" s="15"/>
      <c r="H2420" s="4"/>
      <c r="I2420" s="4"/>
      <c r="J2420" s="4"/>
      <c r="K2420" s="4"/>
      <c r="L2420" s="4"/>
      <c r="M2420" s="4"/>
      <c r="N2420" s="4"/>
      <c r="O2420" s="4"/>
      <c r="P2420" s="4"/>
      <c r="Q2420" s="4"/>
      <c r="R2420" s="4"/>
      <c r="S2420" s="4"/>
      <c r="T2420" s="4"/>
      <c r="U2420" s="4"/>
      <c r="V2420" s="4"/>
      <c r="W2420" s="4"/>
      <c r="X2420" s="4"/>
      <c r="Y2420" s="4"/>
      <c r="Z2420" s="4"/>
      <c r="AA2420" s="4"/>
      <c r="AB2420" s="4"/>
      <c r="AC2420" s="4"/>
      <c r="AD2420" s="4"/>
      <c r="AE2420" s="4"/>
      <c r="AF2420" s="4"/>
      <c r="AG2420" s="4"/>
      <c r="AH2420" s="4"/>
      <c r="AI2420" s="4"/>
      <c r="AJ2420" s="4"/>
      <c r="AK2420" s="4"/>
      <c r="AL2420" s="4"/>
      <c r="AM2420" s="4"/>
      <c r="AN2420" s="4"/>
      <c r="AO2420" s="4"/>
      <c r="AP2420" s="4"/>
      <c r="AQ2420" s="4"/>
      <c r="AR2420" s="4"/>
      <c r="AS2420" s="4"/>
      <c r="AT2420" s="4"/>
      <c r="AU2420" s="4"/>
      <c r="AV2420" s="4"/>
      <c r="AW2420" s="4"/>
      <c r="AX2420" s="4"/>
      <c r="AY2420" s="4"/>
      <c r="AZ2420" s="4"/>
      <c r="BA2420" s="4"/>
      <c r="BB2420" s="4"/>
      <c r="BC2420" s="4"/>
      <c r="BD2420" s="4"/>
      <c r="BE2420" s="4"/>
      <c r="BF2420" s="4"/>
      <c r="BG2420" s="4"/>
      <c r="BH2420" s="4"/>
      <c r="BI2420" s="4"/>
      <c r="BJ2420" s="4"/>
      <c r="BK2420" s="4"/>
      <c r="BL2420" s="4"/>
      <c r="BM2420" s="4"/>
      <c r="BN2420" s="4"/>
      <c r="BO2420" s="4"/>
      <c r="BP2420" s="4"/>
      <c r="BQ2420" s="4"/>
      <c r="BR2420" s="4"/>
      <c r="BS2420" s="4"/>
      <c r="BT2420" s="4"/>
      <c r="BU2420" s="4"/>
      <c r="BV2420" s="4"/>
      <c r="BW2420" s="4"/>
      <c r="BX2420" s="4"/>
      <c r="BY2420" s="4"/>
      <c r="BZ2420" s="4"/>
      <c r="CA2420" s="4"/>
      <c r="CB2420" s="4"/>
      <c r="CC2420" s="4"/>
      <c r="CD2420" s="4"/>
      <c r="CE2420" s="4"/>
      <c r="CF2420" s="4"/>
      <c r="CG2420" s="4"/>
      <c r="CH2420" s="4"/>
      <c r="CI2420" s="4"/>
      <c r="CJ2420" s="4"/>
      <c r="CK2420" s="4"/>
      <c r="CL2420" s="4"/>
      <c r="CM2420" s="4"/>
      <c r="CN2420" s="4"/>
      <c r="CO2420" s="4"/>
      <c r="CP2420" s="4"/>
      <c r="CQ2420" s="4"/>
      <c r="CR2420" s="4"/>
      <c r="CS2420" s="4"/>
      <c r="CT2420" s="4"/>
      <c r="CU2420" s="4"/>
      <c r="CV2420" s="4"/>
      <c r="CW2420" s="4"/>
      <c r="CX2420" s="4"/>
      <c r="CY2420" s="4"/>
      <c r="CZ2420" s="4"/>
      <c r="DA2420" s="4"/>
      <c r="DB2420" s="4"/>
      <c r="DC2420" s="4"/>
      <c r="DD2420" s="4"/>
      <c r="DE2420" s="4"/>
      <c r="DF2420" s="4"/>
      <c r="DG2420" s="4"/>
      <c r="DH2420" s="4"/>
      <c r="DI2420" s="4"/>
      <c r="DJ2420" s="4"/>
      <c r="DK2420" s="4"/>
      <c r="DL2420" s="4"/>
      <c r="DM2420" s="4"/>
      <c r="DN2420" s="4"/>
      <c r="DO2420" s="4"/>
      <c r="DP2420" s="4"/>
      <c r="DQ2420" s="4"/>
      <c r="DR2420" s="4"/>
      <c r="DS2420" s="4"/>
    </row>
    <row r="2421">
      <c r="A2421" s="4"/>
      <c r="B2421" s="4"/>
      <c r="C2421" s="4"/>
      <c r="D2421" s="4"/>
      <c r="E2421" s="4"/>
      <c r="F2421" s="4" t="s">
        <v>17</v>
      </c>
      <c r="G2421" s="15"/>
      <c r="H2421" s="4"/>
      <c r="I2421" s="4"/>
      <c r="J2421" s="4"/>
      <c r="K2421" s="4"/>
      <c r="L2421" s="4"/>
      <c r="M2421" s="4"/>
      <c r="N2421" s="4"/>
      <c r="O2421" s="4"/>
      <c r="P2421" s="4"/>
      <c r="Q2421" s="4"/>
      <c r="R2421" s="4"/>
      <c r="S2421" s="4"/>
      <c r="T2421" s="4"/>
      <c r="U2421" s="4"/>
      <c r="V2421" s="4"/>
      <c r="W2421" s="4"/>
      <c r="X2421" s="4"/>
      <c r="Y2421" s="4"/>
      <c r="Z2421" s="4"/>
      <c r="AA2421" s="4"/>
      <c r="AB2421" s="4"/>
      <c r="AC2421" s="4"/>
      <c r="AD2421" s="4"/>
      <c r="AE2421" s="4"/>
      <c r="AF2421" s="4"/>
      <c r="AG2421" s="4"/>
      <c r="AH2421" s="4"/>
      <c r="AI2421" s="4"/>
      <c r="AJ2421" s="4"/>
      <c r="AK2421" s="4"/>
      <c r="AL2421" s="4"/>
      <c r="AM2421" s="4"/>
      <c r="AN2421" s="4"/>
      <c r="AO2421" s="4"/>
      <c r="AP2421" s="4"/>
      <c r="AQ2421" s="4"/>
      <c r="AR2421" s="4"/>
      <c r="AS2421" s="4"/>
      <c r="AT2421" s="4"/>
      <c r="AU2421" s="4"/>
      <c r="AV2421" s="4"/>
      <c r="AW2421" s="4"/>
      <c r="AX2421" s="4"/>
      <c r="AY2421" s="4"/>
      <c r="AZ2421" s="4"/>
      <c r="BA2421" s="4"/>
      <c r="BB2421" s="4"/>
      <c r="BC2421" s="4"/>
      <c r="BD2421" s="4"/>
      <c r="BE2421" s="4"/>
      <c r="BF2421" s="4"/>
      <c r="BG2421" s="4"/>
      <c r="BH2421" s="4"/>
      <c r="BI2421" s="4"/>
      <c r="BJ2421" s="4"/>
      <c r="BK2421" s="4"/>
      <c r="BL2421" s="4"/>
      <c r="BM2421" s="4"/>
      <c r="BN2421" s="4"/>
      <c r="BO2421" s="4"/>
      <c r="BP2421" s="4"/>
      <c r="BQ2421" s="4"/>
      <c r="BR2421" s="4"/>
      <c r="BS2421" s="4"/>
      <c r="BT2421" s="4"/>
      <c r="BU2421" s="4"/>
      <c r="BV2421" s="4"/>
      <c r="BW2421" s="4"/>
      <c r="BX2421" s="4"/>
      <c r="BY2421" s="4"/>
      <c r="BZ2421" s="4"/>
      <c r="CA2421" s="4"/>
      <c r="CB2421" s="4"/>
      <c r="CC2421" s="4"/>
      <c r="CD2421" s="4"/>
      <c r="CE2421" s="4"/>
      <c r="CF2421" s="4"/>
      <c r="CG2421" s="4"/>
      <c r="CH2421" s="4"/>
      <c r="CI2421" s="4"/>
      <c r="CJ2421" s="4"/>
      <c r="CK2421" s="4"/>
      <c r="CL2421" s="4"/>
      <c r="CM2421" s="4"/>
      <c r="CN2421" s="4"/>
      <c r="CO2421" s="4"/>
      <c r="CP2421" s="4"/>
      <c r="CQ2421" s="4"/>
      <c r="CR2421" s="4"/>
      <c r="CS2421" s="4"/>
      <c r="CT2421" s="4"/>
      <c r="CU2421" s="4"/>
      <c r="CV2421" s="4"/>
      <c r="CW2421" s="4"/>
      <c r="CX2421" s="4"/>
      <c r="CY2421" s="4"/>
      <c r="CZ2421" s="4"/>
      <c r="DA2421" s="4"/>
      <c r="DB2421" s="4"/>
      <c r="DC2421" s="4"/>
      <c r="DD2421" s="4"/>
      <c r="DE2421" s="4"/>
      <c r="DF2421" s="4"/>
      <c r="DG2421" s="4"/>
      <c r="DH2421" s="4"/>
      <c r="DI2421" s="4"/>
      <c r="DJ2421" s="4"/>
      <c r="DK2421" s="4"/>
      <c r="DL2421" s="4"/>
      <c r="DM2421" s="4"/>
      <c r="DN2421" s="4"/>
      <c r="DO2421" s="4"/>
      <c r="DP2421" s="4"/>
      <c r="DQ2421" s="4"/>
      <c r="DR2421" s="4"/>
      <c r="DS2421" s="4"/>
    </row>
    <row r="2422">
      <c r="A2422" s="4"/>
      <c r="B2422" s="4"/>
      <c r="C2422" s="4"/>
      <c r="D2422" s="4"/>
      <c r="E2422" s="4"/>
      <c r="F2422" s="4" t="s">
        <v>17</v>
      </c>
      <c r="G2422" s="15"/>
      <c r="H2422" s="4"/>
      <c r="I2422" s="4"/>
      <c r="J2422" s="4"/>
      <c r="K2422" s="4"/>
      <c r="L2422" s="4"/>
      <c r="M2422" s="4"/>
      <c r="N2422" s="4"/>
      <c r="O2422" s="4"/>
      <c r="P2422" s="4"/>
      <c r="Q2422" s="4"/>
      <c r="R2422" s="4"/>
      <c r="S2422" s="4"/>
      <c r="T2422" s="4"/>
      <c r="U2422" s="4"/>
      <c r="V2422" s="4"/>
      <c r="W2422" s="4"/>
      <c r="X2422" s="4"/>
      <c r="Y2422" s="4"/>
      <c r="Z2422" s="4"/>
      <c r="AA2422" s="4"/>
      <c r="AB2422" s="4"/>
      <c r="AC2422" s="4"/>
      <c r="AD2422" s="4"/>
      <c r="AE2422" s="4"/>
      <c r="AF2422" s="4"/>
      <c r="AG2422" s="4"/>
      <c r="AH2422" s="4"/>
      <c r="AI2422" s="4"/>
      <c r="AJ2422" s="4"/>
      <c r="AK2422" s="4"/>
      <c r="AL2422" s="4"/>
      <c r="AM2422" s="4"/>
      <c r="AN2422" s="4"/>
      <c r="AO2422" s="4"/>
      <c r="AP2422" s="4"/>
      <c r="AQ2422" s="4"/>
      <c r="AR2422" s="4"/>
      <c r="AS2422" s="4"/>
      <c r="AT2422" s="4"/>
      <c r="AU2422" s="4"/>
      <c r="AV2422" s="4"/>
      <c r="AW2422" s="4"/>
      <c r="AX2422" s="4"/>
      <c r="AY2422" s="4"/>
      <c r="AZ2422" s="4"/>
      <c r="BA2422" s="4"/>
      <c r="BB2422" s="4"/>
      <c r="BC2422" s="4"/>
      <c r="BD2422" s="4"/>
      <c r="BE2422" s="4"/>
      <c r="BF2422" s="4"/>
      <c r="BG2422" s="4"/>
      <c r="BH2422" s="4"/>
      <c r="BI2422" s="4"/>
      <c r="BJ2422" s="4"/>
      <c r="BK2422" s="4"/>
      <c r="BL2422" s="4"/>
      <c r="BM2422" s="4"/>
      <c r="BN2422" s="4"/>
      <c r="BO2422" s="4"/>
      <c r="BP2422" s="4"/>
      <c r="BQ2422" s="4"/>
      <c r="BR2422" s="4"/>
      <c r="BS2422" s="4"/>
      <c r="BT2422" s="4"/>
      <c r="BU2422" s="4"/>
      <c r="BV2422" s="4"/>
      <c r="BW2422" s="4"/>
      <c r="BX2422" s="4"/>
      <c r="BY2422" s="4"/>
      <c r="BZ2422" s="4"/>
      <c r="CA2422" s="4"/>
      <c r="CB2422" s="4"/>
      <c r="CC2422" s="4"/>
      <c r="CD2422" s="4"/>
      <c r="CE2422" s="4"/>
      <c r="CF2422" s="4"/>
      <c r="CG2422" s="4"/>
      <c r="CH2422" s="4"/>
      <c r="CI2422" s="4"/>
      <c r="CJ2422" s="4"/>
      <c r="CK2422" s="4"/>
      <c r="CL2422" s="4"/>
      <c r="CM2422" s="4"/>
      <c r="CN2422" s="4"/>
      <c r="CO2422" s="4"/>
      <c r="CP2422" s="4"/>
      <c r="CQ2422" s="4"/>
      <c r="CR2422" s="4"/>
      <c r="CS2422" s="4"/>
      <c r="CT2422" s="4"/>
      <c r="CU2422" s="4"/>
      <c r="CV2422" s="4"/>
      <c r="CW2422" s="4"/>
      <c r="CX2422" s="4"/>
      <c r="CY2422" s="4"/>
      <c r="CZ2422" s="4"/>
      <c r="DA2422" s="4"/>
      <c r="DB2422" s="4"/>
      <c r="DC2422" s="4"/>
      <c r="DD2422" s="4"/>
      <c r="DE2422" s="4"/>
      <c r="DF2422" s="4"/>
      <c r="DG2422" s="4"/>
      <c r="DH2422" s="4"/>
      <c r="DI2422" s="4"/>
      <c r="DJ2422" s="4"/>
      <c r="DK2422" s="4"/>
      <c r="DL2422" s="4"/>
      <c r="DM2422" s="4"/>
      <c r="DN2422" s="4"/>
      <c r="DO2422" s="4"/>
      <c r="DP2422" s="4"/>
      <c r="DQ2422" s="4"/>
      <c r="DR2422" s="4"/>
      <c r="DS2422" s="4"/>
    </row>
    <row r="2423">
      <c r="A2423" s="4"/>
      <c r="B2423" s="4"/>
      <c r="C2423" s="4"/>
      <c r="D2423" s="4"/>
      <c r="E2423" s="4"/>
      <c r="F2423" s="4" t="s">
        <v>17</v>
      </c>
      <c r="G2423" s="15"/>
      <c r="H2423" s="4"/>
      <c r="I2423" s="4"/>
      <c r="J2423" s="4"/>
      <c r="K2423" s="4"/>
      <c r="L2423" s="4"/>
      <c r="M2423" s="4"/>
      <c r="N2423" s="4"/>
      <c r="O2423" s="4"/>
      <c r="P2423" s="4"/>
      <c r="Q2423" s="4"/>
      <c r="R2423" s="4"/>
      <c r="S2423" s="4"/>
      <c r="T2423" s="4"/>
      <c r="U2423" s="4"/>
      <c r="V2423" s="4"/>
      <c r="W2423" s="4"/>
      <c r="X2423" s="4"/>
      <c r="Y2423" s="4"/>
      <c r="Z2423" s="4"/>
      <c r="AA2423" s="4"/>
      <c r="AB2423" s="4"/>
      <c r="AC2423" s="4"/>
      <c r="AD2423" s="4"/>
      <c r="AE2423" s="4"/>
      <c r="AF2423" s="4"/>
      <c r="AG2423" s="4"/>
      <c r="AH2423" s="4"/>
      <c r="AI2423" s="4"/>
      <c r="AJ2423" s="4"/>
      <c r="AK2423" s="4"/>
      <c r="AL2423" s="4"/>
      <c r="AM2423" s="4"/>
      <c r="AN2423" s="4"/>
      <c r="AO2423" s="4"/>
      <c r="AP2423" s="4"/>
      <c r="AQ2423" s="4"/>
      <c r="AR2423" s="4"/>
      <c r="AS2423" s="4"/>
      <c r="AT2423" s="4"/>
      <c r="AU2423" s="4"/>
      <c r="AV2423" s="4"/>
      <c r="AW2423" s="4"/>
      <c r="AX2423" s="4"/>
      <c r="AY2423" s="4"/>
      <c r="AZ2423" s="4"/>
      <c r="BA2423" s="4"/>
      <c r="BB2423" s="4"/>
      <c r="BC2423" s="4"/>
      <c r="BD2423" s="4"/>
      <c r="BE2423" s="4"/>
      <c r="BF2423" s="4"/>
      <c r="BG2423" s="4"/>
      <c r="BH2423" s="4"/>
      <c r="BI2423" s="4"/>
      <c r="BJ2423" s="4"/>
      <c r="BK2423" s="4"/>
      <c r="BL2423" s="4"/>
      <c r="BM2423" s="4"/>
      <c r="BN2423" s="4"/>
      <c r="BO2423" s="4"/>
      <c r="BP2423" s="4"/>
      <c r="BQ2423" s="4"/>
      <c r="BR2423" s="4"/>
      <c r="BS2423" s="4"/>
      <c r="BT2423" s="4"/>
      <c r="BU2423" s="4"/>
      <c r="BV2423" s="4"/>
      <c r="BW2423" s="4"/>
      <c r="BX2423" s="4"/>
      <c r="BY2423" s="4"/>
      <c r="BZ2423" s="4"/>
      <c r="CA2423" s="4"/>
      <c r="CB2423" s="4"/>
      <c r="CC2423" s="4"/>
      <c r="CD2423" s="4"/>
      <c r="CE2423" s="4"/>
      <c r="CF2423" s="4"/>
      <c r="CG2423" s="4"/>
      <c r="CH2423" s="4"/>
      <c r="CI2423" s="4"/>
      <c r="CJ2423" s="4"/>
      <c r="CK2423" s="4"/>
      <c r="CL2423" s="4"/>
      <c r="CM2423" s="4"/>
      <c r="CN2423" s="4"/>
      <c r="CO2423" s="4"/>
      <c r="CP2423" s="4"/>
      <c r="CQ2423" s="4"/>
      <c r="CR2423" s="4"/>
      <c r="CS2423" s="4"/>
      <c r="CT2423" s="4"/>
      <c r="CU2423" s="4"/>
      <c r="CV2423" s="4"/>
      <c r="CW2423" s="4"/>
      <c r="CX2423" s="4"/>
      <c r="CY2423" s="4"/>
      <c r="CZ2423" s="4"/>
      <c r="DA2423" s="4"/>
      <c r="DB2423" s="4"/>
      <c r="DC2423" s="4"/>
      <c r="DD2423" s="4"/>
      <c r="DE2423" s="4"/>
      <c r="DF2423" s="4"/>
      <c r="DG2423" s="4"/>
      <c r="DH2423" s="4"/>
      <c r="DI2423" s="4"/>
      <c r="DJ2423" s="4"/>
      <c r="DK2423" s="4"/>
      <c r="DL2423" s="4"/>
      <c r="DM2423" s="4"/>
      <c r="DN2423" s="4"/>
      <c r="DO2423" s="4"/>
      <c r="DP2423" s="4"/>
      <c r="DQ2423" s="4"/>
      <c r="DR2423" s="4"/>
      <c r="DS2423" s="4"/>
    </row>
    <row r="2424">
      <c r="A2424" s="4"/>
      <c r="B2424" s="4"/>
      <c r="C2424" s="4"/>
      <c r="D2424" s="4"/>
      <c r="E2424" s="4"/>
      <c r="F2424" s="4" t="s">
        <v>17</v>
      </c>
      <c r="G2424" s="15"/>
      <c r="H2424" s="4"/>
      <c r="I2424" s="4"/>
      <c r="J2424" s="4"/>
      <c r="K2424" s="4"/>
      <c r="L2424" s="4"/>
      <c r="M2424" s="4"/>
      <c r="N2424" s="4"/>
      <c r="O2424" s="4"/>
      <c r="P2424" s="4"/>
      <c r="Q2424" s="4"/>
      <c r="R2424" s="4"/>
      <c r="S2424" s="4"/>
      <c r="T2424" s="4"/>
      <c r="U2424" s="4"/>
      <c r="V2424" s="4"/>
      <c r="W2424" s="4"/>
      <c r="X2424" s="4"/>
      <c r="Y2424" s="4"/>
      <c r="Z2424" s="4"/>
      <c r="AA2424" s="4"/>
      <c r="AB2424" s="4"/>
      <c r="AC2424" s="4"/>
      <c r="AD2424" s="4"/>
      <c r="AE2424" s="4"/>
      <c r="AF2424" s="4"/>
      <c r="AG2424" s="4"/>
      <c r="AH2424" s="4"/>
      <c r="AI2424" s="4"/>
      <c r="AJ2424" s="4"/>
      <c r="AK2424" s="4"/>
      <c r="AL2424" s="4"/>
      <c r="AM2424" s="4"/>
      <c r="AN2424" s="4"/>
      <c r="AO2424" s="4"/>
      <c r="AP2424" s="4"/>
      <c r="AQ2424" s="4"/>
      <c r="AR2424" s="4"/>
      <c r="AS2424" s="4"/>
      <c r="AT2424" s="4"/>
      <c r="AU2424" s="4"/>
      <c r="AV2424" s="4"/>
      <c r="AW2424" s="4"/>
      <c r="AX2424" s="4"/>
      <c r="AY2424" s="4"/>
      <c r="AZ2424" s="4"/>
      <c r="BA2424" s="4"/>
      <c r="BB2424" s="4"/>
      <c r="BC2424" s="4"/>
      <c r="BD2424" s="4"/>
      <c r="BE2424" s="4"/>
      <c r="BF2424" s="4"/>
      <c r="BG2424" s="4"/>
      <c r="BH2424" s="4"/>
      <c r="BI2424" s="4"/>
      <c r="BJ2424" s="4"/>
      <c r="BK2424" s="4"/>
      <c r="BL2424" s="4"/>
      <c r="BM2424" s="4"/>
      <c r="BN2424" s="4"/>
      <c r="BO2424" s="4"/>
      <c r="BP2424" s="4"/>
      <c r="BQ2424" s="4"/>
      <c r="BR2424" s="4"/>
      <c r="BS2424" s="4"/>
      <c r="BT2424" s="4"/>
      <c r="BU2424" s="4"/>
      <c r="BV2424" s="4"/>
      <c r="BW2424" s="4"/>
      <c r="BX2424" s="4"/>
      <c r="BY2424" s="4"/>
      <c r="BZ2424" s="4"/>
      <c r="CA2424" s="4"/>
      <c r="CB2424" s="4"/>
      <c r="CC2424" s="4"/>
      <c r="CD2424" s="4"/>
      <c r="CE2424" s="4"/>
      <c r="CF2424" s="4"/>
      <c r="CG2424" s="4"/>
      <c r="CH2424" s="4"/>
      <c r="CI2424" s="4"/>
      <c r="CJ2424" s="4"/>
      <c r="CK2424" s="4"/>
      <c r="CL2424" s="4"/>
      <c r="CM2424" s="4"/>
      <c r="CN2424" s="4"/>
      <c r="CO2424" s="4"/>
      <c r="CP2424" s="4"/>
      <c r="CQ2424" s="4"/>
      <c r="CR2424" s="4"/>
      <c r="CS2424" s="4"/>
      <c r="CT2424" s="4"/>
      <c r="CU2424" s="4"/>
      <c r="CV2424" s="4"/>
      <c r="CW2424" s="4"/>
      <c r="CX2424" s="4"/>
      <c r="CY2424" s="4"/>
      <c r="CZ2424" s="4"/>
      <c r="DA2424" s="4"/>
      <c r="DB2424" s="4"/>
      <c r="DC2424" s="4"/>
      <c r="DD2424" s="4"/>
      <c r="DE2424" s="4"/>
      <c r="DF2424" s="4"/>
      <c r="DG2424" s="4"/>
      <c r="DH2424" s="4"/>
      <c r="DI2424" s="4"/>
      <c r="DJ2424" s="4"/>
      <c r="DK2424" s="4"/>
      <c r="DL2424" s="4"/>
      <c r="DM2424" s="4"/>
      <c r="DN2424" s="4"/>
      <c r="DO2424" s="4"/>
      <c r="DP2424" s="4"/>
      <c r="DQ2424" s="4"/>
      <c r="DR2424" s="4"/>
      <c r="DS2424" s="4"/>
    </row>
    <row r="2425">
      <c r="A2425" s="4"/>
      <c r="B2425" s="4"/>
      <c r="C2425" s="4"/>
      <c r="D2425" s="4"/>
      <c r="E2425" s="4"/>
      <c r="F2425" s="4" t="s">
        <v>17</v>
      </c>
      <c r="G2425" s="15"/>
      <c r="H2425" s="4"/>
      <c r="I2425" s="4"/>
      <c r="J2425" s="4"/>
      <c r="K2425" s="4"/>
      <c r="L2425" s="4"/>
      <c r="M2425" s="4"/>
      <c r="N2425" s="4"/>
      <c r="O2425" s="4"/>
      <c r="P2425" s="4"/>
      <c r="Q2425" s="4"/>
      <c r="R2425" s="4"/>
      <c r="S2425" s="4"/>
      <c r="T2425" s="4"/>
      <c r="U2425" s="4"/>
      <c r="V2425" s="4"/>
      <c r="W2425" s="4"/>
      <c r="X2425" s="4"/>
      <c r="Y2425" s="4"/>
      <c r="Z2425" s="4"/>
      <c r="AA2425" s="4"/>
      <c r="AB2425" s="4"/>
      <c r="AC2425" s="4"/>
      <c r="AD2425" s="4"/>
      <c r="AE2425" s="4"/>
      <c r="AF2425" s="4"/>
      <c r="AG2425" s="4"/>
      <c r="AH2425" s="4"/>
      <c r="AI2425" s="4"/>
      <c r="AJ2425" s="4"/>
      <c r="AK2425" s="4"/>
      <c r="AL2425" s="4"/>
      <c r="AM2425" s="4"/>
      <c r="AN2425" s="4"/>
      <c r="AO2425" s="4"/>
      <c r="AP2425" s="4"/>
      <c r="AQ2425" s="4"/>
      <c r="AR2425" s="4"/>
      <c r="AS2425" s="4"/>
      <c r="AT2425" s="4"/>
      <c r="AU2425" s="4"/>
      <c r="AV2425" s="4"/>
      <c r="AW2425" s="4"/>
      <c r="AX2425" s="4"/>
      <c r="AY2425" s="4"/>
      <c r="AZ2425" s="4"/>
      <c r="BA2425" s="4"/>
      <c r="BB2425" s="4"/>
      <c r="BC2425" s="4"/>
      <c r="BD2425" s="4"/>
      <c r="BE2425" s="4"/>
      <c r="BF2425" s="4"/>
      <c r="BG2425" s="4"/>
      <c r="BH2425" s="4"/>
      <c r="BI2425" s="4"/>
      <c r="BJ2425" s="4"/>
      <c r="BK2425" s="4"/>
      <c r="BL2425" s="4"/>
      <c r="BM2425" s="4"/>
      <c r="BN2425" s="4"/>
      <c r="BO2425" s="4"/>
      <c r="BP2425" s="4"/>
      <c r="BQ2425" s="4"/>
      <c r="BR2425" s="4"/>
      <c r="BS2425" s="4"/>
      <c r="BT2425" s="4"/>
      <c r="BU2425" s="4"/>
      <c r="BV2425" s="4"/>
      <c r="BW2425" s="4"/>
      <c r="BX2425" s="4"/>
      <c r="BY2425" s="4"/>
      <c r="BZ2425" s="4"/>
      <c r="CA2425" s="4"/>
      <c r="CB2425" s="4"/>
      <c r="CC2425" s="4"/>
      <c r="CD2425" s="4"/>
      <c r="CE2425" s="4"/>
      <c r="CF2425" s="4"/>
      <c r="CG2425" s="4"/>
      <c r="CH2425" s="4"/>
      <c r="CI2425" s="4"/>
      <c r="CJ2425" s="4"/>
      <c r="CK2425" s="4"/>
      <c r="CL2425" s="4"/>
      <c r="CM2425" s="4"/>
      <c r="CN2425" s="4"/>
      <c r="CO2425" s="4"/>
      <c r="CP2425" s="4"/>
      <c r="CQ2425" s="4"/>
      <c r="CR2425" s="4"/>
      <c r="CS2425" s="4"/>
      <c r="CT2425" s="4"/>
      <c r="CU2425" s="4"/>
      <c r="CV2425" s="4"/>
      <c r="CW2425" s="4"/>
      <c r="CX2425" s="4"/>
      <c r="CY2425" s="4"/>
      <c r="CZ2425" s="4"/>
      <c r="DA2425" s="4"/>
      <c r="DB2425" s="4"/>
      <c r="DC2425" s="4"/>
      <c r="DD2425" s="4"/>
      <c r="DE2425" s="4"/>
      <c r="DF2425" s="4"/>
      <c r="DG2425" s="4"/>
      <c r="DH2425" s="4"/>
      <c r="DI2425" s="4"/>
      <c r="DJ2425" s="4"/>
      <c r="DK2425" s="4"/>
      <c r="DL2425" s="4"/>
      <c r="DM2425" s="4"/>
      <c r="DN2425" s="4"/>
      <c r="DO2425" s="4"/>
      <c r="DP2425" s="4"/>
      <c r="DQ2425" s="4"/>
      <c r="DR2425" s="4"/>
      <c r="DS2425" s="4"/>
    </row>
    <row r="2426">
      <c r="A2426" s="4"/>
      <c r="B2426" s="4"/>
      <c r="C2426" s="4"/>
      <c r="D2426" s="4"/>
      <c r="E2426" s="4"/>
      <c r="F2426" s="4" t="s">
        <v>17</v>
      </c>
      <c r="G2426" s="15"/>
      <c r="H2426" s="4"/>
      <c r="I2426" s="4"/>
      <c r="J2426" s="4"/>
      <c r="K2426" s="4"/>
      <c r="L2426" s="4"/>
      <c r="M2426" s="4"/>
      <c r="N2426" s="4"/>
      <c r="O2426" s="4"/>
      <c r="P2426" s="4"/>
      <c r="Q2426" s="4"/>
      <c r="R2426" s="4"/>
      <c r="S2426" s="4"/>
      <c r="T2426" s="4"/>
      <c r="U2426" s="4"/>
      <c r="V2426" s="4"/>
      <c r="W2426" s="4"/>
      <c r="X2426" s="4"/>
      <c r="Y2426" s="4"/>
      <c r="Z2426" s="4"/>
      <c r="AA2426" s="4"/>
      <c r="AB2426" s="4"/>
      <c r="AC2426" s="4"/>
      <c r="AD2426" s="4"/>
      <c r="AE2426" s="4"/>
      <c r="AF2426" s="4"/>
      <c r="AG2426" s="4"/>
      <c r="AH2426" s="4"/>
      <c r="AI2426" s="4"/>
      <c r="AJ2426" s="4"/>
      <c r="AK2426" s="4"/>
      <c r="AL2426" s="4"/>
      <c r="AM2426" s="4"/>
      <c r="AN2426" s="4"/>
      <c r="AO2426" s="4"/>
      <c r="AP2426" s="4"/>
      <c r="AQ2426" s="4"/>
      <c r="AR2426" s="4"/>
      <c r="AS2426" s="4"/>
      <c r="AT2426" s="4"/>
      <c r="AU2426" s="4"/>
      <c r="AV2426" s="4"/>
      <c r="AW2426" s="4"/>
      <c r="AX2426" s="4"/>
      <c r="AY2426" s="4"/>
      <c r="AZ2426" s="4"/>
      <c r="BA2426" s="4"/>
      <c r="BB2426" s="4"/>
      <c r="BC2426" s="4"/>
      <c r="BD2426" s="4"/>
      <c r="BE2426" s="4"/>
      <c r="BF2426" s="4"/>
      <c r="BG2426" s="4"/>
      <c r="BH2426" s="4"/>
      <c r="BI2426" s="4"/>
      <c r="BJ2426" s="4"/>
      <c r="BK2426" s="4"/>
      <c r="BL2426" s="4"/>
      <c r="BM2426" s="4"/>
      <c r="BN2426" s="4"/>
      <c r="BO2426" s="4"/>
      <c r="BP2426" s="4"/>
      <c r="BQ2426" s="4"/>
      <c r="BR2426" s="4"/>
      <c r="BS2426" s="4"/>
      <c r="BT2426" s="4"/>
      <c r="BU2426" s="4"/>
      <c r="BV2426" s="4"/>
      <c r="BW2426" s="4"/>
      <c r="BX2426" s="4"/>
      <c r="BY2426" s="4"/>
      <c r="BZ2426" s="4"/>
      <c r="CA2426" s="4"/>
      <c r="CB2426" s="4"/>
      <c r="CC2426" s="4"/>
      <c r="CD2426" s="4"/>
      <c r="CE2426" s="4"/>
      <c r="CF2426" s="4"/>
      <c r="CG2426" s="4"/>
      <c r="CH2426" s="4"/>
      <c r="CI2426" s="4"/>
      <c r="CJ2426" s="4"/>
      <c r="CK2426" s="4"/>
      <c r="CL2426" s="4"/>
      <c r="CM2426" s="4"/>
      <c r="CN2426" s="4"/>
      <c r="CO2426" s="4"/>
      <c r="CP2426" s="4"/>
      <c r="CQ2426" s="4"/>
      <c r="CR2426" s="4"/>
      <c r="CS2426" s="4"/>
      <c r="CT2426" s="4"/>
      <c r="CU2426" s="4"/>
      <c r="CV2426" s="4"/>
      <c r="CW2426" s="4"/>
      <c r="CX2426" s="4"/>
      <c r="CY2426" s="4"/>
      <c r="CZ2426" s="4"/>
      <c r="DA2426" s="4"/>
      <c r="DB2426" s="4"/>
      <c r="DC2426" s="4"/>
      <c r="DD2426" s="4"/>
      <c r="DE2426" s="4"/>
      <c r="DF2426" s="4"/>
      <c r="DG2426" s="4"/>
      <c r="DH2426" s="4"/>
      <c r="DI2426" s="4"/>
      <c r="DJ2426" s="4"/>
      <c r="DK2426" s="4"/>
      <c r="DL2426" s="4"/>
      <c r="DM2426" s="4"/>
      <c r="DN2426" s="4"/>
      <c r="DO2426" s="4"/>
      <c r="DP2426" s="4"/>
      <c r="DQ2426" s="4"/>
      <c r="DR2426" s="4"/>
      <c r="DS2426" s="4"/>
    </row>
    <row r="2427">
      <c r="A2427" s="4"/>
      <c r="B2427" s="4"/>
      <c r="C2427" s="4"/>
      <c r="D2427" s="4"/>
      <c r="E2427" s="4"/>
      <c r="F2427" s="4" t="s">
        <v>17</v>
      </c>
      <c r="G2427" s="15"/>
      <c r="H2427" s="4"/>
      <c r="I2427" s="4"/>
      <c r="J2427" s="4"/>
      <c r="K2427" s="4"/>
      <c r="L2427" s="4"/>
      <c r="M2427" s="4"/>
      <c r="N2427" s="4"/>
      <c r="O2427" s="4"/>
      <c r="P2427" s="4"/>
      <c r="Q2427" s="4"/>
      <c r="R2427" s="4"/>
      <c r="S2427" s="4"/>
      <c r="T2427" s="4"/>
      <c r="U2427" s="4"/>
      <c r="V2427" s="4"/>
      <c r="W2427" s="4"/>
      <c r="X2427" s="4"/>
      <c r="Y2427" s="4"/>
      <c r="Z2427" s="4"/>
      <c r="AA2427" s="4"/>
      <c r="AB2427" s="4"/>
      <c r="AC2427" s="4"/>
      <c r="AD2427" s="4"/>
      <c r="AE2427" s="4"/>
      <c r="AF2427" s="4"/>
      <c r="AG2427" s="4"/>
      <c r="AH2427" s="4"/>
      <c r="AI2427" s="4"/>
      <c r="AJ2427" s="4"/>
      <c r="AK2427" s="4"/>
      <c r="AL2427" s="4"/>
      <c r="AM2427" s="4"/>
      <c r="AN2427" s="4"/>
      <c r="AO2427" s="4"/>
      <c r="AP2427" s="4"/>
      <c r="AQ2427" s="4"/>
      <c r="AR2427" s="4"/>
      <c r="AS2427" s="4"/>
      <c r="AT2427" s="4"/>
      <c r="AU2427" s="4"/>
      <c r="AV2427" s="4"/>
      <c r="AW2427" s="4"/>
      <c r="AX2427" s="4"/>
      <c r="AY2427" s="4"/>
      <c r="AZ2427" s="4"/>
      <c r="BA2427" s="4"/>
      <c r="BB2427" s="4"/>
      <c r="BC2427" s="4"/>
      <c r="BD2427" s="4"/>
      <c r="BE2427" s="4"/>
      <c r="BF2427" s="4"/>
      <c r="BG2427" s="4"/>
      <c r="BH2427" s="4"/>
      <c r="BI2427" s="4"/>
      <c r="BJ2427" s="4"/>
      <c r="BK2427" s="4"/>
      <c r="BL2427" s="4"/>
      <c r="BM2427" s="4"/>
      <c r="BN2427" s="4"/>
      <c r="BO2427" s="4"/>
      <c r="BP2427" s="4"/>
      <c r="BQ2427" s="4"/>
      <c r="BR2427" s="4"/>
      <c r="BS2427" s="4"/>
      <c r="BT2427" s="4"/>
      <c r="BU2427" s="4"/>
      <c r="BV2427" s="4"/>
      <c r="BW2427" s="4"/>
      <c r="BX2427" s="4"/>
      <c r="BY2427" s="4"/>
      <c r="BZ2427" s="4"/>
      <c r="CA2427" s="4"/>
      <c r="CB2427" s="4"/>
      <c r="CC2427" s="4"/>
      <c r="CD2427" s="4"/>
      <c r="CE2427" s="4"/>
      <c r="CF2427" s="4"/>
      <c r="CG2427" s="4"/>
      <c r="CH2427" s="4"/>
      <c r="CI2427" s="4"/>
      <c r="CJ2427" s="4"/>
      <c r="CK2427" s="4"/>
      <c r="CL2427" s="4"/>
      <c r="CM2427" s="4"/>
      <c r="CN2427" s="4"/>
      <c r="CO2427" s="4"/>
      <c r="CP2427" s="4"/>
      <c r="CQ2427" s="4"/>
      <c r="CR2427" s="4"/>
      <c r="CS2427" s="4"/>
      <c r="CT2427" s="4"/>
      <c r="CU2427" s="4"/>
      <c r="CV2427" s="4"/>
      <c r="CW2427" s="4"/>
      <c r="CX2427" s="4"/>
      <c r="CY2427" s="4"/>
      <c r="CZ2427" s="4"/>
      <c r="DA2427" s="4"/>
      <c r="DB2427" s="4"/>
      <c r="DC2427" s="4"/>
      <c r="DD2427" s="4"/>
      <c r="DE2427" s="4"/>
      <c r="DF2427" s="4"/>
      <c r="DG2427" s="4"/>
      <c r="DH2427" s="4"/>
      <c r="DI2427" s="4"/>
      <c r="DJ2427" s="4"/>
      <c r="DK2427" s="4"/>
      <c r="DL2427" s="4"/>
      <c r="DM2427" s="4"/>
      <c r="DN2427" s="4"/>
      <c r="DO2427" s="4"/>
      <c r="DP2427" s="4"/>
      <c r="DQ2427" s="4"/>
      <c r="DR2427" s="4"/>
      <c r="DS2427" s="4"/>
    </row>
    <row r="2428">
      <c r="A2428" s="4"/>
      <c r="B2428" s="4"/>
      <c r="C2428" s="4"/>
      <c r="D2428" s="4"/>
      <c r="E2428" s="4"/>
      <c r="F2428" s="4" t="s">
        <v>17</v>
      </c>
      <c r="G2428" s="15"/>
      <c r="H2428" s="4"/>
      <c r="I2428" s="4"/>
      <c r="J2428" s="4"/>
      <c r="K2428" s="4"/>
      <c r="L2428" s="4"/>
      <c r="M2428" s="4"/>
      <c r="N2428" s="4"/>
      <c r="O2428" s="4"/>
      <c r="P2428" s="4"/>
      <c r="Q2428" s="4"/>
      <c r="R2428" s="4"/>
      <c r="S2428" s="4"/>
      <c r="T2428" s="4"/>
      <c r="U2428" s="4"/>
      <c r="V2428" s="4"/>
      <c r="W2428" s="4"/>
      <c r="X2428" s="4"/>
      <c r="Y2428" s="4"/>
      <c r="Z2428" s="4"/>
      <c r="AA2428" s="4"/>
      <c r="AB2428" s="4"/>
      <c r="AC2428" s="4"/>
      <c r="AD2428" s="4"/>
      <c r="AE2428" s="4"/>
      <c r="AF2428" s="4"/>
      <c r="AG2428" s="4"/>
      <c r="AH2428" s="4"/>
      <c r="AI2428" s="4"/>
      <c r="AJ2428" s="4"/>
      <c r="AK2428" s="4"/>
      <c r="AL2428" s="4"/>
      <c r="AM2428" s="4"/>
      <c r="AN2428" s="4"/>
      <c r="AO2428" s="4"/>
      <c r="AP2428" s="4"/>
      <c r="AQ2428" s="4"/>
      <c r="AR2428" s="4"/>
      <c r="AS2428" s="4"/>
      <c r="AT2428" s="4"/>
      <c r="AU2428" s="4"/>
      <c r="AV2428" s="4"/>
      <c r="AW2428" s="4"/>
      <c r="AX2428" s="4"/>
      <c r="AY2428" s="4"/>
      <c r="AZ2428" s="4"/>
      <c r="BA2428" s="4"/>
      <c r="BB2428" s="4"/>
      <c r="BC2428" s="4"/>
      <c r="BD2428" s="4"/>
      <c r="BE2428" s="4"/>
      <c r="BF2428" s="4"/>
      <c r="BG2428" s="4"/>
      <c r="BH2428" s="4"/>
      <c r="BI2428" s="4"/>
      <c r="BJ2428" s="4"/>
      <c r="BK2428" s="4"/>
      <c r="BL2428" s="4"/>
      <c r="BM2428" s="4"/>
      <c r="BN2428" s="4"/>
      <c r="BO2428" s="4"/>
      <c r="BP2428" s="4"/>
      <c r="BQ2428" s="4"/>
      <c r="BR2428" s="4"/>
      <c r="BS2428" s="4"/>
      <c r="BT2428" s="4"/>
      <c r="BU2428" s="4"/>
      <c r="BV2428" s="4"/>
      <c r="BW2428" s="4"/>
      <c r="BX2428" s="4"/>
      <c r="BY2428" s="4"/>
      <c r="BZ2428" s="4"/>
      <c r="CA2428" s="4"/>
      <c r="CB2428" s="4"/>
      <c r="CC2428" s="4"/>
      <c r="CD2428" s="4"/>
      <c r="CE2428" s="4"/>
      <c r="CF2428" s="4"/>
      <c r="CG2428" s="4"/>
      <c r="CH2428" s="4"/>
      <c r="CI2428" s="4"/>
      <c r="CJ2428" s="4"/>
      <c r="CK2428" s="4"/>
      <c r="CL2428" s="4"/>
      <c r="CM2428" s="4"/>
      <c r="CN2428" s="4"/>
      <c r="CO2428" s="4"/>
      <c r="CP2428" s="4"/>
      <c r="CQ2428" s="4"/>
      <c r="CR2428" s="4"/>
      <c r="CS2428" s="4"/>
      <c r="CT2428" s="4"/>
      <c r="CU2428" s="4"/>
      <c r="CV2428" s="4"/>
      <c r="CW2428" s="4"/>
      <c r="CX2428" s="4"/>
      <c r="CY2428" s="4"/>
      <c r="CZ2428" s="4"/>
      <c r="DA2428" s="4"/>
      <c r="DB2428" s="4"/>
      <c r="DC2428" s="4"/>
      <c r="DD2428" s="4"/>
      <c r="DE2428" s="4"/>
      <c r="DF2428" s="4"/>
      <c r="DG2428" s="4"/>
      <c r="DH2428" s="4"/>
      <c r="DI2428" s="4"/>
      <c r="DJ2428" s="4"/>
      <c r="DK2428" s="4"/>
      <c r="DL2428" s="4"/>
      <c r="DM2428" s="4"/>
      <c r="DN2428" s="4"/>
      <c r="DO2428" s="4"/>
      <c r="DP2428" s="4"/>
      <c r="DQ2428" s="4"/>
      <c r="DR2428" s="4"/>
      <c r="DS2428" s="4"/>
    </row>
    <row r="2429">
      <c r="A2429" s="4"/>
      <c r="B2429" s="4"/>
      <c r="C2429" s="4"/>
      <c r="D2429" s="4"/>
      <c r="E2429" s="4"/>
      <c r="F2429" s="4" t="s">
        <v>17</v>
      </c>
      <c r="G2429" s="15"/>
      <c r="H2429" s="4"/>
      <c r="I2429" s="4"/>
      <c r="J2429" s="4"/>
      <c r="K2429" s="4"/>
      <c r="L2429" s="4"/>
      <c r="M2429" s="4"/>
      <c r="N2429" s="4"/>
      <c r="O2429" s="4"/>
      <c r="P2429" s="4"/>
      <c r="Q2429" s="4"/>
      <c r="R2429" s="4"/>
      <c r="S2429" s="4"/>
      <c r="T2429" s="4"/>
      <c r="U2429" s="4"/>
      <c r="V2429" s="4"/>
      <c r="W2429" s="4"/>
      <c r="X2429" s="4"/>
      <c r="Y2429" s="4"/>
      <c r="Z2429" s="4"/>
      <c r="AA2429" s="4"/>
      <c r="AB2429" s="4"/>
      <c r="AC2429" s="4"/>
      <c r="AD2429" s="4"/>
      <c r="AE2429" s="4"/>
      <c r="AF2429" s="4"/>
      <c r="AG2429" s="4"/>
      <c r="AH2429" s="4"/>
      <c r="AI2429" s="4"/>
      <c r="AJ2429" s="4"/>
      <c r="AK2429" s="4"/>
      <c r="AL2429" s="4"/>
      <c r="AM2429" s="4"/>
      <c r="AN2429" s="4"/>
      <c r="AO2429" s="4"/>
      <c r="AP2429" s="4"/>
      <c r="AQ2429" s="4"/>
      <c r="AR2429" s="4"/>
      <c r="AS2429" s="4"/>
      <c r="AT2429" s="4"/>
      <c r="AU2429" s="4"/>
      <c r="AV2429" s="4"/>
      <c r="AW2429" s="4"/>
      <c r="AX2429" s="4"/>
      <c r="AY2429" s="4"/>
      <c r="AZ2429" s="4"/>
      <c r="BA2429" s="4"/>
      <c r="BB2429" s="4"/>
      <c r="BC2429" s="4"/>
      <c r="BD2429" s="4"/>
      <c r="BE2429" s="4"/>
      <c r="BF2429" s="4"/>
      <c r="BG2429" s="4"/>
      <c r="BH2429" s="4"/>
      <c r="BI2429" s="4"/>
      <c r="BJ2429" s="4"/>
      <c r="BK2429" s="4"/>
      <c r="BL2429" s="4"/>
      <c r="BM2429" s="4"/>
      <c r="BN2429" s="4"/>
      <c r="BO2429" s="4"/>
      <c r="BP2429" s="4"/>
      <c r="BQ2429" s="4"/>
      <c r="BR2429" s="4"/>
      <c r="BS2429" s="4"/>
      <c r="BT2429" s="4"/>
      <c r="BU2429" s="4"/>
      <c r="BV2429" s="4"/>
      <c r="BW2429" s="4"/>
      <c r="BX2429" s="4"/>
      <c r="BY2429" s="4"/>
      <c r="BZ2429" s="4"/>
      <c r="CA2429" s="4"/>
      <c r="CB2429" s="4"/>
      <c r="CC2429" s="4"/>
      <c r="CD2429" s="4"/>
      <c r="CE2429" s="4"/>
      <c r="CF2429" s="4"/>
      <c r="CG2429" s="4"/>
      <c r="CH2429" s="4"/>
      <c r="CI2429" s="4"/>
      <c r="CJ2429" s="4"/>
      <c r="CK2429" s="4"/>
      <c r="CL2429" s="4"/>
      <c r="CM2429" s="4"/>
      <c r="CN2429" s="4"/>
      <c r="CO2429" s="4"/>
      <c r="CP2429" s="4"/>
      <c r="CQ2429" s="4"/>
      <c r="CR2429" s="4"/>
      <c r="CS2429" s="4"/>
      <c r="CT2429" s="4"/>
      <c r="CU2429" s="4"/>
      <c r="CV2429" s="4"/>
      <c r="CW2429" s="4"/>
      <c r="CX2429" s="4"/>
      <c r="CY2429" s="4"/>
      <c r="CZ2429" s="4"/>
      <c r="DA2429" s="4"/>
      <c r="DB2429" s="4"/>
      <c r="DC2429" s="4"/>
      <c r="DD2429" s="4"/>
      <c r="DE2429" s="4"/>
      <c r="DF2429" s="4"/>
      <c r="DG2429" s="4"/>
      <c r="DH2429" s="4"/>
      <c r="DI2429" s="4"/>
      <c r="DJ2429" s="4"/>
      <c r="DK2429" s="4"/>
      <c r="DL2429" s="4"/>
      <c r="DM2429" s="4"/>
      <c r="DN2429" s="4"/>
      <c r="DO2429" s="4"/>
      <c r="DP2429" s="4"/>
      <c r="DQ2429" s="4"/>
      <c r="DR2429" s="4"/>
      <c r="DS2429" s="4"/>
    </row>
    <row r="2430">
      <c r="A2430" s="4"/>
      <c r="B2430" s="4"/>
      <c r="C2430" s="4"/>
      <c r="D2430" s="4"/>
      <c r="E2430" s="4"/>
      <c r="F2430" s="4" t="s">
        <v>17</v>
      </c>
      <c r="G2430" s="15"/>
      <c r="H2430" s="4"/>
      <c r="I2430" s="4"/>
      <c r="J2430" s="4"/>
      <c r="K2430" s="4"/>
      <c r="L2430" s="4"/>
      <c r="M2430" s="4"/>
      <c r="N2430" s="4"/>
      <c r="O2430" s="4"/>
      <c r="P2430" s="4"/>
      <c r="Q2430" s="4"/>
      <c r="R2430" s="4"/>
      <c r="S2430" s="4"/>
      <c r="T2430" s="4"/>
      <c r="U2430" s="4"/>
      <c r="V2430" s="4"/>
      <c r="W2430" s="4"/>
      <c r="X2430" s="4"/>
      <c r="Y2430" s="4"/>
      <c r="Z2430" s="4"/>
      <c r="AA2430" s="4"/>
      <c r="AB2430" s="4"/>
      <c r="AC2430" s="4"/>
      <c r="AD2430" s="4"/>
      <c r="AE2430" s="4"/>
      <c r="AF2430" s="4"/>
      <c r="AG2430" s="4"/>
      <c r="AH2430" s="4"/>
      <c r="AI2430" s="4"/>
      <c r="AJ2430" s="4"/>
      <c r="AK2430" s="4"/>
      <c r="AL2430" s="4"/>
      <c r="AM2430" s="4"/>
      <c r="AN2430" s="4"/>
      <c r="AO2430" s="4"/>
      <c r="AP2430" s="4"/>
      <c r="AQ2430" s="4"/>
      <c r="AR2430" s="4"/>
      <c r="AS2430" s="4"/>
      <c r="AT2430" s="4"/>
      <c r="AU2430" s="4"/>
      <c r="AV2430" s="4"/>
      <c r="AW2430" s="4"/>
      <c r="AX2430" s="4"/>
      <c r="AY2430" s="4"/>
      <c r="AZ2430" s="4"/>
      <c r="BA2430" s="4"/>
      <c r="BB2430" s="4"/>
      <c r="BC2430" s="4"/>
      <c r="BD2430" s="4"/>
      <c r="BE2430" s="4"/>
      <c r="BF2430" s="4"/>
      <c r="BG2430" s="4"/>
      <c r="BH2430" s="4"/>
      <c r="BI2430" s="4"/>
      <c r="BJ2430" s="4"/>
      <c r="BK2430" s="4"/>
      <c r="BL2430" s="4"/>
      <c r="BM2430" s="4"/>
      <c r="BN2430" s="4"/>
      <c r="BO2430" s="4"/>
      <c r="BP2430" s="4"/>
      <c r="BQ2430" s="4"/>
      <c r="BR2430" s="4"/>
      <c r="BS2430" s="4"/>
      <c r="BT2430" s="4"/>
      <c r="BU2430" s="4"/>
      <c r="BV2430" s="4"/>
      <c r="BW2430" s="4"/>
      <c r="BX2430" s="4"/>
      <c r="BY2430" s="4"/>
      <c r="BZ2430" s="4"/>
      <c r="CA2430" s="4"/>
      <c r="CB2430" s="4"/>
      <c r="CC2430" s="4"/>
      <c r="CD2430" s="4"/>
      <c r="CE2430" s="4"/>
      <c r="CF2430" s="4"/>
      <c r="CG2430" s="4"/>
      <c r="CH2430" s="4"/>
      <c r="CI2430" s="4"/>
      <c r="CJ2430" s="4"/>
      <c r="CK2430" s="4"/>
      <c r="CL2430" s="4"/>
      <c r="CM2430" s="4"/>
      <c r="CN2430" s="4"/>
      <c r="CO2430" s="4"/>
      <c r="CP2430" s="4"/>
      <c r="CQ2430" s="4"/>
      <c r="CR2430" s="4"/>
      <c r="CS2430" s="4"/>
      <c r="CT2430" s="4"/>
      <c r="CU2430" s="4"/>
      <c r="CV2430" s="4"/>
      <c r="CW2430" s="4"/>
      <c r="CX2430" s="4"/>
      <c r="CY2430" s="4"/>
      <c r="CZ2430" s="4"/>
      <c r="DA2430" s="4"/>
      <c r="DB2430" s="4"/>
      <c r="DC2430" s="4"/>
      <c r="DD2430" s="4"/>
      <c r="DE2430" s="4"/>
      <c r="DF2430" s="4"/>
      <c r="DG2430" s="4"/>
      <c r="DH2430" s="4"/>
      <c r="DI2430" s="4"/>
      <c r="DJ2430" s="4"/>
      <c r="DK2430" s="4"/>
      <c r="DL2430" s="4"/>
      <c r="DM2430" s="4"/>
      <c r="DN2430" s="4"/>
      <c r="DO2430" s="4"/>
      <c r="DP2430" s="4"/>
      <c r="DQ2430" s="4"/>
      <c r="DR2430" s="4"/>
      <c r="DS2430" s="4"/>
    </row>
    <row r="2431">
      <c r="A2431" s="4"/>
      <c r="B2431" s="4"/>
      <c r="C2431" s="4"/>
      <c r="D2431" s="4"/>
      <c r="E2431" s="4"/>
      <c r="F2431" s="4" t="s">
        <v>17</v>
      </c>
      <c r="G2431" s="15"/>
      <c r="H2431" s="4"/>
      <c r="I2431" s="4"/>
      <c r="J2431" s="4"/>
      <c r="K2431" s="4"/>
      <c r="L2431" s="4"/>
      <c r="M2431" s="4"/>
      <c r="N2431" s="4"/>
      <c r="O2431" s="4"/>
      <c r="P2431" s="4"/>
      <c r="Q2431" s="4"/>
      <c r="R2431" s="4"/>
      <c r="S2431" s="4"/>
      <c r="T2431" s="4"/>
      <c r="U2431" s="4"/>
      <c r="V2431" s="4"/>
      <c r="W2431" s="4"/>
      <c r="X2431" s="4"/>
      <c r="Y2431" s="4"/>
      <c r="Z2431" s="4"/>
      <c r="AA2431" s="4"/>
      <c r="AB2431" s="4"/>
      <c r="AC2431" s="4"/>
      <c r="AD2431" s="4"/>
      <c r="AE2431" s="4"/>
      <c r="AF2431" s="4"/>
      <c r="AG2431" s="4"/>
      <c r="AH2431" s="4"/>
      <c r="AI2431" s="4"/>
      <c r="AJ2431" s="4"/>
      <c r="AK2431" s="4"/>
      <c r="AL2431" s="4"/>
      <c r="AM2431" s="4"/>
      <c r="AN2431" s="4"/>
      <c r="AO2431" s="4"/>
      <c r="AP2431" s="4"/>
      <c r="AQ2431" s="4"/>
      <c r="AR2431" s="4"/>
      <c r="AS2431" s="4"/>
      <c r="AT2431" s="4"/>
      <c r="AU2431" s="4"/>
      <c r="AV2431" s="4"/>
      <c r="AW2431" s="4"/>
      <c r="AX2431" s="4"/>
      <c r="AY2431" s="4"/>
      <c r="AZ2431" s="4"/>
      <c r="BA2431" s="4"/>
      <c r="BB2431" s="4"/>
      <c r="BC2431" s="4"/>
      <c r="BD2431" s="4"/>
      <c r="BE2431" s="4"/>
      <c r="BF2431" s="4"/>
      <c r="BG2431" s="4"/>
      <c r="BH2431" s="4"/>
      <c r="BI2431" s="4"/>
      <c r="BJ2431" s="4"/>
      <c r="BK2431" s="4"/>
      <c r="BL2431" s="4"/>
      <c r="BM2431" s="4"/>
      <c r="BN2431" s="4"/>
      <c r="BO2431" s="4"/>
      <c r="BP2431" s="4"/>
      <c r="BQ2431" s="4"/>
      <c r="BR2431" s="4"/>
      <c r="BS2431" s="4"/>
      <c r="BT2431" s="4"/>
      <c r="BU2431" s="4"/>
      <c r="BV2431" s="4"/>
      <c r="BW2431" s="4"/>
      <c r="BX2431" s="4"/>
      <c r="BY2431" s="4"/>
      <c r="BZ2431" s="4"/>
      <c r="CA2431" s="4"/>
      <c r="CB2431" s="4"/>
      <c r="CC2431" s="4"/>
      <c r="CD2431" s="4"/>
      <c r="CE2431" s="4"/>
      <c r="CF2431" s="4"/>
      <c r="CG2431" s="4"/>
      <c r="CH2431" s="4"/>
      <c r="CI2431" s="4"/>
      <c r="CJ2431" s="4"/>
      <c r="CK2431" s="4"/>
      <c r="CL2431" s="4"/>
      <c r="CM2431" s="4"/>
      <c r="CN2431" s="4"/>
      <c r="CO2431" s="4"/>
      <c r="CP2431" s="4"/>
      <c r="CQ2431" s="4"/>
      <c r="CR2431" s="4"/>
      <c r="CS2431" s="4"/>
      <c r="CT2431" s="4"/>
      <c r="CU2431" s="4"/>
      <c r="CV2431" s="4"/>
      <c r="CW2431" s="4"/>
      <c r="CX2431" s="4"/>
      <c r="CY2431" s="4"/>
      <c r="CZ2431" s="4"/>
      <c r="DA2431" s="4"/>
      <c r="DB2431" s="4"/>
      <c r="DC2431" s="4"/>
      <c r="DD2431" s="4"/>
      <c r="DE2431" s="4"/>
      <c r="DF2431" s="4"/>
      <c r="DG2431" s="4"/>
      <c r="DH2431" s="4"/>
      <c r="DI2431" s="4"/>
      <c r="DJ2431" s="4"/>
      <c r="DK2431" s="4"/>
      <c r="DL2431" s="4"/>
      <c r="DM2431" s="4"/>
      <c r="DN2431" s="4"/>
      <c r="DO2431" s="4"/>
      <c r="DP2431" s="4"/>
      <c r="DQ2431" s="4"/>
      <c r="DR2431" s="4"/>
      <c r="DS2431" s="4"/>
    </row>
    <row r="2432">
      <c r="A2432" s="4"/>
      <c r="B2432" s="4"/>
      <c r="C2432" s="4"/>
      <c r="D2432" s="4"/>
      <c r="E2432" s="4"/>
      <c r="F2432" s="4" t="s">
        <v>17</v>
      </c>
      <c r="G2432" s="15"/>
      <c r="H2432" s="4"/>
      <c r="I2432" s="4"/>
      <c r="J2432" s="4"/>
      <c r="K2432" s="4"/>
      <c r="L2432" s="4"/>
      <c r="M2432" s="4"/>
      <c r="N2432" s="4"/>
      <c r="O2432" s="4"/>
      <c r="P2432" s="4"/>
      <c r="Q2432" s="4"/>
      <c r="R2432" s="4"/>
      <c r="S2432" s="4"/>
      <c r="T2432" s="4"/>
      <c r="U2432" s="4"/>
      <c r="V2432" s="4"/>
      <c r="W2432" s="4"/>
      <c r="X2432" s="4"/>
      <c r="Y2432" s="4"/>
      <c r="Z2432" s="4"/>
      <c r="AA2432" s="4"/>
      <c r="AB2432" s="4"/>
      <c r="AC2432" s="4"/>
      <c r="AD2432" s="4"/>
      <c r="AE2432" s="4"/>
      <c r="AF2432" s="4"/>
      <c r="AG2432" s="4"/>
      <c r="AH2432" s="4"/>
      <c r="AI2432" s="4"/>
      <c r="AJ2432" s="4"/>
      <c r="AK2432" s="4"/>
      <c r="AL2432" s="4"/>
      <c r="AM2432" s="4"/>
      <c r="AN2432" s="4"/>
      <c r="AO2432" s="4"/>
      <c r="AP2432" s="4"/>
      <c r="AQ2432" s="4"/>
      <c r="AR2432" s="4"/>
      <c r="AS2432" s="4"/>
      <c r="AT2432" s="4"/>
      <c r="AU2432" s="4"/>
      <c r="AV2432" s="4"/>
      <c r="AW2432" s="4"/>
      <c r="AX2432" s="4"/>
      <c r="AY2432" s="4"/>
      <c r="AZ2432" s="4"/>
      <c r="BA2432" s="4"/>
      <c r="BB2432" s="4"/>
      <c r="BC2432" s="4"/>
      <c r="BD2432" s="4"/>
      <c r="BE2432" s="4"/>
      <c r="BF2432" s="4"/>
      <c r="BG2432" s="4"/>
      <c r="BH2432" s="4"/>
      <c r="BI2432" s="4"/>
      <c r="BJ2432" s="4"/>
      <c r="BK2432" s="4"/>
      <c r="BL2432" s="4"/>
      <c r="BM2432" s="4"/>
      <c r="BN2432" s="4"/>
      <c r="BO2432" s="4"/>
      <c r="BP2432" s="4"/>
      <c r="BQ2432" s="4"/>
      <c r="BR2432" s="4"/>
      <c r="BS2432" s="4"/>
      <c r="BT2432" s="4"/>
      <c r="BU2432" s="4"/>
      <c r="BV2432" s="4"/>
      <c r="BW2432" s="4"/>
      <c r="BX2432" s="4"/>
      <c r="BY2432" s="4"/>
      <c r="BZ2432" s="4"/>
      <c r="CA2432" s="4"/>
      <c r="CB2432" s="4"/>
      <c r="CC2432" s="4"/>
      <c r="CD2432" s="4"/>
      <c r="CE2432" s="4"/>
      <c r="CF2432" s="4"/>
      <c r="CG2432" s="4"/>
      <c r="CH2432" s="4"/>
      <c r="CI2432" s="4"/>
      <c r="CJ2432" s="4"/>
      <c r="CK2432" s="4"/>
      <c r="CL2432" s="4"/>
      <c r="CM2432" s="4"/>
      <c r="CN2432" s="4"/>
      <c r="CO2432" s="4"/>
      <c r="CP2432" s="4"/>
      <c r="CQ2432" s="4"/>
      <c r="CR2432" s="4"/>
      <c r="CS2432" s="4"/>
      <c r="CT2432" s="4"/>
      <c r="CU2432" s="4"/>
      <c r="CV2432" s="4"/>
      <c r="CW2432" s="4"/>
      <c r="CX2432" s="4"/>
      <c r="CY2432" s="4"/>
      <c r="CZ2432" s="4"/>
      <c r="DA2432" s="4"/>
      <c r="DB2432" s="4"/>
      <c r="DC2432" s="4"/>
      <c r="DD2432" s="4"/>
      <c r="DE2432" s="4"/>
      <c r="DF2432" s="4"/>
      <c r="DG2432" s="4"/>
      <c r="DH2432" s="4"/>
      <c r="DI2432" s="4"/>
      <c r="DJ2432" s="4"/>
      <c r="DK2432" s="4"/>
      <c r="DL2432" s="4"/>
      <c r="DM2432" s="4"/>
      <c r="DN2432" s="4"/>
      <c r="DO2432" s="4"/>
      <c r="DP2432" s="4"/>
      <c r="DQ2432" s="4"/>
      <c r="DR2432" s="4"/>
      <c r="DS2432" s="4"/>
    </row>
    <row r="2433">
      <c r="A2433" s="4"/>
      <c r="B2433" s="4"/>
      <c r="C2433" s="4"/>
      <c r="D2433" s="4"/>
      <c r="E2433" s="4"/>
      <c r="F2433" s="4" t="s">
        <v>17</v>
      </c>
      <c r="G2433" s="15"/>
      <c r="H2433" s="4"/>
      <c r="I2433" s="4"/>
      <c r="J2433" s="4"/>
      <c r="K2433" s="4"/>
      <c r="L2433" s="4"/>
      <c r="M2433" s="4"/>
      <c r="N2433" s="4"/>
      <c r="O2433" s="4"/>
      <c r="P2433" s="4"/>
      <c r="Q2433" s="4"/>
      <c r="R2433" s="4"/>
      <c r="S2433" s="4"/>
      <c r="T2433" s="4"/>
      <c r="U2433" s="4"/>
      <c r="V2433" s="4"/>
      <c r="W2433" s="4"/>
      <c r="X2433" s="4"/>
      <c r="Y2433" s="4"/>
      <c r="Z2433" s="4"/>
      <c r="AA2433" s="4"/>
      <c r="AB2433" s="4"/>
      <c r="AC2433" s="4"/>
      <c r="AD2433" s="4"/>
      <c r="AE2433" s="4"/>
      <c r="AF2433" s="4"/>
      <c r="AG2433" s="4"/>
      <c r="AH2433" s="4"/>
      <c r="AI2433" s="4"/>
      <c r="AJ2433" s="4"/>
      <c r="AK2433" s="4"/>
      <c r="AL2433" s="4"/>
      <c r="AM2433" s="4"/>
      <c r="AN2433" s="4"/>
      <c r="AO2433" s="4"/>
      <c r="AP2433" s="4"/>
      <c r="AQ2433" s="4"/>
      <c r="AR2433" s="4"/>
      <c r="AS2433" s="4"/>
      <c r="AT2433" s="4"/>
      <c r="AU2433" s="4"/>
      <c r="AV2433" s="4"/>
      <c r="AW2433" s="4"/>
      <c r="AX2433" s="4"/>
      <c r="AY2433" s="4"/>
      <c r="AZ2433" s="4"/>
      <c r="BA2433" s="4"/>
      <c r="BB2433" s="4"/>
      <c r="BC2433" s="4"/>
      <c r="BD2433" s="4"/>
      <c r="BE2433" s="4"/>
      <c r="BF2433" s="4"/>
      <c r="BG2433" s="4"/>
      <c r="BH2433" s="4"/>
      <c r="BI2433" s="4"/>
      <c r="BJ2433" s="4"/>
      <c r="BK2433" s="4"/>
      <c r="BL2433" s="4"/>
      <c r="BM2433" s="4"/>
      <c r="BN2433" s="4"/>
      <c r="BO2433" s="4"/>
      <c r="BP2433" s="4"/>
      <c r="BQ2433" s="4"/>
      <c r="BR2433" s="4"/>
      <c r="BS2433" s="4"/>
      <c r="BT2433" s="4"/>
      <c r="BU2433" s="4"/>
      <c r="BV2433" s="4"/>
      <c r="BW2433" s="4"/>
      <c r="BX2433" s="4"/>
      <c r="BY2433" s="4"/>
      <c r="BZ2433" s="4"/>
      <c r="CA2433" s="4"/>
      <c r="CB2433" s="4"/>
      <c r="CC2433" s="4"/>
      <c r="CD2433" s="4"/>
      <c r="CE2433" s="4"/>
      <c r="CF2433" s="4"/>
      <c r="CG2433" s="4"/>
      <c r="CH2433" s="4"/>
      <c r="CI2433" s="4"/>
      <c r="CJ2433" s="4"/>
      <c r="CK2433" s="4"/>
      <c r="CL2433" s="4"/>
      <c r="CM2433" s="4"/>
      <c r="CN2433" s="4"/>
      <c r="CO2433" s="4"/>
      <c r="CP2433" s="4"/>
      <c r="CQ2433" s="4"/>
      <c r="CR2433" s="4"/>
      <c r="CS2433" s="4"/>
      <c r="CT2433" s="4"/>
      <c r="CU2433" s="4"/>
      <c r="CV2433" s="4"/>
      <c r="CW2433" s="4"/>
      <c r="CX2433" s="4"/>
      <c r="CY2433" s="4"/>
      <c r="CZ2433" s="4"/>
      <c r="DA2433" s="4"/>
      <c r="DB2433" s="4"/>
      <c r="DC2433" s="4"/>
      <c r="DD2433" s="4"/>
      <c r="DE2433" s="4"/>
      <c r="DF2433" s="4"/>
      <c r="DG2433" s="4"/>
      <c r="DH2433" s="4"/>
      <c r="DI2433" s="4"/>
      <c r="DJ2433" s="4"/>
      <c r="DK2433" s="4"/>
      <c r="DL2433" s="4"/>
      <c r="DM2433" s="4"/>
      <c r="DN2433" s="4"/>
      <c r="DO2433" s="4"/>
      <c r="DP2433" s="4"/>
      <c r="DQ2433" s="4"/>
      <c r="DR2433" s="4"/>
      <c r="DS2433" s="4"/>
    </row>
    <row r="2434">
      <c r="A2434" s="4"/>
      <c r="B2434" s="4"/>
      <c r="C2434" s="4"/>
      <c r="D2434" s="4"/>
      <c r="E2434" s="4"/>
      <c r="F2434" s="4" t="s">
        <v>17</v>
      </c>
      <c r="G2434" s="15"/>
      <c r="H2434" s="4"/>
      <c r="I2434" s="4"/>
      <c r="J2434" s="4"/>
      <c r="K2434" s="4"/>
      <c r="L2434" s="4"/>
      <c r="M2434" s="4"/>
      <c r="N2434" s="4"/>
      <c r="O2434" s="4"/>
      <c r="P2434" s="4"/>
      <c r="Q2434" s="4"/>
      <c r="R2434" s="4"/>
      <c r="S2434" s="4"/>
      <c r="T2434" s="4"/>
      <c r="U2434" s="4"/>
      <c r="V2434" s="4"/>
      <c r="W2434" s="4"/>
      <c r="X2434" s="4"/>
      <c r="Y2434" s="4"/>
      <c r="Z2434" s="4"/>
      <c r="AA2434" s="4"/>
      <c r="AB2434" s="4"/>
      <c r="AC2434" s="4"/>
      <c r="AD2434" s="4"/>
      <c r="AE2434" s="4"/>
      <c r="AF2434" s="4"/>
      <c r="AG2434" s="4"/>
      <c r="AH2434" s="4"/>
      <c r="AI2434" s="4"/>
      <c r="AJ2434" s="4"/>
      <c r="AK2434" s="4"/>
      <c r="AL2434" s="4"/>
      <c r="AM2434" s="4"/>
      <c r="AN2434" s="4"/>
      <c r="AO2434" s="4"/>
      <c r="AP2434" s="4"/>
      <c r="AQ2434" s="4"/>
      <c r="AR2434" s="4"/>
      <c r="AS2434" s="4"/>
      <c r="AT2434" s="4"/>
      <c r="AU2434" s="4"/>
      <c r="AV2434" s="4"/>
      <c r="AW2434" s="4"/>
      <c r="AX2434" s="4"/>
      <c r="AY2434" s="4"/>
      <c r="AZ2434" s="4"/>
      <c r="BA2434" s="4"/>
      <c r="BB2434" s="4"/>
      <c r="BC2434" s="4"/>
      <c r="BD2434" s="4"/>
      <c r="BE2434" s="4"/>
      <c r="BF2434" s="4"/>
      <c r="BG2434" s="4"/>
      <c r="BH2434" s="4"/>
      <c r="BI2434" s="4"/>
      <c r="BJ2434" s="4"/>
      <c r="BK2434" s="4"/>
      <c r="BL2434" s="4"/>
      <c r="BM2434" s="4"/>
      <c r="BN2434" s="4"/>
      <c r="BO2434" s="4"/>
      <c r="BP2434" s="4"/>
      <c r="BQ2434" s="4"/>
      <c r="BR2434" s="4"/>
      <c r="BS2434" s="4"/>
      <c r="BT2434" s="4"/>
      <c r="BU2434" s="4"/>
      <c r="BV2434" s="4"/>
      <c r="BW2434" s="4"/>
      <c r="BX2434" s="4"/>
      <c r="BY2434" s="4"/>
      <c r="BZ2434" s="4"/>
      <c r="CA2434" s="4"/>
      <c r="CB2434" s="4"/>
      <c r="CC2434" s="4"/>
      <c r="CD2434" s="4"/>
      <c r="CE2434" s="4"/>
      <c r="CF2434" s="4"/>
      <c r="CG2434" s="4"/>
      <c r="CH2434" s="4"/>
      <c r="CI2434" s="4"/>
      <c r="CJ2434" s="4"/>
      <c r="CK2434" s="4"/>
      <c r="CL2434" s="4"/>
      <c r="CM2434" s="4"/>
      <c r="CN2434" s="4"/>
      <c r="CO2434" s="4"/>
      <c r="CP2434" s="4"/>
      <c r="CQ2434" s="4"/>
      <c r="CR2434" s="4"/>
      <c r="CS2434" s="4"/>
      <c r="CT2434" s="4"/>
      <c r="CU2434" s="4"/>
      <c r="CV2434" s="4"/>
      <c r="CW2434" s="4"/>
      <c r="CX2434" s="4"/>
      <c r="CY2434" s="4"/>
      <c r="CZ2434" s="4"/>
      <c r="DA2434" s="4"/>
      <c r="DB2434" s="4"/>
      <c r="DC2434" s="4"/>
      <c r="DD2434" s="4"/>
      <c r="DE2434" s="4"/>
      <c r="DF2434" s="4"/>
      <c r="DG2434" s="4"/>
      <c r="DH2434" s="4"/>
      <c r="DI2434" s="4"/>
      <c r="DJ2434" s="4"/>
      <c r="DK2434" s="4"/>
      <c r="DL2434" s="4"/>
      <c r="DM2434" s="4"/>
      <c r="DN2434" s="4"/>
      <c r="DO2434" s="4"/>
      <c r="DP2434" s="4"/>
      <c r="DQ2434" s="4"/>
      <c r="DR2434" s="4"/>
      <c r="DS2434" s="4"/>
    </row>
    <row r="2435">
      <c r="A2435" s="4"/>
      <c r="B2435" s="4"/>
      <c r="C2435" s="4"/>
      <c r="D2435" s="4"/>
      <c r="E2435" s="4"/>
      <c r="F2435" s="4" t="s">
        <v>17</v>
      </c>
      <c r="G2435" s="15"/>
      <c r="H2435" s="4"/>
      <c r="I2435" s="4"/>
      <c r="J2435" s="4"/>
      <c r="K2435" s="4"/>
      <c r="L2435" s="4"/>
      <c r="M2435" s="4"/>
      <c r="N2435" s="4"/>
      <c r="O2435" s="4"/>
      <c r="P2435" s="4"/>
      <c r="Q2435" s="4"/>
      <c r="R2435" s="4"/>
      <c r="S2435" s="4"/>
      <c r="T2435" s="4"/>
      <c r="U2435" s="4"/>
      <c r="V2435" s="4"/>
      <c r="W2435" s="4"/>
      <c r="X2435" s="4"/>
      <c r="Y2435" s="4"/>
      <c r="Z2435" s="4"/>
      <c r="AA2435" s="4"/>
      <c r="AB2435" s="4"/>
      <c r="AC2435" s="4"/>
      <c r="AD2435" s="4"/>
      <c r="AE2435" s="4"/>
      <c r="AF2435" s="4"/>
      <c r="AG2435" s="4"/>
      <c r="AH2435" s="4"/>
      <c r="AI2435" s="4"/>
      <c r="AJ2435" s="4"/>
      <c r="AK2435" s="4"/>
      <c r="AL2435" s="4"/>
      <c r="AM2435" s="4"/>
      <c r="AN2435" s="4"/>
      <c r="AO2435" s="4"/>
      <c r="AP2435" s="4"/>
      <c r="AQ2435" s="4"/>
      <c r="AR2435" s="4"/>
      <c r="AS2435" s="4"/>
      <c r="AT2435" s="4"/>
      <c r="AU2435" s="4"/>
      <c r="AV2435" s="4"/>
      <c r="AW2435" s="4"/>
      <c r="AX2435" s="4"/>
      <c r="AY2435" s="4"/>
      <c r="AZ2435" s="4"/>
      <c r="BA2435" s="4"/>
      <c r="BB2435" s="4"/>
      <c r="BC2435" s="4"/>
      <c r="BD2435" s="4"/>
      <c r="BE2435" s="4"/>
      <c r="BF2435" s="4"/>
      <c r="BG2435" s="4"/>
      <c r="BH2435" s="4"/>
      <c r="BI2435" s="4"/>
      <c r="BJ2435" s="4"/>
      <c r="BK2435" s="4"/>
      <c r="BL2435" s="4"/>
      <c r="BM2435" s="4"/>
      <c r="BN2435" s="4"/>
      <c r="BO2435" s="4"/>
      <c r="BP2435" s="4"/>
      <c r="BQ2435" s="4"/>
      <c r="BR2435" s="4"/>
      <c r="BS2435" s="4"/>
      <c r="BT2435" s="4"/>
      <c r="BU2435" s="4"/>
      <c r="BV2435" s="4"/>
      <c r="BW2435" s="4"/>
      <c r="BX2435" s="4"/>
      <c r="BY2435" s="4"/>
      <c r="BZ2435" s="4"/>
      <c r="CA2435" s="4"/>
      <c r="CB2435" s="4"/>
      <c r="CC2435" s="4"/>
      <c r="CD2435" s="4"/>
      <c r="CE2435" s="4"/>
      <c r="CF2435" s="4"/>
      <c r="CG2435" s="4"/>
      <c r="CH2435" s="4"/>
      <c r="CI2435" s="4"/>
      <c r="CJ2435" s="4"/>
      <c r="CK2435" s="4"/>
      <c r="CL2435" s="4"/>
      <c r="CM2435" s="4"/>
      <c r="CN2435" s="4"/>
      <c r="CO2435" s="4"/>
      <c r="CP2435" s="4"/>
      <c r="CQ2435" s="4"/>
      <c r="CR2435" s="4"/>
      <c r="CS2435" s="4"/>
      <c r="CT2435" s="4"/>
      <c r="CU2435" s="4"/>
      <c r="CV2435" s="4"/>
      <c r="CW2435" s="4"/>
      <c r="CX2435" s="4"/>
      <c r="CY2435" s="4"/>
      <c r="CZ2435" s="4"/>
      <c r="DA2435" s="4"/>
      <c r="DB2435" s="4"/>
      <c r="DC2435" s="4"/>
      <c r="DD2435" s="4"/>
      <c r="DE2435" s="4"/>
      <c r="DF2435" s="4"/>
      <c r="DG2435" s="4"/>
      <c r="DH2435" s="4"/>
      <c r="DI2435" s="4"/>
      <c r="DJ2435" s="4"/>
      <c r="DK2435" s="4"/>
      <c r="DL2435" s="4"/>
      <c r="DM2435" s="4"/>
      <c r="DN2435" s="4"/>
      <c r="DO2435" s="4"/>
      <c r="DP2435" s="4"/>
      <c r="DQ2435" s="4"/>
      <c r="DR2435" s="4"/>
      <c r="DS2435" s="4"/>
    </row>
    <row r="2436">
      <c r="A2436" s="4"/>
      <c r="B2436" s="4"/>
      <c r="C2436" s="4"/>
      <c r="D2436" s="4"/>
      <c r="E2436" s="4"/>
      <c r="F2436" s="4" t="s">
        <v>17</v>
      </c>
      <c r="G2436" s="15"/>
      <c r="H2436" s="4"/>
      <c r="I2436" s="4"/>
      <c r="J2436" s="4"/>
      <c r="K2436" s="4"/>
      <c r="L2436" s="4"/>
      <c r="M2436" s="4"/>
      <c r="N2436" s="4"/>
      <c r="O2436" s="4"/>
      <c r="P2436" s="4"/>
      <c r="Q2436" s="4"/>
      <c r="R2436" s="4"/>
      <c r="S2436" s="4"/>
      <c r="T2436" s="4"/>
      <c r="U2436" s="4"/>
      <c r="V2436" s="4"/>
      <c r="W2436" s="4"/>
      <c r="X2436" s="4"/>
      <c r="Y2436" s="4"/>
      <c r="Z2436" s="4"/>
      <c r="AA2436" s="4"/>
      <c r="AB2436" s="4"/>
      <c r="AC2436" s="4"/>
      <c r="AD2436" s="4"/>
      <c r="AE2436" s="4"/>
      <c r="AF2436" s="4"/>
      <c r="AG2436" s="4"/>
      <c r="AH2436" s="4"/>
      <c r="AI2436" s="4"/>
      <c r="AJ2436" s="4"/>
      <c r="AK2436" s="4"/>
      <c r="AL2436" s="4"/>
      <c r="AM2436" s="4"/>
      <c r="AN2436" s="4"/>
      <c r="AO2436" s="4"/>
      <c r="AP2436" s="4"/>
      <c r="AQ2436" s="4"/>
      <c r="AR2436" s="4"/>
      <c r="AS2436" s="4"/>
      <c r="AT2436" s="4"/>
      <c r="AU2436" s="4"/>
      <c r="AV2436" s="4"/>
      <c r="AW2436" s="4"/>
      <c r="AX2436" s="4"/>
      <c r="AY2436" s="4"/>
      <c r="AZ2436" s="4"/>
      <c r="BA2436" s="4"/>
      <c r="BB2436" s="4"/>
      <c r="BC2436" s="4"/>
      <c r="BD2436" s="4"/>
      <c r="BE2436" s="4"/>
      <c r="BF2436" s="4"/>
      <c r="BG2436" s="4"/>
      <c r="BH2436" s="4"/>
      <c r="BI2436" s="4"/>
      <c r="BJ2436" s="4"/>
      <c r="BK2436" s="4"/>
      <c r="BL2436" s="4"/>
      <c r="BM2436" s="4"/>
      <c r="BN2436" s="4"/>
      <c r="BO2436" s="4"/>
      <c r="BP2436" s="4"/>
      <c r="BQ2436" s="4"/>
      <c r="BR2436" s="4"/>
      <c r="BS2436" s="4"/>
      <c r="BT2436" s="4"/>
      <c r="BU2436" s="4"/>
      <c r="BV2436" s="4"/>
      <c r="BW2436" s="4"/>
      <c r="BX2436" s="4"/>
      <c r="BY2436" s="4"/>
      <c r="BZ2436" s="4"/>
      <c r="CA2436" s="4"/>
      <c r="CB2436" s="4"/>
      <c r="CC2436" s="4"/>
      <c r="CD2436" s="4"/>
      <c r="CE2436" s="4"/>
      <c r="CF2436" s="4"/>
      <c r="CG2436" s="4"/>
      <c r="CH2436" s="4"/>
      <c r="CI2436" s="4"/>
      <c r="CJ2436" s="4"/>
      <c r="CK2436" s="4"/>
      <c r="CL2436" s="4"/>
      <c r="CM2436" s="4"/>
      <c r="CN2436" s="4"/>
      <c r="CO2436" s="4"/>
      <c r="CP2436" s="4"/>
      <c r="CQ2436" s="4"/>
      <c r="CR2436" s="4"/>
      <c r="CS2436" s="4"/>
      <c r="CT2436" s="4"/>
      <c r="CU2436" s="4"/>
      <c r="CV2436" s="4"/>
      <c r="CW2436" s="4"/>
      <c r="CX2436" s="4"/>
      <c r="CY2436" s="4"/>
      <c r="CZ2436" s="4"/>
      <c r="DA2436" s="4"/>
      <c r="DB2436" s="4"/>
      <c r="DC2436" s="4"/>
      <c r="DD2436" s="4"/>
      <c r="DE2436" s="4"/>
      <c r="DF2436" s="4"/>
      <c r="DG2436" s="4"/>
      <c r="DH2436" s="4"/>
      <c r="DI2436" s="4"/>
      <c r="DJ2436" s="4"/>
      <c r="DK2436" s="4"/>
      <c r="DL2436" s="4"/>
      <c r="DM2436" s="4"/>
      <c r="DN2436" s="4"/>
      <c r="DO2436" s="4"/>
      <c r="DP2436" s="4"/>
      <c r="DQ2436" s="4"/>
      <c r="DR2436" s="4"/>
      <c r="DS2436" s="4"/>
    </row>
    <row r="2437">
      <c r="A2437" s="4"/>
      <c r="B2437" s="4"/>
      <c r="C2437" s="4"/>
      <c r="D2437" s="4"/>
      <c r="E2437" s="4"/>
      <c r="F2437" s="4" t="s">
        <v>17</v>
      </c>
      <c r="G2437" s="15"/>
      <c r="H2437" s="4"/>
      <c r="I2437" s="4"/>
      <c r="J2437" s="4"/>
      <c r="K2437" s="4"/>
      <c r="L2437" s="4"/>
      <c r="M2437" s="4"/>
      <c r="N2437" s="4"/>
      <c r="O2437" s="4"/>
      <c r="P2437" s="4"/>
      <c r="Q2437" s="4"/>
      <c r="R2437" s="4"/>
      <c r="S2437" s="4"/>
      <c r="T2437" s="4"/>
      <c r="U2437" s="4"/>
      <c r="V2437" s="4"/>
      <c r="W2437" s="4"/>
      <c r="X2437" s="4"/>
      <c r="Y2437" s="4"/>
      <c r="Z2437" s="4"/>
      <c r="AA2437" s="4"/>
      <c r="AB2437" s="4"/>
      <c r="AC2437" s="4"/>
      <c r="AD2437" s="4"/>
      <c r="AE2437" s="4"/>
      <c r="AF2437" s="4"/>
      <c r="AG2437" s="4"/>
      <c r="AH2437" s="4"/>
      <c r="AI2437" s="4"/>
      <c r="AJ2437" s="4"/>
      <c r="AK2437" s="4"/>
      <c r="AL2437" s="4"/>
      <c r="AM2437" s="4"/>
      <c r="AN2437" s="4"/>
      <c r="AO2437" s="4"/>
      <c r="AP2437" s="4"/>
      <c r="AQ2437" s="4"/>
      <c r="AR2437" s="4"/>
      <c r="AS2437" s="4"/>
      <c r="AT2437" s="4"/>
      <c r="AU2437" s="4"/>
      <c r="AV2437" s="4"/>
      <c r="AW2437" s="4"/>
      <c r="AX2437" s="4"/>
      <c r="AY2437" s="4"/>
      <c r="AZ2437" s="4"/>
      <c r="BA2437" s="4"/>
      <c r="BB2437" s="4"/>
      <c r="BC2437" s="4"/>
      <c r="BD2437" s="4"/>
      <c r="BE2437" s="4"/>
      <c r="BF2437" s="4"/>
      <c r="BG2437" s="4"/>
      <c r="BH2437" s="4"/>
      <c r="BI2437" s="4"/>
      <c r="BJ2437" s="4"/>
      <c r="BK2437" s="4"/>
      <c r="BL2437" s="4"/>
      <c r="BM2437" s="4"/>
      <c r="BN2437" s="4"/>
      <c r="BO2437" s="4"/>
      <c r="BP2437" s="4"/>
      <c r="BQ2437" s="4"/>
      <c r="BR2437" s="4"/>
      <c r="BS2437" s="4"/>
      <c r="BT2437" s="4"/>
      <c r="BU2437" s="4"/>
      <c r="BV2437" s="4"/>
      <c r="BW2437" s="4"/>
      <c r="BX2437" s="4"/>
      <c r="BY2437" s="4"/>
      <c r="BZ2437" s="4"/>
      <c r="CA2437" s="4"/>
      <c r="CB2437" s="4"/>
      <c r="CC2437" s="4"/>
      <c r="CD2437" s="4"/>
      <c r="CE2437" s="4"/>
      <c r="CF2437" s="4"/>
      <c r="CG2437" s="4"/>
      <c r="CH2437" s="4"/>
      <c r="CI2437" s="4"/>
      <c r="CJ2437" s="4"/>
      <c r="CK2437" s="4"/>
      <c r="CL2437" s="4"/>
      <c r="CM2437" s="4"/>
      <c r="CN2437" s="4"/>
      <c r="CO2437" s="4"/>
      <c r="CP2437" s="4"/>
      <c r="CQ2437" s="4"/>
      <c r="CR2437" s="4"/>
      <c r="CS2437" s="4"/>
      <c r="CT2437" s="4"/>
      <c r="CU2437" s="4"/>
      <c r="CV2437" s="4"/>
      <c r="CW2437" s="4"/>
      <c r="CX2437" s="4"/>
      <c r="CY2437" s="4"/>
      <c r="CZ2437" s="4"/>
      <c r="DA2437" s="4"/>
      <c r="DB2437" s="4"/>
      <c r="DC2437" s="4"/>
      <c r="DD2437" s="4"/>
      <c r="DE2437" s="4"/>
      <c r="DF2437" s="4"/>
      <c r="DG2437" s="4"/>
      <c r="DH2437" s="4"/>
      <c r="DI2437" s="4"/>
      <c r="DJ2437" s="4"/>
      <c r="DK2437" s="4"/>
      <c r="DL2437" s="4"/>
      <c r="DM2437" s="4"/>
      <c r="DN2437" s="4"/>
      <c r="DO2437" s="4"/>
      <c r="DP2437" s="4"/>
      <c r="DQ2437" s="4"/>
      <c r="DR2437" s="4"/>
      <c r="DS2437" s="4"/>
    </row>
    <row r="2438">
      <c r="A2438" s="4"/>
      <c r="B2438" s="4"/>
      <c r="C2438" s="4"/>
      <c r="D2438" s="4"/>
      <c r="E2438" s="4"/>
      <c r="F2438" s="4" t="s">
        <v>17</v>
      </c>
      <c r="G2438" s="15"/>
      <c r="H2438" s="4"/>
      <c r="I2438" s="4"/>
      <c r="J2438" s="4"/>
      <c r="K2438" s="4"/>
      <c r="L2438" s="4"/>
      <c r="M2438" s="4"/>
      <c r="N2438" s="4"/>
      <c r="O2438" s="4"/>
      <c r="P2438" s="4"/>
      <c r="Q2438" s="4"/>
      <c r="R2438" s="4"/>
      <c r="S2438" s="4"/>
      <c r="T2438" s="4"/>
      <c r="U2438" s="4"/>
      <c r="V2438" s="4"/>
      <c r="W2438" s="4"/>
      <c r="X2438" s="4"/>
      <c r="Y2438" s="4"/>
      <c r="Z2438" s="4"/>
      <c r="AA2438" s="4"/>
      <c r="AB2438" s="4"/>
      <c r="AC2438" s="4"/>
      <c r="AD2438" s="4"/>
      <c r="AE2438" s="4"/>
      <c r="AF2438" s="4"/>
      <c r="AG2438" s="4"/>
      <c r="AH2438" s="4"/>
      <c r="AI2438" s="4"/>
      <c r="AJ2438" s="4"/>
      <c r="AK2438" s="4"/>
      <c r="AL2438" s="4"/>
      <c r="AM2438" s="4"/>
      <c r="AN2438" s="4"/>
      <c r="AO2438" s="4"/>
      <c r="AP2438" s="4"/>
      <c r="AQ2438" s="4"/>
      <c r="AR2438" s="4"/>
      <c r="AS2438" s="4"/>
      <c r="AT2438" s="4"/>
      <c r="AU2438" s="4"/>
      <c r="AV2438" s="4"/>
      <c r="AW2438" s="4"/>
      <c r="AX2438" s="4"/>
      <c r="AY2438" s="4"/>
      <c r="AZ2438" s="4"/>
      <c r="BA2438" s="4"/>
      <c r="BB2438" s="4"/>
      <c r="BC2438" s="4"/>
      <c r="BD2438" s="4"/>
      <c r="BE2438" s="4"/>
      <c r="BF2438" s="4"/>
      <c r="BG2438" s="4"/>
      <c r="BH2438" s="4"/>
      <c r="BI2438" s="4"/>
      <c r="BJ2438" s="4"/>
      <c r="BK2438" s="4"/>
      <c r="BL2438" s="4"/>
      <c r="BM2438" s="4"/>
      <c r="BN2438" s="4"/>
      <c r="BO2438" s="4"/>
      <c r="BP2438" s="4"/>
      <c r="BQ2438" s="4"/>
      <c r="BR2438" s="4"/>
      <c r="BS2438" s="4"/>
      <c r="BT2438" s="4"/>
      <c r="BU2438" s="4"/>
      <c r="BV2438" s="4"/>
      <c r="BW2438" s="4"/>
      <c r="BX2438" s="4"/>
      <c r="BY2438" s="4"/>
      <c r="BZ2438" s="4"/>
      <c r="CA2438" s="4"/>
      <c r="CB2438" s="4"/>
      <c r="CC2438" s="4"/>
      <c r="CD2438" s="4"/>
      <c r="CE2438" s="4"/>
      <c r="CF2438" s="4"/>
      <c r="CG2438" s="4"/>
      <c r="CH2438" s="4"/>
      <c r="CI2438" s="4"/>
      <c r="CJ2438" s="4"/>
      <c r="CK2438" s="4"/>
      <c r="CL2438" s="4"/>
      <c r="CM2438" s="4"/>
      <c r="CN2438" s="4"/>
      <c r="CO2438" s="4"/>
      <c r="CP2438" s="4"/>
      <c r="CQ2438" s="4"/>
      <c r="CR2438" s="4"/>
      <c r="CS2438" s="4"/>
      <c r="CT2438" s="4"/>
      <c r="CU2438" s="4"/>
      <c r="CV2438" s="4"/>
      <c r="CW2438" s="4"/>
      <c r="CX2438" s="4"/>
      <c r="CY2438" s="4"/>
      <c r="CZ2438" s="4"/>
      <c r="DA2438" s="4"/>
      <c r="DB2438" s="4"/>
      <c r="DC2438" s="4"/>
      <c r="DD2438" s="4"/>
      <c r="DE2438" s="4"/>
      <c r="DF2438" s="4"/>
      <c r="DG2438" s="4"/>
      <c r="DH2438" s="4"/>
      <c r="DI2438" s="4"/>
      <c r="DJ2438" s="4"/>
      <c r="DK2438" s="4"/>
      <c r="DL2438" s="4"/>
      <c r="DM2438" s="4"/>
      <c r="DN2438" s="4"/>
      <c r="DO2438" s="4"/>
      <c r="DP2438" s="4"/>
      <c r="DQ2438" s="4"/>
      <c r="DR2438" s="4"/>
      <c r="DS2438" s="4"/>
    </row>
    <row r="2439">
      <c r="A2439" s="4"/>
      <c r="B2439" s="4"/>
      <c r="C2439" s="4"/>
      <c r="D2439" s="4"/>
      <c r="E2439" s="4"/>
      <c r="F2439" s="4" t="s">
        <v>17</v>
      </c>
      <c r="G2439" s="15"/>
      <c r="H2439" s="4"/>
      <c r="I2439" s="4"/>
      <c r="J2439" s="4"/>
      <c r="K2439" s="4"/>
      <c r="L2439" s="4"/>
      <c r="M2439" s="4"/>
      <c r="N2439" s="4"/>
      <c r="O2439" s="4"/>
      <c r="P2439" s="4"/>
      <c r="Q2439" s="4"/>
      <c r="R2439" s="4"/>
      <c r="S2439" s="4"/>
      <c r="T2439" s="4"/>
      <c r="U2439" s="4"/>
      <c r="V2439" s="4"/>
      <c r="W2439" s="4"/>
      <c r="X2439" s="4"/>
      <c r="Y2439" s="4"/>
      <c r="Z2439" s="4"/>
      <c r="AA2439" s="4"/>
      <c r="AB2439" s="4"/>
      <c r="AC2439" s="4"/>
      <c r="AD2439" s="4"/>
      <c r="AE2439" s="4"/>
      <c r="AF2439" s="4"/>
      <c r="AG2439" s="4"/>
      <c r="AH2439" s="4"/>
      <c r="AI2439" s="4"/>
      <c r="AJ2439" s="4"/>
      <c r="AK2439" s="4"/>
      <c r="AL2439" s="4"/>
      <c r="AM2439" s="4"/>
      <c r="AN2439" s="4"/>
      <c r="AO2439" s="4"/>
      <c r="AP2439" s="4"/>
      <c r="AQ2439" s="4"/>
      <c r="AR2439" s="4"/>
      <c r="AS2439" s="4"/>
      <c r="AT2439" s="4"/>
      <c r="AU2439" s="4"/>
      <c r="AV2439" s="4"/>
      <c r="AW2439" s="4"/>
      <c r="AX2439" s="4"/>
      <c r="AY2439" s="4"/>
      <c r="AZ2439" s="4"/>
      <c r="BA2439" s="4"/>
      <c r="BB2439" s="4"/>
      <c r="BC2439" s="4"/>
      <c r="BD2439" s="4"/>
      <c r="BE2439" s="4"/>
      <c r="BF2439" s="4"/>
      <c r="BG2439" s="4"/>
      <c r="BH2439" s="4"/>
      <c r="BI2439" s="4"/>
      <c r="BJ2439" s="4"/>
      <c r="BK2439" s="4"/>
      <c r="BL2439" s="4"/>
      <c r="BM2439" s="4"/>
      <c r="BN2439" s="4"/>
      <c r="BO2439" s="4"/>
      <c r="BP2439" s="4"/>
      <c r="BQ2439" s="4"/>
      <c r="BR2439" s="4"/>
      <c r="BS2439" s="4"/>
      <c r="BT2439" s="4"/>
      <c r="BU2439" s="4"/>
      <c r="BV2439" s="4"/>
      <c r="BW2439" s="4"/>
      <c r="BX2439" s="4"/>
      <c r="BY2439" s="4"/>
      <c r="BZ2439" s="4"/>
      <c r="CA2439" s="4"/>
      <c r="CB2439" s="4"/>
      <c r="CC2439" s="4"/>
      <c r="CD2439" s="4"/>
      <c r="CE2439" s="4"/>
      <c r="CF2439" s="4"/>
      <c r="CG2439" s="4"/>
      <c r="CH2439" s="4"/>
      <c r="CI2439" s="4"/>
      <c r="CJ2439" s="4"/>
      <c r="CK2439" s="4"/>
      <c r="CL2439" s="4"/>
      <c r="CM2439" s="4"/>
      <c r="CN2439" s="4"/>
      <c r="CO2439" s="4"/>
      <c r="CP2439" s="4"/>
      <c r="CQ2439" s="4"/>
      <c r="CR2439" s="4"/>
      <c r="CS2439" s="4"/>
      <c r="CT2439" s="4"/>
      <c r="CU2439" s="4"/>
      <c r="CV2439" s="4"/>
      <c r="CW2439" s="4"/>
      <c r="CX2439" s="4"/>
      <c r="CY2439" s="4"/>
      <c r="CZ2439" s="4"/>
      <c r="DA2439" s="4"/>
      <c r="DB2439" s="4"/>
      <c r="DC2439" s="4"/>
      <c r="DD2439" s="4"/>
      <c r="DE2439" s="4"/>
      <c r="DF2439" s="4"/>
      <c r="DG2439" s="4"/>
      <c r="DH2439" s="4"/>
      <c r="DI2439" s="4"/>
      <c r="DJ2439" s="4"/>
      <c r="DK2439" s="4"/>
      <c r="DL2439" s="4"/>
      <c r="DM2439" s="4"/>
      <c r="DN2439" s="4"/>
      <c r="DO2439" s="4"/>
      <c r="DP2439" s="4"/>
      <c r="DQ2439" s="4"/>
      <c r="DR2439" s="4"/>
      <c r="DS2439" s="4"/>
    </row>
    <row r="2440">
      <c r="A2440" s="4"/>
      <c r="B2440" s="4"/>
      <c r="C2440" s="4"/>
      <c r="D2440" s="4"/>
      <c r="E2440" s="4"/>
      <c r="F2440" s="4" t="s">
        <v>17</v>
      </c>
      <c r="G2440" s="15"/>
      <c r="H2440" s="4"/>
      <c r="I2440" s="4"/>
      <c r="J2440" s="4"/>
      <c r="K2440" s="4"/>
      <c r="L2440" s="4"/>
      <c r="M2440" s="4"/>
      <c r="N2440" s="4"/>
      <c r="O2440" s="4"/>
      <c r="P2440" s="4"/>
      <c r="Q2440" s="4"/>
      <c r="R2440" s="4"/>
      <c r="S2440" s="4"/>
      <c r="T2440" s="4"/>
      <c r="U2440" s="4"/>
      <c r="V2440" s="4"/>
      <c r="W2440" s="4"/>
      <c r="X2440" s="4"/>
      <c r="Y2440" s="4"/>
      <c r="Z2440" s="4"/>
      <c r="AA2440" s="4"/>
      <c r="AB2440" s="4"/>
      <c r="AC2440" s="4"/>
      <c r="AD2440" s="4"/>
      <c r="AE2440" s="4"/>
      <c r="AF2440" s="4"/>
      <c r="AG2440" s="4"/>
      <c r="AH2440" s="4"/>
      <c r="AI2440" s="4"/>
      <c r="AJ2440" s="4"/>
      <c r="AK2440" s="4"/>
      <c r="AL2440" s="4"/>
      <c r="AM2440" s="4"/>
      <c r="AN2440" s="4"/>
      <c r="AO2440" s="4"/>
      <c r="AP2440" s="4"/>
      <c r="AQ2440" s="4"/>
      <c r="AR2440" s="4"/>
      <c r="AS2440" s="4"/>
      <c r="AT2440" s="4"/>
      <c r="AU2440" s="4"/>
      <c r="AV2440" s="4"/>
      <c r="AW2440" s="4"/>
      <c r="AX2440" s="4"/>
      <c r="AY2440" s="4"/>
      <c r="AZ2440" s="4"/>
      <c r="BA2440" s="4"/>
      <c r="BB2440" s="4"/>
      <c r="BC2440" s="4"/>
      <c r="BD2440" s="4"/>
      <c r="BE2440" s="4"/>
      <c r="BF2440" s="4"/>
      <c r="BG2440" s="4"/>
      <c r="BH2440" s="4"/>
      <c r="BI2440" s="4"/>
      <c r="BJ2440" s="4"/>
      <c r="BK2440" s="4"/>
      <c r="BL2440" s="4"/>
      <c r="BM2440" s="4"/>
      <c r="BN2440" s="4"/>
      <c r="BO2440" s="4"/>
      <c r="BP2440" s="4"/>
      <c r="BQ2440" s="4"/>
      <c r="BR2440" s="4"/>
      <c r="BS2440" s="4"/>
      <c r="BT2440" s="4"/>
      <c r="BU2440" s="4"/>
      <c r="BV2440" s="4"/>
      <c r="BW2440" s="4"/>
      <c r="BX2440" s="4"/>
      <c r="BY2440" s="4"/>
      <c r="BZ2440" s="4"/>
      <c r="CA2440" s="4"/>
      <c r="CB2440" s="4"/>
      <c r="CC2440" s="4"/>
      <c r="CD2440" s="4"/>
      <c r="CE2440" s="4"/>
      <c r="CF2440" s="4"/>
      <c r="CG2440" s="4"/>
      <c r="CH2440" s="4"/>
      <c r="CI2440" s="4"/>
      <c r="CJ2440" s="4"/>
      <c r="CK2440" s="4"/>
      <c r="CL2440" s="4"/>
      <c r="CM2440" s="4"/>
      <c r="CN2440" s="4"/>
      <c r="CO2440" s="4"/>
      <c r="CP2440" s="4"/>
      <c r="CQ2440" s="4"/>
      <c r="CR2440" s="4"/>
      <c r="CS2440" s="4"/>
      <c r="CT2440" s="4"/>
      <c r="CU2440" s="4"/>
      <c r="CV2440" s="4"/>
      <c r="CW2440" s="4"/>
      <c r="CX2440" s="4"/>
      <c r="CY2440" s="4"/>
      <c r="CZ2440" s="4"/>
      <c r="DA2440" s="4"/>
      <c r="DB2440" s="4"/>
      <c r="DC2440" s="4"/>
      <c r="DD2440" s="4"/>
      <c r="DE2440" s="4"/>
      <c r="DF2440" s="4"/>
      <c r="DG2440" s="4"/>
      <c r="DH2440" s="4"/>
      <c r="DI2440" s="4"/>
      <c r="DJ2440" s="4"/>
      <c r="DK2440" s="4"/>
      <c r="DL2440" s="4"/>
      <c r="DM2440" s="4"/>
      <c r="DN2440" s="4"/>
      <c r="DO2440" s="4"/>
      <c r="DP2440" s="4"/>
      <c r="DQ2440" s="4"/>
      <c r="DR2440" s="4"/>
      <c r="DS2440" s="4"/>
    </row>
    <row r="2441">
      <c r="A2441" s="4"/>
      <c r="B2441" s="4"/>
      <c r="C2441" s="4"/>
      <c r="D2441" s="4"/>
      <c r="E2441" s="4"/>
      <c r="F2441" s="4" t="s">
        <v>17</v>
      </c>
      <c r="G2441" s="15"/>
      <c r="H2441" s="4"/>
      <c r="I2441" s="4"/>
      <c r="J2441" s="4"/>
      <c r="K2441" s="4"/>
      <c r="L2441" s="4"/>
      <c r="M2441" s="4"/>
      <c r="N2441" s="4"/>
      <c r="O2441" s="4"/>
      <c r="P2441" s="4"/>
      <c r="Q2441" s="4"/>
      <c r="R2441" s="4"/>
      <c r="S2441" s="4"/>
      <c r="T2441" s="4"/>
      <c r="U2441" s="4"/>
      <c r="V2441" s="4"/>
      <c r="W2441" s="4"/>
      <c r="X2441" s="4"/>
      <c r="Y2441" s="4"/>
      <c r="Z2441" s="4"/>
      <c r="AA2441" s="4"/>
      <c r="AB2441" s="4"/>
      <c r="AC2441" s="4"/>
      <c r="AD2441" s="4"/>
      <c r="AE2441" s="4"/>
      <c r="AF2441" s="4"/>
      <c r="AG2441" s="4"/>
      <c r="AH2441" s="4"/>
      <c r="AI2441" s="4"/>
      <c r="AJ2441" s="4"/>
      <c r="AK2441" s="4"/>
      <c r="AL2441" s="4"/>
      <c r="AM2441" s="4"/>
      <c r="AN2441" s="4"/>
      <c r="AO2441" s="4"/>
      <c r="AP2441" s="4"/>
      <c r="AQ2441" s="4"/>
      <c r="AR2441" s="4"/>
      <c r="AS2441" s="4"/>
      <c r="AT2441" s="4"/>
      <c r="AU2441" s="4"/>
      <c r="AV2441" s="4"/>
      <c r="AW2441" s="4"/>
      <c r="AX2441" s="4"/>
      <c r="AY2441" s="4"/>
      <c r="AZ2441" s="4"/>
      <c r="BA2441" s="4"/>
      <c r="BB2441" s="4"/>
      <c r="BC2441" s="4"/>
      <c r="BD2441" s="4"/>
      <c r="BE2441" s="4"/>
      <c r="BF2441" s="4"/>
      <c r="BG2441" s="4"/>
      <c r="BH2441" s="4"/>
      <c r="BI2441" s="4"/>
      <c r="BJ2441" s="4"/>
      <c r="BK2441" s="4"/>
      <c r="BL2441" s="4"/>
      <c r="BM2441" s="4"/>
      <c r="BN2441" s="4"/>
      <c r="BO2441" s="4"/>
      <c r="BP2441" s="4"/>
      <c r="BQ2441" s="4"/>
      <c r="BR2441" s="4"/>
      <c r="BS2441" s="4"/>
      <c r="BT2441" s="4"/>
      <c r="BU2441" s="4"/>
      <c r="BV2441" s="4"/>
      <c r="BW2441" s="4"/>
      <c r="BX2441" s="4"/>
      <c r="BY2441" s="4"/>
      <c r="BZ2441" s="4"/>
      <c r="CA2441" s="4"/>
      <c r="CB2441" s="4"/>
      <c r="CC2441" s="4"/>
      <c r="CD2441" s="4"/>
      <c r="CE2441" s="4"/>
      <c r="CF2441" s="4"/>
      <c r="CG2441" s="4"/>
      <c r="CH2441" s="4"/>
      <c r="CI2441" s="4"/>
      <c r="CJ2441" s="4"/>
      <c r="CK2441" s="4"/>
      <c r="CL2441" s="4"/>
      <c r="CM2441" s="4"/>
      <c r="CN2441" s="4"/>
      <c r="CO2441" s="4"/>
      <c r="CP2441" s="4"/>
      <c r="CQ2441" s="4"/>
      <c r="CR2441" s="4"/>
      <c r="CS2441" s="4"/>
      <c r="CT2441" s="4"/>
      <c r="CU2441" s="4"/>
      <c r="CV2441" s="4"/>
      <c r="CW2441" s="4"/>
      <c r="CX2441" s="4"/>
      <c r="CY2441" s="4"/>
      <c r="CZ2441" s="4"/>
      <c r="DA2441" s="4"/>
      <c r="DB2441" s="4"/>
      <c r="DC2441" s="4"/>
      <c r="DD2441" s="4"/>
      <c r="DE2441" s="4"/>
      <c r="DF2441" s="4"/>
      <c r="DG2441" s="4"/>
      <c r="DH2441" s="4"/>
      <c r="DI2441" s="4"/>
      <c r="DJ2441" s="4"/>
      <c r="DK2441" s="4"/>
      <c r="DL2441" s="4"/>
      <c r="DM2441" s="4"/>
      <c r="DN2441" s="4"/>
      <c r="DO2441" s="4"/>
      <c r="DP2441" s="4"/>
      <c r="DQ2441" s="4"/>
      <c r="DR2441" s="4"/>
      <c r="DS2441" s="4"/>
    </row>
    <row r="2442">
      <c r="A2442" s="4"/>
      <c r="B2442" s="4"/>
      <c r="C2442" s="4"/>
      <c r="D2442" s="4"/>
      <c r="E2442" s="4"/>
      <c r="F2442" s="4" t="s">
        <v>17</v>
      </c>
      <c r="G2442" s="15"/>
      <c r="H2442" s="4"/>
      <c r="I2442" s="4"/>
      <c r="J2442" s="4"/>
      <c r="K2442" s="4"/>
      <c r="L2442" s="4"/>
      <c r="M2442" s="4"/>
      <c r="N2442" s="4"/>
      <c r="O2442" s="4"/>
      <c r="P2442" s="4"/>
      <c r="Q2442" s="4"/>
      <c r="R2442" s="4"/>
      <c r="S2442" s="4"/>
      <c r="T2442" s="4"/>
      <c r="U2442" s="4"/>
      <c r="V2442" s="4"/>
      <c r="W2442" s="4"/>
      <c r="X2442" s="4"/>
      <c r="Y2442" s="4"/>
      <c r="Z2442" s="4"/>
      <c r="AA2442" s="4"/>
      <c r="AB2442" s="4"/>
      <c r="AC2442" s="4"/>
      <c r="AD2442" s="4"/>
      <c r="AE2442" s="4"/>
      <c r="AF2442" s="4"/>
      <c r="AG2442" s="4"/>
      <c r="AH2442" s="4"/>
      <c r="AI2442" s="4"/>
      <c r="AJ2442" s="4"/>
      <c r="AK2442" s="4"/>
      <c r="AL2442" s="4"/>
      <c r="AM2442" s="4"/>
      <c r="AN2442" s="4"/>
      <c r="AO2442" s="4"/>
      <c r="AP2442" s="4"/>
      <c r="AQ2442" s="4"/>
      <c r="AR2442" s="4"/>
      <c r="AS2442" s="4"/>
      <c r="AT2442" s="4"/>
      <c r="AU2442" s="4"/>
      <c r="AV2442" s="4"/>
      <c r="AW2442" s="4"/>
      <c r="AX2442" s="4"/>
      <c r="AY2442" s="4"/>
      <c r="AZ2442" s="4"/>
      <c r="BA2442" s="4"/>
      <c r="BB2442" s="4"/>
      <c r="BC2442" s="4"/>
      <c r="BD2442" s="4"/>
      <c r="BE2442" s="4"/>
      <c r="BF2442" s="4"/>
      <c r="BG2442" s="4"/>
      <c r="BH2442" s="4"/>
      <c r="BI2442" s="4"/>
      <c r="BJ2442" s="4"/>
      <c r="BK2442" s="4"/>
      <c r="BL2442" s="4"/>
      <c r="BM2442" s="4"/>
      <c r="BN2442" s="4"/>
      <c r="BO2442" s="4"/>
      <c r="BP2442" s="4"/>
      <c r="BQ2442" s="4"/>
      <c r="BR2442" s="4"/>
      <c r="BS2442" s="4"/>
      <c r="BT2442" s="4"/>
      <c r="BU2442" s="4"/>
      <c r="BV2442" s="4"/>
      <c r="BW2442" s="4"/>
      <c r="BX2442" s="4"/>
      <c r="BY2442" s="4"/>
      <c r="BZ2442" s="4"/>
      <c r="CA2442" s="4"/>
      <c r="CB2442" s="4"/>
      <c r="CC2442" s="4"/>
      <c r="CD2442" s="4"/>
      <c r="CE2442" s="4"/>
      <c r="CF2442" s="4"/>
      <c r="CG2442" s="4"/>
      <c r="CH2442" s="4"/>
      <c r="CI2442" s="4"/>
      <c r="CJ2442" s="4"/>
      <c r="CK2442" s="4"/>
      <c r="CL2442" s="4"/>
      <c r="CM2442" s="4"/>
      <c r="CN2442" s="4"/>
      <c r="CO2442" s="4"/>
      <c r="CP2442" s="4"/>
      <c r="CQ2442" s="4"/>
      <c r="CR2442" s="4"/>
      <c r="CS2442" s="4"/>
      <c r="CT2442" s="4"/>
      <c r="CU2442" s="4"/>
      <c r="CV2442" s="4"/>
      <c r="CW2442" s="4"/>
      <c r="CX2442" s="4"/>
      <c r="CY2442" s="4"/>
      <c r="CZ2442" s="4"/>
      <c r="DA2442" s="4"/>
      <c r="DB2442" s="4"/>
      <c r="DC2442" s="4"/>
      <c r="DD2442" s="4"/>
      <c r="DE2442" s="4"/>
      <c r="DF2442" s="4"/>
      <c r="DG2442" s="4"/>
      <c r="DH2442" s="4"/>
      <c r="DI2442" s="4"/>
      <c r="DJ2442" s="4"/>
      <c r="DK2442" s="4"/>
      <c r="DL2442" s="4"/>
      <c r="DM2442" s="4"/>
      <c r="DN2442" s="4"/>
      <c r="DO2442" s="4"/>
      <c r="DP2442" s="4"/>
      <c r="DQ2442" s="4"/>
      <c r="DR2442" s="4"/>
      <c r="DS2442" s="4"/>
    </row>
    <row r="2443">
      <c r="A2443" s="4"/>
      <c r="B2443" s="4"/>
      <c r="C2443" s="4"/>
      <c r="D2443" s="4"/>
      <c r="E2443" s="4"/>
      <c r="F2443" s="4" t="s">
        <v>17</v>
      </c>
      <c r="G2443" s="15"/>
      <c r="H2443" s="4"/>
      <c r="I2443" s="4"/>
      <c r="J2443" s="4"/>
      <c r="K2443" s="4"/>
      <c r="L2443" s="4"/>
      <c r="M2443" s="4"/>
      <c r="N2443" s="4"/>
      <c r="O2443" s="4"/>
      <c r="P2443" s="4"/>
      <c r="Q2443" s="4"/>
      <c r="R2443" s="4"/>
      <c r="S2443" s="4"/>
      <c r="T2443" s="4"/>
      <c r="U2443" s="4"/>
      <c r="V2443" s="4"/>
      <c r="W2443" s="4"/>
      <c r="X2443" s="4"/>
      <c r="Y2443" s="4"/>
      <c r="Z2443" s="4"/>
      <c r="AA2443" s="4"/>
      <c r="AB2443" s="4"/>
      <c r="AC2443" s="4"/>
      <c r="AD2443" s="4"/>
      <c r="AE2443" s="4"/>
      <c r="AF2443" s="4"/>
      <c r="AG2443" s="4"/>
      <c r="AH2443" s="4"/>
      <c r="AI2443" s="4"/>
      <c r="AJ2443" s="4"/>
      <c r="AK2443" s="4"/>
      <c r="AL2443" s="4"/>
      <c r="AM2443" s="4"/>
      <c r="AN2443" s="4"/>
      <c r="AO2443" s="4"/>
      <c r="AP2443" s="4"/>
      <c r="AQ2443" s="4"/>
      <c r="AR2443" s="4"/>
      <c r="AS2443" s="4"/>
      <c r="AT2443" s="4"/>
      <c r="AU2443" s="4"/>
      <c r="AV2443" s="4"/>
      <c r="AW2443" s="4"/>
      <c r="AX2443" s="4"/>
      <c r="AY2443" s="4"/>
      <c r="AZ2443" s="4"/>
      <c r="BA2443" s="4"/>
      <c r="BB2443" s="4"/>
      <c r="BC2443" s="4"/>
      <c r="BD2443" s="4"/>
      <c r="BE2443" s="4"/>
      <c r="BF2443" s="4"/>
      <c r="BG2443" s="4"/>
      <c r="BH2443" s="4"/>
      <c r="BI2443" s="4"/>
      <c r="BJ2443" s="4"/>
      <c r="BK2443" s="4"/>
      <c r="BL2443" s="4"/>
      <c r="BM2443" s="4"/>
      <c r="BN2443" s="4"/>
      <c r="BO2443" s="4"/>
      <c r="BP2443" s="4"/>
      <c r="BQ2443" s="4"/>
      <c r="BR2443" s="4"/>
      <c r="BS2443" s="4"/>
      <c r="BT2443" s="4"/>
      <c r="BU2443" s="4"/>
      <c r="BV2443" s="4"/>
      <c r="BW2443" s="4"/>
      <c r="BX2443" s="4"/>
      <c r="BY2443" s="4"/>
      <c r="BZ2443" s="4"/>
      <c r="CA2443" s="4"/>
      <c r="CB2443" s="4"/>
      <c r="CC2443" s="4"/>
      <c r="CD2443" s="4"/>
      <c r="CE2443" s="4"/>
      <c r="CF2443" s="4"/>
      <c r="CG2443" s="4"/>
      <c r="CH2443" s="4"/>
      <c r="CI2443" s="4"/>
      <c r="CJ2443" s="4"/>
      <c r="CK2443" s="4"/>
      <c r="CL2443" s="4"/>
      <c r="CM2443" s="4"/>
      <c r="CN2443" s="4"/>
      <c r="CO2443" s="4"/>
      <c r="CP2443" s="4"/>
      <c r="CQ2443" s="4"/>
      <c r="CR2443" s="4"/>
      <c r="CS2443" s="4"/>
      <c r="CT2443" s="4"/>
      <c r="CU2443" s="4"/>
      <c r="CV2443" s="4"/>
      <c r="CW2443" s="4"/>
      <c r="CX2443" s="4"/>
      <c r="CY2443" s="4"/>
      <c r="CZ2443" s="4"/>
      <c r="DA2443" s="4"/>
      <c r="DB2443" s="4"/>
      <c r="DC2443" s="4"/>
      <c r="DD2443" s="4"/>
      <c r="DE2443" s="4"/>
      <c r="DF2443" s="4"/>
      <c r="DG2443" s="4"/>
      <c r="DH2443" s="4"/>
      <c r="DI2443" s="4"/>
      <c r="DJ2443" s="4"/>
      <c r="DK2443" s="4"/>
      <c r="DL2443" s="4"/>
      <c r="DM2443" s="4"/>
      <c r="DN2443" s="4"/>
      <c r="DO2443" s="4"/>
      <c r="DP2443" s="4"/>
      <c r="DQ2443" s="4"/>
      <c r="DR2443" s="4"/>
      <c r="DS2443" s="4"/>
    </row>
    <row r="2444">
      <c r="A2444" s="4"/>
      <c r="B2444" s="4"/>
      <c r="C2444" s="4"/>
      <c r="D2444" s="4"/>
      <c r="E2444" s="4"/>
      <c r="F2444" s="4" t="s">
        <v>17</v>
      </c>
      <c r="G2444" s="15"/>
      <c r="H2444" s="4"/>
      <c r="I2444" s="4"/>
      <c r="J2444" s="4"/>
      <c r="K2444" s="4"/>
      <c r="L2444" s="4"/>
      <c r="M2444" s="4"/>
      <c r="N2444" s="4"/>
      <c r="O2444" s="4"/>
      <c r="P2444" s="4"/>
      <c r="Q2444" s="4"/>
      <c r="R2444" s="4"/>
      <c r="S2444" s="4"/>
      <c r="T2444" s="4"/>
      <c r="U2444" s="4"/>
      <c r="V2444" s="4"/>
      <c r="W2444" s="4"/>
      <c r="X2444" s="4"/>
      <c r="Y2444" s="4"/>
      <c r="Z2444" s="4"/>
      <c r="AA2444" s="4"/>
      <c r="AB2444" s="4"/>
      <c r="AC2444" s="4"/>
      <c r="AD2444" s="4"/>
      <c r="AE2444" s="4"/>
      <c r="AF2444" s="4"/>
      <c r="AG2444" s="4"/>
      <c r="AH2444" s="4"/>
      <c r="AI2444" s="4"/>
      <c r="AJ2444" s="4"/>
      <c r="AK2444" s="4"/>
      <c r="AL2444" s="4"/>
      <c r="AM2444" s="4"/>
      <c r="AN2444" s="4"/>
      <c r="AO2444" s="4"/>
      <c r="AP2444" s="4"/>
      <c r="AQ2444" s="4"/>
      <c r="AR2444" s="4"/>
      <c r="AS2444" s="4"/>
      <c r="AT2444" s="4"/>
      <c r="AU2444" s="4"/>
      <c r="AV2444" s="4"/>
      <c r="AW2444" s="4"/>
      <c r="AX2444" s="4"/>
      <c r="AY2444" s="4"/>
      <c r="AZ2444" s="4"/>
      <c r="BA2444" s="4"/>
      <c r="BB2444" s="4"/>
      <c r="BC2444" s="4"/>
      <c r="BD2444" s="4"/>
      <c r="BE2444" s="4"/>
      <c r="BF2444" s="4"/>
      <c r="BG2444" s="4"/>
      <c r="BH2444" s="4"/>
      <c r="BI2444" s="4"/>
      <c r="BJ2444" s="4"/>
      <c r="BK2444" s="4"/>
      <c r="BL2444" s="4"/>
      <c r="BM2444" s="4"/>
      <c r="BN2444" s="4"/>
      <c r="BO2444" s="4"/>
      <c r="BP2444" s="4"/>
      <c r="BQ2444" s="4"/>
      <c r="BR2444" s="4"/>
      <c r="BS2444" s="4"/>
      <c r="BT2444" s="4"/>
      <c r="BU2444" s="4"/>
      <c r="BV2444" s="4"/>
      <c r="BW2444" s="4"/>
      <c r="BX2444" s="4"/>
      <c r="BY2444" s="4"/>
      <c r="BZ2444" s="4"/>
      <c r="CA2444" s="4"/>
      <c r="CB2444" s="4"/>
      <c r="CC2444" s="4"/>
      <c r="CD2444" s="4"/>
      <c r="CE2444" s="4"/>
      <c r="CF2444" s="4"/>
      <c r="CG2444" s="4"/>
      <c r="CH2444" s="4"/>
      <c r="CI2444" s="4"/>
      <c r="CJ2444" s="4"/>
      <c r="CK2444" s="4"/>
      <c r="CL2444" s="4"/>
      <c r="CM2444" s="4"/>
      <c r="CN2444" s="4"/>
      <c r="CO2444" s="4"/>
      <c r="CP2444" s="4"/>
      <c r="CQ2444" s="4"/>
      <c r="CR2444" s="4"/>
      <c r="CS2444" s="4"/>
      <c r="CT2444" s="4"/>
      <c r="CU2444" s="4"/>
      <c r="CV2444" s="4"/>
      <c r="CW2444" s="4"/>
      <c r="CX2444" s="4"/>
      <c r="CY2444" s="4"/>
      <c r="CZ2444" s="4"/>
      <c r="DA2444" s="4"/>
      <c r="DB2444" s="4"/>
      <c r="DC2444" s="4"/>
      <c r="DD2444" s="4"/>
      <c r="DE2444" s="4"/>
      <c r="DF2444" s="4"/>
      <c r="DG2444" s="4"/>
      <c r="DH2444" s="4"/>
      <c r="DI2444" s="4"/>
      <c r="DJ2444" s="4"/>
      <c r="DK2444" s="4"/>
      <c r="DL2444" s="4"/>
      <c r="DM2444" s="4"/>
      <c r="DN2444" s="4"/>
      <c r="DO2444" s="4"/>
      <c r="DP2444" s="4"/>
      <c r="DQ2444" s="4"/>
      <c r="DR2444" s="4"/>
      <c r="DS2444" s="4"/>
    </row>
    <row r="2445">
      <c r="A2445" s="4"/>
      <c r="B2445" s="4"/>
      <c r="C2445" s="4"/>
      <c r="D2445" s="4"/>
      <c r="E2445" s="4"/>
      <c r="F2445" s="4" t="s">
        <v>17</v>
      </c>
      <c r="G2445" s="15"/>
      <c r="H2445" s="4"/>
      <c r="I2445" s="4"/>
      <c r="J2445" s="4"/>
      <c r="K2445" s="4"/>
      <c r="L2445" s="4"/>
      <c r="M2445" s="4"/>
      <c r="N2445" s="4"/>
      <c r="O2445" s="4"/>
      <c r="P2445" s="4"/>
      <c r="Q2445" s="4"/>
      <c r="R2445" s="4"/>
      <c r="S2445" s="4"/>
      <c r="T2445" s="4"/>
      <c r="U2445" s="4"/>
      <c r="V2445" s="4"/>
      <c r="W2445" s="4"/>
      <c r="X2445" s="4"/>
      <c r="Y2445" s="4"/>
      <c r="Z2445" s="4"/>
      <c r="AA2445" s="4"/>
      <c r="AB2445" s="4"/>
      <c r="AC2445" s="4"/>
      <c r="AD2445" s="4"/>
      <c r="AE2445" s="4"/>
      <c r="AF2445" s="4"/>
      <c r="AG2445" s="4"/>
      <c r="AH2445" s="4"/>
      <c r="AI2445" s="4"/>
      <c r="AJ2445" s="4"/>
      <c r="AK2445" s="4"/>
      <c r="AL2445" s="4"/>
      <c r="AM2445" s="4"/>
      <c r="AN2445" s="4"/>
      <c r="AO2445" s="4"/>
      <c r="AP2445" s="4"/>
      <c r="AQ2445" s="4"/>
      <c r="AR2445" s="4"/>
      <c r="AS2445" s="4"/>
      <c r="AT2445" s="4"/>
      <c r="AU2445" s="4"/>
      <c r="AV2445" s="4"/>
      <c r="AW2445" s="4"/>
      <c r="AX2445" s="4"/>
      <c r="AY2445" s="4"/>
      <c r="AZ2445" s="4"/>
      <c r="BA2445" s="4"/>
      <c r="BB2445" s="4"/>
      <c r="BC2445" s="4"/>
      <c r="BD2445" s="4"/>
      <c r="BE2445" s="4"/>
      <c r="BF2445" s="4"/>
      <c r="BG2445" s="4"/>
      <c r="BH2445" s="4"/>
      <c r="BI2445" s="4"/>
      <c r="BJ2445" s="4"/>
      <c r="BK2445" s="4"/>
      <c r="BL2445" s="4"/>
      <c r="BM2445" s="4"/>
      <c r="BN2445" s="4"/>
      <c r="BO2445" s="4"/>
      <c r="BP2445" s="4"/>
      <c r="BQ2445" s="4"/>
      <c r="BR2445" s="4"/>
      <c r="BS2445" s="4"/>
      <c r="BT2445" s="4"/>
      <c r="BU2445" s="4"/>
      <c r="BV2445" s="4"/>
      <c r="BW2445" s="4"/>
      <c r="BX2445" s="4"/>
      <c r="BY2445" s="4"/>
      <c r="BZ2445" s="4"/>
      <c r="CA2445" s="4"/>
      <c r="CB2445" s="4"/>
      <c r="CC2445" s="4"/>
      <c r="CD2445" s="4"/>
      <c r="CE2445" s="4"/>
      <c r="CF2445" s="4"/>
      <c r="CG2445" s="4"/>
      <c r="CH2445" s="4"/>
      <c r="CI2445" s="4"/>
      <c r="CJ2445" s="4"/>
      <c r="CK2445" s="4"/>
      <c r="CL2445" s="4"/>
      <c r="CM2445" s="4"/>
      <c r="CN2445" s="4"/>
      <c r="CO2445" s="4"/>
      <c r="CP2445" s="4"/>
      <c r="CQ2445" s="4"/>
      <c r="CR2445" s="4"/>
      <c r="CS2445" s="4"/>
      <c r="CT2445" s="4"/>
      <c r="CU2445" s="4"/>
      <c r="CV2445" s="4"/>
      <c r="CW2445" s="4"/>
      <c r="CX2445" s="4"/>
      <c r="CY2445" s="4"/>
      <c r="CZ2445" s="4"/>
      <c r="DA2445" s="4"/>
      <c r="DB2445" s="4"/>
      <c r="DC2445" s="4"/>
      <c r="DD2445" s="4"/>
      <c r="DE2445" s="4"/>
      <c r="DF2445" s="4"/>
      <c r="DG2445" s="4"/>
      <c r="DH2445" s="4"/>
      <c r="DI2445" s="4"/>
      <c r="DJ2445" s="4"/>
      <c r="DK2445" s="4"/>
      <c r="DL2445" s="4"/>
      <c r="DM2445" s="4"/>
      <c r="DN2445" s="4"/>
      <c r="DO2445" s="4"/>
      <c r="DP2445" s="4"/>
      <c r="DQ2445" s="4"/>
      <c r="DR2445" s="4"/>
      <c r="DS2445" s="4"/>
    </row>
    <row r="2446">
      <c r="A2446" s="4"/>
      <c r="B2446" s="4"/>
      <c r="C2446" s="4"/>
      <c r="D2446" s="4"/>
      <c r="E2446" s="4"/>
      <c r="F2446" s="4" t="s">
        <v>17</v>
      </c>
      <c r="G2446" s="15"/>
      <c r="H2446" s="4"/>
      <c r="I2446" s="4"/>
      <c r="J2446" s="4"/>
      <c r="K2446" s="4"/>
      <c r="L2446" s="4"/>
      <c r="M2446" s="4"/>
      <c r="N2446" s="4"/>
      <c r="O2446" s="4"/>
      <c r="P2446" s="4"/>
      <c r="Q2446" s="4"/>
      <c r="R2446" s="4"/>
      <c r="S2446" s="4"/>
      <c r="T2446" s="4"/>
      <c r="U2446" s="4"/>
      <c r="V2446" s="4"/>
      <c r="W2446" s="4"/>
      <c r="X2446" s="4"/>
      <c r="Y2446" s="4"/>
      <c r="Z2446" s="4"/>
      <c r="AA2446" s="4"/>
      <c r="AB2446" s="4"/>
      <c r="AC2446" s="4"/>
      <c r="AD2446" s="4"/>
      <c r="AE2446" s="4"/>
      <c r="AF2446" s="4"/>
      <c r="AG2446" s="4"/>
      <c r="AH2446" s="4"/>
      <c r="AI2446" s="4"/>
      <c r="AJ2446" s="4"/>
      <c r="AK2446" s="4"/>
      <c r="AL2446" s="4"/>
      <c r="AM2446" s="4"/>
      <c r="AN2446" s="4"/>
      <c r="AO2446" s="4"/>
      <c r="AP2446" s="4"/>
      <c r="AQ2446" s="4"/>
      <c r="AR2446" s="4"/>
      <c r="AS2446" s="4"/>
      <c r="AT2446" s="4"/>
      <c r="AU2446" s="4"/>
      <c r="AV2446" s="4"/>
      <c r="AW2446" s="4"/>
      <c r="AX2446" s="4"/>
      <c r="AY2446" s="4"/>
      <c r="AZ2446" s="4"/>
      <c r="BA2446" s="4"/>
      <c r="BB2446" s="4"/>
      <c r="BC2446" s="4"/>
      <c r="BD2446" s="4"/>
      <c r="BE2446" s="4"/>
      <c r="BF2446" s="4"/>
      <c r="BG2446" s="4"/>
      <c r="BH2446" s="4"/>
      <c r="BI2446" s="4"/>
      <c r="BJ2446" s="4"/>
      <c r="BK2446" s="4"/>
      <c r="BL2446" s="4"/>
      <c r="BM2446" s="4"/>
      <c r="BN2446" s="4"/>
      <c r="BO2446" s="4"/>
      <c r="BP2446" s="4"/>
      <c r="BQ2446" s="4"/>
      <c r="BR2446" s="4"/>
      <c r="BS2446" s="4"/>
      <c r="BT2446" s="4"/>
      <c r="BU2446" s="4"/>
      <c r="BV2446" s="4"/>
      <c r="BW2446" s="4"/>
      <c r="BX2446" s="4"/>
      <c r="BY2446" s="4"/>
      <c r="BZ2446" s="4"/>
      <c r="CA2446" s="4"/>
      <c r="CB2446" s="4"/>
      <c r="CC2446" s="4"/>
      <c r="CD2446" s="4"/>
      <c r="CE2446" s="4"/>
      <c r="CF2446" s="4"/>
      <c r="CG2446" s="4"/>
      <c r="CH2446" s="4"/>
      <c r="CI2446" s="4"/>
      <c r="CJ2446" s="4"/>
      <c r="CK2446" s="4"/>
      <c r="CL2446" s="4"/>
      <c r="CM2446" s="4"/>
      <c r="CN2446" s="4"/>
      <c r="CO2446" s="4"/>
      <c r="CP2446" s="4"/>
      <c r="CQ2446" s="4"/>
      <c r="CR2446" s="4"/>
      <c r="CS2446" s="4"/>
      <c r="CT2446" s="4"/>
      <c r="CU2446" s="4"/>
      <c r="CV2446" s="4"/>
      <c r="CW2446" s="4"/>
      <c r="CX2446" s="4"/>
      <c r="CY2446" s="4"/>
      <c r="CZ2446" s="4"/>
      <c r="DA2446" s="4"/>
      <c r="DB2446" s="4"/>
      <c r="DC2446" s="4"/>
      <c r="DD2446" s="4"/>
      <c r="DE2446" s="4"/>
      <c r="DF2446" s="4"/>
      <c r="DG2446" s="4"/>
      <c r="DH2446" s="4"/>
      <c r="DI2446" s="4"/>
      <c r="DJ2446" s="4"/>
      <c r="DK2446" s="4"/>
      <c r="DL2446" s="4"/>
      <c r="DM2446" s="4"/>
      <c r="DN2446" s="4"/>
      <c r="DO2446" s="4"/>
      <c r="DP2446" s="4"/>
      <c r="DQ2446" s="4"/>
      <c r="DR2446" s="4"/>
      <c r="DS2446" s="4"/>
    </row>
    <row r="2447">
      <c r="A2447" s="4"/>
      <c r="B2447" s="4"/>
      <c r="C2447" s="4"/>
      <c r="D2447" s="4"/>
      <c r="E2447" s="4"/>
      <c r="F2447" s="4" t="s">
        <v>17</v>
      </c>
      <c r="G2447" s="15"/>
      <c r="H2447" s="4"/>
      <c r="I2447" s="4"/>
      <c r="J2447" s="4"/>
      <c r="K2447" s="4"/>
      <c r="L2447" s="4"/>
      <c r="M2447" s="4"/>
      <c r="N2447" s="4"/>
      <c r="O2447" s="4"/>
      <c r="P2447" s="4"/>
      <c r="Q2447" s="4"/>
      <c r="R2447" s="4"/>
      <c r="S2447" s="4"/>
      <c r="T2447" s="4"/>
      <c r="U2447" s="4"/>
      <c r="V2447" s="4"/>
      <c r="W2447" s="4"/>
      <c r="X2447" s="4"/>
      <c r="Y2447" s="4"/>
      <c r="Z2447" s="4"/>
      <c r="AA2447" s="4"/>
      <c r="AB2447" s="4"/>
      <c r="AC2447" s="4"/>
      <c r="AD2447" s="4"/>
      <c r="AE2447" s="4"/>
      <c r="AF2447" s="4"/>
      <c r="AG2447" s="4"/>
      <c r="AH2447" s="4"/>
      <c r="AI2447" s="4"/>
      <c r="AJ2447" s="4"/>
      <c r="AK2447" s="4"/>
      <c r="AL2447" s="4"/>
      <c r="AM2447" s="4"/>
      <c r="AN2447" s="4"/>
      <c r="AO2447" s="4"/>
      <c r="AP2447" s="4"/>
      <c r="AQ2447" s="4"/>
      <c r="AR2447" s="4"/>
      <c r="AS2447" s="4"/>
      <c r="AT2447" s="4"/>
      <c r="AU2447" s="4"/>
      <c r="AV2447" s="4"/>
      <c r="AW2447" s="4"/>
      <c r="AX2447" s="4"/>
      <c r="AY2447" s="4"/>
      <c r="AZ2447" s="4"/>
      <c r="BA2447" s="4"/>
      <c r="BB2447" s="4"/>
      <c r="BC2447" s="4"/>
      <c r="BD2447" s="4"/>
      <c r="BE2447" s="4"/>
      <c r="BF2447" s="4"/>
      <c r="BG2447" s="4"/>
      <c r="BH2447" s="4"/>
      <c r="BI2447" s="4"/>
      <c r="BJ2447" s="4"/>
      <c r="BK2447" s="4"/>
      <c r="BL2447" s="4"/>
      <c r="BM2447" s="4"/>
      <c r="BN2447" s="4"/>
      <c r="BO2447" s="4"/>
      <c r="BP2447" s="4"/>
      <c r="BQ2447" s="4"/>
      <c r="BR2447" s="4"/>
      <c r="BS2447" s="4"/>
      <c r="BT2447" s="4"/>
      <c r="BU2447" s="4"/>
      <c r="BV2447" s="4"/>
      <c r="BW2447" s="4"/>
      <c r="BX2447" s="4"/>
      <c r="BY2447" s="4"/>
      <c r="BZ2447" s="4"/>
      <c r="CA2447" s="4"/>
      <c r="CB2447" s="4"/>
      <c r="CC2447" s="4"/>
      <c r="CD2447" s="4"/>
      <c r="CE2447" s="4"/>
      <c r="CF2447" s="4"/>
      <c r="CG2447" s="4"/>
      <c r="CH2447" s="4"/>
      <c r="CI2447" s="4"/>
      <c r="CJ2447" s="4"/>
      <c r="CK2447" s="4"/>
      <c r="CL2447" s="4"/>
      <c r="CM2447" s="4"/>
      <c r="CN2447" s="4"/>
      <c r="CO2447" s="4"/>
      <c r="CP2447" s="4"/>
      <c r="CQ2447" s="4"/>
      <c r="CR2447" s="4"/>
      <c r="CS2447" s="4"/>
      <c r="CT2447" s="4"/>
      <c r="CU2447" s="4"/>
      <c r="CV2447" s="4"/>
      <c r="CW2447" s="4"/>
      <c r="CX2447" s="4"/>
      <c r="CY2447" s="4"/>
      <c r="CZ2447" s="4"/>
      <c r="DA2447" s="4"/>
      <c r="DB2447" s="4"/>
      <c r="DC2447" s="4"/>
      <c r="DD2447" s="4"/>
      <c r="DE2447" s="4"/>
      <c r="DF2447" s="4"/>
      <c r="DG2447" s="4"/>
      <c r="DH2447" s="4"/>
      <c r="DI2447" s="4"/>
      <c r="DJ2447" s="4"/>
      <c r="DK2447" s="4"/>
      <c r="DL2447" s="4"/>
      <c r="DM2447" s="4"/>
      <c r="DN2447" s="4"/>
      <c r="DO2447" s="4"/>
      <c r="DP2447" s="4"/>
      <c r="DQ2447" s="4"/>
      <c r="DR2447" s="4"/>
      <c r="DS2447" s="4"/>
    </row>
    <row r="2448">
      <c r="A2448" s="4"/>
      <c r="B2448" s="4"/>
      <c r="C2448" s="4"/>
      <c r="D2448" s="4"/>
      <c r="E2448" s="4"/>
      <c r="F2448" s="4" t="s">
        <v>17</v>
      </c>
      <c r="G2448" s="15"/>
      <c r="H2448" s="4"/>
      <c r="I2448" s="4"/>
      <c r="J2448" s="4"/>
      <c r="K2448" s="4"/>
      <c r="L2448" s="4"/>
      <c r="M2448" s="4"/>
      <c r="N2448" s="4"/>
      <c r="O2448" s="4"/>
      <c r="P2448" s="4"/>
      <c r="Q2448" s="4"/>
      <c r="R2448" s="4"/>
      <c r="S2448" s="4"/>
      <c r="T2448" s="4"/>
      <c r="U2448" s="4"/>
      <c r="V2448" s="4"/>
      <c r="W2448" s="4"/>
      <c r="X2448" s="4"/>
      <c r="Y2448" s="4"/>
      <c r="Z2448" s="4"/>
      <c r="AA2448" s="4"/>
      <c r="AB2448" s="4"/>
      <c r="AC2448" s="4"/>
      <c r="AD2448" s="4"/>
      <c r="AE2448" s="4"/>
      <c r="AF2448" s="4"/>
      <c r="AG2448" s="4"/>
      <c r="AH2448" s="4"/>
      <c r="AI2448" s="4"/>
      <c r="AJ2448" s="4"/>
      <c r="AK2448" s="4"/>
      <c r="AL2448" s="4"/>
      <c r="AM2448" s="4"/>
      <c r="AN2448" s="4"/>
      <c r="AO2448" s="4"/>
      <c r="AP2448" s="4"/>
      <c r="AQ2448" s="4"/>
      <c r="AR2448" s="4"/>
      <c r="AS2448" s="4"/>
      <c r="AT2448" s="4"/>
      <c r="AU2448" s="4"/>
      <c r="AV2448" s="4"/>
      <c r="AW2448" s="4"/>
      <c r="AX2448" s="4"/>
      <c r="AY2448" s="4"/>
      <c r="AZ2448" s="4"/>
      <c r="BA2448" s="4"/>
      <c r="BB2448" s="4"/>
      <c r="BC2448" s="4"/>
      <c r="BD2448" s="4"/>
      <c r="BE2448" s="4"/>
      <c r="BF2448" s="4"/>
      <c r="BG2448" s="4"/>
      <c r="BH2448" s="4"/>
      <c r="BI2448" s="4"/>
      <c r="BJ2448" s="4"/>
      <c r="BK2448" s="4"/>
      <c r="BL2448" s="4"/>
      <c r="BM2448" s="4"/>
      <c r="BN2448" s="4"/>
      <c r="BO2448" s="4"/>
      <c r="BP2448" s="4"/>
      <c r="BQ2448" s="4"/>
      <c r="BR2448" s="4"/>
      <c r="BS2448" s="4"/>
      <c r="BT2448" s="4"/>
      <c r="BU2448" s="4"/>
      <c r="BV2448" s="4"/>
      <c r="BW2448" s="4"/>
      <c r="BX2448" s="4"/>
      <c r="BY2448" s="4"/>
      <c r="BZ2448" s="4"/>
      <c r="CA2448" s="4"/>
      <c r="CB2448" s="4"/>
      <c r="CC2448" s="4"/>
      <c r="CD2448" s="4"/>
      <c r="CE2448" s="4"/>
      <c r="CF2448" s="4"/>
      <c r="CG2448" s="4"/>
      <c r="CH2448" s="4"/>
      <c r="CI2448" s="4"/>
      <c r="CJ2448" s="4"/>
      <c r="CK2448" s="4"/>
      <c r="CL2448" s="4"/>
      <c r="CM2448" s="4"/>
      <c r="CN2448" s="4"/>
      <c r="CO2448" s="4"/>
      <c r="CP2448" s="4"/>
      <c r="CQ2448" s="4"/>
      <c r="CR2448" s="4"/>
      <c r="CS2448" s="4"/>
      <c r="CT2448" s="4"/>
      <c r="CU2448" s="4"/>
      <c r="CV2448" s="4"/>
      <c r="CW2448" s="4"/>
      <c r="CX2448" s="4"/>
      <c r="CY2448" s="4"/>
      <c r="CZ2448" s="4"/>
      <c r="DA2448" s="4"/>
      <c r="DB2448" s="4"/>
      <c r="DC2448" s="4"/>
      <c r="DD2448" s="4"/>
      <c r="DE2448" s="4"/>
      <c r="DF2448" s="4"/>
      <c r="DG2448" s="4"/>
      <c r="DH2448" s="4"/>
      <c r="DI2448" s="4"/>
      <c r="DJ2448" s="4"/>
      <c r="DK2448" s="4"/>
      <c r="DL2448" s="4"/>
      <c r="DM2448" s="4"/>
      <c r="DN2448" s="4"/>
      <c r="DO2448" s="4"/>
      <c r="DP2448" s="4"/>
      <c r="DQ2448" s="4"/>
      <c r="DR2448" s="4"/>
      <c r="DS2448" s="4"/>
    </row>
    <row r="2449">
      <c r="A2449" s="4"/>
      <c r="B2449" s="4"/>
      <c r="C2449" s="4"/>
      <c r="D2449" s="4"/>
      <c r="E2449" s="4"/>
      <c r="F2449" s="4" t="s">
        <v>17</v>
      </c>
      <c r="G2449" s="15"/>
      <c r="H2449" s="4"/>
      <c r="I2449" s="4"/>
      <c r="J2449" s="4"/>
      <c r="K2449" s="4"/>
      <c r="L2449" s="4"/>
      <c r="M2449" s="4"/>
      <c r="N2449" s="4"/>
      <c r="O2449" s="4"/>
      <c r="P2449" s="4"/>
      <c r="Q2449" s="4"/>
      <c r="R2449" s="4"/>
      <c r="S2449" s="4"/>
      <c r="T2449" s="4"/>
      <c r="U2449" s="4"/>
      <c r="V2449" s="4"/>
      <c r="W2449" s="4"/>
      <c r="X2449" s="4"/>
      <c r="Y2449" s="4"/>
      <c r="Z2449" s="4"/>
      <c r="AA2449" s="4"/>
      <c r="AB2449" s="4"/>
      <c r="AC2449" s="4"/>
      <c r="AD2449" s="4"/>
      <c r="AE2449" s="4"/>
      <c r="AF2449" s="4"/>
      <c r="AG2449" s="4"/>
      <c r="AH2449" s="4"/>
      <c r="AI2449" s="4"/>
      <c r="AJ2449" s="4"/>
      <c r="AK2449" s="4"/>
      <c r="AL2449" s="4"/>
      <c r="AM2449" s="4"/>
      <c r="AN2449" s="4"/>
      <c r="AO2449" s="4"/>
      <c r="AP2449" s="4"/>
      <c r="AQ2449" s="4"/>
      <c r="AR2449" s="4"/>
      <c r="AS2449" s="4"/>
      <c r="AT2449" s="4"/>
      <c r="AU2449" s="4"/>
      <c r="AV2449" s="4"/>
      <c r="AW2449" s="4"/>
      <c r="AX2449" s="4"/>
      <c r="AY2449" s="4"/>
      <c r="AZ2449" s="4"/>
      <c r="BA2449" s="4"/>
      <c r="BB2449" s="4"/>
      <c r="BC2449" s="4"/>
      <c r="BD2449" s="4"/>
      <c r="BE2449" s="4"/>
      <c r="BF2449" s="4"/>
      <c r="BG2449" s="4"/>
      <c r="BH2449" s="4"/>
      <c r="BI2449" s="4"/>
      <c r="BJ2449" s="4"/>
      <c r="BK2449" s="4"/>
      <c r="BL2449" s="4"/>
      <c r="BM2449" s="4"/>
      <c r="BN2449" s="4"/>
      <c r="BO2449" s="4"/>
      <c r="BP2449" s="4"/>
      <c r="BQ2449" s="4"/>
      <c r="BR2449" s="4"/>
      <c r="BS2449" s="4"/>
      <c r="BT2449" s="4"/>
      <c r="BU2449" s="4"/>
      <c r="BV2449" s="4"/>
      <c r="BW2449" s="4"/>
      <c r="BX2449" s="4"/>
      <c r="BY2449" s="4"/>
      <c r="BZ2449" s="4"/>
      <c r="CA2449" s="4"/>
      <c r="CB2449" s="4"/>
      <c r="CC2449" s="4"/>
      <c r="CD2449" s="4"/>
      <c r="CE2449" s="4"/>
      <c r="CF2449" s="4"/>
      <c r="CG2449" s="4"/>
      <c r="CH2449" s="4"/>
      <c r="CI2449" s="4"/>
      <c r="CJ2449" s="4"/>
      <c r="CK2449" s="4"/>
      <c r="CL2449" s="4"/>
      <c r="CM2449" s="4"/>
      <c r="CN2449" s="4"/>
      <c r="CO2449" s="4"/>
      <c r="CP2449" s="4"/>
      <c r="CQ2449" s="4"/>
      <c r="CR2449" s="4"/>
      <c r="CS2449" s="4"/>
      <c r="CT2449" s="4"/>
      <c r="CU2449" s="4"/>
      <c r="CV2449" s="4"/>
      <c r="CW2449" s="4"/>
      <c r="CX2449" s="4"/>
      <c r="CY2449" s="4"/>
      <c r="CZ2449" s="4"/>
      <c r="DA2449" s="4"/>
      <c r="DB2449" s="4"/>
      <c r="DC2449" s="4"/>
      <c r="DD2449" s="4"/>
      <c r="DE2449" s="4"/>
      <c r="DF2449" s="4"/>
      <c r="DG2449" s="4"/>
      <c r="DH2449" s="4"/>
      <c r="DI2449" s="4"/>
      <c r="DJ2449" s="4"/>
      <c r="DK2449" s="4"/>
      <c r="DL2449" s="4"/>
      <c r="DM2449" s="4"/>
      <c r="DN2449" s="4"/>
      <c r="DO2449" s="4"/>
      <c r="DP2449" s="4"/>
      <c r="DQ2449" s="4"/>
      <c r="DR2449" s="4"/>
      <c r="DS2449" s="4"/>
    </row>
    <row r="2450">
      <c r="A2450" s="4"/>
      <c r="B2450" s="4"/>
      <c r="C2450" s="4"/>
      <c r="D2450" s="4"/>
      <c r="E2450" s="4"/>
      <c r="F2450" s="4" t="s">
        <v>17</v>
      </c>
      <c r="G2450" s="15"/>
      <c r="H2450" s="4"/>
      <c r="I2450" s="4"/>
      <c r="J2450" s="4"/>
      <c r="K2450" s="4"/>
      <c r="L2450" s="4"/>
      <c r="M2450" s="4"/>
      <c r="N2450" s="4"/>
      <c r="O2450" s="4"/>
      <c r="P2450" s="4"/>
      <c r="Q2450" s="4"/>
      <c r="R2450" s="4"/>
      <c r="S2450" s="4"/>
      <c r="T2450" s="4"/>
      <c r="U2450" s="4"/>
      <c r="V2450" s="4"/>
      <c r="W2450" s="4"/>
      <c r="X2450" s="4"/>
      <c r="Y2450" s="4"/>
      <c r="Z2450" s="4"/>
      <c r="AA2450" s="4"/>
      <c r="AB2450" s="4"/>
      <c r="AC2450" s="4"/>
      <c r="AD2450" s="4"/>
      <c r="AE2450" s="4"/>
      <c r="AF2450" s="4"/>
      <c r="AG2450" s="4"/>
      <c r="AH2450" s="4"/>
      <c r="AI2450" s="4"/>
      <c r="AJ2450" s="4"/>
      <c r="AK2450" s="4"/>
      <c r="AL2450" s="4"/>
      <c r="AM2450" s="4"/>
      <c r="AN2450" s="4"/>
      <c r="AO2450" s="4"/>
      <c r="AP2450" s="4"/>
      <c r="AQ2450" s="4"/>
      <c r="AR2450" s="4"/>
      <c r="AS2450" s="4"/>
      <c r="AT2450" s="4"/>
      <c r="AU2450" s="4"/>
      <c r="AV2450" s="4"/>
      <c r="AW2450" s="4"/>
      <c r="AX2450" s="4"/>
      <c r="AY2450" s="4"/>
      <c r="AZ2450" s="4"/>
      <c r="BA2450" s="4"/>
      <c r="BB2450" s="4"/>
      <c r="BC2450" s="4"/>
      <c r="BD2450" s="4"/>
      <c r="BE2450" s="4"/>
      <c r="BF2450" s="4"/>
      <c r="BG2450" s="4"/>
      <c r="BH2450" s="4"/>
      <c r="BI2450" s="4"/>
      <c r="BJ2450" s="4"/>
      <c r="BK2450" s="4"/>
      <c r="BL2450" s="4"/>
      <c r="BM2450" s="4"/>
      <c r="BN2450" s="4"/>
      <c r="BO2450" s="4"/>
      <c r="BP2450" s="4"/>
      <c r="BQ2450" s="4"/>
      <c r="BR2450" s="4"/>
      <c r="BS2450" s="4"/>
      <c r="BT2450" s="4"/>
      <c r="BU2450" s="4"/>
      <c r="BV2450" s="4"/>
      <c r="BW2450" s="4"/>
      <c r="BX2450" s="4"/>
      <c r="BY2450" s="4"/>
      <c r="BZ2450" s="4"/>
      <c r="CA2450" s="4"/>
      <c r="CB2450" s="4"/>
      <c r="CC2450" s="4"/>
      <c r="CD2450" s="4"/>
      <c r="CE2450" s="4"/>
      <c r="CF2450" s="4"/>
      <c r="CG2450" s="4"/>
      <c r="CH2450" s="4"/>
      <c r="CI2450" s="4"/>
      <c r="CJ2450" s="4"/>
      <c r="CK2450" s="4"/>
      <c r="CL2450" s="4"/>
      <c r="CM2450" s="4"/>
      <c r="CN2450" s="4"/>
      <c r="CO2450" s="4"/>
      <c r="CP2450" s="4"/>
      <c r="CQ2450" s="4"/>
      <c r="CR2450" s="4"/>
      <c r="CS2450" s="4"/>
      <c r="CT2450" s="4"/>
      <c r="CU2450" s="4"/>
      <c r="CV2450" s="4"/>
      <c r="CW2450" s="4"/>
      <c r="CX2450" s="4"/>
      <c r="CY2450" s="4"/>
      <c r="CZ2450" s="4"/>
      <c r="DA2450" s="4"/>
      <c r="DB2450" s="4"/>
      <c r="DC2450" s="4"/>
      <c r="DD2450" s="4"/>
      <c r="DE2450" s="4"/>
      <c r="DF2450" s="4"/>
      <c r="DG2450" s="4"/>
      <c r="DH2450" s="4"/>
      <c r="DI2450" s="4"/>
      <c r="DJ2450" s="4"/>
      <c r="DK2450" s="4"/>
      <c r="DL2450" s="4"/>
      <c r="DM2450" s="4"/>
      <c r="DN2450" s="4"/>
      <c r="DO2450" s="4"/>
      <c r="DP2450" s="4"/>
      <c r="DQ2450" s="4"/>
      <c r="DR2450" s="4"/>
      <c r="DS2450" s="4"/>
    </row>
    <row r="2451">
      <c r="A2451" s="4"/>
      <c r="B2451" s="4"/>
      <c r="C2451" s="4"/>
      <c r="D2451" s="4"/>
      <c r="E2451" s="4"/>
      <c r="F2451" s="4" t="s">
        <v>17</v>
      </c>
      <c r="G2451" s="15"/>
      <c r="H2451" s="4"/>
      <c r="I2451" s="4"/>
      <c r="J2451" s="4"/>
      <c r="K2451" s="4"/>
      <c r="L2451" s="4"/>
      <c r="M2451" s="4"/>
      <c r="N2451" s="4"/>
      <c r="O2451" s="4"/>
      <c r="P2451" s="4"/>
      <c r="Q2451" s="4"/>
      <c r="R2451" s="4"/>
      <c r="S2451" s="4"/>
      <c r="T2451" s="4"/>
      <c r="U2451" s="4"/>
      <c r="V2451" s="4"/>
      <c r="W2451" s="4"/>
      <c r="X2451" s="4"/>
      <c r="Y2451" s="4"/>
      <c r="Z2451" s="4"/>
      <c r="AA2451" s="4"/>
      <c r="AB2451" s="4"/>
      <c r="AC2451" s="4"/>
      <c r="AD2451" s="4"/>
      <c r="AE2451" s="4"/>
      <c r="AF2451" s="4"/>
      <c r="AG2451" s="4"/>
      <c r="AH2451" s="4"/>
      <c r="AI2451" s="4"/>
      <c r="AJ2451" s="4"/>
      <c r="AK2451" s="4"/>
      <c r="AL2451" s="4"/>
      <c r="AM2451" s="4"/>
      <c r="AN2451" s="4"/>
      <c r="AO2451" s="4"/>
      <c r="AP2451" s="4"/>
      <c r="AQ2451" s="4"/>
      <c r="AR2451" s="4"/>
      <c r="AS2451" s="4"/>
      <c r="AT2451" s="4"/>
      <c r="AU2451" s="4"/>
      <c r="AV2451" s="4"/>
      <c r="AW2451" s="4"/>
      <c r="AX2451" s="4"/>
      <c r="AY2451" s="4"/>
      <c r="AZ2451" s="4"/>
      <c r="BA2451" s="4"/>
      <c r="BB2451" s="4"/>
      <c r="BC2451" s="4"/>
      <c r="BD2451" s="4"/>
      <c r="BE2451" s="4"/>
      <c r="BF2451" s="4"/>
      <c r="BG2451" s="4"/>
      <c r="BH2451" s="4"/>
      <c r="BI2451" s="4"/>
      <c r="BJ2451" s="4"/>
      <c r="BK2451" s="4"/>
      <c r="BL2451" s="4"/>
      <c r="BM2451" s="4"/>
      <c r="BN2451" s="4"/>
      <c r="BO2451" s="4"/>
      <c r="BP2451" s="4"/>
      <c r="BQ2451" s="4"/>
      <c r="BR2451" s="4"/>
      <c r="BS2451" s="4"/>
      <c r="BT2451" s="4"/>
      <c r="BU2451" s="4"/>
      <c r="BV2451" s="4"/>
      <c r="BW2451" s="4"/>
      <c r="BX2451" s="4"/>
      <c r="BY2451" s="4"/>
      <c r="BZ2451" s="4"/>
      <c r="CA2451" s="4"/>
      <c r="CB2451" s="4"/>
      <c r="CC2451" s="4"/>
      <c r="CD2451" s="4"/>
      <c r="CE2451" s="4"/>
      <c r="CF2451" s="4"/>
      <c r="CG2451" s="4"/>
      <c r="CH2451" s="4"/>
      <c r="CI2451" s="4"/>
      <c r="CJ2451" s="4"/>
      <c r="CK2451" s="4"/>
      <c r="CL2451" s="4"/>
      <c r="CM2451" s="4"/>
      <c r="CN2451" s="4"/>
      <c r="CO2451" s="4"/>
      <c r="CP2451" s="4"/>
      <c r="CQ2451" s="4"/>
      <c r="CR2451" s="4"/>
      <c r="CS2451" s="4"/>
      <c r="CT2451" s="4"/>
      <c r="CU2451" s="4"/>
      <c r="CV2451" s="4"/>
      <c r="CW2451" s="4"/>
      <c r="CX2451" s="4"/>
      <c r="CY2451" s="4"/>
      <c r="CZ2451" s="4"/>
      <c r="DA2451" s="4"/>
      <c r="DB2451" s="4"/>
      <c r="DC2451" s="4"/>
      <c r="DD2451" s="4"/>
      <c r="DE2451" s="4"/>
      <c r="DF2451" s="4"/>
      <c r="DG2451" s="4"/>
      <c r="DH2451" s="4"/>
      <c r="DI2451" s="4"/>
      <c r="DJ2451" s="4"/>
      <c r="DK2451" s="4"/>
      <c r="DL2451" s="4"/>
      <c r="DM2451" s="4"/>
      <c r="DN2451" s="4"/>
      <c r="DO2451" s="4"/>
      <c r="DP2451" s="4"/>
      <c r="DQ2451" s="4"/>
      <c r="DR2451" s="4"/>
      <c r="DS2451" s="4"/>
    </row>
    <row r="2452">
      <c r="A2452" s="4"/>
      <c r="B2452" s="4"/>
      <c r="C2452" s="4"/>
      <c r="D2452" s="4"/>
      <c r="E2452" s="4"/>
      <c r="F2452" s="4" t="s">
        <v>17</v>
      </c>
      <c r="G2452" s="15"/>
      <c r="H2452" s="4"/>
      <c r="I2452" s="4"/>
      <c r="J2452" s="4"/>
      <c r="K2452" s="4"/>
      <c r="L2452" s="4"/>
      <c r="M2452" s="4"/>
      <c r="N2452" s="4"/>
      <c r="O2452" s="4"/>
      <c r="P2452" s="4"/>
      <c r="Q2452" s="4"/>
      <c r="R2452" s="4"/>
      <c r="S2452" s="4"/>
      <c r="T2452" s="4"/>
      <c r="U2452" s="4"/>
      <c r="V2452" s="4"/>
      <c r="W2452" s="4"/>
      <c r="X2452" s="4"/>
      <c r="Y2452" s="4"/>
      <c r="Z2452" s="4"/>
      <c r="AA2452" s="4"/>
      <c r="AB2452" s="4"/>
      <c r="AC2452" s="4"/>
      <c r="AD2452" s="4"/>
      <c r="AE2452" s="4"/>
      <c r="AF2452" s="4"/>
      <c r="AG2452" s="4"/>
      <c r="AH2452" s="4"/>
      <c r="AI2452" s="4"/>
      <c r="AJ2452" s="4"/>
      <c r="AK2452" s="4"/>
      <c r="AL2452" s="4"/>
      <c r="AM2452" s="4"/>
      <c r="AN2452" s="4"/>
      <c r="AO2452" s="4"/>
      <c r="AP2452" s="4"/>
      <c r="AQ2452" s="4"/>
      <c r="AR2452" s="4"/>
      <c r="AS2452" s="4"/>
      <c r="AT2452" s="4"/>
      <c r="AU2452" s="4"/>
      <c r="AV2452" s="4"/>
      <c r="AW2452" s="4"/>
      <c r="AX2452" s="4"/>
      <c r="AY2452" s="4"/>
      <c r="AZ2452" s="4"/>
      <c r="BA2452" s="4"/>
      <c r="BB2452" s="4"/>
      <c r="BC2452" s="4"/>
      <c r="BD2452" s="4"/>
      <c r="BE2452" s="4"/>
      <c r="BF2452" s="4"/>
      <c r="BG2452" s="4"/>
      <c r="BH2452" s="4"/>
      <c r="BI2452" s="4"/>
      <c r="BJ2452" s="4"/>
      <c r="BK2452" s="4"/>
      <c r="BL2452" s="4"/>
      <c r="BM2452" s="4"/>
      <c r="BN2452" s="4"/>
      <c r="BO2452" s="4"/>
      <c r="BP2452" s="4"/>
      <c r="BQ2452" s="4"/>
      <c r="BR2452" s="4"/>
      <c r="BS2452" s="4"/>
      <c r="BT2452" s="4"/>
      <c r="BU2452" s="4"/>
      <c r="BV2452" s="4"/>
      <c r="BW2452" s="4"/>
      <c r="BX2452" s="4"/>
      <c r="BY2452" s="4"/>
      <c r="BZ2452" s="4"/>
      <c r="CA2452" s="4"/>
      <c r="CB2452" s="4"/>
      <c r="CC2452" s="4"/>
      <c r="CD2452" s="4"/>
      <c r="CE2452" s="4"/>
      <c r="CF2452" s="4"/>
      <c r="CG2452" s="4"/>
      <c r="CH2452" s="4"/>
      <c r="CI2452" s="4"/>
      <c r="CJ2452" s="4"/>
      <c r="CK2452" s="4"/>
      <c r="CL2452" s="4"/>
      <c r="CM2452" s="4"/>
      <c r="CN2452" s="4"/>
      <c r="CO2452" s="4"/>
      <c r="CP2452" s="4"/>
      <c r="CQ2452" s="4"/>
      <c r="CR2452" s="4"/>
      <c r="CS2452" s="4"/>
      <c r="CT2452" s="4"/>
      <c r="CU2452" s="4"/>
      <c r="CV2452" s="4"/>
      <c r="CW2452" s="4"/>
      <c r="CX2452" s="4"/>
      <c r="CY2452" s="4"/>
      <c r="CZ2452" s="4"/>
      <c r="DA2452" s="4"/>
      <c r="DB2452" s="4"/>
      <c r="DC2452" s="4"/>
      <c r="DD2452" s="4"/>
      <c r="DE2452" s="4"/>
      <c r="DF2452" s="4"/>
      <c r="DG2452" s="4"/>
      <c r="DH2452" s="4"/>
      <c r="DI2452" s="4"/>
      <c r="DJ2452" s="4"/>
      <c r="DK2452" s="4"/>
      <c r="DL2452" s="4"/>
      <c r="DM2452" s="4"/>
      <c r="DN2452" s="4"/>
      <c r="DO2452" s="4"/>
      <c r="DP2452" s="4"/>
      <c r="DQ2452" s="4"/>
      <c r="DR2452" s="4"/>
      <c r="DS2452" s="4"/>
    </row>
    <row r="2453">
      <c r="A2453" s="4"/>
      <c r="B2453" s="4"/>
      <c r="C2453" s="4"/>
      <c r="D2453" s="4"/>
      <c r="E2453" s="4"/>
      <c r="F2453" s="4" t="s">
        <v>17</v>
      </c>
      <c r="G2453" s="15"/>
      <c r="H2453" s="4"/>
      <c r="I2453" s="4"/>
      <c r="J2453" s="4"/>
      <c r="K2453" s="4"/>
      <c r="L2453" s="4"/>
      <c r="M2453" s="4"/>
      <c r="N2453" s="4"/>
      <c r="O2453" s="4"/>
      <c r="P2453" s="4"/>
      <c r="Q2453" s="4"/>
      <c r="R2453" s="4"/>
      <c r="S2453" s="4"/>
      <c r="T2453" s="4"/>
      <c r="U2453" s="4"/>
      <c r="V2453" s="4"/>
      <c r="W2453" s="4"/>
      <c r="X2453" s="4"/>
      <c r="Y2453" s="4"/>
      <c r="Z2453" s="4"/>
      <c r="AA2453" s="4"/>
      <c r="AB2453" s="4"/>
      <c r="AC2453" s="4"/>
      <c r="AD2453" s="4"/>
      <c r="AE2453" s="4"/>
      <c r="AF2453" s="4"/>
      <c r="AG2453" s="4"/>
      <c r="AH2453" s="4"/>
      <c r="AI2453" s="4"/>
      <c r="AJ2453" s="4"/>
      <c r="AK2453" s="4"/>
      <c r="AL2453" s="4"/>
      <c r="AM2453" s="4"/>
      <c r="AN2453" s="4"/>
      <c r="AO2453" s="4"/>
      <c r="AP2453" s="4"/>
      <c r="AQ2453" s="4"/>
      <c r="AR2453" s="4"/>
      <c r="AS2453" s="4"/>
      <c r="AT2453" s="4"/>
      <c r="AU2453" s="4"/>
      <c r="AV2453" s="4"/>
      <c r="AW2453" s="4"/>
      <c r="AX2453" s="4"/>
      <c r="AY2453" s="4"/>
      <c r="AZ2453" s="4"/>
      <c r="BA2453" s="4"/>
      <c r="BB2453" s="4"/>
      <c r="BC2453" s="4"/>
      <c r="BD2453" s="4"/>
      <c r="BE2453" s="4"/>
      <c r="BF2453" s="4"/>
      <c r="BG2453" s="4"/>
      <c r="BH2453" s="4"/>
      <c r="BI2453" s="4"/>
      <c r="BJ2453" s="4"/>
      <c r="BK2453" s="4"/>
      <c r="BL2453" s="4"/>
      <c r="BM2453" s="4"/>
      <c r="BN2453" s="4"/>
      <c r="BO2453" s="4"/>
      <c r="BP2453" s="4"/>
      <c r="BQ2453" s="4"/>
      <c r="BR2453" s="4"/>
      <c r="BS2453" s="4"/>
      <c r="BT2453" s="4"/>
      <c r="BU2453" s="4"/>
      <c r="BV2453" s="4"/>
      <c r="BW2453" s="4"/>
      <c r="BX2453" s="4"/>
      <c r="BY2453" s="4"/>
      <c r="BZ2453" s="4"/>
      <c r="CA2453" s="4"/>
      <c r="CB2453" s="4"/>
      <c r="CC2453" s="4"/>
      <c r="CD2453" s="4"/>
      <c r="CE2453" s="4"/>
      <c r="CF2453" s="4"/>
      <c r="CG2453" s="4"/>
      <c r="CH2453" s="4"/>
      <c r="CI2453" s="4"/>
      <c r="CJ2453" s="4"/>
      <c r="CK2453" s="4"/>
      <c r="CL2453" s="4"/>
      <c r="CM2453" s="4"/>
      <c r="CN2453" s="4"/>
      <c r="CO2453" s="4"/>
      <c r="CP2453" s="4"/>
      <c r="CQ2453" s="4"/>
      <c r="CR2453" s="4"/>
      <c r="CS2453" s="4"/>
      <c r="CT2453" s="4"/>
      <c r="CU2453" s="4"/>
      <c r="CV2453" s="4"/>
      <c r="CW2453" s="4"/>
      <c r="CX2453" s="4"/>
      <c r="CY2453" s="4"/>
      <c r="CZ2453" s="4"/>
      <c r="DA2453" s="4"/>
      <c r="DB2453" s="4"/>
      <c r="DC2453" s="4"/>
      <c r="DD2453" s="4"/>
      <c r="DE2453" s="4"/>
      <c r="DF2453" s="4"/>
      <c r="DG2453" s="4"/>
      <c r="DH2453" s="4"/>
      <c r="DI2453" s="4"/>
      <c r="DJ2453" s="4"/>
      <c r="DK2453" s="4"/>
      <c r="DL2453" s="4"/>
      <c r="DM2453" s="4"/>
      <c r="DN2453" s="4"/>
      <c r="DO2453" s="4"/>
      <c r="DP2453" s="4"/>
      <c r="DQ2453" s="4"/>
      <c r="DR2453" s="4"/>
      <c r="DS2453" s="4"/>
    </row>
    <row r="2454">
      <c r="A2454" s="4"/>
      <c r="B2454" s="4"/>
      <c r="C2454" s="4"/>
      <c r="D2454" s="4"/>
      <c r="E2454" s="4"/>
      <c r="F2454" s="4" t="s">
        <v>17</v>
      </c>
      <c r="G2454" s="15"/>
      <c r="H2454" s="4"/>
      <c r="I2454" s="4"/>
      <c r="J2454" s="4"/>
      <c r="K2454" s="4"/>
      <c r="L2454" s="4"/>
      <c r="M2454" s="4"/>
      <c r="N2454" s="4"/>
      <c r="O2454" s="4"/>
      <c r="P2454" s="4"/>
      <c r="Q2454" s="4"/>
      <c r="R2454" s="4"/>
      <c r="S2454" s="4"/>
      <c r="T2454" s="4"/>
      <c r="U2454" s="4"/>
      <c r="V2454" s="4"/>
      <c r="W2454" s="4"/>
      <c r="X2454" s="4"/>
      <c r="Y2454" s="4"/>
      <c r="Z2454" s="4"/>
      <c r="AA2454" s="4"/>
      <c r="AB2454" s="4"/>
      <c r="AC2454" s="4"/>
      <c r="AD2454" s="4"/>
      <c r="AE2454" s="4"/>
      <c r="AF2454" s="4"/>
      <c r="AG2454" s="4"/>
      <c r="AH2454" s="4"/>
      <c r="AI2454" s="4"/>
      <c r="AJ2454" s="4"/>
      <c r="AK2454" s="4"/>
      <c r="AL2454" s="4"/>
      <c r="AM2454" s="4"/>
      <c r="AN2454" s="4"/>
      <c r="AO2454" s="4"/>
      <c r="AP2454" s="4"/>
      <c r="AQ2454" s="4"/>
      <c r="AR2454" s="4"/>
      <c r="AS2454" s="4"/>
      <c r="AT2454" s="4"/>
      <c r="AU2454" s="4"/>
      <c r="AV2454" s="4"/>
      <c r="AW2454" s="4"/>
      <c r="AX2454" s="4"/>
      <c r="AY2454" s="4"/>
      <c r="AZ2454" s="4"/>
      <c r="BA2454" s="4"/>
      <c r="BB2454" s="4"/>
      <c r="BC2454" s="4"/>
      <c r="BD2454" s="4"/>
      <c r="BE2454" s="4"/>
      <c r="BF2454" s="4"/>
      <c r="BG2454" s="4"/>
      <c r="BH2454" s="4"/>
      <c r="BI2454" s="4"/>
      <c r="BJ2454" s="4"/>
      <c r="BK2454" s="4"/>
      <c r="BL2454" s="4"/>
      <c r="BM2454" s="4"/>
      <c r="BN2454" s="4"/>
      <c r="BO2454" s="4"/>
      <c r="BP2454" s="4"/>
      <c r="BQ2454" s="4"/>
      <c r="BR2454" s="4"/>
      <c r="BS2454" s="4"/>
      <c r="BT2454" s="4"/>
      <c r="BU2454" s="4"/>
      <c r="BV2454" s="4"/>
      <c r="BW2454" s="4"/>
      <c r="BX2454" s="4"/>
      <c r="BY2454" s="4"/>
      <c r="BZ2454" s="4"/>
      <c r="CA2454" s="4"/>
      <c r="CB2454" s="4"/>
      <c r="CC2454" s="4"/>
      <c r="CD2454" s="4"/>
      <c r="CE2454" s="4"/>
      <c r="CF2454" s="4"/>
      <c r="CG2454" s="4"/>
      <c r="CH2454" s="4"/>
      <c r="CI2454" s="4"/>
      <c r="CJ2454" s="4"/>
      <c r="CK2454" s="4"/>
      <c r="CL2454" s="4"/>
      <c r="CM2454" s="4"/>
      <c r="CN2454" s="4"/>
      <c r="CO2454" s="4"/>
      <c r="CP2454" s="4"/>
      <c r="CQ2454" s="4"/>
      <c r="CR2454" s="4"/>
      <c r="CS2454" s="4"/>
      <c r="CT2454" s="4"/>
      <c r="CU2454" s="4"/>
      <c r="CV2454" s="4"/>
      <c r="CW2454" s="4"/>
      <c r="CX2454" s="4"/>
      <c r="CY2454" s="4"/>
      <c r="CZ2454" s="4"/>
      <c r="DA2454" s="4"/>
      <c r="DB2454" s="4"/>
      <c r="DC2454" s="4"/>
      <c r="DD2454" s="4"/>
      <c r="DE2454" s="4"/>
      <c r="DF2454" s="4"/>
      <c r="DG2454" s="4"/>
      <c r="DH2454" s="4"/>
      <c r="DI2454" s="4"/>
      <c r="DJ2454" s="4"/>
      <c r="DK2454" s="4"/>
      <c r="DL2454" s="4"/>
      <c r="DM2454" s="4"/>
      <c r="DN2454" s="4"/>
      <c r="DO2454" s="4"/>
      <c r="DP2454" s="4"/>
      <c r="DQ2454" s="4"/>
      <c r="DR2454" s="4"/>
      <c r="DS2454" s="4"/>
    </row>
    <row r="2455">
      <c r="A2455" s="4"/>
      <c r="B2455" s="4"/>
      <c r="C2455" s="4"/>
      <c r="D2455" s="4"/>
      <c r="E2455" s="4"/>
      <c r="F2455" s="4" t="s">
        <v>17</v>
      </c>
      <c r="G2455" s="15"/>
      <c r="H2455" s="4"/>
      <c r="I2455" s="4"/>
      <c r="J2455" s="4"/>
      <c r="K2455" s="4"/>
      <c r="L2455" s="4"/>
      <c r="M2455" s="4"/>
      <c r="N2455" s="4"/>
      <c r="O2455" s="4"/>
      <c r="P2455" s="4"/>
      <c r="Q2455" s="4"/>
      <c r="R2455" s="4"/>
      <c r="S2455" s="4"/>
      <c r="T2455" s="4"/>
      <c r="U2455" s="4"/>
      <c r="V2455" s="4"/>
      <c r="W2455" s="4"/>
      <c r="X2455" s="4"/>
      <c r="Y2455" s="4"/>
      <c r="Z2455" s="4"/>
      <c r="AA2455" s="4"/>
      <c r="AB2455" s="4"/>
      <c r="AC2455" s="4"/>
      <c r="AD2455" s="4"/>
      <c r="AE2455" s="4"/>
      <c r="AF2455" s="4"/>
      <c r="AG2455" s="4"/>
      <c r="AH2455" s="4"/>
      <c r="AI2455" s="4"/>
      <c r="AJ2455" s="4"/>
      <c r="AK2455" s="4"/>
      <c r="AL2455" s="4"/>
      <c r="AM2455" s="4"/>
      <c r="AN2455" s="4"/>
      <c r="AO2455" s="4"/>
      <c r="AP2455" s="4"/>
      <c r="AQ2455" s="4"/>
      <c r="AR2455" s="4"/>
      <c r="AS2455" s="4"/>
      <c r="AT2455" s="4"/>
      <c r="AU2455" s="4"/>
      <c r="AV2455" s="4"/>
      <c r="AW2455" s="4"/>
      <c r="AX2455" s="4"/>
      <c r="AY2455" s="4"/>
      <c r="AZ2455" s="4"/>
      <c r="BA2455" s="4"/>
      <c r="BB2455" s="4"/>
      <c r="BC2455" s="4"/>
      <c r="BD2455" s="4"/>
      <c r="BE2455" s="4"/>
      <c r="BF2455" s="4"/>
      <c r="BG2455" s="4"/>
      <c r="BH2455" s="4"/>
      <c r="BI2455" s="4"/>
      <c r="BJ2455" s="4"/>
      <c r="BK2455" s="4"/>
      <c r="BL2455" s="4"/>
      <c r="BM2455" s="4"/>
      <c r="BN2455" s="4"/>
      <c r="BO2455" s="4"/>
      <c r="BP2455" s="4"/>
      <c r="BQ2455" s="4"/>
      <c r="BR2455" s="4"/>
      <c r="BS2455" s="4"/>
      <c r="BT2455" s="4"/>
      <c r="BU2455" s="4"/>
      <c r="BV2455" s="4"/>
      <c r="BW2455" s="4"/>
      <c r="BX2455" s="4"/>
      <c r="BY2455" s="4"/>
      <c r="BZ2455" s="4"/>
      <c r="CA2455" s="4"/>
      <c r="CB2455" s="4"/>
      <c r="CC2455" s="4"/>
      <c r="CD2455" s="4"/>
      <c r="CE2455" s="4"/>
      <c r="CF2455" s="4"/>
      <c r="CG2455" s="4"/>
      <c r="CH2455" s="4"/>
      <c r="CI2455" s="4"/>
      <c r="CJ2455" s="4"/>
      <c r="CK2455" s="4"/>
      <c r="CL2455" s="4"/>
      <c r="CM2455" s="4"/>
      <c r="CN2455" s="4"/>
      <c r="CO2455" s="4"/>
      <c r="CP2455" s="4"/>
      <c r="CQ2455" s="4"/>
      <c r="CR2455" s="4"/>
      <c r="CS2455" s="4"/>
      <c r="CT2455" s="4"/>
      <c r="CU2455" s="4"/>
      <c r="CV2455" s="4"/>
      <c r="CW2455" s="4"/>
      <c r="CX2455" s="4"/>
      <c r="CY2455" s="4"/>
      <c r="CZ2455" s="4"/>
      <c r="DA2455" s="4"/>
      <c r="DB2455" s="4"/>
      <c r="DC2455" s="4"/>
      <c r="DD2455" s="4"/>
      <c r="DE2455" s="4"/>
      <c r="DF2455" s="4"/>
      <c r="DG2455" s="4"/>
      <c r="DH2455" s="4"/>
      <c r="DI2455" s="4"/>
      <c r="DJ2455" s="4"/>
      <c r="DK2455" s="4"/>
      <c r="DL2455" s="4"/>
      <c r="DM2455" s="4"/>
      <c r="DN2455" s="4"/>
      <c r="DO2455" s="4"/>
      <c r="DP2455" s="4"/>
      <c r="DQ2455" s="4"/>
      <c r="DR2455" s="4"/>
      <c r="DS2455" s="4"/>
    </row>
    <row r="2456">
      <c r="A2456" s="4"/>
      <c r="B2456" s="4"/>
      <c r="C2456" s="4"/>
      <c r="D2456" s="4"/>
      <c r="E2456" s="4"/>
      <c r="F2456" s="4" t="s">
        <v>17</v>
      </c>
      <c r="G2456" s="15"/>
      <c r="H2456" s="4"/>
      <c r="I2456" s="4"/>
      <c r="J2456" s="4"/>
      <c r="K2456" s="4"/>
      <c r="L2456" s="4"/>
      <c r="M2456" s="4"/>
      <c r="N2456" s="4"/>
      <c r="O2456" s="4"/>
      <c r="P2456" s="4"/>
      <c r="Q2456" s="4"/>
      <c r="R2456" s="4"/>
      <c r="S2456" s="4"/>
      <c r="T2456" s="4"/>
      <c r="U2456" s="4"/>
      <c r="V2456" s="4"/>
      <c r="W2456" s="4"/>
      <c r="X2456" s="4"/>
      <c r="Y2456" s="4"/>
      <c r="Z2456" s="4"/>
      <c r="AA2456" s="4"/>
      <c r="AB2456" s="4"/>
      <c r="AC2456" s="4"/>
      <c r="AD2456" s="4"/>
      <c r="AE2456" s="4"/>
      <c r="AF2456" s="4"/>
      <c r="AG2456" s="4"/>
      <c r="AH2456" s="4"/>
      <c r="AI2456" s="4"/>
      <c r="AJ2456" s="4"/>
      <c r="AK2456" s="4"/>
      <c r="AL2456" s="4"/>
      <c r="AM2456" s="4"/>
      <c r="AN2456" s="4"/>
      <c r="AO2456" s="4"/>
      <c r="AP2456" s="4"/>
      <c r="AQ2456" s="4"/>
      <c r="AR2456" s="4"/>
      <c r="AS2456" s="4"/>
      <c r="AT2456" s="4"/>
      <c r="AU2456" s="4"/>
      <c r="AV2456" s="4"/>
      <c r="AW2456" s="4"/>
      <c r="AX2456" s="4"/>
      <c r="AY2456" s="4"/>
      <c r="AZ2456" s="4"/>
      <c r="BA2456" s="4"/>
      <c r="BB2456" s="4"/>
      <c r="BC2456" s="4"/>
      <c r="BD2456" s="4"/>
      <c r="BE2456" s="4"/>
      <c r="BF2456" s="4"/>
      <c r="BG2456" s="4"/>
      <c r="BH2456" s="4"/>
      <c r="BI2456" s="4"/>
      <c r="BJ2456" s="4"/>
      <c r="BK2456" s="4"/>
      <c r="BL2456" s="4"/>
      <c r="BM2456" s="4"/>
      <c r="BN2456" s="4"/>
      <c r="BO2456" s="4"/>
      <c r="BP2456" s="4"/>
      <c r="BQ2456" s="4"/>
      <c r="BR2456" s="4"/>
      <c r="BS2456" s="4"/>
      <c r="BT2456" s="4"/>
      <c r="BU2456" s="4"/>
      <c r="BV2456" s="4"/>
      <c r="BW2456" s="4"/>
      <c r="BX2456" s="4"/>
      <c r="BY2456" s="4"/>
      <c r="BZ2456" s="4"/>
      <c r="CA2456" s="4"/>
      <c r="CB2456" s="4"/>
      <c r="CC2456" s="4"/>
      <c r="CD2456" s="4"/>
      <c r="CE2456" s="4"/>
      <c r="CF2456" s="4"/>
      <c r="CG2456" s="4"/>
      <c r="CH2456" s="4"/>
      <c r="CI2456" s="4"/>
      <c r="CJ2456" s="4"/>
      <c r="CK2456" s="4"/>
      <c r="CL2456" s="4"/>
      <c r="CM2456" s="4"/>
      <c r="CN2456" s="4"/>
      <c r="CO2456" s="4"/>
      <c r="CP2456" s="4"/>
      <c r="CQ2456" s="4"/>
      <c r="CR2456" s="4"/>
      <c r="CS2456" s="4"/>
      <c r="CT2456" s="4"/>
      <c r="CU2456" s="4"/>
      <c r="CV2456" s="4"/>
      <c r="CW2456" s="4"/>
      <c r="CX2456" s="4"/>
      <c r="CY2456" s="4"/>
      <c r="CZ2456" s="4"/>
      <c r="DA2456" s="4"/>
      <c r="DB2456" s="4"/>
      <c r="DC2456" s="4"/>
      <c r="DD2456" s="4"/>
      <c r="DE2456" s="4"/>
      <c r="DF2456" s="4"/>
      <c r="DG2456" s="4"/>
      <c r="DH2456" s="4"/>
      <c r="DI2456" s="4"/>
      <c r="DJ2456" s="4"/>
      <c r="DK2456" s="4"/>
      <c r="DL2456" s="4"/>
      <c r="DM2456" s="4"/>
      <c r="DN2456" s="4"/>
      <c r="DO2456" s="4"/>
      <c r="DP2456" s="4"/>
      <c r="DQ2456" s="4"/>
      <c r="DR2456" s="4"/>
      <c r="DS2456" s="4"/>
    </row>
    <row r="2457">
      <c r="A2457" s="4"/>
      <c r="B2457" s="4"/>
      <c r="C2457" s="4"/>
      <c r="D2457" s="4"/>
      <c r="E2457" s="4"/>
      <c r="F2457" s="4" t="s">
        <v>17</v>
      </c>
      <c r="G2457" s="15"/>
      <c r="H2457" s="4"/>
      <c r="I2457" s="4"/>
      <c r="J2457" s="4"/>
      <c r="K2457" s="4"/>
      <c r="L2457" s="4"/>
      <c r="M2457" s="4"/>
      <c r="N2457" s="4"/>
      <c r="O2457" s="4"/>
      <c r="P2457" s="4"/>
      <c r="Q2457" s="4"/>
      <c r="R2457" s="4"/>
      <c r="S2457" s="4"/>
      <c r="T2457" s="4"/>
      <c r="U2457" s="4"/>
      <c r="V2457" s="4"/>
      <c r="W2457" s="4"/>
      <c r="X2457" s="4"/>
      <c r="Y2457" s="4"/>
      <c r="Z2457" s="4"/>
      <c r="AA2457" s="4"/>
      <c r="AB2457" s="4"/>
      <c r="AC2457" s="4"/>
      <c r="AD2457" s="4"/>
      <c r="AE2457" s="4"/>
      <c r="AF2457" s="4"/>
      <c r="AG2457" s="4"/>
      <c r="AH2457" s="4"/>
      <c r="AI2457" s="4"/>
      <c r="AJ2457" s="4"/>
      <c r="AK2457" s="4"/>
      <c r="AL2457" s="4"/>
      <c r="AM2457" s="4"/>
      <c r="AN2457" s="4"/>
      <c r="AO2457" s="4"/>
      <c r="AP2457" s="4"/>
      <c r="AQ2457" s="4"/>
      <c r="AR2457" s="4"/>
      <c r="AS2457" s="4"/>
      <c r="AT2457" s="4"/>
      <c r="AU2457" s="4"/>
      <c r="AV2457" s="4"/>
      <c r="AW2457" s="4"/>
      <c r="AX2457" s="4"/>
      <c r="AY2457" s="4"/>
      <c r="AZ2457" s="4"/>
      <c r="BA2457" s="4"/>
      <c r="BB2457" s="4"/>
      <c r="BC2457" s="4"/>
      <c r="BD2457" s="4"/>
      <c r="BE2457" s="4"/>
      <c r="BF2457" s="4"/>
      <c r="BG2457" s="4"/>
      <c r="BH2457" s="4"/>
      <c r="BI2457" s="4"/>
      <c r="BJ2457" s="4"/>
      <c r="BK2457" s="4"/>
      <c r="BL2457" s="4"/>
      <c r="BM2457" s="4"/>
      <c r="BN2457" s="4"/>
      <c r="BO2457" s="4"/>
      <c r="BP2457" s="4"/>
      <c r="BQ2457" s="4"/>
      <c r="BR2457" s="4"/>
      <c r="BS2457" s="4"/>
      <c r="BT2457" s="4"/>
      <c r="BU2457" s="4"/>
      <c r="BV2457" s="4"/>
      <c r="BW2457" s="4"/>
      <c r="BX2457" s="4"/>
      <c r="BY2457" s="4"/>
      <c r="BZ2457" s="4"/>
      <c r="CA2457" s="4"/>
      <c r="CB2457" s="4"/>
      <c r="CC2457" s="4"/>
      <c r="CD2457" s="4"/>
      <c r="CE2457" s="4"/>
      <c r="CF2457" s="4"/>
      <c r="CG2457" s="4"/>
      <c r="CH2457" s="4"/>
      <c r="CI2457" s="4"/>
      <c r="CJ2457" s="4"/>
      <c r="CK2457" s="4"/>
      <c r="CL2457" s="4"/>
      <c r="CM2457" s="4"/>
      <c r="CN2457" s="4"/>
      <c r="CO2457" s="4"/>
      <c r="CP2457" s="4"/>
      <c r="CQ2457" s="4"/>
      <c r="CR2457" s="4"/>
      <c r="CS2457" s="4"/>
      <c r="CT2457" s="4"/>
      <c r="CU2457" s="4"/>
      <c r="CV2457" s="4"/>
      <c r="CW2457" s="4"/>
      <c r="CX2457" s="4"/>
      <c r="CY2457" s="4"/>
      <c r="CZ2457" s="4"/>
      <c r="DA2457" s="4"/>
      <c r="DB2457" s="4"/>
      <c r="DC2457" s="4"/>
      <c r="DD2457" s="4"/>
      <c r="DE2457" s="4"/>
      <c r="DF2457" s="4"/>
      <c r="DG2457" s="4"/>
      <c r="DH2457" s="4"/>
      <c r="DI2457" s="4"/>
      <c r="DJ2457" s="4"/>
      <c r="DK2457" s="4"/>
      <c r="DL2457" s="4"/>
      <c r="DM2457" s="4"/>
      <c r="DN2457" s="4"/>
      <c r="DO2457" s="4"/>
      <c r="DP2457" s="4"/>
      <c r="DQ2457" s="4"/>
      <c r="DR2457" s="4"/>
      <c r="DS2457" s="4"/>
    </row>
    <row r="2458">
      <c r="A2458" s="4"/>
      <c r="B2458" s="4"/>
      <c r="C2458" s="4"/>
      <c r="D2458" s="4"/>
      <c r="E2458" s="4"/>
      <c r="F2458" s="4" t="s">
        <v>17</v>
      </c>
      <c r="G2458" s="15"/>
      <c r="H2458" s="4"/>
      <c r="I2458" s="4"/>
      <c r="J2458" s="4"/>
      <c r="K2458" s="4"/>
      <c r="L2458" s="4"/>
      <c r="M2458" s="4"/>
      <c r="N2458" s="4"/>
      <c r="O2458" s="4"/>
      <c r="P2458" s="4"/>
      <c r="Q2458" s="4"/>
      <c r="R2458" s="4"/>
      <c r="S2458" s="4"/>
      <c r="T2458" s="4"/>
      <c r="U2458" s="4"/>
      <c r="V2458" s="4"/>
      <c r="W2458" s="4"/>
      <c r="X2458" s="4"/>
      <c r="Y2458" s="4"/>
      <c r="Z2458" s="4"/>
      <c r="AA2458" s="4"/>
      <c r="AB2458" s="4"/>
      <c r="AC2458" s="4"/>
      <c r="AD2458" s="4"/>
      <c r="AE2458" s="4"/>
      <c r="AF2458" s="4"/>
      <c r="AG2458" s="4"/>
      <c r="AH2458" s="4"/>
      <c r="AI2458" s="4"/>
      <c r="AJ2458" s="4"/>
      <c r="AK2458" s="4"/>
      <c r="AL2458" s="4"/>
      <c r="AM2458" s="4"/>
      <c r="AN2458" s="4"/>
      <c r="AO2458" s="4"/>
      <c r="AP2458" s="4"/>
      <c r="AQ2458" s="4"/>
      <c r="AR2458" s="4"/>
      <c r="AS2458" s="4"/>
      <c r="AT2458" s="4"/>
      <c r="AU2458" s="4"/>
      <c r="AV2458" s="4"/>
      <c r="AW2458" s="4"/>
      <c r="AX2458" s="4"/>
      <c r="AY2458" s="4"/>
      <c r="AZ2458" s="4"/>
      <c r="BA2458" s="4"/>
      <c r="BB2458" s="4"/>
      <c r="BC2458" s="4"/>
      <c r="BD2458" s="4"/>
      <c r="BE2458" s="4"/>
      <c r="BF2458" s="4"/>
      <c r="BG2458" s="4"/>
      <c r="BH2458" s="4"/>
      <c r="BI2458" s="4"/>
      <c r="BJ2458" s="4"/>
      <c r="BK2458" s="4"/>
      <c r="BL2458" s="4"/>
      <c r="BM2458" s="4"/>
      <c r="BN2458" s="4"/>
      <c r="BO2458" s="4"/>
      <c r="BP2458" s="4"/>
      <c r="BQ2458" s="4"/>
      <c r="BR2458" s="4"/>
      <c r="BS2458" s="4"/>
      <c r="BT2458" s="4"/>
      <c r="BU2458" s="4"/>
      <c r="BV2458" s="4"/>
      <c r="BW2458" s="4"/>
      <c r="BX2458" s="4"/>
      <c r="BY2458" s="4"/>
      <c r="BZ2458" s="4"/>
      <c r="CA2458" s="4"/>
      <c r="CB2458" s="4"/>
      <c r="CC2458" s="4"/>
      <c r="CD2458" s="4"/>
      <c r="CE2458" s="4"/>
      <c r="CF2458" s="4"/>
      <c r="CG2458" s="4"/>
      <c r="CH2458" s="4"/>
      <c r="CI2458" s="4"/>
      <c r="CJ2458" s="4"/>
      <c r="CK2458" s="4"/>
      <c r="CL2458" s="4"/>
      <c r="CM2458" s="4"/>
      <c r="CN2458" s="4"/>
      <c r="CO2458" s="4"/>
      <c r="CP2458" s="4"/>
      <c r="CQ2458" s="4"/>
      <c r="CR2458" s="4"/>
      <c r="CS2458" s="4"/>
      <c r="CT2458" s="4"/>
      <c r="CU2458" s="4"/>
      <c r="CV2458" s="4"/>
      <c r="CW2458" s="4"/>
      <c r="CX2458" s="4"/>
      <c r="CY2458" s="4"/>
      <c r="CZ2458" s="4"/>
      <c r="DA2458" s="4"/>
      <c r="DB2458" s="4"/>
      <c r="DC2458" s="4"/>
      <c r="DD2458" s="4"/>
      <c r="DE2458" s="4"/>
      <c r="DF2458" s="4"/>
      <c r="DG2458" s="4"/>
      <c r="DH2458" s="4"/>
      <c r="DI2458" s="4"/>
      <c r="DJ2458" s="4"/>
      <c r="DK2458" s="4"/>
      <c r="DL2458" s="4"/>
      <c r="DM2458" s="4"/>
      <c r="DN2458" s="4"/>
      <c r="DO2458" s="4"/>
      <c r="DP2458" s="4"/>
      <c r="DQ2458" s="4"/>
      <c r="DR2458" s="4"/>
      <c r="DS2458" s="4"/>
    </row>
    <row r="2459">
      <c r="A2459" s="4"/>
      <c r="B2459" s="4"/>
      <c r="C2459" s="4"/>
      <c r="D2459" s="4"/>
      <c r="E2459" s="4"/>
      <c r="F2459" s="4" t="s">
        <v>17</v>
      </c>
      <c r="G2459" s="15"/>
      <c r="H2459" s="4"/>
      <c r="I2459" s="4"/>
      <c r="J2459" s="4"/>
      <c r="K2459" s="4"/>
      <c r="L2459" s="4"/>
      <c r="M2459" s="4"/>
      <c r="N2459" s="4"/>
      <c r="O2459" s="4"/>
      <c r="P2459" s="4"/>
      <c r="Q2459" s="4"/>
      <c r="R2459" s="4"/>
      <c r="S2459" s="4"/>
      <c r="T2459" s="4"/>
      <c r="U2459" s="4"/>
      <c r="V2459" s="4"/>
      <c r="W2459" s="4"/>
      <c r="X2459" s="4"/>
      <c r="Y2459" s="4"/>
      <c r="Z2459" s="4"/>
      <c r="AA2459" s="4"/>
      <c r="AB2459" s="4"/>
      <c r="AC2459" s="4"/>
      <c r="AD2459" s="4"/>
      <c r="AE2459" s="4"/>
      <c r="AF2459" s="4"/>
      <c r="AG2459" s="4"/>
      <c r="AH2459" s="4"/>
      <c r="AI2459" s="4"/>
      <c r="AJ2459" s="4"/>
      <c r="AK2459" s="4"/>
      <c r="AL2459" s="4"/>
      <c r="AM2459" s="4"/>
      <c r="AN2459" s="4"/>
      <c r="AO2459" s="4"/>
      <c r="AP2459" s="4"/>
      <c r="AQ2459" s="4"/>
      <c r="AR2459" s="4"/>
      <c r="AS2459" s="4"/>
      <c r="AT2459" s="4"/>
      <c r="AU2459" s="4"/>
      <c r="AV2459" s="4"/>
      <c r="AW2459" s="4"/>
      <c r="AX2459" s="4"/>
      <c r="AY2459" s="4"/>
      <c r="AZ2459" s="4"/>
      <c r="BA2459" s="4"/>
      <c r="BB2459" s="4"/>
      <c r="BC2459" s="4"/>
      <c r="BD2459" s="4"/>
      <c r="BE2459" s="4"/>
      <c r="BF2459" s="4"/>
      <c r="BG2459" s="4"/>
      <c r="BH2459" s="4"/>
      <c r="BI2459" s="4"/>
      <c r="BJ2459" s="4"/>
      <c r="BK2459" s="4"/>
      <c r="BL2459" s="4"/>
      <c r="BM2459" s="4"/>
      <c r="BN2459" s="4"/>
      <c r="BO2459" s="4"/>
      <c r="BP2459" s="4"/>
      <c r="BQ2459" s="4"/>
      <c r="BR2459" s="4"/>
      <c r="BS2459" s="4"/>
      <c r="BT2459" s="4"/>
      <c r="BU2459" s="4"/>
      <c r="BV2459" s="4"/>
      <c r="BW2459" s="4"/>
      <c r="BX2459" s="4"/>
      <c r="BY2459" s="4"/>
      <c r="BZ2459" s="4"/>
      <c r="CA2459" s="4"/>
      <c r="CB2459" s="4"/>
      <c r="CC2459" s="4"/>
      <c r="CD2459" s="4"/>
      <c r="CE2459" s="4"/>
      <c r="CF2459" s="4"/>
      <c r="CG2459" s="4"/>
      <c r="CH2459" s="4"/>
      <c r="CI2459" s="4"/>
      <c r="CJ2459" s="4"/>
      <c r="CK2459" s="4"/>
      <c r="CL2459" s="4"/>
      <c r="CM2459" s="4"/>
      <c r="CN2459" s="4"/>
      <c r="CO2459" s="4"/>
      <c r="CP2459" s="4"/>
      <c r="CQ2459" s="4"/>
      <c r="CR2459" s="4"/>
      <c r="CS2459" s="4"/>
      <c r="CT2459" s="4"/>
      <c r="CU2459" s="4"/>
      <c r="CV2459" s="4"/>
      <c r="CW2459" s="4"/>
      <c r="CX2459" s="4"/>
      <c r="CY2459" s="4"/>
      <c r="CZ2459" s="4"/>
      <c r="DA2459" s="4"/>
      <c r="DB2459" s="4"/>
      <c r="DC2459" s="4"/>
      <c r="DD2459" s="4"/>
      <c r="DE2459" s="4"/>
      <c r="DF2459" s="4"/>
      <c r="DG2459" s="4"/>
      <c r="DH2459" s="4"/>
      <c r="DI2459" s="4"/>
      <c r="DJ2459" s="4"/>
      <c r="DK2459" s="4"/>
      <c r="DL2459" s="4"/>
      <c r="DM2459" s="4"/>
      <c r="DN2459" s="4"/>
      <c r="DO2459" s="4"/>
      <c r="DP2459" s="4"/>
      <c r="DQ2459" s="4"/>
      <c r="DR2459" s="4"/>
      <c r="DS2459" s="4"/>
    </row>
    <row r="2460">
      <c r="A2460" s="4"/>
      <c r="B2460" s="4"/>
      <c r="C2460" s="4"/>
      <c r="D2460" s="4"/>
      <c r="E2460" s="4"/>
      <c r="F2460" s="4" t="s">
        <v>17</v>
      </c>
      <c r="G2460" s="15"/>
      <c r="H2460" s="4"/>
      <c r="I2460" s="4"/>
      <c r="J2460" s="4"/>
      <c r="K2460" s="4"/>
      <c r="L2460" s="4"/>
      <c r="M2460" s="4"/>
      <c r="N2460" s="4"/>
      <c r="O2460" s="4"/>
      <c r="P2460" s="4"/>
      <c r="Q2460" s="4"/>
      <c r="R2460" s="4"/>
      <c r="S2460" s="4"/>
      <c r="T2460" s="4"/>
      <c r="U2460" s="4"/>
      <c r="V2460" s="4"/>
      <c r="W2460" s="4"/>
      <c r="X2460" s="4"/>
      <c r="Y2460" s="4"/>
      <c r="Z2460" s="4"/>
      <c r="AA2460" s="4"/>
      <c r="AB2460" s="4"/>
      <c r="AC2460" s="4"/>
      <c r="AD2460" s="4"/>
      <c r="AE2460" s="4"/>
      <c r="AF2460" s="4"/>
      <c r="AG2460" s="4"/>
      <c r="AH2460" s="4"/>
      <c r="AI2460" s="4"/>
      <c r="AJ2460" s="4"/>
      <c r="AK2460" s="4"/>
      <c r="AL2460" s="4"/>
      <c r="AM2460" s="4"/>
      <c r="AN2460" s="4"/>
      <c r="AO2460" s="4"/>
      <c r="AP2460" s="4"/>
      <c r="AQ2460" s="4"/>
      <c r="AR2460" s="4"/>
      <c r="AS2460" s="4"/>
      <c r="AT2460" s="4"/>
      <c r="AU2460" s="4"/>
      <c r="AV2460" s="4"/>
      <c r="AW2460" s="4"/>
      <c r="AX2460" s="4"/>
      <c r="AY2460" s="4"/>
      <c r="AZ2460" s="4"/>
      <c r="BA2460" s="4"/>
      <c r="BB2460" s="4"/>
      <c r="BC2460" s="4"/>
      <c r="BD2460" s="4"/>
      <c r="BE2460" s="4"/>
      <c r="BF2460" s="4"/>
      <c r="BG2460" s="4"/>
      <c r="BH2460" s="4"/>
      <c r="BI2460" s="4"/>
      <c r="BJ2460" s="4"/>
      <c r="BK2460" s="4"/>
      <c r="BL2460" s="4"/>
      <c r="BM2460" s="4"/>
      <c r="BN2460" s="4"/>
      <c r="BO2460" s="4"/>
      <c r="BP2460" s="4"/>
      <c r="BQ2460" s="4"/>
      <c r="BR2460" s="4"/>
      <c r="BS2460" s="4"/>
      <c r="BT2460" s="4"/>
      <c r="BU2460" s="4"/>
      <c r="BV2460" s="4"/>
      <c r="BW2460" s="4"/>
      <c r="BX2460" s="4"/>
      <c r="BY2460" s="4"/>
      <c r="BZ2460" s="4"/>
      <c r="CA2460" s="4"/>
      <c r="CB2460" s="4"/>
      <c r="CC2460" s="4"/>
      <c r="CD2460" s="4"/>
      <c r="CE2460" s="4"/>
      <c r="CF2460" s="4"/>
      <c r="CG2460" s="4"/>
      <c r="CH2460" s="4"/>
      <c r="CI2460" s="4"/>
      <c r="CJ2460" s="4"/>
      <c r="CK2460" s="4"/>
      <c r="CL2460" s="4"/>
      <c r="CM2460" s="4"/>
      <c r="CN2460" s="4"/>
      <c r="CO2460" s="4"/>
      <c r="CP2460" s="4"/>
      <c r="CQ2460" s="4"/>
      <c r="CR2460" s="4"/>
      <c r="CS2460" s="4"/>
      <c r="CT2460" s="4"/>
      <c r="CU2460" s="4"/>
      <c r="CV2460" s="4"/>
      <c r="CW2460" s="4"/>
      <c r="CX2460" s="4"/>
      <c r="CY2460" s="4"/>
      <c r="CZ2460" s="4"/>
      <c r="DA2460" s="4"/>
      <c r="DB2460" s="4"/>
      <c r="DC2460" s="4"/>
      <c r="DD2460" s="4"/>
      <c r="DE2460" s="4"/>
      <c r="DF2460" s="4"/>
      <c r="DG2460" s="4"/>
      <c r="DH2460" s="4"/>
      <c r="DI2460" s="4"/>
      <c r="DJ2460" s="4"/>
      <c r="DK2460" s="4"/>
      <c r="DL2460" s="4"/>
      <c r="DM2460" s="4"/>
      <c r="DN2460" s="4"/>
      <c r="DO2460" s="4"/>
      <c r="DP2460" s="4"/>
      <c r="DQ2460" s="4"/>
      <c r="DR2460" s="4"/>
      <c r="DS2460" s="4"/>
    </row>
    <row r="2461">
      <c r="A2461" s="4"/>
      <c r="B2461" s="4"/>
      <c r="C2461" s="4"/>
      <c r="D2461" s="4"/>
      <c r="E2461" s="4"/>
      <c r="F2461" s="4" t="s">
        <v>17</v>
      </c>
      <c r="G2461" s="15"/>
      <c r="H2461" s="4"/>
      <c r="I2461" s="4"/>
      <c r="J2461" s="4"/>
      <c r="K2461" s="4"/>
      <c r="L2461" s="4"/>
      <c r="M2461" s="4"/>
      <c r="N2461" s="4"/>
      <c r="O2461" s="4"/>
      <c r="P2461" s="4"/>
      <c r="Q2461" s="4"/>
      <c r="R2461" s="4"/>
      <c r="S2461" s="4"/>
      <c r="T2461" s="4"/>
      <c r="U2461" s="4"/>
      <c r="V2461" s="4"/>
      <c r="W2461" s="4"/>
      <c r="X2461" s="4"/>
      <c r="Y2461" s="4"/>
      <c r="Z2461" s="4"/>
      <c r="AA2461" s="4"/>
      <c r="AB2461" s="4"/>
      <c r="AC2461" s="4"/>
      <c r="AD2461" s="4"/>
      <c r="AE2461" s="4"/>
      <c r="AF2461" s="4"/>
      <c r="AG2461" s="4"/>
      <c r="AH2461" s="4"/>
      <c r="AI2461" s="4"/>
      <c r="AJ2461" s="4"/>
      <c r="AK2461" s="4"/>
      <c r="AL2461" s="4"/>
      <c r="AM2461" s="4"/>
      <c r="AN2461" s="4"/>
      <c r="AO2461" s="4"/>
      <c r="AP2461" s="4"/>
      <c r="AQ2461" s="4"/>
      <c r="AR2461" s="4"/>
      <c r="AS2461" s="4"/>
      <c r="AT2461" s="4"/>
      <c r="AU2461" s="4"/>
      <c r="AV2461" s="4"/>
      <c r="AW2461" s="4"/>
      <c r="AX2461" s="4"/>
      <c r="AY2461" s="4"/>
      <c r="AZ2461" s="4"/>
      <c r="BA2461" s="4"/>
      <c r="BB2461" s="4"/>
      <c r="BC2461" s="4"/>
      <c r="BD2461" s="4"/>
      <c r="BE2461" s="4"/>
      <c r="BF2461" s="4"/>
      <c r="BG2461" s="4"/>
      <c r="BH2461" s="4"/>
      <c r="BI2461" s="4"/>
      <c r="BJ2461" s="4"/>
      <c r="BK2461" s="4"/>
      <c r="BL2461" s="4"/>
      <c r="BM2461" s="4"/>
      <c r="BN2461" s="4"/>
      <c r="BO2461" s="4"/>
      <c r="BP2461" s="4"/>
      <c r="BQ2461" s="4"/>
      <c r="BR2461" s="4"/>
      <c r="BS2461" s="4"/>
      <c r="BT2461" s="4"/>
      <c r="BU2461" s="4"/>
      <c r="BV2461" s="4"/>
      <c r="BW2461" s="4"/>
      <c r="BX2461" s="4"/>
      <c r="BY2461" s="4"/>
      <c r="BZ2461" s="4"/>
      <c r="CA2461" s="4"/>
      <c r="CB2461" s="4"/>
      <c r="CC2461" s="4"/>
      <c r="CD2461" s="4"/>
      <c r="CE2461" s="4"/>
      <c r="CF2461" s="4"/>
      <c r="CG2461" s="4"/>
      <c r="CH2461" s="4"/>
      <c r="CI2461" s="4"/>
      <c r="CJ2461" s="4"/>
      <c r="CK2461" s="4"/>
      <c r="CL2461" s="4"/>
      <c r="CM2461" s="4"/>
      <c r="CN2461" s="4"/>
      <c r="CO2461" s="4"/>
      <c r="CP2461" s="4"/>
      <c r="CQ2461" s="4"/>
      <c r="CR2461" s="4"/>
      <c r="CS2461" s="4"/>
      <c r="CT2461" s="4"/>
      <c r="CU2461" s="4"/>
      <c r="CV2461" s="4"/>
      <c r="CW2461" s="4"/>
      <c r="CX2461" s="4"/>
      <c r="CY2461" s="4"/>
      <c r="CZ2461" s="4"/>
      <c r="DA2461" s="4"/>
      <c r="DB2461" s="4"/>
      <c r="DC2461" s="4"/>
      <c r="DD2461" s="4"/>
      <c r="DE2461" s="4"/>
      <c r="DF2461" s="4"/>
      <c r="DG2461" s="4"/>
      <c r="DH2461" s="4"/>
      <c r="DI2461" s="4"/>
      <c r="DJ2461" s="4"/>
      <c r="DK2461" s="4"/>
      <c r="DL2461" s="4"/>
      <c r="DM2461" s="4"/>
      <c r="DN2461" s="4"/>
      <c r="DO2461" s="4"/>
      <c r="DP2461" s="4"/>
      <c r="DQ2461" s="4"/>
      <c r="DR2461" s="4"/>
      <c r="DS2461" s="4"/>
    </row>
    <row r="2462">
      <c r="A2462" s="4"/>
      <c r="B2462" s="4"/>
      <c r="C2462" s="4"/>
      <c r="D2462" s="4"/>
      <c r="E2462" s="4"/>
      <c r="F2462" s="4" t="s">
        <v>17</v>
      </c>
      <c r="G2462" s="15"/>
      <c r="H2462" s="4"/>
      <c r="I2462" s="4"/>
      <c r="J2462" s="4"/>
      <c r="K2462" s="4"/>
      <c r="L2462" s="4"/>
      <c r="M2462" s="4"/>
      <c r="N2462" s="4"/>
      <c r="O2462" s="4"/>
      <c r="P2462" s="4"/>
      <c r="Q2462" s="4"/>
      <c r="R2462" s="4"/>
      <c r="S2462" s="4"/>
      <c r="T2462" s="4"/>
      <c r="U2462" s="4"/>
      <c r="V2462" s="4"/>
      <c r="W2462" s="4"/>
      <c r="X2462" s="4"/>
      <c r="Y2462" s="4"/>
      <c r="Z2462" s="4"/>
      <c r="AA2462" s="4"/>
      <c r="AB2462" s="4"/>
      <c r="AC2462" s="4"/>
      <c r="AD2462" s="4"/>
      <c r="AE2462" s="4"/>
      <c r="AF2462" s="4"/>
      <c r="AG2462" s="4"/>
      <c r="AH2462" s="4"/>
      <c r="AI2462" s="4"/>
      <c r="AJ2462" s="4"/>
      <c r="AK2462" s="4"/>
      <c r="AL2462" s="4"/>
      <c r="AM2462" s="4"/>
      <c r="AN2462" s="4"/>
      <c r="AO2462" s="4"/>
      <c r="AP2462" s="4"/>
      <c r="AQ2462" s="4"/>
      <c r="AR2462" s="4"/>
      <c r="AS2462" s="4"/>
      <c r="AT2462" s="4"/>
      <c r="AU2462" s="4"/>
      <c r="AV2462" s="4"/>
      <c r="AW2462" s="4"/>
      <c r="AX2462" s="4"/>
      <c r="AY2462" s="4"/>
      <c r="AZ2462" s="4"/>
      <c r="BA2462" s="4"/>
      <c r="BB2462" s="4"/>
      <c r="BC2462" s="4"/>
      <c r="BD2462" s="4"/>
      <c r="BE2462" s="4"/>
      <c r="BF2462" s="4"/>
      <c r="BG2462" s="4"/>
      <c r="BH2462" s="4"/>
      <c r="BI2462" s="4"/>
      <c r="BJ2462" s="4"/>
      <c r="BK2462" s="4"/>
      <c r="BL2462" s="4"/>
      <c r="BM2462" s="4"/>
      <c r="BN2462" s="4"/>
      <c r="BO2462" s="4"/>
      <c r="BP2462" s="4"/>
      <c r="BQ2462" s="4"/>
      <c r="BR2462" s="4"/>
      <c r="BS2462" s="4"/>
      <c r="BT2462" s="4"/>
      <c r="BU2462" s="4"/>
      <c r="BV2462" s="4"/>
      <c r="BW2462" s="4"/>
      <c r="BX2462" s="4"/>
      <c r="BY2462" s="4"/>
      <c r="BZ2462" s="4"/>
      <c r="CA2462" s="4"/>
      <c r="CB2462" s="4"/>
      <c r="CC2462" s="4"/>
      <c r="CD2462" s="4"/>
      <c r="CE2462" s="4"/>
      <c r="CF2462" s="4"/>
      <c r="CG2462" s="4"/>
      <c r="CH2462" s="4"/>
      <c r="CI2462" s="4"/>
      <c r="CJ2462" s="4"/>
      <c r="CK2462" s="4"/>
      <c r="CL2462" s="4"/>
      <c r="CM2462" s="4"/>
      <c r="CN2462" s="4"/>
      <c r="CO2462" s="4"/>
      <c r="CP2462" s="4"/>
      <c r="CQ2462" s="4"/>
      <c r="CR2462" s="4"/>
      <c r="CS2462" s="4"/>
      <c r="CT2462" s="4"/>
      <c r="CU2462" s="4"/>
      <c r="CV2462" s="4"/>
      <c r="CW2462" s="4"/>
      <c r="CX2462" s="4"/>
      <c r="CY2462" s="4"/>
      <c r="CZ2462" s="4"/>
      <c r="DA2462" s="4"/>
      <c r="DB2462" s="4"/>
      <c r="DC2462" s="4"/>
      <c r="DD2462" s="4"/>
      <c r="DE2462" s="4"/>
      <c r="DF2462" s="4"/>
      <c r="DG2462" s="4"/>
      <c r="DH2462" s="4"/>
      <c r="DI2462" s="4"/>
      <c r="DJ2462" s="4"/>
      <c r="DK2462" s="4"/>
      <c r="DL2462" s="4"/>
      <c r="DM2462" s="4"/>
      <c r="DN2462" s="4"/>
      <c r="DO2462" s="4"/>
      <c r="DP2462" s="4"/>
      <c r="DQ2462" s="4"/>
      <c r="DR2462" s="4"/>
      <c r="DS2462" s="4"/>
    </row>
    <row r="2463">
      <c r="A2463" s="4"/>
      <c r="B2463" s="4"/>
      <c r="C2463" s="4"/>
      <c r="D2463" s="4"/>
      <c r="E2463" s="4"/>
      <c r="F2463" s="4" t="s">
        <v>17</v>
      </c>
      <c r="G2463" s="15"/>
      <c r="H2463" s="4"/>
      <c r="I2463" s="4"/>
      <c r="J2463" s="4"/>
      <c r="K2463" s="4"/>
      <c r="L2463" s="4"/>
      <c r="M2463" s="4"/>
      <c r="N2463" s="4"/>
      <c r="O2463" s="4"/>
      <c r="P2463" s="4"/>
      <c r="Q2463" s="4"/>
      <c r="R2463" s="4"/>
      <c r="S2463" s="4"/>
      <c r="T2463" s="4"/>
      <c r="U2463" s="4"/>
      <c r="V2463" s="4"/>
      <c r="W2463" s="4"/>
      <c r="X2463" s="4"/>
      <c r="Y2463" s="4"/>
      <c r="Z2463" s="4"/>
      <c r="AA2463" s="4"/>
      <c r="AB2463" s="4"/>
      <c r="AC2463" s="4"/>
      <c r="AD2463" s="4"/>
      <c r="AE2463" s="4"/>
      <c r="AF2463" s="4"/>
      <c r="AG2463" s="4"/>
      <c r="AH2463" s="4"/>
      <c r="AI2463" s="4"/>
      <c r="AJ2463" s="4"/>
      <c r="AK2463" s="4"/>
      <c r="AL2463" s="4"/>
      <c r="AM2463" s="4"/>
      <c r="AN2463" s="4"/>
      <c r="AO2463" s="4"/>
      <c r="AP2463" s="4"/>
      <c r="AQ2463" s="4"/>
      <c r="AR2463" s="4"/>
      <c r="AS2463" s="4"/>
      <c r="AT2463" s="4"/>
      <c r="AU2463" s="4"/>
      <c r="AV2463" s="4"/>
      <c r="AW2463" s="4"/>
      <c r="AX2463" s="4"/>
      <c r="AY2463" s="4"/>
      <c r="AZ2463" s="4"/>
      <c r="BA2463" s="4"/>
      <c r="BB2463" s="4"/>
      <c r="BC2463" s="4"/>
      <c r="BD2463" s="4"/>
      <c r="BE2463" s="4"/>
      <c r="BF2463" s="4"/>
      <c r="BG2463" s="4"/>
      <c r="BH2463" s="4"/>
      <c r="BI2463" s="4"/>
      <c r="BJ2463" s="4"/>
      <c r="BK2463" s="4"/>
      <c r="BL2463" s="4"/>
      <c r="BM2463" s="4"/>
      <c r="BN2463" s="4"/>
      <c r="BO2463" s="4"/>
      <c r="BP2463" s="4"/>
      <c r="BQ2463" s="4"/>
      <c r="BR2463" s="4"/>
      <c r="BS2463" s="4"/>
      <c r="BT2463" s="4"/>
      <c r="BU2463" s="4"/>
      <c r="BV2463" s="4"/>
      <c r="BW2463" s="4"/>
      <c r="BX2463" s="4"/>
      <c r="BY2463" s="4"/>
      <c r="BZ2463" s="4"/>
      <c r="CA2463" s="4"/>
      <c r="CB2463" s="4"/>
      <c r="CC2463" s="4"/>
      <c r="CD2463" s="4"/>
      <c r="CE2463" s="4"/>
      <c r="CF2463" s="4"/>
      <c r="CG2463" s="4"/>
      <c r="CH2463" s="4"/>
      <c r="CI2463" s="4"/>
      <c r="CJ2463" s="4"/>
      <c r="CK2463" s="4"/>
      <c r="CL2463" s="4"/>
      <c r="CM2463" s="4"/>
      <c r="CN2463" s="4"/>
      <c r="CO2463" s="4"/>
      <c r="CP2463" s="4"/>
      <c r="CQ2463" s="4"/>
      <c r="CR2463" s="4"/>
      <c r="CS2463" s="4"/>
      <c r="CT2463" s="4"/>
      <c r="CU2463" s="4"/>
      <c r="CV2463" s="4"/>
      <c r="CW2463" s="4"/>
      <c r="CX2463" s="4"/>
      <c r="CY2463" s="4"/>
      <c r="CZ2463" s="4"/>
      <c r="DA2463" s="4"/>
      <c r="DB2463" s="4"/>
      <c r="DC2463" s="4"/>
      <c r="DD2463" s="4"/>
      <c r="DE2463" s="4"/>
      <c r="DF2463" s="4"/>
      <c r="DG2463" s="4"/>
      <c r="DH2463" s="4"/>
      <c r="DI2463" s="4"/>
      <c r="DJ2463" s="4"/>
      <c r="DK2463" s="4"/>
      <c r="DL2463" s="4"/>
      <c r="DM2463" s="4"/>
      <c r="DN2463" s="4"/>
      <c r="DO2463" s="4"/>
      <c r="DP2463" s="4"/>
      <c r="DQ2463" s="4"/>
      <c r="DR2463" s="4"/>
      <c r="DS2463" s="4"/>
    </row>
    <row r="2464">
      <c r="A2464" s="4"/>
      <c r="B2464" s="4"/>
      <c r="C2464" s="4"/>
      <c r="D2464" s="4"/>
      <c r="E2464" s="4"/>
      <c r="F2464" s="4" t="s">
        <v>17</v>
      </c>
      <c r="G2464" s="15"/>
      <c r="H2464" s="4"/>
      <c r="I2464" s="4"/>
      <c r="J2464" s="4"/>
      <c r="K2464" s="4"/>
      <c r="L2464" s="4"/>
      <c r="M2464" s="4"/>
      <c r="N2464" s="4"/>
      <c r="O2464" s="4"/>
      <c r="P2464" s="4"/>
      <c r="Q2464" s="4"/>
      <c r="R2464" s="4"/>
      <c r="S2464" s="4"/>
      <c r="T2464" s="4"/>
      <c r="U2464" s="4"/>
      <c r="V2464" s="4"/>
      <c r="W2464" s="4"/>
      <c r="X2464" s="4"/>
      <c r="Y2464" s="4"/>
      <c r="Z2464" s="4"/>
      <c r="AA2464" s="4"/>
      <c r="AB2464" s="4"/>
      <c r="AC2464" s="4"/>
      <c r="AD2464" s="4"/>
      <c r="AE2464" s="4"/>
      <c r="AF2464" s="4"/>
      <c r="AG2464" s="4"/>
      <c r="AH2464" s="4"/>
      <c r="AI2464" s="4"/>
      <c r="AJ2464" s="4"/>
      <c r="AK2464" s="4"/>
      <c r="AL2464" s="4"/>
      <c r="AM2464" s="4"/>
      <c r="AN2464" s="4"/>
      <c r="AO2464" s="4"/>
      <c r="AP2464" s="4"/>
      <c r="AQ2464" s="4"/>
      <c r="AR2464" s="4"/>
      <c r="AS2464" s="4"/>
      <c r="AT2464" s="4"/>
      <c r="AU2464" s="4"/>
      <c r="AV2464" s="4"/>
      <c r="AW2464" s="4"/>
      <c r="AX2464" s="4"/>
      <c r="AY2464" s="4"/>
      <c r="AZ2464" s="4"/>
      <c r="BA2464" s="4"/>
      <c r="BB2464" s="4"/>
      <c r="BC2464" s="4"/>
      <c r="BD2464" s="4"/>
      <c r="BE2464" s="4"/>
      <c r="BF2464" s="4"/>
      <c r="BG2464" s="4"/>
      <c r="BH2464" s="4"/>
      <c r="BI2464" s="4"/>
      <c r="BJ2464" s="4"/>
      <c r="BK2464" s="4"/>
      <c r="BL2464" s="4"/>
      <c r="BM2464" s="4"/>
      <c r="BN2464" s="4"/>
      <c r="BO2464" s="4"/>
      <c r="BP2464" s="4"/>
      <c r="BQ2464" s="4"/>
      <c r="BR2464" s="4"/>
      <c r="BS2464" s="4"/>
      <c r="BT2464" s="4"/>
      <c r="BU2464" s="4"/>
      <c r="BV2464" s="4"/>
      <c r="BW2464" s="4"/>
      <c r="BX2464" s="4"/>
      <c r="BY2464" s="4"/>
      <c r="BZ2464" s="4"/>
      <c r="CA2464" s="4"/>
      <c r="CB2464" s="4"/>
      <c r="CC2464" s="4"/>
      <c r="CD2464" s="4"/>
      <c r="CE2464" s="4"/>
      <c r="CF2464" s="4"/>
      <c r="CG2464" s="4"/>
      <c r="CH2464" s="4"/>
      <c r="CI2464" s="4"/>
      <c r="CJ2464" s="4"/>
      <c r="CK2464" s="4"/>
      <c r="CL2464" s="4"/>
      <c r="CM2464" s="4"/>
      <c r="CN2464" s="4"/>
      <c r="CO2464" s="4"/>
      <c r="CP2464" s="4"/>
      <c r="CQ2464" s="4"/>
      <c r="CR2464" s="4"/>
      <c r="CS2464" s="4"/>
      <c r="CT2464" s="4"/>
      <c r="CU2464" s="4"/>
      <c r="CV2464" s="4"/>
      <c r="CW2464" s="4"/>
      <c r="CX2464" s="4"/>
      <c r="CY2464" s="4"/>
      <c r="CZ2464" s="4"/>
      <c r="DA2464" s="4"/>
      <c r="DB2464" s="4"/>
      <c r="DC2464" s="4"/>
      <c r="DD2464" s="4"/>
      <c r="DE2464" s="4"/>
      <c r="DF2464" s="4"/>
      <c r="DG2464" s="4"/>
      <c r="DH2464" s="4"/>
      <c r="DI2464" s="4"/>
      <c r="DJ2464" s="4"/>
      <c r="DK2464" s="4"/>
      <c r="DL2464" s="4"/>
      <c r="DM2464" s="4"/>
      <c r="DN2464" s="4"/>
      <c r="DO2464" s="4"/>
      <c r="DP2464" s="4"/>
      <c r="DQ2464" s="4"/>
      <c r="DR2464" s="4"/>
      <c r="DS2464" s="4"/>
    </row>
    <row r="2465">
      <c r="A2465" s="4"/>
      <c r="B2465" s="4"/>
      <c r="C2465" s="4"/>
      <c r="D2465" s="4"/>
      <c r="E2465" s="4"/>
      <c r="F2465" s="4" t="s">
        <v>17</v>
      </c>
      <c r="G2465" s="15"/>
      <c r="H2465" s="4"/>
      <c r="I2465" s="4"/>
      <c r="J2465" s="4"/>
      <c r="K2465" s="4"/>
      <c r="L2465" s="4"/>
      <c r="M2465" s="4"/>
      <c r="N2465" s="4"/>
      <c r="O2465" s="4"/>
      <c r="P2465" s="4"/>
      <c r="Q2465" s="4"/>
      <c r="R2465" s="4"/>
      <c r="S2465" s="4"/>
      <c r="T2465" s="4"/>
      <c r="U2465" s="4"/>
      <c r="V2465" s="4"/>
      <c r="W2465" s="4"/>
      <c r="X2465" s="4"/>
      <c r="Y2465" s="4"/>
      <c r="Z2465" s="4"/>
      <c r="AA2465" s="4"/>
      <c r="AB2465" s="4"/>
      <c r="AC2465" s="4"/>
      <c r="AD2465" s="4"/>
      <c r="AE2465" s="4"/>
      <c r="AF2465" s="4"/>
      <c r="AG2465" s="4"/>
      <c r="AH2465" s="4"/>
      <c r="AI2465" s="4"/>
      <c r="AJ2465" s="4"/>
      <c r="AK2465" s="4"/>
      <c r="AL2465" s="4"/>
      <c r="AM2465" s="4"/>
      <c r="AN2465" s="4"/>
      <c r="AO2465" s="4"/>
      <c r="AP2465" s="4"/>
      <c r="AQ2465" s="4"/>
      <c r="AR2465" s="4"/>
      <c r="AS2465" s="4"/>
      <c r="AT2465" s="4"/>
      <c r="AU2465" s="4"/>
      <c r="AV2465" s="4"/>
      <c r="AW2465" s="4"/>
      <c r="AX2465" s="4"/>
      <c r="AY2465" s="4"/>
      <c r="AZ2465" s="4"/>
      <c r="BA2465" s="4"/>
      <c r="BB2465" s="4"/>
      <c r="BC2465" s="4"/>
      <c r="BD2465" s="4"/>
      <c r="BE2465" s="4"/>
      <c r="BF2465" s="4"/>
      <c r="BG2465" s="4"/>
      <c r="BH2465" s="4"/>
      <c r="BI2465" s="4"/>
      <c r="BJ2465" s="4"/>
      <c r="BK2465" s="4"/>
      <c r="BL2465" s="4"/>
      <c r="BM2465" s="4"/>
      <c r="BN2465" s="4"/>
      <c r="BO2465" s="4"/>
      <c r="BP2465" s="4"/>
      <c r="BQ2465" s="4"/>
      <c r="BR2465" s="4"/>
      <c r="BS2465" s="4"/>
      <c r="BT2465" s="4"/>
      <c r="BU2465" s="4"/>
      <c r="BV2465" s="4"/>
      <c r="BW2465" s="4"/>
      <c r="BX2465" s="4"/>
      <c r="BY2465" s="4"/>
      <c r="BZ2465" s="4"/>
      <c r="CA2465" s="4"/>
      <c r="CB2465" s="4"/>
      <c r="CC2465" s="4"/>
      <c r="CD2465" s="4"/>
      <c r="CE2465" s="4"/>
      <c r="CF2465" s="4"/>
      <c r="CG2465" s="4"/>
      <c r="CH2465" s="4"/>
      <c r="CI2465" s="4"/>
      <c r="CJ2465" s="4"/>
      <c r="CK2465" s="4"/>
      <c r="CL2465" s="4"/>
      <c r="CM2465" s="4"/>
      <c r="CN2465" s="4"/>
      <c r="CO2465" s="4"/>
      <c r="CP2465" s="4"/>
      <c r="CQ2465" s="4"/>
      <c r="CR2465" s="4"/>
      <c r="CS2465" s="4"/>
      <c r="CT2465" s="4"/>
      <c r="CU2465" s="4"/>
      <c r="CV2465" s="4"/>
      <c r="CW2465" s="4"/>
      <c r="CX2465" s="4"/>
      <c r="CY2465" s="4"/>
      <c r="CZ2465" s="4"/>
      <c r="DA2465" s="4"/>
      <c r="DB2465" s="4"/>
      <c r="DC2465" s="4"/>
      <c r="DD2465" s="4"/>
      <c r="DE2465" s="4"/>
      <c r="DF2465" s="4"/>
      <c r="DG2465" s="4"/>
      <c r="DH2465" s="4"/>
      <c r="DI2465" s="4"/>
      <c r="DJ2465" s="4"/>
      <c r="DK2465" s="4"/>
      <c r="DL2465" s="4"/>
      <c r="DM2465" s="4"/>
      <c r="DN2465" s="4"/>
      <c r="DO2465" s="4"/>
      <c r="DP2465" s="4"/>
      <c r="DQ2465" s="4"/>
      <c r="DR2465" s="4"/>
      <c r="DS2465" s="4"/>
    </row>
    <row r="2466">
      <c r="A2466" s="4"/>
      <c r="B2466" s="4"/>
      <c r="C2466" s="4"/>
      <c r="D2466" s="4"/>
      <c r="E2466" s="4"/>
      <c r="F2466" s="4" t="s">
        <v>17</v>
      </c>
      <c r="G2466" s="15"/>
      <c r="H2466" s="4"/>
      <c r="I2466" s="4"/>
      <c r="J2466" s="4"/>
      <c r="K2466" s="4"/>
      <c r="L2466" s="4"/>
      <c r="M2466" s="4"/>
      <c r="N2466" s="4"/>
      <c r="O2466" s="4"/>
      <c r="P2466" s="4"/>
      <c r="Q2466" s="4"/>
      <c r="R2466" s="4"/>
      <c r="S2466" s="4"/>
      <c r="T2466" s="4"/>
      <c r="U2466" s="4"/>
      <c r="V2466" s="4"/>
      <c r="W2466" s="4"/>
      <c r="X2466" s="4"/>
      <c r="Y2466" s="4"/>
      <c r="Z2466" s="4"/>
      <c r="AA2466" s="4"/>
      <c r="AB2466" s="4"/>
      <c r="AC2466" s="4"/>
      <c r="AD2466" s="4"/>
      <c r="AE2466" s="4"/>
      <c r="AF2466" s="4"/>
      <c r="AG2466" s="4"/>
      <c r="AH2466" s="4"/>
      <c r="AI2466" s="4"/>
      <c r="AJ2466" s="4"/>
      <c r="AK2466" s="4"/>
      <c r="AL2466" s="4"/>
      <c r="AM2466" s="4"/>
      <c r="AN2466" s="4"/>
      <c r="AO2466" s="4"/>
      <c r="AP2466" s="4"/>
      <c r="AQ2466" s="4"/>
      <c r="AR2466" s="4"/>
      <c r="AS2466" s="4"/>
      <c r="AT2466" s="4"/>
      <c r="AU2466" s="4"/>
      <c r="AV2466" s="4"/>
      <c r="AW2466" s="4"/>
      <c r="AX2466" s="4"/>
      <c r="AY2466" s="4"/>
      <c r="AZ2466" s="4"/>
      <c r="BA2466" s="4"/>
      <c r="BB2466" s="4"/>
      <c r="BC2466" s="4"/>
      <c r="BD2466" s="4"/>
      <c r="BE2466" s="4"/>
      <c r="BF2466" s="4"/>
      <c r="BG2466" s="4"/>
      <c r="BH2466" s="4"/>
      <c r="BI2466" s="4"/>
      <c r="BJ2466" s="4"/>
      <c r="BK2466" s="4"/>
      <c r="BL2466" s="4"/>
      <c r="BM2466" s="4"/>
      <c r="BN2466" s="4"/>
      <c r="BO2466" s="4"/>
      <c r="BP2466" s="4"/>
      <c r="BQ2466" s="4"/>
      <c r="BR2466" s="4"/>
      <c r="BS2466" s="4"/>
      <c r="BT2466" s="4"/>
      <c r="BU2466" s="4"/>
      <c r="BV2466" s="4"/>
      <c r="BW2466" s="4"/>
      <c r="BX2466" s="4"/>
      <c r="BY2466" s="4"/>
      <c r="BZ2466" s="4"/>
      <c r="CA2466" s="4"/>
      <c r="CB2466" s="4"/>
      <c r="CC2466" s="4"/>
      <c r="CD2466" s="4"/>
      <c r="CE2466" s="4"/>
      <c r="CF2466" s="4"/>
      <c r="CG2466" s="4"/>
      <c r="CH2466" s="4"/>
      <c r="CI2466" s="4"/>
      <c r="CJ2466" s="4"/>
      <c r="CK2466" s="4"/>
      <c r="CL2466" s="4"/>
      <c r="CM2466" s="4"/>
      <c r="CN2466" s="4"/>
      <c r="CO2466" s="4"/>
      <c r="CP2466" s="4"/>
      <c r="CQ2466" s="4"/>
      <c r="CR2466" s="4"/>
      <c r="CS2466" s="4"/>
      <c r="CT2466" s="4"/>
      <c r="CU2466" s="4"/>
      <c r="CV2466" s="4"/>
      <c r="CW2466" s="4"/>
      <c r="CX2466" s="4"/>
      <c r="CY2466" s="4"/>
      <c r="CZ2466" s="4"/>
      <c r="DA2466" s="4"/>
      <c r="DB2466" s="4"/>
      <c r="DC2466" s="4"/>
      <c r="DD2466" s="4"/>
      <c r="DE2466" s="4"/>
      <c r="DF2466" s="4"/>
      <c r="DG2466" s="4"/>
      <c r="DH2466" s="4"/>
      <c r="DI2466" s="4"/>
      <c r="DJ2466" s="4"/>
      <c r="DK2466" s="4"/>
      <c r="DL2466" s="4"/>
      <c r="DM2466" s="4"/>
      <c r="DN2466" s="4"/>
      <c r="DO2466" s="4"/>
      <c r="DP2466" s="4"/>
      <c r="DQ2466" s="4"/>
      <c r="DR2466" s="4"/>
      <c r="DS2466" s="4"/>
    </row>
    <row r="2467">
      <c r="A2467" s="4"/>
      <c r="B2467" s="4"/>
      <c r="C2467" s="4"/>
      <c r="D2467" s="4"/>
      <c r="E2467" s="4"/>
      <c r="F2467" s="4" t="s">
        <v>17</v>
      </c>
      <c r="G2467" s="15"/>
      <c r="H2467" s="4"/>
      <c r="I2467" s="4"/>
      <c r="J2467" s="4"/>
      <c r="K2467" s="4"/>
      <c r="L2467" s="4"/>
      <c r="M2467" s="4"/>
      <c r="N2467" s="4"/>
      <c r="O2467" s="4"/>
      <c r="P2467" s="4"/>
      <c r="Q2467" s="4"/>
      <c r="R2467" s="4"/>
      <c r="S2467" s="4"/>
      <c r="T2467" s="4"/>
      <c r="U2467" s="4"/>
      <c r="V2467" s="4"/>
      <c r="W2467" s="4"/>
      <c r="X2467" s="4"/>
      <c r="Y2467" s="4"/>
      <c r="Z2467" s="4"/>
      <c r="AA2467" s="4"/>
      <c r="AB2467" s="4"/>
      <c r="AC2467" s="4"/>
      <c r="AD2467" s="4"/>
      <c r="AE2467" s="4"/>
      <c r="AF2467" s="4"/>
      <c r="AG2467" s="4"/>
      <c r="AH2467" s="4"/>
      <c r="AI2467" s="4"/>
      <c r="AJ2467" s="4"/>
      <c r="AK2467" s="4"/>
      <c r="AL2467" s="4"/>
      <c r="AM2467" s="4"/>
      <c r="AN2467" s="4"/>
      <c r="AO2467" s="4"/>
      <c r="AP2467" s="4"/>
      <c r="AQ2467" s="4"/>
      <c r="AR2467" s="4"/>
      <c r="AS2467" s="4"/>
      <c r="AT2467" s="4"/>
      <c r="AU2467" s="4"/>
      <c r="AV2467" s="4"/>
      <c r="AW2467" s="4"/>
      <c r="AX2467" s="4"/>
      <c r="AY2467" s="4"/>
      <c r="AZ2467" s="4"/>
      <c r="BA2467" s="4"/>
      <c r="BB2467" s="4"/>
      <c r="BC2467" s="4"/>
      <c r="BD2467" s="4"/>
      <c r="BE2467" s="4"/>
      <c r="BF2467" s="4"/>
      <c r="BG2467" s="4"/>
      <c r="BH2467" s="4"/>
      <c r="BI2467" s="4"/>
      <c r="BJ2467" s="4"/>
      <c r="BK2467" s="4"/>
      <c r="BL2467" s="4"/>
      <c r="BM2467" s="4"/>
      <c r="BN2467" s="4"/>
      <c r="BO2467" s="4"/>
      <c r="BP2467" s="4"/>
      <c r="BQ2467" s="4"/>
      <c r="BR2467" s="4"/>
      <c r="BS2467" s="4"/>
      <c r="BT2467" s="4"/>
      <c r="BU2467" s="4"/>
      <c r="BV2467" s="4"/>
      <c r="BW2467" s="4"/>
      <c r="BX2467" s="4"/>
      <c r="BY2467" s="4"/>
      <c r="BZ2467" s="4"/>
      <c r="CA2467" s="4"/>
      <c r="CB2467" s="4"/>
      <c r="CC2467" s="4"/>
      <c r="CD2467" s="4"/>
      <c r="CE2467" s="4"/>
      <c r="CF2467" s="4"/>
      <c r="CG2467" s="4"/>
      <c r="CH2467" s="4"/>
      <c r="CI2467" s="4"/>
      <c r="CJ2467" s="4"/>
      <c r="CK2467" s="4"/>
      <c r="CL2467" s="4"/>
      <c r="CM2467" s="4"/>
      <c r="CN2467" s="4"/>
      <c r="CO2467" s="4"/>
      <c r="CP2467" s="4"/>
      <c r="CQ2467" s="4"/>
      <c r="CR2467" s="4"/>
      <c r="CS2467" s="4"/>
      <c r="CT2467" s="4"/>
      <c r="CU2467" s="4"/>
      <c r="CV2467" s="4"/>
      <c r="CW2467" s="4"/>
      <c r="CX2467" s="4"/>
      <c r="CY2467" s="4"/>
      <c r="CZ2467" s="4"/>
      <c r="DA2467" s="4"/>
      <c r="DB2467" s="4"/>
      <c r="DC2467" s="4"/>
      <c r="DD2467" s="4"/>
      <c r="DE2467" s="4"/>
      <c r="DF2467" s="4"/>
      <c r="DG2467" s="4"/>
      <c r="DH2467" s="4"/>
      <c r="DI2467" s="4"/>
      <c r="DJ2467" s="4"/>
      <c r="DK2467" s="4"/>
      <c r="DL2467" s="4"/>
      <c r="DM2467" s="4"/>
      <c r="DN2467" s="4"/>
      <c r="DO2467" s="4"/>
      <c r="DP2467" s="4"/>
      <c r="DQ2467" s="4"/>
      <c r="DR2467" s="4"/>
      <c r="DS2467" s="4"/>
    </row>
    <row r="2468">
      <c r="A2468" s="4"/>
      <c r="B2468" s="4"/>
      <c r="C2468" s="4"/>
      <c r="D2468" s="4"/>
      <c r="E2468" s="4"/>
      <c r="F2468" s="4" t="s">
        <v>17</v>
      </c>
      <c r="G2468" s="15"/>
      <c r="H2468" s="4"/>
      <c r="I2468" s="4"/>
      <c r="J2468" s="4"/>
      <c r="K2468" s="4"/>
      <c r="L2468" s="4"/>
      <c r="M2468" s="4"/>
      <c r="N2468" s="4"/>
      <c r="O2468" s="4"/>
      <c r="P2468" s="4"/>
      <c r="Q2468" s="4"/>
      <c r="R2468" s="4"/>
      <c r="S2468" s="4"/>
      <c r="T2468" s="4"/>
      <c r="U2468" s="4"/>
      <c r="V2468" s="4"/>
      <c r="W2468" s="4"/>
      <c r="X2468" s="4"/>
      <c r="Y2468" s="4"/>
      <c r="Z2468" s="4"/>
      <c r="AA2468" s="4"/>
      <c r="AB2468" s="4"/>
      <c r="AC2468" s="4"/>
      <c r="AD2468" s="4"/>
      <c r="AE2468" s="4"/>
      <c r="AF2468" s="4"/>
      <c r="AG2468" s="4"/>
      <c r="AH2468" s="4"/>
      <c r="AI2468" s="4"/>
      <c r="AJ2468" s="4"/>
      <c r="AK2468" s="4"/>
      <c r="AL2468" s="4"/>
      <c r="AM2468" s="4"/>
      <c r="AN2468" s="4"/>
      <c r="AO2468" s="4"/>
      <c r="AP2468" s="4"/>
      <c r="AQ2468" s="4"/>
      <c r="AR2468" s="4"/>
      <c r="AS2468" s="4"/>
      <c r="AT2468" s="4"/>
      <c r="AU2468" s="4"/>
      <c r="AV2468" s="4"/>
      <c r="AW2468" s="4"/>
      <c r="AX2468" s="4"/>
      <c r="AY2468" s="4"/>
      <c r="AZ2468" s="4"/>
      <c r="BA2468" s="4"/>
      <c r="BB2468" s="4"/>
      <c r="BC2468" s="4"/>
      <c r="BD2468" s="4"/>
      <c r="BE2468" s="4"/>
      <c r="BF2468" s="4"/>
      <c r="BG2468" s="4"/>
      <c r="BH2468" s="4"/>
      <c r="BI2468" s="4"/>
      <c r="BJ2468" s="4"/>
      <c r="BK2468" s="4"/>
      <c r="BL2468" s="4"/>
      <c r="BM2468" s="4"/>
      <c r="BN2468" s="4"/>
      <c r="BO2468" s="4"/>
      <c r="BP2468" s="4"/>
      <c r="BQ2468" s="4"/>
      <c r="BR2468" s="4"/>
      <c r="BS2468" s="4"/>
      <c r="BT2468" s="4"/>
      <c r="BU2468" s="4"/>
      <c r="BV2468" s="4"/>
      <c r="BW2468" s="4"/>
      <c r="BX2468" s="4"/>
      <c r="BY2468" s="4"/>
      <c r="BZ2468" s="4"/>
      <c r="CA2468" s="4"/>
      <c r="CB2468" s="4"/>
      <c r="CC2468" s="4"/>
      <c r="CD2468" s="4"/>
      <c r="CE2468" s="4"/>
      <c r="CF2468" s="4"/>
      <c r="CG2468" s="4"/>
      <c r="CH2468" s="4"/>
      <c r="CI2468" s="4"/>
      <c r="CJ2468" s="4"/>
      <c r="CK2468" s="4"/>
      <c r="CL2468" s="4"/>
      <c r="CM2468" s="4"/>
      <c r="CN2468" s="4"/>
      <c r="CO2468" s="4"/>
      <c r="CP2468" s="4"/>
      <c r="CQ2468" s="4"/>
      <c r="CR2468" s="4"/>
      <c r="CS2468" s="4"/>
      <c r="CT2468" s="4"/>
      <c r="CU2468" s="4"/>
      <c r="CV2468" s="4"/>
      <c r="CW2468" s="4"/>
      <c r="CX2468" s="4"/>
      <c r="CY2468" s="4"/>
      <c r="CZ2468" s="4"/>
      <c r="DA2468" s="4"/>
      <c r="DB2468" s="4"/>
      <c r="DC2468" s="4"/>
      <c r="DD2468" s="4"/>
      <c r="DE2468" s="4"/>
      <c r="DF2468" s="4"/>
      <c r="DG2468" s="4"/>
      <c r="DH2468" s="4"/>
      <c r="DI2468" s="4"/>
      <c r="DJ2468" s="4"/>
      <c r="DK2468" s="4"/>
      <c r="DL2468" s="4"/>
      <c r="DM2468" s="4"/>
      <c r="DN2468" s="4"/>
      <c r="DO2468" s="4"/>
      <c r="DP2468" s="4"/>
      <c r="DQ2468" s="4"/>
      <c r="DR2468" s="4"/>
      <c r="DS2468" s="4"/>
    </row>
    <row r="2469">
      <c r="A2469" s="4"/>
      <c r="B2469" s="4"/>
      <c r="C2469" s="4"/>
      <c r="D2469" s="4"/>
      <c r="E2469" s="4"/>
      <c r="F2469" s="4" t="s">
        <v>17</v>
      </c>
      <c r="G2469" s="15"/>
      <c r="H2469" s="4"/>
      <c r="I2469" s="4"/>
      <c r="J2469" s="4"/>
      <c r="K2469" s="4"/>
      <c r="L2469" s="4"/>
      <c r="M2469" s="4"/>
      <c r="N2469" s="4"/>
      <c r="O2469" s="4"/>
      <c r="P2469" s="4"/>
      <c r="Q2469" s="4"/>
      <c r="R2469" s="4"/>
      <c r="S2469" s="4"/>
      <c r="T2469" s="4"/>
      <c r="U2469" s="4"/>
      <c r="V2469" s="4"/>
      <c r="W2469" s="4"/>
      <c r="X2469" s="4"/>
      <c r="Y2469" s="4"/>
      <c r="Z2469" s="4"/>
      <c r="AA2469" s="4"/>
      <c r="AB2469" s="4"/>
      <c r="AC2469" s="4"/>
      <c r="AD2469" s="4"/>
      <c r="AE2469" s="4"/>
      <c r="AF2469" s="4"/>
      <c r="AG2469" s="4"/>
      <c r="AH2469" s="4"/>
      <c r="AI2469" s="4"/>
      <c r="AJ2469" s="4"/>
      <c r="AK2469" s="4"/>
      <c r="AL2469" s="4"/>
      <c r="AM2469" s="4"/>
      <c r="AN2469" s="4"/>
      <c r="AO2469" s="4"/>
      <c r="AP2469" s="4"/>
      <c r="AQ2469" s="4"/>
      <c r="AR2469" s="4"/>
      <c r="AS2469" s="4"/>
      <c r="AT2469" s="4"/>
      <c r="AU2469" s="4"/>
      <c r="AV2469" s="4"/>
      <c r="AW2469" s="4"/>
      <c r="AX2469" s="4"/>
      <c r="AY2469" s="4"/>
      <c r="AZ2469" s="4"/>
      <c r="BA2469" s="4"/>
      <c r="BB2469" s="4"/>
      <c r="BC2469" s="4"/>
      <c r="BD2469" s="4"/>
      <c r="BE2469" s="4"/>
      <c r="BF2469" s="4"/>
      <c r="BG2469" s="4"/>
      <c r="BH2469" s="4"/>
      <c r="BI2469" s="4"/>
      <c r="BJ2469" s="4"/>
      <c r="BK2469" s="4"/>
      <c r="BL2469" s="4"/>
      <c r="BM2469" s="4"/>
      <c r="BN2469" s="4"/>
      <c r="BO2469" s="4"/>
      <c r="BP2469" s="4"/>
      <c r="BQ2469" s="4"/>
      <c r="BR2469" s="4"/>
      <c r="BS2469" s="4"/>
      <c r="BT2469" s="4"/>
      <c r="BU2469" s="4"/>
      <c r="BV2469" s="4"/>
      <c r="BW2469" s="4"/>
      <c r="BX2469" s="4"/>
      <c r="BY2469" s="4"/>
      <c r="BZ2469" s="4"/>
      <c r="CA2469" s="4"/>
      <c r="CB2469" s="4"/>
      <c r="CC2469" s="4"/>
      <c r="CD2469" s="4"/>
      <c r="CE2469" s="4"/>
      <c r="CF2469" s="4"/>
      <c r="CG2469" s="4"/>
      <c r="CH2469" s="4"/>
      <c r="CI2469" s="4"/>
      <c r="CJ2469" s="4"/>
      <c r="CK2469" s="4"/>
      <c r="CL2469" s="4"/>
      <c r="CM2469" s="4"/>
      <c r="CN2469" s="4"/>
      <c r="CO2469" s="4"/>
      <c r="CP2469" s="4"/>
      <c r="CQ2469" s="4"/>
      <c r="CR2469" s="4"/>
      <c r="CS2469" s="4"/>
      <c r="CT2469" s="4"/>
      <c r="CU2469" s="4"/>
      <c r="CV2469" s="4"/>
      <c r="CW2469" s="4"/>
      <c r="CX2469" s="4"/>
      <c r="CY2469" s="4"/>
      <c r="CZ2469" s="4"/>
      <c r="DA2469" s="4"/>
      <c r="DB2469" s="4"/>
      <c r="DC2469" s="4"/>
      <c r="DD2469" s="4"/>
      <c r="DE2469" s="4"/>
      <c r="DF2469" s="4"/>
      <c r="DG2469" s="4"/>
      <c r="DH2469" s="4"/>
      <c r="DI2469" s="4"/>
      <c r="DJ2469" s="4"/>
      <c r="DK2469" s="4"/>
      <c r="DL2469" s="4"/>
      <c r="DM2469" s="4"/>
      <c r="DN2469" s="4"/>
      <c r="DO2469" s="4"/>
      <c r="DP2469" s="4"/>
      <c r="DQ2469" s="4"/>
      <c r="DR2469" s="4"/>
      <c r="DS2469" s="4"/>
    </row>
    <row r="2470">
      <c r="A2470" s="4"/>
      <c r="B2470" s="4"/>
      <c r="C2470" s="4"/>
      <c r="D2470" s="4"/>
      <c r="E2470" s="4"/>
      <c r="F2470" s="4" t="s">
        <v>17</v>
      </c>
      <c r="G2470" s="15"/>
      <c r="H2470" s="4"/>
      <c r="I2470" s="4"/>
      <c r="J2470" s="4"/>
      <c r="K2470" s="4"/>
      <c r="L2470" s="4"/>
      <c r="M2470" s="4"/>
      <c r="N2470" s="4"/>
      <c r="O2470" s="4"/>
      <c r="P2470" s="4"/>
      <c r="Q2470" s="4"/>
      <c r="R2470" s="4"/>
      <c r="S2470" s="4"/>
      <c r="T2470" s="4"/>
      <c r="U2470" s="4"/>
      <c r="V2470" s="4"/>
      <c r="W2470" s="4"/>
      <c r="X2470" s="4"/>
      <c r="Y2470" s="4"/>
      <c r="Z2470" s="4"/>
      <c r="AA2470" s="4"/>
      <c r="AB2470" s="4"/>
      <c r="AC2470" s="4"/>
      <c r="AD2470" s="4"/>
      <c r="AE2470" s="4"/>
      <c r="AF2470" s="4"/>
      <c r="AG2470" s="4"/>
      <c r="AH2470" s="4"/>
      <c r="AI2470" s="4"/>
      <c r="AJ2470" s="4"/>
      <c r="AK2470" s="4"/>
      <c r="AL2470" s="4"/>
      <c r="AM2470" s="4"/>
      <c r="AN2470" s="4"/>
      <c r="AO2470" s="4"/>
      <c r="AP2470" s="4"/>
      <c r="AQ2470" s="4"/>
      <c r="AR2470" s="4"/>
      <c r="AS2470" s="4"/>
      <c r="AT2470" s="4"/>
      <c r="AU2470" s="4"/>
      <c r="AV2470" s="4"/>
      <c r="AW2470" s="4"/>
      <c r="AX2470" s="4"/>
      <c r="AY2470" s="4"/>
      <c r="AZ2470" s="4"/>
      <c r="BA2470" s="4"/>
      <c r="BB2470" s="4"/>
      <c r="BC2470" s="4"/>
      <c r="BD2470" s="4"/>
      <c r="BE2470" s="4"/>
      <c r="BF2470" s="4"/>
      <c r="BG2470" s="4"/>
      <c r="BH2470" s="4"/>
      <c r="BI2470" s="4"/>
      <c r="BJ2470" s="4"/>
      <c r="BK2470" s="4"/>
      <c r="BL2470" s="4"/>
      <c r="BM2470" s="4"/>
      <c r="BN2470" s="4"/>
      <c r="BO2470" s="4"/>
      <c r="BP2470" s="4"/>
      <c r="BQ2470" s="4"/>
      <c r="BR2470" s="4"/>
      <c r="BS2470" s="4"/>
      <c r="BT2470" s="4"/>
      <c r="BU2470" s="4"/>
      <c r="BV2470" s="4"/>
      <c r="BW2470" s="4"/>
      <c r="BX2470" s="4"/>
      <c r="BY2470" s="4"/>
      <c r="BZ2470" s="4"/>
      <c r="CA2470" s="4"/>
      <c r="CB2470" s="4"/>
      <c r="CC2470" s="4"/>
      <c r="CD2470" s="4"/>
      <c r="CE2470" s="4"/>
      <c r="CF2470" s="4"/>
      <c r="CG2470" s="4"/>
      <c r="CH2470" s="4"/>
      <c r="CI2470" s="4"/>
      <c r="CJ2470" s="4"/>
      <c r="CK2470" s="4"/>
      <c r="CL2470" s="4"/>
      <c r="CM2470" s="4"/>
      <c r="CN2470" s="4"/>
      <c r="CO2470" s="4"/>
      <c r="CP2470" s="4"/>
      <c r="CQ2470" s="4"/>
      <c r="CR2470" s="4"/>
      <c r="CS2470" s="4"/>
      <c r="CT2470" s="4"/>
      <c r="CU2470" s="4"/>
      <c r="CV2470" s="4"/>
      <c r="CW2470" s="4"/>
      <c r="CX2470" s="4"/>
      <c r="CY2470" s="4"/>
      <c r="CZ2470" s="4"/>
      <c r="DA2470" s="4"/>
      <c r="DB2470" s="4"/>
      <c r="DC2470" s="4"/>
      <c r="DD2470" s="4"/>
      <c r="DE2470" s="4"/>
      <c r="DF2470" s="4"/>
      <c r="DG2470" s="4"/>
      <c r="DH2470" s="4"/>
      <c r="DI2470" s="4"/>
      <c r="DJ2470" s="4"/>
      <c r="DK2470" s="4"/>
      <c r="DL2470" s="4"/>
      <c r="DM2470" s="4"/>
      <c r="DN2470" s="4"/>
      <c r="DO2470" s="4"/>
      <c r="DP2470" s="4"/>
      <c r="DQ2470" s="4"/>
      <c r="DR2470" s="4"/>
      <c r="DS2470" s="4"/>
    </row>
    <row r="2471">
      <c r="A2471" s="4"/>
      <c r="B2471" s="4"/>
      <c r="C2471" s="4"/>
      <c r="D2471" s="4"/>
      <c r="E2471" s="4"/>
      <c r="F2471" s="4" t="s">
        <v>17</v>
      </c>
      <c r="G2471" s="15"/>
      <c r="H2471" s="4"/>
      <c r="I2471" s="4"/>
      <c r="J2471" s="4"/>
      <c r="K2471" s="4"/>
      <c r="L2471" s="4"/>
      <c r="M2471" s="4"/>
      <c r="N2471" s="4"/>
      <c r="O2471" s="4"/>
      <c r="P2471" s="4"/>
      <c r="Q2471" s="4"/>
      <c r="R2471" s="4"/>
      <c r="S2471" s="4"/>
      <c r="T2471" s="4"/>
      <c r="U2471" s="4"/>
      <c r="V2471" s="4"/>
      <c r="W2471" s="4"/>
      <c r="X2471" s="4"/>
      <c r="Y2471" s="4"/>
      <c r="Z2471" s="4"/>
      <c r="AA2471" s="4"/>
      <c r="AB2471" s="4"/>
      <c r="AC2471" s="4"/>
      <c r="AD2471" s="4"/>
      <c r="AE2471" s="4"/>
      <c r="AF2471" s="4"/>
      <c r="AG2471" s="4"/>
      <c r="AH2471" s="4"/>
      <c r="AI2471" s="4"/>
      <c r="AJ2471" s="4"/>
      <c r="AK2471" s="4"/>
      <c r="AL2471" s="4"/>
      <c r="AM2471" s="4"/>
      <c r="AN2471" s="4"/>
      <c r="AO2471" s="4"/>
      <c r="AP2471" s="4"/>
      <c r="AQ2471" s="4"/>
      <c r="AR2471" s="4"/>
      <c r="AS2471" s="4"/>
      <c r="AT2471" s="4"/>
      <c r="AU2471" s="4"/>
      <c r="AV2471" s="4"/>
      <c r="AW2471" s="4"/>
      <c r="AX2471" s="4"/>
      <c r="AY2471" s="4"/>
      <c r="AZ2471" s="4"/>
      <c r="BA2471" s="4"/>
      <c r="BB2471" s="4"/>
      <c r="BC2471" s="4"/>
      <c r="BD2471" s="4"/>
      <c r="BE2471" s="4"/>
      <c r="BF2471" s="4"/>
      <c r="BG2471" s="4"/>
      <c r="BH2471" s="4"/>
      <c r="BI2471" s="4"/>
      <c r="BJ2471" s="4"/>
      <c r="BK2471" s="4"/>
      <c r="BL2471" s="4"/>
      <c r="BM2471" s="4"/>
      <c r="BN2471" s="4"/>
      <c r="BO2471" s="4"/>
      <c r="BP2471" s="4"/>
      <c r="BQ2471" s="4"/>
      <c r="BR2471" s="4"/>
      <c r="BS2471" s="4"/>
      <c r="BT2471" s="4"/>
      <c r="BU2471" s="4"/>
      <c r="BV2471" s="4"/>
      <c r="BW2471" s="4"/>
      <c r="BX2471" s="4"/>
      <c r="BY2471" s="4"/>
      <c r="BZ2471" s="4"/>
      <c r="CA2471" s="4"/>
      <c r="CB2471" s="4"/>
      <c r="CC2471" s="4"/>
      <c r="CD2471" s="4"/>
      <c r="CE2471" s="4"/>
      <c r="CF2471" s="4"/>
      <c r="CG2471" s="4"/>
      <c r="CH2471" s="4"/>
      <c r="CI2471" s="4"/>
      <c r="CJ2471" s="4"/>
      <c r="CK2471" s="4"/>
      <c r="CL2471" s="4"/>
      <c r="CM2471" s="4"/>
      <c r="CN2471" s="4"/>
      <c r="CO2471" s="4"/>
      <c r="CP2471" s="4"/>
      <c r="CQ2471" s="4"/>
      <c r="CR2471" s="4"/>
      <c r="CS2471" s="4"/>
      <c r="CT2471" s="4"/>
      <c r="CU2471" s="4"/>
      <c r="CV2471" s="4"/>
      <c r="CW2471" s="4"/>
      <c r="CX2471" s="4"/>
      <c r="CY2471" s="4"/>
      <c r="CZ2471" s="4"/>
      <c r="DA2471" s="4"/>
      <c r="DB2471" s="4"/>
      <c r="DC2471" s="4"/>
      <c r="DD2471" s="4"/>
      <c r="DE2471" s="4"/>
      <c r="DF2471" s="4"/>
      <c r="DG2471" s="4"/>
      <c r="DH2471" s="4"/>
      <c r="DI2471" s="4"/>
      <c r="DJ2471" s="4"/>
      <c r="DK2471" s="4"/>
      <c r="DL2471" s="4"/>
      <c r="DM2471" s="4"/>
      <c r="DN2471" s="4"/>
      <c r="DO2471" s="4"/>
      <c r="DP2471" s="4"/>
      <c r="DQ2471" s="4"/>
      <c r="DR2471" s="4"/>
      <c r="DS2471" s="4"/>
    </row>
    <row r="2472">
      <c r="A2472" s="4"/>
      <c r="B2472" s="4"/>
      <c r="C2472" s="4"/>
      <c r="D2472" s="4"/>
      <c r="E2472" s="4"/>
      <c r="F2472" s="4" t="s">
        <v>17</v>
      </c>
      <c r="G2472" s="15"/>
      <c r="H2472" s="4"/>
      <c r="I2472" s="4"/>
      <c r="J2472" s="4"/>
      <c r="K2472" s="4"/>
      <c r="L2472" s="4"/>
      <c r="M2472" s="4"/>
      <c r="N2472" s="4"/>
      <c r="O2472" s="4"/>
      <c r="P2472" s="4"/>
      <c r="Q2472" s="4"/>
      <c r="R2472" s="4"/>
      <c r="S2472" s="4"/>
      <c r="T2472" s="4"/>
      <c r="U2472" s="4"/>
      <c r="V2472" s="4"/>
      <c r="W2472" s="4"/>
      <c r="X2472" s="4"/>
      <c r="Y2472" s="4"/>
      <c r="Z2472" s="4"/>
      <c r="AA2472" s="4"/>
      <c r="AB2472" s="4"/>
      <c r="AC2472" s="4"/>
      <c r="AD2472" s="4"/>
      <c r="AE2472" s="4"/>
      <c r="AF2472" s="4"/>
      <c r="AG2472" s="4"/>
      <c r="AH2472" s="4"/>
      <c r="AI2472" s="4"/>
      <c r="AJ2472" s="4"/>
      <c r="AK2472" s="4"/>
      <c r="AL2472" s="4"/>
      <c r="AM2472" s="4"/>
      <c r="AN2472" s="4"/>
      <c r="AO2472" s="4"/>
      <c r="AP2472" s="4"/>
      <c r="AQ2472" s="4"/>
      <c r="AR2472" s="4"/>
      <c r="AS2472" s="4"/>
      <c r="AT2472" s="4"/>
      <c r="AU2472" s="4"/>
      <c r="AV2472" s="4"/>
      <c r="AW2472" s="4"/>
      <c r="AX2472" s="4"/>
      <c r="AY2472" s="4"/>
      <c r="AZ2472" s="4"/>
      <c r="BA2472" s="4"/>
      <c r="BB2472" s="4"/>
      <c r="BC2472" s="4"/>
      <c r="BD2472" s="4"/>
      <c r="BE2472" s="4"/>
      <c r="BF2472" s="4"/>
      <c r="BG2472" s="4"/>
      <c r="BH2472" s="4"/>
      <c r="BI2472" s="4"/>
      <c r="BJ2472" s="4"/>
      <c r="BK2472" s="4"/>
      <c r="BL2472" s="4"/>
      <c r="BM2472" s="4"/>
      <c r="BN2472" s="4"/>
      <c r="BO2472" s="4"/>
      <c r="BP2472" s="4"/>
      <c r="BQ2472" s="4"/>
      <c r="BR2472" s="4"/>
      <c r="BS2472" s="4"/>
      <c r="BT2472" s="4"/>
      <c r="BU2472" s="4"/>
      <c r="BV2472" s="4"/>
      <c r="BW2472" s="4"/>
      <c r="BX2472" s="4"/>
      <c r="BY2472" s="4"/>
      <c r="BZ2472" s="4"/>
      <c r="CA2472" s="4"/>
      <c r="CB2472" s="4"/>
      <c r="CC2472" s="4"/>
      <c r="CD2472" s="4"/>
      <c r="CE2472" s="4"/>
      <c r="CF2472" s="4"/>
      <c r="CG2472" s="4"/>
      <c r="CH2472" s="4"/>
      <c r="CI2472" s="4"/>
      <c r="CJ2472" s="4"/>
      <c r="CK2472" s="4"/>
      <c r="CL2472" s="4"/>
      <c r="CM2472" s="4"/>
      <c r="CN2472" s="4"/>
      <c r="CO2472" s="4"/>
      <c r="CP2472" s="4"/>
      <c r="CQ2472" s="4"/>
      <c r="CR2472" s="4"/>
      <c r="CS2472" s="4"/>
      <c r="CT2472" s="4"/>
      <c r="CU2472" s="4"/>
      <c r="CV2472" s="4"/>
      <c r="CW2472" s="4"/>
      <c r="CX2472" s="4"/>
      <c r="CY2472" s="4"/>
      <c r="CZ2472" s="4"/>
      <c r="DA2472" s="4"/>
      <c r="DB2472" s="4"/>
      <c r="DC2472" s="4"/>
      <c r="DD2472" s="4"/>
      <c r="DE2472" s="4"/>
      <c r="DF2472" s="4"/>
      <c r="DG2472" s="4"/>
      <c r="DH2472" s="4"/>
      <c r="DI2472" s="4"/>
      <c r="DJ2472" s="4"/>
      <c r="DK2472" s="4"/>
      <c r="DL2472" s="4"/>
      <c r="DM2472" s="4"/>
      <c r="DN2472" s="4"/>
      <c r="DO2472" s="4"/>
      <c r="DP2472" s="4"/>
      <c r="DQ2472" s="4"/>
      <c r="DR2472" s="4"/>
      <c r="DS2472" s="4"/>
    </row>
    <row r="2473">
      <c r="A2473" s="4"/>
      <c r="B2473" s="4"/>
      <c r="C2473" s="4"/>
      <c r="D2473" s="4"/>
      <c r="E2473" s="4"/>
      <c r="F2473" s="4" t="s">
        <v>17</v>
      </c>
      <c r="G2473" s="15"/>
      <c r="H2473" s="4"/>
      <c r="I2473" s="4"/>
      <c r="J2473" s="4"/>
      <c r="K2473" s="4"/>
      <c r="L2473" s="4"/>
      <c r="M2473" s="4"/>
      <c r="N2473" s="4"/>
      <c r="O2473" s="4"/>
      <c r="P2473" s="4"/>
      <c r="Q2473" s="4"/>
      <c r="R2473" s="4"/>
      <c r="S2473" s="4"/>
      <c r="T2473" s="4"/>
      <c r="U2473" s="4"/>
      <c r="V2473" s="4"/>
      <c r="W2473" s="4"/>
      <c r="X2473" s="4"/>
      <c r="Y2473" s="4"/>
      <c r="Z2473" s="4"/>
      <c r="AA2473" s="4"/>
      <c r="AB2473" s="4"/>
      <c r="AC2473" s="4"/>
      <c r="AD2473" s="4"/>
      <c r="AE2473" s="4"/>
      <c r="AF2473" s="4"/>
      <c r="AG2473" s="4"/>
      <c r="AH2473" s="4"/>
      <c r="AI2473" s="4"/>
      <c r="AJ2473" s="4"/>
      <c r="AK2473" s="4"/>
      <c r="AL2473" s="4"/>
      <c r="AM2473" s="4"/>
      <c r="AN2473" s="4"/>
      <c r="AO2473" s="4"/>
      <c r="AP2473" s="4"/>
      <c r="AQ2473" s="4"/>
      <c r="AR2473" s="4"/>
      <c r="AS2473" s="4"/>
      <c r="AT2473" s="4"/>
      <c r="AU2473" s="4"/>
      <c r="AV2473" s="4"/>
      <c r="AW2473" s="4"/>
      <c r="AX2473" s="4"/>
      <c r="AY2473" s="4"/>
      <c r="AZ2473" s="4"/>
      <c r="BA2473" s="4"/>
      <c r="BB2473" s="4"/>
      <c r="BC2473" s="4"/>
      <c r="BD2473" s="4"/>
      <c r="BE2473" s="4"/>
      <c r="BF2473" s="4"/>
      <c r="BG2473" s="4"/>
      <c r="BH2473" s="4"/>
      <c r="BI2473" s="4"/>
      <c r="BJ2473" s="4"/>
      <c r="BK2473" s="4"/>
      <c r="BL2473" s="4"/>
      <c r="BM2473" s="4"/>
      <c r="BN2473" s="4"/>
      <c r="BO2473" s="4"/>
      <c r="BP2473" s="4"/>
      <c r="BQ2473" s="4"/>
      <c r="BR2473" s="4"/>
      <c r="BS2473" s="4"/>
      <c r="BT2473" s="4"/>
      <c r="BU2473" s="4"/>
      <c r="BV2473" s="4"/>
      <c r="BW2473" s="4"/>
      <c r="BX2473" s="4"/>
      <c r="BY2473" s="4"/>
      <c r="BZ2473" s="4"/>
      <c r="CA2473" s="4"/>
      <c r="CB2473" s="4"/>
      <c r="CC2473" s="4"/>
      <c r="CD2473" s="4"/>
      <c r="CE2473" s="4"/>
      <c r="CF2473" s="4"/>
      <c r="CG2473" s="4"/>
      <c r="CH2473" s="4"/>
      <c r="CI2473" s="4"/>
      <c r="CJ2473" s="4"/>
      <c r="CK2473" s="4"/>
      <c r="CL2473" s="4"/>
      <c r="CM2473" s="4"/>
      <c r="CN2473" s="4"/>
      <c r="CO2473" s="4"/>
      <c r="CP2473" s="4"/>
      <c r="CQ2473" s="4"/>
      <c r="CR2473" s="4"/>
      <c r="CS2473" s="4"/>
      <c r="CT2473" s="4"/>
      <c r="CU2473" s="4"/>
      <c r="CV2473" s="4"/>
      <c r="CW2473" s="4"/>
      <c r="CX2473" s="4"/>
      <c r="CY2473" s="4"/>
      <c r="CZ2473" s="4"/>
      <c r="DA2473" s="4"/>
      <c r="DB2473" s="4"/>
      <c r="DC2473" s="4"/>
      <c r="DD2473" s="4"/>
      <c r="DE2473" s="4"/>
      <c r="DF2473" s="4"/>
      <c r="DG2473" s="4"/>
      <c r="DH2473" s="4"/>
      <c r="DI2473" s="4"/>
      <c r="DJ2473" s="4"/>
      <c r="DK2473" s="4"/>
      <c r="DL2473" s="4"/>
      <c r="DM2473" s="4"/>
      <c r="DN2473" s="4"/>
      <c r="DO2473" s="4"/>
      <c r="DP2473" s="4"/>
      <c r="DQ2473" s="4"/>
      <c r="DR2473" s="4"/>
      <c r="DS2473" s="4"/>
    </row>
    <row r="2474">
      <c r="A2474" s="4"/>
      <c r="B2474" s="4"/>
      <c r="C2474" s="4"/>
      <c r="D2474" s="4"/>
      <c r="E2474" s="4"/>
      <c r="F2474" s="4" t="s">
        <v>17</v>
      </c>
      <c r="G2474" s="15"/>
      <c r="H2474" s="4"/>
      <c r="I2474" s="4"/>
      <c r="J2474" s="4"/>
      <c r="K2474" s="4"/>
      <c r="L2474" s="4"/>
      <c r="M2474" s="4"/>
      <c r="N2474" s="4"/>
      <c r="O2474" s="4"/>
      <c r="P2474" s="4"/>
      <c r="Q2474" s="4"/>
      <c r="R2474" s="4"/>
      <c r="S2474" s="4"/>
      <c r="T2474" s="4"/>
      <c r="U2474" s="4"/>
      <c r="V2474" s="4"/>
      <c r="W2474" s="4"/>
      <c r="X2474" s="4"/>
      <c r="Y2474" s="4"/>
      <c r="Z2474" s="4"/>
      <c r="AA2474" s="4"/>
      <c r="AB2474" s="4"/>
      <c r="AC2474" s="4"/>
      <c r="AD2474" s="4"/>
      <c r="AE2474" s="4"/>
      <c r="AF2474" s="4"/>
      <c r="AG2474" s="4"/>
      <c r="AH2474" s="4"/>
      <c r="AI2474" s="4"/>
      <c r="AJ2474" s="4"/>
      <c r="AK2474" s="4"/>
      <c r="AL2474" s="4"/>
      <c r="AM2474" s="4"/>
      <c r="AN2474" s="4"/>
      <c r="AO2474" s="4"/>
      <c r="AP2474" s="4"/>
      <c r="AQ2474" s="4"/>
      <c r="AR2474" s="4"/>
      <c r="AS2474" s="4"/>
      <c r="AT2474" s="4"/>
      <c r="AU2474" s="4"/>
      <c r="AV2474" s="4"/>
      <c r="AW2474" s="4"/>
      <c r="AX2474" s="4"/>
      <c r="AY2474" s="4"/>
      <c r="AZ2474" s="4"/>
      <c r="BA2474" s="4"/>
      <c r="BB2474" s="4"/>
      <c r="BC2474" s="4"/>
      <c r="BD2474" s="4"/>
      <c r="BE2474" s="4"/>
      <c r="BF2474" s="4"/>
      <c r="BG2474" s="4"/>
      <c r="BH2474" s="4"/>
      <c r="BI2474" s="4"/>
      <c r="BJ2474" s="4"/>
      <c r="BK2474" s="4"/>
      <c r="BL2474" s="4"/>
      <c r="BM2474" s="4"/>
      <c r="BN2474" s="4"/>
      <c r="BO2474" s="4"/>
      <c r="BP2474" s="4"/>
      <c r="BQ2474" s="4"/>
      <c r="BR2474" s="4"/>
      <c r="BS2474" s="4"/>
      <c r="BT2474" s="4"/>
      <c r="BU2474" s="4"/>
      <c r="BV2474" s="4"/>
      <c r="BW2474" s="4"/>
      <c r="BX2474" s="4"/>
      <c r="BY2474" s="4"/>
      <c r="BZ2474" s="4"/>
      <c r="CA2474" s="4"/>
      <c r="CB2474" s="4"/>
      <c r="CC2474" s="4"/>
      <c r="CD2474" s="4"/>
      <c r="CE2474" s="4"/>
      <c r="CF2474" s="4"/>
      <c r="CG2474" s="4"/>
      <c r="CH2474" s="4"/>
      <c r="CI2474" s="4"/>
      <c r="CJ2474" s="4"/>
      <c r="CK2474" s="4"/>
      <c r="CL2474" s="4"/>
      <c r="CM2474" s="4"/>
      <c r="CN2474" s="4"/>
      <c r="CO2474" s="4"/>
      <c r="CP2474" s="4"/>
      <c r="CQ2474" s="4"/>
      <c r="CR2474" s="4"/>
      <c r="CS2474" s="4"/>
      <c r="CT2474" s="4"/>
      <c r="CU2474" s="4"/>
      <c r="CV2474" s="4"/>
      <c r="CW2474" s="4"/>
      <c r="CX2474" s="4"/>
      <c r="CY2474" s="4"/>
      <c r="CZ2474" s="4"/>
      <c r="DA2474" s="4"/>
      <c r="DB2474" s="4"/>
      <c r="DC2474" s="4"/>
      <c r="DD2474" s="4"/>
      <c r="DE2474" s="4"/>
      <c r="DF2474" s="4"/>
      <c r="DG2474" s="4"/>
      <c r="DH2474" s="4"/>
      <c r="DI2474" s="4"/>
      <c r="DJ2474" s="4"/>
      <c r="DK2474" s="4"/>
      <c r="DL2474" s="4"/>
      <c r="DM2474" s="4"/>
      <c r="DN2474" s="4"/>
      <c r="DO2474" s="4"/>
      <c r="DP2474" s="4"/>
      <c r="DQ2474" s="4"/>
      <c r="DR2474" s="4"/>
      <c r="DS2474" s="4"/>
    </row>
    <row r="2475">
      <c r="A2475" s="4"/>
      <c r="B2475" s="4"/>
      <c r="C2475" s="4"/>
      <c r="D2475" s="4"/>
      <c r="E2475" s="4"/>
      <c r="F2475" s="4" t="s">
        <v>17</v>
      </c>
      <c r="G2475" s="15"/>
      <c r="H2475" s="4"/>
      <c r="I2475" s="4"/>
      <c r="J2475" s="4"/>
      <c r="K2475" s="4"/>
      <c r="L2475" s="4"/>
      <c r="M2475" s="4"/>
      <c r="N2475" s="4"/>
      <c r="O2475" s="4"/>
      <c r="P2475" s="4"/>
      <c r="Q2475" s="4"/>
      <c r="R2475" s="4"/>
      <c r="S2475" s="4"/>
      <c r="T2475" s="4"/>
      <c r="U2475" s="4"/>
      <c r="V2475" s="4"/>
      <c r="W2475" s="4"/>
      <c r="X2475" s="4"/>
      <c r="Y2475" s="4"/>
      <c r="Z2475" s="4"/>
      <c r="AA2475" s="4"/>
      <c r="AB2475" s="4"/>
      <c r="AC2475" s="4"/>
      <c r="AD2475" s="4"/>
      <c r="AE2475" s="4"/>
      <c r="AF2475" s="4"/>
      <c r="AG2475" s="4"/>
      <c r="AH2475" s="4"/>
      <c r="AI2475" s="4"/>
      <c r="AJ2475" s="4"/>
      <c r="AK2475" s="4"/>
      <c r="AL2475" s="4"/>
      <c r="AM2475" s="4"/>
      <c r="AN2475" s="4"/>
      <c r="AO2475" s="4"/>
      <c r="AP2475" s="4"/>
      <c r="AQ2475" s="4"/>
      <c r="AR2475" s="4"/>
      <c r="AS2475" s="4"/>
      <c r="AT2475" s="4"/>
      <c r="AU2475" s="4"/>
      <c r="AV2475" s="4"/>
      <c r="AW2475" s="4"/>
      <c r="AX2475" s="4"/>
      <c r="AY2475" s="4"/>
      <c r="AZ2475" s="4"/>
      <c r="BA2475" s="4"/>
      <c r="BB2475" s="4"/>
      <c r="BC2475" s="4"/>
      <c r="BD2475" s="4"/>
      <c r="BE2475" s="4"/>
      <c r="BF2475" s="4"/>
      <c r="BG2475" s="4"/>
      <c r="BH2475" s="4"/>
      <c r="BI2475" s="4"/>
      <c r="BJ2475" s="4"/>
      <c r="BK2475" s="4"/>
      <c r="BL2475" s="4"/>
      <c r="BM2475" s="4"/>
      <c r="BN2475" s="4"/>
      <c r="BO2475" s="4"/>
      <c r="BP2475" s="4"/>
      <c r="BQ2475" s="4"/>
      <c r="BR2475" s="4"/>
      <c r="BS2475" s="4"/>
      <c r="BT2475" s="4"/>
      <c r="BU2475" s="4"/>
      <c r="BV2475" s="4"/>
      <c r="BW2475" s="4"/>
      <c r="BX2475" s="4"/>
      <c r="BY2475" s="4"/>
      <c r="BZ2475" s="4"/>
      <c r="CA2475" s="4"/>
      <c r="CB2475" s="4"/>
      <c r="CC2475" s="4"/>
      <c r="CD2475" s="4"/>
      <c r="CE2475" s="4"/>
      <c r="CF2475" s="4"/>
      <c r="CG2475" s="4"/>
      <c r="CH2475" s="4"/>
      <c r="CI2475" s="4"/>
      <c r="CJ2475" s="4"/>
      <c r="CK2475" s="4"/>
      <c r="CL2475" s="4"/>
      <c r="CM2475" s="4"/>
      <c r="CN2475" s="4"/>
      <c r="CO2475" s="4"/>
      <c r="CP2475" s="4"/>
      <c r="CQ2475" s="4"/>
      <c r="CR2475" s="4"/>
      <c r="CS2475" s="4"/>
      <c r="CT2475" s="4"/>
      <c r="CU2475" s="4"/>
      <c r="CV2475" s="4"/>
      <c r="CW2475" s="4"/>
      <c r="CX2475" s="4"/>
      <c r="CY2475" s="4"/>
      <c r="CZ2475" s="4"/>
      <c r="DA2475" s="4"/>
      <c r="DB2475" s="4"/>
      <c r="DC2475" s="4"/>
      <c r="DD2475" s="4"/>
      <c r="DE2475" s="4"/>
      <c r="DF2475" s="4"/>
      <c r="DG2475" s="4"/>
      <c r="DH2475" s="4"/>
      <c r="DI2475" s="4"/>
      <c r="DJ2475" s="4"/>
      <c r="DK2475" s="4"/>
      <c r="DL2475" s="4"/>
      <c r="DM2475" s="4"/>
      <c r="DN2475" s="4"/>
      <c r="DO2475" s="4"/>
      <c r="DP2475" s="4"/>
      <c r="DQ2475" s="4"/>
      <c r="DR2475" s="4"/>
      <c r="DS2475" s="4"/>
    </row>
    <row r="2476">
      <c r="A2476" s="4"/>
      <c r="B2476" s="4"/>
      <c r="C2476" s="4"/>
      <c r="D2476" s="4"/>
      <c r="E2476" s="4"/>
      <c r="F2476" s="4" t="s">
        <v>17</v>
      </c>
      <c r="G2476" s="15"/>
      <c r="H2476" s="4"/>
      <c r="I2476" s="4"/>
      <c r="J2476" s="4"/>
      <c r="K2476" s="4"/>
      <c r="L2476" s="4"/>
      <c r="M2476" s="4"/>
      <c r="N2476" s="4"/>
      <c r="O2476" s="4"/>
      <c r="P2476" s="4"/>
      <c r="Q2476" s="4"/>
      <c r="R2476" s="4"/>
      <c r="S2476" s="4"/>
      <c r="T2476" s="4"/>
      <c r="U2476" s="4"/>
      <c r="V2476" s="4"/>
      <c r="W2476" s="4"/>
      <c r="X2476" s="4"/>
      <c r="Y2476" s="4"/>
      <c r="Z2476" s="4"/>
      <c r="AA2476" s="4"/>
      <c r="AB2476" s="4"/>
      <c r="AC2476" s="4"/>
      <c r="AD2476" s="4"/>
      <c r="AE2476" s="4"/>
      <c r="AF2476" s="4"/>
      <c r="AG2476" s="4"/>
      <c r="AH2476" s="4"/>
      <c r="AI2476" s="4"/>
      <c r="AJ2476" s="4"/>
      <c r="AK2476" s="4"/>
      <c r="AL2476" s="4"/>
      <c r="AM2476" s="4"/>
      <c r="AN2476" s="4"/>
      <c r="AO2476" s="4"/>
      <c r="AP2476" s="4"/>
      <c r="AQ2476" s="4"/>
      <c r="AR2476" s="4"/>
      <c r="AS2476" s="4"/>
      <c r="AT2476" s="4"/>
      <c r="AU2476" s="4"/>
      <c r="AV2476" s="4"/>
      <c r="AW2476" s="4"/>
      <c r="AX2476" s="4"/>
      <c r="AY2476" s="4"/>
      <c r="AZ2476" s="4"/>
      <c r="BA2476" s="4"/>
      <c r="BB2476" s="4"/>
      <c r="BC2476" s="4"/>
      <c r="BD2476" s="4"/>
      <c r="BE2476" s="4"/>
      <c r="BF2476" s="4"/>
      <c r="BG2476" s="4"/>
      <c r="BH2476" s="4"/>
      <c r="BI2476" s="4"/>
      <c r="BJ2476" s="4"/>
      <c r="BK2476" s="4"/>
      <c r="BL2476" s="4"/>
      <c r="BM2476" s="4"/>
      <c r="BN2476" s="4"/>
      <c r="BO2476" s="4"/>
      <c r="BP2476" s="4"/>
      <c r="BQ2476" s="4"/>
      <c r="BR2476" s="4"/>
      <c r="BS2476" s="4"/>
      <c r="BT2476" s="4"/>
      <c r="BU2476" s="4"/>
      <c r="BV2476" s="4"/>
      <c r="BW2476" s="4"/>
      <c r="BX2476" s="4"/>
      <c r="BY2476" s="4"/>
      <c r="BZ2476" s="4"/>
      <c r="CA2476" s="4"/>
      <c r="CB2476" s="4"/>
      <c r="CC2476" s="4"/>
      <c r="CD2476" s="4"/>
      <c r="CE2476" s="4"/>
      <c r="CF2476" s="4"/>
      <c r="CG2476" s="4"/>
      <c r="CH2476" s="4"/>
      <c r="CI2476" s="4"/>
      <c r="CJ2476" s="4"/>
      <c r="CK2476" s="4"/>
      <c r="CL2476" s="4"/>
      <c r="CM2476" s="4"/>
      <c r="CN2476" s="4"/>
      <c r="CO2476" s="4"/>
      <c r="CP2476" s="4"/>
      <c r="CQ2476" s="4"/>
      <c r="CR2476" s="4"/>
      <c r="CS2476" s="4"/>
      <c r="CT2476" s="4"/>
      <c r="CU2476" s="4"/>
      <c r="CV2476" s="4"/>
      <c r="CW2476" s="4"/>
      <c r="CX2476" s="4"/>
      <c r="CY2476" s="4"/>
      <c r="CZ2476" s="4"/>
      <c r="DA2476" s="4"/>
      <c r="DB2476" s="4"/>
      <c r="DC2476" s="4"/>
      <c r="DD2476" s="4"/>
      <c r="DE2476" s="4"/>
      <c r="DF2476" s="4"/>
      <c r="DG2476" s="4"/>
      <c r="DH2476" s="4"/>
      <c r="DI2476" s="4"/>
      <c r="DJ2476" s="4"/>
      <c r="DK2476" s="4"/>
      <c r="DL2476" s="4"/>
      <c r="DM2476" s="4"/>
      <c r="DN2476" s="4"/>
      <c r="DO2476" s="4"/>
      <c r="DP2476" s="4"/>
      <c r="DQ2476" s="4"/>
      <c r="DR2476" s="4"/>
      <c r="DS2476" s="4"/>
    </row>
    <row r="2477">
      <c r="A2477" s="4"/>
      <c r="B2477" s="4"/>
      <c r="C2477" s="4"/>
      <c r="D2477" s="4"/>
      <c r="E2477" s="4"/>
      <c r="F2477" s="4" t="s">
        <v>17</v>
      </c>
      <c r="G2477" s="15"/>
      <c r="H2477" s="4"/>
      <c r="I2477" s="4"/>
      <c r="J2477" s="4"/>
      <c r="K2477" s="4"/>
      <c r="L2477" s="4"/>
      <c r="M2477" s="4"/>
      <c r="N2477" s="4"/>
      <c r="O2477" s="4"/>
      <c r="P2477" s="4"/>
      <c r="Q2477" s="4"/>
      <c r="R2477" s="4"/>
      <c r="S2477" s="4"/>
      <c r="T2477" s="4"/>
      <c r="U2477" s="4"/>
      <c r="V2477" s="4"/>
      <c r="W2477" s="4"/>
      <c r="X2477" s="4"/>
      <c r="Y2477" s="4"/>
      <c r="Z2477" s="4"/>
      <c r="AA2477" s="4"/>
      <c r="AB2477" s="4"/>
      <c r="AC2477" s="4"/>
      <c r="AD2477" s="4"/>
      <c r="AE2477" s="4"/>
      <c r="AF2477" s="4"/>
      <c r="AG2477" s="4"/>
      <c r="AH2477" s="4"/>
      <c r="AI2477" s="4"/>
      <c r="AJ2477" s="4"/>
      <c r="AK2477" s="4"/>
      <c r="AL2477" s="4"/>
      <c r="AM2477" s="4"/>
      <c r="AN2477" s="4"/>
      <c r="AO2477" s="4"/>
      <c r="AP2477" s="4"/>
      <c r="AQ2477" s="4"/>
      <c r="AR2477" s="4"/>
      <c r="AS2477" s="4"/>
      <c r="AT2477" s="4"/>
      <c r="AU2477" s="4"/>
      <c r="AV2477" s="4"/>
      <c r="AW2477" s="4"/>
      <c r="AX2477" s="4"/>
      <c r="AY2477" s="4"/>
      <c r="AZ2477" s="4"/>
      <c r="BA2477" s="4"/>
      <c r="BB2477" s="4"/>
      <c r="BC2477" s="4"/>
      <c r="BD2477" s="4"/>
      <c r="BE2477" s="4"/>
      <c r="BF2477" s="4"/>
      <c r="BG2477" s="4"/>
      <c r="BH2477" s="4"/>
      <c r="BI2477" s="4"/>
      <c r="BJ2477" s="4"/>
      <c r="BK2477" s="4"/>
      <c r="BL2477" s="4"/>
      <c r="BM2477" s="4"/>
      <c r="BN2477" s="4"/>
      <c r="BO2477" s="4"/>
      <c r="BP2477" s="4"/>
      <c r="BQ2477" s="4"/>
      <c r="BR2477" s="4"/>
      <c r="BS2477" s="4"/>
      <c r="BT2477" s="4"/>
      <c r="BU2477" s="4"/>
      <c r="BV2477" s="4"/>
      <c r="BW2477" s="4"/>
      <c r="BX2477" s="4"/>
      <c r="BY2477" s="4"/>
      <c r="BZ2477" s="4"/>
      <c r="CA2477" s="4"/>
      <c r="CB2477" s="4"/>
      <c r="CC2477" s="4"/>
      <c r="CD2477" s="4"/>
      <c r="CE2477" s="4"/>
      <c r="CF2477" s="4"/>
      <c r="CG2477" s="4"/>
      <c r="CH2477" s="4"/>
      <c r="CI2477" s="4"/>
      <c r="CJ2477" s="4"/>
      <c r="CK2477" s="4"/>
      <c r="CL2477" s="4"/>
      <c r="CM2477" s="4"/>
      <c r="CN2477" s="4"/>
      <c r="CO2477" s="4"/>
      <c r="CP2477" s="4"/>
      <c r="CQ2477" s="4"/>
      <c r="CR2477" s="4"/>
      <c r="CS2477" s="4"/>
      <c r="CT2477" s="4"/>
      <c r="CU2477" s="4"/>
      <c r="CV2477" s="4"/>
      <c r="CW2477" s="4"/>
      <c r="CX2477" s="4"/>
      <c r="CY2477" s="4"/>
      <c r="CZ2477" s="4"/>
      <c r="DA2477" s="4"/>
      <c r="DB2477" s="4"/>
      <c r="DC2477" s="4"/>
      <c r="DD2477" s="4"/>
      <c r="DE2477" s="4"/>
      <c r="DF2477" s="4"/>
      <c r="DG2477" s="4"/>
      <c r="DH2477" s="4"/>
      <c r="DI2477" s="4"/>
      <c r="DJ2477" s="4"/>
      <c r="DK2477" s="4"/>
      <c r="DL2477" s="4"/>
      <c r="DM2477" s="4"/>
      <c r="DN2477" s="4"/>
      <c r="DO2477" s="4"/>
      <c r="DP2477" s="4"/>
      <c r="DQ2477" s="4"/>
      <c r="DR2477" s="4"/>
      <c r="DS2477" s="4"/>
    </row>
    <row r="2478">
      <c r="A2478" s="4"/>
      <c r="B2478" s="4"/>
      <c r="C2478" s="4"/>
      <c r="D2478" s="4"/>
      <c r="E2478" s="4"/>
      <c r="F2478" s="4" t="s">
        <v>17</v>
      </c>
      <c r="G2478" s="15"/>
      <c r="H2478" s="4"/>
      <c r="I2478" s="4"/>
      <c r="J2478" s="4"/>
      <c r="K2478" s="4"/>
      <c r="L2478" s="4"/>
      <c r="M2478" s="4"/>
      <c r="N2478" s="4"/>
      <c r="O2478" s="4"/>
      <c r="P2478" s="4"/>
      <c r="Q2478" s="4"/>
      <c r="R2478" s="4"/>
      <c r="S2478" s="4"/>
      <c r="T2478" s="4"/>
      <c r="U2478" s="4"/>
      <c r="V2478" s="4"/>
      <c r="W2478" s="4"/>
      <c r="X2478" s="4"/>
      <c r="Y2478" s="4"/>
      <c r="Z2478" s="4"/>
      <c r="AA2478" s="4"/>
      <c r="AB2478" s="4"/>
      <c r="AC2478" s="4"/>
      <c r="AD2478" s="4"/>
      <c r="AE2478" s="4"/>
      <c r="AF2478" s="4"/>
      <c r="AG2478" s="4"/>
      <c r="AH2478" s="4"/>
      <c r="AI2478" s="4"/>
      <c r="AJ2478" s="4"/>
      <c r="AK2478" s="4"/>
      <c r="AL2478" s="4"/>
      <c r="AM2478" s="4"/>
      <c r="AN2478" s="4"/>
      <c r="AO2478" s="4"/>
      <c r="AP2478" s="4"/>
      <c r="AQ2478" s="4"/>
      <c r="AR2478" s="4"/>
      <c r="AS2478" s="4"/>
      <c r="AT2478" s="4"/>
      <c r="AU2478" s="4"/>
      <c r="AV2478" s="4"/>
      <c r="AW2478" s="4"/>
      <c r="AX2478" s="4"/>
      <c r="AY2478" s="4"/>
      <c r="AZ2478" s="4"/>
      <c r="BA2478" s="4"/>
      <c r="BB2478" s="4"/>
      <c r="BC2478" s="4"/>
      <c r="BD2478" s="4"/>
      <c r="BE2478" s="4"/>
      <c r="BF2478" s="4"/>
      <c r="BG2478" s="4"/>
      <c r="BH2478" s="4"/>
      <c r="BI2478" s="4"/>
      <c r="BJ2478" s="4"/>
      <c r="BK2478" s="4"/>
      <c r="BL2478" s="4"/>
      <c r="BM2478" s="4"/>
      <c r="BN2478" s="4"/>
      <c r="BO2478" s="4"/>
      <c r="BP2478" s="4"/>
      <c r="BQ2478" s="4"/>
      <c r="BR2478" s="4"/>
      <c r="BS2478" s="4"/>
      <c r="BT2478" s="4"/>
      <c r="BU2478" s="4"/>
      <c r="BV2478" s="4"/>
      <c r="BW2478" s="4"/>
      <c r="BX2478" s="4"/>
      <c r="BY2478" s="4"/>
      <c r="BZ2478" s="4"/>
      <c r="CA2478" s="4"/>
      <c r="CB2478" s="4"/>
      <c r="CC2478" s="4"/>
      <c r="CD2478" s="4"/>
      <c r="CE2478" s="4"/>
      <c r="CF2478" s="4"/>
      <c r="CG2478" s="4"/>
      <c r="CH2478" s="4"/>
      <c r="CI2478" s="4"/>
      <c r="CJ2478" s="4"/>
      <c r="CK2478" s="4"/>
      <c r="CL2478" s="4"/>
      <c r="CM2478" s="4"/>
      <c r="CN2478" s="4"/>
      <c r="CO2478" s="4"/>
      <c r="CP2478" s="4"/>
      <c r="CQ2478" s="4"/>
      <c r="CR2478" s="4"/>
      <c r="CS2478" s="4"/>
      <c r="CT2478" s="4"/>
      <c r="CU2478" s="4"/>
      <c r="CV2478" s="4"/>
      <c r="CW2478" s="4"/>
      <c r="CX2478" s="4"/>
      <c r="CY2478" s="4"/>
      <c r="CZ2478" s="4"/>
      <c r="DA2478" s="4"/>
      <c r="DB2478" s="4"/>
      <c r="DC2478" s="4"/>
      <c r="DD2478" s="4"/>
      <c r="DE2478" s="4"/>
      <c r="DF2478" s="4"/>
      <c r="DG2478" s="4"/>
      <c r="DH2478" s="4"/>
      <c r="DI2478" s="4"/>
      <c r="DJ2478" s="4"/>
      <c r="DK2478" s="4"/>
      <c r="DL2478" s="4"/>
      <c r="DM2478" s="4"/>
      <c r="DN2478" s="4"/>
      <c r="DO2478" s="4"/>
      <c r="DP2478" s="4"/>
      <c r="DQ2478" s="4"/>
      <c r="DR2478" s="4"/>
      <c r="DS2478" s="4"/>
    </row>
    <row r="2479">
      <c r="A2479" s="4"/>
      <c r="B2479" s="4"/>
      <c r="C2479" s="4"/>
      <c r="D2479" s="4"/>
      <c r="E2479" s="4"/>
      <c r="F2479" s="4" t="s">
        <v>17</v>
      </c>
      <c r="G2479" s="15"/>
      <c r="H2479" s="4"/>
      <c r="I2479" s="4"/>
      <c r="J2479" s="4"/>
      <c r="K2479" s="4"/>
      <c r="L2479" s="4"/>
      <c r="M2479" s="4"/>
      <c r="N2479" s="4"/>
      <c r="O2479" s="4"/>
      <c r="P2479" s="4"/>
      <c r="Q2479" s="4"/>
      <c r="R2479" s="4"/>
      <c r="S2479" s="4"/>
      <c r="T2479" s="4"/>
      <c r="U2479" s="4"/>
      <c r="V2479" s="4"/>
      <c r="W2479" s="4"/>
      <c r="X2479" s="4"/>
      <c r="Y2479" s="4"/>
      <c r="Z2479" s="4"/>
      <c r="AA2479" s="4"/>
      <c r="AB2479" s="4"/>
      <c r="AC2479" s="4"/>
      <c r="AD2479" s="4"/>
      <c r="AE2479" s="4"/>
      <c r="AF2479" s="4"/>
      <c r="AG2479" s="4"/>
      <c r="AH2479" s="4"/>
      <c r="AI2479" s="4"/>
      <c r="AJ2479" s="4"/>
      <c r="AK2479" s="4"/>
      <c r="AL2479" s="4"/>
      <c r="AM2479" s="4"/>
      <c r="AN2479" s="4"/>
      <c r="AO2479" s="4"/>
      <c r="AP2479" s="4"/>
      <c r="AQ2479" s="4"/>
      <c r="AR2479" s="4"/>
      <c r="AS2479" s="4"/>
      <c r="AT2479" s="4"/>
      <c r="AU2479" s="4"/>
      <c r="AV2479" s="4"/>
      <c r="AW2479" s="4"/>
      <c r="AX2479" s="4"/>
      <c r="AY2479" s="4"/>
      <c r="AZ2479" s="4"/>
      <c r="BA2479" s="4"/>
      <c r="BB2479" s="4"/>
      <c r="BC2479" s="4"/>
      <c r="BD2479" s="4"/>
      <c r="BE2479" s="4"/>
      <c r="BF2479" s="4"/>
      <c r="BG2479" s="4"/>
      <c r="BH2479" s="4"/>
      <c r="BI2479" s="4"/>
      <c r="BJ2479" s="4"/>
      <c r="BK2479" s="4"/>
      <c r="BL2479" s="4"/>
      <c r="BM2479" s="4"/>
      <c r="BN2479" s="4"/>
      <c r="BO2479" s="4"/>
      <c r="BP2479" s="4"/>
      <c r="BQ2479" s="4"/>
      <c r="BR2479" s="4"/>
      <c r="BS2479" s="4"/>
      <c r="BT2479" s="4"/>
      <c r="BU2479" s="4"/>
      <c r="BV2479" s="4"/>
      <c r="BW2479" s="4"/>
      <c r="BX2479" s="4"/>
      <c r="BY2479" s="4"/>
      <c r="BZ2479" s="4"/>
      <c r="CA2479" s="4"/>
      <c r="CB2479" s="4"/>
      <c r="CC2479" s="4"/>
      <c r="CD2479" s="4"/>
      <c r="CE2479" s="4"/>
      <c r="CF2479" s="4"/>
      <c r="CG2479" s="4"/>
      <c r="CH2479" s="4"/>
      <c r="CI2479" s="4"/>
      <c r="CJ2479" s="4"/>
      <c r="CK2479" s="4"/>
      <c r="CL2479" s="4"/>
      <c r="CM2479" s="4"/>
      <c r="CN2479" s="4"/>
      <c r="CO2479" s="4"/>
      <c r="CP2479" s="4"/>
      <c r="CQ2479" s="4"/>
      <c r="CR2479" s="4"/>
      <c r="CS2479" s="4"/>
      <c r="CT2479" s="4"/>
      <c r="CU2479" s="4"/>
      <c r="CV2479" s="4"/>
      <c r="CW2479" s="4"/>
      <c r="CX2479" s="4"/>
      <c r="CY2479" s="4"/>
      <c r="CZ2479" s="4"/>
      <c r="DA2479" s="4"/>
      <c r="DB2479" s="4"/>
      <c r="DC2479" s="4"/>
      <c r="DD2479" s="4"/>
      <c r="DE2479" s="4"/>
      <c r="DF2479" s="4"/>
      <c r="DG2479" s="4"/>
      <c r="DH2479" s="4"/>
      <c r="DI2479" s="4"/>
      <c r="DJ2479" s="4"/>
      <c r="DK2479" s="4"/>
      <c r="DL2479" s="4"/>
      <c r="DM2479" s="4"/>
      <c r="DN2479" s="4"/>
      <c r="DO2479" s="4"/>
      <c r="DP2479" s="4"/>
      <c r="DQ2479" s="4"/>
      <c r="DR2479" s="4"/>
      <c r="DS2479" s="4"/>
    </row>
    <row r="2480">
      <c r="A2480" s="4"/>
      <c r="B2480" s="4"/>
      <c r="C2480" s="4"/>
      <c r="D2480" s="4"/>
      <c r="E2480" s="4"/>
      <c r="F2480" s="4" t="s">
        <v>17</v>
      </c>
      <c r="G2480" s="15"/>
      <c r="H2480" s="4"/>
      <c r="I2480" s="4"/>
      <c r="J2480" s="4"/>
      <c r="K2480" s="4"/>
      <c r="L2480" s="4"/>
      <c r="M2480" s="4"/>
      <c r="N2480" s="4"/>
      <c r="O2480" s="4"/>
      <c r="P2480" s="4"/>
      <c r="Q2480" s="4"/>
      <c r="R2480" s="4"/>
      <c r="S2480" s="4"/>
      <c r="T2480" s="4"/>
      <c r="U2480" s="4"/>
      <c r="V2480" s="4"/>
      <c r="W2480" s="4"/>
      <c r="X2480" s="4"/>
      <c r="Y2480" s="4"/>
      <c r="Z2480" s="4"/>
      <c r="AA2480" s="4"/>
      <c r="AB2480" s="4"/>
      <c r="AC2480" s="4"/>
      <c r="AD2480" s="4"/>
      <c r="AE2480" s="4"/>
      <c r="AF2480" s="4"/>
      <c r="AG2480" s="4"/>
      <c r="AH2480" s="4"/>
      <c r="AI2480" s="4"/>
      <c r="AJ2480" s="4"/>
      <c r="AK2480" s="4"/>
      <c r="AL2480" s="4"/>
      <c r="AM2480" s="4"/>
      <c r="AN2480" s="4"/>
      <c r="AO2480" s="4"/>
      <c r="AP2480" s="4"/>
      <c r="AQ2480" s="4"/>
      <c r="AR2480" s="4"/>
      <c r="AS2480" s="4"/>
      <c r="AT2480" s="4"/>
      <c r="AU2480" s="4"/>
      <c r="AV2480" s="4"/>
      <c r="AW2480" s="4"/>
      <c r="AX2480" s="4"/>
      <c r="AY2480" s="4"/>
      <c r="AZ2480" s="4"/>
      <c r="BA2480" s="4"/>
      <c r="BB2480" s="4"/>
      <c r="BC2480" s="4"/>
      <c r="BD2480" s="4"/>
      <c r="BE2480" s="4"/>
      <c r="BF2480" s="4"/>
      <c r="BG2480" s="4"/>
      <c r="BH2480" s="4"/>
      <c r="BI2480" s="4"/>
      <c r="BJ2480" s="4"/>
      <c r="BK2480" s="4"/>
      <c r="BL2480" s="4"/>
      <c r="BM2480" s="4"/>
      <c r="BN2480" s="4"/>
      <c r="BO2480" s="4"/>
      <c r="BP2480" s="4"/>
      <c r="BQ2480" s="4"/>
      <c r="BR2480" s="4"/>
      <c r="BS2480" s="4"/>
      <c r="BT2480" s="4"/>
      <c r="BU2480" s="4"/>
      <c r="BV2480" s="4"/>
      <c r="BW2480" s="4"/>
      <c r="BX2480" s="4"/>
      <c r="BY2480" s="4"/>
      <c r="BZ2480" s="4"/>
      <c r="CA2480" s="4"/>
      <c r="CB2480" s="4"/>
      <c r="CC2480" s="4"/>
      <c r="CD2480" s="4"/>
      <c r="CE2480" s="4"/>
      <c r="CF2480" s="4"/>
      <c r="CG2480" s="4"/>
      <c r="CH2480" s="4"/>
      <c r="CI2480" s="4"/>
      <c r="CJ2480" s="4"/>
      <c r="CK2480" s="4"/>
      <c r="CL2480" s="4"/>
      <c r="CM2480" s="4"/>
      <c r="CN2480" s="4"/>
      <c r="CO2480" s="4"/>
      <c r="CP2480" s="4"/>
      <c r="CQ2480" s="4"/>
      <c r="CR2480" s="4"/>
      <c r="CS2480" s="4"/>
      <c r="CT2480" s="4"/>
      <c r="CU2480" s="4"/>
      <c r="CV2480" s="4"/>
      <c r="CW2480" s="4"/>
      <c r="CX2480" s="4"/>
      <c r="CY2480" s="4"/>
      <c r="CZ2480" s="4"/>
      <c r="DA2480" s="4"/>
      <c r="DB2480" s="4"/>
      <c r="DC2480" s="4"/>
      <c r="DD2480" s="4"/>
      <c r="DE2480" s="4"/>
      <c r="DF2480" s="4"/>
      <c r="DG2480" s="4"/>
      <c r="DH2480" s="4"/>
      <c r="DI2480" s="4"/>
      <c r="DJ2480" s="4"/>
      <c r="DK2480" s="4"/>
      <c r="DL2480" s="4"/>
      <c r="DM2480" s="4"/>
      <c r="DN2480" s="4"/>
      <c r="DO2480" s="4"/>
      <c r="DP2480" s="4"/>
      <c r="DQ2480" s="4"/>
      <c r="DR2480" s="4"/>
      <c r="DS2480" s="4"/>
    </row>
    <row r="2481">
      <c r="A2481" s="4"/>
      <c r="B2481" s="4"/>
      <c r="C2481" s="4"/>
      <c r="D2481" s="4"/>
      <c r="E2481" s="4"/>
      <c r="F2481" s="4" t="s">
        <v>17</v>
      </c>
      <c r="G2481" s="15"/>
      <c r="H2481" s="4"/>
      <c r="I2481" s="4"/>
      <c r="J2481" s="4"/>
      <c r="K2481" s="4"/>
      <c r="L2481" s="4"/>
      <c r="M2481" s="4"/>
      <c r="N2481" s="4"/>
      <c r="O2481" s="4"/>
      <c r="P2481" s="4"/>
      <c r="Q2481" s="4"/>
      <c r="R2481" s="4"/>
      <c r="S2481" s="4"/>
      <c r="T2481" s="4"/>
      <c r="U2481" s="4"/>
      <c r="V2481" s="4"/>
      <c r="W2481" s="4"/>
      <c r="X2481" s="4"/>
      <c r="Y2481" s="4"/>
      <c r="Z2481" s="4"/>
      <c r="AA2481" s="4"/>
      <c r="AB2481" s="4"/>
      <c r="AC2481" s="4"/>
      <c r="AD2481" s="4"/>
      <c r="AE2481" s="4"/>
      <c r="AF2481" s="4"/>
      <c r="AG2481" s="4"/>
      <c r="AH2481" s="4"/>
      <c r="AI2481" s="4"/>
      <c r="AJ2481" s="4"/>
      <c r="AK2481" s="4"/>
      <c r="AL2481" s="4"/>
      <c r="AM2481" s="4"/>
      <c r="AN2481" s="4"/>
      <c r="AO2481" s="4"/>
      <c r="AP2481" s="4"/>
      <c r="AQ2481" s="4"/>
      <c r="AR2481" s="4"/>
      <c r="AS2481" s="4"/>
      <c r="AT2481" s="4"/>
      <c r="AU2481" s="4"/>
      <c r="AV2481" s="4"/>
      <c r="AW2481" s="4"/>
      <c r="AX2481" s="4"/>
      <c r="AY2481" s="4"/>
      <c r="AZ2481" s="4"/>
      <c r="BA2481" s="4"/>
      <c r="BB2481" s="4"/>
      <c r="BC2481" s="4"/>
      <c r="BD2481" s="4"/>
      <c r="BE2481" s="4"/>
      <c r="BF2481" s="4"/>
      <c r="BG2481" s="4"/>
      <c r="BH2481" s="4"/>
      <c r="BI2481" s="4"/>
      <c r="BJ2481" s="4"/>
      <c r="BK2481" s="4"/>
      <c r="BL2481" s="4"/>
      <c r="BM2481" s="4"/>
      <c r="BN2481" s="4"/>
      <c r="BO2481" s="4"/>
      <c r="BP2481" s="4"/>
      <c r="BQ2481" s="4"/>
      <c r="BR2481" s="4"/>
      <c r="BS2481" s="4"/>
      <c r="BT2481" s="4"/>
      <c r="BU2481" s="4"/>
      <c r="BV2481" s="4"/>
      <c r="BW2481" s="4"/>
      <c r="BX2481" s="4"/>
      <c r="BY2481" s="4"/>
      <c r="BZ2481" s="4"/>
      <c r="CA2481" s="4"/>
      <c r="CB2481" s="4"/>
      <c r="CC2481" s="4"/>
      <c r="CD2481" s="4"/>
      <c r="CE2481" s="4"/>
      <c r="CF2481" s="4"/>
      <c r="CG2481" s="4"/>
      <c r="CH2481" s="4"/>
      <c r="CI2481" s="4"/>
      <c r="CJ2481" s="4"/>
      <c r="CK2481" s="4"/>
      <c r="CL2481" s="4"/>
      <c r="CM2481" s="4"/>
      <c r="CN2481" s="4"/>
      <c r="CO2481" s="4"/>
      <c r="CP2481" s="4"/>
      <c r="CQ2481" s="4"/>
      <c r="CR2481" s="4"/>
      <c r="CS2481" s="4"/>
      <c r="CT2481" s="4"/>
      <c r="CU2481" s="4"/>
      <c r="CV2481" s="4"/>
      <c r="CW2481" s="4"/>
      <c r="CX2481" s="4"/>
      <c r="CY2481" s="4"/>
      <c r="CZ2481" s="4"/>
      <c r="DA2481" s="4"/>
      <c r="DB2481" s="4"/>
      <c r="DC2481" s="4"/>
      <c r="DD2481" s="4"/>
      <c r="DE2481" s="4"/>
      <c r="DF2481" s="4"/>
      <c r="DG2481" s="4"/>
      <c r="DH2481" s="4"/>
      <c r="DI2481" s="4"/>
      <c r="DJ2481" s="4"/>
      <c r="DK2481" s="4"/>
      <c r="DL2481" s="4"/>
      <c r="DM2481" s="4"/>
      <c r="DN2481" s="4"/>
      <c r="DO2481" s="4"/>
      <c r="DP2481" s="4"/>
      <c r="DQ2481" s="4"/>
      <c r="DR2481" s="4"/>
      <c r="DS2481" s="4"/>
    </row>
    <row r="2482">
      <c r="A2482" s="4"/>
      <c r="B2482" s="4"/>
      <c r="C2482" s="4"/>
      <c r="D2482" s="4"/>
      <c r="E2482" s="4"/>
      <c r="F2482" s="4" t="s">
        <v>17</v>
      </c>
      <c r="G2482" s="15"/>
      <c r="H2482" s="4"/>
      <c r="I2482" s="4"/>
      <c r="J2482" s="4"/>
      <c r="K2482" s="4"/>
      <c r="L2482" s="4"/>
      <c r="M2482" s="4"/>
      <c r="N2482" s="4"/>
      <c r="O2482" s="4"/>
      <c r="P2482" s="4"/>
      <c r="Q2482" s="4"/>
      <c r="R2482" s="4"/>
      <c r="S2482" s="4"/>
      <c r="T2482" s="4"/>
      <c r="U2482" s="4"/>
      <c r="V2482" s="4"/>
      <c r="W2482" s="4"/>
      <c r="X2482" s="4"/>
      <c r="Y2482" s="4"/>
      <c r="Z2482" s="4"/>
      <c r="AA2482" s="4"/>
      <c r="AB2482" s="4"/>
      <c r="AC2482" s="4"/>
      <c r="AD2482" s="4"/>
      <c r="AE2482" s="4"/>
      <c r="AF2482" s="4"/>
      <c r="AG2482" s="4"/>
      <c r="AH2482" s="4"/>
      <c r="AI2482" s="4"/>
      <c r="AJ2482" s="4"/>
      <c r="AK2482" s="4"/>
      <c r="AL2482" s="4"/>
      <c r="AM2482" s="4"/>
      <c r="AN2482" s="4"/>
      <c r="AO2482" s="4"/>
      <c r="AP2482" s="4"/>
      <c r="AQ2482" s="4"/>
      <c r="AR2482" s="4"/>
      <c r="AS2482" s="4"/>
      <c r="AT2482" s="4"/>
      <c r="AU2482" s="4"/>
      <c r="AV2482" s="4"/>
      <c r="AW2482" s="4"/>
      <c r="AX2482" s="4"/>
      <c r="AY2482" s="4"/>
      <c r="AZ2482" s="4"/>
      <c r="BA2482" s="4"/>
      <c r="BB2482" s="4"/>
      <c r="BC2482" s="4"/>
      <c r="BD2482" s="4"/>
      <c r="BE2482" s="4"/>
      <c r="BF2482" s="4"/>
      <c r="BG2482" s="4"/>
      <c r="BH2482" s="4"/>
      <c r="BI2482" s="4"/>
      <c r="BJ2482" s="4"/>
      <c r="BK2482" s="4"/>
      <c r="BL2482" s="4"/>
      <c r="BM2482" s="4"/>
      <c r="BN2482" s="4"/>
      <c r="BO2482" s="4"/>
      <c r="BP2482" s="4"/>
      <c r="BQ2482" s="4"/>
      <c r="BR2482" s="4"/>
      <c r="BS2482" s="4"/>
      <c r="BT2482" s="4"/>
      <c r="BU2482" s="4"/>
      <c r="BV2482" s="4"/>
      <c r="BW2482" s="4"/>
      <c r="BX2482" s="4"/>
      <c r="BY2482" s="4"/>
      <c r="BZ2482" s="4"/>
      <c r="CA2482" s="4"/>
      <c r="CB2482" s="4"/>
      <c r="CC2482" s="4"/>
      <c r="CD2482" s="4"/>
      <c r="CE2482" s="4"/>
      <c r="CF2482" s="4"/>
      <c r="CG2482" s="4"/>
      <c r="CH2482" s="4"/>
      <c r="CI2482" s="4"/>
      <c r="CJ2482" s="4"/>
      <c r="CK2482" s="4"/>
      <c r="CL2482" s="4"/>
      <c r="CM2482" s="4"/>
      <c r="CN2482" s="4"/>
      <c r="CO2482" s="4"/>
      <c r="CP2482" s="4"/>
      <c r="CQ2482" s="4"/>
      <c r="CR2482" s="4"/>
      <c r="CS2482" s="4"/>
      <c r="CT2482" s="4"/>
      <c r="CU2482" s="4"/>
      <c r="CV2482" s="4"/>
      <c r="CW2482" s="4"/>
      <c r="CX2482" s="4"/>
      <c r="CY2482" s="4"/>
      <c r="CZ2482" s="4"/>
      <c r="DA2482" s="4"/>
      <c r="DB2482" s="4"/>
      <c r="DC2482" s="4"/>
      <c r="DD2482" s="4"/>
      <c r="DE2482" s="4"/>
      <c r="DF2482" s="4"/>
      <c r="DG2482" s="4"/>
      <c r="DH2482" s="4"/>
      <c r="DI2482" s="4"/>
      <c r="DJ2482" s="4"/>
      <c r="DK2482" s="4"/>
      <c r="DL2482" s="4"/>
      <c r="DM2482" s="4"/>
      <c r="DN2482" s="4"/>
      <c r="DO2482" s="4"/>
      <c r="DP2482" s="4"/>
      <c r="DQ2482" s="4"/>
      <c r="DR2482" s="4"/>
      <c r="DS2482" s="4"/>
    </row>
    <row r="2483">
      <c r="A2483" s="4"/>
      <c r="B2483" s="4"/>
      <c r="C2483" s="4"/>
      <c r="D2483" s="4"/>
      <c r="E2483" s="4"/>
      <c r="F2483" s="4" t="s">
        <v>17</v>
      </c>
      <c r="G2483" s="15"/>
      <c r="H2483" s="4"/>
      <c r="I2483" s="4"/>
      <c r="J2483" s="4"/>
      <c r="K2483" s="4"/>
      <c r="L2483" s="4"/>
      <c r="M2483" s="4"/>
      <c r="N2483" s="4"/>
      <c r="O2483" s="4"/>
      <c r="P2483" s="4"/>
      <c r="Q2483" s="4"/>
      <c r="R2483" s="4"/>
      <c r="S2483" s="4"/>
      <c r="T2483" s="4"/>
      <c r="U2483" s="4"/>
      <c r="V2483" s="4"/>
      <c r="W2483" s="4"/>
      <c r="X2483" s="4"/>
      <c r="Y2483" s="4"/>
      <c r="Z2483" s="4"/>
      <c r="AA2483" s="4"/>
      <c r="AB2483" s="4"/>
      <c r="AC2483" s="4"/>
      <c r="AD2483" s="4"/>
      <c r="AE2483" s="4"/>
      <c r="AF2483" s="4"/>
      <c r="AG2483" s="4"/>
      <c r="AH2483" s="4"/>
      <c r="AI2483" s="4"/>
      <c r="AJ2483" s="4"/>
      <c r="AK2483" s="4"/>
      <c r="AL2483" s="4"/>
      <c r="AM2483" s="4"/>
      <c r="AN2483" s="4"/>
      <c r="AO2483" s="4"/>
      <c r="AP2483" s="4"/>
      <c r="AQ2483" s="4"/>
      <c r="AR2483" s="4"/>
      <c r="AS2483" s="4"/>
      <c r="AT2483" s="4"/>
      <c r="AU2483" s="4"/>
      <c r="AV2483" s="4"/>
      <c r="AW2483" s="4"/>
      <c r="AX2483" s="4"/>
      <c r="AY2483" s="4"/>
      <c r="AZ2483" s="4"/>
      <c r="BA2483" s="4"/>
      <c r="BB2483" s="4"/>
      <c r="BC2483" s="4"/>
      <c r="BD2483" s="4"/>
      <c r="BE2483" s="4"/>
      <c r="BF2483" s="4"/>
      <c r="BG2483" s="4"/>
      <c r="BH2483" s="4"/>
      <c r="BI2483" s="4"/>
      <c r="BJ2483" s="4"/>
      <c r="BK2483" s="4"/>
      <c r="BL2483" s="4"/>
      <c r="BM2483" s="4"/>
      <c r="BN2483" s="4"/>
      <c r="BO2483" s="4"/>
      <c r="BP2483" s="4"/>
      <c r="BQ2483" s="4"/>
      <c r="BR2483" s="4"/>
      <c r="BS2483" s="4"/>
      <c r="BT2483" s="4"/>
      <c r="BU2483" s="4"/>
      <c r="BV2483" s="4"/>
      <c r="BW2483" s="4"/>
      <c r="BX2483" s="4"/>
      <c r="BY2483" s="4"/>
      <c r="BZ2483" s="4"/>
      <c r="CA2483" s="4"/>
      <c r="CB2483" s="4"/>
      <c r="CC2483" s="4"/>
      <c r="CD2483" s="4"/>
      <c r="CE2483" s="4"/>
      <c r="CF2483" s="4"/>
      <c r="CG2483" s="4"/>
      <c r="CH2483" s="4"/>
      <c r="CI2483" s="4"/>
      <c r="CJ2483" s="4"/>
      <c r="CK2483" s="4"/>
      <c r="CL2483" s="4"/>
      <c r="CM2483" s="4"/>
      <c r="CN2483" s="4"/>
      <c r="CO2483" s="4"/>
      <c r="CP2483" s="4"/>
      <c r="CQ2483" s="4"/>
      <c r="CR2483" s="4"/>
      <c r="CS2483" s="4"/>
      <c r="CT2483" s="4"/>
      <c r="CU2483" s="4"/>
      <c r="CV2483" s="4"/>
      <c r="CW2483" s="4"/>
      <c r="CX2483" s="4"/>
      <c r="CY2483" s="4"/>
      <c r="CZ2483" s="4"/>
      <c r="DA2483" s="4"/>
      <c r="DB2483" s="4"/>
      <c r="DC2483" s="4"/>
      <c r="DD2483" s="4"/>
      <c r="DE2483" s="4"/>
      <c r="DF2483" s="4"/>
      <c r="DG2483" s="4"/>
      <c r="DH2483" s="4"/>
      <c r="DI2483" s="4"/>
      <c r="DJ2483" s="4"/>
      <c r="DK2483" s="4"/>
      <c r="DL2483" s="4"/>
      <c r="DM2483" s="4"/>
      <c r="DN2483" s="4"/>
      <c r="DO2483" s="4"/>
      <c r="DP2483" s="4"/>
      <c r="DQ2483" s="4"/>
      <c r="DR2483" s="4"/>
      <c r="DS2483" s="4"/>
    </row>
    <row r="2484">
      <c r="A2484" s="4"/>
      <c r="B2484" s="4"/>
      <c r="C2484" s="4"/>
      <c r="D2484" s="4"/>
      <c r="E2484" s="4"/>
      <c r="F2484" s="4" t="s">
        <v>17</v>
      </c>
      <c r="G2484" s="15"/>
      <c r="H2484" s="4"/>
      <c r="I2484" s="4"/>
      <c r="J2484" s="4"/>
      <c r="K2484" s="4"/>
      <c r="L2484" s="4"/>
      <c r="M2484" s="4"/>
      <c r="N2484" s="4"/>
      <c r="O2484" s="4"/>
      <c r="P2484" s="4"/>
      <c r="Q2484" s="4"/>
      <c r="R2484" s="4"/>
      <c r="S2484" s="4"/>
      <c r="T2484" s="4"/>
      <c r="U2484" s="4"/>
      <c r="V2484" s="4"/>
      <c r="W2484" s="4"/>
      <c r="X2484" s="4"/>
      <c r="Y2484" s="4"/>
      <c r="Z2484" s="4"/>
      <c r="AA2484" s="4"/>
      <c r="AB2484" s="4"/>
      <c r="AC2484" s="4"/>
      <c r="AD2484" s="4"/>
      <c r="AE2484" s="4"/>
      <c r="AF2484" s="4"/>
      <c r="AG2484" s="4"/>
      <c r="AH2484" s="4"/>
      <c r="AI2484" s="4"/>
      <c r="AJ2484" s="4"/>
      <c r="AK2484" s="4"/>
      <c r="AL2484" s="4"/>
      <c r="AM2484" s="4"/>
      <c r="AN2484" s="4"/>
      <c r="AO2484" s="4"/>
      <c r="AP2484" s="4"/>
      <c r="AQ2484" s="4"/>
      <c r="AR2484" s="4"/>
      <c r="AS2484" s="4"/>
      <c r="AT2484" s="4"/>
      <c r="AU2484" s="4"/>
      <c r="AV2484" s="4"/>
      <c r="AW2484" s="4"/>
      <c r="AX2484" s="4"/>
      <c r="AY2484" s="4"/>
      <c r="AZ2484" s="4"/>
      <c r="BA2484" s="4"/>
      <c r="BB2484" s="4"/>
      <c r="BC2484" s="4"/>
      <c r="BD2484" s="4"/>
      <c r="BE2484" s="4"/>
      <c r="BF2484" s="4"/>
      <c r="BG2484" s="4"/>
      <c r="BH2484" s="4"/>
      <c r="BI2484" s="4"/>
      <c r="BJ2484" s="4"/>
      <c r="BK2484" s="4"/>
      <c r="BL2484" s="4"/>
      <c r="BM2484" s="4"/>
      <c r="BN2484" s="4"/>
      <c r="BO2484" s="4"/>
      <c r="BP2484" s="4"/>
      <c r="BQ2484" s="4"/>
      <c r="BR2484" s="4"/>
      <c r="BS2484" s="4"/>
      <c r="BT2484" s="4"/>
      <c r="BU2484" s="4"/>
      <c r="BV2484" s="4"/>
      <c r="BW2484" s="4"/>
      <c r="BX2484" s="4"/>
      <c r="BY2484" s="4"/>
      <c r="BZ2484" s="4"/>
      <c r="CA2484" s="4"/>
      <c r="CB2484" s="4"/>
      <c r="CC2484" s="4"/>
      <c r="CD2484" s="4"/>
      <c r="CE2484" s="4"/>
      <c r="CF2484" s="4"/>
      <c r="CG2484" s="4"/>
      <c r="CH2484" s="4"/>
      <c r="CI2484" s="4"/>
      <c r="CJ2484" s="4"/>
      <c r="CK2484" s="4"/>
      <c r="CL2484" s="4"/>
      <c r="CM2484" s="4"/>
      <c r="CN2484" s="4"/>
      <c r="CO2484" s="4"/>
      <c r="CP2484" s="4"/>
      <c r="CQ2484" s="4"/>
      <c r="CR2484" s="4"/>
      <c r="CS2484" s="4"/>
      <c r="CT2484" s="4"/>
      <c r="CU2484" s="4"/>
      <c r="CV2484" s="4"/>
      <c r="CW2484" s="4"/>
      <c r="CX2484" s="4"/>
      <c r="CY2484" s="4"/>
      <c r="CZ2484" s="4"/>
      <c r="DA2484" s="4"/>
      <c r="DB2484" s="4"/>
      <c r="DC2484" s="4"/>
      <c r="DD2484" s="4"/>
      <c r="DE2484" s="4"/>
      <c r="DF2484" s="4"/>
      <c r="DG2484" s="4"/>
      <c r="DH2484" s="4"/>
      <c r="DI2484" s="4"/>
      <c r="DJ2484" s="4"/>
      <c r="DK2484" s="4"/>
      <c r="DL2484" s="4"/>
      <c r="DM2484" s="4"/>
      <c r="DN2484" s="4"/>
      <c r="DO2484" s="4"/>
      <c r="DP2484" s="4"/>
      <c r="DQ2484" s="4"/>
      <c r="DR2484" s="4"/>
      <c r="DS2484" s="4"/>
    </row>
    <row r="2485">
      <c r="A2485" s="4"/>
      <c r="B2485" s="4"/>
      <c r="C2485" s="4"/>
      <c r="D2485" s="4"/>
      <c r="E2485" s="4"/>
      <c r="F2485" s="4" t="s">
        <v>17</v>
      </c>
      <c r="G2485" s="15"/>
      <c r="H2485" s="4"/>
      <c r="I2485" s="4"/>
      <c r="J2485" s="4"/>
      <c r="K2485" s="4"/>
      <c r="L2485" s="4"/>
      <c r="M2485" s="4"/>
      <c r="N2485" s="4"/>
      <c r="O2485" s="4"/>
      <c r="P2485" s="4"/>
      <c r="Q2485" s="4"/>
      <c r="R2485" s="4"/>
      <c r="S2485" s="4"/>
      <c r="T2485" s="4"/>
      <c r="U2485" s="4"/>
      <c r="V2485" s="4"/>
      <c r="W2485" s="4"/>
      <c r="X2485" s="4"/>
      <c r="Y2485" s="4"/>
      <c r="Z2485" s="4"/>
      <c r="AA2485" s="4"/>
      <c r="AB2485" s="4"/>
      <c r="AC2485" s="4"/>
      <c r="AD2485" s="4"/>
      <c r="AE2485" s="4"/>
      <c r="AF2485" s="4"/>
      <c r="AG2485" s="4"/>
      <c r="AH2485" s="4"/>
      <c r="AI2485" s="4"/>
      <c r="AJ2485" s="4"/>
      <c r="AK2485" s="4"/>
      <c r="AL2485" s="4"/>
      <c r="AM2485" s="4"/>
      <c r="AN2485" s="4"/>
      <c r="AO2485" s="4"/>
      <c r="AP2485" s="4"/>
      <c r="AQ2485" s="4"/>
      <c r="AR2485" s="4"/>
      <c r="AS2485" s="4"/>
      <c r="AT2485" s="4"/>
      <c r="AU2485" s="4"/>
      <c r="AV2485" s="4"/>
      <c r="AW2485" s="4"/>
      <c r="AX2485" s="4"/>
      <c r="AY2485" s="4"/>
      <c r="AZ2485" s="4"/>
      <c r="BA2485" s="4"/>
      <c r="BB2485" s="4"/>
      <c r="BC2485" s="4"/>
      <c r="BD2485" s="4"/>
      <c r="BE2485" s="4"/>
      <c r="BF2485" s="4"/>
      <c r="BG2485" s="4"/>
      <c r="BH2485" s="4"/>
      <c r="BI2485" s="4"/>
      <c r="BJ2485" s="4"/>
      <c r="BK2485" s="4"/>
      <c r="BL2485" s="4"/>
      <c r="BM2485" s="4"/>
      <c r="BN2485" s="4"/>
      <c r="BO2485" s="4"/>
      <c r="BP2485" s="4"/>
      <c r="BQ2485" s="4"/>
      <c r="BR2485" s="4"/>
      <c r="BS2485" s="4"/>
      <c r="BT2485" s="4"/>
      <c r="BU2485" s="4"/>
      <c r="BV2485" s="4"/>
      <c r="BW2485" s="4"/>
      <c r="BX2485" s="4"/>
      <c r="BY2485" s="4"/>
      <c r="BZ2485" s="4"/>
      <c r="CA2485" s="4"/>
      <c r="CB2485" s="4"/>
      <c r="CC2485" s="4"/>
      <c r="CD2485" s="4"/>
      <c r="CE2485" s="4"/>
      <c r="CF2485" s="4"/>
      <c r="CG2485" s="4"/>
      <c r="CH2485" s="4"/>
      <c r="CI2485" s="4"/>
      <c r="CJ2485" s="4"/>
      <c r="CK2485" s="4"/>
      <c r="CL2485" s="4"/>
      <c r="CM2485" s="4"/>
      <c r="CN2485" s="4"/>
      <c r="CO2485" s="4"/>
      <c r="CP2485" s="4"/>
      <c r="CQ2485" s="4"/>
      <c r="CR2485" s="4"/>
      <c r="CS2485" s="4"/>
      <c r="CT2485" s="4"/>
      <c r="CU2485" s="4"/>
      <c r="CV2485" s="4"/>
      <c r="CW2485" s="4"/>
      <c r="CX2485" s="4"/>
      <c r="CY2485" s="4"/>
      <c r="CZ2485" s="4"/>
      <c r="DA2485" s="4"/>
      <c r="DB2485" s="4"/>
      <c r="DC2485" s="4"/>
      <c r="DD2485" s="4"/>
      <c r="DE2485" s="4"/>
      <c r="DF2485" s="4"/>
      <c r="DG2485" s="4"/>
      <c r="DH2485" s="4"/>
      <c r="DI2485" s="4"/>
      <c r="DJ2485" s="4"/>
      <c r="DK2485" s="4"/>
      <c r="DL2485" s="4"/>
      <c r="DM2485" s="4"/>
      <c r="DN2485" s="4"/>
      <c r="DO2485" s="4"/>
      <c r="DP2485" s="4"/>
      <c r="DQ2485" s="4"/>
      <c r="DR2485" s="4"/>
      <c r="DS2485" s="4"/>
    </row>
    <row r="2486">
      <c r="A2486" s="4"/>
      <c r="B2486" s="4"/>
      <c r="C2486" s="4"/>
      <c r="D2486" s="4"/>
      <c r="E2486" s="4"/>
      <c r="F2486" s="4" t="s">
        <v>17</v>
      </c>
      <c r="G2486" s="15"/>
      <c r="H2486" s="4"/>
      <c r="I2486" s="4"/>
      <c r="J2486" s="4"/>
      <c r="K2486" s="4"/>
      <c r="L2486" s="4"/>
      <c r="M2486" s="4"/>
      <c r="N2486" s="4"/>
      <c r="O2486" s="4"/>
      <c r="P2486" s="4"/>
      <c r="Q2486" s="4"/>
      <c r="R2486" s="4"/>
      <c r="S2486" s="4"/>
      <c r="T2486" s="4"/>
      <c r="U2486" s="4"/>
      <c r="V2486" s="4"/>
      <c r="W2486" s="4"/>
      <c r="X2486" s="4"/>
      <c r="Y2486" s="4"/>
      <c r="Z2486" s="4"/>
      <c r="AA2486" s="4"/>
      <c r="AB2486" s="4"/>
      <c r="AC2486" s="4"/>
      <c r="AD2486" s="4"/>
      <c r="AE2486" s="4"/>
      <c r="AF2486" s="4"/>
      <c r="AG2486" s="4"/>
      <c r="AH2486" s="4"/>
      <c r="AI2486" s="4"/>
      <c r="AJ2486" s="4"/>
      <c r="AK2486" s="4"/>
      <c r="AL2486" s="4"/>
      <c r="AM2486" s="4"/>
      <c r="AN2486" s="4"/>
      <c r="AO2486" s="4"/>
      <c r="AP2486" s="4"/>
      <c r="AQ2486" s="4"/>
      <c r="AR2486" s="4"/>
      <c r="AS2486" s="4"/>
      <c r="AT2486" s="4"/>
      <c r="AU2486" s="4"/>
      <c r="AV2486" s="4"/>
      <c r="AW2486" s="4"/>
      <c r="AX2486" s="4"/>
      <c r="AY2486" s="4"/>
      <c r="AZ2486" s="4"/>
      <c r="BA2486" s="4"/>
      <c r="BB2486" s="4"/>
      <c r="BC2486" s="4"/>
      <c r="BD2486" s="4"/>
      <c r="BE2486" s="4"/>
      <c r="BF2486" s="4"/>
      <c r="BG2486" s="4"/>
      <c r="BH2486" s="4"/>
      <c r="BI2486" s="4"/>
      <c r="BJ2486" s="4"/>
      <c r="BK2486" s="4"/>
      <c r="BL2486" s="4"/>
      <c r="BM2486" s="4"/>
      <c r="BN2486" s="4"/>
      <c r="BO2486" s="4"/>
      <c r="BP2486" s="4"/>
      <c r="BQ2486" s="4"/>
      <c r="BR2486" s="4"/>
      <c r="BS2486" s="4"/>
      <c r="BT2486" s="4"/>
      <c r="BU2486" s="4"/>
      <c r="BV2486" s="4"/>
      <c r="BW2486" s="4"/>
      <c r="BX2486" s="4"/>
      <c r="BY2486" s="4"/>
      <c r="BZ2486" s="4"/>
      <c r="CA2486" s="4"/>
      <c r="CB2486" s="4"/>
      <c r="CC2486" s="4"/>
      <c r="CD2486" s="4"/>
      <c r="CE2486" s="4"/>
      <c r="CF2486" s="4"/>
      <c r="CG2486" s="4"/>
      <c r="CH2486" s="4"/>
      <c r="CI2486" s="4"/>
      <c r="CJ2486" s="4"/>
      <c r="CK2486" s="4"/>
      <c r="CL2486" s="4"/>
      <c r="CM2486" s="4"/>
      <c r="CN2486" s="4"/>
      <c r="CO2486" s="4"/>
      <c r="CP2486" s="4"/>
      <c r="CQ2486" s="4"/>
      <c r="CR2486" s="4"/>
      <c r="CS2486" s="4"/>
      <c r="CT2486" s="4"/>
      <c r="CU2486" s="4"/>
      <c r="CV2486" s="4"/>
      <c r="CW2486" s="4"/>
      <c r="CX2486" s="4"/>
      <c r="CY2486" s="4"/>
      <c r="CZ2486" s="4"/>
      <c r="DA2486" s="4"/>
      <c r="DB2486" s="4"/>
      <c r="DC2486" s="4"/>
      <c r="DD2486" s="4"/>
      <c r="DE2486" s="4"/>
      <c r="DF2486" s="4"/>
      <c r="DG2486" s="4"/>
      <c r="DH2486" s="4"/>
      <c r="DI2486" s="4"/>
      <c r="DJ2486" s="4"/>
      <c r="DK2486" s="4"/>
      <c r="DL2486" s="4"/>
      <c r="DM2486" s="4"/>
      <c r="DN2486" s="4"/>
      <c r="DO2486" s="4"/>
      <c r="DP2486" s="4"/>
      <c r="DQ2486" s="4"/>
      <c r="DR2486" s="4"/>
      <c r="DS2486" s="4"/>
    </row>
    <row r="2487">
      <c r="A2487" s="4"/>
      <c r="B2487" s="4"/>
      <c r="C2487" s="4"/>
      <c r="D2487" s="4"/>
      <c r="E2487" s="4"/>
      <c r="F2487" s="4" t="s">
        <v>17</v>
      </c>
      <c r="G2487" s="15"/>
      <c r="H2487" s="4"/>
      <c r="I2487" s="4"/>
      <c r="J2487" s="4"/>
      <c r="K2487" s="4"/>
      <c r="L2487" s="4"/>
      <c r="M2487" s="4"/>
      <c r="N2487" s="4"/>
      <c r="O2487" s="4"/>
      <c r="P2487" s="4"/>
      <c r="Q2487" s="4"/>
      <c r="R2487" s="4"/>
      <c r="S2487" s="4"/>
      <c r="T2487" s="4"/>
      <c r="U2487" s="4"/>
      <c r="V2487" s="4"/>
      <c r="W2487" s="4"/>
      <c r="X2487" s="4"/>
      <c r="Y2487" s="4"/>
      <c r="Z2487" s="4"/>
      <c r="AA2487" s="4"/>
      <c r="AB2487" s="4"/>
      <c r="AC2487" s="4"/>
      <c r="AD2487" s="4"/>
      <c r="AE2487" s="4"/>
      <c r="AF2487" s="4"/>
      <c r="AG2487" s="4"/>
      <c r="AH2487" s="4"/>
      <c r="AI2487" s="4"/>
      <c r="AJ2487" s="4"/>
      <c r="AK2487" s="4"/>
      <c r="AL2487" s="4"/>
      <c r="AM2487" s="4"/>
      <c r="AN2487" s="4"/>
      <c r="AO2487" s="4"/>
      <c r="AP2487" s="4"/>
      <c r="AQ2487" s="4"/>
      <c r="AR2487" s="4"/>
      <c r="AS2487" s="4"/>
      <c r="AT2487" s="4"/>
      <c r="AU2487" s="4"/>
      <c r="AV2487" s="4"/>
      <c r="AW2487" s="4"/>
      <c r="AX2487" s="4"/>
      <c r="AY2487" s="4"/>
      <c r="AZ2487" s="4"/>
      <c r="BA2487" s="4"/>
      <c r="BB2487" s="4"/>
      <c r="BC2487" s="4"/>
      <c r="BD2487" s="4"/>
      <c r="BE2487" s="4"/>
      <c r="BF2487" s="4"/>
      <c r="BG2487" s="4"/>
      <c r="BH2487" s="4"/>
      <c r="BI2487" s="4"/>
      <c r="BJ2487" s="4"/>
      <c r="BK2487" s="4"/>
      <c r="BL2487" s="4"/>
      <c r="BM2487" s="4"/>
      <c r="BN2487" s="4"/>
      <c r="BO2487" s="4"/>
      <c r="BP2487" s="4"/>
      <c r="BQ2487" s="4"/>
      <c r="BR2487" s="4"/>
      <c r="BS2487" s="4"/>
      <c r="BT2487" s="4"/>
      <c r="BU2487" s="4"/>
      <c r="BV2487" s="4"/>
      <c r="BW2487" s="4"/>
      <c r="BX2487" s="4"/>
      <c r="BY2487" s="4"/>
      <c r="BZ2487" s="4"/>
      <c r="CA2487" s="4"/>
      <c r="CB2487" s="4"/>
      <c r="CC2487" s="4"/>
      <c r="CD2487" s="4"/>
      <c r="CE2487" s="4"/>
      <c r="CF2487" s="4"/>
      <c r="CG2487" s="4"/>
      <c r="CH2487" s="4"/>
      <c r="CI2487" s="4"/>
      <c r="CJ2487" s="4"/>
      <c r="CK2487" s="4"/>
      <c r="CL2487" s="4"/>
      <c r="CM2487" s="4"/>
      <c r="CN2487" s="4"/>
      <c r="CO2487" s="4"/>
      <c r="CP2487" s="4"/>
      <c r="CQ2487" s="4"/>
      <c r="CR2487" s="4"/>
      <c r="CS2487" s="4"/>
      <c r="CT2487" s="4"/>
      <c r="CU2487" s="4"/>
      <c r="CV2487" s="4"/>
      <c r="CW2487" s="4"/>
      <c r="CX2487" s="4"/>
      <c r="CY2487" s="4"/>
      <c r="CZ2487" s="4"/>
      <c r="DA2487" s="4"/>
      <c r="DB2487" s="4"/>
      <c r="DC2487" s="4"/>
      <c r="DD2487" s="4"/>
      <c r="DE2487" s="4"/>
      <c r="DF2487" s="4"/>
      <c r="DG2487" s="4"/>
      <c r="DH2487" s="4"/>
      <c r="DI2487" s="4"/>
      <c r="DJ2487" s="4"/>
      <c r="DK2487" s="4"/>
      <c r="DL2487" s="4"/>
      <c r="DM2487" s="4"/>
      <c r="DN2487" s="4"/>
      <c r="DO2487" s="4"/>
      <c r="DP2487" s="4"/>
      <c r="DQ2487" s="4"/>
      <c r="DR2487" s="4"/>
      <c r="DS2487" s="4"/>
    </row>
    <row r="2488">
      <c r="A2488" s="4"/>
      <c r="B2488" s="4"/>
      <c r="C2488" s="4"/>
      <c r="D2488" s="4"/>
      <c r="E2488" s="4"/>
      <c r="F2488" s="4" t="s">
        <v>17</v>
      </c>
      <c r="G2488" s="15"/>
      <c r="H2488" s="4"/>
      <c r="I2488" s="4"/>
      <c r="J2488" s="4"/>
      <c r="K2488" s="4"/>
      <c r="L2488" s="4"/>
      <c r="M2488" s="4"/>
      <c r="N2488" s="4"/>
      <c r="O2488" s="4"/>
      <c r="P2488" s="4"/>
      <c r="Q2488" s="4"/>
      <c r="R2488" s="4"/>
      <c r="S2488" s="4"/>
      <c r="T2488" s="4"/>
      <c r="U2488" s="4"/>
      <c r="V2488" s="4"/>
      <c r="W2488" s="4"/>
      <c r="X2488" s="4"/>
      <c r="Y2488" s="4"/>
      <c r="Z2488" s="4"/>
      <c r="AA2488" s="4"/>
      <c r="AB2488" s="4"/>
      <c r="AC2488" s="4"/>
      <c r="AD2488" s="4"/>
      <c r="AE2488" s="4"/>
      <c r="AF2488" s="4"/>
      <c r="AG2488" s="4"/>
      <c r="AH2488" s="4"/>
      <c r="AI2488" s="4"/>
      <c r="AJ2488" s="4"/>
      <c r="AK2488" s="4"/>
      <c r="AL2488" s="4"/>
      <c r="AM2488" s="4"/>
      <c r="AN2488" s="4"/>
      <c r="AO2488" s="4"/>
      <c r="AP2488" s="4"/>
      <c r="AQ2488" s="4"/>
      <c r="AR2488" s="4"/>
      <c r="AS2488" s="4"/>
      <c r="AT2488" s="4"/>
      <c r="AU2488" s="4"/>
      <c r="AV2488" s="4"/>
      <c r="AW2488" s="4"/>
      <c r="AX2488" s="4"/>
      <c r="AY2488" s="4"/>
      <c r="AZ2488" s="4"/>
      <c r="BA2488" s="4"/>
      <c r="BB2488" s="4"/>
      <c r="BC2488" s="4"/>
      <c r="BD2488" s="4"/>
      <c r="BE2488" s="4"/>
      <c r="BF2488" s="4"/>
      <c r="BG2488" s="4"/>
      <c r="BH2488" s="4"/>
      <c r="BI2488" s="4"/>
      <c r="BJ2488" s="4"/>
      <c r="BK2488" s="4"/>
      <c r="BL2488" s="4"/>
      <c r="BM2488" s="4"/>
      <c r="BN2488" s="4"/>
      <c r="BO2488" s="4"/>
      <c r="BP2488" s="4"/>
      <c r="BQ2488" s="4"/>
      <c r="BR2488" s="4"/>
      <c r="BS2488" s="4"/>
      <c r="BT2488" s="4"/>
      <c r="BU2488" s="4"/>
      <c r="BV2488" s="4"/>
      <c r="BW2488" s="4"/>
      <c r="BX2488" s="4"/>
      <c r="BY2488" s="4"/>
      <c r="BZ2488" s="4"/>
      <c r="CA2488" s="4"/>
      <c r="CB2488" s="4"/>
      <c r="CC2488" s="4"/>
      <c r="CD2488" s="4"/>
      <c r="CE2488" s="4"/>
      <c r="CF2488" s="4"/>
      <c r="CG2488" s="4"/>
      <c r="CH2488" s="4"/>
      <c r="CI2488" s="4"/>
      <c r="CJ2488" s="4"/>
      <c r="CK2488" s="4"/>
      <c r="CL2488" s="4"/>
      <c r="CM2488" s="4"/>
      <c r="CN2488" s="4"/>
      <c r="CO2488" s="4"/>
      <c r="CP2488" s="4"/>
      <c r="CQ2488" s="4"/>
      <c r="CR2488" s="4"/>
      <c r="CS2488" s="4"/>
      <c r="CT2488" s="4"/>
      <c r="CU2488" s="4"/>
      <c r="CV2488" s="4"/>
      <c r="CW2488" s="4"/>
      <c r="CX2488" s="4"/>
      <c r="CY2488" s="4"/>
      <c r="CZ2488" s="4"/>
      <c r="DA2488" s="4"/>
      <c r="DB2488" s="4"/>
      <c r="DC2488" s="4"/>
      <c r="DD2488" s="4"/>
      <c r="DE2488" s="4"/>
      <c r="DF2488" s="4"/>
      <c r="DG2488" s="4"/>
      <c r="DH2488" s="4"/>
      <c r="DI2488" s="4"/>
      <c r="DJ2488" s="4"/>
      <c r="DK2488" s="4"/>
      <c r="DL2488" s="4"/>
      <c r="DM2488" s="4"/>
      <c r="DN2488" s="4"/>
      <c r="DO2488" s="4"/>
      <c r="DP2488" s="4"/>
      <c r="DQ2488" s="4"/>
      <c r="DR2488" s="4"/>
      <c r="DS2488" s="4"/>
    </row>
    <row r="2489">
      <c r="A2489" s="4"/>
      <c r="B2489" s="4"/>
      <c r="C2489" s="4"/>
      <c r="D2489" s="4"/>
      <c r="E2489" s="4"/>
      <c r="F2489" s="4" t="s">
        <v>17</v>
      </c>
      <c r="G2489" s="15"/>
      <c r="H2489" s="4"/>
      <c r="I2489" s="4"/>
      <c r="J2489" s="4"/>
      <c r="K2489" s="4"/>
      <c r="L2489" s="4"/>
      <c r="M2489" s="4"/>
      <c r="N2489" s="4"/>
      <c r="O2489" s="4"/>
      <c r="P2489" s="4"/>
      <c r="Q2489" s="4"/>
      <c r="R2489" s="4"/>
      <c r="S2489" s="4"/>
      <c r="T2489" s="4"/>
      <c r="U2489" s="4"/>
      <c r="V2489" s="4"/>
      <c r="W2489" s="4"/>
      <c r="X2489" s="4"/>
      <c r="Y2489" s="4"/>
      <c r="Z2489" s="4"/>
      <c r="AA2489" s="4"/>
      <c r="AB2489" s="4"/>
      <c r="AC2489" s="4"/>
      <c r="AD2489" s="4"/>
      <c r="AE2489" s="4"/>
      <c r="AF2489" s="4"/>
      <c r="AG2489" s="4"/>
      <c r="AH2489" s="4"/>
      <c r="AI2489" s="4"/>
      <c r="AJ2489" s="4"/>
      <c r="AK2489" s="4"/>
      <c r="AL2489" s="4"/>
      <c r="AM2489" s="4"/>
      <c r="AN2489" s="4"/>
      <c r="AO2489" s="4"/>
      <c r="AP2489" s="4"/>
      <c r="AQ2489" s="4"/>
      <c r="AR2489" s="4"/>
      <c r="AS2489" s="4"/>
      <c r="AT2489" s="4"/>
      <c r="AU2489" s="4"/>
      <c r="AV2489" s="4"/>
      <c r="AW2489" s="4"/>
      <c r="AX2489" s="4"/>
      <c r="AY2489" s="4"/>
      <c r="AZ2489" s="4"/>
      <c r="BA2489" s="4"/>
      <c r="BB2489" s="4"/>
      <c r="BC2489" s="4"/>
      <c r="BD2489" s="4"/>
      <c r="BE2489" s="4"/>
      <c r="BF2489" s="4"/>
      <c r="BG2489" s="4"/>
      <c r="BH2489" s="4"/>
      <c r="BI2489" s="4"/>
      <c r="BJ2489" s="4"/>
      <c r="BK2489" s="4"/>
      <c r="BL2489" s="4"/>
      <c r="BM2489" s="4"/>
      <c r="BN2489" s="4"/>
      <c r="BO2489" s="4"/>
      <c r="BP2489" s="4"/>
      <c r="BQ2489" s="4"/>
      <c r="BR2489" s="4"/>
      <c r="BS2489" s="4"/>
      <c r="BT2489" s="4"/>
      <c r="BU2489" s="4"/>
      <c r="BV2489" s="4"/>
      <c r="BW2489" s="4"/>
      <c r="BX2489" s="4"/>
      <c r="BY2489" s="4"/>
      <c r="BZ2489" s="4"/>
      <c r="CA2489" s="4"/>
      <c r="CB2489" s="4"/>
      <c r="CC2489" s="4"/>
      <c r="CD2489" s="4"/>
      <c r="CE2489" s="4"/>
      <c r="CF2489" s="4"/>
      <c r="CG2489" s="4"/>
      <c r="CH2489" s="4"/>
      <c r="CI2489" s="4"/>
      <c r="CJ2489" s="4"/>
      <c r="CK2489" s="4"/>
      <c r="CL2489" s="4"/>
      <c r="CM2489" s="4"/>
      <c r="CN2489" s="4"/>
      <c r="CO2489" s="4"/>
      <c r="CP2489" s="4"/>
      <c r="CQ2489" s="4"/>
      <c r="CR2489" s="4"/>
      <c r="CS2489" s="4"/>
      <c r="CT2489" s="4"/>
      <c r="CU2489" s="4"/>
      <c r="CV2489" s="4"/>
      <c r="CW2489" s="4"/>
      <c r="CX2489" s="4"/>
      <c r="CY2489" s="4"/>
      <c r="CZ2489" s="4"/>
      <c r="DA2489" s="4"/>
      <c r="DB2489" s="4"/>
      <c r="DC2489" s="4"/>
      <c r="DD2489" s="4"/>
      <c r="DE2489" s="4"/>
      <c r="DF2489" s="4"/>
      <c r="DG2489" s="4"/>
      <c r="DH2489" s="4"/>
      <c r="DI2489" s="4"/>
      <c r="DJ2489" s="4"/>
      <c r="DK2489" s="4"/>
      <c r="DL2489" s="4"/>
      <c r="DM2489" s="4"/>
      <c r="DN2489" s="4"/>
      <c r="DO2489" s="4"/>
      <c r="DP2489" s="4"/>
      <c r="DQ2489" s="4"/>
      <c r="DR2489" s="4"/>
      <c r="DS2489" s="4"/>
    </row>
    <row r="2490">
      <c r="A2490" s="4"/>
      <c r="B2490" s="4"/>
      <c r="C2490" s="4"/>
      <c r="D2490" s="4"/>
      <c r="E2490" s="4"/>
      <c r="F2490" s="4" t="s">
        <v>17</v>
      </c>
      <c r="G2490" s="15"/>
      <c r="H2490" s="4"/>
      <c r="I2490" s="4"/>
      <c r="J2490" s="4"/>
      <c r="K2490" s="4"/>
      <c r="L2490" s="4"/>
      <c r="M2490" s="4"/>
      <c r="N2490" s="4"/>
      <c r="O2490" s="4"/>
      <c r="P2490" s="4"/>
      <c r="Q2490" s="4"/>
      <c r="R2490" s="4"/>
      <c r="S2490" s="4"/>
      <c r="T2490" s="4"/>
      <c r="U2490" s="4"/>
      <c r="V2490" s="4"/>
      <c r="W2490" s="4"/>
      <c r="X2490" s="4"/>
      <c r="Y2490" s="4"/>
      <c r="Z2490" s="4"/>
      <c r="AA2490" s="4"/>
      <c r="AB2490" s="4"/>
      <c r="AC2490" s="4"/>
      <c r="AD2490" s="4"/>
      <c r="AE2490" s="4"/>
      <c r="AF2490" s="4"/>
      <c r="AG2490" s="4"/>
      <c r="AH2490" s="4"/>
      <c r="AI2490" s="4"/>
      <c r="AJ2490" s="4"/>
      <c r="AK2490" s="4"/>
      <c r="AL2490" s="4"/>
      <c r="AM2490" s="4"/>
      <c r="AN2490" s="4"/>
      <c r="AO2490" s="4"/>
      <c r="AP2490" s="4"/>
      <c r="AQ2490" s="4"/>
      <c r="AR2490" s="4"/>
      <c r="AS2490" s="4"/>
      <c r="AT2490" s="4"/>
      <c r="AU2490" s="4"/>
      <c r="AV2490" s="4"/>
      <c r="AW2490" s="4"/>
      <c r="AX2490" s="4"/>
      <c r="AY2490" s="4"/>
      <c r="AZ2490" s="4"/>
      <c r="BA2490" s="4"/>
      <c r="BB2490" s="4"/>
      <c r="BC2490" s="4"/>
      <c r="BD2490" s="4"/>
      <c r="BE2490" s="4"/>
      <c r="BF2490" s="4"/>
      <c r="BG2490" s="4"/>
      <c r="BH2490" s="4"/>
      <c r="BI2490" s="4"/>
      <c r="BJ2490" s="4"/>
      <c r="BK2490" s="4"/>
      <c r="BL2490" s="4"/>
      <c r="BM2490" s="4"/>
      <c r="BN2490" s="4"/>
      <c r="BO2490" s="4"/>
      <c r="BP2490" s="4"/>
      <c r="BQ2490" s="4"/>
      <c r="BR2490" s="4"/>
      <c r="BS2490" s="4"/>
      <c r="BT2490" s="4"/>
      <c r="BU2490" s="4"/>
      <c r="BV2490" s="4"/>
      <c r="BW2490" s="4"/>
      <c r="BX2490" s="4"/>
      <c r="BY2490" s="4"/>
      <c r="BZ2490" s="4"/>
      <c r="CA2490" s="4"/>
      <c r="CB2490" s="4"/>
      <c r="CC2490" s="4"/>
      <c r="CD2490" s="4"/>
      <c r="CE2490" s="4"/>
      <c r="CF2490" s="4"/>
      <c r="CG2490" s="4"/>
      <c r="CH2490" s="4"/>
      <c r="CI2490" s="4"/>
      <c r="CJ2490" s="4"/>
      <c r="CK2490" s="4"/>
      <c r="CL2490" s="4"/>
      <c r="CM2490" s="4"/>
      <c r="CN2490" s="4"/>
      <c r="CO2490" s="4"/>
      <c r="CP2490" s="4"/>
      <c r="CQ2490" s="4"/>
      <c r="CR2490" s="4"/>
      <c r="CS2490" s="4"/>
      <c r="CT2490" s="4"/>
      <c r="CU2490" s="4"/>
      <c r="CV2490" s="4"/>
      <c r="CW2490" s="4"/>
      <c r="CX2490" s="4"/>
      <c r="CY2490" s="4"/>
      <c r="CZ2490" s="4"/>
      <c r="DA2490" s="4"/>
      <c r="DB2490" s="4"/>
      <c r="DC2490" s="4"/>
      <c r="DD2490" s="4"/>
      <c r="DE2490" s="4"/>
      <c r="DF2490" s="4"/>
      <c r="DG2490" s="4"/>
      <c r="DH2490" s="4"/>
      <c r="DI2490" s="4"/>
      <c r="DJ2490" s="4"/>
      <c r="DK2490" s="4"/>
      <c r="DL2490" s="4"/>
      <c r="DM2490" s="4"/>
      <c r="DN2490" s="4"/>
      <c r="DO2490" s="4"/>
      <c r="DP2490" s="4"/>
      <c r="DQ2490" s="4"/>
      <c r="DR2490" s="4"/>
      <c r="DS2490" s="4"/>
    </row>
    <row r="2491">
      <c r="A2491" s="4"/>
      <c r="B2491" s="4"/>
      <c r="C2491" s="4"/>
      <c r="D2491" s="4"/>
      <c r="E2491" s="4"/>
      <c r="F2491" s="4" t="s">
        <v>17</v>
      </c>
      <c r="G2491" s="15"/>
      <c r="H2491" s="4"/>
      <c r="I2491" s="4"/>
      <c r="J2491" s="4"/>
      <c r="K2491" s="4"/>
      <c r="L2491" s="4"/>
      <c r="M2491" s="4"/>
      <c r="N2491" s="4"/>
      <c r="O2491" s="4"/>
      <c r="P2491" s="4"/>
      <c r="Q2491" s="4"/>
      <c r="R2491" s="4"/>
      <c r="S2491" s="4"/>
      <c r="T2491" s="4"/>
      <c r="U2491" s="4"/>
      <c r="V2491" s="4"/>
      <c r="W2491" s="4"/>
      <c r="X2491" s="4"/>
      <c r="Y2491" s="4"/>
      <c r="Z2491" s="4"/>
      <c r="AA2491" s="4"/>
      <c r="AB2491" s="4"/>
      <c r="AC2491" s="4"/>
      <c r="AD2491" s="4"/>
      <c r="AE2491" s="4"/>
      <c r="AF2491" s="4"/>
      <c r="AG2491" s="4"/>
      <c r="AH2491" s="4"/>
      <c r="AI2491" s="4"/>
      <c r="AJ2491" s="4"/>
      <c r="AK2491" s="4"/>
      <c r="AL2491" s="4"/>
      <c r="AM2491" s="4"/>
      <c r="AN2491" s="4"/>
      <c r="AO2491" s="4"/>
      <c r="AP2491" s="4"/>
      <c r="AQ2491" s="4"/>
      <c r="AR2491" s="4"/>
      <c r="AS2491" s="4"/>
      <c r="AT2491" s="4"/>
      <c r="AU2491" s="4"/>
      <c r="AV2491" s="4"/>
      <c r="AW2491" s="4"/>
      <c r="AX2491" s="4"/>
      <c r="AY2491" s="4"/>
      <c r="AZ2491" s="4"/>
      <c r="BA2491" s="4"/>
      <c r="BB2491" s="4"/>
      <c r="BC2491" s="4"/>
      <c r="BD2491" s="4"/>
      <c r="BE2491" s="4"/>
      <c r="BF2491" s="4"/>
      <c r="BG2491" s="4"/>
      <c r="BH2491" s="4"/>
      <c r="BI2491" s="4"/>
      <c r="BJ2491" s="4"/>
      <c r="BK2491" s="4"/>
      <c r="BL2491" s="4"/>
      <c r="BM2491" s="4"/>
      <c r="BN2491" s="4"/>
      <c r="BO2491" s="4"/>
      <c r="BP2491" s="4"/>
      <c r="BQ2491" s="4"/>
      <c r="BR2491" s="4"/>
      <c r="BS2491" s="4"/>
      <c r="BT2491" s="4"/>
      <c r="BU2491" s="4"/>
      <c r="BV2491" s="4"/>
      <c r="BW2491" s="4"/>
      <c r="BX2491" s="4"/>
      <c r="BY2491" s="4"/>
      <c r="BZ2491" s="4"/>
      <c r="CA2491" s="4"/>
      <c r="CB2491" s="4"/>
      <c r="CC2491" s="4"/>
      <c r="CD2491" s="4"/>
      <c r="CE2491" s="4"/>
      <c r="CF2491" s="4"/>
      <c r="CG2491" s="4"/>
      <c r="CH2491" s="4"/>
      <c r="CI2491" s="4"/>
      <c r="CJ2491" s="4"/>
      <c r="CK2491" s="4"/>
      <c r="CL2491" s="4"/>
      <c r="CM2491" s="4"/>
      <c r="CN2491" s="4"/>
      <c r="CO2491" s="4"/>
      <c r="CP2491" s="4"/>
      <c r="CQ2491" s="4"/>
      <c r="CR2491" s="4"/>
      <c r="CS2491" s="4"/>
      <c r="CT2491" s="4"/>
      <c r="CU2491" s="4"/>
      <c r="CV2491" s="4"/>
      <c r="CW2491" s="4"/>
      <c r="CX2491" s="4"/>
      <c r="CY2491" s="4"/>
      <c r="CZ2491" s="4"/>
      <c r="DA2491" s="4"/>
      <c r="DB2491" s="4"/>
      <c r="DC2491" s="4"/>
      <c r="DD2491" s="4"/>
      <c r="DE2491" s="4"/>
      <c r="DF2491" s="4"/>
      <c r="DG2491" s="4"/>
      <c r="DH2491" s="4"/>
      <c r="DI2491" s="4"/>
      <c r="DJ2491" s="4"/>
      <c r="DK2491" s="4"/>
      <c r="DL2491" s="4"/>
      <c r="DM2491" s="4"/>
      <c r="DN2491" s="4"/>
      <c r="DO2491" s="4"/>
      <c r="DP2491" s="4"/>
      <c r="DQ2491" s="4"/>
      <c r="DR2491" s="4"/>
      <c r="DS2491" s="4"/>
    </row>
    <row r="2492">
      <c r="A2492" s="4"/>
      <c r="B2492" s="4"/>
      <c r="C2492" s="4"/>
      <c r="D2492" s="4"/>
      <c r="E2492" s="4"/>
      <c r="F2492" s="4" t="s">
        <v>17</v>
      </c>
      <c r="G2492" s="15"/>
      <c r="H2492" s="4"/>
      <c r="I2492" s="4"/>
      <c r="J2492" s="4"/>
      <c r="K2492" s="4"/>
      <c r="L2492" s="4"/>
      <c r="M2492" s="4"/>
      <c r="N2492" s="4"/>
      <c r="O2492" s="4"/>
      <c r="P2492" s="4"/>
      <c r="Q2492" s="4"/>
      <c r="R2492" s="4"/>
      <c r="S2492" s="4"/>
      <c r="T2492" s="4"/>
      <c r="U2492" s="4"/>
      <c r="V2492" s="4"/>
      <c r="W2492" s="4"/>
      <c r="X2492" s="4"/>
      <c r="Y2492" s="4"/>
      <c r="Z2492" s="4"/>
      <c r="AA2492" s="4"/>
      <c r="AB2492" s="4"/>
      <c r="AC2492" s="4"/>
      <c r="AD2492" s="4"/>
      <c r="AE2492" s="4"/>
      <c r="AF2492" s="4"/>
      <c r="AG2492" s="4"/>
      <c r="AH2492" s="4"/>
      <c r="AI2492" s="4"/>
      <c r="AJ2492" s="4"/>
      <c r="AK2492" s="4"/>
      <c r="AL2492" s="4"/>
      <c r="AM2492" s="4"/>
      <c r="AN2492" s="4"/>
      <c r="AO2492" s="4"/>
      <c r="AP2492" s="4"/>
      <c r="AQ2492" s="4"/>
      <c r="AR2492" s="4"/>
      <c r="AS2492" s="4"/>
      <c r="AT2492" s="4"/>
      <c r="AU2492" s="4"/>
      <c r="AV2492" s="4"/>
      <c r="AW2492" s="4"/>
      <c r="AX2492" s="4"/>
      <c r="AY2492" s="4"/>
      <c r="AZ2492" s="4"/>
      <c r="BA2492" s="4"/>
      <c r="BB2492" s="4"/>
      <c r="BC2492" s="4"/>
      <c r="BD2492" s="4"/>
      <c r="BE2492" s="4"/>
      <c r="BF2492" s="4"/>
      <c r="BG2492" s="4"/>
      <c r="BH2492" s="4"/>
      <c r="BI2492" s="4"/>
      <c r="BJ2492" s="4"/>
      <c r="BK2492" s="4"/>
      <c r="BL2492" s="4"/>
      <c r="BM2492" s="4"/>
      <c r="BN2492" s="4"/>
      <c r="BO2492" s="4"/>
      <c r="BP2492" s="4"/>
      <c r="BQ2492" s="4"/>
      <c r="BR2492" s="4"/>
      <c r="BS2492" s="4"/>
      <c r="BT2492" s="4"/>
      <c r="BU2492" s="4"/>
      <c r="BV2492" s="4"/>
      <c r="BW2492" s="4"/>
      <c r="BX2492" s="4"/>
      <c r="BY2492" s="4"/>
      <c r="BZ2492" s="4"/>
      <c r="CA2492" s="4"/>
      <c r="CB2492" s="4"/>
      <c r="CC2492" s="4"/>
      <c r="CD2492" s="4"/>
      <c r="CE2492" s="4"/>
      <c r="CF2492" s="4"/>
      <c r="CG2492" s="4"/>
      <c r="CH2492" s="4"/>
      <c r="CI2492" s="4"/>
      <c r="CJ2492" s="4"/>
      <c r="CK2492" s="4"/>
      <c r="CL2492" s="4"/>
      <c r="CM2492" s="4"/>
      <c r="CN2492" s="4"/>
      <c r="CO2492" s="4"/>
      <c r="CP2492" s="4"/>
      <c r="CQ2492" s="4"/>
      <c r="CR2492" s="4"/>
      <c r="CS2492" s="4"/>
      <c r="CT2492" s="4"/>
      <c r="CU2492" s="4"/>
      <c r="CV2492" s="4"/>
      <c r="CW2492" s="4"/>
      <c r="CX2492" s="4"/>
      <c r="CY2492" s="4"/>
      <c r="CZ2492" s="4"/>
      <c r="DA2492" s="4"/>
      <c r="DB2492" s="4"/>
      <c r="DC2492" s="4"/>
      <c r="DD2492" s="4"/>
      <c r="DE2492" s="4"/>
      <c r="DF2492" s="4"/>
      <c r="DG2492" s="4"/>
      <c r="DH2492" s="4"/>
      <c r="DI2492" s="4"/>
      <c r="DJ2492" s="4"/>
      <c r="DK2492" s="4"/>
      <c r="DL2492" s="4"/>
      <c r="DM2492" s="4"/>
      <c r="DN2492" s="4"/>
      <c r="DO2492" s="4"/>
      <c r="DP2492" s="4"/>
      <c r="DQ2492" s="4"/>
      <c r="DR2492" s="4"/>
      <c r="DS2492" s="4"/>
    </row>
    <row r="2493">
      <c r="A2493" s="4"/>
      <c r="B2493" s="4"/>
      <c r="C2493" s="4"/>
      <c r="D2493" s="4"/>
      <c r="E2493" s="4"/>
      <c r="F2493" s="4" t="s">
        <v>17</v>
      </c>
      <c r="G2493" s="15"/>
      <c r="H2493" s="4"/>
      <c r="I2493" s="4"/>
      <c r="J2493" s="4"/>
      <c r="K2493" s="4"/>
      <c r="L2493" s="4"/>
      <c r="M2493" s="4"/>
      <c r="N2493" s="4"/>
      <c r="O2493" s="4"/>
      <c r="P2493" s="4"/>
      <c r="Q2493" s="4"/>
      <c r="R2493" s="4"/>
      <c r="S2493" s="4"/>
      <c r="T2493" s="4"/>
      <c r="U2493" s="4"/>
      <c r="V2493" s="4"/>
      <c r="W2493" s="4"/>
      <c r="X2493" s="4"/>
      <c r="Y2493" s="4"/>
      <c r="Z2493" s="4"/>
      <c r="AA2493" s="4"/>
      <c r="AB2493" s="4"/>
      <c r="AC2493" s="4"/>
      <c r="AD2493" s="4"/>
      <c r="AE2493" s="4"/>
      <c r="AF2493" s="4"/>
      <c r="AG2493" s="4"/>
      <c r="AH2493" s="4"/>
      <c r="AI2493" s="4"/>
      <c r="AJ2493" s="4"/>
      <c r="AK2493" s="4"/>
      <c r="AL2493" s="4"/>
      <c r="AM2493" s="4"/>
      <c r="AN2493" s="4"/>
      <c r="AO2493" s="4"/>
      <c r="AP2493" s="4"/>
      <c r="AQ2493" s="4"/>
      <c r="AR2493" s="4"/>
      <c r="AS2493" s="4"/>
      <c r="AT2493" s="4"/>
      <c r="AU2493" s="4"/>
      <c r="AV2493" s="4"/>
      <c r="AW2493" s="4"/>
      <c r="AX2493" s="4"/>
      <c r="AY2493" s="4"/>
      <c r="AZ2493" s="4"/>
      <c r="BA2493" s="4"/>
      <c r="BB2493" s="4"/>
      <c r="BC2493" s="4"/>
      <c r="BD2493" s="4"/>
      <c r="BE2493" s="4"/>
      <c r="BF2493" s="4"/>
      <c r="BG2493" s="4"/>
      <c r="BH2493" s="4"/>
      <c r="BI2493" s="4"/>
      <c r="BJ2493" s="4"/>
      <c r="BK2493" s="4"/>
      <c r="BL2493" s="4"/>
      <c r="BM2493" s="4"/>
      <c r="BN2493" s="4"/>
      <c r="BO2493" s="4"/>
      <c r="BP2493" s="4"/>
      <c r="BQ2493" s="4"/>
      <c r="BR2493" s="4"/>
      <c r="BS2493" s="4"/>
      <c r="BT2493" s="4"/>
      <c r="BU2493" s="4"/>
      <c r="BV2493" s="4"/>
      <c r="BW2493" s="4"/>
      <c r="BX2493" s="4"/>
      <c r="BY2493" s="4"/>
      <c r="BZ2493" s="4"/>
      <c r="CA2493" s="4"/>
      <c r="CB2493" s="4"/>
      <c r="CC2493" s="4"/>
      <c r="CD2493" s="4"/>
      <c r="CE2493" s="4"/>
      <c r="CF2493" s="4"/>
      <c r="CG2493" s="4"/>
      <c r="CH2493" s="4"/>
      <c r="CI2493" s="4"/>
      <c r="CJ2493" s="4"/>
      <c r="CK2493" s="4"/>
      <c r="CL2493" s="4"/>
      <c r="CM2493" s="4"/>
      <c r="CN2493" s="4"/>
      <c r="CO2493" s="4"/>
      <c r="CP2493" s="4"/>
      <c r="CQ2493" s="4"/>
      <c r="CR2493" s="4"/>
      <c r="CS2493" s="4"/>
      <c r="CT2493" s="4"/>
      <c r="CU2493" s="4"/>
      <c r="CV2493" s="4"/>
      <c r="CW2493" s="4"/>
      <c r="CX2493" s="4"/>
      <c r="CY2493" s="4"/>
      <c r="CZ2493" s="4"/>
      <c r="DA2493" s="4"/>
      <c r="DB2493" s="4"/>
      <c r="DC2493" s="4"/>
      <c r="DD2493" s="4"/>
      <c r="DE2493" s="4"/>
      <c r="DF2493" s="4"/>
      <c r="DG2493" s="4"/>
      <c r="DH2493" s="4"/>
      <c r="DI2493" s="4"/>
      <c r="DJ2493" s="4"/>
      <c r="DK2493" s="4"/>
      <c r="DL2493" s="4"/>
      <c r="DM2493" s="4"/>
      <c r="DN2493" s="4"/>
      <c r="DO2493" s="4"/>
      <c r="DP2493" s="4"/>
      <c r="DQ2493" s="4"/>
      <c r="DR2493" s="4"/>
      <c r="DS2493" s="4"/>
    </row>
    <row r="2494">
      <c r="A2494" s="4"/>
      <c r="B2494" s="4"/>
      <c r="C2494" s="4"/>
      <c r="D2494" s="4"/>
      <c r="E2494" s="4"/>
      <c r="F2494" s="4" t="s">
        <v>17</v>
      </c>
      <c r="G2494" s="15"/>
      <c r="H2494" s="4"/>
      <c r="I2494" s="4"/>
      <c r="J2494" s="4"/>
      <c r="K2494" s="4"/>
      <c r="L2494" s="4"/>
      <c r="M2494" s="4"/>
      <c r="N2494" s="4"/>
      <c r="O2494" s="4"/>
      <c r="P2494" s="4"/>
      <c r="Q2494" s="4"/>
      <c r="R2494" s="4"/>
      <c r="S2494" s="4"/>
      <c r="T2494" s="4"/>
      <c r="U2494" s="4"/>
      <c r="V2494" s="4"/>
      <c r="W2494" s="4"/>
      <c r="X2494" s="4"/>
      <c r="Y2494" s="4"/>
      <c r="Z2494" s="4"/>
      <c r="AA2494" s="4"/>
      <c r="AB2494" s="4"/>
      <c r="AC2494" s="4"/>
      <c r="AD2494" s="4"/>
      <c r="AE2494" s="4"/>
      <c r="AF2494" s="4"/>
      <c r="AG2494" s="4"/>
      <c r="AH2494" s="4"/>
      <c r="AI2494" s="4"/>
      <c r="AJ2494" s="4"/>
      <c r="AK2494" s="4"/>
      <c r="AL2494" s="4"/>
      <c r="AM2494" s="4"/>
      <c r="AN2494" s="4"/>
      <c r="AO2494" s="4"/>
      <c r="AP2494" s="4"/>
      <c r="AQ2494" s="4"/>
      <c r="AR2494" s="4"/>
      <c r="AS2494" s="4"/>
      <c r="AT2494" s="4"/>
      <c r="AU2494" s="4"/>
      <c r="AV2494" s="4"/>
      <c r="AW2494" s="4"/>
      <c r="AX2494" s="4"/>
      <c r="AY2494" s="4"/>
      <c r="AZ2494" s="4"/>
      <c r="BA2494" s="4"/>
      <c r="BB2494" s="4"/>
      <c r="BC2494" s="4"/>
      <c r="BD2494" s="4"/>
      <c r="BE2494" s="4"/>
      <c r="BF2494" s="4"/>
      <c r="BG2494" s="4"/>
      <c r="BH2494" s="4"/>
      <c r="BI2494" s="4"/>
      <c r="BJ2494" s="4"/>
      <c r="BK2494" s="4"/>
      <c r="BL2494" s="4"/>
      <c r="BM2494" s="4"/>
      <c r="BN2494" s="4"/>
      <c r="BO2494" s="4"/>
      <c r="BP2494" s="4"/>
      <c r="BQ2494" s="4"/>
      <c r="BR2494" s="4"/>
      <c r="BS2494" s="4"/>
      <c r="BT2494" s="4"/>
      <c r="BU2494" s="4"/>
      <c r="BV2494" s="4"/>
      <c r="BW2494" s="4"/>
      <c r="BX2494" s="4"/>
      <c r="BY2494" s="4"/>
      <c r="BZ2494" s="4"/>
      <c r="CA2494" s="4"/>
      <c r="CB2494" s="4"/>
      <c r="CC2494" s="4"/>
      <c r="CD2494" s="4"/>
      <c r="CE2494" s="4"/>
      <c r="CF2494" s="4"/>
      <c r="CG2494" s="4"/>
      <c r="CH2494" s="4"/>
      <c r="CI2494" s="4"/>
      <c r="CJ2494" s="4"/>
      <c r="CK2494" s="4"/>
      <c r="CL2494" s="4"/>
      <c r="CM2494" s="4"/>
      <c r="CN2494" s="4"/>
      <c r="CO2494" s="4"/>
      <c r="CP2494" s="4"/>
      <c r="CQ2494" s="4"/>
      <c r="CR2494" s="4"/>
      <c r="CS2494" s="4"/>
      <c r="CT2494" s="4"/>
      <c r="CU2494" s="4"/>
      <c r="CV2494" s="4"/>
      <c r="CW2494" s="4"/>
      <c r="CX2494" s="4"/>
      <c r="CY2494" s="4"/>
      <c r="CZ2494" s="4"/>
      <c r="DA2494" s="4"/>
      <c r="DB2494" s="4"/>
      <c r="DC2494" s="4"/>
      <c r="DD2494" s="4"/>
      <c r="DE2494" s="4"/>
      <c r="DF2494" s="4"/>
      <c r="DG2494" s="4"/>
      <c r="DH2494" s="4"/>
      <c r="DI2494" s="4"/>
      <c r="DJ2494" s="4"/>
      <c r="DK2494" s="4"/>
      <c r="DL2494" s="4"/>
      <c r="DM2494" s="4"/>
      <c r="DN2494" s="4"/>
      <c r="DO2494" s="4"/>
      <c r="DP2494" s="4"/>
      <c r="DQ2494" s="4"/>
      <c r="DR2494" s="4"/>
      <c r="DS2494" s="4"/>
    </row>
    <row r="2495">
      <c r="A2495" s="4"/>
      <c r="B2495" s="4"/>
      <c r="C2495" s="4"/>
      <c r="D2495" s="4"/>
      <c r="E2495" s="4"/>
      <c r="F2495" s="4" t="s">
        <v>17</v>
      </c>
      <c r="G2495" s="15"/>
      <c r="H2495" s="4"/>
      <c r="I2495" s="4"/>
      <c r="J2495" s="4"/>
      <c r="K2495" s="4"/>
      <c r="L2495" s="4"/>
      <c r="M2495" s="4"/>
      <c r="N2495" s="4"/>
      <c r="O2495" s="4"/>
      <c r="P2495" s="4"/>
      <c r="Q2495" s="4"/>
      <c r="R2495" s="4"/>
      <c r="S2495" s="4"/>
      <c r="T2495" s="4"/>
      <c r="U2495" s="4"/>
      <c r="V2495" s="4"/>
      <c r="W2495" s="4"/>
      <c r="X2495" s="4"/>
      <c r="Y2495" s="4"/>
      <c r="Z2495" s="4"/>
      <c r="AA2495" s="4"/>
      <c r="AB2495" s="4"/>
      <c r="AC2495" s="4"/>
      <c r="AD2495" s="4"/>
      <c r="AE2495" s="4"/>
      <c r="AF2495" s="4"/>
      <c r="AG2495" s="4"/>
      <c r="AH2495" s="4"/>
      <c r="AI2495" s="4"/>
      <c r="AJ2495" s="4"/>
      <c r="AK2495" s="4"/>
      <c r="AL2495" s="4"/>
      <c r="AM2495" s="4"/>
      <c r="AN2495" s="4"/>
      <c r="AO2495" s="4"/>
      <c r="AP2495" s="4"/>
      <c r="AQ2495" s="4"/>
      <c r="AR2495" s="4"/>
      <c r="AS2495" s="4"/>
      <c r="AT2495" s="4"/>
      <c r="AU2495" s="4"/>
      <c r="AV2495" s="4"/>
      <c r="AW2495" s="4"/>
      <c r="AX2495" s="4"/>
      <c r="AY2495" s="4"/>
      <c r="AZ2495" s="4"/>
      <c r="BA2495" s="4"/>
      <c r="BB2495" s="4"/>
      <c r="BC2495" s="4"/>
      <c r="BD2495" s="4"/>
      <c r="BE2495" s="4"/>
      <c r="BF2495" s="4"/>
      <c r="BG2495" s="4"/>
      <c r="BH2495" s="4"/>
      <c r="BI2495" s="4"/>
      <c r="BJ2495" s="4"/>
      <c r="BK2495" s="4"/>
      <c r="BL2495" s="4"/>
      <c r="BM2495" s="4"/>
      <c r="BN2495" s="4"/>
      <c r="BO2495" s="4"/>
      <c r="BP2495" s="4"/>
      <c r="BQ2495" s="4"/>
      <c r="BR2495" s="4"/>
      <c r="BS2495" s="4"/>
      <c r="BT2495" s="4"/>
      <c r="BU2495" s="4"/>
      <c r="BV2495" s="4"/>
      <c r="BW2495" s="4"/>
      <c r="BX2495" s="4"/>
      <c r="BY2495" s="4"/>
      <c r="BZ2495" s="4"/>
      <c r="CA2495" s="4"/>
      <c r="CB2495" s="4"/>
      <c r="CC2495" s="4"/>
      <c r="CD2495" s="4"/>
      <c r="CE2495" s="4"/>
      <c r="CF2495" s="4"/>
      <c r="CG2495" s="4"/>
      <c r="CH2495" s="4"/>
      <c r="CI2495" s="4"/>
      <c r="CJ2495" s="4"/>
      <c r="CK2495" s="4"/>
      <c r="CL2495" s="4"/>
      <c r="CM2495" s="4"/>
      <c r="CN2495" s="4"/>
      <c r="CO2495" s="4"/>
      <c r="CP2495" s="4"/>
      <c r="CQ2495" s="4"/>
      <c r="CR2495" s="4"/>
      <c r="CS2495" s="4"/>
      <c r="CT2495" s="4"/>
      <c r="CU2495" s="4"/>
      <c r="CV2495" s="4"/>
      <c r="CW2495" s="4"/>
      <c r="CX2495" s="4"/>
      <c r="CY2495" s="4"/>
      <c r="CZ2495" s="4"/>
      <c r="DA2495" s="4"/>
      <c r="DB2495" s="4"/>
      <c r="DC2495" s="4"/>
      <c r="DD2495" s="4"/>
      <c r="DE2495" s="4"/>
      <c r="DF2495" s="4"/>
      <c r="DG2495" s="4"/>
      <c r="DH2495" s="4"/>
      <c r="DI2495" s="4"/>
      <c r="DJ2495" s="4"/>
      <c r="DK2495" s="4"/>
      <c r="DL2495" s="4"/>
      <c r="DM2495" s="4"/>
      <c r="DN2495" s="4"/>
      <c r="DO2495" s="4"/>
      <c r="DP2495" s="4"/>
      <c r="DQ2495" s="4"/>
      <c r="DR2495" s="4"/>
      <c r="DS2495" s="4"/>
    </row>
    <row r="2496">
      <c r="A2496" s="4"/>
      <c r="B2496" s="4"/>
      <c r="C2496" s="4"/>
      <c r="D2496" s="4"/>
      <c r="E2496" s="4"/>
      <c r="F2496" s="4" t="s">
        <v>17</v>
      </c>
      <c r="G2496" s="15"/>
      <c r="H2496" s="4"/>
      <c r="I2496" s="4"/>
      <c r="J2496" s="4"/>
      <c r="K2496" s="4"/>
      <c r="L2496" s="4"/>
      <c r="M2496" s="4"/>
      <c r="N2496" s="4"/>
      <c r="O2496" s="4"/>
      <c r="P2496" s="4"/>
      <c r="Q2496" s="4"/>
      <c r="R2496" s="4"/>
      <c r="S2496" s="4"/>
      <c r="T2496" s="4"/>
      <c r="U2496" s="4"/>
      <c r="V2496" s="4"/>
      <c r="W2496" s="4"/>
      <c r="X2496" s="4"/>
      <c r="Y2496" s="4"/>
      <c r="Z2496" s="4"/>
      <c r="AA2496" s="4"/>
      <c r="AB2496" s="4"/>
      <c r="AC2496" s="4"/>
      <c r="AD2496" s="4"/>
      <c r="AE2496" s="4"/>
      <c r="AF2496" s="4"/>
      <c r="AG2496" s="4"/>
      <c r="AH2496" s="4"/>
      <c r="AI2496" s="4"/>
      <c r="AJ2496" s="4"/>
      <c r="AK2496" s="4"/>
      <c r="AL2496" s="4"/>
      <c r="AM2496" s="4"/>
      <c r="AN2496" s="4"/>
      <c r="AO2496" s="4"/>
      <c r="AP2496" s="4"/>
      <c r="AQ2496" s="4"/>
      <c r="AR2496" s="4"/>
      <c r="AS2496" s="4"/>
      <c r="AT2496" s="4"/>
      <c r="AU2496" s="4"/>
      <c r="AV2496" s="4"/>
      <c r="AW2496" s="4"/>
      <c r="AX2496" s="4"/>
      <c r="AY2496" s="4"/>
      <c r="AZ2496" s="4"/>
      <c r="BA2496" s="4"/>
      <c r="BB2496" s="4"/>
      <c r="BC2496" s="4"/>
      <c r="BD2496" s="4"/>
      <c r="BE2496" s="4"/>
      <c r="BF2496" s="4"/>
      <c r="BG2496" s="4"/>
      <c r="BH2496" s="4"/>
      <c r="BI2496" s="4"/>
      <c r="BJ2496" s="4"/>
      <c r="BK2496" s="4"/>
      <c r="BL2496" s="4"/>
      <c r="BM2496" s="4"/>
      <c r="BN2496" s="4"/>
      <c r="BO2496" s="4"/>
      <c r="BP2496" s="4"/>
      <c r="BQ2496" s="4"/>
      <c r="BR2496" s="4"/>
      <c r="BS2496" s="4"/>
      <c r="BT2496" s="4"/>
      <c r="BU2496" s="4"/>
      <c r="BV2496" s="4"/>
      <c r="BW2496" s="4"/>
      <c r="BX2496" s="4"/>
      <c r="BY2496" s="4"/>
      <c r="BZ2496" s="4"/>
      <c r="CA2496" s="4"/>
      <c r="CB2496" s="4"/>
      <c r="CC2496" s="4"/>
      <c r="CD2496" s="4"/>
      <c r="CE2496" s="4"/>
      <c r="CF2496" s="4"/>
      <c r="CG2496" s="4"/>
      <c r="CH2496" s="4"/>
      <c r="CI2496" s="4"/>
      <c r="CJ2496" s="4"/>
      <c r="CK2496" s="4"/>
      <c r="CL2496" s="4"/>
      <c r="CM2496" s="4"/>
      <c r="CN2496" s="4"/>
      <c r="CO2496" s="4"/>
      <c r="CP2496" s="4"/>
      <c r="CQ2496" s="4"/>
      <c r="CR2496" s="4"/>
      <c r="CS2496" s="4"/>
      <c r="CT2496" s="4"/>
      <c r="CU2496" s="4"/>
      <c r="CV2496" s="4"/>
      <c r="CW2496" s="4"/>
      <c r="CX2496" s="4"/>
      <c r="CY2496" s="4"/>
      <c r="CZ2496" s="4"/>
      <c r="DA2496" s="4"/>
      <c r="DB2496" s="4"/>
      <c r="DC2496" s="4"/>
      <c r="DD2496" s="4"/>
      <c r="DE2496" s="4"/>
      <c r="DF2496" s="4"/>
      <c r="DG2496" s="4"/>
      <c r="DH2496" s="4"/>
      <c r="DI2496" s="4"/>
      <c r="DJ2496" s="4"/>
      <c r="DK2496" s="4"/>
      <c r="DL2496" s="4"/>
      <c r="DM2496" s="4"/>
      <c r="DN2496" s="4"/>
      <c r="DO2496" s="4"/>
      <c r="DP2496" s="4"/>
      <c r="DQ2496" s="4"/>
      <c r="DR2496" s="4"/>
      <c r="DS2496" s="4"/>
    </row>
    <row r="2497">
      <c r="A2497" s="4"/>
      <c r="B2497" s="4"/>
      <c r="C2497" s="4"/>
      <c r="D2497" s="4"/>
      <c r="E2497" s="4"/>
      <c r="F2497" s="4" t="s">
        <v>17</v>
      </c>
      <c r="G2497" s="15"/>
      <c r="H2497" s="4"/>
      <c r="I2497" s="4"/>
      <c r="J2497" s="4"/>
      <c r="K2497" s="4"/>
      <c r="L2497" s="4"/>
      <c r="M2497" s="4"/>
      <c r="N2497" s="4"/>
      <c r="O2497" s="4"/>
      <c r="P2497" s="4"/>
      <c r="Q2497" s="4"/>
      <c r="R2497" s="4"/>
      <c r="S2497" s="4"/>
      <c r="T2497" s="4"/>
      <c r="U2497" s="4"/>
      <c r="V2497" s="4"/>
      <c r="W2497" s="4"/>
      <c r="X2497" s="4"/>
      <c r="Y2497" s="4"/>
      <c r="Z2497" s="4"/>
      <c r="AA2497" s="4"/>
      <c r="AB2497" s="4"/>
      <c r="AC2497" s="4"/>
      <c r="AD2497" s="4"/>
      <c r="AE2497" s="4"/>
      <c r="AF2497" s="4"/>
      <c r="AG2497" s="4"/>
      <c r="AH2497" s="4"/>
      <c r="AI2497" s="4"/>
      <c r="AJ2497" s="4"/>
      <c r="AK2497" s="4"/>
      <c r="AL2497" s="4"/>
      <c r="AM2497" s="4"/>
      <c r="AN2497" s="4"/>
      <c r="AO2497" s="4"/>
      <c r="AP2497" s="4"/>
      <c r="AQ2497" s="4"/>
      <c r="AR2497" s="4"/>
      <c r="AS2497" s="4"/>
      <c r="AT2497" s="4"/>
      <c r="AU2497" s="4"/>
      <c r="AV2497" s="4"/>
      <c r="AW2497" s="4"/>
      <c r="AX2497" s="4"/>
      <c r="AY2497" s="4"/>
      <c r="AZ2497" s="4"/>
      <c r="BA2497" s="4"/>
      <c r="BB2497" s="4"/>
      <c r="BC2497" s="4"/>
      <c r="BD2497" s="4"/>
      <c r="BE2497" s="4"/>
      <c r="BF2497" s="4"/>
      <c r="BG2497" s="4"/>
      <c r="BH2497" s="4"/>
      <c r="BI2497" s="4"/>
      <c r="BJ2497" s="4"/>
      <c r="BK2497" s="4"/>
      <c r="BL2497" s="4"/>
      <c r="BM2497" s="4"/>
      <c r="BN2497" s="4"/>
      <c r="BO2497" s="4"/>
      <c r="BP2497" s="4"/>
      <c r="BQ2497" s="4"/>
      <c r="BR2497" s="4"/>
      <c r="BS2497" s="4"/>
      <c r="BT2497" s="4"/>
      <c r="BU2497" s="4"/>
      <c r="BV2497" s="4"/>
      <c r="BW2497" s="4"/>
      <c r="BX2497" s="4"/>
      <c r="BY2497" s="4"/>
      <c r="BZ2497" s="4"/>
      <c r="CA2497" s="4"/>
      <c r="CB2497" s="4"/>
      <c r="CC2497" s="4"/>
      <c r="CD2497" s="4"/>
      <c r="CE2497" s="4"/>
      <c r="CF2497" s="4"/>
      <c r="CG2497" s="4"/>
      <c r="CH2497" s="4"/>
      <c r="CI2497" s="4"/>
      <c r="CJ2497" s="4"/>
      <c r="CK2497" s="4"/>
      <c r="CL2497" s="4"/>
      <c r="CM2497" s="4"/>
      <c r="CN2497" s="4"/>
      <c r="CO2497" s="4"/>
      <c r="CP2497" s="4"/>
      <c r="CQ2497" s="4"/>
      <c r="CR2497" s="4"/>
      <c r="CS2497" s="4"/>
      <c r="CT2497" s="4"/>
      <c r="CU2497" s="4"/>
      <c r="CV2497" s="4"/>
      <c r="CW2497" s="4"/>
      <c r="CX2497" s="4"/>
      <c r="CY2497" s="4"/>
      <c r="CZ2497" s="4"/>
      <c r="DA2497" s="4"/>
      <c r="DB2497" s="4"/>
      <c r="DC2497" s="4"/>
      <c r="DD2497" s="4"/>
      <c r="DE2497" s="4"/>
      <c r="DF2497" s="4"/>
      <c r="DG2497" s="4"/>
      <c r="DH2497" s="4"/>
      <c r="DI2497" s="4"/>
      <c r="DJ2497" s="4"/>
      <c r="DK2497" s="4"/>
      <c r="DL2497" s="4"/>
      <c r="DM2497" s="4"/>
      <c r="DN2497" s="4"/>
      <c r="DO2497" s="4"/>
      <c r="DP2497" s="4"/>
      <c r="DQ2497" s="4"/>
      <c r="DR2497" s="4"/>
      <c r="DS2497" s="4"/>
    </row>
    <row r="2498">
      <c r="A2498" s="4"/>
      <c r="B2498" s="4"/>
      <c r="C2498" s="4"/>
      <c r="D2498" s="4"/>
      <c r="E2498" s="4"/>
      <c r="F2498" s="4" t="s">
        <v>17</v>
      </c>
      <c r="G2498" s="15"/>
      <c r="H2498" s="4"/>
      <c r="I2498" s="4"/>
      <c r="J2498" s="4"/>
      <c r="K2498" s="4"/>
      <c r="L2498" s="4"/>
      <c r="M2498" s="4"/>
      <c r="N2498" s="4"/>
      <c r="O2498" s="4"/>
      <c r="P2498" s="4"/>
      <c r="Q2498" s="4"/>
      <c r="R2498" s="4"/>
      <c r="S2498" s="4"/>
      <c r="T2498" s="4"/>
      <c r="U2498" s="4"/>
      <c r="V2498" s="4"/>
      <c r="W2498" s="4"/>
      <c r="X2498" s="4"/>
      <c r="Y2498" s="4"/>
      <c r="Z2498" s="4"/>
      <c r="AA2498" s="4"/>
      <c r="AB2498" s="4"/>
      <c r="AC2498" s="4"/>
      <c r="AD2498" s="4"/>
      <c r="AE2498" s="4"/>
      <c r="AF2498" s="4"/>
      <c r="AG2498" s="4"/>
      <c r="AH2498" s="4"/>
      <c r="AI2498" s="4"/>
      <c r="AJ2498" s="4"/>
      <c r="AK2498" s="4"/>
      <c r="AL2498" s="4"/>
      <c r="AM2498" s="4"/>
      <c r="AN2498" s="4"/>
      <c r="AO2498" s="4"/>
      <c r="AP2498" s="4"/>
      <c r="AQ2498" s="4"/>
      <c r="AR2498" s="4"/>
      <c r="AS2498" s="4"/>
      <c r="AT2498" s="4"/>
      <c r="AU2498" s="4"/>
      <c r="AV2498" s="4"/>
      <c r="AW2498" s="4"/>
      <c r="AX2498" s="4"/>
      <c r="AY2498" s="4"/>
      <c r="AZ2498" s="4"/>
      <c r="BA2498" s="4"/>
      <c r="BB2498" s="4"/>
      <c r="BC2498" s="4"/>
      <c r="BD2498" s="4"/>
      <c r="BE2498" s="4"/>
      <c r="BF2498" s="4"/>
      <c r="BG2498" s="4"/>
      <c r="BH2498" s="4"/>
      <c r="BI2498" s="4"/>
      <c r="BJ2498" s="4"/>
      <c r="BK2498" s="4"/>
      <c r="BL2498" s="4"/>
      <c r="BM2498" s="4"/>
      <c r="BN2498" s="4"/>
      <c r="BO2498" s="4"/>
      <c r="BP2498" s="4"/>
      <c r="BQ2498" s="4"/>
      <c r="BR2498" s="4"/>
      <c r="BS2498" s="4"/>
      <c r="BT2498" s="4"/>
      <c r="BU2498" s="4"/>
      <c r="BV2498" s="4"/>
      <c r="BW2498" s="4"/>
      <c r="BX2498" s="4"/>
      <c r="BY2498" s="4"/>
      <c r="BZ2498" s="4"/>
      <c r="CA2498" s="4"/>
      <c r="CB2498" s="4"/>
      <c r="CC2498" s="4"/>
      <c r="CD2498" s="4"/>
      <c r="CE2498" s="4"/>
      <c r="CF2498" s="4"/>
      <c r="CG2498" s="4"/>
      <c r="CH2498" s="4"/>
      <c r="CI2498" s="4"/>
      <c r="CJ2498" s="4"/>
      <c r="CK2498" s="4"/>
      <c r="CL2498" s="4"/>
      <c r="CM2498" s="4"/>
      <c r="CN2498" s="4"/>
      <c r="CO2498" s="4"/>
      <c r="CP2498" s="4"/>
      <c r="CQ2498" s="4"/>
      <c r="CR2498" s="4"/>
      <c r="CS2498" s="4"/>
      <c r="CT2498" s="4"/>
      <c r="CU2498" s="4"/>
      <c r="CV2498" s="4"/>
      <c r="CW2498" s="4"/>
      <c r="CX2498" s="4"/>
      <c r="CY2498" s="4"/>
      <c r="CZ2498" s="4"/>
      <c r="DA2498" s="4"/>
      <c r="DB2498" s="4"/>
      <c r="DC2498" s="4"/>
      <c r="DD2498" s="4"/>
      <c r="DE2498" s="4"/>
      <c r="DF2498" s="4"/>
      <c r="DG2498" s="4"/>
      <c r="DH2498" s="4"/>
      <c r="DI2498" s="4"/>
      <c r="DJ2498" s="4"/>
      <c r="DK2498" s="4"/>
      <c r="DL2498" s="4"/>
      <c r="DM2498" s="4"/>
      <c r="DN2498" s="4"/>
      <c r="DO2498" s="4"/>
      <c r="DP2498" s="4"/>
      <c r="DQ2498" s="4"/>
      <c r="DR2498" s="4"/>
      <c r="DS2498" s="4"/>
    </row>
    <row r="2499">
      <c r="A2499" s="4"/>
      <c r="B2499" s="4"/>
      <c r="C2499" s="4"/>
      <c r="D2499" s="4"/>
      <c r="E2499" s="4"/>
      <c r="F2499" s="4" t="s">
        <v>17</v>
      </c>
      <c r="G2499" s="15"/>
      <c r="H2499" s="4"/>
      <c r="I2499" s="4"/>
      <c r="J2499" s="4"/>
      <c r="K2499" s="4"/>
      <c r="L2499" s="4"/>
      <c r="M2499" s="4"/>
      <c r="N2499" s="4"/>
      <c r="O2499" s="4"/>
      <c r="P2499" s="4"/>
      <c r="Q2499" s="4"/>
      <c r="R2499" s="4"/>
      <c r="S2499" s="4"/>
      <c r="T2499" s="4"/>
      <c r="U2499" s="4"/>
      <c r="V2499" s="4"/>
      <c r="W2499" s="4"/>
      <c r="X2499" s="4"/>
      <c r="Y2499" s="4"/>
      <c r="Z2499" s="4"/>
      <c r="AA2499" s="4"/>
      <c r="AB2499" s="4"/>
      <c r="AC2499" s="4"/>
      <c r="AD2499" s="4"/>
      <c r="AE2499" s="4"/>
      <c r="AF2499" s="4"/>
      <c r="AG2499" s="4"/>
      <c r="AH2499" s="4"/>
      <c r="AI2499" s="4"/>
      <c r="AJ2499" s="4"/>
      <c r="AK2499" s="4"/>
      <c r="AL2499" s="4"/>
      <c r="AM2499" s="4"/>
      <c r="AN2499" s="4"/>
      <c r="AO2499" s="4"/>
      <c r="AP2499" s="4"/>
      <c r="AQ2499" s="4"/>
      <c r="AR2499" s="4"/>
      <c r="AS2499" s="4"/>
      <c r="AT2499" s="4"/>
      <c r="AU2499" s="4"/>
      <c r="AV2499" s="4"/>
      <c r="AW2499" s="4"/>
      <c r="AX2499" s="4"/>
      <c r="AY2499" s="4"/>
      <c r="AZ2499" s="4"/>
      <c r="BA2499" s="4"/>
      <c r="BB2499" s="4"/>
      <c r="BC2499" s="4"/>
      <c r="BD2499" s="4"/>
      <c r="BE2499" s="4"/>
      <c r="BF2499" s="4"/>
      <c r="BG2499" s="4"/>
      <c r="BH2499" s="4"/>
      <c r="BI2499" s="4"/>
      <c r="BJ2499" s="4"/>
      <c r="BK2499" s="4"/>
      <c r="BL2499" s="4"/>
      <c r="BM2499" s="4"/>
      <c r="BN2499" s="4"/>
      <c r="BO2499" s="4"/>
      <c r="BP2499" s="4"/>
      <c r="BQ2499" s="4"/>
      <c r="BR2499" s="4"/>
      <c r="BS2499" s="4"/>
      <c r="BT2499" s="4"/>
      <c r="BU2499" s="4"/>
      <c r="BV2499" s="4"/>
      <c r="BW2499" s="4"/>
      <c r="BX2499" s="4"/>
      <c r="BY2499" s="4"/>
      <c r="BZ2499" s="4"/>
      <c r="CA2499" s="4"/>
      <c r="CB2499" s="4"/>
      <c r="CC2499" s="4"/>
      <c r="CD2499" s="4"/>
      <c r="CE2499" s="4"/>
      <c r="CF2499" s="4"/>
      <c r="CG2499" s="4"/>
      <c r="CH2499" s="4"/>
      <c r="CI2499" s="4"/>
      <c r="CJ2499" s="4"/>
      <c r="CK2499" s="4"/>
      <c r="CL2499" s="4"/>
      <c r="CM2499" s="4"/>
      <c r="CN2499" s="4"/>
      <c r="CO2499" s="4"/>
      <c r="CP2499" s="4"/>
      <c r="CQ2499" s="4"/>
      <c r="CR2499" s="4"/>
      <c r="CS2499" s="4"/>
      <c r="CT2499" s="4"/>
      <c r="CU2499" s="4"/>
      <c r="CV2499" s="4"/>
      <c r="CW2499" s="4"/>
      <c r="CX2499" s="4"/>
      <c r="CY2499" s="4"/>
      <c r="CZ2499" s="4"/>
      <c r="DA2499" s="4"/>
      <c r="DB2499" s="4"/>
      <c r="DC2499" s="4"/>
      <c r="DD2499" s="4"/>
      <c r="DE2499" s="4"/>
      <c r="DF2499" s="4"/>
      <c r="DG2499" s="4"/>
      <c r="DH2499" s="4"/>
      <c r="DI2499" s="4"/>
      <c r="DJ2499" s="4"/>
      <c r="DK2499" s="4"/>
      <c r="DL2499" s="4"/>
      <c r="DM2499" s="4"/>
      <c r="DN2499" s="4"/>
      <c r="DO2499" s="4"/>
      <c r="DP2499" s="4"/>
      <c r="DQ2499" s="4"/>
      <c r="DR2499" s="4"/>
      <c r="DS2499" s="4"/>
    </row>
    <row r="2500">
      <c r="A2500" s="4"/>
      <c r="B2500" s="4"/>
      <c r="C2500" s="4"/>
      <c r="D2500" s="4"/>
      <c r="E2500" s="4"/>
      <c r="F2500" s="4" t="s">
        <v>17</v>
      </c>
      <c r="G2500" s="15"/>
      <c r="H2500" s="4"/>
      <c r="I2500" s="4"/>
      <c r="J2500" s="4"/>
      <c r="K2500" s="4"/>
      <c r="L2500" s="4"/>
      <c r="M2500" s="4"/>
      <c r="N2500" s="4"/>
      <c r="O2500" s="4"/>
      <c r="P2500" s="4"/>
      <c r="Q2500" s="4"/>
      <c r="R2500" s="4"/>
      <c r="S2500" s="4"/>
      <c r="T2500" s="4"/>
      <c r="U2500" s="4"/>
      <c r="V2500" s="4"/>
      <c r="W2500" s="4"/>
      <c r="X2500" s="4"/>
      <c r="Y2500" s="4"/>
      <c r="Z2500" s="4"/>
      <c r="AA2500" s="4"/>
      <c r="AB2500" s="4"/>
      <c r="AC2500" s="4"/>
      <c r="AD2500" s="4"/>
      <c r="AE2500" s="4"/>
      <c r="AF2500" s="4"/>
      <c r="AG2500" s="4"/>
      <c r="AH2500" s="4"/>
      <c r="AI2500" s="4"/>
      <c r="AJ2500" s="4"/>
      <c r="AK2500" s="4"/>
      <c r="AL2500" s="4"/>
      <c r="AM2500" s="4"/>
      <c r="AN2500" s="4"/>
      <c r="AO2500" s="4"/>
      <c r="AP2500" s="4"/>
      <c r="AQ2500" s="4"/>
      <c r="AR2500" s="4"/>
      <c r="AS2500" s="4"/>
      <c r="AT2500" s="4"/>
      <c r="AU2500" s="4"/>
      <c r="AV2500" s="4"/>
      <c r="AW2500" s="4"/>
      <c r="AX2500" s="4"/>
      <c r="AY2500" s="4"/>
      <c r="AZ2500" s="4"/>
      <c r="BA2500" s="4"/>
      <c r="BB2500" s="4"/>
      <c r="BC2500" s="4"/>
      <c r="BD2500" s="4"/>
      <c r="BE2500" s="4"/>
      <c r="BF2500" s="4"/>
      <c r="BG2500" s="4"/>
      <c r="BH2500" s="4"/>
      <c r="BI2500" s="4"/>
      <c r="BJ2500" s="4"/>
      <c r="BK2500" s="4"/>
      <c r="BL2500" s="4"/>
      <c r="BM2500" s="4"/>
      <c r="BN2500" s="4"/>
      <c r="BO2500" s="4"/>
      <c r="BP2500" s="4"/>
      <c r="BQ2500" s="4"/>
      <c r="BR2500" s="4"/>
      <c r="BS2500" s="4"/>
      <c r="BT2500" s="4"/>
      <c r="BU2500" s="4"/>
      <c r="BV2500" s="4"/>
      <c r="BW2500" s="4"/>
      <c r="BX2500" s="4"/>
      <c r="BY2500" s="4"/>
      <c r="BZ2500" s="4"/>
      <c r="CA2500" s="4"/>
      <c r="CB2500" s="4"/>
      <c r="CC2500" s="4"/>
      <c r="CD2500" s="4"/>
      <c r="CE2500" s="4"/>
      <c r="CF2500" s="4"/>
      <c r="CG2500" s="4"/>
      <c r="CH2500" s="4"/>
      <c r="CI2500" s="4"/>
      <c r="CJ2500" s="4"/>
      <c r="CK2500" s="4"/>
      <c r="CL2500" s="4"/>
      <c r="CM2500" s="4"/>
      <c r="CN2500" s="4"/>
      <c r="CO2500" s="4"/>
      <c r="CP2500" s="4"/>
      <c r="CQ2500" s="4"/>
      <c r="CR2500" s="4"/>
      <c r="CS2500" s="4"/>
      <c r="CT2500" s="4"/>
      <c r="CU2500" s="4"/>
      <c r="CV2500" s="4"/>
      <c r="CW2500" s="4"/>
      <c r="CX2500" s="4"/>
      <c r="CY2500" s="4"/>
      <c r="CZ2500" s="4"/>
      <c r="DA2500" s="4"/>
      <c r="DB2500" s="4"/>
      <c r="DC2500" s="4"/>
      <c r="DD2500" s="4"/>
      <c r="DE2500" s="4"/>
      <c r="DF2500" s="4"/>
      <c r="DG2500" s="4"/>
      <c r="DH2500" s="4"/>
      <c r="DI2500" s="4"/>
      <c r="DJ2500" s="4"/>
      <c r="DK2500" s="4"/>
      <c r="DL2500" s="4"/>
      <c r="DM2500" s="4"/>
      <c r="DN2500" s="4"/>
      <c r="DO2500" s="4"/>
      <c r="DP2500" s="4"/>
      <c r="DQ2500" s="4"/>
      <c r="DR2500" s="4"/>
      <c r="DS2500" s="4"/>
    </row>
    <row r="2501">
      <c r="A2501" s="4"/>
      <c r="B2501" s="4"/>
      <c r="C2501" s="4"/>
      <c r="D2501" s="4"/>
      <c r="E2501" s="4"/>
      <c r="F2501" s="4" t="s">
        <v>17</v>
      </c>
      <c r="G2501" s="15"/>
      <c r="H2501" s="4"/>
      <c r="I2501" s="4"/>
      <c r="J2501" s="4"/>
      <c r="K2501" s="4"/>
      <c r="L2501" s="4"/>
      <c r="M2501" s="4"/>
      <c r="N2501" s="4"/>
      <c r="O2501" s="4"/>
      <c r="P2501" s="4"/>
      <c r="Q2501" s="4"/>
      <c r="R2501" s="4"/>
      <c r="S2501" s="4"/>
      <c r="T2501" s="4"/>
      <c r="U2501" s="4"/>
      <c r="V2501" s="4"/>
      <c r="W2501" s="4"/>
      <c r="X2501" s="4"/>
      <c r="Y2501" s="4"/>
      <c r="Z2501" s="4"/>
      <c r="AA2501" s="4"/>
      <c r="AB2501" s="4"/>
      <c r="AC2501" s="4"/>
      <c r="AD2501" s="4"/>
      <c r="AE2501" s="4"/>
      <c r="AF2501" s="4"/>
      <c r="AG2501" s="4"/>
      <c r="AH2501" s="4"/>
      <c r="AI2501" s="4"/>
      <c r="AJ2501" s="4"/>
      <c r="AK2501" s="4"/>
      <c r="AL2501" s="4"/>
      <c r="AM2501" s="4"/>
      <c r="AN2501" s="4"/>
      <c r="AO2501" s="4"/>
      <c r="AP2501" s="4"/>
      <c r="AQ2501" s="4"/>
      <c r="AR2501" s="4"/>
      <c r="AS2501" s="4"/>
      <c r="AT2501" s="4"/>
      <c r="AU2501" s="4"/>
      <c r="AV2501" s="4"/>
      <c r="AW2501" s="4"/>
      <c r="AX2501" s="4"/>
      <c r="AY2501" s="4"/>
      <c r="AZ2501" s="4"/>
      <c r="BA2501" s="4"/>
      <c r="BB2501" s="4"/>
      <c r="BC2501" s="4"/>
      <c r="BD2501" s="4"/>
      <c r="BE2501" s="4"/>
      <c r="BF2501" s="4"/>
      <c r="BG2501" s="4"/>
      <c r="BH2501" s="4"/>
      <c r="BI2501" s="4"/>
      <c r="BJ2501" s="4"/>
      <c r="BK2501" s="4"/>
      <c r="BL2501" s="4"/>
      <c r="BM2501" s="4"/>
      <c r="BN2501" s="4"/>
      <c r="BO2501" s="4"/>
      <c r="BP2501" s="4"/>
      <c r="BQ2501" s="4"/>
      <c r="BR2501" s="4"/>
      <c r="BS2501" s="4"/>
      <c r="BT2501" s="4"/>
      <c r="BU2501" s="4"/>
      <c r="BV2501" s="4"/>
      <c r="BW2501" s="4"/>
      <c r="BX2501" s="4"/>
      <c r="BY2501" s="4"/>
      <c r="BZ2501" s="4"/>
      <c r="CA2501" s="4"/>
      <c r="CB2501" s="4"/>
      <c r="CC2501" s="4"/>
      <c r="CD2501" s="4"/>
      <c r="CE2501" s="4"/>
      <c r="CF2501" s="4"/>
      <c r="CG2501" s="4"/>
      <c r="CH2501" s="4"/>
      <c r="CI2501" s="4"/>
      <c r="CJ2501" s="4"/>
      <c r="CK2501" s="4"/>
      <c r="CL2501" s="4"/>
      <c r="CM2501" s="4"/>
      <c r="CN2501" s="4"/>
      <c r="CO2501" s="4"/>
      <c r="CP2501" s="4"/>
      <c r="CQ2501" s="4"/>
      <c r="CR2501" s="4"/>
      <c r="CS2501" s="4"/>
      <c r="CT2501" s="4"/>
      <c r="CU2501" s="4"/>
      <c r="CV2501" s="4"/>
      <c r="CW2501" s="4"/>
      <c r="CX2501" s="4"/>
      <c r="CY2501" s="4"/>
      <c r="CZ2501" s="4"/>
      <c r="DA2501" s="4"/>
      <c r="DB2501" s="4"/>
      <c r="DC2501" s="4"/>
      <c r="DD2501" s="4"/>
      <c r="DE2501" s="4"/>
      <c r="DF2501" s="4"/>
      <c r="DG2501" s="4"/>
      <c r="DH2501" s="4"/>
      <c r="DI2501" s="4"/>
      <c r="DJ2501" s="4"/>
      <c r="DK2501" s="4"/>
      <c r="DL2501" s="4"/>
      <c r="DM2501" s="4"/>
      <c r="DN2501" s="4"/>
      <c r="DO2501" s="4"/>
      <c r="DP2501" s="4"/>
      <c r="DQ2501" s="4"/>
      <c r="DR2501" s="4"/>
      <c r="DS2501" s="4"/>
    </row>
    <row r="2502">
      <c r="A2502" s="4"/>
      <c r="B2502" s="4"/>
      <c r="C2502" s="4"/>
      <c r="D2502" s="4"/>
      <c r="E2502" s="4"/>
      <c r="F2502" s="4" t="s">
        <v>17</v>
      </c>
      <c r="G2502" s="15"/>
      <c r="H2502" s="4"/>
      <c r="I2502" s="4"/>
      <c r="J2502" s="4"/>
      <c r="K2502" s="4"/>
      <c r="L2502" s="4"/>
      <c r="M2502" s="4"/>
      <c r="N2502" s="4"/>
      <c r="O2502" s="4"/>
      <c r="P2502" s="4"/>
      <c r="Q2502" s="4"/>
      <c r="R2502" s="4"/>
      <c r="S2502" s="4"/>
      <c r="T2502" s="4"/>
      <c r="U2502" s="4"/>
      <c r="V2502" s="4"/>
      <c r="W2502" s="4"/>
      <c r="X2502" s="4"/>
      <c r="Y2502" s="4"/>
      <c r="Z2502" s="4"/>
      <c r="AA2502" s="4"/>
      <c r="AB2502" s="4"/>
      <c r="AC2502" s="4"/>
      <c r="AD2502" s="4"/>
      <c r="AE2502" s="4"/>
      <c r="AF2502" s="4"/>
      <c r="AG2502" s="4"/>
      <c r="AH2502" s="4"/>
      <c r="AI2502" s="4"/>
      <c r="AJ2502" s="4"/>
      <c r="AK2502" s="4"/>
      <c r="AL2502" s="4"/>
      <c r="AM2502" s="4"/>
      <c r="AN2502" s="4"/>
      <c r="AO2502" s="4"/>
      <c r="AP2502" s="4"/>
      <c r="AQ2502" s="4"/>
      <c r="AR2502" s="4"/>
      <c r="AS2502" s="4"/>
      <c r="AT2502" s="4"/>
      <c r="AU2502" s="4"/>
      <c r="AV2502" s="4"/>
      <c r="AW2502" s="4"/>
      <c r="AX2502" s="4"/>
      <c r="AY2502" s="4"/>
      <c r="AZ2502" s="4"/>
      <c r="BA2502" s="4"/>
      <c r="BB2502" s="4"/>
      <c r="BC2502" s="4"/>
      <c r="BD2502" s="4"/>
      <c r="BE2502" s="4"/>
      <c r="BF2502" s="4"/>
      <c r="BG2502" s="4"/>
      <c r="BH2502" s="4"/>
      <c r="BI2502" s="4"/>
      <c r="BJ2502" s="4"/>
      <c r="BK2502" s="4"/>
      <c r="BL2502" s="4"/>
      <c r="BM2502" s="4"/>
      <c r="BN2502" s="4"/>
      <c r="BO2502" s="4"/>
      <c r="BP2502" s="4"/>
      <c r="BQ2502" s="4"/>
      <c r="BR2502" s="4"/>
      <c r="BS2502" s="4"/>
      <c r="BT2502" s="4"/>
      <c r="BU2502" s="4"/>
      <c r="BV2502" s="4"/>
      <c r="BW2502" s="4"/>
      <c r="BX2502" s="4"/>
      <c r="BY2502" s="4"/>
      <c r="BZ2502" s="4"/>
      <c r="CA2502" s="4"/>
      <c r="CB2502" s="4"/>
      <c r="CC2502" s="4"/>
      <c r="CD2502" s="4"/>
      <c r="CE2502" s="4"/>
      <c r="CF2502" s="4"/>
      <c r="CG2502" s="4"/>
      <c r="CH2502" s="4"/>
      <c r="CI2502" s="4"/>
      <c r="CJ2502" s="4"/>
      <c r="CK2502" s="4"/>
      <c r="CL2502" s="4"/>
      <c r="CM2502" s="4"/>
      <c r="CN2502" s="4"/>
      <c r="CO2502" s="4"/>
      <c r="CP2502" s="4"/>
      <c r="CQ2502" s="4"/>
      <c r="CR2502" s="4"/>
      <c r="CS2502" s="4"/>
      <c r="CT2502" s="4"/>
      <c r="CU2502" s="4"/>
      <c r="CV2502" s="4"/>
      <c r="CW2502" s="4"/>
      <c r="CX2502" s="4"/>
      <c r="CY2502" s="4"/>
      <c r="CZ2502" s="4"/>
      <c r="DA2502" s="4"/>
      <c r="DB2502" s="4"/>
      <c r="DC2502" s="4"/>
      <c r="DD2502" s="4"/>
      <c r="DE2502" s="4"/>
      <c r="DF2502" s="4"/>
      <c r="DG2502" s="4"/>
      <c r="DH2502" s="4"/>
      <c r="DI2502" s="4"/>
      <c r="DJ2502" s="4"/>
      <c r="DK2502" s="4"/>
      <c r="DL2502" s="4"/>
      <c r="DM2502" s="4"/>
      <c r="DN2502" s="4"/>
      <c r="DO2502" s="4"/>
      <c r="DP2502" s="4"/>
      <c r="DQ2502" s="4"/>
      <c r="DR2502" s="4"/>
      <c r="DS2502" s="4"/>
    </row>
    <row r="2503">
      <c r="A2503" s="4"/>
      <c r="B2503" s="4"/>
      <c r="C2503" s="4"/>
      <c r="D2503" s="4"/>
      <c r="E2503" s="4"/>
      <c r="F2503" s="4" t="s">
        <v>17</v>
      </c>
      <c r="G2503" s="15"/>
      <c r="H2503" s="4"/>
      <c r="I2503" s="4"/>
      <c r="J2503" s="4"/>
      <c r="K2503" s="4"/>
      <c r="L2503" s="4"/>
      <c r="M2503" s="4"/>
      <c r="N2503" s="4"/>
      <c r="O2503" s="4"/>
      <c r="P2503" s="4"/>
      <c r="Q2503" s="4"/>
      <c r="R2503" s="4"/>
      <c r="S2503" s="4"/>
      <c r="T2503" s="4"/>
      <c r="U2503" s="4"/>
      <c r="V2503" s="4"/>
      <c r="W2503" s="4"/>
      <c r="X2503" s="4"/>
      <c r="Y2503" s="4"/>
      <c r="Z2503" s="4"/>
      <c r="AA2503" s="4"/>
      <c r="AB2503" s="4"/>
      <c r="AC2503" s="4"/>
      <c r="AD2503" s="4"/>
      <c r="AE2503" s="4"/>
      <c r="AF2503" s="4"/>
      <c r="AG2503" s="4"/>
      <c r="AH2503" s="4"/>
      <c r="AI2503" s="4"/>
      <c r="AJ2503" s="4"/>
      <c r="AK2503" s="4"/>
      <c r="AL2503" s="4"/>
      <c r="AM2503" s="4"/>
      <c r="AN2503" s="4"/>
      <c r="AO2503" s="4"/>
      <c r="AP2503" s="4"/>
      <c r="AQ2503" s="4"/>
      <c r="AR2503" s="4"/>
      <c r="AS2503" s="4"/>
      <c r="AT2503" s="4"/>
      <c r="AU2503" s="4"/>
      <c r="AV2503" s="4"/>
      <c r="AW2503" s="4"/>
      <c r="AX2503" s="4"/>
      <c r="AY2503" s="4"/>
      <c r="AZ2503" s="4"/>
      <c r="BA2503" s="4"/>
      <c r="BB2503" s="4"/>
      <c r="BC2503" s="4"/>
      <c r="BD2503" s="4"/>
      <c r="BE2503" s="4"/>
      <c r="BF2503" s="4"/>
      <c r="BG2503" s="4"/>
      <c r="BH2503" s="4"/>
      <c r="BI2503" s="4"/>
      <c r="BJ2503" s="4"/>
      <c r="BK2503" s="4"/>
      <c r="BL2503" s="4"/>
      <c r="BM2503" s="4"/>
      <c r="BN2503" s="4"/>
      <c r="BO2503" s="4"/>
      <c r="BP2503" s="4"/>
      <c r="BQ2503" s="4"/>
      <c r="BR2503" s="4"/>
      <c r="BS2503" s="4"/>
      <c r="BT2503" s="4"/>
      <c r="BU2503" s="4"/>
      <c r="BV2503" s="4"/>
      <c r="BW2503" s="4"/>
      <c r="BX2503" s="4"/>
      <c r="BY2503" s="4"/>
      <c r="BZ2503" s="4"/>
      <c r="CA2503" s="4"/>
      <c r="CB2503" s="4"/>
      <c r="CC2503" s="4"/>
      <c r="CD2503" s="4"/>
      <c r="CE2503" s="4"/>
      <c r="CF2503" s="4"/>
      <c r="CG2503" s="4"/>
      <c r="CH2503" s="4"/>
      <c r="CI2503" s="4"/>
      <c r="CJ2503" s="4"/>
      <c r="CK2503" s="4"/>
      <c r="CL2503" s="4"/>
      <c r="CM2503" s="4"/>
      <c r="CN2503" s="4"/>
      <c r="CO2503" s="4"/>
      <c r="CP2503" s="4"/>
      <c r="CQ2503" s="4"/>
      <c r="CR2503" s="4"/>
      <c r="CS2503" s="4"/>
      <c r="CT2503" s="4"/>
      <c r="CU2503" s="4"/>
      <c r="CV2503" s="4"/>
      <c r="CW2503" s="4"/>
      <c r="CX2503" s="4"/>
      <c r="CY2503" s="4"/>
      <c r="CZ2503" s="4"/>
      <c r="DA2503" s="4"/>
      <c r="DB2503" s="4"/>
      <c r="DC2503" s="4"/>
      <c r="DD2503" s="4"/>
      <c r="DE2503" s="4"/>
      <c r="DF2503" s="4"/>
      <c r="DG2503" s="4"/>
      <c r="DH2503" s="4"/>
      <c r="DI2503" s="4"/>
      <c r="DJ2503" s="4"/>
      <c r="DK2503" s="4"/>
      <c r="DL2503" s="4"/>
      <c r="DM2503" s="4"/>
      <c r="DN2503" s="4"/>
      <c r="DO2503" s="4"/>
      <c r="DP2503" s="4"/>
      <c r="DQ2503" s="4"/>
      <c r="DR2503" s="4"/>
      <c r="DS2503" s="4"/>
    </row>
    <row r="2504">
      <c r="A2504" s="4"/>
      <c r="B2504" s="4"/>
      <c r="C2504" s="4"/>
      <c r="D2504" s="4"/>
      <c r="E2504" s="4"/>
      <c r="F2504" s="4" t="s">
        <v>17</v>
      </c>
      <c r="G2504" s="15"/>
      <c r="H2504" s="4"/>
      <c r="I2504" s="4"/>
      <c r="J2504" s="4"/>
      <c r="K2504" s="4"/>
      <c r="L2504" s="4"/>
      <c r="M2504" s="4"/>
      <c r="N2504" s="4"/>
      <c r="O2504" s="4"/>
      <c r="P2504" s="4"/>
      <c r="Q2504" s="4"/>
      <c r="R2504" s="4"/>
      <c r="S2504" s="4"/>
      <c r="T2504" s="4"/>
      <c r="U2504" s="4"/>
      <c r="V2504" s="4"/>
      <c r="W2504" s="4"/>
      <c r="X2504" s="4"/>
      <c r="Y2504" s="4"/>
      <c r="Z2504" s="4"/>
      <c r="AA2504" s="4"/>
      <c r="AB2504" s="4"/>
      <c r="AC2504" s="4"/>
      <c r="AD2504" s="4"/>
      <c r="AE2504" s="4"/>
      <c r="AF2504" s="4"/>
      <c r="AG2504" s="4"/>
      <c r="AH2504" s="4"/>
      <c r="AI2504" s="4"/>
      <c r="AJ2504" s="4"/>
      <c r="AK2504" s="4"/>
      <c r="AL2504" s="4"/>
      <c r="AM2504" s="4"/>
      <c r="AN2504" s="4"/>
      <c r="AO2504" s="4"/>
      <c r="AP2504" s="4"/>
      <c r="AQ2504" s="4"/>
      <c r="AR2504" s="4"/>
      <c r="AS2504" s="4"/>
      <c r="AT2504" s="4"/>
      <c r="AU2504" s="4"/>
      <c r="AV2504" s="4"/>
      <c r="AW2504" s="4"/>
      <c r="AX2504" s="4"/>
      <c r="AY2504" s="4"/>
      <c r="AZ2504" s="4"/>
      <c r="BA2504" s="4"/>
      <c r="BB2504" s="4"/>
      <c r="BC2504" s="4"/>
      <c r="BD2504" s="4"/>
      <c r="BE2504" s="4"/>
      <c r="BF2504" s="4"/>
      <c r="BG2504" s="4"/>
      <c r="BH2504" s="4"/>
      <c r="BI2504" s="4"/>
      <c r="BJ2504" s="4"/>
      <c r="BK2504" s="4"/>
      <c r="BL2504" s="4"/>
      <c r="BM2504" s="4"/>
      <c r="BN2504" s="4"/>
      <c r="BO2504" s="4"/>
      <c r="BP2504" s="4"/>
      <c r="BQ2504" s="4"/>
      <c r="BR2504" s="4"/>
      <c r="BS2504" s="4"/>
      <c r="BT2504" s="4"/>
      <c r="BU2504" s="4"/>
      <c r="BV2504" s="4"/>
      <c r="BW2504" s="4"/>
      <c r="BX2504" s="4"/>
      <c r="BY2504" s="4"/>
      <c r="BZ2504" s="4"/>
      <c r="CA2504" s="4"/>
      <c r="CB2504" s="4"/>
      <c r="CC2504" s="4"/>
      <c r="CD2504" s="4"/>
      <c r="CE2504" s="4"/>
      <c r="CF2504" s="4"/>
      <c r="CG2504" s="4"/>
      <c r="CH2504" s="4"/>
      <c r="CI2504" s="4"/>
      <c r="CJ2504" s="4"/>
      <c r="CK2504" s="4"/>
      <c r="CL2504" s="4"/>
      <c r="CM2504" s="4"/>
      <c r="CN2504" s="4"/>
      <c r="CO2504" s="4"/>
      <c r="CP2504" s="4"/>
      <c r="CQ2504" s="4"/>
      <c r="CR2504" s="4"/>
      <c r="CS2504" s="4"/>
      <c r="CT2504" s="4"/>
      <c r="CU2504" s="4"/>
      <c r="CV2504" s="4"/>
      <c r="CW2504" s="4"/>
      <c r="CX2504" s="4"/>
      <c r="CY2504" s="4"/>
      <c r="CZ2504" s="4"/>
      <c r="DA2504" s="4"/>
      <c r="DB2504" s="4"/>
      <c r="DC2504" s="4"/>
      <c r="DD2504" s="4"/>
      <c r="DE2504" s="4"/>
      <c r="DF2504" s="4"/>
      <c r="DG2504" s="4"/>
      <c r="DH2504" s="4"/>
      <c r="DI2504" s="4"/>
      <c r="DJ2504" s="4"/>
      <c r="DK2504" s="4"/>
      <c r="DL2504" s="4"/>
      <c r="DM2504" s="4"/>
      <c r="DN2504" s="4"/>
      <c r="DO2504" s="4"/>
      <c r="DP2504" s="4"/>
      <c r="DQ2504" s="4"/>
      <c r="DR2504" s="4"/>
      <c r="DS2504" s="4"/>
    </row>
    <row r="2505">
      <c r="A2505" s="4"/>
      <c r="B2505" s="4"/>
      <c r="C2505" s="4"/>
      <c r="D2505" s="4"/>
      <c r="E2505" s="4"/>
      <c r="F2505" s="4" t="s">
        <v>17</v>
      </c>
      <c r="G2505" s="15"/>
      <c r="H2505" s="4"/>
      <c r="I2505" s="4"/>
      <c r="J2505" s="4"/>
      <c r="K2505" s="4"/>
      <c r="L2505" s="4"/>
      <c r="M2505" s="4"/>
      <c r="N2505" s="4"/>
      <c r="O2505" s="4"/>
      <c r="P2505" s="4"/>
      <c r="Q2505" s="4"/>
      <c r="R2505" s="4"/>
      <c r="S2505" s="4"/>
      <c r="T2505" s="4"/>
      <c r="U2505" s="4"/>
      <c r="V2505" s="4"/>
      <c r="W2505" s="4"/>
      <c r="X2505" s="4"/>
      <c r="Y2505" s="4"/>
      <c r="Z2505" s="4"/>
      <c r="AA2505" s="4"/>
      <c r="AB2505" s="4"/>
      <c r="AC2505" s="4"/>
      <c r="AD2505" s="4"/>
      <c r="AE2505" s="4"/>
      <c r="AF2505" s="4"/>
      <c r="AG2505" s="4"/>
      <c r="AH2505" s="4"/>
      <c r="AI2505" s="4"/>
      <c r="AJ2505" s="4"/>
      <c r="AK2505" s="4"/>
      <c r="AL2505" s="4"/>
      <c r="AM2505" s="4"/>
      <c r="AN2505" s="4"/>
      <c r="AO2505" s="4"/>
      <c r="AP2505" s="4"/>
      <c r="AQ2505" s="4"/>
      <c r="AR2505" s="4"/>
      <c r="AS2505" s="4"/>
      <c r="AT2505" s="4"/>
      <c r="AU2505" s="4"/>
      <c r="AV2505" s="4"/>
      <c r="AW2505" s="4"/>
      <c r="AX2505" s="4"/>
      <c r="AY2505" s="4"/>
      <c r="AZ2505" s="4"/>
      <c r="BA2505" s="4"/>
      <c r="BB2505" s="4"/>
      <c r="BC2505" s="4"/>
      <c r="BD2505" s="4"/>
      <c r="BE2505" s="4"/>
      <c r="BF2505" s="4"/>
      <c r="BG2505" s="4"/>
      <c r="BH2505" s="4"/>
      <c r="BI2505" s="4"/>
      <c r="BJ2505" s="4"/>
      <c r="BK2505" s="4"/>
      <c r="BL2505" s="4"/>
      <c r="BM2505" s="4"/>
      <c r="BN2505" s="4"/>
      <c r="BO2505" s="4"/>
      <c r="BP2505" s="4"/>
      <c r="BQ2505" s="4"/>
      <c r="BR2505" s="4"/>
      <c r="BS2505" s="4"/>
      <c r="BT2505" s="4"/>
      <c r="BU2505" s="4"/>
      <c r="BV2505" s="4"/>
      <c r="BW2505" s="4"/>
      <c r="BX2505" s="4"/>
      <c r="BY2505" s="4"/>
      <c r="BZ2505" s="4"/>
      <c r="CA2505" s="4"/>
      <c r="CB2505" s="4"/>
      <c r="CC2505" s="4"/>
      <c r="CD2505" s="4"/>
      <c r="CE2505" s="4"/>
      <c r="CF2505" s="4"/>
      <c r="CG2505" s="4"/>
      <c r="CH2505" s="4"/>
      <c r="CI2505" s="4"/>
      <c r="CJ2505" s="4"/>
      <c r="CK2505" s="4"/>
      <c r="CL2505" s="4"/>
      <c r="CM2505" s="4"/>
      <c r="CN2505" s="4"/>
      <c r="CO2505" s="4"/>
      <c r="CP2505" s="4"/>
      <c r="CQ2505" s="4"/>
      <c r="CR2505" s="4"/>
      <c r="CS2505" s="4"/>
      <c r="CT2505" s="4"/>
      <c r="CU2505" s="4"/>
      <c r="CV2505" s="4"/>
      <c r="CW2505" s="4"/>
      <c r="CX2505" s="4"/>
      <c r="CY2505" s="4"/>
      <c r="CZ2505" s="4"/>
      <c r="DA2505" s="4"/>
      <c r="DB2505" s="4"/>
      <c r="DC2505" s="4"/>
      <c r="DD2505" s="4"/>
      <c r="DE2505" s="4"/>
      <c r="DF2505" s="4"/>
      <c r="DG2505" s="4"/>
      <c r="DH2505" s="4"/>
      <c r="DI2505" s="4"/>
      <c r="DJ2505" s="4"/>
      <c r="DK2505" s="4"/>
      <c r="DL2505" s="4"/>
      <c r="DM2505" s="4"/>
      <c r="DN2505" s="4"/>
      <c r="DO2505" s="4"/>
      <c r="DP2505" s="4"/>
      <c r="DQ2505" s="4"/>
      <c r="DR2505" s="4"/>
      <c r="DS2505" s="4"/>
    </row>
    <row r="2506">
      <c r="A2506" s="4"/>
      <c r="B2506" s="4"/>
      <c r="C2506" s="4"/>
      <c r="D2506" s="4"/>
      <c r="E2506" s="4"/>
      <c r="F2506" s="4" t="s">
        <v>17</v>
      </c>
      <c r="G2506" s="15"/>
      <c r="H2506" s="4"/>
      <c r="I2506" s="4"/>
      <c r="J2506" s="4"/>
      <c r="K2506" s="4"/>
      <c r="L2506" s="4"/>
      <c r="M2506" s="4"/>
      <c r="N2506" s="4"/>
      <c r="O2506" s="4"/>
      <c r="P2506" s="4"/>
      <c r="Q2506" s="4"/>
      <c r="R2506" s="4"/>
      <c r="S2506" s="4"/>
      <c r="T2506" s="4"/>
      <c r="U2506" s="4"/>
      <c r="V2506" s="4"/>
      <c r="W2506" s="4"/>
      <c r="X2506" s="4"/>
      <c r="Y2506" s="4"/>
      <c r="Z2506" s="4"/>
      <c r="AA2506" s="4"/>
      <c r="AB2506" s="4"/>
      <c r="AC2506" s="4"/>
      <c r="AD2506" s="4"/>
      <c r="AE2506" s="4"/>
      <c r="AF2506" s="4"/>
      <c r="AG2506" s="4"/>
      <c r="AH2506" s="4"/>
      <c r="AI2506" s="4"/>
      <c r="AJ2506" s="4"/>
      <c r="AK2506" s="4"/>
      <c r="AL2506" s="4"/>
      <c r="AM2506" s="4"/>
      <c r="AN2506" s="4"/>
      <c r="AO2506" s="4"/>
      <c r="AP2506" s="4"/>
      <c r="AQ2506" s="4"/>
      <c r="AR2506" s="4"/>
      <c r="AS2506" s="4"/>
      <c r="AT2506" s="4"/>
      <c r="AU2506" s="4"/>
      <c r="AV2506" s="4"/>
      <c r="AW2506" s="4"/>
      <c r="AX2506" s="4"/>
      <c r="AY2506" s="4"/>
      <c r="AZ2506" s="4"/>
      <c r="BA2506" s="4"/>
      <c r="BB2506" s="4"/>
      <c r="BC2506" s="4"/>
      <c r="BD2506" s="4"/>
      <c r="BE2506" s="4"/>
      <c r="BF2506" s="4"/>
      <c r="BG2506" s="4"/>
      <c r="BH2506" s="4"/>
      <c r="BI2506" s="4"/>
      <c r="BJ2506" s="4"/>
      <c r="BK2506" s="4"/>
      <c r="BL2506" s="4"/>
      <c r="BM2506" s="4"/>
      <c r="BN2506" s="4"/>
      <c r="BO2506" s="4"/>
      <c r="BP2506" s="4"/>
      <c r="BQ2506" s="4"/>
      <c r="BR2506" s="4"/>
      <c r="BS2506" s="4"/>
      <c r="BT2506" s="4"/>
      <c r="BU2506" s="4"/>
      <c r="BV2506" s="4"/>
      <c r="BW2506" s="4"/>
      <c r="BX2506" s="4"/>
      <c r="BY2506" s="4"/>
      <c r="BZ2506" s="4"/>
      <c r="CA2506" s="4"/>
      <c r="CB2506" s="4"/>
      <c r="CC2506" s="4"/>
      <c r="CD2506" s="4"/>
      <c r="CE2506" s="4"/>
      <c r="CF2506" s="4"/>
      <c r="CG2506" s="4"/>
      <c r="CH2506" s="4"/>
      <c r="CI2506" s="4"/>
      <c r="CJ2506" s="4"/>
      <c r="CK2506" s="4"/>
      <c r="CL2506" s="4"/>
      <c r="CM2506" s="4"/>
      <c r="CN2506" s="4"/>
      <c r="CO2506" s="4"/>
      <c r="CP2506" s="4"/>
      <c r="CQ2506" s="4"/>
      <c r="CR2506" s="4"/>
      <c r="CS2506" s="4"/>
      <c r="CT2506" s="4"/>
      <c r="CU2506" s="4"/>
      <c r="CV2506" s="4"/>
      <c r="CW2506" s="4"/>
      <c r="CX2506" s="4"/>
      <c r="CY2506" s="4"/>
      <c r="CZ2506" s="4"/>
      <c r="DA2506" s="4"/>
      <c r="DB2506" s="4"/>
      <c r="DC2506" s="4"/>
      <c r="DD2506" s="4"/>
      <c r="DE2506" s="4"/>
      <c r="DF2506" s="4"/>
      <c r="DG2506" s="4"/>
      <c r="DH2506" s="4"/>
      <c r="DI2506" s="4"/>
      <c r="DJ2506" s="4"/>
      <c r="DK2506" s="4"/>
      <c r="DL2506" s="4"/>
      <c r="DM2506" s="4"/>
      <c r="DN2506" s="4"/>
      <c r="DO2506" s="4"/>
      <c r="DP2506" s="4"/>
      <c r="DQ2506" s="4"/>
      <c r="DR2506" s="4"/>
      <c r="DS2506" s="4"/>
    </row>
    <row r="2507">
      <c r="A2507" s="4"/>
      <c r="B2507" s="4"/>
      <c r="C2507" s="4"/>
      <c r="D2507" s="4"/>
      <c r="E2507" s="4"/>
      <c r="F2507" s="4" t="s">
        <v>17</v>
      </c>
      <c r="G2507" s="15"/>
      <c r="H2507" s="4"/>
      <c r="I2507" s="4"/>
      <c r="J2507" s="4"/>
      <c r="K2507" s="4"/>
      <c r="L2507" s="4"/>
      <c r="M2507" s="4"/>
      <c r="N2507" s="4"/>
      <c r="O2507" s="4"/>
      <c r="P2507" s="4"/>
      <c r="Q2507" s="4"/>
      <c r="R2507" s="4"/>
      <c r="S2507" s="4"/>
      <c r="T2507" s="4"/>
      <c r="U2507" s="4"/>
      <c r="V2507" s="4"/>
      <c r="W2507" s="4"/>
      <c r="X2507" s="4"/>
      <c r="Y2507" s="4"/>
      <c r="Z2507" s="4"/>
      <c r="AA2507" s="4"/>
      <c r="AB2507" s="4"/>
      <c r="AC2507" s="4"/>
      <c r="AD2507" s="4"/>
      <c r="AE2507" s="4"/>
      <c r="AF2507" s="4"/>
      <c r="AG2507" s="4"/>
      <c r="AH2507" s="4"/>
      <c r="AI2507" s="4"/>
      <c r="AJ2507" s="4"/>
      <c r="AK2507" s="4"/>
      <c r="AL2507" s="4"/>
      <c r="AM2507" s="4"/>
      <c r="AN2507" s="4"/>
      <c r="AO2507" s="4"/>
      <c r="AP2507" s="4"/>
      <c r="AQ2507" s="4"/>
      <c r="AR2507" s="4"/>
      <c r="AS2507" s="4"/>
      <c r="AT2507" s="4"/>
      <c r="AU2507" s="4"/>
      <c r="AV2507" s="4"/>
      <c r="AW2507" s="4"/>
      <c r="AX2507" s="4"/>
      <c r="AY2507" s="4"/>
      <c r="AZ2507" s="4"/>
      <c r="BA2507" s="4"/>
      <c r="BB2507" s="4"/>
      <c r="BC2507" s="4"/>
      <c r="BD2507" s="4"/>
      <c r="BE2507" s="4"/>
      <c r="BF2507" s="4"/>
      <c r="BG2507" s="4"/>
      <c r="BH2507" s="4"/>
      <c r="BI2507" s="4"/>
      <c r="BJ2507" s="4"/>
      <c r="BK2507" s="4"/>
      <c r="BL2507" s="4"/>
      <c r="BM2507" s="4"/>
      <c r="BN2507" s="4"/>
      <c r="BO2507" s="4"/>
      <c r="BP2507" s="4"/>
      <c r="BQ2507" s="4"/>
      <c r="BR2507" s="4"/>
      <c r="BS2507" s="4"/>
      <c r="BT2507" s="4"/>
      <c r="BU2507" s="4"/>
      <c r="BV2507" s="4"/>
      <c r="BW2507" s="4"/>
      <c r="BX2507" s="4"/>
      <c r="BY2507" s="4"/>
      <c r="BZ2507" s="4"/>
      <c r="CA2507" s="4"/>
      <c r="CB2507" s="4"/>
      <c r="CC2507" s="4"/>
      <c r="CD2507" s="4"/>
      <c r="CE2507" s="4"/>
      <c r="CF2507" s="4"/>
      <c r="CG2507" s="4"/>
      <c r="CH2507" s="4"/>
      <c r="CI2507" s="4"/>
      <c r="CJ2507" s="4"/>
      <c r="CK2507" s="4"/>
      <c r="CL2507" s="4"/>
      <c r="CM2507" s="4"/>
      <c r="CN2507" s="4"/>
      <c r="CO2507" s="4"/>
      <c r="CP2507" s="4"/>
      <c r="CQ2507" s="4"/>
      <c r="CR2507" s="4"/>
      <c r="CS2507" s="4"/>
      <c r="CT2507" s="4"/>
      <c r="CU2507" s="4"/>
      <c r="CV2507" s="4"/>
      <c r="CW2507" s="4"/>
      <c r="CX2507" s="4"/>
      <c r="CY2507" s="4"/>
      <c r="CZ2507" s="4"/>
      <c r="DA2507" s="4"/>
      <c r="DB2507" s="4"/>
      <c r="DC2507" s="4"/>
      <c r="DD2507" s="4"/>
      <c r="DE2507" s="4"/>
      <c r="DF2507" s="4"/>
      <c r="DG2507" s="4"/>
      <c r="DH2507" s="4"/>
      <c r="DI2507" s="4"/>
      <c r="DJ2507" s="4"/>
      <c r="DK2507" s="4"/>
      <c r="DL2507" s="4"/>
      <c r="DM2507" s="4"/>
      <c r="DN2507" s="4"/>
      <c r="DO2507" s="4"/>
      <c r="DP2507" s="4"/>
      <c r="DQ2507" s="4"/>
      <c r="DR2507" s="4"/>
      <c r="DS2507" s="4"/>
    </row>
    <row r="2508">
      <c r="A2508" s="4"/>
      <c r="B2508" s="4"/>
      <c r="C2508" s="4"/>
      <c r="D2508" s="4"/>
      <c r="E2508" s="4"/>
      <c r="F2508" s="4" t="s">
        <v>17</v>
      </c>
      <c r="G2508" s="15"/>
      <c r="H2508" s="4"/>
      <c r="I2508" s="4"/>
      <c r="J2508" s="4"/>
      <c r="K2508" s="4"/>
      <c r="L2508" s="4"/>
      <c r="M2508" s="4"/>
      <c r="N2508" s="4"/>
      <c r="O2508" s="4"/>
      <c r="P2508" s="4"/>
      <c r="Q2508" s="4"/>
      <c r="R2508" s="4"/>
      <c r="S2508" s="4"/>
      <c r="T2508" s="4"/>
      <c r="U2508" s="4"/>
      <c r="V2508" s="4"/>
      <c r="W2508" s="4"/>
      <c r="X2508" s="4"/>
      <c r="Y2508" s="4"/>
      <c r="Z2508" s="4"/>
      <c r="AA2508" s="4"/>
      <c r="AB2508" s="4"/>
      <c r="AC2508" s="4"/>
      <c r="AD2508" s="4"/>
      <c r="AE2508" s="4"/>
      <c r="AF2508" s="4"/>
      <c r="AG2508" s="4"/>
      <c r="AH2508" s="4"/>
      <c r="AI2508" s="4"/>
      <c r="AJ2508" s="4"/>
      <c r="AK2508" s="4"/>
      <c r="AL2508" s="4"/>
      <c r="AM2508" s="4"/>
      <c r="AN2508" s="4"/>
      <c r="AO2508" s="4"/>
      <c r="AP2508" s="4"/>
      <c r="AQ2508" s="4"/>
      <c r="AR2508" s="4"/>
      <c r="AS2508" s="4"/>
      <c r="AT2508" s="4"/>
      <c r="AU2508" s="4"/>
      <c r="AV2508" s="4"/>
      <c r="AW2508" s="4"/>
      <c r="AX2508" s="4"/>
      <c r="AY2508" s="4"/>
      <c r="AZ2508" s="4"/>
      <c r="BA2508" s="4"/>
      <c r="BB2508" s="4"/>
      <c r="BC2508" s="4"/>
      <c r="BD2508" s="4"/>
      <c r="BE2508" s="4"/>
      <c r="BF2508" s="4"/>
      <c r="BG2508" s="4"/>
      <c r="BH2508" s="4"/>
      <c r="BI2508" s="4"/>
      <c r="BJ2508" s="4"/>
      <c r="BK2508" s="4"/>
      <c r="BL2508" s="4"/>
      <c r="BM2508" s="4"/>
      <c r="BN2508" s="4"/>
      <c r="BO2508" s="4"/>
      <c r="BP2508" s="4"/>
      <c r="BQ2508" s="4"/>
      <c r="BR2508" s="4"/>
      <c r="BS2508" s="4"/>
      <c r="BT2508" s="4"/>
      <c r="BU2508" s="4"/>
      <c r="BV2508" s="4"/>
      <c r="BW2508" s="4"/>
      <c r="BX2508" s="4"/>
      <c r="BY2508" s="4"/>
      <c r="BZ2508" s="4"/>
      <c r="CA2508" s="4"/>
      <c r="CB2508" s="4"/>
      <c r="CC2508" s="4"/>
      <c r="CD2508" s="4"/>
      <c r="CE2508" s="4"/>
      <c r="CF2508" s="4"/>
      <c r="CG2508" s="4"/>
      <c r="CH2508" s="4"/>
      <c r="CI2508" s="4"/>
      <c r="CJ2508" s="4"/>
      <c r="CK2508" s="4"/>
      <c r="CL2508" s="4"/>
      <c r="CM2508" s="4"/>
      <c r="CN2508" s="4"/>
      <c r="CO2508" s="4"/>
      <c r="CP2508" s="4"/>
      <c r="CQ2508" s="4"/>
      <c r="CR2508" s="4"/>
      <c r="CS2508" s="4"/>
      <c r="CT2508" s="4"/>
      <c r="CU2508" s="4"/>
      <c r="CV2508" s="4"/>
      <c r="CW2508" s="4"/>
      <c r="CX2508" s="4"/>
      <c r="CY2508" s="4"/>
      <c r="CZ2508" s="4"/>
      <c r="DA2508" s="4"/>
      <c r="DB2508" s="4"/>
      <c r="DC2508" s="4"/>
      <c r="DD2508" s="4"/>
      <c r="DE2508" s="4"/>
      <c r="DF2508" s="4"/>
      <c r="DG2508" s="4"/>
      <c r="DH2508" s="4"/>
      <c r="DI2508" s="4"/>
      <c r="DJ2508" s="4"/>
      <c r="DK2508" s="4"/>
      <c r="DL2508" s="4"/>
      <c r="DM2508" s="4"/>
      <c r="DN2508" s="4"/>
      <c r="DO2508" s="4"/>
      <c r="DP2508" s="4"/>
      <c r="DQ2508" s="4"/>
      <c r="DR2508" s="4"/>
      <c r="DS2508" s="4"/>
    </row>
    <row r="2509">
      <c r="A2509" s="4"/>
      <c r="B2509" s="4"/>
      <c r="C2509" s="4"/>
      <c r="D2509" s="4"/>
      <c r="E2509" s="4"/>
      <c r="F2509" s="4" t="s">
        <v>17</v>
      </c>
      <c r="G2509" s="15"/>
      <c r="H2509" s="4"/>
      <c r="I2509" s="4"/>
      <c r="J2509" s="4"/>
      <c r="K2509" s="4"/>
      <c r="L2509" s="4"/>
      <c r="M2509" s="4"/>
      <c r="N2509" s="4"/>
      <c r="O2509" s="4"/>
      <c r="P2509" s="4"/>
      <c r="Q2509" s="4"/>
      <c r="R2509" s="4"/>
      <c r="S2509" s="4"/>
      <c r="T2509" s="4"/>
      <c r="U2509" s="4"/>
      <c r="V2509" s="4"/>
      <c r="W2509" s="4"/>
      <c r="X2509" s="4"/>
      <c r="Y2509" s="4"/>
      <c r="Z2509" s="4"/>
      <c r="AA2509" s="4"/>
      <c r="AB2509" s="4"/>
      <c r="AC2509" s="4"/>
      <c r="AD2509" s="4"/>
      <c r="AE2509" s="4"/>
      <c r="AF2509" s="4"/>
      <c r="AG2509" s="4"/>
      <c r="AH2509" s="4"/>
      <c r="AI2509" s="4"/>
      <c r="AJ2509" s="4"/>
      <c r="AK2509" s="4"/>
      <c r="AL2509" s="4"/>
      <c r="AM2509" s="4"/>
      <c r="AN2509" s="4"/>
      <c r="AO2509" s="4"/>
      <c r="AP2509" s="4"/>
      <c r="AQ2509" s="4"/>
      <c r="AR2509" s="4"/>
      <c r="AS2509" s="4"/>
      <c r="AT2509" s="4"/>
      <c r="AU2509" s="4"/>
      <c r="AV2509" s="4"/>
      <c r="AW2509" s="4"/>
      <c r="AX2509" s="4"/>
      <c r="AY2509" s="4"/>
      <c r="AZ2509" s="4"/>
      <c r="BA2509" s="4"/>
      <c r="BB2509" s="4"/>
      <c r="BC2509" s="4"/>
      <c r="BD2509" s="4"/>
      <c r="BE2509" s="4"/>
      <c r="BF2509" s="4"/>
      <c r="BG2509" s="4"/>
      <c r="BH2509" s="4"/>
      <c r="BI2509" s="4"/>
      <c r="BJ2509" s="4"/>
      <c r="BK2509" s="4"/>
      <c r="BL2509" s="4"/>
      <c r="BM2509" s="4"/>
      <c r="BN2509" s="4"/>
      <c r="BO2509" s="4"/>
      <c r="BP2509" s="4"/>
      <c r="BQ2509" s="4"/>
      <c r="BR2509" s="4"/>
      <c r="BS2509" s="4"/>
      <c r="BT2509" s="4"/>
      <c r="BU2509" s="4"/>
      <c r="BV2509" s="4"/>
      <c r="BW2509" s="4"/>
      <c r="BX2509" s="4"/>
      <c r="BY2509" s="4"/>
      <c r="BZ2509" s="4"/>
      <c r="CA2509" s="4"/>
      <c r="CB2509" s="4"/>
      <c r="CC2509" s="4"/>
      <c r="CD2509" s="4"/>
      <c r="CE2509" s="4"/>
      <c r="CF2509" s="4"/>
      <c r="CG2509" s="4"/>
      <c r="CH2509" s="4"/>
      <c r="CI2509" s="4"/>
      <c r="CJ2509" s="4"/>
      <c r="CK2509" s="4"/>
      <c r="CL2509" s="4"/>
      <c r="CM2509" s="4"/>
      <c r="CN2509" s="4"/>
      <c r="CO2509" s="4"/>
      <c r="CP2509" s="4"/>
      <c r="CQ2509" s="4"/>
      <c r="CR2509" s="4"/>
      <c r="CS2509" s="4"/>
      <c r="CT2509" s="4"/>
      <c r="CU2509" s="4"/>
      <c r="CV2509" s="4"/>
      <c r="CW2509" s="4"/>
      <c r="CX2509" s="4"/>
      <c r="CY2509" s="4"/>
      <c r="CZ2509" s="4"/>
      <c r="DA2509" s="4"/>
      <c r="DB2509" s="4"/>
      <c r="DC2509" s="4"/>
      <c r="DD2509" s="4"/>
      <c r="DE2509" s="4"/>
      <c r="DF2509" s="4"/>
      <c r="DG2509" s="4"/>
      <c r="DH2509" s="4"/>
      <c r="DI2509" s="4"/>
      <c r="DJ2509" s="4"/>
      <c r="DK2509" s="4"/>
      <c r="DL2509" s="4"/>
      <c r="DM2509" s="4"/>
      <c r="DN2509" s="4"/>
      <c r="DO2509" s="4"/>
      <c r="DP2509" s="4"/>
      <c r="DQ2509" s="4"/>
      <c r="DR2509" s="4"/>
      <c r="DS2509" s="4"/>
    </row>
    <row r="2510">
      <c r="A2510" s="4"/>
      <c r="B2510" s="4"/>
      <c r="C2510" s="4"/>
      <c r="D2510" s="4"/>
      <c r="E2510" s="4"/>
      <c r="F2510" s="4" t="s">
        <v>17</v>
      </c>
      <c r="G2510" s="15"/>
      <c r="H2510" s="4"/>
      <c r="I2510" s="4"/>
      <c r="J2510" s="4"/>
      <c r="K2510" s="4"/>
      <c r="L2510" s="4"/>
      <c r="M2510" s="4"/>
      <c r="N2510" s="4"/>
      <c r="O2510" s="4"/>
      <c r="P2510" s="4"/>
      <c r="Q2510" s="4"/>
      <c r="R2510" s="4"/>
      <c r="S2510" s="4"/>
      <c r="T2510" s="4"/>
      <c r="U2510" s="4"/>
      <c r="V2510" s="4"/>
      <c r="W2510" s="4"/>
      <c r="X2510" s="4"/>
      <c r="Y2510" s="4"/>
      <c r="Z2510" s="4"/>
      <c r="AA2510" s="4"/>
      <c r="AB2510" s="4"/>
      <c r="AC2510" s="4"/>
      <c r="AD2510" s="4"/>
      <c r="AE2510" s="4"/>
      <c r="AF2510" s="4"/>
      <c r="AG2510" s="4"/>
      <c r="AH2510" s="4"/>
      <c r="AI2510" s="4"/>
      <c r="AJ2510" s="4"/>
      <c r="AK2510" s="4"/>
      <c r="AL2510" s="4"/>
      <c r="AM2510" s="4"/>
      <c r="AN2510" s="4"/>
      <c r="AO2510" s="4"/>
      <c r="AP2510" s="4"/>
      <c r="AQ2510" s="4"/>
      <c r="AR2510" s="4"/>
      <c r="AS2510" s="4"/>
      <c r="AT2510" s="4"/>
      <c r="AU2510" s="4"/>
      <c r="AV2510" s="4"/>
      <c r="AW2510" s="4"/>
      <c r="AX2510" s="4"/>
      <c r="AY2510" s="4"/>
      <c r="AZ2510" s="4"/>
      <c r="BA2510" s="4"/>
      <c r="BB2510" s="4"/>
      <c r="BC2510" s="4"/>
      <c r="BD2510" s="4"/>
      <c r="BE2510" s="4"/>
      <c r="BF2510" s="4"/>
      <c r="BG2510" s="4"/>
      <c r="BH2510" s="4"/>
      <c r="BI2510" s="4"/>
      <c r="BJ2510" s="4"/>
      <c r="BK2510" s="4"/>
      <c r="BL2510" s="4"/>
      <c r="BM2510" s="4"/>
      <c r="BN2510" s="4"/>
      <c r="BO2510" s="4"/>
      <c r="BP2510" s="4"/>
      <c r="BQ2510" s="4"/>
      <c r="BR2510" s="4"/>
      <c r="BS2510" s="4"/>
      <c r="BT2510" s="4"/>
      <c r="BU2510" s="4"/>
      <c r="BV2510" s="4"/>
      <c r="BW2510" s="4"/>
      <c r="BX2510" s="4"/>
      <c r="BY2510" s="4"/>
      <c r="BZ2510" s="4"/>
      <c r="CA2510" s="4"/>
      <c r="CB2510" s="4"/>
      <c r="CC2510" s="4"/>
      <c r="CD2510" s="4"/>
      <c r="CE2510" s="4"/>
      <c r="CF2510" s="4"/>
      <c r="CG2510" s="4"/>
      <c r="CH2510" s="4"/>
      <c r="CI2510" s="4"/>
      <c r="CJ2510" s="4"/>
      <c r="CK2510" s="4"/>
      <c r="CL2510" s="4"/>
      <c r="CM2510" s="4"/>
      <c r="CN2510" s="4"/>
      <c r="CO2510" s="4"/>
      <c r="CP2510" s="4"/>
      <c r="CQ2510" s="4"/>
      <c r="CR2510" s="4"/>
      <c r="CS2510" s="4"/>
      <c r="CT2510" s="4"/>
      <c r="CU2510" s="4"/>
      <c r="CV2510" s="4"/>
      <c r="CW2510" s="4"/>
      <c r="CX2510" s="4"/>
      <c r="CY2510" s="4"/>
      <c r="CZ2510" s="4"/>
      <c r="DA2510" s="4"/>
      <c r="DB2510" s="4"/>
      <c r="DC2510" s="4"/>
      <c r="DD2510" s="4"/>
      <c r="DE2510" s="4"/>
      <c r="DF2510" s="4"/>
      <c r="DG2510" s="4"/>
      <c r="DH2510" s="4"/>
      <c r="DI2510" s="4"/>
      <c r="DJ2510" s="4"/>
      <c r="DK2510" s="4"/>
      <c r="DL2510" s="4"/>
      <c r="DM2510" s="4"/>
      <c r="DN2510" s="4"/>
      <c r="DO2510" s="4"/>
      <c r="DP2510" s="4"/>
      <c r="DQ2510" s="4"/>
      <c r="DR2510" s="4"/>
      <c r="DS2510" s="4"/>
    </row>
    <row r="2511">
      <c r="A2511" s="4"/>
      <c r="B2511" s="4"/>
      <c r="C2511" s="4"/>
      <c r="D2511" s="4"/>
      <c r="E2511" s="4"/>
      <c r="F2511" s="4" t="s">
        <v>17</v>
      </c>
      <c r="G2511" s="15"/>
      <c r="H2511" s="4"/>
      <c r="I2511" s="4"/>
      <c r="J2511" s="4"/>
      <c r="K2511" s="4"/>
      <c r="L2511" s="4"/>
      <c r="M2511" s="4"/>
      <c r="N2511" s="4"/>
      <c r="O2511" s="4"/>
      <c r="P2511" s="4"/>
      <c r="Q2511" s="4"/>
      <c r="R2511" s="4"/>
      <c r="S2511" s="4"/>
      <c r="T2511" s="4"/>
      <c r="U2511" s="4"/>
      <c r="V2511" s="4"/>
      <c r="W2511" s="4"/>
      <c r="X2511" s="4"/>
      <c r="Y2511" s="4"/>
      <c r="Z2511" s="4"/>
      <c r="AA2511" s="4"/>
      <c r="AB2511" s="4"/>
      <c r="AC2511" s="4"/>
      <c r="AD2511" s="4"/>
      <c r="AE2511" s="4"/>
      <c r="AF2511" s="4"/>
      <c r="AG2511" s="4"/>
      <c r="AH2511" s="4"/>
      <c r="AI2511" s="4"/>
      <c r="AJ2511" s="4"/>
      <c r="AK2511" s="4"/>
      <c r="AL2511" s="4"/>
      <c r="AM2511" s="4"/>
      <c r="AN2511" s="4"/>
      <c r="AO2511" s="4"/>
      <c r="AP2511" s="4"/>
      <c r="AQ2511" s="4"/>
      <c r="AR2511" s="4"/>
      <c r="AS2511" s="4"/>
      <c r="AT2511" s="4"/>
      <c r="AU2511" s="4"/>
      <c r="AV2511" s="4"/>
      <c r="AW2511" s="4"/>
      <c r="AX2511" s="4"/>
      <c r="AY2511" s="4"/>
      <c r="AZ2511" s="4"/>
      <c r="BA2511" s="4"/>
      <c r="BB2511" s="4"/>
      <c r="BC2511" s="4"/>
      <c r="BD2511" s="4"/>
      <c r="BE2511" s="4"/>
      <c r="BF2511" s="4"/>
      <c r="BG2511" s="4"/>
      <c r="BH2511" s="4"/>
      <c r="BI2511" s="4"/>
      <c r="BJ2511" s="4"/>
      <c r="BK2511" s="4"/>
      <c r="BL2511" s="4"/>
      <c r="BM2511" s="4"/>
      <c r="BN2511" s="4"/>
      <c r="BO2511" s="4"/>
      <c r="BP2511" s="4"/>
      <c r="BQ2511" s="4"/>
      <c r="BR2511" s="4"/>
      <c r="BS2511" s="4"/>
      <c r="BT2511" s="4"/>
      <c r="BU2511" s="4"/>
      <c r="BV2511" s="4"/>
      <c r="BW2511" s="4"/>
      <c r="BX2511" s="4"/>
      <c r="BY2511" s="4"/>
      <c r="BZ2511" s="4"/>
      <c r="CA2511" s="4"/>
      <c r="CB2511" s="4"/>
      <c r="CC2511" s="4"/>
      <c r="CD2511" s="4"/>
      <c r="CE2511" s="4"/>
      <c r="CF2511" s="4"/>
      <c r="CG2511" s="4"/>
      <c r="CH2511" s="4"/>
      <c r="CI2511" s="4"/>
      <c r="CJ2511" s="4"/>
      <c r="CK2511" s="4"/>
      <c r="CL2511" s="4"/>
      <c r="CM2511" s="4"/>
      <c r="CN2511" s="4"/>
      <c r="CO2511" s="4"/>
      <c r="CP2511" s="4"/>
      <c r="CQ2511" s="4"/>
      <c r="CR2511" s="4"/>
      <c r="CS2511" s="4"/>
      <c r="CT2511" s="4"/>
      <c r="CU2511" s="4"/>
      <c r="CV2511" s="4"/>
      <c r="CW2511" s="4"/>
      <c r="CX2511" s="4"/>
      <c r="CY2511" s="4"/>
      <c r="CZ2511" s="4"/>
      <c r="DA2511" s="4"/>
      <c r="DB2511" s="4"/>
      <c r="DC2511" s="4"/>
      <c r="DD2511" s="4"/>
      <c r="DE2511" s="4"/>
      <c r="DF2511" s="4"/>
      <c r="DG2511" s="4"/>
      <c r="DH2511" s="4"/>
      <c r="DI2511" s="4"/>
      <c r="DJ2511" s="4"/>
      <c r="DK2511" s="4"/>
      <c r="DL2511" s="4"/>
      <c r="DM2511" s="4"/>
      <c r="DN2511" s="4"/>
      <c r="DO2511" s="4"/>
      <c r="DP2511" s="4"/>
      <c r="DQ2511" s="4"/>
      <c r="DR2511" s="4"/>
      <c r="DS2511" s="4"/>
    </row>
    <row r="2512">
      <c r="A2512" s="4"/>
      <c r="B2512" s="4"/>
      <c r="C2512" s="4"/>
      <c r="D2512" s="4"/>
      <c r="E2512" s="4"/>
      <c r="F2512" s="4" t="s">
        <v>17</v>
      </c>
      <c r="G2512" s="15"/>
      <c r="H2512" s="4"/>
      <c r="I2512" s="4"/>
      <c r="J2512" s="4"/>
      <c r="K2512" s="4"/>
      <c r="L2512" s="4"/>
      <c r="M2512" s="4"/>
      <c r="N2512" s="4"/>
      <c r="O2512" s="4"/>
      <c r="P2512" s="4"/>
      <c r="Q2512" s="4"/>
      <c r="R2512" s="4"/>
      <c r="S2512" s="4"/>
      <c r="T2512" s="4"/>
      <c r="U2512" s="4"/>
      <c r="V2512" s="4"/>
      <c r="W2512" s="4"/>
      <c r="X2512" s="4"/>
      <c r="Y2512" s="4"/>
      <c r="Z2512" s="4"/>
      <c r="AA2512" s="4"/>
      <c r="AB2512" s="4"/>
      <c r="AC2512" s="4"/>
      <c r="AD2512" s="4"/>
      <c r="AE2512" s="4"/>
      <c r="AF2512" s="4"/>
      <c r="AG2512" s="4"/>
      <c r="AH2512" s="4"/>
      <c r="AI2512" s="4"/>
      <c r="AJ2512" s="4"/>
      <c r="AK2512" s="4"/>
      <c r="AL2512" s="4"/>
      <c r="AM2512" s="4"/>
      <c r="AN2512" s="4"/>
      <c r="AO2512" s="4"/>
      <c r="AP2512" s="4"/>
      <c r="AQ2512" s="4"/>
      <c r="AR2512" s="4"/>
      <c r="AS2512" s="4"/>
      <c r="AT2512" s="4"/>
      <c r="AU2512" s="4"/>
      <c r="AV2512" s="4"/>
      <c r="AW2512" s="4"/>
      <c r="AX2512" s="4"/>
      <c r="AY2512" s="4"/>
      <c r="AZ2512" s="4"/>
      <c r="BA2512" s="4"/>
      <c r="BB2512" s="4"/>
      <c r="BC2512" s="4"/>
      <c r="BD2512" s="4"/>
      <c r="BE2512" s="4"/>
      <c r="BF2512" s="4"/>
      <c r="BG2512" s="4"/>
      <c r="BH2512" s="4"/>
      <c r="BI2512" s="4"/>
      <c r="BJ2512" s="4"/>
      <c r="BK2512" s="4"/>
      <c r="BL2512" s="4"/>
      <c r="BM2512" s="4"/>
      <c r="BN2512" s="4"/>
      <c r="BO2512" s="4"/>
      <c r="BP2512" s="4"/>
      <c r="BQ2512" s="4"/>
      <c r="BR2512" s="4"/>
      <c r="BS2512" s="4"/>
      <c r="BT2512" s="4"/>
      <c r="BU2512" s="4"/>
      <c r="BV2512" s="4"/>
      <c r="BW2512" s="4"/>
      <c r="BX2512" s="4"/>
      <c r="BY2512" s="4"/>
      <c r="BZ2512" s="4"/>
      <c r="CA2512" s="4"/>
      <c r="CB2512" s="4"/>
      <c r="CC2512" s="4"/>
      <c r="CD2512" s="4"/>
      <c r="CE2512" s="4"/>
      <c r="CF2512" s="4"/>
      <c r="CG2512" s="4"/>
      <c r="CH2512" s="4"/>
      <c r="CI2512" s="4"/>
      <c r="CJ2512" s="4"/>
      <c r="CK2512" s="4"/>
      <c r="CL2512" s="4"/>
      <c r="CM2512" s="4"/>
      <c r="CN2512" s="4"/>
      <c r="CO2512" s="4"/>
      <c r="CP2512" s="4"/>
      <c r="CQ2512" s="4"/>
      <c r="CR2512" s="4"/>
      <c r="CS2512" s="4"/>
      <c r="CT2512" s="4"/>
      <c r="CU2512" s="4"/>
      <c r="CV2512" s="4"/>
      <c r="CW2512" s="4"/>
      <c r="CX2512" s="4"/>
      <c r="CY2512" s="4"/>
      <c r="CZ2512" s="4"/>
      <c r="DA2512" s="4"/>
      <c r="DB2512" s="4"/>
      <c r="DC2512" s="4"/>
      <c r="DD2512" s="4"/>
      <c r="DE2512" s="4"/>
      <c r="DF2512" s="4"/>
      <c r="DG2512" s="4"/>
      <c r="DH2512" s="4"/>
      <c r="DI2512" s="4"/>
      <c r="DJ2512" s="4"/>
      <c r="DK2512" s="4"/>
      <c r="DL2512" s="4"/>
      <c r="DM2512" s="4"/>
      <c r="DN2512" s="4"/>
      <c r="DO2512" s="4"/>
      <c r="DP2512" s="4"/>
      <c r="DQ2512" s="4"/>
      <c r="DR2512" s="4"/>
      <c r="DS2512" s="4"/>
    </row>
    <row r="2513">
      <c r="A2513" s="4"/>
      <c r="B2513" s="4"/>
      <c r="C2513" s="4"/>
      <c r="D2513" s="4"/>
      <c r="E2513" s="4"/>
      <c r="F2513" s="4" t="s">
        <v>17</v>
      </c>
      <c r="G2513" s="15"/>
      <c r="H2513" s="4"/>
      <c r="I2513" s="4"/>
      <c r="J2513" s="4"/>
      <c r="K2513" s="4"/>
      <c r="L2513" s="4"/>
      <c r="M2513" s="4"/>
      <c r="N2513" s="4"/>
      <c r="O2513" s="4"/>
      <c r="P2513" s="4"/>
      <c r="Q2513" s="4"/>
      <c r="R2513" s="4"/>
      <c r="S2513" s="4"/>
      <c r="T2513" s="4"/>
      <c r="U2513" s="4"/>
      <c r="V2513" s="4"/>
      <c r="W2513" s="4"/>
      <c r="X2513" s="4"/>
      <c r="Y2513" s="4"/>
      <c r="Z2513" s="4"/>
      <c r="AA2513" s="4"/>
      <c r="AB2513" s="4"/>
      <c r="AC2513" s="4"/>
      <c r="AD2513" s="4"/>
      <c r="AE2513" s="4"/>
      <c r="AF2513" s="4"/>
      <c r="AG2513" s="4"/>
      <c r="AH2513" s="4"/>
      <c r="AI2513" s="4"/>
      <c r="AJ2513" s="4"/>
      <c r="AK2513" s="4"/>
      <c r="AL2513" s="4"/>
      <c r="AM2513" s="4"/>
      <c r="AN2513" s="4"/>
      <c r="AO2513" s="4"/>
      <c r="AP2513" s="4"/>
      <c r="AQ2513" s="4"/>
      <c r="AR2513" s="4"/>
      <c r="AS2513" s="4"/>
      <c r="AT2513" s="4"/>
      <c r="AU2513" s="4"/>
      <c r="AV2513" s="4"/>
      <c r="AW2513" s="4"/>
      <c r="AX2513" s="4"/>
      <c r="AY2513" s="4"/>
      <c r="AZ2513" s="4"/>
      <c r="BA2513" s="4"/>
      <c r="BB2513" s="4"/>
      <c r="BC2513" s="4"/>
      <c r="BD2513" s="4"/>
      <c r="BE2513" s="4"/>
      <c r="BF2513" s="4"/>
      <c r="BG2513" s="4"/>
      <c r="BH2513" s="4"/>
      <c r="BI2513" s="4"/>
      <c r="BJ2513" s="4"/>
      <c r="BK2513" s="4"/>
      <c r="BL2513" s="4"/>
      <c r="BM2513" s="4"/>
      <c r="BN2513" s="4"/>
      <c r="BO2513" s="4"/>
      <c r="BP2513" s="4"/>
      <c r="BQ2513" s="4"/>
      <c r="BR2513" s="4"/>
      <c r="BS2513" s="4"/>
      <c r="BT2513" s="4"/>
      <c r="BU2513" s="4"/>
      <c r="BV2513" s="4"/>
      <c r="BW2513" s="4"/>
      <c r="BX2513" s="4"/>
      <c r="BY2513" s="4"/>
      <c r="BZ2513" s="4"/>
      <c r="CA2513" s="4"/>
      <c r="CB2513" s="4"/>
      <c r="CC2513" s="4"/>
      <c r="CD2513" s="4"/>
      <c r="CE2513" s="4"/>
      <c r="CF2513" s="4"/>
      <c r="CG2513" s="4"/>
      <c r="CH2513" s="4"/>
      <c r="CI2513" s="4"/>
      <c r="CJ2513" s="4"/>
      <c r="CK2513" s="4"/>
      <c r="CL2513" s="4"/>
      <c r="CM2513" s="4"/>
      <c r="CN2513" s="4"/>
      <c r="CO2513" s="4"/>
      <c r="CP2513" s="4"/>
      <c r="CQ2513" s="4"/>
      <c r="CR2513" s="4"/>
      <c r="CS2513" s="4"/>
      <c r="CT2513" s="4"/>
      <c r="CU2513" s="4"/>
      <c r="CV2513" s="4"/>
      <c r="CW2513" s="4"/>
      <c r="CX2513" s="4"/>
      <c r="CY2513" s="4"/>
      <c r="CZ2513" s="4"/>
      <c r="DA2513" s="4"/>
      <c r="DB2513" s="4"/>
      <c r="DC2513" s="4"/>
      <c r="DD2513" s="4"/>
      <c r="DE2513" s="4"/>
      <c r="DF2513" s="4"/>
      <c r="DG2513" s="4"/>
      <c r="DH2513" s="4"/>
      <c r="DI2513" s="4"/>
      <c r="DJ2513" s="4"/>
      <c r="DK2513" s="4"/>
      <c r="DL2513" s="4"/>
      <c r="DM2513" s="4"/>
      <c r="DN2513" s="4"/>
      <c r="DO2513" s="4"/>
      <c r="DP2513" s="4"/>
      <c r="DQ2513" s="4"/>
      <c r="DR2513" s="4"/>
      <c r="DS2513" s="4"/>
    </row>
    <row r="2514">
      <c r="A2514" s="4"/>
      <c r="B2514" s="4"/>
      <c r="C2514" s="4"/>
      <c r="D2514" s="4"/>
      <c r="E2514" s="4"/>
      <c r="F2514" s="4" t="s">
        <v>17</v>
      </c>
      <c r="G2514" s="15"/>
      <c r="H2514" s="4"/>
      <c r="I2514" s="4"/>
      <c r="J2514" s="4"/>
      <c r="K2514" s="4"/>
      <c r="L2514" s="4"/>
      <c r="M2514" s="4"/>
      <c r="N2514" s="4"/>
      <c r="O2514" s="4"/>
      <c r="P2514" s="4"/>
      <c r="Q2514" s="4"/>
      <c r="R2514" s="4"/>
      <c r="S2514" s="4"/>
      <c r="T2514" s="4"/>
      <c r="U2514" s="4"/>
      <c r="V2514" s="4"/>
      <c r="W2514" s="4"/>
      <c r="X2514" s="4"/>
      <c r="Y2514" s="4"/>
      <c r="Z2514" s="4"/>
      <c r="AA2514" s="4"/>
      <c r="AB2514" s="4"/>
      <c r="AC2514" s="4"/>
      <c r="AD2514" s="4"/>
      <c r="AE2514" s="4"/>
      <c r="AF2514" s="4"/>
      <c r="AG2514" s="4"/>
      <c r="AH2514" s="4"/>
      <c r="AI2514" s="4"/>
      <c r="AJ2514" s="4"/>
      <c r="AK2514" s="4"/>
      <c r="AL2514" s="4"/>
      <c r="AM2514" s="4"/>
      <c r="AN2514" s="4"/>
      <c r="AO2514" s="4"/>
      <c r="AP2514" s="4"/>
      <c r="AQ2514" s="4"/>
      <c r="AR2514" s="4"/>
      <c r="AS2514" s="4"/>
      <c r="AT2514" s="4"/>
      <c r="AU2514" s="4"/>
      <c r="AV2514" s="4"/>
      <c r="AW2514" s="4"/>
      <c r="AX2514" s="4"/>
      <c r="AY2514" s="4"/>
      <c r="AZ2514" s="4"/>
      <c r="BA2514" s="4"/>
      <c r="BB2514" s="4"/>
      <c r="BC2514" s="4"/>
      <c r="BD2514" s="4"/>
      <c r="BE2514" s="4"/>
      <c r="BF2514" s="4"/>
      <c r="BG2514" s="4"/>
      <c r="BH2514" s="4"/>
      <c r="BI2514" s="4"/>
      <c r="BJ2514" s="4"/>
      <c r="BK2514" s="4"/>
      <c r="BL2514" s="4"/>
      <c r="BM2514" s="4"/>
      <c r="BN2514" s="4"/>
      <c r="BO2514" s="4"/>
      <c r="BP2514" s="4"/>
      <c r="BQ2514" s="4"/>
      <c r="BR2514" s="4"/>
      <c r="BS2514" s="4"/>
      <c r="BT2514" s="4"/>
      <c r="BU2514" s="4"/>
      <c r="BV2514" s="4"/>
      <c r="BW2514" s="4"/>
      <c r="BX2514" s="4"/>
      <c r="BY2514" s="4"/>
      <c r="BZ2514" s="4"/>
      <c r="CA2514" s="4"/>
      <c r="CB2514" s="4"/>
      <c r="CC2514" s="4"/>
      <c r="CD2514" s="4"/>
      <c r="CE2514" s="4"/>
      <c r="CF2514" s="4"/>
      <c r="CG2514" s="4"/>
      <c r="CH2514" s="4"/>
      <c r="CI2514" s="4"/>
      <c r="CJ2514" s="4"/>
      <c r="CK2514" s="4"/>
      <c r="CL2514" s="4"/>
      <c r="CM2514" s="4"/>
      <c r="CN2514" s="4"/>
      <c r="CO2514" s="4"/>
      <c r="CP2514" s="4"/>
      <c r="CQ2514" s="4"/>
      <c r="CR2514" s="4"/>
      <c r="CS2514" s="4"/>
      <c r="CT2514" s="4"/>
      <c r="CU2514" s="4"/>
      <c r="CV2514" s="4"/>
      <c r="CW2514" s="4"/>
      <c r="CX2514" s="4"/>
      <c r="CY2514" s="4"/>
      <c r="CZ2514" s="4"/>
      <c r="DA2514" s="4"/>
      <c r="DB2514" s="4"/>
      <c r="DC2514" s="4"/>
      <c r="DD2514" s="4"/>
      <c r="DE2514" s="4"/>
      <c r="DF2514" s="4"/>
      <c r="DG2514" s="4"/>
      <c r="DH2514" s="4"/>
      <c r="DI2514" s="4"/>
      <c r="DJ2514" s="4"/>
      <c r="DK2514" s="4"/>
      <c r="DL2514" s="4"/>
      <c r="DM2514" s="4"/>
      <c r="DN2514" s="4"/>
      <c r="DO2514" s="4"/>
      <c r="DP2514" s="4"/>
      <c r="DQ2514" s="4"/>
      <c r="DR2514" s="4"/>
      <c r="DS2514" s="4"/>
    </row>
    <row r="2515">
      <c r="A2515" s="4"/>
      <c r="B2515" s="4"/>
      <c r="C2515" s="4"/>
      <c r="D2515" s="4"/>
      <c r="E2515" s="4"/>
      <c r="F2515" s="4" t="s">
        <v>17</v>
      </c>
      <c r="G2515" s="15"/>
      <c r="H2515" s="4"/>
      <c r="I2515" s="4"/>
      <c r="J2515" s="4"/>
      <c r="K2515" s="4"/>
      <c r="L2515" s="4"/>
      <c r="M2515" s="4"/>
      <c r="N2515" s="4"/>
      <c r="O2515" s="4"/>
      <c r="P2515" s="4"/>
      <c r="Q2515" s="4"/>
      <c r="R2515" s="4"/>
      <c r="S2515" s="4"/>
      <c r="T2515" s="4"/>
      <c r="U2515" s="4"/>
      <c r="V2515" s="4"/>
      <c r="W2515" s="4"/>
      <c r="X2515" s="4"/>
      <c r="Y2515" s="4"/>
      <c r="Z2515" s="4"/>
      <c r="AA2515" s="4"/>
      <c r="AB2515" s="4"/>
      <c r="AC2515" s="4"/>
      <c r="AD2515" s="4"/>
      <c r="AE2515" s="4"/>
      <c r="AF2515" s="4"/>
      <c r="AG2515" s="4"/>
      <c r="AH2515" s="4"/>
      <c r="AI2515" s="4"/>
      <c r="AJ2515" s="4"/>
      <c r="AK2515" s="4"/>
      <c r="AL2515" s="4"/>
      <c r="AM2515" s="4"/>
      <c r="AN2515" s="4"/>
      <c r="AO2515" s="4"/>
      <c r="AP2515" s="4"/>
      <c r="AQ2515" s="4"/>
      <c r="AR2515" s="4"/>
      <c r="AS2515" s="4"/>
      <c r="AT2515" s="4"/>
      <c r="AU2515" s="4"/>
      <c r="AV2515" s="4"/>
      <c r="AW2515" s="4"/>
      <c r="AX2515" s="4"/>
      <c r="AY2515" s="4"/>
      <c r="AZ2515" s="4"/>
      <c r="BA2515" s="4"/>
      <c r="BB2515" s="4"/>
      <c r="BC2515" s="4"/>
      <c r="BD2515" s="4"/>
      <c r="BE2515" s="4"/>
      <c r="BF2515" s="4"/>
      <c r="BG2515" s="4"/>
      <c r="BH2515" s="4"/>
      <c r="BI2515" s="4"/>
      <c r="BJ2515" s="4"/>
      <c r="BK2515" s="4"/>
      <c r="BL2515" s="4"/>
      <c r="BM2515" s="4"/>
      <c r="BN2515" s="4"/>
      <c r="BO2515" s="4"/>
      <c r="BP2515" s="4"/>
      <c r="BQ2515" s="4"/>
      <c r="BR2515" s="4"/>
      <c r="BS2515" s="4"/>
      <c r="BT2515" s="4"/>
      <c r="BU2515" s="4"/>
      <c r="BV2515" s="4"/>
      <c r="BW2515" s="4"/>
      <c r="BX2515" s="4"/>
      <c r="BY2515" s="4"/>
      <c r="BZ2515" s="4"/>
      <c r="CA2515" s="4"/>
      <c r="CB2515" s="4"/>
      <c r="CC2515" s="4"/>
      <c r="CD2515" s="4"/>
      <c r="CE2515" s="4"/>
      <c r="CF2515" s="4"/>
      <c r="CG2515" s="4"/>
      <c r="CH2515" s="4"/>
      <c r="CI2515" s="4"/>
      <c r="CJ2515" s="4"/>
      <c r="CK2515" s="4"/>
      <c r="CL2515" s="4"/>
      <c r="CM2515" s="4"/>
      <c r="CN2515" s="4"/>
      <c r="CO2515" s="4"/>
      <c r="CP2515" s="4"/>
      <c r="CQ2515" s="4"/>
      <c r="CR2515" s="4"/>
      <c r="CS2515" s="4"/>
      <c r="CT2515" s="4"/>
      <c r="CU2515" s="4"/>
      <c r="CV2515" s="4"/>
      <c r="CW2515" s="4"/>
      <c r="CX2515" s="4"/>
      <c r="CY2515" s="4"/>
      <c r="CZ2515" s="4"/>
      <c r="DA2515" s="4"/>
      <c r="DB2515" s="4"/>
      <c r="DC2515" s="4"/>
      <c r="DD2515" s="4"/>
      <c r="DE2515" s="4"/>
      <c r="DF2515" s="4"/>
      <c r="DG2515" s="4"/>
      <c r="DH2515" s="4"/>
      <c r="DI2515" s="4"/>
      <c r="DJ2515" s="4"/>
      <c r="DK2515" s="4"/>
      <c r="DL2515" s="4"/>
      <c r="DM2515" s="4"/>
      <c r="DN2515" s="4"/>
      <c r="DO2515" s="4"/>
      <c r="DP2515" s="4"/>
      <c r="DQ2515" s="4"/>
      <c r="DR2515" s="4"/>
      <c r="DS2515" s="4"/>
    </row>
    <row r="2516">
      <c r="A2516" s="4"/>
      <c r="B2516" s="4"/>
      <c r="C2516" s="4"/>
      <c r="D2516" s="4"/>
      <c r="E2516" s="4"/>
      <c r="F2516" s="4" t="s">
        <v>17</v>
      </c>
      <c r="G2516" s="15"/>
      <c r="H2516" s="4"/>
      <c r="I2516" s="4"/>
      <c r="J2516" s="4"/>
      <c r="K2516" s="4"/>
      <c r="L2516" s="4"/>
      <c r="M2516" s="4"/>
      <c r="N2516" s="4"/>
      <c r="O2516" s="4"/>
      <c r="P2516" s="4"/>
      <c r="Q2516" s="4"/>
      <c r="R2516" s="4"/>
      <c r="S2516" s="4"/>
      <c r="T2516" s="4"/>
      <c r="U2516" s="4"/>
      <c r="V2516" s="4"/>
      <c r="W2516" s="4"/>
      <c r="X2516" s="4"/>
      <c r="Y2516" s="4"/>
      <c r="Z2516" s="4"/>
      <c r="AA2516" s="4"/>
      <c r="AB2516" s="4"/>
      <c r="AC2516" s="4"/>
      <c r="AD2516" s="4"/>
      <c r="AE2516" s="4"/>
      <c r="AF2516" s="4"/>
      <c r="AG2516" s="4"/>
      <c r="AH2516" s="4"/>
      <c r="AI2516" s="4"/>
      <c r="AJ2516" s="4"/>
      <c r="AK2516" s="4"/>
      <c r="AL2516" s="4"/>
      <c r="AM2516" s="4"/>
      <c r="AN2516" s="4"/>
      <c r="AO2516" s="4"/>
      <c r="AP2516" s="4"/>
      <c r="AQ2516" s="4"/>
      <c r="AR2516" s="4"/>
      <c r="AS2516" s="4"/>
      <c r="AT2516" s="4"/>
      <c r="AU2516" s="4"/>
      <c r="AV2516" s="4"/>
      <c r="AW2516" s="4"/>
      <c r="AX2516" s="4"/>
      <c r="AY2516" s="4"/>
      <c r="AZ2516" s="4"/>
      <c r="BA2516" s="4"/>
      <c r="BB2516" s="4"/>
      <c r="BC2516" s="4"/>
      <c r="BD2516" s="4"/>
      <c r="BE2516" s="4"/>
      <c r="BF2516" s="4"/>
      <c r="BG2516" s="4"/>
      <c r="BH2516" s="4"/>
      <c r="BI2516" s="4"/>
      <c r="BJ2516" s="4"/>
      <c r="BK2516" s="4"/>
      <c r="BL2516" s="4"/>
      <c r="BM2516" s="4"/>
      <c r="BN2516" s="4"/>
      <c r="BO2516" s="4"/>
      <c r="BP2516" s="4"/>
      <c r="BQ2516" s="4"/>
      <c r="BR2516" s="4"/>
      <c r="BS2516" s="4"/>
      <c r="BT2516" s="4"/>
      <c r="BU2516" s="4"/>
      <c r="BV2516" s="4"/>
      <c r="BW2516" s="4"/>
      <c r="BX2516" s="4"/>
      <c r="BY2516" s="4"/>
      <c r="BZ2516" s="4"/>
      <c r="CA2516" s="4"/>
      <c r="CB2516" s="4"/>
      <c r="CC2516" s="4"/>
      <c r="CD2516" s="4"/>
      <c r="CE2516" s="4"/>
      <c r="CF2516" s="4"/>
      <c r="CG2516" s="4"/>
      <c r="CH2516" s="4"/>
      <c r="CI2516" s="4"/>
      <c r="CJ2516" s="4"/>
      <c r="CK2516" s="4"/>
      <c r="CL2516" s="4"/>
      <c r="CM2516" s="4"/>
      <c r="CN2516" s="4"/>
      <c r="CO2516" s="4"/>
      <c r="CP2516" s="4"/>
      <c r="CQ2516" s="4"/>
      <c r="CR2516" s="4"/>
      <c r="CS2516" s="4"/>
      <c r="CT2516" s="4"/>
      <c r="CU2516" s="4"/>
      <c r="CV2516" s="4"/>
      <c r="CW2516" s="4"/>
      <c r="CX2516" s="4"/>
      <c r="CY2516" s="4"/>
      <c r="CZ2516" s="4"/>
      <c r="DA2516" s="4"/>
      <c r="DB2516" s="4"/>
      <c r="DC2516" s="4"/>
      <c r="DD2516" s="4"/>
      <c r="DE2516" s="4"/>
      <c r="DF2516" s="4"/>
      <c r="DG2516" s="4"/>
      <c r="DH2516" s="4"/>
      <c r="DI2516" s="4"/>
      <c r="DJ2516" s="4"/>
      <c r="DK2516" s="4"/>
      <c r="DL2516" s="4"/>
      <c r="DM2516" s="4"/>
      <c r="DN2516" s="4"/>
      <c r="DO2516" s="4"/>
      <c r="DP2516" s="4"/>
      <c r="DQ2516" s="4"/>
      <c r="DR2516" s="4"/>
      <c r="DS2516" s="4"/>
    </row>
    <row r="2517">
      <c r="A2517" s="4"/>
      <c r="B2517" s="4"/>
      <c r="C2517" s="4"/>
      <c r="D2517" s="4"/>
      <c r="E2517" s="4"/>
      <c r="F2517" s="4" t="s">
        <v>17</v>
      </c>
      <c r="G2517" s="15"/>
      <c r="H2517" s="4"/>
      <c r="I2517" s="4"/>
      <c r="J2517" s="4"/>
      <c r="K2517" s="4"/>
      <c r="L2517" s="4"/>
      <c r="M2517" s="4"/>
      <c r="N2517" s="4"/>
      <c r="O2517" s="4"/>
      <c r="P2517" s="4"/>
      <c r="Q2517" s="4"/>
      <c r="R2517" s="4"/>
      <c r="S2517" s="4"/>
      <c r="T2517" s="4"/>
      <c r="U2517" s="4"/>
      <c r="V2517" s="4"/>
      <c r="W2517" s="4"/>
      <c r="X2517" s="4"/>
      <c r="Y2517" s="4"/>
      <c r="Z2517" s="4"/>
      <c r="AA2517" s="4"/>
      <c r="AB2517" s="4"/>
      <c r="AC2517" s="4"/>
      <c r="AD2517" s="4"/>
      <c r="AE2517" s="4"/>
      <c r="AF2517" s="4"/>
      <c r="AG2517" s="4"/>
      <c r="AH2517" s="4"/>
      <c r="AI2517" s="4"/>
      <c r="AJ2517" s="4"/>
      <c r="AK2517" s="4"/>
      <c r="AL2517" s="4"/>
      <c r="AM2517" s="4"/>
      <c r="AN2517" s="4"/>
      <c r="AO2517" s="4"/>
      <c r="AP2517" s="4"/>
      <c r="AQ2517" s="4"/>
      <c r="AR2517" s="4"/>
      <c r="AS2517" s="4"/>
      <c r="AT2517" s="4"/>
      <c r="AU2517" s="4"/>
      <c r="AV2517" s="4"/>
      <c r="AW2517" s="4"/>
      <c r="AX2517" s="4"/>
      <c r="AY2517" s="4"/>
      <c r="AZ2517" s="4"/>
      <c r="BA2517" s="4"/>
      <c r="BB2517" s="4"/>
      <c r="BC2517" s="4"/>
      <c r="BD2517" s="4"/>
      <c r="BE2517" s="4"/>
      <c r="BF2517" s="4"/>
      <c r="BG2517" s="4"/>
      <c r="BH2517" s="4"/>
      <c r="BI2517" s="4"/>
      <c r="BJ2517" s="4"/>
      <c r="BK2517" s="4"/>
      <c r="BL2517" s="4"/>
      <c r="BM2517" s="4"/>
      <c r="BN2517" s="4"/>
      <c r="BO2517" s="4"/>
      <c r="BP2517" s="4"/>
      <c r="BQ2517" s="4"/>
      <c r="BR2517" s="4"/>
      <c r="BS2517" s="4"/>
      <c r="BT2517" s="4"/>
      <c r="BU2517" s="4"/>
      <c r="BV2517" s="4"/>
      <c r="BW2517" s="4"/>
      <c r="BX2517" s="4"/>
      <c r="BY2517" s="4"/>
      <c r="BZ2517" s="4"/>
      <c r="CA2517" s="4"/>
      <c r="CB2517" s="4"/>
      <c r="CC2517" s="4"/>
      <c r="CD2517" s="4"/>
      <c r="CE2517" s="4"/>
      <c r="CF2517" s="4"/>
      <c r="CG2517" s="4"/>
      <c r="CH2517" s="4"/>
      <c r="CI2517" s="4"/>
      <c r="CJ2517" s="4"/>
      <c r="CK2517" s="4"/>
      <c r="CL2517" s="4"/>
      <c r="CM2517" s="4"/>
      <c r="CN2517" s="4"/>
      <c r="CO2517" s="4"/>
      <c r="CP2517" s="4"/>
      <c r="CQ2517" s="4"/>
      <c r="CR2517" s="4"/>
      <c r="CS2517" s="4"/>
      <c r="CT2517" s="4"/>
      <c r="CU2517" s="4"/>
      <c r="CV2517" s="4"/>
      <c r="CW2517" s="4"/>
      <c r="CX2517" s="4"/>
      <c r="CY2517" s="4"/>
      <c r="CZ2517" s="4"/>
      <c r="DA2517" s="4"/>
      <c r="DB2517" s="4"/>
      <c r="DC2517" s="4"/>
      <c r="DD2517" s="4"/>
      <c r="DE2517" s="4"/>
      <c r="DF2517" s="4"/>
      <c r="DG2517" s="4"/>
      <c r="DH2517" s="4"/>
      <c r="DI2517" s="4"/>
      <c r="DJ2517" s="4"/>
      <c r="DK2517" s="4"/>
      <c r="DL2517" s="4"/>
      <c r="DM2517" s="4"/>
      <c r="DN2517" s="4"/>
      <c r="DO2517" s="4"/>
      <c r="DP2517" s="4"/>
      <c r="DQ2517" s="4"/>
      <c r="DR2517" s="4"/>
      <c r="DS2517" s="4"/>
    </row>
    <row r="2518">
      <c r="A2518" s="4"/>
      <c r="B2518" s="4"/>
      <c r="C2518" s="4"/>
      <c r="D2518" s="4"/>
      <c r="E2518" s="4"/>
      <c r="F2518" s="4" t="s">
        <v>17</v>
      </c>
      <c r="G2518" s="15"/>
      <c r="H2518" s="4"/>
      <c r="I2518" s="4"/>
      <c r="J2518" s="4"/>
      <c r="K2518" s="4"/>
      <c r="L2518" s="4"/>
      <c r="M2518" s="4"/>
      <c r="N2518" s="4"/>
      <c r="O2518" s="4"/>
      <c r="P2518" s="4"/>
      <c r="Q2518" s="4"/>
      <c r="R2518" s="4"/>
      <c r="S2518" s="4"/>
      <c r="T2518" s="4"/>
      <c r="U2518" s="4"/>
      <c r="V2518" s="4"/>
      <c r="W2518" s="4"/>
      <c r="X2518" s="4"/>
      <c r="Y2518" s="4"/>
      <c r="Z2518" s="4"/>
      <c r="AA2518" s="4"/>
      <c r="AB2518" s="4"/>
      <c r="AC2518" s="4"/>
      <c r="AD2518" s="4"/>
      <c r="AE2518" s="4"/>
      <c r="AF2518" s="4"/>
      <c r="AG2518" s="4"/>
      <c r="AH2518" s="4"/>
      <c r="AI2518" s="4"/>
      <c r="AJ2518" s="4"/>
      <c r="AK2518" s="4"/>
      <c r="AL2518" s="4"/>
      <c r="AM2518" s="4"/>
      <c r="AN2518" s="4"/>
      <c r="AO2518" s="4"/>
      <c r="AP2518" s="4"/>
      <c r="AQ2518" s="4"/>
      <c r="AR2518" s="4"/>
      <c r="AS2518" s="4"/>
      <c r="AT2518" s="4"/>
      <c r="AU2518" s="4"/>
      <c r="AV2518" s="4"/>
      <c r="AW2518" s="4"/>
      <c r="AX2518" s="4"/>
      <c r="AY2518" s="4"/>
      <c r="AZ2518" s="4"/>
      <c r="BA2518" s="4"/>
      <c r="BB2518" s="4"/>
      <c r="BC2518" s="4"/>
      <c r="BD2518" s="4"/>
      <c r="BE2518" s="4"/>
      <c r="BF2518" s="4"/>
      <c r="BG2518" s="4"/>
      <c r="BH2518" s="4"/>
      <c r="BI2518" s="4"/>
      <c r="BJ2518" s="4"/>
      <c r="BK2518" s="4"/>
      <c r="BL2518" s="4"/>
      <c r="BM2518" s="4"/>
      <c r="BN2518" s="4"/>
      <c r="BO2518" s="4"/>
      <c r="BP2518" s="4"/>
      <c r="BQ2518" s="4"/>
      <c r="BR2518" s="4"/>
      <c r="BS2518" s="4"/>
      <c r="BT2518" s="4"/>
      <c r="BU2518" s="4"/>
      <c r="BV2518" s="4"/>
      <c r="BW2518" s="4"/>
      <c r="BX2518" s="4"/>
      <c r="BY2518" s="4"/>
      <c r="BZ2518" s="4"/>
      <c r="CA2518" s="4"/>
      <c r="CB2518" s="4"/>
      <c r="CC2518" s="4"/>
      <c r="CD2518" s="4"/>
      <c r="CE2518" s="4"/>
      <c r="CF2518" s="4"/>
      <c r="CG2518" s="4"/>
      <c r="CH2518" s="4"/>
      <c r="CI2518" s="4"/>
      <c r="CJ2518" s="4"/>
      <c r="CK2518" s="4"/>
      <c r="CL2518" s="4"/>
      <c r="CM2518" s="4"/>
      <c r="CN2518" s="4"/>
      <c r="CO2518" s="4"/>
      <c r="CP2518" s="4"/>
      <c r="CQ2518" s="4"/>
      <c r="CR2518" s="4"/>
      <c r="CS2518" s="4"/>
      <c r="CT2518" s="4"/>
      <c r="CU2518" s="4"/>
      <c r="CV2518" s="4"/>
      <c r="CW2518" s="4"/>
      <c r="CX2518" s="4"/>
      <c r="CY2518" s="4"/>
      <c r="CZ2518" s="4"/>
      <c r="DA2518" s="4"/>
      <c r="DB2518" s="4"/>
      <c r="DC2518" s="4"/>
      <c r="DD2518" s="4"/>
      <c r="DE2518" s="4"/>
      <c r="DF2518" s="4"/>
      <c r="DG2518" s="4"/>
      <c r="DH2518" s="4"/>
      <c r="DI2518" s="4"/>
      <c r="DJ2518" s="4"/>
      <c r="DK2518" s="4"/>
      <c r="DL2518" s="4"/>
      <c r="DM2518" s="4"/>
      <c r="DN2518" s="4"/>
      <c r="DO2518" s="4"/>
      <c r="DP2518" s="4"/>
      <c r="DQ2518" s="4"/>
      <c r="DR2518" s="4"/>
      <c r="DS2518" s="4"/>
    </row>
    <row r="2519">
      <c r="A2519" s="4"/>
      <c r="B2519" s="4"/>
      <c r="C2519" s="4"/>
      <c r="D2519" s="4"/>
      <c r="E2519" s="4"/>
      <c r="F2519" s="4" t="s">
        <v>17</v>
      </c>
      <c r="G2519" s="15"/>
      <c r="H2519" s="4"/>
      <c r="I2519" s="4"/>
      <c r="J2519" s="4"/>
      <c r="K2519" s="4"/>
      <c r="L2519" s="4"/>
      <c r="M2519" s="4"/>
      <c r="N2519" s="4"/>
      <c r="O2519" s="4"/>
      <c r="P2519" s="4"/>
      <c r="Q2519" s="4"/>
      <c r="R2519" s="4"/>
      <c r="S2519" s="4"/>
      <c r="T2519" s="4"/>
      <c r="U2519" s="4"/>
      <c r="V2519" s="4"/>
      <c r="W2519" s="4"/>
      <c r="X2519" s="4"/>
      <c r="Y2519" s="4"/>
      <c r="Z2519" s="4"/>
      <c r="AA2519" s="4"/>
      <c r="AB2519" s="4"/>
      <c r="AC2519" s="4"/>
      <c r="AD2519" s="4"/>
      <c r="AE2519" s="4"/>
      <c r="AF2519" s="4"/>
      <c r="AG2519" s="4"/>
      <c r="AH2519" s="4"/>
      <c r="AI2519" s="4"/>
      <c r="AJ2519" s="4"/>
      <c r="AK2519" s="4"/>
      <c r="AL2519" s="4"/>
      <c r="AM2519" s="4"/>
      <c r="AN2519" s="4"/>
      <c r="AO2519" s="4"/>
      <c r="AP2519" s="4"/>
      <c r="AQ2519" s="4"/>
      <c r="AR2519" s="4"/>
      <c r="AS2519" s="4"/>
      <c r="AT2519" s="4"/>
      <c r="AU2519" s="4"/>
      <c r="AV2519" s="4"/>
      <c r="AW2519" s="4"/>
      <c r="AX2519" s="4"/>
      <c r="AY2519" s="4"/>
      <c r="AZ2519" s="4"/>
      <c r="BA2519" s="4"/>
      <c r="BB2519" s="4"/>
      <c r="BC2519" s="4"/>
      <c r="BD2519" s="4"/>
      <c r="BE2519" s="4"/>
      <c r="BF2519" s="4"/>
      <c r="BG2519" s="4"/>
      <c r="BH2519" s="4"/>
      <c r="BI2519" s="4"/>
      <c r="BJ2519" s="4"/>
      <c r="BK2519" s="4"/>
      <c r="BL2519" s="4"/>
      <c r="BM2519" s="4"/>
      <c r="BN2519" s="4"/>
      <c r="BO2519" s="4"/>
      <c r="BP2519" s="4"/>
      <c r="BQ2519" s="4"/>
      <c r="BR2519" s="4"/>
      <c r="BS2519" s="4"/>
      <c r="BT2519" s="4"/>
      <c r="BU2519" s="4"/>
      <c r="BV2519" s="4"/>
      <c r="BW2519" s="4"/>
      <c r="BX2519" s="4"/>
      <c r="BY2519" s="4"/>
      <c r="BZ2519" s="4"/>
      <c r="CA2519" s="4"/>
      <c r="CB2519" s="4"/>
      <c r="CC2519" s="4"/>
      <c r="CD2519" s="4"/>
      <c r="CE2519" s="4"/>
      <c r="CF2519" s="4"/>
      <c r="CG2519" s="4"/>
      <c r="CH2519" s="4"/>
      <c r="CI2519" s="4"/>
      <c r="CJ2519" s="4"/>
      <c r="CK2519" s="4"/>
      <c r="CL2519" s="4"/>
      <c r="CM2519" s="4"/>
      <c r="CN2519" s="4"/>
      <c r="CO2519" s="4"/>
      <c r="CP2519" s="4"/>
      <c r="CQ2519" s="4"/>
      <c r="CR2519" s="4"/>
      <c r="CS2519" s="4"/>
      <c r="CT2519" s="4"/>
      <c r="CU2519" s="4"/>
      <c r="CV2519" s="4"/>
      <c r="CW2519" s="4"/>
      <c r="CX2519" s="4"/>
      <c r="CY2519" s="4"/>
      <c r="CZ2519" s="4"/>
      <c r="DA2519" s="4"/>
      <c r="DB2519" s="4"/>
      <c r="DC2519" s="4"/>
      <c r="DD2519" s="4"/>
      <c r="DE2519" s="4"/>
      <c r="DF2519" s="4"/>
      <c r="DG2519" s="4"/>
      <c r="DH2519" s="4"/>
      <c r="DI2519" s="4"/>
      <c r="DJ2519" s="4"/>
      <c r="DK2519" s="4"/>
      <c r="DL2519" s="4"/>
      <c r="DM2519" s="4"/>
      <c r="DN2519" s="4"/>
      <c r="DO2519" s="4"/>
      <c r="DP2519" s="4"/>
      <c r="DQ2519" s="4"/>
      <c r="DR2519" s="4"/>
      <c r="DS2519" s="4"/>
    </row>
    <row r="2520">
      <c r="A2520" s="4"/>
      <c r="B2520" s="4"/>
      <c r="C2520" s="4"/>
      <c r="D2520" s="4"/>
      <c r="E2520" s="4"/>
      <c r="F2520" s="4" t="s">
        <v>17</v>
      </c>
      <c r="G2520" s="15"/>
      <c r="H2520" s="4"/>
      <c r="I2520" s="4"/>
      <c r="J2520" s="4"/>
      <c r="K2520" s="4"/>
      <c r="L2520" s="4"/>
      <c r="M2520" s="4"/>
      <c r="N2520" s="4"/>
      <c r="O2520" s="4"/>
      <c r="P2520" s="4"/>
      <c r="Q2520" s="4"/>
      <c r="R2520" s="4"/>
      <c r="S2520" s="4"/>
      <c r="T2520" s="4"/>
      <c r="U2520" s="4"/>
      <c r="V2520" s="4"/>
      <c r="W2520" s="4"/>
      <c r="X2520" s="4"/>
      <c r="Y2520" s="4"/>
      <c r="Z2520" s="4"/>
      <c r="AA2520" s="4"/>
      <c r="AB2520" s="4"/>
      <c r="AC2520" s="4"/>
      <c r="AD2520" s="4"/>
      <c r="AE2520" s="4"/>
      <c r="AF2520" s="4"/>
      <c r="AG2520" s="4"/>
      <c r="AH2520" s="4"/>
      <c r="AI2520" s="4"/>
      <c r="AJ2520" s="4"/>
      <c r="AK2520" s="4"/>
      <c r="AL2520" s="4"/>
      <c r="AM2520" s="4"/>
      <c r="AN2520" s="4"/>
      <c r="AO2520" s="4"/>
      <c r="AP2520" s="4"/>
      <c r="AQ2520" s="4"/>
      <c r="AR2520" s="4"/>
      <c r="AS2520" s="4"/>
      <c r="AT2520" s="4"/>
      <c r="AU2520" s="4"/>
      <c r="AV2520" s="4"/>
      <c r="AW2520" s="4"/>
      <c r="AX2520" s="4"/>
      <c r="AY2520" s="4"/>
      <c r="AZ2520" s="4"/>
      <c r="BA2520" s="4"/>
      <c r="BB2520" s="4"/>
      <c r="BC2520" s="4"/>
      <c r="BD2520" s="4"/>
      <c r="BE2520" s="4"/>
      <c r="BF2520" s="4"/>
      <c r="BG2520" s="4"/>
      <c r="BH2520" s="4"/>
      <c r="BI2520" s="4"/>
      <c r="BJ2520" s="4"/>
      <c r="BK2520" s="4"/>
      <c r="BL2520" s="4"/>
      <c r="BM2520" s="4"/>
      <c r="BN2520" s="4"/>
      <c r="BO2520" s="4"/>
      <c r="BP2520" s="4"/>
      <c r="BQ2520" s="4"/>
      <c r="BR2520" s="4"/>
      <c r="BS2520" s="4"/>
      <c r="BT2520" s="4"/>
      <c r="BU2520" s="4"/>
      <c r="BV2520" s="4"/>
      <c r="BW2520" s="4"/>
      <c r="BX2520" s="4"/>
      <c r="BY2520" s="4"/>
      <c r="BZ2520" s="4"/>
      <c r="CA2520" s="4"/>
      <c r="CB2520" s="4"/>
      <c r="CC2520" s="4"/>
      <c r="CD2520" s="4"/>
      <c r="CE2520" s="4"/>
      <c r="CF2520" s="4"/>
      <c r="CG2520" s="4"/>
      <c r="CH2520" s="4"/>
      <c r="CI2520" s="4"/>
      <c r="CJ2520" s="4"/>
      <c r="CK2520" s="4"/>
      <c r="CL2520" s="4"/>
      <c r="CM2520" s="4"/>
      <c r="CN2520" s="4"/>
      <c r="CO2520" s="4"/>
      <c r="CP2520" s="4"/>
      <c r="CQ2520" s="4"/>
      <c r="CR2520" s="4"/>
      <c r="CS2520" s="4"/>
      <c r="CT2520" s="4"/>
      <c r="CU2520" s="4"/>
      <c r="CV2520" s="4"/>
      <c r="CW2520" s="4"/>
      <c r="CX2520" s="4"/>
      <c r="CY2520" s="4"/>
      <c r="CZ2520" s="4"/>
      <c r="DA2520" s="4"/>
      <c r="DB2520" s="4"/>
      <c r="DC2520" s="4"/>
      <c r="DD2520" s="4"/>
      <c r="DE2520" s="4"/>
      <c r="DF2520" s="4"/>
      <c r="DG2520" s="4"/>
      <c r="DH2520" s="4"/>
      <c r="DI2520" s="4"/>
      <c r="DJ2520" s="4"/>
      <c r="DK2520" s="4"/>
      <c r="DL2520" s="4"/>
      <c r="DM2520" s="4"/>
      <c r="DN2520" s="4"/>
      <c r="DO2520" s="4"/>
      <c r="DP2520" s="4"/>
      <c r="DQ2520" s="4"/>
      <c r="DR2520" s="4"/>
      <c r="DS2520" s="4"/>
    </row>
    <row r="2521">
      <c r="A2521" s="4"/>
      <c r="B2521" s="4"/>
      <c r="C2521" s="4"/>
      <c r="D2521" s="4"/>
      <c r="E2521" s="4"/>
      <c r="F2521" s="4" t="s">
        <v>17</v>
      </c>
      <c r="G2521" s="15"/>
      <c r="H2521" s="4"/>
      <c r="I2521" s="4"/>
      <c r="J2521" s="4"/>
      <c r="K2521" s="4"/>
      <c r="L2521" s="4"/>
      <c r="M2521" s="4"/>
      <c r="N2521" s="4"/>
      <c r="O2521" s="4"/>
      <c r="P2521" s="4"/>
      <c r="Q2521" s="4"/>
      <c r="R2521" s="4"/>
      <c r="S2521" s="4"/>
      <c r="T2521" s="4"/>
      <c r="U2521" s="4"/>
      <c r="V2521" s="4"/>
      <c r="W2521" s="4"/>
      <c r="X2521" s="4"/>
      <c r="Y2521" s="4"/>
      <c r="Z2521" s="4"/>
      <c r="AA2521" s="4"/>
      <c r="AB2521" s="4"/>
      <c r="AC2521" s="4"/>
      <c r="AD2521" s="4"/>
      <c r="AE2521" s="4"/>
      <c r="AF2521" s="4"/>
      <c r="AG2521" s="4"/>
      <c r="AH2521" s="4"/>
      <c r="AI2521" s="4"/>
      <c r="AJ2521" s="4"/>
      <c r="AK2521" s="4"/>
      <c r="AL2521" s="4"/>
      <c r="AM2521" s="4"/>
      <c r="AN2521" s="4"/>
      <c r="AO2521" s="4"/>
      <c r="AP2521" s="4"/>
      <c r="AQ2521" s="4"/>
      <c r="AR2521" s="4"/>
      <c r="AS2521" s="4"/>
      <c r="AT2521" s="4"/>
      <c r="AU2521" s="4"/>
      <c r="AV2521" s="4"/>
      <c r="AW2521" s="4"/>
      <c r="AX2521" s="4"/>
      <c r="AY2521" s="4"/>
      <c r="AZ2521" s="4"/>
      <c r="BA2521" s="4"/>
      <c r="BB2521" s="4"/>
      <c r="BC2521" s="4"/>
      <c r="BD2521" s="4"/>
      <c r="BE2521" s="4"/>
      <c r="BF2521" s="4"/>
      <c r="BG2521" s="4"/>
      <c r="BH2521" s="4"/>
      <c r="BI2521" s="4"/>
      <c r="BJ2521" s="4"/>
      <c r="BK2521" s="4"/>
      <c r="BL2521" s="4"/>
      <c r="BM2521" s="4"/>
      <c r="BN2521" s="4"/>
      <c r="BO2521" s="4"/>
      <c r="BP2521" s="4"/>
      <c r="BQ2521" s="4"/>
      <c r="BR2521" s="4"/>
      <c r="BS2521" s="4"/>
      <c r="BT2521" s="4"/>
      <c r="BU2521" s="4"/>
      <c r="BV2521" s="4"/>
      <c r="BW2521" s="4"/>
      <c r="BX2521" s="4"/>
      <c r="BY2521" s="4"/>
      <c r="BZ2521" s="4"/>
      <c r="CA2521" s="4"/>
      <c r="CB2521" s="4"/>
      <c r="CC2521" s="4"/>
      <c r="CD2521" s="4"/>
      <c r="CE2521" s="4"/>
      <c r="CF2521" s="4"/>
      <c r="CG2521" s="4"/>
      <c r="CH2521" s="4"/>
      <c r="CI2521" s="4"/>
      <c r="CJ2521" s="4"/>
      <c r="CK2521" s="4"/>
      <c r="CL2521" s="4"/>
      <c r="CM2521" s="4"/>
      <c r="CN2521" s="4"/>
      <c r="CO2521" s="4"/>
      <c r="CP2521" s="4"/>
      <c r="CQ2521" s="4"/>
      <c r="CR2521" s="4"/>
      <c r="CS2521" s="4"/>
      <c r="CT2521" s="4"/>
      <c r="CU2521" s="4"/>
      <c r="CV2521" s="4"/>
      <c r="CW2521" s="4"/>
      <c r="CX2521" s="4"/>
      <c r="CY2521" s="4"/>
      <c r="CZ2521" s="4"/>
      <c r="DA2521" s="4"/>
      <c r="DB2521" s="4"/>
      <c r="DC2521" s="4"/>
      <c r="DD2521" s="4"/>
      <c r="DE2521" s="4"/>
      <c r="DF2521" s="4"/>
      <c r="DG2521" s="4"/>
      <c r="DH2521" s="4"/>
      <c r="DI2521" s="4"/>
      <c r="DJ2521" s="4"/>
      <c r="DK2521" s="4"/>
      <c r="DL2521" s="4"/>
      <c r="DM2521" s="4"/>
      <c r="DN2521" s="4"/>
      <c r="DO2521" s="4"/>
      <c r="DP2521" s="4"/>
      <c r="DQ2521" s="4"/>
      <c r="DR2521" s="4"/>
      <c r="DS2521" s="4"/>
    </row>
    <row r="2522">
      <c r="A2522" s="4"/>
      <c r="B2522" s="4"/>
      <c r="C2522" s="4"/>
      <c r="D2522" s="4"/>
      <c r="E2522" s="4"/>
      <c r="F2522" s="4" t="s">
        <v>17</v>
      </c>
      <c r="G2522" s="15"/>
      <c r="H2522" s="4"/>
      <c r="I2522" s="4"/>
      <c r="J2522" s="4"/>
      <c r="K2522" s="4"/>
      <c r="L2522" s="4"/>
      <c r="M2522" s="4"/>
      <c r="N2522" s="4"/>
      <c r="O2522" s="4"/>
      <c r="P2522" s="4"/>
      <c r="Q2522" s="4"/>
      <c r="R2522" s="4"/>
      <c r="S2522" s="4"/>
      <c r="T2522" s="4"/>
      <c r="U2522" s="4"/>
      <c r="V2522" s="4"/>
      <c r="W2522" s="4"/>
      <c r="X2522" s="4"/>
      <c r="Y2522" s="4"/>
      <c r="Z2522" s="4"/>
      <c r="AA2522" s="4"/>
      <c r="AB2522" s="4"/>
      <c r="AC2522" s="4"/>
      <c r="AD2522" s="4"/>
      <c r="AE2522" s="4"/>
      <c r="AF2522" s="4"/>
      <c r="AG2522" s="4"/>
      <c r="AH2522" s="4"/>
      <c r="AI2522" s="4"/>
      <c r="AJ2522" s="4"/>
      <c r="AK2522" s="4"/>
      <c r="AL2522" s="4"/>
      <c r="AM2522" s="4"/>
      <c r="AN2522" s="4"/>
      <c r="AO2522" s="4"/>
      <c r="AP2522" s="4"/>
      <c r="AQ2522" s="4"/>
      <c r="AR2522" s="4"/>
      <c r="AS2522" s="4"/>
      <c r="AT2522" s="4"/>
      <c r="AU2522" s="4"/>
      <c r="AV2522" s="4"/>
      <c r="AW2522" s="4"/>
      <c r="AX2522" s="4"/>
      <c r="AY2522" s="4"/>
      <c r="AZ2522" s="4"/>
      <c r="BA2522" s="4"/>
      <c r="BB2522" s="4"/>
      <c r="BC2522" s="4"/>
      <c r="BD2522" s="4"/>
      <c r="BE2522" s="4"/>
      <c r="BF2522" s="4"/>
      <c r="BG2522" s="4"/>
      <c r="BH2522" s="4"/>
      <c r="BI2522" s="4"/>
      <c r="BJ2522" s="4"/>
      <c r="BK2522" s="4"/>
      <c r="BL2522" s="4"/>
      <c r="BM2522" s="4"/>
      <c r="BN2522" s="4"/>
      <c r="BO2522" s="4"/>
      <c r="BP2522" s="4"/>
      <c r="BQ2522" s="4"/>
      <c r="BR2522" s="4"/>
      <c r="BS2522" s="4"/>
      <c r="BT2522" s="4"/>
      <c r="BU2522" s="4"/>
      <c r="BV2522" s="4"/>
      <c r="BW2522" s="4"/>
      <c r="BX2522" s="4"/>
      <c r="BY2522" s="4"/>
      <c r="BZ2522" s="4"/>
      <c r="CA2522" s="4"/>
      <c r="CB2522" s="4"/>
      <c r="CC2522" s="4"/>
      <c r="CD2522" s="4"/>
      <c r="CE2522" s="4"/>
      <c r="CF2522" s="4"/>
      <c r="CG2522" s="4"/>
      <c r="CH2522" s="4"/>
      <c r="CI2522" s="4"/>
      <c r="CJ2522" s="4"/>
      <c r="CK2522" s="4"/>
      <c r="CL2522" s="4"/>
      <c r="CM2522" s="4"/>
      <c r="CN2522" s="4"/>
      <c r="CO2522" s="4"/>
      <c r="CP2522" s="4"/>
      <c r="CQ2522" s="4"/>
      <c r="CR2522" s="4"/>
      <c r="CS2522" s="4"/>
      <c r="CT2522" s="4"/>
      <c r="CU2522" s="4"/>
      <c r="CV2522" s="4"/>
      <c r="CW2522" s="4"/>
      <c r="CX2522" s="4"/>
      <c r="CY2522" s="4"/>
      <c r="CZ2522" s="4"/>
      <c r="DA2522" s="4"/>
      <c r="DB2522" s="4"/>
      <c r="DC2522" s="4"/>
      <c r="DD2522" s="4"/>
      <c r="DE2522" s="4"/>
      <c r="DF2522" s="4"/>
      <c r="DG2522" s="4"/>
      <c r="DH2522" s="4"/>
      <c r="DI2522" s="4"/>
      <c r="DJ2522" s="4"/>
      <c r="DK2522" s="4"/>
      <c r="DL2522" s="4"/>
      <c r="DM2522" s="4"/>
      <c r="DN2522" s="4"/>
      <c r="DO2522" s="4"/>
      <c r="DP2522" s="4"/>
      <c r="DQ2522" s="4"/>
      <c r="DR2522" s="4"/>
      <c r="DS2522" s="4"/>
    </row>
    <row r="2523">
      <c r="A2523" s="4"/>
      <c r="B2523" s="4"/>
      <c r="C2523" s="4"/>
      <c r="D2523" s="4"/>
      <c r="E2523" s="4"/>
      <c r="F2523" s="4" t="s">
        <v>17</v>
      </c>
      <c r="G2523" s="15"/>
      <c r="H2523" s="4"/>
      <c r="I2523" s="4"/>
      <c r="J2523" s="4"/>
      <c r="K2523" s="4"/>
      <c r="L2523" s="4"/>
      <c r="M2523" s="4"/>
      <c r="N2523" s="4"/>
      <c r="O2523" s="4"/>
      <c r="P2523" s="4"/>
      <c r="Q2523" s="4"/>
      <c r="R2523" s="4"/>
      <c r="S2523" s="4"/>
      <c r="T2523" s="4"/>
      <c r="U2523" s="4"/>
      <c r="V2523" s="4"/>
      <c r="W2523" s="4"/>
      <c r="X2523" s="4"/>
      <c r="Y2523" s="4"/>
      <c r="Z2523" s="4"/>
      <c r="AA2523" s="4"/>
      <c r="AB2523" s="4"/>
      <c r="AC2523" s="4"/>
      <c r="AD2523" s="4"/>
      <c r="AE2523" s="4"/>
      <c r="AF2523" s="4"/>
      <c r="AG2523" s="4"/>
      <c r="AH2523" s="4"/>
      <c r="AI2523" s="4"/>
      <c r="AJ2523" s="4"/>
      <c r="AK2523" s="4"/>
      <c r="AL2523" s="4"/>
      <c r="AM2523" s="4"/>
      <c r="AN2523" s="4"/>
      <c r="AO2523" s="4"/>
      <c r="AP2523" s="4"/>
      <c r="AQ2523" s="4"/>
      <c r="AR2523" s="4"/>
      <c r="AS2523" s="4"/>
      <c r="AT2523" s="4"/>
      <c r="AU2523" s="4"/>
      <c r="AV2523" s="4"/>
      <c r="AW2523" s="4"/>
      <c r="AX2523" s="4"/>
      <c r="AY2523" s="4"/>
      <c r="AZ2523" s="4"/>
      <c r="BA2523" s="4"/>
      <c r="BB2523" s="4"/>
      <c r="BC2523" s="4"/>
      <c r="BD2523" s="4"/>
      <c r="BE2523" s="4"/>
      <c r="BF2523" s="4"/>
      <c r="BG2523" s="4"/>
      <c r="BH2523" s="4"/>
      <c r="BI2523" s="4"/>
      <c r="BJ2523" s="4"/>
      <c r="BK2523" s="4"/>
      <c r="BL2523" s="4"/>
      <c r="BM2523" s="4"/>
      <c r="BN2523" s="4"/>
      <c r="BO2523" s="4"/>
      <c r="BP2523" s="4"/>
      <c r="BQ2523" s="4"/>
      <c r="BR2523" s="4"/>
      <c r="BS2523" s="4"/>
      <c r="BT2523" s="4"/>
      <c r="BU2523" s="4"/>
      <c r="BV2523" s="4"/>
      <c r="BW2523" s="4"/>
      <c r="BX2523" s="4"/>
      <c r="BY2523" s="4"/>
      <c r="BZ2523" s="4"/>
      <c r="CA2523" s="4"/>
      <c r="CB2523" s="4"/>
      <c r="CC2523" s="4"/>
      <c r="CD2523" s="4"/>
      <c r="CE2523" s="4"/>
      <c r="CF2523" s="4"/>
      <c r="CG2523" s="4"/>
      <c r="CH2523" s="4"/>
      <c r="CI2523" s="4"/>
      <c r="CJ2523" s="4"/>
      <c r="CK2523" s="4"/>
      <c r="CL2523" s="4"/>
      <c r="CM2523" s="4"/>
      <c r="CN2523" s="4"/>
      <c r="CO2523" s="4"/>
      <c r="CP2523" s="4"/>
      <c r="CQ2523" s="4"/>
      <c r="CR2523" s="4"/>
      <c r="CS2523" s="4"/>
      <c r="CT2523" s="4"/>
      <c r="CU2523" s="4"/>
      <c r="CV2523" s="4"/>
      <c r="CW2523" s="4"/>
      <c r="CX2523" s="4"/>
      <c r="CY2523" s="4"/>
      <c r="CZ2523" s="4"/>
      <c r="DA2523" s="4"/>
      <c r="DB2523" s="4"/>
      <c r="DC2523" s="4"/>
      <c r="DD2523" s="4"/>
      <c r="DE2523" s="4"/>
      <c r="DF2523" s="4"/>
      <c r="DG2523" s="4"/>
      <c r="DH2523" s="4"/>
      <c r="DI2523" s="4"/>
      <c r="DJ2523" s="4"/>
      <c r="DK2523" s="4"/>
      <c r="DL2523" s="4"/>
      <c r="DM2523" s="4"/>
      <c r="DN2523" s="4"/>
      <c r="DO2523" s="4"/>
      <c r="DP2523" s="4"/>
      <c r="DQ2523" s="4"/>
      <c r="DR2523" s="4"/>
      <c r="DS2523" s="4"/>
    </row>
    <row r="2524">
      <c r="A2524" s="4"/>
      <c r="B2524" s="4"/>
      <c r="C2524" s="4"/>
      <c r="D2524" s="4"/>
      <c r="E2524" s="4"/>
      <c r="F2524" s="4" t="s">
        <v>17</v>
      </c>
      <c r="G2524" s="15"/>
      <c r="H2524" s="4"/>
      <c r="I2524" s="4"/>
      <c r="J2524" s="4"/>
      <c r="K2524" s="4"/>
      <c r="L2524" s="4"/>
      <c r="M2524" s="4"/>
      <c r="N2524" s="4"/>
      <c r="O2524" s="4"/>
      <c r="P2524" s="4"/>
      <c r="Q2524" s="4"/>
      <c r="R2524" s="4"/>
      <c r="S2524" s="4"/>
      <c r="T2524" s="4"/>
      <c r="U2524" s="4"/>
      <c r="V2524" s="4"/>
      <c r="W2524" s="4"/>
      <c r="X2524" s="4"/>
      <c r="Y2524" s="4"/>
      <c r="Z2524" s="4"/>
      <c r="AA2524" s="4"/>
      <c r="AB2524" s="4"/>
      <c r="AC2524" s="4"/>
      <c r="AD2524" s="4"/>
      <c r="AE2524" s="4"/>
      <c r="AF2524" s="4"/>
      <c r="AG2524" s="4"/>
      <c r="AH2524" s="4"/>
      <c r="AI2524" s="4"/>
      <c r="AJ2524" s="4"/>
      <c r="AK2524" s="4"/>
      <c r="AL2524" s="4"/>
      <c r="AM2524" s="4"/>
      <c r="AN2524" s="4"/>
      <c r="AO2524" s="4"/>
      <c r="AP2524" s="4"/>
      <c r="AQ2524" s="4"/>
      <c r="AR2524" s="4"/>
      <c r="AS2524" s="4"/>
      <c r="AT2524" s="4"/>
      <c r="AU2524" s="4"/>
      <c r="AV2524" s="4"/>
      <c r="AW2524" s="4"/>
      <c r="AX2524" s="4"/>
      <c r="AY2524" s="4"/>
      <c r="AZ2524" s="4"/>
      <c r="BA2524" s="4"/>
      <c r="BB2524" s="4"/>
      <c r="BC2524" s="4"/>
      <c r="BD2524" s="4"/>
      <c r="BE2524" s="4"/>
      <c r="BF2524" s="4"/>
      <c r="BG2524" s="4"/>
      <c r="BH2524" s="4"/>
      <c r="BI2524" s="4"/>
      <c r="BJ2524" s="4"/>
      <c r="BK2524" s="4"/>
      <c r="BL2524" s="4"/>
      <c r="BM2524" s="4"/>
      <c r="BN2524" s="4"/>
      <c r="BO2524" s="4"/>
      <c r="BP2524" s="4"/>
      <c r="BQ2524" s="4"/>
      <c r="BR2524" s="4"/>
      <c r="BS2524" s="4"/>
      <c r="BT2524" s="4"/>
      <c r="BU2524" s="4"/>
      <c r="BV2524" s="4"/>
      <c r="BW2524" s="4"/>
      <c r="BX2524" s="4"/>
      <c r="BY2524" s="4"/>
      <c r="BZ2524" s="4"/>
      <c r="CA2524" s="4"/>
      <c r="CB2524" s="4"/>
      <c r="CC2524" s="4"/>
      <c r="CD2524" s="4"/>
      <c r="CE2524" s="4"/>
      <c r="CF2524" s="4"/>
      <c r="CG2524" s="4"/>
      <c r="CH2524" s="4"/>
      <c r="CI2524" s="4"/>
      <c r="CJ2524" s="4"/>
      <c r="CK2524" s="4"/>
      <c r="CL2524" s="4"/>
      <c r="CM2524" s="4"/>
      <c r="CN2524" s="4"/>
      <c r="CO2524" s="4"/>
      <c r="CP2524" s="4"/>
      <c r="CQ2524" s="4"/>
      <c r="CR2524" s="4"/>
      <c r="CS2524" s="4"/>
      <c r="CT2524" s="4"/>
      <c r="CU2524" s="4"/>
      <c r="CV2524" s="4"/>
      <c r="CW2524" s="4"/>
      <c r="CX2524" s="4"/>
      <c r="CY2524" s="4"/>
      <c r="CZ2524" s="4"/>
      <c r="DA2524" s="4"/>
      <c r="DB2524" s="4"/>
      <c r="DC2524" s="4"/>
      <c r="DD2524" s="4"/>
      <c r="DE2524" s="4"/>
      <c r="DF2524" s="4"/>
      <c r="DG2524" s="4"/>
      <c r="DH2524" s="4"/>
      <c r="DI2524" s="4"/>
      <c r="DJ2524" s="4"/>
      <c r="DK2524" s="4"/>
      <c r="DL2524" s="4"/>
      <c r="DM2524" s="4"/>
      <c r="DN2524" s="4"/>
      <c r="DO2524" s="4"/>
      <c r="DP2524" s="4"/>
      <c r="DQ2524" s="4"/>
      <c r="DR2524" s="4"/>
      <c r="DS2524" s="4"/>
    </row>
    <row r="2525">
      <c r="A2525" s="4"/>
      <c r="B2525" s="4"/>
      <c r="C2525" s="4"/>
      <c r="D2525" s="4"/>
      <c r="E2525" s="4"/>
      <c r="F2525" s="4" t="s">
        <v>17</v>
      </c>
      <c r="G2525" s="15"/>
      <c r="H2525" s="4"/>
      <c r="I2525" s="4"/>
      <c r="J2525" s="4"/>
      <c r="K2525" s="4"/>
      <c r="L2525" s="4"/>
      <c r="M2525" s="4"/>
      <c r="N2525" s="4"/>
      <c r="O2525" s="4"/>
      <c r="P2525" s="4"/>
      <c r="Q2525" s="4"/>
      <c r="R2525" s="4"/>
      <c r="S2525" s="4"/>
      <c r="T2525" s="4"/>
      <c r="U2525" s="4"/>
      <c r="V2525" s="4"/>
      <c r="W2525" s="4"/>
      <c r="X2525" s="4"/>
      <c r="Y2525" s="4"/>
      <c r="Z2525" s="4"/>
      <c r="AA2525" s="4"/>
      <c r="AB2525" s="4"/>
      <c r="AC2525" s="4"/>
      <c r="AD2525" s="4"/>
      <c r="AE2525" s="4"/>
      <c r="AF2525" s="4"/>
      <c r="AG2525" s="4"/>
      <c r="AH2525" s="4"/>
      <c r="AI2525" s="4"/>
      <c r="AJ2525" s="4"/>
      <c r="AK2525" s="4"/>
      <c r="AL2525" s="4"/>
      <c r="AM2525" s="4"/>
      <c r="AN2525" s="4"/>
      <c r="AO2525" s="4"/>
      <c r="AP2525" s="4"/>
      <c r="AQ2525" s="4"/>
      <c r="AR2525" s="4"/>
      <c r="AS2525" s="4"/>
      <c r="AT2525" s="4"/>
      <c r="AU2525" s="4"/>
      <c r="AV2525" s="4"/>
      <c r="AW2525" s="4"/>
      <c r="AX2525" s="4"/>
      <c r="AY2525" s="4"/>
      <c r="AZ2525" s="4"/>
      <c r="BA2525" s="4"/>
      <c r="BB2525" s="4"/>
      <c r="BC2525" s="4"/>
      <c r="BD2525" s="4"/>
      <c r="BE2525" s="4"/>
      <c r="BF2525" s="4"/>
      <c r="BG2525" s="4"/>
      <c r="BH2525" s="4"/>
      <c r="BI2525" s="4"/>
      <c r="BJ2525" s="4"/>
      <c r="BK2525" s="4"/>
      <c r="BL2525" s="4"/>
      <c r="BM2525" s="4"/>
      <c r="BN2525" s="4"/>
      <c r="BO2525" s="4"/>
      <c r="BP2525" s="4"/>
      <c r="BQ2525" s="4"/>
      <c r="BR2525" s="4"/>
      <c r="BS2525" s="4"/>
      <c r="BT2525" s="4"/>
      <c r="BU2525" s="4"/>
      <c r="BV2525" s="4"/>
      <c r="BW2525" s="4"/>
      <c r="BX2525" s="4"/>
      <c r="BY2525" s="4"/>
      <c r="BZ2525" s="4"/>
      <c r="CA2525" s="4"/>
      <c r="CB2525" s="4"/>
      <c r="CC2525" s="4"/>
      <c r="CD2525" s="4"/>
      <c r="CE2525" s="4"/>
      <c r="CF2525" s="4"/>
      <c r="CG2525" s="4"/>
      <c r="CH2525" s="4"/>
      <c r="CI2525" s="4"/>
      <c r="CJ2525" s="4"/>
      <c r="CK2525" s="4"/>
      <c r="CL2525" s="4"/>
      <c r="CM2525" s="4"/>
      <c r="CN2525" s="4"/>
      <c r="CO2525" s="4"/>
      <c r="CP2525" s="4"/>
      <c r="CQ2525" s="4"/>
      <c r="CR2525" s="4"/>
      <c r="CS2525" s="4"/>
      <c r="CT2525" s="4"/>
      <c r="CU2525" s="4"/>
      <c r="CV2525" s="4"/>
      <c r="CW2525" s="4"/>
      <c r="CX2525" s="4"/>
      <c r="CY2525" s="4"/>
      <c r="CZ2525" s="4"/>
      <c r="DA2525" s="4"/>
      <c r="DB2525" s="4"/>
      <c r="DC2525" s="4"/>
      <c r="DD2525" s="4"/>
      <c r="DE2525" s="4"/>
      <c r="DF2525" s="4"/>
      <c r="DG2525" s="4"/>
      <c r="DH2525" s="4"/>
      <c r="DI2525" s="4"/>
      <c r="DJ2525" s="4"/>
      <c r="DK2525" s="4"/>
      <c r="DL2525" s="4"/>
      <c r="DM2525" s="4"/>
      <c r="DN2525" s="4"/>
      <c r="DO2525" s="4"/>
      <c r="DP2525" s="4"/>
      <c r="DQ2525" s="4"/>
      <c r="DR2525" s="4"/>
      <c r="DS2525" s="4"/>
    </row>
    <row r="2526">
      <c r="A2526" s="4"/>
      <c r="B2526" s="4"/>
      <c r="C2526" s="4"/>
      <c r="D2526" s="4"/>
      <c r="E2526" s="4"/>
      <c r="F2526" s="4" t="s">
        <v>17</v>
      </c>
      <c r="G2526" s="15"/>
      <c r="H2526" s="4"/>
      <c r="I2526" s="4"/>
      <c r="J2526" s="4"/>
      <c r="K2526" s="4"/>
      <c r="L2526" s="4"/>
      <c r="M2526" s="4"/>
      <c r="N2526" s="4"/>
      <c r="O2526" s="4"/>
      <c r="P2526" s="4"/>
      <c r="Q2526" s="4"/>
      <c r="R2526" s="4"/>
      <c r="S2526" s="4"/>
      <c r="T2526" s="4"/>
      <c r="U2526" s="4"/>
      <c r="V2526" s="4"/>
      <c r="W2526" s="4"/>
      <c r="X2526" s="4"/>
      <c r="Y2526" s="4"/>
      <c r="Z2526" s="4"/>
      <c r="AA2526" s="4"/>
      <c r="AB2526" s="4"/>
      <c r="AC2526" s="4"/>
      <c r="AD2526" s="4"/>
      <c r="AE2526" s="4"/>
      <c r="AF2526" s="4"/>
      <c r="AG2526" s="4"/>
      <c r="AH2526" s="4"/>
      <c r="AI2526" s="4"/>
      <c r="AJ2526" s="4"/>
      <c r="AK2526" s="4"/>
      <c r="AL2526" s="4"/>
      <c r="AM2526" s="4"/>
      <c r="AN2526" s="4"/>
      <c r="AO2526" s="4"/>
      <c r="AP2526" s="4"/>
      <c r="AQ2526" s="4"/>
      <c r="AR2526" s="4"/>
      <c r="AS2526" s="4"/>
      <c r="AT2526" s="4"/>
      <c r="AU2526" s="4"/>
      <c r="AV2526" s="4"/>
      <c r="AW2526" s="4"/>
      <c r="AX2526" s="4"/>
      <c r="AY2526" s="4"/>
      <c r="AZ2526" s="4"/>
      <c r="BA2526" s="4"/>
      <c r="BB2526" s="4"/>
      <c r="BC2526" s="4"/>
      <c r="BD2526" s="4"/>
      <c r="BE2526" s="4"/>
      <c r="BF2526" s="4"/>
      <c r="BG2526" s="4"/>
      <c r="BH2526" s="4"/>
      <c r="BI2526" s="4"/>
      <c r="BJ2526" s="4"/>
      <c r="BK2526" s="4"/>
      <c r="BL2526" s="4"/>
      <c r="BM2526" s="4"/>
      <c r="BN2526" s="4"/>
      <c r="BO2526" s="4"/>
      <c r="BP2526" s="4"/>
      <c r="BQ2526" s="4"/>
      <c r="BR2526" s="4"/>
      <c r="BS2526" s="4"/>
      <c r="BT2526" s="4"/>
      <c r="BU2526" s="4"/>
      <c r="BV2526" s="4"/>
      <c r="BW2526" s="4"/>
      <c r="BX2526" s="4"/>
      <c r="BY2526" s="4"/>
      <c r="BZ2526" s="4"/>
      <c r="CA2526" s="4"/>
      <c r="CB2526" s="4"/>
      <c r="CC2526" s="4"/>
      <c r="CD2526" s="4"/>
      <c r="CE2526" s="4"/>
      <c r="CF2526" s="4"/>
      <c r="CG2526" s="4"/>
      <c r="CH2526" s="4"/>
      <c r="CI2526" s="4"/>
      <c r="CJ2526" s="4"/>
      <c r="CK2526" s="4"/>
      <c r="CL2526" s="4"/>
      <c r="CM2526" s="4"/>
      <c r="CN2526" s="4"/>
      <c r="CO2526" s="4"/>
      <c r="CP2526" s="4"/>
      <c r="CQ2526" s="4"/>
      <c r="CR2526" s="4"/>
      <c r="CS2526" s="4"/>
      <c r="CT2526" s="4"/>
      <c r="CU2526" s="4"/>
      <c r="CV2526" s="4"/>
      <c r="CW2526" s="4"/>
      <c r="CX2526" s="4"/>
      <c r="CY2526" s="4"/>
      <c r="CZ2526" s="4"/>
      <c r="DA2526" s="4"/>
      <c r="DB2526" s="4"/>
      <c r="DC2526" s="4"/>
      <c r="DD2526" s="4"/>
      <c r="DE2526" s="4"/>
      <c r="DF2526" s="4"/>
      <c r="DG2526" s="4"/>
      <c r="DH2526" s="4"/>
      <c r="DI2526" s="4"/>
      <c r="DJ2526" s="4"/>
      <c r="DK2526" s="4"/>
      <c r="DL2526" s="4"/>
      <c r="DM2526" s="4"/>
      <c r="DN2526" s="4"/>
      <c r="DO2526" s="4"/>
      <c r="DP2526" s="4"/>
      <c r="DQ2526" s="4"/>
      <c r="DR2526" s="4"/>
      <c r="DS2526" s="4"/>
    </row>
    <row r="2527">
      <c r="A2527" s="4"/>
      <c r="B2527" s="4"/>
      <c r="C2527" s="4"/>
      <c r="D2527" s="4"/>
      <c r="E2527" s="4"/>
      <c r="F2527" s="4" t="s">
        <v>17</v>
      </c>
      <c r="G2527" s="15"/>
      <c r="H2527" s="4"/>
      <c r="I2527" s="4"/>
      <c r="J2527" s="4"/>
      <c r="K2527" s="4"/>
      <c r="L2527" s="4"/>
      <c r="M2527" s="4"/>
      <c r="N2527" s="4"/>
      <c r="O2527" s="4"/>
      <c r="P2527" s="4"/>
      <c r="Q2527" s="4"/>
      <c r="R2527" s="4"/>
      <c r="S2527" s="4"/>
      <c r="T2527" s="4"/>
      <c r="U2527" s="4"/>
      <c r="V2527" s="4"/>
      <c r="W2527" s="4"/>
      <c r="X2527" s="4"/>
      <c r="Y2527" s="4"/>
      <c r="Z2527" s="4"/>
      <c r="AA2527" s="4"/>
      <c r="AB2527" s="4"/>
      <c r="AC2527" s="4"/>
      <c r="AD2527" s="4"/>
      <c r="AE2527" s="4"/>
      <c r="AF2527" s="4"/>
      <c r="AG2527" s="4"/>
      <c r="AH2527" s="4"/>
      <c r="AI2527" s="4"/>
      <c r="AJ2527" s="4"/>
      <c r="AK2527" s="4"/>
      <c r="AL2527" s="4"/>
      <c r="AM2527" s="4"/>
      <c r="AN2527" s="4"/>
      <c r="AO2527" s="4"/>
      <c r="AP2527" s="4"/>
      <c r="AQ2527" s="4"/>
      <c r="AR2527" s="4"/>
      <c r="AS2527" s="4"/>
      <c r="AT2527" s="4"/>
      <c r="AU2527" s="4"/>
      <c r="AV2527" s="4"/>
      <c r="AW2527" s="4"/>
      <c r="AX2527" s="4"/>
      <c r="AY2527" s="4"/>
      <c r="AZ2527" s="4"/>
      <c r="BA2527" s="4"/>
      <c r="BB2527" s="4"/>
      <c r="BC2527" s="4"/>
      <c r="BD2527" s="4"/>
      <c r="BE2527" s="4"/>
      <c r="BF2527" s="4"/>
      <c r="BG2527" s="4"/>
      <c r="BH2527" s="4"/>
      <c r="BI2527" s="4"/>
      <c r="BJ2527" s="4"/>
      <c r="BK2527" s="4"/>
      <c r="BL2527" s="4"/>
      <c r="BM2527" s="4"/>
      <c r="BN2527" s="4"/>
      <c r="BO2527" s="4"/>
      <c r="BP2527" s="4"/>
      <c r="BQ2527" s="4"/>
      <c r="BR2527" s="4"/>
      <c r="BS2527" s="4"/>
      <c r="BT2527" s="4"/>
      <c r="BU2527" s="4"/>
      <c r="BV2527" s="4"/>
      <c r="BW2527" s="4"/>
      <c r="BX2527" s="4"/>
      <c r="BY2527" s="4"/>
      <c r="BZ2527" s="4"/>
      <c r="CA2527" s="4"/>
      <c r="CB2527" s="4"/>
      <c r="CC2527" s="4"/>
      <c r="CD2527" s="4"/>
      <c r="CE2527" s="4"/>
      <c r="CF2527" s="4"/>
      <c r="CG2527" s="4"/>
      <c r="CH2527" s="4"/>
      <c r="CI2527" s="4"/>
      <c r="CJ2527" s="4"/>
      <c r="CK2527" s="4"/>
      <c r="CL2527" s="4"/>
      <c r="CM2527" s="4"/>
      <c r="CN2527" s="4"/>
      <c r="CO2527" s="4"/>
      <c r="CP2527" s="4"/>
      <c r="CQ2527" s="4"/>
      <c r="CR2527" s="4"/>
      <c r="CS2527" s="4"/>
      <c r="CT2527" s="4"/>
      <c r="CU2527" s="4"/>
      <c r="CV2527" s="4"/>
      <c r="CW2527" s="4"/>
      <c r="CX2527" s="4"/>
      <c r="CY2527" s="4"/>
      <c r="CZ2527" s="4"/>
      <c r="DA2527" s="4"/>
      <c r="DB2527" s="4"/>
      <c r="DC2527" s="4"/>
      <c r="DD2527" s="4"/>
      <c r="DE2527" s="4"/>
      <c r="DF2527" s="4"/>
      <c r="DG2527" s="4"/>
      <c r="DH2527" s="4"/>
      <c r="DI2527" s="4"/>
      <c r="DJ2527" s="4"/>
      <c r="DK2527" s="4"/>
      <c r="DL2527" s="4"/>
      <c r="DM2527" s="4"/>
      <c r="DN2527" s="4"/>
      <c r="DO2527" s="4"/>
      <c r="DP2527" s="4"/>
      <c r="DQ2527" s="4"/>
      <c r="DR2527" s="4"/>
      <c r="DS2527" s="4"/>
    </row>
    <row r="2528">
      <c r="A2528" s="4"/>
      <c r="B2528" s="4"/>
      <c r="C2528" s="4"/>
      <c r="D2528" s="4"/>
      <c r="E2528" s="4"/>
      <c r="F2528" s="4" t="s">
        <v>17</v>
      </c>
      <c r="G2528" s="15"/>
      <c r="H2528" s="4"/>
      <c r="I2528" s="4"/>
      <c r="J2528" s="4"/>
      <c r="K2528" s="4"/>
      <c r="L2528" s="4"/>
      <c r="M2528" s="4"/>
      <c r="N2528" s="4"/>
      <c r="O2528" s="4"/>
      <c r="P2528" s="4"/>
      <c r="Q2528" s="4"/>
      <c r="R2528" s="4"/>
      <c r="S2528" s="4"/>
      <c r="T2528" s="4"/>
      <c r="U2528" s="4"/>
      <c r="V2528" s="4"/>
      <c r="W2528" s="4"/>
      <c r="X2528" s="4"/>
      <c r="Y2528" s="4"/>
      <c r="Z2528" s="4"/>
      <c r="AA2528" s="4"/>
      <c r="AB2528" s="4"/>
      <c r="AC2528" s="4"/>
      <c r="AD2528" s="4"/>
      <c r="AE2528" s="4"/>
      <c r="AF2528" s="4"/>
      <c r="AG2528" s="4"/>
      <c r="AH2528" s="4"/>
      <c r="AI2528" s="4"/>
      <c r="AJ2528" s="4"/>
      <c r="AK2528" s="4"/>
      <c r="AL2528" s="4"/>
      <c r="AM2528" s="4"/>
      <c r="AN2528" s="4"/>
      <c r="AO2528" s="4"/>
      <c r="AP2528" s="4"/>
      <c r="AQ2528" s="4"/>
      <c r="AR2528" s="4"/>
      <c r="AS2528" s="4"/>
      <c r="AT2528" s="4"/>
      <c r="AU2528" s="4"/>
      <c r="AV2528" s="4"/>
      <c r="AW2528" s="4"/>
      <c r="AX2528" s="4"/>
      <c r="AY2528" s="4"/>
      <c r="AZ2528" s="4"/>
      <c r="BA2528" s="4"/>
      <c r="BB2528" s="4"/>
      <c r="BC2528" s="4"/>
      <c r="BD2528" s="4"/>
      <c r="BE2528" s="4"/>
      <c r="BF2528" s="4"/>
      <c r="BG2528" s="4"/>
      <c r="BH2528" s="4"/>
      <c r="BI2528" s="4"/>
      <c r="BJ2528" s="4"/>
      <c r="BK2528" s="4"/>
      <c r="BL2528" s="4"/>
      <c r="BM2528" s="4"/>
      <c r="BN2528" s="4"/>
      <c r="BO2528" s="4"/>
      <c r="BP2528" s="4"/>
      <c r="BQ2528" s="4"/>
      <c r="BR2528" s="4"/>
      <c r="BS2528" s="4"/>
      <c r="BT2528" s="4"/>
      <c r="BU2528" s="4"/>
      <c r="BV2528" s="4"/>
      <c r="BW2528" s="4"/>
      <c r="BX2528" s="4"/>
      <c r="BY2528" s="4"/>
      <c r="BZ2528" s="4"/>
      <c r="CA2528" s="4"/>
      <c r="CB2528" s="4"/>
      <c r="CC2528" s="4"/>
      <c r="CD2528" s="4"/>
      <c r="CE2528" s="4"/>
      <c r="CF2528" s="4"/>
      <c r="CG2528" s="4"/>
      <c r="CH2528" s="4"/>
      <c r="CI2528" s="4"/>
      <c r="CJ2528" s="4"/>
      <c r="CK2528" s="4"/>
      <c r="CL2528" s="4"/>
      <c r="CM2528" s="4"/>
      <c r="CN2528" s="4"/>
      <c r="CO2528" s="4"/>
      <c r="CP2528" s="4"/>
      <c r="CQ2528" s="4"/>
      <c r="CR2528" s="4"/>
      <c r="CS2528" s="4"/>
      <c r="CT2528" s="4"/>
      <c r="CU2528" s="4"/>
      <c r="CV2528" s="4"/>
      <c r="CW2528" s="4"/>
      <c r="CX2528" s="4"/>
      <c r="CY2528" s="4"/>
      <c r="CZ2528" s="4"/>
      <c r="DA2528" s="4"/>
      <c r="DB2528" s="4"/>
      <c r="DC2528" s="4"/>
      <c r="DD2528" s="4"/>
      <c r="DE2528" s="4"/>
      <c r="DF2528" s="4"/>
      <c r="DG2528" s="4"/>
      <c r="DH2528" s="4"/>
      <c r="DI2528" s="4"/>
      <c r="DJ2528" s="4"/>
      <c r="DK2528" s="4"/>
      <c r="DL2528" s="4"/>
      <c r="DM2528" s="4"/>
      <c r="DN2528" s="4"/>
      <c r="DO2528" s="4"/>
      <c r="DP2528" s="4"/>
      <c r="DQ2528" s="4"/>
      <c r="DR2528" s="4"/>
      <c r="DS2528" s="4"/>
    </row>
    <row r="2529">
      <c r="A2529" s="4"/>
      <c r="B2529" s="4"/>
      <c r="C2529" s="4"/>
      <c r="D2529" s="4"/>
      <c r="E2529" s="4"/>
      <c r="F2529" s="4" t="s">
        <v>17</v>
      </c>
      <c r="G2529" s="15"/>
      <c r="H2529" s="4"/>
      <c r="I2529" s="4"/>
      <c r="J2529" s="4"/>
      <c r="K2529" s="4"/>
      <c r="L2529" s="4"/>
      <c r="M2529" s="4"/>
      <c r="N2529" s="4"/>
      <c r="O2529" s="4"/>
      <c r="P2529" s="4"/>
      <c r="Q2529" s="4"/>
      <c r="R2529" s="4"/>
      <c r="S2529" s="4"/>
      <c r="T2529" s="4"/>
      <c r="U2529" s="4"/>
      <c r="V2529" s="4"/>
      <c r="W2529" s="4"/>
      <c r="X2529" s="4"/>
      <c r="Y2529" s="4"/>
      <c r="Z2529" s="4"/>
      <c r="AA2529" s="4"/>
      <c r="AB2529" s="4"/>
      <c r="AC2529" s="4"/>
      <c r="AD2529" s="4"/>
      <c r="AE2529" s="4"/>
      <c r="AF2529" s="4"/>
      <c r="AG2529" s="4"/>
      <c r="AH2529" s="4"/>
      <c r="AI2529" s="4"/>
      <c r="AJ2529" s="4"/>
      <c r="AK2529" s="4"/>
      <c r="AL2529" s="4"/>
      <c r="AM2529" s="4"/>
      <c r="AN2529" s="4"/>
      <c r="AO2529" s="4"/>
      <c r="AP2529" s="4"/>
      <c r="AQ2529" s="4"/>
      <c r="AR2529" s="4"/>
      <c r="AS2529" s="4"/>
      <c r="AT2529" s="4"/>
      <c r="AU2529" s="4"/>
      <c r="AV2529" s="4"/>
      <c r="AW2529" s="4"/>
      <c r="AX2529" s="4"/>
      <c r="AY2529" s="4"/>
      <c r="AZ2529" s="4"/>
      <c r="BA2529" s="4"/>
      <c r="BB2529" s="4"/>
      <c r="BC2529" s="4"/>
      <c r="BD2529" s="4"/>
      <c r="BE2529" s="4"/>
      <c r="BF2529" s="4"/>
      <c r="BG2529" s="4"/>
      <c r="BH2529" s="4"/>
      <c r="BI2529" s="4"/>
      <c r="BJ2529" s="4"/>
      <c r="BK2529" s="4"/>
      <c r="BL2529" s="4"/>
      <c r="BM2529" s="4"/>
      <c r="BN2529" s="4"/>
      <c r="BO2529" s="4"/>
      <c r="BP2529" s="4"/>
      <c r="BQ2529" s="4"/>
      <c r="BR2529" s="4"/>
      <c r="BS2529" s="4"/>
      <c r="BT2529" s="4"/>
      <c r="BU2529" s="4"/>
      <c r="BV2529" s="4"/>
      <c r="BW2529" s="4"/>
      <c r="BX2529" s="4"/>
      <c r="BY2529" s="4"/>
      <c r="BZ2529" s="4"/>
      <c r="CA2529" s="4"/>
      <c r="CB2529" s="4"/>
      <c r="CC2529" s="4"/>
      <c r="CD2529" s="4"/>
      <c r="CE2529" s="4"/>
      <c r="CF2529" s="4"/>
      <c r="CG2529" s="4"/>
      <c r="CH2529" s="4"/>
      <c r="CI2529" s="4"/>
      <c r="CJ2529" s="4"/>
      <c r="CK2529" s="4"/>
      <c r="CL2529" s="4"/>
      <c r="CM2529" s="4"/>
      <c r="CN2529" s="4"/>
      <c r="CO2529" s="4"/>
      <c r="CP2529" s="4"/>
      <c r="CQ2529" s="4"/>
      <c r="CR2529" s="4"/>
      <c r="CS2529" s="4"/>
      <c r="CT2529" s="4"/>
      <c r="CU2529" s="4"/>
      <c r="CV2529" s="4"/>
      <c r="CW2529" s="4"/>
      <c r="CX2529" s="4"/>
      <c r="CY2529" s="4"/>
      <c r="CZ2529" s="4"/>
      <c r="DA2529" s="4"/>
      <c r="DB2529" s="4"/>
      <c r="DC2529" s="4"/>
      <c r="DD2529" s="4"/>
      <c r="DE2529" s="4"/>
      <c r="DF2529" s="4"/>
      <c r="DG2529" s="4"/>
      <c r="DH2529" s="4"/>
      <c r="DI2529" s="4"/>
      <c r="DJ2529" s="4"/>
      <c r="DK2529" s="4"/>
      <c r="DL2529" s="4"/>
      <c r="DM2529" s="4"/>
      <c r="DN2529" s="4"/>
      <c r="DO2529" s="4"/>
      <c r="DP2529" s="4"/>
      <c r="DQ2529" s="4"/>
      <c r="DR2529" s="4"/>
      <c r="DS2529" s="4"/>
    </row>
    <row r="2530">
      <c r="A2530" s="4"/>
      <c r="B2530" s="4"/>
      <c r="C2530" s="4"/>
      <c r="D2530" s="4"/>
      <c r="E2530" s="4"/>
      <c r="F2530" s="4" t="s">
        <v>17</v>
      </c>
      <c r="G2530" s="15"/>
      <c r="H2530" s="4"/>
      <c r="I2530" s="4"/>
      <c r="J2530" s="4"/>
      <c r="K2530" s="4"/>
      <c r="L2530" s="4"/>
      <c r="M2530" s="4"/>
      <c r="N2530" s="4"/>
      <c r="O2530" s="4"/>
      <c r="P2530" s="4"/>
      <c r="Q2530" s="4"/>
      <c r="R2530" s="4"/>
      <c r="S2530" s="4"/>
      <c r="T2530" s="4"/>
      <c r="U2530" s="4"/>
      <c r="V2530" s="4"/>
      <c r="W2530" s="4"/>
      <c r="X2530" s="4"/>
      <c r="Y2530" s="4"/>
      <c r="Z2530" s="4"/>
      <c r="AA2530" s="4"/>
      <c r="AB2530" s="4"/>
      <c r="AC2530" s="4"/>
      <c r="AD2530" s="4"/>
      <c r="AE2530" s="4"/>
      <c r="AF2530" s="4"/>
      <c r="AG2530" s="4"/>
      <c r="AH2530" s="4"/>
      <c r="AI2530" s="4"/>
      <c r="AJ2530" s="4"/>
      <c r="AK2530" s="4"/>
      <c r="AL2530" s="4"/>
      <c r="AM2530" s="4"/>
      <c r="AN2530" s="4"/>
      <c r="AO2530" s="4"/>
      <c r="AP2530" s="4"/>
      <c r="AQ2530" s="4"/>
      <c r="AR2530" s="4"/>
      <c r="AS2530" s="4"/>
      <c r="AT2530" s="4"/>
      <c r="AU2530" s="4"/>
      <c r="AV2530" s="4"/>
      <c r="AW2530" s="4"/>
      <c r="AX2530" s="4"/>
      <c r="AY2530" s="4"/>
      <c r="AZ2530" s="4"/>
      <c r="BA2530" s="4"/>
      <c r="BB2530" s="4"/>
      <c r="BC2530" s="4"/>
      <c r="BD2530" s="4"/>
      <c r="BE2530" s="4"/>
      <c r="BF2530" s="4"/>
      <c r="BG2530" s="4"/>
      <c r="BH2530" s="4"/>
      <c r="BI2530" s="4"/>
      <c r="BJ2530" s="4"/>
      <c r="BK2530" s="4"/>
      <c r="BL2530" s="4"/>
      <c r="BM2530" s="4"/>
      <c r="BN2530" s="4"/>
      <c r="BO2530" s="4"/>
      <c r="BP2530" s="4"/>
      <c r="BQ2530" s="4"/>
      <c r="BR2530" s="4"/>
      <c r="BS2530" s="4"/>
      <c r="BT2530" s="4"/>
      <c r="BU2530" s="4"/>
      <c r="BV2530" s="4"/>
      <c r="BW2530" s="4"/>
      <c r="BX2530" s="4"/>
      <c r="BY2530" s="4"/>
      <c r="BZ2530" s="4"/>
      <c r="CA2530" s="4"/>
      <c r="CB2530" s="4"/>
      <c r="CC2530" s="4"/>
      <c r="CD2530" s="4"/>
      <c r="CE2530" s="4"/>
      <c r="CF2530" s="4"/>
      <c r="CG2530" s="4"/>
      <c r="CH2530" s="4"/>
      <c r="CI2530" s="4"/>
      <c r="CJ2530" s="4"/>
      <c r="CK2530" s="4"/>
      <c r="CL2530" s="4"/>
      <c r="CM2530" s="4"/>
      <c r="CN2530" s="4"/>
      <c r="CO2530" s="4"/>
      <c r="CP2530" s="4"/>
      <c r="CQ2530" s="4"/>
      <c r="CR2530" s="4"/>
      <c r="CS2530" s="4"/>
      <c r="CT2530" s="4"/>
      <c r="CU2530" s="4"/>
      <c r="CV2530" s="4"/>
      <c r="CW2530" s="4"/>
      <c r="CX2530" s="4"/>
      <c r="CY2530" s="4"/>
      <c r="CZ2530" s="4"/>
      <c r="DA2530" s="4"/>
      <c r="DB2530" s="4"/>
      <c r="DC2530" s="4"/>
      <c r="DD2530" s="4"/>
      <c r="DE2530" s="4"/>
      <c r="DF2530" s="4"/>
      <c r="DG2530" s="4"/>
      <c r="DH2530" s="4"/>
      <c r="DI2530" s="4"/>
      <c r="DJ2530" s="4"/>
      <c r="DK2530" s="4"/>
      <c r="DL2530" s="4"/>
      <c r="DM2530" s="4"/>
      <c r="DN2530" s="4"/>
      <c r="DO2530" s="4"/>
      <c r="DP2530" s="4"/>
      <c r="DQ2530" s="4"/>
      <c r="DR2530" s="4"/>
      <c r="DS2530" s="4"/>
    </row>
    <row r="2531">
      <c r="A2531" s="4"/>
      <c r="B2531" s="4"/>
      <c r="C2531" s="4"/>
      <c r="D2531" s="4"/>
      <c r="E2531" s="4"/>
      <c r="F2531" s="4" t="s">
        <v>17</v>
      </c>
      <c r="G2531" s="15"/>
      <c r="H2531" s="4"/>
      <c r="I2531" s="4"/>
      <c r="J2531" s="4"/>
      <c r="K2531" s="4"/>
      <c r="L2531" s="4"/>
      <c r="M2531" s="4"/>
      <c r="N2531" s="4"/>
      <c r="O2531" s="4"/>
      <c r="P2531" s="4"/>
      <c r="Q2531" s="4"/>
      <c r="R2531" s="4"/>
      <c r="S2531" s="4"/>
      <c r="T2531" s="4"/>
      <c r="U2531" s="4"/>
      <c r="V2531" s="4"/>
      <c r="W2531" s="4"/>
      <c r="X2531" s="4"/>
      <c r="Y2531" s="4"/>
      <c r="Z2531" s="4"/>
      <c r="AA2531" s="4"/>
      <c r="AB2531" s="4"/>
      <c r="AC2531" s="4"/>
      <c r="AD2531" s="4"/>
      <c r="AE2531" s="4"/>
      <c r="AF2531" s="4"/>
      <c r="AG2531" s="4"/>
      <c r="AH2531" s="4"/>
      <c r="AI2531" s="4"/>
      <c r="AJ2531" s="4"/>
      <c r="AK2531" s="4"/>
      <c r="AL2531" s="4"/>
      <c r="AM2531" s="4"/>
      <c r="AN2531" s="4"/>
      <c r="AO2531" s="4"/>
      <c r="AP2531" s="4"/>
      <c r="AQ2531" s="4"/>
      <c r="AR2531" s="4"/>
      <c r="AS2531" s="4"/>
      <c r="AT2531" s="4"/>
      <c r="AU2531" s="4"/>
      <c r="AV2531" s="4"/>
      <c r="AW2531" s="4"/>
      <c r="AX2531" s="4"/>
      <c r="AY2531" s="4"/>
      <c r="AZ2531" s="4"/>
      <c r="BA2531" s="4"/>
      <c r="BB2531" s="4"/>
      <c r="BC2531" s="4"/>
      <c r="BD2531" s="4"/>
      <c r="BE2531" s="4"/>
      <c r="BF2531" s="4"/>
      <c r="BG2531" s="4"/>
      <c r="BH2531" s="4"/>
      <c r="BI2531" s="4"/>
      <c r="BJ2531" s="4"/>
      <c r="BK2531" s="4"/>
      <c r="BL2531" s="4"/>
      <c r="BM2531" s="4"/>
      <c r="BN2531" s="4"/>
      <c r="BO2531" s="4"/>
      <c r="BP2531" s="4"/>
      <c r="BQ2531" s="4"/>
      <c r="BR2531" s="4"/>
      <c r="BS2531" s="4"/>
      <c r="BT2531" s="4"/>
      <c r="BU2531" s="4"/>
      <c r="BV2531" s="4"/>
      <c r="BW2531" s="4"/>
      <c r="BX2531" s="4"/>
      <c r="BY2531" s="4"/>
      <c r="BZ2531" s="4"/>
      <c r="CA2531" s="4"/>
      <c r="CB2531" s="4"/>
      <c r="CC2531" s="4"/>
      <c r="CD2531" s="4"/>
      <c r="CE2531" s="4"/>
      <c r="CF2531" s="4"/>
      <c r="CG2531" s="4"/>
      <c r="CH2531" s="4"/>
      <c r="CI2531" s="4"/>
      <c r="CJ2531" s="4"/>
      <c r="CK2531" s="4"/>
      <c r="CL2531" s="4"/>
      <c r="CM2531" s="4"/>
      <c r="CN2531" s="4"/>
      <c r="CO2531" s="4"/>
      <c r="CP2531" s="4"/>
      <c r="CQ2531" s="4"/>
      <c r="CR2531" s="4"/>
      <c r="CS2531" s="4"/>
      <c r="CT2531" s="4"/>
      <c r="CU2531" s="4"/>
      <c r="CV2531" s="4"/>
      <c r="CW2531" s="4"/>
      <c r="CX2531" s="4"/>
      <c r="CY2531" s="4"/>
      <c r="CZ2531" s="4"/>
      <c r="DA2531" s="4"/>
      <c r="DB2531" s="4"/>
      <c r="DC2531" s="4"/>
      <c r="DD2531" s="4"/>
      <c r="DE2531" s="4"/>
      <c r="DF2531" s="4"/>
      <c r="DG2531" s="4"/>
      <c r="DH2531" s="4"/>
      <c r="DI2531" s="4"/>
      <c r="DJ2531" s="4"/>
      <c r="DK2531" s="4"/>
      <c r="DL2531" s="4"/>
      <c r="DM2531" s="4"/>
      <c r="DN2531" s="4"/>
      <c r="DO2531" s="4"/>
      <c r="DP2531" s="4"/>
      <c r="DQ2531" s="4"/>
      <c r="DR2531" s="4"/>
      <c r="DS2531" s="4"/>
    </row>
    <row r="2532">
      <c r="A2532" s="4"/>
      <c r="B2532" s="4"/>
      <c r="C2532" s="4"/>
      <c r="D2532" s="4"/>
      <c r="E2532" s="4"/>
      <c r="F2532" s="4" t="s">
        <v>17</v>
      </c>
      <c r="G2532" s="15"/>
      <c r="H2532" s="4"/>
      <c r="I2532" s="4"/>
      <c r="J2532" s="4"/>
      <c r="K2532" s="4"/>
      <c r="L2532" s="4"/>
      <c r="M2532" s="4"/>
      <c r="N2532" s="4"/>
      <c r="O2532" s="4"/>
      <c r="P2532" s="4"/>
      <c r="Q2532" s="4"/>
      <c r="R2532" s="4"/>
      <c r="S2532" s="4"/>
      <c r="T2532" s="4"/>
      <c r="U2532" s="4"/>
      <c r="V2532" s="4"/>
      <c r="W2532" s="4"/>
      <c r="X2532" s="4"/>
      <c r="Y2532" s="4"/>
      <c r="Z2532" s="4"/>
      <c r="AA2532" s="4"/>
      <c r="AB2532" s="4"/>
      <c r="AC2532" s="4"/>
      <c r="AD2532" s="4"/>
      <c r="AE2532" s="4"/>
      <c r="AF2532" s="4"/>
      <c r="AG2532" s="4"/>
      <c r="AH2532" s="4"/>
      <c r="AI2532" s="4"/>
      <c r="AJ2532" s="4"/>
      <c r="AK2532" s="4"/>
      <c r="AL2532" s="4"/>
      <c r="AM2532" s="4"/>
      <c r="AN2532" s="4"/>
      <c r="AO2532" s="4"/>
      <c r="AP2532" s="4"/>
      <c r="AQ2532" s="4"/>
      <c r="AR2532" s="4"/>
      <c r="AS2532" s="4"/>
      <c r="AT2532" s="4"/>
      <c r="AU2532" s="4"/>
      <c r="AV2532" s="4"/>
      <c r="AW2532" s="4"/>
      <c r="AX2532" s="4"/>
      <c r="AY2532" s="4"/>
      <c r="AZ2532" s="4"/>
      <c r="BA2532" s="4"/>
      <c r="BB2532" s="4"/>
      <c r="BC2532" s="4"/>
      <c r="BD2532" s="4"/>
      <c r="BE2532" s="4"/>
      <c r="BF2532" s="4"/>
      <c r="BG2532" s="4"/>
      <c r="BH2532" s="4"/>
      <c r="BI2532" s="4"/>
      <c r="BJ2532" s="4"/>
      <c r="BK2532" s="4"/>
      <c r="BL2532" s="4"/>
      <c r="BM2532" s="4"/>
      <c r="BN2532" s="4"/>
      <c r="BO2532" s="4"/>
      <c r="BP2532" s="4"/>
      <c r="BQ2532" s="4"/>
      <c r="BR2532" s="4"/>
      <c r="BS2532" s="4"/>
      <c r="BT2532" s="4"/>
      <c r="BU2532" s="4"/>
      <c r="BV2532" s="4"/>
      <c r="BW2532" s="4"/>
      <c r="BX2532" s="4"/>
      <c r="BY2532" s="4"/>
      <c r="BZ2532" s="4"/>
      <c r="CA2532" s="4"/>
      <c r="CB2532" s="4"/>
      <c r="CC2532" s="4"/>
      <c r="CD2532" s="4"/>
      <c r="CE2532" s="4"/>
      <c r="CF2532" s="4"/>
      <c r="CG2532" s="4"/>
      <c r="CH2532" s="4"/>
      <c r="CI2532" s="4"/>
      <c r="CJ2532" s="4"/>
      <c r="CK2532" s="4"/>
      <c r="CL2532" s="4"/>
      <c r="CM2532" s="4"/>
      <c r="CN2532" s="4"/>
      <c r="CO2532" s="4"/>
      <c r="CP2532" s="4"/>
      <c r="CQ2532" s="4"/>
      <c r="CR2532" s="4"/>
      <c r="CS2532" s="4"/>
      <c r="CT2532" s="4"/>
      <c r="CU2532" s="4"/>
      <c r="CV2532" s="4"/>
      <c r="CW2532" s="4"/>
      <c r="CX2532" s="4"/>
      <c r="CY2532" s="4"/>
      <c r="CZ2532" s="4"/>
      <c r="DA2532" s="4"/>
      <c r="DB2532" s="4"/>
      <c r="DC2532" s="4"/>
      <c r="DD2532" s="4"/>
      <c r="DE2532" s="4"/>
      <c r="DF2532" s="4"/>
      <c r="DG2532" s="4"/>
      <c r="DH2532" s="4"/>
      <c r="DI2532" s="4"/>
      <c r="DJ2532" s="4"/>
      <c r="DK2532" s="4"/>
      <c r="DL2532" s="4"/>
      <c r="DM2532" s="4"/>
      <c r="DN2532" s="4"/>
      <c r="DO2532" s="4"/>
      <c r="DP2532" s="4"/>
      <c r="DQ2532" s="4"/>
      <c r="DR2532" s="4"/>
      <c r="DS2532" s="4"/>
    </row>
    <row r="2533">
      <c r="A2533" s="4"/>
      <c r="B2533" s="4"/>
      <c r="C2533" s="4"/>
      <c r="D2533" s="4"/>
      <c r="E2533" s="4"/>
      <c r="F2533" s="4" t="s">
        <v>17</v>
      </c>
      <c r="G2533" s="15"/>
      <c r="H2533" s="4"/>
      <c r="I2533" s="4"/>
      <c r="J2533" s="4"/>
      <c r="K2533" s="4"/>
      <c r="L2533" s="4"/>
      <c r="M2533" s="4"/>
      <c r="N2533" s="4"/>
      <c r="O2533" s="4"/>
      <c r="P2533" s="4"/>
      <c r="Q2533" s="4"/>
      <c r="R2533" s="4"/>
      <c r="S2533" s="4"/>
      <c r="T2533" s="4"/>
      <c r="U2533" s="4"/>
      <c r="V2533" s="4"/>
      <c r="W2533" s="4"/>
      <c r="X2533" s="4"/>
      <c r="Y2533" s="4"/>
      <c r="Z2533" s="4"/>
      <c r="AA2533" s="4"/>
      <c r="AB2533" s="4"/>
      <c r="AC2533" s="4"/>
      <c r="AD2533" s="4"/>
      <c r="AE2533" s="4"/>
      <c r="AF2533" s="4"/>
      <c r="AG2533" s="4"/>
      <c r="AH2533" s="4"/>
      <c r="AI2533" s="4"/>
      <c r="AJ2533" s="4"/>
      <c r="AK2533" s="4"/>
      <c r="AL2533" s="4"/>
      <c r="AM2533" s="4"/>
      <c r="AN2533" s="4"/>
      <c r="AO2533" s="4"/>
      <c r="AP2533" s="4"/>
      <c r="AQ2533" s="4"/>
      <c r="AR2533" s="4"/>
      <c r="AS2533" s="4"/>
      <c r="AT2533" s="4"/>
      <c r="AU2533" s="4"/>
      <c r="AV2533" s="4"/>
      <c r="AW2533" s="4"/>
      <c r="AX2533" s="4"/>
      <c r="AY2533" s="4"/>
      <c r="AZ2533" s="4"/>
      <c r="BA2533" s="4"/>
      <c r="BB2533" s="4"/>
      <c r="BC2533" s="4"/>
      <c r="BD2533" s="4"/>
      <c r="BE2533" s="4"/>
      <c r="BF2533" s="4"/>
      <c r="BG2533" s="4"/>
      <c r="BH2533" s="4"/>
      <c r="BI2533" s="4"/>
      <c r="BJ2533" s="4"/>
      <c r="BK2533" s="4"/>
      <c r="BL2533" s="4"/>
      <c r="BM2533" s="4"/>
      <c r="BN2533" s="4"/>
      <c r="BO2533" s="4"/>
      <c r="BP2533" s="4"/>
      <c r="BQ2533" s="4"/>
      <c r="BR2533" s="4"/>
      <c r="BS2533" s="4"/>
      <c r="BT2533" s="4"/>
      <c r="BU2533" s="4"/>
      <c r="BV2533" s="4"/>
      <c r="BW2533" s="4"/>
      <c r="BX2533" s="4"/>
      <c r="BY2533" s="4"/>
      <c r="BZ2533" s="4"/>
      <c r="CA2533" s="4"/>
      <c r="CB2533" s="4"/>
      <c r="CC2533" s="4"/>
      <c r="CD2533" s="4"/>
      <c r="CE2533" s="4"/>
      <c r="CF2533" s="4"/>
      <c r="CG2533" s="4"/>
      <c r="CH2533" s="4"/>
      <c r="CI2533" s="4"/>
      <c r="CJ2533" s="4"/>
      <c r="CK2533" s="4"/>
      <c r="CL2533" s="4"/>
      <c r="CM2533" s="4"/>
      <c r="CN2533" s="4"/>
      <c r="CO2533" s="4"/>
      <c r="CP2533" s="4"/>
      <c r="CQ2533" s="4"/>
      <c r="CR2533" s="4"/>
      <c r="CS2533" s="4"/>
      <c r="CT2533" s="4"/>
      <c r="CU2533" s="4"/>
      <c r="CV2533" s="4"/>
      <c r="CW2533" s="4"/>
      <c r="CX2533" s="4"/>
      <c r="CY2533" s="4"/>
      <c r="CZ2533" s="4"/>
      <c r="DA2533" s="4"/>
      <c r="DB2533" s="4"/>
      <c r="DC2533" s="4"/>
      <c r="DD2533" s="4"/>
      <c r="DE2533" s="4"/>
      <c r="DF2533" s="4"/>
      <c r="DG2533" s="4"/>
      <c r="DH2533" s="4"/>
      <c r="DI2533" s="4"/>
      <c r="DJ2533" s="4"/>
      <c r="DK2533" s="4"/>
      <c r="DL2533" s="4"/>
      <c r="DM2533" s="4"/>
      <c r="DN2533" s="4"/>
      <c r="DO2533" s="4"/>
      <c r="DP2533" s="4"/>
      <c r="DQ2533" s="4"/>
      <c r="DR2533" s="4"/>
      <c r="DS2533" s="4"/>
    </row>
    <row r="2534">
      <c r="A2534" s="4"/>
      <c r="B2534" s="4"/>
      <c r="C2534" s="4"/>
      <c r="D2534" s="4"/>
      <c r="E2534" s="4"/>
      <c r="F2534" s="4" t="s">
        <v>17</v>
      </c>
      <c r="G2534" s="15"/>
      <c r="H2534" s="4"/>
      <c r="I2534" s="4"/>
      <c r="J2534" s="4"/>
      <c r="K2534" s="4"/>
      <c r="L2534" s="4"/>
      <c r="M2534" s="4"/>
      <c r="N2534" s="4"/>
      <c r="O2534" s="4"/>
      <c r="P2534" s="4"/>
      <c r="Q2534" s="4"/>
      <c r="R2534" s="4"/>
      <c r="S2534" s="4"/>
      <c r="T2534" s="4"/>
      <c r="U2534" s="4"/>
      <c r="V2534" s="4"/>
      <c r="W2534" s="4"/>
      <c r="X2534" s="4"/>
      <c r="Y2534" s="4"/>
      <c r="Z2534" s="4"/>
      <c r="AA2534" s="4"/>
      <c r="AB2534" s="4"/>
      <c r="AC2534" s="4"/>
      <c r="AD2534" s="4"/>
      <c r="AE2534" s="4"/>
      <c r="AF2534" s="4"/>
      <c r="AG2534" s="4"/>
      <c r="AH2534" s="4"/>
      <c r="AI2534" s="4"/>
      <c r="AJ2534" s="4"/>
      <c r="AK2534" s="4"/>
      <c r="AL2534" s="4"/>
      <c r="AM2534" s="4"/>
      <c r="AN2534" s="4"/>
      <c r="AO2534" s="4"/>
      <c r="AP2534" s="4"/>
      <c r="AQ2534" s="4"/>
      <c r="AR2534" s="4"/>
      <c r="AS2534" s="4"/>
      <c r="AT2534" s="4"/>
      <c r="AU2534" s="4"/>
      <c r="AV2534" s="4"/>
      <c r="AW2534" s="4"/>
      <c r="AX2534" s="4"/>
      <c r="AY2534" s="4"/>
      <c r="AZ2534" s="4"/>
      <c r="BA2534" s="4"/>
      <c r="BB2534" s="4"/>
      <c r="BC2534" s="4"/>
      <c r="BD2534" s="4"/>
      <c r="BE2534" s="4"/>
      <c r="BF2534" s="4"/>
      <c r="BG2534" s="4"/>
      <c r="BH2534" s="4"/>
      <c r="BI2534" s="4"/>
      <c r="BJ2534" s="4"/>
      <c r="BK2534" s="4"/>
      <c r="BL2534" s="4"/>
      <c r="BM2534" s="4"/>
      <c r="BN2534" s="4"/>
      <c r="BO2534" s="4"/>
      <c r="BP2534" s="4"/>
      <c r="BQ2534" s="4"/>
      <c r="BR2534" s="4"/>
      <c r="BS2534" s="4"/>
      <c r="BT2534" s="4"/>
      <c r="BU2534" s="4"/>
      <c r="BV2534" s="4"/>
      <c r="BW2534" s="4"/>
      <c r="BX2534" s="4"/>
      <c r="BY2534" s="4"/>
      <c r="BZ2534" s="4"/>
      <c r="CA2534" s="4"/>
      <c r="CB2534" s="4"/>
      <c r="CC2534" s="4"/>
      <c r="CD2534" s="4"/>
      <c r="CE2534" s="4"/>
      <c r="CF2534" s="4"/>
      <c r="CG2534" s="4"/>
      <c r="CH2534" s="4"/>
      <c r="CI2534" s="4"/>
      <c r="CJ2534" s="4"/>
      <c r="CK2534" s="4"/>
      <c r="CL2534" s="4"/>
      <c r="CM2534" s="4"/>
      <c r="CN2534" s="4"/>
      <c r="CO2534" s="4"/>
      <c r="CP2534" s="4"/>
      <c r="CQ2534" s="4"/>
      <c r="CR2534" s="4"/>
      <c r="CS2534" s="4"/>
      <c r="CT2534" s="4"/>
      <c r="CU2534" s="4"/>
      <c r="CV2534" s="4"/>
      <c r="CW2534" s="4"/>
      <c r="CX2534" s="4"/>
      <c r="CY2534" s="4"/>
      <c r="CZ2534" s="4"/>
      <c r="DA2534" s="4"/>
      <c r="DB2534" s="4"/>
      <c r="DC2534" s="4"/>
      <c r="DD2534" s="4"/>
      <c r="DE2534" s="4"/>
      <c r="DF2534" s="4"/>
      <c r="DG2534" s="4"/>
      <c r="DH2534" s="4"/>
      <c r="DI2534" s="4"/>
      <c r="DJ2534" s="4"/>
      <c r="DK2534" s="4"/>
      <c r="DL2534" s="4"/>
      <c r="DM2534" s="4"/>
      <c r="DN2534" s="4"/>
      <c r="DO2534" s="4"/>
      <c r="DP2534" s="4"/>
      <c r="DQ2534" s="4"/>
      <c r="DR2534" s="4"/>
      <c r="DS2534" s="4"/>
    </row>
    <row r="2535">
      <c r="A2535" s="4"/>
      <c r="B2535" s="4"/>
      <c r="C2535" s="4"/>
      <c r="D2535" s="4"/>
      <c r="E2535" s="4"/>
      <c r="F2535" s="4" t="s">
        <v>17</v>
      </c>
      <c r="G2535" s="15"/>
      <c r="H2535" s="4"/>
      <c r="I2535" s="4"/>
      <c r="J2535" s="4"/>
      <c r="K2535" s="4"/>
      <c r="L2535" s="4"/>
      <c r="M2535" s="4"/>
      <c r="N2535" s="4"/>
      <c r="O2535" s="4"/>
      <c r="P2535" s="4"/>
      <c r="Q2535" s="4"/>
      <c r="R2535" s="4"/>
      <c r="S2535" s="4"/>
      <c r="T2535" s="4"/>
      <c r="U2535" s="4"/>
      <c r="V2535" s="4"/>
      <c r="W2535" s="4"/>
      <c r="X2535" s="4"/>
      <c r="Y2535" s="4"/>
      <c r="Z2535" s="4"/>
      <c r="AA2535" s="4"/>
      <c r="AB2535" s="4"/>
      <c r="AC2535" s="4"/>
      <c r="AD2535" s="4"/>
      <c r="AE2535" s="4"/>
      <c r="AF2535" s="4"/>
      <c r="AG2535" s="4"/>
      <c r="AH2535" s="4"/>
      <c r="AI2535" s="4"/>
      <c r="AJ2535" s="4"/>
      <c r="AK2535" s="4"/>
      <c r="AL2535" s="4"/>
      <c r="AM2535" s="4"/>
      <c r="AN2535" s="4"/>
      <c r="AO2535" s="4"/>
      <c r="AP2535" s="4"/>
      <c r="AQ2535" s="4"/>
      <c r="AR2535" s="4"/>
      <c r="AS2535" s="4"/>
      <c r="AT2535" s="4"/>
      <c r="AU2535" s="4"/>
      <c r="AV2535" s="4"/>
      <c r="AW2535" s="4"/>
      <c r="AX2535" s="4"/>
      <c r="AY2535" s="4"/>
      <c r="AZ2535" s="4"/>
      <c r="BA2535" s="4"/>
      <c r="BB2535" s="4"/>
      <c r="BC2535" s="4"/>
      <c r="BD2535" s="4"/>
      <c r="BE2535" s="4"/>
      <c r="BF2535" s="4"/>
      <c r="BG2535" s="4"/>
      <c r="BH2535" s="4"/>
      <c r="BI2535" s="4"/>
      <c r="BJ2535" s="4"/>
      <c r="BK2535" s="4"/>
      <c r="BL2535" s="4"/>
      <c r="BM2535" s="4"/>
      <c r="BN2535" s="4"/>
      <c r="BO2535" s="4"/>
      <c r="BP2535" s="4"/>
      <c r="BQ2535" s="4"/>
      <c r="BR2535" s="4"/>
      <c r="BS2535" s="4"/>
      <c r="BT2535" s="4"/>
      <c r="BU2535" s="4"/>
      <c r="BV2535" s="4"/>
      <c r="BW2535" s="4"/>
      <c r="BX2535" s="4"/>
      <c r="BY2535" s="4"/>
      <c r="BZ2535" s="4"/>
      <c r="CA2535" s="4"/>
      <c r="CB2535" s="4"/>
      <c r="CC2535" s="4"/>
      <c r="CD2535" s="4"/>
      <c r="CE2535" s="4"/>
      <c r="CF2535" s="4"/>
      <c r="CG2535" s="4"/>
      <c r="CH2535" s="4"/>
      <c r="CI2535" s="4"/>
      <c r="CJ2535" s="4"/>
      <c r="CK2535" s="4"/>
      <c r="CL2535" s="4"/>
      <c r="CM2535" s="4"/>
      <c r="CN2535" s="4"/>
      <c r="CO2535" s="4"/>
      <c r="CP2535" s="4"/>
      <c r="CQ2535" s="4"/>
      <c r="CR2535" s="4"/>
      <c r="CS2535" s="4"/>
      <c r="CT2535" s="4"/>
      <c r="CU2535" s="4"/>
      <c r="CV2535" s="4"/>
      <c r="CW2535" s="4"/>
      <c r="CX2535" s="4"/>
      <c r="CY2535" s="4"/>
      <c r="CZ2535" s="4"/>
      <c r="DA2535" s="4"/>
      <c r="DB2535" s="4"/>
      <c r="DC2535" s="4"/>
      <c r="DD2535" s="4"/>
      <c r="DE2535" s="4"/>
      <c r="DF2535" s="4"/>
      <c r="DG2535" s="4"/>
      <c r="DH2535" s="4"/>
      <c r="DI2535" s="4"/>
      <c r="DJ2535" s="4"/>
      <c r="DK2535" s="4"/>
      <c r="DL2535" s="4"/>
      <c r="DM2535" s="4"/>
      <c r="DN2535" s="4"/>
      <c r="DO2535" s="4"/>
      <c r="DP2535" s="4"/>
      <c r="DQ2535" s="4"/>
      <c r="DR2535" s="4"/>
      <c r="DS2535" s="4"/>
    </row>
    <row r="2536">
      <c r="A2536" s="4"/>
      <c r="B2536" s="4"/>
      <c r="C2536" s="4"/>
      <c r="D2536" s="4"/>
      <c r="E2536" s="4"/>
      <c r="F2536" s="4" t="s">
        <v>17</v>
      </c>
      <c r="G2536" s="15"/>
      <c r="H2536" s="4"/>
      <c r="I2536" s="4"/>
      <c r="J2536" s="4"/>
      <c r="K2536" s="4"/>
      <c r="L2536" s="4"/>
      <c r="M2536" s="4"/>
      <c r="N2536" s="4"/>
      <c r="O2536" s="4"/>
      <c r="P2536" s="4"/>
      <c r="Q2536" s="4"/>
      <c r="R2536" s="4"/>
      <c r="S2536" s="4"/>
      <c r="T2536" s="4"/>
      <c r="U2536" s="4"/>
      <c r="V2536" s="4"/>
      <c r="W2536" s="4"/>
      <c r="X2536" s="4"/>
      <c r="Y2536" s="4"/>
      <c r="Z2536" s="4"/>
      <c r="AA2536" s="4"/>
      <c r="AB2536" s="4"/>
      <c r="AC2536" s="4"/>
      <c r="AD2536" s="4"/>
      <c r="AE2536" s="4"/>
      <c r="AF2536" s="4"/>
      <c r="AG2536" s="4"/>
      <c r="AH2536" s="4"/>
      <c r="AI2536" s="4"/>
      <c r="AJ2536" s="4"/>
      <c r="AK2536" s="4"/>
      <c r="AL2536" s="4"/>
      <c r="AM2536" s="4"/>
      <c r="AN2536" s="4"/>
      <c r="AO2536" s="4"/>
      <c r="AP2536" s="4"/>
      <c r="AQ2536" s="4"/>
      <c r="AR2536" s="4"/>
      <c r="AS2536" s="4"/>
      <c r="AT2536" s="4"/>
      <c r="AU2536" s="4"/>
      <c r="AV2536" s="4"/>
      <c r="AW2536" s="4"/>
      <c r="AX2536" s="4"/>
      <c r="AY2536" s="4"/>
      <c r="AZ2536" s="4"/>
      <c r="BA2536" s="4"/>
      <c r="BB2536" s="4"/>
      <c r="BC2536" s="4"/>
      <c r="BD2536" s="4"/>
      <c r="BE2536" s="4"/>
      <c r="BF2536" s="4"/>
      <c r="BG2536" s="4"/>
      <c r="BH2536" s="4"/>
      <c r="BI2536" s="4"/>
      <c r="BJ2536" s="4"/>
      <c r="BK2536" s="4"/>
      <c r="BL2536" s="4"/>
      <c r="BM2536" s="4"/>
      <c r="BN2536" s="4"/>
      <c r="BO2536" s="4"/>
      <c r="BP2536" s="4"/>
      <c r="BQ2536" s="4"/>
      <c r="BR2536" s="4"/>
      <c r="BS2536" s="4"/>
      <c r="BT2536" s="4"/>
      <c r="BU2536" s="4"/>
      <c r="BV2536" s="4"/>
      <c r="BW2536" s="4"/>
      <c r="BX2536" s="4"/>
      <c r="BY2536" s="4"/>
      <c r="BZ2536" s="4"/>
      <c r="CA2536" s="4"/>
      <c r="CB2536" s="4"/>
      <c r="CC2536" s="4"/>
      <c r="CD2536" s="4"/>
      <c r="CE2536" s="4"/>
      <c r="CF2536" s="4"/>
      <c r="CG2536" s="4"/>
      <c r="CH2536" s="4"/>
      <c r="CI2536" s="4"/>
      <c r="CJ2536" s="4"/>
      <c r="CK2536" s="4"/>
      <c r="CL2536" s="4"/>
      <c r="CM2536" s="4"/>
      <c r="CN2536" s="4"/>
      <c r="CO2536" s="4"/>
      <c r="CP2536" s="4"/>
      <c r="CQ2536" s="4"/>
      <c r="CR2536" s="4"/>
      <c r="CS2536" s="4"/>
      <c r="CT2536" s="4"/>
      <c r="CU2536" s="4"/>
      <c r="CV2536" s="4"/>
      <c r="CW2536" s="4"/>
      <c r="CX2536" s="4"/>
      <c r="CY2536" s="4"/>
      <c r="CZ2536" s="4"/>
      <c r="DA2536" s="4"/>
      <c r="DB2536" s="4"/>
      <c r="DC2536" s="4"/>
      <c r="DD2536" s="4"/>
      <c r="DE2536" s="4"/>
      <c r="DF2536" s="4"/>
      <c r="DG2536" s="4"/>
      <c r="DH2536" s="4"/>
      <c r="DI2536" s="4"/>
      <c r="DJ2536" s="4"/>
      <c r="DK2536" s="4"/>
      <c r="DL2536" s="4"/>
      <c r="DM2536" s="4"/>
      <c r="DN2536" s="4"/>
      <c r="DO2536" s="4"/>
      <c r="DP2536" s="4"/>
      <c r="DQ2536" s="4"/>
      <c r="DR2536" s="4"/>
      <c r="DS2536" s="4"/>
    </row>
    <row r="2537">
      <c r="A2537" s="4"/>
      <c r="B2537" s="4"/>
      <c r="C2537" s="4"/>
      <c r="D2537" s="4"/>
      <c r="E2537" s="4"/>
      <c r="F2537" s="4" t="s">
        <v>17</v>
      </c>
      <c r="G2537" s="15"/>
      <c r="H2537" s="4"/>
      <c r="I2537" s="4"/>
      <c r="J2537" s="4"/>
      <c r="K2537" s="4"/>
      <c r="L2537" s="4"/>
      <c r="M2537" s="4"/>
      <c r="N2537" s="4"/>
      <c r="O2537" s="4"/>
      <c r="P2537" s="4"/>
      <c r="Q2537" s="4"/>
      <c r="R2537" s="4"/>
      <c r="S2537" s="4"/>
      <c r="T2537" s="4"/>
      <c r="U2537" s="4"/>
      <c r="V2537" s="4"/>
      <c r="W2537" s="4"/>
      <c r="X2537" s="4"/>
      <c r="Y2537" s="4"/>
      <c r="Z2537" s="4"/>
      <c r="AA2537" s="4"/>
      <c r="AB2537" s="4"/>
      <c r="AC2537" s="4"/>
      <c r="AD2537" s="4"/>
      <c r="AE2537" s="4"/>
      <c r="AF2537" s="4"/>
      <c r="AG2537" s="4"/>
      <c r="AH2537" s="4"/>
      <c r="AI2537" s="4"/>
      <c r="AJ2537" s="4"/>
      <c r="AK2537" s="4"/>
      <c r="AL2537" s="4"/>
      <c r="AM2537" s="4"/>
      <c r="AN2537" s="4"/>
      <c r="AO2537" s="4"/>
      <c r="AP2537" s="4"/>
      <c r="AQ2537" s="4"/>
      <c r="AR2537" s="4"/>
      <c r="AS2537" s="4"/>
      <c r="AT2537" s="4"/>
      <c r="AU2537" s="4"/>
      <c r="AV2537" s="4"/>
      <c r="AW2537" s="4"/>
      <c r="AX2537" s="4"/>
      <c r="AY2537" s="4"/>
      <c r="AZ2537" s="4"/>
      <c r="BA2537" s="4"/>
      <c r="BB2537" s="4"/>
      <c r="BC2537" s="4"/>
      <c r="BD2537" s="4"/>
      <c r="BE2537" s="4"/>
      <c r="BF2537" s="4"/>
      <c r="BG2537" s="4"/>
      <c r="BH2537" s="4"/>
      <c r="BI2537" s="4"/>
      <c r="BJ2537" s="4"/>
      <c r="BK2537" s="4"/>
      <c r="BL2537" s="4"/>
      <c r="BM2537" s="4"/>
      <c r="BN2537" s="4"/>
      <c r="BO2537" s="4"/>
      <c r="BP2537" s="4"/>
      <c r="BQ2537" s="4"/>
      <c r="BR2537" s="4"/>
      <c r="BS2537" s="4"/>
      <c r="BT2537" s="4"/>
      <c r="BU2537" s="4"/>
      <c r="BV2537" s="4"/>
      <c r="BW2537" s="4"/>
      <c r="BX2537" s="4"/>
      <c r="BY2537" s="4"/>
      <c r="BZ2537" s="4"/>
      <c r="CA2537" s="4"/>
      <c r="CB2537" s="4"/>
      <c r="CC2537" s="4"/>
      <c r="CD2537" s="4"/>
      <c r="CE2537" s="4"/>
      <c r="CF2537" s="4"/>
      <c r="CG2537" s="4"/>
      <c r="CH2537" s="4"/>
      <c r="CI2537" s="4"/>
      <c r="CJ2537" s="4"/>
      <c r="CK2537" s="4"/>
      <c r="CL2537" s="4"/>
      <c r="CM2537" s="4"/>
      <c r="CN2537" s="4"/>
      <c r="CO2537" s="4"/>
      <c r="CP2537" s="4"/>
      <c r="CQ2537" s="4"/>
      <c r="CR2537" s="4"/>
      <c r="CS2537" s="4"/>
      <c r="CT2537" s="4"/>
      <c r="CU2537" s="4"/>
      <c r="CV2537" s="4"/>
      <c r="CW2537" s="4"/>
      <c r="CX2537" s="4"/>
      <c r="CY2537" s="4"/>
      <c r="CZ2537" s="4"/>
      <c r="DA2537" s="4"/>
      <c r="DB2537" s="4"/>
      <c r="DC2537" s="4"/>
      <c r="DD2537" s="4"/>
      <c r="DE2537" s="4"/>
      <c r="DF2537" s="4"/>
      <c r="DG2537" s="4"/>
      <c r="DH2537" s="4"/>
      <c r="DI2537" s="4"/>
      <c r="DJ2537" s="4"/>
      <c r="DK2537" s="4"/>
      <c r="DL2537" s="4"/>
      <c r="DM2537" s="4"/>
      <c r="DN2537" s="4"/>
      <c r="DO2537" s="4"/>
      <c r="DP2537" s="4"/>
      <c r="DQ2537" s="4"/>
      <c r="DR2537" s="4"/>
      <c r="DS2537" s="4"/>
    </row>
    <row r="2538">
      <c r="A2538" s="4"/>
      <c r="B2538" s="4"/>
      <c r="C2538" s="4"/>
      <c r="D2538" s="4"/>
      <c r="E2538" s="4"/>
      <c r="F2538" s="4" t="s">
        <v>17</v>
      </c>
      <c r="G2538" s="15"/>
      <c r="H2538" s="4"/>
      <c r="I2538" s="4"/>
      <c r="J2538" s="4"/>
      <c r="K2538" s="4"/>
      <c r="L2538" s="4"/>
      <c r="M2538" s="4"/>
      <c r="N2538" s="4"/>
      <c r="O2538" s="4"/>
      <c r="P2538" s="4"/>
      <c r="Q2538" s="4"/>
      <c r="R2538" s="4"/>
      <c r="S2538" s="4"/>
      <c r="T2538" s="4"/>
      <c r="U2538" s="4"/>
      <c r="V2538" s="4"/>
      <c r="W2538" s="4"/>
      <c r="X2538" s="4"/>
      <c r="Y2538" s="4"/>
      <c r="Z2538" s="4"/>
      <c r="AA2538" s="4"/>
      <c r="AB2538" s="4"/>
      <c r="AC2538" s="4"/>
      <c r="AD2538" s="4"/>
      <c r="AE2538" s="4"/>
      <c r="AF2538" s="4"/>
      <c r="AG2538" s="4"/>
      <c r="AH2538" s="4"/>
      <c r="AI2538" s="4"/>
      <c r="AJ2538" s="4"/>
      <c r="AK2538" s="4"/>
      <c r="AL2538" s="4"/>
      <c r="AM2538" s="4"/>
      <c r="AN2538" s="4"/>
      <c r="AO2538" s="4"/>
      <c r="AP2538" s="4"/>
      <c r="AQ2538" s="4"/>
      <c r="AR2538" s="4"/>
      <c r="AS2538" s="4"/>
      <c r="AT2538" s="4"/>
      <c r="AU2538" s="4"/>
      <c r="AV2538" s="4"/>
      <c r="AW2538" s="4"/>
      <c r="AX2538" s="4"/>
      <c r="AY2538" s="4"/>
      <c r="AZ2538" s="4"/>
      <c r="BA2538" s="4"/>
      <c r="BB2538" s="4"/>
      <c r="BC2538" s="4"/>
      <c r="BD2538" s="4"/>
      <c r="BE2538" s="4"/>
      <c r="BF2538" s="4"/>
      <c r="BG2538" s="4"/>
      <c r="BH2538" s="4"/>
      <c r="BI2538" s="4"/>
      <c r="BJ2538" s="4"/>
      <c r="BK2538" s="4"/>
      <c r="BL2538" s="4"/>
      <c r="BM2538" s="4"/>
      <c r="BN2538" s="4"/>
      <c r="BO2538" s="4"/>
      <c r="BP2538" s="4"/>
      <c r="BQ2538" s="4"/>
      <c r="BR2538" s="4"/>
      <c r="BS2538" s="4"/>
      <c r="BT2538" s="4"/>
      <c r="BU2538" s="4"/>
      <c r="BV2538" s="4"/>
      <c r="BW2538" s="4"/>
      <c r="BX2538" s="4"/>
      <c r="BY2538" s="4"/>
      <c r="BZ2538" s="4"/>
      <c r="CA2538" s="4"/>
      <c r="CB2538" s="4"/>
      <c r="CC2538" s="4"/>
      <c r="CD2538" s="4"/>
      <c r="CE2538" s="4"/>
      <c r="CF2538" s="4"/>
      <c r="CG2538" s="4"/>
      <c r="CH2538" s="4"/>
      <c r="CI2538" s="4"/>
      <c r="CJ2538" s="4"/>
      <c r="CK2538" s="4"/>
      <c r="CL2538" s="4"/>
      <c r="CM2538" s="4"/>
      <c r="CN2538" s="4"/>
      <c r="CO2538" s="4"/>
      <c r="CP2538" s="4"/>
      <c r="CQ2538" s="4"/>
      <c r="CR2538" s="4"/>
      <c r="CS2538" s="4"/>
      <c r="CT2538" s="4"/>
      <c r="CU2538" s="4"/>
      <c r="CV2538" s="4"/>
      <c r="CW2538" s="4"/>
      <c r="CX2538" s="4"/>
      <c r="CY2538" s="4"/>
      <c r="CZ2538" s="4"/>
      <c r="DA2538" s="4"/>
      <c r="DB2538" s="4"/>
      <c r="DC2538" s="4"/>
      <c r="DD2538" s="4"/>
      <c r="DE2538" s="4"/>
      <c r="DF2538" s="4"/>
      <c r="DG2538" s="4"/>
      <c r="DH2538" s="4"/>
      <c r="DI2538" s="4"/>
      <c r="DJ2538" s="4"/>
      <c r="DK2538" s="4"/>
      <c r="DL2538" s="4"/>
      <c r="DM2538" s="4"/>
      <c r="DN2538" s="4"/>
      <c r="DO2538" s="4"/>
      <c r="DP2538" s="4"/>
      <c r="DQ2538" s="4"/>
      <c r="DR2538" s="4"/>
      <c r="DS2538" s="4"/>
    </row>
    <row r="2539">
      <c r="A2539" s="4"/>
      <c r="B2539" s="4"/>
      <c r="C2539" s="4"/>
      <c r="D2539" s="4"/>
      <c r="E2539" s="4"/>
      <c r="F2539" s="4" t="s">
        <v>17</v>
      </c>
      <c r="G2539" s="15"/>
      <c r="H2539" s="4"/>
      <c r="I2539" s="4"/>
      <c r="J2539" s="4"/>
      <c r="K2539" s="4"/>
      <c r="L2539" s="4"/>
      <c r="M2539" s="4"/>
      <c r="N2539" s="4"/>
      <c r="O2539" s="4"/>
      <c r="P2539" s="4"/>
      <c r="Q2539" s="4"/>
      <c r="R2539" s="4"/>
      <c r="S2539" s="4"/>
      <c r="T2539" s="4"/>
      <c r="U2539" s="4"/>
      <c r="V2539" s="4"/>
      <c r="W2539" s="4"/>
      <c r="X2539" s="4"/>
      <c r="Y2539" s="4"/>
      <c r="Z2539" s="4"/>
      <c r="AA2539" s="4"/>
      <c r="AB2539" s="4"/>
      <c r="AC2539" s="4"/>
      <c r="AD2539" s="4"/>
      <c r="AE2539" s="4"/>
      <c r="AF2539" s="4"/>
      <c r="AG2539" s="4"/>
      <c r="AH2539" s="4"/>
      <c r="AI2539" s="4"/>
      <c r="AJ2539" s="4"/>
      <c r="AK2539" s="4"/>
      <c r="AL2539" s="4"/>
      <c r="AM2539" s="4"/>
      <c r="AN2539" s="4"/>
      <c r="AO2539" s="4"/>
      <c r="AP2539" s="4"/>
      <c r="AQ2539" s="4"/>
      <c r="AR2539" s="4"/>
      <c r="AS2539" s="4"/>
      <c r="AT2539" s="4"/>
      <c r="AU2539" s="4"/>
      <c r="AV2539" s="4"/>
      <c r="AW2539" s="4"/>
      <c r="AX2539" s="4"/>
      <c r="AY2539" s="4"/>
      <c r="AZ2539" s="4"/>
      <c r="BA2539" s="4"/>
      <c r="BB2539" s="4"/>
      <c r="BC2539" s="4"/>
      <c r="BD2539" s="4"/>
      <c r="BE2539" s="4"/>
      <c r="BF2539" s="4"/>
      <c r="BG2539" s="4"/>
      <c r="BH2539" s="4"/>
      <c r="BI2539" s="4"/>
      <c r="BJ2539" s="4"/>
      <c r="BK2539" s="4"/>
      <c r="BL2539" s="4"/>
      <c r="BM2539" s="4"/>
      <c r="BN2539" s="4"/>
      <c r="BO2539" s="4"/>
      <c r="BP2539" s="4"/>
      <c r="BQ2539" s="4"/>
      <c r="BR2539" s="4"/>
      <c r="BS2539" s="4"/>
      <c r="BT2539" s="4"/>
      <c r="BU2539" s="4"/>
      <c r="BV2539" s="4"/>
      <c r="BW2539" s="4"/>
      <c r="BX2539" s="4"/>
      <c r="BY2539" s="4"/>
      <c r="BZ2539" s="4"/>
      <c r="CA2539" s="4"/>
      <c r="CB2539" s="4"/>
      <c r="CC2539" s="4"/>
      <c r="CD2539" s="4"/>
      <c r="CE2539" s="4"/>
      <c r="CF2539" s="4"/>
      <c r="CG2539" s="4"/>
      <c r="CH2539" s="4"/>
      <c r="CI2539" s="4"/>
      <c r="CJ2539" s="4"/>
      <c r="CK2539" s="4"/>
      <c r="CL2539" s="4"/>
      <c r="CM2539" s="4"/>
      <c r="CN2539" s="4"/>
      <c r="CO2539" s="4"/>
      <c r="CP2539" s="4"/>
      <c r="CQ2539" s="4"/>
      <c r="CR2539" s="4"/>
      <c r="CS2539" s="4"/>
      <c r="CT2539" s="4"/>
      <c r="CU2539" s="4"/>
      <c r="CV2539" s="4"/>
      <c r="CW2539" s="4"/>
      <c r="CX2539" s="4"/>
      <c r="CY2539" s="4"/>
      <c r="CZ2539" s="4"/>
      <c r="DA2539" s="4"/>
      <c r="DB2539" s="4"/>
      <c r="DC2539" s="4"/>
      <c r="DD2539" s="4"/>
      <c r="DE2539" s="4"/>
      <c r="DF2539" s="4"/>
      <c r="DG2539" s="4"/>
      <c r="DH2539" s="4"/>
      <c r="DI2539" s="4"/>
      <c r="DJ2539" s="4"/>
      <c r="DK2539" s="4"/>
      <c r="DL2539" s="4"/>
      <c r="DM2539" s="4"/>
      <c r="DN2539" s="4"/>
      <c r="DO2539" s="4"/>
      <c r="DP2539" s="4"/>
      <c r="DQ2539" s="4"/>
      <c r="DR2539" s="4"/>
      <c r="DS2539" s="4"/>
    </row>
    <row r="2540">
      <c r="A2540" s="4"/>
      <c r="B2540" s="4"/>
      <c r="C2540" s="4"/>
      <c r="D2540" s="4"/>
      <c r="E2540" s="4"/>
      <c r="F2540" s="4" t="s">
        <v>17</v>
      </c>
      <c r="G2540" s="15"/>
      <c r="H2540" s="4"/>
      <c r="I2540" s="4"/>
      <c r="J2540" s="4"/>
      <c r="K2540" s="4"/>
      <c r="L2540" s="4"/>
      <c r="M2540" s="4"/>
      <c r="N2540" s="4"/>
      <c r="O2540" s="4"/>
      <c r="P2540" s="4"/>
      <c r="Q2540" s="4"/>
      <c r="R2540" s="4"/>
      <c r="S2540" s="4"/>
      <c r="T2540" s="4"/>
      <c r="U2540" s="4"/>
      <c r="V2540" s="4"/>
      <c r="W2540" s="4"/>
      <c r="X2540" s="4"/>
      <c r="Y2540" s="4"/>
      <c r="Z2540" s="4"/>
      <c r="AA2540" s="4"/>
      <c r="AB2540" s="4"/>
      <c r="AC2540" s="4"/>
      <c r="AD2540" s="4"/>
      <c r="AE2540" s="4"/>
      <c r="AF2540" s="4"/>
      <c r="AG2540" s="4"/>
      <c r="AH2540" s="4"/>
      <c r="AI2540" s="4"/>
      <c r="AJ2540" s="4"/>
      <c r="AK2540" s="4"/>
      <c r="AL2540" s="4"/>
      <c r="AM2540" s="4"/>
      <c r="AN2540" s="4"/>
      <c r="AO2540" s="4"/>
      <c r="AP2540" s="4"/>
      <c r="AQ2540" s="4"/>
      <c r="AR2540" s="4"/>
      <c r="AS2540" s="4"/>
      <c r="AT2540" s="4"/>
      <c r="AU2540" s="4"/>
      <c r="AV2540" s="4"/>
      <c r="AW2540" s="4"/>
      <c r="AX2540" s="4"/>
      <c r="AY2540" s="4"/>
      <c r="AZ2540" s="4"/>
      <c r="BA2540" s="4"/>
      <c r="BB2540" s="4"/>
      <c r="BC2540" s="4"/>
      <c r="BD2540" s="4"/>
      <c r="BE2540" s="4"/>
      <c r="BF2540" s="4"/>
      <c r="BG2540" s="4"/>
      <c r="BH2540" s="4"/>
      <c r="BI2540" s="4"/>
      <c r="BJ2540" s="4"/>
      <c r="BK2540" s="4"/>
      <c r="BL2540" s="4"/>
      <c r="BM2540" s="4"/>
      <c r="BN2540" s="4"/>
      <c r="BO2540" s="4"/>
      <c r="BP2540" s="4"/>
      <c r="BQ2540" s="4"/>
      <c r="BR2540" s="4"/>
      <c r="BS2540" s="4"/>
      <c r="BT2540" s="4"/>
      <c r="BU2540" s="4"/>
      <c r="BV2540" s="4"/>
      <c r="BW2540" s="4"/>
      <c r="BX2540" s="4"/>
      <c r="BY2540" s="4"/>
      <c r="BZ2540" s="4"/>
      <c r="CA2540" s="4"/>
      <c r="CB2540" s="4"/>
      <c r="CC2540" s="4"/>
      <c r="CD2540" s="4"/>
      <c r="CE2540" s="4"/>
      <c r="CF2540" s="4"/>
      <c r="CG2540" s="4"/>
      <c r="CH2540" s="4"/>
      <c r="CI2540" s="4"/>
      <c r="CJ2540" s="4"/>
      <c r="CK2540" s="4"/>
      <c r="CL2540" s="4"/>
      <c r="CM2540" s="4"/>
      <c r="CN2540" s="4"/>
      <c r="CO2540" s="4"/>
      <c r="CP2540" s="4"/>
      <c r="CQ2540" s="4"/>
      <c r="CR2540" s="4"/>
      <c r="CS2540" s="4"/>
      <c r="CT2540" s="4"/>
      <c r="CU2540" s="4"/>
      <c r="CV2540" s="4"/>
      <c r="CW2540" s="4"/>
      <c r="CX2540" s="4"/>
      <c r="CY2540" s="4"/>
      <c r="CZ2540" s="4"/>
      <c r="DA2540" s="4"/>
      <c r="DB2540" s="4"/>
      <c r="DC2540" s="4"/>
      <c r="DD2540" s="4"/>
      <c r="DE2540" s="4"/>
      <c r="DF2540" s="4"/>
      <c r="DG2540" s="4"/>
      <c r="DH2540" s="4"/>
      <c r="DI2540" s="4"/>
      <c r="DJ2540" s="4"/>
      <c r="DK2540" s="4"/>
      <c r="DL2540" s="4"/>
      <c r="DM2540" s="4"/>
      <c r="DN2540" s="4"/>
      <c r="DO2540" s="4"/>
      <c r="DP2540" s="4"/>
      <c r="DQ2540" s="4"/>
      <c r="DR2540" s="4"/>
      <c r="DS2540" s="4"/>
    </row>
    <row r="2541">
      <c r="A2541" s="4"/>
      <c r="B2541" s="4"/>
      <c r="C2541" s="4"/>
      <c r="D2541" s="4"/>
      <c r="E2541" s="4"/>
      <c r="F2541" s="4" t="s">
        <v>17</v>
      </c>
      <c r="G2541" s="15"/>
      <c r="H2541" s="4"/>
      <c r="I2541" s="4"/>
      <c r="J2541" s="4"/>
      <c r="K2541" s="4"/>
      <c r="L2541" s="4"/>
      <c r="M2541" s="4"/>
      <c r="N2541" s="4"/>
      <c r="O2541" s="4"/>
      <c r="P2541" s="4"/>
      <c r="Q2541" s="4"/>
      <c r="R2541" s="4"/>
      <c r="S2541" s="4"/>
      <c r="T2541" s="4"/>
      <c r="U2541" s="4"/>
      <c r="V2541" s="4"/>
      <c r="W2541" s="4"/>
      <c r="X2541" s="4"/>
      <c r="Y2541" s="4"/>
      <c r="Z2541" s="4"/>
      <c r="AA2541" s="4"/>
      <c r="AB2541" s="4"/>
      <c r="AC2541" s="4"/>
      <c r="AD2541" s="4"/>
      <c r="AE2541" s="4"/>
      <c r="AF2541" s="4"/>
      <c r="AG2541" s="4"/>
      <c r="AH2541" s="4"/>
      <c r="AI2541" s="4"/>
      <c r="AJ2541" s="4"/>
      <c r="AK2541" s="4"/>
      <c r="AL2541" s="4"/>
      <c r="AM2541" s="4"/>
      <c r="AN2541" s="4"/>
      <c r="AO2541" s="4"/>
      <c r="AP2541" s="4"/>
      <c r="AQ2541" s="4"/>
      <c r="AR2541" s="4"/>
      <c r="AS2541" s="4"/>
      <c r="AT2541" s="4"/>
      <c r="AU2541" s="4"/>
      <c r="AV2541" s="4"/>
      <c r="AW2541" s="4"/>
      <c r="AX2541" s="4"/>
      <c r="AY2541" s="4"/>
      <c r="AZ2541" s="4"/>
      <c r="BA2541" s="4"/>
      <c r="BB2541" s="4"/>
      <c r="BC2541" s="4"/>
      <c r="BD2541" s="4"/>
      <c r="BE2541" s="4"/>
      <c r="BF2541" s="4"/>
      <c r="BG2541" s="4"/>
      <c r="BH2541" s="4"/>
      <c r="BI2541" s="4"/>
      <c r="BJ2541" s="4"/>
      <c r="BK2541" s="4"/>
      <c r="BL2541" s="4"/>
      <c r="BM2541" s="4"/>
      <c r="BN2541" s="4"/>
      <c r="BO2541" s="4"/>
      <c r="BP2541" s="4"/>
      <c r="BQ2541" s="4"/>
      <c r="BR2541" s="4"/>
      <c r="BS2541" s="4"/>
      <c r="BT2541" s="4"/>
      <c r="BU2541" s="4"/>
      <c r="BV2541" s="4"/>
      <c r="BW2541" s="4"/>
      <c r="BX2541" s="4"/>
      <c r="BY2541" s="4"/>
      <c r="BZ2541" s="4"/>
      <c r="CA2541" s="4"/>
      <c r="CB2541" s="4"/>
      <c r="CC2541" s="4"/>
      <c r="CD2541" s="4"/>
      <c r="CE2541" s="4"/>
      <c r="CF2541" s="4"/>
      <c r="CG2541" s="4"/>
      <c r="CH2541" s="4"/>
      <c r="CI2541" s="4"/>
      <c r="CJ2541" s="4"/>
      <c r="CK2541" s="4"/>
      <c r="CL2541" s="4"/>
      <c r="CM2541" s="4"/>
      <c r="CN2541" s="4"/>
      <c r="CO2541" s="4"/>
      <c r="CP2541" s="4"/>
      <c r="CQ2541" s="4"/>
      <c r="CR2541" s="4"/>
      <c r="CS2541" s="4"/>
      <c r="CT2541" s="4"/>
      <c r="CU2541" s="4"/>
      <c r="CV2541" s="4"/>
      <c r="CW2541" s="4"/>
      <c r="CX2541" s="4"/>
      <c r="CY2541" s="4"/>
      <c r="CZ2541" s="4"/>
      <c r="DA2541" s="4"/>
      <c r="DB2541" s="4"/>
      <c r="DC2541" s="4"/>
      <c r="DD2541" s="4"/>
      <c r="DE2541" s="4"/>
      <c r="DF2541" s="4"/>
      <c r="DG2541" s="4"/>
      <c r="DH2541" s="4"/>
      <c r="DI2541" s="4"/>
      <c r="DJ2541" s="4"/>
      <c r="DK2541" s="4"/>
      <c r="DL2541" s="4"/>
      <c r="DM2541" s="4"/>
      <c r="DN2541" s="4"/>
      <c r="DO2541" s="4"/>
      <c r="DP2541" s="4"/>
      <c r="DQ2541" s="4"/>
      <c r="DR2541" s="4"/>
      <c r="DS2541" s="4"/>
    </row>
    <row r="2542">
      <c r="A2542" s="4"/>
      <c r="B2542" s="4"/>
      <c r="C2542" s="4"/>
      <c r="D2542" s="4"/>
      <c r="E2542" s="4"/>
      <c r="F2542" s="4" t="s">
        <v>17</v>
      </c>
      <c r="G2542" s="15"/>
      <c r="H2542" s="4"/>
      <c r="I2542" s="4"/>
      <c r="J2542" s="4"/>
      <c r="K2542" s="4"/>
      <c r="L2542" s="4"/>
      <c r="M2542" s="4"/>
      <c r="N2542" s="4"/>
      <c r="O2542" s="4"/>
      <c r="P2542" s="4"/>
      <c r="Q2542" s="4"/>
      <c r="R2542" s="4"/>
      <c r="S2542" s="4"/>
      <c r="T2542" s="4"/>
      <c r="U2542" s="4"/>
      <c r="V2542" s="4"/>
      <c r="W2542" s="4"/>
      <c r="X2542" s="4"/>
      <c r="Y2542" s="4"/>
      <c r="Z2542" s="4"/>
      <c r="AA2542" s="4"/>
      <c r="AB2542" s="4"/>
      <c r="AC2542" s="4"/>
      <c r="AD2542" s="4"/>
      <c r="AE2542" s="4"/>
      <c r="AF2542" s="4"/>
      <c r="AG2542" s="4"/>
      <c r="AH2542" s="4"/>
      <c r="AI2542" s="4"/>
      <c r="AJ2542" s="4"/>
      <c r="AK2542" s="4"/>
      <c r="AL2542" s="4"/>
      <c r="AM2542" s="4"/>
      <c r="AN2542" s="4"/>
      <c r="AO2542" s="4"/>
      <c r="AP2542" s="4"/>
      <c r="AQ2542" s="4"/>
      <c r="AR2542" s="4"/>
      <c r="AS2542" s="4"/>
      <c r="AT2542" s="4"/>
      <c r="AU2542" s="4"/>
      <c r="AV2542" s="4"/>
      <c r="AW2542" s="4"/>
      <c r="AX2542" s="4"/>
      <c r="AY2542" s="4"/>
      <c r="AZ2542" s="4"/>
      <c r="BA2542" s="4"/>
      <c r="BB2542" s="4"/>
      <c r="BC2542" s="4"/>
      <c r="BD2542" s="4"/>
      <c r="BE2542" s="4"/>
      <c r="BF2542" s="4"/>
      <c r="BG2542" s="4"/>
      <c r="BH2542" s="4"/>
      <c r="BI2542" s="4"/>
      <c r="BJ2542" s="4"/>
      <c r="BK2542" s="4"/>
      <c r="BL2542" s="4"/>
      <c r="BM2542" s="4"/>
      <c r="BN2542" s="4"/>
      <c r="BO2542" s="4"/>
      <c r="BP2542" s="4"/>
      <c r="BQ2542" s="4"/>
      <c r="BR2542" s="4"/>
      <c r="BS2542" s="4"/>
      <c r="BT2542" s="4"/>
      <c r="BU2542" s="4"/>
      <c r="BV2542" s="4"/>
      <c r="BW2542" s="4"/>
      <c r="BX2542" s="4"/>
      <c r="BY2542" s="4"/>
      <c r="BZ2542" s="4"/>
      <c r="CA2542" s="4"/>
      <c r="CB2542" s="4"/>
      <c r="CC2542" s="4"/>
      <c r="CD2542" s="4"/>
      <c r="CE2542" s="4"/>
      <c r="CF2542" s="4"/>
      <c r="CG2542" s="4"/>
      <c r="CH2542" s="4"/>
      <c r="CI2542" s="4"/>
      <c r="CJ2542" s="4"/>
      <c r="CK2542" s="4"/>
      <c r="CL2542" s="4"/>
      <c r="CM2542" s="4"/>
      <c r="CN2542" s="4"/>
      <c r="CO2542" s="4"/>
      <c r="CP2542" s="4"/>
      <c r="CQ2542" s="4"/>
      <c r="CR2542" s="4"/>
      <c r="CS2542" s="4"/>
      <c r="CT2542" s="4"/>
      <c r="CU2542" s="4"/>
      <c r="CV2542" s="4"/>
      <c r="CW2542" s="4"/>
      <c r="CX2542" s="4"/>
      <c r="CY2542" s="4"/>
      <c r="CZ2542" s="4"/>
      <c r="DA2542" s="4"/>
      <c r="DB2542" s="4"/>
      <c r="DC2542" s="4"/>
      <c r="DD2542" s="4"/>
      <c r="DE2542" s="4"/>
      <c r="DF2542" s="4"/>
      <c r="DG2542" s="4"/>
      <c r="DH2542" s="4"/>
      <c r="DI2542" s="4"/>
      <c r="DJ2542" s="4"/>
      <c r="DK2542" s="4"/>
      <c r="DL2542" s="4"/>
      <c r="DM2542" s="4"/>
      <c r="DN2542" s="4"/>
      <c r="DO2542" s="4"/>
      <c r="DP2542" s="4"/>
      <c r="DQ2542" s="4"/>
      <c r="DR2542" s="4"/>
      <c r="DS2542" s="4"/>
    </row>
    <row r="2543">
      <c r="A2543" s="4"/>
      <c r="B2543" s="4"/>
      <c r="C2543" s="4"/>
      <c r="D2543" s="4"/>
      <c r="E2543" s="4"/>
      <c r="F2543" s="4" t="s">
        <v>17</v>
      </c>
      <c r="G2543" s="15"/>
      <c r="H2543" s="4"/>
      <c r="I2543" s="4"/>
      <c r="J2543" s="4"/>
      <c r="K2543" s="4"/>
      <c r="L2543" s="4"/>
      <c r="M2543" s="4"/>
      <c r="N2543" s="4"/>
      <c r="O2543" s="4"/>
      <c r="P2543" s="4"/>
      <c r="Q2543" s="4"/>
      <c r="R2543" s="4"/>
      <c r="S2543" s="4"/>
      <c r="T2543" s="4"/>
      <c r="U2543" s="4"/>
      <c r="V2543" s="4"/>
      <c r="W2543" s="4"/>
      <c r="X2543" s="4"/>
      <c r="Y2543" s="4"/>
      <c r="Z2543" s="4"/>
      <c r="AA2543" s="4"/>
      <c r="AB2543" s="4"/>
      <c r="AC2543" s="4"/>
      <c r="AD2543" s="4"/>
      <c r="AE2543" s="4"/>
      <c r="AF2543" s="4"/>
      <c r="AG2543" s="4"/>
      <c r="AH2543" s="4"/>
      <c r="AI2543" s="4"/>
      <c r="AJ2543" s="4"/>
      <c r="AK2543" s="4"/>
      <c r="AL2543" s="4"/>
      <c r="AM2543" s="4"/>
      <c r="AN2543" s="4"/>
      <c r="AO2543" s="4"/>
      <c r="AP2543" s="4"/>
      <c r="AQ2543" s="4"/>
      <c r="AR2543" s="4"/>
      <c r="AS2543" s="4"/>
      <c r="AT2543" s="4"/>
      <c r="AU2543" s="4"/>
      <c r="AV2543" s="4"/>
      <c r="AW2543" s="4"/>
      <c r="AX2543" s="4"/>
      <c r="AY2543" s="4"/>
      <c r="AZ2543" s="4"/>
      <c r="BA2543" s="4"/>
      <c r="BB2543" s="4"/>
      <c r="BC2543" s="4"/>
      <c r="BD2543" s="4"/>
      <c r="BE2543" s="4"/>
      <c r="BF2543" s="4"/>
      <c r="BG2543" s="4"/>
      <c r="BH2543" s="4"/>
      <c r="BI2543" s="4"/>
      <c r="BJ2543" s="4"/>
      <c r="BK2543" s="4"/>
      <c r="BL2543" s="4"/>
      <c r="BM2543" s="4"/>
      <c r="BN2543" s="4"/>
      <c r="BO2543" s="4"/>
      <c r="BP2543" s="4"/>
      <c r="BQ2543" s="4"/>
      <c r="BR2543" s="4"/>
      <c r="BS2543" s="4"/>
      <c r="BT2543" s="4"/>
      <c r="BU2543" s="4"/>
      <c r="BV2543" s="4"/>
      <c r="BW2543" s="4"/>
      <c r="BX2543" s="4"/>
      <c r="BY2543" s="4"/>
      <c r="BZ2543" s="4"/>
      <c r="CA2543" s="4"/>
      <c r="CB2543" s="4"/>
      <c r="CC2543" s="4"/>
      <c r="CD2543" s="4"/>
      <c r="CE2543" s="4"/>
      <c r="CF2543" s="4"/>
      <c r="CG2543" s="4"/>
      <c r="CH2543" s="4"/>
      <c r="CI2543" s="4"/>
      <c r="CJ2543" s="4"/>
      <c r="CK2543" s="4"/>
      <c r="CL2543" s="4"/>
      <c r="CM2543" s="4"/>
      <c r="CN2543" s="4"/>
      <c r="CO2543" s="4"/>
      <c r="CP2543" s="4"/>
      <c r="CQ2543" s="4"/>
      <c r="CR2543" s="4"/>
      <c r="CS2543" s="4"/>
      <c r="CT2543" s="4"/>
      <c r="CU2543" s="4"/>
      <c r="CV2543" s="4"/>
      <c r="CW2543" s="4"/>
      <c r="CX2543" s="4"/>
      <c r="CY2543" s="4"/>
      <c r="CZ2543" s="4"/>
      <c r="DA2543" s="4"/>
      <c r="DB2543" s="4"/>
      <c r="DC2543" s="4"/>
      <c r="DD2543" s="4"/>
      <c r="DE2543" s="4"/>
      <c r="DF2543" s="4"/>
      <c r="DG2543" s="4"/>
      <c r="DH2543" s="4"/>
      <c r="DI2543" s="4"/>
      <c r="DJ2543" s="4"/>
      <c r="DK2543" s="4"/>
      <c r="DL2543" s="4"/>
      <c r="DM2543" s="4"/>
      <c r="DN2543" s="4"/>
      <c r="DO2543" s="4"/>
      <c r="DP2543" s="4"/>
      <c r="DQ2543" s="4"/>
      <c r="DR2543" s="4"/>
      <c r="DS2543" s="4"/>
    </row>
    <row r="2544">
      <c r="A2544" s="4"/>
      <c r="B2544" s="4"/>
      <c r="C2544" s="4"/>
      <c r="D2544" s="4"/>
      <c r="E2544" s="4"/>
      <c r="F2544" s="4" t="s">
        <v>17</v>
      </c>
      <c r="G2544" s="15"/>
      <c r="H2544" s="4"/>
      <c r="I2544" s="4"/>
      <c r="J2544" s="4"/>
      <c r="K2544" s="4"/>
      <c r="L2544" s="4"/>
      <c r="M2544" s="4"/>
      <c r="N2544" s="4"/>
      <c r="O2544" s="4"/>
      <c r="P2544" s="4"/>
      <c r="Q2544" s="4"/>
      <c r="R2544" s="4"/>
      <c r="S2544" s="4"/>
      <c r="T2544" s="4"/>
      <c r="U2544" s="4"/>
      <c r="V2544" s="4"/>
      <c r="W2544" s="4"/>
      <c r="X2544" s="4"/>
      <c r="Y2544" s="4"/>
      <c r="Z2544" s="4"/>
      <c r="AA2544" s="4"/>
      <c r="AB2544" s="4"/>
      <c r="AC2544" s="4"/>
      <c r="AD2544" s="4"/>
      <c r="AE2544" s="4"/>
      <c r="AF2544" s="4"/>
      <c r="AG2544" s="4"/>
      <c r="AH2544" s="4"/>
      <c r="AI2544" s="4"/>
      <c r="AJ2544" s="4"/>
      <c r="AK2544" s="4"/>
      <c r="AL2544" s="4"/>
      <c r="AM2544" s="4"/>
      <c r="AN2544" s="4"/>
      <c r="AO2544" s="4"/>
      <c r="AP2544" s="4"/>
      <c r="AQ2544" s="4"/>
      <c r="AR2544" s="4"/>
      <c r="AS2544" s="4"/>
      <c r="AT2544" s="4"/>
      <c r="AU2544" s="4"/>
      <c r="AV2544" s="4"/>
      <c r="AW2544" s="4"/>
      <c r="AX2544" s="4"/>
      <c r="AY2544" s="4"/>
      <c r="AZ2544" s="4"/>
      <c r="BA2544" s="4"/>
      <c r="BB2544" s="4"/>
      <c r="BC2544" s="4"/>
      <c r="BD2544" s="4"/>
      <c r="BE2544" s="4"/>
      <c r="BF2544" s="4"/>
      <c r="BG2544" s="4"/>
      <c r="BH2544" s="4"/>
      <c r="BI2544" s="4"/>
      <c r="BJ2544" s="4"/>
      <c r="BK2544" s="4"/>
      <c r="BL2544" s="4"/>
      <c r="BM2544" s="4"/>
      <c r="BN2544" s="4"/>
      <c r="BO2544" s="4"/>
      <c r="BP2544" s="4"/>
      <c r="BQ2544" s="4"/>
      <c r="BR2544" s="4"/>
      <c r="BS2544" s="4"/>
      <c r="BT2544" s="4"/>
      <c r="BU2544" s="4"/>
      <c r="BV2544" s="4"/>
      <c r="BW2544" s="4"/>
      <c r="BX2544" s="4"/>
      <c r="BY2544" s="4"/>
      <c r="BZ2544" s="4"/>
      <c r="CA2544" s="4"/>
      <c r="CB2544" s="4"/>
      <c r="CC2544" s="4"/>
      <c r="CD2544" s="4"/>
      <c r="CE2544" s="4"/>
      <c r="CF2544" s="4"/>
      <c r="CG2544" s="4"/>
      <c r="CH2544" s="4"/>
      <c r="CI2544" s="4"/>
      <c r="CJ2544" s="4"/>
      <c r="CK2544" s="4"/>
      <c r="CL2544" s="4"/>
      <c r="CM2544" s="4"/>
      <c r="CN2544" s="4"/>
      <c r="CO2544" s="4"/>
      <c r="CP2544" s="4"/>
      <c r="CQ2544" s="4"/>
      <c r="CR2544" s="4"/>
      <c r="CS2544" s="4"/>
      <c r="CT2544" s="4"/>
      <c r="CU2544" s="4"/>
      <c r="CV2544" s="4"/>
      <c r="CW2544" s="4"/>
      <c r="CX2544" s="4"/>
      <c r="CY2544" s="4"/>
      <c r="CZ2544" s="4"/>
      <c r="DA2544" s="4"/>
      <c r="DB2544" s="4"/>
      <c r="DC2544" s="4"/>
      <c r="DD2544" s="4"/>
      <c r="DE2544" s="4"/>
      <c r="DF2544" s="4"/>
      <c r="DG2544" s="4"/>
      <c r="DH2544" s="4"/>
      <c r="DI2544" s="4"/>
      <c r="DJ2544" s="4"/>
      <c r="DK2544" s="4"/>
      <c r="DL2544" s="4"/>
      <c r="DM2544" s="4"/>
      <c r="DN2544" s="4"/>
      <c r="DO2544" s="4"/>
      <c r="DP2544" s="4"/>
      <c r="DQ2544" s="4"/>
      <c r="DR2544" s="4"/>
      <c r="DS2544" s="4"/>
    </row>
    <row r="2545">
      <c r="A2545" s="4"/>
      <c r="B2545" s="4"/>
      <c r="C2545" s="4"/>
      <c r="D2545" s="4"/>
      <c r="E2545" s="4"/>
      <c r="F2545" s="4" t="s">
        <v>17</v>
      </c>
      <c r="G2545" s="15"/>
      <c r="H2545" s="4"/>
      <c r="I2545" s="4"/>
      <c r="J2545" s="4"/>
      <c r="K2545" s="4"/>
      <c r="L2545" s="4"/>
      <c r="M2545" s="4"/>
      <c r="N2545" s="4"/>
      <c r="O2545" s="4"/>
      <c r="P2545" s="4"/>
      <c r="Q2545" s="4"/>
      <c r="R2545" s="4"/>
      <c r="S2545" s="4"/>
      <c r="T2545" s="4"/>
      <c r="U2545" s="4"/>
      <c r="V2545" s="4"/>
      <c r="W2545" s="4"/>
      <c r="X2545" s="4"/>
      <c r="Y2545" s="4"/>
      <c r="Z2545" s="4"/>
      <c r="AA2545" s="4"/>
      <c r="AB2545" s="4"/>
      <c r="AC2545" s="4"/>
      <c r="AD2545" s="4"/>
      <c r="AE2545" s="4"/>
      <c r="AF2545" s="4"/>
      <c r="AG2545" s="4"/>
      <c r="AH2545" s="4"/>
      <c r="AI2545" s="4"/>
      <c r="AJ2545" s="4"/>
      <c r="AK2545" s="4"/>
      <c r="AL2545" s="4"/>
      <c r="AM2545" s="4"/>
      <c r="AN2545" s="4"/>
      <c r="AO2545" s="4"/>
      <c r="AP2545" s="4"/>
      <c r="AQ2545" s="4"/>
      <c r="AR2545" s="4"/>
      <c r="AS2545" s="4"/>
      <c r="AT2545" s="4"/>
      <c r="AU2545" s="4"/>
      <c r="AV2545" s="4"/>
      <c r="AW2545" s="4"/>
      <c r="AX2545" s="4"/>
      <c r="AY2545" s="4"/>
      <c r="AZ2545" s="4"/>
      <c r="BA2545" s="4"/>
      <c r="BB2545" s="4"/>
      <c r="BC2545" s="4"/>
      <c r="BD2545" s="4"/>
      <c r="BE2545" s="4"/>
      <c r="BF2545" s="4"/>
      <c r="BG2545" s="4"/>
      <c r="BH2545" s="4"/>
      <c r="BI2545" s="4"/>
      <c r="BJ2545" s="4"/>
      <c r="BK2545" s="4"/>
      <c r="BL2545" s="4"/>
      <c r="BM2545" s="4"/>
      <c r="BN2545" s="4"/>
      <c r="BO2545" s="4"/>
      <c r="BP2545" s="4"/>
      <c r="BQ2545" s="4"/>
      <c r="BR2545" s="4"/>
      <c r="BS2545" s="4"/>
      <c r="BT2545" s="4"/>
      <c r="BU2545" s="4"/>
      <c r="BV2545" s="4"/>
      <c r="BW2545" s="4"/>
      <c r="BX2545" s="4"/>
      <c r="BY2545" s="4"/>
      <c r="BZ2545" s="4"/>
      <c r="CA2545" s="4"/>
      <c r="CB2545" s="4"/>
      <c r="CC2545" s="4"/>
      <c r="CD2545" s="4"/>
      <c r="CE2545" s="4"/>
      <c r="CF2545" s="4"/>
      <c r="CG2545" s="4"/>
      <c r="CH2545" s="4"/>
      <c r="CI2545" s="4"/>
      <c r="CJ2545" s="4"/>
      <c r="CK2545" s="4"/>
      <c r="CL2545" s="4"/>
      <c r="CM2545" s="4"/>
      <c r="CN2545" s="4"/>
      <c r="CO2545" s="4"/>
      <c r="CP2545" s="4"/>
      <c r="CQ2545" s="4"/>
      <c r="CR2545" s="4"/>
      <c r="CS2545" s="4"/>
      <c r="CT2545" s="4"/>
      <c r="CU2545" s="4"/>
      <c r="CV2545" s="4"/>
      <c r="CW2545" s="4"/>
      <c r="CX2545" s="4"/>
      <c r="CY2545" s="4"/>
      <c r="CZ2545" s="4"/>
      <c r="DA2545" s="4"/>
      <c r="DB2545" s="4"/>
      <c r="DC2545" s="4"/>
      <c r="DD2545" s="4"/>
      <c r="DE2545" s="4"/>
      <c r="DF2545" s="4"/>
      <c r="DG2545" s="4"/>
      <c r="DH2545" s="4"/>
      <c r="DI2545" s="4"/>
      <c r="DJ2545" s="4"/>
      <c r="DK2545" s="4"/>
      <c r="DL2545" s="4"/>
      <c r="DM2545" s="4"/>
      <c r="DN2545" s="4"/>
      <c r="DO2545" s="4"/>
      <c r="DP2545" s="4"/>
      <c r="DQ2545" s="4"/>
      <c r="DR2545" s="4"/>
      <c r="DS2545" s="4"/>
    </row>
    <row r="2546">
      <c r="A2546" s="4"/>
      <c r="B2546" s="4"/>
      <c r="C2546" s="4"/>
      <c r="D2546" s="4"/>
      <c r="E2546" s="4"/>
      <c r="F2546" s="4" t="s">
        <v>17</v>
      </c>
      <c r="G2546" s="15"/>
      <c r="H2546" s="4"/>
      <c r="I2546" s="4"/>
      <c r="J2546" s="4"/>
      <c r="K2546" s="4"/>
      <c r="L2546" s="4"/>
      <c r="M2546" s="4"/>
      <c r="N2546" s="4"/>
      <c r="O2546" s="4"/>
      <c r="P2546" s="4"/>
      <c r="Q2546" s="4"/>
      <c r="R2546" s="4"/>
      <c r="S2546" s="4"/>
      <c r="T2546" s="4"/>
      <c r="U2546" s="4"/>
      <c r="V2546" s="4"/>
      <c r="W2546" s="4"/>
      <c r="X2546" s="4"/>
      <c r="Y2546" s="4"/>
      <c r="Z2546" s="4"/>
      <c r="AA2546" s="4"/>
      <c r="AB2546" s="4"/>
      <c r="AC2546" s="4"/>
      <c r="AD2546" s="4"/>
      <c r="AE2546" s="4"/>
      <c r="AF2546" s="4"/>
      <c r="AG2546" s="4"/>
      <c r="AH2546" s="4"/>
      <c r="AI2546" s="4"/>
      <c r="AJ2546" s="4"/>
      <c r="AK2546" s="4"/>
      <c r="AL2546" s="4"/>
      <c r="AM2546" s="4"/>
      <c r="AN2546" s="4"/>
      <c r="AO2546" s="4"/>
      <c r="AP2546" s="4"/>
      <c r="AQ2546" s="4"/>
      <c r="AR2546" s="4"/>
      <c r="AS2546" s="4"/>
      <c r="AT2546" s="4"/>
      <c r="AU2546" s="4"/>
      <c r="AV2546" s="4"/>
      <c r="AW2546" s="4"/>
      <c r="AX2546" s="4"/>
      <c r="AY2546" s="4"/>
      <c r="AZ2546" s="4"/>
      <c r="BA2546" s="4"/>
      <c r="BB2546" s="4"/>
      <c r="BC2546" s="4"/>
      <c r="BD2546" s="4"/>
      <c r="BE2546" s="4"/>
      <c r="BF2546" s="4"/>
      <c r="BG2546" s="4"/>
      <c r="BH2546" s="4"/>
      <c r="BI2546" s="4"/>
      <c r="BJ2546" s="4"/>
      <c r="BK2546" s="4"/>
      <c r="BL2546" s="4"/>
      <c r="BM2546" s="4"/>
      <c r="BN2546" s="4"/>
      <c r="BO2546" s="4"/>
      <c r="BP2546" s="4"/>
      <c r="BQ2546" s="4"/>
      <c r="BR2546" s="4"/>
      <c r="BS2546" s="4"/>
      <c r="BT2546" s="4"/>
      <c r="BU2546" s="4"/>
      <c r="BV2546" s="4"/>
      <c r="BW2546" s="4"/>
      <c r="BX2546" s="4"/>
      <c r="BY2546" s="4"/>
      <c r="BZ2546" s="4"/>
      <c r="CA2546" s="4"/>
      <c r="CB2546" s="4"/>
      <c r="CC2546" s="4"/>
      <c r="CD2546" s="4"/>
      <c r="CE2546" s="4"/>
      <c r="CF2546" s="4"/>
      <c r="CG2546" s="4"/>
      <c r="CH2546" s="4"/>
      <c r="CI2546" s="4"/>
      <c r="CJ2546" s="4"/>
      <c r="CK2546" s="4"/>
      <c r="CL2546" s="4"/>
      <c r="CM2546" s="4"/>
      <c r="CN2546" s="4"/>
      <c r="CO2546" s="4"/>
      <c r="CP2546" s="4"/>
      <c r="CQ2546" s="4"/>
      <c r="CR2546" s="4"/>
      <c r="CS2546" s="4"/>
      <c r="CT2546" s="4"/>
      <c r="CU2546" s="4"/>
      <c r="CV2546" s="4"/>
      <c r="CW2546" s="4"/>
      <c r="CX2546" s="4"/>
      <c r="CY2546" s="4"/>
      <c r="CZ2546" s="4"/>
      <c r="DA2546" s="4"/>
      <c r="DB2546" s="4"/>
      <c r="DC2546" s="4"/>
      <c r="DD2546" s="4"/>
      <c r="DE2546" s="4"/>
      <c r="DF2546" s="4"/>
      <c r="DG2546" s="4"/>
      <c r="DH2546" s="4"/>
      <c r="DI2546" s="4"/>
      <c r="DJ2546" s="4"/>
      <c r="DK2546" s="4"/>
      <c r="DL2546" s="4"/>
      <c r="DM2546" s="4"/>
      <c r="DN2546" s="4"/>
      <c r="DO2546" s="4"/>
      <c r="DP2546" s="4"/>
      <c r="DQ2546" s="4"/>
      <c r="DR2546" s="4"/>
      <c r="DS2546" s="4"/>
    </row>
    <row r="2547">
      <c r="A2547" s="4"/>
      <c r="B2547" s="4"/>
      <c r="C2547" s="4"/>
      <c r="D2547" s="4"/>
      <c r="E2547" s="4"/>
      <c r="F2547" s="4" t="s">
        <v>17</v>
      </c>
      <c r="G2547" s="15"/>
      <c r="H2547" s="4"/>
      <c r="I2547" s="4"/>
      <c r="J2547" s="4"/>
      <c r="K2547" s="4"/>
      <c r="L2547" s="4"/>
      <c r="M2547" s="4"/>
      <c r="N2547" s="4"/>
      <c r="O2547" s="4"/>
      <c r="P2547" s="4"/>
      <c r="Q2547" s="4"/>
      <c r="R2547" s="4"/>
      <c r="S2547" s="4"/>
      <c r="T2547" s="4"/>
      <c r="U2547" s="4"/>
      <c r="V2547" s="4"/>
      <c r="W2547" s="4"/>
      <c r="X2547" s="4"/>
      <c r="Y2547" s="4"/>
      <c r="Z2547" s="4"/>
      <c r="AA2547" s="4"/>
      <c r="AB2547" s="4"/>
      <c r="AC2547" s="4"/>
      <c r="AD2547" s="4"/>
      <c r="AE2547" s="4"/>
      <c r="AF2547" s="4"/>
      <c r="AG2547" s="4"/>
      <c r="AH2547" s="4"/>
      <c r="AI2547" s="4"/>
      <c r="AJ2547" s="4"/>
      <c r="AK2547" s="4"/>
      <c r="AL2547" s="4"/>
      <c r="AM2547" s="4"/>
      <c r="AN2547" s="4"/>
      <c r="AO2547" s="4"/>
      <c r="AP2547" s="4"/>
      <c r="AQ2547" s="4"/>
      <c r="AR2547" s="4"/>
      <c r="AS2547" s="4"/>
      <c r="AT2547" s="4"/>
      <c r="AU2547" s="4"/>
      <c r="AV2547" s="4"/>
      <c r="AW2547" s="4"/>
      <c r="AX2547" s="4"/>
      <c r="AY2547" s="4"/>
      <c r="AZ2547" s="4"/>
      <c r="BA2547" s="4"/>
      <c r="BB2547" s="4"/>
      <c r="BC2547" s="4"/>
      <c r="BD2547" s="4"/>
      <c r="BE2547" s="4"/>
      <c r="BF2547" s="4"/>
      <c r="BG2547" s="4"/>
      <c r="BH2547" s="4"/>
      <c r="BI2547" s="4"/>
      <c r="BJ2547" s="4"/>
      <c r="BK2547" s="4"/>
      <c r="BL2547" s="4"/>
      <c r="BM2547" s="4"/>
      <c r="BN2547" s="4"/>
      <c r="BO2547" s="4"/>
      <c r="BP2547" s="4"/>
      <c r="BQ2547" s="4"/>
      <c r="BR2547" s="4"/>
      <c r="BS2547" s="4"/>
      <c r="BT2547" s="4"/>
      <c r="BU2547" s="4"/>
      <c r="BV2547" s="4"/>
      <c r="BW2547" s="4"/>
      <c r="BX2547" s="4"/>
      <c r="BY2547" s="4"/>
      <c r="BZ2547" s="4"/>
      <c r="CA2547" s="4"/>
      <c r="CB2547" s="4"/>
      <c r="CC2547" s="4"/>
      <c r="CD2547" s="4"/>
      <c r="CE2547" s="4"/>
      <c r="CF2547" s="4"/>
      <c r="CG2547" s="4"/>
      <c r="CH2547" s="4"/>
      <c r="CI2547" s="4"/>
      <c r="CJ2547" s="4"/>
      <c r="CK2547" s="4"/>
      <c r="CL2547" s="4"/>
      <c r="CM2547" s="4"/>
      <c r="CN2547" s="4"/>
      <c r="CO2547" s="4"/>
      <c r="CP2547" s="4"/>
      <c r="CQ2547" s="4"/>
      <c r="CR2547" s="4"/>
      <c r="CS2547" s="4"/>
      <c r="CT2547" s="4"/>
      <c r="CU2547" s="4"/>
      <c r="CV2547" s="4"/>
      <c r="CW2547" s="4"/>
      <c r="CX2547" s="4"/>
      <c r="CY2547" s="4"/>
      <c r="CZ2547" s="4"/>
      <c r="DA2547" s="4"/>
      <c r="DB2547" s="4"/>
      <c r="DC2547" s="4"/>
      <c r="DD2547" s="4"/>
      <c r="DE2547" s="4"/>
      <c r="DF2547" s="4"/>
      <c r="DG2547" s="4"/>
      <c r="DH2547" s="4"/>
      <c r="DI2547" s="4"/>
      <c r="DJ2547" s="4"/>
      <c r="DK2547" s="4"/>
      <c r="DL2547" s="4"/>
      <c r="DM2547" s="4"/>
      <c r="DN2547" s="4"/>
      <c r="DO2547" s="4"/>
      <c r="DP2547" s="4"/>
      <c r="DQ2547" s="4"/>
      <c r="DR2547" s="4"/>
      <c r="DS2547" s="4"/>
    </row>
    <row r="2548">
      <c r="A2548" s="4"/>
      <c r="B2548" s="4"/>
      <c r="C2548" s="4"/>
      <c r="D2548" s="4"/>
      <c r="E2548" s="4"/>
      <c r="F2548" s="4" t="s">
        <v>17</v>
      </c>
      <c r="G2548" s="15"/>
      <c r="H2548" s="4"/>
      <c r="I2548" s="4"/>
      <c r="J2548" s="4"/>
      <c r="K2548" s="4"/>
      <c r="L2548" s="4"/>
      <c r="M2548" s="4"/>
      <c r="N2548" s="4"/>
      <c r="O2548" s="4"/>
      <c r="P2548" s="4"/>
      <c r="Q2548" s="4"/>
      <c r="R2548" s="4"/>
      <c r="S2548" s="4"/>
      <c r="T2548" s="4"/>
      <c r="U2548" s="4"/>
      <c r="V2548" s="4"/>
      <c r="W2548" s="4"/>
      <c r="X2548" s="4"/>
      <c r="Y2548" s="4"/>
      <c r="Z2548" s="4"/>
      <c r="AA2548" s="4"/>
      <c r="AB2548" s="4"/>
      <c r="AC2548" s="4"/>
      <c r="AD2548" s="4"/>
      <c r="AE2548" s="4"/>
      <c r="AF2548" s="4"/>
      <c r="AG2548" s="4"/>
      <c r="AH2548" s="4"/>
      <c r="AI2548" s="4"/>
      <c r="AJ2548" s="4"/>
      <c r="AK2548" s="4"/>
      <c r="AL2548" s="4"/>
      <c r="AM2548" s="4"/>
      <c r="AN2548" s="4"/>
      <c r="AO2548" s="4"/>
      <c r="AP2548" s="4"/>
      <c r="AQ2548" s="4"/>
      <c r="AR2548" s="4"/>
      <c r="AS2548" s="4"/>
      <c r="AT2548" s="4"/>
      <c r="AU2548" s="4"/>
      <c r="AV2548" s="4"/>
      <c r="AW2548" s="4"/>
      <c r="AX2548" s="4"/>
      <c r="AY2548" s="4"/>
      <c r="AZ2548" s="4"/>
      <c r="BA2548" s="4"/>
      <c r="BB2548" s="4"/>
      <c r="BC2548" s="4"/>
      <c r="BD2548" s="4"/>
      <c r="BE2548" s="4"/>
      <c r="BF2548" s="4"/>
      <c r="BG2548" s="4"/>
      <c r="BH2548" s="4"/>
      <c r="BI2548" s="4"/>
      <c r="BJ2548" s="4"/>
      <c r="BK2548" s="4"/>
      <c r="BL2548" s="4"/>
      <c r="BM2548" s="4"/>
      <c r="BN2548" s="4"/>
      <c r="BO2548" s="4"/>
      <c r="BP2548" s="4"/>
      <c r="BQ2548" s="4"/>
      <c r="BR2548" s="4"/>
      <c r="BS2548" s="4"/>
      <c r="BT2548" s="4"/>
      <c r="BU2548" s="4"/>
      <c r="BV2548" s="4"/>
      <c r="BW2548" s="4"/>
      <c r="BX2548" s="4"/>
      <c r="BY2548" s="4"/>
      <c r="BZ2548" s="4"/>
      <c r="CA2548" s="4"/>
      <c r="CB2548" s="4"/>
      <c r="CC2548" s="4"/>
      <c r="CD2548" s="4"/>
      <c r="CE2548" s="4"/>
      <c r="CF2548" s="4"/>
      <c r="CG2548" s="4"/>
      <c r="CH2548" s="4"/>
      <c r="CI2548" s="4"/>
      <c r="CJ2548" s="4"/>
      <c r="CK2548" s="4"/>
      <c r="CL2548" s="4"/>
      <c r="CM2548" s="4"/>
      <c r="CN2548" s="4"/>
      <c r="CO2548" s="4"/>
      <c r="CP2548" s="4"/>
      <c r="CQ2548" s="4"/>
      <c r="CR2548" s="4"/>
      <c r="CS2548" s="4"/>
      <c r="CT2548" s="4"/>
      <c r="CU2548" s="4"/>
      <c r="CV2548" s="4"/>
      <c r="CW2548" s="4"/>
      <c r="CX2548" s="4"/>
      <c r="CY2548" s="4"/>
      <c r="CZ2548" s="4"/>
      <c r="DA2548" s="4"/>
      <c r="DB2548" s="4"/>
      <c r="DC2548" s="4"/>
      <c r="DD2548" s="4"/>
      <c r="DE2548" s="4"/>
      <c r="DF2548" s="4"/>
      <c r="DG2548" s="4"/>
      <c r="DH2548" s="4"/>
      <c r="DI2548" s="4"/>
      <c r="DJ2548" s="4"/>
      <c r="DK2548" s="4"/>
      <c r="DL2548" s="4"/>
      <c r="DM2548" s="4"/>
      <c r="DN2548" s="4"/>
      <c r="DO2548" s="4"/>
      <c r="DP2548" s="4"/>
      <c r="DQ2548" s="4"/>
      <c r="DR2548" s="4"/>
      <c r="DS2548" s="4"/>
    </row>
    <row r="2549">
      <c r="A2549" s="4"/>
      <c r="B2549" s="4"/>
      <c r="C2549" s="4"/>
      <c r="D2549" s="4"/>
      <c r="E2549" s="4"/>
      <c r="F2549" s="4" t="s">
        <v>17</v>
      </c>
      <c r="G2549" s="15"/>
      <c r="H2549" s="4"/>
      <c r="I2549" s="4"/>
      <c r="J2549" s="4"/>
      <c r="K2549" s="4"/>
      <c r="L2549" s="4"/>
      <c r="M2549" s="4"/>
      <c r="N2549" s="4"/>
      <c r="O2549" s="4"/>
      <c r="P2549" s="4"/>
      <c r="Q2549" s="4"/>
      <c r="R2549" s="4"/>
      <c r="S2549" s="4"/>
      <c r="T2549" s="4"/>
      <c r="U2549" s="4"/>
      <c r="V2549" s="4"/>
      <c r="W2549" s="4"/>
      <c r="X2549" s="4"/>
      <c r="Y2549" s="4"/>
      <c r="Z2549" s="4"/>
      <c r="AA2549" s="4"/>
      <c r="AB2549" s="4"/>
      <c r="AC2549" s="4"/>
      <c r="AD2549" s="4"/>
      <c r="AE2549" s="4"/>
      <c r="AF2549" s="4"/>
      <c r="AG2549" s="4"/>
      <c r="AH2549" s="4"/>
      <c r="AI2549" s="4"/>
      <c r="AJ2549" s="4"/>
      <c r="AK2549" s="4"/>
      <c r="AL2549" s="4"/>
      <c r="AM2549" s="4"/>
      <c r="AN2549" s="4"/>
      <c r="AO2549" s="4"/>
      <c r="AP2549" s="4"/>
      <c r="AQ2549" s="4"/>
      <c r="AR2549" s="4"/>
      <c r="AS2549" s="4"/>
      <c r="AT2549" s="4"/>
      <c r="AU2549" s="4"/>
      <c r="AV2549" s="4"/>
      <c r="AW2549" s="4"/>
      <c r="AX2549" s="4"/>
      <c r="AY2549" s="4"/>
      <c r="AZ2549" s="4"/>
      <c r="BA2549" s="4"/>
      <c r="BB2549" s="4"/>
      <c r="BC2549" s="4"/>
      <c r="BD2549" s="4"/>
      <c r="BE2549" s="4"/>
      <c r="BF2549" s="4"/>
      <c r="BG2549" s="4"/>
      <c r="BH2549" s="4"/>
      <c r="BI2549" s="4"/>
      <c r="BJ2549" s="4"/>
      <c r="BK2549" s="4"/>
      <c r="BL2549" s="4"/>
      <c r="BM2549" s="4"/>
      <c r="BN2549" s="4"/>
      <c r="BO2549" s="4"/>
      <c r="BP2549" s="4"/>
      <c r="BQ2549" s="4"/>
      <c r="BR2549" s="4"/>
      <c r="BS2549" s="4"/>
      <c r="BT2549" s="4"/>
      <c r="BU2549" s="4"/>
      <c r="BV2549" s="4"/>
      <c r="BW2549" s="4"/>
      <c r="BX2549" s="4"/>
      <c r="BY2549" s="4"/>
      <c r="BZ2549" s="4"/>
      <c r="CA2549" s="4"/>
      <c r="CB2549" s="4"/>
      <c r="CC2549" s="4"/>
      <c r="CD2549" s="4"/>
      <c r="CE2549" s="4"/>
      <c r="CF2549" s="4"/>
      <c r="CG2549" s="4"/>
      <c r="CH2549" s="4"/>
      <c r="CI2549" s="4"/>
      <c r="CJ2549" s="4"/>
      <c r="CK2549" s="4"/>
      <c r="CL2549" s="4"/>
      <c r="CM2549" s="4"/>
      <c r="CN2549" s="4"/>
      <c r="CO2549" s="4"/>
      <c r="CP2549" s="4"/>
      <c r="CQ2549" s="4"/>
      <c r="CR2549" s="4"/>
      <c r="CS2549" s="4"/>
      <c r="CT2549" s="4"/>
      <c r="CU2549" s="4"/>
      <c r="CV2549" s="4"/>
      <c r="CW2549" s="4"/>
      <c r="CX2549" s="4"/>
      <c r="CY2549" s="4"/>
      <c r="CZ2549" s="4"/>
      <c r="DA2549" s="4"/>
      <c r="DB2549" s="4"/>
      <c r="DC2549" s="4"/>
      <c r="DD2549" s="4"/>
      <c r="DE2549" s="4"/>
      <c r="DF2549" s="4"/>
      <c r="DG2549" s="4"/>
      <c r="DH2549" s="4"/>
      <c r="DI2549" s="4"/>
      <c r="DJ2549" s="4"/>
      <c r="DK2549" s="4"/>
      <c r="DL2549" s="4"/>
      <c r="DM2549" s="4"/>
      <c r="DN2549" s="4"/>
      <c r="DO2549" s="4"/>
      <c r="DP2549" s="4"/>
      <c r="DQ2549" s="4"/>
      <c r="DR2549" s="4"/>
      <c r="DS2549" s="4"/>
    </row>
    <row r="2550">
      <c r="A2550" s="4"/>
      <c r="B2550" s="4"/>
      <c r="C2550" s="4"/>
      <c r="D2550" s="4"/>
      <c r="E2550" s="4"/>
      <c r="F2550" s="4" t="s">
        <v>17</v>
      </c>
      <c r="G2550" s="15"/>
      <c r="H2550" s="4"/>
      <c r="I2550" s="4"/>
      <c r="J2550" s="4"/>
      <c r="K2550" s="4"/>
      <c r="L2550" s="4"/>
      <c r="M2550" s="4"/>
      <c r="N2550" s="4"/>
      <c r="O2550" s="4"/>
      <c r="P2550" s="4"/>
      <c r="Q2550" s="4"/>
      <c r="R2550" s="4"/>
      <c r="S2550" s="4"/>
      <c r="T2550" s="4"/>
      <c r="U2550" s="4"/>
      <c r="V2550" s="4"/>
      <c r="W2550" s="4"/>
      <c r="X2550" s="4"/>
      <c r="Y2550" s="4"/>
      <c r="Z2550" s="4"/>
      <c r="AA2550" s="4"/>
      <c r="AB2550" s="4"/>
      <c r="AC2550" s="4"/>
      <c r="AD2550" s="4"/>
      <c r="AE2550" s="4"/>
      <c r="AF2550" s="4"/>
      <c r="AG2550" s="4"/>
      <c r="AH2550" s="4"/>
      <c r="AI2550" s="4"/>
      <c r="AJ2550" s="4"/>
      <c r="AK2550" s="4"/>
      <c r="AL2550" s="4"/>
      <c r="AM2550" s="4"/>
      <c r="AN2550" s="4"/>
      <c r="AO2550" s="4"/>
      <c r="AP2550" s="4"/>
      <c r="AQ2550" s="4"/>
      <c r="AR2550" s="4"/>
      <c r="AS2550" s="4"/>
      <c r="AT2550" s="4"/>
      <c r="AU2550" s="4"/>
      <c r="AV2550" s="4"/>
      <c r="AW2550" s="4"/>
      <c r="AX2550" s="4"/>
      <c r="AY2550" s="4"/>
      <c r="AZ2550" s="4"/>
      <c r="BA2550" s="4"/>
      <c r="BB2550" s="4"/>
      <c r="BC2550" s="4"/>
      <c r="BD2550" s="4"/>
      <c r="BE2550" s="4"/>
      <c r="BF2550" s="4"/>
      <c r="BG2550" s="4"/>
      <c r="BH2550" s="4"/>
      <c r="BI2550" s="4"/>
      <c r="BJ2550" s="4"/>
      <c r="BK2550" s="4"/>
      <c r="BL2550" s="4"/>
      <c r="BM2550" s="4"/>
      <c r="BN2550" s="4"/>
      <c r="BO2550" s="4"/>
      <c r="BP2550" s="4"/>
      <c r="BQ2550" s="4"/>
      <c r="BR2550" s="4"/>
      <c r="BS2550" s="4"/>
      <c r="BT2550" s="4"/>
      <c r="BU2550" s="4"/>
      <c r="BV2550" s="4"/>
      <c r="BW2550" s="4"/>
      <c r="BX2550" s="4"/>
      <c r="BY2550" s="4"/>
      <c r="BZ2550" s="4"/>
      <c r="CA2550" s="4"/>
      <c r="CB2550" s="4"/>
      <c r="CC2550" s="4"/>
      <c r="CD2550" s="4"/>
      <c r="CE2550" s="4"/>
      <c r="CF2550" s="4"/>
      <c r="CG2550" s="4"/>
      <c r="CH2550" s="4"/>
      <c r="CI2550" s="4"/>
      <c r="CJ2550" s="4"/>
      <c r="CK2550" s="4"/>
      <c r="CL2550" s="4"/>
      <c r="CM2550" s="4"/>
      <c r="CN2550" s="4"/>
      <c r="CO2550" s="4"/>
      <c r="CP2550" s="4"/>
      <c r="CQ2550" s="4"/>
      <c r="CR2550" s="4"/>
      <c r="CS2550" s="4"/>
      <c r="CT2550" s="4"/>
      <c r="CU2550" s="4"/>
      <c r="CV2550" s="4"/>
      <c r="CW2550" s="4"/>
      <c r="CX2550" s="4"/>
      <c r="CY2550" s="4"/>
      <c r="CZ2550" s="4"/>
      <c r="DA2550" s="4"/>
      <c r="DB2550" s="4"/>
      <c r="DC2550" s="4"/>
      <c r="DD2550" s="4"/>
      <c r="DE2550" s="4"/>
      <c r="DF2550" s="4"/>
      <c r="DG2550" s="4"/>
      <c r="DH2550" s="4"/>
      <c r="DI2550" s="4"/>
      <c r="DJ2550" s="4"/>
      <c r="DK2550" s="4"/>
      <c r="DL2550" s="4"/>
      <c r="DM2550" s="4"/>
      <c r="DN2550" s="4"/>
      <c r="DO2550" s="4"/>
      <c r="DP2550" s="4"/>
      <c r="DQ2550" s="4"/>
      <c r="DR2550" s="4"/>
      <c r="DS2550" s="4"/>
    </row>
    <row r="2551">
      <c r="A2551" s="4"/>
      <c r="B2551" s="4"/>
      <c r="C2551" s="4"/>
      <c r="D2551" s="4"/>
      <c r="E2551" s="4"/>
      <c r="F2551" s="4" t="s">
        <v>17</v>
      </c>
      <c r="G2551" s="15"/>
      <c r="H2551" s="4"/>
      <c r="I2551" s="4"/>
      <c r="J2551" s="4"/>
      <c r="K2551" s="4"/>
      <c r="L2551" s="4"/>
      <c r="M2551" s="4"/>
      <c r="N2551" s="4"/>
      <c r="O2551" s="4"/>
      <c r="P2551" s="4"/>
      <c r="Q2551" s="4"/>
      <c r="R2551" s="4"/>
      <c r="S2551" s="4"/>
      <c r="T2551" s="4"/>
      <c r="U2551" s="4"/>
      <c r="V2551" s="4"/>
      <c r="W2551" s="4"/>
      <c r="X2551" s="4"/>
      <c r="Y2551" s="4"/>
      <c r="Z2551" s="4"/>
      <c r="AA2551" s="4"/>
      <c r="AB2551" s="4"/>
      <c r="AC2551" s="4"/>
      <c r="AD2551" s="4"/>
      <c r="AE2551" s="4"/>
      <c r="AF2551" s="4"/>
      <c r="AG2551" s="4"/>
      <c r="AH2551" s="4"/>
      <c r="AI2551" s="4"/>
      <c r="AJ2551" s="4"/>
      <c r="AK2551" s="4"/>
      <c r="AL2551" s="4"/>
      <c r="AM2551" s="4"/>
      <c r="AN2551" s="4"/>
      <c r="AO2551" s="4"/>
      <c r="AP2551" s="4"/>
      <c r="AQ2551" s="4"/>
      <c r="AR2551" s="4"/>
      <c r="AS2551" s="4"/>
      <c r="AT2551" s="4"/>
      <c r="AU2551" s="4"/>
      <c r="AV2551" s="4"/>
      <c r="AW2551" s="4"/>
      <c r="AX2551" s="4"/>
      <c r="AY2551" s="4"/>
      <c r="AZ2551" s="4"/>
      <c r="BA2551" s="4"/>
      <c r="BB2551" s="4"/>
      <c r="BC2551" s="4"/>
      <c r="BD2551" s="4"/>
      <c r="BE2551" s="4"/>
      <c r="BF2551" s="4"/>
      <c r="BG2551" s="4"/>
      <c r="BH2551" s="4"/>
      <c r="BI2551" s="4"/>
      <c r="BJ2551" s="4"/>
      <c r="BK2551" s="4"/>
      <c r="BL2551" s="4"/>
      <c r="BM2551" s="4"/>
      <c r="BN2551" s="4"/>
      <c r="BO2551" s="4"/>
      <c r="BP2551" s="4"/>
      <c r="BQ2551" s="4"/>
      <c r="BR2551" s="4"/>
      <c r="BS2551" s="4"/>
      <c r="BT2551" s="4"/>
      <c r="BU2551" s="4"/>
      <c r="BV2551" s="4"/>
      <c r="BW2551" s="4"/>
      <c r="BX2551" s="4"/>
      <c r="BY2551" s="4"/>
      <c r="BZ2551" s="4"/>
      <c r="CA2551" s="4"/>
      <c r="CB2551" s="4"/>
      <c r="CC2551" s="4"/>
      <c r="CD2551" s="4"/>
      <c r="CE2551" s="4"/>
      <c r="CF2551" s="4"/>
      <c r="CG2551" s="4"/>
      <c r="CH2551" s="4"/>
      <c r="CI2551" s="4"/>
      <c r="CJ2551" s="4"/>
      <c r="CK2551" s="4"/>
      <c r="CL2551" s="4"/>
      <c r="CM2551" s="4"/>
      <c r="CN2551" s="4"/>
      <c r="CO2551" s="4"/>
      <c r="CP2551" s="4"/>
      <c r="CQ2551" s="4"/>
      <c r="CR2551" s="4"/>
      <c r="CS2551" s="4"/>
      <c r="CT2551" s="4"/>
      <c r="CU2551" s="4"/>
      <c r="CV2551" s="4"/>
      <c r="CW2551" s="4"/>
      <c r="CX2551" s="4"/>
      <c r="CY2551" s="4"/>
      <c r="CZ2551" s="4"/>
      <c r="DA2551" s="4"/>
      <c r="DB2551" s="4"/>
      <c r="DC2551" s="4"/>
      <c r="DD2551" s="4"/>
      <c r="DE2551" s="4"/>
      <c r="DF2551" s="4"/>
      <c r="DG2551" s="4"/>
      <c r="DH2551" s="4"/>
      <c r="DI2551" s="4"/>
      <c r="DJ2551" s="4"/>
      <c r="DK2551" s="4"/>
      <c r="DL2551" s="4"/>
      <c r="DM2551" s="4"/>
      <c r="DN2551" s="4"/>
      <c r="DO2551" s="4"/>
      <c r="DP2551" s="4"/>
      <c r="DQ2551" s="4"/>
      <c r="DR2551" s="4"/>
      <c r="DS2551" s="4"/>
    </row>
    <row r="2552">
      <c r="A2552" s="4"/>
      <c r="B2552" s="4"/>
      <c r="C2552" s="4"/>
      <c r="D2552" s="4"/>
      <c r="E2552" s="4"/>
      <c r="F2552" s="4" t="s">
        <v>17</v>
      </c>
      <c r="G2552" s="15"/>
      <c r="H2552" s="4"/>
      <c r="I2552" s="4"/>
      <c r="J2552" s="4"/>
      <c r="K2552" s="4"/>
      <c r="L2552" s="4"/>
      <c r="M2552" s="4"/>
      <c r="N2552" s="4"/>
      <c r="O2552" s="4"/>
      <c r="P2552" s="4"/>
      <c r="Q2552" s="4"/>
      <c r="R2552" s="4"/>
      <c r="S2552" s="4"/>
      <c r="T2552" s="4"/>
      <c r="U2552" s="4"/>
      <c r="V2552" s="4"/>
      <c r="W2552" s="4"/>
      <c r="X2552" s="4"/>
      <c r="Y2552" s="4"/>
      <c r="Z2552" s="4"/>
      <c r="AA2552" s="4"/>
      <c r="AB2552" s="4"/>
      <c r="AC2552" s="4"/>
      <c r="AD2552" s="4"/>
      <c r="AE2552" s="4"/>
      <c r="AF2552" s="4"/>
      <c r="AG2552" s="4"/>
      <c r="AH2552" s="4"/>
      <c r="AI2552" s="4"/>
      <c r="AJ2552" s="4"/>
      <c r="AK2552" s="4"/>
      <c r="AL2552" s="4"/>
      <c r="AM2552" s="4"/>
      <c r="AN2552" s="4"/>
      <c r="AO2552" s="4"/>
      <c r="AP2552" s="4"/>
      <c r="AQ2552" s="4"/>
      <c r="AR2552" s="4"/>
      <c r="AS2552" s="4"/>
      <c r="AT2552" s="4"/>
      <c r="AU2552" s="4"/>
      <c r="AV2552" s="4"/>
      <c r="AW2552" s="4"/>
      <c r="AX2552" s="4"/>
      <c r="AY2552" s="4"/>
      <c r="AZ2552" s="4"/>
      <c r="BA2552" s="4"/>
      <c r="BB2552" s="4"/>
      <c r="BC2552" s="4"/>
      <c r="BD2552" s="4"/>
      <c r="BE2552" s="4"/>
      <c r="BF2552" s="4"/>
      <c r="BG2552" s="4"/>
      <c r="BH2552" s="4"/>
      <c r="BI2552" s="4"/>
      <c r="BJ2552" s="4"/>
      <c r="BK2552" s="4"/>
      <c r="BL2552" s="4"/>
      <c r="BM2552" s="4"/>
      <c r="BN2552" s="4"/>
      <c r="BO2552" s="4"/>
      <c r="BP2552" s="4"/>
      <c r="BQ2552" s="4"/>
      <c r="BR2552" s="4"/>
      <c r="BS2552" s="4"/>
      <c r="BT2552" s="4"/>
      <c r="BU2552" s="4"/>
      <c r="BV2552" s="4"/>
      <c r="BW2552" s="4"/>
      <c r="BX2552" s="4"/>
      <c r="BY2552" s="4"/>
      <c r="BZ2552" s="4"/>
      <c r="CA2552" s="4"/>
      <c r="CB2552" s="4"/>
      <c r="CC2552" s="4"/>
      <c r="CD2552" s="4"/>
      <c r="CE2552" s="4"/>
      <c r="CF2552" s="4"/>
      <c r="CG2552" s="4"/>
      <c r="CH2552" s="4"/>
      <c r="CI2552" s="4"/>
      <c r="CJ2552" s="4"/>
      <c r="CK2552" s="4"/>
      <c r="CL2552" s="4"/>
      <c r="CM2552" s="4"/>
      <c r="CN2552" s="4"/>
      <c r="CO2552" s="4"/>
      <c r="CP2552" s="4"/>
      <c r="CQ2552" s="4"/>
      <c r="CR2552" s="4"/>
      <c r="CS2552" s="4"/>
      <c r="CT2552" s="4"/>
      <c r="CU2552" s="4"/>
      <c r="CV2552" s="4"/>
      <c r="CW2552" s="4"/>
      <c r="CX2552" s="4"/>
      <c r="CY2552" s="4"/>
      <c r="CZ2552" s="4"/>
      <c r="DA2552" s="4"/>
      <c r="DB2552" s="4"/>
      <c r="DC2552" s="4"/>
      <c r="DD2552" s="4"/>
      <c r="DE2552" s="4"/>
      <c r="DF2552" s="4"/>
      <c r="DG2552" s="4"/>
      <c r="DH2552" s="4"/>
      <c r="DI2552" s="4"/>
      <c r="DJ2552" s="4"/>
      <c r="DK2552" s="4"/>
      <c r="DL2552" s="4"/>
      <c r="DM2552" s="4"/>
      <c r="DN2552" s="4"/>
      <c r="DO2552" s="4"/>
      <c r="DP2552" s="4"/>
      <c r="DQ2552" s="4"/>
      <c r="DR2552" s="4"/>
      <c r="DS2552" s="4"/>
    </row>
    <row r="2553">
      <c r="A2553" s="4"/>
      <c r="B2553" s="4"/>
      <c r="C2553" s="4"/>
      <c r="D2553" s="4"/>
      <c r="E2553" s="4"/>
      <c r="F2553" s="4" t="s">
        <v>17</v>
      </c>
      <c r="G2553" s="15"/>
      <c r="H2553" s="4"/>
      <c r="I2553" s="4"/>
      <c r="J2553" s="4"/>
      <c r="K2553" s="4"/>
      <c r="L2553" s="4"/>
      <c r="M2553" s="4"/>
      <c r="N2553" s="4"/>
      <c r="O2553" s="4"/>
      <c r="P2553" s="4"/>
      <c r="Q2553" s="4"/>
      <c r="R2553" s="4"/>
      <c r="S2553" s="4"/>
      <c r="T2553" s="4"/>
      <c r="U2553" s="4"/>
      <c r="V2553" s="4"/>
      <c r="W2553" s="4"/>
      <c r="X2553" s="4"/>
      <c r="Y2553" s="4"/>
      <c r="Z2553" s="4"/>
      <c r="AA2553" s="4"/>
      <c r="AB2553" s="4"/>
      <c r="AC2553" s="4"/>
      <c r="AD2553" s="4"/>
      <c r="AE2553" s="4"/>
      <c r="AF2553" s="4"/>
      <c r="AG2553" s="4"/>
      <c r="AH2553" s="4"/>
      <c r="AI2553" s="4"/>
      <c r="AJ2553" s="4"/>
      <c r="AK2553" s="4"/>
      <c r="AL2553" s="4"/>
      <c r="AM2553" s="4"/>
      <c r="AN2553" s="4"/>
      <c r="AO2553" s="4"/>
      <c r="AP2553" s="4"/>
      <c r="AQ2553" s="4"/>
      <c r="AR2553" s="4"/>
      <c r="AS2553" s="4"/>
      <c r="AT2553" s="4"/>
      <c r="AU2553" s="4"/>
      <c r="AV2553" s="4"/>
      <c r="AW2553" s="4"/>
      <c r="AX2553" s="4"/>
      <c r="AY2553" s="4"/>
      <c r="AZ2553" s="4"/>
      <c r="BA2553" s="4"/>
      <c r="BB2553" s="4"/>
      <c r="BC2553" s="4"/>
      <c r="BD2553" s="4"/>
      <c r="BE2553" s="4"/>
      <c r="BF2553" s="4"/>
      <c r="BG2553" s="4"/>
      <c r="BH2553" s="4"/>
      <c r="BI2553" s="4"/>
      <c r="BJ2553" s="4"/>
      <c r="BK2553" s="4"/>
      <c r="BL2553" s="4"/>
      <c r="BM2553" s="4"/>
      <c r="BN2553" s="4"/>
      <c r="BO2553" s="4"/>
      <c r="BP2553" s="4"/>
      <c r="BQ2553" s="4"/>
      <c r="BR2553" s="4"/>
      <c r="BS2553" s="4"/>
      <c r="BT2553" s="4"/>
      <c r="BU2553" s="4"/>
      <c r="BV2553" s="4"/>
      <c r="BW2553" s="4"/>
      <c r="BX2553" s="4"/>
      <c r="BY2553" s="4"/>
      <c r="BZ2553" s="4"/>
      <c r="CA2553" s="4"/>
      <c r="CB2553" s="4"/>
      <c r="CC2553" s="4"/>
      <c r="CD2553" s="4"/>
      <c r="CE2553" s="4"/>
      <c r="CF2553" s="4"/>
      <c r="CG2553" s="4"/>
      <c r="CH2553" s="4"/>
      <c r="CI2553" s="4"/>
      <c r="CJ2553" s="4"/>
      <c r="CK2553" s="4"/>
      <c r="CL2553" s="4"/>
      <c r="CM2553" s="4"/>
      <c r="CN2553" s="4"/>
      <c r="CO2553" s="4"/>
      <c r="CP2553" s="4"/>
      <c r="CQ2553" s="4"/>
      <c r="CR2553" s="4"/>
      <c r="CS2553" s="4"/>
      <c r="CT2553" s="4"/>
      <c r="CU2553" s="4"/>
      <c r="CV2553" s="4"/>
      <c r="CW2553" s="4"/>
      <c r="CX2553" s="4"/>
      <c r="CY2553" s="4"/>
      <c r="CZ2553" s="4"/>
      <c r="DA2553" s="4"/>
      <c r="DB2553" s="4"/>
      <c r="DC2553" s="4"/>
      <c r="DD2553" s="4"/>
      <c r="DE2553" s="4"/>
      <c r="DF2553" s="4"/>
      <c r="DG2553" s="4"/>
      <c r="DH2553" s="4"/>
      <c r="DI2553" s="4"/>
      <c r="DJ2553" s="4"/>
      <c r="DK2553" s="4"/>
      <c r="DL2553" s="4"/>
      <c r="DM2553" s="4"/>
      <c r="DN2553" s="4"/>
      <c r="DO2553" s="4"/>
      <c r="DP2553" s="4"/>
      <c r="DQ2553" s="4"/>
      <c r="DR2553" s="4"/>
      <c r="DS2553" s="4"/>
    </row>
    <row r="2554">
      <c r="A2554" s="4"/>
      <c r="B2554" s="4"/>
      <c r="C2554" s="4"/>
      <c r="D2554" s="4"/>
      <c r="E2554" s="4"/>
      <c r="F2554" s="4" t="s">
        <v>17</v>
      </c>
      <c r="G2554" s="15"/>
      <c r="H2554" s="4"/>
      <c r="I2554" s="4"/>
      <c r="J2554" s="4"/>
      <c r="K2554" s="4"/>
      <c r="L2554" s="4"/>
      <c r="M2554" s="4"/>
      <c r="N2554" s="4"/>
      <c r="O2554" s="4"/>
      <c r="P2554" s="4"/>
      <c r="Q2554" s="4"/>
      <c r="R2554" s="4"/>
      <c r="S2554" s="4"/>
      <c r="T2554" s="4"/>
      <c r="U2554" s="4"/>
      <c r="V2554" s="4"/>
      <c r="W2554" s="4"/>
      <c r="X2554" s="4"/>
      <c r="Y2554" s="4"/>
      <c r="Z2554" s="4"/>
      <c r="AA2554" s="4"/>
      <c r="AB2554" s="4"/>
      <c r="AC2554" s="4"/>
      <c r="AD2554" s="4"/>
      <c r="AE2554" s="4"/>
      <c r="AF2554" s="4"/>
      <c r="AG2554" s="4"/>
      <c r="AH2554" s="4"/>
      <c r="AI2554" s="4"/>
      <c r="AJ2554" s="4"/>
      <c r="AK2554" s="4"/>
      <c r="AL2554" s="4"/>
      <c r="AM2554" s="4"/>
      <c r="AN2554" s="4"/>
      <c r="AO2554" s="4"/>
      <c r="AP2554" s="4"/>
      <c r="AQ2554" s="4"/>
      <c r="AR2554" s="4"/>
      <c r="AS2554" s="4"/>
      <c r="AT2554" s="4"/>
      <c r="AU2554" s="4"/>
      <c r="AV2554" s="4"/>
      <c r="AW2554" s="4"/>
      <c r="AX2554" s="4"/>
      <c r="AY2554" s="4"/>
      <c r="AZ2554" s="4"/>
      <c r="BA2554" s="4"/>
      <c r="BB2554" s="4"/>
      <c r="BC2554" s="4"/>
      <c r="BD2554" s="4"/>
      <c r="BE2554" s="4"/>
      <c r="BF2554" s="4"/>
      <c r="BG2554" s="4"/>
      <c r="BH2554" s="4"/>
      <c r="BI2554" s="4"/>
      <c r="BJ2554" s="4"/>
      <c r="BK2554" s="4"/>
      <c r="BL2554" s="4"/>
      <c r="BM2554" s="4"/>
      <c r="BN2554" s="4"/>
      <c r="BO2554" s="4"/>
      <c r="BP2554" s="4"/>
      <c r="BQ2554" s="4"/>
      <c r="BR2554" s="4"/>
      <c r="BS2554" s="4"/>
      <c r="BT2554" s="4"/>
      <c r="BU2554" s="4"/>
      <c r="BV2554" s="4"/>
      <c r="BW2554" s="4"/>
      <c r="BX2554" s="4"/>
      <c r="BY2554" s="4"/>
      <c r="BZ2554" s="4"/>
      <c r="CA2554" s="4"/>
      <c r="CB2554" s="4"/>
      <c r="CC2554" s="4"/>
      <c r="CD2554" s="4"/>
      <c r="CE2554" s="4"/>
      <c r="CF2554" s="4"/>
      <c r="CG2554" s="4"/>
      <c r="CH2554" s="4"/>
      <c r="CI2554" s="4"/>
      <c r="CJ2554" s="4"/>
      <c r="CK2554" s="4"/>
      <c r="CL2554" s="4"/>
      <c r="CM2554" s="4"/>
      <c r="CN2554" s="4"/>
      <c r="CO2554" s="4"/>
      <c r="CP2554" s="4"/>
      <c r="CQ2554" s="4"/>
      <c r="CR2554" s="4"/>
      <c r="CS2554" s="4"/>
      <c r="CT2554" s="4"/>
      <c r="CU2554" s="4"/>
      <c r="CV2554" s="4"/>
      <c r="CW2554" s="4"/>
      <c r="CX2554" s="4"/>
      <c r="CY2554" s="4"/>
      <c r="CZ2554" s="4"/>
      <c r="DA2554" s="4"/>
      <c r="DB2554" s="4"/>
      <c r="DC2554" s="4"/>
      <c r="DD2554" s="4"/>
      <c r="DE2554" s="4"/>
      <c r="DF2554" s="4"/>
      <c r="DG2554" s="4"/>
      <c r="DH2554" s="4"/>
      <c r="DI2554" s="4"/>
      <c r="DJ2554" s="4"/>
      <c r="DK2554" s="4"/>
      <c r="DL2554" s="4"/>
      <c r="DM2554" s="4"/>
      <c r="DN2554" s="4"/>
      <c r="DO2554" s="4"/>
      <c r="DP2554" s="4"/>
      <c r="DQ2554" s="4"/>
      <c r="DR2554" s="4"/>
      <c r="DS2554" s="4"/>
    </row>
    <row r="2555">
      <c r="A2555" s="4"/>
      <c r="B2555" s="4"/>
      <c r="C2555" s="4"/>
      <c r="D2555" s="4"/>
      <c r="E2555" s="4"/>
      <c r="F2555" s="4" t="s">
        <v>17</v>
      </c>
      <c r="G2555" s="15"/>
      <c r="H2555" s="4"/>
      <c r="I2555" s="4"/>
      <c r="J2555" s="4"/>
      <c r="K2555" s="4"/>
      <c r="L2555" s="4"/>
      <c r="M2555" s="4"/>
      <c r="N2555" s="4"/>
      <c r="O2555" s="4"/>
      <c r="P2555" s="4"/>
      <c r="Q2555" s="4"/>
      <c r="R2555" s="4"/>
      <c r="S2555" s="4"/>
      <c r="T2555" s="4"/>
      <c r="U2555" s="4"/>
      <c r="V2555" s="4"/>
      <c r="W2555" s="4"/>
      <c r="X2555" s="4"/>
      <c r="Y2555" s="4"/>
      <c r="Z2555" s="4"/>
      <c r="AA2555" s="4"/>
      <c r="AB2555" s="4"/>
      <c r="AC2555" s="4"/>
      <c r="AD2555" s="4"/>
      <c r="AE2555" s="4"/>
      <c r="AF2555" s="4"/>
      <c r="AG2555" s="4"/>
      <c r="AH2555" s="4"/>
      <c r="AI2555" s="4"/>
      <c r="AJ2555" s="4"/>
      <c r="AK2555" s="4"/>
      <c r="AL2555" s="4"/>
      <c r="AM2555" s="4"/>
      <c r="AN2555" s="4"/>
      <c r="AO2555" s="4"/>
      <c r="AP2555" s="4"/>
      <c r="AQ2555" s="4"/>
      <c r="AR2555" s="4"/>
      <c r="AS2555" s="4"/>
      <c r="AT2555" s="4"/>
      <c r="AU2555" s="4"/>
      <c r="AV2555" s="4"/>
      <c r="AW2555" s="4"/>
      <c r="AX2555" s="4"/>
      <c r="AY2555" s="4"/>
      <c r="AZ2555" s="4"/>
      <c r="BA2555" s="4"/>
      <c r="BB2555" s="4"/>
      <c r="BC2555" s="4"/>
      <c r="BD2555" s="4"/>
      <c r="BE2555" s="4"/>
      <c r="BF2555" s="4"/>
      <c r="BG2555" s="4"/>
      <c r="BH2555" s="4"/>
      <c r="BI2555" s="4"/>
      <c r="BJ2555" s="4"/>
      <c r="BK2555" s="4"/>
      <c r="BL2555" s="4"/>
      <c r="BM2555" s="4"/>
      <c r="BN2555" s="4"/>
      <c r="BO2555" s="4"/>
      <c r="BP2555" s="4"/>
      <c r="BQ2555" s="4"/>
      <c r="BR2555" s="4"/>
      <c r="BS2555" s="4"/>
      <c r="BT2555" s="4"/>
      <c r="BU2555" s="4"/>
      <c r="BV2555" s="4"/>
      <c r="BW2555" s="4"/>
      <c r="BX2555" s="4"/>
      <c r="BY2555" s="4"/>
      <c r="BZ2555" s="4"/>
      <c r="CA2555" s="4"/>
      <c r="CB2555" s="4"/>
      <c r="CC2555" s="4"/>
      <c r="CD2555" s="4"/>
      <c r="CE2555" s="4"/>
      <c r="CF2555" s="4"/>
      <c r="CG2555" s="4"/>
      <c r="CH2555" s="4"/>
      <c r="CI2555" s="4"/>
      <c r="CJ2555" s="4"/>
      <c r="CK2555" s="4"/>
      <c r="CL2555" s="4"/>
      <c r="CM2555" s="4"/>
      <c r="CN2555" s="4"/>
      <c r="CO2555" s="4"/>
      <c r="CP2555" s="4"/>
      <c r="CQ2555" s="4"/>
      <c r="CR2555" s="4"/>
      <c r="CS2555" s="4"/>
      <c r="CT2555" s="4"/>
      <c r="CU2555" s="4"/>
      <c r="CV2555" s="4"/>
      <c r="CW2555" s="4"/>
      <c r="CX2555" s="4"/>
      <c r="CY2555" s="4"/>
      <c r="CZ2555" s="4"/>
      <c r="DA2555" s="4"/>
      <c r="DB2555" s="4"/>
      <c r="DC2555" s="4"/>
      <c r="DD2555" s="4"/>
      <c r="DE2555" s="4"/>
      <c r="DF2555" s="4"/>
      <c r="DG2555" s="4"/>
      <c r="DH2555" s="4"/>
      <c r="DI2555" s="4"/>
      <c r="DJ2555" s="4"/>
      <c r="DK2555" s="4"/>
      <c r="DL2555" s="4"/>
      <c r="DM2555" s="4"/>
      <c r="DN2555" s="4"/>
      <c r="DO2555" s="4"/>
      <c r="DP2555" s="4"/>
      <c r="DQ2555" s="4"/>
      <c r="DR2555" s="4"/>
      <c r="DS2555" s="4"/>
    </row>
    <row r="2556">
      <c r="A2556" s="4"/>
      <c r="B2556" s="4"/>
      <c r="C2556" s="4"/>
      <c r="D2556" s="4"/>
      <c r="E2556" s="4"/>
      <c r="F2556" s="4" t="s">
        <v>17</v>
      </c>
      <c r="G2556" s="15"/>
      <c r="H2556" s="4"/>
      <c r="I2556" s="4"/>
      <c r="J2556" s="4"/>
      <c r="K2556" s="4"/>
      <c r="L2556" s="4"/>
      <c r="M2556" s="4"/>
      <c r="N2556" s="4"/>
      <c r="O2556" s="4"/>
      <c r="P2556" s="4"/>
      <c r="Q2556" s="4"/>
      <c r="R2556" s="4"/>
      <c r="S2556" s="4"/>
      <c r="T2556" s="4"/>
      <c r="U2556" s="4"/>
      <c r="V2556" s="4"/>
      <c r="W2556" s="4"/>
      <c r="X2556" s="4"/>
      <c r="Y2556" s="4"/>
      <c r="Z2556" s="4"/>
      <c r="AA2556" s="4"/>
      <c r="AB2556" s="4"/>
      <c r="AC2556" s="4"/>
      <c r="AD2556" s="4"/>
      <c r="AE2556" s="4"/>
      <c r="AF2556" s="4"/>
      <c r="AG2556" s="4"/>
      <c r="AH2556" s="4"/>
      <c r="AI2556" s="4"/>
      <c r="AJ2556" s="4"/>
      <c r="AK2556" s="4"/>
      <c r="AL2556" s="4"/>
      <c r="AM2556" s="4"/>
      <c r="AN2556" s="4"/>
      <c r="AO2556" s="4"/>
      <c r="AP2556" s="4"/>
      <c r="AQ2556" s="4"/>
      <c r="AR2556" s="4"/>
      <c r="AS2556" s="4"/>
      <c r="AT2556" s="4"/>
      <c r="AU2556" s="4"/>
      <c r="AV2556" s="4"/>
      <c r="AW2556" s="4"/>
      <c r="AX2556" s="4"/>
      <c r="AY2556" s="4"/>
      <c r="AZ2556" s="4"/>
      <c r="BA2556" s="4"/>
      <c r="BB2556" s="4"/>
      <c r="BC2556" s="4"/>
      <c r="BD2556" s="4"/>
      <c r="BE2556" s="4"/>
      <c r="BF2556" s="4"/>
      <c r="BG2556" s="4"/>
      <c r="BH2556" s="4"/>
      <c r="BI2556" s="4"/>
      <c r="BJ2556" s="4"/>
      <c r="BK2556" s="4"/>
      <c r="BL2556" s="4"/>
      <c r="BM2556" s="4"/>
      <c r="BN2556" s="4"/>
      <c r="BO2556" s="4"/>
      <c r="BP2556" s="4"/>
      <c r="BQ2556" s="4"/>
      <c r="BR2556" s="4"/>
      <c r="BS2556" s="4"/>
      <c r="BT2556" s="4"/>
      <c r="BU2556" s="4"/>
      <c r="BV2556" s="4"/>
      <c r="BW2556" s="4"/>
      <c r="BX2556" s="4"/>
      <c r="BY2556" s="4"/>
      <c r="BZ2556" s="4"/>
      <c r="CA2556" s="4"/>
      <c r="CB2556" s="4"/>
      <c r="CC2556" s="4"/>
      <c r="CD2556" s="4"/>
      <c r="CE2556" s="4"/>
      <c r="CF2556" s="4"/>
      <c r="CG2556" s="4"/>
      <c r="CH2556" s="4"/>
      <c r="CI2556" s="4"/>
      <c r="CJ2556" s="4"/>
      <c r="CK2556" s="4"/>
      <c r="CL2556" s="4"/>
      <c r="CM2556" s="4"/>
      <c r="CN2556" s="4"/>
      <c r="CO2556" s="4"/>
      <c r="CP2556" s="4"/>
      <c r="CQ2556" s="4"/>
      <c r="CR2556" s="4"/>
      <c r="CS2556" s="4"/>
      <c r="CT2556" s="4"/>
      <c r="CU2556" s="4"/>
      <c r="CV2556" s="4"/>
      <c r="CW2556" s="4"/>
      <c r="CX2556" s="4"/>
      <c r="CY2556" s="4"/>
      <c r="CZ2556" s="4"/>
      <c r="DA2556" s="4"/>
      <c r="DB2556" s="4"/>
      <c r="DC2556" s="4"/>
      <c r="DD2556" s="4"/>
      <c r="DE2556" s="4"/>
      <c r="DF2556" s="4"/>
      <c r="DG2556" s="4"/>
      <c r="DH2556" s="4"/>
      <c r="DI2556" s="4"/>
      <c r="DJ2556" s="4"/>
      <c r="DK2556" s="4"/>
      <c r="DL2556" s="4"/>
      <c r="DM2556" s="4"/>
      <c r="DN2556" s="4"/>
      <c r="DO2556" s="4"/>
      <c r="DP2556" s="4"/>
      <c r="DQ2556" s="4"/>
      <c r="DR2556" s="4"/>
      <c r="DS2556" s="4"/>
    </row>
    <row r="2557">
      <c r="A2557" s="4"/>
      <c r="B2557" s="4"/>
      <c r="C2557" s="4"/>
      <c r="D2557" s="4"/>
      <c r="E2557" s="4"/>
      <c r="F2557" s="4" t="s">
        <v>17</v>
      </c>
      <c r="G2557" s="15"/>
      <c r="H2557" s="4"/>
      <c r="I2557" s="4"/>
      <c r="J2557" s="4"/>
      <c r="K2557" s="4"/>
      <c r="L2557" s="4"/>
      <c r="M2557" s="4"/>
      <c r="N2557" s="4"/>
      <c r="O2557" s="4"/>
      <c r="P2557" s="4"/>
      <c r="Q2557" s="4"/>
      <c r="R2557" s="4"/>
      <c r="S2557" s="4"/>
      <c r="T2557" s="4"/>
      <c r="U2557" s="4"/>
      <c r="V2557" s="4"/>
      <c r="W2557" s="4"/>
      <c r="X2557" s="4"/>
      <c r="Y2557" s="4"/>
      <c r="Z2557" s="4"/>
      <c r="AA2557" s="4"/>
      <c r="AB2557" s="4"/>
      <c r="AC2557" s="4"/>
      <c r="AD2557" s="4"/>
      <c r="AE2557" s="4"/>
      <c r="AF2557" s="4"/>
      <c r="AG2557" s="4"/>
      <c r="AH2557" s="4"/>
      <c r="AI2557" s="4"/>
      <c r="AJ2557" s="4"/>
      <c r="AK2557" s="4"/>
      <c r="AL2557" s="4"/>
      <c r="AM2557" s="4"/>
      <c r="AN2557" s="4"/>
      <c r="AO2557" s="4"/>
      <c r="AP2557" s="4"/>
      <c r="AQ2557" s="4"/>
      <c r="AR2557" s="4"/>
      <c r="AS2557" s="4"/>
      <c r="AT2557" s="4"/>
      <c r="AU2557" s="4"/>
      <c r="AV2557" s="4"/>
      <c r="AW2557" s="4"/>
      <c r="AX2557" s="4"/>
      <c r="AY2557" s="4"/>
      <c r="AZ2557" s="4"/>
      <c r="BA2557" s="4"/>
      <c r="BB2557" s="4"/>
      <c r="BC2557" s="4"/>
      <c r="BD2557" s="4"/>
      <c r="BE2557" s="4"/>
      <c r="BF2557" s="4"/>
      <c r="BG2557" s="4"/>
      <c r="BH2557" s="4"/>
      <c r="BI2557" s="4"/>
      <c r="BJ2557" s="4"/>
      <c r="BK2557" s="4"/>
      <c r="BL2557" s="4"/>
      <c r="BM2557" s="4"/>
      <c r="BN2557" s="4"/>
      <c r="BO2557" s="4"/>
      <c r="BP2557" s="4"/>
      <c r="BQ2557" s="4"/>
      <c r="BR2557" s="4"/>
      <c r="BS2557" s="4"/>
      <c r="BT2557" s="4"/>
      <c r="BU2557" s="4"/>
      <c r="BV2557" s="4"/>
      <c r="BW2557" s="4"/>
      <c r="BX2557" s="4"/>
      <c r="BY2557" s="4"/>
      <c r="BZ2557" s="4"/>
      <c r="CA2557" s="4"/>
      <c r="CB2557" s="4"/>
      <c r="CC2557" s="4"/>
      <c r="CD2557" s="4"/>
      <c r="CE2557" s="4"/>
      <c r="CF2557" s="4"/>
      <c r="CG2557" s="4"/>
      <c r="CH2557" s="4"/>
      <c r="CI2557" s="4"/>
      <c r="CJ2557" s="4"/>
      <c r="CK2557" s="4"/>
      <c r="CL2557" s="4"/>
      <c r="CM2557" s="4"/>
      <c r="CN2557" s="4"/>
      <c r="CO2557" s="4"/>
      <c r="CP2557" s="4"/>
      <c r="CQ2557" s="4"/>
      <c r="CR2557" s="4"/>
      <c r="CS2557" s="4"/>
      <c r="CT2557" s="4"/>
      <c r="CU2557" s="4"/>
      <c r="CV2557" s="4"/>
      <c r="CW2557" s="4"/>
      <c r="CX2557" s="4"/>
      <c r="CY2557" s="4"/>
      <c r="CZ2557" s="4"/>
      <c r="DA2557" s="4"/>
      <c r="DB2557" s="4"/>
      <c r="DC2557" s="4"/>
      <c r="DD2557" s="4"/>
      <c r="DE2557" s="4"/>
      <c r="DF2557" s="4"/>
      <c r="DG2557" s="4"/>
      <c r="DH2557" s="4"/>
      <c r="DI2557" s="4"/>
      <c r="DJ2557" s="4"/>
      <c r="DK2557" s="4"/>
      <c r="DL2557" s="4"/>
      <c r="DM2557" s="4"/>
      <c r="DN2557" s="4"/>
      <c r="DO2557" s="4"/>
      <c r="DP2557" s="4"/>
      <c r="DQ2557" s="4"/>
      <c r="DR2557" s="4"/>
      <c r="DS2557" s="4"/>
    </row>
    <row r="2558">
      <c r="A2558" s="4"/>
      <c r="B2558" s="4"/>
      <c r="C2558" s="4"/>
      <c r="D2558" s="4"/>
      <c r="E2558" s="4"/>
      <c r="F2558" s="4" t="s">
        <v>17</v>
      </c>
      <c r="G2558" s="15"/>
      <c r="H2558" s="4"/>
      <c r="I2558" s="4"/>
      <c r="J2558" s="4"/>
      <c r="K2558" s="4"/>
      <c r="L2558" s="4"/>
      <c r="M2558" s="4"/>
      <c r="N2558" s="4"/>
      <c r="O2558" s="4"/>
      <c r="P2558" s="4"/>
      <c r="Q2558" s="4"/>
      <c r="R2558" s="4"/>
      <c r="S2558" s="4"/>
      <c r="T2558" s="4"/>
      <c r="U2558" s="4"/>
      <c r="V2558" s="4"/>
      <c r="W2558" s="4"/>
      <c r="X2558" s="4"/>
      <c r="Y2558" s="4"/>
      <c r="Z2558" s="4"/>
      <c r="AA2558" s="4"/>
      <c r="AB2558" s="4"/>
      <c r="AC2558" s="4"/>
      <c r="AD2558" s="4"/>
      <c r="AE2558" s="4"/>
      <c r="AF2558" s="4"/>
      <c r="AG2558" s="4"/>
      <c r="AH2558" s="4"/>
      <c r="AI2558" s="4"/>
      <c r="AJ2558" s="4"/>
      <c r="AK2558" s="4"/>
      <c r="AL2558" s="4"/>
      <c r="AM2558" s="4"/>
      <c r="AN2558" s="4"/>
      <c r="AO2558" s="4"/>
      <c r="AP2558" s="4"/>
      <c r="AQ2558" s="4"/>
      <c r="AR2558" s="4"/>
      <c r="AS2558" s="4"/>
      <c r="AT2558" s="4"/>
      <c r="AU2558" s="4"/>
      <c r="AV2558" s="4"/>
      <c r="AW2558" s="4"/>
      <c r="AX2558" s="4"/>
      <c r="AY2558" s="4"/>
      <c r="AZ2558" s="4"/>
      <c r="BA2558" s="4"/>
      <c r="BB2558" s="4"/>
      <c r="BC2558" s="4"/>
      <c r="BD2558" s="4"/>
      <c r="BE2558" s="4"/>
      <c r="BF2558" s="4"/>
      <c r="BG2558" s="4"/>
      <c r="BH2558" s="4"/>
      <c r="BI2558" s="4"/>
      <c r="BJ2558" s="4"/>
      <c r="BK2558" s="4"/>
      <c r="BL2558" s="4"/>
      <c r="BM2558" s="4"/>
      <c r="BN2558" s="4"/>
      <c r="BO2558" s="4"/>
      <c r="BP2558" s="4"/>
      <c r="BQ2558" s="4"/>
      <c r="BR2558" s="4"/>
      <c r="BS2558" s="4"/>
      <c r="BT2558" s="4"/>
      <c r="BU2558" s="4"/>
      <c r="BV2558" s="4"/>
      <c r="BW2558" s="4"/>
      <c r="BX2558" s="4"/>
      <c r="BY2558" s="4"/>
      <c r="BZ2558" s="4"/>
      <c r="CA2558" s="4"/>
      <c r="CB2558" s="4"/>
      <c r="CC2558" s="4"/>
      <c r="CD2558" s="4"/>
      <c r="CE2558" s="4"/>
      <c r="CF2558" s="4"/>
      <c r="CG2558" s="4"/>
      <c r="CH2558" s="4"/>
      <c r="CI2558" s="4"/>
      <c r="CJ2558" s="4"/>
      <c r="CK2558" s="4"/>
      <c r="CL2558" s="4"/>
      <c r="CM2558" s="4"/>
      <c r="CN2558" s="4"/>
      <c r="CO2558" s="4"/>
      <c r="CP2558" s="4"/>
      <c r="CQ2558" s="4"/>
      <c r="CR2558" s="4"/>
      <c r="CS2558" s="4"/>
      <c r="CT2558" s="4"/>
      <c r="CU2558" s="4"/>
      <c r="CV2558" s="4"/>
      <c r="CW2558" s="4"/>
      <c r="CX2558" s="4"/>
      <c r="CY2558" s="4"/>
      <c r="CZ2558" s="4"/>
      <c r="DA2558" s="4"/>
      <c r="DB2558" s="4"/>
      <c r="DC2558" s="4"/>
      <c r="DD2558" s="4"/>
      <c r="DE2558" s="4"/>
      <c r="DF2558" s="4"/>
      <c r="DG2558" s="4"/>
      <c r="DH2558" s="4"/>
      <c r="DI2558" s="4"/>
      <c r="DJ2558" s="4"/>
      <c r="DK2558" s="4"/>
      <c r="DL2558" s="4"/>
      <c r="DM2558" s="4"/>
      <c r="DN2558" s="4"/>
      <c r="DO2558" s="4"/>
      <c r="DP2558" s="4"/>
      <c r="DQ2558" s="4"/>
      <c r="DR2558" s="4"/>
      <c r="DS2558" s="4"/>
    </row>
    <row r="2559">
      <c r="A2559" s="4"/>
      <c r="B2559" s="4"/>
      <c r="C2559" s="4"/>
      <c r="D2559" s="4"/>
      <c r="E2559" s="4"/>
      <c r="F2559" s="4" t="s">
        <v>17</v>
      </c>
      <c r="G2559" s="15"/>
      <c r="H2559" s="4"/>
      <c r="I2559" s="4"/>
      <c r="J2559" s="4"/>
      <c r="K2559" s="4"/>
      <c r="L2559" s="4"/>
      <c r="M2559" s="4"/>
      <c r="N2559" s="4"/>
      <c r="O2559" s="4"/>
      <c r="P2559" s="4"/>
      <c r="Q2559" s="4"/>
      <c r="R2559" s="4"/>
      <c r="S2559" s="4"/>
      <c r="T2559" s="4"/>
      <c r="U2559" s="4"/>
      <c r="V2559" s="4"/>
      <c r="W2559" s="4"/>
      <c r="X2559" s="4"/>
      <c r="Y2559" s="4"/>
      <c r="Z2559" s="4"/>
      <c r="AA2559" s="4"/>
      <c r="AB2559" s="4"/>
      <c r="AC2559" s="4"/>
      <c r="AD2559" s="4"/>
      <c r="AE2559" s="4"/>
      <c r="AF2559" s="4"/>
      <c r="AG2559" s="4"/>
      <c r="AH2559" s="4"/>
      <c r="AI2559" s="4"/>
      <c r="AJ2559" s="4"/>
      <c r="AK2559" s="4"/>
      <c r="AL2559" s="4"/>
      <c r="AM2559" s="4"/>
      <c r="AN2559" s="4"/>
      <c r="AO2559" s="4"/>
      <c r="AP2559" s="4"/>
      <c r="AQ2559" s="4"/>
      <c r="AR2559" s="4"/>
      <c r="AS2559" s="4"/>
      <c r="AT2559" s="4"/>
      <c r="AU2559" s="4"/>
      <c r="AV2559" s="4"/>
      <c r="AW2559" s="4"/>
      <c r="AX2559" s="4"/>
      <c r="AY2559" s="4"/>
      <c r="AZ2559" s="4"/>
      <c r="BA2559" s="4"/>
      <c r="BB2559" s="4"/>
      <c r="BC2559" s="4"/>
      <c r="BD2559" s="4"/>
      <c r="BE2559" s="4"/>
      <c r="BF2559" s="4"/>
      <c r="BG2559" s="4"/>
      <c r="BH2559" s="4"/>
      <c r="BI2559" s="4"/>
      <c r="BJ2559" s="4"/>
      <c r="BK2559" s="4"/>
      <c r="BL2559" s="4"/>
      <c r="BM2559" s="4"/>
      <c r="BN2559" s="4"/>
      <c r="BO2559" s="4"/>
      <c r="BP2559" s="4"/>
      <c r="BQ2559" s="4"/>
      <c r="BR2559" s="4"/>
      <c r="BS2559" s="4"/>
      <c r="BT2559" s="4"/>
      <c r="BU2559" s="4"/>
      <c r="BV2559" s="4"/>
      <c r="BW2559" s="4"/>
      <c r="BX2559" s="4"/>
      <c r="BY2559" s="4"/>
      <c r="BZ2559" s="4"/>
      <c r="CA2559" s="4"/>
      <c r="CB2559" s="4"/>
      <c r="CC2559" s="4"/>
      <c r="CD2559" s="4"/>
      <c r="CE2559" s="4"/>
      <c r="CF2559" s="4"/>
      <c r="CG2559" s="4"/>
      <c r="CH2559" s="4"/>
      <c r="CI2559" s="4"/>
      <c r="CJ2559" s="4"/>
      <c r="CK2559" s="4"/>
      <c r="CL2559" s="4"/>
      <c r="CM2559" s="4"/>
      <c r="CN2559" s="4"/>
      <c r="CO2559" s="4"/>
      <c r="CP2559" s="4"/>
      <c r="CQ2559" s="4"/>
      <c r="CR2559" s="4"/>
      <c r="CS2559" s="4"/>
      <c r="CT2559" s="4"/>
      <c r="CU2559" s="4"/>
      <c r="CV2559" s="4"/>
      <c r="CW2559" s="4"/>
      <c r="CX2559" s="4"/>
      <c r="CY2559" s="4"/>
      <c r="CZ2559" s="4"/>
      <c r="DA2559" s="4"/>
      <c r="DB2559" s="4"/>
      <c r="DC2559" s="4"/>
      <c r="DD2559" s="4"/>
      <c r="DE2559" s="4"/>
      <c r="DF2559" s="4"/>
      <c r="DG2559" s="4"/>
      <c r="DH2559" s="4"/>
      <c r="DI2559" s="4"/>
      <c r="DJ2559" s="4"/>
      <c r="DK2559" s="4"/>
      <c r="DL2559" s="4"/>
      <c r="DM2559" s="4"/>
      <c r="DN2559" s="4"/>
      <c r="DO2559" s="4"/>
      <c r="DP2559" s="4"/>
      <c r="DQ2559" s="4"/>
      <c r="DR2559" s="4"/>
      <c r="DS2559" s="4"/>
    </row>
    <row r="2560">
      <c r="A2560" s="4"/>
      <c r="B2560" s="4"/>
      <c r="C2560" s="4"/>
      <c r="D2560" s="4"/>
      <c r="E2560" s="4"/>
      <c r="F2560" s="4" t="s">
        <v>17</v>
      </c>
      <c r="G2560" s="15"/>
      <c r="H2560" s="4"/>
      <c r="I2560" s="4"/>
      <c r="J2560" s="4"/>
      <c r="K2560" s="4"/>
      <c r="L2560" s="4"/>
      <c r="M2560" s="4"/>
      <c r="N2560" s="4"/>
      <c r="O2560" s="4"/>
      <c r="P2560" s="4"/>
      <c r="Q2560" s="4"/>
      <c r="R2560" s="4"/>
      <c r="S2560" s="4"/>
      <c r="T2560" s="4"/>
      <c r="U2560" s="4"/>
      <c r="V2560" s="4"/>
      <c r="W2560" s="4"/>
      <c r="X2560" s="4"/>
      <c r="Y2560" s="4"/>
      <c r="Z2560" s="4"/>
      <c r="AA2560" s="4"/>
      <c r="AB2560" s="4"/>
      <c r="AC2560" s="4"/>
      <c r="AD2560" s="4"/>
      <c r="AE2560" s="4"/>
      <c r="AF2560" s="4"/>
      <c r="AG2560" s="4"/>
      <c r="AH2560" s="4"/>
      <c r="AI2560" s="4"/>
      <c r="AJ2560" s="4"/>
      <c r="AK2560" s="4"/>
      <c r="AL2560" s="4"/>
      <c r="AM2560" s="4"/>
      <c r="AN2560" s="4"/>
      <c r="AO2560" s="4"/>
      <c r="AP2560" s="4"/>
      <c r="AQ2560" s="4"/>
      <c r="AR2560" s="4"/>
      <c r="AS2560" s="4"/>
      <c r="AT2560" s="4"/>
      <c r="AU2560" s="4"/>
      <c r="AV2560" s="4"/>
      <c r="AW2560" s="4"/>
      <c r="AX2560" s="4"/>
      <c r="AY2560" s="4"/>
      <c r="AZ2560" s="4"/>
      <c r="BA2560" s="4"/>
      <c r="BB2560" s="4"/>
      <c r="BC2560" s="4"/>
      <c r="BD2560" s="4"/>
      <c r="BE2560" s="4"/>
      <c r="BF2560" s="4"/>
      <c r="BG2560" s="4"/>
      <c r="BH2560" s="4"/>
      <c r="BI2560" s="4"/>
      <c r="BJ2560" s="4"/>
      <c r="BK2560" s="4"/>
      <c r="BL2560" s="4"/>
      <c r="BM2560" s="4"/>
      <c r="BN2560" s="4"/>
      <c r="BO2560" s="4"/>
      <c r="BP2560" s="4"/>
      <c r="BQ2560" s="4"/>
      <c r="BR2560" s="4"/>
      <c r="BS2560" s="4"/>
      <c r="BT2560" s="4"/>
      <c r="BU2560" s="4"/>
      <c r="BV2560" s="4"/>
      <c r="BW2560" s="4"/>
      <c r="BX2560" s="4"/>
      <c r="BY2560" s="4"/>
      <c r="BZ2560" s="4"/>
      <c r="CA2560" s="4"/>
      <c r="CB2560" s="4"/>
      <c r="CC2560" s="4"/>
      <c r="CD2560" s="4"/>
      <c r="CE2560" s="4"/>
      <c r="CF2560" s="4"/>
      <c r="CG2560" s="4"/>
      <c r="CH2560" s="4"/>
      <c r="CI2560" s="4"/>
      <c r="CJ2560" s="4"/>
      <c r="CK2560" s="4"/>
      <c r="CL2560" s="4"/>
      <c r="CM2560" s="4"/>
      <c r="CN2560" s="4"/>
      <c r="CO2560" s="4"/>
      <c r="CP2560" s="4"/>
      <c r="CQ2560" s="4"/>
      <c r="CR2560" s="4"/>
      <c r="CS2560" s="4"/>
      <c r="CT2560" s="4"/>
      <c r="CU2560" s="4"/>
      <c r="CV2560" s="4"/>
      <c r="CW2560" s="4"/>
      <c r="CX2560" s="4"/>
      <c r="CY2560" s="4"/>
      <c r="CZ2560" s="4"/>
      <c r="DA2560" s="4"/>
      <c r="DB2560" s="4"/>
      <c r="DC2560" s="4"/>
      <c r="DD2560" s="4"/>
      <c r="DE2560" s="4"/>
      <c r="DF2560" s="4"/>
      <c r="DG2560" s="4"/>
      <c r="DH2560" s="4"/>
      <c r="DI2560" s="4"/>
      <c r="DJ2560" s="4"/>
      <c r="DK2560" s="4"/>
      <c r="DL2560" s="4"/>
      <c r="DM2560" s="4"/>
      <c r="DN2560" s="4"/>
      <c r="DO2560" s="4"/>
      <c r="DP2560" s="4"/>
      <c r="DQ2560" s="4"/>
      <c r="DR2560" s="4"/>
      <c r="DS2560" s="4"/>
    </row>
    <row r="2561">
      <c r="A2561" s="4"/>
      <c r="B2561" s="4"/>
      <c r="C2561" s="4"/>
      <c r="D2561" s="4"/>
      <c r="E2561" s="4"/>
      <c r="F2561" s="4" t="s">
        <v>17</v>
      </c>
      <c r="G2561" s="15"/>
      <c r="H2561" s="4"/>
      <c r="I2561" s="4"/>
      <c r="J2561" s="4"/>
      <c r="K2561" s="4"/>
      <c r="L2561" s="4"/>
      <c r="M2561" s="4"/>
      <c r="N2561" s="4"/>
      <c r="O2561" s="4"/>
      <c r="P2561" s="4"/>
      <c r="Q2561" s="4"/>
      <c r="R2561" s="4"/>
      <c r="S2561" s="4"/>
      <c r="T2561" s="4"/>
      <c r="U2561" s="4"/>
      <c r="V2561" s="4"/>
      <c r="W2561" s="4"/>
      <c r="X2561" s="4"/>
      <c r="Y2561" s="4"/>
      <c r="Z2561" s="4"/>
      <c r="AA2561" s="4"/>
      <c r="AB2561" s="4"/>
      <c r="AC2561" s="4"/>
      <c r="AD2561" s="4"/>
      <c r="AE2561" s="4"/>
      <c r="AF2561" s="4"/>
      <c r="AG2561" s="4"/>
      <c r="AH2561" s="4"/>
      <c r="AI2561" s="4"/>
      <c r="AJ2561" s="4"/>
      <c r="AK2561" s="4"/>
      <c r="AL2561" s="4"/>
      <c r="AM2561" s="4"/>
      <c r="AN2561" s="4"/>
      <c r="AO2561" s="4"/>
      <c r="AP2561" s="4"/>
      <c r="AQ2561" s="4"/>
      <c r="AR2561" s="4"/>
      <c r="AS2561" s="4"/>
      <c r="AT2561" s="4"/>
      <c r="AU2561" s="4"/>
      <c r="AV2561" s="4"/>
      <c r="AW2561" s="4"/>
      <c r="AX2561" s="4"/>
      <c r="AY2561" s="4"/>
      <c r="AZ2561" s="4"/>
      <c r="BA2561" s="4"/>
      <c r="BB2561" s="4"/>
      <c r="BC2561" s="4"/>
      <c r="BD2561" s="4"/>
      <c r="BE2561" s="4"/>
      <c r="BF2561" s="4"/>
      <c r="BG2561" s="4"/>
      <c r="BH2561" s="4"/>
      <c r="BI2561" s="4"/>
      <c r="BJ2561" s="4"/>
      <c r="BK2561" s="4"/>
      <c r="BL2561" s="4"/>
      <c r="BM2561" s="4"/>
      <c r="BN2561" s="4"/>
      <c r="BO2561" s="4"/>
      <c r="BP2561" s="4"/>
      <c r="BQ2561" s="4"/>
      <c r="BR2561" s="4"/>
      <c r="BS2561" s="4"/>
      <c r="BT2561" s="4"/>
      <c r="BU2561" s="4"/>
      <c r="BV2561" s="4"/>
      <c r="BW2561" s="4"/>
      <c r="BX2561" s="4"/>
      <c r="BY2561" s="4"/>
      <c r="BZ2561" s="4"/>
      <c r="CA2561" s="4"/>
      <c r="CB2561" s="4"/>
      <c r="CC2561" s="4"/>
      <c r="CD2561" s="4"/>
      <c r="CE2561" s="4"/>
      <c r="CF2561" s="4"/>
      <c r="CG2561" s="4"/>
      <c r="CH2561" s="4"/>
      <c r="CI2561" s="4"/>
      <c r="CJ2561" s="4"/>
      <c r="CK2561" s="4"/>
      <c r="CL2561" s="4"/>
      <c r="CM2561" s="4"/>
      <c r="CN2561" s="4"/>
      <c r="CO2561" s="4"/>
      <c r="CP2561" s="4"/>
      <c r="CQ2561" s="4"/>
      <c r="CR2561" s="4"/>
      <c r="CS2561" s="4"/>
      <c r="CT2561" s="4"/>
      <c r="CU2561" s="4"/>
      <c r="CV2561" s="4"/>
      <c r="CW2561" s="4"/>
      <c r="CX2561" s="4"/>
      <c r="CY2561" s="4"/>
      <c r="CZ2561" s="4"/>
      <c r="DA2561" s="4"/>
      <c r="DB2561" s="4"/>
      <c r="DC2561" s="4"/>
      <c r="DD2561" s="4"/>
      <c r="DE2561" s="4"/>
      <c r="DF2561" s="4"/>
      <c r="DG2561" s="4"/>
      <c r="DH2561" s="4"/>
      <c r="DI2561" s="4"/>
      <c r="DJ2561" s="4"/>
      <c r="DK2561" s="4"/>
      <c r="DL2561" s="4"/>
      <c r="DM2561" s="4"/>
      <c r="DN2561" s="4"/>
      <c r="DO2561" s="4"/>
      <c r="DP2561" s="4"/>
      <c r="DQ2561" s="4"/>
      <c r="DR2561" s="4"/>
      <c r="DS2561" s="4"/>
    </row>
    <row r="2562">
      <c r="A2562" s="4"/>
      <c r="B2562" s="4"/>
      <c r="C2562" s="4"/>
      <c r="D2562" s="4"/>
      <c r="E2562" s="4"/>
      <c r="F2562" s="4" t="s">
        <v>17</v>
      </c>
      <c r="G2562" s="15"/>
      <c r="H2562" s="4"/>
      <c r="I2562" s="4"/>
      <c r="J2562" s="4"/>
      <c r="K2562" s="4"/>
      <c r="L2562" s="4"/>
      <c r="M2562" s="4"/>
      <c r="N2562" s="4"/>
      <c r="O2562" s="4"/>
      <c r="P2562" s="4"/>
      <c r="Q2562" s="4"/>
      <c r="R2562" s="4"/>
      <c r="S2562" s="4"/>
      <c r="T2562" s="4"/>
      <c r="U2562" s="4"/>
      <c r="V2562" s="4"/>
      <c r="W2562" s="4"/>
      <c r="X2562" s="4"/>
      <c r="Y2562" s="4"/>
      <c r="Z2562" s="4"/>
      <c r="AA2562" s="4"/>
      <c r="AB2562" s="4"/>
      <c r="AC2562" s="4"/>
      <c r="AD2562" s="4"/>
      <c r="AE2562" s="4"/>
      <c r="AF2562" s="4"/>
      <c r="AG2562" s="4"/>
      <c r="AH2562" s="4"/>
      <c r="AI2562" s="4"/>
      <c r="AJ2562" s="4"/>
      <c r="AK2562" s="4"/>
      <c r="AL2562" s="4"/>
      <c r="AM2562" s="4"/>
      <c r="AN2562" s="4"/>
      <c r="AO2562" s="4"/>
      <c r="AP2562" s="4"/>
      <c r="AQ2562" s="4"/>
      <c r="AR2562" s="4"/>
      <c r="AS2562" s="4"/>
      <c r="AT2562" s="4"/>
      <c r="AU2562" s="4"/>
      <c r="AV2562" s="4"/>
      <c r="AW2562" s="4"/>
      <c r="AX2562" s="4"/>
      <c r="AY2562" s="4"/>
      <c r="AZ2562" s="4"/>
      <c r="BA2562" s="4"/>
      <c r="BB2562" s="4"/>
      <c r="BC2562" s="4"/>
      <c r="BD2562" s="4"/>
      <c r="BE2562" s="4"/>
      <c r="BF2562" s="4"/>
      <c r="BG2562" s="4"/>
      <c r="BH2562" s="4"/>
      <c r="BI2562" s="4"/>
      <c r="BJ2562" s="4"/>
      <c r="BK2562" s="4"/>
      <c r="BL2562" s="4"/>
      <c r="BM2562" s="4"/>
      <c r="BN2562" s="4"/>
      <c r="BO2562" s="4"/>
      <c r="BP2562" s="4"/>
      <c r="BQ2562" s="4"/>
      <c r="BR2562" s="4"/>
      <c r="BS2562" s="4"/>
      <c r="BT2562" s="4"/>
      <c r="BU2562" s="4"/>
      <c r="BV2562" s="4"/>
      <c r="BW2562" s="4"/>
      <c r="BX2562" s="4"/>
      <c r="BY2562" s="4"/>
      <c r="BZ2562" s="4"/>
      <c r="CA2562" s="4"/>
      <c r="CB2562" s="4"/>
      <c r="CC2562" s="4"/>
      <c r="CD2562" s="4"/>
      <c r="CE2562" s="4"/>
      <c r="CF2562" s="4"/>
      <c r="CG2562" s="4"/>
      <c r="CH2562" s="4"/>
      <c r="CI2562" s="4"/>
      <c r="CJ2562" s="4"/>
      <c r="CK2562" s="4"/>
      <c r="CL2562" s="4"/>
      <c r="CM2562" s="4"/>
      <c r="CN2562" s="4"/>
      <c r="CO2562" s="4"/>
      <c r="CP2562" s="4"/>
      <c r="CQ2562" s="4"/>
      <c r="CR2562" s="4"/>
      <c r="CS2562" s="4"/>
      <c r="CT2562" s="4"/>
      <c r="CU2562" s="4"/>
      <c r="CV2562" s="4"/>
      <c r="CW2562" s="4"/>
      <c r="CX2562" s="4"/>
      <c r="CY2562" s="4"/>
      <c r="CZ2562" s="4"/>
      <c r="DA2562" s="4"/>
      <c r="DB2562" s="4"/>
      <c r="DC2562" s="4"/>
      <c r="DD2562" s="4"/>
      <c r="DE2562" s="4"/>
      <c r="DF2562" s="4"/>
      <c r="DG2562" s="4"/>
      <c r="DH2562" s="4"/>
      <c r="DI2562" s="4"/>
      <c r="DJ2562" s="4"/>
      <c r="DK2562" s="4"/>
      <c r="DL2562" s="4"/>
      <c r="DM2562" s="4"/>
      <c r="DN2562" s="4"/>
      <c r="DO2562" s="4"/>
      <c r="DP2562" s="4"/>
      <c r="DQ2562" s="4"/>
      <c r="DR2562" s="4"/>
      <c r="DS2562" s="4"/>
    </row>
    <row r="2563">
      <c r="A2563" s="4"/>
      <c r="B2563" s="4"/>
      <c r="C2563" s="4"/>
      <c r="D2563" s="4"/>
      <c r="E2563" s="4"/>
      <c r="F2563" s="4" t="s">
        <v>17</v>
      </c>
      <c r="G2563" s="15"/>
      <c r="H2563" s="4"/>
      <c r="I2563" s="4"/>
      <c r="J2563" s="4"/>
      <c r="K2563" s="4"/>
      <c r="L2563" s="4"/>
      <c r="M2563" s="4"/>
      <c r="N2563" s="4"/>
      <c r="O2563" s="4"/>
      <c r="P2563" s="4"/>
      <c r="Q2563" s="4"/>
      <c r="R2563" s="4"/>
      <c r="S2563" s="4"/>
      <c r="T2563" s="4"/>
      <c r="U2563" s="4"/>
      <c r="V2563" s="4"/>
      <c r="W2563" s="4"/>
      <c r="X2563" s="4"/>
      <c r="Y2563" s="4"/>
      <c r="Z2563" s="4"/>
      <c r="AA2563" s="4"/>
      <c r="AB2563" s="4"/>
      <c r="AC2563" s="4"/>
      <c r="AD2563" s="4"/>
      <c r="AE2563" s="4"/>
      <c r="AF2563" s="4"/>
      <c r="AG2563" s="4"/>
      <c r="AH2563" s="4"/>
      <c r="AI2563" s="4"/>
      <c r="AJ2563" s="4"/>
      <c r="AK2563" s="4"/>
      <c r="AL2563" s="4"/>
      <c r="AM2563" s="4"/>
      <c r="AN2563" s="4"/>
      <c r="AO2563" s="4"/>
      <c r="AP2563" s="4"/>
      <c r="AQ2563" s="4"/>
      <c r="AR2563" s="4"/>
      <c r="AS2563" s="4"/>
      <c r="AT2563" s="4"/>
      <c r="AU2563" s="4"/>
      <c r="AV2563" s="4"/>
      <c r="AW2563" s="4"/>
      <c r="AX2563" s="4"/>
      <c r="AY2563" s="4"/>
      <c r="AZ2563" s="4"/>
      <c r="BA2563" s="4"/>
      <c r="BB2563" s="4"/>
      <c r="BC2563" s="4"/>
      <c r="BD2563" s="4"/>
      <c r="BE2563" s="4"/>
      <c r="BF2563" s="4"/>
      <c r="BG2563" s="4"/>
      <c r="BH2563" s="4"/>
      <c r="BI2563" s="4"/>
      <c r="BJ2563" s="4"/>
      <c r="BK2563" s="4"/>
      <c r="BL2563" s="4"/>
      <c r="BM2563" s="4"/>
      <c r="BN2563" s="4"/>
      <c r="BO2563" s="4"/>
      <c r="BP2563" s="4"/>
      <c r="BQ2563" s="4"/>
      <c r="BR2563" s="4"/>
      <c r="BS2563" s="4"/>
      <c r="BT2563" s="4"/>
      <c r="BU2563" s="4"/>
      <c r="BV2563" s="4"/>
      <c r="BW2563" s="4"/>
      <c r="BX2563" s="4"/>
      <c r="BY2563" s="4"/>
      <c r="BZ2563" s="4"/>
      <c r="CA2563" s="4"/>
      <c r="CB2563" s="4"/>
      <c r="CC2563" s="4"/>
      <c r="CD2563" s="4"/>
      <c r="CE2563" s="4"/>
      <c r="CF2563" s="4"/>
      <c r="CG2563" s="4"/>
      <c r="CH2563" s="4"/>
      <c r="CI2563" s="4"/>
      <c r="CJ2563" s="4"/>
      <c r="CK2563" s="4"/>
      <c r="CL2563" s="4"/>
      <c r="CM2563" s="4"/>
      <c r="CN2563" s="4"/>
      <c r="CO2563" s="4"/>
      <c r="CP2563" s="4"/>
      <c r="CQ2563" s="4"/>
      <c r="CR2563" s="4"/>
      <c r="CS2563" s="4"/>
      <c r="CT2563" s="4"/>
      <c r="CU2563" s="4"/>
      <c r="CV2563" s="4"/>
      <c r="CW2563" s="4"/>
      <c r="CX2563" s="4"/>
      <c r="CY2563" s="4"/>
      <c r="CZ2563" s="4"/>
      <c r="DA2563" s="4"/>
      <c r="DB2563" s="4"/>
      <c r="DC2563" s="4"/>
      <c r="DD2563" s="4"/>
      <c r="DE2563" s="4"/>
      <c r="DF2563" s="4"/>
      <c r="DG2563" s="4"/>
      <c r="DH2563" s="4"/>
      <c r="DI2563" s="4"/>
      <c r="DJ2563" s="4"/>
      <c r="DK2563" s="4"/>
      <c r="DL2563" s="4"/>
      <c r="DM2563" s="4"/>
      <c r="DN2563" s="4"/>
      <c r="DO2563" s="4"/>
      <c r="DP2563" s="4"/>
      <c r="DQ2563" s="4"/>
      <c r="DR2563" s="4"/>
      <c r="DS2563" s="4"/>
    </row>
    <row r="2564">
      <c r="A2564" s="4"/>
      <c r="B2564" s="4"/>
      <c r="C2564" s="4"/>
      <c r="D2564" s="4"/>
      <c r="E2564" s="4"/>
      <c r="F2564" s="4" t="s">
        <v>17</v>
      </c>
      <c r="G2564" s="15"/>
      <c r="H2564" s="4"/>
      <c r="I2564" s="4"/>
      <c r="J2564" s="4"/>
      <c r="K2564" s="4"/>
      <c r="L2564" s="4"/>
      <c r="M2564" s="4"/>
      <c r="N2564" s="4"/>
      <c r="O2564" s="4"/>
      <c r="P2564" s="4"/>
      <c r="Q2564" s="4"/>
      <c r="R2564" s="4"/>
      <c r="S2564" s="4"/>
      <c r="T2564" s="4"/>
      <c r="U2564" s="4"/>
      <c r="V2564" s="4"/>
      <c r="W2564" s="4"/>
      <c r="X2564" s="4"/>
      <c r="Y2564" s="4"/>
      <c r="Z2564" s="4"/>
      <c r="AA2564" s="4"/>
      <c r="AB2564" s="4"/>
      <c r="AC2564" s="4"/>
      <c r="AD2564" s="4"/>
      <c r="AE2564" s="4"/>
      <c r="AF2564" s="4"/>
      <c r="AG2564" s="4"/>
      <c r="AH2564" s="4"/>
      <c r="AI2564" s="4"/>
      <c r="AJ2564" s="4"/>
      <c r="AK2564" s="4"/>
      <c r="AL2564" s="4"/>
      <c r="AM2564" s="4"/>
      <c r="AN2564" s="4"/>
      <c r="AO2564" s="4"/>
      <c r="AP2564" s="4"/>
      <c r="AQ2564" s="4"/>
      <c r="AR2564" s="4"/>
      <c r="AS2564" s="4"/>
      <c r="AT2564" s="4"/>
      <c r="AU2564" s="4"/>
      <c r="AV2564" s="4"/>
      <c r="AW2564" s="4"/>
      <c r="AX2564" s="4"/>
      <c r="AY2564" s="4"/>
      <c r="AZ2564" s="4"/>
      <c r="BA2564" s="4"/>
      <c r="BB2564" s="4"/>
      <c r="BC2564" s="4"/>
      <c r="BD2564" s="4"/>
      <c r="BE2564" s="4"/>
      <c r="BF2564" s="4"/>
      <c r="BG2564" s="4"/>
      <c r="BH2564" s="4"/>
      <c r="BI2564" s="4"/>
      <c r="BJ2564" s="4"/>
      <c r="BK2564" s="4"/>
      <c r="BL2564" s="4"/>
      <c r="BM2564" s="4"/>
      <c r="BN2564" s="4"/>
      <c r="BO2564" s="4"/>
      <c r="BP2564" s="4"/>
      <c r="BQ2564" s="4"/>
      <c r="BR2564" s="4"/>
      <c r="BS2564" s="4"/>
      <c r="BT2564" s="4"/>
      <c r="BU2564" s="4"/>
      <c r="BV2564" s="4"/>
      <c r="BW2564" s="4"/>
      <c r="BX2564" s="4"/>
      <c r="BY2564" s="4"/>
      <c r="BZ2564" s="4"/>
      <c r="CA2564" s="4"/>
      <c r="CB2564" s="4"/>
      <c r="CC2564" s="4"/>
      <c r="CD2564" s="4"/>
      <c r="CE2564" s="4"/>
      <c r="CF2564" s="4"/>
      <c r="CG2564" s="4"/>
      <c r="CH2564" s="4"/>
      <c r="CI2564" s="4"/>
      <c r="CJ2564" s="4"/>
      <c r="CK2564" s="4"/>
      <c r="CL2564" s="4"/>
      <c r="CM2564" s="4"/>
      <c r="CN2564" s="4"/>
      <c r="CO2564" s="4"/>
      <c r="CP2564" s="4"/>
      <c r="CQ2564" s="4"/>
      <c r="CR2564" s="4"/>
      <c r="CS2564" s="4"/>
      <c r="CT2564" s="4"/>
      <c r="CU2564" s="4"/>
      <c r="CV2564" s="4"/>
      <c r="CW2564" s="4"/>
      <c r="CX2564" s="4"/>
      <c r="CY2564" s="4"/>
      <c r="CZ2564" s="4"/>
      <c r="DA2564" s="4"/>
      <c r="DB2564" s="4"/>
      <c r="DC2564" s="4"/>
      <c r="DD2564" s="4"/>
      <c r="DE2564" s="4"/>
      <c r="DF2564" s="4"/>
      <c r="DG2564" s="4"/>
      <c r="DH2564" s="4"/>
      <c r="DI2564" s="4"/>
      <c r="DJ2564" s="4"/>
      <c r="DK2564" s="4"/>
      <c r="DL2564" s="4"/>
      <c r="DM2564" s="4"/>
      <c r="DN2564" s="4"/>
      <c r="DO2564" s="4"/>
      <c r="DP2564" s="4"/>
      <c r="DQ2564" s="4"/>
      <c r="DR2564" s="4"/>
      <c r="DS2564" s="4"/>
    </row>
    <row r="2565">
      <c r="A2565" s="4"/>
      <c r="B2565" s="4"/>
      <c r="C2565" s="4"/>
      <c r="D2565" s="4"/>
      <c r="E2565" s="4"/>
      <c r="F2565" s="4" t="s">
        <v>17</v>
      </c>
      <c r="G2565" s="15"/>
      <c r="H2565" s="4"/>
      <c r="I2565" s="4"/>
      <c r="J2565" s="4"/>
      <c r="K2565" s="4"/>
      <c r="L2565" s="4"/>
      <c r="M2565" s="4"/>
      <c r="N2565" s="4"/>
      <c r="O2565" s="4"/>
      <c r="P2565" s="4"/>
      <c r="Q2565" s="4"/>
      <c r="R2565" s="4"/>
      <c r="S2565" s="4"/>
      <c r="T2565" s="4"/>
      <c r="U2565" s="4"/>
      <c r="V2565" s="4"/>
      <c r="W2565" s="4"/>
      <c r="X2565" s="4"/>
      <c r="Y2565" s="4"/>
      <c r="Z2565" s="4"/>
      <c r="AA2565" s="4"/>
      <c r="AB2565" s="4"/>
      <c r="AC2565" s="4"/>
      <c r="AD2565" s="4"/>
      <c r="AE2565" s="4"/>
      <c r="AF2565" s="4"/>
      <c r="AG2565" s="4"/>
      <c r="AH2565" s="4"/>
      <c r="AI2565" s="4"/>
      <c r="AJ2565" s="4"/>
      <c r="AK2565" s="4"/>
      <c r="AL2565" s="4"/>
      <c r="AM2565" s="4"/>
      <c r="AN2565" s="4"/>
      <c r="AO2565" s="4"/>
      <c r="AP2565" s="4"/>
      <c r="AQ2565" s="4"/>
      <c r="AR2565" s="4"/>
      <c r="AS2565" s="4"/>
      <c r="AT2565" s="4"/>
      <c r="AU2565" s="4"/>
      <c r="AV2565" s="4"/>
      <c r="AW2565" s="4"/>
      <c r="AX2565" s="4"/>
      <c r="AY2565" s="4"/>
      <c r="AZ2565" s="4"/>
      <c r="BA2565" s="4"/>
      <c r="BB2565" s="4"/>
      <c r="BC2565" s="4"/>
      <c r="BD2565" s="4"/>
      <c r="BE2565" s="4"/>
      <c r="BF2565" s="4"/>
      <c r="BG2565" s="4"/>
      <c r="BH2565" s="4"/>
      <c r="BI2565" s="4"/>
      <c r="BJ2565" s="4"/>
      <c r="BK2565" s="4"/>
      <c r="BL2565" s="4"/>
      <c r="BM2565" s="4"/>
      <c r="BN2565" s="4"/>
      <c r="BO2565" s="4"/>
      <c r="BP2565" s="4"/>
      <c r="BQ2565" s="4"/>
      <c r="BR2565" s="4"/>
      <c r="BS2565" s="4"/>
      <c r="BT2565" s="4"/>
      <c r="BU2565" s="4"/>
      <c r="BV2565" s="4"/>
      <c r="BW2565" s="4"/>
      <c r="BX2565" s="4"/>
      <c r="BY2565" s="4"/>
      <c r="BZ2565" s="4"/>
      <c r="CA2565" s="4"/>
      <c r="CB2565" s="4"/>
      <c r="CC2565" s="4"/>
      <c r="CD2565" s="4"/>
      <c r="CE2565" s="4"/>
      <c r="CF2565" s="4"/>
      <c r="CG2565" s="4"/>
      <c r="CH2565" s="4"/>
      <c r="CI2565" s="4"/>
      <c r="CJ2565" s="4"/>
      <c r="CK2565" s="4"/>
      <c r="CL2565" s="4"/>
      <c r="CM2565" s="4"/>
      <c r="CN2565" s="4"/>
      <c r="CO2565" s="4"/>
      <c r="CP2565" s="4"/>
      <c r="CQ2565" s="4"/>
      <c r="CR2565" s="4"/>
      <c r="CS2565" s="4"/>
      <c r="CT2565" s="4"/>
      <c r="CU2565" s="4"/>
      <c r="CV2565" s="4"/>
      <c r="CW2565" s="4"/>
      <c r="CX2565" s="4"/>
      <c r="CY2565" s="4"/>
      <c r="CZ2565" s="4"/>
      <c r="DA2565" s="4"/>
      <c r="DB2565" s="4"/>
      <c r="DC2565" s="4"/>
      <c r="DD2565" s="4"/>
      <c r="DE2565" s="4"/>
      <c r="DF2565" s="4"/>
      <c r="DG2565" s="4"/>
      <c r="DH2565" s="4"/>
      <c r="DI2565" s="4"/>
      <c r="DJ2565" s="4"/>
      <c r="DK2565" s="4"/>
      <c r="DL2565" s="4"/>
      <c r="DM2565" s="4"/>
      <c r="DN2565" s="4"/>
      <c r="DO2565" s="4"/>
      <c r="DP2565" s="4"/>
      <c r="DQ2565" s="4"/>
      <c r="DR2565" s="4"/>
      <c r="DS2565" s="4"/>
    </row>
    <row r="2566">
      <c r="A2566" s="4"/>
      <c r="B2566" s="4"/>
      <c r="C2566" s="4"/>
      <c r="D2566" s="4"/>
      <c r="E2566" s="4"/>
      <c r="F2566" s="4" t="s">
        <v>17</v>
      </c>
      <c r="G2566" s="15"/>
      <c r="H2566" s="4"/>
      <c r="I2566" s="4"/>
      <c r="J2566" s="4"/>
      <c r="K2566" s="4"/>
      <c r="L2566" s="4"/>
      <c r="M2566" s="4"/>
      <c r="N2566" s="4"/>
      <c r="O2566" s="4"/>
      <c r="P2566" s="4"/>
      <c r="Q2566" s="4"/>
      <c r="R2566" s="4"/>
      <c r="S2566" s="4"/>
      <c r="T2566" s="4"/>
      <c r="U2566" s="4"/>
      <c r="V2566" s="4"/>
      <c r="W2566" s="4"/>
      <c r="X2566" s="4"/>
      <c r="Y2566" s="4"/>
      <c r="Z2566" s="4"/>
      <c r="AA2566" s="4"/>
      <c r="AB2566" s="4"/>
      <c r="AC2566" s="4"/>
      <c r="AD2566" s="4"/>
      <c r="AE2566" s="4"/>
      <c r="AF2566" s="4"/>
      <c r="AG2566" s="4"/>
      <c r="AH2566" s="4"/>
      <c r="AI2566" s="4"/>
      <c r="AJ2566" s="4"/>
      <c r="AK2566" s="4"/>
      <c r="AL2566" s="4"/>
      <c r="AM2566" s="4"/>
      <c r="AN2566" s="4"/>
      <c r="AO2566" s="4"/>
      <c r="AP2566" s="4"/>
      <c r="AQ2566" s="4"/>
      <c r="AR2566" s="4"/>
      <c r="AS2566" s="4"/>
      <c r="AT2566" s="4"/>
      <c r="AU2566" s="4"/>
      <c r="AV2566" s="4"/>
      <c r="AW2566" s="4"/>
      <c r="AX2566" s="4"/>
      <c r="AY2566" s="4"/>
      <c r="AZ2566" s="4"/>
      <c r="BA2566" s="4"/>
      <c r="BB2566" s="4"/>
      <c r="BC2566" s="4"/>
      <c r="BD2566" s="4"/>
      <c r="BE2566" s="4"/>
      <c r="BF2566" s="4"/>
      <c r="BG2566" s="4"/>
      <c r="BH2566" s="4"/>
      <c r="BI2566" s="4"/>
      <c r="BJ2566" s="4"/>
      <c r="BK2566" s="4"/>
      <c r="BL2566" s="4"/>
      <c r="BM2566" s="4"/>
      <c r="BN2566" s="4"/>
      <c r="BO2566" s="4"/>
      <c r="BP2566" s="4"/>
      <c r="BQ2566" s="4"/>
      <c r="BR2566" s="4"/>
      <c r="BS2566" s="4"/>
      <c r="BT2566" s="4"/>
      <c r="BU2566" s="4"/>
      <c r="BV2566" s="4"/>
      <c r="BW2566" s="4"/>
      <c r="BX2566" s="4"/>
      <c r="BY2566" s="4"/>
      <c r="BZ2566" s="4"/>
      <c r="CA2566" s="4"/>
      <c r="CB2566" s="4"/>
      <c r="CC2566" s="4"/>
      <c r="CD2566" s="4"/>
      <c r="CE2566" s="4"/>
      <c r="CF2566" s="4"/>
      <c r="CG2566" s="4"/>
      <c r="CH2566" s="4"/>
      <c r="CI2566" s="4"/>
      <c r="CJ2566" s="4"/>
      <c r="CK2566" s="4"/>
      <c r="CL2566" s="4"/>
      <c r="CM2566" s="4"/>
      <c r="CN2566" s="4"/>
      <c r="CO2566" s="4"/>
      <c r="CP2566" s="4"/>
      <c r="CQ2566" s="4"/>
      <c r="CR2566" s="4"/>
      <c r="CS2566" s="4"/>
      <c r="CT2566" s="4"/>
      <c r="CU2566" s="4"/>
      <c r="CV2566" s="4"/>
      <c r="CW2566" s="4"/>
      <c r="CX2566" s="4"/>
      <c r="CY2566" s="4"/>
      <c r="CZ2566" s="4"/>
      <c r="DA2566" s="4"/>
      <c r="DB2566" s="4"/>
      <c r="DC2566" s="4"/>
      <c r="DD2566" s="4"/>
      <c r="DE2566" s="4"/>
      <c r="DF2566" s="4"/>
      <c r="DG2566" s="4"/>
      <c r="DH2566" s="4"/>
      <c r="DI2566" s="4"/>
      <c r="DJ2566" s="4"/>
      <c r="DK2566" s="4"/>
      <c r="DL2566" s="4"/>
      <c r="DM2566" s="4"/>
      <c r="DN2566" s="4"/>
      <c r="DO2566" s="4"/>
      <c r="DP2566" s="4"/>
      <c r="DQ2566" s="4"/>
      <c r="DR2566" s="4"/>
      <c r="DS2566" s="4"/>
    </row>
    <row r="2567">
      <c r="A2567" s="4"/>
      <c r="B2567" s="4"/>
      <c r="C2567" s="4"/>
      <c r="D2567" s="4"/>
      <c r="E2567" s="4"/>
      <c r="F2567" s="4" t="s">
        <v>17</v>
      </c>
      <c r="G2567" s="15"/>
      <c r="H2567" s="4"/>
      <c r="I2567" s="4"/>
      <c r="J2567" s="4"/>
      <c r="K2567" s="4"/>
      <c r="L2567" s="4"/>
      <c r="M2567" s="4"/>
      <c r="N2567" s="4"/>
      <c r="O2567" s="4"/>
      <c r="P2567" s="4"/>
      <c r="Q2567" s="4"/>
      <c r="R2567" s="4"/>
      <c r="S2567" s="4"/>
      <c r="T2567" s="4"/>
      <c r="U2567" s="4"/>
      <c r="V2567" s="4"/>
      <c r="W2567" s="4"/>
      <c r="X2567" s="4"/>
      <c r="Y2567" s="4"/>
      <c r="Z2567" s="4"/>
      <c r="AA2567" s="4"/>
      <c r="AB2567" s="4"/>
      <c r="AC2567" s="4"/>
      <c r="AD2567" s="4"/>
      <c r="AE2567" s="4"/>
      <c r="AF2567" s="4"/>
      <c r="AG2567" s="4"/>
      <c r="AH2567" s="4"/>
      <c r="AI2567" s="4"/>
      <c r="AJ2567" s="4"/>
      <c r="AK2567" s="4"/>
      <c r="AL2567" s="4"/>
      <c r="AM2567" s="4"/>
      <c r="AN2567" s="4"/>
      <c r="AO2567" s="4"/>
      <c r="AP2567" s="4"/>
      <c r="AQ2567" s="4"/>
      <c r="AR2567" s="4"/>
      <c r="AS2567" s="4"/>
      <c r="AT2567" s="4"/>
      <c r="AU2567" s="4"/>
      <c r="AV2567" s="4"/>
      <c r="AW2567" s="4"/>
      <c r="AX2567" s="4"/>
      <c r="AY2567" s="4"/>
      <c r="AZ2567" s="4"/>
      <c r="BA2567" s="4"/>
      <c r="BB2567" s="4"/>
      <c r="BC2567" s="4"/>
      <c r="BD2567" s="4"/>
      <c r="BE2567" s="4"/>
      <c r="BF2567" s="4"/>
      <c r="BG2567" s="4"/>
      <c r="BH2567" s="4"/>
      <c r="BI2567" s="4"/>
      <c r="BJ2567" s="4"/>
      <c r="BK2567" s="4"/>
      <c r="BL2567" s="4"/>
      <c r="BM2567" s="4"/>
      <c r="BN2567" s="4"/>
      <c r="BO2567" s="4"/>
      <c r="BP2567" s="4"/>
      <c r="BQ2567" s="4"/>
      <c r="BR2567" s="4"/>
      <c r="BS2567" s="4"/>
      <c r="BT2567" s="4"/>
      <c r="BU2567" s="4"/>
      <c r="BV2567" s="4"/>
      <c r="BW2567" s="4"/>
      <c r="BX2567" s="4"/>
      <c r="BY2567" s="4"/>
      <c r="BZ2567" s="4"/>
      <c r="CA2567" s="4"/>
      <c r="CB2567" s="4"/>
      <c r="CC2567" s="4"/>
      <c r="CD2567" s="4"/>
      <c r="CE2567" s="4"/>
      <c r="CF2567" s="4"/>
      <c r="CG2567" s="4"/>
      <c r="CH2567" s="4"/>
      <c r="CI2567" s="4"/>
      <c r="CJ2567" s="4"/>
      <c r="CK2567" s="4"/>
      <c r="CL2567" s="4"/>
      <c r="CM2567" s="4"/>
      <c r="CN2567" s="4"/>
      <c r="CO2567" s="4"/>
      <c r="CP2567" s="4"/>
      <c r="CQ2567" s="4"/>
      <c r="CR2567" s="4"/>
      <c r="CS2567" s="4"/>
      <c r="CT2567" s="4"/>
      <c r="CU2567" s="4"/>
      <c r="CV2567" s="4"/>
      <c r="CW2567" s="4"/>
      <c r="CX2567" s="4"/>
      <c r="CY2567" s="4"/>
      <c r="CZ2567" s="4"/>
      <c r="DA2567" s="4"/>
      <c r="DB2567" s="4"/>
      <c r="DC2567" s="4"/>
      <c r="DD2567" s="4"/>
      <c r="DE2567" s="4"/>
      <c r="DF2567" s="4"/>
      <c r="DG2567" s="4"/>
      <c r="DH2567" s="4"/>
      <c r="DI2567" s="4"/>
      <c r="DJ2567" s="4"/>
      <c r="DK2567" s="4"/>
      <c r="DL2567" s="4"/>
      <c r="DM2567" s="4"/>
      <c r="DN2567" s="4"/>
      <c r="DO2567" s="4"/>
      <c r="DP2567" s="4"/>
      <c r="DQ2567" s="4"/>
      <c r="DR2567" s="4"/>
      <c r="DS2567" s="4"/>
    </row>
    <row r="2568">
      <c r="A2568" s="4"/>
      <c r="B2568" s="4"/>
      <c r="C2568" s="4"/>
      <c r="D2568" s="4"/>
      <c r="E2568" s="4"/>
      <c r="F2568" s="4" t="s">
        <v>17</v>
      </c>
      <c r="G2568" s="15"/>
      <c r="H2568" s="4"/>
      <c r="I2568" s="4"/>
      <c r="J2568" s="4"/>
      <c r="K2568" s="4"/>
      <c r="L2568" s="4"/>
      <c r="M2568" s="4"/>
      <c r="N2568" s="4"/>
      <c r="O2568" s="4"/>
      <c r="P2568" s="4"/>
      <c r="Q2568" s="4"/>
      <c r="R2568" s="4"/>
      <c r="S2568" s="4"/>
      <c r="T2568" s="4"/>
      <c r="U2568" s="4"/>
      <c r="V2568" s="4"/>
      <c r="W2568" s="4"/>
      <c r="X2568" s="4"/>
      <c r="Y2568" s="4"/>
      <c r="Z2568" s="4"/>
      <c r="AA2568" s="4"/>
      <c r="AB2568" s="4"/>
      <c r="AC2568" s="4"/>
      <c r="AD2568" s="4"/>
      <c r="AE2568" s="4"/>
      <c r="AF2568" s="4"/>
      <c r="AG2568" s="4"/>
      <c r="AH2568" s="4"/>
      <c r="AI2568" s="4"/>
      <c r="AJ2568" s="4"/>
      <c r="AK2568" s="4"/>
      <c r="AL2568" s="4"/>
      <c r="AM2568" s="4"/>
      <c r="AN2568" s="4"/>
      <c r="AO2568" s="4"/>
      <c r="AP2568" s="4"/>
      <c r="AQ2568" s="4"/>
      <c r="AR2568" s="4"/>
      <c r="AS2568" s="4"/>
      <c r="AT2568" s="4"/>
      <c r="AU2568" s="4"/>
      <c r="AV2568" s="4"/>
      <c r="AW2568" s="4"/>
      <c r="AX2568" s="4"/>
      <c r="AY2568" s="4"/>
      <c r="AZ2568" s="4"/>
      <c r="BA2568" s="4"/>
      <c r="BB2568" s="4"/>
      <c r="BC2568" s="4"/>
      <c r="BD2568" s="4"/>
      <c r="BE2568" s="4"/>
      <c r="BF2568" s="4"/>
      <c r="BG2568" s="4"/>
      <c r="BH2568" s="4"/>
      <c r="BI2568" s="4"/>
      <c r="BJ2568" s="4"/>
      <c r="BK2568" s="4"/>
      <c r="BL2568" s="4"/>
      <c r="BM2568" s="4"/>
      <c r="BN2568" s="4"/>
      <c r="BO2568" s="4"/>
      <c r="BP2568" s="4"/>
      <c r="BQ2568" s="4"/>
      <c r="BR2568" s="4"/>
      <c r="BS2568" s="4"/>
      <c r="BT2568" s="4"/>
      <c r="BU2568" s="4"/>
      <c r="BV2568" s="4"/>
      <c r="BW2568" s="4"/>
      <c r="BX2568" s="4"/>
      <c r="BY2568" s="4"/>
      <c r="BZ2568" s="4"/>
      <c r="CA2568" s="4"/>
      <c r="CB2568" s="4"/>
      <c r="CC2568" s="4"/>
      <c r="CD2568" s="4"/>
      <c r="CE2568" s="4"/>
      <c r="CF2568" s="4"/>
      <c r="CG2568" s="4"/>
      <c r="CH2568" s="4"/>
      <c r="CI2568" s="4"/>
      <c r="CJ2568" s="4"/>
      <c r="CK2568" s="4"/>
      <c r="CL2568" s="4"/>
      <c r="CM2568" s="4"/>
      <c r="CN2568" s="4"/>
      <c r="CO2568" s="4"/>
      <c r="CP2568" s="4"/>
      <c r="CQ2568" s="4"/>
      <c r="CR2568" s="4"/>
      <c r="CS2568" s="4"/>
      <c r="CT2568" s="4"/>
      <c r="CU2568" s="4"/>
      <c r="CV2568" s="4"/>
      <c r="CW2568" s="4"/>
      <c r="CX2568" s="4"/>
      <c r="CY2568" s="4"/>
      <c r="CZ2568" s="4"/>
      <c r="DA2568" s="4"/>
      <c r="DB2568" s="4"/>
      <c r="DC2568" s="4"/>
      <c r="DD2568" s="4"/>
      <c r="DE2568" s="4"/>
      <c r="DF2568" s="4"/>
      <c r="DG2568" s="4"/>
      <c r="DH2568" s="4"/>
      <c r="DI2568" s="4"/>
      <c r="DJ2568" s="4"/>
      <c r="DK2568" s="4"/>
      <c r="DL2568" s="4"/>
      <c r="DM2568" s="4"/>
      <c r="DN2568" s="4"/>
      <c r="DO2568" s="4"/>
      <c r="DP2568" s="4"/>
      <c r="DQ2568" s="4"/>
      <c r="DR2568" s="4"/>
      <c r="DS2568" s="4"/>
    </row>
    <row r="2569">
      <c r="A2569" s="4"/>
      <c r="B2569" s="4"/>
      <c r="C2569" s="4"/>
      <c r="D2569" s="4"/>
      <c r="E2569" s="4"/>
      <c r="F2569" s="4" t="s">
        <v>17</v>
      </c>
      <c r="G2569" s="15"/>
      <c r="H2569" s="4"/>
      <c r="I2569" s="4"/>
      <c r="J2569" s="4"/>
      <c r="K2569" s="4"/>
      <c r="L2569" s="4"/>
      <c r="M2569" s="4"/>
      <c r="N2569" s="4"/>
      <c r="O2569" s="4"/>
      <c r="P2569" s="4"/>
      <c r="Q2569" s="4"/>
      <c r="R2569" s="4"/>
      <c r="S2569" s="4"/>
      <c r="T2569" s="4"/>
      <c r="U2569" s="4"/>
      <c r="V2569" s="4"/>
      <c r="W2569" s="4"/>
      <c r="X2569" s="4"/>
      <c r="Y2569" s="4"/>
      <c r="Z2569" s="4"/>
      <c r="AA2569" s="4"/>
      <c r="AB2569" s="4"/>
      <c r="AC2569" s="4"/>
      <c r="AD2569" s="4"/>
      <c r="AE2569" s="4"/>
      <c r="AF2569" s="4"/>
      <c r="AG2569" s="4"/>
      <c r="AH2569" s="4"/>
      <c r="AI2569" s="4"/>
      <c r="AJ2569" s="4"/>
      <c r="AK2569" s="4"/>
      <c r="AL2569" s="4"/>
      <c r="AM2569" s="4"/>
      <c r="AN2569" s="4"/>
      <c r="AO2569" s="4"/>
      <c r="AP2569" s="4"/>
      <c r="AQ2569" s="4"/>
      <c r="AR2569" s="4"/>
      <c r="AS2569" s="4"/>
      <c r="AT2569" s="4"/>
      <c r="AU2569" s="4"/>
      <c r="AV2569" s="4"/>
      <c r="AW2569" s="4"/>
      <c r="AX2569" s="4"/>
      <c r="AY2569" s="4"/>
      <c r="AZ2569" s="4"/>
      <c r="BA2569" s="4"/>
      <c r="BB2569" s="4"/>
      <c r="BC2569" s="4"/>
      <c r="BD2569" s="4"/>
      <c r="BE2569" s="4"/>
      <c r="BF2569" s="4"/>
      <c r="BG2569" s="4"/>
      <c r="BH2569" s="4"/>
      <c r="BI2569" s="4"/>
      <c r="BJ2569" s="4"/>
      <c r="BK2569" s="4"/>
      <c r="BL2569" s="4"/>
      <c r="BM2569" s="4"/>
      <c r="BN2569" s="4"/>
      <c r="BO2569" s="4"/>
      <c r="BP2569" s="4"/>
      <c r="BQ2569" s="4"/>
      <c r="BR2569" s="4"/>
      <c r="BS2569" s="4"/>
      <c r="BT2569" s="4"/>
      <c r="BU2569" s="4"/>
      <c r="BV2569" s="4"/>
      <c r="BW2569" s="4"/>
      <c r="BX2569" s="4"/>
      <c r="BY2569" s="4"/>
      <c r="BZ2569" s="4"/>
      <c r="CA2569" s="4"/>
      <c r="CB2569" s="4"/>
      <c r="CC2569" s="4"/>
      <c r="CD2569" s="4"/>
      <c r="CE2569" s="4"/>
      <c r="CF2569" s="4"/>
      <c r="CG2569" s="4"/>
      <c r="CH2569" s="4"/>
      <c r="CI2569" s="4"/>
      <c r="CJ2569" s="4"/>
      <c r="CK2569" s="4"/>
      <c r="CL2569" s="4"/>
      <c r="CM2569" s="4"/>
      <c r="CN2569" s="4"/>
      <c r="CO2569" s="4"/>
      <c r="CP2569" s="4"/>
      <c r="CQ2569" s="4"/>
      <c r="CR2569" s="4"/>
      <c r="CS2569" s="4"/>
      <c r="CT2569" s="4"/>
      <c r="CU2569" s="4"/>
      <c r="CV2569" s="4"/>
      <c r="CW2569" s="4"/>
      <c r="CX2569" s="4"/>
      <c r="CY2569" s="4"/>
      <c r="CZ2569" s="4"/>
      <c r="DA2569" s="4"/>
      <c r="DB2569" s="4"/>
      <c r="DC2569" s="4"/>
      <c r="DD2569" s="4"/>
      <c r="DE2569" s="4"/>
      <c r="DF2569" s="4"/>
      <c r="DG2569" s="4"/>
      <c r="DH2569" s="4"/>
      <c r="DI2569" s="4"/>
      <c r="DJ2569" s="4"/>
      <c r="DK2569" s="4"/>
      <c r="DL2569" s="4"/>
      <c r="DM2569" s="4"/>
      <c r="DN2569" s="4"/>
      <c r="DO2569" s="4"/>
      <c r="DP2569" s="4"/>
      <c r="DQ2569" s="4"/>
      <c r="DR2569" s="4"/>
      <c r="DS2569" s="4"/>
    </row>
    <row r="2570">
      <c r="A2570" s="4"/>
      <c r="B2570" s="4"/>
      <c r="C2570" s="4"/>
      <c r="D2570" s="4"/>
      <c r="E2570" s="4"/>
      <c r="F2570" s="4" t="s">
        <v>17</v>
      </c>
      <c r="G2570" s="15"/>
      <c r="H2570" s="4"/>
      <c r="I2570" s="4"/>
      <c r="J2570" s="4"/>
      <c r="K2570" s="4"/>
      <c r="L2570" s="4"/>
      <c r="M2570" s="4"/>
      <c r="N2570" s="4"/>
      <c r="O2570" s="4"/>
      <c r="P2570" s="4"/>
      <c r="Q2570" s="4"/>
      <c r="R2570" s="4"/>
      <c r="S2570" s="4"/>
      <c r="T2570" s="4"/>
      <c r="U2570" s="4"/>
      <c r="V2570" s="4"/>
      <c r="W2570" s="4"/>
      <c r="X2570" s="4"/>
      <c r="Y2570" s="4"/>
      <c r="Z2570" s="4"/>
      <c r="AA2570" s="4"/>
      <c r="AB2570" s="4"/>
      <c r="AC2570" s="4"/>
      <c r="AD2570" s="4"/>
      <c r="AE2570" s="4"/>
      <c r="AF2570" s="4"/>
      <c r="AG2570" s="4"/>
      <c r="AH2570" s="4"/>
      <c r="AI2570" s="4"/>
      <c r="AJ2570" s="4"/>
      <c r="AK2570" s="4"/>
      <c r="AL2570" s="4"/>
      <c r="AM2570" s="4"/>
      <c r="AN2570" s="4"/>
      <c r="AO2570" s="4"/>
      <c r="AP2570" s="4"/>
      <c r="AQ2570" s="4"/>
      <c r="AR2570" s="4"/>
      <c r="AS2570" s="4"/>
      <c r="AT2570" s="4"/>
      <c r="AU2570" s="4"/>
      <c r="AV2570" s="4"/>
      <c r="AW2570" s="4"/>
      <c r="AX2570" s="4"/>
      <c r="AY2570" s="4"/>
      <c r="AZ2570" s="4"/>
      <c r="BA2570" s="4"/>
      <c r="BB2570" s="4"/>
      <c r="BC2570" s="4"/>
      <c r="BD2570" s="4"/>
      <c r="BE2570" s="4"/>
      <c r="BF2570" s="4"/>
      <c r="BG2570" s="4"/>
      <c r="BH2570" s="4"/>
      <c r="BI2570" s="4"/>
      <c r="BJ2570" s="4"/>
      <c r="BK2570" s="4"/>
      <c r="BL2570" s="4"/>
      <c r="BM2570" s="4"/>
      <c r="BN2570" s="4"/>
      <c r="BO2570" s="4"/>
      <c r="BP2570" s="4"/>
      <c r="BQ2570" s="4"/>
      <c r="BR2570" s="4"/>
      <c r="BS2570" s="4"/>
      <c r="BT2570" s="4"/>
      <c r="BU2570" s="4"/>
      <c r="BV2570" s="4"/>
      <c r="BW2570" s="4"/>
      <c r="BX2570" s="4"/>
      <c r="BY2570" s="4"/>
      <c r="BZ2570" s="4"/>
      <c r="CA2570" s="4"/>
      <c r="CB2570" s="4"/>
      <c r="CC2570" s="4"/>
      <c r="CD2570" s="4"/>
      <c r="CE2570" s="4"/>
      <c r="CF2570" s="4"/>
      <c r="CG2570" s="4"/>
      <c r="CH2570" s="4"/>
      <c r="CI2570" s="4"/>
      <c r="CJ2570" s="4"/>
      <c r="CK2570" s="4"/>
      <c r="CL2570" s="4"/>
      <c r="CM2570" s="4"/>
      <c r="CN2570" s="4"/>
      <c r="CO2570" s="4"/>
      <c r="CP2570" s="4"/>
      <c r="CQ2570" s="4"/>
      <c r="CR2570" s="4"/>
      <c r="CS2570" s="4"/>
      <c r="CT2570" s="4"/>
      <c r="CU2570" s="4"/>
      <c r="CV2570" s="4"/>
      <c r="CW2570" s="4"/>
      <c r="CX2570" s="4"/>
      <c r="CY2570" s="4"/>
      <c r="CZ2570" s="4"/>
      <c r="DA2570" s="4"/>
      <c r="DB2570" s="4"/>
      <c r="DC2570" s="4"/>
      <c r="DD2570" s="4"/>
      <c r="DE2570" s="4"/>
      <c r="DF2570" s="4"/>
      <c r="DG2570" s="4"/>
      <c r="DH2570" s="4"/>
      <c r="DI2570" s="4"/>
      <c r="DJ2570" s="4"/>
      <c r="DK2570" s="4"/>
      <c r="DL2570" s="4"/>
      <c r="DM2570" s="4"/>
      <c r="DN2570" s="4"/>
      <c r="DO2570" s="4"/>
      <c r="DP2570" s="4"/>
      <c r="DQ2570" s="4"/>
      <c r="DR2570" s="4"/>
      <c r="DS2570" s="4"/>
    </row>
    <row r="2571">
      <c r="A2571" s="4"/>
      <c r="B2571" s="4"/>
      <c r="C2571" s="4"/>
      <c r="D2571" s="4"/>
      <c r="E2571" s="4"/>
      <c r="F2571" s="4" t="s">
        <v>17</v>
      </c>
      <c r="G2571" s="15"/>
      <c r="H2571" s="4"/>
      <c r="I2571" s="4"/>
      <c r="J2571" s="4"/>
      <c r="K2571" s="4"/>
      <c r="L2571" s="4"/>
      <c r="M2571" s="4"/>
      <c r="N2571" s="4"/>
      <c r="O2571" s="4"/>
      <c r="P2571" s="4"/>
      <c r="Q2571" s="4"/>
      <c r="R2571" s="4"/>
      <c r="S2571" s="4"/>
      <c r="T2571" s="4"/>
      <c r="U2571" s="4"/>
      <c r="V2571" s="4"/>
      <c r="W2571" s="4"/>
      <c r="X2571" s="4"/>
      <c r="Y2571" s="4"/>
      <c r="Z2571" s="4"/>
      <c r="AA2571" s="4"/>
      <c r="AB2571" s="4"/>
      <c r="AC2571" s="4"/>
      <c r="AD2571" s="4"/>
      <c r="AE2571" s="4"/>
      <c r="AF2571" s="4"/>
      <c r="AG2571" s="4"/>
      <c r="AH2571" s="4"/>
      <c r="AI2571" s="4"/>
      <c r="AJ2571" s="4"/>
      <c r="AK2571" s="4"/>
      <c r="AL2571" s="4"/>
      <c r="AM2571" s="4"/>
      <c r="AN2571" s="4"/>
      <c r="AO2571" s="4"/>
      <c r="AP2571" s="4"/>
      <c r="AQ2571" s="4"/>
      <c r="AR2571" s="4"/>
      <c r="AS2571" s="4"/>
      <c r="AT2571" s="4"/>
      <c r="AU2571" s="4"/>
      <c r="AV2571" s="4"/>
      <c r="AW2571" s="4"/>
      <c r="AX2571" s="4"/>
      <c r="AY2571" s="4"/>
      <c r="AZ2571" s="4"/>
      <c r="BA2571" s="4"/>
      <c r="BB2571" s="4"/>
      <c r="BC2571" s="4"/>
      <c r="BD2571" s="4"/>
      <c r="BE2571" s="4"/>
      <c r="BF2571" s="4"/>
      <c r="BG2571" s="4"/>
      <c r="BH2571" s="4"/>
      <c r="BI2571" s="4"/>
      <c r="BJ2571" s="4"/>
      <c r="BK2571" s="4"/>
      <c r="BL2571" s="4"/>
      <c r="BM2571" s="4"/>
      <c r="BN2571" s="4"/>
      <c r="BO2571" s="4"/>
      <c r="BP2571" s="4"/>
      <c r="BQ2571" s="4"/>
      <c r="BR2571" s="4"/>
      <c r="BS2571" s="4"/>
      <c r="BT2571" s="4"/>
      <c r="BU2571" s="4"/>
      <c r="BV2571" s="4"/>
      <c r="BW2571" s="4"/>
      <c r="BX2571" s="4"/>
      <c r="BY2571" s="4"/>
      <c r="BZ2571" s="4"/>
      <c r="CA2571" s="4"/>
      <c r="CB2571" s="4"/>
      <c r="CC2571" s="4"/>
      <c r="CD2571" s="4"/>
      <c r="CE2571" s="4"/>
      <c r="CF2571" s="4"/>
      <c r="CG2571" s="4"/>
      <c r="CH2571" s="4"/>
      <c r="CI2571" s="4"/>
      <c r="CJ2571" s="4"/>
      <c r="CK2571" s="4"/>
      <c r="CL2571" s="4"/>
      <c r="CM2571" s="4"/>
      <c r="CN2571" s="4"/>
      <c r="CO2571" s="4"/>
      <c r="CP2571" s="4"/>
      <c r="CQ2571" s="4"/>
      <c r="CR2571" s="4"/>
      <c r="CS2571" s="4"/>
      <c r="CT2571" s="4"/>
      <c r="CU2571" s="4"/>
      <c r="CV2571" s="4"/>
      <c r="CW2571" s="4"/>
      <c r="CX2571" s="4"/>
      <c r="CY2571" s="4"/>
      <c r="CZ2571" s="4"/>
      <c r="DA2571" s="4"/>
      <c r="DB2571" s="4"/>
      <c r="DC2571" s="4"/>
      <c r="DD2571" s="4"/>
      <c r="DE2571" s="4"/>
      <c r="DF2571" s="4"/>
      <c r="DG2571" s="4"/>
      <c r="DH2571" s="4"/>
      <c r="DI2571" s="4"/>
      <c r="DJ2571" s="4"/>
      <c r="DK2571" s="4"/>
      <c r="DL2571" s="4"/>
      <c r="DM2571" s="4"/>
      <c r="DN2571" s="4"/>
      <c r="DO2571" s="4"/>
      <c r="DP2571" s="4"/>
      <c r="DQ2571" s="4"/>
      <c r="DR2571" s="4"/>
      <c r="DS2571" s="4"/>
    </row>
    <row r="2572">
      <c r="A2572" s="4"/>
      <c r="B2572" s="4"/>
      <c r="C2572" s="4"/>
      <c r="D2572" s="4"/>
      <c r="E2572" s="4"/>
      <c r="F2572" s="4" t="s">
        <v>17</v>
      </c>
      <c r="G2572" s="15"/>
      <c r="H2572" s="4"/>
      <c r="I2572" s="4"/>
      <c r="J2572" s="4"/>
      <c r="K2572" s="4"/>
      <c r="L2572" s="4"/>
      <c r="M2572" s="4"/>
      <c r="N2572" s="4"/>
      <c r="O2572" s="4"/>
      <c r="P2572" s="4"/>
      <c r="Q2572" s="4"/>
      <c r="R2572" s="4"/>
      <c r="S2572" s="4"/>
      <c r="T2572" s="4"/>
      <c r="U2572" s="4"/>
      <c r="V2572" s="4"/>
      <c r="W2572" s="4"/>
      <c r="X2572" s="4"/>
      <c r="Y2572" s="4"/>
      <c r="Z2572" s="4"/>
      <c r="AA2572" s="4"/>
      <c r="AB2572" s="4"/>
      <c r="AC2572" s="4"/>
      <c r="AD2572" s="4"/>
      <c r="AE2572" s="4"/>
      <c r="AF2572" s="4"/>
      <c r="AG2572" s="4"/>
      <c r="AH2572" s="4"/>
      <c r="AI2572" s="4"/>
      <c r="AJ2572" s="4"/>
      <c r="AK2572" s="4"/>
      <c r="AL2572" s="4"/>
      <c r="AM2572" s="4"/>
      <c r="AN2572" s="4"/>
      <c r="AO2572" s="4"/>
      <c r="AP2572" s="4"/>
      <c r="AQ2572" s="4"/>
      <c r="AR2572" s="4"/>
      <c r="AS2572" s="4"/>
      <c r="AT2572" s="4"/>
      <c r="AU2572" s="4"/>
      <c r="AV2572" s="4"/>
      <c r="AW2572" s="4"/>
      <c r="AX2572" s="4"/>
      <c r="AY2572" s="4"/>
      <c r="AZ2572" s="4"/>
      <c r="BA2572" s="4"/>
      <c r="BB2572" s="4"/>
      <c r="BC2572" s="4"/>
      <c r="BD2572" s="4"/>
      <c r="BE2572" s="4"/>
      <c r="BF2572" s="4"/>
      <c r="BG2572" s="4"/>
      <c r="BH2572" s="4"/>
      <c r="BI2572" s="4"/>
      <c r="BJ2572" s="4"/>
      <c r="BK2572" s="4"/>
      <c r="BL2572" s="4"/>
      <c r="BM2572" s="4"/>
      <c r="BN2572" s="4"/>
      <c r="BO2572" s="4"/>
      <c r="BP2572" s="4"/>
      <c r="BQ2572" s="4"/>
      <c r="BR2572" s="4"/>
      <c r="BS2572" s="4"/>
      <c r="BT2572" s="4"/>
      <c r="BU2572" s="4"/>
      <c r="BV2572" s="4"/>
      <c r="BW2572" s="4"/>
      <c r="BX2572" s="4"/>
      <c r="BY2572" s="4"/>
      <c r="BZ2572" s="4"/>
      <c r="CA2572" s="4"/>
      <c r="CB2572" s="4"/>
      <c r="CC2572" s="4"/>
      <c r="CD2572" s="4"/>
      <c r="CE2572" s="4"/>
      <c r="CF2572" s="4"/>
      <c r="CG2572" s="4"/>
      <c r="CH2572" s="4"/>
      <c r="CI2572" s="4"/>
      <c r="CJ2572" s="4"/>
      <c r="CK2572" s="4"/>
      <c r="CL2572" s="4"/>
      <c r="CM2572" s="4"/>
      <c r="CN2572" s="4"/>
      <c r="CO2572" s="4"/>
      <c r="CP2572" s="4"/>
      <c r="CQ2572" s="4"/>
      <c r="CR2572" s="4"/>
      <c r="CS2572" s="4"/>
      <c r="CT2572" s="4"/>
      <c r="CU2572" s="4"/>
      <c r="CV2572" s="4"/>
      <c r="CW2572" s="4"/>
      <c r="CX2572" s="4"/>
      <c r="CY2572" s="4"/>
      <c r="CZ2572" s="4"/>
      <c r="DA2572" s="4"/>
      <c r="DB2572" s="4"/>
      <c r="DC2572" s="4"/>
      <c r="DD2572" s="4"/>
      <c r="DE2572" s="4"/>
      <c r="DF2572" s="4"/>
      <c r="DG2572" s="4"/>
      <c r="DH2572" s="4"/>
      <c r="DI2572" s="4"/>
      <c r="DJ2572" s="4"/>
      <c r="DK2572" s="4"/>
      <c r="DL2572" s="4"/>
      <c r="DM2572" s="4"/>
      <c r="DN2572" s="4"/>
      <c r="DO2572" s="4"/>
      <c r="DP2572" s="4"/>
      <c r="DQ2572" s="4"/>
      <c r="DR2572" s="4"/>
      <c r="DS2572" s="4"/>
    </row>
    <row r="2573">
      <c r="A2573" s="4"/>
      <c r="B2573" s="4"/>
      <c r="C2573" s="4"/>
      <c r="D2573" s="4"/>
      <c r="E2573" s="4"/>
      <c r="F2573" s="4" t="s">
        <v>17</v>
      </c>
      <c r="G2573" s="15"/>
      <c r="H2573" s="4"/>
      <c r="I2573" s="4"/>
      <c r="J2573" s="4"/>
      <c r="K2573" s="4"/>
      <c r="L2573" s="4"/>
      <c r="M2573" s="4"/>
      <c r="N2573" s="4"/>
      <c r="O2573" s="4"/>
      <c r="P2573" s="4"/>
      <c r="Q2573" s="4"/>
      <c r="R2573" s="4"/>
      <c r="S2573" s="4"/>
      <c r="T2573" s="4"/>
      <c r="U2573" s="4"/>
      <c r="V2573" s="4"/>
      <c r="W2573" s="4"/>
      <c r="X2573" s="4"/>
      <c r="Y2573" s="4"/>
      <c r="Z2573" s="4"/>
      <c r="AA2573" s="4"/>
      <c r="AB2573" s="4"/>
      <c r="AC2573" s="4"/>
      <c r="AD2573" s="4"/>
      <c r="AE2573" s="4"/>
      <c r="AF2573" s="4"/>
      <c r="AG2573" s="4"/>
      <c r="AH2573" s="4"/>
      <c r="AI2573" s="4"/>
      <c r="AJ2573" s="4"/>
      <c r="AK2573" s="4"/>
      <c r="AL2573" s="4"/>
      <c r="AM2573" s="4"/>
      <c r="AN2573" s="4"/>
      <c r="AO2573" s="4"/>
      <c r="AP2573" s="4"/>
      <c r="AQ2573" s="4"/>
      <c r="AR2573" s="4"/>
      <c r="AS2573" s="4"/>
      <c r="AT2573" s="4"/>
      <c r="AU2573" s="4"/>
      <c r="AV2573" s="4"/>
      <c r="AW2573" s="4"/>
      <c r="AX2573" s="4"/>
      <c r="AY2573" s="4"/>
      <c r="AZ2573" s="4"/>
      <c r="BA2573" s="4"/>
      <c r="BB2573" s="4"/>
      <c r="BC2573" s="4"/>
      <c r="BD2573" s="4"/>
      <c r="BE2573" s="4"/>
      <c r="BF2573" s="4"/>
      <c r="BG2573" s="4"/>
      <c r="BH2573" s="4"/>
      <c r="BI2573" s="4"/>
      <c r="BJ2573" s="4"/>
      <c r="BK2573" s="4"/>
      <c r="BL2573" s="4"/>
      <c r="BM2573" s="4"/>
      <c r="BN2573" s="4"/>
      <c r="BO2573" s="4"/>
      <c r="BP2573" s="4"/>
      <c r="BQ2573" s="4"/>
      <c r="BR2573" s="4"/>
      <c r="BS2573" s="4"/>
      <c r="BT2573" s="4"/>
      <c r="BU2573" s="4"/>
      <c r="BV2573" s="4"/>
      <c r="BW2573" s="4"/>
      <c r="BX2573" s="4"/>
      <c r="BY2573" s="4"/>
      <c r="BZ2573" s="4"/>
      <c r="CA2573" s="4"/>
      <c r="CB2573" s="4"/>
      <c r="CC2573" s="4"/>
      <c r="CD2573" s="4"/>
      <c r="CE2573" s="4"/>
      <c r="CF2573" s="4"/>
      <c r="CG2573" s="4"/>
      <c r="CH2573" s="4"/>
      <c r="CI2573" s="4"/>
      <c r="CJ2573" s="4"/>
      <c r="CK2573" s="4"/>
      <c r="CL2573" s="4"/>
      <c r="CM2573" s="4"/>
      <c r="CN2573" s="4"/>
      <c r="CO2573" s="4"/>
      <c r="CP2573" s="4"/>
      <c r="CQ2573" s="4"/>
      <c r="CR2573" s="4"/>
      <c r="CS2573" s="4"/>
      <c r="CT2573" s="4"/>
      <c r="CU2573" s="4"/>
      <c r="CV2573" s="4"/>
      <c r="CW2573" s="4"/>
      <c r="CX2573" s="4"/>
      <c r="CY2573" s="4"/>
      <c r="CZ2573" s="4"/>
      <c r="DA2573" s="4"/>
      <c r="DB2573" s="4"/>
      <c r="DC2573" s="4"/>
      <c r="DD2573" s="4"/>
      <c r="DE2573" s="4"/>
      <c r="DF2573" s="4"/>
      <c r="DG2573" s="4"/>
      <c r="DH2573" s="4"/>
      <c r="DI2573" s="4"/>
      <c r="DJ2573" s="4"/>
      <c r="DK2573" s="4"/>
      <c r="DL2573" s="4"/>
      <c r="DM2573" s="4"/>
      <c r="DN2573" s="4"/>
      <c r="DO2573" s="4"/>
      <c r="DP2573" s="4"/>
      <c r="DQ2573" s="4"/>
      <c r="DR2573" s="4"/>
      <c r="DS2573" s="4"/>
    </row>
    <row r="2574">
      <c r="A2574" s="4"/>
      <c r="B2574" s="4"/>
      <c r="C2574" s="4"/>
      <c r="D2574" s="4"/>
      <c r="E2574" s="4"/>
      <c r="F2574" s="4" t="s">
        <v>17</v>
      </c>
      <c r="G2574" s="15"/>
      <c r="H2574" s="4"/>
      <c r="I2574" s="4"/>
      <c r="J2574" s="4"/>
      <c r="K2574" s="4"/>
      <c r="L2574" s="4"/>
      <c r="M2574" s="4"/>
      <c r="N2574" s="4"/>
      <c r="O2574" s="4"/>
      <c r="P2574" s="4"/>
      <c r="Q2574" s="4"/>
      <c r="R2574" s="4"/>
      <c r="S2574" s="4"/>
      <c r="T2574" s="4"/>
      <c r="U2574" s="4"/>
      <c r="V2574" s="4"/>
      <c r="W2574" s="4"/>
      <c r="X2574" s="4"/>
      <c r="Y2574" s="4"/>
      <c r="Z2574" s="4"/>
      <c r="AA2574" s="4"/>
      <c r="AB2574" s="4"/>
      <c r="AC2574" s="4"/>
      <c r="AD2574" s="4"/>
      <c r="AE2574" s="4"/>
      <c r="AF2574" s="4"/>
      <c r="AG2574" s="4"/>
      <c r="AH2574" s="4"/>
      <c r="AI2574" s="4"/>
      <c r="AJ2574" s="4"/>
      <c r="AK2574" s="4"/>
      <c r="AL2574" s="4"/>
      <c r="AM2574" s="4"/>
      <c r="AN2574" s="4"/>
      <c r="AO2574" s="4"/>
      <c r="AP2574" s="4"/>
      <c r="AQ2574" s="4"/>
      <c r="AR2574" s="4"/>
      <c r="AS2574" s="4"/>
      <c r="AT2574" s="4"/>
      <c r="AU2574" s="4"/>
      <c r="AV2574" s="4"/>
      <c r="AW2574" s="4"/>
      <c r="AX2574" s="4"/>
      <c r="AY2574" s="4"/>
      <c r="AZ2574" s="4"/>
      <c r="BA2574" s="4"/>
      <c r="BB2574" s="4"/>
      <c r="BC2574" s="4"/>
      <c r="BD2574" s="4"/>
      <c r="BE2574" s="4"/>
      <c r="BF2574" s="4"/>
      <c r="BG2574" s="4"/>
      <c r="BH2574" s="4"/>
      <c r="BI2574" s="4"/>
      <c r="BJ2574" s="4"/>
      <c r="BK2574" s="4"/>
      <c r="BL2574" s="4"/>
      <c r="BM2574" s="4"/>
      <c r="BN2574" s="4"/>
      <c r="BO2574" s="4"/>
      <c r="BP2574" s="4"/>
      <c r="BQ2574" s="4"/>
      <c r="BR2574" s="4"/>
      <c r="BS2574" s="4"/>
      <c r="BT2574" s="4"/>
      <c r="BU2574" s="4"/>
      <c r="BV2574" s="4"/>
      <c r="BW2574" s="4"/>
      <c r="BX2574" s="4"/>
      <c r="BY2574" s="4"/>
      <c r="BZ2574" s="4"/>
      <c r="CA2574" s="4"/>
      <c r="CB2574" s="4"/>
      <c r="CC2574" s="4"/>
      <c r="CD2574" s="4"/>
      <c r="CE2574" s="4"/>
      <c r="CF2574" s="4"/>
      <c r="CG2574" s="4"/>
      <c r="CH2574" s="4"/>
      <c r="CI2574" s="4"/>
      <c r="CJ2574" s="4"/>
      <c r="CK2574" s="4"/>
      <c r="CL2574" s="4"/>
      <c r="CM2574" s="4"/>
      <c r="CN2574" s="4"/>
      <c r="CO2574" s="4"/>
      <c r="CP2574" s="4"/>
      <c r="CQ2574" s="4"/>
      <c r="CR2574" s="4"/>
      <c r="CS2574" s="4"/>
      <c r="CT2574" s="4"/>
      <c r="CU2574" s="4"/>
      <c r="CV2574" s="4"/>
      <c r="CW2574" s="4"/>
      <c r="CX2574" s="4"/>
      <c r="CY2574" s="4"/>
      <c r="CZ2574" s="4"/>
      <c r="DA2574" s="4"/>
      <c r="DB2574" s="4"/>
      <c r="DC2574" s="4"/>
      <c r="DD2574" s="4"/>
      <c r="DE2574" s="4"/>
      <c r="DF2574" s="4"/>
      <c r="DG2574" s="4"/>
      <c r="DH2574" s="4"/>
      <c r="DI2574" s="4"/>
      <c r="DJ2574" s="4"/>
      <c r="DK2574" s="4"/>
      <c r="DL2574" s="4"/>
      <c r="DM2574" s="4"/>
      <c r="DN2574" s="4"/>
      <c r="DO2574" s="4"/>
      <c r="DP2574" s="4"/>
      <c r="DQ2574" s="4"/>
      <c r="DR2574" s="4"/>
      <c r="DS2574" s="4"/>
    </row>
    <row r="2575">
      <c r="A2575" s="4"/>
      <c r="B2575" s="4"/>
      <c r="C2575" s="4"/>
      <c r="D2575" s="4"/>
      <c r="E2575" s="4"/>
      <c r="F2575" s="4" t="s">
        <v>17</v>
      </c>
      <c r="G2575" s="15"/>
      <c r="H2575" s="4"/>
      <c r="I2575" s="4"/>
      <c r="J2575" s="4"/>
      <c r="K2575" s="4"/>
      <c r="L2575" s="4"/>
      <c r="M2575" s="4"/>
      <c r="N2575" s="4"/>
      <c r="O2575" s="4"/>
      <c r="P2575" s="4"/>
      <c r="Q2575" s="4"/>
      <c r="R2575" s="4"/>
      <c r="S2575" s="4"/>
      <c r="T2575" s="4"/>
      <c r="U2575" s="4"/>
      <c r="V2575" s="4"/>
      <c r="W2575" s="4"/>
      <c r="X2575" s="4"/>
      <c r="Y2575" s="4"/>
      <c r="Z2575" s="4"/>
      <c r="AA2575" s="4"/>
      <c r="AB2575" s="4"/>
      <c r="AC2575" s="4"/>
      <c r="AD2575" s="4"/>
      <c r="AE2575" s="4"/>
      <c r="AF2575" s="4"/>
      <c r="AG2575" s="4"/>
      <c r="AH2575" s="4"/>
      <c r="AI2575" s="4"/>
      <c r="AJ2575" s="4"/>
      <c r="AK2575" s="4"/>
      <c r="AL2575" s="4"/>
      <c r="AM2575" s="4"/>
      <c r="AN2575" s="4"/>
      <c r="AO2575" s="4"/>
      <c r="AP2575" s="4"/>
      <c r="AQ2575" s="4"/>
      <c r="AR2575" s="4"/>
      <c r="AS2575" s="4"/>
      <c r="AT2575" s="4"/>
      <c r="AU2575" s="4"/>
      <c r="AV2575" s="4"/>
      <c r="AW2575" s="4"/>
      <c r="AX2575" s="4"/>
      <c r="AY2575" s="4"/>
      <c r="AZ2575" s="4"/>
      <c r="BA2575" s="4"/>
      <c r="BB2575" s="4"/>
      <c r="BC2575" s="4"/>
      <c r="BD2575" s="4"/>
      <c r="BE2575" s="4"/>
      <c r="BF2575" s="4"/>
      <c r="BG2575" s="4"/>
      <c r="BH2575" s="4"/>
      <c r="BI2575" s="4"/>
      <c r="BJ2575" s="4"/>
      <c r="BK2575" s="4"/>
      <c r="BL2575" s="4"/>
      <c r="BM2575" s="4"/>
      <c r="BN2575" s="4"/>
      <c r="BO2575" s="4"/>
      <c r="BP2575" s="4"/>
      <c r="BQ2575" s="4"/>
      <c r="BR2575" s="4"/>
      <c r="BS2575" s="4"/>
      <c r="BT2575" s="4"/>
      <c r="BU2575" s="4"/>
      <c r="BV2575" s="4"/>
      <c r="BW2575" s="4"/>
      <c r="BX2575" s="4"/>
      <c r="BY2575" s="4"/>
      <c r="BZ2575" s="4"/>
      <c r="CA2575" s="4"/>
      <c r="CB2575" s="4"/>
      <c r="CC2575" s="4"/>
      <c r="CD2575" s="4"/>
      <c r="CE2575" s="4"/>
      <c r="CF2575" s="4"/>
      <c r="CG2575" s="4"/>
      <c r="CH2575" s="4"/>
      <c r="CI2575" s="4"/>
      <c r="CJ2575" s="4"/>
      <c r="CK2575" s="4"/>
      <c r="CL2575" s="4"/>
      <c r="CM2575" s="4"/>
      <c r="CN2575" s="4"/>
      <c r="CO2575" s="4"/>
      <c r="CP2575" s="4"/>
      <c r="CQ2575" s="4"/>
      <c r="CR2575" s="4"/>
      <c r="CS2575" s="4"/>
      <c r="CT2575" s="4"/>
      <c r="CU2575" s="4"/>
      <c r="CV2575" s="4"/>
      <c r="CW2575" s="4"/>
      <c r="CX2575" s="4"/>
      <c r="CY2575" s="4"/>
      <c r="CZ2575" s="4"/>
      <c r="DA2575" s="4"/>
      <c r="DB2575" s="4"/>
      <c r="DC2575" s="4"/>
      <c r="DD2575" s="4"/>
      <c r="DE2575" s="4"/>
      <c r="DF2575" s="4"/>
      <c r="DG2575" s="4"/>
      <c r="DH2575" s="4"/>
      <c r="DI2575" s="4"/>
      <c r="DJ2575" s="4"/>
      <c r="DK2575" s="4"/>
      <c r="DL2575" s="4"/>
      <c r="DM2575" s="4"/>
      <c r="DN2575" s="4"/>
      <c r="DO2575" s="4"/>
      <c r="DP2575" s="4"/>
      <c r="DQ2575" s="4"/>
      <c r="DR2575" s="4"/>
      <c r="DS2575" s="4"/>
    </row>
    <row r="2576">
      <c r="A2576" s="4"/>
      <c r="B2576" s="4"/>
      <c r="C2576" s="4"/>
      <c r="D2576" s="4"/>
      <c r="E2576" s="4"/>
      <c r="F2576" s="4" t="s">
        <v>17</v>
      </c>
      <c r="G2576" s="15"/>
      <c r="H2576" s="4"/>
      <c r="I2576" s="4"/>
      <c r="J2576" s="4"/>
      <c r="K2576" s="4"/>
      <c r="L2576" s="4"/>
      <c r="M2576" s="4"/>
      <c r="N2576" s="4"/>
      <c r="O2576" s="4"/>
      <c r="P2576" s="4"/>
      <c r="Q2576" s="4"/>
      <c r="R2576" s="4"/>
      <c r="S2576" s="4"/>
      <c r="T2576" s="4"/>
      <c r="U2576" s="4"/>
      <c r="V2576" s="4"/>
      <c r="W2576" s="4"/>
      <c r="X2576" s="4"/>
      <c r="Y2576" s="4"/>
      <c r="Z2576" s="4"/>
      <c r="AA2576" s="4"/>
      <c r="AB2576" s="4"/>
      <c r="AC2576" s="4"/>
      <c r="AD2576" s="4"/>
      <c r="AE2576" s="4"/>
      <c r="AF2576" s="4"/>
      <c r="AG2576" s="4"/>
      <c r="AH2576" s="4"/>
      <c r="AI2576" s="4"/>
      <c r="AJ2576" s="4"/>
      <c r="AK2576" s="4"/>
      <c r="AL2576" s="4"/>
      <c r="AM2576" s="4"/>
      <c r="AN2576" s="4"/>
      <c r="AO2576" s="4"/>
      <c r="AP2576" s="4"/>
      <c r="AQ2576" s="4"/>
      <c r="AR2576" s="4"/>
      <c r="AS2576" s="4"/>
      <c r="AT2576" s="4"/>
      <c r="AU2576" s="4"/>
      <c r="AV2576" s="4"/>
      <c r="AW2576" s="4"/>
      <c r="AX2576" s="4"/>
      <c r="AY2576" s="4"/>
      <c r="AZ2576" s="4"/>
      <c r="BA2576" s="4"/>
      <c r="BB2576" s="4"/>
      <c r="BC2576" s="4"/>
      <c r="BD2576" s="4"/>
      <c r="BE2576" s="4"/>
      <c r="BF2576" s="4"/>
      <c r="BG2576" s="4"/>
      <c r="BH2576" s="4"/>
      <c r="BI2576" s="4"/>
      <c r="BJ2576" s="4"/>
      <c r="BK2576" s="4"/>
      <c r="BL2576" s="4"/>
      <c r="BM2576" s="4"/>
      <c r="BN2576" s="4"/>
      <c r="BO2576" s="4"/>
      <c r="BP2576" s="4"/>
      <c r="BQ2576" s="4"/>
      <c r="BR2576" s="4"/>
      <c r="BS2576" s="4"/>
      <c r="BT2576" s="4"/>
      <c r="BU2576" s="4"/>
      <c r="BV2576" s="4"/>
      <c r="BW2576" s="4"/>
      <c r="BX2576" s="4"/>
      <c r="BY2576" s="4"/>
      <c r="BZ2576" s="4"/>
      <c r="CA2576" s="4"/>
      <c r="CB2576" s="4"/>
      <c r="CC2576" s="4"/>
      <c r="CD2576" s="4"/>
      <c r="CE2576" s="4"/>
      <c r="CF2576" s="4"/>
      <c r="CG2576" s="4"/>
      <c r="CH2576" s="4"/>
      <c r="CI2576" s="4"/>
      <c r="CJ2576" s="4"/>
      <c r="CK2576" s="4"/>
      <c r="CL2576" s="4"/>
      <c r="CM2576" s="4"/>
      <c r="CN2576" s="4"/>
      <c r="CO2576" s="4"/>
      <c r="CP2576" s="4"/>
      <c r="CQ2576" s="4"/>
      <c r="CR2576" s="4"/>
      <c r="CS2576" s="4"/>
      <c r="CT2576" s="4"/>
      <c r="CU2576" s="4"/>
      <c r="CV2576" s="4"/>
      <c r="CW2576" s="4"/>
      <c r="CX2576" s="4"/>
      <c r="CY2576" s="4"/>
      <c r="CZ2576" s="4"/>
      <c r="DA2576" s="4"/>
      <c r="DB2576" s="4"/>
      <c r="DC2576" s="4"/>
      <c r="DD2576" s="4"/>
      <c r="DE2576" s="4"/>
      <c r="DF2576" s="4"/>
      <c r="DG2576" s="4"/>
      <c r="DH2576" s="4"/>
      <c r="DI2576" s="4"/>
      <c r="DJ2576" s="4"/>
      <c r="DK2576" s="4"/>
      <c r="DL2576" s="4"/>
      <c r="DM2576" s="4"/>
      <c r="DN2576" s="4"/>
      <c r="DO2576" s="4"/>
      <c r="DP2576" s="4"/>
      <c r="DQ2576" s="4"/>
      <c r="DR2576" s="4"/>
      <c r="DS2576" s="4"/>
    </row>
    <row r="2577">
      <c r="A2577" s="4"/>
      <c r="B2577" s="4"/>
      <c r="C2577" s="4"/>
      <c r="D2577" s="4"/>
      <c r="E2577" s="4"/>
      <c r="F2577" s="4" t="s">
        <v>17</v>
      </c>
      <c r="G2577" s="15"/>
      <c r="H2577" s="4"/>
      <c r="I2577" s="4"/>
      <c r="J2577" s="4"/>
      <c r="K2577" s="4"/>
      <c r="L2577" s="4"/>
      <c r="M2577" s="4"/>
      <c r="N2577" s="4"/>
      <c r="O2577" s="4"/>
      <c r="P2577" s="4"/>
      <c r="Q2577" s="4"/>
      <c r="R2577" s="4"/>
      <c r="S2577" s="4"/>
      <c r="T2577" s="4"/>
      <c r="U2577" s="4"/>
      <c r="V2577" s="4"/>
      <c r="W2577" s="4"/>
      <c r="X2577" s="4"/>
      <c r="Y2577" s="4"/>
      <c r="Z2577" s="4"/>
      <c r="AA2577" s="4"/>
      <c r="AB2577" s="4"/>
      <c r="AC2577" s="4"/>
      <c r="AD2577" s="4"/>
      <c r="AE2577" s="4"/>
      <c r="AF2577" s="4"/>
      <c r="AG2577" s="4"/>
      <c r="AH2577" s="4"/>
      <c r="AI2577" s="4"/>
      <c r="AJ2577" s="4"/>
      <c r="AK2577" s="4"/>
      <c r="AL2577" s="4"/>
      <c r="AM2577" s="4"/>
      <c r="AN2577" s="4"/>
      <c r="AO2577" s="4"/>
      <c r="AP2577" s="4"/>
      <c r="AQ2577" s="4"/>
      <c r="AR2577" s="4"/>
      <c r="AS2577" s="4"/>
      <c r="AT2577" s="4"/>
      <c r="AU2577" s="4"/>
      <c r="AV2577" s="4"/>
      <c r="AW2577" s="4"/>
      <c r="AX2577" s="4"/>
      <c r="AY2577" s="4"/>
      <c r="AZ2577" s="4"/>
      <c r="BA2577" s="4"/>
      <c r="BB2577" s="4"/>
      <c r="BC2577" s="4"/>
      <c r="BD2577" s="4"/>
      <c r="BE2577" s="4"/>
      <c r="BF2577" s="4"/>
      <c r="BG2577" s="4"/>
      <c r="BH2577" s="4"/>
      <c r="BI2577" s="4"/>
      <c r="BJ2577" s="4"/>
      <c r="BK2577" s="4"/>
      <c r="BL2577" s="4"/>
      <c r="BM2577" s="4"/>
      <c r="BN2577" s="4"/>
      <c r="BO2577" s="4"/>
      <c r="BP2577" s="4"/>
      <c r="BQ2577" s="4"/>
      <c r="BR2577" s="4"/>
      <c r="BS2577" s="4"/>
      <c r="BT2577" s="4"/>
      <c r="BU2577" s="4"/>
      <c r="BV2577" s="4"/>
      <c r="BW2577" s="4"/>
      <c r="BX2577" s="4"/>
      <c r="BY2577" s="4"/>
      <c r="BZ2577" s="4"/>
      <c r="CA2577" s="4"/>
      <c r="CB2577" s="4"/>
      <c r="CC2577" s="4"/>
      <c r="CD2577" s="4"/>
      <c r="CE2577" s="4"/>
      <c r="CF2577" s="4"/>
      <c r="CG2577" s="4"/>
      <c r="CH2577" s="4"/>
      <c r="CI2577" s="4"/>
      <c r="CJ2577" s="4"/>
      <c r="CK2577" s="4"/>
      <c r="CL2577" s="4"/>
      <c r="CM2577" s="4"/>
      <c r="CN2577" s="4"/>
      <c r="CO2577" s="4"/>
      <c r="CP2577" s="4"/>
      <c r="CQ2577" s="4"/>
      <c r="CR2577" s="4"/>
      <c r="CS2577" s="4"/>
      <c r="CT2577" s="4"/>
      <c r="CU2577" s="4"/>
      <c r="CV2577" s="4"/>
      <c r="CW2577" s="4"/>
      <c r="CX2577" s="4"/>
      <c r="CY2577" s="4"/>
      <c r="CZ2577" s="4"/>
      <c r="DA2577" s="4"/>
      <c r="DB2577" s="4"/>
      <c r="DC2577" s="4"/>
      <c r="DD2577" s="4"/>
      <c r="DE2577" s="4"/>
      <c r="DF2577" s="4"/>
      <c r="DG2577" s="4"/>
      <c r="DH2577" s="4"/>
      <c r="DI2577" s="4"/>
      <c r="DJ2577" s="4"/>
      <c r="DK2577" s="4"/>
      <c r="DL2577" s="4"/>
      <c r="DM2577" s="4"/>
      <c r="DN2577" s="4"/>
      <c r="DO2577" s="4"/>
      <c r="DP2577" s="4"/>
      <c r="DQ2577" s="4"/>
      <c r="DR2577" s="4"/>
      <c r="DS2577" s="4"/>
    </row>
    <row r="2578">
      <c r="A2578" s="4"/>
      <c r="B2578" s="4"/>
      <c r="C2578" s="4"/>
      <c r="D2578" s="4"/>
      <c r="E2578" s="4"/>
      <c r="F2578" s="4" t="s">
        <v>17</v>
      </c>
      <c r="G2578" s="15"/>
      <c r="H2578" s="4"/>
      <c r="I2578" s="4"/>
      <c r="J2578" s="4"/>
      <c r="K2578" s="4"/>
      <c r="L2578" s="4"/>
      <c r="M2578" s="4"/>
      <c r="N2578" s="4"/>
      <c r="O2578" s="4"/>
      <c r="P2578" s="4"/>
      <c r="Q2578" s="4"/>
      <c r="R2578" s="4"/>
      <c r="S2578" s="4"/>
      <c r="T2578" s="4"/>
      <c r="U2578" s="4"/>
      <c r="V2578" s="4"/>
      <c r="W2578" s="4"/>
      <c r="X2578" s="4"/>
      <c r="Y2578" s="4"/>
      <c r="Z2578" s="4"/>
      <c r="AA2578" s="4"/>
      <c r="AB2578" s="4"/>
      <c r="AC2578" s="4"/>
      <c r="AD2578" s="4"/>
      <c r="AE2578" s="4"/>
      <c r="AF2578" s="4"/>
      <c r="AG2578" s="4"/>
      <c r="AH2578" s="4"/>
      <c r="AI2578" s="4"/>
      <c r="AJ2578" s="4"/>
      <c r="AK2578" s="4"/>
      <c r="AL2578" s="4"/>
      <c r="AM2578" s="4"/>
      <c r="AN2578" s="4"/>
      <c r="AO2578" s="4"/>
      <c r="AP2578" s="4"/>
      <c r="AQ2578" s="4"/>
      <c r="AR2578" s="4"/>
      <c r="AS2578" s="4"/>
      <c r="AT2578" s="4"/>
      <c r="AU2578" s="4"/>
      <c r="AV2578" s="4"/>
      <c r="AW2578" s="4"/>
      <c r="AX2578" s="4"/>
      <c r="AY2578" s="4"/>
      <c r="AZ2578" s="4"/>
      <c r="BA2578" s="4"/>
      <c r="BB2578" s="4"/>
      <c r="BC2578" s="4"/>
      <c r="BD2578" s="4"/>
      <c r="BE2578" s="4"/>
      <c r="BF2578" s="4"/>
      <c r="BG2578" s="4"/>
      <c r="BH2578" s="4"/>
      <c r="BI2578" s="4"/>
      <c r="BJ2578" s="4"/>
      <c r="BK2578" s="4"/>
      <c r="BL2578" s="4"/>
      <c r="BM2578" s="4"/>
      <c r="BN2578" s="4"/>
      <c r="BO2578" s="4"/>
      <c r="BP2578" s="4"/>
      <c r="BQ2578" s="4"/>
      <c r="BR2578" s="4"/>
      <c r="BS2578" s="4"/>
      <c r="BT2578" s="4"/>
      <c r="BU2578" s="4"/>
      <c r="BV2578" s="4"/>
      <c r="BW2578" s="4"/>
      <c r="BX2578" s="4"/>
      <c r="BY2578" s="4"/>
      <c r="BZ2578" s="4"/>
      <c r="CA2578" s="4"/>
      <c r="CB2578" s="4"/>
      <c r="CC2578" s="4"/>
      <c r="CD2578" s="4"/>
      <c r="CE2578" s="4"/>
      <c r="CF2578" s="4"/>
      <c r="CG2578" s="4"/>
      <c r="CH2578" s="4"/>
      <c r="CI2578" s="4"/>
      <c r="CJ2578" s="4"/>
      <c r="CK2578" s="4"/>
      <c r="CL2578" s="4"/>
      <c r="CM2578" s="4"/>
      <c r="CN2578" s="4"/>
      <c r="CO2578" s="4"/>
      <c r="CP2578" s="4"/>
      <c r="CQ2578" s="4"/>
      <c r="CR2578" s="4"/>
      <c r="CS2578" s="4"/>
      <c r="CT2578" s="4"/>
      <c r="CU2578" s="4"/>
      <c r="CV2578" s="4"/>
      <c r="CW2578" s="4"/>
      <c r="CX2578" s="4"/>
      <c r="CY2578" s="4"/>
      <c r="CZ2578" s="4"/>
      <c r="DA2578" s="4"/>
      <c r="DB2578" s="4"/>
      <c r="DC2578" s="4"/>
      <c r="DD2578" s="4"/>
      <c r="DE2578" s="4"/>
      <c r="DF2578" s="4"/>
      <c r="DG2578" s="4"/>
      <c r="DH2578" s="4"/>
      <c r="DI2578" s="4"/>
      <c r="DJ2578" s="4"/>
      <c r="DK2578" s="4"/>
      <c r="DL2578" s="4"/>
      <c r="DM2578" s="4"/>
      <c r="DN2578" s="4"/>
      <c r="DO2578" s="4"/>
      <c r="DP2578" s="4"/>
      <c r="DQ2578" s="4"/>
      <c r="DR2578" s="4"/>
      <c r="DS2578" s="4"/>
    </row>
    <row r="2579">
      <c r="A2579" s="4"/>
      <c r="B2579" s="4"/>
      <c r="C2579" s="4"/>
      <c r="D2579" s="4"/>
      <c r="E2579" s="4"/>
      <c r="F2579" s="4" t="s">
        <v>17</v>
      </c>
      <c r="G2579" s="15"/>
      <c r="H2579" s="4"/>
      <c r="I2579" s="4"/>
      <c r="J2579" s="4"/>
      <c r="K2579" s="4"/>
      <c r="L2579" s="4"/>
      <c r="M2579" s="4"/>
      <c r="N2579" s="4"/>
      <c r="O2579" s="4"/>
      <c r="P2579" s="4"/>
      <c r="Q2579" s="4"/>
      <c r="R2579" s="4"/>
      <c r="S2579" s="4"/>
      <c r="T2579" s="4"/>
      <c r="U2579" s="4"/>
      <c r="V2579" s="4"/>
      <c r="W2579" s="4"/>
      <c r="X2579" s="4"/>
      <c r="Y2579" s="4"/>
      <c r="Z2579" s="4"/>
      <c r="AA2579" s="4"/>
      <c r="AB2579" s="4"/>
      <c r="AC2579" s="4"/>
      <c r="AD2579" s="4"/>
      <c r="AE2579" s="4"/>
      <c r="AF2579" s="4"/>
      <c r="AG2579" s="4"/>
      <c r="AH2579" s="4"/>
      <c r="AI2579" s="4"/>
      <c r="AJ2579" s="4"/>
      <c r="AK2579" s="4"/>
      <c r="AL2579" s="4"/>
      <c r="AM2579" s="4"/>
      <c r="AN2579" s="4"/>
      <c r="AO2579" s="4"/>
      <c r="AP2579" s="4"/>
      <c r="AQ2579" s="4"/>
      <c r="AR2579" s="4"/>
      <c r="AS2579" s="4"/>
      <c r="AT2579" s="4"/>
      <c r="AU2579" s="4"/>
      <c r="AV2579" s="4"/>
      <c r="AW2579" s="4"/>
      <c r="AX2579" s="4"/>
      <c r="AY2579" s="4"/>
      <c r="AZ2579" s="4"/>
      <c r="BA2579" s="4"/>
      <c r="BB2579" s="4"/>
      <c r="BC2579" s="4"/>
      <c r="BD2579" s="4"/>
      <c r="BE2579" s="4"/>
      <c r="BF2579" s="4"/>
      <c r="BG2579" s="4"/>
      <c r="BH2579" s="4"/>
      <c r="BI2579" s="4"/>
      <c r="BJ2579" s="4"/>
      <c r="BK2579" s="4"/>
      <c r="BL2579" s="4"/>
      <c r="BM2579" s="4"/>
      <c r="BN2579" s="4"/>
      <c r="BO2579" s="4"/>
      <c r="BP2579" s="4"/>
      <c r="BQ2579" s="4"/>
      <c r="BR2579" s="4"/>
      <c r="BS2579" s="4"/>
      <c r="BT2579" s="4"/>
      <c r="BU2579" s="4"/>
      <c r="BV2579" s="4"/>
      <c r="BW2579" s="4"/>
      <c r="BX2579" s="4"/>
      <c r="BY2579" s="4"/>
      <c r="BZ2579" s="4"/>
      <c r="CA2579" s="4"/>
      <c r="CB2579" s="4"/>
      <c r="CC2579" s="4"/>
      <c r="CD2579" s="4"/>
      <c r="CE2579" s="4"/>
      <c r="CF2579" s="4"/>
      <c r="CG2579" s="4"/>
      <c r="CH2579" s="4"/>
      <c r="CI2579" s="4"/>
      <c r="CJ2579" s="4"/>
      <c r="CK2579" s="4"/>
      <c r="CL2579" s="4"/>
      <c r="CM2579" s="4"/>
      <c r="CN2579" s="4"/>
      <c r="CO2579" s="4"/>
      <c r="CP2579" s="4"/>
      <c r="CQ2579" s="4"/>
      <c r="CR2579" s="4"/>
      <c r="CS2579" s="4"/>
      <c r="CT2579" s="4"/>
      <c r="CU2579" s="4"/>
      <c r="CV2579" s="4"/>
      <c r="CW2579" s="4"/>
      <c r="CX2579" s="4"/>
      <c r="CY2579" s="4"/>
      <c r="CZ2579" s="4"/>
      <c r="DA2579" s="4"/>
      <c r="DB2579" s="4"/>
      <c r="DC2579" s="4"/>
      <c r="DD2579" s="4"/>
      <c r="DE2579" s="4"/>
      <c r="DF2579" s="4"/>
      <c r="DG2579" s="4"/>
      <c r="DH2579" s="4"/>
      <c r="DI2579" s="4"/>
      <c r="DJ2579" s="4"/>
      <c r="DK2579" s="4"/>
      <c r="DL2579" s="4"/>
      <c r="DM2579" s="4"/>
      <c r="DN2579" s="4"/>
      <c r="DO2579" s="4"/>
      <c r="DP2579" s="4"/>
      <c r="DQ2579" s="4"/>
      <c r="DR2579" s="4"/>
      <c r="DS2579" s="4"/>
    </row>
    <row r="2580">
      <c r="A2580" s="4"/>
      <c r="B2580" s="4"/>
      <c r="C2580" s="4"/>
      <c r="D2580" s="4"/>
      <c r="E2580" s="4"/>
      <c r="F2580" s="4" t="s">
        <v>17</v>
      </c>
      <c r="G2580" s="15"/>
      <c r="H2580" s="4"/>
      <c r="I2580" s="4"/>
      <c r="J2580" s="4"/>
      <c r="K2580" s="4"/>
      <c r="L2580" s="4"/>
      <c r="M2580" s="4"/>
      <c r="N2580" s="4"/>
      <c r="O2580" s="4"/>
      <c r="P2580" s="4"/>
      <c r="Q2580" s="4"/>
      <c r="R2580" s="4"/>
      <c r="S2580" s="4"/>
      <c r="T2580" s="4"/>
      <c r="U2580" s="4"/>
      <c r="V2580" s="4"/>
      <c r="W2580" s="4"/>
      <c r="X2580" s="4"/>
      <c r="Y2580" s="4"/>
      <c r="Z2580" s="4"/>
      <c r="AA2580" s="4"/>
      <c r="AB2580" s="4"/>
      <c r="AC2580" s="4"/>
      <c r="AD2580" s="4"/>
      <c r="AE2580" s="4"/>
      <c r="AF2580" s="4"/>
      <c r="AG2580" s="4"/>
      <c r="AH2580" s="4"/>
      <c r="AI2580" s="4"/>
      <c r="AJ2580" s="4"/>
      <c r="AK2580" s="4"/>
      <c r="AL2580" s="4"/>
      <c r="AM2580" s="4"/>
      <c r="AN2580" s="4"/>
      <c r="AO2580" s="4"/>
      <c r="AP2580" s="4"/>
      <c r="AQ2580" s="4"/>
      <c r="AR2580" s="4"/>
      <c r="AS2580" s="4"/>
      <c r="AT2580" s="4"/>
      <c r="AU2580" s="4"/>
      <c r="AV2580" s="4"/>
      <c r="AW2580" s="4"/>
      <c r="AX2580" s="4"/>
      <c r="AY2580" s="4"/>
      <c r="AZ2580" s="4"/>
      <c r="BA2580" s="4"/>
      <c r="BB2580" s="4"/>
      <c r="BC2580" s="4"/>
      <c r="BD2580" s="4"/>
      <c r="BE2580" s="4"/>
      <c r="BF2580" s="4"/>
      <c r="BG2580" s="4"/>
      <c r="BH2580" s="4"/>
      <c r="BI2580" s="4"/>
      <c r="BJ2580" s="4"/>
      <c r="BK2580" s="4"/>
      <c r="BL2580" s="4"/>
      <c r="BM2580" s="4"/>
      <c r="BN2580" s="4"/>
      <c r="BO2580" s="4"/>
      <c r="BP2580" s="4"/>
      <c r="BQ2580" s="4"/>
      <c r="BR2580" s="4"/>
      <c r="BS2580" s="4"/>
      <c r="BT2580" s="4"/>
      <c r="BU2580" s="4"/>
      <c r="BV2580" s="4"/>
      <c r="BW2580" s="4"/>
      <c r="BX2580" s="4"/>
      <c r="BY2580" s="4"/>
      <c r="BZ2580" s="4"/>
      <c r="CA2580" s="4"/>
      <c r="CB2580" s="4"/>
      <c r="CC2580" s="4"/>
      <c r="CD2580" s="4"/>
      <c r="CE2580" s="4"/>
      <c r="CF2580" s="4"/>
      <c r="CG2580" s="4"/>
      <c r="CH2580" s="4"/>
      <c r="CI2580" s="4"/>
      <c r="CJ2580" s="4"/>
      <c r="CK2580" s="4"/>
      <c r="CL2580" s="4"/>
      <c r="CM2580" s="4"/>
      <c r="CN2580" s="4"/>
      <c r="CO2580" s="4"/>
      <c r="CP2580" s="4"/>
      <c r="CQ2580" s="4"/>
      <c r="CR2580" s="4"/>
      <c r="CS2580" s="4"/>
      <c r="CT2580" s="4"/>
      <c r="CU2580" s="4"/>
      <c r="CV2580" s="4"/>
      <c r="CW2580" s="4"/>
      <c r="CX2580" s="4"/>
      <c r="CY2580" s="4"/>
      <c r="CZ2580" s="4"/>
      <c r="DA2580" s="4"/>
      <c r="DB2580" s="4"/>
      <c r="DC2580" s="4"/>
      <c r="DD2580" s="4"/>
      <c r="DE2580" s="4"/>
      <c r="DF2580" s="4"/>
      <c r="DG2580" s="4"/>
      <c r="DH2580" s="4"/>
      <c r="DI2580" s="4"/>
      <c r="DJ2580" s="4"/>
      <c r="DK2580" s="4"/>
      <c r="DL2580" s="4"/>
      <c r="DM2580" s="4"/>
      <c r="DN2580" s="4"/>
      <c r="DO2580" s="4"/>
      <c r="DP2580" s="4"/>
      <c r="DQ2580" s="4"/>
      <c r="DR2580" s="4"/>
      <c r="DS2580" s="4"/>
    </row>
    <row r="2581">
      <c r="A2581" s="4"/>
      <c r="B2581" s="4"/>
      <c r="C2581" s="4"/>
      <c r="D2581" s="4"/>
      <c r="E2581" s="4"/>
      <c r="F2581" s="4" t="s">
        <v>17</v>
      </c>
      <c r="G2581" s="15"/>
      <c r="H2581" s="4"/>
      <c r="I2581" s="4"/>
      <c r="J2581" s="4"/>
      <c r="K2581" s="4"/>
      <c r="L2581" s="4"/>
      <c r="M2581" s="4"/>
      <c r="N2581" s="4"/>
      <c r="O2581" s="4"/>
      <c r="P2581" s="4"/>
      <c r="Q2581" s="4"/>
      <c r="R2581" s="4"/>
      <c r="S2581" s="4"/>
      <c r="T2581" s="4"/>
      <c r="U2581" s="4"/>
      <c r="V2581" s="4"/>
      <c r="W2581" s="4"/>
      <c r="X2581" s="4"/>
      <c r="Y2581" s="4"/>
      <c r="Z2581" s="4"/>
      <c r="AA2581" s="4"/>
      <c r="AB2581" s="4"/>
      <c r="AC2581" s="4"/>
      <c r="AD2581" s="4"/>
      <c r="AE2581" s="4"/>
      <c r="AF2581" s="4"/>
      <c r="AG2581" s="4"/>
      <c r="AH2581" s="4"/>
      <c r="AI2581" s="4"/>
      <c r="AJ2581" s="4"/>
      <c r="AK2581" s="4"/>
      <c r="AL2581" s="4"/>
      <c r="AM2581" s="4"/>
      <c r="AN2581" s="4"/>
      <c r="AO2581" s="4"/>
      <c r="AP2581" s="4"/>
      <c r="AQ2581" s="4"/>
      <c r="AR2581" s="4"/>
      <c r="AS2581" s="4"/>
      <c r="AT2581" s="4"/>
      <c r="AU2581" s="4"/>
      <c r="AV2581" s="4"/>
      <c r="AW2581" s="4"/>
      <c r="AX2581" s="4"/>
      <c r="AY2581" s="4"/>
      <c r="AZ2581" s="4"/>
      <c r="BA2581" s="4"/>
      <c r="BB2581" s="4"/>
      <c r="BC2581" s="4"/>
      <c r="BD2581" s="4"/>
      <c r="BE2581" s="4"/>
      <c r="BF2581" s="4"/>
      <c r="BG2581" s="4"/>
      <c r="BH2581" s="4"/>
      <c r="BI2581" s="4"/>
      <c r="BJ2581" s="4"/>
      <c r="BK2581" s="4"/>
      <c r="BL2581" s="4"/>
      <c r="BM2581" s="4"/>
      <c r="BN2581" s="4"/>
      <c r="BO2581" s="4"/>
      <c r="BP2581" s="4"/>
      <c r="BQ2581" s="4"/>
      <c r="BR2581" s="4"/>
      <c r="BS2581" s="4"/>
      <c r="BT2581" s="4"/>
      <c r="BU2581" s="4"/>
      <c r="BV2581" s="4"/>
      <c r="BW2581" s="4"/>
      <c r="BX2581" s="4"/>
      <c r="BY2581" s="4"/>
      <c r="BZ2581" s="4"/>
      <c r="CA2581" s="4"/>
      <c r="CB2581" s="4"/>
      <c r="CC2581" s="4"/>
      <c r="CD2581" s="4"/>
      <c r="CE2581" s="4"/>
      <c r="CF2581" s="4"/>
      <c r="CG2581" s="4"/>
      <c r="CH2581" s="4"/>
      <c r="CI2581" s="4"/>
      <c r="CJ2581" s="4"/>
      <c r="CK2581" s="4"/>
      <c r="CL2581" s="4"/>
      <c r="CM2581" s="4"/>
      <c r="CN2581" s="4"/>
      <c r="CO2581" s="4"/>
      <c r="CP2581" s="4"/>
      <c r="CQ2581" s="4"/>
      <c r="CR2581" s="4"/>
      <c r="CS2581" s="4"/>
      <c r="CT2581" s="4"/>
      <c r="CU2581" s="4"/>
      <c r="CV2581" s="4"/>
      <c r="CW2581" s="4"/>
      <c r="CX2581" s="4"/>
      <c r="CY2581" s="4"/>
      <c r="CZ2581" s="4"/>
      <c r="DA2581" s="4"/>
      <c r="DB2581" s="4"/>
      <c r="DC2581" s="4"/>
      <c r="DD2581" s="4"/>
      <c r="DE2581" s="4"/>
      <c r="DF2581" s="4"/>
      <c r="DG2581" s="4"/>
      <c r="DH2581" s="4"/>
      <c r="DI2581" s="4"/>
      <c r="DJ2581" s="4"/>
      <c r="DK2581" s="4"/>
      <c r="DL2581" s="4"/>
      <c r="DM2581" s="4"/>
      <c r="DN2581" s="4"/>
      <c r="DO2581" s="4"/>
      <c r="DP2581" s="4"/>
      <c r="DQ2581" s="4"/>
      <c r="DR2581" s="4"/>
      <c r="DS2581" s="4"/>
    </row>
    <row r="2582">
      <c r="A2582" s="4"/>
      <c r="B2582" s="4"/>
      <c r="C2582" s="4"/>
      <c r="D2582" s="4"/>
      <c r="E2582" s="4"/>
      <c r="F2582" s="4" t="s">
        <v>17</v>
      </c>
      <c r="G2582" s="15"/>
      <c r="H2582" s="4"/>
      <c r="I2582" s="4"/>
      <c r="J2582" s="4"/>
      <c r="K2582" s="4"/>
      <c r="L2582" s="4"/>
      <c r="M2582" s="4"/>
      <c r="N2582" s="4"/>
      <c r="O2582" s="4"/>
      <c r="P2582" s="4"/>
      <c r="Q2582" s="4"/>
      <c r="R2582" s="4"/>
      <c r="S2582" s="4"/>
      <c r="T2582" s="4"/>
      <c r="U2582" s="4"/>
      <c r="V2582" s="4"/>
      <c r="W2582" s="4"/>
      <c r="X2582" s="4"/>
      <c r="Y2582" s="4"/>
      <c r="Z2582" s="4"/>
      <c r="AA2582" s="4"/>
      <c r="AB2582" s="4"/>
      <c r="AC2582" s="4"/>
      <c r="AD2582" s="4"/>
      <c r="AE2582" s="4"/>
      <c r="AF2582" s="4"/>
      <c r="AG2582" s="4"/>
      <c r="AH2582" s="4"/>
      <c r="AI2582" s="4"/>
      <c r="AJ2582" s="4"/>
      <c r="AK2582" s="4"/>
      <c r="AL2582" s="4"/>
      <c r="AM2582" s="4"/>
      <c r="AN2582" s="4"/>
      <c r="AO2582" s="4"/>
      <c r="AP2582" s="4"/>
      <c r="AQ2582" s="4"/>
      <c r="AR2582" s="4"/>
      <c r="AS2582" s="4"/>
      <c r="AT2582" s="4"/>
      <c r="AU2582" s="4"/>
      <c r="AV2582" s="4"/>
      <c r="AW2582" s="4"/>
      <c r="AX2582" s="4"/>
      <c r="AY2582" s="4"/>
      <c r="AZ2582" s="4"/>
      <c r="BA2582" s="4"/>
      <c r="BB2582" s="4"/>
      <c r="BC2582" s="4"/>
      <c r="BD2582" s="4"/>
      <c r="BE2582" s="4"/>
      <c r="BF2582" s="4"/>
      <c r="BG2582" s="4"/>
      <c r="BH2582" s="4"/>
      <c r="BI2582" s="4"/>
      <c r="BJ2582" s="4"/>
      <c r="BK2582" s="4"/>
      <c r="BL2582" s="4"/>
      <c r="BM2582" s="4"/>
      <c r="BN2582" s="4"/>
      <c r="BO2582" s="4"/>
      <c r="BP2582" s="4"/>
      <c r="BQ2582" s="4"/>
      <c r="BR2582" s="4"/>
      <c r="BS2582" s="4"/>
      <c r="BT2582" s="4"/>
      <c r="BU2582" s="4"/>
      <c r="BV2582" s="4"/>
      <c r="BW2582" s="4"/>
      <c r="BX2582" s="4"/>
      <c r="BY2582" s="4"/>
      <c r="BZ2582" s="4"/>
      <c r="CA2582" s="4"/>
      <c r="CB2582" s="4"/>
      <c r="CC2582" s="4"/>
      <c r="CD2582" s="4"/>
      <c r="CE2582" s="4"/>
      <c r="CF2582" s="4"/>
      <c r="CG2582" s="4"/>
      <c r="CH2582" s="4"/>
      <c r="CI2582" s="4"/>
      <c r="CJ2582" s="4"/>
      <c r="CK2582" s="4"/>
      <c r="CL2582" s="4"/>
      <c r="CM2582" s="4"/>
      <c r="CN2582" s="4"/>
      <c r="CO2582" s="4"/>
      <c r="CP2582" s="4"/>
      <c r="CQ2582" s="4"/>
      <c r="CR2582" s="4"/>
      <c r="CS2582" s="4"/>
      <c r="CT2582" s="4"/>
      <c r="CU2582" s="4"/>
      <c r="CV2582" s="4"/>
      <c r="CW2582" s="4"/>
      <c r="CX2582" s="4"/>
      <c r="CY2582" s="4"/>
      <c r="CZ2582" s="4"/>
      <c r="DA2582" s="4"/>
      <c r="DB2582" s="4"/>
      <c r="DC2582" s="4"/>
      <c r="DD2582" s="4"/>
      <c r="DE2582" s="4"/>
      <c r="DF2582" s="4"/>
      <c r="DG2582" s="4"/>
      <c r="DH2582" s="4"/>
      <c r="DI2582" s="4"/>
      <c r="DJ2582" s="4"/>
      <c r="DK2582" s="4"/>
      <c r="DL2582" s="4"/>
      <c r="DM2582" s="4"/>
      <c r="DN2582" s="4"/>
      <c r="DO2582" s="4"/>
      <c r="DP2582" s="4"/>
      <c r="DQ2582" s="4"/>
      <c r="DR2582" s="4"/>
      <c r="DS2582" s="4"/>
    </row>
    <row r="2583">
      <c r="A2583" s="4"/>
      <c r="B2583" s="4"/>
      <c r="C2583" s="4"/>
      <c r="D2583" s="4"/>
      <c r="E2583" s="4"/>
      <c r="F2583" s="4" t="s">
        <v>17</v>
      </c>
      <c r="G2583" s="15"/>
      <c r="H2583" s="4"/>
      <c r="I2583" s="4"/>
      <c r="J2583" s="4"/>
      <c r="K2583" s="4"/>
      <c r="L2583" s="4"/>
      <c r="M2583" s="4"/>
      <c r="N2583" s="4"/>
      <c r="O2583" s="4"/>
      <c r="P2583" s="4"/>
      <c r="Q2583" s="4"/>
      <c r="R2583" s="4"/>
      <c r="S2583" s="4"/>
      <c r="T2583" s="4"/>
      <c r="U2583" s="4"/>
      <c r="V2583" s="4"/>
      <c r="W2583" s="4"/>
      <c r="X2583" s="4"/>
      <c r="Y2583" s="4"/>
      <c r="Z2583" s="4"/>
      <c r="AA2583" s="4"/>
      <c r="AB2583" s="4"/>
      <c r="AC2583" s="4"/>
      <c r="AD2583" s="4"/>
      <c r="AE2583" s="4"/>
      <c r="AF2583" s="4"/>
      <c r="AG2583" s="4"/>
      <c r="AH2583" s="4"/>
      <c r="AI2583" s="4"/>
      <c r="AJ2583" s="4"/>
      <c r="AK2583" s="4"/>
      <c r="AL2583" s="4"/>
      <c r="AM2583" s="4"/>
      <c r="AN2583" s="4"/>
      <c r="AO2583" s="4"/>
      <c r="AP2583" s="4"/>
      <c r="AQ2583" s="4"/>
      <c r="AR2583" s="4"/>
      <c r="AS2583" s="4"/>
      <c r="AT2583" s="4"/>
      <c r="AU2583" s="4"/>
      <c r="AV2583" s="4"/>
      <c r="AW2583" s="4"/>
      <c r="AX2583" s="4"/>
      <c r="AY2583" s="4"/>
      <c r="AZ2583" s="4"/>
      <c r="BA2583" s="4"/>
      <c r="BB2583" s="4"/>
      <c r="BC2583" s="4"/>
      <c r="BD2583" s="4"/>
      <c r="BE2583" s="4"/>
      <c r="BF2583" s="4"/>
      <c r="BG2583" s="4"/>
      <c r="BH2583" s="4"/>
      <c r="BI2583" s="4"/>
      <c r="BJ2583" s="4"/>
      <c r="BK2583" s="4"/>
      <c r="BL2583" s="4"/>
      <c r="BM2583" s="4"/>
      <c r="BN2583" s="4"/>
      <c r="BO2583" s="4"/>
      <c r="BP2583" s="4"/>
      <c r="BQ2583" s="4"/>
      <c r="BR2583" s="4"/>
      <c r="BS2583" s="4"/>
      <c r="BT2583" s="4"/>
      <c r="BU2583" s="4"/>
      <c r="BV2583" s="4"/>
      <c r="BW2583" s="4"/>
      <c r="BX2583" s="4"/>
      <c r="BY2583" s="4"/>
      <c r="BZ2583" s="4"/>
      <c r="CA2583" s="4"/>
      <c r="CB2583" s="4"/>
      <c r="CC2583" s="4"/>
      <c r="CD2583" s="4"/>
      <c r="CE2583" s="4"/>
      <c r="CF2583" s="4"/>
      <c r="CG2583" s="4"/>
      <c r="CH2583" s="4"/>
      <c r="CI2583" s="4"/>
      <c r="CJ2583" s="4"/>
      <c r="CK2583" s="4"/>
      <c r="CL2583" s="4"/>
      <c r="CM2583" s="4"/>
      <c r="CN2583" s="4"/>
      <c r="CO2583" s="4"/>
      <c r="CP2583" s="4"/>
      <c r="CQ2583" s="4"/>
      <c r="CR2583" s="4"/>
      <c r="CS2583" s="4"/>
      <c r="CT2583" s="4"/>
      <c r="CU2583" s="4"/>
      <c r="CV2583" s="4"/>
      <c r="CW2583" s="4"/>
      <c r="CX2583" s="4"/>
      <c r="CY2583" s="4"/>
      <c r="CZ2583" s="4"/>
      <c r="DA2583" s="4"/>
      <c r="DB2583" s="4"/>
      <c r="DC2583" s="4"/>
      <c r="DD2583" s="4"/>
      <c r="DE2583" s="4"/>
      <c r="DF2583" s="4"/>
      <c r="DG2583" s="4"/>
      <c r="DH2583" s="4"/>
      <c r="DI2583" s="4"/>
      <c r="DJ2583" s="4"/>
      <c r="DK2583" s="4"/>
      <c r="DL2583" s="4"/>
      <c r="DM2583" s="4"/>
      <c r="DN2583" s="4"/>
      <c r="DO2583" s="4"/>
      <c r="DP2583" s="4"/>
      <c r="DQ2583" s="4"/>
      <c r="DR2583" s="4"/>
      <c r="DS2583" s="4"/>
    </row>
    <row r="2584">
      <c r="A2584" s="4"/>
      <c r="B2584" s="4"/>
      <c r="C2584" s="4"/>
      <c r="D2584" s="4"/>
      <c r="E2584" s="4"/>
      <c r="F2584" s="4" t="s">
        <v>17</v>
      </c>
      <c r="G2584" s="15"/>
      <c r="H2584" s="4"/>
      <c r="I2584" s="4"/>
      <c r="J2584" s="4"/>
      <c r="K2584" s="4"/>
      <c r="L2584" s="4"/>
      <c r="M2584" s="4"/>
      <c r="N2584" s="4"/>
      <c r="O2584" s="4"/>
      <c r="P2584" s="4"/>
      <c r="Q2584" s="4"/>
      <c r="R2584" s="4"/>
      <c r="S2584" s="4"/>
      <c r="T2584" s="4"/>
      <c r="U2584" s="4"/>
      <c r="V2584" s="4"/>
      <c r="W2584" s="4"/>
      <c r="X2584" s="4"/>
      <c r="Y2584" s="4"/>
      <c r="Z2584" s="4"/>
      <c r="AA2584" s="4"/>
      <c r="AB2584" s="4"/>
      <c r="AC2584" s="4"/>
      <c r="AD2584" s="4"/>
      <c r="AE2584" s="4"/>
      <c r="AF2584" s="4"/>
      <c r="AG2584" s="4"/>
      <c r="AH2584" s="4"/>
      <c r="AI2584" s="4"/>
      <c r="AJ2584" s="4"/>
      <c r="AK2584" s="4"/>
      <c r="AL2584" s="4"/>
      <c r="AM2584" s="4"/>
      <c r="AN2584" s="4"/>
      <c r="AO2584" s="4"/>
      <c r="AP2584" s="4"/>
      <c r="AQ2584" s="4"/>
      <c r="AR2584" s="4"/>
      <c r="AS2584" s="4"/>
      <c r="AT2584" s="4"/>
      <c r="AU2584" s="4"/>
      <c r="AV2584" s="4"/>
      <c r="AW2584" s="4"/>
      <c r="AX2584" s="4"/>
      <c r="AY2584" s="4"/>
      <c r="AZ2584" s="4"/>
      <c r="BA2584" s="4"/>
      <c r="BB2584" s="4"/>
      <c r="BC2584" s="4"/>
      <c r="BD2584" s="4"/>
      <c r="BE2584" s="4"/>
      <c r="BF2584" s="4"/>
      <c r="BG2584" s="4"/>
      <c r="BH2584" s="4"/>
      <c r="BI2584" s="4"/>
      <c r="BJ2584" s="4"/>
      <c r="BK2584" s="4"/>
      <c r="BL2584" s="4"/>
      <c r="BM2584" s="4"/>
      <c r="BN2584" s="4"/>
      <c r="BO2584" s="4"/>
      <c r="BP2584" s="4"/>
      <c r="BQ2584" s="4"/>
      <c r="BR2584" s="4"/>
      <c r="BS2584" s="4"/>
      <c r="BT2584" s="4"/>
      <c r="BU2584" s="4"/>
      <c r="BV2584" s="4"/>
      <c r="BW2584" s="4"/>
      <c r="BX2584" s="4"/>
      <c r="BY2584" s="4"/>
      <c r="BZ2584" s="4"/>
      <c r="CA2584" s="4"/>
      <c r="CB2584" s="4"/>
      <c r="CC2584" s="4"/>
      <c r="CD2584" s="4"/>
      <c r="CE2584" s="4"/>
      <c r="CF2584" s="4"/>
      <c r="CG2584" s="4"/>
      <c r="CH2584" s="4"/>
      <c r="CI2584" s="4"/>
      <c r="CJ2584" s="4"/>
      <c r="CK2584" s="4"/>
      <c r="CL2584" s="4"/>
      <c r="CM2584" s="4"/>
      <c r="CN2584" s="4"/>
      <c r="CO2584" s="4"/>
      <c r="CP2584" s="4"/>
      <c r="CQ2584" s="4"/>
      <c r="CR2584" s="4"/>
      <c r="CS2584" s="4"/>
      <c r="CT2584" s="4"/>
      <c r="CU2584" s="4"/>
      <c r="CV2584" s="4"/>
      <c r="CW2584" s="4"/>
      <c r="CX2584" s="4"/>
      <c r="CY2584" s="4"/>
      <c r="CZ2584" s="4"/>
      <c r="DA2584" s="4"/>
      <c r="DB2584" s="4"/>
      <c r="DC2584" s="4"/>
      <c r="DD2584" s="4"/>
      <c r="DE2584" s="4"/>
      <c r="DF2584" s="4"/>
      <c r="DG2584" s="4"/>
      <c r="DH2584" s="4"/>
      <c r="DI2584" s="4"/>
      <c r="DJ2584" s="4"/>
      <c r="DK2584" s="4"/>
      <c r="DL2584" s="4"/>
      <c r="DM2584" s="4"/>
      <c r="DN2584" s="4"/>
      <c r="DO2584" s="4"/>
      <c r="DP2584" s="4"/>
      <c r="DQ2584" s="4"/>
      <c r="DR2584" s="4"/>
      <c r="DS2584" s="4"/>
    </row>
    <row r="2585">
      <c r="A2585" s="4"/>
      <c r="B2585" s="4"/>
      <c r="C2585" s="4"/>
      <c r="D2585" s="4"/>
      <c r="E2585" s="4"/>
      <c r="F2585" s="4" t="s">
        <v>17</v>
      </c>
      <c r="G2585" s="15"/>
      <c r="H2585" s="4"/>
      <c r="I2585" s="4"/>
      <c r="J2585" s="4"/>
      <c r="K2585" s="4"/>
      <c r="L2585" s="4"/>
      <c r="M2585" s="4"/>
      <c r="N2585" s="4"/>
      <c r="O2585" s="4"/>
      <c r="P2585" s="4"/>
      <c r="Q2585" s="4"/>
      <c r="R2585" s="4"/>
      <c r="S2585" s="4"/>
      <c r="T2585" s="4"/>
      <c r="U2585" s="4"/>
      <c r="V2585" s="4"/>
      <c r="W2585" s="4"/>
      <c r="X2585" s="4"/>
      <c r="Y2585" s="4"/>
      <c r="Z2585" s="4"/>
      <c r="AA2585" s="4"/>
      <c r="AB2585" s="4"/>
      <c r="AC2585" s="4"/>
      <c r="AD2585" s="4"/>
      <c r="AE2585" s="4"/>
      <c r="AF2585" s="4"/>
      <c r="AG2585" s="4"/>
      <c r="AH2585" s="4"/>
      <c r="AI2585" s="4"/>
      <c r="AJ2585" s="4"/>
      <c r="AK2585" s="4"/>
      <c r="AL2585" s="4"/>
      <c r="AM2585" s="4"/>
      <c r="AN2585" s="4"/>
      <c r="AO2585" s="4"/>
      <c r="AP2585" s="4"/>
      <c r="AQ2585" s="4"/>
      <c r="AR2585" s="4"/>
      <c r="AS2585" s="4"/>
      <c r="AT2585" s="4"/>
      <c r="AU2585" s="4"/>
      <c r="AV2585" s="4"/>
      <c r="AW2585" s="4"/>
      <c r="AX2585" s="4"/>
      <c r="AY2585" s="4"/>
      <c r="AZ2585" s="4"/>
      <c r="BA2585" s="4"/>
      <c r="BB2585" s="4"/>
      <c r="BC2585" s="4"/>
      <c r="BD2585" s="4"/>
      <c r="BE2585" s="4"/>
      <c r="BF2585" s="4"/>
      <c r="BG2585" s="4"/>
      <c r="BH2585" s="4"/>
      <c r="BI2585" s="4"/>
      <c r="BJ2585" s="4"/>
      <c r="BK2585" s="4"/>
      <c r="BL2585" s="4"/>
      <c r="BM2585" s="4"/>
      <c r="BN2585" s="4"/>
      <c r="BO2585" s="4"/>
      <c r="BP2585" s="4"/>
      <c r="BQ2585" s="4"/>
      <c r="BR2585" s="4"/>
      <c r="BS2585" s="4"/>
      <c r="BT2585" s="4"/>
      <c r="BU2585" s="4"/>
      <c r="BV2585" s="4"/>
      <c r="BW2585" s="4"/>
      <c r="BX2585" s="4"/>
      <c r="BY2585" s="4"/>
      <c r="BZ2585" s="4"/>
      <c r="CA2585" s="4"/>
      <c r="CB2585" s="4"/>
      <c r="CC2585" s="4"/>
      <c r="CD2585" s="4"/>
      <c r="CE2585" s="4"/>
      <c r="CF2585" s="4"/>
      <c r="CG2585" s="4"/>
      <c r="CH2585" s="4"/>
      <c r="CI2585" s="4"/>
      <c r="CJ2585" s="4"/>
      <c r="CK2585" s="4"/>
      <c r="CL2585" s="4"/>
      <c r="CM2585" s="4"/>
      <c r="CN2585" s="4"/>
      <c r="CO2585" s="4"/>
      <c r="CP2585" s="4"/>
      <c r="CQ2585" s="4"/>
      <c r="CR2585" s="4"/>
      <c r="CS2585" s="4"/>
      <c r="CT2585" s="4"/>
      <c r="CU2585" s="4"/>
      <c r="CV2585" s="4"/>
      <c r="CW2585" s="4"/>
      <c r="CX2585" s="4"/>
      <c r="CY2585" s="4"/>
      <c r="CZ2585" s="4"/>
      <c r="DA2585" s="4"/>
      <c r="DB2585" s="4"/>
      <c r="DC2585" s="4"/>
      <c r="DD2585" s="4"/>
      <c r="DE2585" s="4"/>
      <c r="DF2585" s="4"/>
      <c r="DG2585" s="4"/>
      <c r="DH2585" s="4"/>
      <c r="DI2585" s="4"/>
      <c r="DJ2585" s="4"/>
      <c r="DK2585" s="4"/>
      <c r="DL2585" s="4"/>
      <c r="DM2585" s="4"/>
      <c r="DN2585" s="4"/>
      <c r="DO2585" s="4"/>
      <c r="DP2585" s="4"/>
      <c r="DQ2585" s="4"/>
      <c r="DR2585" s="4"/>
      <c r="DS2585" s="4"/>
    </row>
    <row r="2586">
      <c r="A2586" s="4"/>
      <c r="B2586" s="4"/>
      <c r="C2586" s="4"/>
      <c r="D2586" s="4"/>
      <c r="E2586" s="4"/>
      <c r="F2586" s="4" t="s">
        <v>17</v>
      </c>
      <c r="G2586" s="15"/>
      <c r="H2586" s="4"/>
      <c r="I2586" s="4"/>
      <c r="J2586" s="4"/>
      <c r="K2586" s="4"/>
      <c r="L2586" s="4"/>
      <c r="M2586" s="4"/>
      <c r="N2586" s="4"/>
      <c r="O2586" s="4"/>
      <c r="P2586" s="4"/>
      <c r="Q2586" s="4"/>
      <c r="R2586" s="4"/>
      <c r="S2586" s="4"/>
      <c r="T2586" s="4"/>
      <c r="U2586" s="4"/>
      <c r="V2586" s="4"/>
      <c r="W2586" s="4"/>
      <c r="X2586" s="4"/>
      <c r="Y2586" s="4"/>
      <c r="Z2586" s="4"/>
      <c r="AA2586" s="4"/>
      <c r="AB2586" s="4"/>
      <c r="AC2586" s="4"/>
      <c r="AD2586" s="4"/>
      <c r="AE2586" s="4"/>
      <c r="AF2586" s="4"/>
      <c r="AG2586" s="4"/>
      <c r="AH2586" s="4"/>
      <c r="AI2586" s="4"/>
      <c r="AJ2586" s="4"/>
      <c r="AK2586" s="4"/>
      <c r="AL2586" s="4"/>
      <c r="AM2586" s="4"/>
      <c r="AN2586" s="4"/>
      <c r="AO2586" s="4"/>
      <c r="AP2586" s="4"/>
      <c r="AQ2586" s="4"/>
      <c r="AR2586" s="4"/>
      <c r="AS2586" s="4"/>
      <c r="AT2586" s="4"/>
      <c r="AU2586" s="4"/>
      <c r="AV2586" s="4"/>
      <c r="AW2586" s="4"/>
      <c r="AX2586" s="4"/>
      <c r="AY2586" s="4"/>
      <c r="AZ2586" s="4"/>
      <c r="BA2586" s="4"/>
      <c r="BB2586" s="4"/>
      <c r="BC2586" s="4"/>
      <c r="BD2586" s="4"/>
      <c r="BE2586" s="4"/>
      <c r="BF2586" s="4"/>
      <c r="BG2586" s="4"/>
      <c r="BH2586" s="4"/>
      <c r="BI2586" s="4"/>
      <c r="BJ2586" s="4"/>
      <c r="BK2586" s="4"/>
      <c r="BL2586" s="4"/>
      <c r="BM2586" s="4"/>
      <c r="BN2586" s="4"/>
      <c r="BO2586" s="4"/>
      <c r="BP2586" s="4"/>
      <c r="BQ2586" s="4"/>
      <c r="BR2586" s="4"/>
      <c r="BS2586" s="4"/>
      <c r="BT2586" s="4"/>
      <c r="BU2586" s="4"/>
      <c r="BV2586" s="4"/>
      <c r="BW2586" s="4"/>
      <c r="BX2586" s="4"/>
      <c r="BY2586" s="4"/>
      <c r="BZ2586" s="4"/>
      <c r="CA2586" s="4"/>
      <c r="CB2586" s="4"/>
      <c r="CC2586" s="4"/>
      <c r="CD2586" s="4"/>
      <c r="CE2586" s="4"/>
      <c r="CF2586" s="4"/>
      <c r="CG2586" s="4"/>
      <c r="CH2586" s="4"/>
      <c r="CI2586" s="4"/>
      <c r="CJ2586" s="4"/>
      <c r="CK2586" s="4"/>
      <c r="CL2586" s="4"/>
      <c r="CM2586" s="4"/>
      <c r="CN2586" s="4"/>
      <c r="CO2586" s="4"/>
      <c r="CP2586" s="4"/>
      <c r="CQ2586" s="4"/>
      <c r="CR2586" s="4"/>
      <c r="CS2586" s="4"/>
      <c r="CT2586" s="4"/>
      <c r="CU2586" s="4"/>
      <c r="CV2586" s="4"/>
      <c r="CW2586" s="4"/>
      <c r="CX2586" s="4"/>
      <c r="CY2586" s="4"/>
      <c r="CZ2586" s="4"/>
      <c r="DA2586" s="4"/>
      <c r="DB2586" s="4"/>
      <c r="DC2586" s="4"/>
      <c r="DD2586" s="4"/>
      <c r="DE2586" s="4"/>
      <c r="DF2586" s="4"/>
      <c r="DG2586" s="4"/>
      <c r="DH2586" s="4"/>
      <c r="DI2586" s="4"/>
      <c r="DJ2586" s="4"/>
      <c r="DK2586" s="4"/>
      <c r="DL2586" s="4"/>
      <c r="DM2586" s="4"/>
      <c r="DN2586" s="4"/>
      <c r="DO2586" s="4"/>
      <c r="DP2586" s="4"/>
      <c r="DQ2586" s="4"/>
      <c r="DR2586" s="4"/>
      <c r="DS2586" s="4"/>
    </row>
    <row r="2587">
      <c r="A2587" s="4"/>
      <c r="B2587" s="4"/>
      <c r="C2587" s="4"/>
      <c r="D2587" s="4"/>
      <c r="E2587" s="4"/>
      <c r="F2587" s="4" t="s">
        <v>17</v>
      </c>
      <c r="G2587" s="15"/>
      <c r="H2587" s="4"/>
      <c r="I2587" s="4"/>
      <c r="J2587" s="4"/>
      <c r="K2587" s="4"/>
      <c r="L2587" s="4"/>
      <c r="M2587" s="4"/>
      <c r="N2587" s="4"/>
      <c r="O2587" s="4"/>
      <c r="P2587" s="4"/>
      <c r="Q2587" s="4"/>
      <c r="R2587" s="4"/>
      <c r="S2587" s="4"/>
      <c r="T2587" s="4"/>
      <c r="U2587" s="4"/>
      <c r="V2587" s="4"/>
      <c r="W2587" s="4"/>
      <c r="X2587" s="4"/>
      <c r="Y2587" s="4"/>
      <c r="Z2587" s="4"/>
      <c r="AA2587" s="4"/>
      <c r="AB2587" s="4"/>
      <c r="AC2587" s="4"/>
      <c r="AD2587" s="4"/>
      <c r="AE2587" s="4"/>
      <c r="AF2587" s="4"/>
      <c r="AG2587" s="4"/>
      <c r="AH2587" s="4"/>
      <c r="AI2587" s="4"/>
      <c r="AJ2587" s="4"/>
      <c r="AK2587" s="4"/>
      <c r="AL2587" s="4"/>
      <c r="AM2587" s="4"/>
      <c r="AN2587" s="4"/>
      <c r="AO2587" s="4"/>
      <c r="AP2587" s="4"/>
      <c r="AQ2587" s="4"/>
      <c r="AR2587" s="4"/>
      <c r="AS2587" s="4"/>
      <c r="AT2587" s="4"/>
      <c r="AU2587" s="4"/>
      <c r="AV2587" s="4"/>
      <c r="AW2587" s="4"/>
      <c r="AX2587" s="4"/>
      <c r="AY2587" s="4"/>
      <c r="AZ2587" s="4"/>
      <c r="BA2587" s="4"/>
      <c r="BB2587" s="4"/>
      <c r="BC2587" s="4"/>
      <c r="BD2587" s="4"/>
      <c r="BE2587" s="4"/>
      <c r="BF2587" s="4"/>
      <c r="BG2587" s="4"/>
      <c r="BH2587" s="4"/>
      <c r="BI2587" s="4"/>
      <c r="BJ2587" s="4"/>
      <c r="BK2587" s="4"/>
      <c r="BL2587" s="4"/>
      <c r="BM2587" s="4"/>
      <c r="BN2587" s="4"/>
      <c r="BO2587" s="4"/>
      <c r="BP2587" s="4"/>
      <c r="BQ2587" s="4"/>
      <c r="BR2587" s="4"/>
      <c r="BS2587" s="4"/>
      <c r="BT2587" s="4"/>
      <c r="BU2587" s="4"/>
      <c r="BV2587" s="4"/>
      <c r="BW2587" s="4"/>
      <c r="BX2587" s="4"/>
      <c r="BY2587" s="4"/>
      <c r="BZ2587" s="4"/>
      <c r="CA2587" s="4"/>
      <c r="CB2587" s="4"/>
      <c r="CC2587" s="4"/>
      <c r="CD2587" s="4"/>
      <c r="CE2587" s="4"/>
      <c r="CF2587" s="4"/>
      <c r="CG2587" s="4"/>
      <c r="CH2587" s="4"/>
      <c r="CI2587" s="4"/>
      <c r="CJ2587" s="4"/>
      <c r="CK2587" s="4"/>
      <c r="CL2587" s="4"/>
      <c r="CM2587" s="4"/>
      <c r="CN2587" s="4"/>
      <c r="CO2587" s="4"/>
      <c r="CP2587" s="4"/>
      <c r="CQ2587" s="4"/>
      <c r="CR2587" s="4"/>
      <c r="CS2587" s="4"/>
      <c r="CT2587" s="4"/>
      <c r="CU2587" s="4"/>
      <c r="CV2587" s="4"/>
      <c r="CW2587" s="4"/>
      <c r="CX2587" s="4"/>
      <c r="CY2587" s="4"/>
      <c r="CZ2587" s="4"/>
      <c r="DA2587" s="4"/>
      <c r="DB2587" s="4"/>
      <c r="DC2587" s="4"/>
      <c r="DD2587" s="4"/>
      <c r="DE2587" s="4"/>
      <c r="DF2587" s="4"/>
      <c r="DG2587" s="4"/>
      <c r="DH2587" s="4"/>
      <c r="DI2587" s="4"/>
      <c r="DJ2587" s="4"/>
      <c r="DK2587" s="4"/>
      <c r="DL2587" s="4"/>
      <c r="DM2587" s="4"/>
      <c r="DN2587" s="4"/>
      <c r="DO2587" s="4"/>
      <c r="DP2587" s="4"/>
      <c r="DQ2587" s="4"/>
      <c r="DR2587" s="4"/>
      <c r="DS2587" s="4"/>
    </row>
    <row r="2588">
      <c r="A2588" s="4"/>
      <c r="B2588" s="4"/>
      <c r="C2588" s="4"/>
      <c r="D2588" s="4"/>
      <c r="E2588" s="4"/>
      <c r="F2588" s="4" t="s">
        <v>17</v>
      </c>
      <c r="G2588" s="15"/>
      <c r="H2588" s="4"/>
      <c r="I2588" s="4"/>
      <c r="J2588" s="4"/>
      <c r="K2588" s="4"/>
      <c r="L2588" s="4"/>
      <c r="M2588" s="4"/>
      <c r="N2588" s="4"/>
      <c r="O2588" s="4"/>
      <c r="P2588" s="4"/>
      <c r="Q2588" s="4"/>
      <c r="R2588" s="4"/>
      <c r="S2588" s="4"/>
      <c r="T2588" s="4"/>
      <c r="U2588" s="4"/>
      <c r="V2588" s="4"/>
      <c r="W2588" s="4"/>
      <c r="X2588" s="4"/>
      <c r="Y2588" s="4"/>
      <c r="Z2588" s="4"/>
      <c r="AA2588" s="4"/>
      <c r="AB2588" s="4"/>
      <c r="AC2588" s="4"/>
      <c r="AD2588" s="4"/>
      <c r="AE2588" s="4"/>
      <c r="AF2588" s="4"/>
      <c r="AG2588" s="4"/>
      <c r="AH2588" s="4"/>
      <c r="AI2588" s="4"/>
      <c r="AJ2588" s="4"/>
      <c r="AK2588" s="4"/>
      <c r="AL2588" s="4"/>
      <c r="AM2588" s="4"/>
      <c r="AN2588" s="4"/>
      <c r="AO2588" s="4"/>
      <c r="AP2588" s="4"/>
      <c r="AQ2588" s="4"/>
      <c r="AR2588" s="4"/>
      <c r="AS2588" s="4"/>
      <c r="AT2588" s="4"/>
      <c r="AU2588" s="4"/>
      <c r="AV2588" s="4"/>
      <c r="AW2588" s="4"/>
      <c r="AX2588" s="4"/>
      <c r="AY2588" s="4"/>
      <c r="AZ2588" s="4"/>
      <c r="BA2588" s="4"/>
      <c r="BB2588" s="4"/>
      <c r="BC2588" s="4"/>
      <c r="BD2588" s="4"/>
      <c r="BE2588" s="4"/>
      <c r="BF2588" s="4"/>
      <c r="BG2588" s="4"/>
      <c r="BH2588" s="4"/>
      <c r="BI2588" s="4"/>
      <c r="BJ2588" s="4"/>
      <c r="BK2588" s="4"/>
      <c r="BL2588" s="4"/>
      <c r="BM2588" s="4"/>
      <c r="BN2588" s="4"/>
      <c r="BO2588" s="4"/>
      <c r="BP2588" s="4"/>
      <c r="BQ2588" s="4"/>
      <c r="BR2588" s="4"/>
      <c r="BS2588" s="4"/>
      <c r="BT2588" s="4"/>
      <c r="BU2588" s="4"/>
      <c r="BV2588" s="4"/>
      <c r="BW2588" s="4"/>
      <c r="BX2588" s="4"/>
      <c r="BY2588" s="4"/>
      <c r="BZ2588" s="4"/>
      <c r="CA2588" s="4"/>
      <c r="CB2588" s="4"/>
      <c r="CC2588" s="4"/>
      <c r="CD2588" s="4"/>
      <c r="CE2588" s="4"/>
      <c r="CF2588" s="4"/>
      <c r="CG2588" s="4"/>
      <c r="CH2588" s="4"/>
      <c r="CI2588" s="4"/>
      <c r="CJ2588" s="4"/>
      <c r="CK2588" s="4"/>
      <c r="CL2588" s="4"/>
      <c r="CM2588" s="4"/>
      <c r="CN2588" s="4"/>
      <c r="CO2588" s="4"/>
      <c r="CP2588" s="4"/>
      <c r="CQ2588" s="4"/>
      <c r="CR2588" s="4"/>
      <c r="CS2588" s="4"/>
      <c r="CT2588" s="4"/>
      <c r="CU2588" s="4"/>
      <c r="CV2588" s="4"/>
      <c r="CW2588" s="4"/>
      <c r="CX2588" s="4"/>
      <c r="CY2588" s="4"/>
      <c r="CZ2588" s="4"/>
      <c r="DA2588" s="4"/>
      <c r="DB2588" s="4"/>
      <c r="DC2588" s="4"/>
      <c r="DD2588" s="4"/>
      <c r="DE2588" s="4"/>
      <c r="DF2588" s="4"/>
      <c r="DG2588" s="4"/>
      <c r="DH2588" s="4"/>
      <c r="DI2588" s="4"/>
      <c r="DJ2588" s="4"/>
      <c r="DK2588" s="4"/>
      <c r="DL2588" s="4"/>
      <c r="DM2588" s="4"/>
      <c r="DN2588" s="4"/>
      <c r="DO2588" s="4"/>
      <c r="DP2588" s="4"/>
      <c r="DQ2588" s="4"/>
      <c r="DR2588" s="4"/>
      <c r="DS2588" s="4"/>
    </row>
    <row r="2589">
      <c r="A2589" s="4"/>
      <c r="B2589" s="4"/>
      <c r="C2589" s="4"/>
      <c r="D2589" s="4"/>
      <c r="E2589" s="4"/>
      <c r="F2589" s="4" t="s">
        <v>17</v>
      </c>
      <c r="G2589" s="15"/>
      <c r="H2589" s="4"/>
      <c r="I2589" s="4"/>
      <c r="J2589" s="4"/>
      <c r="K2589" s="4"/>
      <c r="L2589" s="4"/>
      <c r="M2589" s="4"/>
      <c r="N2589" s="4"/>
      <c r="O2589" s="4"/>
      <c r="P2589" s="4"/>
      <c r="Q2589" s="4"/>
      <c r="R2589" s="4"/>
      <c r="S2589" s="4"/>
      <c r="T2589" s="4"/>
      <c r="U2589" s="4"/>
      <c r="V2589" s="4"/>
      <c r="W2589" s="4"/>
      <c r="X2589" s="4"/>
      <c r="Y2589" s="4"/>
      <c r="Z2589" s="4"/>
      <c r="AA2589" s="4"/>
      <c r="AB2589" s="4"/>
      <c r="AC2589" s="4"/>
      <c r="AD2589" s="4"/>
      <c r="AE2589" s="4"/>
      <c r="AF2589" s="4"/>
      <c r="AG2589" s="4"/>
      <c r="AH2589" s="4"/>
      <c r="AI2589" s="4"/>
      <c r="AJ2589" s="4"/>
      <c r="AK2589" s="4"/>
      <c r="AL2589" s="4"/>
      <c r="AM2589" s="4"/>
      <c r="AN2589" s="4"/>
      <c r="AO2589" s="4"/>
      <c r="AP2589" s="4"/>
      <c r="AQ2589" s="4"/>
      <c r="AR2589" s="4"/>
      <c r="AS2589" s="4"/>
      <c r="AT2589" s="4"/>
      <c r="AU2589" s="4"/>
      <c r="AV2589" s="4"/>
      <c r="AW2589" s="4"/>
      <c r="AX2589" s="4"/>
      <c r="AY2589" s="4"/>
      <c r="AZ2589" s="4"/>
      <c r="BA2589" s="4"/>
      <c r="BB2589" s="4"/>
      <c r="BC2589" s="4"/>
      <c r="BD2589" s="4"/>
      <c r="BE2589" s="4"/>
      <c r="BF2589" s="4"/>
      <c r="BG2589" s="4"/>
      <c r="BH2589" s="4"/>
      <c r="BI2589" s="4"/>
      <c r="BJ2589" s="4"/>
      <c r="BK2589" s="4"/>
      <c r="BL2589" s="4"/>
      <c r="BM2589" s="4"/>
      <c r="BN2589" s="4"/>
      <c r="BO2589" s="4"/>
      <c r="BP2589" s="4"/>
      <c r="BQ2589" s="4"/>
      <c r="BR2589" s="4"/>
      <c r="BS2589" s="4"/>
      <c r="BT2589" s="4"/>
      <c r="BU2589" s="4"/>
      <c r="BV2589" s="4"/>
      <c r="BW2589" s="4"/>
      <c r="BX2589" s="4"/>
      <c r="BY2589" s="4"/>
      <c r="BZ2589" s="4"/>
      <c r="CA2589" s="4"/>
      <c r="CB2589" s="4"/>
      <c r="CC2589" s="4"/>
      <c r="CD2589" s="4"/>
      <c r="CE2589" s="4"/>
      <c r="CF2589" s="4"/>
      <c r="CG2589" s="4"/>
      <c r="CH2589" s="4"/>
      <c r="CI2589" s="4"/>
      <c r="CJ2589" s="4"/>
      <c r="CK2589" s="4"/>
      <c r="CL2589" s="4"/>
      <c r="CM2589" s="4"/>
      <c r="CN2589" s="4"/>
      <c r="CO2589" s="4"/>
      <c r="CP2589" s="4"/>
      <c r="CQ2589" s="4"/>
      <c r="CR2589" s="4"/>
      <c r="CS2589" s="4"/>
      <c r="CT2589" s="4"/>
      <c r="CU2589" s="4"/>
      <c r="CV2589" s="4"/>
      <c r="CW2589" s="4"/>
      <c r="CX2589" s="4"/>
      <c r="CY2589" s="4"/>
      <c r="CZ2589" s="4"/>
      <c r="DA2589" s="4"/>
      <c r="DB2589" s="4"/>
      <c r="DC2589" s="4"/>
      <c r="DD2589" s="4"/>
      <c r="DE2589" s="4"/>
      <c r="DF2589" s="4"/>
      <c r="DG2589" s="4"/>
      <c r="DH2589" s="4"/>
      <c r="DI2589" s="4"/>
      <c r="DJ2589" s="4"/>
      <c r="DK2589" s="4"/>
      <c r="DL2589" s="4"/>
      <c r="DM2589" s="4"/>
      <c r="DN2589" s="4"/>
      <c r="DO2589" s="4"/>
      <c r="DP2589" s="4"/>
      <c r="DQ2589" s="4"/>
      <c r="DR2589" s="4"/>
      <c r="DS2589" s="4"/>
    </row>
    <row r="2590">
      <c r="A2590" s="4"/>
      <c r="B2590" s="4"/>
      <c r="C2590" s="4"/>
      <c r="D2590" s="4"/>
      <c r="E2590" s="4"/>
      <c r="F2590" s="4" t="s">
        <v>17</v>
      </c>
      <c r="G2590" s="15"/>
      <c r="H2590" s="4"/>
      <c r="I2590" s="4"/>
      <c r="J2590" s="4"/>
      <c r="K2590" s="4"/>
      <c r="L2590" s="4"/>
      <c r="M2590" s="4"/>
      <c r="N2590" s="4"/>
      <c r="O2590" s="4"/>
      <c r="P2590" s="4"/>
      <c r="Q2590" s="4"/>
      <c r="R2590" s="4"/>
      <c r="S2590" s="4"/>
      <c r="T2590" s="4"/>
      <c r="U2590" s="4"/>
      <c r="V2590" s="4"/>
      <c r="W2590" s="4"/>
      <c r="X2590" s="4"/>
      <c r="Y2590" s="4"/>
      <c r="Z2590" s="4"/>
      <c r="AA2590" s="4"/>
      <c r="AB2590" s="4"/>
      <c r="AC2590" s="4"/>
      <c r="AD2590" s="4"/>
      <c r="AE2590" s="4"/>
      <c r="AF2590" s="4"/>
      <c r="AG2590" s="4"/>
      <c r="AH2590" s="4"/>
      <c r="AI2590" s="4"/>
      <c r="AJ2590" s="4"/>
      <c r="AK2590" s="4"/>
      <c r="AL2590" s="4"/>
      <c r="AM2590" s="4"/>
      <c r="AN2590" s="4"/>
      <c r="AO2590" s="4"/>
      <c r="AP2590" s="4"/>
      <c r="AQ2590" s="4"/>
      <c r="AR2590" s="4"/>
      <c r="AS2590" s="4"/>
      <c r="AT2590" s="4"/>
      <c r="AU2590" s="4"/>
      <c r="AV2590" s="4"/>
      <c r="AW2590" s="4"/>
      <c r="AX2590" s="4"/>
      <c r="AY2590" s="4"/>
      <c r="AZ2590" s="4"/>
      <c r="BA2590" s="4"/>
      <c r="BB2590" s="4"/>
      <c r="BC2590" s="4"/>
      <c r="BD2590" s="4"/>
      <c r="BE2590" s="4"/>
      <c r="BF2590" s="4"/>
      <c r="BG2590" s="4"/>
      <c r="BH2590" s="4"/>
      <c r="BI2590" s="4"/>
      <c r="BJ2590" s="4"/>
      <c r="BK2590" s="4"/>
      <c r="BL2590" s="4"/>
      <c r="BM2590" s="4"/>
      <c r="BN2590" s="4"/>
      <c r="BO2590" s="4"/>
      <c r="BP2590" s="4"/>
      <c r="BQ2590" s="4"/>
      <c r="BR2590" s="4"/>
      <c r="BS2590" s="4"/>
      <c r="BT2590" s="4"/>
      <c r="BU2590" s="4"/>
      <c r="BV2590" s="4"/>
      <c r="BW2590" s="4"/>
      <c r="BX2590" s="4"/>
      <c r="BY2590" s="4"/>
      <c r="BZ2590" s="4"/>
      <c r="CA2590" s="4"/>
      <c r="CB2590" s="4"/>
      <c r="CC2590" s="4"/>
      <c r="CD2590" s="4"/>
      <c r="CE2590" s="4"/>
      <c r="CF2590" s="4"/>
      <c r="CG2590" s="4"/>
      <c r="CH2590" s="4"/>
      <c r="CI2590" s="4"/>
      <c r="CJ2590" s="4"/>
      <c r="CK2590" s="4"/>
      <c r="CL2590" s="4"/>
      <c r="CM2590" s="4"/>
      <c r="CN2590" s="4"/>
      <c r="CO2590" s="4"/>
      <c r="CP2590" s="4"/>
      <c r="CQ2590" s="4"/>
      <c r="CR2590" s="4"/>
      <c r="CS2590" s="4"/>
      <c r="CT2590" s="4"/>
      <c r="CU2590" s="4"/>
      <c r="CV2590" s="4"/>
      <c r="CW2590" s="4"/>
      <c r="CX2590" s="4"/>
      <c r="CY2590" s="4"/>
      <c r="CZ2590" s="4"/>
      <c r="DA2590" s="4"/>
      <c r="DB2590" s="4"/>
      <c r="DC2590" s="4"/>
      <c r="DD2590" s="4"/>
      <c r="DE2590" s="4"/>
      <c r="DF2590" s="4"/>
      <c r="DG2590" s="4"/>
      <c r="DH2590" s="4"/>
      <c r="DI2590" s="4"/>
      <c r="DJ2590" s="4"/>
      <c r="DK2590" s="4"/>
      <c r="DL2590" s="4"/>
      <c r="DM2590" s="4"/>
      <c r="DN2590" s="4"/>
      <c r="DO2590" s="4"/>
      <c r="DP2590" s="4"/>
      <c r="DQ2590" s="4"/>
      <c r="DR2590" s="4"/>
      <c r="DS2590" s="4"/>
    </row>
    <row r="2591">
      <c r="A2591" s="4"/>
      <c r="B2591" s="4"/>
      <c r="C2591" s="4"/>
      <c r="D2591" s="4"/>
      <c r="E2591" s="4"/>
      <c r="F2591" s="4" t="s">
        <v>17</v>
      </c>
      <c r="G2591" s="15"/>
      <c r="H2591" s="4"/>
      <c r="I2591" s="4"/>
      <c r="J2591" s="4"/>
      <c r="K2591" s="4"/>
      <c r="L2591" s="4"/>
      <c r="M2591" s="4"/>
      <c r="N2591" s="4"/>
      <c r="O2591" s="4"/>
      <c r="P2591" s="4"/>
      <c r="Q2591" s="4"/>
      <c r="R2591" s="4"/>
      <c r="S2591" s="4"/>
      <c r="T2591" s="4"/>
      <c r="U2591" s="4"/>
      <c r="V2591" s="4"/>
      <c r="W2591" s="4"/>
      <c r="X2591" s="4"/>
      <c r="Y2591" s="4"/>
      <c r="Z2591" s="4"/>
      <c r="AA2591" s="4"/>
      <c r="AB2591" s="4"/>
      <c r="AC2591" s="4"/>
      <c r="AD2591" s="4"/>
      <c r="AE2591" s="4"/>
      <c r="AF2591" s="4"/>
      <c r="AG2591" s="4"/>
      <c r="AH2591" s="4"/>
      <c r="AI2591" s="4"/>
      <c r="AJ2591" s="4"/>
      <c r="AK2591" s="4"/>
      <c r="AL2591" s="4"/>
      <c r="AM2591" s="4"/>
      <c r="AN2591" s="4"/>
      <c r="AO2591" s="4"/>
      <c r="AP2591" s="4"/>
      <c r="AQ2591" s="4"/>
      <c r="AR2591" s="4"/>
      <c r="AS2591" s="4"/>
      <c r="AT2591" s="4"/>
      <c r="AU2591" s="4"/>
      <c r="AV2591" s="4"/>
      <c r="AW2591" s="4"/>
      <c r="AX2591" s="4"/>
      <c r="AY2591" s="4"/>
      <c r="AZ2591" s="4"/>
      <c r="BA2591" s="4"/>
      <c r="BB2591" s="4"/>
      <c r="BC2591" s="4"/>
      <c r="BD2591" s="4"/>
      <c r="BE2591" s="4"/>
      <c r="BF2591" s="4"/>
      <c r="BG2591" s="4"/>
      <c r="BH2591" s="4"/>
      <c r="BI2591" s="4"/>
      <c r="BJ2591" s="4"/>
      <c r="BK2591" s="4"/>
      <c r="BL2591" s="4"/>
      <c r="BM2591" s="4"/>
      <c r="BN2591" s="4"/>
      <c r="BO2591" s="4"/>
      <c r="BP2591" s="4"/>
      <c r="BQ2591" s="4"/>
      <c r="BR2591" s="4"/>
      <c r="BS2591" s="4"/>
      <c r="BT2591" s="4"/>
      <c r="BU2591" s="4"/>
      <c r="BV2591" s="4"/>
      <c r="BW2591" s="4"/>
      <c r="BX2591" s="4"/>
      <c r="BY2591" s="4"/>
      <c r="BZ2591" s="4"/>
      <c r="CA2591" s="4"/>
      <c r="CB2591" s="4"/>
      <c r="CC2591" s="4"/>
      <c r="CD2591" s="4"/>
      <c r="CE2591" s="4"/>
      <c r="CF2591" s="4"/>
      <c r="CG2591" s="4"/>
      <c r="CH2591" s="4"/>
      <c r="CI2591" s="4"/>
      <c r="CJ2591" s="4"/>
      <c r="CK2591" s="4"/>
      <c r="CL2591" s="4"/>
      <c r="CM2591" s="4"/>
      <c r="CN2591" s="4"/>
      <c r="CO2591" s="4"/>
      <c r="CP2591" s="4"/>
      <c r="CQ2591" s="4"/>
      <c r="CR2591" s="4"/>
      <c r="CS2591" s="4"/>
      <c r="CT2591" s="4"/>
      <c r="CU2591" s="4"/>
      <c r="CV2591" s="4"/>
      <c r="CW2591" s="4"/>
      <c r="CX2591" s="4"/>
      <c r="CY2591" s="4"/>
      <c r="CZ2591" s="4"/>
      <c r="DA2591" s="4"/>
      <c r="DB2591" s="4"/>
      <c r="DC2591" s="4"/>
      <c r="DD2591" s="4"/>
      <c r="DE2591" s="4"/>
      <c r="DF2591" s="4"/>
      <c r="DG2591" s="4"/>
      <c r="DH2591" s="4"/>
      <c r="DI2591" s="4"/>
      <c r="DJ2591" s="4"/>
      <c r="DK2591" s="4"/>
      <c r="DL2591" s="4"/>
      <c r="DM2591" s="4"/>
      <c r="DN2591" s="4"/>
      <c r="DO2591" s="4"/>
      <c r="DP2591" s="4"/>
      <c r="DQ2591" s="4"/>
      <c r="DR2591" s="4"/>
      <c r="DS2591" s="4"/>
    </row>
    <row r="2592">
      <c r="A2592" s="4"/>
      <c r="B2592" s="4"/>
      <c r="C2592" s="4"/>
      <c r="D2592" s="4"/>
      <c r="E2592" s="4"/>
      <c r="F2592" s="4" t="s">
        <v>17</v>
      </c>
      <c r="G2592" s="15"/>
      <c r="H2592" s="4"/>
      <c r="I2592" s="4"/>
      <c r="J2592" s="4"/>
      <c r="K2592" s="4"/>
      <c r="L2592" s="4"/>
      <c r="M2592" s="4"/>
      <c r="N2592" s="4"/>
      <c r="O2592" s="4"/>
      <c r="P2592" s="4"/>
      <c r="Q2592" s="4"/>
      <c r="R2592" s="4"/>
      <c r="S2592" s="4"/>
      <c r="T2592" s="4"/>
      <c r="U2592" s="4"/>
      <c r="V2592" s="4"/>
      <c r="W2592" s="4"/>
      <c r="X2592" s="4"/>
      <c r="Y2592" s="4"/>
      <c r="Z2592" s="4"/>
      <c r="AA2592" s="4"/>
      <c r="AB2592" s="4"/>
      <c r="AC2592" s="4"/>
      <c r="AD2592" s="4"/>
      <c r="AE2592" s="4"/>
      <c r="AF2592" s="4"/>
      <c r="AG2592" s="4"/>
      <c r="AH2592" s="4"/>
      <c r="AI2592" s="4"/>
      <c r="AJ2592" s="4"/>
      <c r="AK2592" s="4"/>
      <c r="AL2592" s="4"/>
      <c r="AM2592" s="4"/>
      <c r="AN2592" s="4"/>
      <c r="AO2592" s="4"/>
      <c r="AP2592" s="4"/>
      <c r="AQ2592" s="4"/>
      <c r="AR2592" s="4"/>
      <c r="AS2592" s="4"/>
      <c r="AT2592" s="4"/>
      <c r="AU2592" s="4"/>
      <c r="AV2592" s="4"/>
      <c r="AW2592" s="4"/>
      <c r="AX2592" s="4"/>
      <c r="AY2592" s="4"/>
      <c r="AZ2592" s="4"/>
      <c r="BA2592" s="4"/>
      <c r="BB2592" s="4"/>
      <c r="BC2592" s="4"/>
      <c r="BD2592" s="4"/>
      <c r="BE2592" s="4"/>
      <c r="BF2592" s="4"/>
      <c r="BG2592" s="4"/>
      <c r="BH2592" s="4"/>
      <c r="BI2592" s="4"/>
      <c r="BJ2592" s="4"/>
      <c r="BK2592" s="4"/>
      <c r="BL2592" s="4"/>
      <c r="BM2592" s="4"/>
      <c r="BN2592" s="4"/>
      <c r="BO2592" s="4"/>
      <c r="BP2592" s="4"/>
      <c r="BQ2592" s="4"/>
      <c r="BR2592" s="4"/>
      <c r="BS2592" s="4"/>
      <c r="BT2592" s="4"/>
      <c r="BU2592" s="4"/>
      <c r="BV2592" s="4"/>
      <c r="BW2592" s="4"/>
      <c r="BX2592" s="4"/>
      <c r="BY2592" s="4"/>
      <c r="BZ2592" s="4"/>
      <c r="CA2592" s="4"/>
      <c r="CB2592" s="4"/>
      <c r="CC2592" s="4"/>
      <c r="CD2592" s="4"/>
      <c r="CE2592" s="4"/>
      <c r="CF2592" s="4"/>
      <c r="CG2592" s="4"/>
      <c r="CH2592" s="4"/>
      <c r="CI2592" s="4"/>
      <c r="CJ2592" s="4"/>
      <c r="CK2592" s="4"/>
      <c r="CL2592" s="4"/>
      <c r="CM2592" s="4"/>
      <c r="CN2592" s="4"/>
      <c r="CO2592" s="4"/>
      <c r="CP2592" s="4"/>
      <c r="CQ2592" s="4"/>
      <c r="CR2592" s="4"/>
      <c r="CS2592" s="4"/>
      <c r="CT2592" s="4"/>
      <c r="CU2592" s="4"/>
      <c r="CV2592" s="4"/>
      <c r="CW2592" s="4"/>
      <c r="CX2592" s="4"/>
      <c r="CY2592" s="4"/>
      <c r="CZ2592" s="4"/>
      <c r="DA2592" s="4"/>
      <c r="DB2592" s="4"/>
      <c r="DC2592" s="4"/>
      <c r="DD2592" s="4"/>
      <c r="DE2592" s="4"/>
      <c r="DF2592" s="4"/>
      <c r="DG2592" s="4"/>
      <c r="DH2592" s="4"/>
      <c r="DI2592" s="4"/>
      <c r="DJ2592" s="4"/>
      <c r="DK2592" s="4"/>
      <c r="DL2592" s="4"/>
      <c r="DM2592" s="4"/>
      <c r="DN2592" s="4"/>
      <c r="DO2592" s="4"/>
      <c r="DP2592" s="4"/>
      <c r="DQ2592" s="4"/>
      <c r="DR2592" s="4"/>
      <c r="DS2592" s="4"/>
    </row>
    <row r="2593">
      <c r="A2593" s="4"/>
      <c r="B2593" s="4"/>
      <c r="C2593" s="4"/>
      <c r="D2593" s="4"/>
      <c r="E2593" s="4"/>
      <c r="F2593" s="4" t="s">
        <v>17</v>
      </c>
      <c r="G2593" s="15"/>
      <c r="H2593" s="4"/>
      <c r="I2593" s="4"/>
      <c r="J2593" s="4"/>
      <c r="K2593" s="4"/>
      <c r="L2593" s="4"/>
      <c r="M2593" s="4"/>
      <c r="N2593" s="4"/>
      <c r="O2593" s="4"/>
      <c r="P2593" s="4"/>
      <c r="Q2593" s="4"/>
      <c r="R2593" s="4"/>
      <c r="S2593" s="4"/>
      <c r="T2593" s="4"/>
      <c r="U2593" s="4"/>
      <c r="V2593" s="4"/>
      <c r="W2593" s="4"/>
      <c r="X2593" s="4"/>
      <c r="Y2593" s="4"/>
      <c r="Z2593" s="4"/>
      <c r="AA2593" s="4"/>
      <c r="AB2593" s="4"/>
      <c r="AC2593" s="4"/>
      <c r="AD2593" s="4"/>
      <c r="AE2593" s="4"/>
      <c r="AF2593" s="4"/>
      <c r="AG2593" s="4"/>
      <c r="AH2593" s="4"/>
      <c r="AI2593" s="4"/>
      <c r="AJ2593" s="4"/>
      <c r="AK2593" s="4"/>
      <c r="AL2593" s="4"/>
      <c r="AM2593" s="4"/>
      <c r="AN2593" s="4"/>
      <c r="AO2593" s="4"/>
      <c r="AP2593" s="4"/>
      <c r="AQ2593" s="4"/>
      <c r="AR2593" s="4"/>
      <c r="AS2593" s="4"/>
      <c r="AT2593" s="4"/>
      <c r="AU2593" s="4"/>
      <c r="AV2593" s="4"/>
      <c r="AW2593" s="4"/>
      <c r="AX2593" s="4"/>
      <c r="AY2593" s="4"/>
      <c r="AZ2593" s="4"/>
      <c r="BA2593" s="4"/>
      <c r="BB2593" s="4"/>
      <c r="BC2593" s="4"/>
      <c r="BD2593" s="4"/>
      <c r="BE2593" s="4"/>
      <c r="BF2593" s="4"/>
      <c r="BG2593" s="4"/>
      <c r="BH2593" s="4"/>
      <c r="BI2593" s="4"/>
      <c r="BJ2593" s="4"/>
      <c r="BK2593" s="4"/>
      <c r="BL2593" s="4"/>
      <c r="BM2593" s="4"/>
      <c r="BN2593" s="4"/>
      <c r="BO2593" s="4"/>
      <c r="BP2593" s="4"/>
      <c r="BQ2593" s="4"/>
      <c r="BR2593" s="4"/>
      <c r="BS2593" s="4"/>
      <c r="BT2593" s="4"/>
      <c r="BU2593" s="4"/>
      <c r="BV2593" s="4"/>
      <c r="BW2593" s="4"/>
      <c r="BX2593" s="4"/>
      <c r="BY2593" s="4"/>
      <c r="BZ2593" s="4"/>
      <c r="CA2593" s="4"/>
      <c r="CB2593" s="4"/>
      <c r="CC2593" s="4"/>
      <c r="CD2593" s="4"/>
      <c r="CE2593" s="4"/>
      <c r="CF2593" s="4"/>
      <c r="CG2593" s="4"/>
      <c r="CH2593" s="4"/>
      <c r="CI2593" s="4"/>
      <c r="CJ2593" s="4"/>
      <c r="CK2593" s="4"/>
      <c r="CL2593" s="4"/>
      <c r="CM2593" s="4"/>
      <c r="CN2593" s="4"/>
      <c r="CO2593" s="4"/>
      <c r="CP2593" s="4"/>
      <c r="CQ2593" s="4"/>
      <c r="CR2593" s="4"/>
      <c r="CS2593" s="4"/>
      <c r="CT2593" s="4"/>
      <c r="CU2593" s="4"/>
      <c r="CV2593" s="4"/>
      <c r="CW2593" s="4"/>
      <c r="CX2593" s="4"/>
      <c r="CY2593" s="4"/>
      <c r="CZ2593" s="4"/>
      <c r="DA2593" s="4"/>
      <c r="DB2593" s="4"/>
      <c r="DC2593" s="4"/>
      <c r="DD2593" s="4"/>
      <c r="DE2593" s="4"/>
      <c r="DF2593" s="4"/>
      <c r="DG2593" s="4"/>
      <c r="DH2593" s="4"/>
      <c r="DI2593" s="4"/>
      <c r="DJ2593" s="4"/>
      <c r="DK2593" s="4"/>
      <c r="DL2593" s="4"/>
      <c r="DM2593" s="4"/>
      <c r="DN2593" s="4"/>
      <c r="DO2593" s="4"/>
      <c r="DP2593" s="4"/>
      <c r="DQ2593" s="4"/>
      <c r="DR2593" s="4"/>
      <c r="DS2593" s="4"/>
    </row>
    <row r="2594">
      <c r="A2594" s="4"/>
      <c r="B2594" s="4"/>
      <c r="C2594" s="4"/>
      <c r="D2594" s="4"/>
      <c r="E2594" s="4"/>
      <c r="F2594" s="4" t="s">
        <v>17</v>
      </c>
      <c r="G2594" s="15"/>
      <c r="H2594" s="4"/>
      <c r="I2594" s="4"/>
      <c r="J2594" s="4"/>
      <c r="K2594" s="4"/>
      <c r="L2594" s="4"/>
      <c r="M2594" s="4"/>
      <c r="N2594" s="4"/>
      <c r="O2594" s="4"/>
      <c r="P2594" s="4"/>
      <c r="Q2594" s="4"/>
      <c r="R2594" s="4"/>
      <c r="S2594" s="4"/>
      <c r="T2594" s="4"/>
      <c r="U2594" s="4"/>
      <c r="V2594" s="4"/>
      <c r="W2594" s="4"/>
      <c r="X2594" s="4"/>
      <c r="Y2594" s="4"/>
      <c r="Z2594" s="4"/>
      <c r="AA2594" s="4"/>
      <c r="AB2594" s="4"/>
      <c r="AC2594" s="4"/>
      <c r="AD2594" s="4"/>
      <c r="AE2594" s="4"/>
      <c r="AF2594" s="4"/>
      <c r="AG2594" s="4"/>
      <c r="AH2594" s="4"/>
      <c r="AI2594" s="4"/>
      <c r="AJ2594" s="4"/>
      <c r="AK2594" s="4"/>
      <c r="AL2594" s="4"/>
      <c r="AM2594" s="4"/>
      <c r="AN2594" s="4"/>
      <c r="AO2594" s="4"/>
      <c r="AP2594" s="4"/>
      <c r="AQ2594" s="4"/>
      <c r="AR2594" s="4"/>
      <c r="AS2594" s="4"/>
      <c r="AT2594" s="4"/>
      <c r="AU2594" s="4"/>
      <c r="AV2594" s="4"/>
      <c r="AW2594" s="4"/>
      <c r="AX2594" s="4"/>
      <c r="AY2594" s="4"/>
      <c r="AZ2594" s="4"/>
      <c r="BA2594" s="4"/>
      <c r="BB2594" s="4"/>
      <c r="BC2594" s="4"/>
      <c r="BD2594" s="4"/>
      <c r="BE2594" s="4"/>
      <c r="BF2594" s="4"/>
      <c r="BG2594" s="4"/>
      <c r="BH2594" s="4"/>
      <c r="BI2594" s="4"/>
      <c r="BJ2594" s="4"/>
      <c r="BK2594" s="4"/>
      <c r="BL2594" s="4"/>
      <c r="BM2594" s="4"/>
      <c r="BN2594" s="4"/>
      <c r="BO2594" s="4"/>
      <c r="BP2594" s="4"/>
      <c r="BQ2594" s="4"/>
      <c r="BR2594" s="4"/>
      <c r="BS2594" s="4"/>
      <c r="BT2594" s="4"/>
      <c r="BU2594" s="4"/>
      <c r="BV2594" s="4"/>
      <c r="BW2594" s="4"/>
      <c r="BX2594" s="4"/>
      <c r="BY2594" s="4"/>
      <c r="BZ2594" s="4"/>
      <c r="CA2594" s="4"/>
      <c r="CB2594" s="4"/>
      <c r="CC2594" s="4"/>
      <c r="CD2594" s="4"/>
      <c r="CE2594" s="4"/>
      <c r="CF2594" s="4"/>
      <c r="CG2594" s="4"/>
      <c r="CH2594" s="4"/>
      <c r="CI2594" s="4"/>
      <c r="CJ2594" s="4"/>
      <c r="CK2594" s="4"/>
      <c r="CL2594" s="4"/>
      <c r="CM2594" s="4"/>
      <c r="CN2594" s="4"/>
      <c r="CO2594" s="4"/>
      <c r="CP2594" s="4"/>
      <c r="CQ2594" s="4"/>
      <c r="CR2594" s="4"/>
      <c r="CS2594" s="4"/>
      <c r="CT2594" s="4"/>
      <c r="CU2594" s="4"/>
      <c r="CV2594" s="4"/>
      <c r="CW2594" s="4"/>
      <c r="CX2594" s="4"/>
      <c r="CY2594" s="4"/>
      <c r="CZ2594" s="4"/>
      <c r="DA2594" s="4"/>
      <c r="DB2594" s="4"/>
      <c r="DC2594" s="4"/>
      <c r="DD2594" s="4"/>
      <c r="DE2594" s="4"/>
      <c r="DF2594" s="4"/>
      <c r="DG2594" s="4"/>
      <c r="DH2594" s="4"/>
      <c r="DI2594" s="4"/>
      <c r="DJ2594" s="4"/>
      <c r="DK2594" s="4"/>
      <c r="DL2594" s="4"/>
      <c r="DM2594" s="4"/>
      <c r="DN2594" s="4"/>
      <c r="DO2594" s="4"/>
      <c r="DP2594" s="4"/>
      <c r="DQ2594" s="4"/>
      <c r="DR2594" s="4"/>
      <c r="DS2594" s="4"/>
    </row>
    <row r="2595">
      <c r="A2595" s="4"/>
      <c r="B2595" s="4"/>
      <c r="C2595" s="4"/>
      <c r="D2595" s="4"/>
      <c r="E2595" s="4"/>
      <c r="F2595" s="4" t="s">
        <v>17</v>
      </c>
      <c r="G2595" s="15"/>
      <c r="H2595" s="4"/>
      <c r="I2595" s="4"/>
      <c r="J2595" s="4"/>
      <c r="K2595" s="4"/>
      <c r="L2595" s="4"/>
      <c r="M2595" s="4"/>
      <c r="N2595" s="4"/>
      <c r="O2595" s="4"/>
      <c r="P2595" s="4"/>
      <c r="Q2595" s="4"/>
      <c r="R2595" s="4"/>
      <c r="S2595" s="4"/>
      <c r="T2595" s="4"/>
      <c r="U2595" s="4"/>
      <c r="V2595" s="4"/>
      <c r="W2595" s="4"/>
      <c r="X2595" s="4"/>
      <c r="Y2595" s="4"/>
      <c r="Z2595" s="4"/>
      <c r="AA2595" s="4"/>
      <c r="AB2595" s="4"/>
      <c r="AC2595" s="4"/>
      <c r="AD2595" s="4"/>
      <c r="AE2595" s="4"/>
      <c r="AF2595" s="4"/>
      <c r="AG2595" s="4"/>
      <c r="AH2595" s="4"/>
      <c r="AI2595" s="4"/>
      <c r="AJ2595" s="4"/>
      <c r="AK2595" s="4"/>
      <c r="AL2595" s="4"/>
      <c r="AM2595" s="4"/>
      <c r="AN2595" s="4"/>
      <c r="AO2595" s="4"/>
      <c r="AP2595" s="4"/>
      <c r="AQ2595" s="4"/>
      <c r="AR2595" s="4"/>
      <c r="AS2595" s="4"/>
      <c r="AT2595" s="4"/>
      <c r="AU2595" s="4"/>
      <c r="AV2595" s="4"/>
      <c r="AW2595" s="4"/>
      <c r="AX2595" s="4"/>
      <c r="AY2595" s="4"/>
      <c r="AZ2595" s="4"/>
      <c r="BA2595" s="4"/>
      <c r="BB2595" s="4"/>
      <c r="BC2595" s="4"/>
      <c r="BD2595" s="4"/>
      <c r="BE2595" s="4"/>
      <c r="BF2595" s="4"/>
      <c r="BG2595" s="4"/>
      <c r="BH2595" s="4"/>
      <c r="BI2595" s="4"/>
      <c r="BJ2595" s="4"/>
      <c r="BK2595" s="4"/>
      <c r="BL2595" s="4"/>
      <c r="BM2595" s="4"/>
      <c r="BN2595" s="4"/>
      <c r="BO2595" s="4"/>
      <c r="BP2595" s="4"/>
      <c r="BQ2595" s="4"/>
      <c r="BR2595" s="4"/>
      <c r="BS2595" s="4"/>
      <c r="BT2595" s="4"/>
      <c r="BU2595" s="4"/>
      <c r="BV2595" s="4"/>
      <c r="BW2595" s="4"/>
      <c r="BX2595" s="4"/>
      <c r="BY2595" s="4"/>
      <c r="BZ2595" s="4"/>
      <c r="CA2595" s="4"/>
      <c r="CB2595" s="4"/>
      <c r="CC2595" s="4"/>
      <c r="CD2595" s="4"/>
      <c r="CE2595" s="4"/>
      <c r="CF2595" s="4"/>
      <c r="CG2595" s="4"/>
      <c r="CH2595" s="4"/>
      <c r="CI2595" s="4"/>
      <c r="CJ2595" s="4"/>
      <c r="CK2595" s="4"/>
      <c r="CL2595" s="4"/>
      <c r="CM2595" s="4"/>
      <c r="CN2595" s="4"/>
      <c r="CO2595" s="4"/>
      <c r="CP2595" s="4"/>
      <c r="CQ2595" s="4"/>
      <c r="CR2595" s="4"/>
      <c r="CS2595" s="4"/>
      <c r="CT2595" s="4"/>
      <c r="CU2595" s="4"/>
      <c r="CV2595" s="4"/>
      <c r="CW2595" s="4"/>
      <c r="CX2595" s="4"/>
      <c r="CY2595" s="4"/>
      <c r="CZ2595" s="4"/>
      <c r="DA2595" s="4"/>
      <c r="DB2595" s="4"/>
      <c r="DC2595" s="4"/>
      <c r="DD2595" s="4"/>
      <c r="DE2595" s="4"/>
      <c r="DF2595" s="4"/>
      <c r="DG2595" s="4"/>
      <c r="DH2595" s="4"/>
      <c r="DI2595" s="4"/>
      <c r="DJ2595" s="4"/>
      <c r="DK2595" s="4"/>
      <c r="DL2595" s="4"/>
      <c r="DM2595" s="4"/>
      <c r="DN2595" s="4"/>
      <c r="DO2595" s="4"/>
      <c r="DP2595" s="4"/>
      <c r="DQ2595" s="4"/>
      <c r="DR2595" s="4"/>
      <c r="DS2595" s="4"/>
    </row>
    <row r="2596">
      <c r="A2596" s="4"/>
      <c r="B2596" s="4"/>
      <c r="C2596" s="4"/>
      <c r="D2596" s="4"/>
      <c r="E2596" s="4"/>
      <c r="F2596" s="4" t="s">
        <v>17</v>
      </c>
      <c r="G2596" s="15"/>
      <c r="H2596" s="4"/>
      <c r="I2596" s="4"/>
      <c r="J2596" s="4"/>
      <c r="K2596" s="4"/>
      <c r="L2596" s="4"/>
      <c r="M2596" s="4"/>
      <c r="N2596" s="4"/>
      <c r="O2596" s="4"/>
      <c r="P2596" s="4"/>
      <c r="Q2596" s="4"/>
      <c r="R2596" s="4"/>
      <c r="S2596" s="4"/>
      <c r="T2596" s="4"/>
      <c r="U2596" s="4"/>
      <c r="V2596" s="4"/>
      <c r="W2596" s="4"/>
      <c r="X2596" s="4"/>
      <c r="Y2596" s="4"/>
      <c r="Z2596" s="4"/>
      <c r="AA2596" s="4"/>
      <c r="AB2596" s="4"/>
      <c r="AC2596" s="4"/>
      <c r="AD2596" s="4"/>
      <c r="AE2596" s="4"/>
      <c r="AF2596" s="4"/>
      <c r="AG2596" s="4"/>
      <c r="AH2596" s="4"/>
      <c r="AI2596" s="4"/>
      <c r="AJ2596" s="4"/>
      <c r="AK2596" s="4"/>
      <c r="AL2596" s="4"/>
      <c r="AM2596" s="4"/>
      <c r="AN2596" s="4"/>
      <c r="AO2596" s="4"/>
      <c r="AP2596" s="4"/>
      <c r="AQ2596" s="4"/>
      <c r="AR2596" s="4"/>
      <c r="AS2596" s="4"/>
      <c r="AT2596" s="4"/>
      <c r="AU2596" s="4"/>
      <c r="AV2596" s="4"/>
      <c r="AW2596" s="4"/>
      <c r="AX2596" s="4"/>
      <c r="AY2596" s="4"/>
      <c r="AZ2596" s="4"/>
      <c r="BA2596" s="4"/>
      <c r="BB2596" s="4"/>
      <c r="BC2596" s="4"/>
      <c r="BD2596" s="4"/>
      <c r="BE2596" s="4"/>
      <c r="BF2596" s="4"/>
      <c r="BG2596" s="4"/>
      <c r="BH2596" s="4"/>
      <c r="BI2596" s="4"/>
      <c r="BJ2596" s="4"/>
      <c r="BK2596" s="4"/>
      <c r="BL2596" s="4"/>
      <c r="BM2596" s="4"/>
      <c r="BN2596" s="4"/>
      <c r="BO2596" s="4"/>
      <c r="BP2596" s="4"/>
      <c r="BQ2596" s="4"/>
      <c r="BR2596" s="4"/>
      <c r="BS2596" s="4"/>
      <c r="BT2596" s="4"/>
      <c r="BU2596" s="4"/>
      <c r="BV2596" s="4"/>
      <c r="BW2596" s="4"/>
      <c r="BX2596" s="4"/>
      <c r="BY2596" s="4"/>
      <c r="BZ2596" s="4"/>
      <c r="CA2596" s="4"/>
      <c r="CB2596" s="4"/>
      <c r="CC2596" s="4"/>
      <c r="CD2596" s="4"/>
      <c r="CE2596" s="4"/>
      <c r="CF2596" s="4"/>
      <c r="CG2596" s="4"/>
      <c r="CH2596" s="4"/>
      <c r="CI2596" s="4"/>
      <c r="CJ2596" s="4"/>
      <c r="CK2596" s="4"/>
      <c r="CL2596" s="4"/>
      <c r="CM2596" s="4"/>
      <c r="CN2596" s="4"/>
      <c r="CO2596" s="4"/>
      <c r="CP2596" s="4"/>
      <c r="CQ2596" s="4"/>
      <c r="CR2596" s="4"/>
      <c r="CS2596" s="4"/>
      <c r="CT2596" s="4"/>
      <c r="CU2596" s="4"/>
      <c r="CV2596" s="4"/>
      <c r="CW2596" s="4"/>
      <c r="CX2596" s="4"/>
      <c r="CY2596" s="4"/>
      <c r="CZ2596" s="4"/>
      <c r="DA2596" s="4"/>
      <c r="DB2596" s="4"/>
      <c r="DC2596" s="4"/>
      <c r="DD2596" s="4"/>
      <c r="DE2596" s="4"/>
      <c r="DF2596" s="4"/>
      <c r="DG2596" s="4"/>
      <c r="DH2596" s="4"/>
      <c r="DI2596" s="4"/>
      <c r="DJ2596" s="4"/>
      <c r="DK2596" s="4"/>
      <c r="DL2596" s="4"/>
      <c r="DM2596" s="4"/>
      <c r="DN2596" s="4"/>
      <c r="DO2596" s="4"/>
      <c r="DP2596" s="4"/>
      <c r="DQ2596" s="4"/>
      <c r="DR2596" s="4"/>
      <c r="DS2596" s="4"/>
    </row>
    <row r="2597">
      <c r="A2597" s="4"/>
      <c r="B2597" s="4"/>
      <c r="C2597" s="4"/>
      <c r="D2597" s="4"/>
      <c r="E2597" s="4"/>
      <c r="F2597" s="4" t="s">
        <v>17</v>
      </c>
      <c r="G2597" s="15"/>
      <c r="H2597" s="4"/>
      <c r="I2597" s="4"/>
      <c r="J2597" s="4"/>
      <c r="K2597" s="4"/>
      <c r="L2597" s="4"/>
      <c r="M2597" s="4"/>
      <c r="N2597" s="4"/>
      <c r="O2597" s="4"/>
      <c r="P2597" s="4"/>
      <c r="Q2597" s="4"/>
      <c r="R2597" s="4"/>
      <c r="S2597" s="4"/>
      <c r="T2597" s="4"/>
      <c r="U2597" s="4"/>
      <c r="V2597" s="4"/>
      <c r="W2597" s="4"/>
      <c r="X2597" s="4"/>
      <c r="Y2597" s="4"/>
      <c r="Z2597" s="4"/>
      <c r="AA2597" s="4"/>
      <c r="AB2597" s="4"/>
      <c r="AC2597" s="4"/>
      <c r="AD2597" s="4"/>
      <c r="AE2597" s="4"/>
      <c r="AF2597" s="4"/>
      <c r="AG2597" s="4"/>
      <c r="AH2597" s="4"/>
      <c r="AI2597" s="4"/>
      <c r="AJ2597" s="4"/>
      <c r="AK2597" s="4"/>
      <c r="AL2597" s="4"/>
      <c r="AM2597" s="4"/>
      <c r="AN2597" s="4"/>
      <c r="AO2597" s="4"/>
      <c r="AP2597" s="4"/>
      <c r="AQ2597" s="4"/>
      <c r="AR2597" s="4"/>
      <c r="AS2597" s="4"/>
      <c r="AT2597" s="4"/>
      <c r="AU2597" s="4"/>
      <c r="AV2597" s="4"/>
      <c r="AW2597" s="4"/>
      <c r="AX2597" s="4"/>
      <c r="AY2597" s="4"/>
      <c r="AZ2597" s="4"/>
      <c r="BA2597" s="4"/>
      <c r="BB2597" s="4"/>
      <c r="BC2597" s="4"/>
      <c r="BD2597" s="4"/>
      <c r="BE2597" s="4"/>
      <c r="BF2597" s="4"/>
      <c r="BG2597" s="4"/>
      <c r="BH2597" s="4"/>
      <c r="BI2597" s="4"/>
      <c r="BJ2597" s="4"/>
      <c r="BK2597" s="4"/>
      <c r="BL2597" s="4"/>
      <c r="BM2597" s="4"/>
      <c r="BN2597" s="4"/>
      <c r="BO2597" s="4"/>
      <c r="BP2597" s="4"/>
      <c r="BQ2597" s="4"/>
      <c r="BR2597" s="4"/>
      <c r="BS2597" s="4"/>
      <c r="BT2597" s="4"/>
      <c r="BU2597" s="4"/>
      <c r="BV2597" s="4"/>
      <c r="BW2597" s="4"/>
      <c r="BX2597" s="4"/>
      <c r="BY2597" s="4"/>
      <c r="BZ2597" s="4"/>
      <c r="CA2597" s="4"/>
      <c r="CB2597" s="4"/>
      <c r="CC2597" s="4"/>
      <c r="CD2597" s="4"/>
      <c r="CE2597" s="4"/>
      <c r="CF2597" s="4"/>
      <c r="CG2597" s="4"/>
      <c r="CH2597" s="4"/>
      <c r="CI2597" s="4"/>
      <c r="CJ2597" s="4"/>
      <c r="CK2597" s="4"/>
      <c r="CL2597" s="4"/>
      <c r="CM2597" s="4"/>
      <c r="CN2597" s="4"/>
      <c r="CO2597" s="4"/>
      <c r="CP2597" s="4"/>
      <c r="CQ2597" s="4"/>
      <c r="CR2597" s="4"/>
      <c r="CS2597" s="4"/>
      <c r="CT2597" s="4"/>
      <c r="CU2597" s="4"/>
      <c r="CV2597" s="4"/>
      <c r="CW2597" s="4"/>
      <c r="CX2597" s="4"/>
      <c r="CY2597" s="4"/>
      <c r="CZ2597" s="4"/>
      <c r="DA2597" s="4"/>
      <c r="DB2597" s="4"/>
      <c r="DC2597" s="4"/>
      <c r="DD2597" s="4"/>
      <c r="DE2597" s="4"/>
      <c r="DF2597" s="4"/>
      <c r="DG2597" s="4"/>
      <c r="DH2597" s="4"/>
      <c r="DI2597" s="4"/>
      <c r="DJ2597" s="4"/>
      <c r="DK2597" s="4"/>
      <c r="DL2597" s="4"/>
      <c r="DM2597" s="4"/>
      <c r="DN2597" s="4"/>
      <c r="DO2597" s="4"/>
      <c r="DP2597" s="4"/>
      <c r="DQ2597" s="4"/>
      <c r="DR2597" s="4"/>
      <c r="DS2597" s="4"/>
    </row>
    <row r="2598">
      <c r="A2598" s="4"/>
      <c r="B2598" s="4"/>
      <c r="C2598" s="4"/>
      <c r="D2598" s="4"/>
      <c r="E2598" s="4"/>
      <c r="F2598" s="4" t="s">
        <v>17</v>
      </c>
      <c r="G2598" s="15"/>
      <c r="H2598" s="4"/>
      <c r="I2598" s="4"/>
      <c r="J2598" s="4"/>
      <c r="K2598" s="4"/>
      <c r="L2598" s="4"/>
      <c r="M2598" s="4"/>
      <c r="N2598" s="4"/>
      <c r="O2598" s="4"/>
      <c r="P2598" s="4"/>
      <c r="Q2598" s="4"/>
      <c r="R2598" s="4"/>
      <c r="S2598" s="4"/>
      <c r="T2598" s="4"/>
      <c r="U2598" s="4"/>
      <c r="V2598" s="4"/>
      <c r="W2598" s="4"/>
      <c r="X2598" s="4"/>
      <c r="Y2598" s="4"/>
      <c r="Z2598" s="4"/>
      <c r="AA2598" s="4"/>
      <c r="AB2598" s="4"/>
      <c r="AC2598" s="4"/>
      <c r="AD2598" s="4"/>
      <c r="AE2598" s="4"/>
      <c r="AF2598" s="4"/>
      <c r="AG2598" s="4"/>
      <c r="AH2598" s="4"/>
      <c r="AI2598" s="4"/>
      <c r="AJ2598" s="4"/>
      <c r="AK2598" s="4"/>
      <c r="AL2598" s="4"/>
      <c r="AM2598" s="4"/>
      <c r="AN2598" s="4"/>
      <c r="AO2598" s="4"/>
      <c r="AP2598" s="4"/>
      <c r="AQ2598" s="4"/>
      <c r="AR2598" s="4"/>
      <c r="AS2598" s="4"/>
      <c r="AT2598" s="4"/>
      <c r="AU2598" s="4"/>
      <c r="AV2598" s="4"/>
      <c r="AW2598" s="4"/>
      <c r="AX2598" s="4"/>
      <c r="AY2598" s="4"/>
      <c r="AZ2598" s="4"/>
      <c r="BA2598" s="4"/>
      <c r="BB2598" s="4"/>
      <c r="BC2598" s="4"/>
      <c r="BD2598" s="4"/>
      <c r="BE2598" s="4"/>
      <c r="BF2598" s="4"/>
      <c r="BG2598" s="4"/>
      <c r="BH2598" s="4"/>
      <c r="BI2598" s="4"/>
      <c r="BJ2598" s="4"/>
      <c r="BK2598" s="4"/>
      <c r="BL2598" s="4"/>
      <c r="BM2598" s="4"/>
      <c r="BN2598" s="4"/>
      <c r="BO2598" s="4"/>
      <c r="BP2598" s="4"/>
      <c r="BQ2598" s="4"/>
      <c r="BR2598" s="4"/>
      <c r="BS2598" s="4"/>
      <c r="BT2598" s="4"/>
      <c r="BU2598" s="4"/>
      <c r="BV2598" s="4"/>
      <c r="BW2598" s="4"/>
      <c r="BX2598" s="4"/>
      <c r="BY2598" s="4"/>
      <c r="BZ2598" s="4"/>
      <c r="CA2598" s="4"/>
      <c r="CB2598" s="4"/>
      <c r="CC2598" s="4"/>
      <c r="CD2598" s="4"/>
      <c r="CE2598" s="4"/>
      <c r="CF2598" s="4"/>
      <c r="CG2598" s="4"/>
      <c r="CH2598" s="4"/>
      <c r="CI2598" s="4"/>
      <c r="CJ2598" s="4"/>
      <c r="CK2598" s="4"/>
      <c r="CL2598" s="4"/>
      <c r="CM2598" s="4"/>
      <c r="CN2598" s="4"/>
      <c r="CO2598" s="4"/>
      <c r="CP2598" s="4"/>
      <c r="CQ2598" s="4"/>
      <c r="CR2598" s="4"/>
      <c r="CS2598" s="4"/>
      <c r="CT2598" s="4"/>
      <c r="CU2598" s="4"/>
      <c r="CV2598" s="4"/>
      <c r="CW2598" s="4"/>
      <c r="CX2598" s="4"/>
      <c r="CY2598" s="4"/>
      <c r="CZ2598" s="4"/>
      <c r="DA2598" s="4"/>
      <c r="DB2598" s="4"/>
      <c r="DC2598" s="4"/>
      <c r="DD2598" s="4"/>
      <c r="DE2598" s="4"/>
      <c r="DF2598" s="4"/>
      <c r="DG2598" s="4"/>
      <c r="DH2598" s="4"/>
      <c r="DI2598" s="4"/>
      <c r="DJ2598" s="4"/>
      <c r="DK2598" s="4"/>
      <c r="DL2598" s="4"/>
      <c r="DM2598" s="4"/>
      <c r="DN2598" s="4"/>
      <c r="DO2598" s="4"/>
      <c r="DP2598" s="4"/>
      <c r="DQ2598" s="4"/>
      <c r="DR2598" s="4"/>
      <c r="DS2598" s="4"/>
    </row>
    <row r="2599">
      <c r="A2599" s="4"/>
      <c r="B2599" s="4"/>
      <c r="C2599" s="4"/>
      <c r="D2599" s="4"/>
      <c r="E2599" s="4"/>
      <c r="F2599" s="4" t="s">
        <v>17</v>
      </c>
      <c r="G2599" s="15"/>
      <c r="H2599" s="4"/>
      <c r="I2599" s="4"/>
      <c r="J2599" s="4"/>
      <c r="K2599" s="4"/>
      <c r="L2599" s="4"/>
      <c r="M2599" s="4"/>
      <c r="N2599" s="4"/>
      <c r="O2599" s="4"/>
      <c r="P2599" s="4"/>
      <c r="Q2599" s="4"/>
      <c r="R2599" s="4"/>
      <c r="S2599" s="4"/>
      <c r="T2599" s="4"/>
      <c r="U2599" s="4"/>
      <c r="V2599" s="4"/>
      <c r="W2599" s="4"/>
      <c r="X2599" s="4"/>
      <c r="Y2599" s="4"/>
      <c r="Z2599" s="4"/>
      <c r="AA2599" s="4"/>
      <c r="AB2599" s="4"/>
      <c r="AC2599" s="4"/>
      <c r="AD2599" s="4"/>
      <c r="AE2599" s="4"/>
      <c r="AF2599" s="4"/>
      <c r="AG2599" s="4"/>
      <c r="AH2599" s="4"/>
      <c r="AI2599" s="4"/>
      <c r="AJ2599" s="4"/>
      <c r="AK2599" s="4"/>
      <c r="AL2599" s="4"/>
      <c r="AM2599" s="4"/>
      <c r="AN2599" s="4"/>
      <c r="AO2599" s="4"/>
      <c r="AP2599" s="4"/>
      <c r="AQ2599" s="4"/>
      <c r="AR2599" s="4"/>
      <c r="AS2599" s="4"/>
      <c r="AT2599" s="4"/>
      <c r="AU2599" s="4"/>
      <c r="AV2599" s="4"/>
      <c r="AW2599" s="4"/>
      <c r="AX2599" s="4"/>
      <c r="AY2599" s="4"/>
      <c r="AZ2599" s="4"/>
      <c r="BA2599" s="4"/>
      <c r="BB2599" s="4"/>
      <c r="BC2599" s="4"/>
      <c r="BD2599" s="4"/>
      <c r="BE2599" s="4"/>
      <c r="BF2599" s="4"/>
      <c r="BG2599" s="4"/>
      <c r="BH2599" s="4"/>
      <c r="BI2599" s="4"/>
      <c r="BJ2599" s="4"/>
      <c r="BK2599" s="4"/>
      <c r="BL2599" s="4"/>
      <c r="BM2599" s="4"/>
      <c r="BN2599" s="4"/>
      <c r="BO2599" s="4"/>
      <c r="BP2599" s="4"/>
      <c r="BQ2599" s="4"/>
      <c r="BR2599" s="4"/>
      <c r="BS2599" s="4"/>
      <c r="BT2599" s="4"/>
      <c r="BU2599" s="4"/>
      <c r="BV2599" s="4"/>
      <c r="BW2599" s="4"/>
      <c r="BX2599" s="4"/>
      <c r="BY2599" s="4"/>
      <c r="BZ2599" s="4"/>
      <c r="CA2599" s="4"/>
      <c r="CB2599" s="4"/>
      <c r="CC2599" s="4"/>
      <c r="CD2599" s="4"/>
      <c r="CE2599" s="4"/>
      <c r="CF2599" s="4"/>
      <c r="CG2599" s="4"/>
      <c r="CH2599" s="4"/>
      <c r="CI2599" s="4"/>
      <c r="CJ2599" s="4"/>
      <c r="CK2599" s="4"/>
      <c r="CL2599" s="4"/>
      <c r="CM2599" s="4"/>
      <c r="CN2599" s="4"/>
      <c r="CO2599" s="4"/>
      <c r="CP2599" s="4"/>
      <c r="CQ2599" s="4"/>
      <c r="CR2599" s="4"/>
      <c r="CS2599" s="4"/>
      <c r="CT2599" s="4"/>
      <c r="CU2599" s="4"/>
      <c r="CV2599" s="4"/>
      <c r="CW2599" s="4"/>
      <c r="CX2599" s="4"/>
      <c r="CY2599" s="4"/>
      <c r="CZ2599" s="4"/>
      <c r="DA2599" s="4"/>
      <c r="DB2599" s="4"/>
      <c r="DC2599" s="4"/>
      <c r="DD2599" s="4"/>
      <c r="DE2599" s="4"/>
      <c r="DF2599" s="4"/>
      <c r="DG2599" s="4"/>
      <c r="DH2599" s="4"/>
      <c r="DI2599" s="4"/>
      <c r="DJ2599" s="4"/>
      <c r="DK2599" s="4"/>
      <c r="DL2599" s="4"/>
      <c r="DM2599" s="4"/>
      <c r="DN2599" s="4"/>
      <c r="DO2599" s="4"/>
      <c r="DP2599" s="4"/>
      <c r="DQ2599" s="4"/>
      <c r="DR2599" s="4"/>
      <c r="DS2599" s="4"/>
    </row>
    <row r="2600">
      <c r="A2600" s="4"/>
      <c r="B2600" s="4"/>
      <c r="C2600" s="4"/>
      <c r="D2600" s="4"/>
      <c r="E2600" s="4"/>
      <c r="F2600" s="4" t="s">
        <v>17</v>
      </c>
      <c r="G2600" s="15"/>
      <c r="H2600" s="4"/>
      <c r="I2600" s="4"/>
      <c r="J2600" s="4"/>
      <c r="K2600" s="4"/>
      <c r="L2600" s="4"/>
      <c r="M2600" s="4"/>
      <c r="N2600" s="4"/>
      <c r="O2600" s="4"/>
      <c r="P2600" s="4"/>
      <c r="Q2600" s="4"/>
      <c r="R2600" s="4"/>
      <c r="S2600" s="4"/>
      <c r="T2600" s="4"/>
      <c r="U2600" s="4"/>
      <c r="V2600" s="4"/>
      <c r="W2600" s="4"/>
      <c r="X2600" s="4"/>
      <c r="Y2600" s="4"/>
      <c r="Z2600" s="4"/>
      <c r="AA2600" s="4"/>
      <c r="AB2600" s="4"/>
      <c r="AC2600" s="4"/>
      <c r="AD2600" s="4"/>
      <c r="AE2600" s="4"/>
      <c r="AF2600" s="4"/>
      <c r="AG2600" s="4"/>
      <c r="AH2600" s="4"/>
      <c r="AI2600" s="4"/>
      <c r="AJ2600" s="4"/>
      <c r="AK2600" s="4"/>
      <c r="AL2600" s="4"/>
      <c r="AM2600" s="4"/>
      <c r="AN2600" s="4"/>
      <c r="AO2600" s="4"/>
      <c r="AP2600" s="4"/>
      <c r="AQ2600" s="4"/>
      <c r="AR2600" s="4"/>
      <c r="AS2600" s="4"/>
      <c r="AT2600" s="4"/>
      <c r="AU2600" s="4"/>
      <c r="AV2600" s="4"/>
      <c r="AW2600" s="4"/>
      <c r="AX2600" s="4"/>
      <c r="AY2600" s="4"/>
      <c r="AZ2600" s="4"/>
      <c r="BA2600" s="4"/>
      <c r="BB2600" s="4"/>
      <c r="BC2600" s="4"/>
      <c r="BD2600" s="4"/>
      <c r="BE2600" s="4"/>
      <c r="BF2600" s="4"/>
      <c r="BG2600" s="4"/>
      <c r="BH2600" s="4"/>
      <c r="BI2600" s="4"/>
      <c r="BJ2600" s="4"/>
      <c r="BK2600" s="4"/>
      <c r="BL2600" s="4"/>
      <c r="BM2600" s="4"/>
      <c r="BN2600" s="4"/>
      <c r="BO2600" s="4"/>
      <c r="BP2600" s="4"/>
      <c r="BQ2600" s="4"/>
      <c r="BR2600" s="4"/>
      <c r="BS2600" s="4"/>
      <c r="BT2600" s="4"/>
      <c r="BU2600" s="4"/>
      <c r="BV2600" s="4"/>
      <c r="BW2600" s="4"/>
      <c r="BX2600" s="4"/>
      <c r="BY2600" s="4"/>
      <c r="BZ2600" s="4"/>
      <c r="CA2600" s="4"/>
      <c r="CB2600" s="4"/>
      <c r="CC2600" s="4"/>
      <c r="CD2600" s="4"/>
      <c r="CE2600" s="4"/>
      <c r="CF2600" s="4"/>
      <c r="CG2600" s="4"/>
      <c r="CH2600" s="4"/>
      <c r="CI2600" s="4"/>
      <c r="CJ2600" s="4"/>
      <c r="CK2600" s="4"/>
      <c r="CL2600" s="4"/>
      <c r="CM2600" s="4"/>
      <c r="CN2600" s="4"/>
      <c r="CO2600" s="4"/>
      <c r="CP2600" s="4"/>
      <c r="CQ2600" s="4"/>
      <c r="CR2600" s="4"/>
      <c r="CS2600" s="4"/>
      <c r="CT2600" s="4"/>
      <c r="CU2600" s="4"/>
      <c r="CV2600" s="4"/>
      <c r="CW2600" s="4"/>
      <c r="CX2600" s="4"/>
      <c r="CY2600" s="4"/>
      <c r="CZ2600" s="4"/>
      <c r="DA2600" s="4"/>
      <c r="DB2600" s="4"/>
      <c r="DC2600" s="4"/>
      <c r="DD2600" s="4"/>
      <c r="DE2600" s="4"/>
      <c r="DF2600" s="4"/>
      <c r="DG2600" s="4"/>
      <c r="DH2600" s="4"/>
      <c r="DI2600" s="4"/>
      <c r="DJ2600" s="4"/>
      <c r="DK2600" s="4"/>
      <c r="DL2600" s="4"/>
      <c r="DM2600" s="4"/>
      <c r="DN2600" s="4"/>
      <c r="DO2600" s="4"/>
      <c r="DP2600" s="4"/>
      <c r="DQ2600" s="4"/>
      <c r="DR2600" s="4"/>
      <c r="DS2600" s="4"/>
    </row>
    <row r="2601">
      <c r="A2601" s="4"/>
      <c r="B2601" s="4"/>
      <c r="C2601" s="4"/>
      <c r="D2601" s="4"/>
      <c r="E2601" s="4"/>
      <c r="F2601" s="4" t="s">
        <v>17</v>
      </c>
      <c r="G2601" s="15"/>
      <c r="H2601" s="4"/>
      <c r="I2601" s="4"/>
      <c r="J2601" s="4"/>
      <c r="K2601" s="4"/>
      <c r="L2601" s="4"/>
      <c r="M2601" s="4"/>
      <c r="N2601" s="4"/>
      <c r="O2601" s="4"/>
      <c r="P2601" s="4"/>
      <c r="Q2601" s="4"/>
      <c r="R2601" s="4"/>
      <c r="S2601" s="4"/>
      <c r="T2601" s="4"/>
      <c r="U2601" s="4"/>
      <c r="V2601" s="4"/>
      <c r="W2601" s="4"/>
      <c r="X2601" s="4"/>
      <c r="Y2601" s="4"/>
      <c r="Z2601" s="4"/>
      <c r="AA2601" s="4"/>
      <c r="AB2601" s="4"/>
      <c r="AC2601" s="4"/>
      <c r="AD2601" s="4"/>
      <c r="AE2601" s="4"/>
      <c r="AF2601" s="4"/>
      <c r="AG2601" s="4"/>
      <c r="AH2601" s="4"/>
      <c r="AI2601" s="4"/>
      <c r="AJ2601" s="4"/>
      <c r="AK2601" s="4"/>
      <c r="AL2601" s="4"/>
      <c r="AM2601" s="4"/>
      <c r="AN2601" s="4"/>
      <c r="AO2601" s="4"/>
      <c r="AP2601" s="4"/>
      <c r="AQ2601" s="4"/>
      <c r="AR2601" s="4"/>
      <c r="AS2601" s="4"/>
      <c r="AT2601" s="4"/>
      <c r="AU2601" s="4"/>
      <c r="AV2601" s="4"/>
      <c r="AW2601" s="4"/>
      <c r="AX2601" s="4"/>
      <c r="AY2601" s="4"/>
      <c r="AZ2601" s="4"/>
      <c r="BA2601" s="4"/>
      <c r="BB2601" s="4"/>
      <c r="BC2601" s="4"/>
      <c r="BD2601" s="4"/>
      <c r="BE2601" s="4"/>
      <c r="BF2601" s="4"/>
      <c r="BG2601" s="4"/>
      <c r="BH2601" s="4"/>
      <c r="BI2601" s="4"/>
      <c r="BJ2601" s="4"/>
      <c r="BK2601" s="4"/>
      <c r="BL2601" s="4"/>
      <c r="BM2601" s="4"/>
      <c r="BN2601" s="4"/>
      <c r="BO2601" s="4"/>
      <c r="BP2601" s="4"/>
      <c r="BQ2601" s="4"/>
      <c r="BR2601" s="4"/>
      <c r="BS2601" s="4"/>
      <c r="BT2601" s="4"/>
      <c r="BU2601" s="4"/>
      <c r="BV2601" s="4"/>
      <c r="BW2601" s="4"/>
      <c r="BX2601" s="4"/>
      <c r="BY2601" s="4"/>
      <c r="BZ2601" s="4"/>
      <c r="CA2601" s="4"/>
      <c r="CB2601" s="4"/>
      <c r="CC2601" s="4"/>
      <c r="CD2601" s="4"/>
      <c r="CE2601" s="4"/>
      <c r="CF2601" s="4"/>
      <c r="CG2601" s="4"/>
      <c r="CH2601" s="4"/>
      <c r="CI2601" s="4"/>
      <c r="CJ2601" s="4"/>
      <c r="CK2601" s="4"/>
      <c r="CL2601" s="4"/>
      <c r="CM2601" s="4"/>
      <c r="CN2601" s="4"/>
      <c r="CO2601" s="4"/>
      <c r="CP2601" s="4"/>
      <c r="CQ2601" s="4"/>
      <c r="CR2601" s="4"/>
      <c r="CS2601" s="4"/>
      <c r="CT2601" s="4"/>
      <c r="CU2601" s="4"/>
      <c r="CV2601" s="4"/>
      <c r="CW2601" s="4"/>
      <c r="CX2601" s="4"/>
      <c r="CY2601" s="4"/>
      <c r="CZ2601" s="4"/>
      <c r="DA2601" s="4"/>
      <c r="DB2601" s="4"/>
      <c r="DC2601" s="4"/>
      <c r="DD2601" s="4"/>
      <c r="DE2601" s="4"/>
      <c r="DF2601" s="4"/>
      <c r="DG2601" s="4"/>
      <c r="DH2601" s="4"/>
      <c r="DI2601" s="4"/>
      <c r="DJ2601" s="4"/>
      <c r="DK2601" s="4"/>
      <c r="DL2601" s="4"/>
      <c r="DM2601" s="4"/>
      <c r="DN2601" s="4"/>
      <c r="DO2601" s="4"/>
      <c r="DP2601" s="4"/>
      <c r="DQ2601" s="4"/>
      <c r="DR2601" s="4"/>
      <c r="DS2601" s="4"/>
    </row>
    <row r="2602">
      <c r="A2602" s="4"/>
      <c r="B2602" s="4"/>
      <c r="C2602" s="4"/>
      <c r="D2602" s="4"/>
      <c r="E2602" s="4"/>
      <c r="F2602" s="4" t="s">
        <v>17</v>
      </c>
      <c r="G2602" s="15"/>
      <c r="H2602" s="4"/>
      <c r="I2602" s="4"/>
      <c r="J2602" s="4"/>
      <c r="K2602" s="4"/>
      <c r="L2602" s="4"/>
      <c r="M2602" s="4"/>
      <c r="N2602" s="4"/>
      <c r="O2602" s="4"/>
      <c r="P2602" s="4"/>
      <c r="Q2602" s="4"/>
      <c r="R2602" s="4"/>
      <c r="S2602" s="4"/>
      <c r="T2602" s="4"/>
      <c r="U2602" s="4"/>
      <c r="V2602" s="4"/>
      <c r="W2602" s="4"/>
      <c r="X2602" s="4"/>
      <c r="Y2602" s="4"/>
      <c r="Z2602" s="4"/>
      <c r="AA2602" s="4"/>
      <c r="AB2602" s="4"/>
      <c r="AC2602" s="4"/>
      <c r="AD2602" s="4"/>
      <c r="AE2602" s="4"/>
      <c r="AF2602" s="4"/>
      <c r="AG2602" s="4"/>
      <c r="AH2602" s="4"/>
      <c r="AI2602" s="4"/>
      <c r="AJ2602" s="4"/>
      <c r="AK2602" s="4"/>
      <c r="AL2602" s="4"/>
      <c r="AM2602" s="4"/>
      <c r="AN2602" s="4"/>
      <c r="AO2602" s="4"/>
      <c r="AP2602" s="4"/>
      <c r="AQ2602" s="4"/>
      <c r="AR2602" s="4"/>
      <c r="AS2602" s="4"/>
      <c r="AT2602" s="4"/>
      <c r="AU2602" s="4"/>
      <c r="AV2602" s="4"/>
      <c r="AW2602" s="4"/>
      <c r="AX2602" s="4"/>
      <c r="AY2602" s="4"/>
      <c r="AZ2602" s="4"/>
      <c r="BA2602" s="4"/>
      <c r="BB2602" s="4"/>
      <c r="BC2602" s="4"/>
      <c r="BD2602" s="4"/>
      <c r="BE2602" s="4"/>
      <c r="BF2602" s="4"/>
      <c r="BG2602" s="4"/>
      <c r="BH2602" s="4"/>
      <c r="BI2602" s="4"/>
      <c r="BJ2602" s="4"/>
      <c r="BK2602" s="4"/>
      <c r="BL2602" s="4"/>
      <c r="BM2602" s="4"/>
      <c r="BN2602" s="4"/>
      <c r="BO2602" s="4"/>
      <c r="BP2602" s="4"/>
      <c r="BQ2602" s="4"/>
      <c r="BR2602" s="4"/>
      <c r="BS2602" s="4"/>
      <c r="BT2602" s="4"/>
      <c r="BU2602" s="4"/>
      <c r="BV2602" s="4"/>
      <c r="BW2602" s="4"/>
      <c r="BX2602" s="4"/>
      <c r="BY2602" s="4"/>
      <c r="BZ2602" s="4"/>
      <c r="CA2602" s="4"/>
      <c r="CB2602" s="4"/>
      <c r="CC2602" s="4"/>
      <c r="CD2602" s="4"/>
      <c r="CE2602" s="4"/>
      <c r="CF2602" s="4"/>
      <c r="CG2602" s="4"/>
      <c r="CH2602" s="4"/>
      <c r="CI2602" s="4"/>
      <c r="CJ2602" s="4"/>
      <c r="CK2602" s="4"/>
      <c r="CL2602" s="4"/>
      <c r="CM2602" s="4"/>
      <c r="CN2602" s="4"/>
      <c r="CO2602" s="4"/>
      <c r="CP2602" s="4"/>
      <c r="CQ2602" s="4"/>
      <c r="CR2602" s="4"/>
      <c r="CS2602" s="4"/>
      <c r="CT2602" s="4"/>
      <c r="CU2602" s="4"/>
      <c r="CV2602" s="4"/>
      <c r="CW2602" s="4"/>
      <c r="CX2602" s="4"/>
      <c r="CY2602" s="4"/>
      <c r="CZ2602" s="4"/>
      <c r="DA2602" s="4"/>
      <c r="DB2602" s="4"/>
      <c r="DC2602" s="4"/>
      <c r="DD2602" s="4"/>
      <c r="DE2602" s="4"/>
      <c r="DF2602" s="4"/>
      <c r="DG2602" s="4"/>
      <c r="DH2602" s="4"/>
      <c r="DI2602" s="4"/>
      <c r="DJ2602" s="4"/>
      <c r="DK2602" s="4"/>
      <c r="DL2602" s="4"/>
      <c r="DM2602" s="4"/>
      <c r="DN2602" s="4"/>
      <c r="DO2602" s="4"/>
      <c r="DP2602" s="4"/>
      <c r="DQ2602" s="4"/>
      <c r="DR2602" s="4"/>
      <c r="DS2602" s="4"/>
    </row>
    <row r="2603">
      <c r="A2603" s="4"/>
      <c r="B2603" s="4"/>
      <c r="C2603" s="4"/>
      <c r="D2603" s="4"/>
      <c r="E2603" s="4"/>
      <c r="F2603" s="4" t="s">
        <v>17</v>
      </c>
      <c r="G2603" s="15"/>
      <c r="H2603" s="4"/>
      <c r="I2603" s="4"/>
      <c r="J2603" s="4"/>
      <c r="K2603" s="4"/>
      <c r="L2603" s="4"/>
      <c r="M2603" s="4"/>
      <c r="N2603" s="4"/>
      <c r="O2603" s="4"/>
      <c r="P2603" s="4"/>
      <c r="Q2603" s="4"/>
      <c r="R2603" s="4"/>
      <c r="S2603" s="4"/>
      <c r="T2603" s="4"/>
      <c r="U2603" s="4"/>
      <c r="V2603" s="4"/>
      <c r="W2603" s="4"/>
      <c r="X2603" s="4"/>
      <c r="Y2603" s="4"/>
      <c r="Z2603" s="4"/>
      <c r="AA2603" s="4"/>
      <c r="AB2603" s="4"/>
      <c r="AC2603" s="4"/>
      <c r="AD2603" s="4"/>
      <c r="AE2603" s="4"/>
      <c r="AF2603" s="4"/>
      <c r="AG2603" s="4"/>
      <c r="AH2603" s="4"/>
      <c r="AI2603" s="4"/>
      <c r="AJ2603" s="4"/>
      <c r="AK2603" s="4"/>
      <c r="AL2603" s="4"/>
      <c r="AM2603" s="4"/>
      <c r="AN2603" s="4"/>
      <c r="AO2603" s="4"/>
      <c r="AP2603" s="4"/>
      <c r="AQ2603" s="4"/>
      <c r="AR2603" s="4"/>
      <c r="AS2603" s="4"/>
      <c r="AT2603" s="4"/>
      <c r="AU2603" s="4"/>
      <c r="AV2603" s="4"/>
      <c r="AW2603" s="4"/>
      <c r="AX2603" s="4"/>
      <c r="AY2603" s="4"/>
      <c r="AZ2603" s="4"/>
      <c r="BA2603" s="4"/>
      <c r="BB2603" s="4"/>
      <c r="BC2603" s="4"/>
      <c r="BD2603" s="4"/>
      <c r="BE2603" s="4"/>
      <c r="BF2603" s="4"/>
      <c r="BG2603" s="4"/>
      <c r="BH2603" s="4"/>
      <c r="BI2603" s="4"/>
      <c r="BJ2603" s="4"/>
      <c r="BK2603" s="4"/>
      <c r="BL2603" s="4"/>
      <c r="BM2603" s="4"/>
      <c r="BN2603" s="4"/>
      <c r="BO2603" s="4"/>
      <c r="BP2603" s="4"/>
      <c r="BQ2603" s="4"/>
      <c r="BR2603" s="4"/>
      <c r="BS2603" s="4"/>
      <c r="BT2603" s="4"/>
      <c r="BU2603" s="4"/>
      <c r="BV2603" s="4"/>
      <c r="BW2603" s="4"/>
      <c r="BX2603" s="4"/>
      <c r="BY2603" s="4"/>
      <c r="BZ2603" s="4"/>
      <c r="CA2603" s="4"/>
      <c r="CB2603" s="4"/>
      <c r="CC2603" s="4"/>
      <c r="CD2603" s="4"/>
      <c r="CE2603" s="4"/>
      <c r="CF2603" s="4"/>
      <c r="CG2603" s="4"/>
      <c r="CH2603" s="4"/>
      <c r="CI2603" s="4"/>
      <c r="CJ2603" s="4"/>
      <c r="CK2603" s="4"/>
      <c r="CL2603" s="4"/>
      <c r="CM2603" s="4"/>
      <c r="CN2603" s="4"/>
      <c r="CO2603" s="4"/>
      <c r="CP2603" s="4"/>
      <c r="CQ2603" s="4"/>
      <c r="CR2603" s="4"/>
      <c r="CS2603" s="4"/>
      <c r="CT2603" s="4"/>
      <c r="CU2603" s="4"/>
      <c r="CV2603" s="4"/>
      <c r="CW2603" s="4"/>
      <c r="CX2603" s="4"/>
      <c r="CY2603" s="4"/>
      <c r="CZ2603" s="4"/>
      <c r="DA2603" s="4"/>
      <c r="DB2603" s="4"/>
      <c r="DC2603" s="4"/>
      <c r="DD2603" s="4"/>
      <c r="DE2603" s="4"/>
      <c r="DF2603" s="4"/>
      <c r="DG2603" s="4"/>
      <c r="DH2603" s="4"/>
      <c r="DI2603" s="4"/>
      <c r="DJ2603" s="4"/>
      <c r="DK2603" s="4"/>
      <c r="DL2603" s="4"/>
      <c r="DM2603" s="4"/>
      <c r="DN2603" s="4"/>
      <c r="DO2603" s="4"/>
      <c r="DP2603" s="4"/>
      <c r="DQ2603" s="4"/>
      <c r="DR2603" s="4"/>
      <c r="DS2603" s="4"/>
    </row>
    <row r="2604">
      <c r="A2604" s="4"/>
      <c r="B2604" s="4"/>
      <c r="C2604" s="4"/>
      <c r="D2604" s="4"/>
      <c r="E2604" s="4"/>
      <c r="F2604" s="4" t="s">
        <v>17</v>
      </c>
      <c r="G2604" s="15"/>
      <c r="H2604" s="4"/>
      <c r="I2604" s="4"/>
      <c r="J2604" s="4"/>
      <c r="K2604" s="4"/>
      <c r="L2604" s="4"/>
      <c r="M2604" s="4"/>
      <c r="N2604" s="4"/>
      <c r="O2604" s="4"/>
      <c r="P2604" s="4"/>
      <c r="Q2604" s="4"/>
      <c r="R2604" s="4"/>
      <c r="S2604" s="4"/>
      <c r="T2604" s="4"/>
      <c r="U2604" s="4"/>
      <c r="V2604" s="4"/>
      <c r="W2604" s="4"/>
      <c r="X2604" s="4"/>
      <c r="Y2604" s="4"/>
      <c r="Z2604" s="4"/>
      <c r="AA2604" s="4"/>
      <c r="AB2604" s="4"/>
      <c r="AC2604" s="4"/>
      <c r="AD2604" s="4"/>
      <c r="AE2604" s="4"/>
      <c r="AF2604" s="4"/>
      <c r="AG2604" s="4"/>
      <c r="AH2604" s="4"/>
      <c r="AI2604" s="4"/>
      <c r="AJ2604" s="4"/>
      <c r="AK2604" s="4"/>
      <c r="AL2604" s="4"/>
      <c r="AM2604" s="4"/>
      <c r="AN2604" s="4"/>
      <c r="AO2604" s="4"/>
      <c r="AP2604" s="4"/>
      <c r="AQ2604" s="4"/>
      <c r="AR2604" s="4"/>
      <c r="AS2604" s="4"/>
      <c r="AT2604" s="4"/>
      <c r="AU2604" s="4"/>
      <c r="AV2604" s="4"/>
      <c r="AW2604" s="4"/>
      <c r="AX2604" s="4"/>
      <c r="AY2604" s="4"/>
      <c r="AZ2604" s="4"/>
      <c r="BA2604" s="4"/>
      <c r="BB2604" s="4"/>
      <c r="BC2604" s="4"/>
      <c r="BD2604" s="4"/>
      <c r="BE2604" s="4"/>
      <c r="BF2604" s="4"/>
      <c r="BG2604" s="4"/>
      <c r="BH2604" s="4"/>
      <c r="BI2604" s="4"/>
      <c r="BJ2604" s="4"/>
      <c r="BK2604" s="4"/>
      <c r="BL2604" s="4"/>
      <c r="BM2604" s="4"/>
      <c r="BN2604" s="4"/>
      <c r="BO2604" s="4"/>
      <c r="BP2604" s="4"/>
      <c r="BQ2604" s="4"/>
      <c r="BR2604" s="4"/>
      <c r="BS2604" s="4"/>
      <c r="BT2604" s="4"/>
      <c r="BU2604" s="4"/>
      <c r="BV2604" s="4"/>
      <c r="BW2604" s="4"/>
      <c r="BX2604" s="4"/>
      <c r="BY2604" s="4"/>
      <c r="BZ2604" s="4"/>
      <c r="CA2604" s="4"/>
      <c r="CB2604" s="4"/>
      <c r="CC2604" s="4"/>
      <c r="CD2604" s="4"/>
      <c r="CE2604" s="4"/>
      <c r="CF2604" s="4"/>
      <c r="CG2604" s="4"/>
      <c r="CH2604" s="4"/>
      <c r="CI2604" s="4"/>
      <c r="CJ2604" s="4"/>
      <c r="CK2604" s="4"/>
      <c r="CL2604" s="4"/>
      <c r="CM2604" s="4"/>
      <c r="CN2604" s="4"/>
      <c r="CO2604" s="4"/>
      <c r="CP2604" s="4"/>
      <c r="CQ2604" s="4"/>
      <c r="CR2604" s="4"/>
      <c r="CS2604" s="4"/>
      <c r="CT2604" s="4"/>
      <c r="CU2604" s="4"/>
      <c r="CV2604" s="4"/>
      <c r="CW2604" s="4"/>
      <c r="CX2604" s="4"/>
      <c r="CY2604" s="4"/>
      <c r="CZ2604" s="4"/>
      <c r="DA2604" s="4"/>
      <c r="DB2604" s="4"/>
      <c r="DC2604" s="4"/>
      <c r="DD2604" s="4"/>
      <c r="DE2604" s="4"/>
      <c r="DF2604" s="4"/>
      <c r="DG2604" s="4"/>
      <c r="DH2604" s="4"/>
      <c r="DI2604" s="4"/>
      <c r="DJ2604" s="4"/>
      <c r="DK2604" s="4"/>
      <c r="DL2604" s="4"/>
      <c r="DM2604" s="4"/>
      <c r="DN2604" s="4"/>
      <c r="DO2604" s="4"/>
      <c r="DP2604" s="4"/>
      <c r="DQ2604" s="4"/>
      <c r="DR2604" s="4"/>
      <c r="DS2604" s="4"/>
    </row>
    <row r="2605">
      <c r="A2605" s="4"/>
      <c r="B2605" s="4"/>
      <c r="C2605" s="4"/>
      <c r="D2605" s="4"/>
      <c r="E2605" s="4"/>
      <c r="F2605" s="4" t="s">
        <v>17</v>
      </c>
      <c r="G2605" s="15"/>
      <c r="H2605" s="4"/>
      <c r="I2605" s="4"/>
      <c r="J2605" s="4"/>
      <c r="K2605" s="4"/>
      <c r="L2605" s="4"/>
      <c r="M2605" s="4"/>
      <c r="N2605" s="4"/>
      <c r="O2605" s="4"/>
      <c r="P2605" s="4"/>
      <c r="Q2605" s="4"/>
      <c r="R2605" s="4"/>
      <c r="S2605" s="4"/>
      <c r="T2605" s="4"/>
      <c r="U2605" s="4"/>
      <c r="V2605" s="4"/>
      <c r="W2605" s="4"/>
      <c r="X2605" s="4"/>
      <c r="Y2605" s="4"/>
      <c r="Z2605" s="4"/>
      <c r="AA2605" s="4"/>
      <c r="AB2605" s="4"/>
      <c r="AC2605" s="4"/>
      <c r="AD2605" s="4"/>
      <c r="AE2605" s="4"/>
      <c r="AF2605" s="4"/>
      <c r="AG2605" s="4"/>
      <c r="AH2605" s="4"/>
      <c r="AI2605" s="4"/>
      <c r="AJ2605" s="4"/>
      <c r="AK2605" s="4"/>
      <c r="AL2605" s="4"/>
      <c r="AM2605" s="4"/>
      <c r="AN2605" s="4"/>
      <c r="AO2605" s="4"/>
      <c r="AP2605" s="4"/>
      <c r="AQ2605" s="4"/>
      <c r="AR2605" s="4"/>
      <c r="AS2605" s="4"/>
      <c r="AT2605" s="4"/>
      <c r="AU2605" s="4"/>
      <c r="AV2605" s="4"/>
      <c r="AW2605" s="4"/>
      <c r="AX2605" s="4"/>
      <c r="AY2605" s="4"/>
      <c r="AZ2605" s="4"/>
      <c r="BA2605" s="4"/>
      <c r="BB2605" s="4"/>
      <c r="BC2605" s="4"/>
      <c r="BD2605" s="4"/>
      <c r="BE2605" s="4"/>
      <c r="BF2605" s="4"/>
      <c r="BG2605" s="4"/>
      <c r="BH2605" s="4"/>
      <c r="BI2605" s="4"/>
      <c r="BJ2605" s="4"/>
      <c r="BK2605" s="4"/>
      <c r="BL2605" s="4"/>
      <c r="BM2605" s="4"/>
      <c r="BN2605" s="4"/>
      <c r="BO2605" s="4"/>
      <c r="BP2605" s="4"/>
      <c r="BQ2605" s="4"/>
      <c r="BR2605" s="4"/>
      <c r="BS2605" s="4"/>
      <c r="BT2605" s="4"/>
      <c r="BU2605" s="4"/>
      <c r="BV2605" s="4"/>
      <c r="BW2605" s="4"/>
      <c r="BX2605" s="4"/>
      <c r="BY2605" s="4"/>
      <c r="BZ2605" s="4"/>
      <c r="CA2605" s="4"/>
      <c r="CB2605" s="4"/>
      <c r="CC2605" s="4"/>
      <c r="CD2605" s="4"/>
      <c r="CE2605" s="4"/>
      <c r="CF2605" s="4"/>
      <c r="CG2605" s="4"/>
      <c r="CH2605" s="4"/>
      <c r="CI2605" s="4"/>
      <c r="CJ2605" s="4"/>
      <c r="CK2605" s="4"/>
      <c r="CL2605" s="4"/>
      <c r="CM2605" s="4"/>
      <c r="CN2605" s="4"/>
      <c r="CO2605" s="4"/>
      <c r="CP2605" s="4"/>
      <c r="CQ2605" s="4"/>
      <c r="CR2605" s="4"/>
      <c r="CS2605" s="4"/>
      <c r="CT2605" s="4"/>
      <c r="CU2605" s="4"/>
      <c r="CV2605" s="4"/>
      <c r="CW2605" s="4"/>
      <c r="CX2605" s="4"/>
      <c r="CY2605" s="4"/>
      <c r="CZ2605" s="4"/>
      <c r="DA2605" s="4"/>
      <c r="DB2605" s="4"/>
      <c r="DC2605" s="4"/>
      <c r="DD2605" s="4"/>
      <c r="DE2605" s="4"/>
      <c r="DF2605" s="4"/>
      <c r="DG2605" s="4"/>
      <c r="DH2605" s="4"/>
      <c r="DI2605" s="4"/>
      <c r="DJ2605" s="4"/>
      <c r="DK2605" s="4"/>
      <c r="DL2605" s="4"/>
      <c r="DM2605" s="4"/>
      <c r="DN2605" s="4"/>
      <c r="DO2605" s="4"/>
      <c r="DP2605" s="4"/>
      <c r="DQ2605" s="4"/>
      <c r="DR2605" s="4"/>
      <c r="DS2605" s="4"/>
    </row>
    <row r="2606">
      <c r="A2606" s="4"/>
      <c r="B2606" s="4"/>
      <c r="C2606" s="4"/>
      <c r="D2606" s="4"/>
      <c r="E2606" s="4"/>
      <c r="F2606" s="4" t="s">
        <v>17</v>
      </c>
      <c r="G2606" s="15"/>
      <c r="H2606" s="4"/>
      <c r="I2606" s="4"/>
      <c r="J2606" s="4"/>
      <c r="K2606" s="4"/>
      <c r="L2606" s="4"/>
      <c r="M2606" s="4"/>
      <c r="N2606" s="4"/>
      <c r="O2606" s="4"/>
      <c r="P2606" s="4"/>
      <c r="Q2606" s="4"/>
      <c r="R2606" s="4"/>
      <c r="S2606" s="4"/>
      <c r="T2606" s="4"/>
      <c r="U2606" s="4"/>
      <c r="V2606" s="4"/>
      <c r="W2606" s="4"/>
      <c r="X2606" s="4"/>
      <c r="Y2606" s="4"/>
      <c r="Z2606" s="4"/>
      <c r="AA2606" s="4"/>
      <c r="AB2606" s="4"/>
      <c r="AC2606" s="4"/>
      <c r="AD2606" s="4"/>
      <c r="AE2606" s="4"/>
      <c r="AF2606" s="4"/>
      <c r="AG2606" s="4"/>
      <c r="AH2606" s="4"/>
      <c r="AI2606" s="4"/>
      <c r="AJ2606" s="4"/>
      <c r="AK2606" s="4"/>
      <c r="AL2606" s="4"/>
      <c r="AM2606" s="4"/>
      <c r="AN2606" s="4"/>
      <c r="AO2606" s="4"/>
      <c r="AP2606" s="4"/>
      <c r="AQ2606" s="4"/>
      <c r="AR2606" s="4"/>
      <c r="AS2606" s="4"/>
      <c r="AT2606" s="4"/>
      <c r="AU2606" s="4"/>
      <c r="AV2606" s="4"/>
      <c r="AW2606" s="4"/>
      <c r="AX2606" s="4"/>
      <c r="AY2606" s="4"/>
      <c r="AZ2606" s="4"/>
      <c r="BA2606" s="4"/>
      <c r="BB2606" s="4"/>
      <c r="BC2606" s="4"/>
      <c r="BD2606" s="4"/>
      <c r="BE2606" s="4"/>
      <c r="BF2606" s="4"/>
      <c r="BG2606" s="4"/>
      <c r="BH2606" s="4"/>
      <c r="BI2606" s="4"/>
      <c r="BJ2606" s="4"/>
      <c r="BK2606" s="4"/>
      <c r="BL2606" s="4"/>
      <c r="BM2606" s="4"/>
      <c r="BN2606" s="4"/>
      <c r="BO2606" s="4"/>
      <c r="BP2606" s="4"/>
      <c r="BQ2606" s="4"/>
      <c r="BR2606" s="4"/>
      <c r="BS2606" s="4"/>
      <c r="BT2606" s="4"/>
      <c r="BU2606" s="4"/>
      <c r="BV2606" s="4"/>
      <c r="BW2606" s="4"/>
      <c r="BX2606" s="4"/>
      <c r="BY2606" s="4"/>
      <c r="BZ2606" s="4"/>
      <c r="CA2606" s="4"/>
      <c r="CB2606" s="4"/>
      <c r="CC2606" s="4"/>
      <c r="CD2606" s="4"/>
      <c r="CE2606" s="4"/>
      <c r="CF2606" s="4"/>
      <c r="CG2606" s="4"/>
      <c r="CH2606" s="4"/>
      <c r="CI2606" s="4"/>
      <c r="CJ2606" s="4"/>
      <c r="CK2606" s="4"/>
      <c r="CL2606" s="4"/>
      <c r="CM2606" s="4"/>
      <c r="CN2606" s="4"/>
      <c r="CO2606" s="4"/>
      <c r="CP2606" s="4"/>
      <c r="CQ2606" s="4"/>
      <c r="CR2606" s="4"/>
      <c r="CS2606" s="4"/>
      <c r="CT2606" s="4"/>
      <c r="CU2606" s="4"/>
      <c r="CV2606" s="4"/>
      <c r="CW2606" s="4"/>
      <c r="CX2606" s="4"/>
      <c r="CY2606" s="4"/>
      <c r="CZ2606" s="4"/>
      <c r="DA2606" s="4"/>
      <c r="DB2606" s="4"/>
      <c r="DC2606" s="4"/>
      <c r="DD2606" s="4"/>
      <c r="DE2606" s="4"/>
      <c r="DF2606" s="4"/>
      <c r="DG2606" s="4"/>
      <c r="DH2606" s="4"/>
      <c r="DI2606" s="4"/>
      <c r="DJ2606" s="4"/>
      <c r="DK2606" s="4"/>
      <c r="DL2606" s="4"/>
      <c r="DM2606" s="4"/>
      <c r="DN2606" s="4"/>
      <c r="DO2606" s="4"/>
      <c r="DP2606" s="4"/>
      <c r="DQ2606" s="4"/>
      <c r="DR2606" s="4"/>
      <c r="DS2606" s="4"/>
    </row>
    <row r="2607">
      <c r="A2607" s="4"/>
      <c r="B2607" s="4"/>
      <c r="C2607" s="4"/>
      <c r="D2607" s="4"/>
      <c r="E2607" s="4"/>
      <c r="F2607" s="4" t="s">
        <v>17</v>
      </c>
      <c r="G2607" s="15"/>
      <c r="H2607" s="4"/>
      <c r="I2607" s="4"/>
      <c r="J2607" s="4"/>
      <c r="K2607" s="4"/>
      <c r="L2607" s="4"/>
      <c r="M2607" s="4"/>
      <c r="N2607" s="4"/>
      <c r="O2607" s="4"/>
      <c r="P2607" s="4"/>
      <c r="Q2607" s="4"/>
      <c r="R2607" s="4"/>
      <c r="S2607" s="4"/>
      <c r="T2607" s="4"/>
      <c r="U2607" s="4"/>
      <c r="V2607" s="4"/>
      <c r="W2607" s="4"/>
      <c r="X2607" s="4"/>
      <c r="Y2607" s="4"/>
      <c r="Z2607" s="4"/>
      <c r="AA2607" s="4"/>
      <c r="AB2607" s="4"/>
      <c r="AC2607" s="4"/>
      <c r="AD2607" s="4"/>
      <c r="AE2607" s="4"/>
      <c r="AF2607" s="4"/>
      <c r="AG2607" s="4"/>
      <c r="AH2607" s="4"/>
      <c r="AI2607" s="4"/>
      <c r="AJ2607" s="4"/>
      <c r="AK2607" s="4"/>
      <c r="AL2607" s="4"/>
      <c r="AM2607" s="4"/>
      <c r="AN2607" s="4"/>
      <c r="AO2607" s="4"/>
      <c r="AP2607" s="4"/>
      <c r="AQ2607" s="4"/>
      <c r="AR2607" s="4"/>
      <c r="AS2607" s="4"/>
      <c r="AT2607" s="4"/>
      <c r="AU2607" s="4"/>
      <c r="AV2607" s="4"/>
      <c r="AW2607" s="4"/>
      <c r="AX2607" s="4"/>
      <c r="AY2607" s="4"/>
      <c r="AZ2607" s="4"/>
      <c r="BA2607" s="4"/>
      <c r="BB2607" s="4"/>
      <c r="BC2607" s="4"/>
      <c r="BD2607" s="4"/>
      <c r="BE2607" s="4"/>
      <c r="BF2607" s="4"/>
      <c r="BG2607" s="4"/>
      <c r="BH2607" s="4"/>
      <c r="BI2607" s="4"/>
      <c r="BJ2607" s="4"/>
      <c r="BK2607" s="4"/>
      <c r="BL2607" s="4"/>
      <c r="BM2607" s="4"/>
      <c r="BN2607" s="4"/>
      <c r="BO2607" s="4"/>
      <c r="BP2607" s="4"/>
      <c r="BQ2607" s="4"/>
      <c r="BR2607" s="4"/>
      <c r="BS2607" s="4"/>
      <c r="BT2607" s="4"/>
      <c r="BU2607" s="4"/>
      <c r="BV2607" s="4"/>
      <c r="BW2607" s="4"/>
      <c r="BX2607" s="4"/>
      <c r="BY2607" s="4"/>
      <c r="BZ2607" s="4"/>
      <c r="CA2607" s="4"/>
      <c r="CB2607" s="4"/>
      <c r="CC2607" s="4"/>
      <c r="CD2607" s="4"/>
      <c r="CE2607" s="4"/>
      <c r="CF2607" s="4"/>
      <c r="CG2607" s="4"/>
      <c r="CH2607" s="4"/>
      <c r="CI2607" s="4"/>
      <c r="CJ2607" s="4"/>
      <c r="CK2607" s="4"/>
      <c r="CL2607" s="4"/>
      <c r="CM2607" s="4"/>
      <c r="CN2607" s="4"/>
      <c r="CO2607" s="4"/>
      <c r="CP2607" s="4"/>
      <c r="CQ2607" s="4"/>
      <c r="CR2607" s="4"/>
      <c r="CS2607" s="4"/>
      <c r="CT2607" s="4"/>
      <c r="CU2607" s="4"/>
      <c r="CV2607" s="4"/>
      <c r="CW2607" s="4"/>
      <c r="CX2607" s="4"/>
      <c r="CY2607" s="4"/>
      <c r="CZ2607" s="4"/>
      <c r="DA2607" s="4"/>
      <c r="DB2607" s="4"/>
      <c r="DC2607" s="4"/>
      <c r="DD2607" s="4"/>
      <c r="DE2607" s="4"/>
      <c r="DF2607" s="4"/>
      <c r="DG2607" s="4"/>
      <c r="DH2607" s="4"/>
      <c r="DI2607" s="4"/>
      <c r="DJ2607" s="4"/>
      <c r="DK2607" s="4"/>
      <c r="DL2607" s="4"/>
      <c r="DM2607" s="4"/>
      <c r="DN2607" s="4"/>
      <c r="DO2607" s="4"/>
      <c r="DP2607" s="4"/>
      <c r="DQ2607" s="4"/>
      <c r="DR2607" s="4"/>
      <c r="DS2607" s="4"/>
    </row>
    <row r="2608">
      <c r="A2608" s="4"/>
      <c r="B2608" s="4"/>
      <c r="C2608" s="4"/>
      <c r="D2608" s="4"/>
      <c r="E2608" s="4"/>
      <c r="F2608" s="4" t="s">
        <v>17</v>
      </c>
      <c r="G2608" s="15"/>
      <c r="H2608" s="4"/>
      <c r="I2608" s="4"/>
      <c r="J2608" s="4"/>
      <c r="K2608" s="4"/>
      <c r="L2608" s="4"/>
      <c r="M2608" s="4"/>
      <c r="N2608" s="4"/>
      <c r="O2608" s="4"/>
      <c r="P2608" s="4"/>
      <c r="Q2608" s="4"/>
      <c r="R2608" s="4"/>
      <c r="S2608" s="4"/>
      <c r="T2608" s="4"/>
      <c r="U2608" s="4"/>
      <c r="V2608" s="4"/>
      <c r="W2608" s="4"/>
      <c r="X2608" s="4"/>
      <c r="Y2608" s="4"/>
      <c r="Z2608" s="4"/>
      <c r="AA2608" s="4"/>
      <c r="AB2608" s="4"/>
      <c r="AC2608" s="4"/>
      <c r="AD2608" s="4"/>
      <c r="AE2608" s="4"/>
      <c r="AF2608" s="4"/>
      <c r="AG2608" s="4"/>
      <c r="AH2608" s="4"/>
      <c r="AI2608" s="4"/>
      <c r="AJ2608" s="4"/>
      <c r="AK2608" s="4"/>
      <c r="AL2608" s="4"/>
      <c r="AM2608" s="4"/>
      <c r="AN2608" s="4"/>
      <c r="AO2608" s="4"/>
      <c r="AP2608" s="4"/>
      <c r="AQ2608" s="4"/>
      <c r="AR2608" s="4"/>
      <c r="AS2608" s="4"/>
      <c r="AT2608" s="4"/>
      <c r="AU2608" s="4"/>
      <c r="AV2608" s="4"/>
      <c r="AW2608" s="4"/>
      <c r="AX2608" s="4"/>
      <c r="AY2608" s="4"/>
      <c r="AZ2608" s="4"/>
      <c r="BA2608" s="4"/>
      <c r="BB2608" s="4"/>
      <c r="BC2608" s="4"/>
      <c r="BD2608" s="4"/>
      <c r="BE2608" s="4"/>
      <c r="BF2608" s="4"/>
      <c r="BG2608" s="4"/>
      <c r="BH2608" s="4"/>
      <c r="BI2608" s="4"/>
      <c r="BJ2608" s="4"/>
      <c r="BK2608" s="4"/>
      <c r="BL2608" s="4"/>
      <c r="BM2608" s="4"/>
      <c r="BN2608" s="4"/>
      <c r="BO2608" s="4"/>
      <c r="BP2608" s="4"/>
      <c r="BQ2608" s="4"/>
      <c r="BR2608" s="4"/>
      <c r="BS2608" s="4"/>
      <c r="BT2608" s="4"/>
      <c r="BU2608" s="4"/>
      <c r="BV2608" s="4"/>
      <c r="BW2608" s="4"/>
      <c r="BX2608" s="4"/>
      <c r="BY2608" s="4"/>
      <c r="BZ2608" s="4"/>
      <c r="CA2608" s="4"/>
      <c r="CB2608" s="4"/>
      <c r="CC2608" s="4"/>
      <c r="CD2608" s="4"/>
      <c r="CE2608" s="4"/>
      <c r="CF2608" s="4"/>
      <c r="CG2608" s="4"/>
      <c r="CH2608" s="4"/>
      <c r="CI2608" s="4"/>
      <c r="CJ2608" s="4"/>
      <c r="CK2608" s="4"/>
      <c r="CL2608" s="4"/>
      <c r="CM2608" s="4"/>
      <c r="CN2608" s="4"/>
      <c r="CO2608" s="4"/>
      <c r="CP2608" s="4"/>
      <c r="CQ2608" s="4"/>
      <c r="CR2608" s="4"/>
      <c r="CS2608" s="4"/>
      <c r="CT2608" s="4"/>
      <c r="CU2608" s="4"/>
      <c r="CV2608" s="4"/>
      <c r="CW2608" s="4"/>
      <c r="CX2608" s="4"/>
      <c r="CY2608" s="4"/>
      <c r="CZ2608" s="4"/>
      <c r="DA2608" s="4"/>
      <c r="DB2608" s="4"/>
      <c r="DC2608" s="4"/>
      <c r="DD2608" s="4"/>
      <c r="DE2608" s="4"/>
      <c r="DF2608" s="4"/>
      <c r="DG2608" s="4"/>
      <c r="DH2608" s="4"/>
      <c r="DI2608" s="4"/>
      <c r="DJ2608" s="4"/>
      <c r="DK2608" s="4"/>
      <c r="DL2608" s="4"/>
      <c r="DM2608" s="4"/>
      <c r="DN2608" s="4"/>
      <c r="DO2608" s="4"/>
      <c r="DP2608" s="4"/>
      <c r="DQ2608" s="4"/>
      <c r="DR2608" s="4"/>
      <c r="DS2608" s="4"/>
    </row>
    <row r="2609">
      <c r="A2609" s="4"/>
      <c r="B2609" s="4"/>
      <c r="C2609" s="4"/>
      <c r="D2609" s="4"/>
      <c r="E2609" s="4"/>
      <c r="F2609" s="4" t="s">
        <v>17</v>
      </c>
      <c r="G2609" s="15"/>
      <c r="H2609" s="4"/>
      <c r="I2609" s="4"/>
      <c r="J2609" s="4"/>
      <c r="K2609" s="4"/>
      <c r="L2609" s="4"/>
      <c r="M2609" s="4"/>
      <c r="N2609" s="4"/>
      <c r="O2609" s="4"/>
      <c r="P2609" s="4"/>
      <c r="Q2609" s="4"/>
      <c r="R2609" s="4"/>
      <c r="S2609" s="4"/>
      <c r="T2609" s="4"/>
      <c r="U2609" s="4"/>
      <c r="V2609" s="4"/>
      <c r="W2609" s="4"/>
      <c r="X2609" s="4"/>
      <c r="Y2609" s="4"/>
      <c r="Z2609" s="4"/>
      <c r="AA2609" s="4"/>
      <c r="AB2609" s="4"/>
      <c r="AC2609" s="4"/>
      <c r="AD2609" s="4"/>
      <c r="AE2609" s="4"/>
      <c r="AF2609" s="4"/>
      <c r="AG2609" s="4"/>
      <c r="AH2609" s="4"/>
      <c r="AI2609" s="4"/>
      <c r="AJ2609" s="4"/>
      <c r="AK2609" s="4"/>
      <c r="AL2609" s="4"/>
      <c r="AM2609" s="4"/>
      <c r="AN2609" s="4"/>
      <c r="AO2609" s="4"/>
      <c r="AP2609" s="4"/>
      <c r="AQ2609" s="4"/>
      <c r="AR2609" s="4"/>
      <c r="AS2609" s="4"/>
      <c r="AT2609" s="4"/>
      <c r="AU2609" s="4"/>
      <c r="AV2609" s="4"/>
      <c r="AW2609" s="4"/>
      <c r="AX2609" s="4"/>
      <c r="AY2609" s="4"/>
      <c r="AZ2609" s="4"/>
      <c r="BA2609" s="4"/>
      <c r="BB2609" s="4"/>
      <c r="BC2609" s="4"/>
      <c r="BD2609" s="4"/>
      <c r="BE2609" s="4"/>
      <c r="BF2609" s="4"/>
      <c r="BG2609" s="4"/>
      <c r="BH2609" s="4"/>
      <c r="BI2609" s="4"/>
      <c r="BJ2609" s="4"/>
      <c r="BK2609" s="4"/>
      <c r="BL2609" s="4"/>
      <c r="BM2609" s="4"/>
      <c r="BN2609" s="4"/>
      <c r="BO2609" s="4"/>
      <c r="BP2609" s="4"/>
      <c r="BQ2609" s="4"/>
      <c r="BR2609" s="4"/>
      <c r="BS2609" s="4"/>
      <c r="BT2609" s="4"/>
      <c r="BU2609" s="4"/>
      <c r="BV2609" s="4"/>
      <c r="BW2609" s="4"/>
      <c r="BX2609" s="4"/>
      <c r="BY2609" s="4"/>
      <c r="BZ2609" s="4"/>
      <c r="CA2609" s="4"/>
      <c r="CB2609" s="4"/>
      <c r="CC2609" s="4"/>
      <c r="CD2609" s="4"/>
      <c r="CE2609" s="4"/>
      <c r="CF2609" s="4"/>
      <c r="CG2609" s="4"/>
      <c r="CH2609" s="4"/>
      <c r="CI2609" s="4"/>
      <c r="CJ2609" s="4"/>
      <c r="CK2609" s="4"/>
      <c r="CL2609" s="4"/>
      <c r="CM2609" s="4"/>
      <c r="CN2609" s="4"/>
      <c r="CO2609" s="4"/>
      <c r="CP2609" s="4"/>
      <c r="CQ2609" s="4"/>
      <c r="CR2609" s="4"/>
      <c r="CS2609" s="4"/>
      <c r="CT2609" s="4"/>
      <c r="CU2609" s="4"/>
      <c r="CV2609" s="4"/>
      <c r="CW2609" s="4"/>
      <c r="CX2609" s="4"/>
      <c r="CY2609" s="4"/>
      <c r="CZ2609" s="4"/>
      <c r="DA2609" s="4"/>
      <c r="DB2609" s="4"/>
      <c r="DC2609" s="4"/>
      <c r="DD2609" s="4"/>
      <c r="DE2609" s="4"/>
      <c r="DF2609" s="4"/>
      <c r="DG2609" s="4"/>
      <c r="DH2609" s="4"/>
      <c r="DI2609" s="4"/>
      <c r="DJ2609" s="4"/>
      <c r="DK2609" s="4"/>
      <c r="DL2609" s="4"/>
      <c r="DM2609" s="4"/>
      <c r="DN2609" s="4"/>
      <c r="DO2609" s="4"/>
      <c r="DP2609" s="4"/>
      <c r="DQ2609" s="4"/>
      <c r="DR2609" s="4"/>
      <c r="DS2609" s="4"/>
    </row>
    <row r="2610">
      <c r="A2610" s="4"/>
      <c r="B2610" s="4"/>
      <c r="C2610" s="4"/>
      <c r="D2610" s="4"/>
      <c r="E2610" s="4"/>
      <c r="F2610" s="4" t="s">
        <v>17</v>
      </c>
      <c r="G2610" s="15"/>
      <c r="H2610" s="4"/>
      <c r="I2610" s="4"/>
      <c r="J2610" s="4"/>
      <c r="K2610" s="4"/>
      <c r="L2610" s="4"/>
      <c r="M2610" s="4"/>
      <c r="N2610" s="4"/>
      <c r="O2610" s="4"/>
      <c r="P2610" s="4"/>
      <c r="Q2610" s="4"/>
      <c r="R2610" s="4"/>
      <c r="S2610" s="4"/>
      <c r="T2610" s="4"/>
      <c r="U2610" s="4"/>
      <c r="V2610" s="4"/>
      <c r="W2610" s="4"/>
      <c r="X2610" s="4"/>
      <c r="Y2610" s="4"/>
      <c r="Z2610" s="4"/>
      <c r="AA2610" s="4"/>
      <c r="AB2610" s="4"/>
      <c r="AC2610" s="4"/>
      <c r="AD2610" s="4"/>
      <c r="AE2610" s="4"/>
      <c r="AF2610" s="4"/>
      <c r="AG2610" s="4"/>
      <c r="AH2610" s="4"/>
      <c r="AI2610" s="4"/>
      <c r="AJ2610" s="4"/>
      <c r="AK2610" s="4"/>
      <c r="AL2610" s="4"/>
      <c r="AM2610" s="4"/>
      <c r="AN2610" s="4"/>
      <c r="AO2610" s="4"/>
      <c r="AP2610" s="4"/>
      <c r="AQ2610" s="4"/>
      <c r="AR2610" s="4"/>
      <c r="AS2610" s="4"/>
      <c r="AT2610" s="4"/>
      <c r="AU2610" s="4"/>
      <c r="AV2610" s="4"/>
      <c r="AW2610" s="4"/>
      <c r="AX2610" s="4"/>
      <c r="AY2610" s="4"/>
      <c r="AZ2610" s="4"/>
      <c r="BA2610" s="4"/>
      <c r="BB2610" s="4"/>
      <c r="BC2610" s="4"/>
      <c r="BD2610" s="4"/>
      <c r="BE2610" s="4"/>
      <c r="BF2610" s="4"/>
      <c r="BG2610" s="4"/>
      <c r="BH2610" s="4"/>
      <c r="BI2610" s="4"/>
      <c r="BJ2610" s="4"/>
      <c r="BK2610" s="4"/>
      <c r="BL2610" s="4"/>
      <c r="BM2610" s="4"/>
      <c r="BN2610" s="4"/>
      <c r="BO2610" s="4"/>
      <c r="BP2610" s="4"/>
      <c r="BQ2610" s="4"/>
      <c r="BR2610" s="4"/>
      <c r="BS2610" s="4"/>
      <c r="BT2610" s="4"/>
      <c r="BU2610" s="4"/>
      <c r="BV2610" s="4"/>
      <c r="BW2610" s="4"/>
      <c r="BX2610" s="4"/>
      <c r="BY2610" s="4"/>
      <c r="BZ2610" s="4"/>
      <c r="CA2610" s="4"/>
      <c r="CB2610" s="4"/>
      <c r="CC2610" s="4"/>
      <c r="CD2610" s="4"/>
      <c r="CE2610" s="4"/>
      <c r="CF2610" s="4"/>
      <c r="CG2610" s="4"/>
      <c r="CH2610" s="4"/>
      <c r="CI2610" s="4"/>
      <c r="CJ2610" s="4"/>
      <c r="CK2610" s="4"/>
      <c r="CL2610" s="4"/>
      <c r="CM2610" s="4"/>
      <c r="CN2610" s="4"/>
      <c r="CO2610" s="4"/>
      <c r="CP2610" s="4"/>
      <c r="CQ2610" s="4"/>
      <c r="CR2610" s="4"/>
      <c r="CS2610" s="4"/>
      <c r="CT2610" s="4"/>
      <c r="CU2610" s="4"/>
      <c r="CV2610" s="4"/>
      <c r="CW2610" s="4"/>
      <c r="CX2610" s="4"/>
      <c r="CY2610" s="4"/>
      <c r="CZ2610" s="4"/>
      <c r="DA2610" s="4"/>
      <c r="DB2610" s="4"/>
      <c r="DC2610" s="4"/>
      <c r="DD2610" s="4"/>
      <c r="DE2610" s="4"/>
      <c r="DF2610" s="4"/>
      <c r="DG2610" s="4"/>
      <c r="DH2610" s="4"/>
      <c r="DI2610" s="4"/>
      <c r="DJ2610" s="4"/>
      <c r="DK2610" s="4"/>
      <c r="DL2610" s="4"/>
      <c r="DM2610" s="4"/>
      <c r="DN2610" s="4"/>
      <c r="DO2610" s="4"/>
      <c r="DP2610" s="4"/>
      <c r="DQ2610" s="4"/>
      <c r="DR2610" s="4"/>
      <c r="DS2610" s="4"/>
    </row>
    <row r="2611">
      <c r="A2611" s="4"/>
      <c r="B2611" s="4"/>
      <c r="C2611" s="4"/>
      <c r="D2611" s="4"/>
      <c r="E2611" s="4"/>
      <c r="F2611" s="4" t="s">
        <v>17</v>
      </c>
      <c r="G2611" s="15"/>
      <c r="H2611" s="4"/>
      <c r="I2611" s="4"/>
      <c r="J2611" s="4"/>
      <c r="K2611" s="4"/>
      <c r="L2611" s="4"/>
      <c r="M2611" s="4"/>
      <c r="N2611" s="4"/>
      <c r="O2611" s="4"/>
      <c r="P2611" s="4"/>
      <c r="Q2611" s="4"/>
      <c r="R2611" s="4"/>
      <c r="S2611" s="4"/>
      <c r="T2611" s="4"/>
      <c r="U2611" s="4"/>
      <c r="V2611" s="4"/>
      <c r="W2611" s="4"/>
      <c r="X2611" s="4"/>
      <c r="Y2611" s="4"/>
      <c r="Z2611" s="4"/>
      <c r="AA2611" s="4"/>
      <c r="AB2611" s="4"/>
      <c r="AC2611" s="4"/>
      <c r="AD2611" s="4"/>
      <c r="AE2611" s="4"/>
      <c r="AF2611" s="4"/>
      <c r="AG2611" s="4"/>
      <c r="AH2611" s="4"/>
      <c r="AI2611" s="4"/>
      <c r="AJ2611" s="4"/>
      <c r="AK2611" s="4"/>
      <c r="AL2611" s="4"/>
      <c r="AM2611" s="4"/>
      <c r="AN2611" s="4"/>
      <c r="AO2611" s="4"/>
      <c r="AP2611" s="4"/>
      <c r="AQ2611" s="4"/>
      <c r="AR2611" s="4"/>
      <c r="AS2611" s="4"/>
      <c r="AT2611" s="4"/>
      <c r="AU2611" s="4"/>
      <c r="AV2611" s="4"/>
      <c r="AW2611" s="4"/>
      <c r="AX2611" s="4"/>
      <c r="AY2611" s="4"/>
      <c r="AZ2611" s="4"/>
      <c r="BA2611" s="4"/>
      <c r="BB2611" s="4"/>
      <c r="BC2611" s="4"/>
      <c r="BD2611" s="4"/>
      <c r="BE2611" s="4"/>
      <c r="BF2611" s="4"/>
      <c r="BG2611" s="4"/>
      <c r="BH2611" s="4"/>
      <c r="BI2611" s="4"/>
      <c r="BJ2611" s="4"/>
      <c r="BK2611" s="4"/>
      <c r="BL2611" s="4"/>
      <c r="BM2611" s="4"/>
      <c r="BN2611" s="4"/>
      <c r="BO2611" s="4"/>
      <c r="BP2611" s="4"/>
      <c r="BQ2611" s="4"/>
      <c r="BR2611" s="4"/>
      <c r="BS2611" s="4"/>
      <c r="BT2611" s="4"/>
      <c r="BU2611" s="4"/>
      <c r="BV2611" s="4"/>
      <c r="BW2611" s="4"/>
      <c r="BX2611" s="4"/>
      <c r="BY2611" s="4"/>
      <c r="BZ2611" s="4"/>
      <c r="CA2611" s="4"/>
      <c r="CB2611" s="4"/>
      <c r="CC2611" s="4"/>
      <c r="CD2611" s="4"/>
      <c r="CE2611" s="4"/>
      <c r="CF2611" s="4"/>
      <c r="CG2611" s="4"/>
      <c r="CH2611" s="4"/>
      <c r="CI2611" s="4"/>
      <c r="CJ2611" s="4"/>
      <c r="CK2611" s="4"/>
      <c r="CL2611" s="4"/>
      <c r="CM2611" s="4"/>
      <c r="CN2611" s="4"/>
      <c r="CO2611" s="4"/>
      <c r="CP2611" s="4"/>
      <c r="CQ2611" s="4"/>
      <c r="CR2611" s="4"/>
      <c r="CS2611" s="4"/>
      <c r="CT2611" s="4"/>
      <c r="CU2611" s="4"/>
      <c r="CV2611" s="4"/>
      <c r="CW2611" s="4"/>
      <c r="CX2611" s="4"/>
      <c r="CY2611" s="4"/>
      <c r="CZ2611" s="4"/>
      <c r="DA2611" s="4"/>
      <c r="DB2611" s="4"/>
      <c r="DC2611" s="4"/>
      <c r="DD2611" s="4"/>
      <c r="DE2611" s="4"/>
      <c r="DF2611" s="4"/>
      <c r="DG2611" s="4"/>
      <c r="DH2611" s="4"/>
      <c r="DI2611" s="4"/>
      <c r="DJ2611" s="4"/>
      <c r="DK2611" s="4"/>
      <c r="DL2611" s="4"/>
      <c r="DM2611" s="4"/>
      <c r="DN2611" s="4"/>
      <c r="DO2611" s="4"/>
      <c r="DP2611" s="4"/>
      <c r="DQ2611" s="4"/>
      <c r="DR2611" s="4"/>
      <c r="DS2611" s="4"/>
    </row>
    <row r="2612">
      <c r="A2612" s="4"/>
      <c r="B2612" s="4"/>
      <c r="C2612" s="4"/>
      <c r="D2612" s="4"/>
      <c r="E2612" s="4"/>
      <c r="F2612" s="4" t="s">
        <v>17</v>
      </c>
      <c r="G2612" s="15"/>
      <c r="H2612" s="4"/>
      <c r="I2612" s="4"/>
      <c r="J2612" s="4"/>
      <c r="K2612" s="4"/>
      <c r="L2612" s="4"/>
      <c r="M2612" s="4"/>
      <c r="N2612" s="4"/>
      <c r="O2612" s="4"/>
      <c r="P2612" s="4"/>
      <c r="Q2612" s="4"/>
      <c r="R2612" s="4"/>
      <c r="S2612" s="4"/>
      <c r="T2612" s="4"/>
      <c r="U2612" s="4"/>
      <c r="V2612" s="4"/>
      <c r="W2612" s="4"/>
      <c r="X2612" s="4"/>
      <c r="Y2612" s="4"/>
      <c r="Z2612" s="4"/>
      <c r="AA2612" s="4"/>
      <c r="AB2612" s="4"/>
      <c r="AC2612" s="4"/>
      <c r="AD2612" s="4"/>
      <c r="AE2612" s="4"/>
      <c r="AF2612" s="4"/>
      <c r="AG2612" s="4"/>
      <c r="AH2612" s="4"/>
      <c r="AI2612" s="4"/>
      <c r="AJ2612" s="4"/>
      <c r="AK2612" s="4"/>
      <c r="AL2612" s="4"/>
      <c r="AM2612" s="4"/>
      <c r="AN2612" s="4"/>
      <c r="AO2612" s="4"/>
      <c r="AP2612" s="4"/>
      <c r="AQ2612" s="4"/>
      <c r="AR2612" s="4"/>
      <c r="AS2612" s="4"/>
      <c r="AT2612" s="4"/>
      <c r="AU2612" s="4"/>
      <c r="AV2612" s="4"/>
      <c r="AW2612" s="4"/>
      <c r="AX2612" s="4"/>
      <c r="AY2612" s="4"/>
      <c r="AZ2612" s="4"/>
      <c r="BA2612" s="4"/>
      <c r="BB2612" s="4"/>
      <c r="BC2612" s="4"/>
      <c r="BD2612" s="4"/>
      <c r="BE2612" s="4"/>
      <c r="BF2612" s="4"/>
      <c r="BG2612" s="4"/>
      <c r="BH2612" s="4"/>
      <c r="BI2612" s="4"/>
      <c r="BJ2612" s="4"/>
      <c r="BK2612" s="4"/>
      <c r="BL2612" s="4"/>
      <c r="BM2612" s="4"/>
      <c r="BN2612" s="4"/>
      <c r="BO2612" s="4"/>
      <c r="BP2612" s="4"/>
      <c r="BQ2612" s="4"/>
      <c r="BR2612" s="4"/>
      <c r="BS2612" s="4"/>
      <c r="BT2612" s="4"/>
      <c r="BU2612" s="4"/>
      <c r="BV2612" s="4"/>
      <c r="BW2612" s="4"/>
      <c r="BX2612" s="4"/>
      <c r="BY2612" s="4"/>
      <c r="BZ2612" s="4"/>
      <c r="CA2612" s="4"/>
      <c r="CB2612" s="4"/>
      <c r="CC2612" s="4"/>
      <c r="CD2612" s="4"/>
      <c r="CE2612" s="4"/>
      <c r="CF2612" s="4"/>
      <c r="CG2612" s="4"/>
      <c r="CH2612" s="4"/>
      <c r="CI2612" s="4"/>
      <c r="CJ2612" s="4"/>
      <c r="CK2612" s="4"/>
      <c r="CL2612" s="4"/>
      <c r="CM2612" s="4"/>
      <c r="CN2612" s="4"/>
      <c r="CO2612" s="4"/>
      <c r="CP2612" s="4"/>
      <c r="CQ2612" s="4"/>
      <c r="CR2612" s="4"/>
      <c r="CS2612" s="4"/>
      <c r="CT2612" s="4"/>
      <c r="CU2612" s="4"/>
      <c r="CV2612" s="4"/>
      <c r="CW2612" s="4"/>
      <c r="CX2612" s="4"/>
      <c r="CY2612" s="4"/>
      <c r="CZ2612" s="4"/>
      <c r="DA2612" s="4"/>
      <c r="DB2612" s="4"/>
      <c r="DC2612" s="4"/>
      <c r="DD2612" s="4"/>
      <c r="DE2612" s="4"/>
      <c r="DF2612" s="4"/>
      <c r="DG2612" s="4"/>
      <c r="DH2612" s="4"/>
      <c r="DI2612" s="4"/>
      <c r="DJ2612" s="4"/>
      <c r="DK2612" s="4"/>
      <c r="DL2612" s="4"/>
      <c r="DM2612" s="4"/>
      <c r="DN2612" s="4"/>
      <c r="DO2612" s="4"/>
      <c r="DP2612" s="4"/>
      <c r="DQ2612" s="4"/>
      <c r="DR2612" s="4"/>
      <c r="DS2612" s="4"/>
    </row>
    <row r="2613">
      <c r="A2613" s="4"/>
      <c r="B2613" s="4"/>
      <c r="C2613" s="4"/>
      <c r="D2613" s="4"/>
      <c r="E2613" s="4"/>
      <c r="F2613" s="4" t="s">
        <v>17</v>
      </c>
      <c r="G2613" s="15"/>
      <c r="H2613" s="4"/>
      <c r="I2613" s="4"/>
      <c r="J2613" s="4"/>
      <c r="K2613" s="4"/>
      <c r="L2613" s="4"/>
      <c r="M2613" s="4"/>
      <c r="N2613" s="4"/>
      <c r="O2613" s="4"/>
      <c r="P2613" s="4"/>
      <c r="Q2613" s="4"/>
      <c r="R2613" s="4"/>
      <c r="S2613" s="4"/>
      <c r="T2613" s="4"/>
      <c r="U2613" s="4"/>
      <c r="V2613" s="4"/>
      <c r="W2613" s="4"/>
      <c r="X2613" s="4"/>
      <c r="Y2613" s="4"/>
      <c r="Z2613" s="4"/>
      <c r="AA2613" s="4"/>
      <c r="AB2613" s="4"/>
      <c r="AC2613" s="4"/>
      <c r="AD2613" s="4"/>
      <c r="AE2613" s="4"/>
      <c r="AF2613" s="4"/>
      <c r="AG2613" s="4"/>
      <c r="AH2613" s="4"/>
      <c r="AI2613" s="4"/>
      <c r="AJ2613" s="4"/>
      <c r="AK2613" s="4"/>
      <c r="AL2613" s="4"/>
      <c r="AM2613" s="4"/>
      <c r="AN2613" s="4"/>
      <c r="AO2613" s="4"/>
      <c r="AP2613" s="4"/>
      <c r="AQ2613" s="4"/>
      <c r="AR2613" s="4"/>
      <c r="AS2613" s="4"/>
      <c r="AT2613" s="4"/>
      <c r="AU2613" s="4"/>
      <c r="AV2613" s="4"/>
      <c r="AW2613" s="4"/>
      <c r="AX2613" s="4"/>
      <c r="AY2613" s="4"/>
      <c r="AZ2613" s="4"/>
      <c r="BA2613" s="4"/>
      <c r="BB2613" s="4"/>
      <c r="BC2613" s="4"/>
      <c r="BD2613" s="4"/>
      <c r="BE2613" s="4"/>
      <c r="BF2613" s="4"/>
      <c r="BG2613" s="4"/>
      <c r="BH2613" s="4"/>
      <c r="BI2613" s="4"/>
      <c r="BJ2613" s="4"/>
      <c r="BK2613" s="4"/>
      <c r="BL2613" s="4"/>
      <c r="BM2613" s="4"/>
      <c r="BN2613" s="4"/>
      <c r="BO2613" s="4"/>
      <c r="BP2613" s="4"/>
      <c r="BQ2613" s="4"/>
      <c r="BR2613" s="4"/>
      <c r="BS2613" s="4"/>
      <c r="BT2613" s="4"/>
      <c r="BU2613" s="4"/>
      <c r="BV2613" s="4"/>
      <c r="BW2613" s="4"/>
      <c r="BX2613" s="4"/>
      <c r="BY2613" s="4"/>
      <c r="BZ2613" s="4"/>
      <c r="CA2613" s="4"/>
      <c r="CB2613" s="4"/>
      <c r="CC2613" s="4"/>
      <c r="CD2613" s="4"/>
      <c r="CE2613" s="4"/>
      <c r="CF2613" s="4"/>
      <c r="CG2613" s="4"/>
      <c r="CH2613" s="4"/>
      <c r="CI2613" s="4"/>
      <c r="CJ2613" s="4"/>
      <c r="CK2613" s="4"/>
      <c r="CL2613" s="4"/>
      <c r="CM2613" s="4"/>
      <c r="CN2613" s="4"/>
      <c r="CO2613" s="4"/>
      <c r="CP2613" s="4"/>
      <c r="CQ2613" s="4"/>
      <c r="CR2613" s="4"/>
      <c r="CS2613" s="4"/>
      <c r="CT2613" s="4"/>
      <c r="CU2613" s="4"/>
      <c r="CV2613" s="4"/>
      <c r="CW2613" s="4"/>
      <c r="CX2613" s="4"/>
      <c r="CY2613" s="4"/>
      <c r="CZ2613" s="4"/>
      <c r="DA2613" s="4"/>
      <c r="DB2613" s="4"/>
      <c r="DC2613" s="4"/>
      <c r="DD2613" s="4"/>
      <c r="DE2613" s="4"/>
      <c r="DF2613" s="4"/>
      <c r="DG2613" s="4"/>
      <c r="DH2613" s="4"/>
      <c r="DI2613" s="4"/>
      <c r="DJ2613" s="4"/>
      <c r="DK2613" s="4"/>
      <c r="DL2613" s="4"/>
      <c r="DM2613" s="4"/>
      <c r="DN2613" s="4"/>
      <c r="DO2613" s="4"/>
      <c r="DP2613" s="4"/>
      <c r="DQ2613" s="4"/>
      <c r="DR2613" s="4"/>
      <c r="DS2613" s="4"/>
    </row>
    <row r="2614">
      <c r="A2614" s="4"/>
      <c r="B2614" s="4"/>
      <c r="C2614" s="4"/>
      <c r="D2614" s="4"/>
      <c r="E2614" s="4"/>
      <c r="F2614" s="4" t="s">
        <v>17</v>
      </c>
      <c r="G2614" s="15"/>
      <c r="H2614" s="4"/>
      <c r="I2614" s="4"/>
      <c r="J2614" s="4"/>
      <c r="K2614" s="4"/>
      <c r="L2614" s="4"/>
      <c r="M2614" s="4"/>
      <c r="N2614" s="4"/>
      <c r="O2614" s="4"/>
      <c r="P2614" s="4"/>
      <c r="Q2614" s="4"/>
      <c r="R2614" s="4"/>
      <c r="S2614" s="4"/>
      <c r="T2614" s="4"/>
      <c r="U2614" s="4"/>
      <c r="V2614" s="4"/>
      <c r="W2614" s="4"/>
      <c r="X2614" s="4"/>
      <c r="Y2614" s="4"/>
      <c r="Z2614" s="4"/>
      <c r="AA2614" s="4"/>
      <c r="AB2614" s="4"/>
      <c r="AC2614" s="4"/>
      <c r="AD2614" s="4"/>
      <c r="AE2614" s="4"/>
      <c r="AF2614" s="4"/>
      <c r="AG2614" s="4"/>
      <c r="AH2614" s="4"/>
      <c r="AI2614" s="4"/>
      <c r="AJ2614" s="4"/>
      <c r="AK2614" s="4"/>
      <c r="AL2614" s="4"/>
      <c r="AM2614" s="4"/>
      <c r="AN2614" s="4"/>
      <c r="AO2614" s="4"/>
      <c r="AP2614" s="4"/>
      <c r="AQ2614" s="4"/>
      <c r="AR2614" s="4"/>
      <c r="AS2614" s="4"/>
      <c r="AT2614" s="4"/>
      <c r="AU2614" s="4"/>
      <c r="AV2614" s="4"/>
      <c r="AW2614" s="4"/>
      <c r="AX2614" s="4"/>
      <c r="AY2614" s="4"/>
      <c r="AZ2614" s="4"/>
      <c r="BA2614" s="4"/>
      <c r="BB2614" s="4"/>
      <c r="BC2614" s="4"/>
      <c r="BD2614" s="4"/>
      <c r="BE2614" s="4"/>
      <c r="BF2614" s="4"/>
      <c r="BG2614" s="4"/>
      <c r="BH2614" s="4"/>
      <c r="BI2614" s="4"/>
      <c r="BJ2614" s="4"/>
      <c r="BK2614" s="4"/>
      <c r="BL2614" s="4"/>
      <c r="BM2614" s="4"/>
      <c r="BN2614" s="4"/>
      <c r="BO2614" s="4"/>
      <c r="BP2614" s="4"/>
      <c r="BQ2614" s="4"/>
      <c r="BR2614" s="4"/>
      <c r="BS2614" s="4"/>
      <c r="BT2614" s="4"/>
      <c r="BU2614" s="4"/>
      <c r="BV2614" s="4"/>
      <c r="BW2614" s="4"/>
      <c r="BX2614" s="4"/>
      <c r="BY2614" s="4"/>
      <c r="BZ2614" s="4"/>
      <c r="CA2614" s="4"/>
      <c r="CB2614" s="4"/>
      <c r="CC2614" s="4"/>
      <c r="CD2614" s="4"/>
      <c r="CE2614" s="4"/>
      <c r="CF2614" s="4"/>
      <c r="CG2614" s="4"/>
      <c r="CH2614" s="4"/>
      <c r="CI2614" s="4"/>
      <c r="CJ2614" s="4"/>
      <c r="CK2614" s="4"/>
      <c r="CL2614" s="4"/>
      <c r="CM2614" s="4"/>
      <c r="CN2614" s="4"/>
      <c r="CO2614" s="4"/>
      <c r="CP2614" s="4"/>
      <c r="CQ2614" s="4"/>
      <c r="CR2614" s="4"/>
      <c r="CS2614" s="4"/>
      <c r="CT2614" s="4"/>
      <c r="CU2614" s="4"/>
      <c r="CV2614" s="4"/>
      <c r="CW2614" s="4"/>
      <c r="CX2614" s="4"/>
      <c r="CY2614" s="4"/>
      <c r="CZ2614" s="4"/>
      <c r="DA2614" s="4"/>
      <c r="DB2614" s="4"/>
      <c r="DC2614" s="4"/>
      <c r="DD2614" s="4"/>
      <c r="DE2614" s="4"/>
      <c r="DF2614" s="4"/>
      <c r="DG2614" s="4"/>
      <c r="DH2614" s="4"/>
      <c r="DI2614" s="4"/>
      <c r="DJ2614" s="4"/>
      <c r="DK2614" s="4"/>
      <c r="DL2614" s="4"/>
      <c r="DM2614" s="4"/>
      <c r="DN2614" s="4"/>
      <c r="DO2614" s="4"/>
      <c r="DP2614" s="4"/>
      <c r="DQ2614" s="4"/>
      <c r="DR2614" s="4"/>
      <c r="DS2614" s="4"/>
    </row>
    <row r="2615">
      <c r="A2615" s="4"/>
      <c r="B2615" s="4"/>
      <c r="C2615" s="4"/>
      <c r="D2615" s="4"/>
      <c r="E2615" s="4"/>
      <c r="F2615" s="4" t="s">
        <v>17</v>
      </c>
      <c r="G2615" s="15"/>
      <c r="H2615" s="4"/>
      <c r="I2615" s="4"/>
      <c r="J2615" s="4"/>
      <c r="K2615" s="4"/>
      <c r="L2615" s="4"/>
      <c r="M2615" s="4"/>
      <c r="N2615" s="4"/>
      <c r="O2615" s="4"/>
      <c r="P2615" s="4"/>
      <c r="Q2615" s="4"/>
      <c r="R2615" s="4"/>
      <c r="S2615" s="4"/>
      <c r="T2615" s="4"/>
      <c r="U2615" s="4"/>
      <c r="V2615" s="4"/>
      <c r="W2615" s="4"/>
      <c r="X2615" s="4"/>
      <c r="Y2615" s="4"/>
      <c r="Z2615" s="4"/>
      <c r="AA2615" s="4"/>
      <c r="AB2615" s="4"/>
      <c r="AC2615" s="4"/>
      <c r="AD2615" s="4"/>
      <c r="AE2615" s="4"/>
      <c r="AF2615" s="4"/>
      <c r="AG2615" s="4"/>
      <c r="AH2615" s="4"/>
      <c r="AI2615" s="4"/>
      <c r="AJ2615" s="4"/>
      <c r="AK2615" s="4"/>
      <c r="AL2615" s="4"/>
      <c r="AM2615" s="4"/>
      <c r="AN2615" s="4"/>
      <c r="AO2615" s="4"/>
      <c r="AP2615" s="4"/>
      <c r="AQ2615" s="4"/>
      <c r="AR2615" s="4"/>
      <c r="AS2615" s="4"/>
      <c r="AT2615" s="4"/>
      <c r="AU2615" s="4"/>
      <c r="AV2615" s="4"/>
      <c r="AW2615" s="4"/>
      <c r="AX2615" s="4"/>
      <c r="AY2615" s="4"/>
      <c r="AZ2615" s="4"/>
      <c r="BA2615" s="4"/>
      <c r="BB2615" s="4"/>
      <c r="BC2615" s="4"/>
      <c r="BD2615" s="4"/>
      <c r="BE2615" s="4"/>
      <c r="BF2615" s="4"/>
      <c r="BG2615" s="4"/>
      <c r="BH2615" s="4"/>
      <c r="BI2615" s="4"/>
      <c r="BJ2615" s="4"/>
      <c r="BK2615" s="4"/>
      <c r="BL2615" s="4"/>
      <c r="BM2615" s="4"/>
      <c r="BN2615" s="4"/>
      <c r="BO2615" s="4"/>
      <c r="BP2615" s="4"/>
      <c r="BQ2615" s="4"/>
      <c r="BR2615" s="4"/>
      <c r="BS2615" s="4"/>
      <c r="BT2615" s="4"/>
      <c r="BU2615" s="4"/>
      <c r="BV2615" s="4"/>
      <c r="BW2615" s="4"/>
      <c r="BX2615" s="4"/>
      <c r="BY2615" s="4"/>
      <c r="BZ2615" s="4"/>
      <c r="CA2615" s="4"/>
      <c r="CB2615" s="4"/>
      <c r="CC2615" s="4"/>
      <c r="CD2615" s="4"/>
      <c r="CE2615" s="4"/>
      <c r="CF2615" s="4"/>
      <c r="CG2615" s="4"/>
      <c r="CH2615" s="4"/>
      <c r="CI2615" s="4"/>
      <c r="CJ2615" s="4"/>
      <c r="CK2615" s="4"/>
      <c r="CL2615" s="4"/>
      <c r="CM2615" s="4"/>
      <c r="CN2615" s="4"/>
      <c r="CO2615" s="4"/>
      <c r="CP2615" s="4"/>
      <c r="CQ2615" s="4"/>
      <c r="CR2615" s="4"/>
      <c r="CS2615" s="4"/>
      <c r="CT2615" s="4"/>
      <c r="CU2615" s="4"/>
      <c r="CV2615" s="4"/>
      <c r="CW2615" s="4"/>
      <c r="CX2615" s="4"/>
      <c r="CY2615" s="4"/>
      <c r="CZ2615" s="4"/>
      <c r="DA2615" s="4"/>
      <c r="DB2615" s="4"/>
      <c r="DC2615" s="4"/>
      <c r="DD2615" s="4"/>
      <c r="DE2615" s="4"/>
      <c r="DF2615" s="4"/>
      <c r="DG2615" s="4"/>
      <c r="DH2615" s="4"/>
      <c r="DI2615" s="4"/>
      <c r="DJ2615" s="4"/>
      <c r="DK2615" s="4"/>
      <c r="DL2615" s="4"/>
      <c r="DM2615" s="4"/>
      <c r="DN2615" s="4"/>
      <c r="DO2615" s="4"/>
      <c r="DP2615" s="4"/>
      <c r="DQ2615" s="4"/>
      <c r="DR2615" s="4"/>
      <c r="DS2615" s="4"/>
    </row>
    <row r="2616">
      <c r="A2616" s="4"/>
      <c r="B2616" s="4"/>
      <c r="C2616" s="4"/>
      <c r="D2616" s="4"/>
      <c r="E2616" s="4"/>
      <c r="F2616" s="4" t="s">
        <v>17</v>
      </c>
      <c r="G2616" s="15"/>
      <c r="H2616" s="4"/>
      <c r="I2616" s="4"/>
      <c r="J2616" s="4"/>
      <c r="K2616" s="4"/>
      <c r="L2616" s="4"/>
      <c r="M2616" s="4"/>
      <c r="N2616" s="4"/>
      <c r="O2616" s="4"/>
      <c r="P2616" s="4"/>
      <c r="Q2616" s="4"/>
      <c r="R2616" s="4"/>
      <c r="S2616" s="4"/>
      <c r="T2616" s="4"/>
      <c r="U2616" s="4"/>
      <c r="V2616" s="4"/>
      <c r="W2616" s="4"/>
      <c r="X2616" s="4"/>
      <c r="Y2616" s="4"/>
      <c r="Z2616" s="4"/>
      <c r="AA2616" s="4"/>
      <c r="AB2616" s="4"/>
      <c r="AC2616" s="4"/>
      <c r="AD2616" s="4"/>
      <c r="AE2616" s="4"/>
      <c r="AF2616" s="4"/>
      <c r="AG2616" s="4"/>
      <c r="AH2616" s="4"/>
      <c r="AI2616" s="4"/>
      <c r="AJ2616" s="4"/>
      <c r="AK2616" s="4"/>
      <c r="AL2616" s="4"/>
      <c r="AM2616" s="4"/>
      <c r="AN2616" s="4"/>
      <c r="AO2616" s="4"/>
      <c r="AP2616" s="4"/>
      <c r="AQ2616" s="4"/>
      <c r="AR2616" s="4"/>
      <c r="AS2616" s="4"/>
      <c r="AT2616" s="4"/>
      <c r="AU2616" s="4"/>
      <c r="AV2616" s="4"/>
      <c r="AW2616" s="4"/>
      <c r="AX2616" s="4"/>
      <c r="AY2616" s="4"/>
      <c r="AZ2616" s="4"/>
      <c r="BA2616" s="4"/>
      <c r="BB2616" s="4"/>
      <c r="BC2616" s="4"/>
      <c r="BD2616" s="4"/>
      <c r="BE2616" s="4"/>
      <c r="BF2616" s="4"/>
      <c r="BG2616" s="4"/>
      <c r="BH2616" s="4"/>
      <c r="BI2616" s="4"/>
      <c r="BJ2616" s="4"/>
      <c r="BK2616" s="4"/>
      <c r="BL2616" s="4"/>
      <c r="BM2616" s="4"/>
      <c r="BN2616" s="4"/>
      <c r="BO2616" s="4"/>
      <c r="BP2616" s="4"/>
      <c r="BQ2616" s="4"/>
      <c r="BR2616" s="4"/>
      <c r="BS2616" s="4"/>
      <c r="BT2616" s="4"/>
      <c r="BU2616" s="4"/>
      <c r="BV2616" s="4"/>
      <c r="BW2616" s="4"/>
      <c r="BX2616" s="4"/>
      <c r="BY2616" s="4"/>
      <c r="BZ2616" s="4"/>
      <c r="CA2616" s="4"/>
      <c r="CB2616" s="4"/>
      <c r="CC2616" s="4"/>
      <c r="CD2616" s="4"/>
      <c r="CE2616" s="4"/>
      <c r="CF2616" s="4"/>
      <c r="CG2616" s="4"/>
      <c r="CH2616" s="4"/>
      <c r="CI2616" s="4"/>
      <c r="CJ2616" s="4"/>
      <c r="CK2616" s="4"/>
      <c r="CL2616" s="4"/>
      <c r="CM2616" s="4"/>
      <c r="CN2616" s="4"/>
      <c r="CO2616" s="4"/>
      <c r="CP2616" s="4"/>
      <c r="CQ2616" s="4"/>
      <c r="CR2616" s="4"/>
      <c r="CS2616" s="4"/>
      <c r="CT2616" s="4"/>
      <c r="CU2616" s="4"/>
      <c r="CV2616" s="4"/>
      <c r="CW2616" s="4"/>
      <c r="CX2616" s="4"/>
      <c r="CY2616" s="4"/>
      <c r="CZ2616" s="4"/>
      <c r="DA2616" s="4"/>
      <c r="DB2616" s="4"/>
      <c r="DC2616" s="4"/>
      <c r="DD2616" s="4"/>
      <c r="DE2616" s="4"/>
      <c r="DF2616" s="4"/>
      <c r="DG2616" s="4"/>
      <c r="DH2616" s="4"/>
      <c r="DI2616" s="4"/>
      <c r="DJ2616" s="4"/>
      <c r="DK2616" s="4"/>
      <c r="DL2616" s="4"/>
      <c r="DM2616" s="4"/>
      <c r="DN2616" s="4"/>
      <c r="DO2616" s="4"/>
      <c r="DP2616" s="4"/>
      <c r="DQ2616" s="4"/>
      <c r="DR2616" s="4"/>
      <c r="DS2616" s="4"/>
    </row>
    <row r="2617">
      <c r="A2617" s="4"/>
      <c r="B2617" s="4"/>
      <c r="C2617" s="4"/>
      <c r="D2617" s="4"/>
      <c r="E2617" s="4"/>
      <c r="F2617" s="4" t="s">
        <v>17</v>
      </c>
      <c r="G2617" s="15"/>
      <c r="H2617" s="4"/>
      <c r="I2617" s="4"/>
      <c r="J2617" s="4"/>
      <c r="K2617" s="4"/>
      <c r="L2617" s="4"/>
      <c r="M2617" s="4"/>
      <c r="N2617" s="4"/>
      <c r="O2617" s="4"/>
      <c r="P2617" s="4"/>
      <c r="Q2617" s="4"/>
      <c r="R2617" s="4"/>
      <c r="S2617" s="4"/>
      <c r="T2617" s="4"/>
      <c r="U2617" s="4"/>
      <c r="V2617" s="4"/>
      <c r="W2617" s="4"/>
      <c r="X2617" s="4"/>
      <c r="Y2617" s="4"/>
      <c r="Z2617" s="4"/>
      <c r="AA2617" s="4"/>
      <c r="AB2617" s="4"/>
      <c r="AC2617" s="4"/>
      <c r="AD2617" s="4"/>
      <c r="AE2617" s="4"/>
      <c r="AF2617" s="4"/>
      <c r="AG2617" s="4"/>
      <c r="AH2617" s="4"/>
      <c r="AI2617" s="4"/>
      <c r="AJ2617" s="4"/>
      <c r="AK2617" s="4"/>
      <c r="AL2617" s="4"/>
      <c r="AM2617" s="4"/>
      <c r="AN2617" s="4"/>
      <c r="AO2617" s="4"/>
      <c r="AP2617" s="4"/>
      <c r="AQ2617" s="4"/>
      <c r="AR2617" s="4"/>
      <c r="AS2617" s="4"/>
      <c r="AT2617" s="4"/>
      <c r="AU2617" s="4"/>
      <c r="AV2617" s="4"/>
      <c r="AW2617" s="4"/>
      <c r="AX2617" s="4"/>
      <c r="AY2617" s="4"/>
      <c r="AZ2617" s="4"/>
      <c r="BA2617" s="4"/>
      <c r="BB2617" s="4"/>
      <c r="BC2617" s="4"/>
      <c r="BD2617" s="4"/>
      <c r="BE2617" s="4"/>
      <c r="BF2617" s="4"/>
      <c r="BG2617" s="4"/>
      <c r="BH2617" s="4"/>
      <c r="BI2617" s="4"/>
      <c r="BJ2617" s="4"/>
      <c r="BK2617" s="4"/>
      <c r="BL2617" s="4"/>
      <c r="BM2617" s="4"/>
      <c r="BN2617" s="4"/>
      <c r="BO2617" s="4"/>
      <c r="BP2617" s="4"/>
      <c r="BQ2617" s="4"/>
      <c r="BR2617" s="4"/>
      <c r="BS2617" s="4"/>
      <c r="BT2617" s="4"/>
      <c r="BU2617" s="4"/>
      <c r="BV2617" s="4"/>
      <c r="BW2617" s="4"/>
      <c r="BX2617" s="4"/>
      <c r="BY2617" s="4"/>
      <c r="BZ2617" s="4"/>
      <c r="CA2617" s="4"/>
      <c r="CB2617" s="4"/>
      <c r="CC2617" s="4"/>
      <c r="CD2617" s="4"/>
      <c r="CE2617" s="4"/>
      <c r="CF2617" s="4"/>
      <c r="CG2617" s="4"/>
      <c r="CH2617" s="4"/>
      <c r="CI2617" s="4"/>
      <c r="CJ2617" s="4"/>
      <c r="CK2617" s="4"/>
      <c r="CL2617" s="4"/>
      <c r="CM2617" s="4"/>
      <c r="CN2617" s="4"/>
      <c r="CO2617" s="4"/>
      <c r="CP2617" s="4"/>
      <c r="CQ2617" s="4"/>
      <c r="CR2617" s="4"/>
      <c r="CS2617" s="4"/>
      <c r="CT2617" s="4"/>
      <c r="CU2617" s="4"/>
      <c r="CV2617" s="4"/>
      <c r="CW2617" s="4"/>
      <c r="CX2617" s="4"/>
      <c r="CY2617" s="4"/>
      <c r="CZ2617" s="4"/>
      <c r="DA2617" s="4"/>
      <c r="DB2617" s="4"/>
      <c r="DC2617" s="4"/>
      <c r="DD2617" s="4"/>
      <c r="DE2617" s="4"/>
      <c r="DF2617" s="4"/>
      <c r="DG2617" s="4"/>
      <c r="DH2617" s="4"/>
      <c r="DI2617" s="4"/>
      <c r="DJ2617" s="4"/>
      <c r="DK2617" s="4"/>
      <c r="DL2617" s="4"/>
      <c r="DM2617" s="4"/>
      <c r="DN2617" s="4"/>
      <c r="DO2617" s="4"/>
      <c r="DP2617" s="4"/>
      <c r="DQ2617" s="4"/>
      <c r="DR2617" s="4"/>
      <c r="DS2617" s="4"/>
    </row>
    <row r="2618">
      <c r="A2618" s="4"/>
      <c r="B2618" s="4"/>
      <c r="C2618" s="4"/>
      <c r="D2618" s="4"/>
      <c r="E2618" s="4"/>
      <c r="F2618" s="4" t="s">
        <v>17</v>
      </c>
      <c r="G2618" s="15"/>
      <c r="H2618" s="4"/>
      <c r="I2618" s="4"/>
      <c r="J2618" s="4"/>
      <c r="K2618" s="4"/>
      <c r="L2618" s="4"/>
      <c r="M2618" s="4"/>
      <c r="N2618" s="4"/>
      <c r="O2618" s="4"/>
      <c r="P2618" s="4"/>
      <c r="Q2618" s="4"/>
      <c r="R2618" s="4"/>
      <c r="S2618" s="4"/>
      <c r="T2618" s="4"/>
      <c r="U2618" s="4"/>
      <c r="V2618" s="4"/>
      <c r="W2618" s="4"/>
      <c r="X2618" s="4"/>
      <c r="Y2618" s="4"/>
      <c r="Z2618" s="4"/>
      <c r="AA2618" s="4"/>
      <c r="AB2618" s="4"/>
      <c r="AC2618" s="4"/>
      <c r="AD2618" s="4"/>
      <c r="AE2618" s="4"/>
      <c r="AF2618" s="4"/>
      <c r="AG2618" s="4"/>
      <c r="AH2618" s="4"/>
      <c r="AI2618" s="4"/>
      <c r="AJ2618" s="4"/>
      <c r="AK2618" s="4"/>
      <c r="AL2618" s="4"/>
      <c r="AM2618" s="4"/>
      <c r="AN2618" s="4"/>
      <c r="AO2618" s="4"/>
      <c r="AP2618" s="4"/>
      <c r="AQ2618" s="4"/>
      <c r="AR2618" s="4"/>
      <c r="AS2618" s="4"/>
      <c r="AT2618" s="4"/>
      <c r="AU2618" s="4"/>
      <c r="AV2618" s="4"/>
      <c r="AW2618" s="4"/>
      <c r="AX2618" s="4"/>
      <c r="AY2618" s="4"/>
      <c r="AZ2618" s="4"/>
      <c r="BA2618" s="4"/>
      <c r="BB2618" s="4"/>
      <c r="BC2618" s="4"/>
      <c r="BD2618" s="4"/>
      <c r="BE2618" s="4"/>
      <c r="BF2618" s="4"/>
      <c r="BG2618" s="4"/>
      <c r="BH2618" s="4"/>
      <c r="BI2618" s="4"/>
      <c r="BJ2618" s="4"/>
      <c r="BK2618" s="4"/>
      <c r="BL2618" s="4"/>
      <c r="BM2618" s="4"/>
      <c r="BN2618" s="4"/>
      <c r="BO2618" s="4"/>
      <c r="BP2618" s="4"/>
      <c r="BQ2618" s="4"/>
      <c r="BR2618" s="4"/>
      <c r="BS2618" s="4"/>
      <c r="BT2618" s="4"/>
      <c r="BU2618" s="4"/>
      <c r="BV2618" s="4"/>
      <c r="BW2618" s="4"/>
      <c r="BX2618" s="4"/>
      <c r="BY2618" s="4"/>
      <c r="BZ2618" s="4"/>
      <c r="CA2618" s="4"/>
      <c r="CB2618" s="4"/>
      <c r="CC2618" s="4"/>
      <c r="CD2618" s="4"/>
      <c r="CE2618" s="4"/>
      <c r="CF2618" s="4"/>
      <c r="CG2618" s="4"/>
      <c r="CH2618" s="4"/>
      <c r="CI2618" s="4"/>
      <c r="CJ2618" s="4"/>
      <c r="CK2618" s="4"/>
      <c r="CL2618" s="4"/>
      <c r="CM2618" s="4"/>
      <c r="CN2618" s="4"/>
      <c r="CO2618" s="4"/>
      <c r="CP2618" s="4"/>
      <c r="CQ2618" s="4"/>
      <c r="CR2618" s="4"/>
      <c r="CS2618" s="4"/>
      <c r="CT2618" s="4"/>
      <c r="CU2618" s="4"/>
      <c r="CV2618" s="4"/>
      <c r="CW2618" s="4"/>
      <c r="CX2618" s="4"/>
      <c r="CY2618" s="4"/>
      <c r="CZ2618" s="4"/>
      <c r="DA2618" s="4"/>
      <c r="DB2618" s="4"/>
      <c r="DC2618" s="4"/>
      <c r="DD2618" s="4"/>
      <c r="DE2618" s="4"/>
      <c r="DF2618" s="4"/>
      <c r="DG2618" s="4"/>
      <c r="DH2618" s="4"/>
      <c r="DI2618" s="4"/>
      <c r="DJ2618" s="4"/>
      <c r="DK2618" s="4"/>
      <c r="DL2618" s="4"/>
      <c r="DM2618" s="4"/>
      <c r="DN2618" s="4"/>
      <c r="DO2618" s="4"/>
      <c r="DP2618" s="4"/>
      <c r="DQ2618" s="4"/>
      <c r="DR2618" s="4"/>
      <c r="DS2618" s="4"/>
    </row>
    <row r="2619">
      <c r="A2619" s="4"/>
      <c r="B2619" s="4"/>
      <c r="C2619" s="4"/>
      <c r="D2619" s="4"/>
      <c r="E2619" s="4"/>
      <c r="F2619" s="4" t="s">
        <v>17</v>
      </c>
      <c r="G2619" s="15"/>
      <c r="H2619" s="4"/>
      <c r="I2619" s="4"/>
      <c r="J2619" s="4"/>
      <c r="K2619" s="4"/>
      <c r="L2619" s="4"/>
      <c r="M2619" s="4"/>
      <c r="N2619" s="4"/>
      <c r="O2619" s="4"/>
      <c r="P2619" s="4"/>
      <c r="Q2619" s="4"/>
      <c r="R2619" s="4"/>
      <c r="S2619" s="4"/>
      <c r="T2619" s="4"/>
      <c r="U2619" s="4"/>
      <c r="V2619" s="4"/>
      <c r="W2619" s="4"/>
      <c r="X2619" s="4"/>
      <c r="Y2619" s="4"/>
      <c r="Z2619" s="4"/>
      <c r="AA2619" s="4"/>
      <c r="AB2619" s="4"/>
      <c r="AC2619" s="4"/>
      <c r="AD2619" s="4"/>
      <c r="AE2619" s="4"/>
      <c r="AF2619" s="4"/>
      <c r="AG2619" s="4"/>
      <c r="AH2619" s="4"/>
      <c r="AI2619" s="4"/>
      <c r="AJ2619" s="4"/>
      <c r="AK2619" s="4"/>
      <c r="AL2619" s="4"/>
      <c r="AM2619" s="4"/>
      <c r="AN2619" s="4"/>
      <c r="AO2619" s="4"/>
      <c r="AP2619" s="4"/>
      <c r="AQ2619" s="4"/>
      <c r="AR2619" s="4"/>
      <c r="AS2619" s="4"/>
      <c r="AT2619" s="4"/>
      <c r="AU2619" s="4"/>
      <c r="AV2619" s="4"/>
      <c r="AW2619" s="4"/>
      <c r="AX2619" s="4"/>
      <c r="AY2619" s="4"/>
      <c r="AZ2619" s="4"/>
      <c r="BA2619" s="4"/>
      <c r="BB2619" s="4"/>
      <c r="BC2619" s="4"/>
      <c r="BD2619" s="4"/>
      <c r="BE2619" s="4"/>
      <c r="BF2619" s="4"/>
      <c r="BG2619" s="4"/>
      <c r="BH2619" s="4"/>
      <c r="BI2619" s="4"/>
      <c r="BJ2619" s="4"/>
      <c r="BK2619" s="4"/>
      <c r="BL2619" s="4"/>
      <c r="BM2619" s="4"/>
      <c r="BN2619" s="4"/>
      <c r="BO2619" s="4"/>
      <c r="BP2619" s="4"/>
      <c r="BQ2619" s="4"/>
      <c r="BR2619" s="4"/>
      <c r="BS2619" s="4"/>
      <c r="BT2619" s="4"/>
      <c r="BU2619" s="4"/>
      <c r="BV2619" s="4"/>
      <c r="BW2619" s="4"/>
      <c r="BX2619" s="4"/>
      <c r="BY2619" s="4"/>
      <c r="BZ2619" s="4"/>
      <c r="CA2619" s="4"/>
      <c r="CB2619" s="4"/>
      <c r="CC2619" s="4"/>
      <c r="CD2619" s="4"/>
      <c r="CE2619" s="4"/>
      <c r="CF2619" s="4"/>
      <c r="CG2619" s="4"/>
      <c r="CH2619" s="4"/>
      <c r="CI2619" s="4"/>
      <c r="CJ2619" s="4"/>
      <c r="CK2619" s="4"/>
      <c r="CL2619" s="4"/>
      <c r="CM2619" s="4"/>
      <c r="CN2619" s="4"/>
      <c r="CO2619" s="4"/>
      <c r="CP2619" s="4"/>
      <c r="CQ2619" s="4"/>
      <c r="CR2619" s="4"/>
      <c r="CS2619" s="4"/>
      <c r="CT2619" s="4"/>
      <c r="CU2619" s="4"/>
      <c r="CV2619" s="4"/>
      <c r="CW2619" s="4"/>
      <c r="CX2619" s="4"/>
      <c r="CY2619" s="4"/>
      <c r="CZ2619" s="4"/>
      <c r="DA2619" s="4"/>
      <c r="DB2619" s="4"/>
      <c r="DC2619" s="4"/>
      <c r="DD2619" s="4"/>
      <c r="DE2619" s="4"/>
      <c r="DF2619" s="4"/>
      <c r="DG2619" s="4"/>
      <c r="DH2619" s="4"/>
      <c r="DI2619" s="4"/>
      <c r="DJ2619" s="4"/>
      <c r="DK2619" s="4"/>
      <c r="DL2619" s="4"/>
      <c r="DM2619" s="4"/>
      <c r="DN2619" s="4"/>
      <c r="DO2619" s="4"/>
      <c r="DP2619" s="4"/>
      <c r="DQ2619" s="4"/>
      <c r="DR2619" s="4"/>
      <c r="DS2619" s="4"/>
    </row>
    <row r="2620">
      <c r="A2620" s="4"/>
      <c r="B2620" s="4"/>
      <c r="C2620" s="4"/>
      <c r="D2620" s="4"/>
      <c r="E2620" s="4"/>
      <c r="F2620" s="4" t="s">
        <v>17</v>
      </c>
      <c r="G2620" s="15"/>
      <c r="H2620" s="4"/>
      <c r="I2620" s="4"/>
      <c r="J2620" s="4"/>
      <c r="K2620" s="4"/>
      <c r="L2620" s="4"/>
      <c r="M2620" s="4"/>
      <c r="N2620" s="4"/>
      <c r="O2620" s="4"/>
      <c r="P2620" s="4"/>
      <c r="Q2620" s="4"/>
      <c r="R2620" s="4"/>
      <c r="S2620" s="4"/>
      <c r="T2620" s="4"/>
      <c r="U2620" s="4"/>
      <c r="V2620" s="4"/>
      <c r="W2620" s="4"/>
      <c r="X2620" s="4"/>
      <c r="Y2620" s="4"/>
      <c r="Z2620" s="4"/>
      <c r="AA2620" s="4"/>
      <c r="AB2620" s="4"/>
      <c r="AC2620" s="4"/>
      <c r="AD2620" s="4"/>
      <c r="AE2620" s="4"/>
      <c r="AF2620" s="4"/>
      <c r="AG2620" s="4"/>
      <c r="AH2620" s="4"/>
      <c r="AI2620" s="4"/>
      <c r="AJ2620" s="4"/>
      <c r="AK2620" s="4"/>
      <c r="AL2620" s="4"/>
      <c r="AM2620" s="4"/>
      <c r="AN2620" s="4"/>
      <c r="AO2620" s="4"/>
      <c r="AP2620" s="4"/>
      <c r="AQ2620" s="4"/>
      <c r="AR2620" s="4"/>
      <c r="AS2620" s="4"/>
      <c r="AT2620" s="4"/>
      <c r="AU2620" s="4"/>
      <c r="AV2620" s="4"/>
      <c r="AW2620" s="4"/>
      <c r="AX2620" s="4"/>
      <c r="AY2620" s="4"/>
      <c r="AZ2620" s="4"/>
      <c r="BA2620" s="4"/>
      <c r="BB2620" s="4"/>
      <c r="BC2620" s="4"/>
      <c r="BD2620" s="4"/>
      <c r="BE2620" s="4"/>
      <c r="BF2620" s="4"/>
      <c r="BG2620" s="4"/>
      <c r="BH2620" s="4"/>
      <c r="BI2620" s="4"/>
      <c r="BJ2620" s="4"/>
      <c r="BK2620" s="4"/>
      <c r="BL2620" s="4"/>
      <c r="BM2620" s="4"/>
      <c r="BN2620" s="4"/>
      <c r="BO2620" s="4"/>
      <c r="BP2620" s="4"/>
      <c r="BQ2620" s="4"/>
      <c r="BR2620" s="4"/>
      <c r="BS2620" s="4"/>
      <c r="BT2620" s="4"/>
      <c r="BU2620" s="4"/>
      <c r="BV2620" s="4"/>
      <c r="BW2620" s="4"/>
      <c r="BX2620" s="4"/>
      <c r="BY2620" s="4"/>
      <c r="BZ2620" s="4"/>
      <c r="CA2620" s="4"/>
      <c r="CB2620" s="4"/>
      <c r="CC2620" s="4"/>
      <c r="CD2620" s="4"/>
      <c r="CE2620" s="4"/>
      <c r="CF2620" s="4"/>
      <c r="CG2620" s="4"/>
      <c r="CH2620" s="4"/>
      <c r="CI2620" s="4"/>
      <c r="CJ2620" s="4"/>
      <c r="CK2620" s="4"/>
      <c r="CL2620" s="4"/>
      <c r="CM2620" s="4"/>
      <c r="CN2620" s="4"/>
      <c r="CO2620" s="4"/>
      <c r="CP2620" s="4"/>
      <c r="CQ2620" s="4"/>
      <c r="CR2620" s="4"/>
      <c r="CS2620" s="4"/>
      <c r="CT2620" s="4"/>
      <c r="CU2620" s="4"/>
      <c r="CV2620" s="4"/>
      <c r="CW2620" s="4"/>
      <c r="CX2620" s="4"/>
      <c r="CY2620" s="4"/>
      <c r="CZ2620" s="4"/>
      <c r="DA2620" s="4"/>
      <c r="DB2620" s="4"/>
      <c r="DC2620" s="4"/>
      <c r="DD2620" s="4"/>
      <c r="DE2620" s="4"/>
      <c r="DF2620" s="4"/>
      <c r="DG2620" s="4"/>
      <c r="DH2620" s="4"/>
      <c r="DI2620" s="4"/>
      <c r="DJ2620" s="4"/>
      <c r="DK2620" s="4"/>
      <c r="DL2620" s="4"/>
      <c r="DM2620" s="4"/>
      <c r="DN2620" s="4"/>
      <c r="DO2620" s="4"/>
      <c r="DP2620" s="4"/>
      <c r="DQ2620" s="4"/>
      <c r="DR2620" s="4"/>
      <c r="DS2620" s="4"/>
    </row>
    <row r="2621">
      <c r="A2621" s="4"/>
      <c r="B2621" s="4"/>
      <c r="C2621" s="4"/>
      <c r="D2621" s="4"/>
      <c r="E2621" s="4"/>
      <c r="F2621" s="4" t="s">
        <v>17</v>
      </c>
      <c r="G2621" s="15"/>
      <c r="H2621" s="4"/>
      <c r="I2621" s="4"/>
      <c r="J2621" s="4"/>
      <c r="K2621" s="4"/>
      <c r="L2621" s="4"/>
      <c r="M2621" s="4"/>
      <c r="N2621" s="4"/>
      <c r="O2621" s="4"/>
      <c r="P2621" s="4"/>
      <c r="Q2621" s="4"/>
      <c r="R2621" s="4"/>
      <c r="S2621" s="4"/>
      <c r="T2621" s="4"/>
      <c r="U2621" s="4"/>
      <c r="V2621" s="4"/>
      <c r="W2621" s="4"/>
      <c r="X2621" s="4"/>
      <c r="Y2621" s="4"/>
      <c r="Z2621" s="4"/>
      <c r="AA2621" s="4"/>
      <c r="AB2621" s="4"/>
      <c r="AC2621" s="4"/>
      <c r="AD2621" s="4"/>
      <c r="AE2621" s="4"/>
      <c r="AF2621" s="4"/>
      <c r="AG2621" s="4"/>
      <c r="AH2621" s="4"/>
      <c r="AI2621" s="4"/>
      <c r="AJ2621" s="4"/>
      <c r="AK2621" s="4"/>
      <c r="AL2621" s="4"/>
      <c r="AM2621" s="4"/>
      <c r="AN2621" s="4"/>
      <c r="AO2621" s="4"/>
      <c r="AP2621" s="4"/>
      <c r="AQ2621" s="4"/>
      <c r="AR2621" s="4"/>
      <c r="AS2621" s="4"/>
      <c r="AT2621" s="4"/>
      <c r="AU2621" s="4"/>
      <c r="AV2621" s="4"/>
      <c r="AW2621" s="4"/>
      <c r="AX2621" s="4"/>
      <c r="AY2621" s="4"/>
      <c r="AZ2621" s="4"/>
      <c r="BA2621" s="4"/>
      <c r="BB2621" s="4"/>
      <c r="BC2621" s="4"/>
      <c r="BD2621" s="4"/>
      <c r="BE2621" s="4"/>
      <c r="BF2621" s="4"/>
      <c r="BG2621" s="4"/>
      <c r="BH2621" s="4"/>
      <c r="BI2621" s="4"/>
      <c r="BJ2621" s="4"/>
      <c r="BK2621" s="4"/>
      <c r="BL2621" s="4"/>
      <c r="BM2621" s="4"/>
      <c r="BN2621" s="4"/>
      <c r="BO2621" s="4"/>
      <c r="BP2621" s="4"/>
      <c r="BQ2621" s="4"/>
      <c r="BR2621" s="4"/>
      <c r="BS2621" s="4"/>
      <c r="BT2621" s="4"/>
      <c r="BU2621" s="4"/>
      <c r="BV2621" s="4"/>
      <c r="BW2621" s="4"/>
      <c r="BX2621" s="4"/>
      <c r="BY2621" s="4"/>
      <c r="BZ2621" s="4"/>
      <c r="CA2621" s="4"/>
      <c r="CB2621" s="4"/>
      <c r="CC2621" s="4"/>
      <c r="CD2621" s="4"/>
      <c r="CE2621" s="4"/>
      <c r="CF2621" s="4"/>
      <c r="CG2621" s="4"/>
      <c r="CH2621" s="4"/>
      <c r="CI2621" s="4"/>
      <c r="CJ2621" s="4"/>
      <c r="CK2621" s="4"/>
      <c r="CL2621" s="4"/>
      <c r="CM2621" s="4"/>
      <c r="CN2621" s="4"/>
      <c r="CO2621" s="4"/>
      <c r="CP2621" s="4"/>
      <c r="CQ2621" s="4"/>
      <c r="CR2621" s="4"/>
      <c r="CS2621" s="4"/>
      <c r="CT2621" s="4"/>
      <c r="CU2621" s="4"/>
      <c r="CV2621" s="4"/>
      <c r="CW2621" s="4"/>
      <c r="CX2621" s="4"/>
      <c r="CY2621" s="4"/>
      <c r="CZ2621" s="4"/>
      <c r="DA2621" s="4"/>
      <c r="DB2621" s="4"/>
      <c r="DC2621" s="4"/>
      <c r="DD2621" s="4"/>
      <c r="DE2621" s="4"/>
      <c r="DF2621" s="4"/>
      <c r="DG2621" s="4"/>
      <c r="DH2621" s="4"/>
      <c r="DI2621" s="4"/>
      <c r="DJ2621" s="4"/>
      <c r="DK2621" s="4"/>
      <c r="DL2621" s="4"/>
      <c r="DM2621" s="4"/>
      <c r="DN2621" s="4"/>
      <c r="DO2621" s="4"/>
      <c r="DP2621" s="4"/>
      <c r="DQ2621" s="4"/>
      <c r="DR2621" s="4"/>
      <c r="DS2621" s="4"/>
    </row>
    <row r="2622">
      <c r="A2622" s="4"/>
      <c r="B2622" s="4"/>
      <c r="C2622" s="4"/>
      <c r="D2622" s="4"/>
      <c r="E2622" s="4"/>
      <c r="F2622" s="4" t="s">
        <v>17</v>
      </c>
      <c r="G2622" s="15"/>
      <c r="H2622" s="4"/>
      <c r="I2622" s="4"/>
      <c r="J2622" s="4"/>
      <c r="K2622" s="4"/>
      <c r="L2622" s="4"/>
      <c r="M2622" s="4"/>
      <c r="N2622" s="4"/>
      <c r="O2622" s="4"/>
      <c r="P2622" s="4"/>
      <c r="Q2622" s="4"/>
      <c r="R2622" s="4"/>
      <c r="S2622" s="4"/>
      <c r="T2622" s="4"/>
      <c r="U2622" s="4"/>
      <c r="V2622" s="4"/>
      <c r="W2622" s="4"/>
      <c r="X2622" s="4"/>
      <c r="Y2622" s="4"/>
      <c r="Z2622" s="4"/>
      <c r="AA2622" s="4"/>
      <c r="AB2622" s="4"/>
      <c r="AC2622" s="4"/>
      <c r="AD2622" s="4"/>
      <c r="AE2622" s="4"/>
      <c r="AF2622" s="4"/>
      <c r="AG2622" s="4"/>
      <c r="AH2622" s="4"/>
      <c r="AI2622" s="4"/>
      <c r="AJ2622" s="4"/>
      <c r="AK2622" s="4"/>
      <c r="AL2622" s="4"/>
      <c r="AM2622" s="4"/>
      <c r="AN2622" s="4"/>
      <c r="AO2622" s="4"/>
      <c r="AP2622" s="4"/>
      <c r="AQ2622" s="4"/>
      <c r="AR2622" s="4"/>
      <c r="AS2622" s="4"/>
      <c r="AT2622" s="4"/>
      <c r="AU2622" s="4"/>
      <c r="AV2622" s="4"/>
      <c r="AW2622" s="4"/>
      <c r="AX2622" s="4"/>
      <c r="AY2622" s="4"/>
      <c r="AZ2622" s="4"/>
      <c r="BA2622" s="4"/>
      <c r="BB2622" s="4"/>
      <c r="BC2622" s="4"/>
      <c r="BD2622" s="4"/>
      <c r="BE2622" s="4"/>
      <c r="BF2622" s="4"/>
      <c r="BG2622" s="4"/>
      <c r="BH2622" s="4"/>
      <c r="BI2622" s="4"/>
      <c r="BJ2622" s="4"/>
      <c r="BK2622" s="4"/>
      <c r="BL2622" s="4"/>
      <c r="BM2622" s="4"/>
      <c r="BN2622" s="4"/>
      <c r="BO2622" s="4"/>
      <c r="BP2622" s="4"/>
      <c r="BQ2622" s="4"/>
      <c r="BR2622" s="4"/>
      <c r="BS2622" s="4"/>
      <c r="BT2622" s="4"/>
      <c r="BU2622" s="4"/>
      <c r="BV2622" s="4"/>
      <c r="BW2622" s="4"/>
      <c r="BX2622" s="4"/>
      <c r="BY2622" s="4"/>
      <c r="BZ2622" s="4"/>
      <c r="CA2622" s="4"/>
      <c r="CB2622" s="4"/>
      <c r="CC2622" s="4"/>
      <c r="CD2622" s="4"/>
      <c r="CE2622" s="4"/>
      <c r="CF2622" s="4"/>
      <c r="CG2622" s="4"/>
      <c r="CH2622" s="4"/>
      <c r="CI2622" s="4"/>
      <c r="CJ2622" s="4"/>
      <c r="CK2622" s="4"/>
      <c r="CL2622" s="4"/>
      <c r="CM2622" s="4"/>
      <c r="CN2622" s="4"/>
      <c r="CO2622" s="4"/>
      <c r="CP2622" s="4"/>
      <c r="CQ2622" s="4"/>
      <c r="CR2622" s="4"/>
      <c r="CS2622" s="4"/>
      <c r="CT2622" s="4"/>
      <c r="CU2622" s="4"/>
      <c r="CV2622" s="4"/>
      <c r="CW2622" s="4"/>
      <c r="CX2622" s="4"/>
      <c r="CY2622" s="4"/>
      <c r="CZ2622" s="4"/>
      <c r="DA2622" s="4"/>
      <c r="DB2622" s="4"/>
      <c r="DC2622" s="4"/>
      <c r="DD2622" s="4"/>
      <c r="DE2622" s="4"/>
      <c r="DF2622" s="4"/>
      <c r="DG2622" s="4"/>
      <c r="DH2622" s="4"/>
      <c r="DI2622" s="4"/>
      <c r="DJ2622" s="4"/>
      <c r="DK2622" s="4"/>
      <c r="DL2622" s="4"/>
      <c r="DM2622" s="4"/>
      <c r="DN2622" s="4"/>
      <c r="DO2622" s="4"/>
      <c r="DP2622" s="4"/>
      <c r="DQ2622" s="4"/>
      <c r="DR2622" s="4"/>
      <c r="DS2622" s="4"/>
    </row>
    <row r="2623">
      <c r="A2623" s="4"/>
      <c r="B2623" s="4"/>
      <c r="C2623" s="4"/>
      <c r="D2623" s="4"/>
      <c r="E2623" s="4"/>
      <c r="F2623" s="4" t="s">
        <v>17</v>
      </c>
      <c r="G2623" s="15"/>
      <c r="H2623" s="4"/>
      <c r="I2623" s="4"/>
      <c r="J2623" s="4"/>
      <c r="K2623" s="4"/>
      <c r="L2623" s="4"/>
      <c r="M2623" s="4"/>
      <c r="N2623" s="4"/>
      <c r="O2623" s="4"/>
      <c r="P2623" s="4"/>
      <c r="Q2623" s="4"/>
      <c r="R2623" s="4"/>
      <c r="S2623" s="4"/>
      <c r="T2623" s="4"/>
      <c r="U2623" s="4"/>
      <c r="V2623" s="4"/>
      <c r="W2623" s="4"/>
      <c r="X2623" s="4"/>
      <c r="Y2623" s="4"/>
      <c r="Z2623" s="4"/>
      <c r="AA2623" s="4"/>
      <c r="AB2623" s="4"/>
      <c r="AC2623" s="4"/>
      <c r="AD2623" s="4"/>
      <c r="AE2623" s="4"/>
      <c r="AF2623" s="4"/>
      <c r="AG2623" s="4"/>
      <c r="AH2623" s="4"/>
      <c r="AI2623" s="4"/>
      <c r="AJ2623" s="4"/>
      <c r="AK2623" s="4"/>
      <c r="AL2623" s="4"/>
      <c r="AM2623" s="4"/>
      <c r="AN2623" s="4"/>
      <c r="AO2623" s="4"/>
      <c r="AP2623" s="4"/>
      <c r="AQ2623" s="4"/>
      <c r="AR2623" s="4"/>
      <c r="AS2623" s="4"/>
      <c r="AT2623" s="4"/>
      <c r="AU2623" s="4"/>
      <c r="AV2623" s="4"/>
      <c r="AW2623" s="4"/>
      <c r="AX2623" s="4"/>
      <c r="AY2623" s="4"/>
      <c r="AZ2623" s="4"/>
      <c r="BA2623" s="4"/>
      <c r="BB2623" s="4"/>
      <c r="BC2623" s="4"/>
      <c r="BD2623" s="4"/>
      <c r="BE2623" s="4"/>
      <c r="BF2623" s="4"/>
      <c r="BG2623" s="4"/>
      <c r="BH2623" s="4"/>
      <c r="BI2623" s="4"/>
      <c r="BJ2623" s="4"/>
      <c r="BK2623" s="4"/>
      <c r="BL2623" s="4"/>
      <c r="BM2623" s="4"/>
      <c r="BN2623" s="4"/>
      <c r="BO2623" s="4"/>
      <c r="BP2623" s="4"/>
      <c r="BQ2623" s="4"/>
      <c r="BR2623" s="4"/>
      <c r="BS2623" s="4"/>
      <c r="BT2623" s="4"/>
      <c r="BU2623" s="4"/>
      <c r="BV2623" s="4"/>
      <c r="BW2623" s="4"/>
      <c r="BX2623" s="4"/>
      <c r="BY2623" s="4"/>
      <c r="BZ2623" s="4"/>
      <c r="CA2623" s="4"/>
      <c r="CB2623" s="4"/>
      <c r="CC2623" s="4"/>
      <c r="CD2623" s="4"/>
      <c r="CE2623" s="4"/>
      <c r="CF2623" s="4"/>
      <c r="CG2623" s="4"/>
      <c r="CH2623" s="4"/>
      <c r="CI2623" s="4"/>
      <c r="CJ2623" s="4"/>
      <c r="CK2623" s="4"/>
      <c r="CL2623" s="4"/>
      <c r="CM2623" s="4"/>
      <c r="CN2623" s="4"/>
      <c r="CO2623" s="4"/>
      <c r="CP2623" s="4"/>
      <c r="CQ2623" s="4"/>
      <c r="CR2623" s="4"/>
      <c r="CS2623" s="4"/>
      <c r="CT2623" s="4"/>
      <c r="CU2623" s="4"/>
      <c r="CV2623" s="4"/>
      <c r="CW2623" s="4"/>
      <c r="CX2623" s="4"/>
      <c r="CY2623" s="4"/>
      <c r="CZ2623" s="4"/>
      <c r="DA2623" s="4"/>
      <c r="DB2623" s="4"/>
      <c r="DC2623" s="4"/>
      <c r="DD2623" s="4"/>
      <c r="DE2623" s="4"/>
      <c r="DF2623" s="4"/>
      <c r="DG2623" s="4"/>
      <c r="DH2623" s="4"/>
      <c r="DI2623" s="4"/>
      <c r="DJ2623" s="4"/>
      <c r="DK2623" s="4"/>
      <c r="DL2623" s="4"/>
      <c r="DM2623" s="4"/>
      <c r="DN2623" s="4"/>
      <c r="DO2623" s="4"/>
      <c r="DP2623" s="4"/>
      <c r="DQ2623" s="4"/>
      <c r="DR2623" s="4"/>
      <c r="DS2623" s="4"/>
    </row>
    <row r="2624">
      <c r="A2624" s="4"/>
      <c r="B2624" s="4"/>
      <c r="C2624" s="4"/>
      <c r="D2624" s="4"/>
      <c r="E2624" s="4"/>
      <c r="F2624" s="4" t="s">
        <v>17</v>
      </c>
      <c r="G2624" s="15"/>
      <c r="H2624" s="4"/>
      <c r="I2624" s="4"/>
      <c r="J2624" s="4"/>
      <c r="K2624" s="4"/>
      <c r="L2624" s="4"/>
      <c r="M2624" s="4"/>
      <c r="N2624" s="4"/>
      <c r="O2624" s="4"/>
      <c r="P2624" s="4"/>
      <c r="Q2624" s="4"/>
      <c r="R2624" s="4"/>
      <c r="S2624" s="4"/>
      <c r="T2624" s="4"/>
      <c r="U2624" s="4"/>
      <c r="V2624" s="4"/>
      <c r="W2624" s="4"/>
      <c r="X2624" s="4"/>
      <c r="Y2624" s="4"/>
      <c r="Z2624" s="4"/>
      <c r="AA2624" s="4"/>
      <c r="AB2624" s="4"/>
      <c r="AC2624" s="4"/>
      <c r="AD2624" s="4"/>
      <c r="AE2624" s="4"/>
      <c r="AF2624" s="4"/>
      <c r="AG2624" s="4"/>
      <c r="AH2624" s="4"/>
      <c r="AI2624" s="4"/>
      <c r="AJ2624" s="4"/>
      <c r="AK2624" s="4"/>
      <c r="AL2624" s="4"/>
      <c r="AM2624" s="4"/>
      <c r="AN2624" s="4"/>
      <c r="AO2624" s="4"/>
      <c r="AP2624" s="4"/>
      <c r="AQ2624" s="4"/>
      <c r="AR2624" s="4"/>
      <c r="AS2624" s="4"/>
      <c r="AT2624" s="4"/>
      <c r="AU2624" s="4"/>
      <c r="AV2624" s="4"/>
      <c r="AW2624" s="4"/>
      <c r="AX2624" s="4"/>
      <c r="AY2624" s="4"/>
      <c r="AZ2624" s="4"/>
      <c r="BA2624" s="4"/>
      <c r="BB2624" s="4"/>
      <c r="BC2624" s="4"/>
      <c r="BD2624" s="4"/>
      <c r="BE2624" s="4"/>
      <c r="BF2624" s="4"/>
      <c r="BG2624" s="4"/>
      <c r="BH2624" s="4"/>
      <c r="BI2624" s="4"/>
      <c r="BJ2624" s="4"/>
      <c r="BK2624" s="4"/>
      <c r="BL2624" s="4"/>
      <c r="BM2624" s="4"/>
      <c r="BN2624" s="4"/>
      <c r="BO2624" s="4"/>
      <c r="BP2624" s="4"/>
      <c r="BQ2624" s="4"/>
      <c r="BR2624" s="4"/>
      <c r="BS2624" s="4"/>
      <c r="BT2624" s="4"/>
      <c r="BU2624" s="4"/>
      <c r="BV2624" s="4"/>
      <c r="BW2624" s="4"/>
      <c r="BX2624" s="4"/>
      <c r="BY2624" s="4"/>
      <c r="BZ2624" s="4"/>
      <c r="CA2624" s="4"/>
      <c r="CB2624" s="4"/>
      <c r="CC2624" s="4"/>
      <c r="CD2624" s="4"/>
      <c r="CE2624" s="4"/>
      <c r="CF2624" s="4"/>
      <c r="CG2624" s="4"/>
      <c r="CH2624" s="4"/>
      <c r="CI2624" s="4"/>
      <c r="CJ2624" s="4"/>
      <c r="CK2624" s="4"/>
      <c r="CL2624" s="4"/>
      <c r="CM2624" s="4"/>
      <c r="CN2624" s="4"/>
      <c r="CO2624" s="4"/>
      <c r="CP2624" s="4"/>
      <c r="CQ2624" s="4"/>
      <c r="CR2624" s="4"/>
      <c r="CS2624" s="4"/>
      <c r="CT2624" s="4"/>
      <c r="CU2624" s="4"/>
      <c r="CV2624" s="4"/>
      <c r="CW2624" s="4"/>
      <c r="CX2624" s="4"/>
      <c r="CY2624" s="4"/>
      <c r="CZ2624" s="4"/>
      <c r="DA2624" s="4"/>
      <c r="DB2624" s="4"/>
      <c r="DC2624" s="4"/>
      <c r="DD2624" s="4"/>
      <c r="DE2624" s="4"/>
      <c r="DF2624" s="4"/>
      <c r="DG2624" s="4"/>
      <c r="DH2624" s="4"/>
      <c r="DI2624" s="4"/>
      <c r="DJ2624" s="4"/>
      <c r="DK2624" s="4"/>
      <c r="DL2624" s="4"/>
      <c r="DM2624" s="4"/>
      <c r="DN2624" s="4"/>
      <c r="DO2624" s="4"/>
      <c r="DP2624" s="4"/>
      <c r="DQ2624" s="4"/>
      <c r="DR2624" s="4"/>
      <c r="DS2624" s="4"/>
    </row>
    <row r="2625">
      <c r="A2625" s="4"/>
      <c r="B2625" s="4"/>
      <c r="C2625" s="4"/>
      <c r="D2625" s="4"/>
      <c r="E2625" s="4"/>
      <c r="F2625" s="4" t="s">
        <v>17</v>
      </c>
      <c r="G2625" s="15"/>
      <c r="H2625" s="4"/>
      <c r="I2625" s="4"/>
      <c r="J2625" s="4"/>
      <c r="K2625" s="4"/>
      <c r="L2625" s="4"/>
      <c r="M2625" s="4"/>
      <c r="N2625" s="4"/>
      <c r="O2625" s="4"/>
      <c r="P2625" s="4"/>
      <c r="Q2625" s="4"/>
      <c r="R2625" s="4"/>
      <c r="S2625" s="4"/>
      <c r="T2625" s="4"/>
      <c r="U2625" s="4"/>
      <c r="V2625" s="4"/>
      <c r="W2625" s="4"/>
      <c r="X2625" s="4"/>
      <c r="Y2625" s="4"/>
      <c r="Z2625" s="4"/>
      <c r="AA2625" s="4"/>
      <c r="AB2625" s="4"/>
      <c r="AC2625" s="4"/>
      <c r="AD2625" s="4"/>
      <c r="AE2625" s="4"/>
      <c r="AF2625" s="4"/>
      <c r="AG2625" s="4"/>
      <c r="AH2625" s="4"/>
      <c r="AI2625" s="4"/>
      <c r="AJ2625" s="4"/>
      <c r="AK2625" s="4"/>
      <c r="AL2625" s="4"/>
      <c r="AM2625" s="4"/>
      <c r="AN2625" s="4"/>
      <c r="AO2625" s="4"/>
      <c r="AP2625" s="4"/>
      <c r="AQ2625" s="4"/>
      <c r="AR2625" s="4"/>
      <c r="AS2625" s="4"/>
      <c r="AT2625" s="4"/>
      <c r="AU2625" s="4"/>
      <c r="AV2625" s="4"/>
      <c r="AW2625" s="4"/>
      <c r="AX2625" s="4"/>
      <c r="AY2625" s="4"/>
      <c r="AZ2625" s="4"/>
      <c r="BA2625" s="4"/>
      <c r="BB2625" s="4"/>
      <c r="BC2625" s="4"/>
      <c r="BD2625" s="4"/>
      <c r="BE2625" s="4"/>
      <c r="BF2625" s="4"/>
      <c r="BG2625" s="4"/>
      <c r="BH2625" s="4"/>
      <c r="BI2625" s="4"/>
      <c r="BJ2625" s="4"/>
      <c r="BK2625" s="4"/>
      <c r="BL2625" s="4"/>
      <c r="BM2625" s="4"/>
      <c r="BN2625" s="4"/>
      <c r="BO2625" s="4"/>
      <c r="BP2625" s="4"/>
      <c r="BQ2625" s="4"/>
      <c r="BR2625" s="4"/>
      <c r="BS2625" s="4"/>
      <c r="BT2625" s="4"/>
      <c r="BU2625" s="4"/>
      <c r="BV2625" s="4"/>
      <c r="BW2625" s="4"/>
      <c r="BX2625" s="4"/>
      <c r="BY2625" s="4"/>
      <c r="BZ2625" s="4"/>
      <c r="CA2625" s="4"/>
      <c r="CB2625" s="4"/>
      <c r="CC2625" s="4"/>
      <c r="CD2625" s="4"/>
      <c r="CE2625" s="4"/>
      <c r="CF2625" s="4"/>
      <c r="CG2625" s="4"/>
      <c r="CH2625" s="4"/>
      <c r="CI2625" s="4"/>
      <c r="CJ2625" s="4"/>
      <c r="CK2625" s="4"/>
      <c r="CL2625" s="4"/>
      <c r="CM2625" s="4"/>
      <c r="CN2625" s="4"/>
      <c r="CO2625" s="4"/>
      <c r="CP2625" s="4"/>
      <c r="CQ2625" s="4"/>
      <c r="CR2625" s="4"/>
      <c r="CS2625" s="4"/>
      <c r="CT2625" s="4"/>
      <c r="CU2625" s="4"/>
      <c r="CV2625" s="4"/>
      <c r="CW2625" s="4"/>
      <c r="CX2625" s="4"/>
      <c r="CY2625" s="4"/>
      <c r="CZ2625" s="4"/>
      <c r="DA2625" s="4"/>
      <c r="DB2625" s="4"/>
      <c r="DC2625" s="4"/>
      <c r="DD2625" s="4"/>
      <c r="DE2625" s="4"/>
      <c r="DF2625" s="4"/>
      <c r="DG2625" s="4"/>
      <c r="DH2625" s="4"/>
      <c r="DI2625" s="4"/>
      <c r="DJ2625" s="4"/>
      <c r="DK2625" s="4"/>
      <c r="DL2625" s="4"/>
      <c r="DM2625" s="4"/>
      <c r="DN2625" s="4"/>
      <c r="DO2625" s="4"/>
      <c r="DP2625" s="4"/>
      <c r="DQ2625" s="4"/>
      <c r="DR2625" s="4"/>
      <c r="DS2625" s="4"/>
    </row>
    <row r="2626">
      <c r="A2626" s="4"/>
      <c r="B2626" s="4"/>
      <c r="C2626" s="4"/>
      <c r="D2626" s="4"/>
      <c r="E2626" s="4"/>
      <c r="F2626" s="4" t="s">
        <v>17</v>
      </c>
      <c r="G2626" s="15"/>
      <c r="H2626" s="4"/>
      <c r="I2626" s="4"/>
      <c r="J2626" s="4"/>
      <c r="K2626" s="4"/>
      <c r="L2626" s="4"/>
      <c r="M2626" s="4"/>
      <c r="N2626" s="4"/>
      <c r="O2626" s="4"/>
      <c r="P2626" s="4"/>
      <c r="Q2626" s="4"/>
      <c r="R2626" s="4"/>
      <c r="S2626" s="4"/>
      <c r="T2626" s="4"/>
      <c r="U2626" s="4"/>
      <c r="V2626" s="4"/>
      <c r="W2626" s="4"/>
      <c r="X2626" s="4"/>
      <c r="Y2626" s="4"/>
      <c r="Z2626" s="4"/>
      <c r="AA2626" s="4"/>
      <c r="AB2626" s="4"/>
      <c r="AC2626" s="4"/>
      <c r="AD2626" s="4"/>
      <c r="AE2626" s="4"/>
      <c r="AF2626" s="4"/>
      <c r="AG2626" s="4"/>
      <c r="AH2626" s="4"/>
      <c r="AI2626" s="4"/>
      <c r="AJ2626" s="4"/>
      <c r="AK2626" s="4"/>
      <c r="AL2626" s="4"/>
      <c r="AM2626" s="4"/>
      <c r="AN2626" s="4"/>
      <c r="AO2626" s="4"/>
      <c r="AP2626" s="4"/>
      <c r="AQ2626" s="4"/>
      <c r="AR2626" s="4"/>
      <c r="AS2626" s="4"/>
      <c r="AT2626" s="4"/>
      <c r="AU2626" s="4"/>
      <c r="AV2626" s="4"/>
      <c r="AW2626" s="4"/>
      <c r="AX2626" s="4"/>
      <c r="AY2626" s="4"/>
      <c r="AZ2626" s="4"/>
      <c r="BA2626" s="4"/>
      <c r="BB2626" s="4"/>
      <c r="BC2626" s="4"/>
      <c r="BD2626" s="4"/>
      <c r="BE2626" s="4"/>
      <c r="BF2626" s="4"/>
      <c r="BG2626" s="4"/>
      <c r="BH2626" s="4"/>
      <c r="BI2626" s="4"/>
      <c r="BJ2626" s="4"/>
      <c r="BK2626" s="4"/>
      <c r="BL2626" s="4"/>
      <c r="BM2626" s="4"/>
      <c r="BN2626" s="4"/>
      <c r="BO2626" s="4"/>
      <c r="BP2626" s="4"/>
      <c r="BQ2626" s="4"/>
      <c r="BR2626" s="4"/>
      <c r="BS2626" s="4"/>
      <c r="BT2626" s="4"/>
      <c r="BU2626" s="4"/>
      <c r="BV2626" s="4"/>
      <c r="BW2626" s="4"/>
      <c r="BX2626" s="4"/>
      <c r="BY2626" s="4"/>
      <c r="BZ2626" s="4"/>
      <c r="CA2626" s="4"/>
      <c r="CB2626" s="4"/>
      <c r="CC2626" s="4"/>
      <c r="CD2626" s="4"/>
      <c r="CE2626" s="4"/>
      <c r="CF2626" s="4"/>
      <c r="CG2626" s="4"/>
      <c r="CH2626" s="4"/>
      <c r="CI2626" s="4"/>
      <c r="CJ2626" s="4"/>
      <c r="CK2626" s="4"/>
      <c r="CL2626" s="4"/>
      <c r="CM2626" s="4"/>
      <c r="CN2626" s="4"/>
      <c r="CO2626" s="4"/>
      <c r="CP2626" s="4"/>
      <c r="CQ2626" s="4"/>
      <c r="CR2626" s="4"/>
      <c r="CS2626" s="4"/>
      <c r="CT2626" s="4"/>
      <c r="CU2626" s="4"/>
      <c r="CV2626" s="4"/>
      <c r="CW2626" s="4"/>
      <c r="CX2626" s="4"/>
      <c r="CY2626" s="4"/>
      <c r="CZ2626" s="4"/>
      <c r="DA2626" s="4"/>
      <c r="DB2626" s="4"/>
      <c r="DC2626" s="4"/>
      <c r="DD2626" s="4"/>
      <c r="DE2626" s="4"/>
      <c r="DF2626" s="4"/>
      <c r="DG2626" s="4"/>
      <c r="DH2626" s="4"/>
      <c r="DI2626" s="4"/>
      <c r="DJ2626" s="4"/>
      <c r="DK2626" s="4"/>
      <c r="DL2626" s="4"/>
      <c r="DM2626" s="4"/>
      <c r="DN2626" s="4"/>
      <c r="DO2626" s="4"/>
      <c r="DP2626" s="4"/>
      <c r="DQ2626" s="4"/>
      <c r="DR2626" s="4"/>
      <c r="DS2626" s="4"/>
    </row>
    <row r="2627">
      <c r="A2627" s="4"/>
      <c r="B2627" s="4"/>
      <c r="C2627" s="4"/>
      <c r="D2627" s="4"/>
      <c r="E2627" s="4"/>
      <c r="F2627" s="4" t="s">
        <v>17</v>
      </c>
      <c r="G2627" s="15"/>
      <c r="H2627" s="4"/>
      <c r="I2627" s="4"/>
      <c r="J2627" s="4"/>
      <c r="K2627" s="4"/>
      <c r="L2627" s="4"/>
      <c r="M2627" s="4"/>
      <c r="N2627" s="4"/>
      <c r="O2627" s="4"/>
      <c r="P2627" s="4"/>
      <c r="Q2627" s="4"/>
      <c r="R2627" s="4"/>
      <c r="S2627" s="4"/>
      <c r="T2627" s="4"/>
      <c r="U2627" s="4"/>
      <c r="V2627" s="4"/>
      <c r="W2627" s="4"/>
      <c r="X2627" s="4"/>
      <c r="Y2627" s="4"/>
      <c r="Z2627" s="4"/>
      <c r="AA2627" s="4"/>
      <c r="AB2627" s="4"/>
      <c r="AC2627" s="4"/>
      <c r="AD2627" s="4"/>
      <c r="AE2627" s="4"/>
      <c r="AF2627" s="4"/>
      <c r="AG2627" s="4"/>
      <c r="AH2627" s="4"/>
      <c r="AI2627" s="4"/>
      <c r="AJ2627" s="4"/>
      <c r="AK2627" s="4"/>
      <c r="AL2627" s="4"/>
      <c r="AM2627" s="4"/>
      <c r="AN2627" s="4"/>
      <c r="AO2627" s="4"/>
      <c r="AP2627" s="4"/>
      <c r="AQ2627" s="4"/>
      <c r="AR2627" s="4"/>
      <c r="AS2627" s="4"/>
      <c r="AT2627" s="4"/>
      <c r="AU2627" s="4"/>
      <c r="AV2627" s="4"/>
      <c r="AW2627" s="4"/>
      <c r="AX2627" s="4"/>
      <c r="AY2627" s="4"/>
      <c r="AZ2627" s="4"/>
      <c r="BA2627" s="4"/>
      <c r="BB2627" s="4"/>
      <c r="BC2627" s="4"/>
      <c r="BD2627" s="4"/>
      <c r="BE2627" s="4"/>
      <c r="BF2627" s="4"/>
      <c r="BG2627" s="4"/>
      <c r="BH2627" s="4"/>
      <c r="BI2627" s="4"/>
      <c r="BJ2627" s="4"/>
      <c r="BK2627" s="4"/>
      <c r="BL2627" s="4"/>
      <c r="BM2627" s="4"/>
      <c r="BN2627" s="4"/>
      <c r="BO2627" s="4"/>
      <c r="BP2627" s="4"/>
      <c r="BQ2627" s="4"/>
      <c r="BR2627" s="4"/>
      <c r="BS2627" s="4"/>
      <c r="BT2627" s="4"/>
      <c r="BU2627" s="4"/>
      <c r="BV2627" s="4"/>
      <c r="BW2627" s="4"/>
      <c r="BX2627" s="4"/>
      <c r="BY2627" s="4"/>
      <c r="BZ2627" s="4"/>
      <c r="CA2627" s="4"/>
      <c r="CB2627" s="4"/>
      <c r="CC2627" s="4"/>
      <c r="CD2627" s="4"/>
      <c r="CE2627" s="4"/>
      <c r="CF2627" s="4"/>
      <c r="CG2627" s="4"/>
      <c r="CH2627" s="4"/>
      <c r="CI2627" s="4"/>
      <c r="CJ2627" s="4"/>
      <c r="CK2627" s="4"/>
      <c r="CL2627" s="4"/>
      <c r="CM2627" s="4"/>
      <c r="CN2627" s="4"/>
      <c r="CO2627" s="4"/>
      <c r="CP2627" s="4"/>
      <c r="CQ2627" s="4"/>
      <c r="CR2627" s="4"/>
      <c r="CS2627" s="4"/>
      <c r="CT2627" s="4"/>
      <c r="CU2627" s="4"/>
      <c r="CV2627" s="4"/>
      <c r="CW2627" s="4"/>
      <c r="CX2627" s="4"/>
      <c r="CY2627" s="4"/>
      <c r="CZ2627" s="4"/>
      <c r="DA2627" s="4"/>
      <c r="DB2627" s="4"/>
      <c r="DC2627" s="4"/>
      <c r="DD2627" s="4"/>
      <c r="DE2627" s="4"/>
      <c r="DF2627" s="4"/>
      <c r="DG2627" s="4"/>
      <c r="DH2627" s="4"/>
      <c r="DI2627" s="4"/>
      <c r="DJ2627" s="4"/>
      <c r="DK2627" s="4"/>
      <c r="DL2627" s="4"/>
      <c r="DM2627" s="4"/>
      <c r="DN2627" s="4"/>
      <c r="DO2627" s="4"/>
      <c r="DP2627" s="4"/>
      <c r="DQ2627" s="4"/>
      <c r="DR2627" s="4"/>
      <c r="DS2627" s="4"/>
    </row>
    <row r="2628">
      <c r="A2628" s="4"/>
      <c r="B2628" s="4"/>
      <c r="C2628" s="4"/>
      <c r="D2628" s="4"/>
      <c r="E2628" s="4"/>
      <c r="F2628" s="4" t="s">
        <v>17</v>
      </c>
      <c r="G2628" s="15"/>
      <c r="H2628" s="4"/>
      <c r="I2628" s="4"/>
      <c r="J2628" s="4"/>
      <c r="K2628" s="4"/>
      <c r="L2628" s="4"/>
      <c r="M2628" s="4"/>
      <c r="N2628" s="4"/>
      <c r="O2628" s="4"/>
      <c r="P2628" s="4"/>
      <c r="Q2628" s="4"/>
      <c r="R2628" s="4"/>
      <c r="S2628" s="4"/>
      <c r="T2628" s="4"/>
      <c r="U2628" s="4"/>
      <c r="V2628" s="4"/>
      <c r="W2628" s="4"/>
      <c r="X2628" s="4"/>
      <c r="Y2628" s="4"/>
      <c r="Z2628" s="4"/>
      <c r="AA2628" s="4"/>
      <c r="AB2628" s="4"/>
      <c r="AC2628" s="4"/>
      <c r="AD2628" s="4"/>
      <c r="AE2628" s="4"/>
      <c r="AF2628" s="4"/>
      <c r="AG2628" s="4"/>
      <c r="AH2628" s="4"/>
      <c r="AI2628" s="4"/>
      <c r="AJ2628" s="4"/>
      <c r="AK2628" s="4"/>
      <c r="AL2628" s="4"/>
      <c r="AM2628" s="4"/>
      <c r="AN2628" s="4"/>
      <c r="AO2628" s="4"/>
      <c r="AP2628" s="4"/>
      <c r="AQ2628" s="4"/>
      <c r="AR2628" s="4"/>
      <c r="AS2628" s="4"/>
      <c r="AT2628" s="4"/>
      <c r="AU2628" s="4"/>
      <c r="AV2628" s="4"/>
      <c r="AW2628" s="4"/>
      <c r="AX2628" s="4"/>
      <c r="AY2628" s="4"/>
      <c r="AZ2628" s="4"/>
      <c r="BA2628" s="4"/>
      <c r="BB2628" s="4"/>
      <c r="BC2628" s="4"/>
      <c r="BD2628" s="4"/>
      <c r="BE2628" s="4"/>
      <c r="BF2628" s="4"/>
      <c r="BG2628" s="4"/>
      <c r="BH2628" s="4"/>
      <c r="BI2628" s="4"/>
      <c r="BJ2628" s="4"/>
      <c r="BK2628" s="4"/>
      <c r="BL2628" s="4"/>
      <c r="BM2628" s="4"/>
      <c r="BN2628" s="4"/>
      <c r="BO2628" s="4"/>
      <c r="BP2628" s="4"/>
      <c r="BQ2628" s="4"/>
      <c r="BR2628" s="4"/>
      <c r="BS2628" s="4"/>
      <c r="BT2628" s="4"/>
      <c r="BU2628" s="4"/>
      <c r="BV2628" s="4"/>
      <c r="BW2628" s="4"/>
      <c r="BX2628" s="4"/>
      <c r="BY2628" s="4"/>
      <c r="BZ2628" s="4"/>
      <c r="CA2628" s="4"/>
      <c r="CB2628" s="4"/>
      <c r="CC2628" s="4"/>
      <c r="CD2628" s="4"/>
      <c r="CE2628" s="4"/>
      <c r="CF2628" s="4"/>
      <c r="CG2628" s="4"/>
      <c r="CH2628" s="4"/>
      <c r="CI2628" s="4"/>
      <c r="CJ2628" s="4"/>
      <c r="CK2628" s="4"/>
      <c r="CL2628" s="4"/>
      <c r="CM2628" s="4"/>
      <c r="CN2628" s="4"/>
      <c r="CO2628" s="4"/>
      <c r="CP2628" s="4"/>
      <c r="CQ2628" s="4"/>
      <c r="CR2628" s="4"/>
      <c r="CS2628" s="4"/>
      <c r="CT2628" s="4"/>
      <c r="CU2628" s="4"/>
      <c r="CV2628" s="4"/>
      <c r="CW2628" s="4"/>
      <c r="CX2628" s="4"/>
      <c r="CY2628" s="4"/>
      <c r="CZ2628" s="4"/>
      <c r="DA2628" s="4"/>
      <c r="DB2628" s="4"/>
      <c r="DC2628" s="4"/>
      <c r="DD2628" s="4"/>
      <c r="DE2628" s="4"/>
      <c r="DF2628" s="4"/>
      <c r="DG2628" s="4"/>
      <c r="DH2628" s="4"/>
      <c r="DI2628" s="4"/>
      <c r="DJ2628" s="4"/>
      <c r="DK2628" s="4"/>
      <c r="DL2628" s="4"/>
      <c r="DM2628" s="4"/>
      <c r="DN2628" s="4"/>
      <c r="DO2628" s="4"/>
      <c r="DP2628" s="4"/>
      <c r="DQ2628" s="4"/>
      <c r="DR2628" s="4"/>
      <c r="DS2628" s="4"/>
    </row>
    <row r="2629">
      <c r="A2629" s="4"/>
      <c r="B2629" s="4"/>
      <c r="C2629" s="4"/>
      <c r="D2629" s="4"/>
      <c r="E2629" s="4"/>
      <c r="F2629" s="4" t="s">
        <v>17</v>
      </c>
      <c r="G2629" s="15"/>
      <c r="H2629" s="4"/>
      <c r="I2629" s="4"/>
      <c r="J2629" s="4"/>
      <c r="K2629" s="4"/>
      <c r="L2629" s="4"/>
      <c r="M2629" s="4"/>
      <c r="N2629" s="4"/>
      <c r="O2629" s="4"/>
      <c r="P2629" s="4"/>
      <c r="Q2629" s="4"/>
      <c r="R2629" s="4"/>
      <c r="S2629" s="4"/>
      <c r="T2629" s="4"/>
      <c r="U2629" s="4"/>
      <c r="V2629" s="4"/>
      <c r="W2629" s="4"/>
      <c r="X2629" s="4"/>
      <c r="Y2629" s="4"/>
      <c r="Z2629" s="4"/>
      <c r="AA2629" s="4"/>
      <c r="AB2629" s="4"/>
      <c r="AC2629" s="4"/>
      <c r="AD2629" s="4"/>
      <c r="AE2629" s="4"/>
      <c r="AF2629" s="4"/>
      <c r="AG2629" s="4"/>
      <c r="AH2629" s="4"/>
      <c r="AI2629" s="4"/>
      <c r="AJ2629" s="4"/>
      <c r="AK2629" s="4"/>
      <c r="AL2629" s="4"/>
      <c r="AM2629" s="4"/>
      <c r="AN2629" s="4"/>
      <c r="AO2629" s="4"/>
      <c r="AP2629" s="4"/>
      <c r="AQ2629" s="4"/>
      <c r="AR2629" s="4"/>
      <c r="AS2629" s="4"/>
      <c r="AT2629" s="4"/>
      <c r="AU2629" s="4"/>
      <c r="AV2629" s="4"/>
      <c r="AW2629" s="4"/>
      <c r="AX2629" s="4"/>
      <c r="AY2629" s="4"/>
      <c r="AZ2629" s="4"/>
      <c r="BA2629" s="4"/>
      <c r="BB2629" s="4"/>
      <c r="BC2629" s="4"/>
      <c r="BD2629" s="4"/>
      <c r="BE2629" s="4"/>
      <c r="BF2629" s="4"/>
      <c r="BG2629" s="4"/>
      <c r="BH2629" s="4"/>
      <c r="BI2629" s="4"/>
      <c r="BJ2629" s="4"/>
      <c r="BK2629" s="4"/>
      <c r="BL2629" s="4"/>
      <c r="BM2629" s="4"/>
      <c r="BN2629" s="4"/>
      <c r="BO2629" s="4"/>
      <c r="BP2629" s="4"/>
      <c r="BQ2629" s="4"/>
      <c r="BR2629" s="4"/>
      <c r="BS2629" s="4"/>
      <c r="BT2629" s="4"/>
      <c r="BU2629" s="4"/>
      <c r="BV2629" s="4"/>
      <c r="BW2629" s="4"/>
      <c r="BX2629" s="4"/>
      <c r="BY2629" s="4"/>
      <c r="BZ2629" s="4"/>
      <c r="CA2629" s="4"/>
      <c r="CB2629" s="4"/>
      <c r="CC2629" s="4"/>
      <c r="CD2629" s="4"/>
      <c r="CE2629" s="4"/>
      <c r="CF2629" s="4"/>
      <c r="CG2629" s="4"/>
      <c r="CH2629" s="4"/>
      <c r="CI2629" s="4"/>
      <c r="CJ2629" s="4"/>
      <c r="CK2629" s="4"/>
      <c r="CL2629" s="4"/>
      <c r="CM2629" s="4"/>
      <c r="CN2629" s="4"/>
      <c r="CO2629" s="4"/>
      <c r="CP2629" s="4"/>
      <c r="CQ2629" s="4"/>
      <c r="CR2629" s="4"/>
      <c r="CS2629" s="4"/>
      <c r="CT2629" s="4"/>
      <c r="CU2629" s="4"/>
      <c r="CV2629" s="4"/>
      <c r="CW2629" s="4"/>
      <c r="CX2629" s="4"/>
      <c r="CY2629" s="4"/>
      <c r="CZ2629" s="4"/>
      <c r="DA2629" s="4"/>
      <c r="DB2629" s="4"/>
      <c r="DC2629" s="4"/>
      <c r="DD2629" s="4"/>
      <c r="DE2629" s="4"/>
      <c r="DF2629" s="4"/>
      <c r="DG2629" s="4"/>
      <c r="DH2629" s="4"/>
      <c r="DI2629" s="4"/>
      <c r="DJ2629" s="4"/>
      <c r="DK2629" s="4"/>
      <c r="DL2629" s="4"/>
      <c r="DM2629" s="4"/>
      <c r="DN2629" s="4"/>
      <c r="DO2629" s="4"/>
      <c r="DP2629" s="4"/>
      <c r="DQ2629" s="4"/>
      <c r="DR2629" s="4"/>
      <c r="DS2629" s="4"/>
    </row>
    <row r="2630">
      <c r="A2630" s="4"/>
      <c r="B2630" s="4"/>
      <c r="C2630" s="4"/>
      <c r="D2630" s="4"/>
      <c r="E2630" s="4"/>
      <c r="F2630" s="4" t="s">
        <v>17</v>
      </c>
      <c r="G2630" s="15"/>
      <c r="H2630" s="4"/>
      <c r="I2630" s="4"/>
      <c r="J2630" s="4"/>
      <c r="K2630" s="4"/>
      <c r="L2630" s="4"/>
      <c r="M2630" s="4"/>
      <c r="N2630" s="4"/>
      <c r="O2630" s="4"/>
      <c r="P2630" s="4"/>
      <c r="Q2630" s="4"/>
      <c r="R2630" s="4"/>
      <c r="S2630" s="4"/>
      <c r="T2630" s="4"/>
      <c r="U2630" s="4"/>
      <c r="V2630" s="4"/>
      <c r="W2630" s="4"/>
      <c r="X2630" s="4"/>
      <c r="Y2630" s="4"/>
      <c r="Z2630" s="4"/>
      <c r="AA2630" s="4"/>
      <c r="AB2630" s="4"/>
      <c r="AC2630" s="4"/>
      <c r="AD2630" s="4"/>
      <c r="AE2630" s="4"/>
      <c r="AF2630" s="4"/>
      <c r="AG2630" s="4"/>
      <c r="AH2630" s="4"/>
      <c r="AI2630" s="4"/>
      <c r="AJ2630" s="4"/>
      <c r="AK2630" s="4"/>
      <c r="AL2630" s="4"/>
      <c r="AM2630" s="4"/>
      <c r="AN2630" s="4"/>
      <c r="AO2630" s="4"/>
      <c r="AP2630" s="4"/>
      <c r="AQ2630" s="4"/>
      <c r="AR2630" s="4"/>
      <c r="AS2630" s="4"/>
      <c r="AT2630" s="4"/>
      <c r="AU2630" s="4"/>
      <c r="AV2630" s="4"/>
      <c r="AW2630" s="4"/>
      <c r="AX2630" s="4"/>
      <c r="AY2630" s="4"/>
      <c r="AZ2630" s="4"/>
      <c r="BA2630" s="4"/>
      <c r="BB2630" s="4"/>
      <c r="BC2630" s="4"/>
      <c r="BD2630" s="4"/>
      <c r="BE2630" s="4"/>
      <c r="BF2630" s="4"/>
      <c r="BG2630" s="4"/>
      <c r="BH2630" s="4"/>
      <c r="BI2630" s="4"/>
      <c r="BJ2630" s="4"/>
      <c r="BK2630" s="4"/>
      <c r="BL2630" s="4"/>
      <c r="BM2630" s="4"/>
      <c r="BN2630" s="4"/>
      <c r="BO2630" s="4"/>
      <c r="BP2630" s="4"/>
      <c r="BQ2630" s="4"/>
      <c r="BR2630" s="4"/>
      <c r="BS2630" s="4"/>
      <c r="BT2630" s="4"/>
      <c r="BU2630" s="4"/>
      <c r="BV2630" s="4"/>
      <c r="BW2630" s="4"/>
      <c r="BX2630" s="4"/>
      <c r="BY2630" s="4"/>
      <c r="BZ2630" s="4"/>
      <c r="CA2630" s="4"/>
      <c r="CB2630" s="4"/>
      <c r="CC2630" s="4"/>
      <c r="CD2630" s="4"/>
      <c r="CE2630" s="4"/>
      <c r="CF2630" s="4"/>
      <c r="CG2630" s="4"/>
      <c r="CH2630" s="4"/>
      <c r="CI2630" s="4"/>
      <c r="CJ2630" s="4"/>
      <c r="CK2630" s="4"/>
      <c r="CL2630" s="4"/>
      <c r="CM2630" s="4"/>
      <c r="CN2630" s="4"/>
      <c r="CO2630" s="4"/>
      <c r="CP2630" s="4"/>
      <c r="CQ2630" s="4"/>
      <c r="CR2630" s="4"/>
      <c r="CS2630" s="4"/>
      <c r="CT2630" s="4"/>
      <c r="CU2630" s="4"/>
      <c r="CV2630" s="4"/>
      <c r="CW2630" s="4"/>
      <c r="CX2630" s="4"/>
      <c r="CY2630" s="4"/>
      <c r="CZ2630" s="4"/>
      <c r="DA2630" s="4"/>
      <c r="DB2630" s="4"/>
      <c r="DC2630" s="4"/>
      <c r="DD2630" s="4"/>
      <c r="DE2630" s="4"/>
      <c r="DF2630" s="4"/>
      <c r="DG2630" s="4"/>
      <c r="DH2630" s="4"/>
      <c r="DI2630" s="4"/>
      <c r="DJ2630" s="4"/>
      <c r="DK2630" s="4"/>
      <c r="DL2630" s="4"/>
      <c r="DM2630" s="4"/>
      <c r="DN2630" s="4"/>
      <c r="DO2630" s="4"/>
      <c r="DP2630" s="4"/>
      <c r="DQ2630" s="4"/>
      <c r="DR2630" s="4"/>
      <c r="DS2630" s="4"/>
    </row>
    <row r="2631">
      <c r="A2631" s="4"/>
      <c r="B2631" s="4"/>
      <c r="C2631" s="4"/>
      <c r="D2631" s="4"/>
      <c r="E2631" s="4"/>
      <c r="F2631" s="4" t="s">
        <v>17</v>
      </c>
      <c r="G2631" s="15"/>
      <c r="H2631" s="4"/>
      <c r="I2631" s="4"/>
      <c r="J2631" s="4"/>
      <c r="K2631" s="4"/>
      <c r="L2631" s="4"/>
      <c r="M2631" s="4"/>
      <c r="N2631" s="4"/>
      <c r="O2631" s="4"/>
      <c r="P2631" s="4"/>
      <c r="Q2631" s="4"/>
      <c r="R2631" s="4"/>
      <c r="S2631" s="4"/>
      <c r="T2631" s="4"/>
      <c r="U2631" s="4"/>
      <c r="V2631" s="4"/>
      <c r="W2631" s="4"/>
      <c r="X2631" s="4"/>
      <c r="Y2631" s="4"/>
      <c r="Z2631" s="4"/>
      <c r="AA2631" s="4"/>
      <c r="AB2631" s="4"/>
      <c r="AC2631" s="4"/>
      <c r="AD2631" s="4"/>
      <c r="AE2631" s="4"/>
      <c r="AF2631" s="4"/>
      <c r="AG2631" s="4"/>
      <c r="AH2631" s="4"/>
      <c r="AI2631" s="4"/>
      <c r="AJ2631" s="4"/>
      <c r="AK2631" s="4"/>
      <c r="AL2631" s="4"/>
      <c r="AM2631" s="4"/>
      <c r="AN2631" s="4"/>
      <c r="AO2631" s="4"/>
      <c r="AP2631" s="4"/>
      <c r="AQ2631" s="4"/>
      <c r="AR2631" s="4"/>
      <c r="AS2631" s="4"/>
      <c r="AT2631" s="4"/>
      <c r="AU2631" s="4"/>
      <c r="AV2631" s="4"/>
      <c r="AW2631" s="4"/>
      <c r="AX2631" s="4"/>
      <c r="AY2631" s="4"/>
      <c r="AZ2631" s="4"/>
      <c r="BA2631" s="4"/>
      <c r="BB2631" s="4"/>
      <c r="BC2631" s="4"/>
      <c r="BD2631" s="4"/>
      <c r="BE2631" s="4"/>
      <c r="BF2631" s="4"/>
      <c r="BG2631" s="4"/>
      <c r="BH2631" s="4"/>
      <c r="BI2631" s="4"/>
      <c r="BJ2631" s="4"/>
      <c r="BK2631" s="4"/>
      <c r="BL2631" s="4"/>
      <c r="BM2631" s="4"/>
      <c r="BN2631" s="4"/>
      <c r="BO2631" s="4"/>
      <c r="BP2631" s="4"/>
      <c r="BQ2631" s="4"/>
      <c r="BR2631" s="4"/>
      <c r="BS2631" s="4"/>
      <c r="BT2631" s="4"/>
      <c r="BU2631" s="4"/>
      <c r="BV2631" s="4"/>
      <c r="BW2631" s="4"/>
      <c r="BX2631" s="4"/>
      <c r="BY2631" s="4"/>
      <c r="BZ2631" s="4"/>
      <c r="CA2631" s="4"/>
      <c r="CB2631" s="4"/>
      <c r="CC2631" s="4"/>
      <c r="CD2631" s="4"/>
      <c r="CE2631" s="4"/>
      <c r="CF2631" s="4"/>
      <c r="CG2631" s="4"/>
      <c r="CH2631" s="4"/>
      <c r="CI2631" s="4"/>
      <c r="CJ2631" s="4"/>
      <c r="CK2631" s="4"/>
      <c r="CL2631" s="4"/>
      <c r="CM2631" s="4"/>
      <c r="CN2631" s="4"/>
      <c r="CO2631" s="4"/>
      <c r="CP2631" s="4"/>
      <c r="CQ2631" s="4"/>
      <c r="CR2631" s="4"/>
      <c r="CS2631" s="4"/>
      <c r="CT2631" s="4"/>
      <c r="CU2631" s="4"/>
      <c r="CV2631" s="4"/>
      <c r="CW2631" s="4"/>
      <c r="CX2631" s="4"/>
      <c r="CY2631" s="4"/>
      <c r="CZ2631" s="4"/>
      <c r="DA2631" s="4"/>
      <c r="DB2631" s="4"/>
      <c r="DC2631" s="4"/>
      <c r="DD2631" s="4"/>
      <c r="DE2631" s="4"/>
      <c r="DF2631" s="4"/>
      <c r="DG2631" s="4"/>
      <c r="DH2631" s="4"/>
      <c r="DI2631" s="4"/>
      <c r="DJ2631" s="4"/>
      <c r="DK2631" s="4"/>
      <c r="DL2631" s="4"/>
      <c r="DM2631" s="4"/>
      <c r="DN2631" s="4"/>
      <c r="DO2631" s="4"/>
      <c r="DP2631" s="4"/>
      <c r="DQ2631" s="4"/>
      <c r="DR2631" s="4"/>
      <c r="DS2631" s="4"/>
    </row>
    <row r="2632">
      <c r="A2632" s="4"/>
      <c r="B2632" s="4"/>
      <c r="C2632" s="4"/>
      <c r="D2632" s="4"/>
      <c r="E2632" s="4"/>
      <c r="F2632" s="4" t="s">
        <v>17</v>
      </c>
      <c r="G2632" s="15"/>
      <c r="H2632" s="4"/>
      <c r="I2632" s="4"/>
      <c r="J2632" s="4"/>
      <c r="K2632" s="4"/>
      <c r="L2632" s="4"/>
      <c r="M2632" s="4"/>
      <c r="N2632" s="4"/>
      <c r="O2632" s="4"/>
      <c r="P2632" s="4"/>
      <c r="Q2632" s="4"/>
      <c r="R2632" s="4"/>
      <c r="S2632" s="4"/>
      <c r="T2632" s="4"/>
      <c r="U2632" s="4"/>
      <c r="V2632" s="4"/>
      <c r="W2632" s="4"/>
      <c r="X2632" s="4"/>
      <c r="Y2632" s="4"/>
      <c r="Z2632" s="4"/>
      <c r="AA2632" s="4"/>
      <c r="AB2632" s="4"/>
      <c r="AC2632" s="4"/>
      <c r="AD2632" s="4"/>
      <c r="AE2632" s="4"/>
      <c r="AF2632" s="4"/>
      <c r="AG2632" s="4"/>
      <c r="AH2632" s="4"/>
      <c r="AI2632" s="4"/>
      <c r="AJ2632" s="4"/>
      <c r="AK2632" s="4"/>
      <c r="AL2632" s="4"/>
      <c r="AM2632" s="4"/>
      <c r="AN2632" s="4"/>
      <c r="AO2632" s="4"/>
      <c r="AP2632" s="4"/>
      <c r="AQ2632" s="4"/>
      <c r="AR2632" s="4"/>
      <c r="AS2632" s="4"/>
      <c r="AT2632" s="4"/>
      <c r="AU2632" s="4"/>
      <c r="AV2632" s="4"/>
      <c r="AW2632" s="4"/>
      <c r="AX2632" s="4"/>
      <c r="AY2632" s="4"/>
      <c r="AZ2632" s="4"/>
      <c r="BA2632" s="4"/>
      <c r="BB2632" s="4"/>
      <c r="BC2632" s="4"/>
      <c r="BD2632" s="4"/>
      <c r="BE2632" s="4"/>
      <c r="BF2632" s="4"/>
      <c r="BG2632" s="4"/>
      <c r="BH2632" s="4"/>
      <c r="BI2632" s="4"/>
      <c r="BJ2632" s="4"/>
      <c r="BK2632" s="4"/>
      <c r="BL2632" s="4"/>
      <c r="BM2632" s="4"/>
      <c r="BN2632" s="4"/>
      <c r="BO2632" s="4"/>
      <c r="BP2632" s="4"/>
      <c r="BQ2632" s="4"/>
      <c r="BR2632" s="4"/>
      <c r="BS2632" s="4"/>
      <c r="BT2632" s="4"/>
      <c r="BU2632" s="4"/>
      <c r="BV2632" s="4"/>
      <c r="BW2632" s="4"/>
      <c r="BX2632" s="4"/>
      <c r="BY2632" s="4"/>
      <c r="BZ2632" s="4"/>
      <c r="CA2632" s="4"/>
      <c r="CB2632" s="4"/>
      <c r="CC2632" s="4"/>
      <c r="CD2632" s="4"/>
      <c r="CE2632" s="4"/>
      <c r="CF2632" s="4"/>
      <c r="CG2632" s="4"/>
      <c r="CH2632" s="4"/>
      <c r="CI2632" s="4"/>
      <c r="CJ2632" s="4"/>
      <c r="CK2632" s="4"/>
      <c r="CL2632" s="4"/>
      <c r="CM2632" s="4"/>
      <c r="CN2632" s="4"/>
      <c r="CO2632" s="4"/>
      <c r="CP2632" s="4"/>
      <c r="CQ2632" s="4"/>
      <c r="CR2632" s="4"/>
      <c r="CS2632" s="4"/>
      <c r="CT2632" s="4"/>
      <c r="CU2632" s="4"/>
      <c r="CV2632" s="4"/>
      <c r="CW2632" s="4"/>
      <c r="CX2632" s="4"/>
      <c r="CY2632" s="4"/>
      <c r="CZ2632" s="4"/>
      <c r="DA2632" s="4"/>
      <c r="DB2632" s="4"/>
      <c r="DC2632" s="4"/>
      <c r="DD2632" s="4"/>
      <c r="DE2632" s="4"/>
      <c r="DF2632" s="4"/>
      <c r="DG2632" s="4"/>
      <c r="DH2632" s="4"/>
      <c r="DI2632" s="4"/>
      <c r="DJ2632" s="4"/>
      <c r="DK2632" s="4"/>
      <c r="DL2632" s="4"/>
      <c r="DM2632" s="4"/>
      <c r="DN2632" s="4"/>
      <c r="DO2632" s="4"/>
      <c r="DP2632" s="4"/>
      <c r="DQ2632" s="4"/>
      <c r="DR2632" s="4"/>
      <c r="DS2632" s="4"/>
    </row>
    <row r="2633">
      <c r="A2633" s="4"/>
      <c r="B2633" s="4"/>
      <c r="C2633" s="4"/>
      <c r="D2633" s="4"/>
      <c r="E2633" s="4"/>
      <c r="F2633" s="4" t="s">
        <v>17</v>
      </c>
      <c r="G2633" s="15"/>
      <c r="H2633" s="4"/>
      <c r="I2633" s="4"/>
      <c r="J2633" s="4"/>
      <c r="K2633" s="4"/>
      <c r="L2633" s="4"/>
      <c r="M2633" s="4"/>
      <c r="N2633" s="4"/>
      <c r="O2633" s="4"/>
      <c r="P2633" s="4"/>
      <c r="Q2633" s="4"/>
      <c r="R2633" s="4"/>
      <c r="S2633" s="4"/>
      <c r="T2633" s="4"/>
      <c r="U2633" s="4"/>
      <c r="V2633" s="4"/>
      <c r="W2633" s="4"/>
      <c r="X2633" s="4"/>
      <c r="Y2633" s="4"/>
      <c r="Z2633" s="4"/>
      <c r="AA2633" s="4"/>
      <c r="AB2633" s="4"/>
      <c r="AC2633" s="4"/>
      <c r="AD2633" s="4"/>
      <c r="AE2633" s="4"/>
      <c r="AF2633" s="4"/>
      <c r="AG2633" s="4"/>
      <c r="AH2633" s="4"/>
      <c r="AI2633" s="4"/>
      <c r="AJ2633" s="4"/>
      <c r="AK2633" s="4"/>
      <c r="AL2633" s="4"/>
      <c r="AM2633" s="4"/>
      <c r="AN2633" s="4"/>
      <c r="AO2633" s="4"/>
      <c r="AP2633" s="4"/>
      <c r="AQ2633" s="4"/>
      <c r="AR2633" s="4"/>
      <c r="AS2633" s="4"/>
      <c r="AT2633" s="4"/>
      <c r="AU2633" s="4"/>
      <c r="AV2633" s="4"/>
      <c r="AW2633" s="4"/>
      <c r="AX2633" s="4"/>
      <c r="AY2633" s="4"/>
      <c r="AZ2633" s="4"/>
      <c r="BA2633" s="4"/>
      <c r="BB2633" s="4"/>
      <c r="BC2633" s="4"/>
      <c r="BD2633" s="4"/>
      <c r="BE2633" s="4"/>
      <c r="BF2633" s="4"/>
      <c r="BG2633" s="4"/>
      <c r="BH2633" s="4"/>
      <c r="BI2633" s="4"/>
      <c r="BJ2633" s="4"/>
      <c r="BK2633" s="4"/>
      <c r="BL2633" s="4"/>
      <c r="BM2633" s="4"/>
      <c r="BN2633" s="4"/>
      <c r="BO2633" s="4"/>
      <c r="BP2633" s="4"/>
      <c r="BQ2633" s="4"/>
      <c r="BR2633" s="4"/>
      <c r="BS2633" s="4"/>
      <c r="BT2633" s="4"/>
      <c r="BU2633" s="4"/>
      <c r="BV2633" s="4"/>
      <c r="BW2633" s="4"/>
      <c r="BX2633" s="4"/>
      <c r="BY2633" s="4"/>
      <c r="BZ2633" s="4"/>
      <c r="CA2633" s="4"/>
      <c r="CB2633" s="4"/>
      <c r="CC2633" s="4"/>
      <c r="CD2633" s="4"/>
      <c r="CE2633" s="4"/>
      <c r="CF2633" s="4"/>
      <c r="CG2633" s="4"/>
      <c r="CH2633" s="4"/>
      <c r="CI2633" s="4"/>
      <c r="CJ2633" s="4"/>
      <c r="CK2633" s="4"/>
      <c r="CL2633" s="4"/>
      <c r="CM2633" s="4"/>
      <c r="CN2633" s="4"/>
      <c r="CO2633" s="4"/>
      <c r="CP2633" s="4"/>
      <c r="CQ2633" s="4"/>
      <c r="CR2633" s="4"/>
      <c r="CS2633" s="4"/>
      <c r="CT2633" s="4"/>
      <c r="CU2633" s="4"/>
      <c r="CV2633" s="4"/>
      <c r="CW2633" s="4"/>
      <c r="CX2633" s="4"/>
      <c r="CY2633" s="4"/>
      <c r="CZ2633" s="4"/>
      <c r="DA2633" s="4"/>
      <c r="DB2633" s="4"/>
      <c r="DC2633" s="4"/>
      <c r="DD2633" s="4"/>
      <c r="DE2633" s="4"/>
      <c r="DF2633" s="4"/>
      <c r="DG2633" s="4"/>
      <c r="DH2633" s="4"/>
      <c r="DI2633" s="4"/>
      <c r="DJ2633" s="4"/>
      <c r="DK2633" s="4"/>
      <c r="DL2633" s="4"/>
      <c r="DM2633" s="4"/>
      <c r="DN2633" s="4"/>
      <c r="DO2633" s="4"/>
      <c r="DP2633" s="4"/>
      <c r="DQ2633" s="4"/>
      <c r="DR2633" s="4"/>
      <c r="DS2633" s="4"/>
    </row>
    <row r="2634">
      <c r="A2634" s="4"/>
      <c r="B2634" s="4"/>
      <c r="C2634" s="4"/>
      <c r="D2634" s="4"/>
      <c r="E2634" s="4"/>
      <c r="F2634" s="4" t="s">
        <v>17</v>
      </c>
      <c r="G2634" s="15"/>
      <c r="H2634" s="4"/>
      <c r="I2634" s="4"/>
      <c r="J2634" s="4"/>
      <c r="K2634" s="4"/>
      <c r="L2634" s="4"/>
      <c r="M2634" s="4"/>
      <c r="N2634" s="4"/>
      <c r="O2634" s="4"/>
      <c r="P2634" s="4"/>
      <c r="Q2634" s="4"/>
      <c r="R2634" s="4"/>
      <c r="S2634" s="4"/>
      <c r="T2634" s="4"/>
      <c r="U2634" s="4"/>
      <c r="V2634" s="4"/>
      <c r="W2634" s="4"/>
      <c r="X2634" s="4"/>
      <c r="Y2634" s="4"/>
      <c r="Z2634" s="4"/>
      <c r="AA2634" s="4"/>
      <c r="AB2634" s="4"/>
      <c r="AC2634" s="4"/>
      <c r="AD2634" s="4"/>
      <c r="AE2634" s="4"/>
      <c r="AF2634" s="4"/>
      <c r="AG2634" s="4"/>
      <c r="AH2634" s="4"/>
      <c r="AI2634" s="4"/>
      <c r="AJ2634" s="4"/>
      <c r="AK2634" s="4"/>
      <c r="AL2634" s="4"/>
      <c r="AM2634" s="4"/>
      <c r="AN2634" s="4"/>
      <c r="AO2634" s="4"/>
      <c r="AP2634" s="4"/>
      <c r="AQ2634" s="4"/>
      <c r="AR2634" s="4"/>
      <c r="AS2634" s="4"/>
      <c r="AT2634" s="4"/>
      <c r="AU2634" s="4"/>
      <c r="AV2634" s="4"/>
      <c r="AW2634" s="4"/>
      <c r="AX2634" s="4"/>
      <c r="AY2634" s="4"/>
      <c r="AZ2634" s="4"/>
      <c r="BA2634" s="4"/>
      <c r="BB2634" s="4"/>
      <c r="BC2634" s="4"/>
      <c r="BD2634" s="4"/>
      <c r="BE2634" s="4"/>
      <c r="BF2634" s="4"/>
      <c r="BG2634" s="4"/>
      <c r="BH2634" s="4"/>
      <c r="BI2634" s="4"/>
      <c r="BJ2634" s="4"/>
      <c r="BK2634" s="4"/>
      <c r="BL2634" s="4"/>
      <c r="BM2634" s="4"/>
      <c r="BN2634" s="4"/>
      <c r="BO2634" s="4"/>
      <c r="BP2634" s="4"/>
      <c r="BQ2634" s="4"/>
      <c r="BR2634" s="4"/>
      <c r="BS2634" s="4"/>
      <c r="BT2634" s="4"/>
      <c r="BU2634" s="4"/>
      <c r="BV2634" s="4"/>
      <c r="BW2634" s="4"/>
      <c r="BX2634" s="4"/>
      <c r="BY2634" s="4"/>
      <c r="BZ2634" s="4"/>
      <c r="CA2634" s="4"/>
      <c r="CB2634" s="4"/>
      <c r="CC2634" s="4"/>
      <c r="CD2634" s="4"/>
      <c r="CE2634" s="4"/>
      <c r="CF2634" s="4"/>
      <c r="CG2634" s="4"/>
      <c r="CH2634" s="4"/>
      <c r="CI2634" s="4"/>
      <c r="CJ2634" s="4"/>
      <c r="CK2634" s="4"/>
      <c r="CL2634" s="4"/>
      <c r="CM2634" s="4"/>
      <c r="CN2634" s="4"/>
      <c r="CO2634" s="4"/>
      <c r="CP2634" s="4"/>
      <c r="CQ2634" s="4"/>
      <c r="CR2634" s="4"/>
      <c r="CS2634" s="4"/>
      <c r="CT2634" s="4"/>
      <c r="CU2634" s="4"/>
      <c r="CV2634" s="4"/>
      <c r="CW2634" s="4"/>
      <c r="CX2634" s="4"/>
      <c r="CY2634" s="4"/>
      <c r="CZ2634" s="4"/>
      <c r="DA2634" s="4"/>
      <c r="DB2634" s="4"/>
      <c r="DC2634" s="4"/>
      <c r="DD2634" s="4"/>
      <c r="DE2634" s="4"/>
      <c r="DF2634" s="4"/>
      <c r="DG2634" s="4"/>
      <c r="DH2634" s="4"/>
      <c r="DI2634" s="4"/>
      <c r="DJ2634" s="4"/>
      <c r="DK2634" s="4"/>
      <c r="DL2634" s="4"/>
      <c r="DM2634" s="4"/>
      <c r="DN2634" s="4"/>
      <c r="DO2634" s="4"/>
      <c r="DP2634" s="4"/>
      <c r="DQ2634" s="4"/>
      <c r="DR2634" s="4"/>
      <c r="DS2634" s="4"/>
    </row>
    <row r="2635">
      <c r="A2635" s="4"/>
      <c r="B2635" s="4"/>
      <c r="C2635" s="4"/>
      <c r="D2635" s="4"/>
      <c r="E2635" s="4"/>
      <c r="F2635" s="4" t="s">
        <v>17</v>
      </c>
      <c r="G2635" s="15"/>
      <c r="H2635" s="4"/>
      <c r="I2635" s="4"/>
      <c r="J2635" s="4"/>
      <c r="K2635" s="4"/>
      <c r="L2635" s="4"/>
      <c r="M2635" s="4"/>
      <c r="N2635" s="4"/>
      <c r="O2635" s="4"/>
      <c r="P2635" s="4"/>
      <c r="Q2635" s="4"/>
      <c r="R2635" s="4"/>
      <c r="S2635" s="4"/>
      <c r="T2635" s="4"/>
      <c r="U2635" s="4"/>
      <c r="V2635" s="4"/>
      <c r="W2635" s="4"/>
      <c r="X2635" s="4"/>
      <c r="Y2635" s="4"/>
      <c r="Z2635" s="4"/>
      <c r="AA2635" s="4"/>
      <c r="AB2635" s="4"/>
      <c r="AC2635" s="4"/>
      <c r="AD2635" s="4"/>
      <c r="AE2635" s="4"/>
      <c r="AF2635" s="4"/>
      <c r="AG2635" s="4"/>
      <c r="AH2635" s="4"/>
      <c r="AI2635" s="4"/>
      <c r="AJ2635" s="4"/>
      <c r="AK2635" s="4"/>
      <c r="AL2635" s="4"/>
      <c r="AM2635" s="4"/>
      <c r="AN2635" s="4"/>
      <c r="AO2635" s="4"/>
      <c r="AP2635" s="4"/>
      <c r="AQ2635" s="4"/>
      <c r="AR2635" s="4"/>
      <c r="AS2635" s="4"/>
      <c r="AT2635" s="4"/>
      <c r="AU2635" s="4"/>
      <c r="AV2635" s="4"/>
      <c r="AW2635" s="4"/>
      <c r="AX2635" s="4"/>
      <c r="AY2635" s="4"/>
      <c r="AZ2635" s="4"/>
      <c r="BA2635" s="4"/>
      <c r="BB2635" s="4"/>
      <c r="BC2635" s="4"/>
      <c r="BD2635" s="4"/>
      <c r="BE2635" s="4"/>
      <c r="BF2635" s="4"/>
      <c r="BG2635" s="4"/>
      <c r="BH2635" s="4"/>
      <c r="BI2635" s="4"/>
      <c r="BJ2635" s="4"/>
      <c r="BK2635" s="4"/>
      <c r="BL2635" s="4"/>
      <c r="BM2635" s="4"/>
      <c r="BN2635" s="4"/>
      <c r="BO2635" s="4"/>
      <c r="BP2635" s="4"/>
      <c r="BQ2635" s="4"/>
      <c r="BR2635" s="4"/>
      <c r="BS2635" s="4"/>
      <c r="BT2635" s="4"/>
      <c r="BU2635" s="4"/>
      <c r="BV2635" s="4"/>
      <c r="BW2635" s="4"/>
      <c r="BX2635" s="4"/>
      <c r="BY2635" s="4"/>
      <c r="BZ2635" s="4"/>
      <c r="CA2635" s="4"/>
      <c r="CB2635" s="4"/>
      <c r="CC2635" s="4"/>
      <c r="CD2635" s="4"/>
      <c r="CE2635" s="4"/>
      <c r="CF2635" s="4"/>
      <c r="CG2635" s="4"/>
      <c r="CH2635" s="4"/>
      <c r="CI2635" s="4"/>
      <c r="CJ2635" s="4"/>
      <c r="CK2635" s="4"/>
      <c r="CL2635" s="4"/>
      <c r="CM2635" s="4"/>
      <c r="CN2635" s="4"/>
      <c r="CO2635" s="4"/>
      <c r="CP2635" s="4"/>
      <c r="CQ2635" s="4"/>
      <c r="CR2635" s="4"/>
      <c r="CS2635" s="4"/>
      <c r="CT2635" s="4"/>
      <c r="CU2635" s="4"/>
      <c r="CV2635" s="4"/>
      <c r="CW2635" s="4"/>
      <c r="CX2635" s="4"/>
      <c r="CY2635" s="4"/>
      <c r="CZ2635" s="4"/>
      <c r="DA2635" s="4"/>
      <c r="DB2635" s="4"/>
      <c r="DC2635" s="4"/>
      <c r="DD2635" s="4"/>
      <c r="DE2635" s="4"/>
      <c r="DF2635" s="4"/>
      <c r="DG2635" s="4"/>
      <c r="DH2635" s="4"/>
      <c r="DI2635" s="4"/>
      <c r="DJ2635" s="4"/>
      <c r="DK2635" s="4"/>
      <c r="DL2635" s="4"/>
      <c r="DM2635" s="4"/>
      <c r="DN2635" s="4"/>
      <c r="DO2635" s="4"/>
      <c r="DP2635" s="4"/>
      <c r="DQ2635" s="4"/>
      <c r="DR2635" s="4"/>
      <c r="DS2635" s="4"/>
    </row>
    <row r="2636">
      <c r="A2636" s="4"/>
      <c r="B2636" s="4"/>
      <c r="C2636" s="4"/>
      <c r="D2636" s="4"/>
      <c r="E2636" s="4"/>
      <c r="F2636" s="4" t="s">
        <v>17</v>
      </c>
      <c r="G2636" s="15"/>
      <c r="H2636" s="4"/>
      <c r="I2636" s="4"/>
      <c r="J2636" s="4"/>
      <c r="K2636" s="4"/>
      <c r="L2636" s="4"/>
      <c r="M2636" s="4"/>
      <c r="N2636" s="4"/>
      <c r="O2636" s="4"/>
      <c r="P2636" s="4"/>
      <c r="Q2636" s="4"/>
      <c r="R2636" s="4"/>
      <c r="S2636" s="4"/>
      <c r="T2636" s="4"/>
      <c r="U2636" s="4"/>
      <c r="V2636" s="4"/>
      <c r="W2636" s="4"/>
      <c r="X2636" s="4"/>
      <c r="Y2636" s="4"/>
      <c r="Z2636" s="4"/>
      <c r="AA2636" s="4"/>
      <c r="AB2636" s="4"/>
      <c r="AC2636" s="4"/>
      <c r="AD2636" s="4"/>
      <c r="AE2636" s="4"/>
      <c r="AF2636" s="4"/>
      <c r="AG2636" s="4"/>
      <c r="AH2636" s="4"/>
      <c r="AI2636" s="4"/>
      <c r="AJ2636" s="4"/>
      <c r="AK2636" s="4"/>
      <c r="AL2636" s="4"/>
      <c r="AM2636" s="4"/>
      <c r="AN2636" s="4"/>
      <c r="AO2636" s="4"/>
      <c r="AP2636" s="4"/>
      <c r="AQ2636" s="4"/>
      <c r="AR2636" s="4"/>
      <c r="AS2636" s="4"/>
      <c r="AT2636" s="4"/>
      <c r="AU2636" s="4"/>
      <c r="AV2636" s="4"/>
      <c r="AW2636" s="4"/>
      <c r="AX2636" s="4"/>
      <c r="AY2636" s="4"/>
      <c r="AZ2636" s="4"/>
      <c r="BA2636" s="4"/>
      <c r="BB2636" s="4"/>
      <c r="BC2636" s="4"/>
      <c r="BD2636" s="4"/>
      <c r="BE2636" s="4"/>
      <c r="BF2636" s="4"/>
      <c r="BG2636" s="4"/>
      <c r="BH2636" s="4"/>
      <c r="BI2636" s="4"/>
      <c r="BJ2636" s="4"/>
      <c r="BK2636" s="4"/>
      <c r="BL2636" s="4"/>
      <c r="BM2636" s="4"/>
      <c r="BN2636" s="4"/>
      <c r="BO2636" s="4"/>
      <c r="BP2636" s="4"/>
      <c r="BQ2636" s="4"/>
      <c r="BR2636" s="4"/>
      <c r="BS2636" s="4"/>
      <c r="BT2636" s="4"/>
      <c r="BU2636" s="4"/>
      <c r="BV2636" s="4"/>
      <c r="BW2636" s="4"/>
      <c r="BX2636" s="4"/>
      <c r="BY2636" s="4"/>
      <c r="BZ2636" s="4"/>
      <c r="CA2636" s="4"/>
      <c r="CB2636" s="4"/>
      <c r="CC2636" s="4"/>
      <c r="CD2636" s="4"/>
      <c r="CE2636" s="4"/>
      <c r="CF2636" s="4"/>
      <c r="CG2636" s="4"/>
      <c r="CH2636" s="4"/>
      <c r="CI2636" s="4"/>
      <c r="CJ2636" s="4"/>
      <c r="CK2636" s="4"/>
      <c r="CL2636" s="4"/>
      <c r="CM2636" s="4"/>
      <c r="CN2636" s="4"/>
      <c r="CO2636" s="4"/>
      <c r="CP2636" s="4"/>
      <c r="CQ2636" s="4"/>
      <c r="CR2636" s="4"/>
      <c r="CS2636" s="4"/>
      <c r="CT2636" s="4"/>
      <c r="CU2636" s="4"/>
      <c r="CV2636" s="4"/>
      <c r="CW2636" s="4"/>
      <c r="CX2636" s="4"/>
      <c r="CY2636" s="4"/>
      <c r="CZ2636" s="4"/>
      <c r="DA2636" s="4"/>
      <c r="DB2636" s="4"/>
      <c r="DC2636" s="4"/>
      <c r="DD2636" s="4"/>
      <c r="DE2636" s="4"/>
      <c r="DF2636" s="4"/>
      <c r="DG2636" s="4"/>
      <c r="DH2636" s="4"/>
      <c r="DI2636" s="4"/>
      <c r="DJ2636" s="4"/>
      <c r="DK2636" s="4"/>
      <c r="DL2636" s="4"/>
      <c r="DM2636" s="4"/>
      <c r="DN2636" s="4"/>
      <c r="DO2636" s="4"/>
      <c r="DP2636" s="4"/>
      <c r="DQ2636" s="4"/>
      <c r="DR2636" s="4"/>
      <c r="DS2636" s="4"/>
    </row>
    <row r="2637">
      <c r="A2637" s="4"/>
      <c r="B2637" s="4"/>
      <c r="C2637" s="4"/>
      <c r="D2637" s="4"/>
      <c r="E2637" s="4"/>
      <c r="F2637" s="4" t="s">
        <v>17</v>
      </c>
      <c r="G2637" s="15"/>
      <c r="H2637" s="4"/>
      <c r="I2637" s="4"/>
      <c r="J2637" s="4"/>
      <c r="K2637" s="4"/>
      <c r="L2637" s="4"/>
      <c r="M2637" s="4"/>
      <c r="N2637" s="4"/>
      <c r="O2637" s="4"/>
      <c r="P2637" s="4"/>
      <c r="Q2637" s="4"/>
      <c r="R2637" s="4"/>
      <c r="S2637" s="4"/>
      <c r="T2637" s="4"/>
      <c r="U2637" s="4"/>
      <c r="V2637" s="4"/>
      <c r="W2637" s="4"/>
      <c r="X2637" s="4"/>
      <c r="Y2637" s="4"/>
      <c r="Z2637" s="4"/>
      <c r="AA2637" s="4"/>
      <c r="AB2637" s="4"/>
      <c r="AC2637" s="4"/>
      <c r="AD2637" s="4"/>
      <c r="AE2637" s="4"/>
      <c r="AF2637" s="4"/>
      <c r="AG2637" s="4"/>
      <c r="AH2637" s="4"/>
      <c r="AI2637" s="4"/>
      <c r="AJ2637" s="4"/>
      <c r="AK2637" s="4"/>
      <c r="AL2637" s="4"/>
      <c r="AM2637" s="4"/>
      <c r="AN2637" s="4"/>
      <c r="AO2637" s="4"/>
      <c r="AP2637" s="4"/>
      <c r="AQ2637" s="4"/>
      <c r="AR2637" s="4"/>
      <c r="AS2637" s="4"/>
      <c r="AT2637" s="4"/>
      <c r="AU2637" s="4"/>
      <c r="AV2637" s="4"/>
      <c r="AW2637" s="4"/>
      <c r="AX2637" s="4"/>
      <c r="AY2637" s="4"/>
      <c r="AZ2637" s="4"/>
      <c r="BA2637" s="4"/>
      <c r="BB2637" s="4"/>
      <c r="BC2637" s="4"/>
      <c r="BD2637" s="4"/>
      <c r="BE2637" s="4"/>
      <c r="BF2637" s="4"/>
      <c r="BG2637" s="4"/>
      <c r="BH2637" s="4"/>
      <c r="BI2637" s="4"/>
      <c r="BJ2637" s="4"/>
      <c r="BK2637" s="4"/>
      <c r="BL2637" s="4"/>
      <c r="BM2637" s="4"/>
      <c r="BN2637" s="4"/>
      <c r="BO2637" s="4"/>
      <c r="BP2637" s="4"/>
      <c r="BQ2637" s="4"/>
      <c r="BR2637" s="4"/>
      <c r="BS2637" s="4"/>
      <c r="BT2637" s="4"/>
      <c r="BU2637" s="4"/>
      <c r="BV2637" s="4"/>
      <c r="BW2637" s="4"/>
      <c r="BX2637" s="4"/>
      <c r="BY2637" s="4"/>
      <c r="BZ2637" s="4"/>
      <c r="CA2637" s="4"/>
      <c r="CB2637" s="4"/>
      <c r="CC2637" s="4"/>
      <c r="CD2637" s="4"/>
      <c r="CE2637" s="4"/>
      <c r="CF2637" s="4"/>
      <c r="CG2637" s="4"/>
      <c r="CH2637" s="4"/>
      <c r="CI2637" s="4"/>
      <c r="CJ2637" s="4"/>
      <c r="CK2637" s="4"/>
      <c r="CL2637" s="4"/>
      <c r="CM2637" s="4"/>
      <c r="CN2637" s="4"/>
      <c r="CO2637" s="4"/>
      <c r="CP2637" s="4"/>
      <c r="CQ2637" s="4"/>
      <c r="CR2637" s="4"/>
      <c r="CS2637" s="4"/>
      <c r="CT2637" s="4"/>
      <c r="CU2637" s="4"/>
      <c r="CV2637" s="4"/>
      <c r="CW2637" s="4"/>
      <c r="CX2637" s="4"/>
      <c r="CY2637" s="4"/>
      <c r="CZ2637" s="4"/>
      <c r="DA2637" s="4"/>
      <c r="DB2637" s="4"/>
      <c r="DC2637" s="4"/>
      <c r="DD2637" s="4"/>
      <c r="DE2637" s="4"/>
      <c r="DF2637" s="4"/>
      <c r="DG2637" s="4"/>
      <c r="DH2637" s="4"/>
      <c r="DI2637" s="4"/>
      <c r="DJ2637" s="4"/>
      <c r="DK2637" s="4"/>
      <c r="DL2637" s="4"/>
      <c r="DM2637" s="4"/>
      <c r="DN2637" s="4"/>
      <c r="DO2637" s="4"/>
      <c r="DP2637" s="4"/>
      <c r="DQ2637" s="4"/>
      <c r="DR2637" s="4"/>
      <c r="DS2637" s="4"/>
    </row>
    <row r="2638">
      <c r="A2638" s="4"/>
      <c r="B2638" s="4"/>
      <c r="C2638" s="4"/>
      <c r="D2638" s="4"/>
      <c r="E2638" s="4"/>
      <c r="F2638" s="4" t="s">
        <v>17</v>
      </c>
      <c r="G2638" s="15"/>
      <c r="H2638" s="4"/>
      <c r="I2638" s="4"/>
      <c r="J2638" s="4"/>
      <c r="K2638" s="4"/>
      <c r="L2638" s="4"/>
      <c r="M2638" s="4"/>
      <c r="N2638" s="4"/>
      <c r="O2638" s="4"/>
      <c r="P2638" s="4"/>
      <c r="Q2638" s="4"/>
      <c r="R2638" s="4"/>
      <c r="S2638" s="4"/>
      <c r="T2638" s="4"/>
      <c r="U2638" s="4"/>
      <c r="V2638" s="4"/>
      <c r="W2638" s="4"/>
      <c r="X2638" s="4"/>
      <c r="Y2638" s="4"/>
      <c r="Z2638" s="4"/>
      <c r="AA2638" s="4"/>
      <c r="AB2638" s="4"/>
      <c r="AC2638" s="4"/>
      <c r="AD2638" s="4"/>
      <c r="AE2638" s="4"/>
      <c r="AF2638" s="4"/>
      <c r="AG2638" s="4"/>
      <c r="AH2638" s="4"/>
      <c r="AI2638" s="4"/>
      <c r="AJ2638" s="4"/>
      <c r="AK2638" s="4"/>
      <c r="AL2638" s="4"/>
      <c r="AM2638" s="4"/>
      <c r="AN2638" s="4"/>
      <c r="AO2638" s="4"/>
      <c r="AP2638" s="4"/>
      <c r="AQ2638" s="4"/>
      <c r="AR2638" s="4"/>
      <c r="AS2638" s="4"/>
      <c r="AT2638" s="4"/>
      <c r="AU2638" s="4"/>
      <c r="AV2638" s="4"/>
      <c r="AW2638" s="4"/>
      <c r="AX2638" s="4"/>
      <c r="AY2638" s="4"/>
      <c r="AZ2638" s="4"/>
      <c r="BA2638" s="4"/>
      <c r="BB2638" s="4"/>
      <c r="BC2638" s="4"/>
      <c r="BD2638" s="4"/>
      <c r="BE2638" s="4"/>
      <c r="BF2638" s="4"/>
      <c r="BG2638" s="4"/>
      <c r="BH2638" s="4"/>
      <c r="BI2638" s="4"/>
      <c r="BJ2638" s="4"/>
      <c r="BK2638" s="4"/>
      <c r="BL2638" s="4"/>
      <c r="BM2638" s="4"/>
      <c r="BN2638" s="4"/>
      <c r="BO2638" s="4"/>
      <c r="BP2638" s="4"/>
      <c r="BQ2638" s="4"/>
      <c r="BR2638" s="4"/>
      <c r="BS2638" s="4"/>
      <c r="BT2638" s="4"/>
      <c r="BU2638" s="4"/>
      <c r="BV2638" s="4"/>
      <c r="BW2638" s="4"/>
      <c r="BX2638" s="4"/>
      <c r="BY2638" s="4"/>
      <c r="BZ2638" s="4"/>
      <c r="CA2638" s="4"/>
      <c r="CB2638" s="4"/>
      <c r="CC2638" s="4"/>
      <c r="CD2638" s="4"/>
      <c r="CE2638" s="4"/>
      <c r="CF2638" s="4"/>
      <c r="CG2638" s="4"/>
      <c r="CH2638" s="4"/>
      <c r="CI2638" s="4"/>
      <c r="CJ2638" s="4"/>
      <c r="CK2638" s="4"/>
      <c r="CL2638" s="4"/>
      <c r="CM2638" s="4"/>
      <c r="CN2638" s="4"/>
      <c r="CO2638" s="4"/>
      <c r="CP2638" s="4"/>
      <c r="CQ2638" s="4"/>
      <c r="CR2638" s="4"/>
      <c r="CS2638" s="4"/>
      <c r="CT2638" s="4"/>
      <c r="CU2638" s="4"/>
      <c r="CV2638" s="4"/>
      <c r="CW2638" s="4"/>
      <c r="CX2638" s="4"/>
      <c r="CY2638" s="4"/>
      <c r="CZ2638" s="4"/>
      <c r="DA2638" s="4"/>
      <c r="DB2638" s="4"/>
      <c r="DC2638" s="4"/>
      <c r="DD2638" s="4"/>
      <c r="DE2638" s="4"/>
      <c r="DF2638" s="4"/>
      <c r="DG2638" s="4"/>
      <c r="DH2638" s="4"/>
      <c r="DI2638" s="4"/>
      <c r="DJ2638" s="4"/>
      <c r="DK2638" s="4"/>
      <c r="DL2638" s="4"/>
      <c r="DM2638" s="4"/>
      <c r="DN2638" s="4"/>
      <c r="DO2638" s="4"/>
      <c r="DP2638" s="4"/>
      <c r="DQ2638" s="4"/>
      <c r="DR2638" s="4"/>
      <c r="DS2638" s="4"/>
    </row>
    <row r="2639">
      <c r="A2639" s="4"/>
      <c r="B2639" s="4"/>
      <c r="C2639" s="4"/>
      <c r="D2639" s="4"/>
      <c r="E2639" s="4"/>
      <c r="F2639" s="4" t="s">
        <v>17</v>
      </c>
      <c r="G2639" s="15"/>
      <c r="H2639" s="4"/>
      <c r="I2639" s="4"/>
      <c r="J2639" s="4"/>
      <c r="K2639" s="4"/>
      <c r="L2639" s="4"/>
      <c r="M2639" s="4"/>
      <c r="N2639" s="4"/>
      <c r="O2639" s="4"/>
      <c r="P2639" s="4"/>
      <c r="Q2639" s="4"/>
      <c r="R2639" s="4"/>
      <c r="S2639" s="4"/>
      <c r="T2639" s="4"/>
      <c r="U2639" s="4"/>
      <c r="V2639" s="4"/>
      <c r="W2639" s="4"/>
      <c r="X2639" s="4"/>
      <c r="Y2639" s="4"/>
      <c r="Z2639" s="4"/>
      <c r="AA2639" s="4"/>
      <c r="AB2639" s="4"/>
      <c r="AC2639" s="4"/>
      <c r="AD2639" s="4"/>
      <c r="AE2639" s="4"/>
      <c r="AF2639" s="4"/>
      <c r="AG2639" s="4"/>
      <c r="AH2639" s="4"/>
      <c r="AI2639" s="4"/>
      <c r="AJ2639" s="4"/>
      <c r="AK2639" s="4"/>
      <c r="AL2639" s="4"/>
      <c r="AM2639" s="4"/>
      <c r="AN2639" s="4"/>
      <c r="AO2639" s="4"/>
      <c r="AP2639" s="4"/>
      <c r="AQ2639" s="4"/>
      <c r="AR2639" s="4"/>
      <c r="AS2639" s="4"/>
      <c r="AT2639" s="4"/>
      <c r="AU2639" s="4"/>
      <c r="AV2639" s="4"/>
      <c r="AW2639" s="4"/>
      <c r="AX2639" s="4"/>
      <c r="AY2639" s="4"/>
      <c r="AZ2639" s="4"/>
      <c r="BA2639" s="4"/>
      <c r="BB2639" s="4"/>
      <c r="BC2639" s="4"/>
      <c r="BD2639" s="4"/>
      <c r="BE2639" s="4"/>
      <c r="BF2639" s="4"/>
      <c r="BG2639" s="4"/>
      <c r="BH2639" s="4"/>
      <c r="BI2639" s="4"/>
      <c r="BJ2639" s="4"/>
      <c r="BK2639" s="4"/>
      <c r="BL2639" s="4"/>
      <c r="BM2639" s="4"/>
      <c r="BN2639" s="4"/>
      <c r="BO2639" s="4"/>
      <c r="BP2639" s="4"/>
      <c r="BQ2639" s="4"/>
      <c r="BR2639" s="4"/>
      <c r="BS2639" s="4"/>
      <c r="BT2639" s="4"/>
      <c r="BU2639" s="4"/>
      <c r="BV2639" s="4"/>
      <c r="BW2639" s="4"/>
      <c r="BX2639" s="4"/>
      <c r="BY2639" s="4"/>
      <c r="BZ2639" s="4"/>
      <c r="CA2639" s="4"/>
      <c r="CB2639" s="4"/>
      <c r="CC2639" s="4"/>
      <c r="CD2639" s="4"/>
      <c r="CE2639" s="4"/>
      <c r="CF2639" s="4"/>
      <c r="CG2639" s="4"/>
      <c r="CH2639" s="4"/>
      <c r="CI2639" s="4"/>
      <c r="CJ2639" s="4"/>
      <c r="CK2639" s="4"/>
      <c r="CL2639" s="4"/>
      <c r="CM2639" s="4"/>
      <c r="CN2639" s="4"/>
      <c r="CO2639" s="4"/>
      <c r="CP2639" s="4"/>
      <c r="CQ2639" s="4"/>
      <c r="CR2639" s="4"/>
      <c r="CS2639" s="4"/>
      <c r="CT2639" s="4"/>
      <c r="CU2639" s="4"/>
      <c r="CV2639" s="4"/>
      <c r="CW2639" s="4"/>
      <c r="CX2639" s="4"/>
      <c r="CY2639" s="4"/>
      <c r="CZ2639" s="4"/>
      <c r="DA2639" s="4"/>
      <c r="DB2639" s="4"/>
      <c r="DC2639" s="4"/>
      <c r="DD2639" s="4"/>
      <c r="DE2639" s="4"/>
      <c r="DF2639" s="4"/>
      <c r="DG2639" s="4"/>
      <c r="DH2639" s="4"/>
      <c r="DI2639" s="4"/>
      <c r="DJ2639" s="4"/>
      <c r="DK2639" s="4"/>
      <c r="DL2639" s="4"/>
      <c r="DM2639" s="4"/>
      <c r="DN2639" s="4"/>
      <c r="DO2639" s="4"/>
      <c r="DP2639" s="4"/>
      <c r="DQ2639" s="4"/>
      <c r="DR2639" s="4"/>
      <c r="DS2639" s="4"/>
    </row>
    <row r="2640">
      <c r="A2640" s="4"/>
      <c r="B2640" s="4"/>
      <c r="C2640" s="4"/>
      <c r="D2640" s="4"/>
      <c r="E2640" s="4"/>
      <c r="F2640" s="4" t="s">
        <v>17</v>
      </c>
      <c r="G2640" s="15"/>
      <c r="H2640" s="4"/>
      <c r="I2640" s="4"/>
      <c r="J2640" s="4"/>
      <c r="K2640" s="4"/>
      <c r="L2640" s="4"/>
      <c r="M2640" s="4"/>
      <c r="N2640" s="4"/>
      <c r="O2640" s="4"/>
      <c r="P2640" s="4"/>
      <c r="Q2640" s="4"/>
      <c r="R2640" s="4"/>
      <c r="S2640" s="4"/>
      <c r="T2640" s="4"/>
      <c r="U2640" s="4"/>
      <c r="V2640" s="4"/>
      <c r="W2640" s="4"/>
      <c r="X2640" s="4"/>
      <c r="Y2640" s="4"/>
      <c r="Z2640" s="4"/>
      <c r="AA2640" s="4"/>
      <c r="AB2640" s="4"/>
      <c r="AC2640" s="4"/>
      <c r="AD2640" s="4"/>
      <c r="AE2640" s="4"/>
      <c r="AF2640" s="4"/>
      <c r="AG2640" s="4"/>
      <c r="AH2640" s="4"/>
      <c r="AI2640" s="4"/>
      <c r="AJ2640" s="4"/>
      <c r="AK2640" s="4"/>
      <c r="AL2640" s="4"/>
      <c r="AM2640" s="4"/>
      <c r="AN2640" s="4"/>
      <c r="AO2640" s="4"/>
      <c r="AP2640" s="4"/>
      <c r="AQ2640" s="4"/>
      <c r="AR2640" s="4"/>
      <c r="AS2640" s="4"/>
      <c r="AT2640" s="4"/>
      <c r="AU2640" s="4"/>
      <c r="AV2640" s="4"/>
      <c r="AW2640" s="4"/>
      <c r="AX2640" s="4"/>
      <c r="AY2640" s="4"/>
      <c r="AZ2640" s="4"/>
      <c r="BA2640" s="4"/>
      <c r="BB2640" s="4"/>
      <c r="BC2640" s="4"/>
      <c r="BD2640" s="4"/>
      <c r="BE2640" s="4"/>
      <c r="BF2640" s="4"/>
      <c r="BG2640" s="4"/>
      <c r="BH2640" s="4"/>
      <c r="BI2640" s="4"/>
      <c r="BJ2640" s="4"/>
      <c r="BK2640" s="4"/>
      <c r="BL2640" s="4"/>
      <c r="BM2640" s="4"/>
      <c r="BN2640" s="4"/>
      <c r="BO2640" s="4"/>
      <c r="BP2640" s="4"/>
      <c r="BQ2640" s="4"/>
      <c r="BR2640" s="4"/>
      <c r="BS2640" s="4"/>
      <c r="BT2640" s="4"/>
      <c r="BU2640" s="4"/>
      <c r="BV2640" s="4"/>
      <c r="BW2640" s="4"/>
      <c r="BX2640" s="4"/>
      <c r="BY2640" s="4"/>
      <c r="BZ2640" s="4"/>
      <c r="CA2640" s="4"/>
      <c r="CB2640" s="4"/>
      <c r="CC2640" s="4"/>
      <c r="CD2640" s="4"/>
      <c r="CE2640" s="4"/>
      <c r="CF2640" s="4"/>
      <c r="CG2640" s="4"/>
      <c r="CH2640" s="4"/>
      <c r="CI2640" s="4"/>
      <c r="CJ2640" s="4"/>
      <c r="CK2640" s="4"/>
      <c r="CL2640" s="4"/>
      <c r="CM2640" s="4"/>
      <c r="CN2640" s="4"/>
      <c r="CO2640" s="4"/>
      <c r="CP2640" s="4"/>
      <c r="CQ2640" s="4"/>
      <c r="CR2640" s="4"/>
      <c r="CS2640" s="4"/>
      <c r="CT2640" s="4"/>
      <c r="CU2640" s="4"/>
      <c r="CV2640" s="4"/>
      <c r="CW2640" s="4"/>
      <c r="CX2640" s="4"/>
      <c r="CY2640" s="4"/>
      <c r="CZ2640" s="4"/>
      <c r="DA2640" s="4"/>
      <c r="DB2640" s="4"/>
      <c r="DC2640" s="4"/>
      <c r="DD2640" s="4"/>
      <c r="DE2640" s="4"/>
      <c r="DF2640" s="4"/>
      <c r="DG2640" s="4"/>
      <c r="DH2640" s="4"/>
      <c r="DI2640" s="4"/>
      <c r="DJ2640" s="4"/>
      <c r="DK2640" s="4"/>
      <c r="DL2640" s="4"/>
      <c r="DM2640" s="4"/>
      <c r="DN2640" s="4"/>
      <c r="DO2640" s="4"/>
      <c r="DP2640" s="4"/>
      <c r="DQ2640" s="4"/>
      <c r="DR2640" s="4"/>
      <c r="DS2640" s="4"/>
    </row>
    <row r="2641">
      <c r="A2641" s="4"/>
      <c r="B2641" s="4"/>
      <c r="C2641" s="4"/>
      <c r="D2641" s="4"/>
      <c r="E2641" s="4"/>
      <c r="F2641" s="4" t="s">
        <v>17</v>
      </c>
      <c r="G2641" s="15"/>
      <c r="H2641" s="4"/>
      <c r="I2641" s="4"/>
      <c r="J2641" s="4"/>
      <c r="K2641" s="4"/>
      <c r="L2641" s="4"/>
      <c r="M2641" s="4"/>
      <c r="N2641" s="4"/>
      <c r="O2641" s="4"/>
      <c r="P2641" s="4"/>
      <c r="Q2641" s="4"/>
      <c r="R2641" s="4"/>
      <c r="S2641" s="4"/>
      <c r="T2641" s="4"/>
      <c r="U2641" s="4"/>
      <c r="V2641" s="4"/>
      <c r="W2641" s="4"/>
      <c r="X2641" s="4"/>
      <c r="Y2641" s="4"/>
      <c r="Z2641" s="4"/>
      <c r="AA2641" s="4"/>
      <c r="AB2641" s="4"/>
      <c r="AC2641" s="4"/>
      <c r="AD2641" s="4"/>
      <c r="AE2641" s="4"/>
      <c r="AF2641" s="4"/>
      <c r="AG2641" s="4"/>
      <c r="AH2641" s="4"/>
      <c r="AI2641" s="4"/>
      <c r="AJ2641" s="4"/>
      <c r="AK2641" s="4"/>
      <c r="AL2641" s="4"/>
      <c r="AM2641" s="4"/>
      <c r="AN2641" s="4"/>
      <c r="AO2641" s="4"/>
      <c r="AP2641" s="4"/>
      <c r="AQ2641" s="4"/>
      <c r="AR2641" s="4"/>
      <c r="AS2641" s="4"/>
      <c r="AT2641" s="4"/>
      <c r="AU2641" s="4"/>
      <c r="AV2641" s="4"/>
      <c r="AW2641" s="4"/>
      <c r="AX2641" s="4"/>
      <c r="AY2641" s="4"/>
      <c r="AZ2641" s="4"/>
      <c r="BA2641" s="4"/>
      <c r="BB2641" s="4"/>
      <c r="BC2641" s="4"/>
      <c r="BD2641" s="4"/>
      <c r="BE2641" s="4"/>
      <c r="BF2641" s="4"/>
      <c r="BG2641" s="4"/>
      <c r="BH2641" s="4"/>
      <c r="BI2641" s="4"/>
      <c r="BJ2641" s="4"/>
      <c r="BK2641" s="4"/>
      <c r="BL2641" s="4"/>
      <c r="BM2641" s="4"/>
      <c r="BN2641" s="4"/>
      <c r="BO2641" s="4"/>
      <c r="BP2641" s="4"/>
      <c r="BQ2641" s="4"/>
      <c r="BR2641" s="4"/>
      <c r="BS2641" s="4"/>
      <c r="BT2641" s="4"/>
      <c r="BU2641" s="4"/>
      <c r="BV2641" s="4"/>
      <c r="BW2641" s="4"/>
      <c r="BX2641" s="4"/>
      <c r="BY2641" s="4"/>
      <c r="BZ2641" s="4"/>
      <c r="CA2641" s="4"/>
      <c r="CB2641" s="4"/>
      <c r="CC2641" s="4"/>
      <c r="CD2641" s="4"/>
      <c r="CE2641" s="4"/>
      <c r="CF2641" s="4"/>
      <c r="CG2641" s="4"/>
      <c r="CH2641" s="4"/>
      <c r="CI2641" s="4"/>
      <c r="CJ2641" s="4"/>
      <c r="CK2641" s="4"/>
      <c r="CL2641" s="4"/>
      <c r="CM2641" s="4"/>
      <c r="CN2641" s="4"/>
      <c r="CO2641" s="4"/>
      <c r="CP2641" s="4"/>
      <c r="CQ2641" s="4"/>
      <c r="CR2641" s="4"/>
      <c r="CS2641" s="4"/>
      <c r="CT2641" s="4"/>
      <c r="CU2641" s="4"/>
      <c r="CV2641" s="4"/>
      <c r="CW2641" s="4"/>
      <c r="CX2641" s="4"/>
      <c r="CY2641" s="4"/>
      <c r="CZ2641" s="4"/>
      <c r="DA2641" s="4"/>
      <c r="DB2641" s="4"/>
      <c r="DC2641" s="4"/>
      <c r="DD2641" s="4"/>
      <c r="DE2641" s="4"/>
      <c r="DF2641" s="4"/>
      <c r="DG2641" s="4"/>
      <c r="DH2641" s="4"/>
      <c r="DI2641" s="4"/>
      <c r="DJ2641" s="4"/>
      <c r="DK2641" s="4"/>
      <c r="DL2641" s="4"/>
      <c r="DM2641" s="4"/>
      <c r="DN2641" s="4"/>
      <c r="DO2641" s="4"/>
      <c r="DP2641" s="4"/>
      <c r="DQ2641" s="4"/>
      <c r="DR2641" s="4"/>
      <c r="DS2641" s="4"/>
    </row>
    <row r="2642">
      <c r="A2642" s="4"/>
      <c r="B2642" s="4"/>
      <c r="C2642" s="4"/>
      <c r="D2642" s="4"/>
      <c r="E2642" s="4"/>
      <c r="F2642" s="4" t="s">
        <v>17</v>
      </c>
      <c r="G2642" s="15"/>
      <c r="H2642" s="4"/>
      <c r="I2642" s="4"/>
      <c r="J2642" s="4"/>
      <c r="K2642" s="4"/>
      <c r="L2642" s="4"/>
      <c r="M2642" s="4"/>
      <c r="N2642" s="4"/>
      <c r="O2642" s="4"/>
      <c r="P2642" s="4"/>
      <c r="Q2642" s="4"/>
      <c r="R2642" s="4"/>
      <c r="S2642" s="4"/>
      <c r="T2642" s="4"/>
      <c r="U2642" s="4"/>
      <c r="V2642" s="4"/>
      <c r="W2642" s="4"/>
      <c r="X2642" s="4"/>
      <c r="Y2642" s="4"/>
      <c r="Z2642" s="4"/>
      <c r="AA2642" s="4"/>
      <c r="AB2642" s="4"/>
      <c r="AC2642" s="4"/>
      <c r="AD2642" s="4"/>
      <c r="AE2642" s="4"/>
      <c r="AF2642" s="4"/>
      <c r="AG2642" s="4"/>
      <c r="AH2642" s="4"/>
      <c r="AI2642" s="4"/>
      <c r="AJ2642" s="4"/>
      <c r="AK2642" s="4"/>
      <c r="AL2642" s="4"/>
      <c r="AM2642" s="4"/>
      <c r="AN2642" s="4"/>
      <c r="AO2642" s="4"/>
      <c r="AP2642" s="4"/>
      <c r="AQ2642" s="4"/>
      <c r="AR2642" s="4"/>
      <c r="AS2642" s="4"/>
      <c r="AT2642" s="4"/>
      <c r="AU2642" s="4"/>
      <c r="AV2642" s="4"/>
      <c r="AW2642" s="4"/>
      <c r="AX2642" s="4"/>
      <c r="AY2642" s="4"/>
      <c r="AZ2642" s="4"/>
      <c r="BA2642" s="4"/>
      <c r="BB2642" s="4"/>
      <c r="BC2642" s="4"/>
      <c r="BD2642" s="4"/>
      <c r="BE2642" s="4"/>
      <c r="BF2642" s="4"/>
      <c r="BG2642" s="4"/>
      <c r="BH2642" s="4"/>
      <c r="BI2642" s="4"/>
      <c r="BJ2642" s="4"/>
      <c r="BK2642" s="4"/>
      <c r="BL2642" s="4"/>
      <c r="BM2642" s="4"/>
      <c r="BN2642" s="4"/>
      <c r="BO2642" s="4"/>
      <c r="BP2642" s="4"/>
      <c r="BQ2642" s="4"/>
      <c r="BR2642" s="4"/>
      <c r="BS2642" s="4"/>
      <c r="BT2642" s="4"/>
      <c r="BU2642" s="4"/>
      <c r="BV2642" s="4"/>
      <c r="BW2642" s="4"/>
      <c r="BX2642" s="4"/>
      <c r="BY2642" s="4"/>
      <c r="BZ2642" s="4"/>
      <c r="CA2642" s="4"/>
      <c r="CB2642" s="4"/>
      <c r="CC2642" s="4"/>
      <c r="CD2642" s="4"/>
      <c r="CE2642" s="4"/>
      <c r="CF2642" s="4"/>
      <c r="CG2642" s="4"/>
      <c r="CH2642" s="4"/>
      <c r="CI2642" s="4"/>
      <c r="CJ2642" s="4"/>
      <c r="CK2642" s="4"/>
      <c r="CL2642" s="4"/>
      <c r="CM2642" s="4"/>
      <c r="CN2642" s="4"/>
      <c r="CO2642" s="4"/>
      <c r="CP2642" s="4"/>
      <c r="CQ2642" s="4"/>
      <c r="CR2642" s="4"/>
      <c r="CS2642" s="4"/>
      <c r="CT2642" s="4"/>
      <c r="CU2642" s="4"/>
      <c r="CV2642" s="4"/>
      <c r="CW2642" s="4"/>
      <c r="CX2642" s="4"/>
      <c r="CY2642" s="4"/>
      <c r="CZ2642" s="4"/>
      <c r="DA2642" s="4"/>
      <c r="DB2642" s="4"/>
      <c r="DC2642" s="4"/>
      <c r="DD2642" s="4"/>
      <c r="DE2642" s="4"/>
      <c r="DF2642" s="4"/>
      <c r="DG2642" s="4"/>
      <c r="DH2642" s="4"/>
      <c r="DI2642" s="4"/>
      <c r="DJ2642" s="4"/>
      <c r="DK2642" s="4"/>
      <c r="DL2642" s="4"/>
      <c r="DM2642" s="4"/>
      <c r="DN2642" s="4"/>
      <c r="DO2642" s="4"/>
      <c r="DP2642" s="4"/>
      <c r="DQ2642" s="4"/>
      <c r="DR2642" s="4"/>
      <c r="DS2642" s="4"/>
    </row>
    <row r="2643">
      <c r="A2643" s="4"/>
      <c r="B2643" s="4"/>
      <c r="C2643" s="4"/>
      <c r="D2643" s="4"/>
      <c r="E2643" s="4"/>
      <c r="F2643" s="4" t="s">
        <v>17</v>
      </c>
      <c r="G2643" s="15"/>
      <c r="H2643" s="4"/>
      <c r="I2643" s="4"/>
      <c r="J2643" s="4"/>
      <c r="K2643" s="4"/>
      <c r="L2643" s="4"/>
      <c r="M2643" s="4"/>
      <c r="N2643" s="4"/>
      <c r="O2643" s="4"/>
      <c r="P2643" s="4"/>
      <c r="Q2643" s="4"/>
      <c r="R2643" s="4"/>
      <c r="S2643" s="4"/>
      <c r="T2643" s="4"/>
      <c r="U2643" s="4"/>
      <c r="V2643" s="4"/>
      <c r="W2643" s="4"/>
      <c r="X2643" s="4"/>
      <c r="Y2643" s="4"/>
      <c r="Z2643" s="4"/>
      <c r="AA2643" s="4"/>
      <c r="AB2643" s="4"/>
      <c r="AC2643" s="4"/>
      <c r="AD2643" s="4"/>
      <c r="AE2643" s="4"/>
      <c r="AF2643" s="4"/>
      <c r="AG2643" s="4"/>
      <c r="AH2643" s="4"/>
      <c r="AI2643" s="4"/>
      <c r="AJ2643" s="4"/>
      <c r="AK2643" s="4"/>
      <c r="AL2643" s="4"/>
      <c r="AM2643" s="4"/>
      <c r="AN2643" s="4"/>
      <c r="AO2643" s="4"/>
      <c r="AP2643" s="4"/>
      <c r="AQ2643" s="4"/>
      <c r="AR2643" s="4"/>
      <c r="AS2643" s="4"/>
      <c r="AT2643" s="4"/>
      <c r="AU2643" s="4"/>
      <c r="AV2643" s="4"/>
      <c r="AW2643" s="4"/>
      <c r="AX2643" s="4"/>
      <c r="AY2643" s="4"/>
      <c r="AZ2643" s="4"/>
      <c r="BA2643" s="4"/>
      <c r="BB2643" s="4"/>
      <c r="BC2643" s="4"/>
      <c r="BD2643" s="4"/>
      <c r="BE2643" s="4"/>
      <c r="BF2643" s="4"/>
      <c r="BG2643" s="4"/>
      <c r="BH2643" s="4"/>
      <c r="BI2643" s="4"/>
      <c r="BJ2643" s="4"/>
      <c r="BK2643" s="4"/>
      <c r="BL2643" s="4"/>
      <c r="BM2643" s="4"/>
      <c r="BN2643" s="4"/>
      <c r="BO2643" s="4"/>
      <c r="BP2643" s="4"/>
      <c r="BQ2643" s="4"/>
      <c r="BR2643" s="4"/>
      <c r="BS2643" s="4"/>
      <c r="BT2643" s="4"/>
      <c r="BU2643" s="4"/>
      <c r="BV2643" s="4"/>
      <c r="BW2643" s="4"/>
      <c r="BX2643" s="4"/>
      <c r="BY2643" s="4"/>
      <c r="BZ2643" s="4"/>
      <c r="CA2643" s="4"/>
      <c r="CB2643" s="4"/>
      <c r="CC2643" s="4"/>
      <c r="CD2643" s="4"/>
      <c r="CE2643" s="4"/>
      <c r="CF2643" s="4"/>
      <c r="CG2643" s="4"/>
      <c r="CH2643" s="4"/>
      <c r="CI2643" s="4"/>
      <c r="CJ2643" s="4"/>
      <c r="CK2643" s="4"/>
      <c r="CL2643" s="4"/>
      <c r="CM2643" s="4"/>
      <c r="CN2643" s="4"/>
      <c r="CO2643" s="4"/>
      <c r="CP2643" s="4"/>
      <c r="CQ2643" s="4"/>
      <c r="CR2643" s="4"/>
      <c r="CS2643" s="4"/>
      <c r="CT2643" s="4"/>
      <c r="CU2643" s="4"/>
      <c r="CV2643" s="4"/>
      <c r="CW2643" s="4"/>
      <c r="CX2643" s="4"/>
      <c r="CY2643" s="4"/>
      <c r="CZ2643" s="4"/>
      <c r="DA2643" s="4"/>
      <c r="DB2643" s="4"/>
      <c r="DC2643" s="4"/>
      <c r="DD2643" s="4"/>
      <c r="DE2643" s="4"/>
      <c r="DF2643" s="4"/>
      <c r="DG2643" s="4"/>
      <c r="DH2643" s="4"/>
      <c r="DI2643" s="4"/>
      <c r="DJ2643" s="4"/>
      <c r="DK2643" s="4"/>
      <c r="DL2643" s="4"/>
      <c r="DM2643" s="4"/>
      <c r="DN2643" s="4"/>
      <c r="DO2643" s="4"/>
      <c r="DP2643" s="4"/>
      <c r="DQ2643" s="4"/>
      <c r="DR2643" s="4"/>
      <c r="DS2643" s="4"/>
    </row>
    <row r="2644">
      <c r="A2644" s="4"/>
      <c r="B2644" s="4"/>
      <c r="C2644" s="4"/>
      <c r="D2644" s="4"/>
      <c r="E2644" s="4"/>
      <c r="F2644" s="4" t="s">
        <v>17</v>
      </c>
      <c r="G2644" s="15"/>
      <c r="H2644" s="4"/>
      <c r="I2644" s="4"/>
      <c r="J2644" s="4"/>
      <c r="K2644" s="4"/>
      <c r="L2644" s="4"/>
      <c r="M2644" s="4"/>
      <c r="N2644" s="4"/>
      <c r="O2644" s="4"/>
      <c r="P2644" s="4"/>
      <c r="Q2644" s="4"/>
      <c r="R2644" s="4"/>
      <c r="S2644" s="4"/>
      <c r="T2644" s="4"/>
      <c r="U2644" s="4"/>
      <c r="V2644" s="4"/>
      <c r="W2644" s="4"/>
      <c r="X2644" s="4"/>
      <c r="Y2644" s="4"/>
      <c r="Z2644" s="4"/>
      <c r="AA2644" s="4"/>
      <c r="AB2644" s="4"/>
      <c r="AC2644" s="4"/>
      <c r="AD2644" s="4"/>
      <c r="AE2644" s="4"/>
      <c r="AF2644" s="4"/>
      <c r="AG2644" s="4"/>
      <c r="AH2644" s="4"/>
      <c r="AI2644" s="4"/>
      <c r="AJ2644" s="4"/>
      <c r="AK2644" s="4"/>
      <c r="AL2644" s="4"/>
      <c r="AM2644" s="4"/>
      <c r="AN2644" s="4"/>
      <c r="AO2644" s="4"/>
      <c r="AP2644" s="4"/>
      <c r="AQ2644" s="4"/>
      <c r="AR2644" s="4"/>
      <c r="AS2644" s="4"/>
      <c r="AT2644" s="4"/>
      <c r="AU2644" s="4"/>
      <c r="AV2644" s="4"/>
      <c r="AW2644" s="4"/>
      <c r="AX2644" s="4"/>
      <c r="AY2644" s="4"/>
      <c r="AZ2644" s="4"/>
      <c r="BA2644" s="4"/>
      <c r="BB2644" s="4"/>
      <c r="BC2644" s="4"/>
      <c r="BD2644" s="4"/>
      <c r="BE2644" s="4"/>
      <c r="BF2644" s="4"/>
      <c r="BG2644" s="4"/>
      <c r="BH2644" s="4"/>
      <c r="BI2644" s="4"/>
      <c r="BJ2644" s="4"/>
      <c r="BK2644" s="4"/>
      <c r="BL2644" s="4"/>
      <c r="BM2644" s="4"/>
      <c r="BN2644" s="4"/>
      <c r="BO2644" s="4"/>
      <c r="BP2644" s="4"/>
      <c r="BQ2644" s="4"/>
      <c r="BR2644" s="4"/>
      <c r="BS2644" s="4"/>
      <c r="BT2644" s="4"/>
      <c r="BU2644" s="4"/>
      <c r="BV2644" s="4"/>
      <c r="BW2644" s="4"/>
      <c r="BX2644" s="4"/>
      <c r="BY2644" s="4"/>
      <c r="BZ2644" s="4"/>
      <c r="CA2644" s="4"/>
      <c r="CB2644" s="4"/>
      <c r="CC2644" s="4"/>
      <c r="CD2644" s="4"/>
      <c r="CE2644" s="4"/>
      <c r="CF2644" s="4"/>
      <c r="CG2644" s="4"/>
      <c r="CH2644" s="4"/>
      <c r="CI2644" s="4"/>
      <c r="CJ2644" s="4"/>
      <c r="CK2644" s="4"/>
      <c r="CL2644" s="4"/>
      <c r="CM2644" s="4"/>
      <c r="CN2644" s="4"/>
      <c r="CO2644" s="4"/>
      <c r="CP2644" s="4"/>
      <c r="CQ2644" s="4"/>
      <c r="CR2644" s="4"/>
      <c r="CS2644" s="4"/>
      <c r="CT2644" s="4"/>
      <c r="CU2644" s="4"/>
      <c r="CV2644" s="4"/>
      <c r="CW2644" s="4"/>
      <c r="CX2644" s="4"/>
      <c r="CY2644" s="4"/>
      <c r="CZ2644" s="4"/>
      <c r="DA2644" s="4"/>
      <c r="DB2644" s="4"/>
      <c r="DC2644" s="4"/>
      <c r="DD2644" s="4"/>
      <c r="DE2644" s="4"/>
      <c r="DF2644" s="4"/>
      <c r="DG2644" s="4"/>
      <c r="DH2644" s="4"/>
      <c r="DI2644" s="4"/>
      <c r="DJ2644" s="4"/>
      <c r="DK2644" s="4"/>
      <c r="DL2644" s="4"/>
      <c r="DM2644" s="4"/>
      <c r="DN2644" s="4"/>
      <c r="DO2644" s="4"/>
      <c r="DP2644" s="4"/>
      <c r="DQ2644" s="4"/>
      <c r="DR2644" s="4"/>
      <c r="DS2644" s="4"/>
    </row>
    <row r="2645">
      <c r="A2645" s="4"/>
      <c r="B2645" s="4"/>
      <c r="C2645" s="4"/>
      <c r="D2645" s="4"/>
      <c r="E2645" s="4"/>
      <c r="F2645" s="4" t="s">
        <v>17</v>
      </c>
      <c r="G2645" s="15"/>
      <c r="H2645" s="4"/>
      <c r="I2645" s="4"/>
      <c r="J2645" s="4"/>
      <c r="K2645" s="4"/>
      <c r="L2645" s="4"/>
      <c r="M2645" s="4"/>
      <c r="N2645" s="4"/>
      <c r="O2645" s="4"/>
      <c r="P2645" s="4"/>
      <c r="Q2645" s="4"/>
      <c r="R2645" s="4"/>
      <c r="S2645" s="4"/>
      <c r="T2645" s="4"/>
      <c r="U2645" s="4"/>
      <c r="V2645" s="4"/>
      <c r="W2645" s="4"/>
      <c r="X2645" s="4"/>
      <c r="Y2645" s="4"/>
      <c r="Z2645" s="4"/>
      <c r="AA2645" s="4"/>
      <c r="AB2645" s="4"/>
      <c r="AC2645" s="4"/>
      <c r="AD2645" s="4"/>
      <c r="AE2645" s="4"/>
      <c r="AF2645" s="4"/>
      <c r="AG2645" s="4"/>
      <c r="AH2645" s="4"/>
      <c r="AI2645" s="4"/>
      <c r="AJ2645" s="4"/>
      <c r="AK2645" s="4"/>
      <c r="AL2645" s="4"/>
      <c r="AM2645" s="4"/>
      <c r="AN2645" s="4"/>
      <c r="AO2645" s="4"/>
      <c r="AP2645" s="4"/>
      <c r="AQ2645" s="4"/>
      <c r="AR2645" s="4"/>
      <c r="AS2645" s="4"/>
      <c r="AT2645" s="4"/>
      <c r="AU2645" s="4"/>
      <c r="AV2645" s="4"/>
      <c r="AW2645" s="4"/>
      <c r="AX2645" s="4"/>
      <c r="AY2645" s="4"/>
      <c r="AZ2645" s="4"/>
      <c r="BA2645" s="4"/>
      <c r="BB2645" s="4"/>
      <c r="BC2645" s="4"/>
      <c r="BD2645" s="4"/>
      <c r="BE2645" s="4"/>
      <c r="BF2645" s="4"/>
      <c r="BG2645" s="4"/>
      <c r="BH2645" s="4"/>
      <c r="BI2645" s="4"/>
      <c r="BJ2645" s="4"/>
      <c r="BK2645" s="4"/>
      <c r="BL2645" s="4"/>
      <c r="BM2645" s="4"/>
      <c r="BN2645" s="4"/>
      <c r="BO2645" s="4"/>
      <c r="BP2645" s="4"/>
      <c r="BQ2645" s="4"/>
      <c r="BR2645" s="4"/>
      <c r="BS2645" s="4"/>
      <c r="BT2645" s="4"/>
      <c r="BU2645" s="4"/>
      <c r="BV2645" s="4"/>
      <c r="BW2645" s="4"/>
      <c r="BX2645" s="4"/>
      <c r="BY2645" s="4"/>
      <c r="BZ2645" s="4"/>
      <c r="CA2645" s="4"/>
      <c r="CB2645" s="4"/>
      <c r="CC2645" s="4"/>
      <c r="CD2645" s="4"/>
      <c r="CE2645" s="4"/>
      <c r="CF2645" s="4"/>
      <c r="CG2645" s="4"/>
      <c r="CH2645" s="4"/>
      <c r="CI2645" s="4"/>
      <c r="CJ2645" s="4"/>
      <c r="CK2645" s="4"/>
      <c r="CL2645" s="4"/>
      <c r="CM2645" s="4"/>
      <c r="CN2645" s="4"/>
      <c r="CO2645" s="4"/>
      <c r="CP2645" s="4"/>
      <c r="CQ2645" s="4"/>
      <c r="CR2645" s="4"/>
      <c r="CS2645" s="4"/>
      <c r="CT2645" s="4"/>
      <c r="CU2645" s="4"/>
      <c r="CV2645" s="4"/>
      <c r="CW2645" s="4"/>
      <c r="CX2645" s="4"/>
      <c r="CY2645" s="4"/>
      <c r="CZ2645" s="4"/>
      <c r="DA2645" s="4"/>
      <c r="DB2645" s="4"/>
      <c r="DC2645" s="4"/>
      <c r="DD2645" s="4"/>
      <c r="DE2645" s="4"/>
      <c r="DF2645" s="4"/>
      <c r="DG2645" s="4"/>
      <c r="DH2645" s="4"/>
      <c r="DI2645" s="4"/>
      <c r="DJ2645" s="4"/>
      <c r="DK2645" s="4"/>
      <c r="DL2645" s="4"/>
      <c r="DM2645" s="4"/>
      <c r="DN2645" s="4"/>
      <c r="DO2645" s="4"/>
      <c r="DP2645" s="4"/>
      <c r="DQ2645" s="4"/>
      <c r="DR2645" s="4"/>
      <c r="DS2645" s="4"/>
    </row>
    <row r="2646">
      <c r="A2646" s="4"/>
      <c r="B2646" s="4"/>
      <c r="C2646" s="4"/>
      <c r="D2646" s="4"/>
      <c r="E2646" s="4"/>
      <c r="F2646" s="4" t="s">
        <v>17</v>
      </c>
      <c r="G2646" s="15"/>
      <c r="H2646" s="4"/>
      <c r="I2646" s="4"/>
      <c r="J2646" s="4"/>
      <c r="K2646" s="4"/>
      <c r="L2646" s="4"/>
      <c r="M2646" s="4"/>
      <c r="N2646" s="4"/>
      <c r="O2646" s="4"/>
      <c r="P2646" s="4"/>
      <c r="Q2646" s="4"/>
      <c r="R2646" s="4"/>
      <c r="S2646" s="4"/>
      <c r="T2646" s="4"/>
      <c r="U2646" s="4"/>
      <c r="V2646" s="4"/>
      <c r="W2646" s="4"/>
      <c r="X2646" s="4"/>
      <c r="Y2646" s="4"/>
      <c r="Z2646" s="4"/>
      <c r="AA2646" s="4"/>
      <c r="AB2646" s="4"/>
      <c r="AC2646" s="4"/>
      <c r="AD2646" s="4"/>
      <c r="AE2646" s="4"/>
      <c r="AF2646" s="4"/>
      <c r="AG2646" s="4"/>
      <c r="AH2646" s="4"/>
      <c r="AI2646" s="4"/>
      <c r="AJ2646" s="4"/>
      <c r="AK2646" s="4"/>
      <c r="AL2646" s="4"/>
      <c r="AM2646" s="4"/>
      <c r="AN2646" s="4"/>
      <c r="AO2646" s="4"/>
      <c r="AP2646" s="4"/>
      <c r="AQ2646" s="4"/>
      <c r="AR2646" s="4"/>
      <c r="AS2646" s="4"/>
      <c r="AT2646" s="4"/>
      <c r="AU2646" s="4"/>
      <c r="AV2646" s="4"/>
      <c r="AW2646" s="4"/>
      <c r="AX2646" s="4"/>
      <c r="AY2646" s="4"/>
      <c r="AZ2646" s="4"/>
      <c r="BA2646" s="4"/>
      <c r="BB2646" s="4"/>
      <c r="BC2646" s="4"/>
      <c r="BD2646" s="4"/>
      <c r="BE2646" s="4"/>
      <c r="BF2646" s="4"/>
      <c r="BG2646" s="4"/>
      <c r="BH2646" s="4"/>
      <c r="BI2646" s="4"/>
      <c r="BJ2646" s="4"/>
      <c r="BK2646" s="4"/>
      <c r="BL2646" s="4"/>
      <c r="BM2646" s="4"/>
      <c r="BN2646" s="4"/>
      <c r="BO2646" s="4"/>
      <c r="BP2646" s="4"/>
      <c r="BQ2646" s="4"/>
      <c r="BR2646" s="4"/>
      <c r="BS2646" s="4"/>
      <c r="BT2646" s="4"/>
      <c r="BU2646" s="4"/>
      <c r="BV2646" s="4"/>
      <c r="BW2646" s="4"/>
      <c r="BX2646" s="4"/>
      <c r="BY2646" s="4"/>
      <c r="BZ2646" s="4"/>
      <c r="CA2646" s="4"/>
      <c r="CB2646" s="4"/>
      <c r="CC2646" s="4"/>
      <c r="CD2646" s="4"/>
      <c r="CE2646" s="4"/>
      <c r="CF2646" s="4"/>
      <c r="CG2646" s="4"/>
      <c r="CH2646" s="4"/>
      <c r="CI2646" s="4"/>
      <c r="CJ2646" s="4"/>
      <c r="CK2646" s="4"/>
      <c r="CL2646" s="4"/>
      <c r="CM2646" s="4"/>
      <c r="CN2646" s="4"/>
      <c r="CO2646" s="4"/>
      <c r="CP2646" s="4"/>
      <c r="CQ2646" s="4"/>
      <c r="CR2646" s="4"/>
      <c r="CS2646" s="4"/>
      <c r="CT2646" s="4"/>
      <c r="CU2646" s="4"/>
      <c r="CV2646" s="4"/>
      <c r="CW2646" s="4"/>
      <c r="CX2646" s="4"/>
      <c r="CY2646" s="4"/>
      <c r="CZ2646" s="4"/>
      <c r="DA2646" s="4"/>
      <c r="DB2646" s="4"/>
      <c r="DC2646" s="4"/>
      <c r="DD2646" s="4"/>
      <c r="DE2646" s="4"/>
      <c r="DF2646" s="4"/>
      <c r="DG2646" s="4"/>
      <c r="DH2646" s="4"/>
      <c r="DI2646" s="4"/>
      <c r="DJ2646" s="4"/>
      <c r="DK2646" s="4"/>
      <c r="DL2646" s="4"/>
      <c r="DM2646" s="4"/>
      <c r="DN2646" s="4"/>
      <c r="DO2646" s="4"/>
      <c r="DP2646" s="4"/>
      <c r="DQ2646" s="4"/>
      <c r="DR2646" s="4"/>
      <c r="DS2646" s="4"/>
    </row>
    <row r="2647">
      <c r="A2647" s="4"/>
      <c r="B2647" s="4"/>
      <c r="C2647" s="4"/>
      <c r="D2647" s="4"/>
      <c r="E2647" s="4"/>
      <c r="F2647" s="4" t="s">
        <v>17</v>
      </c>
      <c r="G2647" s="15"/>
      <c r="H2647" s="4"/>
      <c r="I2647" s="4"/>
      <c r="J2647" s="4"/>
      <c r="K2647" s="4"/>
      <c r="L2647" s="4"/>
      <c r="M2647" s="4"/>
      <c r="N2647" s="4"/>
      <c r="O2647" s="4"/>
      <c r="P2647" s="4"/>
      <c r="Q2647" s="4"/>
      <c r="R2647" s="4"/>
      <c r="S2647" s="4"/>
      <c r="T2647" s="4"/>
      <c r="U2647" s="4"/>
      <c r="V2647" s="4"/>
      <c r="W2647" s="4"/>
      <c r="X2647" s="4"/>
      <c r="Y2647" s="4"/>
      <c r="Z2647" s="4"/>
      <c r="AA2647" s="4"/>
      <c r="AB2647" s="4"/>
      <c r="AC2647" s="4"/>
      <c r="AD2647" s="4"/>
      <c r="AE2647" s="4"/>
      <c r="AF2647" s="4"/>
      <c r="AG2647" s="4"/>
      <c r="AH2647" s="4"/>
      <c r="AI2647" s="4"/>
      <c r="AJ2647" s="4"/>
      <c r="AK2647" s="4"/>
      <c r="AL2647" s="4"/>
      <c r="AM2647" s="4"/>
      <c r="AN2647" s="4"/>
      <c r="AO2647" s="4"/>
      <c r="AP2647" s="4"/>
      <c r="AQ2647" s="4"/>
      <c r="AR2647" s="4"/>
      <c r="AS2647" s="4"/>
      <c r="AT2647" s="4"/>
      <c r="AU2647" s="4"/>
      <c r="AV2647" s="4"/>
      <c r="AW2647" s="4"/>
      <c r="AX2647" s="4"/>
      <c r="AY2647" s="4"/>
      <c r="AZ2647" s="4"/>
      <c r="BA2647" s="4"/>
      <c r="BB2647" s="4"/>
      <c r="BC2647" s="4"/>
      <c r="BD2647" s="4"/>
      <c r="BE2647" s="4"/>
      <c r="BF2647" s="4"/>
      <c r="BG2647" s="4"/>
      <c r="BH2647" s="4"/>
      <c r="BI2647" s="4"/>
      <c r="BJ2647" s="4"/>
      <c r="BK2647" s="4"/>
      <c r="BL2647" s="4"/>
      <c r="BM2647" s="4"/>
      <c r="BN2647" s="4"/>
      <c r="BO2647" s="4"/>
      <c r="BP2647" s="4"/>
      <c r="BQ2647" s="4"/>
      <c r="BR2647" s="4"/>
      <c r="BS2647" s="4"/>
      <c r="BT2647" s="4"/>
      <c r="BU2647" s="4"/>
      <c r="BV2647" s="4"/>
      <c r="BW2647" s="4"/>
      <c r="BX2647" s="4"/>
      <c r="BY2647" s="4"/>
      <c r="BZ2647" s="4"/>
      <c r="CA2647" s="4"/>
      <c r="CB2647" s="4"/>
      <c r="CC2647" s="4"/>
      <c r="CD2647" s="4"/>
      <c r="CE2647" s="4"/>
      <c r="CF2647" s="4"/>
      <c r="CG2647" s="4"/>
      <c r="CH2647" s="4"/>
      <c r="CI2647" s="4"/>
      <c r="CJ2647" s="4"/>
      <c r="CK2647" s="4"/>
      <c r="CL2647" s="4"/>
      <c r="CM2647" s="4"/>
      <c r="CN2647" s="4"/>
      <c r="CO2647" s="4"/>
      <c r="CP2647" s="4"/>
      <c r="CQ2647" s="4"/>
      <c r="CR2647" s="4"/>
      <c r="CS2647" s="4"/>
      <c r="CT2647" s="4"/>
      <c r="CU2647" s="4"/>
      <c r="CV2647" s="4"/>
      <c r="CW2647" s="4"/>
      <c r="CX2647" s="4"/>
      <c r="CY2647" s="4"/>
      <c r="CZ2647" s="4"/>
      <c r="DA2647" s="4"/>
      <c r="DB2647" s="4"/>
      <c r="DC2647" s="4"/>
      <c r="DD2647" s="4"/>
      <c r="DE2647" s="4"/>
      <c r="DF2647" s="4"/>
      <c r="DG2647" s="4"/>
      <c r="DH2647" s="4"/>
      <c r="DI2647" s="4"/>
      <c r="DJ2647" s="4"/>
      <c r="DK2647" s="4"/>
      <c r="DL2647" s="4"/>
      <c r="DM2647" s="4"/>
      <c r="DN2647" s="4"/>
      <c r="DO2647" s="4"/>
      <c r="DP2647" s="4"/>
      <c r="DQ2647" s="4"/>
      <c r="DR2647" s="4"/>
      <c r="DS2647" s="4"/>
    </row>
    <row r="2648">
      <c r="A2648" s="4"/>
      <c r="B2648" s="4"/>
      <c r="C2648" s="4"/>
      <c r="D2648" s="4"/>
      <c r="E2648" s="4"/>
      <c r="F2648" s="4" t="s">
        <v>17</v>
      </c>
      <c r="G2648" s="15"/>
      <c r="H2648" s="4"/>
      <c r="I2648" s="4"/>
      <c r="J2648" s="4"/>
      <c r="K2648" s="4"/>
      <c r="L2648" s="4"/>
      <c r="M2648" s="4"/>
      <c r="N2648" s="4"/>
      <c r="O2648" s="4"/>
      <c r="P2648" s="4"/>
      <c r="Q2648" s="4"/>
      <c r="R2648" s="4"/>
      <c r="S2648" s="4"/>
      <c r="T2648" s="4"/>
      <c r="U2648" s="4"/>
      <c r="V2648" s="4"/>
      <c r="W2648" s="4"/>
      <c r="X2648" s="4"/>
      <c r="Y2648" s="4"/>
      <c r="Z2648" s="4"/>
      <c r="AA2648" s="4"/>
      <c r="AB2648" s="4"/>
      <c r="AC2648" s="4"/>
      <c r="AD2648" s="4"/>
      <c r="AE2648" s="4"/>
      <c r="AF2648" s="4"/>
      <c r="AG2648" s="4"/>
      <c r="AH2648" s="4"/>
      <c r="AI2648" s="4"/>
      <c r="AJ2648" s="4"/>
      <c r="AK2648" s="4"/>
      <c r="AL2648" s="4"/>
      <c r="AM2648" s="4"/>
      <c r="AN2648" s="4"/>
      <c r="AO2648" s="4"/>
      <c r="AP2648" s="4"/>
      <c r="AQ2648" s="4"/>
      <c r="AR2648" s="4"/>
      <c r="AS2648" s="4"/>
      <c r="AT2648" s="4"/>
      <c r="AU2648" s="4"/>
      <c r="AV2648" s="4"/>
      <c r="AW2648" s="4"/>
      <c r="AX2648" s="4"/>
      <c r="AY2648" s="4"/>
      <c r="AZ2648" s="4"/>
      <c r="BA2648" s="4"/>
      <c r="BB2648" s="4"/>
      <c r="BC2648" s="4"/>
      <c r="BD2648" s="4"/>
      <c r="BE2648" s="4"/>
      <c r="BF2648" s="4"/>
      <c r="BG2648" s="4"/>
      <c r="BH2648" s="4"/>
      <c r="BI2648" s="4"/>
      <c r="BJ2648" s="4"/>
      <c r="BK2648" s="4"/>
      <c r="BL2648" s="4"/>
      <c r="BM2648" s="4"/>
      <c r="BN2648" s="4"/>
      <c r="BO2648" s="4"/>
      <c r="BP2648" s="4"/>
      <c r="BQ2648" s="4"/>
      <c r="BR2648" s="4"/>
      <c r="BS2648" s="4"/>
      <c r="BT2648" s="4"/>
      <c r="BU2648" s="4"/>
      <c r="BV2648" s="4"/>
      <c r="BW2648" s="4"/>
      <c r="BX2648" s="4"/>
      <c r="BY2648" s="4"/>
      <c r="BZ2648" s="4"/>
      <c r="CA2648" s="4"/>
      <c r="CB2648" s="4"/>
      <c r="CC2648" s="4"/>
      <c r="CD2648" s="4"/>
      <c r="CE2648" s="4"/>
      <c r="CF2648" s="4"/>
      <c r="CG2648" s="4"/>
      <c r="CH2648" s="4"/>
      <c r="CI2648" s="4"/>
      <c r="CJ2648" s="4"/>
      <c r="CK2648" s="4"/>
      <c r="CL2648" s="4"/>
      <c r="CM2648" s="4"/>
      <c r="CN2648" s="4"/>
      <c r="CO2648" s="4"/>
      <c r="CP2648" s="4"/>
      <c r="CQ2648" s="4"/>
      <c r="CR2648" s="4"/>
      <c r="CS2648" s="4"/>
      <c r="CT2648" s="4"/>
      <c r="CU2648" s="4"/>
      <c r="CV2648" s="4"/>
      <c r="CW2648" s="4"/>
      <c r="CX2648" s="4"/>
      <c r="CY2648" s="4"/>
      <c r="CZ2648" s="4"/>
      <c r="DA2648" s="4"/>
      <c r="DB2648" s="4"/>
      <c r="DC2648" s="4"/>
      <c r="DD2648" s="4"/>
      <c r="DE2648" s="4"/>
      <c r="DF2648" s="4"/>
      <c r="DG2648" s="4"/>
      <c r="DH2648" s="4"/>
      <c r="DI2648" s="4"/>
      <c r="DJ2648" s="4"/>
      <c r="DK2648" s="4"/>
      <c r="DL2648" s="4"/>
      <c r="DM2648" s="4"/>
      <c r="DN2648" s="4"/>
      <c r="DO2648" s="4"/>
      <c r="DP2648" s="4"/>
      <c r="DQ2648" s="4"/>
      <c r="DR2648" s="4"/>
      <c r="DS2648" s="4"/>
    </row>
    <row r="2649">
      <c r="A2649" s="4"/>
      <c r="B2649" s="4"/>
      <c r="C2649" s="4"/>
      <c r="D2649" s="4"/>
      <c r="E2649" s="4"/>
      <c r="F2649" s="4" t="s">
        <v>17</v>
      </c>
      <c r="G2649" s="15"/>
      <c r="H2649" s="4"/>
      <c r="I2649" s="4"/>
      <c r="J2649" s="4"/>
      <c r="K2649" s="4"/>
      <c r="L2649" s="4"/>
      <c r="M2649" s="4"/>
      <c r="N2649" s="4"/>
      <c r="O2649" s="4"/>
      <c r="P2649" s="4"/>
      <c r="Q2649" s="4"/>
      <c r="R2649" s="4"/>
      <c r="S2649" s="4"/>
      <c r="T2649" s="4"/>
      <c r="U2649" s="4"/>
      <c r="V2649" s="4"/>
      <c r="W2649" s="4"/>
      <c r="X2649" s="4"/>
      <c r="Y2649" s="4"/>
      <c r="Z2649" s="4"/>
      <c r="AA2649" s="4"/>
      <c r="AB2649" s="4"/>
      <c r="AC2649" s="4"/>
      <c r="AD2649" s="4"/>
      <c r="AE2649" s="4"/>
      <c r="AF2649" s="4"/>
      <c r="AG2649" s="4"/>
      <c r="AH2649" s="4"/>
      <c r="AI2649" s="4"/>
      <c r="AJ2649" s="4"/>
      <c r="AK2649" s="4"/>
      <c r="AL2649" s="4"/>
      <c r="AM2649" s="4"/>
      <c r="AN2649" s="4"/>
      <c r="AO2649" s="4"/>
      <c r="AP2649" s="4"/>
      <c r="AQ2649" s="4"/>
      <c r="AR2649" s="4"/>
      <c r="AS2649" s="4"/>
      <c r="AT2649" s="4"/>
      <c r="AU2649" s="4"/>
      <c r="AV2649" s="4"/>
      <c r="AW2649" s="4"/>
      <c r="AX2649" s="4"/>
      <c r="AY2649" s="4"/>
      <c r="AZ2649" s="4"/>
      <c r="BA2649" s="4"/>
      <c r="BB2649" s="4"/>
      <c r="BC2649" s="4"/>
      <c r="BD2649" s="4"/>
      <c r="BE2649" s="4"/>
      <c r="BF2649" s="4"/>
      <c r="BG2649" s="4"/>
      <c r="BH2649" s="4"/>
      <c r="BI2649" s="4"/>
      <c r="BJ2649" s="4"/>
      <c r="BK2649" s="4"/>
      <c r="BL2649" s="4"/>
      <c r="BM2649" s="4"/>
      <c r="BN2649" s="4"/>
      <c r="BO2649" s="4"/>
      <c r="BP2649" s="4"/>
      <c r="BQ2649" s="4"/>
      <c r="BR2649" s="4"/>
      <c r="BS2649" s="4"/>
      <c r="BT2649" s="4"/>
      <c r="BU2649" s="4"/>
      <c r="BV2649" s="4"/>
      <c r="BW2649" s="4"/>
      <c r="BX2649" s="4"/>
      <c r="BY2649" s="4"/>
      <c r="BZ2649" s="4"/>
      <c r="CA2649" s="4"/>
      <c r="CB2649" s="4"/>
      <c r="CC2649" s="4"/>
      <c r="CD2649" s="4"/>
      <c r="CE2649" s="4"/>
      <c r="CF2649" s="4"/>
      <c r="CG2649" s="4"/>
      <c r="CH2649" s="4"/>
      <c r="CI2649" s="4"/>
      <c r="CJ2649" s="4"/>
      <c r="CK2649" s="4"/>
      <c r="CL2649" s="4"/>
      <c r="CM2649" s="4"/>
      <c r="CN2649" s="4"/>
      <c r="CO2649" s="4"/>
      <c r="CP2649" s="4"/>
      <c r="CQ2649" s="4"/>
      <c r="CR2649" s="4"/>
      <c r="CS2649" s="4"/>
      <c r="CT2649" s="4"/>
      <c r="CU2649" s="4"/>
      <c r="CV2649" s="4"/>
      <c r="CW2649" s="4"/>
      <c r="CX2649" s="4"/>
      <c r="CY2649" s="4"/>
      <c r="CZ2649" s="4"/>
      <c r="DA2649" s="4"/>
      <c r="DB2649" s="4"/>
      <c r="DC2649" s="4"/>
      <c r="DD2649" s="4"/>
      <c r="DE2649" s="4"/>
      <c r="DF2649" s="4"/>
      <c r="DG2649" s="4"/>
      <c r="DH2649" s="4"/>
      <c r="DI2649" s="4"/>
      <c r="DJ2649" s="4"/>
      <c r="DK2649" s="4"/>
      <c r="DL2649" s="4"/>
      <c r="DM2649" s="4"/>
      <c r="DN2649" s="4"/>
      <c r="DO2649" s="4"/>
      <c r="DP2649" s="4"/>
      <c r="DQ2649" s="4"/>
      <c r="DR2649" s="4"/>
      <c r="DS2649" s="4"/>
    </row>
    <row r="2650">
      <c r="A2650" s="4"/>
      <c r="B2650" s="4"/>
      <c r="C2650" s="4"/>
      <c r="D2650" s="4"/>
      <c r="E2650" s="4"/>
      <c r="F2650" s="4" t="s">
        <v>17</v>
      </c>
      <c r="G2650" s="15"/>
      <c r="H2650" s="4"/>
      <c r="I2650" s="4"/>
      <c r="J2650" s="4"/>
      <c r="K2650" s="4"/>
      <c r="L2650" s="4"/>
      <c r="M2650" s="4"/>
      <c r="N2650" s="4"/>
      <c r="O2650" s="4"/>
      <c r="P2650" s="4"/>
      <c r="Q2650" s="4"/>
      <c r="R2650" s="4"/>
      <c r="S2650" s="4"/>
      <c r="T2650" s="4"/>
      <c r="U2650" s="4"/>
      <c r="V2650" s="4"/>
      <c r="W2650" s="4"/>
      <c r="X2650" s="4"/>
      <c r="Y2650" s="4"/>
      <c r="Z2650" s="4"/>
      <c r="AA2650" s="4"/>
      <c r="AB2650" s="4"/>
      <c r="AC2650" s="4"/>
      <c r="AD2650" s="4"/>
      <c r="AE2650" s="4"/>
      <c r="AF2650" s="4"/>
      <c r="AG2650" s="4"/>
      <c r="AH2650" s="4"/>
      <c r="AI2650" s="4"/>
      <c r="AJ2650" s="4"/>
      <c r="AK2650" s="4"/>
      <c r="AL2650" s="4"/>
      <c r="AM2650" s="4"/>
      <c r="AN2650" s="4"/>
      <c r="AO2650" s="4"/>
      <c r="AP2650" s="4"/>
      <c r="AQ2650" s="4"/>
      <c r="AR2650" s="4"/>
      <c r="AS2650" s="4"/>
      <c r="AT2650" s="4"/>
      <c r="AU2650" s="4"/>
      <c r="AV2650" s="4"/>
      <c r="AW2650" s="4"/>
      <c r="AX2650" s="4"/>
      <c r="AY2650" s="4"/>
      <c r="AZ2650" s="4"/>
      <c r="BA2650" s="4"/>
      <c r="BB2650" s="4"/>
      <c r="BC2650" s="4"/>
      <c r="BD2650" s="4"/>
      <c r="BE2650" s="4"/>
      <c r="BF2650" s="4"/>
      <c r="BG2650" s="4"/>
      <c r="BH2650" s="4"/>
      <c r="BI2650" s="4"/>
      <c r="BJ2650" s="4"/>
      <c r="BK2650" s="4"/>
      <c r="BL2650" s="4"/>
      <c r="BM2650" s="4"/>
      <c r="BN2650" s="4"/>
      <c r="BO2650" s="4"/>
      <c r="BP2650" s="4"/>
      <c r="BQ2650" s="4"/>
      <c r="BR2650" s="4"/>
      <c r="BS2650" s="4"/>
      <c r="BT2650" s="4"/>
      <c r="BU2650" s="4"/>
      <c r="BV2650" s="4"/>
      <c r="BW2650" s="4"/>
      <c r="BX2650" s="4"/>
      <c r="BY2650" s="4"/>
      <c r="BZ2650" s="4"/>
      <c r="CA2650" s="4"/>
      <c r="CB2650" s="4"/>
      <c r="CC2650" s="4"/>
      <c r="CD2650" s="4"/>
      <c r="CE2650" s="4"/>
      <c r="CF2650" s="4"/>
      <c r="CG2650" s="4"/>
      <c r="CH2650" s="4"/>
      <c r="CI2650" s="4"/>
      <c r="CJ2650" s="4"/>
      <c r="CK2650" s="4"/>
      <c r="CL2650" s="4"/>
      <c r="CM2650" s="4"/>
      <c r="CN2650" s="4"/>
      <c r="CO2650" s="4"/>
      <c r="CP2650" s="4"/>
      <c r="CQ2650" s="4"/>
      <c r="CR2650" s="4"/>
      <c r="CS2650" s="4"/>
      <c r="CT2650" s="4"/>
      <c r="CU2650" s="4"/>
      <c r="CV2650" s="4"/>
      <c r="CW2650" s="4"/>
      <c r="CX2650" s="4"/>
      <c r="CY2650" s="4"/>
      <c r="CZ2650" s="4"/>
      <c r="DA2650" s="4"/>
      <c r="DB2650" s="4"/>
      <c r="DC2650" s="4"/>
      <c r="DD2650" s="4"/>
      <c r="DE2650" s="4"/>
      <c r="DF2650" s="4"/>
      <c r="DG2650" s="4"/>
      <c r="DH2650" s="4"/>
      <c r="DI2650" s="4"/>
      <c r="DJ2650" s="4"/>
      <c r="DK2650" s="4"/>
      <c r="DL2650" s="4"/>
      <c r="DM2650" s="4"/>
      <c r="DN2650" s="4"/>
      <c r="DO2650" s="4"/>
      <c r="DP2650" s="4"/>
      <c r="DQ2650" s="4"/>
      <c r="DR2650" s="4"/>
      <c r="DS2650" s="4"/>
    </row>
    <row r="2651">
      <c r="A2651" s="4"/>
      <c r="B2651" s="4"/>
      <c r="C2651" s="4"/>
      <c r="D2651" s="4"/>
      <c r="E2651" s="4"/>
      <c r="F2651" s="4" t="s">
        <v>17</v>
      </c>
      <c r="G2651" s="15"/>
      <c r="H2651" s="4"/>
      <c r="I2651" s="4"/>
      <c r="J2651" s="4"/>
      <c r="K2651" s="4"/>
      <c r="L2651" s="4"/>
      <c r="M2651" s="4"/>
      <c r="N2651" s="4"/>
      <c r="O2651" s="4"/>
      <c r="P2651" s="4"/>
      <c r="Q2651" s="4"/>
      <c r="R2651" s="4"/>
      <c r="S2651" s="4"/>
      <c r="T2651" s="4"/>
      <c r="U2651" s="4"/>
      <c r="V2651" s="4"/>
      <c r="W2651" s="4"/>
      <c r="X2651" s="4"/>
      <c r="Y2651" s="4"/>
      <c r="Z2651" s="4"/>
      <c r="AA2651" s="4"/>
      <c r="AB2651" s="4"/>
      <c r="AC2651" s="4"/>
      <c r="AD2651" s="4"/>
      <c r="AE2651" s="4"/>
      <c r="AF2651" s="4"/>
      <c r="AG2651" s="4"/>
      <c r="AH2651" s="4"/>
      <c r="AI2651" s="4"/>
      <c r="AJ2651" s="4"/>
      <c r="AK2651" s="4"/>
      <c r="AL2651" s="4"/>
      <c r="AM2651" s="4"/>
      <c r="AN2651" s="4"/>
      <c r="AO2651" s="4"/>
      <c r="AP2651" s="4"/>
      <c r="AQ2651" s="4"/>
      <c r="AR2651" s="4"/>
      <c r="AS2651" s="4"/>
      <c r="AT2651" s="4"/>
      <c r="AU2651" s="4"/>
      <c r="AV2651" s="4"/>
      <c r="AW2651" s="4"/>
      <c r="AX2651" s="4"/>
      <c r="AY2651" s="4"/>
      <c r="AZ2651" s="4"/>
      <c r="BA2651" s="4"/>
      <c r="BB2651" s="4"/>
      <c r="BC2651" s="4"/>
      <c r="BD2651" s="4"/>
      <c r="BE2651" s="4"/>
      <c r="BF2651" s="4"/>
      <c r="BG2651" s="4"/>
      <c r="BH2651" s="4"/>
      <c r="BI2651" s="4"/>
      <c r="BJ2651" s="4"/>
      <c r="BK2651" s="4"/>
      <c r="BL2651" s="4"/>
      <c r="BM2651" s="4"/>
      <c r="BN2651" s="4"/>
      <c r="BO2651" s="4"/>
      <c r="BP2651" s="4"/>
      <c r="BQ2651" s="4"/>
      <c r="BR2651" s="4"/>
      <c r="BS2651" s="4"/>
      <c r="BT2651" s="4"/>
      <c r="BU2651" s="4"/>
      <c r="BV2651" s="4"/>
      <c r="BW2651" s="4"/>
      <c r="BX2651" s="4"/>
      <c r="BY2651" s="4"/>
      <c r="BZ2651" s="4"/>
      <c r="CA2651" s="4"/>
      <c r="CB2651" s="4"/>
      <c r="CC2651" s="4"/>
      <c r="CD2651" s="4"/>
      <c r="CE2651" s="4"/>
      <c r="CF2651" s="4"/>
      <c r="CG2651" s="4"/>
      <c r="CH2651" s="4"/>
      <c r="CI2651" s="4"/>
      <c r="CJ2651" s="4"/>
      <c r="CK2651" s="4"/>
      <c r="CL2651" s="4"/>
      <c r="CM2651" s="4"/>
      <c r="CN2651" s="4"/>
      <c r="CO2651" s="4"/>
      <c r="CP2651" s="4"/>
      <c r="CQ2651" s="4"/>
      <c r="CR2651" s="4"/>
      <c r="CS2651" s="4"/>
      <c r="CT2651" s="4"/>
      <c r="CU2651" s="4"/>
      <c r="CV2651" s="4"/>
      <c r="CW2651" s="4"/>
      <c r="CX2651" s="4"/>
      <c r="CY2651" s="4"/>
      <c r="CZ2651" s="4"/>
      <c r="DA2651" s="4"/>
      <c r="DB2651" s="4"/>
      <c r="DC2651" s="4"/>
      <c r="DD2651" s="4"/>
      <c r="DE2651" s="4"/>
      <c r="DF2651" s="4"/>
      <c r="DG2651" s="4"/>
      <c r="DH2651" s="4"/>
      <c r="DI2651" s="4"/>
      <c r="DJ2651" s="4"/>
      <c r="DK2651" s="4"/>
      <c r="DL2651" s="4"/>
      <c r="DM2651" s="4"/>
      <c r="DN2651" s="4"/>
      <c r="DO2651" s="4"/>
      <c r="DP2651" s="4"/>
      <c r="DQ2651" s="4"/>
      <c r="DR2651" s="4"/>
      <c r="DS2651" s="4"/>
    </row>
    <row r="2652">
      <c r="A2652" s="4"/>
      <c r="B2652" s="4"/>
      <c r="C2652" s="4"/>
      <c r="D2652" s="4"/>
      <c r="E2652" s="4"/>
      <c r="F2652" s="4" t="s">
        <v>17</v>
      </c>
      <c r="G2652" s="15"/>
      <c r="H2652" s="4"/>
      <c r="I2652" s="4"/>
      <c r="J2652" s="4"/>
      <c r="K2652" s="4"/>
      <c r="L2652" s="4"/>
      <c r="M2652" s="4"/>
      <c r="N2652" s="4"/>
      <c r="O2652" s="4"/>
      <c r="P2652" s="4"/>
      <c r="Q2652" s="4"/>
      <c r="R2652" s="4"/>
      <c r="S2652" s="4"/>
      <c r="T2652" s="4"/>
      <c r="U2652" s="4"/>
      <c r="V2652" s="4"/>
      <c r="W2652" s="4"/>
      <c r="X2652" s="4"/>
      <c r="Y2652" s="4"/>
      <c r="Z2652" s="4"/>
      <c r="AA2652" s="4"/>
      <c r="AB2652" s="4"/>
      <c r="AC2652" s="4"/>
      <c r="AD2652" s="4"/>
      <c r="AE2652" s="4"/>
      <c r="AF2652" s="4"/>
      <c r="AG2652" s="4"/>
      <c r="AH2652" s="4"/>
      <c r="AI2652" s="4"/>
      <c r="AJ2652" s="4"/>
      <c r="AK2652" s="4"/>
      <c r="AL2652" s="4"/>
      <c r="AM2652" s="4"/>
      <c r="AN2652" s="4"/>
      <c r="AO2652" s="4"/>
      <c r="AP2652" s="4"/>
      <c r="AQ2652" s="4"/>
      <c r="AR2652" s="4"/>
      <c r="AS2652" s="4"/>
      <c r="AT2652" s="4"/>
      <c r="AU2652" s="4"/>
      <c r="AV2652" s="4"/>
      <c r="AW2652" s="4"/>
      <c r="AX2652" s="4"/>
      <c r="AY2652" s="4"/>
      <c r="AZ2652" s="4"/>
      <c r="BA2652" s="4"/>
      <c r="BB2652" s="4"/>
      <c r="BC2652" s="4"/>
      <c r="BD2652" s="4"/>
      <c r="BE2652" s="4"/>
      <c r="BF2652" s="4"/>
      <c r="BG2652" s="4"/>
      <c r="BH2652" s="4"/>
      <c r="BI2652" s="4"/>
      <c r="BJ2652" s="4"/>
      <c r="BK2652" s="4"/>
      <c r="BL2652" s="4"/>
      <c r="BM2652" s="4"/>
      <c r="BN2652" s="4"/>
      <c r="BO2652" s="4"/>
      <c r="BP2652" s="4"/>
      <c r="BQ2652" s="4"/>
      <c r="BR2652" s="4"/>
      <c r="BS2652" s="4"/>
      <c r="BT2652" s="4"/>
      <c r="BU2652" s="4"/>
      <c r="BV2652" s="4"/>
      <c r="BW2652" s="4"/>
      <c r="BX2652" s="4"/>
      <c r="BY2652" s="4"/>
      <c r="BZ2652" s="4"/>
      <c r="CA2652" s="4"/>
      <c r="CB2652" s="4"/>
      <c r="CC2652" s="4"/>
      <c r="CD2652" s="4"/>
      <c r="CE2652" s="4"/>
      <c r="CF2652" s="4"/>
      <c r="CG2652" s="4"/>
      <c r="CH2652" s="4"/>
      <c r="CI2652" s="4"/>
      <c r="CJ2652" s="4"/>
      <c r="CK2652" s="4"/>
      <c r="CL2652" s="4"/>
      <c r="CM2652" s="4"/>
      <c r="CN2652" s="4"/>
      <c r="CO2652" s="4"/>
      <c r="CP2652" s="4"/>
      <c r="CQ2652" s="4"/>
      <c r="CR2652" s="4"/>
      <c r="CS2652" s="4"/>
      <c r="CT2652" s="4"/>
      <c r="CU2652" s="4"/>
      <c r="CV2652" s="4"/>
      <c r="CW2652" s="4"/>
      <c r="CX2652" s="4"/>
      <c r="CY2652" s="4"/>
      <c r="CZ2652" s="4"/>
      <c r="DA2652" s="4"/>
      <c r="DB2652" s="4"/>
      <c r="DC2652" s="4"/>
      <c r="DD2652" s="4"/>
      <c r="DE2652" s="4"/>
      <c r="DF2652" s="4"/>
      <c r="DG2652" s="4"/>
      <c r="DH2652" s="4"/>
      <c r="DI2652" s="4"/>
      <c r="DJ2652" s="4"/>
      <c r="DK2652" s="4"/>
      <c r="DL2652" s="4"/>
      <c r="DM2652" s="4"/>
      <c r="DN2652" s="4"/>
      <c r="DO2652" s="4"/>
      <c r="DP2652" s="4"/>
      <c r="DQ2652" s="4"/>
      <c r="DR2652" s="4"/>
      <c r="DS2652" s="4"/>
    </row>
    <row r="2653">
      <c r="A2653" s="4"/>
      <c r="B2653" s="4"/>
      <c r="C2653" s="4"/>
      <c r="D2653" s="4"/>
      <c r="E2653" s="4"/>
      <c r="F2653" s="4" t="s">
        <v>17</v>
      </c>
      <c r="G2653" s="15"/>
      <c r="H2653" s="4"/>
      <c r="I2653" s="4"/>
      <c r="J2653" s="4"/>
      <c r="K2653" s="4"/>
      <c r="L2653" s="4"/>
      <c r="M2653" s="4"/>
      <c r="N2653" s="4"/>
      <c r="O2653" s="4"/>
      <c r="P2653" s="4"/>
      <c r="Q2653" s="4"/>
      <c r="R2653" s="4"/>
      <c r="S2653" s="4"/>
      <c r="T2653" s="4"/>
      <c r="U2653" s="4"/>
      <c r="V2653" s="4"/>
      <c r="W2653" s="4"/>
      <c r="X2653" s="4"/>
      <c r="Y2653" s="4"/>
      <c r="Z2653" s="4"/>
      <c r="AA2653" s="4"/>
      <c r="AB2653" s="4"/>
      <c r="AC2653" s="4"/>
      <c r="AD2653" s="4"/>
      <c r="AE2653" s="4"/>
      <c r="AF2653" s="4"/>
      <c r="AG2653" s="4"/>
      <c r="AH2653" s="4"/>
      <c r="AI2653" s="4"/>
      <c r="AJ2653" s="4"/>
      <c r="AK2653" s="4"/>
      <c r="AL2653" s="4"/>
      <c r="AM2653" s="4"/>
      <c r="AN2653" s="4"/>
      <c r="AO2653" s="4"/>
      <c r="AP2653" s="4"/>
      <c r="AQ2653" s="4"/>
      <c r="AR2653" s="4"/>
      <c r="AS2653" s="4"/>
      <c r="AT2653" s="4"/>
      <c r="AU2653" s="4"/>
      <c r="AV2653" s="4"/>
      <c r="AW2653" s="4"/>
      <c r="AX2653" s="4"/>
      <c r="AY2653" s="4"/>
      <c r="AZ2653" s="4"/>
      <c r="BA2653" s="4"/>
      <c r="BB2653" s="4"/>
      <c r="BC2653" s="4"/>
      <c r="BD2653" s="4"/>
      <c r="BE2653" s="4"/>
      <c r="BF2653" s="4"/>
      <c r="BG2653" s="4"/>
      <c r="BH2653" s="4"/>
      <c r="BI2653" s="4"/>
      <c r="BJ2653" s="4"/>
      <c r="BK2653" s="4"/>
      <c r="BL2653" s="4"/>
      <c r="BM2653" s="4"/>
      <c r="BN2653" s="4"/>
      <c r="BO2653" s="4"/>
      <c r="BP2653" s="4"/>
      <c r="BQ2653" s="4"/>
      <c r="BR2653" s="4"/>
      <c r="BS2653" s="4"/>
      <c r="BT2653" s="4"/>
      <c r="BU2653" s="4"/>
      <c r="BV2653" s="4"/>
      <c r="BW2653" s="4"/>
      <c r="BX2653" s="4"/>
      <c r="BY2653" s="4"/>
      <c r="BZ2653" s="4"/>
      <c r="CA2653" s="4"/>
      <c r="CB2653" s="4"/>
      <c r="CC2653" s="4"/>
      <c r="CD2653" s="4"/>
      <c r="CE2653" s="4"/>
      <c r="CF2653" s="4"/>
      <c r="CG2653" s="4"/>
      <c r="CH2653" s="4"/>
      <c r="CI2653" s="4"/>
      <c r="CJ2653" s="4"/>
      <c r="CK2653" s="4"/>
      <c r="CL2653" s="4"/>
      <c r="CM2653" s="4"/>
      <c r="CN2653" s="4"/>
      <c r="CO2653" s="4"/>
      <c r="CP2653" s="4"/>
      <c r="CQ2653" s="4"/>
      <c r="CR2653" s="4"/>
      <c r="CS2653" s="4"/>
      <c r="CT2653" s="4"/>
      <c r="CU2653" s="4"/>
      <c r="CV2653" s="4"/>
      <c r="CW2653" s="4"/>
      <c r="CX2653" s="4"/>
      <c r="CY2653" s="4"/>
      <c r="CZ2653" s="4"/>
      <c r="DA2653" s="4"/>
      <c r="DB2653" s="4"/>
      <c r="DC2653" s="4"/>
      <c r="DD2653" s="4"/>
      <c r="DE2653" s="4"/>
      <c r="DF2653" s="4"/>
      <c r="DG2653" s="4"/>
      <c r="DH2653" s="4"/>
      <c r="DI2653" s="4"/>
      <c r="DJ2653" s="4"/>
      <c r="DK2653" s="4"/>
      <c r="DL2653" s="4"/>
      <c r="DM2653" s="4"/>
      <c r="DN2653" s="4"/>
      <c r="DO2653" s="4"/>
      <c r="DP2653" s="4"/>
      <c r="DQ2653" s="4"/>
      <c r="DR2653" s="4"/>
      <c r="DS2653" s="4"/>
    </row>
    <row r="2654">
      <c r="A2654" s="4"/>
      <c r="B2654" s="4"/>
      <c r="C2654" s="4"/>
      <c r="D2654" s="4"/>
      <c r="E2654" s="4"/>
      <c r="F2654" s="4" t="s">
        <v>17</v>
      </c>
      <c r="G2654" s="15"/>
      <c r="H2654" s="4"/>
      <c r="I2654" s="4"/>
      <c r="J2654" s="4"/>
      <c r="K2654" s="4"/>
      <c r="L2654" s="4"/>
      <c r="M2654" s="4"/>
      <c r="N2654" s="4"/>
      <c r="O2654" s="4"/>
      <c r="P2654" s="4"/>
      <c r="Q2654" s="4"/>
      <c r="R2654" s="4"/>
      <c r="S2654" s="4"/>
      <c r="T2654" s="4"/>
      <c r="U2654" s="4"/>
      <c r="V2654" s="4"/>
      <c r="W2654" s="4"/>
      <c r="X2654" s="4"/>
      <c r="Y2654" s="4"/>
      <c r="Z2654" s="4"/>
      <c r="AA2654" s="4"/>
      <c r="AB2654" s="4"/>
      <c r="AC2654" s="4"/>
      <c r="AD2654" s="4"/>
      <c r="AE2654" s="4"/>
      <c r="AF2654" s="4"/>
      <c r="AG2654" s="4"/>
      <c r="AH2654" s="4"/>
      <c r="AI2654" s="4"/>
      <c r="AJ2654" s="4"/>
      <c r="AK2654" s="4"/>
      <c r="AL2654" s="4"/>
      <c r="AM2654" s="4"/>
      <c r="AN2654" s="4"/>
      <c r="AO2654" s="4"/>
      <c r="AP2654" s="4"/>
      <c r="AQ2654" s="4"/>
      <c r="AR2654" s="4"/>
      <c r="AS2654" s="4"/>
      <c r="AT2654" s="4"/>
      <c r="AU2654" s="4"/>
      <c r="AV2654" s="4"/>
      <c r="AW2654" s="4"/>
      <c r="AX2654" s="4"/>
      <c r="AY2654" s="4"/>
      <c r="AZ2654" s="4"/>
      <c r="BA2654" s="4"/>
      <c r="BB2654" s="4"/>
      <c r="BC2654" s="4"/>
      <c r="BD2654" s="4"/>
      <c r="BE2654" s="4"/>
      <c r="BF2654" s="4"/>
      <c r="BG2654" s="4"/>
      <c r="BH2654" s="4"/>
      <c r="BI2654" s="4"/>
      <c r="BJ2654" s="4"/>
      <c r="BK2654" s="4"/>
      <c r="BL2654" s="4"/>
      <c r="BM2654" s="4"/>
      <c r="BN2654" s="4"/>
      <c r="BO2654" s="4"/>
      <c r="BP2654" s="4"/>
      <c r="BQ2654" s="4"/>
      <c r="BR2654" s="4"/>
      <c r="BS2654" s="4"/>
      <c r="BT2654" s="4"/>
      <c r="BU2654" s="4"/>
      <c r="BV2654" s="4"/>
      <c r="BW2654" s="4"/>
      <c r="BX2654" s="4"/>
      <c r="BY2654" s="4"/>
      <c r="BZ2654" s="4"/>
      <c r="CA2654" s="4"/>
      <c r="CB2654" s="4"/>
      <c r="CC2654" s="4"/>
      <c r="CD2654" s="4"/>
      <c r="CE2654" s="4"/>
      <c r="CF2654" s="4"/>
      <c r="CG2654" s="4"/>
      <c r="CH2654" s="4"/>
      <c r="CI2654" s="4"/>
      <c r="CJ2654" s="4"/>
      <c r="CK2654" s="4"/>
      <c r="CL2654" s="4"/>
      <c r="CM2654" s="4"/>
      <c r="CN2654" s="4"/>
      <c r="CO2654" s="4"/>
      <c r="CP2654" s="4"/>
      <c r="CQ2654" s="4"/>
      <c r="CR2654" s="4"/>
      <c r="CS2654" s="4"/>
      <c r="CT2654" s="4"/>
      <c r="CU2654" s="4"/>
      <c r="CV2654" s="4"/>
      <c r="CW2654" s="4"/>
      <c r="CX2654" s="4"/>
      <c r="CY2654" s="4"/>
      <c r="CZ2654" s="4"/>
      <c r="DA2654" s="4"/>
      <c r="DB2654" s="4"/>
      <c r="DC2654" s="4"/>
      <c r="DD2654" s="4"/>
      <c r="DE2654" s="4"/>
      <c r="DF2654" s="4"/>
      <c r="DG2654" s="4"/>
      <c r="DH2654" s="4"/>
      <c r="DI2654" s="4"/>
      <c r="DJ2654" s="4"/>
      <c r="DK2654" s="4"/>
      <c r="DL2654" s="4"/>
      <c r="DM2654" s="4"/>
      <c r="DN2654" s="4"/>
      <c r="DO2654" s="4"/>
      <c r="DP2654" s="4"/>
      <c r="DQ2654" s="4"/>
      <c r="DR2654" s="4"/>
      <c r="DS2654" s="4"/>
    </row>
    <row r="2655">
      <c r="A2655" s="4"/>
      <c r="B2655" s="4"/>
      <c r="C2655" s="4"/>
      <c r="D2655" s="4"/>
      <c r="E2655" s="4"/>
      <c r="F2655" s="4" t="s">
        <v>17</v>
      </c>
      <c r="G2655" s="15"/>
      <c r="H2655" s="4"/>
      <c r="I2655" s="4"/>
      <c r="J2655" s="4"/>
      <c r="K2655" s="4"/>
      <c r="L2655" s="4"/>
      <c r="M2655" s="4"/>
      <c r="N2655" s="4"/>
      <c r="O2655" s="4"/>
      <c r="P2655" s="4"/>
      <c r="Q2655" s="4"/>
      <c r="R2655" s="4"/>
      <c r="S2655" s="4"/>
      <c r="T2655" s="4"/>
      <c r="U2655" s="4"/>
      <c r="V2655" s="4"/>
      <c r="W2655" s="4"/>
      <c r="X2655" s="4"/>
      <c r="Y2655" s="4"/>
      <c r="Z2655" s="4"/>
      <c r="AA2655" s="4"/>
      <c r="AB2655" s="4"/>
      <c r="AC2655" s="4"/>
      <c r="AD2655" s="4"/>
      <c r="AE2655" s="4"/>
      <c r="AF2655" s="4"/>
      <c r="AG2655" s="4"/>
      <c r="AH2655" s="4"/>
      <c r="AI2655" s="4"/>
      <c r="AJ2655" s="4"/>
      <c r="AK2655" s="4"/>
      <c r="AL2655" s="4"/>
      <c r="AM2655" s="4"/>
      <c r="AN2655" s="4"/>
      <c r="AO2655" s="4"/>
      <c r="AP2655" s="4"/>
      <c r="AQ2655" s="4"/>
      <c r="AR2655" s="4"/>
      <c r="AS2655" s="4"/>
      <c r="AT2655" s="4"/>
      <c r="AU2655" s="4"/>
      <c r="AV2655" s="4"/>
      <c r="AW2655" s="4"/>
      <c r="AX2655" s="4"/>
      <c r="AY2655" s="4"/>
      <c r="AZ2655" s="4"/>
      <c r="BA2655" s="4"/>
      <c r="BB2655" s="4"/>
      <c r="BC2655" s="4"/>
      <c r="BD2655" s="4"/>
      <c r="BE2655" s="4"/>
      <c r="BF2655" s="4"/>
      <c r="BG2655" s="4"/>
      <c r="BH2655" s="4"/>
      <c r="BI2655" s="4"/>
      <c r="BJ2655" s="4"/>
      <c r="BK2655" s="4"/>
      <c r="BL2655" s="4"/>
      <c r="BM2655" s="4"/>
      <c r="BN2655" s="4"/>
      <c r="BO2655" s="4"/>
      <c r="BP2655" s="4"/>
      <c r="BQ2655" s="4"/>
      <c r="BR2655" s="4"/>
      <c r="BS2655" s="4"/>
      <c r="BT2655" s="4"/>
      <c r="BU2655" s="4"/>
      <c r="BV2655" s="4"/>
      <c r="BW2655" s="4"/>
      <c r="BX2655" s="4"/>
      <c r="BY2655" s="4"/>
      <c r="BZ2655" s="4"/>
      <c r="CA2655" s="4"/>
      <c r="CB2655" s="4"/>
      <c r="CC2655" s="4"/>
      <c r="CD2655" s="4"/>
      <c r="CE2655" s="4"/>
      <c r="CF2655" s="4"/>
      <c r="CG2655" s="4"/>
      <c r="CH2655" s="4"/>
      <c r="CI2655" s="4"/>
      <c r="CJ2655" s="4"/>
      <c r="CK2655" s="4"/>
      <c r="CL2655" s="4"/>
      <c r="CM2655" s="4"/>
      <c r="CN2655" s="4"/>
      <c r="CO2655" s="4"/>
      <c r="CP2655" s="4"/>
      <c r="CQ2655" s="4"/>
      <c r="CR2655" s="4"/>
      <c r="CS2655" s="4"/>
      <c r="CT2655" s="4"/>
      <c r="CU2655" s="4"/>
      <c r="CV2655" s="4"/>
      <c r="CW2655" s="4"/>
      <c r="CX2655" s="4"/>
      <c r="CY2655" s="4"/>
      <c r="CZ2655" s="4"/>
      <c r="DA2655" s="4"/>
      <c r="DB2655" s="4"/>
      <c r="DC2655" s="4"/>
      <c r="DD2655" s="4"/>
      <c r="DE2655" s="4"/>
      <c r="DF2655" s="4"/>
      <c r="DG2655" s="4"/>
      <c r="DH2655" s="4"/>
      <c r="DI2655" s="4"/>
      <c r="DJ2655" s="4"/>
      <c r="DK2655" s="4"/>
      <c r="DL2655" s="4"/>
      <c r="DM2655" s="4"/>
      <c r="DN2655" s="4"/>
      <c r="DO2655" s="4"/>
      <c r="DP2655" s="4"/>
      <c r="DQ2655" s="4"/>
      <c r="DR2655" s="4"/>
      <c r="DS2655" s="4"/>
    </row>
    <row r="2656">
      <c r="A2656" s="4"/>
      <c r="B2656" s="4"/>
      <c r="C2656" s="4"/>
      <c r="D2656" s="4"/>
      <c r="E2656" s="4"/>
      <c r="F2656" s="4" t="s">
        <v>17</v>
      </c>
      <c r="G2656" s="15"/>
      <c r="H2656" s="4"/>
      <c r="I2656" s="4"/>
      <c r="J2656" s="4"/>
      <c r="K2656" s="4"/>
      <c r="L2656" s="4"/>
      <c r="M2656" s="4"/>
      <c r="N2656" s="4"/>
      <c r="O2656" s="4"/>
      <c r="P2656" s="4"/>
      <c r="Q2656" s="4"/>
      <c r="R2656" s="4"/>
      <c r="S2656" s="4"/>
      <c r="T2656" s="4"/>
      <c r="U2656" s="4"/>
      <c r="V2656" s="4"/>
      <c r="W2656" s="4"/>
      <c r="X2656" s="4"/>
      <c r="Y2656" s="4"/>
      <c r="Z2656" s="4"/>
      <c r="AA2656" s="4"/>
      <c r="AB2656" s="4"/>
      <c r="AC2656" s="4"/>
      <c r="AD2656" s="4"/>
      <c r="AE2656" s="4"/>
      <c r="AF2656" s="4"/>
      <c r="AG2656" s="4"/>
      <c r="AH2656" s="4"/>
      <c r="AI2656" s="4"/>
      <c r="AJ2656" s="4"/>
      <c r="AK2656" s="4"/>
      <c r="AL2656" s="4"/>
      <c r="AM2656" s="4"/>
      <c r="AN2656" s="4"/>
      <c r="AO2656" s="4"/>
      <c r="AP2656" s="4"/>
      <c r="AQ2656" s="4"/>
      <c r="AR2656" s="4"/>
      <c r="AS2656" s="4"/>
      <c r="AT2656" s="4"/>
      <c r="AU2656" s="4"/>
      <c r="AV2656" s="4"/>
      <c r="AW2656" s="4"/>
      <c r="AX2656" s="4"/>
      <c r="AY2656" s="4"/>
      <c r="AZ2656" s="4"/>
      <c r="BA2656" s="4"/>
      <c r="BB2656" s="4"/>
      <c r="BC2656" s="4"/>
      <c r="BD2656" s="4"/>
      <c r="BE2656" s="4"/>
      <c r="BF2656" s="4"/>
      <c r="BG2656" s="4"/>
      <c r="BH2656" s="4"/>
      <c r="BI2656" s="4"/>
      <c r="BJ2656" s="4"/>
      <c r="BK2656" s="4"/>
      <c r="BL2656" s="4"/>
      <c r="BM2656" s="4"/>
      <c r="BN2656" s="4"/>
      <c r="BO2656" s="4"/>
      <c r="BP2656" s="4"/>
      <c r="BQ2656" s="4"/>
      <c r="BR2656" s="4"/>
      <c r="BS2656" s="4"/>
      <c r="BT2656" s="4"/>
      <c r="BU2656" s="4"/>
      <c r="BV2656" s="4"/>
      <c r="BW2656" s="4"/>
      <c r="BX2656" s="4"/>
      <c r="BY2656" s="4"/>
      <c r="BZ2656" s="4"/>
      <c r="CA2656" s="4"/>
      <c r="CB2656" s="4"/>
      <c r="CC2656" s="4"/>
      <c r="CD2656" s="4"/>
      <c r="CE2656" s="4"/>
      <c r="CF2656" s="4"/>
      <c r="CG2656" s="4"/>
      <c r="CH2656" s="4"/>
      <c r="CI2656" s="4"/>
      <c r="CJ2656" s="4"/>
      <c r="CK2656" s="4"/>
      <c r="CL2656" s="4"/>
      <c r="CM2656" s="4"/>
      <c r="CN2656" s="4"/>
      <c r="CO2656" s="4"/>
      <c r="CP2656" s="4"/>
      <c r="CQ2656" s="4"/>
      <c r="CR2656" s="4"/>
      <c r="CS2656" s="4"/>
      <c r="CT2656" s="4"/>
      <c r="CU2656" s="4"/>
      <c r="CV2656" s="4"/>
      <c r="CW2656" s="4"/>
      <c r="CX2656" s="4"/>
      <c r="CY2656" s="4"/>
      <c r="CZ2656" s="4"/>
      <c r="DA2656" s="4"/>
      <c r="DB2656" s="4"/>
      <c r="DC2656" s="4"/>
      <c r="DD2656" s="4"/>
      <c r="DE2656" s="4"/>
      <c r="DF2656" s="4"/>
      <c r="DG2656" s="4"/>
      <c r="DH2656" s="4"/>
      <c r="DI2656" s="4"/>
      <c r="DJ2656" s="4"/>
      <c r="DK2656" s="4"/>
      <c r="DL2656" s="4"/>
      <c r="DM2656" s="4"/>
      <c r="DN2656" s="4"/>
      <c r="DO2656" s="4"/>
      <c r="DP2656" s="4"/>
      <c r="DQ2656" s="4"/>
      <c r="DR2656" s="4"/>
      <c r="DS2656" s="4"/>
    </row>
    <row r="2657">
      <c r="A2657" s="4"/>
      <c r="B2657" s="4"/>
      <c r="C2657" s="4"/>
      <c r="D2657" s="4"/>
      <c r="E2657" s="4"/>
      <c r="F2657" s="4" t="s">
        <v>17</v>
      </c>
      <c r="G2657" s="15"/>
      <c r="H2657" s="4"/>
      <c r="I2657" s="4"/>
      <c r="J2657" s="4"/>
      <c r="K2657" s="4"/>
      <c r="L2657" s="4"/>
      <c r="M2657" s="4"/>
      <c r="N2657" s="4"/>
      <c r="O2657" s="4"/>
      <c r="P2657" s="4"/>
      <c r="Q2657" s="4"/>
      <c r="R2657" s="4"/>
      <c r="S2657" s="4"/>
      <c r="T2657" s="4"/>
      <c r="U2657" s="4"/>
      <c r="V2657" s="4"/>
      <c r="W2657" s="4"/>
      <c r="X2657" s="4"/>
      <c r="Y2657" s="4"/>
      <c r="Z2657" s="4"/>
      <c r="AA2657" s="4"/>
      <c r="AB2657" s="4"/>
      <c r="AC2657" s="4"/>
      <c r="AD2657" s="4"/>
      <c r="AE2657" s="4"/>
      <c r="AF2657" s="4"/>
      <c r="AG2657" s="4"/>
      <c r="AH2657" s="4"/>
      <c r="AI2657" s="4"/>
      <c r="AJ2657" s="4"/>
      <c r="AK2657" s="4"/>
      <c r="AL2657" s="4"/>
      <c r="AM2657" s="4"/>
      <c r="AN2657" s="4"/>
      <c r="AO2657" s="4"/>
      <c r="AP2657" s="4"/>
      <c r="AQ2657" s="4"/>
      <c r="AR2657" s="4"/>
      <c r="AS2657" s="4"/>
      <c r="AT2657" s="4"/>
      <c r="AU2657" s="4"/>
      <c r="AV2657" s="4"/>
      <c r="AW2657" s="4"/>
      <c r="AX2657" s="4"/>
      <c r="AY2657" s="4"/>
      <c r="AZ2657" s="4"/>
      <c r="BA2657" s="4"/>
      <c r="BB2657" s="4"/>
      <c r="BC2657" s="4"/>
      <c r="BD2657" s="4"/>
      <c r="BE2657" s="4"/>
      <c r="BF2657" s="4"/>
      <c r="BG2657" s="4"/>
      <c r="BH2657" s="4"/>
      <c r="BI2657" s="4"/>
      <c r="BJ2657" s="4"/>
      <c r="BK2657" s="4"/>
      <c r="BL2657" s="4"/>
      <c r="BM2657" s="4"/>
      <c r="BN2657" s="4"/>
      <c r="BO2657" s="4"/>
      <c r="BP2657" s="4"/>
      <c r="BQ2657" s="4"/>
      <c r="BR2657" s="4"/>
      <c r="BS2657" s="4"/>
      <c r="BT2657" s="4"/>
      <c r="BU2657" s="4"/>
      <c r="BV2657" s="4"/>
      <c r="BW2657" s="4"/>
      <c r="BX2657" s="4"/>
      <c r="BY2657" s="4"/>
      <c r="BZ2657" s="4"/>
      <c r="CA2657" s="4"/>
      <c r="CB2657" s="4"/>
      <c r="CC2657" s="4"/>
      <c r="CD2657" s="4"/>
      <c r="CE2657" s="4"/>
      <c r="CF2657" s="4"/>
      <c r="CG2657" s="4"/>
      <c r="CH2657" s="4"/>
      <c r="CI2657" s="4"/>
      <c r="CJ2657" s="4"/>
      <c r="CK2657" s="4"/>
      <c r="CL2657" s="4"/>
      <c r="CM2657" s="4"/>
      <c r="CN2657" s="4"/>
      <c r="CO2657" s="4"/>
      <c r="CP2657" s="4"/>
      <c r="CQ2657" s="4"/>
      <c r="CR2657" s="4"/>
      <c r="CS2657" s="4"/>
      <c r="CT2657" s="4"/>
      <c r="CU2657" s="4"/>
      <c r="CV2657" s="4"/>
      <c r="CW2657" s="4"/>
      <c r="CX2657" s="4"/>
      <c r="CY2657" s="4"/>
      <c r="CZ2657" s="4"/>
      <c r="DA2657" s="4"/>
      <c r="DB2657" s="4"/>
      <c r="DC2657" s="4"/>
      <c r="DD2657" s="4"/>
      <c r="DE2657" s="4"/>
      <c r="DF2657" s="4"/>
      <c r="DG2657" s="4"/>
      <c r="DH2657" s="4"/>
      <c r="DI2657" s="4"/>
      <c r="DJ2657" s="4"/>
      <c r="DK2657" s="4"/>
      <c r="DL2657" s="4"/>
      <c r="DM2657" s="4"/>
      <c r="DN2657" s="4"/>
      <c r="DO2657" s="4"/>
      <c r="DP2657" s="4"/>
      <c r="DQ2657" s="4"/>
      <c r="DR2657" s="4"/>
      <c r="DS2657" s="4"/>
    </row>
    <row r="2658">
      <c r="A2658" s="4"/>
      <c r="B2658" s="4"/>
      <c r="C2658" s="4"/>
      <c r="D2658" s="4"/>
      <c r="E2658" s="4"/>
      <c r="F2658" s="4" t="s">
        <v>17</v>
      </c>
      <c r="G2658" s="15"/>
      <c r="H2658" s="4"/>
      <c r="I2658" s="4"/>
      <c r="J2658" s="4"/>
      <c r="K2658" s="4"/>
      <c r="L2658" s="4"/>
      <c r="M2658" s="4"/>
      <c r="N2658" s="4"/>
      <c r="O2658" s="4"/>
      <c r="P2658" s="4"/>
      <c r="Q2658" s="4"/>
      <c r="R2658" s="4"/>
      <c r="S2658" s="4"/>
      <c r="T2658" s="4"/>
      <c r="U2658" s="4"/>
      <c r="V2658" s="4"/>
      <c r="W2658" s="4"/>
      <c r="X2658" s="4"/>
      <c r="Y2658" s="4"/>
      <c r="Z2658" s="4"/>
      <c r="AA2658" s="4"/>
      <c r="AB2658" s="4"/>
      <c r="AC2658" s="4"/>
      <c r="AD2658" s="4"/>
      <c r="AE2658" s="4"/>
      <c r="AF2658" s="4"/>
      <c r="AG2658" s="4"/>
      <c r="AH2658" s="4"/>
      <c r="AI2658" s="4"/>
      <c r="AJ2658" s="4"/>
      <c r="AK2658" s="4"/>
      <c r="AL2658" s="4"/>
      <c r="AM2658" s="4"/>
      <c r="AN2658" s="4"/>
      <c r="AO2658" s="4"/>
      <c r="AP2658" s="4"/>
      <c r="AQ2658" s="4"/>
      <c r="AR2658" s="4"/>
      <c r="AS2658" s="4"/>
      <c r="AT2658" s="4"/>
      <c r="AU2658" s="4"/>
      <c r="AV2658" s="4"/>
      <c r="AW2658" s="4"/>
      <c r="AX2658" s="4"/>
      <c r="AY2658" s="4"/>
      <c r="AZ2658" s="4"/>
      <c r="BA2658" s="4"/>
      <c r="BB2658" s="4"/>
      <c r="BC2658" s="4"/>
      <c r="BD2658" s="4"/>
      <c r="BE2658" s="4"/>
      <c r="BF2658" s="4"/>
      <c r="BG2658" s="4"/>
      <c r="BH2658" s="4"/>
      <c r="BI2658" s="4"/>
      <c r="BJ2658" s="4"/>
      <c r="BK2658" s="4"/>
      <c r="BL2658" s="4"/>
      <c r="BM2658" s="4"/>
      <c r="BN2658" s="4"/>
      <c r="BO2658" s="4"/>
      <c r="BP2658" s="4"/>
      <c r="BQ2658" s="4"/>
      <c r="BR2658" s="4"/>
      <c r="BS2658" s="4"/>
      <c r="BT2658" s="4"/>
      <c r="BU2658" s="4"/>
      <c r="BV2658" s="4"/>
      <c r="BW2658" s="4"/>
      <c r="BX2658" s="4"/>
      <c r="BY2658" s="4"/>
      <c r="BZ2658" s="4"/>
      <c r="CA2658" s="4"/>
      <c r="CB2658" s="4"/>
      <c r="CC2658" s="4"/>
      <c r="CD2658" s="4"/>
      <c r="CE2658" s="4"/>
      <c r="CF2658" s="4"/>
      <c r="CG2658" s="4"/>
      <c r="CH2658" s="4"/>
      <c r="CI2658" s="4"/>
      <c r="CJ2658" s="4"/>
      <c r="CK2658" s="4"/>
      <c r="CL2658" s="4"/>
      <c r="CM2658" s="4"/>
      <c r="CN2658" s="4"/>
      <c r="CO2658" s="4"/>
      <c r="CP2658" s="4"/>
      <c r="CQ2658" s="4"/>
      <c r="CR2658" s="4"/>
      <c r="CS2658" s="4"/>
      <c r="CT2658" s="4"/>
      <c r="CU2658" s="4"/>
      <c r="CV2658" s="4"/>
      <c r="CW2658" s="4"/>
      <c r="CX2658" s="4"/>
      <c r="CY2658" s="4"/>
      <c r="CZ2658" s="4"/>
      <c r="DA2658" s="4"/>
      <c r="DB2658" s="4"/>
      <c r="DC2658" s="4"/>
      <c r="DD2658" s="4"/>
      <c r="DE2658" s="4"/>
      <c r="DF2658" s="4"/>
      <c r="DG2658" s="4"/>
      <c r="DH2658" s="4"/>
      <c r="DI2658" s="4"/>
      <c r="DJ2658" s="4"/>
      <c r="DK2658" s="4"/>
      <c r="DL2658" s="4"/>
      <c r="DM2658" s="4"/>
      <c r="DN2658" s="4"/>
      <c r="DO2658" s="4"/>
      <c r="DP2658" s="4"/>
      <c r="DQ2658" s="4"/>
      <c r="DR2658" s="4"/>
      <c r="DS2658" s="4"/>
    </row>
    <row r="2659">
      <c r="A2659" s="4"/>
      <c r="B2659" s="4"/>
      <c r="C2659" s="4"/>
      <c r="D2659" s="4"/>
      <c r="E2659" s="4"/>
      <c r="F2659" s="4" t="s">
        <v>17</v>
      </c>
      <c r="G2659" s="15"/>
      <c r="H2659" s="4"/>
      <c r="I2659" s="4"/>
      <c r="J2659" s="4"/>
      <c r="K2659" s="4"/>
      <c r="L2659" s="4"/>
      <c r="M2659" s="4"/>
      <c r="N2659" s="4"/>
      <c r="O2659" s="4"/>
      <c r="P2659" s="4"/>
      <c r="Q2659" s="4"/>
      <c r="R2659" s="4"/>
      <c r="S2659" s="4"/>
      <c r="T2659" s="4"/>
      <c r="U2659" s="4"/>
      <c r="V2659" s="4"/>
      <c r="W2659" s="4"/>
      <c r="X2659" s="4"/>
      <c r="Y2659" s="4"/>
      <c r="Z2659" s="4"/>
      <c r="AA2659" s="4"/>
      <c r="AB2659" s="4"/>
      <c r="AC2659" s="4"/>
      <c r="AD2659" s="4"/>
      <c r="AE2659" s="4"/>
      <c r="AF2659" s="4"/>
      <c r="AG2659" s="4"/>
      <c r="AH2659" s="4"/>
      <c r="AI2659" s="4"/>
      <c r="AJ2659" s="4"/>
      <c r="AK2659" s="4"/>
      <c r="AL2659" s="4"/>
      <c r="AM2659" s="4"/>
      <c r="AN2659" s="4"/>
      <c r="AO2659" s="4"/>
      <c r="AP2659" s="4"/>
      <c r="AQ2659" s="4"/>
      <c r="AR2659" s="4"/>
      <c r="AS2659" s="4"/>
      <c r="AT2659" s="4"/>
      <c r="AU2659" s="4"/>
      <c r="AV2659" s="4"/>
      <c r="AW2659" s="4"/>
      <c r="AX2659" s="4"/>
      <c r="AY2659" s="4"/>
      <c r="AZ2659" s="4"/>
      <c r="BA2659" s="4"/>
      <c r="BB2659" s="4"/>
      <c r="BC2659" s="4"/>
      <c r="BD2659" s="4"/>
      <c r="BE2659" s="4"/>
      <c r="BF2659" s="4"/>
      <c r="BG2659" s="4"/>
      <c r="BH2659" s="4"/>
      <c r="BI2659" s="4"/>
      <c r="BJ2659" s="4"/>
      <c r="BK2659" s="4"/>
      <c r="BL2659" s="4"/>
      <c r="BM2659" s="4"/>
      <c r="BN2659" s="4"/>
      <c r="BO2659" s="4"/>
      <c r="BP2659" s="4"/>
      <c r="BQ2659" s="4"/>
      <c r="BR2659" s="4"/>
      <c r="BS2659" s="4"/>
      <c r="BT2659" s="4"/>
      <c r="BU2659" s="4"/>
      <c r="BV2659" s="4"/>
      <c r="BW2659" s="4"/>
      <c r="BX2659" s="4"/>
      <c r="BY2659" s="4"/>
      <c r="BZ2659" s="4"/>
      <c r="CA2659" s="4"/>
      <c r="CB2659" s="4"/>
      <c r="CC2659" s="4"/>
      <c r="CD2659" s="4"/>
      <c r="CE2659" s="4"/>
      <c r="CF2659" s="4"/>
      <c r="CG2659" s="4"/>
      <c r="CH2659" s="4"/>
      <c r="CI2659" s="4"/>
      <c r="CJ2659" s="4"/>
      <c r="CK2659" s="4"/>
      <c r="CL2659" s="4"/>
      <c r="CM2659" s="4"/>
      <c r="CN2659" s="4"/>
      <c r="CO2659" s="4"/>
      <c r="CP2659" s="4"/>
      <c r="CQ2659" s="4"/>
      <c r="CR2659" s="4"/>
      <c r="CS2659" s="4"/>
      <c r="CT2659" s="4"/>
      <c r="CU2659" s="4"/>
      <c r="CV2659" s="4"/>
      <c r="CW2659" s="4"/>
      <c r="CX2659" s="4"/>
      <c r="CY2659" s="4"/>
      <c r="CZ2659" s="4"/>
      <c r="DA2659" s="4"/>
      <c r="DB2659" s="4"/>
      <c r="DC2659" s="4"/>
      <c r="DD2659" s="4"/>
      <c r="DE2659" s="4"/>
      <c r="DF2659" s="4"/>
      <c r="DG2659" s="4"/>
      <c r="DH2659" s="4"/>
      <c r="DI2659" s="4"/>
      <c r="DJ2659" s="4"/>
      <c r="DK2659" s="4"/>
      <c r="DL2659" s="4"/>
      <c r="DM2659" s="4"/>
      <c r="DN2659" s="4"/>
      <c r="DO2659" s="4"/>
      <c r="DP2659" s="4"/>
      <c r="DQ2659" s="4"/>
      <c r="DR2659" s="4"/>
      <c r="DS2659" s="4"/>
    </row>
    <row r="2660">
      <c r="A2660" s="4"/>
      <c r="B2660" s="4"/>
      <c r="C2660" s="4"/>
      <c r="D2660" s="4"/>
      <c r="E2660" s="4"/>
      <c r="F2660" s="4" t="s">
        <v>17</v>
      </c>
      <c r="G2660" s="15"/>
      <c r="H2660" s="4"/>
      <c r="I2660" s="4"/>
      <c r="J2660" s="4"/>
      <c r="K2660" s="4"/>
      <c r="L2660" s="4"/>
      <c r="M2660" s="4"/>
      <c r="N2660" s="4"/>
      <c r="O2660" s="4"/>
      <c r="P2660" s="4"/>
      <c r="Q2660" s="4"/>
      <c r="R2660" s="4"/>
      <c r="S2660" s="4"/>
      <c r="T2660" s="4"/>
      <c r="U2660" s="4"/>
      <c r="V2660" s="4"/>
      <c r="W2660" s="4"/>
      <c r="X2660" s="4"/>
      <c r="Y2660" s="4"/>
      <c r="Z2660" s="4"/>
      <c r="AA2660" s="4"/>
      <c r="AB2660" s="4"/>
      <c r="AC2660" s="4"/>
      <c r="AD2660" s="4"/>
      <c r="AE2660" s="4"/>
      <c r="AF2660" s="4"/>
      <c r="AG2660" s="4"/>
      <c r="AH2660" s="4"/>
      <c r="AI2660" s="4"/>
      <c r="AJ2660" s="4"/>
      <c r="AK2660" s="4"/>
      <c r="AL2660" s="4"/>
      <c r="AM2660" s="4"/>
      <c r="AN2660" s="4"/>
      <c r="AO2660" s="4"/>
      <c r="AP2660" s="4"/>
      <c r="AQ2660" s="4"/>
      <c r="AR2660" s="4"/>
      <c r="AS2660" s="4"/>
      <c r="AT2660" s="4"/>
      <c r="AU2660" s="4"/>
      <c r="AV2660" s="4"/>
      <c r="AW2660" s="4"/>
      <c r="AX2660" s="4"/>
      <c r="AY2660" s="4"/>
      <c r="AZ2660" s="4"/>
      <c r="BA2660" s="4"/>
      <c r="BB2660" s="4"/>
      <c r="BC2660" s="4"/>
      <c r="BD2660" s="4"/>
      <c r="BE2660" s="4"/>
      <c r="BF2660" s="4"/>
      <c r="BG2660" s="4"/>
      <c r="BH2660" s="4"/>
      <c r="BI2660" s="4"/>
      <c r="BJ2660" s="4"/>
      <c r="BK2660" s="4"/>
      <c r="BL2660" s="4"/>
      <c r="BM2660" s="4"/>
      <c r="BN2660" s="4"/>
      <c r="BO2660" s="4"/>
      <c r="BP2660" s="4"/>
      <c r="BQ2660" s="4"/>
      <c r="BR2660" s="4"/>
      <c r="BS2660" s="4"/>
      <c r="BT2660" s="4"/>
      <c r="BU2660" s="4"/>
      <c r="BV2660" s="4"/>
      <c r="BW2660" s="4"/>
      <c r="BX2660" s="4"/>
      <c r="BY2660" s="4"/>
      <c r="BZ2660" s="4"/>
      <c r="CA2660" s="4"/>
      <c r="CB2660" s="4"/>
      <c r="CC2660" s="4"/>
      <c r="CD2660" s="4"/>
      <c r="CE2660" s="4"/>
      <c r="CF2660" s="4"/>
      <c r="CG2660" s="4"/>
      <c r="CH2660" s="4"/>
      <c r="CI2660" s="4"/>
      <c r="CJ2660" s="4"/>
      <c r="CK2660" s="4"/>
      <c r="CL2660" s="4"/>
      <c r="CM2660" s="4"/>
      <c r="CN2660" s="4"/>
      <c r="CO2660" s="4"/>
      <c r="CP2660" s="4"/>
      <c r="CQ2660" s="4"/>
      <c r="CR2660" s="4"/>
      <c r="CS2660" s="4"/>
      <c r="CT2660" s="4"/>
      <c r="CU2660" s="4"/>
      <c r="CV2660" s="4"/>
      <c r="CW2660" s="4"/>
      <c r="CX2660" s="4"/>
      <c r="CY2660" s="4"/>
      <c r="CZ2660" s="4"/>
      <c r="DA2660" s="4"/>
      <c r="DB2660" s="4"/>
      <c r="DC2660" s="4"/>
      <c r="DD2660" s="4"/>
      <c r="DE2660" s="4"/>
      <c r="DF2660" s="4"/>
      <c r="DG2660" s="4"/>
      <c r="DH2660" s="4"/>
      <c r="DI2660" s="4"/>
      <c r="DJ2660" s="4"/>
      <c r="DK2660" s="4"/>
      <c r="DL2660" s="4"/>
      <c r="DM2660" s="4"/>
      <c r="DN2660" s="4"/>
      <c r="DO2660" s="4"/>
      <c r="DP2660" s="4"/>
      <c r="DQ2660" s="4"/>
      <c r="DR2660" s="4"/>
      <c r="DS2660" s="4"/>
    </row>
    <row r="2661">
      <c r="A2661" s="4"/>
      <c r="B2661" s="4"/>
      <c r="C2661" s="4"/>
      <c r="D2661" s="4"/>
      <c r="E2661" s="4"/>
      <c r="F2661" s="4" t="s">
        <v>17</v>
      </c>
      <c r="G2661" s="15"/>
      <c r="H2661" s="4"/>
      <c r="I2661" s="4"/>
      <c r="J2661" s="4"/>
      <c r="K2661" s="4"/>
      <c r="L2661" s="4"/>
      <c r="M2661" s="4"/>
      <c r="N2661" s="4"/>
      <c r="O2661" s="4"/>
      <c r="P2661" s="4"/>
      <c r="Q2661" s="4"/>
      <c r="R2661" s="4"/>
      <c r="S2661" s="4"/>
      <c r="T2661" s="4"/>
      <c r="U2661" s="4"/>
      <c r="V2661" s="4"/>
      <c r="W2661" s="4"/>
      <c r="X2661" s="4"/>
      <c r="Y2661" s="4"/>
      <c r="Z2661" s="4"/>
      <c r="AA2661" s="4"/>
      <c r="AB2661" s="4"/>
      <c r="AC2661" s="4"/>
      <c r="AD2661" s="4"/>
      <c r="AE2661" s="4"/>
      <c r="AF2661" s="4"/>
      <c r="AG2661" s="4"/>
      <c r="AH2661" s="4"/>
      <c r="AI2661" s="4"/>
      <c r="AJ2661" s="4"/>
      <c r="AK2661" s="4"/>
      <c r="AL2661" s="4"/>
      <c r="AM2661" s="4"/>
      <c r="AN2661" s="4"/>
      <c r="AO2661" s="4"/>
      <c r="AP2661" s="4"/>
      <c r="AQ2661" s="4"/>
      <c r="AR2661" s="4"/>
      <c r="AS2661" s="4"/>
      <c r="AT2661" s="4"/>
      <c r="AU2661" s="4"/>
      <c r="AV2661" s="4"/>
      <c r="AW2661" s="4"/>
      <c r="AX2661" s="4"/>
      <c r="AY2661" s="4"/>
      <c r="AZ2661" s="4"/>
      <c r="BA2661" s="4"/>
      <c r="BB2661" s="4"/>
      <c r="BC2661" s="4"/>
      <c r="BD2661" s="4"/>
      <c r="BE2661" s="4"/>
      <c r="BF2661" s="4"/>
      <c r="BG2661" s="4"/>
      <c r="BH2661" s="4"/>
      <c r="BI2661" s="4"/>
      <c r="BJ2661" s="4"/>
      <c r="BK2661" s="4"/>
      <c r="BL2661" s="4"/>
      <c r="BM2661" s="4"/>
      <c r="BN2661" s="4"/>
      <c r="BO2661" s="4"/>
      <c r="BP2661" s="4"/>
      <c r="BQ2661" s="4"/>
      <c r="BR2661" s="4"/>
      <c r="BS2661" s="4"/>
      <c r="BT2661" s="4"/>
      <c r="BU2661" s="4"/>
      <c r="BV2661" s="4"/>
      <c r="BW2661" s="4"/>
      <c r="BX2661" s="4"/>
      <c r="BY2661" s="4"/>
      <c r="BZ2661" s="4"/>
      <c r="CA2661" s="4"/>
      <c r="CB2661" s="4"/>
      <c r="CC2661" s="4"/>
      <c r="CD2661" s="4"/>
      <c r="CE2661" s="4"/>
      <c r="CF2661" s="4"/>
      <c r="CG2661" s="4"/>
      <c r="CH2661" s="4"/>
      <c r="CI2661" s="4"/>
      <c r="CJ2661" s="4"/>
      <c r="CK2661" s="4"/>
      <c r="CL2661" s="4"/>
      <c r="CM2661" s="4"/>
      <c r="CN2661" s="4"/>
      <c r="CO2661" s="4"/>
      <c r="CP2661" s="4"/>
      <c r="CQ2661" s="4"/>
      <c r="CR2661" s="4"/>
      <c r="CS2661" s="4"/>
      <c r="CT2661" s="4"/>
      <c r="CU2661" s="4"/>
      <c r="CV2661" s="4"/>
      <c r="CW2661" s="4"/>
      <c r="CX2661" s="4"/>
      <c r="CY2661" s="4"/>
      <c r="CZ2661" s="4"/>
      <c r="DA2661" s="4"/>
      <c r="DB2661" s="4"/>
      <c r="DC2661" s="4"/>
      <c r="DD2661" s="4"/>
      <c r="DE2661" s="4"/>
      <c r="DF2661" s="4"/>
      <c r="DG2661" s="4"/>
      <c r="DH2661" s="4"/>
      <c r="DI2661" s="4"/>
      <c r="DJ2661" s="4"/>
      <c r="DK2661" s="4"/>
      <c r="DL2661" s="4"/>
      <c r="DM2661" s="4"/>
      <c r="DN2661" s="4"/>
      <c r="DO2661" s="4"/>
      <c r="DP2661" s="4"/>
      <c r="DQ2661" s="4"/>
      <c r="DR2661" s="4"/>
      <c r="DS2661" s="4"/>
    </row>
    <row r="2662">
      <c r="A2662" s="4"/>
      <c r="B2662" s="4"/>
      <c r="C2662" s="4"/>
      <c r="D2662" s="4"/>
      <c r="E2662" s="4"/>
      <c r="F2662" s="4" t="s">
        <v>17</v>
      </c>
      <c r="G2662" s="15"/>
      <c r="H2662" s="4"/>
      <c r="I2662" s="4"/>
      <c r="J2662" s="4"/>
      <c r="K2662" s="4"/>
      <c r="L2662" s="4"/>
      <c r="M2662" s="4"/>
      <c r="N2662" s="4"/>
      <c r="O2662" s="4"/>
      <c r="P2662" s="4"/>
      <c r="Q2662" s="4"/>
      <c r="R2662" s="4"/>
      <c r="S2662" s="4"/>
      <c r="T2662" s="4"/>
      <c r="U2662" s="4"/>
      <c r="V2662" s="4"/>
      <c r="W2662" s="4"/>
      <c r="X2662" s="4"/>
      <c r="Y2662" s="4"/>
      <c r="Z2662" s="4"/>
      <c r="AA2662" s="4"/>
      <c r="AB2662" s="4"/>
      <c r="AC2662" s="4"/>
      <c r="AD2662" s="4"/>
      <c r="AE2662" s="4"/>
      <c r="AF2662" s="4"/>
      <c r="AG2662" s="4"/>
      <c r="AH2662" s="4"/>
      <c r="AI2662" s="4"/>
      <c r="AJ2662" s="4"/>
      <c r="AK2662" s="4"/>
      <c r="AL2662" s="4"/>
      <c r="AM2662" s="4"/>
      <c r="AN2662" s="4"/>
      <c r="AO2662" s="4"/>
      <c r="AP2662" s="4"/>
      <c r="AQ2662" s="4"/>
      <c r="AR2662" s="4"/>
      <c r="AS2662" s="4"/>
      <c r="AT2662" s="4"/>
      <c r="AU2662" s="4"/>
      <c r="AV2662" s="4"/>
      <c r="AW2662" s="4"/>
      <c r="AX2662" s="4"/>
      <c r="AY2662" s="4"/>
      <c r="AZ2662" s="4"/>
      <c r="BA2662" s="4"/>
      <c r="BB2662" s="4"/>
      <c r="BC2662" s="4"/>
      <c r="BD2662" s="4"/>
      <c r="BE2662" s="4"/>
      <c r="BF2662" s="4"/>
      <c r="BG2662" s="4"/>
      <c r="BH2662" s="4"/>
      <c r="BI2662" s="4"/>
      <c r="BJ2662" s="4"/>
      <c r="BK2662" s="4"/>
      <c r="BL2662" s="4"/>
      <c r="BM2662" s="4"/>
      <c r="BN2662" s="4"/>
      <c r="BO2662" s="4"/>
      <c r="BP2662" s="4"/>
      <c r="BQ2662" s="4"/>
      <c r="BR2662" s="4"/>
      <c r="BS2662" s="4"/>
      <c r="BT2662" s="4"/>
      <c r="BU2662" s="4"/>
      <c r="BV2662" s="4"/>
      <c r="BW2662" s="4"/>
      <c r="BX2662" s="4"/>
      <c r="BY2662" s="4"/>
      <c r="BZ2662" s="4"/>
      <c r="CA2662" s="4"/>
      <c r="CB2662" s="4"/>
      <c r="CC2662" s="4"/>
      <c r="CD2662" s="4"/>
      <c r="CE2662" s="4"/>
      <c r="CF2662" s="4"/>
      <c r="CG2662" s="4"/>
      <c r="CH2662" s="4"/>
      <c r="CI2662" s="4"/>
      <c r="CJ2662" s="4"/>
      <c r="CK2662" s="4"/>
      <c r="CL2662" s="4"/>
      <c r="CM2662" s="4"/>
      <c r="CN2662" s="4"/>
      <c r="CO2662" s="4"/>
      <c r="CP2662" s="4"/>
      <c r="CQ2662" s="4"/>
      <c r="CR2662" s="4"/>
      <c r="CS2662" s="4"/>
      <c r="CT2662" s="4"/>
      <c r="CU2662" s="4"/>
      <c r="CV2662" s="4"/>
      <c r="CW2662" s="4"/>
      <c r="CX2662" s="4"/>
      <c r="CY2662" s="4"/>
      <c r="CZ2662" s="4"/>
      <c r="DA2662" s="4"/>
      <c r="DB2662" s="4"/>
      <c r="DC2662" s="4"/>
      <c r="DD2662" s="4"/>
      <c r="DE2662" s="4"/>
      <c r="DF2662" s="4"/>
      <c r="DG2662" s="4"/>
      <c r="DH2662" s="4"/>
      <c r="DI2662" s="4"/>
      <c r="DJ2662" s="4"/>
      <c r="DK2662" s="4"/>
      <c r="DL2662" s="4"/>
      <c r="DM2662" s="4"/>
      <c r="DN2662" s="4"/>
      <c r="DO2662" s="4"/>
      <c r="DP2662" s="4"/>
      <c r="DQ2662" s="4"/>
      <c r="DR2662" s="4"/>
      <c r="DS2662" s="4"/>
    </row>
    <row r="2663">
      <c r="A2663" s="4"/>
      <c r="B2663" s="4"/>
      <c r="C2663" s="4"/>
      <c r="D2663" s="4"/>
      <c r="E2663" s="4"/>
      <c r="F2663" s="4" t="s">
        <v>17</v>
      </c>
      <c r="G2663" s="15"/>
      <c r="H2663" s="4"/>
      <c r="I2663" s="4"/>
      <c r="J2663" s="4"/>
      <c r="K2663" s="4"/>
      <c r="L2663" s="4"/>
      <c r="M2663" s="4"/>
      <c r="N2663" s="4"/>
      <c r="O2663" s="4"/>
      <c r="P2663" s="4"/>
      <c r="Q2663" s="4"/>
      <c r="R2663" s="4"/>
      <c r="S2663" s="4"/>
      <c r="T2663" s="4"/>
      <c r="U2663" s="4"/>
      <c r="V2663" s="4"/>
      <c r="W2663" s="4"/>
      <c r="X2663" s="4"/>
      <c r="Y2663" s="4"/>
      <c r="Z2663" s="4"/>
      <c r="AA2663" s="4"/>
      <c r="AB2663" s="4"/>
      <c r="AC2663" s="4"/>
      <c r="AD2663" s="4"/>
      <c r="AE2663" s="4"/>
      <c r="AF2663" s="4"/>
      <c r="AG2663" s="4"/>
      <c r="AH2663" s="4"/>
      <c r="AI2663" s="4"/>
      <c r="AJ2663" s="4"/>
      <c r="AK2663" s="4"/>
      <c r="AL2663" s="4"/>
      <c r="AM2663" s="4"/>
      <c r="AN2663" s="4"/>
      <c r="AO2663" s="4"/>
      <c r="AP2663" s="4"/>
      <c r="AQ2663" s="4"/>
      <c r="AR2663" s="4"/>
      <c r="AS2663" s="4"/>
      <c r="AT2663" s="4"/>
      <c r="AU2663" s="4"/>
      <c r="AV2663" s="4"/>
      <c r="AW2663" s="4"/>
      <c r="AX2663" s="4"/>
      <c r="AY2663" s="4"/>
      <c r="AZ2663" s="4"/>
      <c r="BA2663" s="4"/>
      <c r="BB2663" s="4"/>
      <c r="BC2663" s="4"/>
      <c r="BD2663" s="4"/>
      <c r="BE2663" s="4"/>
      <c r="BF2663" s="4"/>
      <c r="BG2663" s="4"/>
      <c r="BH2663" s="4"/>
      <c r="BI2663" s="4"/>
      <c r="BJ2663" s="4"/>
      <c r="BK2663" s="4"/>
      <c r="BL2663" s="4"/>
      <c r="BM2663" s="4"/>
      <c r="BN2663" s="4"/>
      <c r="BO2663" s="4"/>
      <c r="BP2663" s="4"/>
      <c r="BQ2663" s="4"/>
      <c r="BR2663" s="4"/>
      <c r="BS2663" s="4"/>
      <c r="BT2663" s="4"/>
      <c r="BU2663" s="4"/>
      <c r="BV2663" s="4"/>
      <c r="BW2663" s="4"/>
      <c r="BX2663" s="4"/>
      <c r="BY2663" s="4"/>
      <c r="BZ2663" s="4"/>
      <c r="CA2663" s="4"/>
      <c r="CB2663" s="4"/>
      <c r="CC2663" s="4"/>
      <c r="CD2663" s="4"/>
      <c r="CE2663" s="4"/>
      <c r="CF2663" s="4"/>
      <c r="CG2663" s="4"/>
      <c r="CH2663" s="4"/>
      <c r="CI2663" s="4"/>
      <c r="CJ2663" s="4"/>
      <c r="CK2663" s="4"/>
      <c r="CL2663" s="4"/>
      <c r="CM2663" s="4"/>
      <c r="CN2663" s="4"/>
      <c r="CO2663" s="4"/>
      <c r="CP2663" s="4"/>
      <c r="CQ2663" s="4"/>
      <c r="CR2663" s="4"/>
      <c r="CS2663" s="4"/>
      <c r="CT2663" s="4"/>
      <c r="CU2663" s="4"/>
      <c r="CV2663" s="4"/>
      <c r="CW2663" s="4"/>
      <c r="CX2663" s="4"/>
      <c r="CY2663" s="4"/>
      <c r="CZ2663" s="4"/>
      <c r="DA2663" s="4"/>
      <c r="DB2663" s="4"/>
      <c r="DC2663" s="4"/>
      <c r="DD2663" s="4"/>
      <c r="DE2663" s="4"/>
      <c r="DF2663" s="4"/>
      <c r="DG2663" s="4"/>
      <c r="DH2663" s="4"/>
      <c r="DI2663" s="4"/>
      <c r="DJ2663" s="4"/>
      <c r="DK2663" s="4"/>
      <c r="DL2663" s="4"/>
      <c r="DM2663" s="4"/>
      <c r="DN2663" s="4"/>
      <c r="DO2663" s="4"/>
      <c r="DP2663" s="4"/>
      <c r="DQ2663" s="4"/>
      <c r="DR2663" s="4"/>
      <c r="DS2663" s="4"/>
    </row>
    <row r="2664">
      <c r="A2664" s="4"/>
      <c r="B2664" s="4"/>
      <c r="C2664" s="4"/>
      <c r="D2664" s="4"/>
      <c r="E2664" s="4"/>
      <c r="F2664" s="4" t="s">
        <v>17</v>
      </c>
      <c r="G2664" s="15"/>
      <c r="H2664" s="4"/>
      <c r="I2664" s="4"/>
      <c r="J2664" s="4"/>
      <c r="K2664" s="4"/>
      <c r="L2664" s="4"/>
      <c r="M2664" s="4"/>
      <c r="N2664" s="4"/>
      <c r="O2664" s="4"/>
      <c r="P2664" s="4"/>
      <c r="Q2664" s="4"/>
      <c r="R2664" s="4"/>
      <c r="S2664" s="4"/>
      <c r="T2664" s="4"/>
      <c r="U2664" s="4"/>
      <c r="V2664" s="4"/>
      <c r="W2664" s="4"/>
      <c r="X2664" s="4"/>
      <c r="Y2664" s="4"/>
      <c r="Z2664" s="4"/>
      <c r="AA2664" s="4"/>
      <c r="AB2664" s="4"/>
      <c r="AC2664" s="4"/>
      <c r="AD2664" s="4"/>
      <c r="AE2664" s="4"/>
      <c r="AF2664" s="4"/>
      <c r="AG2664" s="4"/>
      <c r="AH2664" s="4"/>
      <c r="AI2664" s="4"/>
      <c r="AJ2664" s="4"/>
      <c r="AK2664" s="4"/>
      <c r="AL2664" s="4"/>
      <c r="AM2664" s="4"/>
      <c r="AN2664" s="4"/>
      <c r="AO2664" s="4"/>
      <c r="AP2664" s="4"/>
      <c r="AQ2664" s="4"/>
      <c r="AR2664" s="4"/>
      <c r="AS2664" s="4"/>
      <c r="AT2664" s="4"/>
      <c r="AU2664" s="4"/>
      <c r="AV2664" s="4"/>
      <c r="AW2664" s="4"/>
      <c r="AX2664" s="4"/>
      <c r="AY2664" s="4"/>
      <c r="AZ2664" s="4"/>
      <c r="BA2664" s="4"/>
      <c r="BB2664" s="4"/>
      <c r="BC2664" s="4"/>
      <c r="BD2664" s="4"/>
      <c r="BE2664" s="4"/>
      <c r="BF2664" s="4"/>
      <c r="BG2664" s="4"/>
      <c r="BH2664" s="4"/>
      <c r="BI2664" s="4"/>
      <c r="BJ2664" s="4"/>
      <c r="BK2664" s="4"/>
      <c r="BL2664" s="4"/>
      <c r="BM2664" s="4"/>
      <c r="BN2664" s="4"/>
      <c r="BO2664" s="4"/>
      <c r="BP2664" s="4"/>
      <c r="BQ2664" s="4"/>
      <c r="BR2664" s="4"/>
      <c r="BS2664" s="4"/>
      <c r="BT2664" s="4"/>
      <c r="BU2664" s="4"/>
      <c r="BV2664" s="4"/>
      <c r="BW2664" s="4"/>
      <c r="BX2664" s="4"/>
      <c r="BY2664" s="4"/>
      <c r="BZ2664" s="4"/>
      <c r="CA2664" s="4"/>
      <c r="CB2664" s="4"/>
      <c r="CC2664" s="4"/>
      <c r="CD2664" s="4"/>
      <c r="CE2664" s="4"/>
      <c r="CF2664" s="4"/>
      <c r="CG2664" s="4"/>
      <c r="CH2664" s="4"/>
      <c r="CI2664" s="4"/>
      <c r="CJ2664" s="4"/>
      <c r="CK2664" s="4"/>
      <c r="CL2664" s="4"/>
      <c r="CM2664" s="4"/>
      <c r="CN2664" s="4"/>
      <c r="CO2664" s="4"/>
      <c r="CP2664" s="4"/>
      <c r="CQ2664" s="4"/>
      <c r="CR2664" s="4"/>
      <c r="CS2664" s="4"/>
      <c r="CT2664" s="4"/>
      <c r="CU2664" s="4"/>
      <c r="CV2664" s="4"/>
      <c r="CW2664" s="4"/>
      <c r="CX2664" s="4"/>
      <c r="CY2664" s="4"/>
      <c r="CZ2664" s="4"/>
      <c r="DA2664" s="4"/>
      <c r="DB2664" s="4"/>
      <c r="DC2664" s="4"/>
      <c r="DD2664" s="4"/>
      <c r="DE2664" s="4"/>
      <c r="DF2664" s="4"/>
      <c r="DG2664" s="4"/>
      <c r="DH2664" s="4"/>
      <c r="DI2664" s="4"/>
      <c r="DJ2664" s="4"/>
      <c r="DK2664" s="4"/>
      <c r="DL2664" s="4"/>
      <c r="DM2664" s="4"/>
      <c r="DN2664" s="4"/>
      <c r="DO2664" s="4"/>
      <c r="DP2664" s="4"/>
      <c r="DQ2664" s="4"/>
      <c r="DR2664" s="4"/>
      <c r="DS2664" s="4"/>
    </row>
    <row r="2665">
      <c r="A2665" s="4"/>
      <c r="B2665" s="4"/>
      <c r="C2665" s="4"/>
      <c r="D2665" s="4"/>
      <c r="E2665" s="4"/>
      <c r="F2665" s="4" t="s">
        <v>17</v>
      </c>
      <c r="G2665" s="15"/>
      <c r="H2665" s="4"/>
      <c r="I2665" s="4"/>
      <c r="J2665" s="4"/>
      <c r="K2665" s="4"/>
      <c r="L2665" s="4"/>
      <c r="M2665" s="4"/>
      <c r="N2665" s="4"/>
      <c r="O2665" s="4"/>
      <c r="P2665" s="4"/>
      <c r="Q2665" s="4"/>
      <c r="R2665" s="4"/>
      <c r="S2665" s="4"/>
      <c r="T2665" s="4"/>
      <c r="U2665" s="4"/>
      <c r="V2665" s="4"/>
      <c r="W2665" s="4"/>
      <c r="X2665" s="4"/>
      <c r="Y2665" s="4"/>
      <c r="Z2665" s="4"/>
      <c r="AA2665" s="4"/>
      <c r="AB2665" s="4"/>
      <c r="AC2665" s="4"/>
      <c r="AD2665" s="4"/>
      <c r="AE2665" s="4"/>
      <c r="AF2665" s="4"/>
      <c r="AG2665" s="4"/>
      <c r="AH2665" s="4"/>
      <c r="AI2665" s="4"/>
      <c r="AJ2665" s="4"/>
      <c r="AK2665" s="4"/>
      <c r="AL2665" s="4"/>
      <c r="AM2665" s="4"/>
      <c r="AN2665" s="4"/>
      <c r="AO2665" s="4"/>
      <c r="AP2665" s="4"/>
      <c r="AQ2665" s="4"/>
      <c r="AR2665" s="4"/>
      <c r="AS2665" s="4"/>
      <c r="AT2665" s="4"/>
      <c r="AU2665" s="4"/>
      <c r="AV2665" s="4"/>
      <c r="AW2665" s="4"/>
      <c r="AX2665" s="4"/>
      <c r="AY2665" s="4"/>
      <c r="AZ2665" s="4"/>
      <c r="BA2665" s="4"/>
      <c r="BB2665" s="4"/>
      <c r="BC2665" s="4"/>
      <c r="BD2665" s="4"/>
      <c r="BE2665" s="4"/>
      <c r="BF2665" s="4"/>
      <c r="BG2665" s="4"/>
      <c r="BH2665" s="4"/>
      <c r="BI2665" s="4"/>
      <c r="BJ2665" s="4"/>
      <c r="BK2665" s="4"/>
      <c r="BL2665" s="4"/>
      <c r="BM2665" s="4"/>
      <c r="BN2665" s="4"/>
      <c r="BO2665" s="4"/>
      <c r="BP2665" s="4"/>
      <c r="BQ2665" s="4"/>
      <c r="BR2665" s="4"/>
      <c r="BS2665" s="4"/>
      <c r="BT2665" s="4"/>
      <c r="BU2665" s="4"/>
      <c r="BV2665" s="4"/>
      <c r="BW2665" s="4"/>
      <c r="BX2665" s="4"/>
      <c r="BY2665" s="4"/>
      <c r="BZ2665" s="4"/>
      <c r="CA2665" s="4"/>
      <c r="CB2665" s="4"/>
      <c r="CC2665" s="4"/>
      <c r="CD2665" s="4"/>
      <c r="CE2665" s="4"/>
      <c r="CF2665" s="4"/>
      <c r="CG2665" s="4"/>
      <c r="CH2665" s="4"/>
      <c r="CI2665" s="4"/>
      <c r="CJ2665" s="4"/>
      <c r="CK2665" s="4"/>
      <c r="CL2665" s="4"/>
      <c r="CM2665" s="4"/>
      <c r="CN2665" s="4"/>
      <c r="CO2665" s="4"/>
      <c r="CP2665" s="4"/>
      <c r="CQ2665" s="4"/>
      <c r="CR2665" s="4"/>
      <c r="CS2665" s="4"/>
      <c r="CT2665" s="4"/>
      <c r="CU2665" s="4"/>
      <c r="CV2665" s="4"/>
      <c r="CW2665" s="4"/>
      <c r="CX2665" s="4"/>
      <c r="CY2665" s="4"/>
      <c r="CZ2665" s="4"/>
      <c r="DA2665" s="4"/>
      <c r="DB2665" s="4"/>
      <c r="DC2665" s="4"/>
      <c r="DD2665" s="4"/>
      <c r="DE2665" s="4"/>
      <c r="DF2665" s="4"/>
      <c r="DG2665" s="4"/>
      <c r="DH2665" s="4"/>
      <c r="DI2665" s="4"/>
      <c r="DJ2665" s="4"/>
      <c r="DK2665" s="4"/>
      <c r="DL2665" s="4"/>
      <c r="DM2665" s="4"/>
      <c r="DN2665" s="4"/>
      <c r="DO2665" s="4"/>
      <c r="DP2665" s="4"/>
      <c r="DQ2665" s="4"/>
      <c r="DR2665" s="4"/>
      <c r="DS2665" s="4"/>
    </row>
    <row r="2666">
      <c r="A2666" s="4"/>
      <c r="B2666" s="4"/>
      <c r="C2666" s="4"/>
      <c r="D2666" s="4"/>
      <c r="E2666" s="4"/>
      <c r="F2666" s="4" t="s">
        <v>17</v>
      </c>
      <c r="G2666" s="15"/>
      <c r="H2666" s="4"/>
      <c r="I2666" s="4"/>
      <c r="J2666" s="4"/>
      <c r="K2666" s="4"/>
      <c r="L2666" s="4"/>
      <c r="M2666" s="4"/>
      <c r="N2666" s="4"/>
      <c r="O2666" s="4"/>
      <c r="P2666" s="4"/>
      <c r="Q2666" s="4"/>
      <c r="R2666" s="4"/>
      <c r="S2666" s="4"/>
      <c r="T2666" s="4"/>
      <c r="U2666" s="4"/>
      <c r="V2666" s="4"/>
      <c r="W2666" s="4"/>
      <c r="X2666" s="4"/>
      <c r="Y2666" s="4"/>
      <c r="Z2666" s="4"/>
      <c r="AA2666" s="4"/>
      <c r="AB2666" s="4"/>
      <c r="AC2666" s="4"/>
      <c r="AD2666" s="4"/>
      <c r="AE2666" s="4"/>
      <c r="AF2666" s="4"/>
      <c r="AG2666" s="4"/>
      <c r="AH2666" s="4"/>
      <c r="AI2666" s="4"/>
      <c r="AJ2666" s="4"/>
      <c r="AK2666" s="4"/>
      <c r="AL2666" s="4"/>
      <c r="AM2666" s="4"/>
      <c r="AN2666" s="4"/>
      <c r="AO2666" s="4"/>
      <c r="AP2666" s="4"/>
      <c r="AQ2666" s="4"/>
      <c r="AR2666" s="4"/>
      <c r="AS2666" s="4"/>
      <c r="AT2666" s="4"/>
      <c r="AU2666" s="4"/>
      <c r="AV2666" s="4"/>
      <c r="AW2666" s="4"/>
      <c r="AX2666" s="4"/>
      <c r="AY2666" s="4"/>
      <c r="AZ2666" s="4"/>
      <c r="BA2666" s="4"/>
      <c r="BB2666" s="4"/>
      <c r="BC2666" s="4"/>
      <c r="BD2666" s="4"/>
      <c r="BE2666" s="4"/>
      <c r="BF2666" s="4"/>
      <c r="BG2666" s="4"/>
      <c r="BH2666" s="4"/>
      <c r="BI2666" s="4"/>
      <c r="BJ2666" s="4"/>
      <c r="BK2666" s="4"/>
      <c r="BL2666" s="4"/>
      <c r="BM2666" s="4"/>
      <c r="BN2666" s="4"/>
      <c r="BO2666" s="4"/>
      <c r="BP2666" s="4"/>
      <c r="BQ2666" s="4"/>
      <c r="BR2666" s="4"/>
      <c r="BS2666" s="4"/>
      <c r="BT2666" s="4"/>
      <c r="BU2666" s="4"/>
      <c r="BV2666" s="4"/>
      <c r="BW2666" s="4"/>
      <c r="BX2666" s="4"/>
      <c r="BY2666" s="4"/>
      <c r="BZ2666" s="4"/>
      <c r="CA2666" s="4"/>
      <c r="CB2666" s="4"/>
      <c r="CC2666" s="4"/>
      <c r="CD2666" s="4"/>
      <c r="CE2666" s="4"/>
      <c r="CF2666" s="4"/>
      <c r="CG2666" s="4"/>
      <c r="CH2666" s="4"/>
      <c r="CI2666" s="4"/>
      <c r="CJ2666" s="4"/>
      <c r="CK2666" s="4"/>
      <c r="CL2666" s="4"/>
      <c r="CM2666" s="4"/>
      <c r="CN2666" s="4"/>
      <c r="CO2666" s="4"/>
      <c r="CP2666" s="4"/>
      <c r="CQ2666" s="4"/>
      <c r="CR2666" s="4"/>
      <c r="CS2666" s="4"/>
      <c r="CT2666" s="4"/>
      <c r="CU2666" s="4"/>
      <c r="CV2666" s="4"/>
      <c r="CW2666" s="4"/>
      <c r="CX2666" s="4"/>
      <c r="CY2666" s="4"/>
      <c r="CZ2666" s="4"/>
      <c r="DA2666" s="4"/>
      <c r="DB2666" s="4"/>
      <c r="DC2666" s="4"/>
      <c r="DD2666" s="4"/>
      <c r="DE2666" s="4"/>
      <c r="DF2666" s="4"/>
      <c r="DG2666" s="4"/>
      <c r="DH2666" s="4"/>
      <c r="DI2666" s="4"/>
      <c r="DJ2666" s="4"/>
      <c r="DK2666" s="4"/>
      <c r="DL2666" s="4"/>
      <c r="DM2666" s="4"/>
      <c r="DN2666" s="4"/>
      <c r="DO2666" s="4"/>
      <c r="DP2666" s="4"/>
      <c r="DQ2666" s="4"/>
      <c r="DR2666" s="4"/>
      <c r="DS2666" s="4"/>
    </row>
    <row r="2667">
      <c r="A2667" s="4"/>
      <c r="B2667" s="4"/>
      <c r="C2667" s="4"/>
      <c r="D2667" s="4"/>
      <c r="E2667" s="4"/>
      <c r="F2667" s="4" t="s">
        <v>17</v>
      </c>
      <c r="G2667" s="15"/>
      <c r="H2667" s="4"/>
      <c r="I2667" s="4"/>
      <c r="J2667" s="4"/>
      <c r="K2667" s="4"/>
      <c r="L2667" s="4"/>
      <c r="M2667" s="4"/>
      <c r="N2667" s="4"/>
      <c r="O2667" s="4"/>
      <c r="P2667" s="4"/>
      <c r="Q2667" s="4"/>
      <c r="R2667" s="4"/>
      <c r="S2667" s="4"/>
      <c r="T2667" s="4"/>
      <c r="U2667" s="4"/>
      <c r="V2667" s="4"/>
      <c r="W2667" s="4"/>
      <c r="X2667" s="4"/>
      <c r="Y2667" s="4"/>
      <c r="Z2667" s="4"/>
      <c r="AA2667" s="4"/>
      <c r="AB2667" s="4"/>
      <c r="AC2667" s="4"/>
      <c r="AD2667" s="4"/>
      <c r="AE2667" s="4"/>
      <c r="AF2667" s="4"/>
      <c r="AG2667" s="4"/>
      <c r="AH2667" s="4"/>
      <c r="AI2667" s="4"/>
      <c r="AJ2667" s="4"/>
      <c r="AK2667" s="4"/>
      <c r="AL2667" s="4"/>
      <c r="AM2667" s="4"/>
      <c r="AN2667" s="4"/>
      <c r="AO2667" s="4"/>
      <c r="AP2667" s="4"/>
      <c r="AQ2667" s="4"/>
      <c r="AR2667" s="4"/>
      <c r="AS2667" s="4"/>
      <c r="AT2667" s="4"/>
      <c r="AU2667" s="4"/>
      <c r="AV2667" s="4"/>
      <c r="AW2667" s="4"/>
      <c r="AX2667" s="4"/>
      <c r="AY2667" s="4"/>
      <c r="AZ2667" s="4"/>
      <c r="BA2667" s="4"/>
      <c r="BB2667" s="4"/>
      <c r="BC2667" s="4"/>
      <c r="BD2667" s="4"/>
      <c r="BE2667" s="4"/>
      <c r="BF2667" s="4"/>
      <c r="BG2667" s="4"/>
      <c r="BH2667" s="4"/>
      <c r="BI2667" s="4"/>
      <c r="BJ2667" s="4"/>
      <c r="BK2667" s="4"/>
      <c r="BL2667" s="4"/>
      <c r="BM2667" s="4"/>
      <c r="BN2667" s="4"/>
      <c r="BO2667" s="4"/>
      <c r="BP2667" s="4"/>
      <c r="BQ2667" s="4"/>
      <c r="BR2667" s="4"/>
      <c r="BS2667" s="4"/>
      <c r="BT2667" s="4"/>
      <c r="BU2667" s="4"/>
      <c r="BV2667" s="4"/>
      <c r="BW2667" s="4"/>
      <c r="BX2667" s="4"/>
      <c r="BY2667" s="4"/>
      <c r="BZ2667" s="4"/>
      <c r="CA2667" s="4"/>
      <c r="CB2667" s="4"/>
      <c r="CC2667" s="4"/>
      <c r="CD2667" s="4"/>
      <c r="CE2667" s="4"/>
      <c r="CF2667" s="4"/>
      <c r="CG2667" s="4"/>
      <c r="CH2667" s="4"/>
      <c r="CI2667" s="4"/>
      <c r="CJ2667" s="4"/>
      <c r="CK2667" s="4"/>
      <c r="CL2667" s="4"/>
      <c r="CM2667" s="4"/>
      <c r="CN2667" s="4"/>
      <c r="CO2667" s="4"/>
      <c r="CP2667" s="4"/>
      <c r="CQ2667" s="4"/>
      <c r="CR2667" s="4"/>
      <c r="CS2667" s="4"/>
      <c r="CT2667" s="4"/>
      <c r="CU2667" s="4"/>
      <c r="CV2667" s="4"/>
      <c r="CW2667" s="4"/>
      <c r="CX2667" s="4"/>
      <c r="CY2667" s="4"/>
      <c r="CZ2667" s="4"/>
      <c r="DA2667" s="4"/>
      <c r="DB2667" s="4"/>
      <c r="DC2667" s="4"/>
      <c r="DD2667" s="4"/>
      <c r="DE2667" s="4"/>
      <c r="DF2667" s="4"/>
      <c r="DG2667" s="4"/>
      <c r="DH2667" s="4"/>
      <c r="DI2667" s="4"/>
      <c r="DJ2667" s="4"/>
      <c r="DK2667" s="4"/>
      <c r="DL2667" s="4"/>
      <c r="DM2667" s="4"/>
      <c r="DN2667" s="4"/>
      <c r="DO2667" s="4"/>
      <c r="DP2667" s="4"/>
      <c r="DQ2667" s="4"/>
      <c r="DR2667" s="4"/>
      <c r="DS2667" s="4"/>
    </row>
    <row r="2668">
      <c r="A2668" s="4"/>
      <c r="B2668" s="4"/>
      <c r="C2668" s="4"/>
      <c r="D2668" s="4"/>
      <c r="E2668" s="4"/>
      <c r="F2668" s="4" t="s">
        <v>17</v>
      </c>
      <c r="G2668" s="15"/>
      <c r="H2668" s="4"/>
      <c r="I2668" s="4"/>
      <c r="J2668" s="4"/>
      <c r="K2668" s="4"/>
      <c r="L2668" s="4"/>
      <c r="M2668" s="4"/>
      <c r="N2668" s="4"/>
      <c r="O2668" s="4"/>
      <c r="P2668" s="4"/>
      <c r="Q2668" s="4"/>
      <c r="R2668" s="4"/>
      <c r="S2668" s="4"/>
      <c r="T2668" s="4"/>
      <c r="U2668" s="4"/>
      <c r="V2668" s="4"/>
      <c r="W2668" s="4"/>
      <c r="X2668" s="4"/>
      <c r="Y2668" s="4"/>
      <c r="Z2668" s="4"/>
      <c r="AA2668" s="4"/>
      <c r="AB2668" s="4"/>
      <c r="AC2668" s="4"/>
      <c r="AD2668" s="4"/>
      <c r="AE2668" s="4"/>
      <c r="AF2668" s="4"/>
      <c r="AG2668" s="4"/>
      <c r="AH2668" s="4"/>
      <c r="AI2668" s="4"/>
      <c r="AJ2668" s="4"/>
      <c r="AK2668" s="4"/>
      <c r="AL2668" s="4"/>
      <c r="AM2668" s="4"/>
      <c r="AN2668" s="4"/>
      <c r="AO2668" s="4"/>
      <c r="AP2668" s="4"/>
      <c r="AQ2668" s="4"/>
      <c r="AR2668" s="4"/>
      <c r="AS2668" s="4"/>
      <c r="AT2668" s="4"/>
      <c r="AU2668" s="4"/>
      <c r="AV2668" s="4"/>
      <c r="AW2668" s="4"/>
      <c r="AX2668" s="4"/>
      <c r="AY2668" s="4"/>
      <c r="AZ2668" s="4"/>
      <c r="BA2668" s="4"/>
      <c r="BB2668" s="4"/>
      <c r="BC2668" s="4"/>
      <c r="BD2668" s="4"/>
      <c r="BE2668" s="4"/>
      <c r="BF2668" s="4"/>
      <c r="BG2668" s="4"/>
      <c r="BH2668" s="4"/>
      <c r="BI2668" s="4"/>
      <c r="BJ2668" s="4"/>
      <c r="BK2668" s="4"/>
      <c r="BL2668" s="4"/>
      <c r="BM2668" s="4"/>
      <c r="BN2668" s="4"/>
      <c r="BO2668" s="4"/>
      <c r="BP2668" s="4"/>
      <c r="BQ2668" s="4"/>
      <c r="BR2668" s="4"/>
      <c r="BS2668" s="4"/>
      <c r="BT2668" s="4"/>
      <c r="BU2668" s="4"/>
      <c r="BV2668" s="4"/>
      <c r="BW2668" s="4"/>
      <c r="BX2668" s="4"/>
      <c r="BY2668" s="4"/>
      <c r="BZ2668" s="4"/>
      <c r="CA2668" s="4"/>
      <c r="CB2668" s="4"/>
      <c r="CC2668" s="4"/>
      <c r="CD2668" s="4"/>
      <c r="CE2668" s="4"/>
      <c r="CF2668" s="4"/>
      <c r="CG2668" s="4"/>
      <c r="CH2668" s="4"/>
      <c r="CI2668" s="4"/>
      <c r="CJ2668" s="4"/>
      <c r="CK2668" s="4"/>
      <c r="CL2668" s="4"/>
      <c r="CM2668" s="4"/>
      <c r="CN2668" s="4"/>
      <c r="CO2668" s="4"/>
      <c r="CP2668" s="4"/>
      <c r="CQ2668" s="4"/>
      <c r="CR2668" s="4"/>
      <c r="CS2668" s="4"/>
      <c r="CT2668" s="4"/>
      <c r="CU2668" s="4"/>
      <c r="CV2668" s="4"/>
      <c r="CW2668" s="4"/>
      <c r="CX2668" s="4"/>
      <c r="CY2668" s="4"/>
      <c r="CZ2668" s="4"/>
      <c r="DA2668" s="4"/>
      <c r="DB2668" s="4"/>
      <c r="DC2668" s="4"/>
      <c r="DD2668" s="4"/>
      <c r="DE2668" s="4"/>
      <c r="DF2668" s="4"/>
      <c r="DG2668" s="4"/>
      <c r="DH2668" s="4"/>
      <c r="DI2668" s="4"/>
      <c r="DJ2668" s="4"/>
      <c r="DK2668" s="4"/>
      <c r="DL2668" s="4"/>
      <c r="DM2668" s="4"/>
      <c r="DN2668" s="4"/>
      <c r="DO2668" s="4"/>
      <c r="DP2668" s="4"/>
      <c r="DQ2668" s="4"/>
      <c r="DR2668" s="4"/>
      <c r="DS2668" s="4"/>
    </row>
    <row r="2669">
      <c r="A2669" s="4"/>
      <c r="B2669" s="4"/>
      <c r="C2669" s="4"/>
      <c r="D2669" s="4"/>
      <c r="E2669" s="4"/>
      <c r="F2669" s="4" t="s">
        <v>17</v>
      </c>
      <c r="G2669" s="15"/>
      <c r="H2669" s="4"/>
      <c r="I2669" s="4"/>
      <c r="J2669" s="4"/>
      <c r="K2669" s="4"/>
      <c r="L2669" s="4"/>
      <c r="M2669" s="4"/>
      <c r="N2669" s="4"/>
      <c r="O2669" s="4"/>
      <c r="P2669" s="4"/>
      <c r="Q2669" s="4"/>
      <c r="R2669" s="4"/>
      <c r="S2669" s="4"/>
      <c r="T2669" s="4"/>
      <c r="U2669" s="4"/>
      <c r="V2669" s="4"/>
      <c r="W2669" s="4"/>
      <c r="X2669" s="4"/>
      <c r="Y2669" s="4"/>
      <c r="Z2669" s="4"/>
      <c r="AA2669" s="4"/>
      <c r="AB2669" s="4"/>
      <c r="AC2669" s="4"/>
      <c r="AD2669" s="4"/>
      <c r="AE2669" s="4"/>
      <c r="AF2669" s="4"/>
      <c r="AG2669" s="4"/>
      <c r="AH2669" s="4"/>
      <c r="AI2669" s="4"/>
      <c r="AJ2669" s="4"/>
      <c r="AK2669" s="4"/>
      <c r="AL2669" s="4"/>
      <c r="AM2669" s="4"/>
      <c r="AN2669" s="4"/>
      <c r="AO2669" s="4"/>
      <c r="AP2669" s="4"/>
      <c r="AQ2669" s="4"/>
      <c r="AR2669" s="4"/>
      <c r="AS2669" s="4"/>
      <c r="AT2669" s="4"/>
      <c r="AU2669" s="4"/>
      <c r="AV2669" s="4"/>
      <c r="AW2669" s="4"/>
      <c r="AX2669" s="4"/>
      <c r="AY2669" s="4"/>
      <c r="AZ2669" s="4"/>
      <c r="BA2669" s="4"/>
      <c r="BB2669" s="4"/>
      <c r="BC2669" s="4"/>
      <c r="BD2669" s="4"/>
      <c r="BE2669" s="4"/>
      <c r="BF2669" s="4"/>
      <c r="BG2669" s="4"/>
      <c r="BH2669" s="4"/>
      <c r="BI2669" s="4"/>
      <c r="BJ2669" s="4"/>
      <c r="BK2669" s="4"/>
      <c r="BL2669" s="4"/>
      <c r="BM2669" s="4"/>
      <c r="BN2669" s="4"/>
      <c r="BO2669" s="4"/>
      <c r="BP2669" s="4"/>
      <c r="BQ2669" s="4"/>
      <c r="BR2669" s="4"/>
      <c r="BS2669" s="4"/>
      <c r="BT2669" s="4"/>
      <c r="BU2669" s="4"/>
      <c r="BV2669" s="4"/>
      <c r="BW2669" s="4"/>
      <c r="BX2669" s="4"/>
      <c r="BY2669" s="4"/>
      <c r="BZ2669" s="4"/>
      <c r="CA2669" s="4"/>
      <c r="CB2669" s="4"/>
      <c r="CC2669" s="4"/>
      <c r="CD2669" s="4"/>
      <c r="CE2669" s="4"/>
      <c r="CF2669" s="4"/>
      <c r="CG2669" s="4"/>
      <c r="CH2669" s="4"/>
      <c r="CI2669" s="4"/>
      <c r="CJ2669" s="4"/>
      <c r="CK2669" s="4"/>
      <c r="CL2669" s="4"/>
      <c r="CM2669" s="4"/>
      <c r="CN2669" s="4"/>
      <c r="CO2669" s="4"/>
      <c r="CP2669" s="4"/>
      <c r="CQ2669" s="4"/>
      <c r="CR2669" s="4"/>
      <c r="CS2669" s="4"/>
      <c r="CT2669" s="4"/>
      <c r="CU2669" s="4"/>
      <c r="CV2669" s="4"/>
      <c r="CW2669" s="4"/>
      <c r="CX2669" s="4"/>
      <c r="CY2669" s="4"/>
      <c r="CZ2669" s="4"/>
      <c r="DA2669" s="4"/>
      <c r="DB2669" s="4"/>
      <c r="DC2669" s="4"/>
      <c r="DD2669" s="4"/>
      <c r="DE2669" s="4"/>
      <c r="DF2669" s="4"/>
      <c r="DG2669" s="4"/>
      <c r="DH2669" s="4"/>
      <c r="DI2669" s="4"/>
      <c r="DJ2669" s="4"/>
      <c r="DK2669" s="4"/>
      <c r="DL2669" s="4"/>
      <c r="DM2669" s="4"/>
      <c r="DN2669" s="4"/>
      <c r="DO2669" s="4"/>
      <c r="DP2669" s="4"/>
      <c r="DQ2669" s="4"/>
      <c r="DR2669" s="4"/>
      <c r="DS2669" s="4"/>
    </row>
    <row r="2670">
      <c r="A2670" s="4"/>
      <c r="B2670" s="4"/>
      <c r="C2670" s="4"/>
      <c r="D2670" s="4"/>
      <c r="E2670" s="4"/>
      <c r="F2670" s="4" t="s">
        <v>17</v>
      </c>
      <c r="G2670" s="15"/>
      <c r="H2670" s="4"/>
      <c r="I2670" s="4"/>
      <c r="J2670" s="4"/>
      <c r="K2670" s="4"/>
      <c r="L2670" s="4"/>
      <c r="M2670" s="4"/>
      <c r="N2670" s="4"/>
      <c r="O2670" s="4"/>
      <c r="P2670" s="4"/>
      <c r="Q2670" s="4"/>
      <c r="R2670" s="4"/>
      <c r="S2670" s="4"/>
      <c r="T2670" s="4"/>
      <c r="U2670" s="4"/>
      <c r="V2670" s="4"/>
      <c r="W2670" s="4"/>
      <c r="X2670" s="4"/>
      <c r="Y2670" s="4"/>
      <c r="Z2670" s="4"/>
      <c r="AA2670" s="4"/>
      <c r="AB2670" s="4"/>
      <c r="AC2670" s="4"/>
      <c r="AD2670" s="4"/>
      <c r="AE2670" s="4"/>
      <c r="AF2670" s="4"/>
      <c r="AG2670" s="4"/>
      <c r="AH2670" s="4"/>
      <c r="AI2670" s="4"/>
      <c r="AJ2670" s="4"/>
      <c r="AK2670" s="4"/>
      <c r="AL2670" s="4"/>
      <c r="AM2670" s="4"/>
      <c r="AN2670" s="4"/>
      <c r="AO2670" s="4"/>
      <c r="AP2670" s="4"/>
      <c r="AQ2670" s="4"/>
      <c r="AR2670" s="4"/>
      <c r="AS2670" s="4"/>
      <c r="AT2670" s="4"/>
      <c r="AU2670" s="4"/>
      <c r="AV2670" s="4"/>
      <c r="AW2670" s="4"/>
      <c r="AX2670" s="4"/>
      <c r="AY2670" s="4"/>
      <c r="AZ2670" s="4"/>
      <c r="BA2670" s="4"/>
      <c r="BB2670" s="4"/>
      <c r="BC2670" s="4"/>
      <c r="BD2670" s="4"/>
      <c r="BE2670" s="4"/>
      <c r="BF2670" s="4"/>
      <c r="BG2670" s="4"/>
      <c r="BH2670" s="4"/>
      <c r="BI2670" s="4"/>
      <c r="BJ2670" s="4"/>
      <c r="BK2670" s="4"/>
      <c r="BL2670" s="4"/>
      <c r="BM2670" s="4"/>
      <c r="BN2670" s="4"/>
      <c r="BO2670" s="4"/>
      <c r="BP2670" s="4"/>
      <c r="BQ2670" s="4"/>
      <c r="BR2670" s="4"/>
      <c r="BS2670" s="4"/>
      <c r="BT2670" s="4"/>
      <c r="BU2670" s="4"/>
      <c r="BV2670" s="4"/>
      <c r="BW2670" s="4"/>
      <c r="BX2670" s="4"/>
      <c r="BY2670" s="4"/>
      <c r="BZ2670" s="4"/>
      <c r="CA2670" s="4"/>
      <c r="CB2670" s="4"/>
      <c r="CC2670" s="4"/>
      <c r="CD2670" s="4"/>
      <c r="CE2670" s="4"/>
      <c r="CF2670" s="4"/>
      <c r="CG2670" s="4"/>
      <c r="CH2670" s="4"/>
      <c r="CI2670" s="4"/>
      <c r="CJ2670" s="4"/>
      <c r="CK2670" s="4"/>
      <c r="CL2670" s="4"/>
      <c r="CM2670" s="4"/>
      <c r="CN2670" s="4"/>
      <c r="CO2670" s="4"/>
      <c r="CP2670" s="4"/>
      <c r="CQ2670" s="4"/>
      <c r="CR2670" s="4"/>
      <c r="CS2670" s="4"/>
      <c r="CT2670" s="4"/>
      <c r="CU2670" s="4"/>
      <c r="CV2670" s="4"/>
      <c r="CW2670" s="4"/>
      <c r="CX2670" s="4"/>
      <c r="CY2670" s="4"/>
      <c r="CZ2670" s="4"/>
      <c r="DA2670" s="4"/>
      <c r="DB2670" s="4"/>
      <c r="DC2670" s="4"/>
      <c r="DD2670" s="4"/>
      <c r="DE2670" s="4"/>
      <c r="DF2670" s="4"/>
      <c r="DG2670" s="4"/>
      <c r="DH2670" s="4"/>
      <c r="DI2670" s="4"/>
      <c r="DJ2670" s="4"/>
      <c r="DK2670" s="4"/>
      <c r="DL2670" s="4"/>
      <c r="DM2670" s="4"/>
      <c r="DN2670" s="4"/>
      <c r="DO2670" s="4"/>
      <c r="DP2670" s="4"/>
      <c r="DQ2670" s="4"/>
      <c r="DR2670" s="4"/>
      <c r="DS2670" s="4"/>
    </row>
    <row r="2671">
      <c r="A2671" s="4"/>
      <c r="B2671" s="4"/>
      <c r="C2671" s="4"/>
      <c r="D2671" s="4"/>
      <c r="E2671" s="4"/>
      <c r="F2671" s="4" t="s">
        <v>17</v>
      </c>
      <c r="G2671" s="15"/>
      <c r="H2671" s="4"/>
      <c r="I2671" s="4"/>
      <c r="J2671" s="4"/>
      <c r="K2671" s="4"/>
      <c r="L2671" s="4"/>
      <c r="M2671" s="4"/>
      <c r="N2671" s="4"/>
      <c r="O2671" s="4"/>
      <c r="P2671" s="4"/>
      <c r="Q2671" s="4"/>
      <c r="R2671" s="4"/>
      <c r="S2671" s="4"/>
      <c r="T2671" s="4"/>
      <c r="U2671" s="4"/>
      <c r="V2671" s="4"/>
      <c r="W2671" s="4"/>
      <c r="X2671" s="4"/>
      <c r="Y2671" s="4"/>
      <c r="Z2671" s="4"/>
      <c r="AA2671" s="4"/>
      <c r="AB2671" s="4"/>
      <c r="AC2671" s="4"/>
      <c r="AD2671" s="4"/>
      <c r="AE2671" s="4"/>
      <c r="AF2671" s="4"/>
      <c r="AG2671" s="4"/>
      <c r="AH2671" s="4"/>
      <c r="AI2671" s="4"/>
      <c r="AJ2671" s="4"/>
      <c r="AK2671" s="4"/>
      <c r="AL2671" s="4"/>
      <c r="AM2671" s="4"/>
      <c r="AN2671" s="4"/>
      <c r="AO2671" s="4"/>
      <c r="AP2671" s="4"/>
      <c r="AQ2671" s="4"/>
      <c r="AR2671" s="4"/>
      <c r="AS2671" s="4"/>
      <c r="AT2671" s="4"/>
      <c r="AU2671" s="4"/>
      <c r="AV2671" s="4"/>
      <c r="AW2671" s="4"/>
      <c r="AX2671" s="4"/>
      <c r="AY2671" s="4"/>
      <c r="AZ2671" s="4"/>
      <c r="BA2671" s="4"/>
      <c r="BB2671" s="4"/>
      <c r="BC2671" s="4"/>
      <c r="BD2671" s="4"/>
      <c r="BE2671" s="4"/>
      <c r="BF2671" s="4"/>
      <c r="BG2671" s="4"/>
      <c r="BH2671" s="4"/>
      <c r="BI2671" s="4"/>
      <c r="BJ2671" s="4"/>
      <c r="BK2671" s="4"/>
      <c r="BL2671" s="4"/>
      <c r="BM2671" s="4"/>
      <c r="BN2671" s="4"/>
      <c r="BO2671" s="4"/>
      <c r="BP2671" s="4"/>
      <c r="BQ2671" s="4"/>
      <c r="BR2671" s="4"/>
      <c r="BS2671" s="4"/>
      <c r="BT2671" s="4"/>
      <c r="BU2671" s="4"/>
      <c r="BV2671" s="4"/>
      <c r="BW2671" s="4"/>
      <c r="BX2671" s="4"/>
      <c r="BY2671" s="4"/>
      <c r="BZ2671" s="4"/>
      <c r="CA2671" s="4"/>
      <c r="CB2671" s="4"/>
      <c r="CC2671" s="4"/>
      <c r="CD2671" s="4"/>
      <c r="CE2671" s="4"/>
      <c r="CF2671" s="4"/>
      <c r="CG2671" s="4"/>
      <c r="CH2671" s="4"/>
      <c r="CI2671" s="4"/>
      <c r="CJ2671" s="4"/>
      <c r="CK2671" s="4"/>
      <c r="CL2671" s="4"/>
      <c r="CM2671" s="4"/>
      <c r="CN2671" s="4"/>
      <c r="CO2671" s="4"/>
      <c r="CP2671" s="4"/>
      <c r="CQ2671" s="4"/>
      <c r="CR2671" s="4"/>
      <c r="CS2671" s="4"/>
      <c r="CT2671" s="4"/>
      <c r="CU2671" s="4"/>
      <c r="CV2671" s="4"/>
      <c r="CW2671" s="4"/>
      <c r="CX2671" s="4"/>
      <c r="CY2671" s="4"/>
      <c r="CZ2671" s="4"/>
      <c r="DA2671" s="4"/>
      <c r="DB2671" s="4"/>
      <c r="DC2671" s="4"/>
      <c r="DD2671" s="4"/>
      <c r="DE2671" s="4"/>
      <c r="DF2671" s="4"/>
      <c r="DG2671" s="4"/>
      <c r="DH2671" s="4"/>
      <c r="DI2671" s="4"/>
      <c r="DJ2671" s="4"/>
      <c r="DK2671" s="4"/>
      <c r="DL2671" s="4"/>
      <c r="DM2671" s="4"/>
      <c r="DN2671" s="4"/>
      <c r="DO2671" s="4"/>
      <c r="DP2671" s="4"/>
      <c r="DQ2671" s="4"/>
      <c r="DR2671" s="4"/>
      <c r="DS2671" s="4"/>
    </row>
    <row r="2672">
      <c r="A2672" s="4"/>
      <c r="B2672" s="4"/>
      <c r="C2672" s="4"/>
      <c r="D2672" s="4"/>
      <c r="E2672" s="4"/>
      <c r="F2672" s="4" t="s">
        <v>17</v>
      </c>
      <c r="G2672" s="15"/>
      <c r="H2672" s="4"/>
      <c r="I2672" s="4"/>
      <c r="J2672" s="4"/>
      <c r="K2672" s="4"/>
      <c r="L2672" s="4"/>
      <c r="M2672" s="4"/>
      <c r="N2672" s="4"/>
      <c r="O2672" s="4"/>
      <c r="P2672" s="4"/>
      <c r="Q2672" s="4"/>
      <c r="R2672" s="4"/>
      <c r="S2672" s="4"/>
      <c r="T2672" s="4"/>
      <c r="U2672" s="4"/>
      <c r="V2672" s="4"/>
      <c r="W2672" s="4"/>
      <c r="X2672" s="4"/>
      <c r="Y2672" s="4"/>
      <c r="Z2672" s="4"/>
      <c r="AA2672" s="4"/>
      <c r="AB2672" s="4"/>
      <c r="AC2672" s="4"/>
      <c r="AD2672" s="4"/>
      <c r="AE2672" s="4"/>
      <c r="AF2672" s="4"/>
      <c r="AG2672" s="4"/>
      <c r="AH2672" s="4"/>
      <c r="AI2672" s="4"/>
      <c r="AJ2672" s="4"/>
      <c r="AK2672" s="4"/>
      <c r="AL2672" s="4"/>
      <c r="AM2672" s="4"/>
      <c r="AN2672" s="4"/>
      <c r="AO2672" s="4"/>
      <c r="AP2672" s="4"/>
      <c r="AQ2672" s="4"/>
      <c r="AR2672" s="4"/>
      <c r="AS2672" s="4"/>
      <c r="AT2672" s="4"/>
      <c r="AU2672" s="4"/>
      <c r="AV2672" s="4"/>
      <c r="AW2672" s="4"/>
      <c r="AX2672" s="4"/>
      <c r="AY2672" s="4"/>
      <c r="AZ2672" s="4"/>
      <c r="BA2672" s="4"/>
      <c r="BB2672" s="4"/>
      <c r="BC2672" s="4"/>
      <c r="BD2672" s="4"/>
      <c r="BE2672" s="4"/>
      <c r="BF2672" s="4"/>
      <c r="BG2672" s="4"/>
      <c r="BH2672" s="4"/>
      <c r="BI2672" s="4"/>
      <c r="BJ2672" s="4"/>
      <c r="BK2672" s="4"/>
      <c r="BL2672" s="4"/>
      <c r="BM2672" s="4"/>
      <c r="BN2672" s="4"/>
      <c r="BO2672" s="4"/>
      <c r="BP2672" s="4"/>
      <c r="BQ2672" s="4"/>
      <c r="BR2672" s="4"/>
      <c r="BS2672" s="4"/>
      <c r="BT2672" s="4"/>
      <c r="BU2672" s="4"/>
      <c r="BV2672" s="4"/>
      <c r="BW2672" s="4"/>
      <c r="BX2672" s="4"/>
      <c r="BY2672" s="4"/>
      <c r="BZ2672" s="4"/>
      <c r="CA2672" s="4"/>
      <c r="CB2672" s="4"/>
      <c r="CC2672" s="4"/>
      <c r="CD2672" s="4"/>
      <c r="CE2672" s="4"/>
      <c r="CF2672" s="4"/>
      <c r="CG2672" s="4"/>
      <c r="CH2672" s="4"/>
      <c r="CI2672" s="4"/>
      <c r="CJ2672" s="4"/>
      <c r="CK2672" s="4"/>
      <c r="CL2672" s="4"/>
      <c r="CM2672" s="4"/>
      <c r="CN2672" s="4"/>
      <c r="CO2672" s="4"/>
      <c r="CP2672" s="4"/>
      <c r="CQ2672" s="4"/>
      <c r="CR2672" s="4"/>
      <c r="CS2672" s="4"/>
      <c r="CT2672" s="4"/>
      <c r="CU2672" s="4"/>
      <c r="CV2672" s="4"/>
      <c r="CW2672" s="4"/>
      <c r="CX2672" s="4"/>
      <c r="CY2672" s="4"/>
      <c r="CZ2672" s="4"/>
      <c r="DA2672" s="4"/>
      <c r="DB2672" s="4"/>
      <c r="DC2672" s="4"/>
      <c r="DD2672" s="4"/>
      <c r="DE2672" s="4"/>
      <c r="DF2672" s="4"/>
      <c r="DG2672" s="4"/>
      <c r="DH2672" s="4"/>
      <c r="DI2672" s="4"/>
      <c r="DJ2672" s="4"/>
      <c r="DK2672" s="4"/>
      <c r="DL2672" s="4"/>
      <c r="DM2672" s="4"/>
      <c r="DN2672" s="4"/>
      <c r="DO2672" s="4"/>
      <c r="DP2672" s="4"/>
      <c r="DQ2672" s="4"/>
      <c r="DR2672" s="4"/>
      <c r="DS2672" s="4"/>
    </row>
    <row r="2673">
      <c r="A2673" s="4"/>
      <c r="B2673" s="4"/>
      <c r="C2673" s="4"/>
      <c r="D2673" s="4"/>
      <c r="E2673" s="4"/>
      <c r="F2673" s="4" t="s">
        <v>17</v>
      </c>
      <c r="G2673" s="15"/>
      <c r="H2673" s="4"/>
      <c r="I2673" s="4"/>
      <c r="J2673" s="4"/>
      <c r="K2673" s="4"/>
      <c r="L2673" s="4"/>
      <c r="M2673" s="4"/>
      <c r="N2673" s="4"/>
      <c r="O2673" s="4"/>
      <c r="P2673" s="4"/>
      <c r="Q2673" s="4"/>
      <c r="R2673" s="4"/>
      <c r="S2673" s="4"/>
      <c r="T2673" s="4"/>
      <c r="U2673" s="4"/>
      <c r="V2673" s="4"/>
      <c r="W2673" s="4"/>
      <c r="X2673" s="4"/>
      <c r="Y2673" s="4"/>
      <c r="Z2673" s="4"/>
      <c r="AA2673" s="4"/>
      <c r="AB2673" s="4"/>
      <c r="AC2673" s="4"/>
      <c r="AD2673" s="4"/>
      <c r="AE2673" s="4"/>
      <c r="AF2673" s="4"/>
      <c r="AG2673" s="4"/>
      <c r="AH2673" s="4"/>
      <c r="AI2673" s="4"/>
      <c r="AJ2673" s="4"/>
      <c r="AK2673" s="4"/>
      <c r="AL2673" s="4"/>
      <c r="AM2673" s="4"/>
      <c r="AN2673" s="4"/>
      <c r="AO2673" s="4"/>
      <c r="AP2673" s="4"/>
      <c r="AQ2673" s="4"/>
      <c r="AR2673" s="4"/>
      <c r="AS2673" s="4"/>
      <c r="AT2673" s="4"/>
      <c r="AU2673" s="4"/>
      <c r="AV2673" s="4"/>
      <c r="AW2673" s="4"/>
      <c r="AX2673" s="4"/>
      <c r="AY2673" s="4"/>
      <c r="AZ2673" s="4"/>
      <c r="BA2673" s="4"/>
      <c r="BB2673" s="4"/>
      <c r="BC2673" s="4"/>
      <c r="BD2673" s="4"/>
      <c r="BE2673" s="4"/>
      <c r="BF2673" s="4"/>
      <c r="BG2673" s="4"/>
      <c r="BH2673" s="4"/>
      <c r="BI2673" s="4"/>
      <c r="BJ2673" s="4"/>
      <c r="BK2673" s="4"/>
      <c r="BL2673" s="4"/>
      <c r="BM2673" s="4"/>
      <c r="BN2673" s="4"/>
      <c r="BO2673" s="4"/>
      <c r="BP2673" s="4"/>
      <c r="BQ2673" s="4"/>
      <c r="BR2673" s="4"/>
      <c r="BS2673" s="4"/>
      <c r="BT2673" s="4"/>
      <c r="BU2673" s="4"/>
      <c r="BV2673" s="4"/>
      <c r="BW2673" s="4"/>
      <c r="BX2673" s="4"/>
      <c r="BY2673" s="4"/>
      <c r="BZ2673" s="4"/>
      <c r="CA2673" s="4"/>
      <c r="CB2673" s="4"/>
      <c r="CC2673" s="4"/>
      <c r="CD2673" s="4"/>
      <c r="CE2673" s="4"/>
      <c r="CF2673" s="4"/>
      <c r="CG2673" s="4"/>
      <c r="CH2673" s="4"/>
      <c r="CI2673" s="4"/>
      <c r="CJ2673" s="4"/>
      <c r="CK2673" s="4"/>
      <c r="CL2673" s="4"/>
      <c r="CM2673" s="4"/>
      <c r="CN2673" s="4"/>
      <c r="CO2673" s="4"/>
      <c r="CP2673" s="4"/>
      <c r="CQ2673" s="4"/>
      <c r="CR2673" s="4"/>
      <c r="CS2673" s="4"/>
      <c r="CT2673" s="4"/>
      <c r="CU2673" s="4"/>
      <c r="CV2673" s="4"/>
      <c r="CW2673" s="4"/>
      <c r="CX2673" s="4"/>
      <c r="CY2673" s="4"/>
      <c r="CZ2673" s="4"/>
      <c r="DA2673" s="4"/>
      <c r="DB2673" s="4"/>
      <c r="DC2673" s="4"/>
      <c r="DD2673" s="4"/>
      <c r="DE2673" s="4"/>
      <c r="DF2673" s="4"/>
      <c r="DG2673" s="4"/>
      <c r="DH2673" s="4"/>
      <c r="DI2673" s="4"/>
      <c r="DJ2673" s="4"/>
      <c r="DK2673" s="4"/>
      <c r="DL2673" s="4"/>
      <c r="DM2673" s="4"/>
      <c r="DN2673" s="4"/>
      <c r="DO2673" s="4"/>
      <c r="DP2673" s="4"/>
      <c r="DQ2673" s="4"/>
      <c r="DR2673" s="4"/>
      <c r="DS2673" s="4"/>
    </row>
    <row r="2674">
      <c r="A2674" s="4"/>
      <c r="B2674" s="4"/>
      <c r="C2674" s="4"/>
      <c r="D2674" s="4"/>
      <c r="E2674" s="4"/>
      <c r="F2674" s="4" t="s">
        <v>17</v>
      </c>
      <c r="G2674" s="15"/>
      <c r="H2674" s="4"/>
      <c r="I2674" s="4"/>
      <c r="J2674" s="4"/>
      <c r="K2674" s="4"/>
      <c r="L2674" s="4"/>
      <c r="M2674" s="4"/>
      <c r="N2674" s="4"/>
      <c r="O2674" s="4"/>
      <c r="P2674" s="4"/>
      <c r="Q2674" s="4"/>
      <c r="R2674" s="4"/>
      <c r="S2674" s="4"/>
      <c r="T2674" s="4"/>
      <c r="U2674" s="4"/>
      <c r="V2674" s="4"/>
      <c r="W2674" s="4"/>
      <c r="X2674" s="4"/>
      <c r="Y2674" s="4"/>
      <c r="Z2674" s="4"/>
      <c r="AA2674" s="4"/>
      <c r="AB2674" s="4"/>
      <c r="AC2674" s="4"/>
      <c r="AD2674" s="4"/>
      <c r="AE2674" s="4"/>
      <c r="AF2674" s="4"/>
      <c r="AG2674" s="4"/>
      <c r="AH2674" s="4"/>
      <c r="AI2674" s="4"/>
      <c r="AJ2674" s="4"/>
      <c r="AK2674" s="4"/>
      <c r="AL2674" s="4"/>
      <c r="AM2674" s="4"/>
      <c r="AN2674" s="4"/>
      <c r="AO2674" s="4"/>
      <c r="AP2674" s="4"/>
      <c r="AQ2674" s="4"/>
      <c r="AR2674" s="4"/>
      <c r="AS2674" s="4"/>
      <c r="AT2674" s="4"/>
      <c r="AU2674" s="4"/>
      <c r="AV2674" s="4"/>
      <c r="AW2674" s="4"/>
      <c r="AX2674" s="4"/>
      <c r="AY2674" s="4"/>
      <c r="AZ2674" s="4"/>
      <c r="BA2674" s="4"/>
      <c r="BB2674" s="4"/>
      <c r="BC2674" s="4"/>
      <c r="BD2674" s="4"/>
      <c r="BE2674" s="4"/>
      <c r="BF2674" s="4"/>
      <c r="BG2674" s="4"/>
      <c r="BH2674" s="4"/>
      <c r="BI2674" s="4"/>
      <c r="BJ2674" s="4"/>
      <c r="BK2674" s="4"/>
      <c r="BL2674" s="4"/>
      <c r="BM2674" s="4"/>
      <c r="BN2674" s="4"/>
      <c r="BO2674" s="4"/>
      <c r="BP2674" s="4"/>
      <c r="BQ2674" s="4"/>
      <c r="BR2674" s="4"/>
      <c r="BS2674" s="4"/>
      <c r="BT2674" s="4"/>
      <c r="BU2674" s="4"/>
      <c r="BV2674" s="4"/>
      <c r="BW2674" s="4"/>
      <c r="BX2674" s="4"/>
      <c r="BY2674" s="4"/>
      <c r="BZ2674" s="4"/>
      <c r="CA2674" s="4"/>
      <c r="CB2674" s="4"/>
      <c r="CC2674" s="4"/>
      <c r="CD2674" s="4"/>
      <c r="CE2674" s="4"/>
      <c r="CF2674" s="4"/>
      <c r="CG2674" s="4"/>
      <c r="CH2674" s="4"/>
      <c r="CI2674" s="4"/>
      <c r="CJ2674" s="4"/>
      <c r="CK2674" s="4"/>
      <c r="CL2674" s="4"/>
      <c r="CM2674" s="4"/>
      <c r="CN2674" s="4"/>
      <c r="CO2674" s="4"/>
      <c r="CP2674" s="4"/>
      <c r="CQ2674" s="4"/>
      <c r="CR2674" s="4"/>
      <c r="CS2674" s="4"/>
      <c r="CT2674" s="4"/>
      <c r="CU2674" s="4"/>
      <c r="CV2674" s="4"/>
      <c r="CW2674" s="4"/>
      <c r="CX2674" s="4"/>
      <c r="CY2674" s="4"/>
      <c r="CZ2674" s="4"/>
      <c r="DA2674" s="4"/>
      <c r="DB2674" s="4"/>
      <c r="DC2674" s="4"/>
      <c r="DD2674" s="4"/>
      <c r="DE2674" s="4"/>
      <c r="DF2674" s="4"/>
      <c r="DG2674" s="4"/>
      <c r="DH2674" s="4"/>
      <c r="DI2674" s="4"/>
      <c r="DJ2674" s="4"/>
      <c r="DK2674" s="4"/>
      <c r="DL2674" s="4"/>
      <c r="DM2674" s="4"/>
      <c r="DN2674" s="4"/>
      <c r="DO2674" s="4"/>
      <c r="DP2674" s="4"/>
      <c r="DQ2674" s="4"/>
      <c r="DR2674" s="4"/>
      <c r="DS2674" s="4"/>
    </row>
    <row r="2675">
      <c r="A2675" s="4"/>
      <c r="B2675" s="4"/>
      <c r="C2675" s="4"/>
      <c r="D2675" s="4"/>
      <c r="E2675" s="4"/>
      <c r="F2675" s="4" t="s">
        <v>17</v>
      </c>
      <c r="G2675" s="15"/>
      <c r="H2675" s="4"/>
      <c r="I2675" s="4"/>
      <c r="J2675" s="4"/>
      <c r="K2675" s="4"/>
      <c r="L2675" s="4"/>
      <c r="M2675" s="4"/>
      <c r="N2675" s="4"/>
      <c r="O2675" s="4"/>
      <c r="P2675" s="4"/>
      <c r="Q2675" s="4"/>
      <c r="R2675" s="4"/>
      <c r="S2675" s="4"/>
      <c r="T2675" s="4"/>
      <c r="U2675" s="4"/>
      <c r="V2675" s="4"/>
      <c r="W2675" s="4"/>
      <c r="X2675" s="4"/>
      <c r="Y2675" s="4"/>
      <c r="Z2675" s="4"/>
      <c r="AA2675" s="4"/>
      <c r="AB2675" s="4"/>
      <c r="AC2675" s="4"/>
      <c r="AD2675" s="4"/>
      <c r="AE2675" s="4"/>
      <c r="AF2675" s="4"/>
      <c r="AG2675" s="4"/>
      <c r="AH2675" s="4"/>
      <c r="AI2675" s="4"/>
      <c r="AJ2675" s="4"/>
      <c r="AK2675" s="4"/>
      <c r="AL2675" s="4"/>
      <c r="AM2675" s="4"/>
      <c r="AN2675" s="4"/>
      <c r="AO2675" s="4"/>
      <c r="AP2675" s="4"/>
      <c r="AQ2675" s="4"/>
      <c r="AR2675" s="4"/>
      <c r="AS2675" s="4"/>
      <c r="AT2675" s="4"/>
      <c r="AU2675" s="4"/>
      <c r="AV2675" s="4"/>
      <c r="AW2675" s="4"/>
      <c r="AX2675" s="4"/>
      <c r="AY2675" s="4"/>
      <c r="AZ2675" s="4"/>
      <c r="BA2675" s="4"/>
      <c r="BB2675" s="4"/>
      <c r="BC2675" s="4"/>
      <c r="BD2675" s="4"/>
      <c r="BE2675" s="4"/>
      <c r="BF2675" s="4"/>
      <c r="BG2675" s="4"/>
      <c r="BH2675" s="4"/>
      <c r="BI2675" s="4"/>
      <c r="BJ2675" s="4"/>
      <c r="BK2675" s="4"/>
      <c r="BL2675" s="4"/>
      <c r="BM2675" s="4"/>
      <c r="BN2675" s="4"/>
      <c r="BO2675" s="4"/>
      <c r="BP2675" s="4"/>
      <c r="BQ2675" s="4"/>
      <c r="BR2675" s="4"/>
      <c r="BS2675" s="4"/>
      <c r="BT2675" s="4"/>
      <c r="BU2675" s="4"/>
      <c r="BV2675" s="4"/>
      <c r="BW2675" s="4"/>
      <c r="BX2675" s="4"/>
      <c r="BY2675" s="4"/>
      <c r="BZ2675" s="4"/>
      <c r="CA2675" s="4"/>
      <c r="CB2675" s="4"/>
      <c r="CC2675" s="4"/>
      <c r="CD2675" s="4"/>
      <c r="CE2675" s="4"/>
      <c r="CF2675" s="4"/>
      <c r="CG2675" s="4"/>
      <c r="CH2675" s="4"/>
      <c r="CI2675" s="4"/>
      <c r="CJ2675" s="4"/>
      <c r="CK2675" s="4"/>
      <c r="CL2675" s="4"/>
      <c r="CM2675" s="4"/>
      <c r="CN2675" s="4"/>
      <c r="CO2675" s="4"/>
      <c r="CP2675" s="4"/>
      <c r="CQ2675" s="4"/>
      <c r="CR2675" s="4"/>
      <c r="CS2675" s="4"/>
      <c r="CT2675" s="4"/>
      <c r="CU2675" s="4"/>
      <c r="CV2675" s="4"/>
      <c r="CW2675" s="4"/>
      <c r="CX2675" s="4"/>
      <c r="CY2675" s="4"/>
      <c r="CZ2675" s="4"/>
      <c r="DA2675" s="4"/>
      <c r="DB2675" s="4"/>
      <c r="DC2675" s="4"/>
      <c r="DD2675" s="4"/>
      <c r="DE2675" s="4"/>
      <c r="DF2675" s="4"/>
      <c r="DG2675" s="4"/>
      <c r="DH2675" s="4"/>
      <c r="DI2675" s="4"/>
      <c r="DJ2675" s="4"/>
      <c r="DK2675" s="4"/>
      <c r="DL2675" s="4"/>
      <c r="DM2675" s="4"/>
      <c r="DN2675" s="4"/>
      <c r="DO2675" s="4"/>
      <c r="DP2675" s="4"/>
      <c r="DQ2675" s="4"/>
      <c r="DR2675" s="4"/>
      <c r="DS2675" s="4"/>
    </row>
    <row r="2676">
      <c r="A2676" s="4"/>
      <c r="B2676" s="4"/>
      <c r="C2676" s="4"/>
      <c r="D2676" s="4"/>
      <c r="E2676" s="4"/>
      <c r="F2676" s="4" t="s">
        <v>17</v>
      </c>
      <c r="G2676" s="15"/>
      <c r="H2676" s="4"/>
      <c r="I2676" s="4"/>
      <c r="J2676" s="4"/>
      <c r="K2676" s="4"/>
      <c r="L2676" s="4"/>
      <c r="M2676" s="4"/>
      <c r="N2676" s="4"/>
      <c r="O2676" s="4"/>
      <c r="P2676" s="4"/>
      <c r="Q2676" s="4"/>
      <c r="R2676" s="4"/>
      <c r="S2676" s="4"/>
      <c r="T2676" s="4"/>
      <c r="U2676" s="4"/>
      <c r="V2676" s="4"/>
      <c r="W2676" s="4"/>
      <c r="X2676" s="4"/>
      <c r="Y2676" s="4"/>
      <c r="Z2676" s="4"/>
      <c r="AA2676" s="4"/>
      <c r="AB2676" s="4"/>
      <c r="AC2676" s="4"/>
      <c r="AD2676" s="4"/>
      <c r="AE2676" s="4"/>
      <c r="AF2676" s="4"/>
      <c r="AG2676" s="4"/>
      <c r="AH2676" s="4"/>
      <c r="AI2676" s="4"/>
      <c r="AJ2676" s="4"/>
      <c r="AK2676" s="4"/>
      <c r="AL2676" s="4"/>
      <c r="AM2676" s="4"/>
      <c r="AN2676" s="4"/>
      <c r="AO2676" s="4"/>
      <c r="AP2676" s="4"/>
      <c r="AQ2676" s="4"/>
      <c r="AR2676" s="4"/>
      <c r="AS2676" s="4"/>
      <c r="AT2676" s="4"/>
      <c r="AU2676" s="4"/>
      <c r="AV2676" s="4"/>
      <c r="AW2676" s="4"/>
      <c r="AX2676" s="4"/>
      <c r="AY2676" s="4"/>
      <c r="AZ2676" s="4"/>
      <c r="BA2676" s="4"/>
      <c r="BB2676" s="4"/>
      <c r="BC2676" s="4"/>
      <c r="BD2676" s="4"/>
      <c r="BE2676" s="4"/>
      <c r="BF2676" s="4"/>
      <c r="BG2676" s="4"/>
      <c r="BH2676" s="4"/>
      <c r="BI2676" s="4"/>
      <c r="BJ2676" s="4"/>
      <c r="BK2676" s="4"/>
      <c r="BL2676" s="4"/>
      <c r="BM2676" s="4"/>
      <c r="BN2676" s="4"/>
      <c r="BO2676" s="4"/>
      <c r="BP2676" s="4"/>
      <c r="BQ2676" s="4"/>
      <c r="BR2676" s="4"/>
      <c r="BS2676" s="4"/>
      <c r="BT2676" s="4"/>
      <c r="BU2676" s="4"/>
      <c r="BV2676" s="4"/>
      <c r="BW2676" s="4"/>
      <c r="BX2676" s="4"/>
      <c r="BY2676" s="4"/>
      <c r="BZ2676" s="4"/>
      <c r="CA2676" s="4"/>
      <c r="CB2676" s="4"/>
      <c r="CC2676" s="4"/>
      <c r="CD2676" s="4"/>
      <c r="CE2676" s="4"/>
      <c r="CF2676" s="4"/>
      <c r="CG2676" s="4"/>
      <c r="CH2676" s="4"/>
      <c r="CI2676" s="4"/>
      <c r="CJ2676" s="4"/>
      <c r="CK2676" s="4"/>
      <c r="CL2676" s="4"/>
      <c r="CM2676" s="4"/>
      <c r="CN2676" s="4"/>
      <c r="CO2676" s="4"/>
      <c r="CP2676" s="4"/>
      <c r="CQ2676" s="4"/>
      <c r="CR2676" s="4"/>
      <c r="CS2676" s="4"/>
      <c r="CT2676" s="4"/>
      <c r="CU2676" s="4"/>
      <c r="CV2676" s="4"/>
      <c r="CW2676" s="4"/>
      <c r="CX2676" s="4"/>
      <c r="CY2676" s="4"/>
      <c r="CZ2676" s="4"/>
      <c r="DA2676" s="4"/>
      <c r="DB2676" s="4"/>
      <c r="DC2676" s="4"/>
      <c r="DD2676" s="4"/>
      <c r="DE2676" s="4"/>
      <c r="DF2676" s="4"/>
      <c r="DG2676" s="4"/>
      <c r="DH2676" s="4"/>
      <c r="DI2676" s="4"/>
      <c r="DJ2676" s="4"/>
      <c r="DK2676" s="4"/>
      <c r="DL2676" s="4"/>
      <c r="DM2676" s="4"/>
      <c r="DN2676" s="4"/>
      <c r="DO2676" s="4"/>
      <c r="DP2676" s="4"/>
      <c r="DQ2676" s="4"/>
      <c r="DR2676" s="4"/>
      <c r="DS2676" s="4"/>
    </row>
    <row r="2677">
      <c r="A2677" s="4"/>
      <c r="B2677" s="4"/>
      <c r="C2677" s="4"/>
      <c r="D2677" s="4"/>
      <c r="E2677" s="4"/>
      <c r="F2677" s="4" t="s">
        <v>17</v>
      </c>
      <c r="G2677" s="15"/>
      <c r="H2677" s="4"/>
      <c r="I2677" s="4"/>
      <c r="J2677" s="4"/>
      <c r="K2677" s="4"/>
      <c r="L2677" s="4"/>
      <c r="M2677" s="4"/>
      <c r="N2677" s="4"/>
      <c r="O2677" s="4"/>
      <c r="P2677" s="4"/>
      <c r="Q2677" s="4"/>
      <c r="R2677" s="4"/>
      <c r="S2677" s="4"/>
      <c r="T2677" s="4"/>
      <c r="U2677" s="4"/>
      <c r="V2677" s="4"/>
      <c r="W2677" s="4"/>
      <c r="X2677" s="4"/>
      <c r="Y2677" s="4"/>
      <c r="Z2677" s="4"/>
      <c r="AA2677" s="4"/>
      <c r="AB2677" s="4"/>
      <c r="AC2677" s="4"/>
      <c r="AD2677" s="4"/>
      <c r="AE2677" s="4"/>
      <c r="AF2677" s="4"/>
      <c r="AG2677" s="4"/>
      <c r="AH2677" s="4"/>
      <c r="AI2677" s="4"/>
      <c r="AJ2677" s="4"/>
      <c r="AK2677" s="4"/>
      <c r="AL2677" s="4"/>
      <c r="AM2677" s="4"/>
      <c r="AN2677" s="4"/>
      <c r="AO2677" s="4"/>
      <c r="AP2677" s="4"/>
      <c r="AQ2677" s="4"/>
      <c r="AR2677" s="4"/>
      <c r="AS2677" s="4"/>
      <c r="AT2677" s="4"/>
      <c r="AU2677" s="4"/>
      <c r="AV2677" s="4"/>
      <c r="AW2677" s="4"/>
      <c r="AX2677" s="4"/>
      <c r="AY2677" s="4"/>
      <c r="AZ2677" s="4"/>
      <c r="BA2677" s="4"/>
      <c r="BB2677" s="4"/>
      <c r="BC2677" s="4"/>
      <c r="BD2677" s="4"/>
      <c r="BE2677" s="4"/>
      <c r="BF2677" s="4"/>
      <c r="BG2677" s="4"/>
      <c r="BH2677" s="4"/>
      <c r="BI2677" s="4"/>
      <c r="BJ2677" s="4"/>
      <c r="BK2677" s="4"/>
      <c r="BL2677" s="4"/>
      <c r="BM2677" s="4"/>
      <c r="BN2677" s="4"/>
      <c r="BO2677" s="4"/>
      <c r="BP2677" s="4"/>
      <c r="BQ2677" s="4"/>
      <c r="BR2677" s="4"/>
      <c r="BS2677" s="4"/>
      <c r="BT2677" s="4"/>
      <c r="BU2677" s="4"/>
      <c r="BV2677" s="4"/>
      <c r="BW2677" s="4"/>
      <c r="BX2677" s="4"/>
      <c r="BY2677" s="4"/>
      <c r="BZ2677" s="4"/>
      <c r="CA2677" s="4"/>
      <c r="CB2677" s="4"/>
      <c r="CC2677" s="4"/>
      <c r="CD2677" s="4"/>
      <c r="CE2677" s="4"/>
      <c r="CF2677" s="4"/>
      <c r="CG2677" s="4"/>
      <c r="CH2677" s="4"/>
      <c r="CI2677" s="4"/>
      <c r="CJ2677" s="4"/>
      <c r="CK2677" s="4"/>
      <c r="CL2677" s="4"/>
      <c r="CM2677" s="4"/>
      <c r="CN2677" s="4"/>
      <c r="CO2677" s="4"/>
      <c r="CP2677" s="4"/>
      <c r="CQ2677" s="4"/>
      <c r="CR2677" s="4"/>
      <c r="CS2677" s="4"/>
      <c r="CT2677" s="4"/>
      <c r="CU2677" s="4"/>
      <c r="CV2677" s="4"/>
      <c r="CW2677" s="4"/>
      <c r="CX2677" s="4"/>
      <c r="CY2677" s="4"/>
      <c r="CZ2677" s="4"/>
      <c r="DA2677" s="4"/>
      <c r="DB2677" s="4"/>
      <c r="DC2677" s="4"/>
      <c r="DD2677" s="4"/>
      <c r="DE2677" s="4"/>
      <c r="DF2677" s="4"/>
      <c r="DG2677" s="4"/>
      <c r="DH2677" s="4"/>
      <c r="DI2677" s="4"/>
      <c r="DJ2677" s="4"/>
      <c r="DK2677" s="4"/>
      <c r="DL2677" s="4"/>
      <c r="DM2677" s="4"/>
      <c r="DN2677" s="4"/>
      <c r="DO2677" s="4"/>
      <c r="DP2677" s="4"/>
      <c r="DQ2677" s="4"/>
      <c r="DR2677" s="4"/>
      <c r="DS2677" s="4"/>
    </row>
    <row r="2678">
      <c r="A2678" s="4"/>
      <c r="B2678" s="4"/>
      <c r="C2678" s="4"/>
      <c r="D2678" s="4"/>
      <c r="E2678" s="4"/>
      <c r="F2678" s="4" t="s">
        <v>17</v>
      </c>
      <c r="G2678" s="15"/>
      <c r="H2678" s="4"/>
      <c r="I2678" s="4"/>
      <c r="J2678" s="4"/>
      <c r="K2678" s="4"/>
      <c r="L2678" s="4"/>
      <c r="M2678" s="4"/>
      <c r="N2678" s="4"/>
      <c r="O2678" s="4"/>
      <c r="P2678" s="4"/>
      <c r="Q2678" s="4"/>
      <c r="R2678" s="4"/>
      <c r="S2678" s="4"/>
      <c r="T2678" s="4"/>
      <c r="U2678" s="4"/>
      <c r="V2678" s="4"/>
      <c r="W2678" s="4"/>
      <c r="X2678" s="4"/>
      <c r="Y2678" s="4"/>
      <c r="Z2678" s="4"/>
      <c r="AA2678" s="4"/>
      <c r="AB2678" s="4"/>
      <c r="AC2678" s="4"/>
      <c r="AD2678" s="4"/>
      <c r="AE2678" s="4"/>
      <c r="AF2678" s="4"/>
      <c r="AG2678" s="4"/>
      <c r="AH2678" s="4"/>
      <c r="AI2678" s="4"/>
      <c r="AJ2678" s="4"/>
      <c r="AK2678" s="4"/>
      <c r="AL2678" s="4"/>
      <c r="AM2678" s="4"/>
      <c r="AN2678" s="4"/>
      <c r="AO2678" s="4"/>
      <c r="AP2678" s="4"/>
      <c r="AQ2678" s="4"/>
      <c r="AR2678" s="4"/>
      <c r="AS2678" s="4"/>
      <c r="AT2678" s="4"/>
      <c r="AU2678" s="4"/>
      <c r="AV2678" s="4"/>
      <c r="AW2678" s="4"/>
      <c r="AX2678" s="4"/>
      <c r="AY2678" s="4"/>
      <c r="AZ2678" s="4"/>
      <c r="BA2678" s="4"/>
      <c r="BB2678" s="4"/>
      <c r="BC2678" s="4"/>
      <c r="BD2678" s="4"/>
      <c r="BE2678" s="4"/>
      <c r="BF2678" s="4"/>
      <c r="BG2678" s="4"/>
      <c r="BH2678" s="4"/>
      <c r="BI2678" s="4"/>
      <c r="BJ2678" s="4"/>
      <c r="BK2678" s="4"/>
      <c r="BL2678" s="4"/>
      <c r="BM2678" s="4"/>
      <c r="BN2678" s="4"/>
      <c r="BO2678" s="4"/>
      <c r="BP2678" s="4"/>
      <c r="BQ2678" s="4"/>
      <c r="BR2678" s="4"/>
      <c r="BS2678" s="4"/>
      <c r="BT2678" s="4"/>
      <c r="BU2678" s="4"/>
      <c r="BV2678" s="4"/>
      <c r="BW2678" s="4"/>
      <c r="BX2678" s="4"/>
      <c r="BY2678" s="4"/>
      <c r="BZ2678" s="4"/>
      <c r="CA2678" s="4"/>
      <c r="CB2678" s="4"/>
      <c r="CC2678" s="4"/>
      <c r="CD2678" s="4"/>
      <c r="CE2678" s="4"/>
      <c r="CF2678" s="4"/>
      <c r="CG2678" s="4"/>
      <c r="CH2678" s="4"/>
      <c r="CI2678" s="4"/>
      <c r="CJ2678" s="4"/>
      <c r="CK2678" s="4"/>
      <c r="CL2678" s="4"/>
      <c r="CM2678" s="4"/>
      <c r="CN2678" s="4"/>
      <c r="CO2678" s="4"/>
      <c r="CP2678" s="4"/>
      <c r="CQ2678" s="4"/>
      <c r="CR2678" s="4"/>
      <c r="CS2678" s="4"/>
      <c r="CT2678" s="4"/>
      <c r="CU2678" s="4"/>
      <c r="CV2678" s="4"/>
      <c r="CW2678" s="4"/>
      <c r="CX2678" s="4"/>
      <c r="CY2678" s="4"/>
      <c r="CZ2678" s="4"/>
      <c r="DA2678" s="4"/>
      <c r="DB2678" s="4"/>
      <c r="DC2678" s="4"/>
      <c r="DD2678" s="4"/>
      <c r="DE2678" s="4"/>
      <c r="DF2678" s="4"/>
      <c r="DG2678" s="4"/>
      <c r="DH2678" s="4"/>
      <c r="DI2678" s="4"/>
      <c r="DJ2678" s="4"/>
      <c r="DK2678" s="4"/>
      <c r="DL2678" s="4"/>
      <c r="DM2678" s="4"/>
      <c r="DN2678" s="4"/>
      <c r="DO2678" s="4"/>
      <c r="DP2678" s="4"/>
      <c r="DQ2678" s="4"/>
      <c r="DR2678" s="4"/>
      <c r="DS2678" s="4"/>
    </row>
    <row r="2679">
      <c r="A2679" s="4"/>
      <c r="B2679" s="4"/>
      <c r="C2679" s="4"/>
      <c r="D2679" s="4"/>
      <c r="E2679" s="4"/>
      <c r="F2679" s="4" t="s">
        <v>17</v>
      </c>
      <c r="G2679" s="15"/>
      <c r="H2679" s="4"/>
      <c r="I2679" s="4"/>
      <c r="J2679" s="4"/>
      <c r="K2679" s="4"/>
      <c r="L2679" s="4"/>
      <c r="M2679" s="4"/>
      <c r="N2679" s="4"/>
      <c r="O2679" s="4"/>
      <c r="P2679" s="4"/>
      <c r="Q2679" s="4"/>
      <c r="R2679" s="4"/>
      <c r="S2679" s="4"/>
      <c r="T2679" s="4"/>
      <c r="U2679" s="4"/>
      <c r="V2679" s="4"/>
      <c r="W2679" s="4"/>
      <c r="X2679" s="4"/>
      <c r="Y2679" s="4"/>
      <c r="Z2679" s="4"/>
      <c r="AA2679" s="4"/>
      <c r="AB2679" s="4"/>
      <c r="AC2679" s="4"/>
      <c r="AD2679" s="4"/>
      <c r="AE2679" s="4"/>
      <c r="AF2679" s="4"/>
      <c r="AG2679" s="4"/>
      <c r="AH2679" s="4"/>
      <c r="AI2679" s="4"/>
      <c r="AJ2679" s="4"/>
      <c r="AK2679" s="4"/>
      <c r="AL2679" s="4"/>
      <c r="AM2679" s="4"/>
      <c r="AN2679" s="4"/>
      <c r="AO2679" s="4"/>
      <c r="AP2679" s="4"/>
      <c r="AQ2679" s="4"/>
      <c r="AR2679" s="4"/>
      <c r="AS2679" s="4"/>
      <c r="AT2679" s="4"/>
      <c r="AU2679" s="4"/>
      <c r="AV2679" s="4"/>
      <c r="AW2679" s="4"/>
      <c r="AX2679" s="4"/>
      <c r="AY2679" s="4"/>
      <c r="AZ2679" s="4"/>
      <c r="BA2679" s="4"/>
      <c r="BB2679" s="4"/>
      <c r="BC2679" s="4"/>
      <c r="BD2679" s="4"/>
      <c r="BE2679" s="4"/>
      <c r="BF2679" s="4"/>
      <c r="BG2679" s="4"/>
      <c r="BH2679" s="4"/>
      <c r="BI2679" s="4"/>
      <c r="BJ2679" s="4"/>
      <c r="BK2679" s="4"/>
      <c r="BL2679" s="4"/>
      <c r="BM2679" s="4"/>
      <c r="BN2679" s="4"/>
      <c r="BO2679" s="4"/>
      <c r="BP2679" s="4"/>
      <c r="BQ2679" s="4"/>
      <c r="BR2679" s="4"/>
      <c r="BS2679" s="4"/>
      <c r="BT2679" s="4"/>
      <c r="BU2679" s="4"/>
      <c r="BV2679" s="4"/>
      <c r="BW2679" s="4"/>
      <c r="BX2679" s="4"/>
      <c r="BY2679" s="4"/>
      <c r="BZ2679" s="4"/>
      <c r="CA2679" s="4"/>
      <c r="CB2679" s="4"/>
      <c r="CC2679" s="4"/>
      <c r="CD2679" s="4"/>
      <c r="CE2679" s="4"/>
      <c r="CF2679" s="4"/>
      <c r="CG2679" s="4"/>
      <c r="CH2679" s="4"/>
      <c r="CI2679" s="4"/>
      <c r="CJ2679" s="4"/>
      <c r="CK2679" s="4"/>
      <c r="CL2679" s="4"/>
      <c r="CM2679" s="4"/>
      <c r="CN2679" s="4"/>
      <c r="CO2679" s="4"/>
      <c r="CP2679" s="4"/>
      <c r="CQ2679" s="4"/>
      <c r="CR2679" s="4"/>
      <c r="CS2679" s="4"/>
      <c r="CT2679" s="4"/>
      <c r="CU2679" s="4"/>
      <c r="CV2679" s="4"/>
      <c r="CW2679" s="4"/>
      <c r="CX2679" s="4"/>
      <c r="CY2679" s="4"/>
      <c r="CZ2679" s="4"/>
      <c r="DA2679" s="4"/>
      <c r="DB2679" s="4"/>
      <c r="DC2679" s="4"/>
      <c r="DD2679" s="4"/>
      <c r="DE2679" s="4"/>
      <c r="DF2679" s="4"/>
      <c r="DG2679" s="4"/>
      <c r="DH2679" s="4"/>
      <c r="DI2679" s="4"/>
      <c r="DJ2679" s="4"/>
      <c r="DK2679" s="4"/>
      <c r="DL2679" s="4"/>
      <c r="DM2679" s="4"/>
      <c r="DN2679" s="4"/>
      <c r="DO2679" s="4"/>
      <c r="DP2679" s="4"/>
      <c r="DQ2679" s="4"/>
      <c r="DR2679" s="4"/>
      <c r="DS2679" s="4"/>
    </row>
    <row r="2680">
      <c r="A2680" s="4"/>
      <c r="B2680" s="4"/>
      <c r="C2680" s="4"/>
      <c r="D2680" s="4"/>
      <c r="E2680" s="4"/>
      <c r="F2680" s="4" t="s">
        <v>17</v>
      </c>
      <c r="G2680" s="15"/>
      <c r="H2680" s="4"/>
      <c r="I2680" s="4"/>
      <c r="J2680" s="4"/>
      <c r="K2680" s="4"/>
      <c r="L2680" s="4"/>
      <c r="M2680" s="4"/>
      <c r="N2680" s="4"/>
      <c r="O2680" s="4"/>
      <c r="P2680" s="4"/>
      <c r="Q2680" s="4"/>
      <c r="R2680" s="4"/>
      <c r="S2680" s="4"/>
      <c r="T2680" s="4"/>
      <c r="U2680" s="4"/>
      <c r="V2680" s="4"/>
      <c r="W2680" s="4"/>
      <c r="X2680" s="4"/>
      <c r="Y2680" s="4"/>
      <c r="Z2680" s="4"/>
      <c r="AA2680" s="4"/>
      <c r="AB2680" s="4"/>
      <c r="AC2680" s="4"/>
      <c r="AD2680" s="4"/>
      <c r="AE2680" s="4"/>
      <c r="AF2680" s="4"/>
      <c r="AG2680" s="4"/>
      <c r="AH2680" s="4"/>
      <c r="AI2680" s="4"/>
      <c r="AJ2680" s="4"/>
      <c r="AK2680" s="4"/>
      <c r="AL2680" s="4"/>
      <c r="AM2680" s="4"/>
      <c r="AN2680" s="4"/>
      <c r="AO2680" s="4"/>
      <c r="AP2680" s="4"/>
      <c r="AQ2680" s="4"/>
      <c r="AR2680" s="4"/>
      <c r="AS2680" s="4"/>
      <c r="AT2680" s="4"/>
      <c r="AU2680" s="4"/>
      <c r="AV2680" s="4"/>
      <c r="AW2680" s="4"/>
      <c r="AX2680" s="4"/>
      <c r="AY2680" s="4"/>
      <c r="AZ2680" s="4"/>
      <c r="BA2680" s="4"/>
      <c r="BB2680" s="4"/>
      <c r="BC2680" s="4"/>
      <c r="BD2680" s="4"/>
      <c r="BE2680" s="4"/>
      <c r="BF2680" s="4"/>
      <c r="BG2680" s="4"/>
      <c r="BH2680" s="4"/>
      <c r="BI2680" s="4"/>
      <c r="BJ2680" s="4"/>
      <c r="BK2680" s="4"/>
      <c r="BL2680" s="4"/>
      <c r="BM2680" s="4"/>
      <c r="BN2680" s="4"/>
      <c r="BO2680" s="4"/>
      <c r="BP2680" s="4"/>
      <c r="BQ2680" s="4"/>
      <c r="BR2680" s="4"/>
      <c r="BS2680" s="4"/>
      <c r="BT2680" s="4"/>
      <c r="BU2680" s="4"/>
      <c r="BV2680" s="4"/>
      <c r="BW2680" s="4"/>
      <c r="BX2680" s="4"/>
      <c r="BY2680" s="4"/>
      <c r="BZ2680" s="4"/>
      <c r="CA2680" s="4"/>
      <c r="CB2680" s="4"/>
      <c r="CC2680" s="4"/>
      <c r="CD2680" s="4"/>
      <c r="CE2680" s="4"/>
      <c r="CF2680" s="4"/>
      <c r="CG2680" s="4"/>
      <c r="CH2680" s="4"/>
      <c r="CI2680" s="4"/>
      <c r="CJ2680" s="4"/>
      <c r="CK2680" s="4"/>
      <c r="CL2680" s="4"/>
      <c r="CM2680" s="4"/>
      <c r="CN2680" s="4"/>
      <c r="CO2680" s="4"/>
      <c r="CP2680" s="4"/>
      <c r="CQ2680" s="4"/>
      <c r="CR2680" s="4"/>
      <c r="CS2680" s="4"/>
      <c r="CT2680" s="4"/>
      <c r="CU2680" s="4"/>
      <c r="CV2680" s="4"/>
      <c r="CW2680" s="4"/>
      <c r="CX2680" s="4"/>
      <c r="CY2680" s="4"/>
      <c r="CZ2680" s="4"/>
      <c r="DA2680" s="4"/>
      <c r="DB2680" s="4"/>
      <c r="DC2680" s="4"/>
      <c r="DD2680" s="4"/>
      <c r="DE2680" s="4"/>
      <c r="DF2680" s="4"/>
      <c r="DG2680" s="4"/>
      <c r="DH2680" s="4"/>
      <c r="DI2680" s="4"/>
      <c r="DJ2680" s="4"/>
      <c r="DK2680" s="4"/>
      <c r="DL2680" s="4"/>
      <c r="DM2680" s="4"/>
      <c r="DN2680" s="4"/>
      <c r="DO2680" s="4"/>
      <c r="DP2680" s="4"/>
      <c r="DQ2680" s="4"/>
      <c r="DR2680" s="4"/>
      <c r="DS2680" s="4"/>
    </row>
    <row r="2681">
      <c r="A2681" s="4"/>
      <c r="B2681" s="4"/>
      <c r="C2681" s="4"/>
      <c r="D2681" s="4"/>
      <c r="E2681" s="4"/>
      <c r="F2681" s="4" t="s">
        <v>17</v>
      </c>
      <c r="G2681" s="15"/>
      <c r="H2681" s="4"/>
      <c r="I2681" s="4"/>
      <c r="J2681" s="4"/>
      <c r="K2681" s="4"/>
      <c r="L2681" s="4"/>
      <c r="M2681" s="4"/>
      <c r="N2681" s="4"/>
      <c r="O2681" s="4"/>
      <c r="P2681" s="4"/>
      <c r="Q2681" s="4"/>
      <c r="R2681" s="4"/>
      <c r="S2681" s="4"/>
      <c r="T2681" s="4"/>
      <c r="U2681" s="4"/>
      <c r="V2681" s="4"/>
      <c r="W2681" s="4"/>
      <c r="X2681" s="4"/>
      <c r="Y2681" s="4"/>
      <c r="Z2681" s="4"/>
      <c r="AA2681" s="4"/>
      <c r="AB2681" s="4"/>
      <c r="AC2681" s="4"/>
      <c r="AD2681" s="4"/>
      <c r="AE2681" s="4"/>
      <c r="AF2681" s="4"/>
      <c r="AG2681" s="4"/>
      <c r="AH2681" s="4"/>
      <c r="AI2681" s="4"/>
      <c r="AJ2681" s="4"/>
      <c r="AK2681" s="4"/>
      <c r="AL2681" s="4"/>
      <c r="AM2681" s="4"/>
      <c r="AN2681" s="4"/>
      <c r="AO2681" s="4"/>
      <c r="AP2681" s="4"/>
      <c r="AQ2681" s="4"/>
      <c r="AR2681" s="4"/>
      <c r="AS2681" s="4"/>
      <c r="AT2681" s="4"/>
      <c r="AU2681" s="4"/>
      <c r="AV2681" s="4"/>
      <c r="AW2681" s="4"/>
      <c r="AX2681" s="4"/>
      <c r="AY2681" s="4"/>
      <c r="AZ2681" s="4"/>
      <c r="BA2681" s="4"/>
      <c r="BB2681" s="4"/>
      <c r="BC2681" s="4"/>
      <c r="BD2681" s="4"/>
      <c r="BE2681" s="4"/>
      <c r="BF2681" s="4"/>
      <c r="BG2681" s="4"/>
      <c r="BH2681" s="4"/>
      <c r="BI2681" s="4"/>
      <c r="BJ2681" s="4"/>
      <c r="BK2681" s="4"/>
      <c r="BL2681" s="4"/>
      <c r="BM2681" s="4"/>
      <c r="BN2681" s="4"/>
      <c r="BO2681" s="4"/>
      <c r="BP2681" s="4"/>
      <c r="BQ2681" s="4"/>
      <c r="BR2681" s="4"/>
      <c r="BS2681" s="4"/>
      <c r="BT2681" s="4"/>
      <c r="BU2681" s="4"/>
      <c r="BV2681" s="4"/>
      <c r="BW2681" s="4"/>
      <c r="BX2681" s="4"/>
      <c r="BY2681" s="4"/>
      <c r="BZ2681" s="4"/>
      <c r="CA2681" s="4"/>
      <c r="CB2681" s="4"/>
      <c r="CC2681" s="4"/>
      <c r="CD2681" s="4"/>
      <c r="CE2681" s="4"/>
      <c r="CF2681" s="4"/>
      <c r="CG2681" s="4"/>
      <c r="CH2681" s="4"/>
      <c r="CI2681" s="4"/>
      <c r="CJ2681" s="4"/>
      <c r="CK2681" s="4"/>
      <c r="CL2681" s="4"/>
      <c r="CM2681" s="4"/>
      <c r="CN2681" s="4"/>
      <c r="CO2681" s="4"/>
      <c r="CP2681" s="4"/>
      <c r="CQ2681" s="4"/>
      <c r="CR2681" s="4"/>
      <c r="CS2681" s="4"/>
      <c r="CT2681" s="4"/>
      <c r="CU2681" s="4"/>
      <c r="CV2681" s="4"/>
      <c r="CW2681" s="4"/>
      <c r="CX2681" s="4"/>
      <c r="CY2681" s="4"/>
      <c r="CZ2681" s="4"/>
      <c r="DA2681" s="4"/>
      <c r="DB2681" s="4"/>
      <c r="DC2681" s="4"/>
      <c r="DD2681" s="4"/>
      <c r="DE2681" s="4"/>
      <c r="DF2681" s="4"/>
      <c r="DG2681" s="4"/>
      <c r="DH2681" s="4"/>
      <c r="DI2681" s="4"/>
      <c r="DJ2681" s="4"/>
      <c r="DK2681" s="4"/>
      <c r="DL2681" s="4"/>
      <c r="DM2681" s="4"/>
      <c r="DN2681" s="4"/>
      <c r="DO2681" s="4"/>
      <c r="DP2681" s="4"/>
      <c r="DQ2681" s="4"/>
      <c r="DR2681" s="4"/>
      <c r="DS2681" s="4"/>
    </row>
    <row r="2682">
      <c r="A2682" s="4"/>
      <c r="B2682" s="4"/>
      <c r="C2682" s="4"/>
      <c r="D2682" s="4"/>
      <c r="E2682" s="4"/>
      <c r="F2682" s="4" t="s">
        <v>17</v>
      </c>
      <c r="G2682" s="15"/>
      <c r="H2682" s="4"/>
      <c r="I2682" s="4"/>
      <c r="J2682" s="4"/>
      <c r="K2682" s="4"/>
      <c r="L2682" s="4"/>
      <c r="M2682" s="4"/>
      <c r="N2682" s="4"/>
      <c r="O2682" s="4"/>
      <c r="P2682" s="4"/>
      <c r="Q2682" s="4"/>
      <c r="R2682" s="4"/>
      <c r="S2682" s="4"/>
      <c r="T2682" s="4"/>
      <c r="U2682" s="4"/>
      <c r="V2682" s="4"/>
      <c r="W2682" s="4"/>
      <c r="X2682" s="4"/>
      <c r="Y2682" s="4"/>
      <c r="Z2682" s="4"/>
      <c r="AA2682" s="4"/>
      <c r="AB2682" s="4"/>
      <c r="AC2682" s="4"/>
      <c r="AD2682" s="4"/>
      <c r="AE2682" s="4"/>
      <c r="AF2682" s="4"/>
      <c r="AG2682" s="4"/>
      <c r="AH2682" s="4"/>
      <c r="AI2682" s="4"/>
      <c r="AJ2682" s="4"/>
      <c r="AK2682" s="4"/>
      <c r="AL2682" s="4"/>
      <c r="AM2682" s="4"/>
      <c r="AN2682" s="4"/>
      <c r="AO2682" s="4"/>
      <c r="AP2682" s="4"/>
      <c r="AQ2682" s="4"/>
      <c r="AR2682" s="4"/>
      <c r="AS2682" s="4"/>
      <c r="AT2682" s="4"/>
      <c r="AU2682" s="4"/>
      <c r="AV2682" s="4"/>
      <c r="AW2682" s="4"/>
      <c r="AX2682" s="4"/>
      <c r="AY2682" s="4"/>
      <c r="AZ2682" s="4"/>
      <c r="BA2682" s="4"/>
      <c r="BB2682" s="4"/>
      <c r="BC2682" s="4"/>
      <c r="BD2682" s="4"/>
      <c r="BE2682" s="4"/>
      <c r="BF2682" s="4"/>
      <c r="BG2682" s="4"/>
      <c r="BH2682" s="4"/>
      <c r="BI2682" s="4"/>
      <c r="BJ2682" s="4"/>
      <c r="BK2682" s="4"/>
      <c r="BL2682" s="4"/>
      <c r="BM2682" s="4"/>
      <c r="BN2682" s="4"/>
      <c r="BO2682" s="4"/>
      <c r="BP2682" s="4"/>
      <c r="BQ2682" s="4"/>
      <c r="BR2682" s="4"/>
      <c r="BS2682" s="4"/>
      <c r="BT2682" s="4"/>
      <c r="BU2682" s="4"/>
      <c r="BV2682" s="4"/>
      <c r="BW2682" s="4"/>
      <c r="BX2682" s="4"/>
      <c r="BY2682" s="4"/>
      <c r="BZ2682" s="4"/>
      <c r="CA2682" s="4"/>
      <c r="CB2682" s="4"/>
      <c r="CC2682" s="4"/>
      <c r="CD2682" s="4"/>
      <c r="CE2682" s="4"/>
      <c r="CF2682" s="4"/>
      <c r="CG2682" s="4"/>
      <c r="CH2682" s="4"/>
      <c r="CI2682" s="4"/>
      <c r="CJ2682" s="4"/>
      <c r="CK2682" s="4"/>
      <c r="CL2682" s="4"/>
      <c r="CM2682" s="4"/>
      <c r="CN2682" s="4"/>
      <c r="CO2682" s="4"/>
      <c r="CP2682" s="4"/>
      <c r="CQ2682" s="4"/>
      <c r="CR2682" s="4"/>
      <c r="CS2682" s="4"/>
      <c r="CT2682" s="4"/>
      <c r="CU2682" s="4"/>
      <c r="CV2682" s="4"/>
      <c r="CW2682" s="4"/>
      <c r="CX2682" s="4"/>
      <c r="CY2682" s="4"/>
      <c r="CZ2682" s="4"/>
      <c r="DA2682" s="4"/>
      <c r="DB2682" s="4"/>
      <c r="DC2682" s="4"/>
      <c r="DD2682" s="4"/>
      <c r="DE2682" s="4"/>
      <c r="DF2682" s="4"/>
      <c r="DG2682" s="4"/>
      <c r="DH2682" s="4"/>
      <c r="DI2682" s="4"/>
      <c r="DJ2682" s="4"/>
      <c r="DK2682" s="4"/>
      <c r="DL2682" s="4"/>
      <c r="DM2682" s="4"/>
      <c r="DN2682" s="4"/>
      <c r="DO2682" s="4"/>
      <c r="DP2682" s="4"/>
      <c r="DQ2682" s="4"/>
      <c r="DR2682" s="4"/>
      <c r="DS2682" s="4"/>
    </row>
    <row r="2683">
      <c r="A2683" s="4"/>
      <c r="B2683" s="4"/>
      <c r="C2683" s="4"/>
      <c r="D2683" s="4"/>
      <c r="E2683" s="4"/>
      <c r="F2683" s="4" t="s">
        <v>17</v>
      </c>
      <c r="G2683" s="15"/>
      <c r="H2683" s="4"/>
      <c r="I2683" s="4"/>
      <c r="J2683" s="4"/>
      <c r="K2683" s="4"/>
      <c r="L2683" s="4"/>
      <c r="M2683" s="4"/>
      <c r="N2683" s="4"/>
      <c r="O2683" s="4"/>
      <c r="P2683" s="4"/>
      <c r="Q2683" s="4"/>
      <c r="R2683" s="4"/>
      <c r="S2683" s="4"/>
      <c r="T2683" s="4"/>
      <c r="U2683" s="4"/>
      <c r="V2683" s="4"/>
      <c r="W2683" s="4"/>
      <c r="X2683" s="4"/>
      <c r="Y2683" s="4"/>
      <c r="Z2683" s="4"/>
      <c r="AA2683" s="4"/>
      <c r="AB2683" s="4"/>
      <c r="AC2683" s="4"/>
      <c r="AD2683" s="4"/>
      <c r="AE2683" s="4"/>
      <c r="AF2683" s="4"/>
      <c r="AG2683" s="4"/>
      <c r="AH2683" s="4"/>
      <c r="AI2683" s="4"/>
      <c r="AJ2683" s="4"/>
      <c r="AK2683" s="4"/>
      <c r="AL2683" s="4"/>
      <c r="AM2683" s="4"/>
      <c r="AN2683" s="4"/>
      <c r="AO2683" s="4"/>
      <c r="AP2683" s="4"/>
      <c r="AQ2683" s="4"/>
      <c r="AR2683" s="4"/>
      <c r="AS2683" s="4"/>
      <c r="AT2683" s="4"/>
      <c r="AU2683" s="4"/>
      <c r="AV2683" s="4"/>
      <c r="AW2683" s="4"/>
      <c r="AX2683" s="4"/>
      <c r="AY2683" s="4"/>
      <c r="AZ2683" s="4"/>
      <c r="BA2683" s="4"/>
      <c r="BB2683" s="4"/>
      <c r="BC2683" s="4"/>
      <c r="BD2683" s="4"/>
      <c r="BE2683" s="4"/>
      <c r="BF2683" s="4"/>
      <c r="BG2683" s="4"/>
      <c r="BH2683" s="4"/>
      <c r="BI2683" s="4"/>
      <c r="BJ2683" s="4"/>
      <c r="BK2683" s="4"/>
      <c r="BL2683" s="4"/>
      <c r="BM2683" s="4"/>
      <c r="BN2683" s="4"/>
      <c r="BO2683" s="4"/>
      <c r="BP2683" s="4"/>
      <c r="BQ2683" s="4"/>
      <c r="BR2683" s="4"/>
      <c r="BS2683" s="4"/>
      <c r="BT2683" s="4"/>
      <c r="BU2683" s="4"/>
      <c r="BV2683" s="4"/>
      <c r="BW2683" s="4"/>
      <c r="BX2683" s="4"/>
      <c r="BY2683" s="4"/>
      <c r="BZ2683" s="4"/>
      <c r="CA2683" s="4"/>
      <c r="CB2683" s="4"/>
      <c r="CC2683" s="4"/>
      <c r="CD2683" s="4"/>
      <c r="CE2683" s="4"/>
      <c r="CF2683" s="4"/>
      <c r="CG2683" s="4"/>
      <c r="CH2683" s="4"/>
      <c r="CI2683" s="4"/>
      <c r="CJ2683" s="4"/>
      <c r="CK2683" s="4"/>
      <c r="CL2683" s="4"/>
      <c r="CM2683" s="4"/>
      <c r="CN2683" s="4"/>
      <c r="CO2683" s="4"/>
      <c r="CP2683" s="4"/>
      <c r="CQ2683" s="4"/>
      <c r="CR2683" s="4"/>
      <c r="CS2683" s="4"/>
      <c r="CT2683" s="4"/>
      <c r="CU2683" s="4"/>
      <c r="CV2683" s="4"/>
      <c r="CW2683" s="4"/>
      <c r="CX2683" s="4"/>
      <c r="CY2683" s="4"/>
      <c r="CZ2683" s="4"/>
      <c r="DA2683" s="4"/>
      <c r="DB2683" s="4"/>
      <c r="DC2683" s="4"/>
      <c r="DD2683" s="4"/>
      <c r="DE2683" s="4"/>
      <c r="DF2683" s="4"/>
      <c r="DG2683" s="4"/>
      <c r="DH2683" s="4"/>
      <c r="DI2683" s="4"/>
      <c r="DJ2683" s="4"/>
      <c r="DK2683" s="4"/>
      <c r="DL2683" s="4"/>
      <c r="DM2683" s="4"/>
      <c r="DN2683" s="4"/>
      <c r="DO2683" s="4"/>
      <c r="DP2683" s="4"/>
      <c r="DQ2683" s="4"/>
      <c r="DR2683" s="4"/>
      <c r="DS2683" s="4"/>
    </row>
    <row r="2684">
      <c r="A2684" s="4"/>
      <c r="B2684" s="4"/>
      <c r="C2684" s="4"/>
      <c r="D2684" s="4"/>
      <c r="E2684" s="4"/>
      <c r="F2684" s="4" t="s">
        <v>17</v>
      </c>
      <c r="G2684" s="15"/>
      <c r="H2684" s="4"/>
      <c r="I2684" s="4"/>
      <c r="J2684" s="4"/>
      <c r="K2684" s="4"/>
      <c r="L2684" s="4"/>
      <c r="M2684" s="4"/>
      <c r="N2684" s="4"/>
      <c r="O2684" s="4"/>
      <c r="P2684" s="4"/>
      <c r="Q2684" s="4"/>
      <c r="R2684" s="4"/>
      <c r="S2684" s="4"/>
      <c r="T2684" s="4"/>
      <c r="U2684" s="4"/>
      <c r="V2684" s="4"/>
      <c r="W2684" s="4"/>
      <c r="X2684" s="4"/>
      <c r="Y2684" s="4"/>
      <c r="Z2684" s="4"/>
      <c r="AA2684" s="4"/>
      <c r="AB2684" s="4"/>
      <c r="AC2684" s="4"/>
      <c r="AD2684" s="4"/>
      <c r="AE2684" s="4"/>
      <c r="AF2684" s="4"/>
      <c r="AG2684" s="4"/>
      <c r="AH2684" s="4"/>
      <c r="AI2684" s="4"/>
      <c r="AJ2684" s="4"/>
      <c r="AK2684" s="4"/>
      <c r="AL2684" s="4"/>
      <c r="AM2684" s="4"/>
      <c r="AN2684" s="4"/>
      <c r="AO2684" s="4"/>
      <c r="AP2684" s="4"/>
      <c r="AQ2684" s="4"/>
      <c r="AR2684" s="4"/>
      <c r="AS2684" s="4"/>
      <c r="AT2684" s="4"/>
      <c r="AU2684" s="4"/>
      <c r="AV2684" s="4"/>
      <c r="AW2684" s="4"/>
      <c r="AX2684" s="4"/>
      <c r="AY2684" s="4"/>
      <c r="AZ2684" s="4"/>
      <c r="BA2684" s="4"/>
      <c r="BB2684" s="4"/>
      <c r="BC2684" s="4"/>
      <c r="BD2684" s="4"/>
      <c r="BE2684" s="4"/>
      <c r="BF2684" s="4"/>
      <c r="BG2684" s="4"/>
      <c r="BH2684" s="4"/>
      <c r="BI2684" s="4"/>
      <c r="BJ2684" s="4"/>
      <c r="BK2684" s="4"/>
      <c r="BL2684" s="4"/>
      <c r="BM2684" s="4"/>
      <c r="BN2684" s="4"/>
      <c r="BO2684" s="4"/>
      <c r="BP2684" s="4"/>
      <c r="BQ2684" s="4"/>
      <c r="BR2684" s="4"/>
      <c r="BS2684" s="4"/>
      <c r="BT2684" s="4"/>
      <c r="BU2684" s="4"/>
      <c r="BV2684" s="4"/>
      <c r="BW2684" s="4"/>
      <c r="BX2684" s="4"/>
      <c r="BY2684" s="4"/>
      <c r="BZ2684" s="4"/>
      <c r="CA2684" s="4"/>
      <c r="CB2684" s="4"/>
      <c r="CC2684" s="4"/>
      <c r="CD2684" s="4"/>
      <c r="CE2684" s="4"/>
      <c r="CF2684" s="4"/>
      <c r="CG2684" s="4"/>
      <c r="CH2684" s="4"/>
      <c r="CI2684" s="4"/>
      <c r="CJ2684" s="4"/>
      <c r="CK2684" s="4"/>
      <c r="CL2684" s="4"/>
      <c r="CM2684" s="4"/>
      <c r="CN2684" s="4"/>
      <c r="CO2684" s="4"/>
      <c r="CP2684" s="4"/>
      <c r="CQ2684" s="4"/>
      <c r="CR2684" s="4"/>
      <c r="CS2684" s="4"/>
      <c r="CT2684" s="4"/>
      <c r="CU2684" s="4"/>
      <c r="CV2684" s="4"/>
      <c r="CW2684" s="4"/>
      <c r="CX2684" s="4"/>
      <c r="CY2684" s="4"/>
      <c r="CZ2684" s="4"/>
      <c r="DA2684" s="4"/>
      <c r="DB2684" s="4"/>
      <c r="DC2684" s="4"/>
      <c r="DD2684" s="4"/>
      <c r="DE2684" s="4"/>
      <c r="DF2684" s="4"/>
      <c r="DG2684" s="4"/>
      <c r="DH2684" s="4"/>
      <c r="DI2684" s="4"/>
      <c r="DJ2684" s="4"/>
      <c r="DK2684" s="4"/>
      <c r="DL2684" s="4"/>
      <c r="DM2684" s="4"/>
      <c r="DN2684" s="4"/>
      <c r="DO2684" s="4"/>
      <c r="DP2684" s="4"/>
      <c r="DQ2684" s="4"/>
      <c r="DR2684" s="4"/>
      <c r="DS2684" s="4"/>
    </row>
    <row r="2685">
      <c r="A2685" s="4"/>
      <c r="B2685" s="4"/>
      <c r="C2685" s="4"/>
      <c r="D2685" s="4"/>
      <c r="E2685" s="4"/>
      <c r="F2685" s="4" t="s">
        <v>17</v>
      </c>
      <c r="G2685" s="15"/>
      <c r="H2685" s="4"/>
      <c r="I2685" s="4"/>
      <c r="J2685" s="4"/>
      <c r="K2685" s="4"/>
      <c r="L2685" s="4"/>
      <c r="M2685" s="4"/>
      <c r="N2685" s="4"/>
      <c r="O2685" s="4"/>
      <c r="P2685" s="4"/>
      <c r="Q2685" s="4"/>
      <c r="R2685" s="4"/>
      <c r="S2685" s="4"/>
      <c r="T2685" s="4"/>
      <c r="U2685" s="4"/>
      <c r="V2685" s="4"/>
      <c r="W2685" s="4"/>
      <c r="X2685" s="4"/>
      <c r="Y2685" s="4"/>
      <c r="Z2685" s="4"/>
      <c r="AA2685" s="4"/>
      <c r="AB2685" s="4"/>
      <c r="AC2685" s="4"/>
      <c r="AD2685" s="4"/>
      <c r="AE2685" s="4"/>
      <c r="AF2685" s="4"/>
      <c r="AG2685" s="4"/>
      <c r="AH2685" s="4"/>
      <c r="AI2685" s="4"/>
      <c r="AJ2685" s="4"/>
      <c r="AK2685" s="4"/>
      <c r="AL2685" s="4"/>
      <c r="AM2685" s="4"/>
      <c r="AN2685" s="4"/>
      <c r="AO2685" s="4"/>
      <c r="AP2685" s="4"/>
      <c r="AQ2685" s="4"/>
      <c r="AR2685" s="4"/>
      <c r="AS2685" s="4"/>
      <c r="AT2685" s="4"/>
      <c r="AU2685" s="4"/>
      <c r="AV2685" s="4"/>
      <c r="AW2685" s="4"/>
      <c r="AX2685" s="4"/>
      <c r="AY2685" s="4"/>
      <c r="AZ2685" s="4"/>
      <c r="BA2685" s="4"/>
      <c r="BB2685" s="4"/>
      <c r="BC2685" s="4"/>
      <c r="BD2685" s="4"/>
      <c r="BE2685" s="4"/>
      <c r="BF2685" s="4"/>
      <c r="BG2685" s="4"/>
      <c r="BH2685" s="4"/>
      <c r="BI2685" s="4"/>
      <c r="BJ2685" s="4"/>
      <c r="BK2685" s="4"/>
      <c r="BL2685" s="4"/>
      <c r="BM2685" s="4"/>
      <c r="BN2685" s="4"/>
      <c r="BO2685" s="4"/>
      <c r="BP2685" s="4"/>
      <c r="BQ2685" s="4"/>
      <c r="BR2685" s="4"/>
      <c r="BS2685" s="4"/>
      <c r="BT2685" s="4"/>
      <c r="BU2685" s="4"/>
      <c r="BV2685" s="4"/>
      <c r="BW2685" s="4"/>
      <c r="BX2685" s="4"/>
      <c r="BY2685" s="4"/>
      <c r="BZ2685" s="4"/>
      <c r="CA2685" s="4"/>
      <c r="CB2685" s="4"/>
      <c r="CC2685" s="4"/>
      <c r="CD2685" s="4"/>
      <c r="CE2685" s="4"/>
      <c r="CF2685" s="4"/>
      <c r="CG2685" s="4"/>
      <c r="CH2685" s="4"/>
      <c r="CI2685" s="4"/>
      <c r="CJ2685" s="4"/>
      <c r="CK2685" s="4"/>
      <c r="CL2685" s="4"/>
      <c r="CM2685" s="4"/>
      <c r="CN2685" s="4"/>
      <c r="CO2685" s="4"/>
      <c r="CP2685" s="4"/>
      <c r="CQ2685" s="4"/>
      <c r="CR2685" s="4"/>
      <c r="CS2685" s="4"/>
      <c r="CT2685" s="4"/>
      <c r="CU2685" s="4"/>
      <c r="CV2685" s="4"/>
      <c r="CW2685" s="4"/>
      <c r="CX2685" s="4"/>
      <c r="CY2685" s="4"/>
      <c r="CZ2685" s="4"/>
      <c r="DA2685" s="4"/>
      <c r="DB2685" s="4"/>
      <c r="DC2685" s="4"/>
      <c r="DD2685" s="4"/>
      <c r="DE2685" s="4"/>
      <c r="DF2685" s="4"/>
      <c r="DG2685" s="4"/>
      <c r="DH2685" s="4"/>
      <c r="DI2685" s="4"/>
      <c r="DJ2685" s="4"/>
      <c r="DK2685" s="4"/>
      <c r="DL2685" s="4"/>
      <c r="DM2685" s="4"/>
      <c r="DN2685" s="4"/>
      <c r="DO2685" s="4"/>
      <c r="DP2685" s="4"/>
      <c r="DQ2685" s="4"/>
      <c r="DR2685" s="4"/>
      <c r="DS2685" s="4"/>
    </row>
    <row r="2686">
      <c r="A2686" s="4"/>
      <c r="B2686" s="4"/>
      <c r="C2686" s="4"/>
      <c r="D2686" s="4"/>
      <c r="E2686" s="4"/>
      <c r="F2686" s="4" t="s">
        <v>17</v>
      </c>
      <c r="G2686" s="15"/>
      <c r="H2686" s="4"/>
      <c r="I2686" s="4"/>
      <c r="J2686" s="4"/>
      <c r="K2686" s="4"/>
      <c r="L2686" s="4"/>
      <c r="M2686" s="4"/>
      <c r="N2686" s="4"/>
      <c r="O2686" s="4"/>
      <c r="P2686" s="4"/>
      <c r="Q2686" s="4"/>
      <c r="R2686" s="4"/>
      <c r="S2686" s="4"/>
      <c r="T2686" s="4"/>
      <c r="U2686" s="4"/>
      <c r="V2686" s="4"/>
      <c r="W2686" s="4"/>
      <c r="X2686" s="4"/>
      <c r="Y2686" s="4"/>
      <c r="Z2686" s="4"/>
      <c r="AA2686" s="4"/>
      <c r="AB2686" s="4"/>
      <c r="AC2686" s="4"/>
      <c r="AD2686" s="4"/>
      <c r="AE2686" s="4"/>
      <c r="AF2686" s="4"/>
      <c r="AG2686" s="4"/>
      <c r="AH2686" s="4"/>
      <c r="AI2686" s="4"/>
      <c r="AJ2686" s="4"/>
      <c r="AK2686" s="4"/>
      <c r="AL2686" s="4"/>
      <c r="AM2686" s="4"/>
      <c r="AN2686" s="4"/>
      <c r="AO2686" s="4"/>
      <c r="AP2686" s="4"/>
      <c r="AQ2686" s="4"/>
      <c r="AR2686" s="4"/>
      <c r="AS2686" s="4"/>
      <c r="AT2686" s="4"/>
      <c r="AU2686" s="4"/>
      <c r="AV2686" s="4"/>
      <c r="AW2686" s="4"/>
      <c r="AX2686" s="4"/>
      <c r="AY2686" s="4"/>
      <c r="AZ2686" s="4"/>
      <c r="BA2686" s="4"/>
      <c r="BB2686" s="4"/>
      <c r="BC2686" s="4"/>
      <c r="BD2686" s="4"/>
      <c r="BE2686" s="4"/>
      <c r="BF2686" s="4"/>
      <c r="BG2686" s="4"/>
      <c r="BH2686" s="4"/>
      <c r="BI2686" s="4"/>
      <c r="BJ2686" s="4"/>
      <c r="BK2686" s="4"/>
      <c r="BL2686" s="4"/>
      <c r="BM2686" s="4"/>
      <c r="BN2686" s="4"/>
      <c r="BO2686" s="4"/>
      <c r="BP2686" s="4"/>
      <c r="BQ2686" s="4"/>
      <c r="BR2686" s="4"/>
      <c r="BS2686" s="4"/>
      <c r="BT2686" s="4"/>
      <c r="BU2686" s="4"/>
      <c r="BV2686" s="4"/>
      <c r="BW2686" s="4"/>
      <c r="BX2686" s="4"/>
      <c r="BY2686" s="4"/>
      <c r="BZ2686" s="4"/>
      <c r="CA2686" s="4"/>
      <c r="CB2686" s="4"/>
      <c r="CC2686" s="4"/>
      <c r="CD2686" s="4"/>
      <c r="CE2686" s="4"/>
      <c r="CF2686" s="4"/>
      <c r="CG2686" s="4"/>
      <c r="CH2686" s="4"/>
      <c r="CI2686" s="4"/>
      <c r="CJ2686" s="4"/>
      <c r="CK2686" s="4"/>
      <c r="CL2686" s="4"/>
      <c r="CM2686" s="4"/>
      <c r="CN2686" s="4"/>
      <c r="CO2686" s="4"/>
      <c r="CP2686" s="4"/>
      <c r="CQ2686" s="4"/>
      <c r="CR2686" s="4"/>
      <c r="CS2686" s="4"/>
      <c r="CT2686" s="4"/>
      <c r="CU2686" s="4"/>
      <c r="CV2686" s="4"/>
      <c r="CW2686" s="4"/>
      <c r="CX2686" s="4"/>
      <c r="CY2686" s="4"/>
      <c r="CZ2686" s="4"/>
      <c r="DA2686" s="4"/>
      <c r="DB2686" s="4"/>
      <c r="DC2686" s="4"/>
      <c r="DD2686" s="4"/>
      <c r="DE2686" s="4"/>
      <c r="DF2686" s="4"/>
      <c r="DG2686" s="4"/>
      <c r="DH2686" s="4"/>
      <c r="DI2686" s="4"/>
      <c r="DJ2686" s="4"/>
      <c r="DK2686" s="4"/>
      <c r="DL2686" s="4"/>
      <c r="DM2686" s="4"/>
      <c r="DN2686" s="4"/>
      <c r="DO2686" s="4"/>
      <c r="DP2686" s="4"/>
      <c r="DQ2686" s="4"/>
      <c r="DR2686" s="4"/>
      <c r="DS2686" s="4"/>
    </row>
    <row r="2687">
      <c r="A2687" s="4"/>
      <c r="B2687" s="4"/>
      <c r="C2687" s="4"/>
      <c r="D2687" s="4"/>
      <c r="E2687" s="4"/>
      <c r="F2687" s="4" t="s">
        <v>17</v>
      </c>
      <c r="G2687" s="15"/>
      <c r="H2687" s="4"/>
      <c r="I2687" s="4"/>
      <c r="J2687" s="4"/>
      <c r="K2687" s="4"/>
      <c r="L2687" s="4"/>
      <c r="M2687" s="4"/>
      <c r="N2687" s="4"/>
      <c r="O2687" s="4"/>
      <c r="P2687" s="4"/>
      <c r="Q2687" s="4"/>
      <c r="R2687" s="4"/>
      <c r="S2687" s="4"/>
      <c r="T2687" s="4"/>
      <c r="U2687" s="4"/>
      <c r="V2687" s="4"/>
      <c r="W2687" s="4"/>
      <c r="X2687" s="4"/>
      <c r="Y2687" s="4"/>
      <c r="Z2687" s="4"/>
      <c r="AA2687" s="4"/>
      <c r="AB2687" s="4"/>
      <c r="AC2687" s="4"/>
      <c r="AD2687" s="4"/>
      <c r="AE2687" s="4"/>
      <c r="AF2687" s="4"/>
      <c r="AG2687" s="4"/>
      <c r="AH2687" s="4"/>
      <c r="AI2687" s="4"/>
      <c r="AJ2687" s="4"/>
      <c r="AK2687" s="4"/>
      <c r="AL2687" s="4"/>
      <c r="AM2687" s="4"/>
      <c r="AN2687" s="4"/>
      <c r="AO2687" s="4"/>
      <c r="AP2687" s="4"/>
      <c r="AQ2687" s="4"/>
      <c r="AR2687" s="4"/>
      <c r="AS2687" s="4"/>
      <c r="AT2687" s="4"/>
      <c r="AU2687" s="4"/>
      <c r="AV2687" s="4"/>
      <c r="AW2687" s="4"/>
      <c r="AX2687" s="4"/>
      <c r="AY2687" s="4"/>
      <c r="AZ2687" s="4"/>
      <c r="BA2687" s="4"/>
      <c r="BB2687" s="4"/>
      <c r="BC2687" s="4"/>
      <c r="BD2687" s="4"/>
      <c r="BE2687" s="4"/>
      <c r="BF2687" s="4"/>
      <c r="BG2687" s="4"/>
      <c r="BH2687" s="4"/>
      <c r="BI2687" s="4"/>
      <c r="BJ2687" s="4"/>
      <c r="BK2687" s="4"/>
      <c r="BL2687" s="4"/>
      <c r="BM2687" s="4"/>
      <c r="BN2687" s="4"/>
      <c r="BO2687" s="4"/>
      <c r="BP2687" s="4"/>
      <c r="BQ2687" s="4"/>
      <c r="BR2687" s="4"/>
      <c r="BS2687" s="4"/>
      <c r="BT2687" s="4"/>
      <c r="BU2687" s="4"/>
      <c r="BV2687" s="4"/>
      <c r="BW2687" s="4"/>
      <c r="BX2687" s="4"/>
      <c r="BY2687" s="4"/>
      <c r="BZ2687" s="4"/>
      <c r="CA2687" s="4"/>
      <c r="CB2687" s="4"/>
      <c r="CC2687" s="4"/>
      <c r="CD2687" s="4"/>
      <c r="CE2687" s="4"/>
      <c r="CF2687" s="4"/>
      <c r="CG2687" s="4"/>
      <c r="CH2687" s="4"/>
      <c r="CI2687" s="4"/>
      <c r="CJ2687" s="4"/>
      <c r="CK2687" s="4"/>
      <c r="CL2687" s="4"/>
      <c r="CM2687" s="4"/>
      <c r="CN2687" s="4"/>
      <c r="CO2687" s="4"/>
      <c r="CP2687" s="4"/>
      <c r="CQ2687" s="4"/>
      <c r="CR2687" s="4"/>
      <c r="CS2687" s="4"/>
      <c r="CT2687" s="4"/>
      <c r="CU2687" s="4"/>
      <c r="CV2687" s="4"/>
      <c r="CW2687" s="4"/>
      <c r="CX2687" s="4"/>
      <c r="CY2687" s="4"/>
      <c r="CZ2687" s="4"/>
      <c r="DA2687" s="4"/>
      <c r="DB2687" s="4"/>
      <c r="DC2687" s="4"/>
      <c r="DD2687" s="4"/>
      <c r="DE2687" s="4"/>
      <c r="DF2687" s="4"/>
      <c r="DG2687" s="4"/>
      <c r="DH2687" s="4"/>
      <c r="DI2687" s="4"/>
      <c r="DJ2687" s="4"/>
      <c r="DK2687" s="4"/>
      <c r="DL2687" s="4"/>
      <c r="DM2687" s="4"/>
      <c r="DN2687" s="4"/>
      <c r="DO2687" s="4"/>
      <c r="DP2687" s="4"/>
      <c r="DQ2687" s="4"/>
      <c r="DR2687" s="4"/>
      <c r="DS2687" s="4"/>
    </row>
    <row r="2688">
      <c r="A2688" s="4"/>
      <c r="B2688" s="4"/>
      <c r="C2688" s="4"/>
      <c r="D2688" s="4"/>
      <c r="E2688" s="4"/>
      <c r="F2688" s="4" t="s">
        <v>17</v>
      </c>
      <c r="G2688" s="15"/>
      <c r="H2688" s="4"/>
      <c r="I2688" s="4"/>
      <c r="J2688" s="4"/>
      <c r="K2688" s="4"/>
      <c r="L2688" s="4"/>
      <c r="M2688" s="4"/>
      <c r="N2688" s="4"/>
      <c r="O2688" s="4"/>
      <c r="P2688" s="4"/>
      <c r="Q2688" s="4"/>
      <c r="R2688" s="4"/>
      <c r="S2688" s="4"/>
      <c r="T2688" s="4"/>
      <c r="U2688" s="4"/>
      <c r="V2688" s="4"/>
      <c r="W2688" s="4"/>
      <c r="X2688" s="4"/>
      <c r="Y2688" s="4"/>
      <c r="Z2688" s="4"/>
      <c r="AA2688" s="4"/>
      <c r="AB2688" s="4"/>
      <c r="AC2688" s="4"/>
      <c r="AD2688" s="4"/>
      <c r="AE2688" s="4"/>
      <c r="AF2688" s="4"/>
      <c r="AG2688" s="4"/>
      <c r="AH2688" s="4"/>
      <c r="AI2688" s="4"/>
      <c r="AJ2688" s="4"/>
      <c r="AK2688" s="4"/>
      <c r="AL2688" s="4"/>
      <c r="AM2688" s="4"/>
      <c r="AN2688" s="4"/>
      <c r="AO2688" s="4"/>
      <c r="AP2688" s="4"/>
      <c r="AQ2688" s="4"/>
      <c r="AR2688" s="4"/>
      <c r="AS2688" s="4"/>
      <c r="AT2688" s="4"/>
      <c r="AU2688" s="4"/>
      <c r="AV2688" s="4"/>
      <c r="AW2688" s="4"/>
      <c r="AX2688" s="4"/>
      <c r="AY2688" s="4"/>
      <c r="AZ2688" s="4"/>
      <c r="BA2688" s="4"/>
      <c r="BB2688" s="4"/>
      <c r="BC2688" s="4"/>
      <c r="BD2688" s="4"/>
      <c r="BE2688" s="4"/>
      <c r="BF2688" s="4"/>
      <c r="BG2688" s="4"/>
      <c r="BH2688" s="4"/>
      <c r="BI2688" s="4"/>
      <c r="BJ2688" s="4"/>
      <c r="BK2688" s="4"/>
      <c r="BL2688" s="4"/>
      <c r="BM2688" s="4"/>
      <c r="BN2688" s="4"/>
      <c r="BO2688" s="4"/>
      <c r="BP2688" s="4"/>
      <c r="BQ2688" s="4"/>
      <c r="BR2688" s="4"/>
      <c r="BS2688" s="4"/>
      <c r="BT2688" s="4"/>
      <c r="BU2688" s="4"/>
      <c r="BV2688" s="4"/>
      <c r="BW2688" s="4"/>
      <c r="BX2688" s="4"/>
      <c r="BY2688" s="4"/>
      <c r="BZ2688" s="4"/>
      <c r="CA2688" s="4"/>
      <c r="CB2688" s="4"/>
      <c r="CC2688" s="4"/>
      <c r="CD2688" s="4"/>
      <c r="CE2688" s="4"/>
      <c r="CF2688" s="4"/>
      <c r="CG2688" s="4"/>
      <c r="CH2688" s="4"/>
      <c r="CI2688" s="4"/>
      <c r="CJ2688" s="4"/>
      <c r="CK2688" s="4"/>
      <c r="CL2688" s="4"/>
      <c r="CM2688" s="4"/>
      <c r="CN2688" s="4"/>
      <c r="CO2688" s="4"/>
      <c r="CP2688" s="4"/>
      <c r="CQ2688" s="4"/>
      <c r="CR2688" s="4"/>
      <c r="CS2688" s="4"/>
      <c r="CT2688" s="4"/>
      <c r="CU2688" s="4"/>
      <c r="CV2688" s="4"/>
      <c r="CW2688" s="4"/>
      <c r="CX2688" s="4"/>
      <c r="CY2688" s="4"/>
      <c r="CZ2688" s="4"/>
      <c r="DA2688" s="4"/>
      <c r="DB2688" s="4"/>
      <c r="DC2688" s="4"/>
      <c r="DD2688" s="4"/>
      <c r="DE2688" s="4"/>
      <c r="DF2688" s="4"/>
      <c r="DG2688" s="4"/>
      <c r="DH2688" s="4"/>
      <c r="DI2688" s="4"/>
      <c r="DJ2688" s="4"/>
      <c r="DK2688" s="4"/>
      <c r="DL2688" s="4"/>
      <c r="DM2688" s="4"/>
      <c r="DN2688" s="4"/>
      <c r="DO2688" s="4"/>
      <c r="DP2688" s="4"/>
      <c r="DQ2688" s="4"/>
      <c r="DR2688" s="4"/>
      <c r="DS2688" s="4"/>
    </row>
    <row r="2689">
      <c r="A2689" s="4"/>
      <c r="B2689" s="4"/>
      <c r="C2689" s="4"/>
      <c r="D2689" s="4"/>
      <c r="E2689" s="4"/>
      <c r="F2689" s="4" t="s">
        <v>17</v>
      </c>
      <c r="G2689" s="15"/>
      <c r="H2689" s="4"/>
      <c r="I2689" s="4"/>
      <c r="J2689" s="4"/>
      <c r="K2689" s="4"/>
      <c r="L2689" s="4"/>
      <c r="M2689" s="4"/>
      <c r="N2689" s="4"/>
      <c r="O2689" s="4"/>
      <c r="P2689" s="4"/>
      <c r="Q2689" s="4"/>
      <c r="R2689" s="4"/>
      <c r="S2689" s="4"/>
      <c r="T2689" s="4"/>
      <c r="U2689" s="4"/>
      <c r="V2689" s="4"/>
      <c r="W2689" s="4"/>
      <c r="X2689" s="4"/>
      <c r="Y2689" s="4"/>
      <c r="Z2689" s="4"/>
      <c r="AA2689" s="4"/>
      <c r="AB2689" s="4"/>
      <c r="AC2689" s="4"/>
      <c r="AD2689" s="4"/>
      <c r="AE2689" s="4"/>
      <c r="AF2689" s="4"/>
      <c r="AG2689" s="4"/>
      <c r="AH2689" s="4"/>
      <c r="AI2689" s="4"/>
      <c r="AJ2689" s="4"/>
      <c r="AK2689" s="4"/>
      <c r="AL2689" s="4"/>
      <c r="AM2689" s="4"/>
      <c r="AN2689" s="4"/>
      <c r="AO2689" s="4"/>
      <c r="AP2689" s="4"/>
      <c r="AQ2689" s="4"/>
      <c r="AR2689" s="4"/>
      <c r="AS2689" s="4"/>
      <c r="AT2689" s="4"/>
      <c r="AU2689" s="4"/>
      <c r="AV2689" s="4"/>
      <c r="AW2689" s="4"/>
      <c r="AX2689" s="4"/>
      <c r="AY2689" s="4"/>
      <c r="AZ2689" s="4"/>
      <c r="BA2689" s="4"/>
      <c r="BB2689" s="4"/>
      <c r="BC2689" s="4"/>
      <c r="BD2689" s="4"/>
      <c r="BE2689" s="4"/>
      <c r="BF2689" s="4"/>
      <c r="BG2689" s="4"/>
      <c r="BH2689" s="4"/>
      <c r="BI2689" s="4"/>
      <c r="BJ2689" s="4"/>
      <c r="BK2689" s="4"/>
      <c r="BL2689" s="4"/>
      <c r="BM2689" s="4"/>
      <c r="BN2689" s="4"/>
      <c r="BO2689" s="4"/>
      <c r="BP2689" s="4"/>
      <c r="BQ2689" s="4"/>
      <c r="BR2689" s="4"/>
      <c r="BS2689" s="4"/>
      <c r="BT2689" s="4"/>
      <c r="BU2689" s="4"/>
      <c r="BV2689" s="4"/>
      <c r="BW2689" s="4"/>
      <c r="BX2689" s="4"/>
      <c r="BY2689" s="4"/>
      <c r="BZ2689" s="4"/>
      <c r="CA2689" s="4"/>
      <c r="CB2689" s="4"/>
      <c r="CC2689" s="4"/>
      <c r="CD2689" s="4"/>
      <c r="CE2689" s="4"/>
      <c r="CF2689" s="4"/>
      <c r="CG2689" s="4"/>
      <c r="CH2689" s="4"/>
      <c r="CI2689" s="4"/>
      <c r="CJ2689" s="4"/>
      <c r="CK2689" s="4"/>
      <c r="CL2689" s="4"/>
      <c r="CM2689" s="4"/>
      <c r="CN2689" s="4"/>
      <c r="CO2689" s="4"/>
      <c r="CP2689" s="4"/>
      <c r="CQ2689" s="4"/>
      <c r="CR2689" s="4"/>
      <c r="CS2689" s="4"/>
      <c r="CT2689" s="4"/>
      <c r="CU2689" s="4"/>
      <c r="CV2689" s="4"/>
      <c r="CW2689" s="4"/>
      <c r="CX2689" s="4"/>
      <c r="CY2689" s="4"/>
      <c r="CZ2689" s="4"/>
      <c r="DA2689" s="4"/>
      <c r="DB2689" s="4"/>
      <c r="DC2689" s="4"/>
      <c r="DD2689" s="4"/>
      <c r="DE2689" s="4"/>
      <c r="DF2689" s="4"/>
      <c r="DG2689" s="4"/>
      <c r="DH2689" s="4"/>
      <c r="DI2689" s="4"/>
      <c r="DJ2689" s="4"/>
      <c r="DK2689" s="4"/>
      <c r="DL2689" s="4"/>
      <c r="DM2689" s="4"/>
      <c r="DN2689" s="4"/>
      <c r="DO2689" s="4"/>
      <c r="DP2689" s="4"/>
      <c r="DQ2689" s="4"/>
      <c r="DR2689" s="4"/>
      <c r="DS2689" s="4"/>
    </row>
    <row r="2690">
      <c r="A2690" s="4"/>
      <c r="B2690" s="4"/>
      <c r="C2690" s="4"/>
      <c r="D2690" s="4"/>
      <c r="E2690" s="4"/>
      <c r="F2690" s="4" t="s">
        <v>17</v>
      </c>
      <c r="G2690" s="15"/>
      <c r="H2690" s="4"/>
      <c r="I2690" s="4"/>
      <c r="J2690" s="4"/>
      <c r="K2690" s="4"/>
      <c r="L2690" s="4"/>
      <c r="M2690" s="4"/>
      <c r="N2690" s="4"/>
      <c r="O2690" s="4"/>
      <c r="P2690" s="4"/>
      <c r="Q2690" s="4"/>
      <c r="R2690" s="4"/>
      <c r="S2690" s="4"/>
      <c r="T2690" s="4"/>
      <c r="U2690" s="4"/>
      <c r="V2690" s="4"/>
      <c r="W2690" s="4"/>
      <c r="X2690" s="4"/>
      <c r="Y2690" s="4"/>
      <c r="Z2690" s="4"/>
      <c r="AA2690" s="4"/>
      <c r="AB2690" s="4"/>
      <c r="AC2690" s="4"/>
      <c r="AD2690" s="4"/>
      <c r="AE2690" s="4"/>
      <c r="AF2690" s="4"/>
      <c r="AG2690" s="4"/>
      <c r="AH2690" s="4"/>
      <c r="AI2690" s="4"/>
      <c r="AJ2690" s="4"/>
      <c r="AK2690" s="4"/>
      <c r="AL2690" s="4"/>
      <c r="AM2690" s="4"/>
      <c r="AN2690" s="4"/>
      <c r="AO2690" s="4"/>
      <c r="AP2690" s="4"/>
      <c r="AQ2690" s="4"/>
      <c r="AR2690" s="4"/>
      <c r="AS2690" s="4"/>
      <c r="AT2690" s="4"/>
      <c r="AU2690" s="4"/>
      <c r="AV2690" s="4"/>
      <c r="AW2690" s="4"/>
      <c r="AX2690" s="4"/>
      <c r="AY2690" s="4"/>
      <c r="AZ2690" s="4"/>
      <c r="BA2690" s="4"/>
      <c r="BB2690" s="4"/>
      <c r="BC2690" s="4"/>
      <c r="BD2690" s="4"/>
      <c r="BE2690" s="4"/>
      <c r="BF2690" s="4"/>
      <c r="BG2690" s="4"/>
      <c r="BH2690" s="4"/>
      <c r="BI2690" s="4"/>
      <c r="BJ2690" s="4"/>
      <c r="BK2690" s="4"/>
      <c r="BL2690" s="4"/>
      <c r="BM2690" s="4"/>
      <c r="BN2690" s="4"/>
      <c r="BO2690" s="4"/>
      <c r="BP2690" s="4"/>
      <c r="BQ2690" s="4"/>
      <c r="BR2690" s="4"/>
      <c r="BS2690" s="4"/>
      <c r="BT2690" s="4"/>
      <c r="BU2690" s="4"/>
      <c r="BV2690" s="4"/>
      <c r="BW2690" s="4"/>
      <c r="BX2690" s="4"/>
      <c r="BY2690" s="4"/>
      <c r="BZ2690" s="4"/>
      <c r="CA2690" s="4"/>
      <c r="CB2690" s="4"/>
      <c r="CC2690" s="4"/>
      <c r="CD2690" s="4"/>
      <c r="CE2690" s="4"/>
      <c r="CF2690" s="4"/>
      <c r="CG2690" s="4"/>
      <c r="CH2690" s="4"/>
      <c r="CI2690" s="4"/>
      <c r="CJ2690" s="4"/>
      <c r="CK2690" s="4"/>
      <c r="CL2690" s="4"/>
      <c r="CM2690" s="4"/>
      <c r="CN2690" s="4"/>
      <c r="CO2690" s="4"/>
      <c r="CP2690" s="4"/>
      <c r="CQ2690" s="4"/>
      <c r="CR2690" s="4"/>
      <c r="CS2690" s="4"/>
      <c r="CT2690" s="4"/>
      <c r="CU2690" s="4"/>
      <c r="CV2690" s="4"/>
      <c r="CW2690" s="4"/>
      <c r="CX2690" s="4"/>
      <c r="CY2690" s="4"/>
      <c r="CZ2690" s="4"/>
      <c r="DA2690" s="4"/>
      <c r="DB2690" s="4"/>
      <c r="DC2690" s="4"/>
      <c r="DD2690" s="4"/>
      <c r="DE2690" s="4"/>
      <c r="DF2690" s="4"/>
      <c r="DG2690" s="4"/>
      <c r="DH2690" s="4"/>
      <c r="DI2690" s="4"/>
      <c r="DJ2690" s="4"/>
      <c r="DK2690" s="4"/>
      <c r="DL2690" s="4"/>
      <c r="DM2690" s="4"/>
      <c r="DN2690" s="4"/>
      <c r="DO2690" s="4"/>
      <c r="DP2690" s="4"/>
      <c r="DQ2690" s="4"/>
      <c r="DR2690" s="4"/>
      <c r="DS2690" s="4"/>
    </row>
    <row r="2691">
      <c r="A2691" s="4"/>
      <c r="B2691" s="4"/>
      <c r="C2691" s="4"/>
      <c r="D2691" s="4"/>
      <c r="E2691" s="4"/>
      <c r="F2691" s="4" t="s">
        <v>17</v>
      </c>
      <c r="G2691" s="15"/>
      <c r="H2691" s="4"/>
      <c r="I2691" s="4"/>
      <c r="J2691" s="4"/>
      <c r="K2691" s="4"/>
      <c r="L2691" s="4"/>
      <c r="M2691" s="4"/>
      <c r="N2691" s="4"/>
      <c r="O2691" s="4"/>
      <c r="P2691" s="4"/>
      <c r="Q2691" s="4"/>
      <c r="R2691" s="4"/>
      <c r="S2691" s="4"/>
      <c r="T2691" s="4"/>
      <c r="U2691" s="4"/>
      <c r="V2691" s="4"/>
      <c r="W2691" s="4"/>
      <c r="X2691" s="4"/>
      <c r="Y2691" s="4"/>
      <c r="Z2691" s="4"/>
      <c r="AA2691" s="4"/>
      <c r="AB2691" s="4"/>
      <c r="AC2691" s="4"/>
      <c r="AD2691" s="4"/>
      <c r="AE2691" s="4"/>
      <c r="AF2691" s="4"/>
      <c r="AG2691" s="4"/>
      <c r="AH2691" s="4"/>
      <c r="AI2691" s="4"/>
      <c r="AJ2691" s="4"/>
      <c r="AK2691" s="4"/>
      <c r="AL2691" s="4"/>
      <c r="AM2691" s="4"/>
      <c r="AN2691" s="4"/>
      <c r="AO2691" s="4"/>
      <c r="AP2691" s="4"/>
      <c r="AQ2691" s="4"/>
      <c r="AR2691" s="4"/>
      <c r="AS2691" s="4"/>
      <c r="AT2691" s="4"/>
      <c r="AU2691" s="4"/>
      <c r="AV2691" s="4"/>
      <c r="AW2691" s="4"/>
      <c r="AX2691" s="4"/>
      <c r="AY2691" s="4"/>
      <c r="AZ2691" s="4"/>
      <c r="BA2691" s="4"/>
      <c r="BB2691" s="4"/>
      <c r="BC2691" s="4"/>
      <c r="BD2691" s="4"/>
      <c r="BE2691" s="4"/>
      <c r="BF2691" s="4"/>
      <c r="BG2691" s="4"/>
      <c r="BH2691" s="4"/>
      <c r="BI2691" s="4"/>
      <c r="BJ2691" s="4"/>
      <c r="BK2691" s="4"/>
      <c r="BL2691" s="4"/>
      <c r="BM2691" s="4"/>
      <c r="BN2691" s="4"/>
      <c r="BO2691" s="4"/>
      <c r="BP2691" s="4"/>
      <c r="BQ2691" s="4"/>
      <c r="BR2691" s="4"/>
      <c r="BS2691" s="4"/>
      <c r="BT2691" s="4"/>
      <c r="BU2691" s="4"/>
      <c r="BV2691" s="4"/>
      <c r="BW2691" s="4"/>
      <c r="BX2691" s="4"/>
      <c r="BY2691" s="4"/>
      <c r="BZ2691" s="4"/>
      <c r="CA2691" s="4"/>
      <c r="CB2691" s="4"/>
      <c r="CC2691" s="4"/>
      <c r="CD2691" s="4"/>
      <c r="CE2691" s="4"/>
      <c r="CF2691" s="4"/>
      <c r="CG2691" s="4"/>
      <c r="CH2691" s="4"/>
      <c r="CI2691" s="4"/>
      <c r="CJ2691" s="4"/>
      <c r="CK2691" s="4"/>
      <c r="CL2691" s="4"/>
      <c r="CM2691" s="4"/>
      <c r="CN2691" s="4"/>
      <c r="CO2691" s="4"/>
      <c r="CP2691" s="4"/>
      <c r="CQ2691" s="4"/>
      <c r="CR2691" s="4"/>
      <c r="CS2691" s="4"/>
      <c r="CT2691" s="4"/>
      <c r="CU2691" s="4"/>
      <c r="CV2691" s="4"/>
      <c r="CW2691" s="4"/>
      <c r="CX2691" s="4"/>
      <c r="CY2691" s="4"/>
      <c r="CZ2691" s="4"/>
      <c r="DA2691" s="4"/>
      <c r="DB2691" s="4"/>
      <c r="DC2691" s="4"/>
      <c r="DD2691" s="4"/>
      <c r="DE2691" s="4"/>
      <c r="DF2691" s="4"/>
      <c r="DG2691" s="4"/>
      <c r="DH2691" s="4"/>
      <c r="DI2691" s="4"/>
      <c r="DJ2691" s="4"/>
      <c r="DK2691" s="4"/>
      <c r="DL2691" s="4"/>
      <c r="DM2691" s="4"/>
      <c r="DN2691" s="4"/>
      <c r="DO2691" s="4"/>
      <c r="DP2691" s="4"/>
      <c r="DQ2691" s="4"/>
      <c r="DR2691" s="4"/>
      <c r="DS2691" s="4"/>
    </row>
    <row r="2692">
      <c r="A2692" s="4"/>
      <c r="B2692" s="4"/>
      <c r="C2692" s="4"/>
      <c r="D2692" s="4"/>
      <c r="E2692" s="4"/>
      <c r="F2692" s="4" t="s">
        <v>17</v>
      </c>
      <c r="G2692" s="15"/>
      <c r="H2692" s="4"/>
      <c r="I2692" s="4"/>
      <c r="J2692" s="4"/>
      <c r="K2692" s="4"/>
      <c r="L2692" s="4"/>
      <c r="M2692" s="4"/>
      <c r="N2692" s="4"/>
      <c r="O2692" s="4"/>
      <c r="P2692" s="4"/>
      <c r="Q2692" s="4"/>
      <c r="R2692" s="4"/>
      <c r="S2692" s="4"/>
      <c r="T2692" s="4"/>
      <c r="U2692" s="4"/>
      <c r="V2692" s="4"/>
      <c r="W2692" s="4"/>
      <c r="X2692" s="4"/>
      <c r="Y2692" s="4"/>
      <c r="Z2692" s="4"/>
      <c r="AA2692" s="4"/>
      <c r="AB2692" s="4"/>
      <c r="AC2692" s="4"/>
      <c r="AD2692" s="4"/>
      <c r="AE2692" s="4"/>
      <c r="AF2692" s="4"/>
      <c r="AG2692" s="4"/>
      <c r="AH2692" s="4"/>
      <c r="AI2692" s="4"/>
      <c r="AJ2692" s="4"/>
      <c r="AK2692" s="4"/>
      <c r="AL2692" s="4"/>
      <c r="AM2692" s="4"/>
      <c r="AN2692" s="4"/>
      <c r="AO2692" s="4"/>
      <c r="AP2692" s="4"/>
      <c r="AQ2692" s="4"/>
      <c r="AR2692" s="4"/>
      <c r="AS2692" s="4"/>
      <c r="AT2692" s="4"/>
      <c r="AU2692" s="4"/>
      <c r="AV2692" s="4"/>
      <c r="AW2692" s="4"/>
      <c r="AX2692" s="4"/>
      <c r="AY2692" s="4"/>
      <c r="AZ2692" s="4"/>
      <c r="BA2692" s="4"/>
      <c r="BB2692" s="4"/>
      <c r="BC2692" s="4"/>
      <c r="BD2692" s="4"/>
      <c r="BE2692" s="4"/>
      <c r="BF2692" s="4"/>
      <c r="BG2692" s="4"/>
      <c r="BH2692" s="4"/>
      <c r="BI2692" s="4"/>
      <c r="BJ2692" s="4"/>
      <c r="BK2692" s="4"/>
      <c r="BL2692" s="4"/>
      <c r="BM2692" s="4"/>
      <c r="BN2692" s="4"/>
      <c r="BO2692" s="4"/>
      <c r="BP2692" s="4"/>
      <c r="BQ2692" s="4"/>
      <c r="BR2692" s="4"/>
      <c r="BS2692" s="4"/>
      <c r="BT2692" s="4"/>
      <c r="BU2692" s="4"/>
      <c r="BV2692" s="4"/>
      <c r="BW2692" s="4"/>
      <c r="BX2692" s="4"/>
      <c r="BY2692" s="4"/>
      <c r="BZ2692" s="4"/>
      <c r="CA2692" s="4"/>
      <c r="CB2692" s="4"/>
      <c r="CC2692" s="4"/>
      <c r="CD2692" s="4"/>
      <c r="CE2692" s="4"/>
      <c r="CF2692" s="4"/>
      <c r="CG2692" s="4"/>
      <c r="CH2692" s="4"/>
      <c r="CI2692" s="4"/>
      <c r="CJ2692" s="4"/>
      <c r="CK2692" s="4"/>
      <c r="CL2692" s="4"/>
      <c r="CM2692" s="4"/>
      <c r="CN2692" s="4"/>
      <c r="CO2692" s="4"/>
      <c r="CP2692" s="4"/>
      <c r="CQ2692" s="4"/>
      <c r="CR2692" s="4"/>
      <c r="CS2692" s="4"/>
      <c r="CT2692" s="4"/>
      <c r="CU2692" s="4"/>
      <c r="CV2692" s="4"/>
      <c r="CW2692" s="4"/>
      <c r="CX2692" s="4"/>
      <c r="CY2692" s="4"/>
      <c r="CZ2692" s="4"/>
      <c r="DA2692" s="4"/>
      <c r="DB2692" s="4"/>
      <c r="DC2692" s="4"/>
      <c r="DD2692" s="4"/>
      <c r="DE2692" s="4"/>
      <c r="DF2692" s="4"/>
      <c r="DG2692" s="4"/>
      <c r="DH2692" s="4"/>
      <c r="DI2692" s="4"/>
      <c r="DJ2692" s="4"/>
      <c r="DK2692" s="4"/>
      <c r="DL2692" s="4"/>
      <c r="DM2692" s="4"/>
      <c r="DN2692" s="4"/>
      <c r="DO2692" s="4"/>
      <c r="DP2692" s="4"/>
      <c r="DQ2692" s="4"/>
      <c r="DR2692" s="4"/>
      <c r="DS2692" s="4"/>
    </row>
    <row r="2693">
      <c r="A2693" s="4"/>
      <c r="B2693" s="4"/>
      <c r="C2693" s="4"/>
      <c r="D2693" s="4"/>
      <c r="E2693" s="4"/>
      <c r="F2693" s="4" t="s">
        <v>17</v>
      </c>
      <c r="G2693" s="15"/>
      <c r="H2693" s="4"/>
      <c r="I2693" s="4"/>
      <c r="J2693" s="4"/>
      <c r="K2693" s="4"/>
      <c r="L2693" s="4"/>
      <c r="M2693" s="4"/>
      <c r="N2693" s="4"/>
      <c r="O2693" s="4"/>
      <c r="P2693" s="4"/>
      <c r="Q2693" s="4"/>
      <c r="R2693" s="4"/>
      <c r="S2693" s="4"/>
      <c r="T2693" s="4"/>
      <c r="U2693" s="4"/>
      <c r="V2693" s="4"/>
      <c r="W2693" s="4"/>
      <c r="X2693" s="4"/>
      <c r="Y2693" s="4"/>
      <c r="Z2693" s="4"/>
      <c r="AA2693" s="4"/>
      <c r="AB2693" s="4"/>
      <c r="AC2693" s="4"/>
      <c r="AD2693" s="4"/>
      <c r="AE2693" s="4"/>
      <c r="AF2693" s="4"/>
      <c r="AG2693" s="4"/>
      <c r="AH2693" s="4"/>
      <c r="AI2693" s="4"/>
      <c r="AJ2693" s="4"/>
      <c r="AK2693" s="4"/>
      <c r="AL2693" s="4"/>
      <c r="AM2693" s="4"/>
      <c r="AN2693" s="4"/>
      <c r="AO2693" s="4"/>
      <c r="AP2693" s="4"/>
      <c r="AQ2693" s="4"/>
      <c r="AR2693" s="4"/>
      <c r="AS2693" s="4"/>
      <c r="AT2693" s="4"/>
      <c r="AU2693" s="4"/>
      <c r="AV2693" s="4"/>
      <c r="AW2693" s="4"/>
      <c r="AX2693" s="4"/>
      <c r="AY2693" s="4"/>
      <c r="AZ2693" s="4"/>
      <c r="BA2693" s="4"/>
      <c r="BB2693" s="4"/>
      <c r="BC2693" s="4"/>
      <c r="BD2693" s="4"/>
      <c r="BE2693" s="4"/>
      <c r="BF2693" s="4"/>
      <c r="BG2693" s="4"/>
      <c r="BH2693" s="4"/>
      <c r="BI2693" s="4"/>
      <c r="BJ2693" s="4"/>
      <c r="BK2693" s="4"/>
      <c r="BL2693" s="4"/>
      <c r="BM2693" s="4"/>
      <c r="BN2693" s="4"/>
      <c r="BO2693" s="4"/>
      <c r="BP2693" s="4"/>
      <c r="BQ2693" s="4"/>
      <c r="BR2693" s="4"/>
      <c r="BS2693" s="4"/>
      <c r="BT2693" s="4"/>
      <c r="BU2693" s="4"/>
      <c r="BV2693" s="4"/>
      <c r="BW2693" s="4"/>
      <c r="BX2693" s="4"/>
      <c r="BY2693" s="4"/>
      <c r="BZ2693" s="4"/>
      <c r="CA2693" s="4"/>
      <c r="CB2693" s="4"/>
      <c r="CC2693" s="4"/>
      <c r="CD2693" s="4"/>
      <c r="CE2693" s="4"/>
      <c r="CF2693" s="4"/>
      <c r="CG2693" s="4"/>
      <c r="CH2693" s="4"/>
      <c r="CI2693" s="4"/>
      <c r="CJ2693" s="4"/>
      <c r="CK2693" s="4"/>
      <c r="CL2693" s="4"/>
      <c r="CM2693" s="4"/>
      <c r="CN2693" s="4"/>
      <c r="CO2693" s="4"/>
      <c r="CP2693" s="4"/>
      <c r="CQ2693" s="4"/>
      <c r="CR2693" s="4"/>
      <c r="CS2693" s="4"/>
      <c r="CT2693" s="4"/>
      <c r="CU2693" s="4"/>
      <c r="CV2693" s="4"/>
      <c r="CW2693" s="4"/>
      <c r="CX2693" s="4"/>
      <c r="CY2693" s="4"/>
      <c r="CZ2693" s="4"/>
      <c r="DA2693" s="4"/>
      <c r="DB2693" s="4"/>
      <c r="DC2693" s="4"/>
      <c r="DD2693" s="4"/>
      <c r="DE2693" s="4"/>
      <c r="DF2693" s="4"/>
      <c r="DG2693" s="4"/>
      <c r="DH2693" s="4"/>
      <c r="DI2693" s="4"/>
      <c r="DJ2693" s="4"/>
      <c r="DK2693" s="4"/>
      <c r="DL2693" s="4"/>
      <c r="DM2693" s="4"/>
      <c r="DN2693" s="4"/>
      <c r="DO2693" s="4"/>
      <c r="DP2693" s="4"/>
      <c r="DQ2693" s="4"/>
      <c r="DR2693" s="4"/>
      <c r="DS2693" s="4"/>
    </row>
    <row r="2694">
      <c r="A2694" s="4"/>
      <c r="B2694" s="4"/>
      <c r="C2694" s="4"/>
      <c r="D2694" s="4"/>
      <c r="E2694" s="4"/>
      <c r="F2694" s="4" t="s">
        <v>17</v>
      </c>
      <c r="G2694" s="15"/>
      <c r="H2694" s="4"/>
      <c r="I2694" s="4"/>
      <c r="J2694" s="4"/>
      <c r="K2694" s="4"/>
      <c r="L2694" s="4"/>
      <c r="M2694" s="4"/>
      <c r="N2694" s="4"/>
      <c r="O2694" s="4"/>
      <c r="P2694" s="4"/>
      <c r="Q2694" s="4"/>
      <c r="R2694" s="4"/>
      <c r="S2694" s="4"/>
      <c r="T2694" s="4"/>
      <c r="U2694" s="4"/>
      <c r="V2694" s="4"/>
      <c r="W2694" s="4"/>
      <c r="X2694" s="4"/>
      <c r="Y2694" s="4"/>
      <c r="Z2694" s="4"/>
      <c r="AA2694" s="4"/>
      <c r="AB2694" s="4"/>
      <c r="AC2694" s="4"/>
      <c r="AD2694" s="4"/>
      <c r="AE2694" s="4"/>
      <c r="AF2694" s="4"/>
      <c r="AG2694" s="4"/>
      <c r="AH2694" s="4"/>
      <c r="AI2694" s="4"/>
      <c r="AJ2694" s="4"/>
      <c r="AK2694" s="4"/>
      <c r="AL2694" s="4"/>
      <c r="AM2694" s="4"/>
      <c r="AN2694" s="4"/>
      <c r="AO2694" s="4"/>
      <c r="AP2694" s="4"/>
      <c r="AQ2694" s="4"/>
      <c r="AR2694" s="4"/>
      <c r="AS2694" s="4"/>
      <c r="AT2694" s="4"/>
      <c r="AU2694" s="4"/>
      <c r="AV2694" s="4"/>
      <c r="AW2694" s="4"/>
      <c r="AX2694" s="4"/>
      <c r="AY2694" s="4"/>
      <c r="AZ2694" s="4"/>
      <c r="BA2694" s="4"/>
      <c r="BB2694" s="4"/>
      <c r="BC2694" s="4"/>
      <c r="BD2694" s="4"/>
      <c r="BE2694" s="4"/>
      <c r="BF2694" s="4"/>
      <c r="BG2694" s="4"/>
      <c r="BH2694" s="4"/>
      <c r="BI2694" s="4"/>
      <c r="BJ2694" s="4"/>
      <c r="BK2694" s="4"/>
      <c r="BL2694" s="4"/>
      <c r="BM2694" s="4"/>
      <c r="BN2694" s="4"/>
      <c r="BO2694" s="4"/>
      <c r="BP2694" s="4"/>
      <c r="BQ2694" s="4"/>
      <c r="BR2694" s="4"/>
      <c r="BS2694" s="4"/>
      <c r="BT2694" s="4"/>
      <c r="BU2694" s="4"/>
      <c r="BV2694" s="4"/>
      <c r="BW2694" s="4"/>
      <c r="BX2694" s="4"/>
      <c r="BY2694" s="4"/>
      <c r="BZ2694" s="4"/>
      <c r="CA2694" s="4"/>
      <c r="CB2694" s="4"/>
      <c r="CC2694" s="4"/>
      <c r="CD2694" s="4"/>
      <c r="CE2694" s="4"/>
      <c r="CF2694" s="4"/>
      <c r="CG2694" s="4"/>
      <c r="CH2694" s="4"/>
      <c r="CI2694" s="4"/>
      <c r="CJ2694" s="4"/>
      <c r="CK2694" s="4"/>
      <c r="CL2694" s="4"/>
      <c r="CM2694" s="4"/>
      <c r="CN2694" s="4"/>
      <c r="CO2694" s="4"/>
      <c r="CP2694" s="4"/>
      <c r="CQ2694" s="4"/>
      <c r="CR2694" s="4"/>
      <c r="CS2694" s="4"/>
      <c r="CT2694" s="4"/>
      <c r="CU2694" s="4"/>
      <c r="CV2694" s="4"/>
      <c r="CW2694" s="4"/>
      <c r="CX2694" s="4"/>
      <c r="CY2694" s="4"/>
      <c r="CZ2694" s="4"/>
      <c r="DA2694" s="4"/>
      <c r="DB2694" s="4"/>
      <c r="DC2694" s="4"/>
      <c r="DD2694" s="4"/>
      <c r="DE2694" s="4"/>
      <c r="DF2694" s="4"/>
      <c r="DG2694" s="4"/>
      <c r="DH2694" s="4"/>
      <c r="DI2694" s="4"/>
      <c r="DJ2694" s="4"/>
      <c r="DK2694" s="4"/>
      <c r="DL2694" s="4"/>
      <c r="DM2694" s="4"/>
      <c r="DN2694" s="4"/>
      <c r="DO2694" s="4"/>
      <c r="DP2694" s="4"/>
      <c r="DQ2694" s="4"/>
      <c r="DR2694" s="4"/>
      <c r="DS2694" s="4"/>
    </row>
    <row r="2695">
      <c r="A2695" s="4"/>
      <c r="B2695" s="4"/>
      <c r="C2695" s="4"/>
      <c r="D2695" s="4"/>
      <c r="E2695" s="4"/>
      <c r="F2695" s="4" t="s">
        <v>17</v>
      </c>
      <c r="G2695" s="15"/>
      <c r="H2695" s="4"/>
      <c r="I2695" s="4"/>
      <c r="J2695" s="4"/>
      <c r="K2695" s="4"/>
      <c r="L2695" s="4"/>
      <c r="M2695" s="4"/>
      <c r="N2695" s="4"/>
      <c r="O2695" s="4"/>
      <c r="P2695" s="4"/>
      <c r="Q2695" s="4"/>
      <c r="R2695" s="4"/>
      <c r="S2695" s="4"/>
      <c r="T2695" s="4"/>
      <c r="U2695" s="4"/>
      <c r="V2695" s="4"/>
      <c r="W2695" s="4"/>
      <c r="X2695" s="4"/>
      <c r="Y2695" s="4"/>
      <c r="Z2695" s="4"/>
      <c r="AA2695" s="4"/>
      <c r="AB2695" s="4"/>
      <c r="AC2695" s="4"/>
      <c r="AD2695" s="4"/>
      <c r="AE2695" s="4"/>
      <c r="AF2695" s="4"/>
      <c r="AG2695" s="4"/>
      <c r="AH2695" s="4"/>
      <c r="AI2695" s="4"/>
      <c r="AJ2695" s="4"/>
      <c r="AK2695" s="4"/>
      <c r="AL2695" s="4"/>
      <c r="AM2695" s="4"/>
      <c r="AN2695" s="4"/>
      <c r="AO2695" s="4"/>
      <c r="AP2695" s="4"/>
      <c r="AQ2695" s="4"/>
      <c r="AR2695" s="4"/>
      <c r="AS2695" s="4"/>
      <c r="AT2695" s="4"/>
      <c r="AU2695" s="4"/>
      <c r="AV2695" s="4"/>
      <c r="AW2695" s="4"/>
      <c r="AX2695" s="4"/>
      <c r="AY2695" s="4"/>
      <c r="AZ2695" s="4"/>
      <c r="BA2695" s="4"/>
      <c r="BB2695" s="4"/>
      <c r="BC2695" s="4"/>
      <c r="BD2695" s="4"/>
      <c r="BE2695" s="4"/>
      <c r="BF2695" s="4"/>
      <c r="BG2695" s="4"/>
      <c r="BH2695" s="4"/>
      <c r="BI2695" s="4"/>
      <c r="BJ2695" s="4"/>
      <c r="BK2695" s="4"/>
      <c r="BL2695" s="4"/>
      <c r="BM2695" s="4"/>
      <c r="BN2695" s="4"/>
      <c r="BO2695" s="4"/>
      <c r="BP2695" s="4"/>
      <c r="BQ2695" s="4"/>
      <c r="BR2695" s="4"/>
      <c r="BS2695" s="4"/>
      <c r="BT2695" s="4"/>
      <c r="BU2695" s="4"/>
      <c r="BV2695" s="4"/>
      <c r="BW2695" s="4"/>
      <c r="BX2695" s="4"/>
      <c r="BY2695" s="4"/>
      <c r="BZ2695" s="4"/>
      <c r="CA2695" s="4"/>
      <c r="CB2695" s="4"/>
      <c r="CC2695" s="4"/>
      <c r="CD2695" s="4"/>
      <c r="CE2695" s="4"/>
      <c r="CF2695" s="4"/>
      <c r="CG2695" s="4"/>
      <c r="CH2695" s="4"/>
      <c r="CI2695" s="4"/>
      <c r="CJ2695" s="4"/>
      <c r="CK2695" s="4"/>
      <c r="CL2695" s="4"/>
      <c r="CM2695" s="4"/>
      <c r="CN2695" s="4"/>
      <c r="CO2695" s="4"/>
      <c r="CP2695" s="4"/>
      <c r="CQ2695" s="4"/>
      <c r="CR2695" s="4"/>
      <c r="CS2695" s="4"/>
      <c r="CT2695" s="4"/>
      <c r="CU2695" s="4"/>
      <c r="CV2695" s="4"/>
      <c r="CW2695" s="4"/>
      <c r="CX2695" s="4"/>
      <c r="CY2695" s="4"/>
      <c r="CZ2695" s="4"/>
      <c r="DA2695" s="4"/>
      <c r="DB2695" s="4"/>
      <c r="DC2695" s="4"/>
      <c r="DD2695" s="4"/>
      <c r="DE2695" s="4"/>
      <c r="DF2695" s="4"/>
      <c r="DG2695" s="4"/>
      <c r="DH2695" s="4"/>
      <c r="DI2695" s="4"/>
      <c r="DJ2695" s="4"/>
      <c r="DK2695" s="4"/>
      <c r="DL2695" s="4"/>
      <c r="DM2695" s="4"/>
      <c r="DN2695" s="4"/>
      <c r="DO2695" s="4"/>
      <c r="DP2695" s="4"/>
      <c r="DQ2695" s="4"/>
      <c r="DR2695" s="4"/>
      <c r="DS2695" s="4"/>
    </row>
    <row r="2696">
      <c r="A2696" s="4"/>
      <c r="B2696" s="4"/>
      <c r="C2696" s="4"/>
      <c r="D2696" s="4"/>
      <c r="E2696" s="4"/>
      <c r="F2696" s="4" t="s">
        <v>17</v>
      </c>
      <c r="G2696" s="15"/>
      <c r="H2696" s="4"/>
      <c r="I2696" s="4"/>
      <c r="J2696" s="4"/>
      <c r="K2696" s="4"/>
      <c r="L2696" s="4"/>
      <c r="M2696" s="4"/>
      <c r="N2696" s="4"/>
      <c r="O2696" s="4"/>
      <c r="P2696" s="4"/>
      <c r="Q2696" s="4"/>
      <c r="R2696" s="4"/>
      <c r="S2696" s="4"/>
      <c r="T2696" s="4"/>
      <c r="U2696" s="4"/>
      <c r="V2696" s="4"/>
      <c r="W2696" s="4"/>
      <c r="X2696" s="4"/>
      <c r="Y2696" s="4"/>
      <c r="Z2696" s="4"/>
      <c r="AA2696" s="4"/>
      <c r="AB2696" s="4"/>
      <c r="AC2696" s="4"/>
      <c r="AD2696" s="4"/>
      <c r="AE2696" s="4"/>
      <c r="AF2696" s="4"/>
      <c r="AG2696" s="4"/>
      <c r="AH2696" s="4"/>
      <c r="AI2696" s="4"/>
      <c r="AJ2696" s="4"/>
      <c r="AK2696" s="4"/>
      <c r="AL2696" s="4"/>
      <c r="AM2696" s="4"/>
      <c r="AN2696" s="4"/>
      <c r="AO2696" s="4"/>
      <c r="AP2696" s="4"/>
      <c r="AQ2696" s="4"/>
      <c r="AR2696" s="4"/>
      <c r="AS2696" s="4"/>
      <c r="AT2696" s="4"/>
      <c r="AU2696" s="4"/>
      <c r="AV2696" s="4"/>
      <c r="AW2696" s="4"/>
      <c r="AX2696" s="4"/>
      <c r="AY2696" s="4"/>
      <c r="AZ2696" s="4"/>
      <c r="BA2696" s="4"/>
      <c r="BB2696" s="4"/>
      <c r="BC2696" s="4"/>
      <c r="BD2696" s="4"/>
      <c r="BE2696" s="4"/>
      <c r="BF2696" s="4"/>
      <c r="BG2696" s="4"/>
      <c r="BH2696" s="4"/>
      <c r="BI2696" s="4"/>
      <c r="BJ2696" s="4"/>
      <c r="BK2696" s="4"/>
      <c r="BL2696" s="4"/>
      <c r="BM2696" s="4"/>
      <c r="BN2696" s="4"/>
      <c r="BO2696" s="4"/>
      <c r="BP2696" s="4"/>
      <c r="BQ2696" s="4"/>
      <c r="BR2696" s="4"/>
      <c r="BS2696" s="4"/>
      <c r="BT2696" s="4"/>
      <c r="BU2696" s="4"/>
      <c r="BV2696" s="4"/>
      <c r="BW2696" s="4"/>
      <c r="BX2696" s="4"/>
      <c r="BY2696" s="4"/>
      <c r="BZ2696" s="4"/>
      <c r="CA2696" s="4"/>
      <c r="CB2696" s="4"/>
      <c r="CC2696" s="4"/>
      <c r="CD2696" s="4"/>
      <c r="CE2696" s="4"/>
      <c r="CF2696" s="4"/>
      <c r="CG2696" s="4"/>
      <c r="CH2696" s="4"/>
      <c r="CI2696" s="4"/>
      <c r="CJ2696" s="4"/>
      <c r="CK2696" s="4"/>
      <c r="CL2696" s="4"/>
      <c r="CM2696" s="4"/>
      <c r="CN2696" s="4"/>
      <c r="CO2696" s="4"/>
      <c r="CP2696" s="4"/>
      <c r="CQ2696" s="4"/>
      <c r="CR2696" s="4"/>
      <c r="CS2696" s="4"/>
      <c r="CT2696" s="4"/>
      <c r="CU2696" s="4"/>
      <c r="CV2696" s="4"/>
      <c r="CW2696" s="4"/>
      <c r="CX2696" s="4"/>
      <c r="CY2696" s="4"/>
      <c r="CZ2696" s="4"/>
      <c r="DA2696" s="4"/>
      <c r="DB2696" s="4"/>
      <c r="DC2696" s="4"/>
      <c r="DD2696" s="4"/>
      <c r="DE2696" s="4"/>
      <c r="DF2696" s="4"/>
      <c r="DG2696" s="4"/>
      <c r="DH2696" s="4"/>
      <c r="DI2696" s="4"/>
      <c r="DJ2696" s="4"/>
      <c r="DK2696" s="4"/>
      <c r="DL2696" s="4"/>
      <c r="DM2696" s="4"/>
      <c r="DN2696" s="4"/>
      <c r="DO2696" s="4"/>
      <c r="DP2696" s="4"/>
      <c r="DQ2696" s="4"/>
      <c r="DR2696" s="4"/>
      <c r="DS2696" s="4"/>
    </row>
    <row r="2697">
      <c r="A2697" s="4"/>
      <c r="B2697" s="4"/>
      <c r="C2697" s="4"/>
      <c r="D2697" s="4"/>
      <c r="E2697" s="4"/>
      <c r="F2697" s="4" t="s">
        <v>17</v>
      </c>
      <c r="G2697" s="15"/>
      <c r="H2697" s="4"/>
      <c r="I2697" s="4"/>
      <c r="J2697" s="4"/>
      <c r="K2697" s="4"/>
      <c r="L2697" s="4"/>
      <c r="M2697" s="4"/>
      <c r="N2697" s="4"/>
      <c r="O2697" s="4"/>
      <c r="P2697" s="4"/>
      <c r="Q2697" s="4"/>
      <c r="R2697" s="4"/>
      <c r="S2697" s="4"/>
      <c r="T2697" s="4"/>
      <c r="U2697" s="4"/>
      <c r="V2697" s="4"/>
      <c r="W2697" s="4"/>
      <c r="X2697" s="4"/>
      <c r="Y2697" s="4"/>
      <c r="Z2697" s="4"/>
      <c r="AA2697" s="4"/>
      <c r="AB2697" s="4"/>
      <c r="AC2697" s="4"/>
      <c r="AD2697" s="4"/>
      <c r="AE2697" s="4"/>
      <c r="AF2697" s="4"/>
      <c r="AG2697" s="4"/>
      <c r="AH2697" s="4"/>
      <c r="AI2697" s="4"/>
      <c r="AJ2697" s="4"/>
      <c r="AK2697" s="4"/>
      <c r="AL2697" s="4"/>
      <c r="AM2697" s="4"/>
      <c r="AN2697" s="4"/>
      <c r="AO2697" s="4"/>
      <c r="AP2697" s="4"/>
      <c r="AQ2697" s="4"/>
      <c r="AR2697" s="4"/>
      <c r="AS2697" s="4"/>
      <c r="AT2697" s="4"/>
      <c r="AU2697" s="4"/>
      <c r="AV2697" s="4"/>
      <c r="AW2697" s="4"/>
      <c r="AX2697" s="4"/>
      <c r="AY2697" s="4"/>
      <c r="AZ2697" s="4"/>
      <c r="BA2697" s="4"/>
      <c r="BB2697" s="4"/>
      <c r="BC2697" s="4"/>
      <c r="BD2697" s="4"/>
      <c r="BE2697" s="4"/>
      <c r="BF2697" s="4"/>
      <c r="BG2697" s="4"/>
      <c r="BH2697" s="4"/>
      <c r="BI2697" s="4"/>
      <c r="BJ2697" s="4"/>
      <c r="BK2697" s="4"/>
      <c r="BL2697" s="4"/>
      <c r="BM2697" s="4"/>
      <c r="BN2697" s="4"/>
      <c r="BO2697" s="4"/>
      <c r="BP2697" s="4"/>
      <c r="BQ2697" s="4"/>
      <c r="BR2697" s="4"/>
      <c r="BS2697" s="4"/>
      <c r="BT2697" s="4"/>
      <c r="BU2697" s="4"/>
      <c r="BV2697" s="4"/>
      <c r="BW2697" s="4"/>
      <c r="BX2697" s="4"/>
      <c r="BY2697" s="4"/>
      <c r="BZ2697" s="4"/>
      <c r="CA2697" s="4"/>
      <c r="CB2697" s="4"/>
      <c r="CC2697" s="4"/>
      <c r="CD2697" s="4"/>
      <c r="CE2697" s="4"/>
      <c r="CF2697" s="4"/>
      <c r="CG2697" s="4"/>
      <c r="CH2697" s="4"/>
      <c r="CI2697" s="4"/>
      <c r="CJ2697" s="4"/>
      <c r="CK2697" s="4"/>
      <c r="CL2697" s="4"/>
      <c r="CM2697" s="4"/>
      <c r="CN2697" s="4"/>
      <c r="CO2697" s="4"/>
      <c r="CP2697" s="4"/>
      <c r="CQ2697" s="4"/>
      <c r="CR2697" s="4"/>
      <c r="CS2697" s="4"/>
      <c r="CT2697" s="4"/>
      <c r="CU2697" s="4"/>
      <c r="CV2697" s="4"/>
      <c r="CW2697" s="4"/>
      <c r="CX2697" s="4"/>
      <c r="CY2697" s="4"/>
      <c r="CZ2697" s="4"/>
      <c r="DA2697" s="4"/>
      <c r="DB2697" s="4"/>
      <c r="DC2697" s="4"/>
      <c r="DD2697" s="4"/>
      <c r="DE2697" s="4"/>
      <c r="DF2697" s="4"/>
      <c r="DG2697" s="4"/>
      <c r="DH2697" s="4"/>
      <c r="DI2697" s="4"/>
      <c r="DJ2697" s="4"/>
      <c r="DK2697" s="4"/>
      <c r="DL2697" s="4"/>
      <c r="DM2697" s="4"/>
      <c r="DN2697" s="4"/>
      <c r="DO2697" s="4"/>
      <c r="DP2697" s="4"/>
      <c r="DQ2697" s="4"/>
      <c r="DR2697" s="4"/>
      <c r="DS2697" s="4"/>
    </row>
    <row r="2698">
      <c r="A2698" s="4"/>
      <c r="B2698" s="4"/>
      <c r="C2698" s="4"/>
      <c r="D2698" s="4"/>
      <c r="E2698" s="4"/>
      <c r="F2698" s="4" t="s">
        <v>17</v>
      </c>
      <c r="G2698" s="15"/>
      <c r="H2698" s="4"/>
      <c r="I2698" s="4"/>
      <c r="J2698" s="4"/>
      <c r="K2698" s="4"/>
      <c r="L2698" s="4"/>
      <c r="M2698" s="4"/>
      <c r="N2698" s="4"/>
      <c r="O2698" s="4"/>
      <c r="P2698" s="4"/>
      <c r="Q2698" s="4"/>
      <c r="R2698" s="4"/>
      <c r="S2698" s="4"/>
      <c r="T2698" s="4"/>
      <c r="U2698" s="4"/>
      <c r="V2698" s="4"/>
      <c r="W2698" s="4"/>
      <c r="X2698" s="4"/>
      <c r="Y2698" s="4"/>
      <c r="Z2698" s="4"/>
      <c r="AA2698" s="4"/>
      <c r="AB2698" s="4"/>
      <c r="AC2698" s="4"/>
      <c r="AD2698" s="4"/>
      <c r="AE2698" s="4"/>
      <c r="AF2698" s="4"/>
      <c r="AG2698" s="4"/>
      <c r="AH2698" s="4"/>
      <c r="AI2698" s="4"/>
      <c r="AJ2698" s="4"/>
      <c r="AK2698" s="4"/>
      <c r="AL2698" s="4"/>
      <c r="AM2698" s="4"/>
      <c r="AN2698" s="4"/>
      <c r="AO2698" s="4"/>
      <c r="AP2698" s="4"/>
      <c r="AQ2698" s="4"/>
      <c r="AR2698" s="4"/>
      <c r="AS2698" s="4"/>
      <c r="AT2698" s="4"/>
      <c r="AU2698" s="4"/>
      <c r="AV2698" s="4"/>
      <c r="AW2698" s="4"/>
      <c r="AX2698" s="4"/>
      <c r="AY2698" s="4"/>
      <c r="AZ2698" s="4"/>
      <c r="BA2698" s="4"/>
      <c r="BB2698" s="4"/>
      <c r="BC2698" s="4"/>
      <c r="BD2698" s="4"/>
      <c r="BE2698" s="4"/>
      <c r="BF2698" s="4"/>
      <c r="BG2698" s="4"/>
      <c r="BH2698" s="4"/>
      <c r="BI2698" s="4"/>
      <c r="BJ2698" s="4"/>
      <c r="BK2698" s="4"/>
      <c r="BL2698" s="4"/>
      <c r="BM2698" s="4"/>
      <c r="BN2698" s="4"/>
      <c r="BO2698" s="4"/>
      <c r="BP2698" s="4"/>
      <c r="BQ2698" s="4"/>
      <c r="BR2698" s="4"/>
      <c r="BS2698" s="4"/>
      <c r="BT2698" s="4"/>
      <c r="BU2698" s="4"/>
      <c r="BV2698" s="4"/>
      <c r="BW2698" s="4"/>
      <c r="BX2698" s="4"/>
      <c r="BY2698" s="4"/>
      <c r="BZ2698" s="4"/>
      <c r="CA2698" s="4"/>
      <c r="CB2698" s="4"/>
      <c r="CC2698" s="4"/>
      <c r="CD2698" s="4"/>
      <c r="CE2698" s="4"/>
      <c r="CF2698" s="4"/>
      <c r="CG2698" s="4"/>
      <c r="CH2698" s="4"/>
      <c r="CI2698" s="4"/>
      <c r="CJ2698" s="4"/>
      <c r="CK2698" s="4"/>
      <c r="CL2698" s="4"/>
      <c r="CM2698" s="4"/>
      <c r="CN2698" s="4"/>
      <c r="CO2698" s="4"/>
      <c r="CP2698" s="4"/>
      <c r="CQ2698" s="4"/>
      <c r="CR2698" s="4"/>
      <c r="CS2698" s="4"/>
      <c r="CT2698" s="4"/>
      <c r="CU2698" s="4"/>
      <c r="CV2698" s="4"/>
      <c r="CW2698" s="4"/>
      <c r="CX2698" s="4"/>
      <c r="CY2698" s="4"/>
      <c r="CZ2698" s="4"/>
      <c r="DA2698" s="4"/>
      <c r="DB2698" s="4"/>
      <c r="DC2698" s="4"/>
      <c r="DD2698" s="4"/>
      <c r="DE2698" s="4"/>
      <c r="DF2698" s="4"/>
      <c r="DG2698" s="4"/>
      <c r="DH2698" s="4"/>
      <c r="DI2698" s="4"/>
      <c r="DJ2698" s="4"/>
      <c r="DK2698" s="4"/>
      <c r="DL2698" s="4"/>
      <c r="DM2698" s="4"/>
      <c r="DN2698" s="4"/>
      <c r="DO2698" s="4"/>
      <c r="DP2698" s="4"/>
      <c r="DQ2698" s="4"/>
      <c r="DR2698" s="4"/>
      <c r="DS2698" s="4"/>
    </row>
    <row r="2699">
      <c r="A2699" s="4"/>
      <c r="B2699" s="4"/>
      <c r="C2699" s="4"/>
      <c r="D2699" s="4"/>
      <c r="E2699" s="4"/>
      <c r="F2699" s="4" t="s">
        <v>17</v>
      </c>
      <c r="G2699" s="15"/>
      <c r="H2699" s="4"/>
      <c r="I2699" s="4"/>
      <c r="J2699" s="4"/>
      <c r="K2699" s="4"/>
      <c r="L2699" s="4"/>
      <c r="M2699" s="4"/>
      <c r="N2699" s="4"/>
      <c r="O2699" s="4"/>
      <c r="P2699" s="4"/>
      <c r="Q2699" s="4"/>
      <c r="R2699" s="4"/>
      <c r="S2699" s="4"/>
      <c r="T2699" s="4"/>
      <c r="U2699" s="4"/>
      <c r="V2699" s="4"/>
      <c r="W2699" s="4"/>
      <c r="X2699" s="4"/>
      <c r="Y2699" s="4"/>
      <c r="Z2699" s="4"/>
      <c r="AA2699" s="4"/>
      <c r="AB2699" s="4"/>
      <c r="AC2699" s="4"/>
      <c r="AD2699" s="4"/>
      <c r="AE2699" s="4"/>
      <c r="AF2699" s="4"/>
      <c r="AG2699" s="4"/>
      <c r="AH2699" s="4"/>
      <c r="AI2699" s="4"/>
      <c r="AJ2699" s="4"/>
      <c r="AK2699" s="4"/>
      <c r="AL2699" s="4"/>
      <c r="AM2699" s="4"/>
      <c r="AN2699" s="4"/>
      <c r="AO2699" s="4"/>
      <c r="AP2699" s="4"/>
      <c r="AQ2699" s="4"/>
      <c r="AR2699" s="4"/>
      <c r="AS2699" s="4"/>
      <c r="AT2699" s="4"/>
      <c r="AU2699" s="4"/>
      <c r="AV2699" s="4"/>
      <c r="AW2699" s="4"/>
      <c r="AX2699" s="4"/>
      <c r="AY2699" s="4"/>
      <c r="AZ2699" s="4"/>
      <c r="BA2699" s="4"/>
      <c r="BB2699" s="4"/>
      <c r="BC2699" s="4"/>
      <c r="BD2699" s="4"/>
      <c r="BE2699" s="4"/>
      <c r="BF2699" s="4"/>
      <c r="BG2699" s="4"/>
      <c r="BH2699" s="4"/>
      <c r="BI2699" s="4"/>
      <c r="BJ2699" s="4"/>
      <c r="BK2699" s="4"/>
      <c r="BL2699" s="4"/>
      <c r="BM2699" s="4"/>
      <c r="BN2699" s="4"/>
      <c r="BO2699" s="4"/>
      <c r="BP2699" s="4"/>
      <c r="BQ2699" s="4"/>
      <c r="BR2699" s="4"/>
      <c r="BS2699" s="4"/>
      <c r="BT2699" s="4"/>
      <c r="BU2699" s="4"/>
      <c r="BV2699" s="4"/>
      <c r="BW2699" s="4"/>
      <c r="BX2699" s="4"/>
      <c r="BY2699" s="4"/>
      <c r="BZ2699" s="4"/>
      <c r="CA2699" s="4"/>
      <c r="CB2699" s="4"/>
      <c r="CC2699" s="4"/>
      <c r="CD2699" s="4"/>
      <c r="CE2699" s="4"/>
      <c r="CF2699" s="4"/>
      <c r="CG2699" s="4"/>
      <c r="CH2699" s="4"/>
      <c r="CI2699" s="4"/>
      <c r="CJ2699" s="4"/>
      <c r="CK2699" s="4"/>
      <c r="CL2699" s="4"/>
      <c r="CM2699" s="4"/>
      <c r="CN2699" s="4"/>
      <c r="CO2699" s="4"/>
      <c r="CP2699" s="4"/>
      <c r="CQ2699" s="4"/>
      <c r="CR2699" s="4"/>
      <c r="CS2699" s="4"/>
      <c r="CT2699" s="4"/>
      <c r="CU2699" s="4"/>
      <c r="CV2699" s="4"/>
      <c r="CW2699" s="4"/>
      <c r="CX2699" s="4"/>
      <c r="CY2699" s="4"/>
      <c r="CZ2699" s="4"/>
      <c r="DA2699" s="4"/>
      <c r="DB2699" s="4"/>
      <c r="DC2699" s="4"/>
      <c r="DD2699" s="4"/>
      <c r="DE2699" s="4"/>
      <c r="DF2699" s="4"/>
      <c r="DG2699" s="4"/>
      <c r="DH2699" s="4"/>
      <c r="DI2699" s="4"/>
      <c r="DJ2699" s="4"/>
      <c r="DK2699" s="4"/>
      <c r="DL2699" s="4"/>
      <c r="DM2699" s="4"/>
      <c r="DN2699" s="4"/>
      <c r="DO2699" s="4"/>
      <c r="DP2699" s="4"/>
      <c r="DQ2699" s="4"/>
      <c r="DR2699" s="4"/>
      <c r="DS2699" s="4"/>
    </row>
    <row r="2700">
      <c r="A2700" s="4"/>
      <c r="B2700" s="4"/>
      <c r="C2700" s="4"/>
      <c r="D2700" s="4"/>
      <c r="E2700" s="4"/>
      <c r="F2700" s="4" t="s">
        <v>17</v>
      </c>
      <c r="G2700" s="15"/>
      <c r="H2700" s="4"/>
      <c r="I2700" s="4"/>
      <c r="J2700" s="4"/>
      <c r="K2700" s="4"/>
      <c r="L2700" s="4"/>
      <c r="M2700" s="4"/>
      <c r="N2700" s="4"/>
      <c r="O2700" s="4"/>
      <c r="P2700" s="4"/>
      <c r="Q2700" s="4"/>
      <c r="R2700" s="4"/>
      <c r="S2700" s="4"/>
      <c r="T2700" s="4"/>
      <c r="U2700" s="4"/>
      <c r="V2700" s="4"/>
      <c r="W2700" s="4"/>
      <c r="X2700" s="4"/>
      <c r="Y2700" s="4"/>
      <c r="Z2700" s="4"/>
      <c r="AA2700" s="4"/>
      <c r="AB2700" s="4"/>
      <c r="AC2700" s="4"/>
      <c r="AD2700" s="4"/>
      <c r="AE2700" s="4"/>
      <c r="AF2700" s="4"/>
      <c r="AG2700" s="4"/>
      <c r="AH2700" s="4"/>
      <c r="AI2700" s="4"/>
      <c r="AJ2700" s="4"/>
      <c r="AK2700" s="4"/>
      <c r="AL2700" s="4"/>
      <c r="AM2700" s="4"/>
      <c r="AN2700" s="4"/>
      <c r="AO2700" s="4"/>
      <c r="AP2700" s="4"/>
      <c r="AQ2700" s="4"/>
      <c r="AR2700" s="4"/>
      <c r="AS2700" s="4"/>
      <c r="AT2700" s="4"/>
      <c r="AU2700" s="4"/>
      <c r="AV2700" s="4"/>
      <c r="AW2700" s="4"/>
      <c r="AX2700" s="4"/>
      <c r="AY2700" s="4"/>
      <c r="AZ2700" s="4"/>
      <c r="BA2700" s="4"/>
      <c r="BB2700" s="4"/>
      <c r="BC2700" s="4"/>
      <c r="BD2700" s="4"/>
      <c r="BE2700" s="4"/>
      <c r="BF2700" s="4"/>
      <c r="BG2700" s="4"/>
      <c r="BH2700" s="4"/>
      <c r="BI2700" s="4"/>
      <c r="BJ2700" s="4"/>
      <c r="BK2700" s="4"/>
      <c r="BL2700" s="4"/>
      <c r="BM2700" s="4"/>
      <c r="BN2700" s="4"/>
      <c r="BO2700" s="4"/>
      <c r="BP2700" s="4"/>
      <c r="BQ2700" s="4"/>
      <c r="BR2700" s="4"/>
      <c r="BS2700" s="4"/>
      <c r="BT2700" s="4"/>
      <c r="BU2700" s="4"/>
      <c r="BV2700" s="4"/>
      <c r="BW2700" s="4"/>
      <c r="BX2700" s="4"/>
      <c r="BY2700" s="4"/>
      <c r="BZ2700" s="4"/>
      <c r="CA2700" s="4"/>
      <c r="CB2700" s="4"/>
      <c r="CC2700" s="4"/>
      <c r="CD2700" s="4"/>
      <c r="CE2700" s="4"/>
      <c r="CF2700" s="4"/>
      <c r="CG2700" s="4"/>
      <c r="CH2700" s="4"/>
      <c r="CI2700" s="4"/>
      <c r="CJ2700" s="4"/>
      <c r="CK2700" s="4"/>
      <c r="CL2700" s="4"/>
      <c r="CM2700" s="4"/>
      <c r="CN2700" s="4"/>
      <c r="CO2700" s="4"/>
      <c r="CP2700" s="4"/>
      <c r="CQ2700" s="4"/>
      <c r="CR2700" s="4"/>
      <c r="CS2700" s="4"/>
      <c r="CT2700" s="4"/>
      <c r="CU2700" s="4"/>
      <c r="CV2700" s="4"/>
      <c r="CW2700" s="4"/>
      <c r="CX2700" s="4"/>
      <c r="CY2700" s="4"/>
      <c r="CZ2700" s="4"/>
      <c r="DA2700" s="4"/>
      <c r="DB2700" s="4"/>
      <c r="DC2700" s="4"/>
      <c r="DD2700" s="4"/>
      <c r="DE2700" s="4"/>
      <c r="DF2700" s="4"/>
      <c r="DG2700" s="4"/>
      <c r="DH2700" s="4"/>
      <c r="DI2700" s="4"/>
      <c r="DJ2700" s="4"/>
      <c r="DK2700" s="4"/>
      <c r="DL2700" s="4"/>
      <c r="DM2700" s="4"/>
      <c r="DN2700" s="4"/>
      <c r="DO2700" s="4"/>
      <c r="DP2700" s="4"/>
      <c r="DQ2700" s="4"/>
      <c r="DR2700" s="4"/>
      <c r="DS2700" s="4"/>
    </row>
    <row r="2701">
      <c r="A2701" s="4"/>
      <c r="B2701" s="4"/>
      <c r="C2701" s="4"/>
      <c r="D2701" s="4"/>
      <c r="E2701" s="4"/>
      <c r="F2701" s="4" t="s">
        <v>17</v>
      </c>
      <c r="G2701" s="15"/>
      <c r="H2701" s="4"/>
      <c r="I2701" s="4"/>
      <c r="J2701" s="4"/>
      <c r="K2701" s="4"/>
      <c r="L2701" s="4"/>
      <c r="M2701" s="4"/>
      <c r="N2701" s="4"/>
      <c r="O2701" s="4"/>
      <c r="P2701" s="4"/>
      <c r="Q2701" s="4"/>
      <c r="R2701" s="4"/>
      <c r="S2701" s="4"/>
      <c r="T2701" s="4"/>
      <c r="U2701" s="4"/>
      <c r="V2701" s="4"/>
      <c r="W2701" s="4"/>
      <c r="X2701" s="4"/>
      <c r="Y2701" s="4"/>
      <c r="Z2701" s="4"/>
      <c r="AA2701" s="4"/>
      <c r="AB2701" s="4"/>
      <c r="AC2701" s="4"/>
      <c r="AD2701" s="4"/>
      <c r="AE2701" s="4"/>
      <c r="AF2701" s="4"/>
      <c r="AG2701" s="4"/>
      <c r="AH2701" s="4"/>
      <c r="AI2701" s="4"/>
      <c r="AJ2701" s="4"/>
      <c r="AK2701" s="4"/>
      <c r="AL2701" s="4"/>
      <c r="AM2701" s="4"/>
      <c r="AN2701" s="4"/>
      <c r="AO2701" s="4"/>
      <c r="AP2701" s="4"/>
      <c r="AQ2701" s="4"/>
      <c r="AR2701" s="4"/>
      <c r="AS2701" s="4"/>
      <c r="AT2701" s="4"/>
      <c r="AU2701" s="4"/>
      <c r="AV2701" s="4"/>
      <c r="AW2701" s="4"/>
      <c r="AX2701" s="4"/>
      <c r="AY2701" s="4"/>
      <c r="AZ2701" s="4"/>
      <c r="BA2701" s="4"/>
      <c r="BB2701" s="4"/>
      <c r="BC2701" s="4"/>
      <c r="BD2701" s="4"/>
      <c r="BE2701" s="4"/>
      <c r="BF2701" s="4"/>
      <c r="BG2701" s="4"/>
      <c r="BH2701" s="4"/>
      <c r="BI2701" s="4"/>
      <c r="BJ2701" s="4"/>
      <c r="BK2701" s="4"/>
      <c r="BL2701" s="4"/>
      <c r="BM2701" s="4"/>
      <c r="BN2701" s="4"/>
      <c r="BO2701" s="4"/>
      <c r="BP2701" s="4"/>
      <c r="BQ2701" s="4"/>
      <c r="BR2701" s="4"/>
      <c r="BS2701" s="4"/>
      <c r="BT2701" s="4"/>
      <c r="BU2701" s="4"/>
      <c r="BV2701" s="4"/>
      <c r="BW2701" s="4"/>
      <c r="BX2701" s="4"/>
      <c r="BY2701" s="4"/>
      <c r="BZ2701" s="4"/>
      <c r="CA2701" s="4"/>
      <c r="CB2701" s="4"/>
      <c r="CC2701" s="4"/>
      <c r="CD2701" s="4"/>
      <c r="CE2701" s="4"/>
      <c r="CF2701" s="4"/>
      <c r="CG2701" s="4"/>
      <c r="CH2701" s="4"/>
      <c r="CI2701" s="4"/>
      <c r="CJ2701" s="4"/>
      <c r="CK2701" s="4"/>
      <c r="CL2701" s="4"/>
      <c r="CM2701" s="4"/>
      <c r="CN2701" s="4"/>
      <c r="CO2701" s="4"/>
      <c r="CP2701" s="4"/>
      <c r="CQ2701" s="4"/>
      <c r="CR2701" s="4"/>
      <c r="CS2701" s="4"/>
      <c r="CT2701" s="4"/>
      <c r="CU2701" s="4"/>
      <c r="CV2701" s="4"/>
      <c r="CW2701" s="4"/>
      <c r="CX2701" s="4"/>
      <c r="CY2701" s="4"/>
      <c r="CZ2701" s="4"/>
      <c r="DA2701" s="4"/>
      <c r="DB2701" s="4"/>
      <c r="DC2701" s="4"/>
      <c r="DD2701" s="4"/>
      <c r="DE2701" s="4"/>
      <c r="DF2701" s="4"/>
      <c r="DG2701" s="4"/>
      <c r="DH2701" s="4"/>
      <c r="DI2701" s="4"/>
      <c r="DJ2701" s="4"/>
      <c r="DK2701" s="4"/>
      <c r="DL2701" s="4"/>
      <c r="DM2701" s="4"/>
      <c r="DN2701" s="4"/>
      <c r="DO2701" s="4"/>
      <c r="DP2701" s="4"/>
      <c r="DQ2701" s="4"/>
      <c r="DR2701" s="4"/>
      <c r="DS2701" s="4"/>
    </row>
    <row r="2702">
      <c r="A2702" s="4"/>
      <c r="B2702" s="4"/>
      <c r="C2702" s="4"/>
      <c r="D2702" s="4"/>
      <c r="E2702" s="4"/>
      <c r="F2702" s="4" t="s">
        <v>17</v>
      </c>
      <c r="G2702" s="15"/>
      <c r="H2702" s="4"/>
      <c r="I2702" s="4"/>
      <c r="J2702" s="4"/>
      <c r="K2702" s="4"/>
      <c r="L2702" s="4"/>
      <c r="M2702" s="4"/>
      <c r="N2702" s="4"/>
      <c r="O2702" s="4"/>
      <c r="P2702" s="4"/>
      <c r="Q2702" s="4"/>
      <c r="R2702" s="4"/>
      <c r="S2702" s="4"/>
      <c r="T2702" s="4"/>
      <c r="U2702" s="4"/>
      <c r="V2702" s="4"/>
      <c r="W2702" s="4"/>
      <c r="X2702" s="4"/>
      <c r="Y2702" s="4"/>
      <c r="Z2702" s="4"/>
      <c r="AA2702" s="4"/>
      <c r="AB2702" s="4"/>
      <c r="AC2702" s="4"/>
      <c r="AD2702" s="4"/>
      <c r="AE2702" s="4"/>
      <c r="AF2702" s="4"/>
      <c r="AG2702" s="4"/>
      <c r="AH2702" s="4"/>
      <c r="AI2702" s="4"/>
      <c r="AJ2702" s="4"/>
      <c r="AK2702" s="4"/>
      <c r="AL2702" s="4"/>
      <c r="AM2702" s="4"/>
      <c r="AN2702" s="4"/>
      <c r="AO2702" s="4"/>
      <c r="AP2702" s="4"/>
      <c r="AQ2702" s="4"/>
      <c r="AR2702" s="4"/>
      <c r="AS2702" s="4"/>
      <c r="AT2702" s="4"/>
      <c r="AU2702" s="4"/>
      <c r="AV2702" s="4"/>
      <c r="AW2702" s="4"/>
      <c r="AX2702" s="4"/>
      <c r="AY2702" s="4"/>
      <c r="AZ2702" s="4"/>
      <c r="BA2702" s="4"/>
      <c r="BB2702" s="4"/>
      <c r="BC2702" s="4"/>
      <c r="BD2702" s="4"/>
      <c r="BE2702" s="4"/>
      <c r="BF2702" s="4"/>
      <c r="BG2702" s="4"/>
      <c r="BH2702" s="4"/>
      <c r="BI2702" s="4"/>
      <c r="BJ2702" s="4"/>
      <c r="BK2702" s="4"/>
      <c r="BL2702" s="4"/>
      <c r="BM2702" s="4"/>
      <c r="BN2702" s="4"/>
      <c r="BO2702" s="4"/>
      <c r="BP2702" s="4"/>
      <c r="BQ2702" s="4"/>
      <c r="BR2702" s="4"/>
      <c r="BS2702" s="4"/>
      <c r="BT2702" s="4"/>
      <c r="BU2702" s="4"/>
      <c r="BV2702" s="4"/>
      <c r="BW2702" s="4"/>
      <c r="BX2702" s="4"/>
      <c r="BY2702" s="4"/>
      <c r="BZ2702" s="4"/>
      <c r="CA2702" s="4"/>
      <c r="CB2702" s="4"/>
      <c r="CC2702" s="4"/>
      <c r="CD2702" s="4"/>
      <c r="CE2702" s="4"/>
      <c r="CF2702" s="4"/>
      <c r="CG2702" s="4"/>
      <c r="CH2702" s="4"/>
      <c r="CI2702" s="4"/>
      <c r="CJ2702" s="4"/>
      <c r="CK2702" s="4"/>
      <c r="CL2702" s="4"/>
      <c r="CM2702" s="4"/>
      <c r="CN2702" s="4"/>
      <c r="CO2702" s="4"/>
      <c r="CP2702" s="4"/>
      <c r="CQ2702" s="4"/>
      <c r="CR2702" s="4"/>
      <c r="CS2702" s="4"/>
      <c r="CT2702" s="4"/>
      <c r="CU2702" s="4"/>
      <c r="CV2702" s="4"/>
      <c r="CW2702" s="4"/>
      <c r="CX2702" s="4"/>
      <c r="CY2702" s="4"/>
      <c r="CZ2702" s="4"/>
      <c r="DA2702" s="4"/>
      <c r="DB2702" s="4"/>
      <c r="DC2702" s="4"/>
      <c r="DD2702" s="4"/>
      <c r="DE2702" s="4"/>
      <c r="DF2702" s="4"/>
      <c r="DG2702" s="4"/>
      <c r="DH2702" s="4"/>
      <c r="DI2702" s="4"/>
      <c r="DJ2702" s="4"/>
      <c r="DK2702" s="4"/>
      <c r="DL2702" s="4"/>
      <c r="DM2702" s="4"/>
      <c r="DN2702" s="4"/>
      <c r="DO2702" s="4"/>
      <c r="DP2702" s="4"/>
      <c r="DQ2702" s="4"/>
      <c r="DR2702" s="4"/>
      <c r="DS2702" s="4"/>
    </row>
    <row r="2703">
      <c r="A2703" s="4"/>
      <c r="B2703" s="4"/>
      <c r="C2703" s="4"/>
      <c r="D2703" s="4"/>
      <c r="E2703" s="4"/>
      <c r="F2703" s="4" t="s">
        <v>17</v>
      </c>
      <c r="G2703" s="15"/>
      <c r="H2703" s="4"/>
      <c r="I2703" s="4"/>
      <c r="J2703" s="4"/>
      <c r="K2703" s="4"/>
      <c r="L2703" s="4"/>
      <c r="M2703" s="4"/>
      <c r="N2703" s="4"/>
      <c r="O2703" s="4"/>
      <c r="P2703" s="4"/>
      <c r="Q2703" s="4"/>
      <c r="R2703" s="4"/>
      <c r="S2703" s="4"/>
      <c r="T2703" s="4"/>
      <c r="U2703" s="4"/>
      <c r="V2703" s="4"/>
      <c r="W2703" s="4"/>
      <c r="X2703" s="4"/>
      <c r="Y2703" s="4"/>
      <c r="Z2703" s="4"/>
      <c r="AA2703" s="4"/>
      <c r="AB2703" s="4"/>
      <c r="AC2703" s="4"/>
      <c r="AD2703" s="4"/>
      <c r="AE2703" s="4"/>
      <c r="AF2703" s="4"/>
      <c r="AG2703" s="4"/>
      <c r="AH2703" s="4"/>
      <c r="AI2703" s="4"/>
      <c r="AJ2703" s="4"/>
      <c r="AK2703" s="4"/>
      <c r="AL2703" s="4"/>
      <c r="AM2703" s="4"/>
      <c r="AN2703" s="4"/>
      <c r="AO2703" s="4"/>
      <c r="AP2703" s="4"/>
      <c r="AQ2703" s="4"/>
      <c r="AR2703" s="4"/>
      <c r="AS2703" s="4"/>
      <c r="AT2703" s="4"/>
      <c r="AU2703" s="4"/>
      <c r="AV2703" s="4"/>
      <c r="AW2703" s="4"/>
      <c r="AX2703" s="4"/>
      <c r="AY2703" s="4"/>
      <c r="AZ2703" s="4"/>
      <c r="BA2703" s="4"/>
      <c r="BB2703" s="4"/>
      <c r="BC2703" s="4"/>
      <c r="BD2703" s="4"/>
      <c r="BE2703" s="4"/>
      <c r="BF2703" s="4"/>
      <c r="BG2703" s="4"/>
      <c r="BH2703" s="4"/>
      <c r="BI2703" s="4"/>
      <c r="BJ2703" s="4"/>
      <c r="BK2703" s="4"/>
      <c r="BL2703" s="4"/>
      <c r="BM2703" s="4"/>
      <c r="BN2703" s="4"/>
      <c r="BO2703" s="4"/>
      <c r="BP2703" s="4"/>
      <c r="BQ2703" s="4"/>
      <c r="BR2703" s="4"/>
      <c r="BS2703" s="4"/>
      <c r="BT2703" s="4"/>
      <c r="BU2703" s="4"/>
      <c r="BV2703" s="4"/>
      <c r="BW2703" s="4"/>
      <c r="BX2703" s="4"/>
      <c r="BY2703" s="4"/>
      <c r="BZ2703" s="4"/>
      <c r="CA2703" s="4"/>
      <c r="CB2703" s="4"/>
      <c r="CC2703" s="4"/>
      <c r="CD2703" s="4"/>
      <c r="CE2703" s="4"/>
      <c r="CF2703" s="4"/>
      <c r="CG2703" s="4"/>
      <c r="CH2703" s="4"/>
      <c r="CI2703" s="4"/>
      <c r="CJ2703" s="4"/>
      <c r="CK2703" s="4"/>
      <c r="CL2703" s="4"/>
      <c r="CM2703" s="4"/>
      <c r="CN2703" s="4"/>
      <c r="CO2703" s="4"/>
      <c r="CP2703" s="4"/>
      <c r="CQ2703" s="4"/>
      <c r="CR2703" s="4"/>
      <c r="CS2703" s="4"/>
      <c r="CT2703" s="4"/>
      <c r="CU2703" s="4"/>
      <c r="CV2703" s="4"/>
      <c r="CW2703" s="4"/>
      <c r="CX2703" s="4"/>
      <c r="CY2703" s="4"/>
      <c r="CZ2703" s="4"/>
      <c r="DA2703" s="4"/>
      <c r="DB2703" s="4"/>
      <c r="DC2703" s="4"/>
      <c r="DD2703" s="4"/>
      <c r="DE2703" s="4"/>
      <c r="DF2703" s="4"/>
      <c r="DG2703" s="4"/>
      <c r="DH2703" s="4"/>
      <c r="DI2703" s="4"/>
      <c r="DJ2703" s="4"/>
      <c r="DK2703" s="4"/>
      <c r="DL2703" s="4"/>
      <c r="DM2703" s="4"/>
      <c r="DN2703" s="4"/>
      <c r="DO2703" s="4"/>
      <c r="DP2703" s="4"/>
      <c r="DQ2703" s="4"/>
      <c r="DR2703" s="4"/>
      <c r="DS2703" s="4"/>
    </row>
    <row r="2704">
      <c r="A2704" s="4"/>
      <c r="B2704" s="4"/>
      <c r="C2704" s="4"/>
      <c r="D2704" s="4"/>
      <c r="E2704" s="4"/>
      <c r="F2704" s="4" t="s">
        <v>17</v>
      </c>
      <c r="G2704" s="15"/>
      <c r="H2704" s="4"/>
      <c r="I2704" s="4"/>
      <c r="J2704" s="4"/>
      <c r="K2704" s="4"/>
      <c r="L2704" s="4"/>
      <c r="M2704" s="4"/>
      <c r="N2704" s="4"/>
      <c r="O2704" s="4"/>
      <c r="P2704" s="4"/>
      <c r="Q2704" s="4"/>
      <c r="R2704" s="4"/>
      <c r="S2704" s="4"/>
      <c r="T2704" s="4"/>
      <c r="U2704" s="4"/>
      <c r="V2704" s="4"/>
      <c r="W2704" s="4"/>
      <c r="X2704" s="4"/>
      <c r="Y2704" s="4"/>
      <c r="Z2704" s="4"/>
      <c r="AA2704" s="4"/>
      <c r="AB2704" s="4"/>
      <c r="AC2704" s="4"/>
      <c r="AD2704" s="4"/>
      <c r="AE2704" s="4"/>
      <c r="AF2704" s="4"/>
      <c r="AG2704" s="4"/>
      <c r="AH2704" s="4"/>
      <c r="AI2704" s="4"/>
      <c r="AJ2704" s="4"/>
      <c r="AK2704" s="4"/>
      <c r="AL2704" s="4"/>
      <c r="AM2704" s="4"/>
      <c r="AN2704" s="4"/>
      <c r="AO2704" s="4"/>
      <c r="AP2704" s="4"/>
      <c r="AQ2704" s="4"/>
      <c r="AR2704" s="4"/>
      <c r="AS2704" s="4"/>
      <c r="AT2704" s="4"/>
      <c r="AU2704" s="4"/>
      <c r="AV2704" s="4"/>
      <c r="AW2704" s="4"/>
      <c r="AX2704" s="4"/>
      <c r="AY2704" s="4"/>
      <c r="AZ2704" s="4"/>
      <c r="BA2704" s="4"/>
      <c r="BB2704" s="4"/>
      <c r="BC2704" s="4"/>
      <c r="BD2704" s="4"/>
      <c r="BE2704" s="4"/>
      <c r="BF2704" s="4"/>
      <c r="BG2704" s="4"/>
      <c r="BH2704" s="4"/>
      <c r="BI2704" s="4"/>
      <c r="BJ2704" s="4"/>
      <c r="BK2704" s="4"/>
      <c r="BL2704" s="4"/>
      <c r="BM2704" s="4"/>
      <c r="BN2704" s="4"/>
      <c r="BO2704" s="4"/>
      <c r="BP2704" s="4"/>
      <c r="BQ2704" s="4"/>
      <c r="BR2704" s="4"/>
      <c r="BS2704" s="4"/>
      <c r="BT2704" s="4"/>
      <c r="BU2704" s="4"/>
      <c r="BV2704" s="4"/>
      <c r="BW2704" s="4"/>
      <c r="BX2704" s="4"/>
      <c r="BY2704" s="4"/>
      <c r="BZ2704" s="4"/>
      <c r="CA2704" s="4"/>
      <c r="CB2704" s="4"/>
      <c r="CC2704" s="4"/>
      <c r="CD2704" s="4"/>
      <c r="CE2704" s="4"/>
      <c r="CF2704" s="4"/>
      <c r="CG2704" s="4"/>
      <c r="CH2704" s="4"/>
      <c r="CI2704" s="4"/>
      <c r="CJ2704" s="4"/>
      <c r="CK2704" s="4"/>
      <c r="CL2704" s="4"/>
      <c r="CM2704" s="4"/>
      <c r="CN2704" s="4"/>
      <c r="CO2704" s="4"/>
      <c r="CP2704" s="4"/>
      <c r="CQ2704" s="4"/>
      <c r="CR2704" s="4"/>
      <c r="CS2704" s="4"/>
      <c r="CT2704" s="4"/>
      <c r="CU2704" s="4"/>
      <c r="CV2704" s="4"/>
      <c r="CW2704" s="4"/>
      <c r="CX2704" s="4"/>
      <c r="CY2704" s="4"/>
      <c r="CZ2704" s="4"/>
      <c r="DA2704" s="4"/>
      <c r="DB2704" s="4"/>
      <c r="DC2704" s="4"/>
      <c r="DD2704" s="4"/>
      <c r="DE2704" s="4"/>
      <c r="DF2704" s="4"/>
      <c r="DG2704" s="4"/>
      <c r="DH2704" s="4"/>
      <c r="DI2704" s="4"/>
      <c r="DJ2704" s="4"/>
      <c r="DK2704" s="4"/>
      <c r="DL2704" s="4"/>
      <c r="DM2704" s="4"/>
      <c r="DN2704" s="4"/>
      <c r="DO2704" s="4"/>
      <c r="DP2704" s="4"/>
      <c r="DQ2704" s="4"/>
      <c r="DR2704" s="4"/>
      <c r="DS2704" s="4"/>
    </row>
    <row r="2705">
      <c r="A2705" s="4"/>
      <c r="B2705" s="4"/>
      <c r="C2705" s="4"/>
      <c r="D2705" s="4"/>
      <c r="E2705" s="4"/>
      <c r="F2705" s="4" t="s">
        <v>17</v>
      </c>
      <c r="G2705" s="15"/>
      <c r="H2705" s="4"/>
      <c r="I2705" s="4"/>
      <c r="J2705" s="4"/>
      <c r="K2705" s="4"/>
      <c r="L2705" s="4"/>
      <c r="M2705" s="4"/>
      <c r="N2705" s="4"/>
      <c r="O2705" s="4"/>
      <c r="P2705" s="4"/>
      <c r="Q2705" s="4"/>
      <c r="R2705" s="4"/>
      <c r="S2705" s="4"/>
      <c r="T2705" s="4"/>
      <c r="U2705" s="4"/>
      <c r="V2705" s="4"/>
      <c r="W2705" s="4"/>
      <c r="X2705" s="4"/>
      <c r="Y2705" s="4"/>
      <c r="Z2705" s="4"/>
      <c r="AA2705" s="4"/>
      <c r="AB2705" s="4"/>
      <c r="AC2705" s="4"/>
      <c r="AD2705" s="4"/>
      <c r="AE2705" s="4"/>
      <c r="AF2705" s="4"/>
      <c r="AG2705" s="4"/>
      <c r="AH2705" s="4"/>
      <c r="AI2705" s="4"/>
      <c r="AJ2705" s="4"/>
      <c r="AK2705" s="4"/>
      <c r="AL2705" s="4"/>
      <c r="AM2705" s="4"/>
      <c r="AN2705" s="4"/>
      <c r="AO2705" s="4"/>
      <c r="AP2705" s="4"/>
      <c r="AQ2705" s="4"/>
      <c r="AR2705" s="4"/>
      <c r="AS2705" s="4"/>
      <c r="AT2705" s="4"/>
      <c r="AU2705" s="4"/>
      <c r="AV2705" s="4"/>
      <c r="AW2705" s="4"/>
      <c r="AX2705" s="4"/>
      <c r="AY2705" s="4"/>
      <c r="AZ2705" s="4"/>
      <c r="BA2705" s="4"/>
      <c r="BB2705" s="4"/>
      <c r="BC2705" s="4"/>
      <c r="BD2705" s="4"/>
      <c r="BE2705" s="4"/>
      <c r="BF2705" s="4"/>
      <c r="BG2705" s="4"/>
      <c r="BH2705" s="4"/>
      <c r="BI2705" s="4"/>
      <c r="BJ2705" s="4"/>
      <c r="BK2705" s="4"/>
      <c r="BL2705" s="4"/>
      <c r="BM2705" s="4"/>
      <c r="BN2705" s="4"/>
      <c r="BO2705" s="4"/>
      <c r="BP2705" s="4"/>
      <c r="BQ2705" s="4"/>
      <c r="BR2705" s="4"/>
      <c r="BS2705" s="4"/>
      <c r="BT2705" s="4"/>
      <c r="BU2705" s="4"/>
      <c r="BV2705" s="4"/>
      <c r="BW2705" s="4"/>
      <c r="BX2705" s="4"/>
      <c r="BY2705" s="4"/>
      <c r="BZ2705" s="4"/>
      <c r="CA2705" s="4"/>
      <c r="CB2705" s="4"/>
      <c r="CC2705" s="4"/>
      <c r="CD2705" s="4"/>
      <c r="CE2705" s="4"/>
      <c r="CF2705" s="4"/>
      <c r="CG2705" s="4"/>
      <c r="CH2705" s="4"/>
      <c r="CI2705" s="4"/>
      <c r="CJ2705" s="4"/>
      <c r="CK2705" s="4"/>
      <c r="CL2705" s="4"/>
      <c r="CM2705" s="4"/>
      <c r="CN2705" s="4"/>
      <c r="CO2705" s="4"/>
      <c r="CP2705" s="4"/>
      <c r="CQ2705" s="4"/>
      <c r="CR2705" s="4"/>
      <c r="CS2705" s="4"/>
      <c r="CT2705" s="4"/>
      <c r="CU2705" s="4"/>
      <c r="CV2705" s="4"/>
      <c r="CW2705" s="4"/>
      <c r="CX2705" s="4"/>
      <c r="CY2705" s="4"/>
      <c r="CZ2705" s="4"/>
      <c r="DA2705" s="4"/>
      <c r="DB2705" s="4"/>
      <c r="DC2705" s="4"/>
      <c r="DD2705" s="4"/>
      <c r="DE2705" s="4"/>
      <c r="DF2705" s="4"/>
      <c r="DG2705" s="4"/>
      <c r="DH2705" s="4"/>
      <c r="DI2705" s="4"/>
      <c r="DJ2705" s="4"/>
      <c r="DK2705" s="4"/>
      <c r="DL2705" s="4"/>
      <c r="DM2705" s="4"/>
      <c r="DN2705" s="4"/>
      <c r="DO2705" s="4"/>
      <c r="DP2705" s="4"/>
      <c r="DQ2705" s="4"/>
      <c r="DR2705" s="4"/>
      <c r="DS2705" s="4"/>
    </row>
    <row r="2706">
      <c r="A2706" s="4"/>
      <c r="B2706" s="4"/>
      <c r="C2706" s="4"/>
      <c r="D2706" s="4"/>
      <c r="E2706" s="4"/>
      <c r="F2706" s="4" t="s">
        <v>17</v>
      </c>
      <c r="G2706" s="15"/>
      <c r="H2706" s="4"/>
      <c r="I2706" s="4"/>
      <c r="J2706" s="4"/>
      <c r="K2706" s="4"/>
      <c r="L2706" s="4"/>
      <c r="M2706" s="4"/>
      <c r="N2706" s="4"/>
      <c r="O2706" s="4"/>
      <c r="P2706" s="4"/>
      <c r="Q2706" s="4"/>
      <c r="R2706" s="4"/>
      <c r="S2706" s="4"/>
      <c r="T2706" s="4"/>
      <c r="U2706" s="4"/>
      <c r="V2706" s="4"/>
      <c r="W2706" s="4"/>
      <c r="X2706" s="4"/>
      <c r="Y2706" s="4"/>
      <c r="Z2706" s="4"/>
      <c r="AA2706" s="4"/>
      <c r="AB2706" s="4"/>
      <c r="AC2706" s="4"/>
      <c r="AD2706" s="4"/>
      <c r="AE2706" s="4"/>
      <c r="AF2706" s="4"/>
      <c r="AG2706" s="4"/>
      <c r="AH2706" s="4"/>
      <c r="AI2706" s="4"/>
      <c r="AJ2706" s="4"/>
      <c r="AK2706" s="4"/>
      <c r="AL2706" s="4"/>
      <c r="AM2706" s="4"/>
      <c r="AN2706" s="4"/>
      <c r="AO2706" s="4"/>
      <c r="AP2706" s="4"/>
      <c r="AQ2706" s="4"/>
      <c r="AR2706" s="4"/>
      <c r="AS2706" s="4"/>
      <c r="AT2706" s="4"/>
      <c r="AU2706" s="4"/>
      <c r="AV2706" s="4"/>
      <c r="AW2706" s="4"/>
      <c r="AX2706" s="4"/>
      <c r="AY2706" s="4"/>
      <c r="AZ2706" s="4"/>
      <c r="BA2706" s="4"/>
      <c r="BB2706" s="4"/>
      <c r="BC2706" s="4"/>
      <c r="BD2706" s="4"/>
      <c r="BE2706" s="4"/>
      <c r="BF2706" s="4"/>
      <c r="BG2706" s="4"/>
      <c r="BH2706" s="4"/>
      <c r="BI2706" s="4"/>
      <c r="BJ2706" s="4"/>
      <c r="BK2706" s="4"/>
      <c r="BL2706" s="4"/>
      <c r="BM2706" s="4"/>
      <c r="BN2706" s="4"/>
      <c r="BO2706" s="4"/>
      <c r="BP2706" s="4"/>
      <c r="BQ2706" s="4"/>
      <c r="BR2706" s="4"/>
      <c r="BS2706" s="4"/>
      <c r="BT2706" s="4"/>
      <c r="BU2706" s="4"/>
      <c r="BV2706" s="4"/>
      <c r="BW2706" s="4"/>
      <c r="BX2706" s="4"/>
      <c r="BY2706" s="4"/>
      <c r="BZ2706" s="4"/>
      <c r="CA2706" s="4"/>
      <c r="CB2706" s="4"/>
      <c r="CC2706" s="4"/>
      <c r="CD2706" s="4"/>
      <c r="CE2706" s="4"/>
      <c r="CF2706" s="4"/>
      <c r="CG2706" s="4"/>
      <c r="CH2706" s="4"/>
      <c r="CI2706" s="4"/>
      <c r="CJ2706" s="4"/>
      <c r="CK2706" s="4"/>
      <c r="CL2706" s="4"/>
      <c r="CM2706" s="4"/>
      <c r="CN2706" s="4"/>
      <c r="CO2706" s="4"/>
      <c r="CP2706" s="4"/>
      <c r="CQ2706" s="4"/>
      <c r="CR2706" s="4"/>
      <c r="CS2706" s="4"/>
      <c r="CT2706" s="4"/>
      <c r="CU2706" s="4"/>
      <c r="CV2706" s="4"/>
      <c r="CW2706" s="4"/>
      <c r="CX2706" s="4"/>
      <c r="CY2706" s="4"/>
      <c r="CZ2706" s="4"/>
      <c r="DA2706" s="4"/>
      <c r="DB2706" s="4"/>
      <c r="DC2706" s="4"/>
      <c r="DD2706" s="4"/>
      <c r="DE2706" s="4"/>
      <c r="DF2706" s="4"/>
      <c r="DG2706" s="4"/>
      <c r="DH2706" s="4"/>
      <c r="DI2706" s="4"/>
      <c r="DJ2706" s="4"/>
      <c r="DK2706" s="4"/>
      <c r="DL2706" s="4"/>
      <c r="DM2706" s="4"/>
      <c r="DN2706" s="4"/>
      <c r="DO2706" s="4"/>
      <c r="DP2706" s="4"/>
      <c r="DQ2706" s="4"/>
      <c r="DR2706" s="4"/>
      <c r="DS2706" s="4"/>
    </row>
    <row r="2707">
      <c r="A2707" s="4"/>
      <c r="B2707" s="4"/>
      <c r="C2707" s="4"/>
      <c r="D2707" s="4"/>
      <c r="E2707" s="4"/>
      <c r="F2707" s="4" t="s">
        <v>17</v>
      </c>
      <c r="G2707" s="15"/>
      <c r="H2707" s="4"/>
      <c r="I2707" s="4"/>
      <c r="J2707" s="4"/>
      <c r="K2707" s="4"/>
      <c r="L2707" s="4"/>
      <c r="M2707" s="4"/>
      <c r="N2707" s="4"/>
      <c r="O2707" s="4"/>
      <c r="P2707" s="4"/>
      <c r="Q2707" s="4"/>
      <c r="R2707" s="4"/>
      <c r="S2707" s="4"/>
      <c r="T2707" s="4"/>
      <c r="U2707" s="4"/>
      <c r="V2707" s="4"/>
      <c r="W2707" s="4"/>
      <c r="X2707" s="4"/>
      <c r="Y2707" s="4"/>
      <c r="Z2707" s="4"/>
      <c r="AA2707" s="4"/>
      <c r="AB2707" s="4"/>
      <c r="AC2707" s="4"/>
      <c r="AD2707" s="4"/>
      <c r="AE2707" s="4"/>
      <c r="AF2707" s="4"/>
      <c r="AG2707" s="4"/>
      <c r="AH2707" s="4"/>
      <c r="AI2707" s="4"/>
      <c r="AJ2707" s="4"/>
      <c r="AK2707" s="4"/>
      <c r="AL2707" s="4"/>
      <c r="AM2707" s="4"/>
      <c r="AN2707" s="4"/>
      <c r="AO2707" s="4"/>
      <c r="AP2707" s="4"/>
      <c r="AQ2707" s="4"/>
      <c r="AR2707" s="4"/>
      <c r="AS2707" s="4"/>
      <c r="AT2707" s="4"/>
      <c r="AU2707" s="4"/>
      <c r="AV2707" s="4"/>
      <c r="AW2707" s="4"/>
      <c r="AX2707" s="4"/>
      <c r="AY2707" s="4"/>
      <c r="AZ2707" s="4"/>
      <c r="BA2707" s="4"/>
      <c r="BB2707" s="4"/>
      <c r="BC2707" s="4"/>
      <c r="BD2707" s="4"/>
      <c r="BE2707" s="4"/>
      <c r="BF2707" s="4"/>
      <c r="BG2707" s="4"/>
      <c r="BH2707" s="4"/>
      <c r="BI2707" s="4"/>
      <c r="BJ2707" s="4"/>
      <c r="BK2707" s="4"/>
      <c r="BL2707" s="4"/>
      <c r="BM2707" s="4"/>
      <c r="BN2707" s="4"/>
      <c r="BO2707" s="4"/>
      <c r="BP2707" s="4"/>
      <c r="BQ2707" s="4"/>
      <c r="BR2707" s="4"/>
      <c r="BS2707" s="4"/>
      <c r="BT2707" s="4"/>
      <c r="BU2707" s="4"/>
      <c r="BV2707" s="4"/>
      <c r="BW2707" s="4"/>
      <c r="BX2707" s="4"/>
      <c r="BY2707" s="4"/>
      <c r="BZ2707" s="4"/>
      <c r="CA2707" s="4"/>
      <c r="CB2707" s="4"/>
      <c r="CC2707" s="4"/>
      <c r="CD2707" s="4"/>
      <c r="CE2707" s="4"/>
      <c r="CF2707" s="4"/>
      <c r="CG2707" s="4"/>
      <c r="CH2707" s="4"/>
      <c r="CI2707" s="4"/>
      <c r="CJ2707" s="4"/>
      <c r="CK2707" s="4"/>
      <c r="CL2707" s="4"/>
      <c r="CM2707" s="4"/>
      <c r="CN2707" s="4"/>
      <c r="CO2707" s="4"/>
      <c r="CP2707" s="4"/>
      <c r="CQ2707" s="4"/>
      <c r="CR2707" s="4"/>
      <c r="CS2707" s="4"/>
      <c r="CT2707" s="4"/>
      <c r="CU2707" s="4"/>
      <c r="CV2707" s="4"/>
      <c r="CW2707" s="4"/>
      <c r="CX2707" s="4"/>
      <c r="CY2707" s="4"/>
      <c r="CZ2707" s="4"/>
      <c r="DA2707" s="4"/>
      <c r="DB2707" s="4"/>
      <c r="DC2707" s="4"/>
      <c r="DD2707" s="4"/>
      <c r="DE2707" s="4"/>
      <c r="DF2707" s="4"/>
      <c r="DG2707" s="4"/>
      <c r="DH2707" s="4"/>
      <c r="DI2707" s="4"/>
      <c r="DJ2707" s="4"/>
      <c r="DK2707" s="4"/>
      <c r="DL2707" s="4"/>
      <c r="DM2707" s="4"/>
      <c r="DN2707" s="4"/>
      <c r="DO2707" s="4"/>
      <c r="DP2707" s="4"/>
      <c r="DQ2707" s="4"/>
      <c r="DR2707" s="4"/>
      <c r="DS2707" s="4"/>
    </row>
    <row r="2708">
      <c r="A2708" s="4"/>
      <c r="B2708" s="4"/>
      <c r="C2708" s="4"/>
      <c r="D2708" s="4"/>
      <c r="E2708" s="4"/>
      <c r="F2708" s="4" t="s">
        <v>17</v>
      </c>
      <c r="G2708" s="15"/>
      <c r="H2708" s="4"/>
      <c r="I2708" s="4"/>
      <c r="J2708" s="4"/>
      <c r="K2708" s="4"/>
      <c r="L2708" s="4"/>
      <c r="M2708" s="4"/>
      <c r="N2708" s="4"/>
      <c r="O2708" s="4"/>
      <c r="P2708" s="4"/>
      <c r="Q2708" s="4"/>
      <c r="R2708" s="4"/>
      <c r="S2708" s="4"/>
      <c r="T2708" s="4"/>
      <c r="U2708" s="4"/>
      <c r="V2708" s="4"/>
      <c r="W2708" s="4"/>
      <c r="X2708" s="4"/>
      <c r="Y2708" s="4"/>
      <c r="Z2708" s="4"/>
      <c r="AA2708" s="4"/>
      <c r="AB2708" s="4"/>
      <c r="AC2708" s="4"/>
      <c r="AD2708" s="4"/>
      <c r="AE2708" s="4"/>
      <c r="AF2708" s="4"/>
      <c r="AG2708" s="4"/>
      <c r="AH2708" s="4"/>
      <c r="AI2708" s="4"/>
      <c r="AJ2708" s="4"/>
      <c r="AK2708" s="4"/>
      <c r="AL2708" s="4"/>
      <c r="AM2708" s="4"/>
      <c r="AN2708" s="4"/>
      <c r="AO2708" s="4"/>
      <c r="AP2708" s="4"/>
      <c r="AQ2708" s="4"/>
      <c r="AR2708" s="4"/>
      <c r="AS2708" s="4"/>
      <c r="AT2708" s="4"/>
      <c r="AU2708" s="4"/>
      <c r="AV2708" s="4"/>
      <c r="AW2708" s="4"/>
      <c r="AX2708" s="4"/>
      <c r="AY2708" s="4"/>
      <c r="AZ2708" s="4"/>
      <c r="BA2708" s="4"/>
      <c r="BB2708" s="4"/>
      <c r="BC2708" s="4"/>
      <c r="BD2708" s="4"/>
      <c r="BE2708" s="4"/>
      <c r="BF2708" s="4"/>
      <c r="BG2708" s="4"/>
      <c r="BH2708" s="4"/>
      <c r="BI2708" s="4"/>
      <c r="BJ2708" s="4"/>
      <c r="BK2708" s="4"/>
      <c r="BL2708" s="4"/>
      <c r="BM2708" s="4"/>
      <c r="BN2708" s="4"/>
      <c r="BO2708" s="4"/>
      <c r="BP2708" s="4"/>
      <c r="BQ2708" s="4"/>
      <c r="BR2708" s="4"/>
      <c r="BS2708" s="4"/>
      <c r="BT2708" s="4"/>
      <c r="BU2708" s="4"/>
      <c r="BV2708" s="4"/>
      <c r="BW2708" s="4"/>
      <c r="BX2708" s="4"/>
      <c r="BY2708" s="4"/>
      <c r="BZ2708" s="4"/>
      <c r="CA2708" s="4"/>
      <c r="CB2708" s="4"/>
      <c r="CC2708" s="4"/>
      <c r="CD2708" s="4"/>
      <c r="CE2708" s="4"/>
      <c r="CF2708" s="4"/>
      <c r="CG2708" s="4"/>
      <c r="CH2708" s="4"/>
      <c r="CI2708" s="4"/>
      <c r="CJ2708" s="4"/>
      <c r="CK2708" s="4"/>
      <c r="CL2708" s="4"/>
      <c r="CM2708" s="4"/>
      <c r="CN2708" s="4"/>
      <c r="CO2708" s="4"/>
      <c r="CP2708" s="4"/>
      <c r="CQ2708" s="4"/>
      <c r="CR2708" s="4"/>
      <c r="CS2708" s="4"/>
      <c r="CT2708" s="4"/>
      <c r="CU2708" s="4"/>
      <c r="CV2708" s="4"/>
      <c r="CW2708" s="4"/>
      <c r="CX2708" s="4"/>
      <c r="CY2708" s="4"/>
      <c r="CZ2708" s="4"/>
      <c r="DA2708" s="4"/>
      <c r="DB2708" s="4"/>
      <c r="DC2708" s="4"/>
      <c r="DD2708" s="4"/>
      <c r="DE2708" s="4"/>
      <c r="DF2708" s="4"/>
      <c r="DG2708" s="4"/>
      <c r="DH2708" s="4"/>
      <c r="DI2708" s="4"/>
      <c r="DJ2708" s="4"/>
      <c r="DK2708" s="4"/>
      <c r="DL2708" s="4"/>
      <c r="DM2708" s="4"/>
      <c r="DN2708" s="4"/>
      <c r="DO2708" s="4"/>
      <c r="DP2708" s="4"/>
      <c r="DQ2708" s="4"/>
      <c r="DR2708" s="4"/>
      <c r="DS2708" s="4"/>
    </row>
    <row r="2709">
      <c r="A2709" s="4"/>
      <c r="B2709" s="4"/>
      <c r="C2709" s="4"/>
      <c r="D2709" s="4"/>
      <c r="E2709" s="4"/>
      <c r="F2709" s="4" t="s">
        <v>17</v>
      </c>
      <c r="G2709" s="15"/>
      <c r="H2709" s="4"/>
      <c r="I2709" s="4"/>
      <c r="J2709" s="4"/>
      <c r="K2709" s="4"/>
      <c r="L2709" s="4"/>
      <c r="M2709" s="4"/>
      <c r="N2709" s="4"/>
      <c r="O2709" s="4"/>
      <c r="P2709" s="4"/>
      <c r="Q2709" s="4"/>
      <c r="R2709" s="4"/>
      <c r="S2709" s="4"/>
      <c r="T2709" s="4"/>
      <c r="U2709" s="4"/>
      <c r="V2709" s="4"/>
      <c r="W2709" s="4"/>
      <c r="X2709" s="4"/>
      <c r="Y2709" s="4"/>
      <c r="Z2709" s="4"/>
      <c r="AA2709" s="4"/>
      <c r="AB2709" s="4"/>
      <c r="AC2709" s="4"/>
      <c r="AD2709" s="4"/>
      <c r="AE2709" s="4"/>
      <c r="AF2709" s="4"/>
      <c r="AG2709" s="4"/>
      <c r="AH2709" s="4"/>
      <c r="AI2709" s="4"/>
      <c r="AJ2709" s="4"/>
      <c r="AK2709" s="4"/>
      <c r="AL2709" s="4"/>
      <c r="AM2709" s="4"/>
      <c r="AN2709" s="4"/>
      <c r="AO2709" s="4"/>
      <c r="AP2709" s="4"/>
      <c r="AQ2709" s="4"/>
      <c r="AR2709" s="4"/>
      <c r="AS2709" s="4"/>
      <c r="AT2709" s="4"/>
      <c r="AU2709" s="4"/>
      <c r="AV2709" s="4"/>
      <c r="AW2709" s="4"/>
      <c r="AX2709" s="4"/>
      <c r="AY2709" s="4"/>
      <c r="AZ2709" s="4"/>
      <c r="BA2709" s="4"/>
      <c r="BB2709" s="4"/>
      <c r="BC2709" s="4"/>
      <c r="BD2709" s="4"/>
      <c r="BE2709" s="4"/>
      <c r="BF2709" s="4"/>
      <c r="BG2709" s="4"/>
      <c r="BH2709" s="4"/>
      <c r="BI2709" s="4"/>
      <c r="BJ2709" s="4"/>
      <c r="BK2709" s="4"/>
      <c r="BL2709" s="4"/>
      <c r="BM2709" s="4"/>
      <c r="BN2709" s="4"/>
      <c r="BO2709" s="4"/>
      <c r="BP2709" s="4"/>
      <c r="BQ2709" s="4"/>
      <c r="BR2709" s="4"/>
      <c r="BS2709" s="4"/>
      <c r="BT2709" s="4"/>
      <c r="BU2709" s="4"/>
      <c r="BV2709" s="4"/>
      <c r="BW2709" s="4"/>
      <c r="BX2709" s="4"/>
      <c r="BY2709" s="4"/>
      <c r="BZ2709" s="4"/>
      <c r="CA2709" s="4"/>
      <c r="CB2709" s="4"/>
      <c r="CC2709" s="4"/>
      <c r="CD2709" s="4"/>
      <c r="CE2709" s="4"/>
      <c r="CF2709" s="4"/>
      <c r="CG2709" s="4"/>
      <c r="CH2709" s="4"/>
      <c r="CI2709" s="4"/>
      <c r="CJ2709" s="4"/>
      <c r="CK2709" s="4"/>
      <c r="CL2709" s="4"/>
      <c r="CM2709" s="4"/>
      <c r="CN2709" s="4"/>
      <c r="CO2709" s="4"/>
      <c r="CP2709" s="4"/>
      <c r="CQ2709" s="4"/>
      <c r="CR2709" s="4"/>
      <c r="CS2709" s="4"/>
      <c r="CT2709" s="4"/>
      <c r="CU2709" s="4"/>
      <c r="CV2709" s="4"/>
      <c r="CW2709" s="4"/>
      <c r="CX2709" s="4"/>
      <c r="CY2709" s="4"/>
      <c r="CZ2709" s="4"/>
      <c r="DA2709" s="4"/>
      <c r="DB2709" s="4"/>
      <c r="DC2709" s="4"/>
      <c r="DD2709" s="4"/>
      <c r="DE2709" s="4"/>
      <c r="DF2709" s="4"/>
      <c r="DG2709" s="4"/>
      <c r="DH2709" s="4"/>
      <c r="DI2709" s="4"/>
      <c r="DJ2709" s="4"/>
      <c r="DK2709" s="4"/>
      <c r="DL2709" s="4"/>
      <c r="DM2709" s="4"/>
      <c r="DN2709" s="4"/>
      <c r="DO2709" s="4"/>
      <c r="DP2709" s="4"/>
      <c r="DQ2709" s="4"/>
      <c r="DR2709" s="4"/>
      <c r="DS2709" s="4"/>
    </row>
    <row r="2710">
      <c r="A2710" s="4"/>
      <c r="B2710" s="4"/>
      <c r="C2710" s="4"/>
      <c r="D2710" s="4"/>
      <c r="E2710" s="4"/>
      <c r="F2710" s="4" t="s">
        <v>17</v>
      </c>
      <c r="G2710" s="15"/>
      <c r="H2710" s="4"/>
      <c r="I2710" s="4"/>
      <c r="J2710" s="4"/>
      <c r="K2710" s="4"/>
      <c r="L2710" s="4"/>
      <c r="M2710" s="4"/>
      <c r="N2710" s="4"/>
      <c r="O2710" s="4"/>
      <c r="P2710" s="4"/>
      <c r="Q2710" s="4"/>
      <c r="R2710" s="4"/>
      <c r="S2710" s="4"/>
      <c r="T2710" s="4"/>
      <c r="U2710" s="4"/>
      <c r="V2710" s="4"/>
      <c r="W2710" s="4"/>
      <c r="X2710" s="4"/>
      <c r="Y2710" s="4"/>
      <c r="Z2710" s="4"/>
      <c r="AA2710" s="4"/>
      <c r="AB2710" s="4"/>
      <c r="AC2710" s="4"/>
      <c r="AD2710" s="4"/>
      <c r="AE2710" s="4"/>
      <c r="AF2710" s="4"/>
      <c r="AG2710" s="4"/>
      <c r="AH2710" s="4"/>
      <c r="AI2710" s="4"/>
      <c r="AJ2710" s="4"/>
      <c r="AK2710" s="4"/>
      <c r="AL2710" s="4"/>
      <c r="AM2710" s="4"/>
      <c r="AN2710" s="4"/>
      <c r="AO2710" s="4"/>
      <c r="AP2710" s="4"/>
      <c r="AQ2710" s="4"/>
      <c r="AR2710" s="4"/>
      <c r="AS2710" s="4"/>
      <c r="AT2710" s="4"/>
      <c r="AU2710" s="4"/>
      <c r="AV2710" s="4"/>
      <c r="AW2710" s="4"/>
      <c r="AX2710" s="4"/>
      <c r="AY2710" s="4"/>
      <c r="AZ2710" s="4"/>
      <c r="BA2710" s="4"/>
      <c r="BB2710" s="4"/>
      <c r="BC2710" s="4"/>
      <c r="BD2710" s="4"/>
      <c r="BE2710" s="4"/>
      <c r="BF2710" s="4"/>
      <c r="BG2710" s="4"/>
      <c r="BH2710" s="4"/>
      <c r="BI2710" s="4"/>
      <c r="BJ2710" s="4"/>
      <c r="BK2710" s="4"/>
      <c r="BL2710" s="4"/>
      <c r="BM2710" s="4"/>
      <c r="BN2710" s="4"/>
      <c r="BO2710" s="4"/>
      <c r="BP2710" s="4"/>
      <c r="BQ2710" s="4"/>
      <c r="BR2710" s="4"/>
      <c r="BS2710" s="4"/>
      <c r="BT2710" s="4"/>
      <c r="BU2710" s="4"/>
      <c r="BV2710" s="4"/>
      <c r="BW2710" s="4"/>
      <c r="BX2710" s="4"/>
      <c r="BY2710" s="4"/>
      <c r="BZ2710" s="4"/>
      <c r="CA2710" s="4"/>
      <c r="CB2710" s="4"/>
      <c r="CC2710" s="4"/>
      <c r="CD2710" s="4"/>
      <c r="CE2710" s="4"/>
      <c r="CF2710" s="4"/>
      <c r="CG2710" s="4"/>
      <c r="CH2710" s="4"/>
      <c r="CI2710" s="4"/>
      <c r="CJ2710" s="4"/>
      <c r="CK2710" s="4"/>
      <c r="CL2710" s="4"/>
      <c r="CM2710" s="4"/>
      <c r="CN2710" s="4"/>
      <c r="CO2710" s="4"/>
      <c r="CP2710" s="4"/>
      <c r="CQ2710" s="4"/>
      <c r="CR2710" s="4"/>
      <c r="CS2710" s="4"/>
      <c r="CT2710" s="4"/>
      <c r="CU2710" s="4"/>
      <c r="CV2710" s="4"/>
      <c r="CW2710" s="4"/>
      <c r="CX2710" s="4"/>
      <c r="CY2710" s="4"/>
      <c r="CZ2710" s="4"/>
      <c r="DA2710" s="4"/>
      <c r="DB2710" s="4"/>
      <c r="DC2710" s="4"/>
      <c r="DD2710" s="4"/>
      <c r="DE2710" s="4"/>
      <c r="DF2710" s="4"/>
      <c r="DG2710" s="4"/>
      <c r="DH2710" s="4"/>
      <c r="DI2710" s="4"/>
      <c r="DJ2710" s="4"/>
      <c r="DK2710" s="4"/>
      <c r="DL2710" s="4"/>
      <c r="DM2710" s="4"/>
      <c r="DN2710" s="4"/>
      <c r="DO2710" s="4"/>
      <c r="DP2710" s="4"/>
      <c r="DQ2710" s="4"/>
      <c r="DR2710" s="4"/>
      <c r="DS2710" s="4"/>
    </row>
    <row r="2711">
      <c r="A2711" s="4"/>
      <c r="B2711" s="4"/>
      <c r="C2711" s="4"/>
      <c r="D2711" s="4"/>
      <c r="E2711" s="4"/>
      <c r="F2711" s="4" t="s">
        <v>17</v>
      </c>
      <c r="G2711" s="15"/>
      <c r="H2711" s="4"/>
      <c r="I2711" s="4"/>
      <c r="J2711" s="4"/>
      <c r="K2711" s="4"/>
      <c r="L2711" s="4"/>
      <c r="M2711" s="4"/>
      <c r="N2711" s="4"/>
      <c r="O2711" s="4"/>
      <c r="P2711" s="4"/>
      <c r="Q2711" s="4"/>
      <c r="R2711" s="4"/>
      <c r="S2711" s="4"/>
      <c r="T2711" s="4"/>
      <c r="U2711" s="4"/>
      <c r="V2711" s="4"/>
      <c r="W2711" s="4"/>
      <c r="X2711" s="4"/>
      <c r="Y2711" s="4"/>
      <c r="Z2711" s="4"/>
      <c r="AA2711" s="4"/>
      <c r="AB2711" s="4"/>
      <c r="AC2711" s="4"/>
      <c r="AD2711" s="4"/>
      <c r="AE2711" s="4"/>
      <c r="AF2711" s="4"/>
      <c r="AG2711" s="4"/>
      <c r="AH2711" s="4"/>
      <c r="AI2711" s="4"/>
      <c r="AJ2711" s="4"/>
      <c r="AK2711" s="4"/>
      <c r="AL2711" s="4"/>
      <c r="AM2711" s="4"/>
      <c r="AN2711" s="4"/>
      <c r="AO2711" s="4"/>
      <c r="AP2711" s="4"/>
      <c r="AQ2711" s="4"/>
      <c r="AR2711" s="4"/>
      <c r="AS2711" s="4"/>
      <c r="AT2711" s="4"/>
      <c r="AU2711" s="4"/>
      <c r="AV2711" s="4"/>
      <c r="AW2711" s="4"/>
      <c r="AX2711" s="4"/>
      <c r="AY2711" s="4"/>
      <c r="AZ2711" s="4"/>
      <c r="BA2711" s="4"/>
      <c r="BB2711" s="4"/>
      <c r="BC2711" s="4"/>
      <c r="BD2711" s="4"/>
      <c r="BE2711" s="4"/>
      <c r="BF2711" s="4"/>
      <c r="BG2711" s="4"/>
      <c r="BH2711" s="4"/>
      <c r="BI2711" s="4"/>
      <c r="BJ2711" s="4"/>
      <c r="BK2711" s="4"/>
      <c r="BL2711" s="4"/>
      <c r="BM2711" s="4"/>
      <c r="BN2711" s="4"/>
      <c r="BO2711" s="4"/>
      <c r="BP2711" s="4"/>
      <c r="BQ2711" s="4"/>
      <c r="BR2711" s="4"/>
      <c r="BS2711" s="4"/>
      <c r="BT2711" s="4"/>
      <c r="BU2711" s="4"/>
      <c r="BV2711" s="4"/>
      <c r="BW2711" s="4"/>
      <c r="BX2711" s="4"/>
      <c r="BY2711" s="4"/>
      <c r="BZ2711" s="4"/>
      <c r="CA2711" s="4"/>
      <c r="CB2711" s="4"/>
      <c r="CC2711" s="4"/>
      <c r="CD2711" s="4"/>
      <c r="CE2711" s="4"/>
      <c r="CF2711" s="4"/>
      <c r="CG2711" s="4"/>
      <c r="CH2711" s="4"/>
      <c r="CI2711" s="4"/>
      <c r="CJ2711" s="4"/>
      <c r="CK2711" s="4"/>
      <c r="CL2711" s="4"/>
      <c r="CM2711" s="4"/>
      <c r="CN2711" s="4"/>
      <c r="CO2711" s="4"/>
      <c r="CP2711" s="4"/>
      <c r="CQ2711" s="4"/>
      <c r="CR2711" s="4"/>
      <c r="CS2711" s="4"/>
      <c r="CT2711" s="4"/>
      <c r="CU2711" s="4"/>
      <c r="CV2711" s="4"/>
      <c r="CW2711" s="4"/>
      <c r="CX2711" s="4"/>
      <c r="CY2711" s="4"/>
      <c r="CZ2711" s="4"/>
      <c r="DA2711" s="4"/>
      <c r="DB2711" s="4"/>
      <c r="DC2711" s="4"/>
      <c r="DD2711" s="4"/>
      <c r="DE2711" s="4"/>
      <c r="DF2711" s="4"/>
      <c r="DG2711" s="4"/>
      <c r="DH2711" s="4"/>
      <c r="DI2711" s="4"/>
      <c r="DJ2711" s="4"/>
      <c r="DK2711" s="4"/>
      <c r="DL2711" s="4"/>
      <c r="DM2711" s="4"/>
      <c r="DN2711" s="4"/>
      <c r="DO2711" s="4"/>
      <c r="DP2711" s="4"/>
      <c r="DQ2711" s="4"/>
      <c r="DR2711" s="4"/>
      <c r="DS2711" s="4"/>
    </row>
    <row r="2712">
      <c r="A2712" s="4"/>
      <c r="B2712" s="4"/>
      <c r="C2712" s="4"/>
      <c r="D2712" s="4"/>
      <c r="E2712" s="4"/>
      <c r="F2712" s="4" t="s">
        <v>17</v>
      </c>
      <c r="G2712" s="15"/>
      <c r="H2712" s="4"/>
      <c r="I2712" s="4"/>
      <c r="J2712" s="4"/>
      <c r="K2712" s="4"/>
      <c r="L2712" s="4"/>
      <c r="M2712" s="4"/>
      <c r="N2712" s="4"/>
      <c r="O2712" s="4"/>
      <c r="P2712" s="4"/>
      <c r="Q2712" s="4"/>
      <c r="R2712" s="4"/>
      <c r="S2712" s="4"/>
      <c r="T2712" s="4"/>
      <c r="U2712" s="4"/>
      <c r="V2712" s="4"/>
      <c r="W2712" s="4"/>
      <c r="X2712" s="4"/>
      <c r="Y2712" s="4"/>
      <c r="Z2712" s="4"/>
      <c r="AA2712" s="4"/>
      <c r="AB2712" s="4"/>
      <c r="AC2712" s="4"/>
      <c r="AD2712" s="4"/>
      <c r="AE2712" s="4"/>
      <c r="AF2712" s="4"/>
      <c r="AG2712" s="4"/>
      <c r="AH2712" s="4"/>
      <c r="AI2712" s="4"/>
      <c r="AJ2712" s="4"/>
      <c r="AK2712" s="4"/>
      <c r="AL2712" s="4"/>
      <c r="AM2712" s="4"/>
      <c r="AN2712" s="4"/>
      <c r="AO2712" s="4"/>
      <c r="AP2712" s="4"/>
      <c r="AQ2712" s="4"/>
      <c r="AR2712" s="4"/>
      <c r="AS2712" s="4"/>
      <c r="AT2712" s="4"/>
      <c r="AU2712" s="4"/>
      <c r="AV2712" s="4"/>
      <c r="AW2712" s="4"/>
      <c r="AX2712" s="4"/>
      <c r="AY2712" s="4"/>
      <c r="AZ2712" s="4"/>
      <c r="BA2712" s="4"/>
      <c r="BB2712" s="4"/>
      <c r="BC2712" s="4"/>
      <c r="BD2712" s="4"/>
      <c r="BE2712" s="4"/>
      <c r="BF2712" s="4"/>
      <c r="BG2712" s="4"/>
      <c r="BH2712" s="4"/>
      <c r="BI2712" s="4"/>
      <c r="BJ2712" s="4"/>
      <c r="BK2712" s="4"/>
      <c r="BL2712" s="4"/>
      <c r="BM2712" s="4"/>
      <c r="BN2712" s="4"/>
      <c r="BO2712" s="4"/>
      <c r="BP2712" s="4"/>
      <c r="BQ2712" s="4"/>
      <c r="BR2712" s="4"/>
      <c r="BS2712" s="4"/>
      <c r="BT2712" s="4"/>
      <c r="BU2712" s="4"/>
      <c r="BV2712" s="4"/>
      <c r="BW2712" s="4"/>
      <c r="BX2712" s="4"/>
      <c r="BY2712" s="4"/>
      <c r="BZ2712" s="4"/>
      <c r="CA2712" s="4"/>
      <c r="CB2712" s="4"/>
      <c r="CC2712" s="4"/>
      <c r="CD2712" s="4"/>
      <c r="CE2712" s="4"/>
      <c r="CF2712" s="4"/>
      <c r="CG2712" s="4"/>
      <c r="CH2712" s="4"/>
      <c r="CI2712" s="4"/>
      <c r="CJ2712" s="4"/>
      <c r="CK2712" s="4"/>
      <c r="CL2712" s="4"/>
      <c r="CM2712" s="4"/>
      <c r="CN2712" s="4"/>
      <c r="CO2712" s="4"/>
      <c r="CP2712" s="4"/>
      <c r="CQ2712" s="4"/>
      <c r="CR2712" s="4"/>
      <c r="CS2712" s="4"/>
      <c r="CT2712" s="4"/>
      <c r="CU2712" s="4"/>
      <c r="CV2712" s="4"/>
      <c r="CW2712" s="4"/>
      <c r="CX2712" s="4"/>
      <c r="CY2712" s="4"/>
      <c r="CZ2712" s="4"/>
      <c r="DA2712" s="4"/>
      <c r="DB2712" s="4"/>
      <c r="DC2712" s="4"/>
      <c r="DD2712" s="4"/>
      <c r="DE2712" s="4"/>
      <c r="DF2712" s="4"/>
      <c r="DG2712" s="4"/>
      <c r="DH2712" s="4"/>
      <c r="DI2712" s="4"/>
      <c r="DJ2712" s="4"/>
      <c r="DK2712" s="4"/>
      <c r="DL2712" s="4"/>
      <c r="DM2712" s="4"/>
      <c r="DN2712" s="4"/>
      <c r="DO2712" s="4"/>
      <c r="DP2712" s="4"/>
      <c r="DQ2712" s="4"/>
      <c r="DR2712" s="4"/>
      <c r="DS2712" s="4"/>
    </row>
    <row r="2713">
      <c r="A2713" s="4"/>
      <c r="B2713" s="4"/>
      <c r="C2713" s="4"/>
      <c r="D2713" s="4"/>
      <c r="E2713" s="4"/>
      <c r="F2713" s="4" t="s">
        <v>17</v>
      </c>
      <c r="G2713" s="15"/>
      <c r="H2713" s="4"/>
      <c r="I2713" s="4"/>
      <c r="J2713" s="4"/>
      <c r="K2713" s="4"/>
      <c r="L2713" s="4"/>
      <c r="M2713" s="4"/>
      <c r="N2713" s="4"/>
      <c r="O2713" s="4"/>
      <c r="P2713" s="4"/>
      <c r="Q2713" s="4"/>
      <c r="R2713" s="4"/>
      <c r="S2713" s="4"/>
      <c r="T2713" s="4"/>
      <c r="U2713" s="4"/>
      <c r="V2713" s="4"/>
      <c r="W2713" s="4"/>
      <c r="X2713" s="4"/>
      <c r="Y2713" s="4"/>
      <c r="Z2713" s="4"/>
      <c r="AA2713" s="4"/>
      <c r="AB2713" s="4"/>
      <c r="AC2713" s="4"/>
      <c r="AD2713" s="4"/>
      <c r="AE2713" s="4"/>
      <c r="AF2713" s="4"/>
      <c r="AG2713" s="4"/>
      <c r="AH2713" s="4"/>
      <c r="AI2713" s="4"/>
      <c r="AJ2713" s="4"/>
      <c r="AK2713" s="4"/>
      <c r="AL2713" s="4"/>
      <c r="AM2713" s="4"/>
      <c r="AN2713" s="4"/>
      <c r="AO2713" s="4"/>
      <c r="AP2713" s="4"/>
      <c r="AQ2713" s="4"/>
      <c r="AR2713" s="4"/>
      <c r="AS2713" s="4"/>
      <c r="AT2713" s="4"/>
      <c r="AU2713" s="4"/>
      <c r="AV2713" s="4"/>
      <c r="AW2713" s="4"/>
      <c r="AX2713" s="4"/>
      <c r="AY2713" s="4"/>
      <c r="AZ2713" s="4"/>
      <c r="BA2713" s="4"/>
      <c r="BB2713" s="4"/>
      <c r="BC2713" s="4"/>
      <c r="BD2713" s="4"/>
      <c r="BE2713" s="4"/>
      <c r="BF2713" s="4"/>
      <c r="BG2713" s="4"/>
      <c r="BH2713" s="4"/>
      <c r="BI2713" s="4"/>
      <c r="BJ2713" s="4"/>
      <c r="BK2713" s="4"/>
      <c r="BL2713" s="4"/>
      <c r="BM2713" s="4"/>
      <c r="BN2713" s="4"/>
      <c r="BO2713" s="4"/>
      <c r="BP2713" s="4"/>
      <c r="BQ2713" s="4"/>
      <c r="BR2713" s="4"/>
      <c r="BS2713" s="4"/>
      <c r="BT2713" s="4"/>
      <c r="BU2713" s="4"/>
      <c r="BV2713" s="4"/>
      <c r="BW2713" s="4"/>
      <c r="BX2713" s="4"/>
      <c r="BY2713" s="4"/>
      <c r="BZ2713" s="4"/>
      <c r="CA2713" s="4"/>
      <c r="CB2713" s="4"/>
      <c r="CC2713" s="4"/>
      <c r="CD2713" s="4"/>
      <c r="CE2713" s="4"/>
      <c r="CF2713" s="4"/>
      <c r="CG2713" s="4"/>
      <c r="CH2713" s="4"/>
      <c r="CI2713" s="4"/>
      <c r="CJ2713" s="4"/>
      <c r="CK2713" s="4"/>
      <c r="CL2713" s="4"/>
      <c r="CM2713" s="4"/>
      <c r="CN2713" s="4"/>
      <c r="CO2713" s="4"/>
      <c r="CP2713" s="4"/>
      <c r="CQ2713" s="4"/>
      <c r="CR2713" s="4"/>
      <c r="CS2713" s="4"/>
      <c r="CT2713" s="4"/>
      <c r="CU2713" s="4"/>
      <c r="CV2713" s="4"/>
      <c r="CW2713" s="4"/>
      <c r="CX2713" s="4"/>
      <c r="CY2713" s="4"/>
      <c r="CZ2713" s="4"/>
      <c r="DA2713" s="4"/>
      <c r="DB2713" s="4"/>
      <c r="DC2713" s="4"/>
      <c r="DD2713" s="4"/>
      <c r="DE2713" s="4"/>
      <c r="DF2713" s="4"/>
      <c r="DG2713" s="4"/>
      <c r="DH2713" s="4"/>
      <c r="DI2713" s="4"/>
      <c r="DJ2713" s="4"/>
      <c r="DK2713" s="4"/>
      <c r="DL2713" s="4"/>
      <c r="DM2713" s="4"/>
      <c r="DN2713" s="4"/>
      <c r="DO2713" s="4"/>
      <c r="DP2713" s="4"/>
      <c r="DQ2713" s="4"/>
      <c r="DR2713" s="4"/>
      <c r="DS2713" s="4"/>
    </row>
    <row r="2714">
      <c r="A2714" s="4"/>
      <c r="B2714" s="4"/>
      <c r="C2714" s="4"/>
      <c r="D2714" s="4"/>
      <c r="E2714" s="4"/>
      <c r="F2714" s="4" t="s">
        <v>17</v>
      </c>
      <c r="G2714" s="15"/>
      <c r="H2714" s="4"/>
      <c r="I2714" s="4"/>
      <c r="J2714" s="4"/>
      <c r="K2714" s="4"/>
      <c r="L2714" s="4"/>
      <c r="M2714" s="4"/>
      <c r="N2714" s="4"/>
      <c r="O2714" s="4"/>
      <c r="P2714" s="4"/>
      <c r="Q2714" s="4"/>
      <c r="R2714" s="4"/>
      <c r="S2714" s="4"/>
      <c r="T2714" s="4"/>
      <c r="U2714" s="4"/>
      <c r="V2714" s="4"/>
      <c r="W2714" s="4"/>
      <c r="X2714" s="4"/>
      <c r="Y2714" s="4"/>
      <c r="Z2714" s="4"/>
      <c r="AA2714" s="4"/>
      <c r="AB2714" s="4"/>
      <c r="AC2714" s="4"/>
      <c r="AD2714" s="4"/>
      <c r="AE2714" s="4"/>
      <c r="AF2714" s="4"/>
      <c r="AG2714" s="4"/>
      <c r="AH2714" s="4"/>
      <c r="AI2714" s="4"/>
      <c r="AJ2714" s="4"/>
      <c r="AK2714" s="4"/>
      <c r="AL2714" s="4"/>
      <c r="AM2714" s="4"/>
      <c r="AN2714" s="4"/>
      <c r="AO2714" s="4"/>
      <c r="AP2714" s="4"/>
      <c r="AQ2714" s="4"/>
      <c r="AR2714" s="4"/>
      <c r="AS2714" s="4"/>
      <c r="AT2714" s="4"/>
      <c r="AU2714" s="4"/>
      <c r="AV2714" s="4"/>
      <c r="AW2714" s="4"/>
      <c r="AX2714" s="4"/>
      <c r="AY2714" s="4"/>
      <c r="AZ2714" s="4"/>
      <c r="BA2714" s="4"/>
      <c r="BB2714" s="4"/>
      <c r="BC2714" s="4"/>
      <c r="BD2714" s="4"/>
      <c r="BE2714" s="4"/>
      <c r="BF2714" s="4"/>
      <c r="BG2714" s="4"/>
      <c r="BH2714" s="4"/>
      <c r="BI2714" s="4"/>
      <c r="BJ2714" s="4"/>
      <c r="BK2714" s="4"/>
      <c r="BL2714" s="4"/>
      <c r="BM2714" s="4"/>
      <c r="BN2714" s="4"/>
      <c r="BO2714" s="4"/>
      <c r="BP2714" s="4"/>
      <c r="BQ2714" s="4"/>
      <c r="BR2714" s="4"/>
      <c r="BS2714" s="4"/>
      <c r="BT2714" s="4"/>
      <c r="BU2714" s="4"/>
      <c r="BV2714" s="4"/>
      <c r="BW2714" s="4"/>
      <c r="BX2714" s="4"/>
      <c r="BY2714" s="4"/>
      <c r="BZ2714" s="4"/>
      <c r="CA2714" s="4"/>
      <c r="CB2714" s="4"/>
      <c r="CC2714" s="4"/>
      <c r="CD2714" s="4"/>
      <c r="CE2714" s="4"/>
      <c r="CF2714" s="4"/>
      <c r="CG2714" s="4"/>
      <c r="CH2714" s="4"/>
      <c r="CI2714" s="4"/>
      <c r="CJ2714" s="4"/>
      <c r="CK2714" s="4"/>
      <c r="CL2714" s="4"/>
      <c r="CM2714" s="4"/>
      <c r="CN2714" s="4"/>
      <c r="CO2714" s="4"/>
      <c r="CP2714" s="4"/>
      <c r="CQ2714" s="4"/>
      <c r="CR2714" s="4"/>
      <c r="CS2714" s="4"/>
      <c r="CT2714" s="4"/>
      <c r="CU2714" s="4"/>
      <c r="CV2714" s="4"/>
      <c r="CW2714" s="4"/>
      <c r="CX2714" s="4"/>
      <c r="CY2714" s="4"/>
      <c r="CZ2714" s="4"/>
      <c r="DA2714" s="4"/>
      <c r="DB2714" s="4"/>
      <c r="DC2714" s="4"/>
      <c r="DD2714" s="4"/>
      <c r="DE2714" s="4"/>
      <c r="DF2714" s="4"/>
      <c r="DG2714" s="4"/>
      <c r="DH2714" s="4"/>
      <c r="DI2714" s="4"/>
      <c r="DJ2714" s="4"/>
      <c r="DK2714" s="4"/>
      <c r="DL2714" s="4"/>
      <c r="DM2714" s="4"/>
      <c r="DN2714" s="4"/>
      <c r="DO2714" s="4"/>
      <c r="DP2714" s="4"/>
      <c r="DQ2714" s="4"/>
      <c r="DR2714" s="4"/>
      <c r="DS2714" s="4"/>
    </row>
    <row r="2715">
      <c r="A2715" s="4"/>
      <c r="B2715" s="4"/>
      <c r="C2715" s="4"/>
      <c r="D2715" s="4"/>
      <c r="E2715" s="4"/>
      <c r="F2715" s="4" t="s">
        <v>17</v>
      </c>
      <c r="G2715" s="15"/>
      <c r="H2715" s="4"/>
      <c r="I2715" s="4"/>
      <c r="J2715" s="4"/>
      <c r="K2715" s="4"/>
      <c r="L2715" s="4"/>
      <c r="M2715" s="4"/>
      <c r="N2715" s="4"/>
      <c r="O2715" s="4"/>
      <c r="P2715" s="4"/>
      <c r="Q2715" s="4"/>
      <c r="R2715" s="4"/>
      <c r="S2715" s="4"/>
      <c r="T2715" s="4"/>
      <c r="U2715" s="4"/>
      <c r="V2715" s="4"/>
      <c r="W2715" s="4"/>
      <c r="X2715" s="4"/>
      <c r="Y2715" s="4"/>
      <c r="Z2715" s="4"/>
      <c r="AA2715" s="4"/>
      <c r="AB2715" s="4"/>
      <c r="AC2715" s="4"/>
      <c r="AD2715" s="4"/>
      <c r="AE2715" s="4"/>
      <c r="AF2715" s="4"/>
      <c r="AG2715" s="4"/>
      <c r="AH2715" s="4"/>
      <c r="AI2715" s="4"/>
      <c r="AJ2715" s="4"/>
      <c r="AK2715" s="4"/>
      <c r="AL2715" s="4"/>
      <c r="AM2715" s="4"/>
      <c r="AN2715" s="4"/>
      <c r="AO2715" s="4"/>
      <c r="AP2715" s="4"/>
      <c r="AQ2715" s="4"/>
      <c r="AR2715" s="4"/>
      <c r="AS2715" s="4"/>
      <c r="AT2715" s="4"/>
      <c r="AU2715" s="4"/>
      <c r="AV2715" s="4"/>
      <c r="AW2715" s="4"/>
      <c r="AX2715" s="4"/>
      <c r="AY2715" s="4"/>
      <c r="AZ2715" s="4"/>
      <c r="BA2715" s="4"/>
      <c r="BB2715" s="4"/>
      <c r="BC2715" s="4"/>
      <c r="BD2715" s="4"/>
      <c r="BE2715" s="4"/>
      <c r="BF2715" s="4"/>
      <c r="BG2715" s="4"/>
      <c r="BH2715" s="4"/>
      <c r="BI2715" s="4"/>
      <c r="BJ2715" s="4"/>
      <c r="BK2715" s="4"/>
      <c r="BL2715" s="4"/>
      <c r="BM2715" s="4"/>
      <c r="BN2715" s="4"/>
      <c r="BO2715" s="4"/>
      <c r="BP2715" s="4"/>
      <c r="BQ2715" s="4"/>
      <c r="BR2715" s="4"/>
      <c r="BS2715" s="4"/>
      <c r="BT2715" s="4"/>
      <c r="BU2715" s="4"/>
      <c r="BV2715" s="4"/>
      <c r="BW2715" s="4"/>
      <c r="BX2715" s="4"/>
      <c r="BY2715" s="4"/>
      <c r="BZ2715" s="4"/>
      <c r="CA2715" s="4"/>
      <c r="CB2715" s="4"/>
      <c r="CC2715" s="4"/>
      <c r="CD2715" s="4"/>
      <c r="CE2715" s="4"/>
      <c r="CF2715" s="4"/>
      <c r="CG2715" s="4"/>
      <c r="CH2715" s="4"/>
      <c r="CI2715" s="4"/>
      <c r="CJ2715" s="4"/>
      <c r="CK2715" s="4"/>
      <c r="CL2715" s="4"/>
      <c r="CM2715" s="4"/>
      <c r="CN2715" s="4"/>
      <c r="CO2715" s="4"/>
      <c r="CP2715" s="4"/>
      <c r="CQ2715" s="4"/>
      <c r="CR2715" s="4"/>
      <c r="CS2715" s="4"/>
      <c r="CT2715" s="4"/>
      <c r="CU2715" s="4"/>
      <c r="CV2715" s="4"/>
      <c r="CW2715" s="4"/>
      <c r="CX2715" s="4"/>
      <c r="CY2715" s="4"/>
      <c r="CZ2715" s="4"/>
      <c r="DA2715" s="4"/>
      <c r="DB2715" s="4"/>
      <c r="DC2715" s="4"/>
      <c r="DD2715" s="4"/>
      <c r="DE2715" s="4"/>
      <c r="DF2715" s="4"/>
      <c r="DG2715" s="4"/>
      <c r="DH2715" s="4"/>
      <c r="DI2715" s="4"/>
      <c r="DJ2715" s="4"/>
      <c r="DK2715" s="4"/>
      <c r="DL2715" s="4"/>
      <c r="DM2715" s="4"/>
      <c r="DN2715" s="4"/>
      <c r="DO2715" s="4"/>
      <c r="DP2715" s="4"/>
      <c r="DQ2715" s="4"/>
      <c r="DR2715" s="4"/>
      <c r="DS2715" s="4"/>
    </row>
    <row r="2716">
      <c r="A2716" s="4"/>
      <c r="B2716" s="4"/>
      <c r="C2716" s="4"/>
      <c r="D2716" s="4"/>
      <c r="E2716" s="4"/>
      <c r="F2716" s="4" t="s">
        <v>17</v>
      </c>
      <c r="G2716" s="15"/>
      <c r="H2716" s="4"/>
      <c r="I2716" s="4"/>
      <c r="J2716" s="4"/>
      <c r="K2716" s="4"/>
      <c r="L2716" s="4"/>
      <c r="M2716" s="4"/>
      <c r="N2716" s="4"/>
      <c r="O2716" s="4"/>
      <c r="P2716" s="4"/>
      <c r="Q2716" s="4"/>
      <c r="R2716" s="4"/>
      <c r="S2716" s="4"/>
      <c r="T2716" s="4"/>
      <c r="U2716" s="4"/>
      <c r="V2716" s="4"/>
      <c r="W2716" s="4"/>
      <c r="X2716" s="4"/>
      <c r="Y2716" s="4"/>
      <c r="Z2716" s="4"/>
      <c r="AA2716" s="4"/>
      <c r="AB2716" s="4"/>
      <c r="AC2716" s="4"/>
      <c r="AD2716" s="4"/>
      <c r="AE2716" s="4"/>
      <c r="AF2716" s="4"/>
      <c r="AG2716" s="4"/>
      <c r="AH2716" s="4"/>
      <c r="AI2716" s="4"/>
      <c r="AJ2716" s="4"/>
      <c r="AK2716" s="4"/>
      <c r="AL2716" s="4"/>
      <c r="AM2716" s="4"/>
      <c r="AN2716" s="4"/>
      <c r="AO2716" s="4"/>
      <c r="AP2716" s="4"/>
      <c r="AQ2716" s="4"/>
      <c r="AR2716" s="4"/>
      <c r="AS2716" s="4"/>
      <c r="AT2716" s="4"/>
      <c r="AU2716" s="4"/>
      <c r="AV2716" s="4"/>
      <c r="AW2716" s="4"/>
      <c r="AX2716" s="4"/>
      <c r="AY2716" s="4"/>
      <c r="AZ2716" s="4"/>
      <c r="BA2716" s="4"/>
      <c r="BB2716" s="4"/>
      <c r="BC2716" s="4"/>
      <c r="BD2716" s="4"/>
      <c r="BE2716" s="4"/>
      <c r="BF2716" s="4"/>
      <c r="BG2716" s="4"/>
      <c r="BH2716" s="4"/>
      <c r="BI2716" s="4"/>
      <c r="BJ2716" s="4"/>
      <c r="BK2716" s="4"/>
      <c r="BL2716" s="4"/>
      <c r="BM2716" s="4"/>
      <c r="BN2716" s="4"/>
      <c r="BO2716" s="4"/>
      <c r="BP2716" s="4"/>
      <c r="BQ2716" s="4"/>
      <c r="BR2716" s="4"/>
      <c r="BS2716" s="4"/>
      <c r="BT2716" s="4"/>
      <c r="BU2716" s="4"/>
      <c r="BV2716" s="4"/>
      <c r="BW2716" s="4"/>
      <c r="BX2716" s="4"/>
      <c r="BY2716" s="4"/>
      <c r="BZ2716" s="4"/>
      <c r="CA2716" s="4"/>
      <c r="CB2716" s="4"/>
      <c r="CC2716" s="4"/>
      <c r="CD2716" s="4"/>
      <c r="CE2716" s="4"/>
      <c r="CF2716" s="4"/>
      <c r="CG2716" s="4"/>
      <c r="CH2716" s="4"/>
      <c r="CI2716" s="4"/>
      <c r="CJ2716" s="4"/>
      <c r="CK2716" s="4"/>
      <c r="CL2716" s="4"/>
      <c r="CM2716" s="4"/>
      <c r="CN2716" s="4"/>
      <c r="CO2716" s="4"/>
      <c r="CP2716" s="4"/>
      <c r="CQ2716" s="4"/>
      <c r="CR2716" s="4"/>
      <c r="CS2716" s="4"/>
      <c r="CT2716" s="4"/>
      <c r="CU2716" s="4"/>
      <c r="CV2716" s="4"/>
      <c r="CW2716" s="4"/>
      <c r="CX2716" s="4"/>
      <c r="CY2716" s="4"/>
      <c r="CZ2716" s="4"/>
      <c r="DA2716" s="4"/>
      <c r="DB2716" s="4"/>
      <c r="DC2716" s="4"/>
      <c r="DD2716" s="4"/>
      <c r="DE2716" s="4"/>
      <c r="DF2716" s="4"/>
      <c r="DG2716" s="4"/>
      <c r="DH2716" s="4"/>
      <c r="DI2716" s="4"/>
      <c r="DJ2716" s="4"/>
      <c r="DK2716" s="4"/>
      <c r="DL2716" s="4"/>
      <c r="DM2716" s="4"/>
      <c r="DN2716" s="4"/>
      <c r="DO2716" s="4"/>
      <c r="DP2716" s="4"/>
      <c r="DQ2716" s="4"/>
      <c r="DR2716" s="4"/>
      <c r="DS2716" s="4"/>
    </row>
    <row r="2717">
      <c r="A2717" s="4"/>
      <c r="B2717" s="4"/>
      <c r="C2717" s="4"/>
      <c r="D2717" s="4"/>
      <c r="E2717" s="4"/>
      <c r="F2717" s="4" t="s">
        <v>17</v>
      </c>
      <c r="G2717" s="15"/>
      <c r="H2717" s="4"/>
      <c r="I2717" s="4"/>
      <c r="J2717" s="4"/>
      <c r="K2717" s="4"/>
      <c r="L2717" s="4"/>
      <c r="M2717" s="4"/>
      <c r="N2717" s="4"/>
      <c r="O2717" s="4"/>
      <c r="P2717" s="4"/>
      <c r="Q2717" s="4"/>
      <c r="R2717" s="4"/>
      <c r="S2717" s="4"/>
      <c r="T2717" s="4"/>
      <c r="U2717" s="4"/>
      <c r="V2717" s="4"/>
      <c r="W2717" s="4"/>
      <c r="X2717" s="4"/>
      <c r="Y2717" s="4"/>
      <c r="Z2717" s="4"/>
      <c r="AA2717" s="4"/>
      <c r="AB2717" s="4"/>
      <c r="AC2717" s="4"/>
      <c r="AD2717" s="4"/>
      <c r="AE2717" s="4"/>
      <c r="AF2717" s="4"/>
      <c r="AG2717" s="4"/>
      <c r="AH2717" s="4"/>
      <c r="AI2717" s="4"/>
      <c r="AJ2717" s="4"/>
      <c r="AK2717" s="4"/>
      <c r="AL2717" s="4"/>
      <c r="AM2717" s="4"/>
      <c r="AN2717" s="4"/>
      <c r="AO2717" s="4"/>
      <c r="AP2717" s="4"/>
      <c r="AQ2717" s="4"/>
      <c r="AR2717" s="4"/>
      <c r="AS2717" s="4"/>
      <c r="AT2717" s="4"/>
      <c r="AU2717" s="4"/>
      <c r="AV2717" s="4"/>
      <c r="AW2717" s="4"/>
      <c r="AX2717" s="4"/>
      <c r="AY2717" s="4"/>
      <c r="AZ2717" s="4"/>
      <c r="BA2717" s="4"/>
      <c r="BB2717" s="4"/>
      <c r="BC2717" s="4"/>
      <c r="BD2717" s="4"/>
      <c r="BE2717" s="4"/>
      <c r="BF2717" s="4"/>
      <c r="BG2717" s="4"/>
      <c r="BH2717" s="4"/>
      <c r="BI2717" s="4"/>
      <c r="BJ2717" s="4"/>
      <c r="BK2717" s="4"/>
      <c r="BL2717" s="4"/>
      <c r="BM2717" s="4"/>
      <c r="BN2717" s="4"/>
      <c r="BO2717" s="4"/>
      <c r="BP2717" s="4"/>
      <c r="BQ2717" s="4"/>
      <c r="BR2717" s="4"/>
      <c r="BS2717" s="4"/>
      <c r="BT2717" s="4"/>
      <c r="BU2717" s="4"/>
      <c r="BV2717" s="4"/>
      <c r="BW2717" s="4"/>
      <c r="BX2717" s="4"/>
      <c r="BY2717" s="4"/>
      <c r="BZ2717" s="4"/>
      <c r="CA2717" s="4"/>
      <c r="CB2717" s="4"/>
      <c r="CC2717" s="4"/>
      <c r="CD2717" s="4"/>
      <c r="CE2717" s="4"/>
      <c r="CF2717" s="4"/>
      <c r="CG2717" s="4"/>
      <c r="CH2717" s="4"/>
      <c r="CI2717" s="4"/>
      <c r="CJ2717" s="4"/>
      <c r="CK2717" s="4"/>
      <c r="CL2717" s="4"/>
      <c r="CM2717" s="4"/>
      <c r="CN2717" s="4"/>
      <c r="CO2717" s="4"/>
      <c r="CP2717" s="4"/>
      <c r="CQ2717" s="4"/>
      <c r="CR2717" s="4"/>
      <c r="CS2717" s="4"/>
      <c r="CT2717" s="4"/>
      <c r="CU2717" s="4"/>
      <c r="CV2717" s="4"/>
      <c r="CW2717" s="4"/>
      <c r="CX2717" s="4"/>
      <c r="CY2717" s="4"/>
      <c r="CZ2717" s="4"/>
      <c r="DA2717" s="4"/>
      <c r="DB2717" s="4"/>
      <c r="DC2717" s="4"/>
      <c r="DD2717" s="4"/>
      <c r="DE2717" s="4"/>
      <c r="DF2717" s="4"/>
      <c r="DG2717" s="4"/>
      <c r="DH2717" s="4"/>
      <c r="DI2717" s="4"/>
      <c r="DJ2717" s="4"/>
      <c r="DK2717" s="4"/>
      <c r="DL2717" s="4"/>
      <c r="DM2717" s="4"/>
      <c r="DN2717" s="4"/>
      <c r="DO2717" s="4"/>
      <c r="DP2717" s="4"/>
      <c r="DQ2717" s="4"/>
      <c r="DR2717" s="4"/>
      <c r="DS2717" s="4"/>
    </row>
    <row r="2718">
      <c r="A2718" s="4"/>
      <c r="B2718" s="4"/>
      <c r="C2718" s="4"/>
      <c r="D2718" s="4"/>
      <c r="E2718" s="4"/>
      <c r="F2718" s="4" t="s">
        <v>17</v>
      </c>
      <c r="G2718" s="15"/>
      <c r="H2718" s="4"/>
      <c r="I2718" s="4"/>
      <c r="J2718" s="4"/>
      <c r="K2718" s="4"/>
      <c r="L2718" s="4"/>
      <c r="M2718" s="4"/>
      <c r="N2718" s="4"/>
      <c r="O2718" s="4"/>
      <c r="P2718" s="4"/>
      <c r="Q2718" s="4"/>
      <c r="R2718" s="4"/>
      <c r="S2718" s="4"/>
      <c r="T2718" s="4"/>
      <c r="U2718" s="4"/>
      <c r="V2718" s="4"/>
      <c r="W2718" s="4"/>
      <c r="X2718" s="4"/>
      <c r="Y2718" s="4"/>
      <c r="Z2718" s="4"/>
      <c r="AA2718" s="4"/>
      <c r="AB2718" s="4"/>
      <c r="AC2718" s="4"/>
      <c r="AD2718" s="4"/>
      <c r="AE2718" s="4"/>
      <c r="AF2718" s="4"/>
      <c r="AG2718" s="4"/>
      <c r="AH2718" s="4"/>
      <c r="AI2718" s="4"/>
      <c r="AJ2718" s="4"/>
      <c r="AK2718" s="4"/>
      <c r="AL2718" s="4"/>
      <c r="AM2718" s="4"/>
      <c r="AN2718" s="4"/>
      <c r="AO2718" s="4"/>
      <c r="AP2718" s="4"/>
      <c r="AQ2718" s="4"/>
      <c r="AR2718" s="4"/>
      <c r="AS2718" s="4"/>
      <c r="AT2718" s="4"/>
      <c r="AU2718" s="4"/>
      <c r="AV2718" s="4"/>
      <c r="AW2718" s="4"/>
      <c r="AX2718" s="4"/>
      <c r="AY2718" s="4"/>
      <c r="AZ2718" s="4"/>
      <c r="BA2718" s="4"/>
      <c r="BB2718" s="4"/>
      <c r="BC2718" s="4"/>
      <c r="BD2718" s="4"/>
      <c r="BE2718" s="4"/>
      <c r="BF2718" s="4"/>
      <c r="BG2718" s="4"/>
      <c r="BH2718" s="4"/>
      <c r="BI2718" s="4"/>
      <c r="BJ2718" s="4"/>
      <c r="BK2718" s="4"/>
      <c r="BL2718" s="4"/>
      <c r="BM2718" s="4"/>
      <c r="BN2718" s="4"/>
      <c r="BO2718" s="4"/>
      <c r="BP2718" s="4"/>
      <c r="BQ2718" s="4"/>
      <c r="BR2718" s="4"/>
      <c r="BS2718" s="4"/>
      <c r="BT2718" s="4"/>
      <c r="BU2718" s="4"/>
      <c r="BV2718" s="4"/>
      <c r="BW2718" s="4"/>
      <c r="BX2718" s="4"/>
      <c r="BY2718" s="4"/>
      <c r="BZ2718" s="4"/>
      <c r="CA2718" s="4"/>
      <c r="CB2718" s="4"/>
      <c r="CC2718" s="4"/>
      <c r="CD2718" s="4"/>
      <c r="CE2718" s="4"/>
      <c r="CF2718" s="4"/>
      <c r="CG2718" s="4"/>
      <c r="CH2718" s="4"/>
      <c r="CI2718" s="4"/>
      <c r="CJ2718" s="4"/>
      <c r="CK2718" s="4"/>
      <c r="CL2718" s="4"/>
      <c r="CM2718" s="4"/>
      <c r="CN2718" s="4"/>
      <c r="CO2718" s="4"/>
      <c r="CP2718" s="4"/>
      <c r="CQ2718" s="4"/>
      <c r="CR2718" s="4"/>
      <c r="CS2718" s="4"/>
      <c r="CT2718" s="4"/>
      <c r="CU2718" s="4"/>
      <c r="CV2718" s="4"/>
      <c r="CW2718" s="4"/>
      <c r="CX2718" s="4"/>
      <c r="CY2718" s="4"/>
      <c r="CZ2718" s="4"/>
      <c r="DA2718" s="4"/>
      <c r="DB2718" s="4"/>
      <c r="DC2718" s="4"/>
      <c r="DD2718" s="4"/>
      <c r="DE2718" s="4"/>
      <c r="DF2718" s="4"/>
      <c r="DG2718" s="4"/>
      <c r="DH2718" s="4"/>
      <c r="DI2718" s="4"/>
      <c r="DJ2718" s="4"/>
      <c r="DK2718" s="4"/>
      <c r="DL2718" s="4"/>
      <c r="DM2718" s="4"/>
      <c r="DN2718" s="4"/>
      <c r="DO2718" s="4"/>
      <c r="DP2718" s="4"/>
      <c r="DQ2718" s="4"/>
      <c r="DR2718" s="4"/>
      <c r="DS2718" s="4"/>
    </row>
    <row r="2719">
      <c r="A2719" s="4"/>
      <c r="B2719" s="4"/>
      <c r="C2719" s="4"/>
      <c r="D2719" s="4"/>
      <c r="E2719" s="4"/>
      <c r="F2719" s="4" t="s">
        <v>17</v>
      </c>
      <c r="G2719" s="15"/>
      <c r="H2719" s="4"/>
      <c r="I2719" s="4"/>
      <c r="J2719" s="4"/>
      <c r="K2719" s="4"/>
      <c r="L2719" s="4"/>
      <c r="M2719" s="4"/>
      <c r="N2719" s="4"/>
      <c r="O2719" s="4"/>
      <c r="P2719" s="4"/>
      <c r="Q2719" s="4"/>
      <c r="R2719" s="4"/>
      <c r="S2719" s="4"/>
      <c r="T2719" s="4"/>
      <c r="U2719" s="4"/>
      <c r="V2719" s="4"/>
      <c r="W2719" s="4"/>
      <c r="X2719" s="4"/>
      <c r="Y2719" s="4"/>
      <c r="Z2719" s="4"/>
      <c r="AA2719" s="4"/>
      <c r="AB2719" s="4"/>
      <c r="AC2719" s="4"/>
      <c r="AD2719" s="4"/>
      <c r="AE2719" s="4"/>
      <c r="AF2719" s="4"/>
      <c r="AG2719" s="4"/>
      <c r="AH2719" s="4"/>
      <c r="AI2719" s="4"/>
      <c r="AJ2719" s="4"/>
      <c r="AK2719" s="4"/>
      <c r="AL2719" s="4"/>
      <c r="AM2719" s="4"/>
      <c r="AN2719" s="4"/>
      <c r="AO2719" s="4"/>
      <c r="AP2719" s="4"/>
      <c r="AQ2719" s="4"/>
      <c r="AR2719" s="4"/>
      <c r="AS2719" s="4"/>
      <c r="AT2719" s="4"/>
      <c r="AU2719" s="4"/>
      <c r="AV2719" s="4"/>
      <c r="AW2719" s="4"/>
      <c r="AX2719" s="4"/>
      <c r="AY2719" s="4"/>
      <c r="AZ2719" s="4"/>
      <c r="BA2719" s="4"/>
      <c r="BB2719" s="4"/>
      <c r="BC2719" s="4"/>
      <c r="BD2719" s="4"/>
      <c r="BE2719" s="4"/>
      <c r="BF2719" s="4"/>
      <c r="BG2719" s="4"/>
      <c r="BH2719" s="4"/>
      <c r="BI2719" s="4"/>
      <c r="BJ2719" s="4"/>
      <c r="BK2719" s="4"/>
      <c r="BL2719" s="4"/>
      <c r="BM2719" s="4"/>
      <c r="BN2719" s="4"/>
      <c r="BO2719" s="4"/>
      <c r="BP2719" s="4"/>
      <c r="BQ2719" s="4"/>
      <c r="BR2719" s="4"/>
      <c r="BS2719" s="4"/>
      <c r="BT2719" s="4"/>
      <c r="BU2719" s="4"/>
      <c r="BV2719" s="4"/>
      <c r="BW2719" s="4"/>
      <c r="BX2719" s="4"/>
      <c r="BY2719" s="4"/>
      <c r="BZ2719" s="4"/>
      <c r="CA2719" s="4"/>
      <c r="CB2719" s="4"/>
      <c r="CC2719" s="4"/>
      <c r="CD2719" s="4"/>
      <c r="CE2719" s="4"/>
      <c r="CF2719" s="4"/>
      <c r="CG2719" s="4"/>
      <c r="CH2719" s="4"/>
      <c r="CI2719" s="4"/>
      <c r="CJ2719" s="4"/>
      <c r="CK2719" s="4"/>
      <c r="CL2719" s="4"/>
      <c r="CM2719" s="4"/>
      <c r="CN2719" s="4"/>
      <c r="CO2719" s="4"/>
      <c r="CP2719" s="4"/>
      <c r="CQ2719" s="4"/>
      <c r="CR2719" s="4"/>
      <c r="CS2719" s="4"/>
      <c r="CT2719" s="4"/>
      <c r="CU2719" s="4"/>
      <c r="CV2719" s="4"/>
      <c r="CW2719" s="4"/>
      <c r="CX2719" s="4"/>
      <c r="CY2719" s="4"/>
      <c r="CZ2719" s="4"/>
      <c r="DA2719" s="4"/>
      <c r="DB2719" s="4"/>
      <c r="DC2719" s="4"/>
      <c r="DD2719" s="4"/>
      <c r="DE2719" s="4"/>
      <c r="DF2719" s="4"/>
      <c r="DG2719" s="4"/>
      <c r="DH2719" s="4"/>
      <c r="DI2719" s="4"/>
      <c r="DJ2719" s="4"/>
      <c r="DK2719" s="4"/>
      <c r="DL2719" s="4"/>
      <c r="DM2719" s="4"/>
      <c r="DN2719" s="4"/>
      <c r="DO2719" s="4"/>
      <c r="DP2719" s="4"/>
      <c r="DQ2719" s="4"/>
      <c r="DR2719" s="4"/>
      <c r="DS2719" s="4"/>
    </row>
    <row r="2720">
      <c r="A2720" s="4"/>
      <c r="B2720" s="4"/>
      <c r="C2720" s="4"/>
      <c r="D2720" s="4"/>
      <c r="E2720" s="4"/>
      <c r="F2720" s="4" t="s">
        <v>17</v>
      </c>
      <c r="G2720" s="15"/>
      <c r="H2720" s="4"/>
      <c r="I2720" s="4"/>
      <c r="J2720" s="4"/>
      <c r="K2720" s="4"/>
      <c r="L2720" s="4"/>
      <c r="M2720" s="4"/>
      <c r="N2720" s="4"/>
      <c r="O2720" s="4"/>
      <c r="P2720" s="4"/>
      <c r="Q2720" s="4"/>
      <c r="R2720" s="4"/>
      <c r="S2720" s="4"/>
      <c r="T2720" s="4"/>
      <c r="U2720" s="4"/>
      <c r="V2720" s="4"/>
      <c r="W2720" s="4"/>
      <c r="X2720" s="4"/>
      <c r="Y2720" s="4"/>
      <c r="Z2720" s="4"/>
      <c r="AA2720" s="4"/>
      <c r="AB2720" s="4"/>
      <c r="AC2720" s="4"/>
      <c r="AD2720" s="4"/>
      <c r="AE2720" s="4"/>
      <c r="AF2720" s="4"/>
      <c r="AG2720" s="4"/>
      <c r="AH2720" s="4"/>
      <c r="AI2720" s="4"/>
      <c r="AJ2720" s="4"/>
      <c r="AK2720" s="4"/>
      <c r="AL2720" s="4"/>
      <c r="AM2720" s="4"/>
      <c r="AN2720" s="4"/>
      <c r="AO2720" s="4"/>
      <c r="AP2720" s="4"/>
      <c r="AQ2720" s="4"/>
      <c r="AR2720" s="4"/>
      <c r="AS2720" s="4"/>
      <c r="AT2720" s="4"/>
      <c r="AU2720" s="4"/>
      <c r="AV2720" s="4"/>
      <c r="AW2720" s="4"/>
      <c r="AX2720" s="4"/>
      <c r="AY2720" s="4"/>
      <c r="AZ2720" s="4"/>
      <c r="BA2720" s="4"/>
      <c r="BB2720" s="4"/>
      <c r="BC2720" s="4"/>
      <c r="BD2720" s="4"/>
      <c r="BE2720" s="4"/>
      <c r="BF2720" s="4"/>
      <c r="BG2720" s="4"/>
      <c r="BH2720" s="4"/>
      <c r="BI2720" s="4"/>
      <c r="BJ2720" s="4"/>
      <c r="BK2720" s="4"/>
      <c r="BL2720" s="4"/>
      <c r="BM2720" s="4"/>
      <c r="BN2720" s="4"/>
      <c r="BO2720" s="4"/>
      <c r="BP2720" s="4"/>
      <c r="BQ2720" s="4"/>
      <c r="BR2720" s="4"/>
      <c r="BS2720" s="4"/>
      <c r="BT2720" s="4"/>
      <c r="BU2720" s="4"/>
      <c r="BV2720" s="4"/>
      <c r="BW2720" s="4"/>
      <c r="BX2720" s="4"/>
      <c r="BY2720" s="4"/>
      <c r="BZ2720" s="4"/>
      <c r="CA2720" s="4"/>
      <c r="CB2720" s="4"/>
      <c r="CC2720" s="4"/>
      <c r="CD2720" s="4"/>
      <c r="CE2720" s="4"/>
      <c r="CF2720" s="4"/>
      <c r="CG2720" s="4"/>
      <c r="CH2720" s="4"/>
      <c r="CI2720" s="4"/>
      <c r="CJ2720" s="4"/>
      <c r="CK2720" s="4"/>
      <c r="CL2720" s="4"/>
      <c r="CM2720" s="4"/>
      <c r="CN2720" s="4"/>
      <c r="CO2720" s="4"/>
      <c r="CP2720" s="4"/>
      <c r="CQ2720" s="4"/>
      <c r="CR2720" s="4"/>
      <c r="CS2720" s="4"/>
      <c r="CT2720" s="4"/>
      <c r="CU2720" s="4"/>
      <c r="CV2720" s="4"/>
      <c r="CW2720" s="4"/>
      <c r="CX2720" s="4"/>
      <c r="CY2720" s="4"/>
      <c r="CZ2720" s="4"/>
      <c r="DA2720" s="4"/>
      <c r="DB2720" s="4"/>
      <c r="DC2720" s="4"/>
      <c r="DD2720" s="4"/>
      <c r="DE2720" s="4"/>
      <c r="DF2720" s="4"/>
      <c r="DG2720" s="4"/>
      <c r="DH2720" s="4"/>
      <c r="DI2720" s="4"/>
      <c r="DJ2720" s="4"/>
      <c r="DK2720" s="4"/>
      <c r="DL2720" s="4"/>
      <c r="DM2720" s="4"/>
      <c r="DN2720" s="4"/>
      <c r="DO2720" s="4"/>
      <c r="DP2720" s="4"/>
      <c r="DQ2720" s="4"/>
      <c r="DR2720" s="4"/>
      <c r="DS2720" s="4"/>
    </row>
    <row r="2721">
      <c r="A2721" s="4"/>
      <c r="B2721" s="4"/>
      <c r="C2721" s="4"/>
      <c r="D2721" s="4"/>
      <c r="E2721" s="4"/>
      <c r="F2721" s="4" t="s">
        <v>17</v>
      </c>
      <c r="G2721" s="15"/>
      <c r="H2721" s="4"/>
      <c r="I2721" s="4"/>
      <c r="J2721" s="4"/>
      <c r="K2721" s="4"/>
      <c r="L2721" s="4"/>
      <c r="M2721" s="4"/>
      <c r="N2721" s="4"/>
      <c r="O2721" s="4"/>
      <c r="P2721" s="4"/>
      <c r="Q2721" s="4"/>
      <c r="R2721" s="4"/>
      <c r="S2721" s="4"/>
      <c r="T2721" s="4"/>
      <c r="U2721" s="4"/>
      <c r="V2721" s="4"/>
      <c r="W2721" s="4"/>
      <c r="X2721" s="4"/>
      <c r="Y2721" s="4"/>
      <c r="Z2721" s="4"/>
      <c r="AA2721" s="4"/>
      <c r="AB2721" s="4"/>
      <c r="AC2721" s="4"/>
      <c r="AD2721" s="4"/>
      <c r="AE2721" s="4"/>
      <c r="AF2721" s="4"/>
      <c r="AG2721" s="4"/>
      <c r="AH2721" s="4"/>
      <c r="AI2721" s="4"/>
      <c r="AJ2721" s="4"/>
      <c r="AK2721" s="4"/>
      <c r="AL2721" s="4"/>
      <c r="AM2721" s="4"/>
      <c r="AN2721" s="4"/>
      <c r="AO2721" s="4"/>
      <c r="AP2721" s="4"/>
      <c r="AQ2721" s="4"/>
      <c r="AR2721" s="4"/>
      <c r="AS2721" s="4"/>
      <c r="AT2721" s="4"/>
      <c r="AU2721" s="4"/>
      <c r="AV2721" s="4"/>
      <c r="AW2721" s="4"/>
      <c r="AX2721" s="4"/>
      <c r="AY2721" s="4"/>
      <c r="AZ2721" s="4"/>
      <c r="BA2721" s="4"/>
      <c r="BB2721" s="4"/>
      <c r="BC2721" s="4"/>
      <c r="BD2721" s="4"/>
      <c r="BE2721" s="4"/>
      <c r="BF2721" s="4"/>
      <c r="BG2721" s="4"/>
      <c r="BH2721" s="4"/>
      <c r="BI2721" s="4"/>
      <c r="BJ2721" s="4"/>
      <c r="BK2721" s="4"/>
      <c r="BL2721" s="4"/>
      <c r="BM2721" s="4"/>
      <c r="BN2721" s="4"/>
      <c r="BO2721" s="4"/>
      <c r="BP2721" s="4"/>
      <c r="BQ2721" s="4"/>
      <c r="BR2721" s="4"/>
      <c r="BS2721" s="4"/>
      <c r="BT2721" s="4"/>
      <c r="BU2721" s="4"/>
      <c r="BV2721" s="4"/>
      <c r="BW2721" s="4"/>
      <c r="BX2721" s="4"/>
      <c r="BY2721" s="4"/>
      <c r="BZ2721" s="4"/>
      <c r="CA2721" s="4"/>
      <c r="CB2721" s="4"/>
      <c r="CC2721" s="4"/>
      <c r="CD2721" s="4"/>
      <c r="CE2721" s="4"/>
      <c r="CF2721" s="4"/>
      <c r="CG2721" s="4"/>
      <c r="CH2721" s="4"/>
      <c r="CI2721" s="4"/>
      <c r="CJ2721" s="4"/>
      <c r="CK2721" s="4"/>
      <c r="CL2721" s="4"/>
      <c r="CM2721" s="4"/>
      <c r="CN2721" s="4"/>
      <c r="CO2721" s="4"/>
      <c r="CP2721" s="4"/>
      <c r="CQ2721" s="4"/>
      <c r="CR2721" s="4"/>
      <c r="CS2721" s="4"/>
      <c r="CT2721" s="4"/>
      <c r="CU2721" s="4"/>
      <c r="CV2721" s="4"/>
      <c r="CW2721" s="4"/>
      <c r="CX2721" s="4"/>
      <c r="CY2721" s="4"/>
      <c r="CZ2721" s="4"/>
      <c r="DA2721" s="4"/>
      <c r="DB2721" s="4"/>
      <c r="DC2721" s="4"/>
      <c r="DD2721" s="4"/>
      <c r="DE2721" s="4"/>
      <c r="DF2721" s="4"/>
      <c r="DG2721" s="4"/>
      <c r="DH2721" s="4"/>
      <c r="DI2721" s="4"/>
      <c r="DJ2721" s="4"/>
      <c r="DK2721" s="4"/>
      <c r="DL2721" s="4"/>
      <c r="DM2721" s="4"/>
      <c r="DN2721" s="4"/>
      <c r="DO2721" s="4"/>
      <c r="DP2721" s="4"/>
      <c r="DQ2721" s="4"/>
      <c r="DR2721" s="4"/>
      <c r="DS2721" s="4"/>
    </row>
    <row r="2722">
      <c r="A2722" s="4"/>
      <c r="B2722" s="4"/>
      <c r="C2722" s="4"/>
      <c r="D2722" s="4"/>
      <c r="E2722" s="4"/>
      <c r="F2722" s="4" t="s">
        <v>17</v>
      </c>
      <c r="G2722" s="15"/>
      <c r="H2722" s="4"/>
      <c r="I2722" s="4"/>
      <c r="J2722" s="4"/>
      <c r="K2722" s="4"/>
      <c r="L2722" s="4"/>
      <c r="M2722" s="4"/>
      <c r="N2722" s="4"/>
      <c r="O2722" s="4"/>
      <c r="P2722" s="4"/>
      <c r="Q2722" s="4"/>
      <c r="R2722" s="4"/>
      <c r="S2722" s="4"/>
      <c r="T2722" s="4"/>
      <c r="U2722" s="4"/>
      <c r="V2722" s="4"/>
      <c r="W2722" s="4"/>
      <c r="X2722" s="4"/>
      <c r="Y2722" s="4"/>
      <c r="Z2722" s="4"/>
      <c r="AA2722" s="4"/>
      <c r="AB2722" s="4"/>
      <c r="AC2722" s="4"/>
      <c r="AD2722" s="4"/>
      <c r="AE2722" s="4"/>
      <c r="AF2722" s="4"/>
      <c r="AG2722" s="4"/>
      <c r="AH2722" s="4"/>
      <c r="AI2722" s="4"/>
      <c r="AJ2722" s="4"/>
      <c r="AK2722" s="4"/>
      <c r="AL2722" s="4"/>
      <c r="AM2722" s="4"/>
      <c r="AN2722" s="4"/>
      <c r="AO2722" s="4"/>
      <c r="AP2722" s="4"/>
      <c r="AQ2722" s="4"/>
      <c r="AR2722" s="4"/>
      <c r="AS2722" s="4"/>
      <c r="AT2722" s="4"/>
      <c r="AU2722" s="4"/>
      <c r="AV2722" s="4"/>
      <c r="AW2722" s="4"/>
      <c r="AX2722" s="4"/>
      <c r="AY2722" s="4"/>
      <c r="AZ2722" s="4"/>
      <c r="BA2722" s="4"/>
      <c r="BB2722" s="4"/>
      <c r="BC2722" s="4"/>
      <c r="BD2722" s="4"/>
      <c r="BE2722" s="4"/>
      <c r="BF2722" s="4"/>
      <c r="BG2722" s="4"/>
      <c r="BH2722" s="4"/>
      <c r="BI2722" s="4"/>
      <c r="BJ2722" s="4"/>
      <c r="BK2722" s="4"/>
      <c r="BL2722" s="4"/>
      <c r="BM2722" s="4"/>
      <c r="BN2722" s="4"/>
      <c r="BO2722" s="4"/>
      <c r="BP2722" s="4"/>
      <c r="BQ2722" s="4"/>
      <c r="BR2722" s="4"/>
      <c r="BS2722" s="4"/>
      <c r="BT2722" s="4"/>
      <c r="BU2722" s="4"/>
      <c r="BV2722" s="4"/>
      <c r="BW2722" s="4"/>
      <c r="BX2722" s="4"/>
      <c r="BY2722" s="4"/>
      <c r="BZ2722" s="4"/>
      <c r="CA2722" s="4"/>
      <c r="CB2722" s="4"/>
      <c r="CC2722" s="4"/>
      <c r="CD2722" s="4"/>
      <c r="CE2722" s="4"/>
      <c r="CF2722" s="4"/>
      <c r="CG2722" s="4"/>
      <c r="CH2722" s="4"/>
      <c r="CI2722" s="4"/>
      <c r="CJ2722" s="4"/>
      <c r="CK2722" s="4"/>
      <c r="CL2722" s="4"/>
      <c r="CM2722" s="4"/>
      <c r="CN2722" s="4"/>
      <c r="CO2722" s="4"/>
      <c r="CP2722" s="4"/>
      <c r="CQ2722" s="4"/>
      <c r="CR2722" s="4"/>
      <c r="CS2722" s="4"/>
      <c r="CT2722" s="4"/>
      <c r="CU2722" s="4"/>
      <c r="CV2722" s="4"/>
      <c r="CW2722" s="4"/>
      <c r="CX2722" s="4"/>
      <c r="CY2722" s="4"/>
      <c r="CZ2722" s="4"/>
      <c r="DA2722" s="4"/>
      <c r="DB2722" s="4"/>
      <c r="DC2722" s="4"/>
      <c r="DD2722" s="4"/>
      <c r="DE2722" s="4"/>
      <c r="DF2722" s="4"/>
      <c r="DG2722" s="4"/>
      <c r="DH2722" s="4"/>
      <c r="DI2722" s="4"/>
      <c r="DJ2722" s="4"/>
      <c r="DK2722" s="4"/>
      <c r="DL2722" s="4"/>
      <c r="DM2722" s="4"/>
      <c r="DN2722" s="4"/>
      <c r="DO2722" s="4"/>
      <c r="DP2722" s="4"/>
      <c r="DQ2722" s="4"/>
      <c r="DR2722" s="4"/>
      <c r="DS2722" s="4"/>
    </row>
    <row r="2723">
      <c r="A2723" s="4"/>
      <c r="B2723" s="4"/>
      <c r="C2723" s="4"/>
      <c r="D2723" s="4"/>
      <c r="E2723" s="4"/>
      <c r="F2723" s="4" t="s">
        <v>17</v>
      </c>
      <c r="G2723" s="15"/>
      <c r="H2723" s="4"/>
      <c r="I2723" s="4"/>
      <c r="J2723" s="4"/>
      <c r="K2723" s="4"/>
      <c r="L2723" s="4"/>
      <c r="M2723" s="4"/>
      <c r="N2723" s="4"/>
      <c r="O2723" s="4"/>
      <c r="P2723" s="4"/>
      <c r="Q2723" s="4"/>
      <c r="R2723" s="4"/>
      <c r="S2723" s="4"/>
      <c r="T2723" s="4"/>
      <c r="U2723" s="4"/>
      <c r="V2723" s="4"/>
      <c r="W2723" s="4"/>
      <c r="X2723" s="4"/>
      <c r="Y2723" s="4"/>
      <c r="Z2723" s="4"/>
      <c r="AA2723" s="4"/>
      <c r="AB2723" s="4"/>
      <c r="AC2723" s="4"/>
      <c r="AD2723" s="4"/>
      <c r="AE2723" s="4"/>
      <c r="AF2723" s="4"/>
      <c r="AG2723" s="4"/>
      <c r="AH2723" s="4"/>
      <c r="AI2723" s="4"/>
      <c r="AJ2723" s="4"/>
      <c r="AK2723" s="4"/>
      <c r="AL2723" s="4"/>
      <c r="AM2723" s="4"/>
      <c r="AN2723" s="4"/>
      <c r="AO2723" s="4"/>
      <c r="AP2723" s="4"/>
      <c r="AQ2723" s="4"/>
      <c r="AR2723" s="4"/>
      <c r="AS2723" s="4"/>
      <c r="AT2723" s="4"/>
      <c r="AU2723" s="4"/>
      <c r="AV2723" s="4"/>
      <c r="AW2723" s="4"/>
      <c r="AX2723" s="4"/>
      <c r="AY2723" s="4"/>
      <c r="AZ2723" s="4"/>
      <c r="BA2723" s="4"/>
      <c r="BB2723" s="4"/>
      <c r="BC2723" s="4"/>
      <c r="BD2723" s="4"/>
      <c r="BE2723" s="4"/>
      <c r="BF2723" s="4"/>
      <c r="BG2723" s="4"/>
      <c r="BH2723" s="4"/>
      <c r="BI2723" s="4"/>
      <c r="BJ2723" s="4"/>
      <c r="BK2723" s="4"/>
      <c r="BL2723" s="4"/>
      <c r="BM2723" s="4"/>
      <c r="BN2723" s="4"/>
      <c r="BO2723" s="4"/>
      <c r="BP2723" s="4"/>
      <c r="BQ2723" s="4"/>
      <c r="BR2723" s="4"/>
      <c r="BS2723" s="4"/>
      <c r="BT2723" s="4"/>
      <c r="BU2723" s="4"/>
      <c r="BV2723" s="4"/>
      <c r="BW2723" s="4"/>
      <c r="BX2723" s="4"/>
      <c r="BY2723" s="4"/>
      <c r="BZ2723" s="4"/>
      <c r="CA2723" s="4"/>
      <c r="CB2723" s="4"/>
      <c r="CC2723" s="4"/>
      <c r="CD2723" s="4"/>
      <c r="CE2723" s="4"/>
      <c r="CF2723" s="4"/>
      <c r="CG2723" s="4"/>
      <c r="CH2723" s="4"/>
      <c r="CI2723" s="4"/>
      <c r="CJ2723" s="4"/>
      <c r="CK2723" s="4"/>
      <c r="CL2723" s="4"/>
      <c r="CM2723" s="4"/>
      <c r="CN2723" s="4"/>
      <c r="CO2723" s="4"/>
      <c r="CP2723" s="4"/>
      <c r="CQ2723" s="4"/>
      <c r="CR2723" s="4"/>
      <c r="CS2723" s="4"/>
      <c r="CT2723" s="4"/>
      <c r="CU2723" s="4"/>
      <c r="CV2723" s="4"/>
      <c r="CW2723" s="4"/>
      <c r="CX2723" s="4"/>
      <c r="CY2723" s="4"/>
      <c r="CZ2723" s="4"/>
      <c r="DA2723" s="4"/>
      <c r="DB2723" s="4"/>
      <c r="DC2723" s="4"/>
      <c r="DD2723" s="4"/>
      <c r="DE2723" s="4"/>
      <c r="DF2723" s="4"/>
      <c r="DG2723" s="4"/>
      <c r="DH2723" s="4"/>
      <c r="DI2723" s="4"/>
      <c r="DJ2723" s="4"/>
      <c r="DK2723" s="4"/>
      <c r="DL2723" s="4"/>
      <c r="DM2723" s="4"/>
      <c r="DN2723" s="4"/>
      <c r="DO2723" s="4"/>
      <c r="DP2723" s="4"/>
      <c r="DQ2723" s="4"/>
      <c r="DR2723" s="4"/>
      <c r="DS2723" s="4"/>
    </row>
    <row r="2724">
      <c r="A2724" s="4"/>
      <c r="B2724" s="4"/>
      <c r="C2724" s="4"/>
      <c r="D2724" s="4"/>
      <c r="E2724" s="4"/>
      <c r="F2724" s="4" t="s">
        <v>17</v>
      </c>
      <c r="G2724" s="15"/>
      <c r="H2724" s="4"/>
      <c r="I2724" s="4"/>
      <c r="J2724" s="4"/>
      <c r="K2724" s="4"/>
      <c r="L2724" s="4"/>
      <c r="M2724" s="4"/>
      <c r="N2724" s="4"/>
      <c r="O2724" s="4"/>
      <c r="P2724" s="4"/>
      <c r="Q2724" s="4"/>
      <c r="R2724" s="4"/>
      <c r="S2724" s="4"/>
      <c r="T2724" s="4"/>
      <c r="U2724" s="4"/>
      <c r="V2724" s="4"/>
      <c r="W2724" s="4"/>
      <c r="X2724" s="4"/>
      <c r="Y2724" s="4"/>
      <c r="Z2724" s="4"/>
      <c r="AA2724" s="4"/>
      <c r="AB2724" s="4"/>
      <c r="AC2724" s="4"/>
      <c r="AD2724" s="4"/>
      <c r="AE2724" s="4"/>
      <c r="AF2724" s="4"/>
      <c r="AG2724" s="4"/>
      <c r="AH2724" s="4"/>
      <c r="AI2724" s="4"/>
      <c r="AJ2724" s="4"/>
      <c r="AK2724" s="4"/>
      <c r="AL2724" s="4"/>
      <c r="AM2724" s="4"/>
      <c r="AN2724" s="4"/>
      <c r="AO2724" s="4"/>
      <c r="AP2724" s="4"/>
      <c r="AQ2724" s="4"/>
      <c r="AR2724" s="4"/>
      <c r="AS2724" s="4"/>
      <c r="AT2724" s="4"/>
      <c r="AU2724" s="4"/>
      <c r="AV2724" s="4"/>
      <c r="AW2724" s="4"/>
      <c r="AX2724" s="4"/>
      <c r="AY2724" s="4"/>
      <c r="AZ2724" s="4"/>
      <c r="BA2724" s="4"/>
      <c r="BB2724" s="4"/>
      <c r="BC2724" s="4"/>
      <c r="BD2724" s="4"/>
      <c r="BE2724" s="4"/>
      <c r="BF2724" s="4"/>
      <c r="BG2724" s="4"/>
      <c r="BH2724" s="4"/>
      <c r="BI2724" s="4"/>
      <c r="BJ2724" s="4"/>
      <c r="BK2724" s="4"/>
      <c r="BL2724" s="4"/>
      <c r="BM2724" s="4"/>
      <c r="BN2724" s="4"/>
      <c r="BO2724" s="4"/>
      <c r="BP2724" s="4"/>
      <c r="BQ2724" s="4"/>
      <c r="BR2724" s="4"/>
      <c r="BS2724" s="4"/>
      <c r="BT2724" s="4"/>
      <c r="BU2724" s="4"/>
      <c r="BV2724" s="4"/>
      <c r="BW2724" s="4"/>
      <c r="BX2724" s="4"/>
      <c r="BY2724" s="4"/>
      <c r="BZ2724" s="4"/>
      <c r="CA2724" s="4"/>
      <c r="CB2724" s="4"/>
      <c r="CC2724" s="4"/>
      <c r="CD2724" s="4"/>
      <c r="CE2724" s="4"/>
      <c r="CF2724" s="4"/>
      <c r="CG2724" s="4"/>
      <c r="CH2724" s="4"/>
      <c r="CI2724" s="4"/>
      <c r="CJ2724" s="4"/>
      <c r="CK2724" s="4"/>
      <c r="CL2724" s="4"/>
      <c r="CM2724" s="4"/>
      <c r="CN2724" s="4"/>
      <c r="CO2724" s="4"/>
      <c r="CP2724" s="4"/>
      <c r="CQ2724" s="4"/>
      <c r="CR2724" s="4"/>
      <c r="CS2724" s="4"/>
      <c r="CT2724" s="4"/>
      <c r="CU2724" s="4"/>
      <c r="CV2724" s="4"/>
      <c r="CW2724" s="4"/>
      <c r="CX2724" s="4"/>
      <c r="CY2724" s="4"/>
      <c r="CZ2724" s="4"/>
      <c r="DA2724" s="4"/>
      <c r="DB2724" s="4"/>
      <c r="DC2724" s="4"/>
      <c r="DD2724" s="4"/>
      <c r="DE2724" s="4"/>
      <c r="DF2724" s="4"/>
      <c r="DG2724" s="4"/>
      <c r="DH2724" s="4"/>
      <c r="DI2724" s="4"/>
      <c r="DJ2724" s="4"/>
      <c r="DK2724" s="4"/>
      <c r="DL2724" s="4"/>
      <c r="DM2724" s="4"/>
      <c r="DN2724" s="4"/>
      <c r="DO2724" s="4"/>
      <c r="DP2724" s="4"/>
      <c r="DQ2724" s="4"/>
      <c r="DR2724" s="4"/>
      <c r="DS2724" s="4"/>
    </row>
    <row r="2725">
      <c r="A2725" s="4"/>
      <c r="B2725" s="4"/>
      <c r="C2725" s="4"/>
      <c r="D2725" s="4"/>
      <c r="E2725" s="4"/>
      <c r="F2725" s="4" t="s">
        <v>17</v>
      </c>
      <c r="G2725" s="15"/>
      <c r="H2725" s="4"/>
      <c r="I2725" s="4"/>
      <c r="J2725" s="4"/>
      <c r="K2725" s="4"/>
      <c r="L2725" s="4"/>
      <c r="M2725" s="4"/>
      <c r="N2725" s="4"/>
      <c r="O2725" s="4"/>
      <c r="P2725" s="4"/>
      <c r="Q2725" s="4"/>
      <c r="R2725" s="4"/>
      <c r="S2725" s="4"/>
      <c r="T2725" s="4"/>
      <c r="U2725" s="4"/>
      <c r="V2725" s="4"/>
      <c r="W2725" s="4"/>
      <c r="X2725" s="4"/>
      <c r="Y2725" s="4"/>
      <c r="Z2725" s="4"/>
      <c r="AA2725" s="4"/>
      <c r="AB2725" s="4"/>
      <c r="AC2725" s="4"/>
      <c r="AD2725" s="4"/>
      <c r="AE2725" s="4"/>
      <c r="AF2725" s="4"/>
      <c r="AG2725" s="4"/>
      <c r="AH2725" s="4"/>
      <c r="AI2725" s="4"/>
      <c r="AJ2725" s="4"/>
      <c r="AK2725" s="4"/>
      <c r="AL2725" s="4"/>
      <c r="AM2725" s="4"/>
      <c r="AN2725" s="4"/>
      <c r="AO2725" s="4"/>
      <c r="AP2725" s="4"/>
      <c r="AQ2725" s="4"/>
      <c r="AR2725" s="4"/>
      <c r="AS2725" s="4"/>
      <c r="AT2725" s="4"/>
      <c r="AU2725" s="4"/>
      <c r="AV2725" s="4"/>
      <c r="AW2725" s="4"/>
      <c r="AX2725" s="4"/>
      <c r="AY2725" s="4"/>
      <c r="AZ2725" s="4"/>
      <c r="BA2725" s="4"/>
      <c r="BB2725" s="4"/>
      <c r="BC2725" s="4"/>
      <c r="BD2725" s="4"/>
      <c r="BE2725" s="4"/>
      <c r="BF2725" s="4"/>
      <c r="BG2725" s="4"/>
      <c r="BH2725" s="4"/>
      <c r="BI2725" s="4"/>
      <c r="BJ2725" s="4"/>
      <c r="BK2725" s="4"/>
      <c r="BL2725" s="4"/>
      <c r="BM2725" s="4"/>
      <c r="BN2725" s="4"/>
      <c r="BO2725" s="4"/>
      <c r="BP2725" s="4"/>
      <c r="BQ2725" s="4"/>
      <c r="BR2725" s="4"/>
      <c r="BS2725" s="4"/>
      <c r="BT2725" s="4"/>
      <c r="BU2725" s="4"/>
      <c r="BV2725" s="4"/>
      <c r="BW2725" s="4"/>
      <c r="BX2725" s="4"/>
      <c r="BY2725" s="4"/>
      <c r="BZ2725" s="4"/>
      <c r="CA2725" s="4"/>
      <c r="CB2725" s="4"/>
      <c r="CC2725" s="4"/>
      <c r="CD2725" s="4"/>
      <c r="CE2725" s="4"/>
      <c r="CF2725" s="4"/>
      <c r="CG2725" s="4"/>
      <c r="CH2725" s="4"/>
      <c r="CI2725" s="4"/>
      <c r="CJ2725" s="4"/>
      <c r="CK2725" s="4"/>
      <c r="CL2725" s="4"/>
      <c r="CM2725" s="4"/>
      <c r="CN2725" s="4"/>
      <c r="CO2725" s="4"/>
      <c r="CP2725" s="4"/>
      <c r="CQ2725" s="4"/>
      <c r="CR2725" s="4"/>
      <c r="CS2725" s="4"/>
      <c r="CT2725" s="4"/>
      <c r="CU2725" s="4"/>
      <c r="CV2725" s="4"/>
      <c r="CW2725" s="4"/>
      <c r="CX2725" s="4"/>
      <c r="CY2725" s="4"/>
      <c r="CZ2725" s="4"/>
      <c r="DA2725" s="4"/>
      <c r="DB2725" s="4"/>
      <c r="DC2725" s="4"/>
      <c r="DD2725" s="4"/>
      <c r="DE2725" s="4"/>
      <c r="DF2725" s="4"/>
      <c r="DG2725" s="4"/>
      <c r="DH2725" s="4"/>
      <c r="DI2725" s="4"/>
      <c r="DJ2725" s="4"/>
      <c r="DK2725" s="4"/>
      <c r="DL2725" s="4"/>
      <c r="DM2725" s="4"/>
      <c r="DN2725" s="4"/>
      <c r="DO2725" s="4"/>
      <c r="DP2725" s="4"/>
      <c r="DQ2725" s="4"/>
      <c r="DR2725" s="4"/>
      <c r="DS2725" s="4"/>
    </row>
    <row r="2726">
      <c r="A2726" s="4"/>
      <c r="B2726" s="4"/>
      <c r="C2726" s="4"/>
      <c r="D2726" s="4"/>
      <c r="E2726" s="4"/>
      <c r="F2726" s="4" t="s">
        <v>17</v>
      </c>
      <c r="G2726" s="15"/>
      <c r="H2726" s="4"/>
      <c r="I2726" s="4"/>
      <c r="J2726" s="4"/>
      <c r="K2726" s="4"/>
      <c r="L2726" s="4"/>
      <c r="M2726" s="4"/>
      <c r="N2726" s="4"/>
      <c r="O2726" s="4"/>
      <c r="P2726" s="4"/>
      <c r="Q2726" s="4"/>
      <c r="R2726" s="4"/>
      <c r="S2726" s="4"/>
      <c r="T2726" s="4"/>
      <c r="U2726" s="4"/>
      <c r="V2726" s="4"/>
      <c r="W2726" s="4"/>
      <c r="X2726" s="4"/>
      <c r="Y2726" s="4"/>
      <c r="Z2726" s="4"/>
      <c r="AA2726" s="4"/>
      <c r="AB2726" s="4"/>
      <c r="AC2726" s="4"/>
      <c r="AD2726" s="4"/>
      <c r="AE2726" s="4"/>
      <c r="AF2726" s="4"/>
      <c r="AG2726" s="4"/>
      <c r="AH2726" s="4"/>
      <c r="AI2726" s="4"/>
      <c r="AJ2726" s="4"/>
      <c r="AK2726" s="4"/>
      <c r="AL2726" s="4"/>
      <c r="AM2726" s="4"/>
      <c r="AN2726" s="4"/>
      <c r="AO2726" s="4"/>
      <c r="AP2726" s="4"/>
      <c r="AQ2726" s="4"/>
      <c r="AR2726" s="4"/>
      <c r="AS2726" s="4"/>
      <c r="AT2726" s="4"/>
      <c r="AU2726" s="4"/>
      <c r="AV2726" s="4"/>
      <c r="AW2726" s="4"/>
      <c r="AX2726" s="4"/>
      <c r="AY2726" s="4"/>
      <c r="AZ2726" s="4"/>
      <c r="BA2726" s="4"/>
      <c r="BB2726" s="4"/>
      <c r="BC2726" s="4"/>
      <c r="BD2726" s="4"/>
      <c r="BE2726" s="4"/>
      <c r="BF2726" s="4"/>
      <c r="BG2726" s="4"/>
      <c r="BH2726" s="4"/>
      <c r="BI2726" s="4"/>
      <c r="BJ2726" s="4"/>
      <c r="BK2726" s="4"/>
      <c r="BL2726" s="4"/>
      <c r="BM2726" s="4"/>
      <c r="BN2726" s="4"/>
      <c r="BO2726" s="4"/>
      <c r="BP2726" s="4"/>
      <c r="BQ2726" s="4"/>
      <c r="BR2726" s="4"/>
      <c r="BS2726" s="4"/>
      <c r="BT2726" s="4"/>
      <c r="BU2726" s="4"/>
      <c r="BV2726" s="4"/>
      <c r="BW2726" s="4"/>
      <c r="BX2726" s="4"/>
      <c r="BY2726" s="4"/>
      <c r="BZ2726" s="4"/>
      <c r="CA2726" s="4"/>
      <c r="CB2726" s="4"/>
      <c r="CC2726" s="4"/>
      <c r="CD2726" s="4"/>
      <c r="CE2726" s="4"/>
      <c r="CF2726" s="4"/>
      <c r="CG2726" s="4"/>
      <c r="CH2726" s="4"/>
      <c r="CI2726" s="4"/>
      <c r="CJ2726" s="4"/>
      <c r="CK2726" s="4"/>
      <c r="CL2726" s="4"/>
      <c r="CM2726" s="4"/>
      <c r="CN2726" s="4"/>
      <c r="CO2726" s="4"/>
      <c r="CP2726" s="4"/>
      <c r="CQ2726" s="4"/>
      <c r="CR2726" s="4"/>
      <c r="CS2726" s="4"/>
      <c r="CT2726" s="4"/>
      <c r="CU2726" s="4"/>
      <c r="CV2726" s="4"/>
      <c r="CW2726" s="4"/>
      <c r="CX2726" s="4"/>
      <c r="CY2726" s="4"/>
      <c r="CZ2726" s="4"/>
      <c r="DA2726" s="4"/>
      <c r="DB2726" s="4"/>
      <c r="DC2726" s="4"/>
      <c r="DD2726" s="4"/>
      <c r="DE2726" s="4"/>
      <c r="DF2726" s="4"/>
      <c r="DG2726" s="4"/>
      <c r="DH2726" s="4"/>
      <c r="DI2726" s="4"/>
      <c r="DJ2726" s="4"/>
      <c r="DK2726" s="4"/>
      <c r="DL2726" s="4"/>
      <c r="DM2726" s="4"/>
      <c r="DN2726" s="4"/>
      <c r="DO2726" s="4"/>
      <c r="DP2726" s="4"/>
      <c r="DQ2726" s="4"/>
      <c r="DR2726" s="4"/>
      <c r="DS2726" s="4"/>
    </row>
    <row r="2727">
      <c r="A2727" s="4"/>
      <c r="B2727" s="4"/>
      <c r="C2727" s="4"/>
      <c r="D2727" s="4"/>
      <c r="E2727" s="4"/>
      <c r="F2727" s="4" t="s">
        <v>17</v>
      </c>
      <c r="G2727" s="15"/>
      <c r="H2727" s="4"/>
      <c r="I2727" s="4"/>
      <c r="J2727" s="4"/>
      <c r="K2727" s="4"/>
      <c r="L2727" s="4"/>
      <c r="M2727" s="4"/>
      <c r="N2727" s="4"/>
      <c r="O2727" s="4"/>
      <c r="P2727" s="4"/>
      <c r="Q2727" s="4"/>
      <c r="R2727" s="4"/>
      <c r="S2727" s="4"/>
      <c r="T2727" s="4"/>
      <c r="U2727" s="4"/>
      <c r="V2727" s="4"/>
      <c r="W2727" s="4"/>
      <c r="X2727" s="4"/>
      <c r="Y2727" s="4"/>
      <c r="Z2727" s="4"/>
      <c r="AA2727" s="4"/>
      <c r="AB2727" s="4"/>
      <c r="AC2727" s="4"/>
      <c r="AD2727" s="4"/>
      <c r="AE2727" s="4"/>
      <c r="AF2727" s="4"/>
      <c r="AG2727" s="4"/>
      <c r="AH2727" s="4"/>
      <c r="AI2727" s="4"/>
      <c r="AJ2727" s="4"/>
      <c r="AK2727" s="4"/>
      <c r="AL2727" s="4"/>
      <c r="AM2727" s="4"/>
      <c r="AN2727" s="4"/>
      <c r="AO2727" s="4"/>
      <c r="AP2727" s="4"/>
      <c r="AQ2727" s="4"/>
      <c r="AR2727" s="4"/>
      <c r="AS2727" s="4"/>
      <c r="AT2727" s="4"/>
      <c r="AU2727" s="4"/>
      <c r="AV2727" s="4"/>
      <c r="AW2727" s="4"/>
      <c r="AX2727" s="4"/>
      <c r="AY2727" s="4"/>
      <c r="AZ2727" s="4"/>
      <c r="BA2727" s="4"/>
      <c r="BB2727" s="4"/>
      <c r="BC2727" s="4"/>
      <c r="BD2727" s="4"/>
      <c r="BE2727" s="4"/>
      <c r="BF2727" s="4"/>
      <c r="BG2727" s="4"/>
      <c r="BH2727" s="4"/>
      <c r="BI2727" s="4"/>
      <c r="BJ2727" s="4"/>
      <c r="BK2727" s="4"/>
      <c r="BL2727" s="4"/>
      <c r="BM2727" s="4"/>
      <c r="BN2727" s="4"/>
      <c r="BO2727" s="4"/>
      <c r="BP2727" s="4"/>
      <c r="BQ2727" s="4"/>
      <c r="BR2727" s="4"/>
      <c r="BS2727" s="4"/>
      <c r="BT2727" s="4"/>
      <c r="BU2727" s="4"/>
      <c r="BV2727" s="4"/>
      <c r="BW2727" s="4"/>
      <c r="BX2727" s="4"/>
      <c r="BY2727" s="4"/>
      <c r="BZ2727" s="4"/>
      <c r="CA2727" s="4"/>
      <c r="CB2727" s="4"/>
      <c r="CC2727" s="4"/>
      <c r="CD2727" s="4"/>
      <c r="CE2727" s="4"/>
      <c r="CF2727" s="4"/>
      <c r="CG2727" s="4"/>
      <c r="CH2727" s="4"/>
      <c r="CI2727" s="4"/>
      <c r="CJ2727" s="4"/>
      <c r="CK2727" s="4"/>
      <c r="CL2727" s="4"/>
      <c r="CM2727" s="4"/>
      <c r="CN2727" s="4"/>
      <c r="CO2727" s="4"/>
      <c r="CP2727" s="4"/>
      <c r="CQ2727" s="4"/>
      <c r="CR2727" s="4"/>
      <c r="CS2727" s="4"/>
      <c r="CT2727" s="4"/>
      <c r="CU2727" s="4"/>
      <c r="CV2727" s="4"/>
      <c r="CW2727" s="4"/>
      <c r="CX2727" s="4"/>
      <c r="CY2727" s="4"/>
      <c r="CZ2727" s="4"/>
      <c r="DA2727" s="4"/>
      <c r="DB2727" s="4"/>
      <c r="DC2727" s="4"/>
      <c r="DD2727" s="4"/>
      <c r="DE2727" s="4"/>
      <c r="DF2727" s="4"/>
      <c r="DG2727" s="4"/>
      <c r="DH2727" s="4"/>
      <c r="DI2727" s="4"/>
      <c r="DJ2727" s="4"/>
      <c r="DK2727" s="4"/>
      <c r="DL2727" s="4"/>
      <c r="DM2727" s="4"/>
      <c r="DN2727" s="4"/>
      <c r="DO2727" s="4"/>
      <c r="DP2727" s="4"/>
      <c r="DQ2727" s="4"/>
      <c r="DR2727" s="4"/>
      <c r="DS2727" s="4"/>
    </row>
    <row r="2728">
      <c r="A2728" s="4"/>
      <c r="B2728" s="4"/>
      <c r="C2728" s="4"/>
      <c r="D2728" s="4"/>
      <c r="E2728" s="4"/>
      <c r="F2728" s="4" t="s">
        <v>17</v>
      </c>
      <c r="G2728" s="15"/>
      <c r="H2728" s="4"/>
      <c r="I2728" s="4"/>
      <c r="J2728" s="4"/>
      <c r="K2728" s="4"/>
      <c r="L2728" s="4"/>
      <c r="M2728" s="4"/>
      <c r="N2728" s="4"/>
      <c r="O2728" s="4"/>
      <c r="P2728" s="4"/>
      <c r="Q2728" s="4"/>
      <c r="R2728" s="4"/>
      <c r="S2728" s="4"/>
      <c r="T2728" s="4"/>
      <c r="U2728" s="4"/>
      <c r="V2728" s="4"/>
      <c r="W2728" s="4"/>
      <c r="X2728" s="4"/>
      <c r="Y2728" s="4"/>
      <c r="Z2728" s="4"/>
      <c r="AA2728" s="4"/>
      <c r="AB2728" s="4"/>
      <c r="AC2728" s="4"/>
      <c r="AD2728" s="4"/>
      <c r="AE2728" s="4"/>
      <c r="AF2728" s="4"/>
      <c r="AG2728" s="4"/>
      <c r="AH2728" s="4"/>
      <c r="AI2728" s="4"/>
      <c r="AJ2728" s="4"/>
      <c r="AK2728" s="4"/>
      <c r="AL2728" s="4"/>
      <c r="AM2728" s="4"/>
      <c r="AN2728" s="4"/>
      <c r="AO2728" s="4"/>
      <c r="AP2728" s="4"/>
      <c r="AQ2728" s="4"/>
      <c r="AR2728" s="4"/>
      <c r="AS2728" s="4"/>
      <c r="AT2728" s="4"/>
      <c r="AU2728" s="4"/>
      <c r="AV2728" s="4"/>
      <c r="AW2728" s="4"/>
      <c r="AX2728" s="4"/>
      <c r="AY2728" s="4"/>
      <c r="AZ2728" s="4"/>
      <c r="BA2728" s="4"/>
      <c r="BB2728" s="4"/>
      <c r="BC2728" s="4"/>
      <c r="BD2728" s="4"/>
      <c r="BE2728" s="4"/>
      <c r="BF2728" s="4"/>
      <c r="BG2728" s="4"/>
      <c r="BH2728" s="4"/>
      <c r="BI2728" s="4"/>
      <c r="BJ2728" s="4"/>
      <c r="BK2728" s="4"/>
      <c r="BL2728" s="4"/>
      <c r="BM2728" s="4"/>
      <c r="BN2728" s="4"/>
      <c r="BO2728" s="4"/>
      <c r="BP2728" s="4"/>
      <c r="BQ2728" s="4"/>
      <c r="BR2728" s="4"/>
      <c r="BS2728" s="4"/>
      <c r="BT2728" s="4"/>
      <c r="BU2728" s="4"/>
      <c r="BV2728" s="4"/>
      <c r="BW2728" s="4"/>
      <c r="BX2728" s="4"/>
      <c r="BY2728" s="4"/>
      <c r="BZ2728" s="4"/>
      <c r="CA2728" s="4"/>
      <c r="CB2728" s="4"/>
      <c r="CC2728" s="4"/>
      <c r="CD2728" s="4"/>
      <c r="CE2728" s="4"/>
      <c r="CF2728" s="4"/>
      <c r="CG2728" s="4"/>
      <c r="CH2728" s="4"/>
      <c r="CI2728" s="4"/>
      <c r="CJ2728" s="4"/>
      <c r="CK2728" s="4"/>
      <c r="CL2728" s="4"/>
      <c r="CM2728" s="4"/>
      <c r="CN2728" s="4"/>
      <c r="CO2728" s="4"/>
      <c r="CP2728" s="4"/>
      <c r="CQ2728" s="4"/>
      <c r="CR2728" s="4"/>
      <c r="CS2728" s="4"/>
      <c r="CT2728" s="4"/>
      <c r="CU2728" s="4"/>
      <c r="CV2728" s="4"/>
      <c r="CW2728" s="4"/>
      <c r="CX2728" s="4"/>
      <c r="CY2728" s="4"/>
      <c r="CZ2728" s="4"/>
      <c r="DA2728" s="4"/>
      <c r="DB2728" s="4"/>
      <c r="DC2728" s="4"/>
      <c r="DD2728" s="4"/>
      <c r="DE2728" s="4"/>
      <c r="DF2728" s="4"/>
      <c r="DG2728" s="4"/>
      <c r="DH2728" s="4"/>
      <c r="DI2728" s="4"/>
      <c r="DJ2728" s="4"/>
      <c r="DK2728" s="4"/>
      <c r="DL2728" s="4"/>
      <c r="DM2728" s="4"/>
      <c r="DN2728" s="4"/>
      <c r="DO2728" s="4"/>
      <c r="DP2728" s="4"/>
      <c r="DQ2728" s="4"/>
      <c r="DR2728" s="4"/>
      <c r="DS2728" s="4"/>
    </row>
    <row r="2729">
      <c r="A2729" s="4"/>
      <c r="B2729" s="4"/>
      <c r="C2729" s="4"/>
      <c r="D2729" s="4"/>
      <c r="E2729" s="4"/>
      <c r="F2729" s="4" t="s">
        <v>17</v>
      </c>
      <c r="G2729" s="15"/>
      <c r="H2729" s="4"/>
      <c r="I2729" s="4"/>
      <c r="J2729" s="4"/>
      <c r="K2729" s="4"/>
      <c r="L2729" s="4"/>
      <c r="M2729" s="4"/>
      <c r="N2729" s="4"/>
      <c r="O2729" s="4"/>
      <c r="P2729" s="4"/>
      <c r="Q2729" s="4"/>
      <c r="R2729" s="4"/>
      <c r="S2729" s="4"/>
      <c r="T2729" s="4"/>
      <c r="U2729" s="4"/>
      <c r="V2729" s="4"/>
      <c r="W2729" s="4"/>
      <c r="X2729" s="4"/>
      <c r="Y2729" s="4"/>
      <c r="Z2729" s="4"/>
      <c r="AA2729" s="4"/>
      <c r="AB2729" s="4"/>
      <c r="AC2729" s="4"/>
      <c r="AD2729" s="4"/>
      <c r="AE2729" s="4"/>
      <c r="AF2729" s="4"/>
      <c r="AG2729" s="4"/>
      <c r="AH2729" s="4"/>
      <c r="AI2729" s="4"/>
      <c r="AJ2729" s="4"/>
      <c r="AK2729" s="4"/>
      <c r="AL2729" s="4"/>
      <c r="AM2729" s="4"/>
      <c r="AN2729" s="4"/>
      <c r="AO2729" s="4"/>
      <c r="AP2729" s="4"/>
      <c r="AQ2729" s="4"/>
      <c r="AR2729" s="4"/>
      <c r="AS2729" s="4"/>
      <c r="AT2729" s="4"/>
      <c r="AU2729" s="4"/>
      <c r="AV2729" s="4"/>
      <c r="AW2729" s="4"/>
      <c r="AX2729" s="4"/>
      <c r="AY2729" s="4"/>
      <c r="AZ2729" s="4"/>
      <c r="BA2729" s="4"/>
      <c r="BB2729" s="4"/>
      <c r="BC2729" s="4"/>
      <c r="BD2729" s="4"/>
      <c r="BE2729" s="4"/>
      <c r="BF2729" s="4"/>
      <c r="BG2729" s="4"/>
      <c r="BH2729" s="4"/>
      <c r="BI2729" s="4"/>
      <c r="BJ2729" s="4"/>
      <c r="BK2729" s="4"/>
      <c r="BL2729" s="4"/>
      <c r="BM2729" s="4"/>
      <c r="BN2729" s="4"/>
      <c r="BO2729" s="4"/>
      <c r="BP2729" s="4"/>
      <c r="BQ2729" s="4"/>
      <c r="BR2729" s="4"/>
      <c r="BS2729" s="4"/>
      <c r="BT2729" s="4"/>
      <c r="BU2729" s="4"/>
      <c r="BV2729" s="4"/>
      <c r="BW2729" s="4"/>
      <c r="BX2729" s="4"/>
      <c r="BY2729" s="4"/>
      <c r="BZ2729" s="4"/>
      <c r="CA2729" s="4"/>
      <c r="CB2729" s="4"/>
      <c r="CC2729" s="4"/>
      <c r="CD2729" s="4"/>
      <c r="CE2729" s="4"/>
      <c r="CF2729" s="4"/>
      <c r="CG2729" s="4"/>
      <c r="CH2729" s="4"/>
      <c r="CI2729" s="4"/>
      <c r="CJ2729" s="4"/>
      <c r="CK2729" s="4"/>
      <c r="CL2729" s="4"/>
      <c r="CM2729" s="4"/>
      <c r="CN2729" s="4"/>
      <c r="CO2729" s="4"/>
      <c r="CP2729" s="4"/>
      <c r="CQ2729" s="4"/>
      <c r="CR2729" s="4"/>
      <c r="CS2729" s="4"/>
      <c r="CT2729" s="4"/>
      <c r="CU2729" s="4"/>
      <c r="CV2729" s="4"/>
      <c r="CW2729" s="4"/>
      <c r="CX2729" s="4"/>
      <c r="CY2729" s="4"/>
      <c r="CZ2729" s="4"/>
      <c r="DA2729" s="4"/>
      <c r="DB2729" s="4"/>
      <c r="DC2729" s="4"/>
      <c r="DD2729" s="4"/>
      <c r="DE2729" s="4"/>
      <c r="DF2729" s="4"/>
      <c r="DG2729" s="4"/>
      <c r="DH2729" s="4"/>
      <c r="DI2729" s="4"/>
      <c r="DJ2729" s="4"/>
      <c r="DK2729" s="4"/>
      <c r="DL2729" s="4"/>
      <c r="DM2729" s="4"/>
      <c r="DN2729" s="4"/>
      <c r="DO2729" s="4"/>
      <c r="DP2729" s="4"/>
      <c r="DQ2729" s="4"/>
      <c r="DR2729" s="4"/>
      <c r="DS2729" s="4"/>
    </row>
    <row r="2730">
      <c r="A2730" s="4"/>
      <c r="B2730" s="4"/>
      <c r="C2730" s="4"/>
      <c r="D2730" s="4"/>
      <c r="E2730" s="4"/>
      <c r="F2730" s="4" t="s">
        <v>17</v>
      </c>
      <c r="G2730" s="15"/>
      <c r="H2730" s="4"/>
      <c r="I2730" s="4"/>
      <c r="J2730" s="4"/>
      <c r="K2730" s="4"/>
      <c r="L2730" s="4"/>
      <c r="M2730" s="4"/>
      <c r="N2730" s="4"/>
      <c r="O2730" s="4"/>
      <c r="P2730" s="4"/>
      <c r="Q2730" s="4"/>
      <c r="R2730" s="4"/>
      <c r="S2730" s="4"/>
      <c r="T2730" s="4"/>
      <c r="U2730" s="4"/>
      <c r="V2730" s="4"/>
      <c r="W2730" s="4"/>
      <c r="X2730" s="4"/>
      <c r="Y2730" s="4"/>
      <c r="Z2730" s="4"/>
      <c r="AA2730" s="4"/>
      <c r="AB2730" s="4"/>
      <c r="AC2730" s="4"/>
      <c r="AD2730" s="4"/>
      <c r="AE2730" s="4"/>
      <c r="AF2730" s="4"/>
      <c r="AG2730" s="4"/>
      <c r="AH2730" s="4"/>
      <c r="AI2730" s="4"/>
      <c r="AJ2730" s="4"/>
      <c r="AK2730" s="4"/>
      <c r="AL2730" s="4"/>
      <c r="AM2730" s="4"/>
      <c r="AN2730" s="4"/>
      <c r="AO2730" s="4"/>
      <c r="AP2730" s="4"/>
      <c r="AQ2730" s="4"/>
      <c r="AR2730" s="4"/>
      <c r="AS2730" s="4"/>
      <c r="AT2730" s="4"/>
      <c r="AU2730" s="4"/>
      <c r="AV2730" s="4"/>
      <c r="AW2730" s="4"/>
      <c r="AX2730" s="4"/>
      <c r="AY2730" s="4"/>
      <c r="AZ2730" s="4"/>
      <c r="BA2730" s="4"/>
      <c r="BB2730" s="4"/>
      <c r="BC2730" s="4"/>
      <c r="BD2730" s="4"/>
      <c r="BE2730" s="4"/>
      <c r="BF2730" s="4"/>
      <c r="BG2730" s="4"/>
      <c r="BH2730" s="4"/>
      <c r="BI2730" s="4"/>
      <c r="BJ2730" s="4"/>
      <c r="BK2730" s="4"/>
      <c r="BL2730" s="4"/>
      <c r="BM2730" s="4"/>
      <c r="BN2730" s="4"/>
      <c r="BO2730" s="4"/>
      <c r="BP2730" s="4"/>
      <c r="BQ2730" s="4"/>
      <c r="BR2730" s="4"/>
      <c r="BS2730" s="4"/>
      <c r="BT2730" s="4"/>
      <c r="BU2730" s="4"/>
      <c r="BV2730" s="4"/>
      <c r="BW2730" s="4"/>
      <c r="BX2730" s="4"/>
      <c r="BY2730" s="4"/>
      <c r="BZ2730" s="4"/>
      <c r="CA2730" s="4"/>
      <c r="CB2730" s="4"/>
      <c r="CC2730" s="4"/>
      <c r="CD2730" s="4"/>
      <c r="CE2730" s="4"/>
      <c r="CF2730" s="4"/>
      <c r="CG2730" s="4"/>
      <c r="CH2730" s="4"/>
      <c r="CI2730" s="4"/>
      <c r="CJ2730" s="4"/>
      <c r="CK2730" s="4"/>
      <c r="CL2730" s="4"/>
      <c r="CM2730" s="4"/>
      <c r="CN2730" s="4"/>
      <c r="CO2730" s="4"/>
      <c r="CP2730" s="4"/>
      <c r="CQ2730" s="4"/>
      <c r="CR2730" s="4"/>
      <c r="CS2730" s="4"/>
      <c r="CT2730" s="4"/>
      <c r="CU2730" s="4"/>
      <c r="CV2730" s="4"/>
      <c r="CW2730" s="4"/>
      <c r="CX2730" s="4"/>
      <c r="CY2730" s="4"/>
      <c r="CZ2730" s="4"/>
      <c r="DA2730" s="4"/>
      <c r="DB2730" s="4"/>
      <c r="DC2730" s="4"/>
      <c r="DD2730" s="4"/>
      <c r="DE2730" s="4"/>
      <c r="DF2730" s="4"/>
      <c r="DG2730" s="4"/>
      <c r="DH2730" s="4"/>
      <c r="DI2730" s="4"/>
      <c r="DJ2730" s="4"/>
      <c r="DK2730" s="4"/>
      <c r="DL2730" s="4"/>
      <c r="DM2730" s="4"/>
      <c r="DN2730" s="4"/>
      <c r="DO2730" s="4"/>
      <c r="DP2730" s="4"/>
      <c r="DQ2730" s="4"/>
      <c r="DR2730" s="4"/>
      <c r="DS2730" s="4"/>
    </row>
    <row r="2731">
      <c r="A2731" s="4"/>
      <c r="B2731" s="4"/>
      <c r="C2731" s="4"/>
      <c r="D2731" s="4"/>
      <c r="E2731" s="4"/>
      <c r="F2731" s="4" t="s">
        <v>17</v>
      </c>
      <c r="G2731" s="15"/>
      <c r="H2731" s="4"/>
      <c r="I2731" s="4"/>
      <c r="J2731" s="4"/>
      <c r="K2731" s="4"/>
      <c r="L2731" s="4"/>
      <c r="M2731" s="4"/>
      <c r="N2731" s="4"/>
      <c r="O2731" s="4"/>
      <c r="P2731" s="4"/>
      <c r="Q2731" s="4"/>
      <c r="R2731" s="4"/>
      <c r="S2731" s="4"/>
      <c r="T2731" s="4"/>
      <c r="U2731" s="4"/>
      <c r="V2731" s="4"/>
      <c r="W2731" s="4"/>
      <c r="X2731" s="4"/>
      <c r="Y2731" s="4"/>
      <c r="Z2731" s="4"/>
      <c r="AA2731" s="4"/>
      <c r="AB2731" s="4"/>
      <c r="AC2731" s="4"/>
      <c r="AD2731" s="4"/>
      <c r="AE2731" s="4"/>
      <c r="AF2731" s="4"/>
      <c r="AG2731" s="4"/>
      <c r="AH2731" s="4"/>
      <c r="AI2731" s="4"/>
      <c r="AJ2731" s="4"/>
      <c r="AK2731" s="4"/>
      <c r="AL2731" s="4"/>
      <c r="AM2731" s="4"/>
      <c r="AN2731" s="4"/>
      <c r="AO2731" s="4"/>
      <c r="AP2731" s="4"/>
      <c r="AQ2731" s="4"/>
      <c r="AR2731" s="4"/>
      <c r="AS2731" s="4"/>
      <c r="AT2731" s="4"/>
      <c r="AU2731" s="4"/>
      <c r="AV2731" s="4"/>
      <c r="AW2731" s="4"/>
      <c r="AX2731" s="4"/>
      <c r="AY2731" s="4"/>
      <c r="AZ2731" s="4"/>
      <c r="BA2731" s="4"/>
      <c r="BB2731" s="4"/>
      <c r="BC2731" s="4"/>
      <c r="BD2731" s="4"/>
      <c r="BE2731" s="4"/>
      <c r="BF2731" s="4"/>
      <c r="BG2731" s="4"/>
      <c r="BH2731" s="4"/>
      <c r="BI2731" s="4"/>
      <c r="BJ2731" s="4"/>
      <c r="BK2731" s="4"/>
      <c r="BL2731" s="4"/>
      <c r="BM2731" s="4"/>
      <c r="BN2731" s="4"/>
      <c r="BO2731" s="4"/>
      <c r="BP2731" s="4"/>
      <c r="BQ2731" s="4"/>
      <c r="BR2731" s="4"/>
      <c r="BS2731" s="4"/>
      <c r="BT2731" s="4"/>
      <c r="BU2731" s="4"/>
      <c r="BV2731" s="4"/>
      <c r="BW2731" s="4"/>
      <c r="BX2731" s="4"/>
      <c r="BY2731" s="4"/>
      <c r="BZ2731" s="4"/>
      <c r="CA2731" s="4"/>
      <c r="CB2731" s="4"/>
      <c r="CC2731" s="4"/>
      <c r="CD2731" s="4"/>
      <c r="CE2731" s="4"/>
      <c r="CF2731" s="4"/>
      <c r="CG2731" s="4"/>
      <c r="CH2731" s="4"/>
      <c r="CI2731" s="4"/>
      <c r="CJ2731" s="4"/>
      <c r="CK2731" s="4"/>
      <c r="CL2731" s="4"/>
      <c r="CM2731" s="4"/>
      <c r="CN2731" s="4"/>
      <c r="CO2731" s="4"/>
      <c r="CP2731" s="4"/>
      <c r="CQ2731" s="4"/>
      <c r="CR2731" s="4"/>
      <c r="CS2731" s="4"/>
      <c r="CT2731" s="4"/>
      <c r="CU2731" s="4"/>
      <c r="CV2731" s="4"/>
      <c r="CW2731" s="4"/>
      <c r="CX2731" s="4"/>
      <c r="CY2731" s="4"/>
      <c r="CZ2731" s="4"/>
      <c r="DA2731" s="4"/>
      <c r="DB2731" s="4"/>
      <c r="DC2731" s="4"/>
      <c r="DD2731" s="4"/>
      <c r="DE2731" s="4"/>
      <c r="DF2731" s="4"/>
      <c r="DG2731" s="4"/>
      <c r="DH2731" s="4"/>
      <c r="DI2731" s="4"/>
      <c r="DJ2731" s="4"/>
      <c r="DK2731" s="4"/>
      <c r="DL2731" s="4"/>
      <c r="DM2731" s="4"/>
      <c r="DN2731" s="4"/>
      <c r="DO2731" s="4"/>
      <c r="DP2731" s="4"/>
      <c r="DQ2731" s="4"/>
      <c r="DR2731" s="4"/>
      <c r="DS2731" s="4"/>
    </row>
    <row r="2732">
      <c r="A2732" s="4"/>
      <c r="B2732" s="4"/>
      <c r="C2732" s="4"/>
      <c r="D2732" s="4"/>
      <c r="E2732" s="4"/>
      <c r="F2732" s="4" t="s">
        <v>17</v>
      </c>
      <c r="G2732" s="15"/>
      <c r="H2732" s="4"/>
      <c r="I2732" s="4"/>
      <c r="J2732" s="4"/>
      <c r="K2732" s="4"/>
      <c r="L2732" s="4"/>
      <c r="M2732" s="4"/>
      <c r="N2732" s="4"/>
      <c r="O2732" s="4"/>
      <c r="P2732" s="4"/>
      <c r="Q2732" s="4"/>
      <c r="R2732" s="4"/>
      <c r="S2732" s="4"/>
      <c r="T2732" s="4"/>
      <c r="U2732" s="4"/>
      <c r="V2732" s="4"/>
      <c r="W2732" s="4"/>
      <c r="X2732" s="4"/>
      <c r="Y2732" s="4"/>
      <c r="Z2732" s="4"/>
      <c r="AA2732" s="4"/>
      <c r="AB2732" s="4"/>
      <c r="AC2732" s="4"/>
      <c r="AD2732" s="4"/>
      <c r="AE2732" s="4"/>
      <c r="AF2732" s="4"/>
      <c r="AG2732" s="4"/>
      <c r="AH2732" s="4"/>
      <c r="AI2732" s="4"/>
      <c r="AJ2732" s="4"/>
      <c r="AK2732" s="4"/>
      <c r="AL2732" s="4"/>
      <c r="AM2732" s="4"/>
      <c r="AN2732" s="4"/>
      <c r="AO2732" s="4"/>
      <c r="AP2732" s="4"/>
      <c r="AQ2732" s="4"/>
      <c r="AR2732" s="4"/>
      <c r="AS2732" s="4"/>
      <c r="AT2732" s="4"/>
      <c r="AU2732" s="4"/>
      <c r="AV2732" s="4"/>
      <c r="AW2732" s="4"/>
      <c r="AX2732" s="4"/>
      <c r="AY2732" s="4"/>
      <c r="AZ2732" s="4"/>
      <c r="BA2732" s="4"/>
      <c r="BB2732" s="4"/>
      <c r="BC2732" s="4"/>
      <c r="BD2732" s="4"/>
      <c r="BE2732" s="4"/>
      <c r="BF2732" s="4"/>
      <c r="BG2732" s="4"/>
      <c r="BH2732" s="4"/>
      <c r="BI2732" s="4"/>
      <c r="BJ2732" s="4"/>
      <c r="BK2732" s="4"/>
      <c r="BL2732" s="4"/>
      <c r="BM2732" s="4"/>
      <c r="BN2732" s="4"/>
      <c r="BO2732" s="4"/>
      <c r="BP2732" s="4"/>
      <c r="BQ2732" s="4"/>
      <c r="BR2732" s="4"/>
      <c r="BS2732" s="4"/>
      <c r="BT2732" s="4"/>
      <c r="BU2732" s="4"/>
      <c r="BV2732" s="4"/>
      <c r="BW2732" s="4"/>
      <c r="BX2732" s="4"/>
      <c r="BY2732" s="4"/>
      <c r="BZ2732" s="4"/>
      <c r="CA2732" s="4"/>
      <c r="CB2732" s="4"/>
      <c r="CC2732" s="4"/>
      <c r="CD2732" s="4"/>
      <c r="CE2732" s="4"/>
      <c r="CF2732" s="4"/>
      <c r="CG2732" s="4"/>
      <c r="CH2732" s="4"/>
      <c r="CI2732" s="4"/>
      <c r="CJ2732" s="4"/>
      <c r="CK2732" s="4"/>
      <c r="CL2732" s="4"/>
      <c r="CM2732" s="4"/>
      <c r="CN2732" s="4"/>
      <c r="CO2732" s="4"/>
      <c r="CP2732" s="4"/>
      <c r="CQ2732" s="4"/>
      <c r="CR2732" s="4"/>
      <c r="CS2732" s="4"/>
      <c r="CT2732" s="4"/>
      <c r="CU2732" s="4"/>
      <c r="CV2732" s="4"/>
      <c r="CW2732" s="4"/>
      <c r="CX2732" s="4"/>
      <c r="CY2732" s="4"/>
      <c r="CZ2732" s="4"/>
      <c r="DA2732" s="4"/>
      <c r="DB2732" s="4"/>
      <c r="DC2732" s="4"/>
      <c r="DD2732" s="4"/>
      <c r="DE2732" s="4"/>
      <c r="DF2732" s="4"/>
      <c r="DG2732" s="4"/>
      <c r="DH2732" s="4"/>
      <c r="DI2732" s="4"/>
      <c r="DJ2732" s="4"/>
      <c r="DK2732" s="4"/>
      <c r="DL2732" s="4"/>
      <c r="DM2732" s="4"/>
      <c r="DN2732" s="4"/>
      <c r="DO2732" s="4"/>
      <c r="DP2732" s="4"/>
      <c r="DQ2732" s="4"/>
      <c r="DR2732" s="4"/>
      <c r="DS2732" s="4"/>
    </row>
    <row r="2733">
      <c r="A2733" s="4"/>
      <c r="B2733" s="4"/>
      <c r="C2733" s="4"/>
      <c r="D2733" s="4"/>
      <c r="E2733" s="4"/>
      <c r="F2733" s="4" t="s">
        <v>17</v>
      </c>
      <c r="G2733" s="15"/>
      <c r="H2733" s="4"/>
      <c r="I2733" s="4"/>
      <c r="J2733" s="4"/>
      <c r="K2733" s="4"/>
      <c r="L2733" s="4"/>
      <c r="M2733" s="4"/>
      <c r="N2733" s="4"/>
      <c r="O2733" s="4"/>
      <c r="P2733" s="4"/>
      <c r="Q2733" s="4"/>
      <c r="R2733" s="4"/>
      <c r="S2733" s="4"/>
      <c r="T2733" s="4"/>
      <c r="U2733" s="4"/>
      <c r="V2733" s="4"/>
      <c r="W2733" s="4"/>
      <c r="X2733" s="4"/>
      <c r="Y2733" s="4"/>
      <c r="Z2733" s="4"/>
      <c r="AA2733" s="4"/>
      <c r="AB2733" s="4"/>
      <c r="AC2733" s="4"/>
      <c r="AD2733" s="4"/>
      <c r="AE2733" s="4"/>
      <c r="AF2733" s="4"/>
      <c r="AG2733" s="4"/>
      <c r="AH2733" s="4"/>
      <c r="AI2733" s="4"/>
      <c r="AJ2733" s="4"/>
      <c r="AK2733" s="4"/>
      <c r="AL2733" s="4"/>
      <c r="AM2733" s="4"/>
      <c r="AN2733" s="4"/>
      <c r="AO2733" s="4"/>
      <c r="AP2733" s="4"/>
      <c r="AQ2733" s="4"/>
      <c r="AR2733" s="4"/>
      <c r="AS2733" s="4"/>
      <c r="AT2733" s="4"/>
      <c r="AU2733" s="4"/>
      <c r="AV2733" s="4"/>
      <c r="AW2733" s="4"/>
      <c r="AX2733" s="4"/>
      <c r="AY2733" s="4"/>
      <c r="AZ2733" s="4"/>
      <c r="BA2733" s="4"/>
      <c r="BB2733" s="4"/>
      <c r="BC2733" s="4"/>
      <c r="BD2733" s="4"/>
      <c r="BE2733" s="4"/>
      <c r="BF2733" s="4"/>
      <c r="BG2733" s="4"/>
      <c r="BH2733" s="4"/>
      <c r="BI2733" s="4"/>
      <c r="BJ2733" s="4"/>
      <c r="BK2733" s="4"/>
      <c r="BL2733" s="4"/>
      <c r="BM2733" s="4"/>
      <c r="BN2733" s="4"/>
      <c r="BO2733" s="4"/>
      <c r="BP2733" s="4"/>
      <c r="BQ2733" s="4"/>
      <c r="BR2733" s="4"/>
      <c r="BS2733" s="4"/>
      <c r="BT2733" s="4"/>
      <c r="BU2733" s="4"/>
      <c r="BV2733" s="4"/>
      <c r="BW2733" s="4"/>
      <c r="BX2733" s="4"/>
      <c r="BY2733" s="4"/>
      <c r="BZ2733" s="4"/>
      <c r="CA2733" s="4"/>
      <c r="CB2733" s="4"/>
      <c r="CC2733" s="4"/>
      <c r="CD2733" s="4"/>
      <c r="CE2733" s="4"/>
      <c r="CF2733" s="4"/>
      <c r="CG2733" s="4"/>
      <c r="CH2733" s="4"/>
      <c r="CI2733" s="4"/>
      <c r="CJ2733" s="4"/>
      <c r="CK2733" s="4"/>
      <c r="CL2733" s="4"/>
      <c r="CM2733" s="4"/>
      <c r="CN2733" s="4"/>
      <c r="CO2733" s="4"/>
      <c r="CP2733" s="4"/>
      <c r="CQ2733" s="4"/>
      <c r="CR2733" s="4"/>
      <c r="CS2733" s="4"/>
      <c r="CT2733" s="4"/>
      <c r="CU2733" s="4"/>
      <c r="CV2733" s="4"/>
      <c r="CW2733" s="4"/>
      <c r="CX2733" s="4"/>
      <c r="CY2733" s="4"/>
      <c r="CZ2733" s="4"/>
      <c r="DA2733" s="4"/>
      <c r="DB2733" s="4"/>
      <c r="DC2733" s="4"/>
      <c r="DD2733" s="4"/>
      <c r="DE2733" s="4"/>
      <c r="DF2733" s="4"/>
      <c r="DG2733" s="4"/>
      <c r="DH2733" s="4"/>
      <c r="DI2733" s="4"/>
      <c r="DJ2733" s="4"/>
      <c r="DK2733" s="4"/>
      <c r="DL2733" s="4"/>
      <c r="DM2733" s="4"/>
      <c r="DN2733" s="4"/>
      <c r="DO2733" s="4"/>
      <c r="DP2733" s="4"/>
      <c r="DQ2733" s="4"/>
      <c r="DR2733" s="4"/>
      <c r="DS2733" s="4"/>
    </row>
    <row r="2734">
      <c r="A2734" s="4"/>
      <c r="B2734" s="4"/>
      <c r="C2734" s="4"/>
      <c r="D2734" s="4"/>
      <c r="E2734" s="4"/>
      <c r="F2734" s="4" t="s">
        <v>17</v>
      </c>
      <c r="G2734" s="15"/>
      <c r="H2734" s="4"/>
      <c r="I2734" s="4"/>
      <c r="J2734" s="4"/>
      <c r="K2734" s="4"/>
      <c r="L2734" s="4"/>
      <c r="M2734" s="4"/>
      <c r="N2734" s="4"/>
      <c r="O2734" s="4"/>
      <c r="P2734" s="4"/>
      <c r="Q2734" s="4"/>
      <c r="R2734" s="4"/>
      <c r="S2734" s="4"/>
      <c r="T2734" s="4"/>
      <c r="U2734" s="4"/>
      <c r="V2734" s="4"/>
      <c r="W2734" s="4"/>
      <c r="X2734" s="4"/>
      <c r="Y2734" s="4"/>
      <c r="Z2734" s="4"/>
      <c r="AA2734" s="4"/>
      <c r="AB2734" s="4"/>
      <c r="AC2734" s="4"/>
      <c r="AD2734" s="4"/>
      <c r="AE2734" s="4"/>
      <c r="AF2734" s="4"/>
      <c r="AG2734" s="4"/>
      <c r="AH2734" s="4"/>
      <c r="AI2734" s="4"/>
      <c r="AJ2734" s="4"/>
      <c r="AK2734" s="4"/>
      <c r="AL2734" s="4"/>
      <c r="AM2734" s="4"/>
      <c r="AN2734" s="4"/>
      <c r="AO2734" s="4"/>
      <c r="AP2734" s="4"/>
      <c r="AQ2734" s="4"/>
      <c r="AR2734" s="4"/>
      <c r="AS2734" s="4"/>
      <c r="AT2734" s="4"/>
      <c r="AU2734" s="4"/>
      <c r="AV2734" s="4"/>
      <c r="AW2734" s="4"/>
      <c r="AX2734" s="4"/>
      <c r="AY2734" s="4"/>
      <c r="AZ2734" s="4"/>
      <c r="BA2734" s="4"/>
      <c r="BB2734" s="4"/>
      <c r="BC2734" s="4"/>
      <c r="BD2734" s="4"/>
      <c r="BE2734" s="4"/>
      <c r="BF2734" s="4"/>
      <c r="BG2734" s="4"/>
      <c r="BH2734" s="4"/>
      <c r="BI2734" s="4"/>
      <c r="BJ2734" s="4"/>
      <c r="BK2734" s="4"/>
      <c r="BL2734" s="4"/>
      <c r="BM2734" s="4"/>
      <c r="BN2734" s="4"/>
      <c r="BO2734" s="4"/>
      <c r="BP2734" s="4"/>
      <c r="BQ2734" s="4"/>
      <c r="BR2734" s="4"/>
      <c r="BS2734" s="4"/>
      <c r="BT2734" s="4"/>
      <c r="BU2734" s="4"/>
      <c r="BV2734" s="4"/>
      <c r="BW2734" s="4"/>
      <c r="BX2734" s="4"/>
      <c r="BY2734" s="4"/>
      <c r="BZ2734" s="4"/>
      <c r="CA2734" s="4"/>
      <c r="CB2734" s="4"/>
      <c r="CC2734" s="4"/>
      <c r="CD2734" s="4"/>
      <c r="CE2734" s="4"/>
      <c r="CF2734" s="4"/>
      <c r="CG2734" s="4"/>
      <c r="CH2734" s="4"/>
      <c r="CI2734" s="4"/>
      <c r="CJ2734" s="4"/>
      <c r="CK2734" s="4"/>
      <c r="CL2734" s="4"/>
      <c r="CM2734" s="4"/>
      <c r="CN2734" s="4"/>
      <c r="CO2734" s="4"/>
      <c r="CP2734" s="4"/>
      <c r="CQ2734" s="4"/>
      <c r="CR2734" s="4"/>
      <c r="CS2734" s="4"/>
      <c r="CT2734" s="4"/>
      <c r="CU2734" s="4"/>
      <c r="CV2734" s="4"/>
      <c r="CW2734" s="4"/>
      <c r="CX2734" s="4"/>
      <c r="CY2734" s="4"/>
      <c r="CZ2734" s="4"/>
      <c r="DA2734" s="4"/>
      <c r="DB2734" s="4"/>
      <c r="DC2734" s="4"/>
      <c r="DD2734" s="4"/>
      <c r="DE2734" s="4"/>
      <c r="DF2734" s="4"/>
      <c r="DG2734" s="4"/>
      <c r="DH2734" s="4"/>
      <c r="DI2734" s="4"/>
      <c r="DJ2734" s="4"/>
      <c r="DK2734" s="4"/>
      <c r="DL2734" s="4"/>
      <c r="DM2734" s="4"/>
      <c r="DN2734" s="4"/>
      <c r="DO2734" s="4"/>
      <c r="DP2734" s="4"/>
      <c r="DQ2734" s="4"/>
      <c r="DR2734" s="4"/>
      <c r="DS2734" s="4"/>
    </row>
    <row r="2735">
      <c r="A2735" s="4"/>
      <c r="B2735" s="4"/>
      <c r="C2735" s="4"/>
      <c r="D2735" s="4"/>
      <c r="E2735" s="4"/>
      <c r="F2735" s="4" t="s">
        <v>17</v>
      </c>
      <c r="G2735" s="15"/>
      <c r="H2735" s="4"/>
      <c r="I2735" s="4"/>
      <c r="J2735" s="4"/>
      <c r="K2735" s="4"/>
      <c r="L2735" s="4"/>
      <c r="M2735" s="4"/>
      <c r="N2735" s="4"/>
      <c r="O2735" s="4"/>
      <c r="P2735" s="4"/>
      <c r="Q2735" s="4"/>
      <c r="R2735" s="4"/>
      <c r="S2735" s="4"/>
      <c r="T2735" s="4"/>
      <c r="U2735" s="4"/>
      <c r="V2735" s="4"/>
      <c r="W2735" s="4"/>
      <c r="X2735" s="4"/>
      <c r="Y2735" s="4"/>
      <c r="Z2735" s="4"/>
      <c r="AA2735" s="4"/>
      <c r="AB2735" s="4"/>
      <c r="AC2735" s="4"/>
      <c r="AD2735" s="4"/>
      <c r="AE2735" s="4"/>
      <c r="AF2735" s="4"/>
      <c r="AG2735" s="4"/>
      <c r="AH2735" s="4"/>
      <c r="AI2735" s="4"/>
      <c r="AJ2735" s="4"/>
      <c r="AK2735" s="4"/>
      <c r="AL2735" s="4"/>
      <c r="AM2735" s="4"/>
      <c r="AN2735" s="4"/>
      <c r="AO2735" s="4"/>
      <c r="AP2735" s="4"/>
      <c r="AQ2735" s="4"/>
      <c r="AR2735" s="4"/>
      <c r="AS2735" s="4"/>
      <c r="AT2735" s="4"/>
      <c r="AU2735" s="4"/>
      <c r="AV2735" s="4"/>
      <c r="AW2735" s="4"/>
      <c r="AX2735" s="4"/>
      <c r="AY2735" s="4"/>
      <c r="AZ2735" s="4"/>
      <c r="BA2735" s="4"/>
      <c r="BB2735" s="4"/>
      <c r="BC2735" s="4"/>
      <c r="BD2735" s="4"/>
      <c r="BE2735" s="4"/>
      <c r="BF2735" s="4"/>
      <c r="BG2735" s="4"/>
      <c r="BH2735" s="4"/>
      <c r="BI2735" s="4"/>
      <c r="BJ2735" s="4"/>
      <c r="BK2735" s="4"/>
      <c r="BL2735" s="4"/>
      <c r="BM2735" s="4"/>
      <c r="BN2735" s="4"/>
      <c r="BO2735" s="4"/>
      <c r="BP2735" s="4"/>
      <c r="BQ2735" s="4"/>
      <c r="BR2735" s="4"/>
      <c r="BS2735" s="4"/>
      <c r="BT2735" s="4"/>
      <c r="BU2735" s="4"/>
      <c r="BV2735" s="4"/>
      <c r="BW2735" s="4"/>
      <c r="BX2735" s="4"/>
      <c r="BY2735" s="4"/>
      <c r="BZ2735" s="4"/>
      <c r="CA2735" s="4"/>
      <c r="CB2735" s="4"/>
      <c r="CC2735" s="4"/>
      <c r="CD2735" s="4"/>
      <c r="CE2735" s="4"/>
      <c r="CF2735" s="4"/>
      <c r="CG2735" s="4"/>
      <c r="CH2735" s="4"/>
      <c r="CI2735" s="4"/>
      <c r="CJ2735" s="4"/>
      <c r="CK2735" s="4"/>
      <c r="CL2735" s="4"/>
      <c r="CM2735" s="4"/>
      <c r="CN2735" s="4"/>
      <c r="CO2735" s="4"/>
      <c r="CP2735" s="4"/>
      <c r="CQ2735" s="4"/>
      <c r="CR2735" s="4"/>
      <c r="CS2735" s="4"/>
      <c r="CT2735" s="4"/>
      <c r="CU2735" s="4"/>
      <c r="CV2735" s="4"/>
      <c r="CW2735" s="4"/>
      <c r="CX2735" s="4"/>
      <c r="CY2735" s="4"/>
      <c r="CZ2735" s="4"/>
      <c r="DA2735" s="4"/>
      <c r="DB2735" s="4"/>
      <c r="DC2735" s="4"/>
      <c r="DD2735" s="4"/>
      <c r="DE2735" s="4"/>
      <c r="DF2735" s="4"/>
      <c r="DG2735" s="4"/>
      <c r="DH2735" s="4"/>
      <c r="DI2735" s="4"/>
      <c r="DJ2735" s="4"/>
      <c r="DK2735" s="4"/>
      <c r="DL2735" s="4"/>
      <c r="DM2735" s="4"/>
      <c r="DN2735" s="4"/>
      <c r="DO2735" s="4"/>
      <c r="DP2735" s="4"/>
      <c r="DQ2735" s="4"/>
      <c r="DR2735" s="4"/>
      <c r="DS2735" s="4"/>
    </row>
    <row r="2736">
      <c r="A2736" s="4"/>
      <c r="B2736" s="4"/>
      <c r="C2736" s="4"/>
      <c r="D2736" s="4"/>
      <c r="E2736" s="4"/>
      <c r="F2736" s="4" t="s">
        <v>17</v>
      </c>
      <c r="G2736" s="15"/>
      <c r="H2736" s="4"/>
      <c r="I2736" s="4"/>
      <c r="J2736" s="4"/>
      <c r="K2736" s="4"/>
      <c r="L2736" s="4"/>
      <c r="M2736" s="4"/>
      <c r="N2736" s="4"/>
      <c r="O2736" s="4"/>
      <c r="P2736" s="4"/>
      <c r="Q2736" s="4"/>
      <c r="R2736" s="4"/>
      <c r="S2736" s="4"/>
      <c r="T2736" s="4"/>
      <c r="U2736" s="4"/>
      <c r="V2736" s="4"/>
      <c r="W2736" s="4"/>
      <c r="X2736" s="4"/>
      <c r="Y2736" s="4"/>
      <c r="Z2736" s="4"/>
      <c r="AA2736" s="4"/>
      <c r="AB2736" s="4"/>
      <c r="AC2736" s="4"/>
      <c r="AD2736" s="4"/>
      <c r="AE2736" s="4"/>
      <c r="AF2736" s="4"/>
      <c r="AG2736" s="4"/>
      <c r="AH2736" s="4"/>
      <c r="AI2736" s="4"/>
      <c r="AJ2736" s="4"/>
      <c r="AK2736" s="4"/>
      <c r="AL2736" s="4"/>
      <c r="AM2736" s="4"/>
      <c r="AN2736" s="4"/>
      <c r="AO2736" s="4"/>
      <c r="AP2736" s="4"/>
      <c r="AQ2736" s="4"/>
      <c r="AR2736" s="4"/>
      <c r="AS2736" s="4"/>
      <c r="AT2736" s="4"/>
      <c r="AU2736" s="4"/>
      <c r="AV2736" s="4"/>
      <c r="AW2736" s="4"/>
      <c r="AX2736" s="4"/>
      <c r="AY2736" s="4"/>
      <c r="AZ2736" s="4"/>
      <c r="BA2736" s="4"/>
      <c r="BB2736" s="4"/>
      <c r="BC2736" s="4"/>
      <c r="BD2736" s="4"/>
      <c r="BE2736" s="4"/>
      <c r="BF2736" s="4"/>
      <c r="BG2736" s="4"/>
      <c r="BH2736" s="4"/>
      <c r="BI2736" s="4"/>
      <c r="BJ2736" s="4"/>
      <c r="BK2736" s="4"/>
      <c r="BL2736" s="4"/>
      <c r="BM2736" s="4"/>
      <c r="BN2736" s="4"/>
      <c r="BO2736" s="4"/>
      <c r="BP2736" s="4"/>
      <c r="BQ2736" s="4"/>
      <c r="BR2736" s="4"/>
      <c r="BS2736" s="4"/>
      <c r="BT2736" s="4"/>
      <c r="BU2736" s="4"/>
      <c r="BV2736" s="4"/>
      <c r="BW2736" s="4"/>
      <c r="BX2736" s="4"/>
      <c r="BY2736" s="4"/>
      <c r="BZ2736" s="4"/>
      <c r="CA2736" s="4"/>
      <c r="CB2736" s="4"/>
      <c r="CC2736" s="4"/>
      <c r="CD2736" s="4"/>
      <c r="CE2736" s="4"/>
      <c r="CF2736" s="4"/>
      <c r="CG2736" s="4"/>
      <c r="CH2736" s="4"/>
      <c r="CI2736" s="4"/>
      <c r="CJ2736" s="4"/>
      <c r="CK2736" s="4"/>
      <c r="CL2736" s="4"/>
      <c r="CM2736" s="4"/>
      <c r="CN2736" s="4"/>
      <c r="CO2736" s="4"/>
      <c r="CP2736" s="4"/>
      <c r="CQ2736" s="4"/>
      <c r="CR2736" s="4"/>
      <c r="CS2736" s="4"/>
      <c r="CT2736" s="4"/>
      <c r="CU2736" s="4"/>
      <c r="CV2736" s="4"/>
      <c r="CW2736" s="4"/>
      <c r="CX2736" s="4"/>
      <c r="CY2736" s="4"/>
      <c r="CZ2736" s="4"/>
      <c r="DA2736" s="4"/>
      <c r="DB2736" s="4"/>
      <c r="DC2736" s="4"/>
      <c r="DD2736" s="4"/>
      <c r="DE2736" s="4"/>
      <c r="DF2736" s="4"/>
      <c r="DG2736" s="4"/>
      <c r="DH2736" s="4"/>
      <c r="DI2736" s="4"/>
      <c r="DJ2736" s="4"/>
      <c r="DK2736" s="4"/>
      <c r="DL2736" s="4"/>
      <c r="DM2736" s="4"/>
      <c r="DN2736" s="4"/>
      <c r="DO2736" s="4"/>
      <c r="DP2736" s="4"/>
      <c r="DQ2736" s="4"/>
      <c r="DR2736" s="4"/>
      <c r="DS2736" s="4"/>
    </row>
    <row r="2737">
      <c r="A2737" s="4"/>
      <c r="B2737" s="4"/>
      <c r="C2737" s="4"/>
      <c r="D2737" s="4"/>
      <c r="E2737" s="4"/>
      <c r="F2737" s="4" t="s">
        <v>17</v>
      </c>
      <c r="G2737" s="15"/>
      <c r="H2737" s="4"/>
      <c r="I2737" s="4"/>
      <c r="J2737" s="4"/>
      <c r="K2737" s="4"/>
      <c r="L2737" s="4"/>
      <c r="M2737" s="4"/>
      <c r="N2737" s="4"/>
      <c r="O2737" s="4"/>
      <c r="P2737" s="4"/>
      <c r="Q2737" s="4"/>
      <c r="R2737" s="4"/>
      <c r="S2737" s="4"/>
      <c r="T2737" s="4"/>
      <c r="U2737" s="4"/>
      <c r="V2737" s="4"/>
      <c r="W2737" s="4"/>
      <c r="X2737" s="4"/>
      <c r="Y2737" s="4"/>
      <c r="Z2737" s="4"/>
      <c r="AA2737" s="4"/>
      <c r="AB2737" s="4"/>
      <c r="AC2737" s="4"/>
      <c r="AD2737" s="4"/>
      <c r="AE2737" s="4"/>
      <c r="AF2737" s="4"/>
      <c r="AG2737" s="4"/>
      <c r="AH2737" s="4"/>
      <c r="AI2737" s="4"/>
      <c r="AJ2737" s="4"/>
      <c r="AK2737" s="4"/>
      <c r="AL2737" s="4"/>
      <c r="AM2737" s="4"/>
      <c r="AN2737" s="4"/>
      <c r="AO2737" s="4"/>
      <c r="AP2737" s="4"/>
      <c r="AQ2737" s="4"/>
      <c r="AR2737" s="4"/>
      <c r="AS2737" s="4"/>
      <c r="AT2737" s="4"/>
      <c r="AU2737" s="4"/>
      <c r="AV2737" s="4"/>
      <c r="AW2737" s="4"/>
      <c r="AX2737" s="4"/>
      <c r="AY2737" s="4"/>
      <c r="AZ2737" s="4"/>
      <c r="BA2737" s="4"/>
      <c r="BB2737" s="4"/>
      <c r="BC2737" s="4"/>
      <c r="BD2737" s="4"/>
      <c r="BE2737" s="4"/>
      <c r="BF2737" s="4"/>
      <c r="BG2737" s="4"/>
      <c r="BH2737" s="4"/>
      <c r="BI2737" s="4"/>
      <c r="BJ2737" s="4"/>
      <c r="BK2737" s="4"/>
      <c r="BL2737" s="4"/>
      <c r="BM2737" s="4"/>
      <c r="BN2737" s="4"/>
      <c r="BO2737" s="4"/>
      <c r="BP2737" s="4"/>
      <c r="BQ2737" s="4"/>
      <c r="BR2737" s="4"/>
      <c r="BS2737" s="4"/>
      <c r="BT2737" s="4"/>
      <c r="BU2737" s="4"/>
      <c r="BV2737" s="4"/>
      <c r="BW2737" s="4"/>
      <c r="BX2737" s="4"/>
      <c r="BY2737" s="4"/>
      <c r="BZ2737" s="4"/>
      <c r="CA2737" s="4"/>
      <c r="CB2737" s="4"/>
      <c r="CC2737" s="4"/>
      <c r="CD2737" s="4"/>
      <c r="CE2737" s="4"/>
      <c r="CF2737" s="4"/>
      <c r="CG2737" s="4"/>
      <c r="CH2737" s="4"/>
      <c r="CI2737" s="4"/>
      <c r="CJ2737" s="4"/>
      <c r="CK2737" s="4"/>
      <c r="CL2737" s="4"/>
      <c r="CM2737" s="4"/>
      <c r="CN2737" s="4"/>
      <c r="CO2737" s="4"/>
      <c r="CP2737" s="4"/>
      <c r="CQ2737" s="4"/>
      <c r="CR2737" s="4"/>
      <c r="CS2737" s="4"/>
      <c r="CT2737" s="4"/>
      <c r="CU2737" s="4"/>
      <c r="CV2737" s="4"/>
      <c r="CW2737" s="4"/>
      <c r="CX2737" s="4"/>
      <c r="CY2737" s="4"/>
      <c r="CZ2737" s="4"/>
      <c r="DA2737" s="4"/>
      <c r="DB2737" s="4"/>
      <c r="DC2737" s="4"/>
      <c r="DD2737" s="4"/>
      <c r="DE2737" s="4"/>
      <c r="DF2737" s="4"/>
      <c r="DG2737" s="4"/>
      <c r="DH2737" s="4"/>
      <c r="DI2737" s="4"/>
      <c r="DJ2737" s="4"/>
      <c r="DK2737" s="4"/>
      <c r="DL2737" s="4"/>
      <c r="DM2737" s="4"/>
      <c r="DN2737" s="4"/>
      <c r="DO2737" s="4"/>
      <c r="DP2737" s="4"/>
      <c r="DQ2737" s="4"/>
      <c r="DR2737" s="4"/>
      <c r="DS2737" s="4"/>
    </row>
    <row r="2738">
      <c r="A2738" s="4"/>
      <c r="B2738" s="4"/>
      <c r="C2738" s="4"/>
      <c r="D2738" s="4"/>
      <c r="E2738" s="4"/>
      <c r="F2738" s="4" t="s">
        <v>17</v>
      </c>
      <c r="G2738" s="15"/>
      <c r="H2738" s="4"/>
      <c r="I2738" s="4"/>
      <c r="J2738" s="4"/>
      <c r="K2738" s="4"/>
      <c r="L2738" s="4"/>
      <c r="M2738" s="4"/>
      <c r="N2738" s="4"/>
      <c r="O2738" s="4"/>
      <c r="P2738" s="4"/>
      <c r="Q2738" s="4"/>
      <c r="R2738" s="4"/>
      <c r="S2738" s="4"/>
      <c r="T2738" s="4"/>
      <c r="U2738" s="4"/>
      <c r="V2738" s="4"/>
      <c r="W2738" s="4"/>
      <c r="X2738" s="4"/>
      <c r="Y2738" s="4"/>
      <c r="Z2738" s="4"/>
      <c r="AA2738" s="4"/>
      <c r="AB2738" s="4"/>
      <c r="AC2738" s="4"/>
      <c r="AD2738" s="4"/>
      <c r="AE2738" s="4"/>
      <c r="AF2738" s="4"/>
      <c r="AG2738" s="4"/>
      <c r="AH2738" s="4"/>
      <c r="AI2738" s="4"/>
      <c r="AJ2738" s="4"/>
      <c r="AK2738" s="4"/>
      <c r="AL2738" s="4"/>
      <c r="AM2738" s="4"/>
      <c r="AN2738" s="4"/>
      <c r="AO2738" s="4"/>
      <c r="AP2738" s="4"/>
      <c r="AQ2738" s="4"/>
      <c r="AR2738" s="4"/>
      <c r="AS2738" s="4"/>
      <c r="AT2738" s="4"/>
      <c r="AU2738" s="4"/>
      <c r="AV2738" s="4"/>
      <c r="AW2738" s="4"/>
      <c r="AX2738" s="4"/>
      <c r="AY2738" s="4"/>
      <c r="AZ2738" s="4"/>
      <c r="BA2738" s="4"/>
      <c r="BB2738" s="4"/>
      <c r="BC2738" s="4"/>
      <c r="BD2738" s="4"/>
      <c r="BE2738" s="4"/>
      <c r="BF2738" s="4"/>
      <c r="BG2738" s="4"/>
      <c r="BH2738" s="4"/>
      <c r="BI2738" s="4"/>
      <c r="BJ2738" s="4"/>
      <c r="BK2738" s="4"/>
      <c r="BL2738" s="4"/>
      <c r="BM2738" s="4"/>
      <c r="BN2738" s="4"/>
      <c r="BO2738" s="4"/>
      <c r="BP2738" s="4"/>
      <c r="BQ2738" s="4"/>
      <c r="BR2738" s="4"/>
      <c r="BS2738" s="4"/>
      <c r="BT2738" s="4"/>
      <c r="BU2738" s="4"/>
      <c r="BV2738" s="4"/>
      <c r="BW2738" s="4"/>
      <c r="BX2738" s="4"/>
      <c r="BY2738" s="4"/>
      <c r="BZ2738" s="4"/>
      <c r="CA2738" s="4"/>
      <c r="CB2738" s="4"/>
      <c r="CC2738" s="4"/>
      <c r="CD2738" s="4"/>
      <c r="CE2738" s="4"/>
      <c r="CF2738" s="4"/>
      <c r="CG2738" s="4"/>
      <c r="CH2738" s="4"/>
      <c r="CI2738" s="4"/>
      <c r="CJ2738" s="4"/>
      <c r="CK2738" s="4"/>
      <c r="CL2738" s="4"/>
      <c r="CM2738" s="4"/>
      <c r="CN2738" s="4"/>
      <c r="CO2738" s="4"/>
      <c r="CP2738" s="4"/>
      <c r="CQ2738" s="4"/>
      <c r="CR2738" s="4"/>
      <c r="CS2738" s="4"/>
      <c r="CT2738" s="4"/>
      <c r="CU2738" s="4"/>
      <c r="CV2738" s="4"/>
      <c r="CW2738" s="4"/>
      <c r="CX2738" s="4"/>
      <c r="CY2738" s="4"/>
      <c r="CZ2738" s="4"/>
      <c r="DA2738" s="4"/>
      <c r="DB2738" s="4"/>
      <c r="DC2738" s="4"/>
      <c r="DD2738" s="4"/>
      <c r="DE2738" s="4"/>
      <c r="DF2738" s="4"/>
      <c r="DG2738" s="4"/>
      <c r="DH2738" s="4"/>
      <c r="DI2738" s="4"/>
      <c r="DJ2738" s="4"/>
      <c r="DK2738" s="4"/>
      <c r="DL2738" s="4"/>
      <c r="DM2738" s="4"/>
      <c r="DN2738" s="4"/>
      <c r="DO2738" s="4"/>
      <c r="DP2738" s="4"/>
      <c r="DQ2738" s="4"/>
      <c r="DR2738" s="4"/>
      <c r="DS2738" s="4"/>
    </row>
    <row r="2739">
      <c r="A2739" s="4"/>
      <c r="B2739" s="4"/>
      <c r="C2739" s="4"/>
      <c r="D2739" s="4"/>
      <c r="E2739" s="4"/>
      <c r="F2739" s="4" t="s">
        <v>17</v>
      </c>
      <c r="G2739" s="15"/>
      <c r="H2739" s="4"/>
      <c r="I2739" s="4"/>
      <c r="J2739" s="4"/>
      <c r="K2739" s="4"/>
      <c r="L2739" s="4"/>
      <c r="M2739" s="4"/>
      <c r="N2739" s="4"/>
      <c r="O2739" s="4"/>
      <c r="P2739" s="4"/>
      <c r="Q2739" s="4"/>
      <c r="R2739" s="4"/>
      <c r="S2739" s="4"/>
      <c r="T2739" s="4"/>
      <c r="U2739" s="4"/>
      <c r="V2739" s="4"/>
      <c r="W2739" s="4"/>
      <c r="X2739" s="4"/>
      <c r="Y2739" s="4"/>
      <c r="Z2739" s="4"/>
      <c r="AA2739" s="4"/>
      <c r="AB2739" s="4"/>
      <c r="AC2739" s="4"/>
      <c r="AD2739" s="4"/>
      <c r="AE2739" s="4"/>
      <c r="AF2739" s="4"/>
      <c r="AG2739" s="4"/>
      <c r="AH2739" s="4"/>
      <c r="AI2739" s="4"/>
      <c r="AJ2739" s="4"/>
      <c r="AK2739" s="4"/>
      <c r="AL2739" s="4"/>
      <c r="AM2739" s="4"/>
      <c r="AN2739" s="4"/>
      <c r="AO2739" s="4"/>
      <c r="AP2739" s="4"/>
      <c r="AQ2739" s="4"/>
      <c r="AR2739" s="4"/>
      <c r="AS2739" s="4"/>
      <c r="AT2739" s="4"/>
      <c r="AU2739" s="4"/>
      <c r="AV2739" s="4"/>
      <c r="AW2739" s="4"/>
      <c r="AX2739" s="4"/>
      <c r="AY2739" s="4"/>
      <c r="AZ2739" s="4"/>
      <c r="BA2739" s="4"/>
      <c r="BB2739" s="4"/>
      <c r="BC2739" s="4"/>
      <c r="BD2739" s="4"/>
      <c r="BE2739" s="4"/>
      <c r="BF2739" s="4"/>
      <c r="BG2739" s="4"/>
      <c r="BH2739" s="4"/>
      <c r="BI2739" s="4"/>
      <c r="BJ2739" s="4"/>
      <c r="BK2739" s="4"/>
      <c r="BL2739" s="4"/>
      <c r="BM2739" s="4"/>
      <c r="BN2739" s="4"/>
      <c r="BO2739" s="4"/>
      <c r="BP2739" s="4"/>
      <c r="BQ2739" s="4"/>
      <c r="BR2739" s="4"/>
      <c r="BS2739" s="4"/>
      <c r="BT2739" s="4"/>
      <c r="BU2739" s="4"/>
      <c r="BV2739" s="4"/>
      <c r="BW2739" s="4"/>
      <c r="BX2739" s="4"/>
      <c r="BY2739" s="4"/>
      <c r="BZ2739" s="4"/>
      <c r="CA2739" s="4"/>
      <c r="CB2739" s="4"/>
      <c r="CC2739" s="4"/>
      <c r="CD2739" s="4"/>
      <c r="CE2739" s="4"/>
      <c r="CF2739" s="4"/>
      <c r="CG2739" s="4"/>
      <c r="CH2739" s="4"/>
      <c r="CI2739" s="4"/>
      <c r="CJ2739" s="4"/>
      <c r="CK2739" s="4"/>
      <c r="CL2739" s="4"/>
      <c r="CM2739" s="4"/>
      <c r="CN2739" s="4"/>
      <c r="CO2739" s="4"/>
      <c r="CP2739" s="4"/>
      <c r="CQ2739" s="4"/>
      <c r="CR2739" s="4"/>
      <c r="CS2739" s="4"/>
      <c r="CT2739" s="4"/>
      <c r="CU2739" s="4"/>
      <c r="CV2739" s="4"/>
      <c r="CW2739" s="4"/>
      <c r="CX2739" s="4"/>
      <c r="CY2739" s="4"/>
      <c r="CZ2739" s="4"/>
      <c r="DA2739" s="4"/>
      <c r="DB2739" s="4"/>
      <c r="DC2739" s="4"/>
      <c r="DD2739" s="4"/>
      <c r="DE2739" s="4"/>
      <c r="DF2739" s="4"/>
      <c r="DG2739" s="4"/>
      <c r="DH2739" s="4"/>
      <c r="DI2739" s="4"/>
      <c r="DJ2739" s="4"/>
      <c r="DK2739" s="4"/>
      <c r="DL2739" s="4"/>
      <c r="DM2739" s="4"/>
      <c r="DN2739" s="4"/>
      <c r="DO2739" s="4"/>
      <c r="DP2739" s="4"/>
      <c r="DQ2739" s="4"/>
      <c r="DR2739" s="4"/>
      <c r="DS2739" s="4"/>
    </row>
    <row r="2740">
      <c r="A2740" s="4"/>
      <c r="B2740" s="4"/>
      <c r="C2740" s="4"/>
      <c r="D2740" s="4"/>
      <c r="E2740" s="4"/>
      <c r="F2740" s="4" t="s">
        <v>17</v>
      </c>
      <c r="G2740" s="15"/>
      <c r="H2740" s="4"/>
      <c r="I2740" s="4"/>
      <c r="J2740" s="4"/>
      <c r="K2740" s="4"/>
      <c r="L2740" s="4"/>
      <c r="M2740" s="4"/>
      <c r="N2740" s="4"/>
      <c r="O2740" s="4"/>
      <c r="P2740" s="4"/>
      <c r="Q2740" s="4"/>
      <c r="R2740" s="4"/>
      <c r="S2740" s="4"/>
      <c r="T2740" s="4"/>
      <c r="U2740" s="4"/>
      <c r="V2740" s="4"/>
      <c r="W2740" s="4"/>
      <c r="X2740" s="4"/>
      <c r="Y2740" s="4"/>
      <c r="Z2740" s="4"/>
      <c r="AA2740" s="4"/>
      <c r="AB2740" s="4"/>
      <c r="AC2740" s="4"/>
      <c r="AD2740" s="4"/>
      <c r="AE2740" s="4"/>
      <c r="AF2740" s="4"/>
      <c r="AG2740" s="4"/>
      <c r="AH2740" s="4"/>
      <c r="AI2740" s="4"/>
      <c r="AJ2740" s="4"/>
      <c r="AK2740" s="4"/>
      <c r="AL2740" s="4"/>
      <c r="AM2740" s="4"/>
      <c r="AN2740" s="4"/>
      <c r="AO2740" s="4"/>
      <c r="AP2740" s="4"/>
      <c r="AQ2740" s="4"/>
      <c r="AR2740" s="4"/>
      <c r="AS2740" s="4"/>
      <c r="AT2740" s="4"/>
      <c r="AU2740" s="4"/>
      <c r="AV2740" s="4"/>
      <c r="AW2740" s="4"/>
      <c r="AX2740" s="4"/>
      <c r="AY2740" s="4"/>
      <c r="AZ2740" s="4"/>
      <c r="BA2740" s="4"/>
      <c r="BB2740" s="4"/>
      <c r="BC2740" s="4"/>
      <c r="BD2740" s="4"/>
      <c r="BE2740" s="4"/>
      <c r="BF2740" s="4"/>
      <c r="BG2740" s="4"/>
      <c r="BH2740" s="4"/>
      <c r="BI2740" s="4"/>
      <c r="BJ2740" s="4"/>
      <c r="BK2740" s="4"/>
      <c r="BL2740" s="4"/>
      <c r="BM2740" s="4"/>
      <c r="BN2740" s="4"/>
      <c r="BO2740" s="4"/>
      <c r="BP2740" s="4"/>
      <c r="BQ2740" s="4"/>
      <c r="BR2740" s="4"/>
      <c r="BS2740" s="4"/>
      <c r="BT2740" s="4"/>
      <c r="BU2740" s="4"/>
      <c r="BV2740" s="4"/>
      <c r="BW2740" s="4"/>
      <c r="BX2740" s="4"/>
      <c r="BY2740" s="4"/>
      <c r="BZ2740" s="4"/>
      <c r="CA2740" s="4"/>
      <c r="CB2740" s="4"/>
      <c r="CC2740" s="4"/>
      <c r="CD2740" s="4"/>
      <c r="CE2740" s="4"/>
      <c r="CF2740" s="4"/>
      <c r="CG2740" s="4"/>
      <c r="CH2740" s="4"/>
      <c r="CI2740" s="4"/>
      <c r="CJ2740" s="4"/>
      <c r="CK2740" s="4"/>
      <c r="CL2740" s="4"/>
      <c r="CM2740" s="4"/>
      <c r="CN2740" s="4"/>
      <c r="CO2740" s="4"/>
      <c r="CP2740" s="4"/>
      <c r="CQ2740" s="4"/>
      <c r="CR2740" s="4"/>
      <c r="CS2740" s="4"/>
      <c r="CT2740" s="4"/>
      <c r="CU2740" s="4"/>
      <c r="CV2740" s="4"/>
      <c r="CW2740" s="4"/>
      <c r="CX2740" s="4"/>
      <c r="CY2740" s="4"/>
      <c r="CZ2740" s="4"/>
      <c r="DA2740" s="4"/>
      <c r="DB2740" s="4"/>
      <c r="DC2740" s="4"/>
      <c r="DD2740" s="4"/>
      <c r="DE2740" s="4"/>
      <c r="DF2740" s="4"/>
      <c r="DG2740" s="4"/>
      <c r="DH2740" s="4"/>
      <c r="DI2740" s="4"/>
      <c r="DJ2740" s="4"/>
      <c r="DK2740" s="4"/>
      <c r="DL2740" s="4"/>
      <c r="DM2740" s="4"/>
      <c r="DN2740" s="4"/>
      <c r="DO2740" s="4"/>
      <c r="DP2740" s="4"/>
      <c r="DQ2740" s="4"/>
      <c r="DR2740" s="4"/>
      <c r="DS2740" s="4"/>
    </row>
    <row r="2741">
      <c r="A2741" s="4"/>
      <c r="B2741" s="4"/>
      <c r="C2741" s="4"/>
      <c r="D2741" s="4"/>
      <c r="E2741" s="4"/>
      <c r="F2741" s="4" t="s">
        <v>17</v>
      </c>
      <c r="G2741" s="15"/>
      <c r="H2741" s="4"/>
      <c r="I2741" s="4"/>
      <c r="J2741" s="4"/>
      <c r="K2741" s="4"/>
      <c r="L2741" s="4"/>
      <c r="M2741" s="4"/>
      <c r="N2741" s="4"/>
      <c r="O2741" s="4"/>
      <c r="P2741" s="4"/>
      <c r="Q2741" s="4"/>
      <c r="R2741" s="4"/>
      <c r="S2741" s="4"/>
      <c r="T2741" s="4"/>
      <c r="U2741" s="4"/>
      <c r="V2741" s="4"/>
      <c r="W2741" s="4"/>
      <c r="X2741" s="4"/>
      <c r="Y2741" s="4"/>
      <c r="Z2741" s="4"/>
      <c r="AA2741" s="4"/>
      <c r="AB2741" s="4"/>
      <c r="AC2741" s="4"/>
      <c r="AD2741" s="4"/>
      <c r="AE2741" s="4"/>
      <c r="AF2741" s="4"/>
      <c r="AG2741" s="4"/>
      <c r="AH2741" s="4"/>
      <c r="AI2741" s="4"/>
      <c r="AJ2741" s="4"/>
      <c r="AK2741" s="4"/>
      <c r="AL2741" s="4"/>
      <c r="AM2741" s="4"/>
      <c r="AN2741" s="4"/>
      <c r="AO2741" s="4"/>
      <c r="AP2741" s="4"/>
      <c r="AQ2741" s="4"/>
      <c r="AR2741" s="4"/>
      <c r="AS2741" s="4"/>
      <c r="AT2741" s="4"/>
      <c r="AU2741" s="4"/>
      <c r="AV2741" s="4"/>
      <c r="AW2741" s="4"/>
      <c r="AX2741" s="4"/>
      <c r="AY2741" s="4"/>
      <c r="AZ2741" s="4"/>
      <c r="BA2741" s="4"/>
      <c r="BB2741" s="4"/>
      <c r="BC2741" s="4"/>
      <c r="BD2741" s="4"/>
      <c r="BE2741" s="4"/>
      <c r="BF2741" s="4"/>
      <c r="BG2741" s="4"/>
      <c r="BH2741" s="4"/>
      <c r="BI2741" s="4"/>
      <c r="BJ2741" s="4"/>
      <c r="BK2741" s="4"/>
      <c r="BL2741" s="4"/>
      <c r="BM2741" s="4"/>
      <c r="BN2741" s="4"/>
      <c r="BO2741" s="4"/>
      <c r="BP2741" s="4"/>
      <c r="BQ2741" s="4"/>
      <c r="BR2741" s="4"/>
      <c r="BS2741" s="4"/>
      <c r="BT2741" s="4"/>
      <c r="BU2741" s="4"/>
      <c r="BV2741" s="4"/>
      <c r="BW2741" s="4"/>
      <c r="BX2741" s="4"/>
      <c r="BY2741" s="4"/>
      <c r="BZ2741" s="4"/>
      <c r="CA2741" s="4"/>
      <c r="CB2741" s="4"/>
      <c r="CC2741" s="4"/>
      <c r="CD2741" s="4"/>
      <c r="CE2741" s="4"/>
      <c r="CF2741" s="4"/>
      <c r="CG2741" s="4"/>
      <c r="CH2741" s="4"/>
      <c r="CI2741" s="4"/>
      <c r="CJ2741" s="4"/>
      <c r="CK2741" s="4"/>
      <c r="CL2741" s="4"/>
      <c r="CM2741" s="4"/>
      <c r="CN2741" s="4"/>
      <c r="CO2741" s="4"/>
      <c r="CP2741" s="4"/>
      <c r="CQ2741" s="4"/>
      <c r="CR2741" s="4"/>
      <c r="CS2741" s="4"/>
      <c r="CT2741" s="4"/>
      <c r="CU2741" s="4"/>
      <c r="CV2741" s="4"/>
      <c r="CW2741" s="4"/>
      <c r="CX2741" s="4"/>
      <c r="CY2741" s="4"/>
      <c r="CZ2741" s="4"/>
      <c r="DA2741" s="4"/>
      <c r="DB2741" s="4"/>
      <c r="DC2741" s="4"/>
      <c r="DD2741" s="4"/>
      <c r="DE2741" s="4"/>
      <c r="DF2741" s="4"/>
      <c r="DG2741" s="4"/>
      <c r="DH2741" s="4"/>
      <c r="DI2741" s="4"/>
      <c r="DJ2741" s="4"/>
      <c r="DK2741" s="4"/>
      <c r="DL2741" s="4"/>
      <c r="DM2741" s="4"/>
      <c r="DN2741" s="4"/>
      <c r="DO2741" s="4"/>
      <c r="DP2741" s="4"/>
      <c r="DQ2741" s="4"/>
      <c r="DR2741" s="4"/>
      <c r="DS2741" s="4"/>
    </row>
    <row r="2742">
      <c r="A2742" s="4"/>
      <c r="B2742" s="4"/>
      <c r="C2742" s="4"/>
      <c r="D2742" s="4"/>
      <c r="E2742" s="4"/>
      <c r="F2742" s="4" t="s">
        <v>17</v>
      </c>
      <c r="G2742" s="15"/>
      <c r="H2742" s="4"/>
      <c r="I2742" s="4"/>
      <c r="J2742" s="4"/>
      <c r="K2742" s="4"/>
      <c r="L2742" s="4"/>
      <c r="M2742" s="4"/>
      <c r="N2742" s="4"/>
      <c r="O2742" s="4"/>
      <c r="P2742" s="4"/>
      <c r="Q2742" s="4"/>
      <c r="R2742" s="4"/>
      <c r="S2742" s="4"/>
      <c r="T2742" s="4"/>
      <c r="U2742" s="4"/>
      <c r="V2742" s="4"/>
      <c r="W2742" s="4"/>
      <c r="X2742" s="4"/>
      <c r="Y2742" s="4"/>
      <c r="Z2742" s="4"/>
      <c r="AA2742" s="4"/>
      <c r="AB2742" s="4"/>
      <c r="AC2742" s="4"/>
      <c r="AD2742" s="4"/>
      <c r="AE2742" s="4"/>
      <c r="AF2742" s="4"/>
      <c r="AG2742" s="4"/>
      <c r="AH2742" s="4"/>
      <c r="AI2742" s="4"/>
      <c r="AJ2742" s="4"/>
      <c r="AK2742" s="4"/>
      <c r="AL2742" s="4"/>
      <c r="AM2742" s="4"/>
      <c r="AN2742" s="4"/>
      <c r="AO2742" s="4"/>
      <c r="AP2742" s="4"/>
      <c r="AQ2742" s="4"/>
      <c r="AR2742" s="4"/>
      <c r="AS2742" s="4"/>
      <c r="AT2742" s="4"/>
      <c r="AU2742" s="4"/>
      <c r="AV2742" s="4"/>
      <c r="AW2742" s="4"/>
      <c r="AX2742" s="4"/>
      <c r="AY2742" s="4"/>
      <c r="AZ2742" s="4"/>
      <c r="BA2742" s="4"/>
      <c r="BB2742" s="4"/>
      <c r="BC2742" s="4"/>
      <c r="BD2742" s="4"/>
      <c r="BE2742" s="4"/>
      <c r="BF2742" s="4"/>
      <c r="BG2742" s="4"/>
      <c r="BH2742" s="4"/>
      <c r="BI2742" s="4"/>
      <c r="BJ2742" s="4"/>
      <c r="BK2742" s="4"/>
      <c r="BL2742" s="4"/>
      <c r="BM2742" s="4"/>
      <c r="BN2742" s="4"/>
      <c r="BO2742" s="4"/>
      <c r="BP2742" s="4"/>
      <c r="BQ2742" s="4"/>
      <c r="BR2742" s="4"/>
      <c r="BS2742" s="4"/>
      <c r="BT2742" s="4"/>
      <c r="BU2742" s="4"/>
      <c r="BV2742" s="4"/>
      <c r="BW2742" s="4"/>
      <c r="BX2742" s="4"/>
      <c r="BY2742" s="4"/>
      <c r="BZ2742" s="4"/>
      <c r="CA2742" s="4"/>
      <c r="CB2742" s="4"/>
      <c r="CC2742" s="4"/>
      <c r="CD2742" s="4"/>
      <c r="CE2742" s="4"/>
      <c r="CF2742" s="4"/>
      <c r="CG2742" s="4"/>
      <c r="CH2742" s="4"/>
      <c r="CI2742" s="4"/>
      <c r="CJ2742" s="4"/>
      <c r="CK2742" s="4"/>
      <c r="CL2742" s="4"/>
      <c r="CM2742" s="4"/>
      <c r="CN2742" s="4"/>
      <c r="CO2742" s="4"/>
      <c r="CP2742" s="4"/>
      <c r="CQ2742" s="4"/>
      <c r="CR2742" s="4"/>
      <c r="CS2742" s="4"/>
      <c r="CT2742" s="4"/>
      <c r="CU2742" s="4"/>
      <c r="CV2742" s="4"/>
      <c r="CW2742" s="4"/>
      <c r="CX2742" s="4"/>
      <c r="CY2742" s="4"/>
      <c r="CZ2742" s="4"/>
      <c r="DA2742" s="4"/>
      <c r="DB2742" s="4"/>
      <c r="DC2742" s="4"/>
      <c r="DD2742" s="4"/>
      <c r="DE2742" s="4"/>
      <c r="DF2742" s="4"/>
      <c r="DG2742" s="4"/>
      <c r="DH2742" s="4"/>
      <c r="DI2742" s="4"/>
      <c r="DJ2742" s="4"/>
      <c r="DK2742" s="4"/>
      <c r="DL2742" s="4"/>
      <c r="DM2742" s="4"/>
      <c r="DN2742" s="4"/>
      <c r="DO2742" s="4"/>
      <c r="DP2742" s="4"/>
      <c r="DQ2742" s="4"/>
      <c r="DR2742" s="4"/>
      <c r="DS2742" s="4"/>
    </row>
    <row r="2743">
      <c r="A2743" s="4"/>
      <c r="B2743" s="4"/>
      <c r="C2743" s="4"/>
      <c r="D2743" s="4"/>
      <c r="E2743" s="4"/>
      <c r="F2743" s="4" t="s">
        <v>17</v>
      </c>
      <c r="G2743" s="15"/>
      <c r="H2743" s="4"/>
      <c r="I2743" s="4"/>
      <c r="J2743" s="4"/>
      <c r="K2743" s="4"/>
      <c r="L2743" s="4"/>
      <c r="M2743" s="4"/>
      <c r="N2743" s="4"/>
      <c r="O2743" s="4"/>
      <c r="P2743" s="4"/>
      <c r="Q2743" s="4"/>
      <c r="R2743" s="4"/>
      <c r="S2743" s="4"/>
      <c r="T2743" s="4"/>
      <c r="U2743" s="4"/>
      <c r="V2743" s="4"/>
      <c r="W2743" s="4"/>
      <c r="X2743" s="4"/>
      <c r="Y2743" s="4"/>
      <c r="Z2743" s="4"/>
      <c r="AA2743" s="4"/>
      <c r="AB2743" s="4"/>
      <c r="AC2743" s="4"/>
      <c r="AD2743" s="4"/>
      <c r="AE2743" s="4"/>
      <c r="AF2743" s="4"/>
      <c r="AG2743" s="4"/>
      <c r="AH2743" s="4"/>
      <c r="AI2743" s="4"/>
      <c r="AJ2743" s="4"/>
      <c r="AK2743" s="4"/>
      <c r="AL2743" s="4"/>
      <c r="AM2743" s="4"/>
      <c r="AN2743" s="4"/>
      <c r="AO2743" s="4"/>
      <c r="AP2743" s="4"/>
      <c r="AQ2743" s="4"/>
      <c r="AR2743" s="4"/>
      <c r="AS2743" s="4"/>
      <c r="AT2743" s="4"/>
      <c r="AU2743" s="4"/>
      <c r="AV2743" s="4"/>
      <c r="AW2743" s="4"/>
      <c r="AX2743" s="4"/>
      <c r="AY2743" s="4"/>
      <c r="AZ2743" s="4"/>
      <c r="BA2743" s="4"/>
      <c r="BB2743" s="4"/>
      <c r="BC2743" s="4"/>
      <c r="BD2743" s="4"/>
      <c r="BE2743" s="4"/>
      <c r="BF2743" s="4"/>
      <c r="BG2743" s="4"/>
      <c r="BH2743" s="4"/>
      <c r="BI2743" s="4"/>
      <c r="BJ2743" s="4"/>
      <c r="BK2743" s="4"/>
      <c r="BL2743" s="4"/>
      <c r="BM2743" s="4"/>
      <c r="BN2743" s="4"/>
      <c r="BO2743" s="4"/>
      <c r="BP2743" s="4"/>
      <c r="BQ2743" s="4"/>
      <c r="BR2743" s="4"/>
      <c r="BS2743" s="4"/>
      <c r="BT2743" s="4"/>
      <c r="BU2743" s="4"/>
      <c r="BV2743" s="4"/>
      <c r="BW2743" s="4"/>
      <c r="BX2743" s="4"/>
      <c r="BY2743" s="4"/>
      <c r="BZ2743" s="4"/>
      <c r="CA2743" s="4"/>
      <c r="CB2743" s="4"/>
      <c r="CC2743" s="4"/>
      <c r="CD2743" s="4"/>
      <c r="CE2743" s="4"/>
      <c r="CF2743" s="4"/>
      <c r="CG2743" s="4"/>
      <c r="CH2743" s="4"/>
      <c r="CI2743" s="4"/>
      <c r="CJ2743" s="4"/>
      <c r="CK2743" s="4"/>
      <c r="CL2743" s="4"/>
      <c r="CM2743" s="4"/>
      <c r="CN2743" s="4"/>
      <c r="CO2743" s="4"/>
      <c r="CP2743" s="4"/>
      <c r="CQ2743" s="4"/>
      <c r="CR2743" s="4"/>
      <c r="CS2743" s="4"/>
      <c r="CT2743" s="4"/>
      <c r="CU2743" s="4"/>
      <c r="CV2743" s="4"/>
      <c r="CW2743" s="4"/>
      <c r="CX2743" s="4"/>
      <c r="CY2743" s="4"/>
      <c r="CZ2743" s="4"/>
      <c r="DA2743" s="4"/>
      <c r="DB2743" s="4"/>
      <c r="DC2743" s="4"/>
      <c r="DD2743" s="4"/>
      <c r="DE2743" s="4"/>
      <c r="DF2743" s="4"/>
      <c r="DG2743" s="4"/>
      <c r="DH2743" s="4"/>
      <c r="DI2743" s="4"/>
      <c r="DJ2743" s="4"/>
      <c r="DK2743" s="4"/>
      <c r="DL2743" s="4"/>
      <c r="DM2743" s="4"/>
      <c r="DN2743" s="4"/>
      <c r="DO2743" s="4"/>
      <c r="DP2743" s="4"/>
      <c r="DQ2743" s="4"/>
      <c r="DR2743" s="4"/>
      <c r="DS2743" s="4"/>
    </row>
    <row r="2744">
      <c r="A2744" s="4"/>
      <c r="B2744" s="4"/>
      <c r="C2744" s="4"/>
      <c r="D2744" s="4"/>
      <c r="E2744" s="4"/>
      <c r="F2744" s="4" t="s">
        <v>17</v>
      </c>
      <c r="G2744" s="15"/>
      <c r="H2744" s="4"/>
      <c r="I2744" s="4"/>
      <c r="J2744" s="4"/>
      <c r="K2744" s="4"/>
      <c r="L2744" s="4"/>
      <c r="M2744" s="4"/>
      <c r="N2744" s="4"/>
      <c r="O2744" s="4"/>
      <c r="P2744" s="4"/>
      <c r="Q2744" s="4"/>
      <c r="R2744" s="4"/>
      <c r="S2744" s="4"/>
      <c r="T2744" s="4"/>
      <c r="U2744" s="4"/>
      <c r="V2744" s="4"/>
      <c r="W2744" s="4"/>
      <c r="X2744" s="4"/>
      <c r="Y2744" s="4"/>
      <c r="Z2744" s="4"/>
      <c r="AA2744" s="4"/>
      <c r="AB2744" s="4"/>
      <c r="AC2744" s="4"/>
      <c r="AD2744" s="4"/>
      <c r="AE2744" s="4"/>
      <c r="AF2744" s="4"/>
      <c r="AG2744" s="4"/>
      <c r="AH2744" s="4"/>
      <c r="AI2744" s="4"/>
      <c r="AJ2744" s="4"/>
      <c r="AK2744" s="4"/>
      <c r="AL2744" s="4"/>
      <c r="AM2744" s="4"/>
      <c r="AN2744" s="4"/>
      <c r="AO2744" s="4"/>
      <c r="AP2744" s="4"/>
      <c r="AQ2744" s="4"/>
      <c r="AR2744" s="4"/>
      <c r="AS2744" s="4"/>
      <c r="AT2744" s="4"/>
      <c r="AU2744" s="4"/>
      <c r="AV2744" s="4"/>
      <c r="AW2744" s="4"/>
      <c r="AX2744" s="4"/>
      <c r="AY2744" s="4"/>
      <c r="AZ2744" s="4"/>
      <c r="BA2744" s="4"/>
      <c r="BB2744" s="4"/>
      <c r="BC2744" s="4"/>
      <c r="BD2744" s="4"/>
      <c r="BE2744" s="4"/>
      <c r="BF2744" s="4"/>
      <c r="BG2744" s="4"/>
      <c r="BH2744" s="4"/>
      <c r="BI2744" s="4"/>
      <c r="BJ2744" s="4"/>
      <c r="BK2744" s="4"/>
      <c r="BL2744" s="4"/>
      <c r="BM2744" s="4"/>
      <c r="BN2744" s="4"/>
      <c r="BO2744" s="4"/>
      <c r="BP2744" s="4"/>
      <c r="BQ2744" s="4"/>
      <c r="BR2744" s="4"/>
      <c r="BS2744" s="4"/>
      <c r="BT2744" s="4"/>
      <c r="BU2744" s="4"/>
      <c r="BV2744" s="4"/>
      <c r="BW2744" s="4"/>
      <c r="BX2744" s="4"/>
      <c r="BY2744" s="4"/>
      <c r="BZ2744" s="4"/>
      <c r="CA2744" s="4"/>
      <c r="CB2744" s="4"/>
      <c r="CC2744" s="4"/>
      <c r="CD2744" s="4"/>
      <c r="CE2744" s="4"/>
      <c r="CF2744" s="4"/>
      <c r="CG2744" s="4"/>
      <c r="CH2744" s="4"/>
      <c r="CI2744" s="4"/>
      <c r="CJ2744" s="4"/>
      <c r="CK2744" s="4"/>
      <c r="CL2744" s="4"/>
      <c r="CM2744" s="4"/>
      <c r="CN2744" s="4"/>
      <c r="CO2744" s="4"/>
      <c r="CP2744" s="4"/>
      <c r="CQ2744" s="4"/>
      <c r="CR2744" s="4"/>
      <c r="CS2744" s="4"/>
      <c r="CT2744" s="4"/>
      <c r="CU2744" s="4"/>
      <c r="CV2744" s="4"/>
      <c r="CW2744" s="4"/>
      <c r="CX2744" s="4"/>
      <c r="CY2744" s="4"/>
      <c r="CZ2744" s="4"/>
      <c r="DA2744" s="4"/>
      <c r="DB2744" s="4"/>
      <c r="DC2744" s="4"/>
      <c r="DD2744" s="4"/>
      <c r="DE2744" s="4"/>
      <c r="DF2744" s="4"/>
      <c r="DG2744" s="4"/>
      <c r="DH2744" s="4"/>
      <c r="DI2744" s="4"/>
      <c r="DJ2744" s="4"/>
      <c r="DK2744" s="4"/>
      <c r="DL2744" s="4"/>
      <c r="DM2744" s="4"/>
      <c r="DN2744" s="4"/>
      <c r="DO2744" s="4"/>
      <c r="DP2744" s="4"/>
      <c r="DQ2744" s="4"/>
      <c r="DR2744" s="4"/>
      <c r="DS2744" s="4"/>
    </row>
    <row r="2745">
      <c r="A2745" s="4"/>
      <c r="B2745" s="4"/>
      <c r="C2745" s="4"/>
      <c r="D2745" s="4"/>
      <c r="E2745" s="4"/>
      <c r="F2745" s="4" t="s">
        <v>17</v>
      </c>
      <c r="G2745" s="15"/>
      <c r="H2745" s="4"/>
      <c r="I2745" s="4"/>
      <c r="J2745" s="4"/>
      <c r="K2745" s="4"/>
      <c r="L2745" s="4"/>
      <c r="M2745" s="4"/>
      <c r="N2745" s="4"/>
      <c r="O2745" s="4"/>
      <c r="P2745" s="4"/>
      <c r="Q2745" s="4"/>
      <c r="R2745" s="4"/>
      <c r="S2745" s="4"/>
      <c r="T2745" s="4"/>
      <c r="U2745" s="4"/>
      <c r="V2745" s="4"/>
      <c r="W2745" s="4"/>
      <c r="X2745" s="4"/>
      <c r="Y2745" s="4"/>
      <c r="Z2745" s="4"/>
      <c r="AA2745" s="4"/>
      <c r="AB2745" s="4"/>
      <c r="AC2745" s="4"/>
      <c r="AD2745" s="4"/>
      <c r="AE2745" s="4"/>
      <c r="AF2745" s="4"/>
      <c r="AG2745" s="4"/>
      <c r="AH2745" s="4"/>
      <c r="AI2745" s="4"/>
      <c r="AJ2745" s="4"/>
      <c r="AK2745" s="4"/>
      <c r="AL2745" s="4"/>
      <c r="AM2745" s="4"/>
      <c r="AN2745" s="4"/>
      <c r="AO2745" s="4"/>
      <c r="AP2745" s="4"/>
      <c r="AQ2745" s="4"/>
      <c r="AR2745" s="4"/>
      <c r="AS2745" s="4"/>
      <c r="AT2745" s="4"/>
      <c r="AU2745" s="4"/>
      <c r="AV2745" s="4"/>
      <c r="AW2745" s="4"/>
      <c r="AX2745" s="4"/>
      <c r="AY2745" s="4"/>
      <c r="AZ2745" s="4"/>
      <c r="BA2745" s="4"/>
      <c r="BB2745" s="4"/>
      <c r="BC2745" s="4"/>
      <c r="BD2745" s="4"/>
      <c r="BE2745" s="4"/>
      <c r="BF2745" s="4"/>
      <c r="BG2745" s="4"/>
      <c r="BH2745" s="4"/>
      <c r="BI2745" s="4"/>
      <c r="BJ2745" s="4"/>
      <c r="BK2745" s="4"/>
      <c r="BL2745" s="4"/>
      <c r="BM2745" s="4"/>
      <c r="BN2745" s="4"/>
      <c r="BO2745" s="4"/>
      <c r="BP2745" s="4"/>
      <c r="BQ2745" s="4"/>
      <c r="BR2745" s="4"/>
      <c r="BS2745" s="4"/>
      <c r="BT2745" s="4"/>
      <c r="BU2745" s="4"/>
      <c r="BV2745" s="4"/>
      <c r="BW2745" s="4"/>
      <c r="BX2745" s="4"/>
      <c r="BY2745" s="4"/>
      <c r="BZ2745" s="4"/>
      <c r="CA2745" s="4"/>
      <c r="CB2745" s="4"/>
      <c r="CC2745" s="4"/>
      <c r="CD2745" s="4"/>
      <c r="CE2745" s="4"/>
      <c r="CF2745" s="4"/>
      <c r="CG2745" s="4"/>
      <c r="CH2745" s="4"/>
      <c r="CI2745" s="4"/>
      <c r="CJ2745" s="4"/>
      <c r="CK2745" s="4"/>
      <c r="CL2745" s="4"/>
      <c r="CM2745" s="4"/>
      <c r="CN2745" s="4"/>
      <c r="CO2745" s="4"/>
      <c r="CP2745" s="4"/>
      <c r="CQ2745" s="4"/>
      <c r="CR2745" s="4"/>
      <c r="CS2745" s="4"/>
      <c r="CT2745" s="4"/>
      <c r="CU2745" s="4"/>
      <c r="CV2745" s="4"/>
      <c r="CW2745" s="4"/>
      <c r="CX2745" s="4"/>
      <c r="CY2745" s="4"/>
      <c r="CZ2745" s="4"/>
      <c r="DA2745" s="4"/>
      <c r="DB2745" s="4"/>
      <c r="DC2745" s="4"/>
      <c r="DD2745" s="4"/>
      <c r="DE2745" s="4"/>
      <c r="DF2745" s="4"/>
      <c r="DG2745" s="4"/>
      <c r="DH2745" s="4"/>
      <c r="DI2745" s="4"/>
      <c r="DJ2745" s="4"/>
      <c r="DK2745" s="4"/>
      <c r="DL2745" s="4"/>
      <c r="DM2745" s="4"/>
      <c r="DN2745" s="4"/>
      <c r="DO2745" s="4"/>
      <c r="DP2745" s="4"/>
      <c r="DQ2745" s="4"/>
      <c r="DR2745" s="4"/>
      <c r="DS2745" s="4"/>
    </row>
    <row r="2746">
      <c r="A2746" s="4"/>
      <c r="B2746" s="4"/>
      <c r="C2746" s="4"/>
      <c r="D2746" s="4"/>
      <c r="E2746" s="4"/>
      <c r="F2746" s="4" t="s">
        <v>17</v>
      </c>
      <c r="G2746" s="15"/>
      <c r="H2746" s="4"/>
      <c r="I2746" s="4"/>
      <c r="J2746" s="4"/>
      <c r="K2746" s="4"/>
      <c r="L2746" s="4"/>
      <c r="M2746" s="4"/>
      <c r="N2746" s="4"/>
      <c r="O2746" s="4"/>
      <c r="P2746" s="4"/>
      <c r="Q2746" s="4"/>
      <c r="R2746" s="4"/>
      <c r="S2746" s="4"/>
      <c r="T2746" s="4"/>
      <c r="U2746" s="4"/>
      <c r="V2746" s="4"/>
      <c r="W2746" s="4"/>
      <c r="X2746" s="4"/>
      <c r="Y2746" s="4"/>
      <c r="Z2746" s="4"/>
      <c r="AA2746" s="4"/>
      <c r="AB2746" s="4"/>
      <c r="AC2746" s="4"/>
      <c r="AD2746" s="4"/>
      <c r="AE2746" s="4"/>
      <c r="AF2746" s="4"/>
      <c r="AG2746" s="4"/>
      <c r="AH2746" s="4"/>
      <c r="AI2746" s="4"/>
      <c r="AJ2746" s="4"/>
      <c r="AK2746" s="4"/>
      <c r="AL2746" s="4"/>
      <c r="AM2746" s="4"/>
      <c r="AN2746" s="4"/>
      <c r="AO2746" s="4"/>
      <c r="AP2746" s="4"/>
      <c r="AQ2746" s="4"/>
      <c r="AR2746" s="4"/>
      <c r="AS2746" s="4"/>
      <c r="AT2746" s="4"/>
      <c r="AU2746" s="4"/>
      <c r="AV2746" s="4"/>
      <c r="AW2746" s="4"/>
      <c r="AX2746" s="4"/>
      <c r="AY2746" s="4"/>
      <c r="AZ2746" s="4"/>
      <c r="BA2746" s="4"/>
      <c r="BB2746" s="4"/>
      <c r="BC2746" s="4"/>
      <c r="BD2746" s="4"/>
      <c r="BE2746" s="4"/>
      <c r="BF2746" s="4"/>
      <c r="BG2746" s="4"/>
      <c r="BH2746" s="4"/>
      <c r="BI2746" s="4"/>
      <c r="BJ2746" s="4"/>
      <c r="BK2746" s="4"/>
      <c r="BL2746" s="4"/>
      <c r="BM2746" s="4"/>
      <c r="BN2746" s="4"/>
      <c r="BO2746" s="4"/>
      <c r="BP2746" s="4"/>
      <c r="BQ2746" s="4"/>
      <c r="BR2746" s="4"/>
      <c r="BS2746" s="4"/>
      <c r="BT2746" s="4"/>
      <c r="BU2746" s="4"/>
      <c r="BV2746" s="4"/>
      <c r="BW2746" s="4"/>
      <c r="BX2746" s="4"/>
      <c r="BY2746" s="4"/>
      <c r="BZ2746" s="4"/>
      <c r="CA2746" s="4"/>
      <c r="CB2746" s="4"/>
      <c r="CC2746" s="4"/>
      <c r="CD2746" s="4"/>
      <c r="CE2746" s="4"/>
      <c r="CF2746" s="4"/>
      <c r="CG2746" s="4"/>
      <c r="CH2746" s="4"/>
      <c r="CI2746" s="4"/>
      <c r="CJ2746" s="4"/>
      <c r="CK2746" s="4"/>
      <c r="CL2746" s="4"/>
      <c r="CM2746" s="4"/>
      <c r="CN2746" s="4"/>
      <c r="CO2746" s="4"/>
      <c r="CP2746" s="4"/>
      <c r="CQ2746" s="4"/>
      <c r="CR2746" s="4"/>
      <c r="CS2746" s="4"/>
      <c r="CT2746" s="4"/>
      <c r="CU2746" s="4"/>
      <c r="CV2746" s="4"/>
      <c r="CW2746" s="4"/>
      <c r="CX2746" s="4"/>
      <c r="CY2746" s="4"/>
      <c r="CZ2746" s="4"/>
      <c r="DA2746" s="4"/>
      <c r="DB2746" s="4"/>
      <c r="DC2746" s="4"/>
      <c r="DD2746" s="4"/>
      <c r="DE2746" s="4"/>
      <c r="DF2746" s="4"/>
      <c r="DG2746" s="4"/>
      <c r="DH2746" s="4"/>
      <c r="DI2746" s="4"/>
      <c r="DJ2746" s="4"/>
      <c r="DK2746" s="4"/>
      <c r="DL2746" s="4"/>
      <c r="DM2746" s="4"/>
      <c r="DN2746" s="4"/>
      <c r="DO2746" s="4"/>
      <c r="DP2746" s="4"/>
      <c r="DQ2746" s="4"/>
      <c r="DR2746" s="4"/>
      <c r="DS2746" s="4"/>
    </row>
    <row r="2747">
      <c r="A2747" s="4"/>
      <c r="B2747" s="4"/>
      <c r="C2747" s="4"/>
      <c r="D2747" s="4"/>
      <c r="E2747" s="4"/>
      <c r="F2747" s="4" t="s">
        <v>17</v>
      </c>
      <c r="G2747" s="15"/>
      <c r="H2747" s="4"/>
      <c r="I2747" s="4"/>
      <c r="J2747" s="4"/>
      <c r="K2747" s="4"/>
      <c r="L2747" s="4"/>
      <c r="M2747" s="4"/>
      <c r="N2747" s="4"/>
      <c r="O2747" s="4"/>
      <c r="P2747" s="4"/>
      <c r="Q2747" s="4"/>
      <c r="R2747" s="4"/>
      <c r="S2747" s="4"/>
      <c r="T2747" s="4"/>
      <c r="U2747" s="4"/>
      <c r="V2747" s="4"/>
      <c r="W2747" s="4"/>
      <c r="X2747" s="4"/>
      <c r="Y2747" s="4"/>
      <c r="Z2747" s="4"/>
      <c r="AA2747" s="4"/>
      <c r="AB2747" s="4"/>
      <c r="AC2747" s="4"/>
      <c r="AD2747" s="4"/>
      <c r="AE2747" s="4"/>
      <c r="AF2747" s="4"/>
      <c r="AG2747" s="4"/>
      <c r="AH2747" s="4"/>
      <c r="AI2747" s="4"/>
      <c r="AJ2747" s="4"/>
      <c r="AK2747" s="4"/>
      <c r="AL2747" s="4"/>
      <c r="AM2747" s="4"/>
      <c r="AN2747" s="4"/>
      <c r="AO2747" s="4"/>
      <c r="AP2747" s="4"/>
      <c r="AQ2747" s="4"/>
      <c r="AR2747" s="4"/>
      <c r="AS2747" s="4"/>
      <c r="AT2747" s="4"/>
      <c r="AU2747" s="4"/>
      <c r="AV2747" s="4"/>
      <c r="AW2747" s="4"/>
      <c r="AX2747" s="4"/>
      <c r="AY2747" s="4"/>
      <c r="AZ2747" s="4"/>
      <c r="BA2747" s="4"/>
      <c r="BB2747" s="4"/>
      <c r="BC2747" s="4"/>
      <c r="BD2747" s="4"/>
      <c r="BE2747" s="4"/>
      <c r="BF2747" s="4"/>
      <c r="BG2747" s="4"/>
      <c r="BH2747" s="4"/>
      <c r="BI2747" s="4"/>
      <c r="BJ2747" s="4"/>
      <c r="BK2747" s="4"/>
      <c r="BL2747" s="4"/>
      <c r="BM2747" s="4"/>
      <c r="BN2747" s="4"/>
      <c r="BO2747" s="4"/>
      <c r="BP2747" s="4"/>
      <c r="BQ2747" s="4"/>
      <c r="BR2747" s="4"/>
      <c r="BS2747" s="4"/>
      <c r="BT2747" s="4"/>
      <c r="BU2747" s="4"/>
      <c r="BV2747" s="4"/>
      <c r="BW2747" s="4"/>
      <c r="BX2747" s="4"/>
      <c r="BY2747" s="4"/>
      <c r="BZ2747" s="4"/>
      <c r="CA2747" s="4"/>
      <c r="CB2747" s="4"/>
      <c r="CC2747" s="4"/>
      <c r="CD2747" s="4"/>
      <c r="CE2747" s="4"/>
      <c r="CF2747" s="4"/>
      <c r="CG2747" s="4"/>
      <c r="CH2747" s="4"/>
      <c r="CI2747" s="4"/>
      <c r="CJ2747" s="4"/>
      <c r="CK2747" s="4"/>
      <c r="CL2747" s="4"/>
      <c r="CM2747" s="4"/>
      <c r="CN2747" s="4"/>
      <c r="CO2747" s="4"/>
      <c r="CP2747" s="4"/>
      <c r="CQ2747" s="4"/>
      <c r="CR2747" s="4"/>
      <c r="CS2747" s="4"/>
      <c r="CT2747" s="4"/>
      <c r="CU2747" s="4"/>
      <c r="CV2747" s="4"/>
      <c r="CW2747" s="4"/>
      <c r="CX2747" s="4"/>
      <c r="CY2747" s="4"/>
      <c r="CZ2747" s="4"/>
      <c r="DA2747" s="4"/>
      <c r="DB2747" s="4"/>
      <c r="DC2747" s="4"/>
      <c r="DD2747" s="4"/>
      <c r="DE2747" s="4"/>
      <c r="DF2747" s="4"/>
      <c r="DG2747" s="4"/>
      <c r="DH2747" s="4"/>
      <c r="DI2747" s="4"/>
      <c r="DJ2747" s="4"/>
      <c r="DK2747" s="4"/>
      <c r="DL2747" s="4"/>
      <c r="DM2747" s="4"/>
      <c r="DN2747" s="4"/>
      <c r="DO2747" s="4"/>
      <c r="DP2747" s="4"/>
      <c r="DQ2747" s="4"/>
      <c r="DR2747" s="4"/>
      <c r="DS2747" s="4"/>
    </row>
    <row r="2748">
      <c r="A2748" s="4"/>
      <c r="B2748" s="4"/>
      <c r="C2748" s="4"/>
      <c r="D2748" s="4"/>
      <c r="E2748" s="4"/>
      <c r="F2748" s="4" t="s">
        <v>17</v>
      </c>
      <c r="G2748" s="15"/>
      <c r="H2748" s="4"/>
      <c r="I2748" s="4"/>
      <c r="J2748" s="4"/>
      <c r="K2748" s="4"/>
      <c r="L2748" s="4"/>
      <c r="M2748" s="4"/>
      <c r="N2748" s="4"/>
      <c r="O2748" s="4"/>
      <c r="P2748" s="4"/>
      <c r="Q2748" s="4"/>
      <c r="R2748" s="4"/>
      <c r="S2748" s="4"/>
      <c r="T2748" s="4"/>
      <c r="U2748" s="4"/>
      <c r="V2748" s="4"/>
      <c r="W2748" s="4"/>
      <c r="X2748" s="4"/>
      <c r="Y2748" s="4"/>
      <c r="Z2748" s="4"/>
      <c r="AA2748" s="4"/>
      <c r="AB2748" s="4"/>
      <c r="AC2748" s="4"/>
      <c r="AD2748" s="4"/>
      <c r="AE2748" s="4"/>
      <c r="AF2748" s="4"/>
      <c r="AG2748" s="4"/>
      <c r="AH2748" s="4"/>
      <c r="AI2748" s="4"/>
      <c r="AJ2748" s="4"/>
      <c r="AK2748" s="4"/>
      <c r="AL2748" s="4"/>
      <c r="AM2748" s="4"/>
      <c r="AN2748" s="4"/>
      <c r="AO2748" s="4"/>
      <c r="AP2748" s="4"/>
      <c r="AQ2748" s="4"/>
      <c r="AR2748" s="4"/>
      <c r="AS2748" s="4"/>
      <c r="AT2748" s="4"/>
      <c r="AU2748" s="4"/>
      <c r="AV2748" s="4"/>
      <c r="AW2748" s="4"/>
      <c r="AX2748" s="4"/>
      <c r="AY2748" s="4"/>
      <c r="AZ2748" s="4"/>
      <c r="BA2748" s="4"/>
      <c r="BB2748" s="4"/>
      <c r="BC2748" s="4"/>
      <c r="BD2748" s="4"/>
      <c r="BE2748" s="4"/>
      <c r="BF2748" s="4"/>
      <c r="BG2748" s="4"/>
      <c r="BH2748" s="4"/>
      <c r="BI2748" s="4"/>
      <c r="BJ2748" s="4"/>
      <c r="BK2748" s="4"/>
      <c r="BL2748" s="4"/>
      <c r="BM2748" s="4"/>
      <c r="BN2748" s="4"/>
      <c r="BO2748" s="4"/>
      <c r="BP2748" s="4"/>
      <c r="BQ2748" s="4"/>
      <c r="BR2748" s="4"/>
      <c r="BS2748" s="4"/>
      <c r="BT2748" s="4"/>
      <c r="BU2748" s="4"/>
      <c r="BV2748" s="4"/>
      <c r="BW2748" s="4"/>
      <c r="BX2748" s="4"/>
      <c r="BY2748" s="4"/>
      <c r="BZ2748" s="4"/>
      <c r="CA2748" s="4"/>
      <c r="CB2748" s="4"/>
      <c r="CC2748" s="4"/>
      <c r="CD2748" s="4"/>
      <c r="CE2748" s="4"/>
      <c r="CF2748" s="4"/>
      <c r="CG2748" s="4"/>
      <c r="CH2748" s="4"/>
      <c r="CI2748" s="4"/>
      <c r="CJ2748" s="4"/>
      <c r="CK2748" s="4"/>
      <c r="CL2748" s="4"/>
      <c r="CM2748" s="4"/>
      <c r="CN2748" s="4"/>
      <c r="CO2748" s="4"/>
      <c r="CP2748" s="4"/>
      <c r="CQ2748" s="4"/>
      <c r="CR2748" s="4"/>
      <c r="CS2748" s="4"/>
      <c r="CT2748" s="4"/>
      <c r="CU2748" s="4"/>
      <c r="CV2748" s="4"/>
      <c r="CW2748" s="4"/>
      <c r="CX2748" s="4"/>
      <c r="CY2748" s="4"/>
      <c r="CZ2748" s="4"/>
      <c r="DA2748" s="4"/>
      <c r="DB2748" s="4"/>
      <c r="DC2748" s="4"/>
      <c r="DD2748" s="4"/>
      <c r="DE2748" s="4"/>
      <c r="DF2748" s="4"/>
      <c r="DG2748" s="4"/>
      <c r="DH2748" s="4"/>
      <c r="DI2748" s="4"/>
      <c r="DJ2748" s="4"/>
      <c r="DK2748" s="4"/>
      <c r="DL2748" s="4"/>
      <c r="DM2748" s="4"/>
      <c r="DN2748" s="4"/>
      <c r="DO2748" s="4"/>
      <c r="DP2748" s="4"/>
      <c r="DQ2748" s="4"/>
      <c r="DR2748" s="4"/>
      <c r="DS2748" s="4"/>
    </row>
    <row r="2749">
      <c r="A2749" s="4"/>
      <c r="B2749" s="4"/>
      <c r="C2749" s="4"/>
      <c r="D2749" s="4"/>
      <c r="E2749" s="4"/>
      <c r="F2749" s="4" t="s">
        <v>17</v>
      </c>
      <c r="G2749" s="15"/>
      <c r="H2749" s="4"/>
      <c r="I2749" s="4"/>
      <c r="J2749" s="4"/>
      <c r="K2749" s="4"/>
      <c r="L2749" s="4"/>
      <c r="M2749" s="4"/>
      <c r="N2749" s="4"/>
      <c r="O2749" s="4"/>
      <c r="P2749" s="4"/>
      <c r="Q2749" s="4"/>
      <c r="R2749" s="4"/>
      <c r="S2749" s="4"/>
      <c r="T2749" s="4"/>
      <c r="U2749" s="4"/>
      <c r="V2749" s="4"/>
      <c r="W2749" s="4"/>
      <c r="X2749" s="4"/>
      <c r="Y2749" s="4"/>
      <c r="Z2749" s="4"/>
      <c r="AA2749" s="4"/>
      <c r="AB2749" s="4"/>
      <c r="AC2749" s="4"/>
      <c r="AD2749" s="4"/>
      <c r="AE2749" s="4"/>
      <c r="AF2749" s="4"/>
      <c r="AG2749" s="4"/>
      <c r="AH2749" s="4"/>
      <c r="AI2749" s="4"/>
      <c r="AJ2749" s="4"/>
      <c r="AK2749" s="4"/>
      <c r="AL2749" s="4"/>
      <c r="AM2749" s="4"/>
      <c r="AN2749" s="4"/>
      <c r="AO2749" s="4"/>
      <c r="AP2749" s="4"/>
      <c r="AQ2749" s="4"/>
      <c r="AR2749" s="4"/>
      <c r="AS2749" s="4"/>
      <c r="AT2749" s="4"/>
      <c r="AU2749" s="4"/>
      <c r="AV2749" s="4"/>
      <c r="AW2749" s="4"/>
      <c r="AX2749" s="4"/>
      <c r="AY2749" s="4"/>
      <c r="AZ2749" s="4"/>
      <c r="BA2749" s="4"/>
      <c r="BB2749" s="4"/>
      <c r="BC2749" s="4"/>
      <c r="BD2749" s="4"/>
      <c r="BE2749" s="4"/>
      <c r="BF2749" s="4"/>
      <c r="BG2749" s="4"/>
      <c r="BH2749" s="4"/>
      <c r="BI2749" s="4"/>
      <c r="BJ2749" s="4"/>
      <c r="BK2749" s="4"/>
      <c r="BL2749" s="4"/>
      <c r="BM2749" s="4"/>
      <c r="BN2749" s="4"/>
      <c r="BO2749" s="4"/>
      <c r="BP2749" s="4"/>
      <c r="BQ2749" s="4"/>
      <c r="BR2749" s="4"/>
      <c r="BS2749" s="4"/>
      <c r="BT2749" s="4"/>
      <c r="BU2749" s="4"/>
      <c r="BV2749" s="4"/>
      <c r="BW2749" s="4"/>
      <c r="BX2749" s="4"/>
      <c r="BY2749" s="4"/>
      <c r="BZ2749" s="4"/>
      <c r="CA2749" s="4"/>
      <c r="CB2749" s="4"/>
      <c r="CC2749" s="4"/>
      <c r="CD2749" s="4"/>
      <c r="CE2749" s="4"/>
      <c r="CF2749" s="4"/>
      <c r="CG2749" s="4"/>
      <c r="CH2749" s="4"/>
      <c r="CI2749" s="4"/>
      <c r="CJ2749" s="4"/>
      <c r="CK2749" s="4"/>
      <c r="CL2749" s="4"/>
      <c r="CM2749" s="4"/>
      <c r="CN2749" s="4"/>
      <c r="CO2749" s="4"/>
      <c r="CP2749" s="4"/>
      <c r="CQ2749" s="4"/>
      <c r="CR2749" s="4"/>
      <c r="CS2749" s="4"/>
      <c r="CT2749" s="4"/>
      <c r="CU2749" s="4"/>
      <c r="CV2749" s="4"/>
      <c r="CW2749" s="4"/>
      <c r="CX2749" s="4"/>
      <c r="CY2749" s="4"/>
      <c r="CZ2749" s="4"/>
      <c r="DA2749" s="4"/>
      <c r="DB2749" s="4"/>
      <c r="DC2749" s="4"/>
      <c r="DD2749" s="4"/>
      <c r="DE2749" s="4"/>
      <c r="DF2749" s="4"/>
      <c r="DG2749" s="4"/>
      <c r="DH2749" s="4"/>
      <c r="DI2749" s="4"/>
      <c r="DJ2749" s="4"/>
      <c r="DK2749" s="4"/>
      <c r="DL2749" s="4"/>
      <c r="DM2749" s="4"/>
      <c r="DN2749" s="4"/>
      <c r="DO2749" s="4"/>
      <c r="DP2749" s="4"/>
      <c r="DQ2749" s="4"/>
      <c r="DR2749" s="4"/>
      <c r="DS2749" s="4"/>
    </row>
    <row r="2750">
      <c r="A2750" s="4"/>
      <c r="B2750" s="4"/>
      <c r="C2750" s="4"/>
      <c r="D2750" s="4"/>
      <c r="E2750" s="4"/>
      <c r="F2750" s="4" t="s">
        <v>17</v>
      </c>
      <c r="G2750" s="15"/>
      <c r="H2750" s="4"/>
      <c r="I2750" s="4"/>
      <c r="J2750" s="4"/>
      <c r="K2750" s="4"/>
      <c r="L2750" s="4"/>
      <c r="M2750" s="4"/>
      <c r="N2750" s="4"/>
      <c r="O2750" s="4"/>
      <c r="P2750" s="4"/>
      <c r="Q2750" s="4"/>
      <c r="R2750" s="4"/>
      <c r="S2750" s="4"/>
      <c r="T2750" s="4"/>
      <c r="U2750" s="4"/>
      <c r="V2750" s="4"/>
      <c r="W2750" s="4"/>
      <c r="X2750" s="4"/>
      <c r="Y2750" s="4"/>
      <c r="Z2750" s="4"/>
      <c r="AA2750" s="4"/>
      <c r="AB2750" s="4"/>
      <c r="AC2750" s="4"/>
      <c r="AD2750" s="4"/>
      <c r="AE2750" s="4"/>
      <c r="AF2750" s="4"/>
      <c r="AG2750" s="4"/>
      <c r="AH2750" s="4"/>
      <c r="AI2750" s="4"/>
      <c r="AJ2750" s="4"/>
      <c r="AK2750" s="4"/>
      <c r="AL2750" s="4"/>
      <c r="AM2750" s="4"/>
      <c r="AN2750" s="4"/>
      <c r="AO2750" s="4"/>
      <c r="AP2750" s="4"/>
      <c r="AQ2750" s="4"/>
      <c r="AR2750" s="4"/>
      <c r="AS2750" s="4"/>
      <c r="AT2750" s="4"/>
      <c r="AU2750" s="4"/>
      <c r="AV2750" s="4"/>
      <c r="AW2750" s="4"/>
      <c r="AX2750" s="4"/>
      <c r="AY2750" s="4"/>
      <c r="AZ2750" s="4"/>
      <c r="BA2750" s="4"/>
      <c r="BB2750" s="4"/>
      <c r="BC2750" s="4"/>
      <c r="BD2750" s="4"/>
      <c r="BE2750" s="4"/>
      <c r="BF2750" s="4"/>
      <c r="BG2750" s="4"/>
      <c r="BH2750" s="4"/>
      <c r="BI2750" s="4"/>
      <c r="BJ2750" s="4"/>
      <c r="BK2750" s="4"/>
      <c r="BL2750" s="4"/>
      <c r="BM2750" s="4"/>
      <c r="BN2750" s="4"/>
      <c r="BO2750" s="4"/>
      <c r="BP2750" s="4"/>
      <c r="BQ2750" s="4"/>
      <c r="BR2750" s="4"/>
      <c r="BS2750" s="4"/>
      <c r="BT2750" s="4"/>
      <c r="BU2750" s="4"/>
      <c r="BV2750" s="4"/>
      <c r="BW2750" s="4"/>
      <c r="BX2750" s="4"/>
      <c r="BY2750" s="4"/>
      <c r="BZ2750" s="4"/>
      <c r="CA2750" s="4"/>
      <c r="CB2750" s="4"/>
      <c r="CC2750" s="4"/>
      <c r="CD2750" s="4"/>
      <c r="CE2750" s="4"/>
      <c r="CF2750" s="4"/>
      <c r="CG2750" s="4"/>
      <c r="CH2750" s="4"/>
      <c r="CI2750" s="4"/>
      <c r="CJ2750" s="4"/>
      <c r="CK2750" s="4"/>
      <c r="CL2750" s="4"/>
      <c r="CM2750" s="4"/>
      <c r="CN2750" s="4"/>
      <c r="CO2750" s="4"/>
      <c r="CP2750" s="4"/>
      <c r="CQ2750" s="4"/>
      <c r="CR2750" s="4"/>
      <c r="CS2750" s="4"/>
      <c r="CT2750" s="4"/>
      <c r="CU2750" s="4"/>
      <c r="CV2750" s="4"/>
      <c r="CW2750" s="4"/>
      <c r="CX2750" s="4"/>
      <c r="CY2750" s="4"/>
      <c r="CZ2750" s="4"/>
      <c r="DA2750" s="4"/>
      <c r="DB2750" s="4"/>
      <c r="DC2750" s="4"/>
      <c r="DD2750" s="4"/>
      <c r="DE2750" s="4"/>
      <c r="DF2750" s="4"/>
      <c r="DG2750" s="4"/>
      <c r="DH2750" s="4"/>
      <c r="DI2750" s="4"/>
      <c r="DJ2750" s="4"/>
      <c r="DK2750" s="4"/>
      <c r="DL2750" s="4"/>
      <c r="DM2750" s="4"/>
      <c r="DN2750" s="4"/>
      <c r="DO2750" s="4"/>
      <c r="DP2750" s="4"/>
      <c r="DQ2750" s="4"/>
      <c r="DR2750" s="4"/>
      <c r="DS2750" s="4"/>
    </row>
    <row r="2751">
      <c r="A2751" s="4"/>
      <c r="B2751" s="4"/>
      <c r="C2751" s="4"/>
      <c r="D2751" s="4"/>
      <c r="E2751" s="4"/>
      <c r="F2751" s="4" t="s">
        <v>17</v>
      </c>
      <c r="G2751" s="15"/>
      <c r="H2751" s="4"/>
      <c r="I2751" s="4"/>
      <c r="J2751" s="4"/>
      <c r="K2751" s="4"/>
      <c r="L2751" s="4"/>
      <c r="M2751" s="4"/>
      <c r="N2751" s="4"/>
      <c r="O2751" s="4"/>
      <c r="P2751" s="4"/>
      <c r="Q2751" s="4"/>
      <c r="R2751" s="4"/>
      <c r="S2751" s="4"/>
      <c r="T2751" s="4"/>
      <c r="U2751" s="4"/>
      <c r="V2751" s="4"/>
      <c r="W2751" s="4"/>
      <c r="X2751" s="4"/>
      <c r="Y2751" s="4"/>
      <c r="Z2751" s="4"/>
      <c r="AA2751" s="4"/>
      <c r="AB2751" s="4"/>
      <c r="AC2751" s="4"/>
      <c r="AD2751" s="4"/>
      <c r="AE2751" s="4"/>
      <c r="AF2751" s="4"/>
      <c r="AG2751" s="4"/>
      <c r="AH2751" s="4"/>
      <c r="AI2751" s="4"/>
      <c r="AJ2751" s="4"/>
      <c r="AK2751" s="4"/>
      <c r="AL2751" s="4"/>
      <c r="AM2751" s="4"/>
      <c r="AN2751" s="4"/>
      <c r="AO2751" s="4"/>
      <c r="AP2751" s="4"/>
      <c r="AQ2751" s="4"/>
      <c r="AR2751" s="4"/>
      <c r="AS2751" s="4"/>
      <c r="AT2751" s="4"/>
      <c r="AU2751" s="4"/>
      <c r="AV2751" s="4"/>
      <c r="AW2751" s="4"/>
      <c r="AX2751" s="4"/>
      <c r="AY2751" s="4"/>
      <c r="AZ2751" s="4"/>
      <c r="BA2751" s="4"/>
      <c r="BB2751" s="4"/>
      <c r="BC2751" s="4"/>
      <c r="BD2751" s="4"/>
      <c r="BE2751" s="4"/>
      <c r="BF2751" s="4"/>
      <c r="BG2751" s="4"/>
      <c r="BH2751" s="4"/>
      <c r="BI2751" s="4"/>
      <c r="BJ2751" s="4"/>
      <c r="BK2751" s="4"/>
      <c r="BL2751" s="4"/>
      <c r="BM2751" s="4"/>
      <c r="BN2751" s="4"/>
      <c r="BO2751" s="4"/>
      <c r="BP2751" s="4"/>
      <c r="BQ2751" s="4"/>
      <c r="BR2751" s="4"/>
      <c r="BS2751" s="4"/>
      <c r="BT2751" s="4"/>
      <c r="BU2751" s="4"/>
      <c r="BV2751" s="4"/>
      <c r="BW2751" s="4"/>
      <c r="BX2751" s="4"/>
      <c r="BY2751" s="4"/>
      <c r="BZ2751" s="4"/>
      <c r="CA2751" s="4"/>
      <c r="CB2751" s="4"/>
      <c r="CC2751" s="4"/>
      <c r="CD2751" s="4"/>
      <c r="CE2751" s="4"/>
      <c r="CF2751" s="4"/>
      <c r="CG2751" s="4"/>
      <c r="CH2751" s="4"/>
      <c r="CI2751" s="4"/>
      <c r="CJ2751" s="4"/>
      <c r="CK2751" s="4"/>
      <c r="CL2751" s="4"/>
      <c r="CM2751" s="4"/>
      <c r="CN2751" s="4"/>
      <c r="CO2751" s="4"/>
      <c r="CP2751" s="4"/>
      <c r="CQ2751" s="4"/>
      <c r="CR2751" s="4"/>
      <c r="CS2751" s="4"/>
      <c r="CT2751" s="4"/>
      <c r="CU2751" s="4"/>
      <c r="CV2751" s="4"/>
      <c r="CW2751" s="4"/>
      <c r="CX2751" s="4"/>
      <c r="CY2751" s="4"/>
      <c r="CZ2751" s="4"/>
      <c r="DA2751" s="4"/>
      <c r="DB2751" s="4"/>
      <c r="DC2751" s="4"/>
      <c r="DD2751" s="4"/>
      <c r="DE2751" s="4"/>
      <c r="DF2751" s="4"/>
      <c r="DG2751" s="4"/>
      <c r="DH2751" s="4"/>
      <c r="DI2751" s="4"/>
      <c r="DJ2751" s="4"/>
      <c r="DK2751" s="4"/>
      <c r="DL2751" s="4"/>
      <c r="DM2751" s="4"/>
      <c r="DN2751" s="4"/>
      <c r="DO2751" s="4"/>
      <c r="DP2751" s="4"/>
      <c r="DQ2751" s="4"/>
      <c r="DR2751" s="4"/>
      <c r="DS2751" s="4"/>
    </row>
    <row r="2752">
      <c r="A2752" s="4"/>
      <c r="B2752" s="4"/>
      <c r="C2752" s="4"/>
      <c r="D2752" s="4"/>
      <c r="E2752" s="4"/>
      <c r="F2752" s="4" t="s">
        <v>17</v>
      </c>
      <c r="G2752" s="15"/>
      <c r="H2752" s="4"/>
      <c r="I2752" s="4"/>
      <c r="J2752" s="4"/>
      <c r="K2752" s="4"/>
      <c r="L2752" s="4"/>
      <c r="M2752" s="4"/>
      <c r="N2752" s="4"/>
      <c r="O2752" s="4"/>
      <c r="P2752" s="4"/>
      <c r="Q2752" s="4"/>
      <c r="R2752" s="4"/>
      <c r="S2752" s="4"/>
      <c r="T2752" s="4"/>
      <c r="U2752" s="4"/>
      <c r="V2752" s="4"/>
      <c r="W2752" s="4"/>
      <c r="X2752" s="4"/>
      <c r="Y2752" s="4"/>
      <c r="Z2752" s="4"/>
      <c r="AA2752" s="4"/>
      <c r="AB2752" s="4"/>
      <c r="AC2752" s="4"/>
      <c r="AD2752" s="4"/>
      <c r="AE2752" s="4"/>
      <c r="AF2752" s="4"/>
      <c r="AG2752" s="4"/>
      <c r="AH2752" s="4"/>
      <c r="AI2752" s="4"/>
      <c r="AJ2752" s="4"/>
      <c r="AK2752" s="4"/>
      <c r="AL2752" s="4"/>
      <c r="AM2752" s="4"/>
      <c r="AN2752" s="4"/>
      <c r="AO2752" s="4"/>
      <c r="AP2752" s="4"/>
      <c r="AQ2752" s="4"/>
      <c r="AR2752" s="4"/>
      <c r="AS2752" s="4"/>
      <c r="AT2752" s="4"/>
      <c r="AU2752" s="4"/>
      <c r="AV2752" s="4"/>
      <c r="AW2752" s="4"/>
      <c r="AX2752" s="4"/>
      <c r="AY2752" s="4"/>
      <c r="AZ2752" s="4"/>
      <c r="BA2752" s="4"/>
      <c r="BB2752" s="4"/>
      <c r="BC2752" s="4"/>
      <c r="BD2752" s="4"/>
      <c r="BE2752" s="4"/>
      <c r="BF2752" s="4"/>
      <c r="BG2752" s="4"/>
      <c r="BH2752" s="4"/>
      <c r="BI2752" s="4"/>
      <c r="BJ2752" s="4"/>
      <c r="BK2752" s="4"/>
      <c r="BL2752" s="4"/>
      <c r="BM2752" s="4"/>
      <c r="BN2752" s="4"/>
      <c r="BO2752" s="4"/>
      <c r="BP2752" s="4"/>
      <c r="BQ2752" s="4"/>
      <c r="BR2752" s="4"/>
      <c r="BS2752" s="4"/>
      <c r="BT2752" s="4"/>
      <c r="BU2752" s="4"/>
      <c r="BV2752" s="4"/>
      <c r="BW2752" s="4"/>
      <c r="BX2752" s="4"/>
      <c r="BY2752" s="4"/>
      <c r="BZ2752" s="4"/>
      <c r="CA2752" s="4"/>
      <c r="CB2752" s="4"/>
      <c r="CC2752" s="4"/>
      <c r="CD2752" s="4"/>
      <c r="CE2752" s="4"/>
      <c r="CF2752" s="4"/>
      <c r="CG2752" s="4"/>
      <c r="CH2752" s="4"/>
      <c r="CI2752" s="4"/>
      <c r="CJ2752" s="4"/>
      <c r="CK2752" s="4"/>
      <c r="CL2752" s="4"/>
      <c r="CM2752" s="4"/>
      <c r="CN2752" s="4"/>
      <c r="CO2752" s="4"/>
      <c r="CP2752" s="4"/>
      <c r="CQ2752" s="4"/>
      <c r="CR2752" s="4"/>
      <c r="CS2752" s="4"/>
      <c r="CT2752" s="4"/>
      <c r="CU2752" s="4"/>
      <c r="CV2752" s="4"/>
      <c r="CW2752" s="4"/>
      <c r="CX2752" s="4"/>
      <c r="CY2752" s="4"/>
      <c r="CZ2752" s="4"/>
      <c r="DA2752" s="4"/>
      <c r="DB2752" s="4"/>
      <c r="DC2752" s="4"/>
      <c r="DD2752" s="4"/>
      <c r="DE2752" s="4"/>
      <c r="DF2752" s="4"/>
      <c r="DG2752" s="4"/>
      <c r="DH2752" s="4"/>
      <c r="DI2752" s="4"/>
      <c r="DJ2752" s="4"/>
      <c r="DK2752" s="4"/>
      <c r="DL2752" s="4"/>
      <c r="DM2752" s="4"/>
      <c r="DN2752" s="4"/>
      <c r="DO2752" s="4"/>
      <c r="DP2752" s="4"/>
      <c r="DQ2752" s="4"/>
      <c r="DR2752" s="4"/>
      <c r="DS2752" s="4"/>
    </row>
    <row r="2753">
      <c r="A2753" s="4"/>
      <c r="B2753" s="4"/>
      <c r="C2753" s="4"/>
      <c r="D2753" s="4"/>
      <c r="E2753" s="4"/>
      <c r="F2753" s="4" t="s">
        <v>17</v>
      </c>
      <c r="G2753" s="15"/>
      <c r="H2753" s="4"/>
      <c r="I2753" s="4"/>
      <c r="J2753" s="4"/>
      <c r="K2753" s="4"/>
      <c r="L2753" s="4"/>
      <c r="M2753" s="4"/>
      <c r="N2753" s="4"/>
      <c r="O2753" s="4"/>
      <c r="P2753" s="4"/>
      <c r="Q2753" s="4"/>
      <c r="R2753" s="4"/>
      <c r="S2753" s="4"/>
      <c r="T2753" s="4"/>
      <c r="U2753" s="4"/>
      <c r="V2753" s="4"/>
      <c r="W2753" s="4"/>
      <c r="X2753" s="4"/>
      <c r="Y2753" s="4"/>
      <c r="Z2753" s="4"/>
      <c r="AA2753" s="4"/>
      <c r="AB2753" s="4"/>
      <c r="AC2753" s="4"/>
      <c r="AD2753" s="4"/>
      <c r="AE2753" s="4"/>
      <c r="AF2753" s="4"/>
      <c r="AG2753" s="4"/>
      <c r="AH2753" s="4"/>
      <c r="AI2753" s="4"/>
      <c r="AJ2753" s="4"/>
      <c r="AK2753" s="4"/>
      <c r="AL2753" s="4"/>
      <c r="AM2753" s="4"/>
      <c r="AN2753" s="4"/>
      <c r="AO2753" s="4"/>
      <c r="AP2753" s="4"/>
      <c r="AQ2753" s="4"/>
      <c r="AR2753" s="4"/>
      <c r="AS2753" s="4"/>
      <c r="AT2753" s="4"/>
      <c r="AU2753" s="4"/>
      <c r="AV2753" s="4"/>
      <c r="AW2753" s="4"/>
      <c r="AX2753" s="4"/>
      <c r="AY2753" s="4"/>
      <c r="AZ2753" s="4"/>
      <c r="BA2753" s="4"/>
      <c r="BB2753" s="4"/>
      <c r="BC2753" s="4"/>
      <c r="BD2753" s="4"/>
      <c r="BE2753" s="4"/>
      <c r="BF2753" s="4"/>
      <c r="BG2753" s="4"/>
      <c r="BH2753" s="4"/>
      <c r="BI2753" s="4"/>
      <c r="BJ2753" s="4"/>
      <c r="BK2753" s="4"/>
      <c r="BL2753" s="4"/>
      <c r="BM2753" s="4"/>
      <c r="BN2753" s="4"/>
      <c r="BO2753" s="4"/>
      <c r="BP2753" s="4"/>
      <c r="BQ2753" s="4"/>
      <c r="BR2753" s="4"/>
      <c r="BS2753" s="4"/>
      <c r="BT2753" s="4"/>
      <c r="BU2753" s="4"/>
      <c r="BV2753" s="4"/>
      <c r="BW2753" s="4"/>
      <c r="BX2753" s="4"/>
      <c r="BY2753" s="4"/>
      <c r="BZ2753" s="4"/>
      <c r="CA2753" s="4"/>
      <c r="CB2753" s="4"/>
      <c r="CC2753" s="4"/>
      <c r="CD2753" s="4"/>
      <c r="CE2753" s="4"/>
      <c r="CF2753" s="4"/>
      <c r="CG2753" s="4"/>
      <c r="CH2753" s="4"/>
      <c r="CI2753" s="4"/>
      <c r="CJ2753" s="4"/>
      <c r="CK2753" s="4"/>
      <c r="CL2753" s="4"/>
      <c r="CM2753" s="4"/>
      <c r="CN2753" s="4"/>
      <c r="CO2753" s="4"/>
      <c r="CP2753" s="4"/>
      <c r="CQ2753" s="4"/>
      <c r="CR2753" s="4"/>
      <c r="CS2753" s="4"/>
      <c r="CT2753" s="4"/>
      <c r="CU2753" s="4"/>
      <c r="CV2753" s="4"/>
      <c r="CW2753" s="4"/>
      <c r="CX2753" s="4"/>
      <c r="CY2753" s="4"/>
      <c r="CZ2753" s="4"/>
      <c r="DA2753" s="4"/>
      <c r="DB2753" s="4"/>
      <c r="DC2753" s="4"/>
      <c r="DD2753" s="4"/>
      <c r="DE2753" s="4"/>
      <c r="DF2753" s="4"/>
      <c r="DG2753" s="4"/>
      <c r="DH2753" s="4"/>
      <c r="DI2753" s="4"/>
      <c r="DJ2753" s="4"/>
      <c r="DK2753" s="4"/>
      <c r="DL2753" s="4"/>
      <c r="DM2753" s="4"/>
      <c r="DN2753" s="4"/>
      <c r="DO2753" s="4"/>
      <c r="DP2753" s="4"/>
      <c r="DQ2753" s="4"/>
      <c r="DR2753" s="4"/>
      <c r="DS2753" s="4"/>
    </row>
    <row r="2754">
      <c r="A2754" s="4"/>
      <c r="B2754" s="4"/>
      <c r="C2754" s="4"/>
      <c r="D2754" s="4"/>
      <c r="E2754" s="4"/>
      <c r="F2754" s="4" t="s">
        <v>17</v>
      </c>
      <c r="G2754" s="15"/>
      <c r="H2754" s="4"/>
      <c r="I2754" s="4"/>
      <c r="J2754" s="4"/>
      <c r="K2754" s="4"/>
      <c r="L2754" s="4"/>
      <c r="M2754" s="4"/>
      <c r="N2754" s="4"/>
      <c r="O2754" s="4"/>
      <c r="P2754" s="4"/>
      <c r="Q2754" s="4"/>
      <c r="R2754" s="4"/>
      <c r="S2754" s="4"/>
      <c r="T2754" s="4"/>
      <c r="U2754" s="4"/>
      <c r="V2754" s="4"/>
      <c r="W2754" s="4"/>
      <c r="X2754" s="4"/>
      <c r="Y2754" s="4"/>
      <c r="Z2754" s="4"/>
      <c r="AA2754" s="4"/>
      <c r="AB2754" s="4"/>
      <c r="AC2754" s="4"/>
      <c r="AD2754" s="4"/>
      <c r="AE2754" s="4"/>
      <c r="AF2754" s="4"/>
      <c r="AG2754" s="4"/>
      <c r="AH2754" s="4"/>
      <c r="AI2754" s="4"/>
      <c r="AJ2754" s="4"/>
      <c r="AK2754" s="4"/>
      <c r="AL2754" s="4"/>
      <c r="AM2754" s="4"/>
      <c r="AN2754" s="4"/>
      <c r="AO2754" s="4"/>
      <c r="AP2754" s="4"/>
      <c r="AQ2754" s="4"/>
      <c r="AR2754" s="4"/>
      <c r="AS2754" s="4"/>
      <c r="AT2754" s="4"/>
      <c r="AU2754" s="4"/>
      <c r="AV2754" s="4"/>
      <c r="AW2754" s="4"/>
      <c r="AX2754" s="4"/>
      <c r="AY2754" s="4"/>
      <c r="AZ2754" s="4"/>
      <c r="BA2754" s="4"/>
      <c r="BB2754" s="4"/>
      <c r="BC2754" s="4"/>
      <c r="BD2754" s="4"/>
      <c r="BE2754" s="4"/>
      <c r="BF2754" s="4"/>
      <c r="BG2754" s="4"/>
      <c r="BH2754" s="4"/>
      <c r="BI2754" s="4"/>
      <c r="BJ2754" s="4"/>
      <c r="BK2754" s="4"/>
      <c r="BL2754" s="4"/>
      <c r="BM2754" s="4"/>
      <c r="BN2754" s="4"/>
      <c r="BO2754" s="4"/>
      <c r="BP2754" s="4"/>
      <c r="BQ2754" s="4"/>
      <c r="BR2754" s="4"/>
      <c r="BS2754" s="4"/>
      <c r="BT2754" s="4"/>
      <c r="BU2754" s="4"/>
      <c r="BV2754" s="4"/>
      <c r="BW2754" s="4"/>
      <c r="BX2754" s="4"/>
      <c r="BY2754" s="4"/>
      <c r="BZ2754" s="4"/>
      <c r="CA2754" s="4"/>
      <c r="CB2754" s="4"/>
      <c r="CC2754" s="4"/>
      <c r="CD2754" s="4"/>
      <c r="CE2754" s="4"/>
      <c r="CF2754" s="4"/>
      <c r="CG2754" s="4"/>
      <c r="CH2754" s="4"/>
      <c r="CI2754" s="4"/>
      <c r="CJ2754" s="4"/>
      <c r="CK2754" s="4"/>
      <c r="CL2754" s="4"/>
      <c r="CM2754" s="4"/>
      <c r="CN2754" s="4"/>
      <c r="CO2754" s="4"/>
      <c r="CP2754" s="4"/>
      <c r="CQ2754" s="4"/>
      <c r="CR2754" s="4"/>
      <c r="CS2754" s="4"/>
      <c r="CT2754" s="4"/>
      <c r="CU2754" s="4"/>
      <c r="CV2754" s="4"/>
      <c r="CW2754" s="4"/>
      <c r="CX2754" s="4"/>
      <c r="CY2754" s="4"/>
      <c r="CZ2754" s="4"/>
      <c r="DA2754" s="4"/>
      <c r="DB2754" s="4"/>
      <c r="DC2754" s="4"/>
      <c r="DD2754" s="4"/>
      <c r="DE2754" s="4"/>
      <c r="DF2754" s="4"/>
      <c r="DG2754" s="4"/>
      <c r="DH2754" s="4"/>
      <c r="DI2754" s="4"/>
      <c r="DJ2754" s="4"/>
      <c r="DK2754" s="4"/>
      <c r="DL2754" s="4"/>
      <c r="DM2754" s="4"/>
      <c r="DN2754" s="4"/>
      <c r="DO2754" s="4"/>
      <c r="DP2754" s="4"/>
      <c r="DQ2754" s="4"/>
      <c r="DR2754" s="4"/>
      <c r="DS2754" s="4"/>
    </row>
    <row r="2755">
      <c r="A2755" s="4"/>
      <c r="B2755" s="4"/>
      <c r="C2755" s="4"/>
      <c r="D2755" s="4"/>
      <c r="E2755" s="4"/>
      <c r="F2755" s="4" t="s">
        <v>17</v>
      </c>
      <c r="G2755" s="15"/>
      <c r="H2755" s="4"/>
      <c r="I2755" s="4"/>
      <c r="J2755" s="4"/>
      <c r="K2755" s="4"/>
      <c r="L2755" s="4"/>
      <c r="M2755" s="4"/>
      <c r="N2755" s="4"/>
      <c r="O2755" s="4"/>
      <c r="P2755" s="4"/>
      <c r="Q2755" s="4"/>
      <c r="R2755" s="4"/>
      <c r="S2755" s="4"/>
      <c r="T2755" s="4"/>
      <c r="U2755" s="4"/>
      <c r="V2755" s="4"/>
      <c r="W2755" s="4"/>
      <c r="X2755" s="4"/>
      <c r="Y2755" s="4"/>
      <c r="Z2755" s="4"/>
      <c r="AA2755" s="4"/>
      <c r="AB2755" s="4"/>
      <c r="AC2755" s="4"/>
      <c r="AD2755" s="4"/>
      <c r="AE2755" s="4"/>
      <c r="AF2755" s="4"/>
      <c r="AG2755" s="4"/>
      <c r="AH2755" s="4"/>
      <c r="AI2755" s="4"/>
      <c r="AJ2755" s="4"/>
      <c r="AK2755" s="4"/>
      <c r="AL2755" s="4"/>
      <c r="AM2755" s="4"/>
      <c r="AN2755" s="4"/>
      <c r="AO2755" s="4"/>
      <c r="AP2755" s="4"/>
      <c r="AQ2755" s="4"/>
      <c r="AR2755" s="4"/>
      <c r="AS2755" s="4"/>
      <c r="AT2755" s="4"/>
      <c r="AU2755" s="4"/>
      <c r="AV2755" s="4"/>
      <c r="AW2755" s="4"/>
      <c r="AX2755" s="4"/>
      <c r="AY2755" s="4"/>
      <c r="AZ2755" s="4"/>
      <c r="BA2755" s="4"/>
      <c r="BB2755" s="4"/>
      <c r="BC2755" s="4"/>
      <c r="BD2755" s="4"/>
      <c r="BE2755" s="4"/>
      <c r="BF2755" s="4"/>
      <c r="BG2755" s="4"/>
      <c r="BH2755" s="4"/>
      <c r="BI2755" s="4"/>
      <c r="BJ2755" s="4"/>
      <c r="BK2755" s="4"/>
      <c r="BL2755" s="4"/>
      <c r="BM2755" s="4"/>
      <c r="BN2755" s="4"/>
      <c r="BO2755" s="4"/>
      <c r="BP2755" s="4"/>
      <c r="BQ2755" s="4"/>
      <c r="BR2755" s="4"/>
      <c r="BS2755" s="4"/>
      <c r="BT2755" s="4"/>
      <c r="BU2755" s="4"/>
      <c r="BV2755" s="4"/>
      <c r="BW2755" s="4"/>
      <c r="BX2755" s="4"/>
      <c r="BY2755" s="4"/>
      <c r="BZ2755" s="4"/>
      <c r="CA2755" s="4"/>
      <c r="CB2755" s="4"/>
      <c r="CC2755" s="4"/>
      <c r="CD2755" s="4"/>
      <c r="CE2755" s="4"/>
      <c r="CF2755" s="4"/>
      <c r="CG2755" s="4"/>
      <c r="CH2755" s="4"/>
      <c r="CI2755" s="4"/>
      <c r="CJ2755" s="4"/>
      <c r="CK2755" s="4"/>
      <c r="CL2755" s="4"/>
      <c r="CM2755" s="4"/>
      <c r="CN2755" s="4"/>
      <c r="CO2755" s="4"/>
      <c r="CP2755" s="4"/>
      <c r="CQ2755" s="4"/>
      <c r="CR2755" s="4"/>
      <c r="CS2755" s="4"/>
      <c r="CT2755" s="4"/>
      <c r="CU2755" s="4"/>
      <c r="CV2755" s="4"/>
      <c r="CW2755" s="4"/>
      <c r="CX2755" s="4"/>
      <c r="CY2755" s="4"/>
      <c r="CZ2755" s="4"/>
      <c r="DA2755" s="4"/>
      <c r="DB2755" s="4"/>
      <c r="DC2755" s="4"/>
      <c r="DD2755" s="4"/>
      <c r="DE2755" s="4"/>
      <c r="DF2755" s="4"/>
      <c r="DG2755" s="4"/>
      <c r="DH2755" s="4"/>
      <c r="DI2755" s="4"/>
      <c r="DJ2755" s="4"/>
      <c r="DK2755" s="4"/>
      <c r="DL2755" s="4"/>
      <c r="DM2755" s="4"/>
      <c r="DN2755" s="4"/>
      <c r="DO2755" s="4"/>
      <c r="DP2755" s="4"/>
      <c r="DQ2755" s="4"/>
      <c r="DR2755" s="4"/>
      <c r="DS2755" s="4"/>
    </row>
    <row r="2756">
      <c r="A2756" s="4"/>
      <c r="B2756" s="4"/>
      <c r="C2756" s="4"/>
      <c r="D2756" s="4"/>
      <c r="E2756" s="4"/>
      <c r="F2756" s="4" t="s">
        <v>17</v>
      </c>
      <c r="G2756" s="15"/>
      <c r="H2756" s="4"/>
      <c r="I2756" s="4"/>
      <c r="J2756" s="4"/>
      <c r="K2756" s="4"/>
      <c r="L2756" s="4"/>
      <c r="M2756" s="4"/>
      <c r="N2756" s="4"/>
      <c r="O2756" s="4"/>
      <c r="P2756" s="4"/>
      <c r="Q2756" s="4"/>
      <c r="R2756" s="4"/>
      <c r="S2756" s="4"/>
      <c r="T2756" s="4"/>
      <c r="U2756" s="4"/>
      <c r="V2756" s="4"/>
      <c r="W2756" s="4"/>
      <c r="X2756" s="4"/>
      <c r="Y2756" s="4"/>
      <c r="Z2756" s="4"/>
      <c r="AA2756" s="4"/>
      <c r="AB2756" s="4"/>
      <c r="AC2756" s="4"/>
      <c r="AD2756" s="4"/>
      <c r="AE2756" s="4"/>
      <c r="AF2756" s="4"/>
      <c r="AG2756" s="4"/>
      <c r="AH2756" s="4"/>
      <c r="AI2756" s="4"/>
      <c r="AJ2756" s="4"/>
      <c r="AK2756" s="4"/>
      <c r="AL2756" s="4"/>
      <c r="AM2756" s="4"/>
      <c r="AN2756" s="4"/>
      <c r="AO2756" s="4"/>
      <c r="AP2756" s="4"/>
      <c r="AQ2756" s="4"/>
      <c r="AR2756" s="4"/>
      <c r="AS2756" s="4"/>
      <c r="AT2756" s="4"/>
      <c r="AU2756" s="4"/>
      <c r="AV2756" s="4"/>
      <c r="AW2756" s="4"/>
      <c r="AX2756" s="4"/>
      <c r="AY2756" s="4"/>
      <c r="AZ2756" s="4"/>
      <c r="BA2756" s="4"/>
      <c r="BB2756" s="4"/>
      <c r="BC2756" s="4"/>
      <c r="BD2756" s="4"/>
      <c r="BE2756" s="4"/>
      <c r="BF2756" s="4"/>
      <c r="BG2756" s="4"/>
      <c r="BH2756" s="4"/>
      <c r="BI2756" s="4"/>
      <c r="BJ2756" s="4"/>
      <c r="BK2756" s="4"/>
      <c r="BL2756" s="4"/>
      <c r="BM2756" s="4"/>
      <c r="BN2756" s="4"/>
      <c r="BO2756" s="4"/>
      <c r="BP2756" s="4"/>
      <c r="BQ2756" s="4"/>
      <c r="BR2756" s="4"/>
      <c r="BS2756" s="4"/>
      <c r="BT2756" s="4"/>
      <c r="BU2756" s="4"/>
      <c r="BV2756" s="4"/>
      <c r="BW2756" s="4"/>
      <c r="BX2756" s="4"/>
      <c r="BY2756" s="4"/>
      <c r="BZ2756" s="4"/>
      <c r="CA2756" s="4"/>
      <c r="CB2756" s="4"/>
      <c r="CC2756" s="4"/>
      <c r="CD2756" s="4"/>
      <c r="CE2756" s="4"/>
      <c r="CF2756" s="4"/>
      <c r="CG2756" s="4"/>
      <c r="CH2756" s="4"/>
      <c r="CI2756" s="4"/>
      <c r="CJ2756" s="4"/>
      <c r="CK2756" s="4"/>
      <c r="CL2756" s="4"/>
      <c r="CM2756" s="4"/>
      <c r="CN2756" s="4"/>
      <c r="CO2756" s="4"/>
      <c r="CP2756" s="4"/>
      <c r="CQ2756" s="4"/>
      <c r="CR2756" s="4"/>
      <c r="CS2756" s="4"/>
      <c r="CT2756" s="4"/>
      <c r="CU2756" s="4"/>
      <c r="CV2756" s="4"/>
      <c r="CW2756" s="4"/>
      <c r="CX2756" s="4"/>
      <c r="CY2756" s="4"/>
      <c r="CZ2756" s="4"/>
      <c r="DA2756" s="4"/>
      <c r="DB2756" s="4"/>
      <c r="DC2756" s="4"/>
      <c r="DD2756" s="4"/>
      <c r="DE2756" s="4"/>
      <c r="DF2756" s="4"/>
      <c r="DG2756" s="4"/>
      <c r="DH2756" s="4"/>
      <c r="DI2756" s="4"/>
      <c r="DJ2756" s="4"/>
      <c r="DK2756" s="4"/>
      <c r="DL2756" s="4"/>
      <c r="DM2756" s="4"/>
      <c r="DN2756" s="4"/>
      <c r="DO2756" s="4"/>
      <c r="DP2756" s="4"/>
      <c r="DQ2756" s="4"/>
      <c r="DR2756" s="4"/>
      <c r="DS2756" s="4"/>
    </row>
    <row r="2757">
      <c r="A2757" s="4"/>
      <c r="B2757" s="4"/>
      <c r="C2757" s="4"/>
      <c r="D2757" s="4"/>
      <c r="E2757" s="4"/>
      <c r="F2757" s="4" t="s">
        <v>17</v>
      </c>
      <c r="G2757" s="15"/>
      <c r="H2757" s="4"/>
      <c r="I2757" s="4"/>
      <c r="J2757" s="4"/>
      <c r="K2757" s="4"/>
      <c r="L2757" s="4"/>
      <c r="M2757" s="4"/>
      <c r="N2757" s="4"/>
      <c r="O2757" s="4"/>
      <c r="P2757" s="4"/>
      <c r="Q2757" s="4"/>
      <c r="R2757" s="4"/>
      <c r="S2757" s="4"/>
      <c r="T2757" s="4"/>
      <c r="U2757" s="4"/>
      <c r="V2757" s="4"/>
      <c r="W2757" s="4"/>
      <c r="X2757" s="4"/>
      <c r="Y2757" s="4"/>
      <c r="Z2757" s="4"/>
      <c r="AA2757" s="4"/>
      <c r="AB2757" s="4"/>
      <c r="AC2757" s="4"/>
      <c r="AD2757" s="4"/>
      <c r="AE2757" s="4"/>
      <c r="AF2757" s="4"/>
      <c r="AG2757" s="4"/>
      <c r="AH2757" s="4"/>
      <c r="AI2757" s="4"/>
      <c r="AJ2757" s="4"/>
      <c r="AK2757" s="4"/>
      <c r="AL2757" s="4"/>
      <c r="AM2757" s="4"/>
      <c r="AN2757" s="4"/>
      <c r="AO2757" s="4"/>
      <c r="AP2757" s="4"/>
      <c r="AQ2757" s="4"/>
      <c r="AR2757" s="4"/>
      <c r="AS2757" s="4"/>
      <c r="AT2757" s="4"/>
      <c r="AU2757" s="4"/>
      <c r="AV2757" s="4"/>
      <c r="AW2757" s="4"/>
      <c r="AX2757" s="4"/>
      <c r="AY2757" s="4"/>
      <c r="AZ2757" s="4"/>
      <c r="BA2757" s="4"/>
      <c r="BB2757" s="4"/>
      <c r="BC2757" s="4"/>
      <c r="BD2757" s="4"/>
      <c r="BE2757" s="4"/>
      <c r="BF2757" s="4"/>
      <c r="BG2757" s="4"/>
      <c r="BH2757" s="4"/>
      <c r="BI2757" s="4"/>
      <c r="BJ2757" s="4"/>
      <c r="BK2757" s="4"/>
      <c r="BL2757" s="4"/>
      <c r="BM2757" s="4"/>
      <c r="BN2757" s="4"/>
      <c r="BO2757" s="4"/>
      <c r="BP2757" s="4"/>
      <c r="BQ2757" s="4"/>
      <c r="BR2757" s="4"/>
      <c r="BS2757" s="4"/>
      <c r="BT2757" s="4"/>
      <c r="BU2757" s="4"/>
      <c r="BV2757" s="4"/>
      <c r="BW2757" s="4"/>
      <c r="BX2757" s="4"/>
      <c r="BY2757" s="4"/>
      <c r="BZ2757" s="4"/>
      <c r="CA2757" s="4"/>
      <c r="CB2757" s="4"/>
      <c r="CC2757" s="4"/>
      <c r="CD2757" s="4"/>
      <c r="CE2757" s="4"/>
      <c r="CF2757" s="4"/>
      <c r="CG2757" s="4"/>
      <c r="CH2757" s="4"/>
      <c r="CI2757" s="4"/>
      <c r="CJ2757" s="4"/>
      <c r="CK2757" s="4"/>
      <c r="CL2757" s="4"/>
      <c r="CM2757" s="4"/>
      <c r="CN2757" s="4"/>
      <c r="CO2757" s="4"/>
      <c r="CP2757" s="4"/>
      <c r="CQ2757" s="4"/>
      <c r="CR2757" s="4"/>
      <c r="CS2757" s="4"/>
      <c r="CT2757" s="4"/>
      <c r="CU2757" s="4"/>
      <c r="CV2757" s="4"/>
      <c r="CW2757" s="4"/>
      <c r="CX2757" s="4"/>
      <c r="CY2757" s="4"/>
      <c r="CZ2757" s="4"/>
      <c r="DA2757" s="4"/>
      <c r="DB2757" s="4"/>
      <c r="DC2757" s="4"/>
      <c r="DD2757" s="4"/>
      <c r="DE2757" s="4"/>
      <c r="DF2757" s="4"/>
      <c r="DG2757" s="4"/>
      <c r="DH2757" s="4"/>
      <c r="DI2757" s="4"/>
      <c r="DJ2757" s="4"/>
      <c r="DK2757" s="4"/>
      <c r="DL2757" s="4"/>
      <c r="DM2757" s="4"/>
      <c r="DN2757" s="4"/>
      <c r="DO2757" s="4"/>
      <c r="DP2757" s="4"/>
      <c r="DQ2757" s="4"/>
      <c r="DR2757" s="4"/>
      <c r="DS2757" s="4"/>
    </row>
    <row r="2758">
      <c r="A2758" s="4"/>
      <c r="B2758" s="4"/>
      <c r="C2758" s="4"/>
      <c r="D2758" s="4"/>
      <c r="E2758" s="4"/>
      <c r="F2758" s="4" t="s">
        <v>17</v>
      </c>
      <c r="G2758" s="15"/>
      <c r="H2758" s="4"/>
      <c r="I2758" s="4"/>
      <c r="J2758" s="4"/>
      <c r="K2758" s="4"/>
      <c r="L2758" s="4"/>
      <c r="M2758" s="4"/>
      <c r="N2758" s="4"/>
      <c r="O2758" s="4"/>
      <c r="P2758" s="4"/>
      <c r="Q2758" s="4"/>
      <c r="R2758" s="4"/>
      <c r="S2758" s="4"/>
      <c r="T2758" s="4"/>
      <c r="U2758" s="4"/>
      <c r="V2758" s="4"/>
      <c r="W2758" s="4"/>
      <c r="X2758" s="4"/>
      <c r="Y2758" s="4"/>
      <c r="Z2758" s="4"/>
      <c r="AA2758" s="4"/>
      <c r="AB2758" s="4"/>
      <c r="AC2758" s="4"/>
      <c r="AD2758" s="4"/>
      <c r="AE2758" s="4"/>
      <c r="AF2758" s="4"/>
      <c r="AG2758" s="4"/>
      <c r="AH2758" s="4"/>
      <c r="AI2758" s="4"/>
      <c r="AJ2758" s="4"/>
      <c r="AK2758" s="4"/>
      <c r="AL2758" s="4"/>
      <c r="AM2758" s="4"/>
      <c r="AN2758" s="4"/>
      <c r="AO2758" s="4"/>
      <c r="AP2758" s="4"/>
      <c r="AQ2758" s="4"/>
      <c r="AR2758" s="4"/>
      <c r="AS2758" s="4"/>
      <c r="AT2758" s="4"/>
      <c r="AU2758" s="4"/>
      <c r="AV2758" s="4"/>
      <c r="AW2758" s="4"/>
      <c r="AX2758" s="4"/>
      <c r="AY2758" s="4"/>
      <c r="AZ2758" s="4"/>
      <c r="BA2758" s="4"/>
      <c r="BB2758" s="4"/>
      <c r="BC2758" s="4"/>
      <c r="BD2758" s="4"/>
      <c r="BE2758" s="4"/>
      <c r="BF2758" s="4"/>
      <c r="BG2758" s="4"/>
      <c r="BH2758" s="4"/>
      <c r="BI2758" s="4"/>
      <c r="BJ2758" s="4"/>
      <c r="BK2758" s="4"/>
      <c r="BL2758" s="4"/>
      <c r="BM2758" s="4"/>
      <c r="BN2758" s="4"/>
      <c r="BO2758" s="4"/>
      <c r="BP2758" s="4"/>
      <c r="BQ2758" s="4"/>
      <c r="BR2758" s="4"/>
      <c r="BS2758" s="4"/>
      <c r="BT2758" s="4"/>
      <c r="BU2758" s="4"/>
      <c r="BV2758" s="4"/>
      <c r="BW2758" s="4"/>
      <c r="BX2758" s="4"/>
      <c r="BY2758" s="4"/>
      <c r="BZ2758" s="4"/>
      <c r="CA2758" s="4"/>
      <c r="CB2758" s="4"/>
      <c r="CC2758" s="4"/>
      <c r="CD2758" s="4"/>
      <c r="CE2758" s="4"/>
      <c r="CF2758" s="4"/>
      <c r="CG2758" s="4"/>
      <c r="CH2758" s="4"/>
      <c r="CI2758" s="4"/>
      <c r="CJ2758" s="4"/>
      <c r="CK2758" s="4"/>
      <c r="CL2758" s="4"/>
      <c r="CM2758" s="4"/>
      <c r="CN2758" s="4"/>
      <c r="CO2758" s="4"/>
      <c r="CP2758" s="4"/>
      <c r="CQ2758" s="4"/>
      <c r="CR2758" s="4"/>
      <c r="CS2758" s="4"/>
      <c r="CT2758" s="4"/>
      <c r="CU2758" s="4"/>
      <c r="CV2758" s="4"/>
      <c r="CW2758" s="4"/>
      <c r="CX2758" s="4"/>
      <c r="CY2758" s="4"/>
      <c r="CZ2758" s="4"/>
      <c r="DA2758" s="4"/>
      <c r="DB2758" s="4"/>
      <c r="DC2758" s="4"/>
      <c r="DD2758" s="4"/>
      <c r="DE2758" s="4"/>
      <c r="DF2758" s="4"/>
      <c r="DG2758" s="4"/>
      <c r="DH2758" s="4"/>
      <c r="DI2758" s="4"/>
      <c r="DJ2758" s="4"/>
      <c r="DK2758" s="4"/>
      <c r="DL2758" s="4"/>
      <c r="DM2758" s="4"/>
      <c r="DN2758" s="4"/>
      <c r="DO2758" s="4"/>
      <c r="DP2758" s="4"/>
      <c r="DQ2758" s="4"/>
      <c r="DR2758" s="4"/>
      <c r="DS2758" s="4"/>
    </row>
    <row r="2759">
      <c r="A2759" s="4"/>
      <c r="B2759" s="4"/>
      <c r="C2759" s="4"/>
      <c r="D2759" s="4"/>
      <c r="E2759" s="4"/>
      <c r="F2759" s="4" t="s">
        <v>17</v>
      </c>
      <c r="G2759" s="15"/>
      <c r="H2759" s="4"/>
      <c r="I2759" s="4"/>
      <c r="J2759" s="4"/>
      <c r="K2759" s="4"/>
      <c r="L2759" s="4"/>
      <c r="M2759" s="4"/>
      <c r="N2759" s="4"/>
      <c r="O2759" s="4"/>
      <c r="P2759" s="4"/>
      <c r="Q2759" s="4"/>
      <c r="R2759" s="4"/>
      <c r="S2759" s="4"/>
      <c r="T2759" s="4"/>
      <c r="U2759" s="4"/>
      <c r="V2759" s="4"/>
      <c r="W2759" s="4"/>
      <c r="X2759" s="4"/>
      <c r="Y2759" s="4"/>
      <c r="Z2759" s="4"/>
      <c r="AA2759" s="4"/>
      <c r="AB2759" s="4"/>
      <c r="AC2759" s="4"/>
      <c r="AD2759" s="4"/>
      <c r="AE2759" s="4"/>
      <c r="AF2759" s="4"/>
      <c r="AG2759" s="4"/>
      <c r="AH2759" s="4"/>
      <c r="AI2759" s="4"/>
      <c r="AJ2759" s="4"/>
      <c r="AK2759" s="4"/>
      <c r="AL2759" s="4"/>
      <c r="AM2759" s="4"/>
      <c r="AN2759" s="4"/>
      <c r="AO2759" s="4"/>
      <c r="AP2759" s="4"/>
      <c r="AQ2759" s="4"/>
      <c r="AR2759" s="4"/>
      <c r="AS2759" s="4"/>
      <c r="AT2759" s="4"/>
      <c r="AU2759" s="4"/>
      <c r="AV2759" s="4"/>
      <c r="AW2759" s="4"/>
      <c r="AX2759" s="4"/>
      <c r="AY2759" s="4"/>
      <c r="AZ2759" s="4"/>
      <c r="BA2759" s="4"/>
      <c r="BB2759" s="4"/>
      <c r="BC2759" s="4"/>
      <c r="BD2759" s="4"/>
      <c r="BE2759" s="4"/>
      <c r="BF2759" s="4"/>
      <c r="BG2759" s="4"/>
      <c r="BH2759" s="4"/>
      <c r="BI2759" s="4"/>
      <c r="BJ2759" s="4"/>
      <c r="BK2759" s="4"/>
      <c r="BL2759" s="4"/>
      <c r="BM2759" s="4"/>
      <c r="BN2759" s="4"/>
      <c r="BO2759" s="4"/>
      <c r="BP2759" s="4"/>
      <c r="BQ2759" s="4"/>
      <c r="BR2759" s="4"/>
      <c r="BS2759" s="4"/>
      <c r="BT2759" s="4"/>
      <c r="BU2759" s="4"/>
      <c r="BV2759" s="4"/>
      <c r="BW2759" s="4"/>
      <c r="BX2759" s="4"/>
      <c r="BY2759" s="4"/>
      <c r="BZ2759" s="4"/>
      <c r="CA2759" s="4"/>
      <c r="CB2759" s="4"/>
      <c r="CC2759" s="4"/>
      <c r="CD2759" s="4"/>
      <c r="CE2759" s="4"/>
      <c r="CF2759" s="4"/>
      <c r="CG2759" s="4"/>
      <c r="CH2759" s="4"/>
      <c r="CI2759" s="4"/>
      <c r="CJ2759" s="4"/>
      <c r="CK2759" s="4"/>
      <c r="CL2759" s="4"/>
      <c r="CM2759" s="4"/>
      <c r="CN2759" s="4"/>
      <c r="CO2759" s="4"/>
      <c r="CP2759" s="4"/>
      <c r="CQ2759" s="4"/>
      <c r="CR2759" s="4"/>
      <c r="CS2759" s="4"/>
      <c r="CT2759" s="4"/>
      <c r="CU2759" s="4"/>
      <c r="CV2759" s="4"/>
      <c r="CW2759" s="4"/>
      <c r="CX2759" s="4"/>
      <c r="CY2759" s="4"/>
      <c r="CZ2759" s="4"/>
      <c r="DA2759" s="4"/>
      <c r="DB2759" s="4"/>
      <c r="DC2759" s="4"/>
      <c r="DD2759" s="4"/>
      <c r="DE2759" s="4"/>
      <c r="DF2759" s="4"/>
      <c r="DG2759" s="4"/>
      <c r="DH2759" s="4"/>
      <c r="DI2759" s="4"/>
      <c r="DJ2759" s="4"/>
      <c r="DK2759" s="4"/>
      <c r="DL2759" s="4"/>
      <c r="DM2759" s="4"/>
      <c r="DN2759" s="4"/>
      <c r="DO2759" s="4"/>
      <c r="DP2759" s="4"/>
      <c r="DQ2759" s="4"/>
      <c r="DR2759" s="4"/>
      <c r="DS2759" s="4"/>
    </row>
    <row r="2760">
      <c r="A2760" s="4"/>
      <c r="B2760" s="4"/>
      <c r="C2760" s="4"/>
      <c r="D2760" s="4"/>
      <c r="E2760" s="4"/>
      <c r="F2760" s="4" t="s">
        <v>17</v>
      </c>
      <c r="G2760" s="15"/>
      <c r="H2760" s="4"/>
      <c r="I2760" s="4"/>
      <c r="J2760" s="4"/>
      <c r="K2760" s="4"/>
      <c r="L2760" s="4"/>
      <c r="M2760" s="4"/>
      <c r="N2760" s="4"/>
      <c r="O2760" s="4"/>
      <c r="P2760" s="4"/>
      <c r="Q2760" s="4"/>
      <c r="R2760" s="4"/>
      <c r="S2760" s="4"/>
      <c r="T2760" s="4"/>
      <c r="U2760" s="4"/>
      <c r="V2760" s="4"/>
      <c r="W2760" s="4"/>
      <c r="X2760" s="4"/>
      <c r="Y2760" s="4"/>
      <c r="Z2760" s="4"/>
      <c r="AA2760" s="4"/>
      <c r="AB2760" s="4"/>
      <c r="AC2760" s="4"/>
      <c r="AD2760" s="4"/>
      <c r="AE2760" s="4"/>
      <c r="AF2760" s="4"/>
      <c r="AG2760" s="4"/>
      <c r="AH2760" s="4"/>
      <c r="AI2760" s="4"/>
      <c r="AJ2760" s="4"/>
      <c r="AK2760" s="4"/>
      <c r="AL2760" s="4"/>
      <c r="AM2760" s="4"/>
      <c r="AN2760" s="4"/>
      <c r="AO2760" s="4"/>
      <c r="AP2760" s="4"/>
      <c r="AQ2760" s="4"/>
      <c r="AR2760" s="4"/>
      <c r="AS2760" s="4"/>
      <c r="AT2760" s="4"/>
      <c r="AU2760" s="4"/>
      <c r="AV2760" s="4"/>
      <c r="AW2760" s="4"/>
      <c r="AX2760" s="4"/>
      <c r="AY2760" s="4"/>
      <c r="AZ2760" s="4"/>
      <c r="BA2760" s="4"/>
      <c r="BB2760" s="4"/>
      <c r="BC2760" s="4"/>
      <c r="BD2760" s="4"/>
      <c r="BE2760" s="4"/>
      <c r="BF2760" s="4"/>
      <c r="BG2760" s="4"/>
      <c r="BH2760" s="4"/>
      <c r="BI2760" s="4"/>
      <c r="BJ2760" s="4"/>
      <c r="BK2760" s="4"/>
      <c r="BL2760" s="4"/>
      <c r="BM2760" s="4"/>
      <c r="BN2760" s="4"/>
      <c r="BO2760" s="4"/>
      <c r="BP2760" s="4"/>
      <c r="BQ2760" s="4"/>
      <c r="BR2760" s="4"/>
      <c r="BS2760" s="4"/>
      <c r="BT2760" s="4"/>
      <c r="BU2760" s="4"/>
      <c r="BV2760" s="4"/>
      <c r="BW2760" s="4"/>
      <c r="BX2760" s="4"/>
      <c r="BY2760" s="4"/>
      <c r="BZ2760" s="4"/>
      <c r="CA2760" s="4"/>
      <c r="CB2760" s="4"/>
      <c r="CC2760" s="4"/>
      <c r="CD2760" s="4"/>
      <c r="CE2760" s="4"/>
      <c r="CF2760" s="4"/>
      <c r="CG2760" s="4"/>
      <c r="CH2760" s="4"/>
      <c r="CI2760" s="4"/>
      <c r="CJ2760" s="4"/>
      <c r="CK2760" s="4"/>
      <c r="CL2760" s="4"/>
      <c r="CM2760" s="4"/>
      <c r="CN2760" s="4"/>
      <c r="CO2760" s="4"/>
      <c r="CP2760" s="4"/>
      <c r="CQ2760" s="4"/>
      <c r="CR2760" s="4"/>
      <c r="CS2760" s="4"/>
      <c r="CT2760" s="4"/>
      <c r="CU2760" s="4"/>
      <c r="CV2760" s="4"/>
      <c r="CW2760" s="4"/>
      <c r="CX2760" s="4"/>
      <c r="CY2760" s="4"/>
      <c r="CZ2760" s="4"/>
      <c r="DA2760" s="4"/>
      <c r="DB2760" s="4"/>
      <c r="DC2760" s="4"/>
      <c r="DD2760" s="4"/>
      <c r="DE2760" s="4"/>
      <c r="DF2760" s="4"/>
      <c r="DG2760" s="4"/>
      <c r="DH2760" s="4"/>
      <c r="DI2760" s="4"/>
      <c r="DJ2760" s="4"/>
      <c r="DK2760" s="4"/>
      <c r="DL2760" s="4"/>
      <c r="DM2760" s="4"/>
      <c r="DN2760" s="4"/>
      <c r="DO2760" s="4"/>
      <c r="DP2760" s="4"/>
      <c r="DQ2760" s="4"/>
      <c r="DR2760" s="4"/>
      <c r="DS2760" s="4"/>
    </row>
    <row r="2761">
      <c r="A2761" s="4"/>
      <c r="B2761" s="4"/>
      <c r="C2761" s="4"/>
      <c r="D2761" s="4"/>
      <c r="E2761" s="4"/>
      <c r="F2761" s="4" t="s">
        <v>17</v>
      </c>
      <c r="G2761" s="15"/>
      <c r="H2761" s="4"/>
      <c r="I2761" s="4"/>
      <c r="J2761" s="4"/>
      <c r="K2761" s="4"/>
      <c r="L2761" s="4"/>
      <c r="M2761" s="4"/>
      <c r="N2761" s="4"/>
      <c r="O2761" s="4"/>
      <c r="P2761" s="4"/>
      <c r="Q2761" s="4"/>
      <c r="R2761" s="4"/>
      <c r="S2761" s="4"/>
      <c r="T2761" s="4"/>
      <c r="U2761" s="4"/>
      <c r="V2761" s="4"/>
      <c r="W2761" s="4"/>
      <c r="X2761" s="4"/>
      <c r="Y2761" s="4"/>
      <c r="Z2761" s="4"/>
      <c r="AA2761" s="4"/>
      <c r="AB2761" s="4"/>
      <c r="AC2761" s="4"/>
      <c r="AD2761" s="4"/>
      <c r="AE2761" s="4"/>
      <c r="AF2761" s="4"/>
      <c r="AG2761" s="4"/>
      <c r="AH2761" s="4"/>
      <c r="AI2761" s="4"/>
      <c r="AJ2761" s="4"/>
      <c r="AK2761" s="4"/>
      <c r="AL2761" s="4"/>
      <c r="AM2761" s="4"/>
      <c r="AN2761" s="4"/>
      <c r="AO2761" s="4"/>
      <c r="AP2761" s="4"/>
      <c r="AQ2761" s="4"/>
      <c r="AR2761" s="4"/>
      <c r="AS2761" s="4"/>
      <c r="AT2761" s="4"/>
      <c r="AU2761" s="4"/>
      <c r="AV2761" s="4"/>
      <c r="AW2761" s="4"/>
      <c r="AX2761" s="4"/>
      <c r="AY2761" s="4"/>
      <c r="AZ2761" s="4"/>
      <c r="BA2761" s="4"/>
      <c r="BB2761" s="4"/>
      <c r="BC2761" s="4"/>
      <c r="BD2761" s="4"/>
      <c r="BE2761" s="4"/>
      <c r="BF2761" s="4"/>
      <c r="BG2761" s="4"/>
      <c r="BH2761" s="4"/>
      <c r="BI2761" s="4"/>
      <c r="BJ2761" s="4"/>
      <c r="BK2761" s="4"/>
      <c r="BL2761" s="4"/>
      <c r="BM2761" s="4"/>
      <c r="BN2761" s="4"/>
      <c r="BO2761" s="4"/>
      <c r="BP2761" s="4"/>
      <c r="BQ2761" s="4"/>
      <c r="BR2761" s="4"/>
      <c r="BS2761" s="4"/>
      <c r="BT2761" s="4"/>
      <c r="BU2761" s="4"/>
      <c r="BV2761" s="4"/>
      <c r="BW2761" s="4"/>
      <c r="BX2761" s="4"/>
      <c r="BY2761" s="4"/>
      <c r="BZ2761" s="4"/>
      <c r="CA2761" s="4"/>
      <c r="CB2761" s="4"/>
      <c r="CC2761" s="4"/>
      <c r="CD2761" s="4"/>
      <c r="CE2761" s="4"/>
      <c r="CF2761" s="4"/>
      <c r="CG2761" s="4"/>
      <c r="CH2761" s="4"/>
      <c r="CI2761" s="4"/>
      <c r="CJ2761" s="4"/>
      <c r="CK2761" s="4"/>
      <c r="CL2761" s="4"/>
      <c r="CM2761" s="4"/>
      <c r="CN2761" s="4"/>
      <c r="CO2761" s="4"/>
      <c r="CP2761" s="4"/>
      <c r="CQ2761" s="4"/>
      <c r="CR2761" s="4"/>
      <c r="CS2761" s="4"/>
      <c r="CT2761" s="4"/>
      <c r="CU2761" s="4"/>
      <c r="CV2761" s="4"/>
      <c r="CW2761" s="4"/>
      <c r="CX2761" s="4"/>
      <c r="CY2761" s="4"/>
      <c r="CZ2761" s="4"/>
      <c r="DA2761" s="4"/>
      <c r="DB2761" s="4"/>
      <c r="DC2761" s="4"/>
      <c r="DD2761" s="4"/>
      <c r="DE2761" s="4"/>
      <c r="DF2761" s="4"/>
      <c r="DG2761" s="4"/>
      <c r="DH2761" s="4"/>
      <c r="DI2761" s="4"/>
      <c r="DJ2761" s="4"/>
      <c r="DK2761" s="4"/>
      <c r="DL2761" s="4"/>
      <c r="DM2761" s="4"/>
      <c r="DN2761" s="4"/>
      <c r="DO2761" s="4"/>
      <c r="DP2761" s="4"/>
      <c r="DQ2761" s="4"/>
      <c r="DR2761" s="4"/>
      <c r="DS2761" s="4"/>
    </row>
    <row r="2762">
      <c r="A2762" s="4"/>
      <c r="B2762" s="4"/>
      <c r="C2762" s="4"/>
      <c r="D2762" s="4"/>
      <c r="E2762" s="4"/>
      <c r="F2762" s="4" t="s">
        <v>17</v>
      </c>
      <c r="G2762" s="15"/>
      <c r="H2762" s="4"/>
      <c r="I2762" s="4"/>
      <c r="J2762" s="4"/>
      <c r="K2762" s="4"/>
      <c r="L2762" s="4"/>
      <c r="M2762" s="4"/>
      <c r="N2762" s="4"/>
      <c r="O2762" s="4"/>
      <c r="P2762" s="4"/>
      <c r="Q2762" s="4"/>
      <c r="R2762" s="4"/>
      <c r="S2762" s="4"/>
      <c r="T2762" s="4"/>
      <c r="U2762" s="4"/>
      <c r="V2762" s="4"/>
      <c r="W2762" s="4"/>
      <c r="X2762" s="4"/>
      <c r="Y2762" s="4"/>
      <c r="Z2762" s="4"/>
      <c r="AA2762" s="4"/>
      <c r="AB2762" s="4"/>
      <c r="AC2762" s="4"/>
      <c r="AD2762" s="4"/>
      <c r="AE2762" s="4"/>
      <c r="AF2762" s="4"/>
      <c r="AG2762" s="4"/>
      <c r="AH2762" s="4"/>
      <c r="AI2762" s="4"/>
      <c r="AJ2762" s="4"/>
      <c r="AK2762" s="4"/>
      <c r="AL2762" s="4"/>
      <c r="AM2762" s="4"/>
      <c r="AN2762" s="4"/>
      <c r="AO2762" s="4"/>
      <c r="AP2762" s="4"/>
      <c r="AQ2762" s="4"/>
      <c r="AR2762" s="4"/>
      <c r="AS2762" s="4"/>
      <c r="AT2762" s="4"/>
      <c r="AU2762" s="4"/>
      <c r="AV2762" s="4"/>
      <c r="AW2762" s="4"/>
      <c r="AX2762" s="4"/>
      <c r="AY2762" s="4"/>
      <c r="AZ2762" s="4"/>
      <c r="BA2762" s="4"/>
      <c r="BB2762" s="4"/>
      <c r="BC2762" s="4"/>
      <c r="BD2762" s="4"/>
      <c r="BE2762" s="4"/>
      <c r="BF2762" s="4"/>
      <c r="BG2762" s="4"/>
      <c r="BH2762" s="4"/>
      <c r="BI2762" s="4"/>
      <c r="BJ2762" s="4"/>
      <c r="BK2762" s="4"/>
      <c r="BL2762" s="4"/>
      <c r="BM2762" s="4"/>
      <c r="BN2762" s="4"/>
      <c r="BO2762" s="4"/>
      <c r="BP2762" s="4"/>
      <c r="BQ2762" s="4"/>
      <c r="BR2762" s="4"/>
      <c r="BS2762" s="4"/>
      <c r="BT2762" s="4"/>
      <c r="BU2762" s="4"/>
      <c r="BV2762" s="4"/>
      <c r="BW2762" s="4"/>
      <c r="BX2762" s="4"/>
      <c r="BY2762" s="4"/>
      <c r="BZ2762" s="4"/>
      <c r="CA2762" s="4"/>
      <c r="CB2762" s="4"/>
      <c r="CC2762" s="4"/>
      <c r="CD2762" s="4"/>
      <c r="CE2762" s="4"/>
      <c r="CF2762" s="4"/>
      <c r="CG2762" s="4"/>
      <c r="CH2762" s="4"/>
      <c r="CI2762" s="4"/>
      <c r="CJ2762" s="4"/>
      <c r="CK2762" s="4"/>
      <c r="CL2762" s="4"/>
      <c r="CM2762" s="4"/>
      <c r="CN2762" s="4"/>
      <c r="CO2762" s="4"/>
      <c r="CP2762" s="4"/>
      <c r="CQ2762" s="4"/>
      <c r="CR2762" s="4"/>
      <c r="CS2762" s="4"/>
      <c r="CT2762" s="4"/>
      <c r="CU2762" s="4"/>
      <c r="CV2762" s="4"/>
      <c r="CW2762" s="4"/>
      <c r="CX2762" s="4"/>
      <c r="CY2762" s="4"/>
      <c r="CZ2762" s="4"/>
      <c r="DA2762" s="4"/>
      <c r="DB2762" s="4"/>
      <c r="DC2762" s="4"/>
      <c r="DD2762" s="4"/>
      <c r="DE2762" s="4"/>
      <c r="DF2762" s="4"/>
      <c r="DG2762" s="4"/>
      <c r="DH2762" s="4"/>
      <c r="DI2762" s="4"/>
      <c r="DJ2762" s="4"/>
      <c r="DK2762" s="4"/>
      <c r="DL2762" s="4"/>
      <c r="DM2762" s="4"/>
      <c r="DN2762" s="4"/>
      <c r="DO2762" s="4"/>
      <c r="DP2762" s="4"/>
      <c r="DQ2762" s="4"/>
      <c r="DR2762" s="4"/>
      <c r="DS2762" s="4"/>
    </row>
    <row r="2763">
      <c r="A2763" s="4"/>
      <c r="B2763" s="4"/>
      <c r="C2763" s="4"/>
      <c r="D2763" s="4"/>
      <c r="E2763" s="4"/>
      <c r="F2763" s="4" t="s">
        <v>17</v>
      </c>
      <c r="G2763" s="15"/>
      <c r="H2763" s="4"/>
      <c r="I2763" s="4"/>
      <c r="J2763" s="4"/>
      <c r="K2763" s="4"/>
      <c r="L2763" s="4"/>
      <c r="M2763" s="4"/>
      <c r="N2763" s="4"/>
      <c r="O2763" s="4"/>
      <c r="P2763" s="4"/>
      <c r="Q2763" s="4"/>
      <c r="R2763" s="4"/>
      <c r="S2763" s="4"/>
      <c r="T2763" s="4"/>
      <c r="U2763" s="4"/>
      <c r="V2763" s="4"/>
      <c r="W2763" s="4"/>
      <c r="X2763" s="4"/>
      <c r="Y2763" s="4"/>
      <c r="Z2763" s="4"/>
      <c r="AA2763" s="4"/>
      <c r="AB2763" s="4"/>
      <c r="AC2763" s="4"/>
      <c r="AD2763" s="4"/>
      <c r="AE2763" s="4"/>
      <c r="AF2763" s="4"/>
      <c r="AG2763" s="4"/>
      <c r="AH2763" s="4"/>
      <c r="AI2763" s="4"/>
      <c r="AJ2763" s="4"/>
      <c r="AK2763" s="4"/>
      <c r="AL2763" s="4"/>
      <c r="AM2763" s="4"/>
      <c r="AN2763" s="4"/>
      <c r="AO2763" s="4"/>
      <c r="AP2763" s="4"/>
      <c r="AQ2763" s="4"/>
      <c r="AR2763" s="4"/>
      <c r="AS2763" s="4"/>
      <c r="AT2763" s="4"/>
      <c r="AU2763" s="4"/>
      <c r="AV2763" s="4"/>
      <c r="AW2763" s="4"/>
      <c r="AX2763" s="4"/>
      <c r="AY2763" s="4"/>
      <c r="AZ2763" s="4"/>
      <c r="BA2763" s="4"/>
      <c r="BB2763" s="4"/>
      <c r="BC2763" s="4"/>
      <c r="BD2763" s="4"/>
      <c r="BE2763" s="4"/>
      <c r="BF2763" s="4"/>
      <c r="BG2763" s="4"/>
      <c r="BH2763" s="4"/>
      <c r="BI2763" s="4"/>
      <c r="BJ2763" s="4"/>
      <c r="BK2763" s="4"/>
      <c r="BL2763" s="4"/>
      <c r="BM2763" s="4"/>
      <c r="BN2763" s="4"/>
      <c r="BO2763" s="4"/>
      <c r="BP2763" s="4"/>
      <c r="BQ2763" s="4"/>
      <c r="BR2763" s="4"/>
      <c r="BS2763" s="4"/>
      <c r="BT2763" s="4"/>
      <c r="BU2763" s="4"/>
      <c r="BV2763" s="4"/>
      <c r="BW2763" s="4"/>
      <c r="BX2763" s="4"/>
      <c r="BY2763" s="4"/>
      <c r="BZ2763" s="4"/>
      <c r="CA2763" s="4"/>
      <c r="CB2763" s="4"/>
      <c r="CC2763" s="4"/>
      <c r="CD2763" s="4"/>
      <c r="CE2763" s="4"/>
      <c r="CF2763" s="4"/>
      <c r="CG2763" s="4"/>
      <c r="CH2763" s="4"/>
      <c r="CI2763" s="4"/>
      <c r="CJ2763" s="4"/>
      <c r="CK2763" s="4"/>
      <c r="CL2763" s="4"/>
      <c r="CM2763" s="4"/>
      <c r="CN2763" s="4"/>
      <c r="CO2763" s="4"/>
      <c r="CP2763" s="4"/>
      <c r="CQ2763" s="4"/>
      <c r="CR2763" s="4"/>
      <c r="CS2763" s="4"/>
      <c r="CT2763" s="4"/>
      <c r="CU2763" s="4"/>
      <c r="CV2763" s="4"/>
      <c r="CW2763" s="4"/>
      <c r="CX2763" s="4"/>
      <c r="CY2763" s="4"/>
      <c r="CZ2763" s="4"/>
      <c r="DA2763" s="4"/>
      <c r="DB2763" s="4"/>
      <c r="DC2763" s="4"/>
      <c r="DD2763" s="4"/>
      <c r="DE2763" s="4"/>
      <c r="DF2763" s="4"/>
      <c r="DG2763" s="4"/>
      <c r="DH2763" s="4"/>
      <c r="DI2763" s="4"/>
      <c r="DJ2763" s="4"/>
      <c r="DK2763" s="4"/>
      <c r="DL2763" s="4"/>
      <c r="DM2763" s="4"/>
      <c r="DN2763" s="4"/>
      <c r="DO2763" s="4"/>
      <c r="DP2763" s="4"/>
      <c r="DQ2763" s="4"/>
      <c r="DR2763" s="4"/>
      <c r="DS2763" s="4"/>
    </row>
    <row r="2764">
      <c r="A2764" s="4"/>
      <c r="B2764" s="4"/>
      <c r="C2764" s="4"/>
      <c r="D2764" s="4"/>
      <c r="E2764" s="4"/>
      <c r="F2764" s="4" t="s">
        <v>17</v>
      </c>
      <c r="G2764" s="15"/>
      <c r="H2764" s="4"/>
      <c r="I2764" s="4"/>
      <c r="J2764" s="4"/>
      <c r="K2764" s="4"/>
      <c r="L2764" s="4"/>
      <c r="M2764" s="4"/>
      <c r="N2764" s="4"/>
      <c r="O2764" s="4"/>
      <c r="P2764" s="4"/>
      <c r="Q2764" s="4"/>
      <c r="R2764" s="4"/>
      <c r="S2764" s="4"/>
      <c r="T2764" s="4"/>
      <c r="U2764" s="4"/>
      <c r="V2764" s="4"/>
      <c r="W2764" s="4"/>
      <c r="X2764" s="4"/>
      <c r="Y2764" s="4"/>
      <c r="Z2764" s="4"/>
      <c r="AA2764" s="4"/>
      <c r="AB2764" s="4"/>
      <c r="AC2764" s="4"/>
      <c r="AD2764" s="4"/>
      <c r="AE2764" s="4"/>
      <c r="AF2764" s="4"/>
      <c r="AG2764" s="4"/>
      <c r="AH2764" s="4"/>
      <c r="AI2764" s="4"/>
      <c r="AJ2764" s="4"/>
      <c r="AK2764" s="4"/>
      <c r="AL2764" s="4"/>
      <c r="AM2764" s="4"/>
      <c r="AN2764" s="4"/>
      <c r="AO2764" s="4"/>
      <c r="AP2764" s="4"/>
      <c r="AQ2764" s="4"/>
      <c r="AR2764" s="4"/>
      <c r="AS2764" s="4"/>
      <c r="AT2764" s="4"/>
      <c r="AU2764" s="4"/>
      <c r="AV2764" s="4"/>
      <c r="AW2764" s="4"/>
      <c r="AX2764" s="4"/>
      <c r="AY2764" s="4"/>
      <c r="AZ2764" s="4"/>
      <c r="BA2764" s="4"/>
      <c r="BB2764" s="4"/>
      <c r="BC2764" s="4"/>
      <c r="BD2764" s="4"/>
      <c r="BE2764" s="4"/>
      <c r="BF2764" s="4"/>
      <c r="BG2764" s="4"/>
      <c r="BH2764" s="4"/>
      <c r="BI2764" s="4"/>
      <c r="BJ2764" s="4"/>
      <c r="BK2764" s="4"/>
      <c r="BL2764" s="4"/>
      <c r="BM2764" s="4"/>
      <c r="BN2764" s="4"/>
      <c r="BO2764" s="4"/>
      <c r="BP2764" s="4"/>
      <c r="BQ2764" s="4"/>
      <c r="BR2764" s="4"/>
      <c r="BS2764" s="4"/>
      <c r="BT2764" s="4"/>
      <c r="BU2764" s="4"/>
      <c r="BV2764" s="4"/>
      <c r="BW2764" s="4"/>
      <c r="BX2764" s="4"/>
      <c r="BY2764" s="4"/>
      <c r="BZ2764" s="4"/>
      <c r="CA2764" s="4"/>
      <c r="CB2764" s="4"/>
      <c r="CC2764" s="4"/>
      <c r="CD2764" s="4"/>
      <c r="CE2764" s="4"/>
      <c r="CF2764" s="4"/>
      <c r="CG2764" s="4"/>
      <c r="CH2764" s="4"/>
      <c r="CI2764" s="4"/>
      <c r="CJ2764" s="4"/>
      <c r="CK2764" s="4"/>
      <c r="CL2764" s="4"/>
      <c r="CM2764" s="4"/>
      <c r="CN2764" s="4"/>
      <c r="CO2764" s="4"/>
      <c r="CP2764" s="4"/>
      <c r="CQ2764" s="4"/>
      <c r="CR2764" s="4"/>
      <c r="CS2764" s="4"/>
      <c r="CT2764" s="4"/>
      <c r="CU2764" s="4"/>
      <c r="CV2764" s="4"/>
      <c r="CW2764" s="4"/>
      <c r="CX2764" s="4"/>
      <c r="CY2764" s="4"/>
      <c r="CZ2764" s="4"/>
      <c r="DA2764" s="4"/>
      <c r="DB2764" s="4"/>
      <c r="DC2764" s="4"/>
      <c r="DD2764" s="4"/>
      <c r="DE2764" s="4"/>
      <c r="DF2764" s="4"/>
      <c r="DG2764" s="4"/>
      <c r="DH2764" s="4"/>
      <c r="DI2764" s="4"/>
      <c r="DJ2764" s="4"/>
      <c r="DK2764" s="4"/>
      <c r="DL2764" s="4"/>
      <c r="DM2764" s="4"/>
      <c r="DN2764" s="4"/>
      <c r="DO2764" s="4"/>
      <c r="DP2764" s="4"/>
      <c r="DQ2764" s="4"/>
      <c r="DR2764" s="4"/>
      <c r="DS2764" s="4"/>
    </row>
    <row r="2765">
      <c r="A2765" s="4"/>
      <c r="B2765" s="4"/>
      <c r="C2765" s="4"/>
      <c r="D2765" s="4"/>
      <c r="E2765" s="4"/>
      <c r="F2765" s="4" t="s">
        <v>17</v>
      </c>
      <c r="G2765" s="15"/>
      <c r="H2765" s="4"/>
      <c r="I2765" s="4"/>
      <c r="J2765" s="4"/>
      <c r="K2765" s="4"/>
      <c r="L2765" s="4"/>
      <c r="M2765" s="4"/>
      <c r="N2765" s="4"/>
      <c r="O2765" s="4"/>
      <c r="P2765" s="4"/>
      <c r="Q2765" s="4"/>
      <c r="R2765" s="4"/>
      <c r="S2765" s="4"/>
      <c r="T2765" s="4"/>
      <c r="U2765" s="4"/>
      <c r="V2765" s="4"/>
      <c r="W2765" s="4"/>
      <c r="X2765" s="4"/>
      <c r="Y2765" s="4"/>
      <c r="Z2765" s="4"/>
      <c r="AA2765" s="4"/>
      <c r="AB2765" s="4"/>
      <c r="AC2765" s="4"/>
      <c r="AD2765" s="4"/>
      <c r="AE2765" s="4"/>
      <c r="AF2765" s="4"/>
      <c r="AG2765" s="4"/>
      <c r="AH2765" s="4"/>
      <c r="AI2765" s="4"/>
      <c r="AJ2765" s="4"/>
      <c r="AK2765" s="4"/>
      <c r="AL2765" s="4"/>
      <c r="AM2765" s="4"/>
      <c r="AN2765" s="4"/>
      <c r="AO2765" s="4"/>
      <c r="AP2765" s="4"/>
      <c r="AQ2765" s="4"/>
      <c r="AR2765" s="4"/>
      <c r="AS2765" s="4"/>
      <c r="AT2765" s="4"/>
      <c r="AU2765" s="4"/>
      <c r="AV2765" s="4"/>
      <c r="AW2765" s="4"/>
      <c r="AX2765" s="4"/>
      <c r="AY2765" s="4"/>
      <c r="AZ2765" s="4"/>
      <c r="BA2765" s="4"/>
      <c r="BB2765" s="4"/>
      <c r="BC2765" s="4"/>
      <c r="BD2765" s="4"/>
      <c r="BE2765" s="4"/>
      <c r="BF2765" s="4"/>
      <c r="BG2765" s="4"/>
      <c r="BH2765" s="4"/>
      <c r="BI2765" s="4"/>
      <c r="BJ2765" s="4"/>
      <c r="BK2765" s="4"/>
      <c r="BL2765" s="4"/>
      <c r="BM2765" s="4"/>
      <c r="BN2765" s="4"/>
      <c r="BO2765" s="4"/>
      <c r="BP2765" s="4"/>
      <c r="BQ2765" s="4"/>
      <c r="BR2765" s="4"/>
      <c r="BS2765" s="4"/>
      <c r="BT2765" s="4"/>
      <c r="BU2765" s="4"/>
      <c r="BV2765" s="4"/>
      <c r="BW2765" s="4"/>
      <c r="BX2765" s="4"/>
      <c r="BY2765" s="4"/>
      <c r="BZ2765" s="4"/>
      <c r="CA2765" s="4"/>
      <c r="CB2765" s="4"/>
      <c r="CC2765" s="4"/>
      <c r="CD2765" s="4"/>
      <c r="CE2765" s="4"/>
      <c r="CF2765" s="4"/>
      <c r="CG2765" s="4"/>
      <c r="CH2765" s="4"/>
      <c r="CI2765" s="4"/>
      <c r="CJ2765" s="4"/>
      <c r="CK2765" s="4"/>
      <c r="CL2765" s="4"/>
      <c r="CM2765" s="4"/>
      <c r="CN2765" s="4"/>
      <c r="CO2765" s="4"/>
      <c r="CP2765" s="4"/>
      <c r="CQ2765" s="4"/>
      <c r="CR2765" s="4"/>
      <c r="CS2765" s="4"/>
      <c r="CT2765" s="4"/>
      <c r="CU2765" s="4"/>
      <c r="CV2765" s="4"/>
      <c r="CW2765" s="4"/>
      <c r="CX2765" s="4"/>
      <c r="CY2765" s="4"/>
      <c r="CZ2765" s="4"/>
      <c r="DA2765" s="4"/>
      <c r="DB2765" s="4"/>
      <c r="DC2765" s="4"/>
      <c r="DD2765" s="4"/>
      <c r="DE2765" s="4"/>
      <c r="DF2765" s="4"/>
      <c r="DG2765" s="4"/>
      <c r="DH2765" s="4"/>
      <c r="DI2765" s="4"/>
      <c r="DJ2765" s="4"/>
      <c r="DK2765" s="4"/>
      <c r="DL2765" s="4"/>
      <c r="DM2765" s="4"/>
      <c r="DN2765" s="4"/>
      <c r="DO2765" s="4"/>
      <c r="DP2765" s="4"/>
      <c r="DQ2765" s="4"/>
      <c r="DR2765" s="4"/>
      <c r="DS2765" s="4"/>
    </row>
    <row r="2766">
      <c r="A2766" s="4"/>
      <c r="B2766" s="4"/>
      <c r="C2766" s="4"/>
      <c r="D2766" s="4"/>
      <c r="E2766" s="4"/>
      <c r="F2766" s="4" t="s">
        <v>17</v>
      </c>
      <c r="G2766" s="15"/>
      <c r="H2766" s="4"/>
      <c r="I2766" s="4"/>
      <c r="J2766" s="4"/>
      <c r="K2766" s="4"/>
      <c r="L2766" s="4"/>
      <c r="M2766" s="4"/>
      <c r="N2766" s="4"/>
      <c r="O2766" s="4"/>
      <c r="P2766" s="4"/>
      <c r="Q2766" s="4"/>
      <c r="R2766" s="4"/>
      <c r="S2766" s="4"/>
      <c r="T2766" s="4"/>
      <c r="U2766" s="4"/>
      <c r="V2766" s="4"/>
      <c r="W2766" s="4"/>
      <c r="X2766" s="4"/>
      <c r="Y2766" s="4"/>
      <c r="Z2766" s="4"/>
      <c r="AA2766" s="4"/>
      <c r="AB2766" s="4"/>
      <c r="AC2766" s="4"/>
      <c r="AD2766" s="4"/>
      <c r="AE2766" s="4"/>
      <c r="AF2766" s="4"/>
      <c r="AG2766" s="4"/>
      <c r="AH2766" s="4"/>
      <c r="AI2766" s="4"/>
      <c r="AJ2766" s="4"/>
      <c r="AK2766" s="4"/>
      <c r="AL2766" s="4"/>
      <c r="AM2766" s="4"/>
      <c r="AN2766" s="4"/>
      <c r="AO2766" s="4"/>
      <c r="AP2766" s="4"/>
      <c r="AQ2766" s="4"/>
      <c r="AR2766" s="4"/>
      <c r="AS2766" s="4"/>
      <c r="AT2766" s="4"/>
      <c r="AU2766" s="4"/>
      <c r="AV2766" s="4"/>
      <c r="AW2766" s="4"/>
      <c r="AX2766" s="4"/>
      <c r="AY2766" s="4"/>
      <c r="AZ2766" s="4"/>
      <c r="BA2766" s="4"/>
      <c r="BB2766" s="4"/>
      <c r="BC2766" s="4"/>
      <c r="BD2766" s="4"/>
      <c r="BE2766" s="4"/>
      <c r="BF2766" s="4"/>
      <c r="BG2766" s="4"/>
      <c r="BH2766" s="4"/>
      <c r="BI2766" s="4"/>
      <c r="BJ2766" s="4"/>
      <c r="BK2766" s="4"/>
      <c r="BL2766" s="4"/>
      <c r="BM2766" s="4"/>
      <c r="BN2766" s="4"/>
      <c r="BO2766" s="4"/>
      <c r="BP2766" s="4"/>
      <c r="BQ2766" s="4"/>
      <c r="BR2766" s="4"/>
      <c r="BS2766" s="4"/>
      <c r="BT2766" s="4"/>
      <c r="BU2766" s="4"/>
      <c r="BV2766" s="4"/>
      <c r="BW2766" s="4"/>
      <c r="BX2766" s="4"/>
      <c r="BY2766" s="4"/>
      <c r="BZ2766" s="4"/>
      <c r="CA2766" s="4"/>
      <c r="CB2766" s="4"/>
      <c r="CC2766" s="4"/>
      <c r="CD2766" s="4"/>
      <c r="CE2766" s="4"/>
      <c r="CF2766" s="4"/>
      <c r="CG2766" s="4"/>
      <c r="CH2766" s="4"/>
      <c r="CI2766" s="4"/>
      <c r="CJ2766" s="4"/>
      <c r="CK2766" s="4"/>
      <c r="CL2766" s="4"/>
      <c r="CM2766" s="4"/>
      <c r="CN2766" s="4"/>
      <c r="CO2766" s="4"/>
      <c r="CP2766" s="4"/>
      <c r="CQ2766" s="4"/>
      <c r="CR2766" s="4"/>
      <c r="CS2766" s="4"/>
      <c r="CT2766" s="4"/>
      <c r="CU2766" s="4"/>
      <c r="CV2766" s="4"/>
      <c r="CW2766" s="4"/>
      <c r="CX2766" s="4"/>
      <c r="CY2766" s="4"/>
      <c r="CZ2766" s="4"/>
      <c r="DA2766" s="4"/>
      <c r="DB2766" s="4"/>
      <c r="DC2766" s="4"/>
      <c r="DD2766" s="4"/>
      <c r="DE2766" s="4"/>
      <c r="DF2766" s="4"/>
      <c r="DG2766" s="4"/>
      <c r="DH2766" s="4"/>
      <c r="DI2766" s="4"/>
      <c r="DJ2766" s="4"/>
      <c r="DK2766" s="4"/>
      <c r="DL2766" s="4"/>
      <c r="DM2766" s="4"/>
      <c r="DN2766" s="4"/>
      <c r="DO2766" s="4"/>
      <c r="DP2766" s="4"/>
      <c r="DQ2766" s="4"/>
      <c r="DR2766" s="4"/>
      <c r="DS2766" s="4"/>
    </row>
    <row r="2767">
      <c r="A2767" s="4"/>
      <c r="B2767" s="4"/>
      <c r="C2767" s="4"/>
      <c r="D2767" s="4"/>
      <c r="E2767" s="4"/>
      <c r="F2767" s="4" t="s">
        <v>17</v>
      </c>
      <c r="G2767" s="15"/>
      <c r="H2767" s="4"/>
      <c r="I2767" s="4"/>
      <c r="J2767" s="4"/>
      <c r="K2767" s="4"/>
      <c r="L2767" s="4"/>
      <c r="M2767" s="4"/>
      <c r="N2767" s="4"/>
      <c r="O2767" s="4"/>
      <c r="P2767" s="4"/>
      <c r="Q2767" s="4"/>
      <c r="R2767" s="4"/>
      <c r="S2767" s="4"/>
      <c r="T2767" s="4"/>
      <c r="U2767" s="4"/>
      <c r="V2767" s="4"/>
      <c r="W2767" s="4"/>
      <c r="X2767" s="4"/>
      <c r="Y2767" s="4"/>
      <c r="Z2767" s="4"/>
      <c r="AA2767" s="4"/>
      <c r="AB2767" s="4"/>
      <c r="AC2767" s="4"/>
      <c r="AD2767" s="4"/>
      <c r="AE2767" s="4"/>
      <c r="AF2767" s="4"/>
      <c r="AG2767" s="4"/>
      <c r="AH2767" s="4"/>
      <c r="AI2767" s="4"/>
      <c r="AJ2767" s="4"/>
      <c r="AK2767" s="4"/>
      <c r="AL2767" s="4"/>
      <c r="AM2767" s="4"/>
      <c r="AN2767" s="4"/>
      <c r="AO2767" s="4"/>
      <c r="AP2767" s="4"/>
      <c r="AQ2767" s="4"/>
      <c r="AR2767" s="4"/>
      <c r="AS2767" s="4"/>
      <c r="AT2767" s="4"/>
      <c r="AU2767" s="4"/>
      <c r="AV2767" s="4"/>
      <c r="AW2767" s="4"/>
      <c r="AX2767" s="4"/>
      <c r="AY2767" s="4"/>
      <c r="AZ2767" s="4"/>
      <c r="BA2767" s="4"/>
      <c r="BB2767" s="4"/>
      <c r="BC2767" s="4"/>
      <c r="BD2767" s="4"/>
      <c r="BE2767" s="4"/>
      <c r="BF2767" s="4"/>
      <c r="BG2767" s="4"/>
      <c r="BH2767" s="4"/>
      <c r="BI2767" s="4"/>
      <c r="BJ2767" s="4"/>
      <c r="BK2767" s="4"/>
      <c r="BL2767" s="4"/>
      <c r="BM2767" s="4"/>
      <c r="BN2767" s="4"/>
      <c r="BO2767" s="4"/>
      <c r="BP2767" s="4"/>
      <c r="BQ2767" s="4"/>
      <c r="BR2767" s="4"/>
      <c r="BS2767" s="4"/>
      <c r="BT2767" s="4"/>
      <c r="BU2767" s="4"/>
      <c r="BV2767" s="4"/>
      <c r="BW2767" s="4"/>
      <c r="BX2767" s="4"/>
      <c r="BY2767" s="4"/>
      <c r="BZ2767" s="4"/>
      <c r="CA2767" s="4"/>
      <c r="CB2767" s="4"/>
      <c r="CC2767" s="4"/>
      <c r="CD2767" s="4"/>
      <c r="CE2767" s="4"/>
      <c r="CF2767" s="4"/>
      <c r="CG2767" s="4"/>
      <c r="CH2767" s="4"/>
      <c r="CI2767" s="4"/>
      <c r="CJ2767" s="4"/>
      <c r="CK2767" s="4"/>
      <c r="CL2767" s="4"/>
      <c r="CM2767" s="4"/>
      <c r="CN2767" s="4"/>
      <c r="CO2767" s="4"/>
      <c r="CP2767" s="4"/>
      <c r="CQ2767" s="4"/>
      <c r="CR2767" s="4"/>
      <c r="CS2767" s="4"/>
      <c r="CT2767" s="4"/>
      <c r="CU2767" s="4"/>
      <c r="CV2767" s="4"/>
      <c r="CW2767" s="4"/>
      <c r="CX2767" s="4"/>
      <c r="CY2767" s="4"/>
      <c r="CZ2767" s="4"/>
      <c r="DA2767" s="4"/>
      <c r="DB2767" s="4"/>
      <c r="DC2767" s="4"/>
      <c r="DD2767" s="4"/>
      <c r="DE2767" s="4"/>
      <c r="DF2767" s="4"/>
      <c r="DG2767" s="4"/>
      <c r="DH2767" s="4"/>
      <c r="DI2767" s="4"/>
      <c r="DJ2767" s="4"/>
      <c r="DK2767" s="4"/>
      <c r="DL2767" s="4"/>
      <c r="DM2767" s="4"/>
      <c r="DN2767" s="4"/>
      <c r="DO2767" s="4"/>
      <c r="DP2767" s="4"/>
      <c r="DQ2767" s="4"/>
      <c r="DR2767" s="4"/>
      <c r="DS2767" s="4"/>
    </row>
    <row r="2768">
      <c r="A2768" s="4"/>
      <c r="B2768" s="4"/>
      <c r="C2768" s="4"/>
      <c r="D2768" s="4"/>
      <c r="E2768" s="4"/>
      <c r="F2768" s="4" t="s">
        <v>17</v>
      </c>
      <c r="G2768" s="15"/>
      <c r="H2768" s="4"/>
      <c r="I2768" s="4"/>
      <c r="J2768" s="4"/>
      <c r="K2768" s="4"/>
      <c r="L2768" s="4"/>
      <c r="M2768" s="4"/>
      <c r="N2768" s="4"/>
      <c r="O2768" s="4"/>
      <c r="P2768" s="4"/>
      <c r="Q2768" s="4"/>
      <c r="R2768" s="4"/>
      <c r="S2768" s="4"/>
      <c r="T2768" s="4"/>
      <c r="U2768" s="4"/>
      <c r="V2768" s="4"/>
      <c r="W2768" s="4"/>
      <c r="X2768" s="4"/>
      <c r="Y2768" s="4"/>
      <c r="Z2768" s="4"/>
      <c r="AA2768" s="4"/>
      <c r="AB2768" s="4"/>
      <c r="AC2768" s="4"/>
      <c r="AD2768" s="4"/>
      <c r="AE2768" s="4"/>
      <c r="AF2768" s="4"/>
      <c r="AG2768" s="4"/>
      <c r="AH2768" s="4"/>
      <c r="AI2768" s="4"/>
      <c r="AJ2768" s="4"/>
      <c r="AK2768" s="4"/>
      <c r="AL2768" s="4"/>
      <c r="AM2768" s="4"/>
      <c r="AN2768" s="4"/>
      <c r="AO2768" s="4"/>
      <c r="AP2768" s="4"/>
      <c r="AQ2768" s="4"/>
      <c r="AR2768" s="4"/>
      <c r="AS2768" s="4"/>
      <c r="AT2768" s="4"/>
      <c r="AU2768" s="4"/>
      <c r="AV2768" s="4"/>
      <c r="AW2768" s="4"/>
      <c r="AX2768" s="4"/>
      <c r="AY2768" s="4"/>
      <c r="AZ2768" s="4"/>
      <c r="BA2768" s="4"/>
      <c r="BB2768" s="4"/>
      <c r="BC2768" s="4"/>
      <c r="BD2768" s="4"/>
      <c r="BE2768" s="4"/>
      <c r="BF2768" s="4"/>
      <c r="BG2768" s="4"/>
      <c r="BH2768" s="4"/>
      <c r="BI2768" s="4"/>
      <c r="BJ2768" s="4"/>
      <c r="BK2768" s="4"/>
      <c r="BL2768" s="4"/>
      <c r="BM2768" s="4"/>
      <c r="BN2768" s="4"/>
      <c r="BO2768" s="4"/>
      <c r="BP2768" s="4"/>
      <c r="BQ2768" s="4"/>
      <c r="BR2768" s="4"/>
      <c r="BS2768" s="4"/>
      <c r="BT2768" s="4"/>
      <c r="BU2768" s="4"/>
      <c r="BV2768" s="4"/>
      <c r="BW2768" s="4"/>
      <c r="BX2768" s="4"/>
      <c r="BY2768" s="4"/>
      <c r="BZ2768" s="4"/>
      <c r="CA2768" s="4"/>
      <c r="CB2768" s="4"/>
      <c r="CC2768" s="4"/>
      <c r="CD2768" s="4"/>
      <c r="CE2768" s="4"/>
      <c r="CF2768" s="4"/>
      <c r="CG2768" s="4"/>
      <c r="CH2768" s="4"/>
      <c r="CI2768" s="4"/>
      <c r="CJ2768" s="4"/>
      <c r="CK2768" s="4"/>
      <c r="CL2768" s="4"/>
      <c r="CM2768" s="4"/>
      <c r="CN2768" s="4"/>
      <c r="CO2768" s="4"/>
      <c r="CP2768" s="4"/>
      <c r="CQ2768" s="4"/>
      <c r="CR2768" s="4"/>
      <c r="CS2768" s="4"/>
      <c r="CT2768" s="4"/>
      <c r="CU2768" s="4"/>
      <c r="CV2768" s="4"/>
      <c r="CW2768" s="4"/>
      <c r="CX2768" s="4"/>
      <c r="CY2768" s="4"/>
      <c r="CZ2768" s="4"/>
      <c r="DA2768" s="4"/>
      <c r="DB2768" s="4"/>
      <c r="DC2768" s="4"/>
      <c r="DD2768" s="4"/>
      <c r="DE2768" s="4"/>
      <c r="DF2768" s="4"/>
      <c r="DG2768" s="4"/>
      <c r="DH2768" s="4"/>
      <c r="DI2768" s="4"/>
      <c r="DJ2768" s="4"/>
      <c r="DK2768" s="4"/>
      <c r="DL2768" s="4"/>
      <c r="DM2768" s="4"/>
      <c r="DN2768" s="4"/>
      <c r="DO2768" s="4"/>
      <c r="DP2768" s="4"/>
      <c r="DQ2768" s="4"/>
      <c r="DR2768" s="4"/>
      <c r="DS2768" s="4"/>
    </row>
    <row r="2769">
      <c r="A2769" s="4"/>
      <c r="B2769" s="4"/>
      <c r="C2769" s="4"/>
      <c r="D2769" s="4"/>
      <c r="E2769" s="4"/>
      <c r="F2769" s="4" t="s">
        <v>17</v>
      </c>
      <c r="G2769" s="15"/>
      <c r="H2769" s="4"/>
      <c r="I2769" s="4"/>
      <c r="J2769" s="4"/>
      <c r="K2769" s="4"/>
      <c r="L2769" s="4"/>
      <c r="M2769" s="4"/>
      <c r="N2769" s="4"/>
      <c r="O2769" s="4"/>
      <c r="P2769" s="4"/>
      <c r="Q2769" s="4"/>
      <c r="R2769" s="4"/>
      <c r="S2769" s="4"/>
      <c r="T2769" s="4"/>
      <c r="U2769" s="4"/>
      <c r="V2769" s="4"/>
      <c r="W2769" s="4"/>
      <c r="X2769" s="4"/>
      <c r="Y2769" s="4"/>
      <c r="Z2769" s="4"/>
      <c r="AA2769" s="4"/>
      <c r="AB2769" s="4"/>
      <c r="AC2769" s="4"/>
      <c r="AD2769" s="4"/>
      <c r="AE2769" s="4"/>
      <c r="AF2769" s="4"/>
      <c r="AG2769" s="4"/>
      <c r="AH2769" s="4"/>
      <c r="AI2769" s="4"/>
      <c r="AJ2769" s="4"/>
      <c r="AK2769" s="4"/>
      <c r="AL2769" s="4"/>
      <c r="AM2769" s="4"/>
      <c r="AN2769" s="4"/>
      <c r="AO2769" s="4"/>
      <c r="AP2769" s="4"/>
      <c r="AQ2769" s="4"/>
      <c r="AR2769" s="4"/>
      <c r="AS2769" s="4"/>
      <c r="AT2769" s="4"/>
      <c r="AU2769" s="4"/>
      <c r="AV2769" s="4"/>
      <c r="AW2769" s="4"/>
      <c r="AX2769" s="4"/>
      <c r="AY2769" s="4"/>
      <c r="AZ2769" s="4"/>
      <c r="BA2769" s="4"/>
      <c r="BB2769" s="4"/>
      <c r="BC2769" s="4"/>
      <c r="BD2769" s="4"/>
      <c r="BE2769" s="4"/>
      <c r="BF2769" s="4"/>
      <c r="BG2769" s="4"/>
      <c r="BH2769" s="4"/>
      <c r="BI2769" s="4"/>
      <c r="BJ2769" s="4"/>
      <c r="BK2769" s="4"/>
      <c r="BL2769" s="4"/>
      <c r="BM2769" s="4"/>
      <c r="BN2769" s="4"/>
      <c r="BO2769" s="4"/>
      <c r="BP2769" s="4"/>
      <c r="BQ2769" s="4"/>
      <c r="BR2769" s="4"/>
      <c r="BS2769" s="4"/>
      <c r="BT2769" s="4"/>
      <c r="BU2769" s="4"/>
      <c r="BV2769" s="4"/>
      <c r="BW2769" s="4"/>
      <c r="BX2769" s="4"/>
      <c r="BY2769" s="4"/>
      <c r="BZ2769" s="4"/>
      <c r="CA2769" s="4"/>
      <c r="CB2769" s="4"/>
      <c r="CC2769" s="4"/>
      <c r="CD2769" s="4"/>
      <c r="CE2769" s="4"/>
      <c r="CF2769" s="4"/>
      <c r="CG2769" s="4"/>
      <c r="CH2769" s="4"/>
      <c r="CI2769" s="4"/>
      <c r="CJ2769" s="4"/>
      <c r="CK2769" s="4"/>
      <c r="CL2769" s="4"/>
      <c r="CM2769" s="4"/>
      <c r="CN2769" s="4"/>
      <c r="CO2769" s="4"/>
      <c r="CP2769" s="4"/>
      <c r="CQ2769" s="4"/>
      <c r="CR2769" s="4"/>
      <c r="CS2769" s="4"/>
      <c r="CT2769" s="4"/>
      <c r="CU2769" s="4"/>
      <c r="CV2769" s="4"/>
      <c r="CW2769" s="4"/>
      <c r="CX2769" s="4"/>
      <c r="CY2769" s="4"/>
      <c r="CZ2769" s="4"/>
      <c r="DA2769" s="4"/>
      <c r="DB2769" s="4"/>
      <c r="DC2769" s="4"/>
      <c r="DD2769" s="4"/>
      <c r="DE2769" s="4"/>
      <c r="DF2769" s="4"/>
      <c r="DG2769" s="4"/>
      <c r="DH2769" s="4"/>
      <c r="DI2769" s="4"/>
      <c r="DJ2769" s="4"/>
      <c r="DK2769" s="4"/>
      <c r="DL2769" s="4"/>
      <c r="DM2769" s="4"/>
      <c r="DN2769" s="4"/>
      <c r="DO2769" s="4"/>
      <c r="DP2769" s="4"/>
      <c r="DQ2769" s="4"/>
      <c r="DR2769" s="4"/>
      <c r="DS2769" s="4"/>
    </row>
    <row r="2770">
      <c r="A2770" s="4"/>
      <c r="B2770" s="4"/>
      <c r="C2770" s="4"/>
      <c r="D2770" s="4"/>
      <c r="E2770" s="4"/>
      <c r="F2770" s="4" t="s">
        <v>17</v>
      </c>
      <c r="G2770" s="15"/>
      <c r="H2770" s="4"/>
      <c r="I2770" s="4"/>
      <c r="J2770" s="4"/>
      <c r="K2770" s="4"/>
      <c r="L2770" s="4"/>
      <c r="M2770" s="4"/>
      <c r="N2770" s="4"/>
      <c r="O2770" s="4"/>
      <c r="P2770" s="4"/>
      <c r="Q2770" s="4"/>
      <c r="R2770" s="4"/>
      <c r="S2770" s="4"/>
      <c r="T2770" s="4"/>
      <c r="U2770" s="4"/>
      <c r="V2770" s="4"/>
      <c r="W2770" s="4"/>
      <c r="X2770" s="4"/>
      <c r="Y2770" s="4"/>
      <c r="Z2770" s="4"/>
      <c r="AA2770" s="4"/>
      <c r="AB2770" s="4"/>
      <c r="AC2770" s="4"/>
      <c r="AD2770" s="4"/>
      <c r="AE2770" s="4"/>
      <c r="AF2770" s="4"/>
      <c r="AG2770" s="4"/>
      <c r="AH2770" s="4"/>
      <c r="AI2770" s="4"/>
      <c r="AJ2770" s="4"/>
      <c r="AK2770" s="4"/>
      <c r="AL2770" s="4"/>
      <c r="AM2770" s="4"/>
      <c r="AN2770" s="4"/>
      <c r="AO2770" s="4"/>
      <c r="AP2770" s="4"/>
      <c r="AQ2770" s="4"/>
      <c r="AR2770" s="4"/>
      <c r="AS2770" s="4"/>
      <c r="AT2770" s="4"/>
      <c r="AU2770" s="4"/>
      <c r="AV2770" s="4"/>
      <c r="AW2770" s="4"/>
      <c r="AX2770" s="4"/>
      <c r="AY2770" s="4"/>
      <c r="AZ2770" s="4"/>
      <c r="BA2770" s="4"/>
      <c r="BB2770" s="4"/>
      <c r="BC2770" s="4"/>
      <c r="BD2770" s="4"/>
      <c r="BE2770" s="4"/>
      <c r="BF2770" s="4"/>
      <c r="BG2770" s="4"/>
      <c r="BH2770" s="4"/>
      <c r="BI2770" s="4"/>
      <c r="BJ2770" s="4"/>
      <c r="BK2770" s="4"/>
      <c r="BL2770" s="4"/>
      <c r="BM2770" s="4"/>
      <c r="BN2770" s="4"/>
      <c r="BO2770" s="4"/>
      <c r="BP2770" s="4"/>
      <c r="BQ2770" s="4"/>
      <c r="BR2770" s="4"/>
      <c r="BS2770" s="4"/>
      <c r="BT2770" s="4"/>
      <c r="BU2770" s="4"/>
      <c r="BV2770" s="4"/>
      <c r="BW2770" s="4"/>
      <c r="BX2770" s="4"/>
      <c r="BY2770" s="4"/>
      <c r="BZ2770" s="4"/>
      <c r="CA2770" s="4"/>
      <c r="CB2770" s="4"/>
      <c r="CC2770" s="4"/>
      <c r="CD2770" s="4"/>
      <c r="CE2770" s="4"/>
      <c r="CF2770" s="4"/>
      <c r="CG2770" s="4"/>
      <c r="CH2770" s="4"/>
      <c r="CI2770" s="4"/>
      <c r="CJ2770" s="4"/>
      <c r="CK2770" s="4"/>
      <c r="CL2770" s="4"/>
      <c r="CM2770" s="4"/>
      <c r="CN2770" s="4"/>
      <c r="CO2770" s="4"/>
      <c r="CP2770" s="4"/>
      <c r="CQ2770" s="4"/>
      <c r="CR2770" s="4"/>
      <c r="CS2770" s="4"/>
      <c r="CT2770" s="4"/>
      <c r="CU2770" s="4"/>
      <c r="CV2770" s="4"/>
      <c r="CW2770" s="4"/>
      <c r="CX2770" s="4"/>
      <c r="CY2770" s="4"/>
      <c r="CZ2770" s="4"/>
      <c r="DA2770" s="4"/>
      <c r="DB2770" s="4"/>
      <c r="DC2770" s="4"/>
      <c r="DD2770" s="4"/>
      <c r="DE2770" s="4"/>
      <c r="DF2770" s="4"/>
      <c r="DG2770" s="4"/>
      <c r="DH2770" s="4"/>
      <c r="DI2770" s="4"/>
      <c r="DJ2770" s="4"/>
      <c r="DK2770" s="4"/>
      <c r="DL2770" s="4"/>
      <c r="DM2770" s="4"/>
      <c r="DN2770" s="4"/>
      <c r="DO2770" s="4"/>
      <c r="DP2770" s="4"/>
      <c r="DQ2770" s="4"/>
      <c r="DR2770" s="4"/>
      <c r="DS2770" s="4"/>
    </row>
    <row r="2771">
      <c r="A2771" s="4"/>
      <c r="B2771" s="4"/>
      <c r="C2771" s="4"/>
      <c r="D2771" s="4"/>
      <c r="E2771" s="4"/>
      <c r="F2771" s="4" t="s">
        <v>17</v>
      </c>
      <c r="G2771" s="15"/>
      <c r="H2771" s="4"/>
      <c r="I2771" s="4"/>
      <c r="J2771" s="4"/>
      <c r="K2771" s="4"/>
      <c r="L2771" s="4"/>
      <c r="M2771" s="4"/>
      <c r="N2771" s="4"/>
      <c r="O2771" s="4"/>
      <c r="P2771" s="4"/>
      <c r="Q2771" s="4"/>
      <c r="R2771" s="4"/>
      <c r="S2771" s="4"/>
      <c r="T2771" s="4"/>
      <c r="U2771" s="4"/>
      <c r="V2771" s="4"/>
      <c r="W2771" s="4"/>
      <c r="X2771" s="4"/>
      <c r="Y2771" s="4"/>
      <c r="Z2771" s="4"/>
      <c r="AA2771" s="4"/>
      <c r="AB2771" s="4"/>
      <c r="AC2771" s="4"/>
      <c r="AD2771" s="4"/>
      <c r="AE2771" s="4"/>
      <c r="AF2771" s="4"/>
      <c r="AG2771" s="4"/>
      <c r="AH2771" s="4"/>
      <c r="AI2771" s="4"/>
      <c r="AJ2771" s="4"/>
      <c r="AK2771" s="4"/>
      <c r="AL2771" s="4"/>
      <c r="AM2771" s="4"/>
      <c r="AN2771" s="4"/>
      <c r="AO2771" s="4"/>
      <c r="AP2771" s="4"/>
      <c r="AQ2771" s="4"/>
      <c r="AR2771" s="4"/>
      <c r="AS2771" s="4"/>
      <c r="AT2771" s="4"/>
      <c r="AU2771" s="4"/>
      <c r="AV2771" s="4"/>
      <c r="AW2771" s="4"/>
      <c r="AX2771" s="4"/>
      <c r="AY2771" s="4"/>
      <c r="AZ2771" s="4"/>
      <c r="BA2771" s="4"/>
      <c r="BB2771" s="4"/>
      <c r="BC2771" s="4"/>
      <c r="BD2771" s="4"/>
      <c r="BE2771" s="4"/>
      <c r="BF2771" s="4"/>
      <c r="BG2771" s="4"/>
      <c r="BH2771" s="4"/>
      <c r="BI2771" s="4"/>
      <c r="BJ2771" s="4"/>
      <c r="BK2771" s="4"/>
      <c r="BL2771" s="4"/>
      <c r="BM2771" s="4"/>
      <c r="BN2771" s="4"/>
      <c r="BO2771" s="4"/>
      <c r="BP2771" s="4"/>
      <c r="BQ2771" s="4"/>
      <c r="BR2771" s="4"/>
      <c r="BS2771" s="4"/>
      <c r="BT2771" s="4"/>
      <c r="BU2771" s="4"/>
      <c r="BV2771" s="4"/>
      <c r="BW2771" s="4"/>
      <c r="BX2771" s="4"/>
      <c r="BY2771" s="4"/>
      <c r="BZ2771" s="4"/>
      <c r="CA2771" s="4"/>
      <c r="CB2771" s="4"/>
      <c r="CC2771" s="4"/>
      <c r="CD2771" s="4"/>
      <c r="CE2771" s="4"/>
      <c r="CF2771" s="4"/>
      <c r="CG2771" s="4"/>
      <c r="CH2771" s="4"/>
      <c r="CI2771" s="4"/>
      <c r="CJ2771" s="4"/>
      <c r="CK2771" s="4"/>
      <c r="CL2771" s="4"/>
      <c r="CM2771" s="4"/>
      <c r="CN2771" s="4"/>
      <c r="CO2771" s="4"/>
      <c r="CP2771" s="4"/>
      <c r="CQ2771" s="4"/>
      <c r="CR2771" s="4"/>
      <c r="CS2771" s="4"/>
      <c r="CT2771" s="4"/>
      <c r="CU2771" s="4"/>
      <c r="CV2771" s="4"/>
      <c r="CW2771" s="4"/>
      <c r="CX2771" s="4"/>
      <c r="CY2771" s="4"/>
      <c r="CZ2771" s="4"/>
      <c r="DA2771" s="4"/>
      <c r="DB2771" s="4"/>
      <c r="DC2771" s="4"/>
      <c r="DD2771" s="4"/>
      <c r="DE2771" s="4"/>
      <c r="DF2771" s="4"/>
      <c r="DG2771" s="4"/>
      <c r="DH2771" s="4"/>
      <c r="DI2771" s="4"/>
      <c r="DJ2771" s="4"/>
      <c r="DK2771" s="4"/>
      <c r="DL2771" s="4"/>
      <c r="DM2771" s="4"/>
      <c r="DN2771" s="4"/>
      <c r="DO2771" s="4"/>
      <c r="DP2771" s="4"/>
      <c r="DQ2771" s="4"/>
      <c r="DR2771" s="4"/>
      <c r="DS2771" s="4"/>
    </row>
    <row r="2772">
      <c r="A2772" s="4"/>
      <c r="B2772" s="4"/>
      <c r="C2772" s="4"/>
      <c r="D2772" s="4"/>
      <c r="E2772" s="4"/>
      <c r="F2772" s="4" t="s">
        <v>17</v>
      </c>
      <c r="G2772" s="15"/>
      <c r="H2772" s="4"/>
      <c r="I2772" s="4"/>
      <c r="J2772" s="4"/>
      <c r="K2772" s="4"/>
      <c r="L2772" s="4"/>
      <c r="M2772" s="4"/>
      <c r="N2772" s="4"/>
      <c r="O2772" s="4"/>
      <c r="P2772" s="4"/>
      <c r="Q2772" s="4"/>
      <c r="R2772" s="4"/>
      <c r="S2772" s="4"/>
      <c r="T2772" s="4"/>
      <c r="U2772" s="4"/>
      <c r="V2772" s="4"/>
      <c r="W2772" s="4"/>
      <c r="X2772" s="4"/>
      <c r="Y2772" s="4"/>
      <c r="Z2772" s="4"/>
      <c r="AA2772" s="4"/>
      <c r="AB2772" s="4"/>
      <c r="AC2772" s="4"/>
      <c r="AD2772" s="4"/>
      <c r="AE2772" s="4"/>
      <c r="AF2772" s="4"/>
      <c r="AG2772" s="4"/>
      <c r="AH2772" s="4"/>
      <c r="AI2772" s="4"/>
      <c r="AJ2772" s="4"/>
      <c r="AK2772" s="4"/>
      <c r="AL2772" s="4"/>
      <c r="AM2772" s="4"/>
      <c r="AN2772" s="4"/>
      <c r="AO2772" s="4"/>
      <c r="AP2772" s="4"/>
      <c r="AQ2772" s="4"/>
      <c r="AR2772" s="4"/>
      <c r="AS2772" s="4"/>
      <c r="AT2772" s="4"/>
      <c r="AU2772" s="4"/>
      <c r="AV2772" s="4"/>
      <c r="AW2772" s="4"/>
      <c r="AX2772" s="4"/>
      <c r="AY2772" s="4"/>
      <c r="AZ2772" s="4"/>
      <c r="BA2772" s="4"/>
      <c r="BB2772" s="4"/>
      <c r="BC2772" s="4"/>
      <c r="BD2772" s="4"/>
      <c r="BE2772" s="4"/>
      <c r="BF2772" s="4"/>
      <c r="BG2772" s="4"/>
      <c r="BH2772" s="4"/>
      <c r="BI2772" s="4"/>
      <c r="BJ2772" s="4"/>
      <c r="BK2772" s="4"/>
      <c r="BL2772" s="4"/>
      <c r="BM2772" s="4"/>
      <c r="BN2772" s="4"/>
      <c r="BO2772" s="4"/>
      <c r="BP2772" s="4"/>
      <c r="BQ2772" s="4"/>
      <c r="BR2772" s="4"/>
      <c r="BS2772" s="4"/>
      <c r="BT2772" s="4"/>
      <c r="BU2772" s="4"/>
      <c r="BV2772" s="4"/>
      <c r="BW2772" s="4"/>
      <c r="BX2772" s="4"/>
      <c r="BY2772" s="4"/>
      <c r="BZ2772" s="4"/>
      <c r="CA2772" s="4"/>
      <c r="CB2772" s="4"/>
      <c r="CC2772" s="4"/>
      <c r="CD2772" s="4"/>
      <c r="CE2772" s="4"/>
      <c r="CF2772" s="4"/>
      <c r="CG2772" s="4"/>
      <c r="CH2772" s="4"/>
      <c r="CI2772" s="4"/>
      <c r="CJ2772" s="4"/>
      <c r="CK2772" s="4"/>
      <c r="CL2772" s="4"/>
      <c r="CM2772" s="4"/>
      <c r="CN2772" s="4"/>
      <c r="CO2772" s="4"/>
      <c r="CP2772" s="4"/>
      <c r="CQ2772" s="4"/>
      <c r="CR2772" s="4"/>
      <c r="CS2772" s="4"/>
      <c r="CT2772" s="4"/>
      <c r="CU2772" s="4"/>
      <c r="CV2772" s="4"/>
      <c r="CW2772" s="4"/>
      <c r="CX2772" s="4"/>
      <c r="CY2772" s="4"/>
      <c r="CZ2772" s="4"/>
      <c r="DA2772" s="4"/>
      <c r="DB2772" s="4"/>
      <c r="DC2772" s="4"/>
      <c r="DD2772" s="4"/>
      <c r="DE2772" s="4"/>
      <c r="DF2772" s="4"/>
      <c r="DG2772" s="4"/>
      <c r="DH2772" s="4"/>
      <c r="DI2772" s="4"/>
      <c r="DJ2772" s="4"/>
      <c r="DK2772" s="4"/>
      <c r="DL2772" s="4"/>
      <c r="DM2772" s="4"/>
      <c r="DN2772" s="4"/>
      <c r="DO2772" s="4"/>
      <c r="DP2772" s="4"/>
      <c r="DQ2772" s="4"/>
      <c r="DR2772" s="4"/>
      <c r="DS2772" s="4"/>
    </row>
    <row r="2773">
      <c r="A2773" s="4"/>
      <c r="B2773" s="4"/>
      <c r="C2773" s="4"/>
      <c r="D2773" s="4"/>
      <c r="E2773" s="4"/>
      <c r="F2773" s="4" t="s">
        <v>17</v>
      </c>
      <c r="G2773" s="15"/>
      <c r="H2773" s="4"/>
      <c r="I2773" s="4"/>
      <c r="J2773" s="4"/>
      <c r="K2773" s="4"/>
      <c r="L2773" s="4"/>
      <c r="M2773" s="4"/>
      <c r="N2773" s="4"/>
      <c r="O2773" s="4"/>
      <c r="P2773" s="4"/>
      <c r="Q2773" s="4"/>
      <c r="R2773" s="4"/>
      <c r="S2773" s="4"/>
      <c r="T2773" s="4"/>
      <c r="U2773" s="4"/>
      <c r="V2773" s="4"/>
      <c r="W2773" s="4"/>
      <c r="X2773" s="4"/>
      <c r="Y2773" s="4"/>
      <c r="Z2773" s="4"/>
      <c r="AA2773" s="4"/>
      <c r="AB2773" s="4"/>
      <c r="AC2773" s="4"/>
      <c r="AD2773" s="4"/>
      <c r="AE2773" s="4"/>
      <c r="AF2773" s="4"/>
      <c r="AG2773" s="4"/>
      <c r="AH2773" s="4"/>
      <c r="AI2773" s="4"/>
      <c r="AJ2773" s="4"/>
      <c r="AK2773" s="4"/>
      <c r="AL2773" s="4"/>
      <c r="AM2773" s="4"/>
      <c r="AN2773" s="4"/>
      <c r="AO2773" s="4"/>
      <c r="AP2773" s="4"/>
      <c r="AQ2773" s="4"/>
      <c r="AR2773" s="4"/>
      <c r="AS2773" s="4"/>
      <c r="AT2773" s="4"/>
      <c r="AU2773" s="4"/>
      <c r="AV2773" s="4"/>
      <c r="AW2773" s="4"/>
      <c r="AX2773" s="4"/>
      <c r="AY2773" s="4"/>
      <c r="AZ2773" s="4"/>
      <c r="BA2773" s="4"/>
      <c r="BB2773" s="4"/>
      <c r="BC2773" s="4"/>
      <c r="BD2773" s="4"/>
      <c r="BE2773" s="4"/>
      <c r="BF2773" s="4"/>
      <c r="BG2773" s="4"/>
      <c r="BH2773" s="4"/>
      <c r="BI2773" s="4"/>
      <c r="BJ2773" s="4"/>
      <c r="BK2773" s="4"/>
      <c r="BL2773" s="4"/>
      <c r="BM2773" s="4"/>
      <c r="BN2773" s="4"/>
      <c r="BO2773" s="4"/>
      <c r="BP2773" s="4"/>
      <c r="BQ2773" s="4"/>
      <c r="BR2773" s="4"/>
      <c r="BS2773" s="4"/>
      <c r="BT2773" s="4"/>
      <c r="BU2773" s="4"/>
      <c r="BV2773" s="4"/>
      <c r="BW2773" s="4"/>
      <c r="BX2773" s="4"/>
      <c r="BY2773" s="4"/>
      <c r="BZ2773" s="4"/>
      <c r="CA2773" s="4"/>
      <c r="CB2773" s="4"/>
      <c r="CC2773" s="4"/>
      <c r="CD2773" s="4"/>
      <c r="CE2773" s="4"/>
      <c r="CF2773" s="4"/>
      <c r="CG2773" s="4"/>
      <c r="CH2773" s="4"/>
      <c r="CI2773" s="4"/>
      <c r="CJ2773" s="4"/>
      <c r="CK2773" s="4"/>
      <c r="CL2773" s="4"/>
      <c r="CM2773" s="4"/>
      <c r="CN2773" s="4"/>
      <c r="CO2773" s="4"/>
      <c r="CP2773" s="4"/>
      <c r="CQ2773" s="4"/>
      <c r="CR2773" s="4"/>
      <c r="CS2773" s="4"/>
      <c r="CT2773" s="4"/>
      <c r="CU2773" s="4"/>
      <c r="CV2773" s="4"/>
      <c r="CW2773" s="4"/>
      <c r="CX2773" s="4"/>
      <c r="CY2773" s="4"/>
      <c r="CZ2773" s="4"/>
      <c r="DA2773" s="4"/>
      <c r="DB2773" s="4"/>
      <c r="DC2773" s="4"/>
      <c r="DD2773" s="4"/>
      <c r="DE2773" s="4"/>
      <c r="DF2773" s="4"/>
      <c r="DG2773" s="4"/>
      <c r="DH2773" s="4"/>
      <c r="DI2773" s="4"/>
      <c r="DJ2773" s="4"/>
      <c r="DK2773" s="4"/>
      <c r="DL2773" s="4"/>
      <c r="DM2773" s="4"/>
      <c r="DN2773" s="4"/>
      <c r="DO2773" s="4"/>
      <c r="DP2773" s="4"/>
      <c r="DQ2773" s="4"/>
      <c r="DR2773" s="4"/>
      <c r="DS2773" s="4"/>
    </row>
    <row r="2774">
      <c r="A2774" s="4"/>
      <c r="B2774" s="4"/>
      <c r="C2774" s="4"/>
      <c r="D2774" s="4"/>
      <c r="E2774" s="4"/>
      <c r="F2774" s="4" t="s">
        <v>17</v>
      </c>
      <c r="G2774" s="15"/>
      <c r="H2774" s="4"/>
      <c r="I2774" s="4"/>
      <c r="J2774" s="4"/>
      <c r="K2774" s="4"/>
      <c r="L2774" s="4"/>
      <c r="M2774" s="4"/>
      <c r="N2774" s="4"/>
      <c r="O2774" s="4"/>
      <c r="P2774" s="4"/>
      <c r="Q2774" s="4"/>
      <c r="R2774" s="4"/>
      <c r="S2774" s="4"/>
      <c r="T2774" s="4"/>
      <c r="U2774" s="4"/>
      <c r="V2774" s="4"/>
      <c r="W2774" s="4"/>
      <c r="X2774" s="4"/>
      <c r="Y2774" s="4"/>
      <c r="Z2774" s="4"/>
      <c r="AA2774" s="4"/>
      <c r="AB2774" s="4"/>
      <c r="AC2774" s="4"/>
      <c r="AD2774" s="4"/>
      <c r="AE2774" s="4"/>
      <c r="AF2774" s="4"/>
      <c r="AG2774" s="4"/>
      <c r="AH2774" s="4"/>
      <c r="AI2774" s="4"/>
      <c r="AJ2774" s="4"/>
      <c r="AK2774" s="4"/>
      <c r="AL2774" s="4"/>
      <c r="AM2774" s="4"/>
      <c r="AN2774" s="4"/>
      <c r="AO2774" s="4"/>
      <c r="AP2774" s="4"/>
      <c r="AQ2774" s="4"/>
      <c r="AR2774" s="4"/>
      <c r="AS2774" s="4"/>
      <c r="AT2774" s="4"/>
      <c r="AU2774" s="4"/>
      <c r="AV2774" s="4"/>
      <c r="AW2774" s="4"/>
      <c r="AX2774" s="4"/>
      <c r="AY2774" s="4"/>
      <c r="AZ2774" s="4"/>
      <c r="BA2774" s="4"/>
      <c r="BB2774" s="4"/>
      <c r="BC2774" s="4"/>
      <c r="BD2774" s="4"/>
      <c r="BE2774" s="4"/>
      <c r="BF2774" s="4"/>
      <c r="BG2774" s="4"/>
      <c r="BH2774" s="4"/>
      <c r="BI2774" s="4"/>
      <c r="BJ2774" s="4"/>
      <c r="BK2774" s="4"/>
      <c r="BL2774" s="4"/>
      <c r="BM2774" s="4"/>
      <c r="BN2774" s="4"/>
      <c r="BO2774" s="4"/>
      <c r="BP2774" s="4"/>
      <c r="BQ2774" s="4"/>
      <c r="BR2774" s="4"/>
      <c r="BS2774" s="4"/>
      <c r="BT2774" s="4"/>
      <c r="BU2774" s="4"/>
      <c r="BV2774" s="4"/>
      <c r="BW2774" s="4"/>
      <c r="BX2774" s="4"/>
      <c r="BY2774" s="4"/>
      <c r="BZ2774" s="4"/>
      <c r="CA2774" s="4"/>
      <c r="CB2774" s="4"/>
      <c r="CC2774" s="4"/>
      <c r="CD2774" s="4"/>
      <c r="CE2774" s="4"/>
      <c r="CF2774" s="4"/>
      <c r="CG2774" s="4"/>
      <c r="CH2774" s="4"/>
      <c r="CI2774" s="4"/>
      <c r="CJ2774" s="4"/>
      <c r="CK2774" s="4"/>
      <c r="CL2774" s="4"/>
      <c r="CM2774" s="4"/>
      <c r="CN2774" s="4"/>
      <c r="CO2774" s="4"/>
      <c r="CP2774" s="4"/>
      <c r="CQ2774" s="4"/>
      <c r="CR2774" s="4"/>
      <c r="CS2774" s="4"/>
      <c r="CT2774" s="4"/>
      <c r="CU2774" s="4"/>
      <c r="CV2774" s="4"/>
      <c r="CW2774" s="4"/>
      <c r="CX2774" s="4"/>
      <c r="CY2774" s="4"/>
      <c r="CZ2774" s="4"/>
      <c r="DA2774" s="4"/>
      <c r="DB2774" s="4"/>
      <c r="DC2774" s="4"/>
      <c r="DD2774" s="4"/>
      <c r="DE2774" s="4"/>
      <c r="DF2774" s="4"/>
      <c r="DG2774" s="4"/>
      <c r="DH2774" s="4"/>
      <c r="DI2774" s="4"/>
      <c r="DJ2774" s="4"/>
      <c r="DK2774" s="4"/>
      <c r="DL2774" s="4"/>
      <c r="DM2774" s="4"/>
      <c r="DN2774" s="4"/>
      <c r="DO2774" s="4"/>
      <c r="DP2774" s="4"/>
      <c r="DQ2774" s="4"/>
      <c r="DR2774" s="4"/>
      <c r="DS2774" s="4"/>
    </row>
    <row r="2775">
      <c r="A2775" s="4"/>
      <c r="B2775" s="4"/>
      <c r="C2775" s="4"/>
      <c r="D2775" s="4"/>
      <c r="E2775" s="4"/>
      <c r="F2775" s="4" t="s">
        <v>17</v>
      </c>
      <c r="G2775" s="15"/>
      <c r="H2775" s="4"/>
      <c r="I2775" s="4"/>
      <c r="J2775" s="4"/>
      <c r="K2775" s="4"/>
      <c r="L2775" s="4"/>
      <c r="M2775" s="4"/>
      <c r="N2775" s="4"/>
      <c r="O2775" s="4"/>
      <c r="P2775" s="4"/>
      <c r="Q2775" s="4"/>
      <c r="R2775" s="4"/>
      <c r="S2775" s="4"/>
      <c r="T2775" s="4"/>
      <c r="U2775" s="4"/>
      <c r="V2775" s="4"/>
      <c r="W2775" s="4"/>
      <c r="X2775" s="4"/>
      <c r="Y2775" s="4"/>
      <c r="Z2775" s="4"/>
      <c r="AA2775" s="4"/>
      <c r="AB2775" s="4"/>
      <c r="AC2775" s="4"/>
      <c r="AD2775" s="4"/>
      <c r="AE2775" s="4"/>
      <c r="AF2775" s="4"/>
      <c r="AG2775" s="4"/>
      <c r="AH2775" s="4"/>
      <c r="AI2775" s="4"/>
      <c r="AJ2775" s="4"/>
      <c r="AK2775" s="4"/>
      <c r="AL2775" s="4"/>
      <c r="AM2775" s="4"/>
      <c r="AN2775" s="4"/>
      <c r="AO2775" s="4"/>
      <c r="AP2775" s="4"/>
      <c r="AQ2775" s="4"/>
      <c r="AR2775" s="4"/>
      <c r="AS2775" s="4"/>
      <c r="AT2775" s="4"/>
      <c r="AU2775" s="4"/>
      <c r="AV2775" s="4"/>
      <c r="AW2775" s="4"/>
      <c r="AX2775" s="4"/>
      <c r="AY2775" s="4"/>
      <c r="AZ2775" s="4"/>
      <c r="BA2775" s="4"/>
      <c r="BB2775" s="4"/>
      <c r="BC2775" s="4"/>
      <c r="BD2775" s="4"/>
      <c r="BE2775" s="4"/>
      <c r="BF2775" s="4"/>
      <c r="BG2775" s="4"/>
      <c r="BH2775" s="4"/>
      <c r="BI2775" s="4"/>
      <c r="BJ2775" s="4"/>
      <c r="BK2775" s="4"/>
      <c r="BL2775" s="4"/>
      <c r="BM2775" s="4"/>
      <c r="BN2775" s="4"/>
      <c r="BO2775" s="4"/>
      <c r="BP2775" s="4"/>
      <c r="BQ2775" s="4"/>
      <c r="BR2775" s="4"/>
      <c r="BS2775" s="4"/>
      <c r="BT2775" s="4"/>
      <c r="BU2775" s="4"/>
      <c r="BV2775" s="4"/>
      <c r="BW2775" s="4"/>
      <c r="BX2775" s="4"/>
      <c r="BY2775" s="4"/>
      <c r="BZ2775" s="4"/>
      <c r="CA2775" s="4"/>
      <c r="CB2775" s="4"/>
      <c r="CC2775" s="4"/>
      <c r="CD2775" s="4"/>
      <c r="CE2775" s="4"/>
      <c r="CF2775" s="4"/>
      <c r="CG2775" s="4"/>
      <c r="CH2775" s="4"/>
      <c r="CI2775" s="4"/>
      <c r="CJ2775" s="4"/>
      <c r="CK2775" s="4"/>
      <c r="CL2775" s="4"/>
      <c r="CM2775" s="4"/>
      <c r="CN2775" s="4"/>
      <c r="CO2775" s="4"/>
      <c r="CP2775" s="4"/>
      <c r="CQ2775" s="4"/>
      <c r="CR2775" s="4"/>
      <c r="CS2775" s="4"/>
      <c r="CT2775" s="4"/>
      <c r="CU2775" s="4"/>
      <c r="CV2775" s="4"/>
      <c r="CW2775" s="4"/>
      <c r="CX2775" s="4"/>
      <c r="CY2775" s="4"/>
      <c r="CZ2775" s="4"/>
      <c r="DA2775" s="4"/>
      <c r="DB2775" s="4"/>
      <c r="DC2775" s="4"/>
      <c r="DD2775" s="4"/>
      <c r="DE2775" s="4"/>
      <c r="DF2775" s="4"/>
      <c r="DG2775" s="4"/>
      <c r="DH2775" s="4"/>
      <c r="DI2775" s="4"/>
      <c r="DJ2775" s="4"/>
      <c r="DK2775" s="4"/>
      <c r="DL2775" s="4"/>
      <c r="DM2775" s="4"/>
      <c r="DN2775" s="4"/>
      <c r="DO2775" s="4"/>
      <c r="DP2775" s="4"/>
      <c r="DQ2775" s="4"/>
      <c r="DR2775" s="4"/>
      <c r="DS2775" s="4"/>
    </row>
    <row r="2776">
      <c r="A2776" s="4"/>
      <c r="B2776" s="4"/>
      <c r="C2776" s="4"/>
      <c r="D2776" s="4"/>
      <c r="E2776" s="4"/>
      <c r="F2776" s="4" t="s">
        <v>17</v>
      </c>
      <c r="G2776" s="15"/>
      <c r="H2776" s="4"/>
      <c r="I2776" s="4"/>
      <c r="J2776" s="4"/>
      <c r="K2776" s="4"/>
      <c r="L2776" s="4"/>
      <c r="M2776" s="4"/>
      <c r="N2776" s="4"/>
      <c r="O2776" s="4"/>
      <c r="P2776" s="4"/>
      <c r="Q2776" s="4"/>
      <c r="R2776" s="4"/>
      <c r="S2776" s="4"/>
      <c r="T2776" s="4"/>
      <c r="U2776" s="4"/>
      <c r="V2776" s="4"/>
      <c r="W2776" s="4"/>
      <c r="X2776" s="4"/>
      <c r="Y2776" s="4"/>
      <c r="Z2776" s="4"/>
      <c r="AA2776" s="4"/>
      <c r="AB2776" s="4"/>
      <c r="AC2776" s="4"/>
      <c r="AD2776" s="4"/>
      <c r="AE2776" s="4"/>
      <c r="AF2776" s="4"/>
      <c r="AG2776" s="4"/>
      <c r="AH2776" s="4"/>
      <c r="AI2776" s="4"/>
      <c r="AJ2776" s="4"/>
      <c r="AK2776" s="4"/>
      <c r="AL2776" s="4"/>
      <c r="AM2776" s="4"/>
      <c r="AN2776" s="4"/>
      <c r="AO2776" s="4"/>
      <c r="AP2776" s="4"/>
      <c r="AQ2776" s="4"/>
      <c r="AR2776" s="4"/>
      <c r="AS2776" s="4"/>
      <c r="AT2776" s="4"/>
      <c r="AU2776" s="4"/>
      <c r="AV2776" s="4"/>
      <c r="AW2776" s="4"/>
      <c r="AX2776" s="4"/>
      <c r="AY2776" s="4"/>
      <c r="AZ2776" s="4"/>
      <c r="BA2776" s="4"/>
      <c r="BB2776" s="4"/>
      <c r="BC2776" s="4"/>
      <c r="BD2776" s="4"/>
      <c r="BE2776" s="4"/>
      <c r="BF2776" s="4"/>
      <c r="BG2776" s="4"/>
      <c r="BH2776" s="4"/>
      <c r="BI2776" s="4"/>
      <c r="BJ2776" s="4"/>
      <c r="BK2776" s="4"/>
      <c r="BL2776" s="4"/>
      <c r="BM2776" s="4"/>
      <c r="BN2776" s="4"/>
      <c r="BO2776" s="4"/>
      <c r="BP2776" s="4"/>
      <c r="BQ2776" s="4"/>
      <c r="BR2776" s="4"/>
      <c r="BS2776" s="4"/>
      <c r="BT2776" s="4"/>
      <c r="BU2776" s="4"/>
      <c r="BV2776" s="4"/>
      <c r="BW2776" s="4"/>
      <c r="BX2776" s="4"/>
      <c r="BY2776" s="4"/>
      <c r="BZ2776" s="4"/>
      <c r="CA2776" s="4"/>
      <c r="CB2776" s="4"/>
      <c r="CC2776" s="4"/>
      <c r="CD2776" s="4"/>
      <c r="CE2776" s="4"/>
      <c r="CF2776" s="4"/>
      <c r="CG2776" s="4"/>
      <c r="CH2776" s="4"/>
      <c r="CI2776" s="4"/>
      <c r="CJ2776" s="4"/>
      <c r="CK2776" s="4"/>
      <c r="CL2776" s="4"/>
      <c r="CM2776" s="4"/>
      <c r="CN2776" s="4"/>
      <c r="CO2776" s="4"/>
      <c r="CP2776" s="4"/>
      <c r="CQ2776" s="4"/>
      <c r="CR2776" s="4"/>
      <c r="CS2776" s="4"/>
      <c r="CT2776" s="4"/>
      <c r="CU2776" s="4"/>
      <c r="CV2776" s="4"/>
      <c r="CW2776" s="4"/>
      <c r="CX2776" s="4"/>
      <c r="CY2776" s="4"/>
      <c r="CZ2776" s="4"/>
      <c r="DA2776" s="4"/>
      <c r="DB2776" s="4"/>
      <c r="DC2776" s="4"/>
      <c r="DD2776" s="4"/>
      <c r="DE2776" s="4"/>
      <c r="DF2776" s="4"/>
      <c r="DG2776" s="4"/>
      <c r="DH2776" s="4"/>
      <c r="DI2776" s="4"/>
      <c r="DJ2776" s="4"/>
      <c r="DK2776" s="4"/>
      <c r="DL2776" s="4"/>
      <c r="DM2776" s="4"/>
      <c r="DN2776" s="4"/>
      <c r="DO2776" s="4"/>
      <c r="DP2776" s="4"/>
      <c r="DQ2776" s="4"/>
      <c r="DR2776" s="4"/>
      <c r="DS2776" s="4"/>
    </row>
    <row r="2777">
      <c r="A2777" s="4"/>
      <c r="B2777" s="4"/>
      <c r="C2777" s="4"/>
      <c r="D2777" s="4"/>
      <c r="E2777" s="4"/>
      <c r="F2777" s="4" t="s">
        <v>17</v>
      </c>
      <c r="G2777" s="15"/>
      <c r="H2777" s="4"/>
      <c r="I2777" s="4"/>
      <c r="J2777" s="4"/>
      <c r="K2777" s="4"/>
      <c r="L2777" s="4"/>
      <c r="M2777" s="4"/>
      <c r="N2777" s="4"/>
      <c r="O2777" s="4"/>
      <c r="P2777" s="4"/>
      <c r="Q2777" s="4"/>
      <c r="R2777" s="4"/>
      <c r="S2777" s="4"/>
      <c r="T2777" s="4"/>
      <c r="U2777" s="4"/>
      <c r="V2777" s="4"/>
      <c r="W2777" s="4"/>
      <c r="X2777" s="4"/>
      <c r="Y2777" s="4"/>
      <c r="Z2777" s="4"/>
      <c r="AA2777" s="4"/>
      <c r="AB2777" s="4"/>
      <c r="AC2777" s="4"/>
      <c r="AD2777" s="4"/>
      <c r="AE2777" s="4"/>
      <c r="AF2777" s="4"/>
      <c r="AG2777" s="4"/>
      <c r="AH2777" s="4"/>
      <c r="AI2777" s="4"/>
      <c r="AJ2777" s="4"/>
      <c r="AK2777" s="4"/>
      <c r="AL2777" s="4"/>
      <c r="AM2777" s="4"/>
      <c r="AN2777" s="4"/>
      <c r="AO2777" s="4"/>
      <c r="AP2777" s="4"/>
      <c r="AQ2777" s="4"/>
      <c r="AR2777" s="4"/>
      <c r="AS2777" s="4"/>
      <c r="AT2777" s="4"/>
      <c r="AU2777" s="4"/>
      <c r="AV2777" s="4"/>
      <c r="AW2777" s="4"/>
      <c r="AX2777" s="4"/>
      <c r="AY2777" s="4"/>
      <c r="AZ2777" s="4"/>
      <c r="BA2777" s="4"/>
      <c r="BB2777" s="4"/>
      <c r="BC2777" s="4"/>
      <c r="BD2777" s="4"/>
      <c r="BE2777" s="4"/>
      <c r="BF2777" s="4"/>
      <c r="BG2777" s="4"/>
      <c r="BH2777" s="4"/>
      <c r="BI2777" s="4"/>
      <c r="BJ2777" s="4"/>
      <c r="BK2777" s="4"/>
      <c r="BL2777" s="4"/>
      <c r="BM2777" s="4"/>
      <c r="BN2777" s="4"/>
      <c r="BO2777" s="4"/>
      <c r="BP2777" s="4"/>
      <c r="BQ2777" s="4"/>
      <c r="BR2777" s="4"/>
      <c r="BS2777" s="4"/>
      <c r="BT2777" s="4"/>
      <c r="BU2777" s="4"/>
      <c r="BV2777" s="4"/>
      <c r="BW2777" s="4"/>
      <c r="BX2777" s="4"/>
      <c r="BY2777" s="4"/>
      <c r="BZ2777" s="4"/>
      <c r="CA2777" s="4"/>
      <c r="CB2777" s="4"/>
      <c r="CC2777" s="4"/>
      <c r="CD2777" s="4"/>
      <c r="CE2777" s="4"/>
      <c r="CF2777" s="4"/>
      <c r="CG2777" s="4"/>
      <c r="CH2777" s="4"/>
      <c r="CI2777" s="4"/>
      <c r="CJ2777" s="4"/>
      <c r="CK2777" s="4"/>
      <c r="CL2777" s="4"/>
      <c r="CM2777" s="4"/>
      <c r="CN2777" s="4"/>
      <c r="CO2777" s="4"/>
      <c r="CP2777" s="4"/>
      <c r="CQ2777" s="4"/>
      <c r="CR2777" s="4"/>
      <c r="CS2777" s="4"/>
      <c r="CT2777" s="4"/>
      <c r="CU2777" s="4"/>
      <c r="CV2777" s="4"/>
      <c r="CW2777" s="4"/>
      <c r="CX2777" s="4"/>
      <c r="CY2777" s="4"/>
      <c r="CZ2777" s="4"/>
      <c r="DA2777" s="4"/>
      <c r="DB2777" s="4"/>
      <c r="DC2777" s="4"/>
      <c r="DD2777" s="4"/>
      <c r="DE2777" s="4"/>
      <c r="DF2777" s="4"/>
      <c r="DG2777" s="4"/>
      <c r="DH2777" s="4"/>
      <c r="DI2777" s="4"/>
      <c r="DJ2777" s="4"/>
      <c r="DK2777" s="4"/>
      <c r="DL2777" s="4"/>
      <c r="DM2777" s="4"/>
      <c r="DN2777" s="4"/>
      <c r="DO2777" s="4"/>
      <c r="DP2777" s="4"/>
      <c r="DQ2777" s="4"/>
      <c r="DR2777" s="4"/>
      <c r="DS2777" s="4"/>
    </row>
    <row r="2778">
      <c r="A2778" s="4"/>
      <c r="B2778" s="4"/>
      <c r="C2778" s="4"/>
      <c r="D2778" s="4"/>
      <c r="E2778" s="4"/>
      <c r="F2778" s="4" t="s">
        <v>17</v>
      </c>
      <c r="G2778" s="15"/>
      <c r="H2778" s="4"/>
      <c r="I2778" s="4"/>
      <c r="J2778" s="4"/>
      <c r="K2778" s="4"/>
      <c r="L2778" s="4"/>
      <c r="M2778" s="4"/>
      <c r="N2778" s="4"/>
      <c r="O2778" s="4"/>
      <c r="P2778" s="4"/>
      <c r="Q2778" s="4"/>
      <c r="R2778" s="4"/>
      <c r="S2778" s="4"/>
      <c r="T2778" s="4"/>
      <c r="U2778" s="4"/>
      <c r="V2778" s="4"/>
      <c r="W2778" s="4"/>
      <c r="X2778" s="4"/>
      <c r="Y2778" s="4"/>
      <c r="Z2778" s="4"/>
      <c r="AA2778" s="4"/>
      <c r="AB2778" s="4"/>
      <c r="AC2778" s="4"/>
      <c r="AD2778" s="4"/>
      <c r="AE2778" s="4"/>
      <c r="AF2778" s="4"/>
      <c r="AG2778" s="4"/>
      <c r="AH2778" s="4"/>
      <c r="AI2778" s="4"/>
      <c r="AJ2778" s="4"/>
      <c r="AK2778" s="4"/>
      <c r="AL2778" s="4"/>
      <c r="AM2778" s="4"/>
      <c r="AN2778" s="4"/>
      <c r="AO2778" s="4"/>
      <c r="AP2778" s="4"/>
      <c r="AQ2778" s="4"/>
      <c r="AR2778" s="4"/>
      <c r="AS2778" s="4"/>
      <c r="AT2778" s="4"/>
      <c r="AU2778" s="4"/>
      <c r="AV2778" s="4"/>
      <c r="AW2778" s="4"/>
      <c r="AX2778" s="4"/>
      <c r="AY2778" s="4"/>
      <c r="AZ2778" s="4"/>
      <c r="BA2778" s="4"/>
      <c r="BB2778" s="4"/>
      <c r="BC2778" s="4"/>
      <c r="BD2778" s="4"/>
      <c r="BE2778" s="4"/>
      <c r="BF2778" s="4"/>
      <c r="BG2778" s="4"/>
      <c r="BH2778" s="4"/>
      <c r="BI2778" s="4"/>
      <c r="BJ2778" s="4"/>
      <c r="BK2778" s="4"/>
      <c r="BL2778" s="4"/>
      <c r="BM2778" s="4"/>
      <c r="BN2778" s="4"/>
      <c r="BO2778" s="4"/>
      <c r="BP2778" s="4"/>
      <c r="BQ2778" s="4"/>
      <c r="BR2778" s="4"/>
      <c r="BS2778" s="4"/>
      <c r="BT2778" s="4"/>
      <c r="BU2778" s="4"/>
      <c r="BV2778" s="4"/>
      <c r="BW2778" s="4"/>
      <c r="BX2778" s="4"/>
      <c r="BY2778" s="4"/>
      <c r="BZ2778" s="4"/>
      <c r="CA2778" s="4"/>
      <c r="CB2778" s="4"/>
      <c r="CC2778" s="4"/>
      <c r="CD2778" s="4"/>
      <c r="CE2778" s="4"/>
      <c r="CF2778" s="4"/>
      <c r="CG2778" s="4"/>
      <c r="CH2778" s="4"/>
      <c r="CI2778" s="4"/>
      <c r="CJ2778" s="4"/>
      <c r="CK2778" s="4"/>
      <c r="CL2778" s="4"/>
      <c r="CM2778" s="4"/>
      <c r="CN2778" s="4"/>
      <c r="CO2778" s="4"/>
      <c r="CP2778" s="4"/>
      <c r="CQ2778" s="4"/>
      <c r="CR2778" s="4"/>
      <c r="CS2778" s="4"/>
      <c r="CT2778" s="4"/>
      <c r="CU2778" s="4"/>
      <c r="CV2778" s="4"/>
      <c r="CW2778" s="4"/>
      <c r="CX2778" s="4"/>
      <c r="CY2778" s="4"/>
      <c r="CZ2778" s="4"/>
      <c r="DA2778" s="4"/>
      <c r="DB2778" s="4"/>
      <c r="DC2778" s="4"/>
      <c r="DD2778" s="4"/>
      <c r="DE2778" s="4"/>
      <c r="DF2778" s="4"/>
      <c r="DG2778" s="4"/>
      <c r="DH2778" s="4"/>
      <c r="DI2778" s="4"/>
      <c r="DJ2778" s="4"/>
      <c r="DK2778" s="4"/>
      <c r="DL2778" s="4"/>
      <c r="DM2778" s="4"/>
      <c r="DN2778" s="4"/>
      <c r="DO2778" s="4"/>
      <c r="DP2778" s="4"/>
      <c r="DQ2778" s="4"/>
      <c r="DR2778" s="4"/>
      <c r="DS2778" s="4"/>
    </row>
    <row r="2779">
      <c r="A2779" s="4"/>
      <c r="B2779" s="4"/>
      <c r="C2779" s="4"/>
      <c r="D2779" s="4"/>
      <c r="E2779" s="4"/>
      <c r="F2779" s="4" t="s">
        <v>17</v>
      </c>
      <c r="G2779" s="15"/>
      <c r="H2779" s="4"/>
      <c r="I2779" s="4"/>
      <c r="J2779" s="4"/>
      <c r="K2779" s="4"/>
      <c r="L2779" s="4"/>
      <c r="M2779" s="4"/>
      <c r="N2779" s="4"/>
      <c r="O2779" s="4"/>
      <c r="P2779" s="4"/>
      <c r="Q2779" s="4"/>
      <c r="R2779" s="4"/>
      <c r="S2779" s="4"/>
      <c r="T2779" s="4"/>
      <c r="U2779" s="4"/>
      <c r="V2779" s="4"/>
      <c r="W2779" s="4"/>
      <c r="X2779" s="4"/>
      <c r="Y2779" s="4"/>
      <c r="Z2779" s="4"/>
      <c r="AA2779" s="4"/>
      <c r="AB2779" s="4"/>
      <c r="AC2779" s="4"/>
      <c r="AD2779" s="4"/>
      <c r="AE2779" s="4"/>
      <c r="AF2779" s="4"/>
      <c r="AG2779" s="4"/>
      <c r="AH2779" s="4"/>
      <c r="AI2779" s="4"/>
      <c r="AJ2779" s="4"/>
      <c r="AK2779" s="4"/>
      <c r="AL2779" s="4"/>
      <c r="AM2779" s="4"/>
      <c r="AN2779" s="4"/>
      <c r="AO2779" s="4"/>
      <c r="AP2779" s="4"/>
      <c r="AQ2779" s="4"/>
      <c r="AR2779" s="4"/>
      <c r="AS2779" s="4"/>
      <c r="AT2779" s="4"/>
      <c r="AU2779" s="4"/>
      <c r="AV2779" s="4"/>
      <c r="AW2779" s="4"/>
      <c r="AX2779" s="4"/>
      <c r="AY2779" s="4"/>
      <c r="AZ2779" s="4"/>
      <c r="BA2779" s="4"/>
      <c r="BB2779" s="4"/>
      <c r="BC2779" s="4"/>
      <c r="BD2779" s="4"/>
      <c r="BE2779" s="4"/>
      <c r="BF2779" s="4"/>
      <c r="BG2779" s="4"/>
      <c r="BH2779" s="4"/>
      <c r="BI2779" s="4"/>
      <c r="BJ2779" s="4"/>
      <c r="BK2779" s="4"/>
      <c r="BL2779" s="4"/>
      <c r="BM2779" s="4"/>
      <c r="BN2779" s="4"/>
      <c r="BO2779" s="4"/>
      <c r="BP2779" s="4"/>
      <c r="BQ2779" s="4"/>
      <c r="BR2779" s="4"/>
      <c r="BS2779" s="4"/>
      <c r="BT2779" s="4"/>
      <c r="BU2779" s="4"/>
      <c r="BV2779" s="4"/>
      <c r="BW2779" s="4"/>
      <c r="BX2779" s="4"/>
      <c r="BY2779" s="4"/>
      <c r="BZ2779" s="4"/>
      <c r="CA2779" s="4"/>
      <c r="CB2779" s="4"/>
      <c r="CC2779" s="4"/>
      <c r="CD2779" s="4"/>
      <c r="CE2779" s="4"/>
      <c r="CF2779" s="4"/>
      <c r="CG2779" s="4"/>
      <c r="CH2779" s="4"/>
      <c r="CI2779" s="4"/>
      <c r="CJ2779" s="4"/>
      <c r="CK2779" s="4"/>
      <c r="CL2779" s="4"/>
      <c r="CM2779" s="4"/>
      <c r="CN2779" s="4"/>
      <c r="CO2779" s="4"/>
      <c r="CP2779" s="4"/>
      <c r="CQ2779" s="4"/>
      <c r="CR2779" s="4"/>
      <c r="CS2779" s="4"/>
      <c r="CT2779" s="4"/>
      <c r="CU2779" s="4"/>
      <c r="CV2779" s="4"/>
      <c r="CW2779" s="4"/>
      <c r="CX2779" s="4"/>
      <c r="CY2779" s="4"/>
      <c r="CZ2779" s="4"/>
      <c r="DA2779" s="4"/>
      <c r="DB2779" s="4"/>
      <c r="DC2779" s="4"/>
      <c r="DD2779" s="4"/>
      <c r="DE2779" s="4"/>
      <c r="DF2779" s="4"/>
      <c r="DG2779" s="4"/>
      <c r="DH2779" s="4"/>
      <c r="DI2779" s="4"/>
      <c r="DJ2779" s="4"/>
      <c r="DK2779" s="4"/>
      <c r="DL2779" s="4"/>
      <c r="DM2779" s="4"/>
      <c r="DN2779" s="4"/>
      <c r="DO2779" s="4"/>
      <c r="DP2779" s="4"/>
      <c r="DQ2779" s="4"/>
      <c r="DR2779" s="4"/>
      <c r="DS2779" s="4"/>
    </row>
    <row r="2780">
      <c r="A2780" s="4"/>
      <c r="B2780" s="4"/>
      <c r="C2780" s="4"/>
      <c r="D2780" s="4"/>
      <c r="E2780" s="4"/>
      <c r="F2780" s="4" t="s">
        <v>17</v>
      </c>
      <c r="G2780" s="15"/>
      <c r="H2780" s="4"/>
      <c r="I2780" s="4"/>
      <c r="J2780" s="4"/>
      <c r="K2780" s="4"/>
      <c r="L2780" s="4"/>
      <c r="M2780" s="4"/>
      <c r="N2780" s="4"/>
      <c r="O2780" s="4"/>
      <c r="P2780" s="4"/>
      <c r="Q2780" s="4"/>
      <c r="R2780" s="4"/>
      <c r="S2780" s="4"/>
      <c r="T2780" s="4"/>
      <c r="U2780" s="4"/>
      <c r="V2780" s="4"/>
      <c r="W2780" s="4"/>
      <c r="X2780" s="4"/>
      <c r="Y2780" s="4"/>
      <c r="Z2780" s="4"/>
      <c r="AA2780" s="4"/>
      <c r="AB2780" s="4"/>
      <c r="AC2780" s="4"/>
      <c r="AD2780" s="4"/>
      <c r="AE2780" s="4"/>
      <c r="AF2780" s="4"/>
      <c r="AG2780" s="4"/>
      <c r="AH2780" s="4"/>
      <c r="AI2780" s="4"/>
      <c r="AJ2780" s="4"/>
      <c r="AK2780" s="4"/>
      <c r="AL2780" s="4"/>
      <c r="AM2780" s="4"/>
      <c r="AN2780" s="4"/>
      <c r="AO2780" s="4"/>
      <c r="AP2780" s="4"/>
      <c r="AQ2780" s="4"/>
      <c r="AR2780" s="4"/>
      <c r="AS2780" s="4"/>
      <c r="AT2780" s="4"/>
      <c r="AU2780" s="4"/>
      <c r="AV2780" s="4"/>
      <c r="AW2780" s="4"/>
      <c r="AX2780" s="4"/>
      <c r="AY2780" s="4"/>
      <c r="AZ2780" s="4"/>
      <c r="BA2780" s="4"/>
      <c r="BB2780" s="4"/>
      <c r="BC2780" s="4"/>
      <c r="BD2780" s="4"/>
      <c r="BE2780" s="4"/>
      <c r="BF2780" s="4"/>
      <c r="BG2780" s="4"/>
      <c r="BH2780" s="4"/>
      <c r="BI2780" s="4"/>
      <c r="BJ2780" s="4"/>
      <c r="BK2780" s="4"/>
      <c r="BL2780" s="4"/>
      <c r="BM2780" s="4"/>
      <c r="BN2780" s="4"/>
      <c r="BO2780" s="4"/>
      <c r="BP2780" s="4"/>
      <c r="BQ2780" s="4"/>
      <c r="BR2780" s="4"/>
      <c r="BS2780" s="4"/>
      <c r="BT2780" s="4"/>
      <c r="BU2780" s="4"/>
      <c r="BV2780" s="4"/>
      <c r="BW2780" s="4"/>
      <c r="BX2780" s="4"/>
      <c r="BY2780" s="4"/>
      <c r="BZ2780" s="4"/>
      <c r="CA2780" s="4"/>
      <c r="CB2780" s="4"/>
      <c r="CC2780" s="4"/>
      <c r="CD2780" s="4"/>
      <c r="CE2780" s="4"/>
      <c r="CF2780" s="4"/>
      <c r="CG2780" s="4"/>
      <c r="CH2780" s="4"/>
      <c r="CI2780" s="4"/>
      <c r="CJ2780" s="4"/>
      <c r="CK2780" s="4"/>
      <c r="CL2780" s="4"/>
      <c r="CM2780" s="4"/>
      <c r="CN2780" s="4"/>
      <c r="CO2780" s="4"/>
      <c r="CP2780" s="4"/>
      <c r="CQ2780" s="4"/>
      <c r="CR2780" s="4"/>
      <c r="CS2780" s="4"/>
      <c r="CT2780" s="4"/>
      <c r="CU2780" s="4"/>
      <c r="CV2780" s="4"/>
      <c r="CW2780" s="4"/>
      <c r="CX2780" s="4"/>
      <c r="CY2780" s="4"/>
      <c r="CZ2780" s="4"/>
      <c r="DA2780" s="4"/>
      <c r="DB2780" s="4"/>
      <c r="DC2780" s="4"/>
      <c r="DD2780" s="4"/>
      <c r="DE2780" s="4"/>
      <c r="DF2780" s="4"/>
      <c r="DG2780" s="4"/>
      <c r="DH2780" s="4"/>
      <c r="DI2780" s="4"/>
      <c r="DJ2780" s="4"/>
      <c r="DK2780" s="4"/>
      <c r="DL2780" s="4"/>
      <c r="DM2780" s="4"/>
      <c r="DN2780" s="4"/>
      <c r="DO2780" s="4"/>
      <c r="DP2780" s="4"/>
      <c r="DQ2780" s="4"/>
      <c r="DR2780" s="4"/>
      <c r="DS2780" s="4"/>
    </row>
    <row r="2781">
      <c r="A2781" s="4"/>
      <c r="B2781" s="4"/>
      <c r="C2781" s="4"/>
      <c r="D2781" s="4"/>
      <c r="E2781" s="4"/>
      <c r="F2781" s="4" t="s">
        <v>17</v>
      </c>
      <c r="G2781" s="15"/>
      <c r="H2781" s="4"/>
      <c r="I2781" s="4"/>
      <c r="J2781" s="4"/>
      <c r="K2781" s="4"/>
      <c r="L2781" s="4"/>
      <c r="M2781" s="4"/>
      <c r="N2781" s="4"/>
      <c r="O2781" s="4"/>
      <c r="P2781" s="4"/>
      <c r="Q2781" s="4"/>
      <c r="R2781" s="4"/>
      <c r="S2781" s="4"/>
      <c r="T2781" s="4"/>
      <c r="U2781" s="4"/>
      <c r="V2781" s="4"/>
      <c r="W2781" s="4"/>
      <c r="X2781" s="4"/>
      <c r="Y2781" s="4"/>
      <c r="Z2781" s="4"/>
      <c r="AA2781" s="4"/>
      <c r="AB2781" s="4"/>
      <c r="AC2781" s="4"/>
      <c r="AD2781" s="4"/>
      <c r="AE2781" s="4"/>
      <c r="AF2781" s="4"/>
      <c r="AG2781" s="4"/>
      <c r="AH2781" s="4"/>
      <c r="AI2781" s="4"/>
      <c r="AJ2781" s="4"/>
      <c r="AK2781" s="4"/>
      <c r="AL2781" s="4"/>
      <c r="AM2781" s="4"/>
      <c r="AN2781" s="4"/>
      <c r="AO2781" s="4"/>
      <c r="AP2781" s="4"/>
      <c r="AQ2781" s="4"/>
      <c r="AR2781" s="4"/>
      <c r="AS2781" s="4"/>
      <c r="AT2781" s="4"/>
      <c r="AU2781" s="4"/>
      <c r="AV2781" s="4"/>
      <c r="AW2781" s="4"/>
      <c r="AX2781" s="4"/>
      <c r="AY2781" s="4"/>
      <c r="AZ2781" s="4"/>
      <c r="BA2781" s="4"/>
      <c r="BB2781" s="4"/>
      <c r="BC2781" s="4"/>
      <c r="BD2781" s="4"/>
      <c r="BE2781" s="4"/>
      <c r="BF2781" s="4"/>
      <c r="BG2781" s="4"/>
      <c r="BH2781" s="4"/>
      <c r="BI2781" s="4"/>
      <c r="BJ2781" s="4"/>
      <c r="BK2781" s="4"/>
      <c r="BL2781" s="4"/>
      <c r="BM2781" s="4"/>
      <c r="BN2781" s="4"/>
      <c r="BO2781" s="4"/>
      <c r="BP2781" s="4"/>
      <c r="BQ2781" s="4"/>
      <c r="BR2781" s="4"/>
      <c r="BS2781" s="4"/>
      <c r="BT2781" s="4"/>
      <c r="BU2781" s="4"/>
      <c r="BV2781" s="4"/>
      <c r="BW2781" s="4"/>
      <c r="BX2781" s="4"/>
      <c r="BY2781" s="4"/>
      <c r="BZ2781" s="4"/>
      <c r="CA2781" s="4"/>
      <c r="CB2781" s="4"/>
      <c r="CC2781" s="4"/>
      <c r="CD2781" s="4"/>
      <c r="CE2781" s="4"/>
      <c r="CF2781" s="4"/>
      <c r="CG2781" s="4"/>
      <c r="CH2781" s="4"/>
      <c r="CI2781" s="4"/>
      <c r="CJ2781" s="4"/>
      <c r="CK2781" s="4"/>
      <c r="CL2781" s="4"/>
      <c r="CM2781" s="4"/>
      <c r="CN2781" s="4"/>
      <c r="CO2781" s="4"/>
      <c r="CP2781" s="4"/>
      <c r="CQ2781" s="4"/>
      <c r="CR2781" s="4"/>
      <c r="CS2781" s="4"/>
      <c r="CT2781" s="4"/>
      <c r="CU2781" s="4"/>
      <c r="CV2781" s="4"/>
      <c r="CW2781" s="4"/>
      <c r="CX2781" s="4"/>
      <c r="CY2781" s="4"/>
      <c r="CZ2781" s="4"/>
      <c r="DA2781" s="4"/>
      <c r="DB2781" s="4"/>
      <c r="DC2781" s="4"/>
      <c r="DD2781" s="4"/>
      <c r="DE2781" s="4"/>
      <c r="DF2781" s="4"/>
      <c r="DG2781" s="4"/>
      <c r="DH2781" s="4"/>
      <c r="DI2781" s="4"/>
      <c r="DJ2781" s="4"/>
      <c r="DK2781" s="4"/>
      <c r="DL2781" s="4"/>
      <c r="DM2781" s="4"/>
      <c r="DN2781" s="4"/>
      <c r="DO2781" s="4"/>
      <c r="DP2781" s="4"/>
      <c r="DQ2781" s="4"/>
      <c r="DR2781" s="4"/>
      <c r="DS2781" s="4"/>
    </row>
    <row r="2782">
      <c r="A2782" s="4"/>
      <c r="B2782" s="4"/>
      <c r="C2782" s="4"/>
      <c r="D2782" s="4"/>
      <c r="E2782" s="4"/>
      <c r="F2782" s="4" t="s">
        <v>17</v>
      </c>
      <c r="G2782" s="15"/>
      <c r="H2782" s="4"/>
      <c r="I2782" s="4"/>
      <c r="J2782" s="4"/>
      <c r="K2782" s="4"/>
      <c r="L2782" s="4"/>
      <c r="M2782" s="4"/>
      <c r="N2782" s="4"/>
      <c r="O2782" s="4"/>
      <c r="P2782" s="4"/>
      <c r="Q2782" s="4"/>
      <c r="R2782" s="4"/>
      <c r="S2782" s="4"/>
      <c r="T2782" s="4"/>
      <c r="U2782" s="4"/>
      <c r="V2782" s="4"/>
      <c r="W2782" s="4"/>
      <c r="X2782" s="4"/>
      <c r="Y2782" s="4"/>
      <c r="Z2782" s="4"/>
      <c r="AA2782" s="4"/>
      <c r="AB2782" s="4"/>
      <c r="AC2782" s="4"/>
      <c r="AD2782" s="4"/>
      <c r="AE2782" s="4"/>
      <c r="AF2782" s="4"/>
      <c r="AG2782" s="4"/>
      <c r="AH2782" s="4"/>
      <c r="AI2782" s="4"/>
      <c r="AJ2782" s="4"/>
      <c r="AK2782" s="4"/>
      <c r="AL2782" s="4"/>
      <c r="AM2782" s="4"/>
      <c r="AN2782" s="4"/>
      <c r="AO2782" s="4"/>
      <c r="AP2782" s="4"/>
      <c r="AQ2782" s="4"/>
      <c r="AR2782" s="4"/>
      <c r="AS2782" s="4"/>
      <c r="AT2782" s="4"/>
      <c r="AU2782" s="4"/>
      <c r="AV2782" s="4"/>
      <c r="AW2782" s="4"/>
      <c r="AX2782" s="4"/>
      <c r="AY2782" s="4"/>
      <c r="AZ2782" s="4"/>
      <c r="BA2782" s="4"/>
      <c r="BB2782" s="4"/>
      <c r="BC2782" s="4"/>
      <c r="BD2782" s="4"/>
      <c r="BE2782" s="4"/>
      <c r="BF2782" s="4"/>
      <c r="BG2782" s="4"/>
      <c r="BH2782" s="4"/>
      <c r="BI2782" s="4"/>
      <c r="BJ2782" s="4"/>
      <c r="BK2782" s="4"/>
      <c r="BL2782" s="4"/>
      <c r="BM2782" s="4"/>
      <c r="BN2782" s="4"/>
      <c r="BO2782" s="4"/>
      <c r="BP2782" s="4"/>
      <c r="BQ2782" s="4"/>
      <c r="BR2782" s="4"/>
      <c r="BS2782" s="4"/>
      <c r="BT2782" s="4"/>
      <c r="BU2782" s="4"/>
      <c r="BV2782" s="4"/>
      <c r="BW2782" s="4"/>
      <c r="BX2782" s="4"/>
      <c r="BY2782" s="4"/>
      <c r="BZ2782" s="4"/>
      <c r="CA2782" s="4"/>
      <c r="CB2782" s="4"/>
      <c r="CC2782" s="4"/>
      <c r="CD2782" s="4"/>
      <c r="CE2782" s="4"/>
      <c r="CF2782" s="4"/>
      <c r="CG2782" s="4"/>
      <c r="CH2782" s="4"/>
      <c r="CI2782" s="4"/>
      <c r="CJ2782" s="4"/>
      <c r="CK2782" s="4"/>
      <c r="CL2782" s="4"/>
      <c r="CM2782" s="4"/>
      <c r="CN2782" s="4"/>
      <c r="CO2782" s="4"/>
      <c r="CP2782" s="4"/>
      <c r="CQ2782" s="4"/>
      <c r="CR2782" s="4"/>
      <c r="CS2782" s="4"/>
      <c r="CT2782" s="4"/>
      <c r="CU2782" s="4"/>
      <c r="CV2782" s="4"/>
      <c r="CW2782" s="4"/>
      <c r="CX2782" s="4"/>
      <c r="CY2782" s="4"/>
      <c r="CZ2782" s="4"/>
      <c r="DA2782" s="4"/>
      <c r="DB2782" s="4"/>
      <c r="DC2782" s="4"/>
      <c r="DD2782" s="4"/>
      <c r="DE2782" s="4"/>
      <c r="DF2782" s="4"/>
      <c r="DG2782" s="4"/>
      <c r="DH2782" s="4"/>
      <c r="DI2782" s="4"/>
      <c r="DJ2782" s="4"/>
      <c r="DK2782" s="4"/>
      <c r="DL2782" s="4"/>
      <c r="DM2782" s="4"/>
      <c r="DN2782" s="4"/>
      <c r="DO2782" s="4"/>
      <c r="DP2782" s="4"/>
      <c r="DQ2782" s="4"/>
      <c r="DR2782" s="4"/>
      <c r="DS2782" s="4"/>
    </row>
    <row r="2783">
      <c r="A2783" s="4"/>
      <c r="B2783" s="4"/>
      <c r="C2783" s="4"/>
      <c r="D2783" s="4"/>
      <c r="E2783" s="4"/>
      <c r="F2783" s="4" t="s">
        <v>17</v>
      </c>
      <c r="G2783" s="15"/>
      <c r="H2783" s="4"/>
      <c r="I2783" s="4"/>
      <c r="J2783" s="4"/>
      <c r="K2783" s="4"/>
      <c r="L2783" s="4"/>
      <c r="M2783" s="4"/>
      <c r="N2783" s="4"/>
      <c r="O2783" s="4"/>
      <c r="P2783" s="4"/>
      <c r="Q2783" s="4"/>
      <c r="R2783" s="4"/>
      <c r="S2783" s="4"/>
      <c r="T2783" s="4"/>
      <c r="U2783" s="4"/>
      <c r="V2783" s="4"/>
      <c r="W2783" s="4"/>
      <c r="X2783" s="4"/>
      <c r="Y2783" s="4"/>
      <c r="Z2783" s="4"/>
      <c r="AA2783" s="4"/>
      <c r="AB2783" s="4"/>
      <c r="AC2783" s="4"/>
      <c r="AD2783" s="4"/>
      <c r="AE2783" s="4"/>
      <c r="AF2783" s="4"/>
      <c r="AG2783" s="4"/>
      <c r="AH2783" s="4"/>
      <c r="AI2783" s="4"/>
      <c r="AJ2783" s="4"/>
      <c r="AK2783" s="4"/>
      <c r="AL2783" s="4"/>
      <c r="AM2783" s="4"/>
      <c r="AN2783" s="4"/>
      <c r="AO2783" s="4"/>
      <c r="AP2783" s="4"/>
      <c r="AQ2783" s="4"/>
      <c r="AR2783" s="4"/>
      <c r="AS2783" s="4"/>
      <c r="AT2783" s="4"/>
      <c r="AU2783" s="4"/>
      <c r="AV2783" s="4"/>
      <c r="AW2783" s="4"/>
      <c r="AX2783" s="4"/>
      <c r="AY2783" s="4"/>
      <c r="AZ2783" s="4"/>
      <c r="BA2783" s="4"/>
      <c r="BB2783" s="4"/>
      <c r="BC2783" s="4"/>
      <c r="BD2783" s="4"/>
      <c r="BE2783" s="4"/>
      <c r="BF2783" s="4"/>
      <c r="BG2783" s="4"/>
      <c r="BH2783" s="4"/>
      <c r="BI2783" s="4"/>
      <c r="BJ2783" s="4"/>
      <c r="BK2783" s="4"/>
      <c r="BL2783" s="4"/>
      <c r="BM2783" s="4"/>
      <c r="BN2783" s="4"/>
      <c r="BO2783" s="4"/>
      <c r="BP2783" s="4"/>
      <c r="BQ2783" s="4"/>
      <c r="BR2783" s="4"/>
      <c r="BS2783" s="4"/>
      <c r="BT2783" s="4"/>
      <c r="BU2783" s="4"/>
      <c r="BV2783" s="4"/>
      <c r="BW2783" s="4"/>
      <c r="BX2783" s="4"/>
      <c r="BY2783" s="4"/>
      <c r="BZ2783" s="4"/>
      <c r="CA2783" s="4"/>
      <c r="CB2783" s="4"/>
      <c r="CC2783" s="4"/>
      <c r="CD2783" s="4"/>
      <c r="CE2783" s="4"/>
      <c r="CF2783" s="4"/>
      <c r="CG2783" s="4"/>
      <c r="CH2783" s="4"/>
      <c r="CI2783" s="4"/>
      <c r="CJ2783" s="4"/>
      <c r="CK2783" s="4"/>
      <c r="CL2783" s="4"/>
      <c r="CM2783" s="4"/>
      <c r="CN2783" s="4"/>
      <c r="CO2783" s="4"/>
      <c r="CP2783" s="4"/>
      <c r="CQ2783" s="4"/>
      <c r="CR2783" s="4"/>
      <c r="CS2783" s="4"/>
      <c r="CT2783" s="4"/>
      <c r="CU2783" s="4"/>
      <c r="CV2783" s="4"/>
      <c r="CW2783" s="4"/>
      <c r="CX2783" s="4"/>
      <c r="CY2783" s="4"/>
      <c r="CZ2783" s="4"/>
      <c r="DA2783" s="4"/>
      <c r="DB2783" s="4"/>
      <c r="DC2783" s="4"/>
      <c r="DD2783" s="4"/>
      <c r="DE2783" s="4"/>
      <c r="DF2783" s="4"/>
      <c r="DG2783" s="4"/>
      <c r="DH2783" s="4"/>
      <c r="DI2783" s="4"/>
      <c r="DJ2783" s="4"/>
      <c r="DK2783" s="4"/>
      <c r="DL2783" s="4"/>
      <c r="DM2783" s="4"/>
      <c r="DN2783" s="4"/>
      <c r="DO2783" s="4"/>
      <c r="DP2783" s="4"/>
      <c r="DQ2783" s="4"/>
      <c r="DR2783" s="4"/>
      <c r="DS2783" s="4"/>
    </row>
    <row r="2784">
      <c r="A2784" s="4"/>
      <c r="B2784" s="4"/>
      <c r="C2784" s="4"/>
      <c r="D2784" s="4"/>
      <c r="E2784" s="4"/>
      <c r="F2784" s="4" t="s">
        <v>17</v>
      </c>
      <c r="G2784" s="15"/>
      <c r="H2784" s="4"/>
      <c r="I2784" s="4"/>
      <c r="J2784" s="4"/>
      <c r="K2784" s="4"/>
      <c r="L2784" s="4"/>
      <c r="M2784" s="4"/>
      <c r="N2784" s="4"/>
      <c r="O2784" s="4"/>
      <c r="P2784" s="4"/>
      <c r="Q2784" s="4"/>
      <c r="R2784" s="4"/>
      <c r="S2784" s="4"/>
      <c r="T2784" s="4"/>
      <c r="U2784" s="4"/>
      <c r="V2784" s="4"/>
      <c r="W2784" s="4"/>
      <c r="X2784" s="4"/>
      <c r="Y2784" s="4"/>
      <c r="Z2784" s="4"/>
      <c r="AA2784" s="4"/>
      <c r="AB2784" s="4"/>
      <c r="AC2784" s="4"/>
      <c r="AD2784" s="4"/>
      <c r="AE2784" s="4"/>
      <c r="AF2784" s="4"/>
      <c r="AG2784" s="4"/>
      <c r="AH2784" s="4"/>
      <c r="AI2784" s="4"/>
      <c r="AJ2784" s="4"/>
      <c r="AK2784" s="4"/>
      <c r="AL2784" s="4"/>
      <c r="AM2784" s="4"/>
      <c r="AN2784" s="4"/>
      <c r="AO2784" s="4"/>
      <c r="AP2784" s="4"/>
      <c r="AQ2784" s="4"/>
      <c r="AR2784" s="4"/>
      <c r="AS2784" s="4"/>
      <c r="AT2784" s="4"/>
      <c r="AU2784" s="4"/>
      <c r="AV2784" s="4"/>
      <c r="AW2784" s="4"/>
      <c r="AX2784" s="4"/>
      <c r="AY2784" s="4"/>
      <c r="AZ2784" s="4"/>
      <c r="BA2784" s="4"/>
      <c r="BB2784" s="4"/>
      <c r="BC2784" s="4"/>
      <c r="BD2784" s="4"/>
      <c r="BE2784" s="4"/>
      <c r="BF2784" s="4"/>
      <c r="BG2784" s="4"/>
      <c r="BH2784" s="4"/>
      <c r="BI2784" s="4"/>
      <c r="BJ2784" s="4"/>
      <c r="BK2784" s="4"/>
      <c r="BL2784" s="4"/>
      <c r="BM2784" s="4"/>
      <c r="BN2784" s="4"/>
      <c r="BO2784" s="4"/>
      <c r="BP2784" s="4"/>
      <c r="BQ2784" s="4"/>
      <c r="BR2784" s="4"/>
      <c r="BS2784" s="4"/>
      <c r="BT2784" s="4"/>
      <c r="BU2784" s="4"/>
      <c r="BV2784" s="4"/>
      <c r="BW2784" s="4"/>
      <c r="BX2784" s="4"/>
      <c r="BY2784" s="4"/>
      <c r="BZ2784" s="4"/>
      <c r="CA2784" s="4"/>
      <c r="CB2784" s="4"/>
      <c r="CC2784" s="4"/>
      <c r="CD2784" s="4"/>
      <c r="CE2784" s="4"/>
      <c r="CF2784" s="4"/>
      <c r="CG2784" s="4"/>
      <c r="CH2784" s="4"/>
      <c r="CI2784" s="4"/>
      <c r="CJ2784" s="4"/>
      <c r="CK2784" s="4"/>
      <c r="CL2784" s="4"/>
      <c r="CM2784" s="4"/>
      <c r="CN2784" s="4"/>
      <c r="CO2784" s="4"/>
      <c r="CP2784" s="4"/>
      <c r="CQ2784" s="4"/>
      <c r="CR2784" s="4"/>
      <c r="CS2784" s="4"/>
      <c r="CT2784" s="4"/>
      <c r="CU2784" s="4"/>
      <c r="CV2784" s="4"/>
      <c r="CW2784" s="4"/>
      <c r="CX2784" s="4"/>
      <c r="CY2784" s="4"/>
      <c r="CZ2784" s="4"/>
      <c r="DA2784" s="4"/>
      <c r="DB2784" s="4"/>
      <c r="DC2784" s="4"/>
      <c r="DD2784" s="4"/>
      <c r="DE2784" s="4"/>
      <c r="DF2784" s="4"/>
      <c r="DG2784" s="4"/>
      <c r="DH2784" s="4"/>
      <c r="DI2784" s="4"/>
      <c r="DJ2784" s="4"/>
      <c r="DK2784" s="4"/>
      <c r="DL2784" s="4"/>
      <c r="DM2784" s="4"/>
      <c r="DN2784" s="4"/>
      <c r="DO2784" s="4"/>
      <c r="DP2784" s="4"/>
      <c r="DQ2784" s="4"/>
      <c r="DR2784" s="4"/>
      <c r="DS2784" s="4"/>
    </row>
    <row r="2785">
      <c r="A2785" s="4"/>
      <c r="B2785" s="4"/>
      <c r="C2785" s="4"/>
      <c r="D2785" s="4"/>
      <c r="E2785" s="4"/>
      <c r="F2785" s="4" t="s">
        <v>17</v>
      </c>
      <c r="G2785" s="15"/>
      <c r="H2785" s="4"/>
      <c r="I2785" s="4"/>
      <c r="J2785" s="4"/>
      <c r="K2785" s="4"/>
      <c r="L2785" s="4"/>
      <c r="M2785" s="4"/>
      <c r="N2785" s="4"/>
      <c r="O2785" s="4"/>
      <c r="P2785" s="4"/>
      <c r="Q2785" s="4"/>
      <c r="R2785" s="4"/>
      <c r="S2785" s="4"/>
      <c r="T2785" s="4"/>
      <c r="U2785" s="4"/>
      <c r="V2785" s="4"/>
      <c r="W2785" s="4"/>
      <c r="X2785" s="4"/>
      <c r="Y2785" s="4"/>
      <c r="Z2785" s="4"/>
      <c r="AA2785" s="4"/>
      <c r="AB2785" s="4"/>
      <c r="AC2785" s="4"/>
      <c r="AD2785" s="4"/>
      <c r="AE2785" s="4"/>
      <c r="AF2785" s="4"/>
      <c r="AG2785" s="4"/>
      <c r="AH2785" s="4"/>
      <c r="AI2785" s="4"/>
      <c r="AJ2785" s="4"/>
      <c r="AK2785" s="4"/>
      <c r="AL2785" s="4"/>
      <c r="AM2785" s="4"/>
      <c r="AN2785" s="4"/>
      <c r="AO2785" s="4"/>
      <c r="AP2785" s="4"/>
      <c r="AQ2785" s="4"/>
      <c r="AR2785" s="4"/>
      <c r="AS2785" s="4"/>
      <c r="AT2785" s="4"/>
      <c r="AU2785" s="4"/>
      <c r="AV2785" s="4"/>
      <c r="AW2785" s="4"/>
      <c r="AX2785" s="4"/>
      <c r="AY2785" s="4"/>
      <c r="AZ2785" s="4"/>
      <c r="BA2785" s="4"/>
      <c r="BB2785" s="4"/>
      <c r="BC2785" s="4"/>
      <c r="BD2785" s="4"/>
      <c r="BE2785" s="4"/>
      <c r="BF2785" s="4"/>
      <c r="BG2785" s="4"/>
      <c r="BH2785" s="4"/>
      <c r="BI2785" s="4"/>
      <c r="BJ2785" s="4"/>
      <c r="BK2785" s="4"/>
      <c r="BL2785" s="4"/>
      <c r="BM2785" s="4"/>
      <c r="BN2785" s="4"/>
      <c r="BO2785" s="4"/>
      <c r="BP2785" s="4"/>
      <c r="BQ2785" s="4"/>
      <c r="BR2785" s="4"/>
      <c r="BS2785" s="4"/>
      <c r="BT2785" s="4"/>
      <c r="BU2785" s="4"/>
      <c r="BV2785" s="4"/>
      <c r="BW2785" s="4"/>
      <c r="BX2785" s="4"/>
      <c r="BY2785" s="4"/>
      <c r="BZ2785" s="4"/>
      <c r="CA2785" s="4"/>
      <c r="CB2785" s="4"/>
      <c r="CC2785" s="4"/>
      <c r="CD2785" s="4"/>
      <c r="CE2785" s="4"/>
      <c r="CF2785" s="4"/>
      <c r="CG2785" s="4"/>
      <c r="CH2785" s="4"/>
      <c r="CI2785" s="4"/>
      <c r="CJ2785" s="4"/>
      <c r="CK2785" s="4"/>
      <c r="CL2785" s="4"/>
      <c r="CM2785" s="4"/>
      <c r="CN2785" s="4"/>
      <c r="CO2785" s="4"/>
      <c r="CP2785" s="4"/>
      <c r="CQ2785" s="4"/>
      <c r="CR2785" s="4"/>
      <c r="CS2785" s="4"/>
      <c r="CT2785" s="4"/>
      <c r="CU2785" s="4"/>
      <c r="CV2785" s="4"/>
      <c r="CW2785" s="4"/>
      <c r="CX2785" s="4"/>
      <c r="CY2785" s="4"/>
      <c r="CZ2785" s="4"/>
      <c r="DA2785" s="4"/>
      <c r="DB2785" s="4"/>
      <c r="DC2785" s="4"/>
      <c r="DD2785" s="4"/>
      <c r="DE2785" s="4"/>
      <c r="DF2785" s="4"/>
      <c r="DG2785" s="4"/>
      <c r="DH2785" s="4"/>
      <c r="DI2785" s="4"/>
      <c r="DJ2785" s="4"/>
      <c r="DK2785" s="4"/>
      <c r="DL2785" s="4"/>
      <c r="DM2785" s="4"/>
      <c r="DN2785" s="4"/>
      <c r="DO2785" s="4"/>
      <c r="DP2785" s="4"/>
      <c r="DQ2785" s="4"/>
      <c r="DR2785" s="4"/>
      <c r="DS2785" s="4"/>
    </row>
    <row r="2786">
      <c r="A2786" s="4"/>
      <c r="B2786" s="4"/>
      <c r="C2786" s="4"/>
      <c r="D2786" s="4"/>
      <c r="E2786" s="4"/>
      <c r="F2786" s="4" t="s">
        <v>17</v>
      </c>
      <c r="G2786" s="15"/>
      <c r="H2786" s="4"/>
      <c r="I2786" s="4"/>
      <c r="J2786" s="4"/>
      <c r="K2786" s="4"/>
      <c r="L2786" s="4"/>
      <c r="M2786" s="4"/>
      <c r="N2786" s="4"/>
      <c r="O2786" s="4"/>
      <c r="P2786" s="4"/>
      <c r="Q2786" s="4"/>
      <c r="R2786" s="4"/>
      <c r="S2786" s="4"/>
      <c r="T2786" s="4"/>
      <c r="U2786" s="4"/>
      <c r="V2786" s="4"/>
      <c r="W2786" s="4"/>
      <c r="X2786" s="4"/>
      <c r="Y2786" s="4"/>
      <c r="Z2786" s="4"/>
      <c r="AA2786" s="4"/>
      <c r="AB2786" s="4"/>
      <c r="AC2786" s="4"/>
      <c r="AD2786" s="4"/>
      <c r="AE2786" s="4"/>
      <c r="AF2786" s="4"/>
      <c r="AG2786" s="4"/>
      <c r="AH2786" s="4"/>
      <c r="AI2786" s="4"/>
      <c r="AJ2786" s="4"/>
      <c r="AK2786" s="4"/>
      <c r="AL2786" s="4"/>
      <c r="AM2786" s="4"/>
      <c r="AN2786" s="4"/>
      <c r="AO2786" s="4"/>
      <c r="AP2786" s="4"/>
      <c r="AQ2786" s="4"/>
      <c r="AR2786" s="4"/>
      <c r="AS2786" s="4"/>
      <c r="AT2786" s="4"/>
      <c r="AU2786" s="4"/>
      <c r="AV2786" s="4"/>
      <c r="AW2786" s="4"/>
      <c r="AX2786" s="4"/>
      <c r="AY2786" s="4"/>
      <c r="AZ2786" s="4"/>
      <c r="BA2786" s="4"/>
      <c r="BB2786" s="4"/>
      <c r="BC2786" s="4"/>
      <c r="BD2786" s="4"/>
      <c r="BE2786" s="4"/>
      <c r="BF2786" s="4"/>
      <c r="BG2786" s="4"/>
      <c r="BH2786" s="4"/>
      <c r="BI2786" s="4"/>
      <c r="BJ2786" s="4"/>
      <c r="BK2786" s="4"/>
      <c r="BL2786" s="4"/>
      <c r="BM2786" s="4"/>
      <c r="BN2786" s="4"/>
      <c r="BO2786" s="4"/>
      <c r="BP2786" s="4"/>
      <c r="BQ2786" s="4"/>
      <c r="BR2786" s="4"/>
      <c r="BS2786" s="4"/>
      <c r="BT2786" s="4"/>
      <c r="BU2786" s="4"/>
      <c r="BV2786" s="4"/>
      <c r="BW2786" s="4"/>
      <c r="BX2786" s="4"/>
      <c r="BY2786" s="4"/>
      <c r="BZ2786" s="4"/>
      <c r="CA2786" s="4"/>
      <c r="CB2786" s="4"/>
      <c r="CC2786" s="4"/>
      <c r="CD2786" s="4"/>
      <c r="CE2786" s="4"/>
      <c r="CF2786" s="4"/>
      <c r="CG2786" s="4"/>
      <c r="CH2786" s="4"/>
      <c r="CI2786" s="4"/>
      <c r="CJ2786" s="4"/>
      <c r="CK2786" s="4"/>
      <c r="CL2786" s="4"/>
      <c r="CM2786" s="4"/>
      <c r="CN2786" s="4"/>
      <c r="CO2786" s="4"/>
      <c r="CP2786" s="4"/>
      <c r="CQ2786" s="4"/>
      <c r="CR2786" s="4"/>
      <c r="CS2786" s="4"/>
      <c r="CT2786" s="4"/>
      <c r="CU2786" s="4"/>
      <c r="CV2786" s="4"/>
      <c r="CW2786" s="4"/>
      <c r="CX2786" s="4"/>
      <c r="CY2786" s="4"/>
      <c r="CZ2786" s="4"/>
      <c r="DA2786" s="4"/>
      <c r="DB2786" s="4"/>
      <c r="DC2786" s="4"/>
      <c r="DD2786" s="4"/>
      <c r="DE2786" s="4"/>
      <c r="DF2786" s="4"/>
      <c r="DG2786" s="4"/>
      <c r="DH2786" s="4"/>
      <c r="DI2786" s="4"/>
      <c r="DJ2786" s="4"/>
      <c r="DK2786" s="4"/>
      <c r="DL2786" s="4"/>
      <c r="DM2786" s="4"/>
      <c r="DN2786" s="4"/>
      <c r="DO2786" s="4"/>
      <c r="DP2786" s="4"/>
      <c r="DQ2786" s="4"/>
      <c r="DR2786" s="4"/>
      <c r="DS2786" s="4"/>
    </row>
    <row r="2787">
      <c r="A2787" s="4"/>
      <c r="B2787" s="4"/>
      <c r="C2787" s="4"/>
      <c r="D2787" s="4"/>
      <c r="E2787" s="4"/>
      <c r="F2787" s="4" t="s">
        <v>17</v>
      </c>
      <c r="G2787" s="15"/>
      <c r="H2787" s="4"/>
      <c r="I2787" s="4"/>
      <c r="J2787" s="4"/>
      <c r="K2787" s="4"/>
      <c r="L2787" s="4"/>
      <c r="M2787" s="4"/>
      <c r="N2787" s="4"/>
      <c r="O2787" s="4"/>
      <c r="P2787" s="4"/>
      <c r="Q2787" s="4"/>
      <c r="R2787" s="4"/>
      <c r="S2787" s="4"/>
      <c r="T2787" s="4"/>
      <c r="U2787" s="4"/>
      <c r="V2787" s="4"/>
      <c r="W2787" s="4"/>
      <c r="X2787" s="4"/>
      <c r="Y2787" s="4"/>
      <c r="Z2787" s="4"/>
      <c r="AA2787" s="4"/>
      <c r="AB2787" s="4"/>
      <c r="AC2787" s="4"/>
      <c r="AD2787" s="4"/>
      <c r="AE2787" s="4"/>
      <c r="AF2787" s="4"/>
      <c r="AG2787" s="4"/>
      <c r="AH2787" s="4"/>
      <c r="AI2787" s="4"/>
      <c r="AJ2787" s="4"/>
      <c r="AK2787" s="4"/>
      <c r="AL2787" s="4"/>
      <c r="AM2787" s="4"/>
      <c r="AN2787" s="4"/>
      <c r="AO2787" s="4"/>
      <c r="AP2787" s="4"/>
      <c r="AQ2787" s="4"/>
      <c r="AR2787" s="4"/>
      <c r="AS2787" s="4"/>
      <c r="AT2787" s="4"/>
      <c r="AU2787" s="4"/>
      <c r="AV2787" s="4"/>
      <c r="AW2787" s="4"/>
      <c r="AX2787" s="4"/>
      <c r="AY2787" s="4"/>
      <c r="AZ2787" s="4"/>
      <c r="BA2787" s="4"/>
      <c r="BB2787" s="4"/>
      <c r="BC2787" s="4"/>
      <c r="BD2787" s="4"/>
      <c r="BE2787" s="4"/>
      <c r="BF2787" s="4"/>
      <c r="BG2787" s="4"/>
      <c r="BH2787" s="4"/>
      <c r="BI2787" s="4"/>
      <c r="BJ2787" s="4"/>
      <c r="BK2787" s="4"/>
      <c r="BL2787" s="4"/>
      <c r="BM2787" s="4"/>
      <c r="BN2787" s="4"/>
      <c r="BO2787" s="4"/>
      <c r="BP2787" s="4"/>
      <c r="BQ2787" s="4"/>
      <c r="BR2787" s="4"/>
      <c r="BS2787" s="4"/>
      <c r="BT2787" s="4"/>
      <c r="BU2787" s="4"/>
      <c r="BV2787" s="4"/>
      <c r="BW2787" s="4"/>
      <c r="BX2787" s="4"/>
      <c r="BY2787" s="4"/>
      <c r="BZ2787" s="4"/>
      <c r="CA2787" s="4"/>
      <c r="CB2787" s="4"/>
      <c r="CC2787" s="4"/>
      <c r="CD2787" s="4"/>
      <c r="CE2787" s="4"/>
      <c r="CF2787" s="4"/>
      <c r="CG2787" s="4"/>
      <c r="CH2787" s="4"/>
      <c r="CI2787" s="4"/>
      <c r="CJ2787" s="4"/>
      <c r="CK2787" s="4"/>
      <c r="CL2787" s="4"/>
      <c r="CM2787" s="4"/>
      <c r="CN2787" s="4"/>
      <c r="CO2787" s="4"/>
      <c r="CP2787" s="4"/>
      <c r="CQ2787" s="4"/>
      <c r="CR2787" s="4"/>
      <c r="CS2787" s="4"/>
      <c r="CT2787" s="4"/>
      <c r="CU2787" s="4"/>
      <c r="CV2787" s="4"/>
      <c r="CW2787" s="4"/>
      <c r="CX2787" s="4"/>
      <c r="CY2787" s="4"/>
      <c r="CZ2787" s="4"/>
      <c r="DA2787" s="4"/>
      <c r="DB2787" s="4"/>
      <c r="DC2787" s="4"/>
      <c r="DD2787" s="4"/>
      <c r="DE2787" s="4"/>
      <c r="DF2787" s="4"/>
      <c r="DG2787" s="4"/>
      <c r="DH2787" s="4"/>
      <c r="DI2787" s="4"/>
      <c r="DJ2787" s="4"/>
      <c r="DK2787" s="4"/>
      <c r="DL2787" s="4"/>
      <c r="DM2787" s="4"/>
      <c r="DN2787" s="4"/>
      <c r="DO2787" s="4"/>
      <c r="DP2787" s="4"/>
      <c r="DQ2787" s="4"/>
      <c r="DR2787" s="4"/>
      <c r="DS2787" s="4"/>
    </row>
    <row r="2788">
      <c r="A2788" s="4"/>
      <c r="B2788" s="4"/>
      <c r="C2788" s="4"/>
      <c r="D2788" s="4"/>
      <c r="E2788" s="4"/>
      <c r="F2788" s="4" t="s">
        <v>17</v>
      </c>
      <c r="G2788" s="15"/>
      <c r="H2788" s="4"/>
      <c r="I2788" s="4"/>
      <c r="J2788" s="4"/>
      <c r="K2788" s="4"/>
      <c r="L2788" s="4"/>
      <c r="M2788" s="4"/>
      <c r="N2788" s="4"/>
      <c r="O2788" s="4"/>
      <c r="P2788" s="4"/>
      <c r="Q2788" s="4"/>
      <c r="R2788" s="4"/>
      <c r="S2788" s="4"/>
      <c r="T2788" s="4"/>
      <c r="U2788" s="4"/>
      <c r="V2788" s="4"/>
      <c r="W2788" s="4"/>
      <c r="X2788" s="4"/>
      <c r="Y2788" s="4"/>
      <c r="Z2788" s="4"/>
      <c r="AA2788" s="4"/>
      <c r="AB2788" s="4"/>
      <c r="AC2788" s="4"/>
      <c r="AD2788" s="4"/>
      <c r="AE2788" s="4"/>
      <c r="AF2788" s="4"/>
      <c r="AG2788" s="4"/>
      <c r="AH2788" s="4"/>
      <c r="AI2788" s="4"/>
      <c r="AJ2788" s="4"/>
      <c r="AK2788" s="4"/>
      <c r="AL2788" s="4"/>
      <c r="AM2788" s="4"/>
      <c r="AN2788" s="4"/>
      <c r="AO2788" s="4"/>
      <c r="AP2788" s="4"/>
      <c r="AQ2788" s="4"/>
      <c r="AR2788" s="4"/>
      <c r="AS2788" s="4"/>
      <c r="AT2788" s="4"/>
      <c r="AU2788" s="4"/>
      <c r="AV2788" s="4"/>
      <c r="AW2788" s="4"/>
      <c r="AX2788" s="4"/>
      <c r="AY2788" s="4"/>
      <c r="AZ2788" s="4"/>
      <c r="BA2788" s="4"/>
      <c r="BB2788" s="4"/>
      <c r="BC2788" s="4"/>
      <c r="BD2788" s="4"/>
      <c r="BE2788" s="4"/>
      <c r="BF2788" s="4"/>
      <c r="BG2788" s="4"/>
      <c r="BH2788" s="4"/>
      <c r="BI2788" s="4"/>
      <c r="BJ2788" s="4"/>
      <c r="BK2788" s="4"/>
      <c r="BL2788" s="4"/>
      <c r="BM2788" s="4"/>
      <c r="BN2788" s="4"/>
      <c r="BO2788" s="4"/>
      <c r="BP2788" s="4"/>
      <c r="BQ2788" s="4"/>
      <c r="BR2788" s="4"/>
      <c r="BS2788" s="4"/>
      <c r="BT2788" s="4"/>
      <c r="BU2788" s="4"/>
      <c r="BV2788" s="4"/>
      <c r="BW2788" s="4"/>
      <c r="BX2788" s="4"/>
      <c r="BY2788" s="4"/>
      <c r="BZ2788" s="4"/>
      <c r="CA2788" s="4"/>
      <c r="CB2788" s="4"/>
      <c r="CC2788" s="4"/>
      <c r="CD2788" s="4"/>
      <c r="CE2788" s="4"/>
      <c r="CF2788" s="4"/>
      <c r="CG2788" s="4"/>
      <c r="CH2788" s="4"/>
      <c r="CI2788" s="4"/>
      <c r="CJ2788" s="4"/>
      <c r="CK2788" s="4"/>
      <c r="CL2788" s="4"/>
      <c r="CM2788" s="4"/>
      <c r="CN2788" s="4"/>
      <c r="CO2788" s="4"/>
      <c r="CP2788" s="4"/>
      <c r="CQ2788" s="4"/>
      <c r="CR2788" s="4"/>
      <c r="CS2788" s="4"/>
      <c r="CT2788" s="4"/>
      <c r="CU2788" s="4"/>
      <c r="CV2788" s="4"/>
      <c r="CW2788" s="4"/>
      <c r="CX2788" s="4"/>
      <c r="CY2788" s="4"/>
      <c r="CZ2788" s="4"/>
      <c r="DA2788" s="4"/>
      <c r="DB2788" s="4"/>
      <c r="DC2788" s="4"/>
      <c r="DD2788" s="4"/>
      <c r="DE2788" s="4"/>
      <c r="DF2788" s="4"/>
      <c r="DG2788" s="4"/>
      <c r="DH2788" s="4"/>
      <c r="DI2788" s="4"/>
      <c r="DJ2788" s="4"/>
      <c r="DK2788" s="4"/>
      <c r="DL2788" s="4"/>
      <c r="DM2788" s="4"/>
      <c r="DN2788" s="4"/>
      <c r="DO2788" s="4"/>
      <c r="DP2788" s="4"/>
      <c r="DQ2788" s="4"/>
      <c r="DR2788" s="4"/>
      <c r="DS2788" s="4"/>
    </row>
    <row r="2789">
      <c r="A2789" s="4"/>
      <c r="B2789" s="4"/>
      <c r="C2789" s="4"/>
      <c r="D2789" s="4"/>
      <c r="E2789" s="4"/>
      <c r="F2789" s="4" t="s">
        <v>17</v>
      </c>
      <c r="G2789" s="15"/>
      <c r="H2789" s="4"/>
      <c r="I2789" s="4"/>
      <c r="J2789" s="4"/>
      <c r="K2789" s="4"/>
      <c r="L2789" s="4"/>
      <c r="M2789" s="4"/>
      <c r="N2789" s="4"/>
      <c r="O2789" s="4"/>
      <c r="P2789" s="4"/>
      <c r="Q2789" s="4"/>
      <c r="R2789" s="4"/>
      <c r="S2789" s="4"/>
      <c r="T2789" s="4"/>
      <c r="U2789" s="4"/>
      <c r="V2789" s="4"/>
      <c r="W2789" s="4"/>
      <c r="X2789" s="4"/>
      <c r="Y2789" s="4"/>
      <c r="Z2789" s="4"/>
      <c r="AA2789" s="4"/>
      <c r="AB2789" s="4"/>
      <c r="AC2789" s="4"/>
      <c r="AD2789" s="4"/>
      <c r="AE2789" s="4"/>
      <c r="AF2789" s="4"/>
      <c r="AG2789" s="4"/>
      <c r="AH2789" s="4"/>
      <c r="AI2789" s="4"/>
      <c r="AJ2789" s="4"/>
      <c r="AK2789" s="4"/>
      <c r="AL2789" s="4"/>
      <c r="AM2789" s="4"/>
      <c r="AN2789" s="4"/>
      <c r="AO2789" s="4"/>
      <c r="AP2789" s="4"/>
      <c r="AQ2789" s="4"/>
      <c r="AR2789" s="4"/>
      <c r="AS2789" s="4"/>
      <c r="AT2789" s="4"/>
      <c r="AU2789" s="4"/>
      <c r="AV2789" s="4"/>
      <c r="AW2789" s="4"/>
      <c r="AX2789" s="4"/>
      <c r="AY2789" s="4"/>
      <c r="AZ2789" s="4"/>
      <c r="BA2789" s="4"/>
      <c r="BB2789" s="4"/>
      <c r="BC2789" s="4"/>
      <c r="BD2789" s="4"/>
      <c r="BE2789" s="4"/>
      <c r="BF2789" s="4"/>
      <c r="BG2789" s="4"/>
      <c r="BH2789" s="4"/>
      <c r="BI2789" s="4"/>
      <c r="BJ2789" s="4"/>
      <c r="BK2789" s="4"/>
      <c r="BL2789" s="4"/>
      <c r="BM2789" s="4"/>
      <c r="BN2789" s="4"/>
      <c r="BO2789" s="4"/>
      <c r="BP2789" s="4"/>
      <c r="BQ2789" s="4"/>
      <c r="BR2789" s="4"/>
      <c r="BS2789" s="4"/>
      <c r="BT2789" s="4"/>
      <c r="BU2789" s="4"/>
      <c r="BV2789" s="4"/>
      <c r="BW2789" s="4"/>
      <c r="BX2789" s="4"/>
      <c r="BY2789" s="4"/>
      <c r="BZ2789" s="4"/>
      <c r="CA2789" s="4"/>
      <c r="CB2789" s="4"/>
      <c r="CC2789" s="4"/>
      <c r="CD2789" s="4"/>
      <c r="CE2789" s="4"/>
      <c r="CF2789" s="4"/>
      <c r="CG2789" s="4"/>
      <c r="CH2789" s="4"/>
      <c r="CI2789" s="4"/>
      <c r="CJ2789" s="4"/>
      <c r="CK2789" s="4"/>
      <c r="CL2789" s="4"/>
      <c r="CM2789" s="4"/>
      <c r="CN2789" s="4"/>
      <c r="CO2789" s="4"/>
      <c r="CP2789" s="4"/>
      <c r="CQ2789" s="4"/>
      <c r="CR2789" s="4"/>
      <c r="CS2789" s="4"/>
      <c r="CT2789" s="4"/>
      <c r="CU2789" s="4"/>
      <c r="CV2789" s="4"/>
      <c r="CW2789" s="4"/>
      <c r="CX2789" s="4"/>
      <c r="CY2789" s="4"/>
      <c r="CZ2789" s="4"/>
      <c r="DA2789" s="4"/>
      <c r="DB2789" s="4"/>
      <c r="DC2789" s="4"/>
      <c r="DD2789" s="4"/>
      <c r="DE2789" s="4"/>
      <c r="DF2789" s="4"/>
      <c r="DG2789" s="4"/>
      <c r="DH2789" s="4"/>
      <c r="DI2789" s="4"/>
      <c r="DJ2789" s="4"/>
      <c r="DK2789" s="4"/>
      <c r="DL2789" s="4"/>
      <c r="DM2789" s="4"/>
      <c r="DN2789" s="4"/>
      <c r="DO2789" s="4"/>
      <c r="DP2789" s="4"/>
      <c r="DQ2789" s="4"/>
      <c r="DR2789" s="4"/>
      <c r="DS2789" s="4"/>
    </row>
    <row r="2790">
      <c r="A2790" s="4"/>
      <c r="B2790" s="4"/>
      <c r="C2790" s="4"/>
      <c r="D2790" s="4"/>
      <c r="E2790" s="4"/>
      <c r="F2790" s="4" t="s">
        <v>17</v>
      </c>
      <c r="G2790" s="15"/>
      <c r="H2790" s="4"/>
      <c r="I2790" s="4"/>
      <c r="J2790" s="4"/>
      <c r="K2790" s="4"/>
      <c r="L2790" s="4"/>
      <c r="M2790" s="4"/>
      <c r="N2790" s="4"/>
      <c r="O2790" s="4"/>
      <c r="P2790" s="4"/>
      <c r="Q2790" s="4"/>
      <c r="R2790" s="4"/>
      <c r="S2790" s="4"/>
      <c r="T2790" s="4"/>
      <c r="U2790" s="4"/>
      <c r="V2790" s="4"/>
      <c r="W2790" s="4"/>
      <c r="X2790" s="4"/>
      <c r="Y2790" s="4"/>
      <c r="Z2790" s="4"/>
      <c r="AA2790" s="4"/>
      <c r="AB2790" s="4"/>
      <c r="AC2790" s="4"/>
      <c r="AD2790" s="4"/>
      <c r="AE2790" s="4"/>
      <c r="AF2790" s="4"/>
      <c r="AG2790" s="4"/>
      <c r="AH2790" s="4"/>
      <c r="AI2790" s="4"/>
      <c r="AJ2790" s="4"/>
      <c r="AK2790" s="4"/>
      <c r="AL2790" s="4"/>
      <c r="AM2790" s="4"/>
      <c r="AN2790" s="4"/>
      <c r="AO2790" s="4"/>
      <c r="AP2790" s="4"/>
      <c r="AQ2790" s="4"/>
      <c r="AR2790" s="4"/>
      <c r="AS2790" s="4"/>
      <c r="AT2790" s="4"/>
      <c r="AU2790" s="4"/>
      <c r="AV2790" s="4"/>
      <c r="AW2790" s="4"/>
      <c r="AX2790" s="4"/>
      <c r="AY2790" s="4"/>
      <c r="AZ2790" s="4"/>
      <c r="BA2790" s="4"/>
      <c r="BB2790" s="4"/>
      <c r="BC2790" s="4"/>
      <c r="BD2790" s="4"/>
      <c r="BE2790" s="4"/>
      <c r="BF2790" s="4"/>
      <c r="BG2790" s="4"/>
      <c r="BH2790" s="4"/>
      <c r="BI2790" s="4"/>
      <c r="BJ2790" s="4"/>
      <c r="BK2790" s="4"/>
      <c r="BL2790" s="4"/>
      <c r="BM2790" s="4"/>
      <c r="BN2790" s="4"/>
      <c r="BO2790" s="4"/>
      <c r="BP2790" s="4"/>
      <c r="BQ2790" s="4"/>
      <c r="BR2790" s="4"/>
      <c r="BS2790" s="4"/>
      <c r="BT2790" s="4"/>
      <c r="BU2790" s="4"/>
      <c r="BV2790" s="4"/>
      <c r="BW2790" s="4"/>
      <c r="BX2790" s="4"/>
      <c r="BY2790" s="4"/>
      <c r="BZ2790" s="4"/>
      <c r="CA2790" s="4"/>
      <c r="CB2790" s="4"/>
      <c r="CC2790" s="4"/>
      <c r="CD2790" s="4"/>
      <c r="CE2790" s="4"/>
      <c r="CF2790" s="4"/>
      <c r="CG2790" s="4"/>
      <c r="CH2790" s="4"/>
      <c r="CI2790" s="4"/>
      <c r="CJ2790" s="4"/>
      <c r="CK2790" s="4"/>
      <c r="CL2790" s="4"/>
      <c r="CM2790" s="4"/>
      <c r="CN2790" s="4"/>
      <c r="CO2790" s="4"/>
      <c r="CP2790" s="4"/>
      <c r="CQ2790" s="4"/>
      <c r="CR2790" s="4"/>
      <c r="CS2790" s="4"/>
      <c r="CT2790" s="4"/>
      <c r="CU2790" s="4"/>
      <c r="CV2790" s="4"/>
      <c r="CW2790" s="4"/>
      <c r="CX2790" s="4"/>
      <c r="CY2790" s="4"/>
      <c r="CZ2790" s="4"/>
      <c r="DA2790" s="4"/>
      <c r="DB2790" s="4"/>
      <c r="DC2790" s="4"/>
      <c r="DD2790" s="4"/>
      <c r="DE2790" s="4"/>
      <c r="DF2790" s="4"/>
      <c r="DG2790" s="4"/>
      <c r="DH2790" s="4"/>
      <c r="DI2790" s="4"/>
      <c r="DJ2790" s="4"/>
      <c r="DK2790" s="4"/>
      <c r="DL2790" s="4"/>
      <c r="DM2790" s="4"/>
      <c r="DN2790" s="4"/>
      <c r="DO2790" s="4"/>
      <c r="DP2790" s="4"/>
      <c r="DQ2790" s="4"/>
      <c r="DR2790" s="4"/>
      <c r="DS2790" s="4"/>
    </row>
    <row r="2791">
      <c r="A2791" s="4"/>
      <c r="B2791" s="4"/>
      <c r="C2791" s="4"/>
      <c r="D2791" s="4"/>
      <c r="E2791" s="4"/>
      <c r="F2791" s="4" t="s">
        <v>17</v>
      </c>
      <c r="G2791" s="15"/>
      <c r="H2791" s="4"/>
      <c r="I2791" s="4"/>
      <c r="J2791" s="4"/>
      <c r="K2791" s="4"/>
      <c r="L2791" s="4"/>
      <c r="M2791" s="4"/>
      <c r="N2791" s="4"/>
      <c r="O2791" s="4"/>
      <c r="P2791" s="4"/>
      <c r="Q2791" s="4"/>
      <c r="R2791" s="4"/>
      <c r="S2791" s="4"/>
      <c r="T2791" s="4"/>
      <c r="U2791" s="4"/>
      <c r="V2791" s="4"/>
      <c r="W2791" s="4"/>
      <c r="X2791" s="4"/>
      <c r="Y2791" s="4"/>
      <c r="Z2791" s="4"/>
      <c r="AA2791" s="4"/>
      <c r="AB2791" s="4"/>
      <c r="AC2791" s="4"/>
      <c r="AD2791" s="4"/>
      <c r="AE2791" s="4"/>
      <c r="AF2791" s="4"/>
      <c r="AG2791" s="4"/>
      <c r="AH2791" s="4"/>
      <c r="AI2791" s="4"/>
      <c r="AJ2791" s="4"/>
      <c r="AK2791" s="4"/>
      <c r="AL2791" s="4"/>
      <c r="AM2791" s="4"/>
      <c r="AN2791" s="4"/>
      <c r="AO2791" s="4"/>
      <c r="AP2791" s="4"/>
      <c r="AQ2791" s="4"/>
      <c r="AR2791" s="4"/>
      <c r="AS2791" s="4"/>
      <c r="AT2791" s="4"/>
      <c r="AU2791" s="4"/>
      <c r="AV2791" s="4"/>
      <c r="AW2791" s="4"/>
      <c r="AX2791" s="4"/>
      <c r="AY2791" s="4"/>
      <c r="AZ2791" s="4"/>
      <c r="BA2791" s="4"/>
      <c r="BB2791" s="4"/>
      <c r="BC2791" s="4"/>
      <c r="BD2791" s="4"/>
      <c r="BE2791" s="4"/>
      <c r="BF2791" s="4"/>
      <c r="BG2791" s="4"/>
      <c r="BH2791" s="4"/>
      <c r="BI2791" s="4"/>
      <c r="BJ2791" s="4"/>
      <c r="BK2791" s="4"/>
      <c r="BL2791" s="4"/>
      <c r="BM2791" s="4"/>
      <c r="BN2791" s="4"/>
      <c r="BO2791" s="4"/>
      <c r="BP2791" s="4"/>
      <c r="BQ2791" s="4"/>
      <c r="BR2791" s="4"/>
      <c r="BS2791" s="4"/>
      <c r="BT2791" s="4"/>
      <c r="BU2791" s="4"/>
      <c r="BV2791" s="4"/>
      <c r="BW2791" s="4"/>
      <c r="BX2791" s="4"/>
      <c r="BY2791" s="4"/>
      <c r="BZ2791" s="4"/>
      <c r="CA2791" s="4"/>
      <c r="CB2791" s="4"/>
      <c r="CC2791" s="4"/>
      <c r="CD2791" s="4"/>
      <c r="CE2791" s="4"/>
      <c r="CF2791" s="4"/>
      <c r="CG2791" s="4"/>
      <c r="CH2791" s="4"/>
      <c r="CI2791" s="4"/>
      <c r="CJ2791" s="4"/>
      <c r="CK2791" s="4"/>
      <c r="CL2791" s="4"/>
      <c r="CM2791" s="4"/>
      <c r="CN2791" s="4"/>
      <c r="CO2791" s="4"/>
      <c r="CP2791" s="4"/>
      <c r="CQ2791" s="4"/>
      <c r="CR2791" s="4"/>
      <c r="CS2791" s="4"/>
      <c r="CT2791" s="4"/>
      <c r="CU2791" s="4"/>
      <c r="CV2791" s="4"/>
      <c r="CW2791" s="4"/>
      <c r="CX2791" s="4"/>
      <c r="CY2791" s="4"/>
      <c r="CZ2791" s="4"/>
      <c r="DA2791" s="4"/>
      <c r="DB2791" s="4"/>
      <c r="DC2791" s="4"/>
      <c r="DD2791" s="4"/>
      <c r="DE2791" s="4"/>
      <c r="DF2791" s="4"/>
      <c r="DG2791" s="4"/>
      <c r="DH2791" s="4"/>
      <c r="DI2791" s="4"/>
      <c r="DJ2791" s="4"/>
      <c r="DK2791" s="4"/>
      <c r="DL2791" s="4"/>
      <c r="DM2791" s="4"/>
      <c r="DN2791" s="4"/>
      <c r="DO2791" s="4"/>
      <c r="DP2791" s="4"/>
      <c r="DQ2791" s="4"/>
      <c r="DR2791" s="4"/>
      <c r="DS2791" s="4"/>
    </row>
    <row r="2792">
      <c r="A2792" s="4"/>
      <c r="B2792" s="4"/>
      <c r="C2792" s="4"/>
      <c r="D2792" s="4"/>
      <c r="E2792" s="4"/>
      <c r="F2792" s="4" t="s">
        <v>17</v>
      </c>
      <c r="G2792" s="15"/>
      <c r="H2792" s="4"/>
      <c r="I2792" s="4"/>
      <c r="J2792" s="4"/>
      <c r="K2792" s="4"/>
      <c r="L2792" s="4"/>
      <c r="M2792" s="4"/>
      <c r="N2792" s="4"/>
      <c r="O2792" s="4"/>
      <c r="P2792" s="4"/>
      <c r="Q2792" s="4"/>
      <c r="R2792" s="4"/>
      <c r="S2792" s="4"/>
      <c r="T2792" s="4"/>
      <c r="U2792" s="4"/>
      <c r="V2792" s="4"/>
      <c r="W2792" s="4"/>
      <c r="X2792" s="4"/>
      <c r="Y2792" s="4"/>
      <c r="Z2792" s="4"/>
      <c r="AA2792" s="4"/>
      <c r="AB2792" s="4"/>
      <c r="AC2792" s="4"/>
      <c r="AD2792" s="4"/>
      <c r="AE2792" s="4"/>
      <c r="AF2792" s="4"/>
      <c r="AG2792" s="4"/>
      <c r="AH2792" s="4"/>
      <c r="AI2792" s="4"/>
      <c r="AJ2792" s="4"/>
      <c r="AK2792" s="4"/>
      <c r="AL2792" s="4"/>
      <c r="AM2792" s="4"/>
      <c r="AN2792" s="4"/>
      <c r="AO2792" s="4"/>
      <c r="AP2792" s="4"/>
      <c r="AQ2792" s="4"/>
      <c r="AR2792" s="4"/>
      <c r="AS2792" s="4"/>
      <c r="AT2792" s="4"/>
      <c r="AU2792" s="4"/>
      <c r="AV2792" s="4"/>
      <c r="AW2792" s="4"/>
      <c r="AX2792" s="4"/>
      <c r="AY2792" s="4"/>
      <c r="AZ2792" s="4"/>
      <c r="BA2792" s="4"/>
      <c r="BB2792" s="4"/>
      <c r="BC2792" s="4"/>
      <c r="BD2792" s="4"/>
      <c r="BE2792" s="4"/>
      <c r="BF2792" s="4"/>
      <c r="BG2792" s="4"/>
      <c r="BH2792" s="4"/>
      <c r="BI2792" s="4"/>
      <c r="BJ2792" s="4"/>
      <c r="BK2792" s="4"/>
      <c r="BL2792" s="4"/>
      <c r="BM2792" s="4"/>
      <c r="BN2792" s="4"/>
      <c r="BO2792" s="4"/>
      <c r="BP2792" s="4"/>
      <c r="BQ2792" s="4"/>
      <c r="BR2792" s="4"/>
      <c r="BS2792" s="4"/>
      <c r="BT2792" s="4"/>
      <c r="BU2792" s="4"/>
      <c r="BV2792" s="4"/>
      <c r="BW2792" s="4"/>
      <c r="BX2792" s="4"/>
      <c r="BY2792" s="4"/>
      <c r="BZ2792" s="4"/>
      <c r="CA2792" s="4"/>
      <c r="CB2792" s="4"/>
      <c r="CC2792" s="4"/>
      <c r="CD2792" s="4"/>
      <c r="CE2792" s="4"/>
      <c r="CF2792" s="4"/>
      <c r="CG2792" s="4"/>
      <c r="CH2792" s="4"/>
      <c r="CI2792" s="4"/>
      <c r="CJ2792" s="4"/>
      <c r="CK2792" s="4"/>
      <c r="CL2792" s="4"/>
      <c r="CM2792" s="4"/>
      <c r="CN2792" s="4"/>
      <c r="CO2792" s="4"/>
      <c r="CP2792" s="4"/>
      <c r="CQ2792" s="4"/>
      <c r="CR2792" s="4"/>
      <c r="CS2792" s="4"/>
      <c r="CT2792" s="4"/>
      <c r="CU2792" s="4"/>
      <c r="CV2792" s="4"/>
      <c r="CW2792" s="4"/>
      <c r="CX2792" s="4"/>
      <c r="CY2792" s="4"/>
      <c r="CZ2792" s="4"/>
      <c r="DA2792" s="4"/>
      <c r="DB2792" s="4"/>
      <c r="DC2792" s="4"/>
      <c r="DD2792" s="4"/>
      <c r="DE2792" s="4"/>
      <c r="DF2792" s="4"/>
      <c r="DG2792" s="4"/>
      <c r="DH2792" s="4"/>
      <c r="DI2792" s="4"/>
      <c r="DJ2792" s="4"/>
      <c r="DK2792" s="4"/>
      <c r="DL2792" s="4"/>
      <c r="DM2792" s="4"/>
      <c r="DN2792" s="4"/>
      <c r="DO2792" s="4"/>
      <c r="DP2792" s="4"/>
      <c r="DQ2792" s="4"/>
      <c r="DR2792" s="4"/>
      <c r="DS2792" s="4"/>
    </row>
    <row r="2793">
      <c r="A2793" s="4"/>
      <c r="B2793" s="4"/>
      <c r="C2793" s="4"/>
      <c r="D2793" s="4"/>
      <c r="E2793" s="4"/>
      <c r="F2793" s="4" t="s">
        <v>17</v>
      </c>
      <c r="G2793" s="15"/>
      <c r="H2793" s="4"/>
      <c r="I2793" s="4"/>
      <c r="J2793" s="4"/>
      <c r="K2793" s="4"/>
      <c r="L2793" s="4"/>
      <c r="M2793" s="4"/>
      <c r="N2793" s="4"/>
      <c r="O2793" s="4"/>
      <c r="P2793" s="4"/>
      <c r="Q2793" s="4"/>
      <c r="R2793" s="4"/>
      <c r="S2793" s="4"/>
      <c r="T2793" s="4"/>
      <c r="U2793" s="4"/>
      <c r="V2793" s="4"/>
      <c r="W2793" s="4"/>
      <c r="X2793" s="4"/>
      <c r="Y2793" s="4"/>
      <c r="Z2793" s="4"/>
      <c r="AA2793" s="4"/>
      <c r="AB2793" s="4"/>
      <c r="AC2793" s="4"/>
      <c r="AD2793" s="4"/>
      <c r="AE2793" s="4"/>
      <c r="AF2793" s="4"/>
      <c r="AG2793" s="4"/>
      <c r="AH2793" s="4"/>
      <c r="AI2793" s="4"/>
      <c r="AJ2793" s="4"/>
      <c r="AK2793" s="4"/>
      <c r="AL2793" s="4"/>
      <c r="AM2793" s="4"/>
      <c r="AN2793" s="4"/>
      <c r="AO2793" s="4"/>
      <c r="AP2793" s="4"/>
      <c r="AQ2793" s="4"/>
      <c r="AR2793" s="4"/>
      <c r="AS2793" s="4"/>
      <c r="AT2793" s="4"/>
      <c r="AU2793" s="4"/>
      <c r="AV2793" s="4"/>
      <c r="AW2793" s="4"/>
      <c r="AX2793" s="4"/>
      <c r="AY2793" s="4"/>
      <c r="AZ2793" s="4"/>
      <c r="BA2793" s="4"/>
      <c r="BB2793" s="4"/>
      <c r="BC2793" s="4"/>
      <c r="BD2793" s="4"/>
      <c r="BE2793" s="4"/>
      <c r="BF2793" s="4"/>
      <c r="BG2793" s="4"/>
      <c r="BH2793" s="4"/>
      <c r="BI2793" s="4"/>
      <c r="BJ2793" s="4"/>
      <c r="BK2793" s="4"/>
      <c r="BL2793" s="4"/>
      <c r="BM2793" s="4"/>
      <c r="BN2793" s="4"/>
      <c r="BO2793" s="4"/>
      <c r="BP2793" s="4"/>
      <c r="BQ2793" s="4"/>
      <c r="BR2793" s="4"/>
      <c r="BS2793" s="4"/>
      <c r="BT2793" s="4"/>
      <c r="BU2793" s="4"/>
      <c r="BV2793" s="4"/>
      <c r="BW2793" s="4"/>
      <c r="BX2793" s="4"/>
      <c r="BY2793" s="4"/>
      <c r="BZ2793" s="4"/>
      <c r="CA2793" s="4"/>
      <c r="CB2793" s="4"/>
      <c r="CC2793" s="4"/>
      <c r="CD2793" s="4"/>
      <c r="CE2793" s="4"/>
      <c r="CF2793" s="4"/>
      <c r="CG2793" s="4"/>
      <c r="CH2793" s="4"/>
      <c r="CI2793" s="4"/>
      <c r="CJ2793" s="4"/>
      <c r="CK2793" s="4"/>
      <c r="CL2793" s="4"/>
      <c r="CM2793" s="4"/>
      <c r="CN2793" s="4"/>
      <c r="CO2793" s="4"/>
      <c r="CP2793" s="4"/>
      <c r="CQ2793" s="4"/>
      <c r="CR2793" s="4"/>
      <c r="CS2793" s="4"/>
      <c r="CT2793" s="4"/>
      <c r="CU2793" s="4"/>
      <c r="CV2793" s="4"/>
      <c r="CW2793" s="4"/>
      <c r="CX2793" s="4"/>
      <c r="CY2793" s="4"/>
      <c r="CZ2793" s="4"/>
      <c r="DA2793" s="4"/>
      <c r="DB2793" s="4"/>
      <c r="DC2793" s="4"/>
      <c r="DD2793" s="4"/>
      <c r="DE2793" s="4"/>
      <c r="DF2793" s="4"/>
      <c r="DG2793" s="4"/>
      <c r="DH2793" s="4"/>
      <c r="DI2793" s="4"/>
      <c r="DJ2793" s="4"/>
      <c r="DK2793" s="4"/>
      <c r="DL2793" s="4"/>
      <c r="DM2793" s="4"/>
      <c r="DN2793" s="4"/>
      <c r="DO2793" s="4"/>
      <c r="DP2793" s="4"/>
      <c r="DQ2793" s="4"/>
      <c r="DR2793" s="4"/>
      <c r="DS2793" s="4"/>
    </row>
    <row r="2794">
      <c r="A2794" s="4"/>
      <c r="B2794" s="4"/>
      <c r="C2794" s="4"/>
      <c r="D2794" s="4"/>
      <c r="E2794" s="4"/>
      <c r="F2794" s="4" t="s">
        <v>17</v>
      </c>
      <c r="G2794" s="15"/>
      <c r="H2794" s="4"/>
      <c r="I2794" s="4"/>
      <c r="J2794" s="4"/>
      <c r="K2794" s="4"/>
      <c r="L2794" s="4"/>
      <c r="M2794" s="4"/>
      <c r="N2794" s="4"/>
      <c r="O2794" s="4"/>
      <c r="P2794" s="4"/>
      <c r="Q2794" s="4"/>
      <c r="R2794" s="4"/>
      <c r="S2794" s="4"/>
      <c r="T2794" s="4"/>
      <c r="U2794" s="4"/>
      <c r="V2794" s="4"/>
      <c r="W2794" s="4"/>
      <c r="X2794" s="4"/>
      <c r="Y2794" s="4"/>
      <c r="Z2794" s="4"/>
      <c r="AA2794" s="4"/>
      <c r="AB2794" s="4"/>
      <c r="AC2794" s="4"/>
      <c r="AD2794" s="4"/>
      <c r="AE2794" s="4"/>
      <c r="AF2794" s="4"/>
      <c r="AG2794" s="4"/>
      <c r="AH2794" s="4"/>
      <c r="AI2794" s="4"/>
      <c r="AJ2794" s="4"/>
      <c r="AK2794" s="4"/>
      <c r="AL2794" s="4"/>
      <c r="AM2794" s="4"/>
      <c r="AN2794" s="4"/>
      <c r="AO2794" s="4"/>
      <c r="AP2794" s="4"/>
      <c r="AQ2794" s="4"/>
      <c r="AR2794" s="4"/>
      <c r="AS2794" s="4"/>
      <c r="AT2794" s="4"/>
      <c r="AU2794" s="4"/>
      <c r="AV2794" s="4"/>
      <c r="AW2794" s="4"/>
      <c r="AX2794" s="4"/>
      <c r="AY2794" s="4"/>
      <c r="AZ2794" s="4"/>
      <c r="BA2794" s="4"/>
      <c r="BB2794" s="4"/>
      <c r="BC2794" s="4"/>
      <c r="BD2794" s="4"/>
      <c r="BE2794" s="4"/>
      <c r="BF2794" s="4"/>
      <c r="BG2794" s="4"/>
      <c r="BH2794" s="4"/>
      <c r="BI2794" s="4"/>
      <c r="BJ2794" s="4"/>
      <c r="BK2794" s="4"/>
      <c r="BL2794" s="4"/>
      <c r="BM2794" s="4"/>
      <c r="BN2794" s="4"/>
      <c r="BO2794" s="4"/>
      <c r="BP2794" s="4"/>
      <c r="BQ2794" s="4"/>
      <c r="BR2794" s="4"/>
      <c r="BS2794" s="4"/>
      <c r="BT2794" s="4"/>
      <c r="BU2794" s="4"/>
      <c r="BV2794" s="4"/>
      <c r="BW2794" s="4"/>
      <c r="BX2794" s="4"/>
      <c r="BY2794" s="4"/>
      <c r="BZ2794" s="4"/>
      <c r="CA2794" s="4"/>
      <c r="CB2794" s="4"/>
      <c r="CC2794" s="4"/>
      <c r="CD2794" s="4"/>
      <c r="CE2794" s="4"/>
      <c r="CF2794" s="4"/>
      <c r="CG2794" s="4"/>
      <c r="CH2794" s="4"/>
      <c r="CI2794" s="4"/>
      <c r="CJ2794" s="4"/>
      <c r="CK2794" s="4"/>
      <c r="CL2794" s="4"/>
      <c r="CM2794" s="4"/>
      <c r="CN2794" s="4"/>
      <c r="CO2794" s="4"/>
      <c r="CP2794" s="4"/>
      <c r="CQ2794" s="4"/>
      <c r="CR2794" s="4"/>
      <c r="CS2794" s="4"/>
      <c r="CT2794" s="4"/>
      <c r="CU2794" s="4"/>
      <c r="CV2794" s="4"/>
      <c r="CW2794" s="4"/>
      <c r="CX2794" s="4"/>
      <c r="CY2794" s="4"/>
      <c r="CZ2794" s="4"/>
      <c r="DA2794" s="4"/>
      <c r="DB2794" s="4"/>
      <c r="DC2794" s="4"/>
      <c r="DD2794" s="4"/>
      <c r="DE2794" s="4"/>
      <c r="DF2794" s="4"/>
      <c r="DG2794" s="4"/>
      <c r="DH2794" s="4"/>
      <c r="DI2794" s="4"/>
      <c r="DJ2794" s="4"/>
      <c r="DK2794" s="4"/>
      <c r="DL2794" s="4"/>
      <c r="DM2794" s="4"/>
      <c r="DN2794" s="4"/>
      <c r="DO2794" s="4"/>
      <c r="DP2794" s="4"/>
      <c r="DQ2794" s="4"/>
      <c r="DR2794" s="4"/>
      <c r="DS2794" s="4"/>
    </row>
    <row r="2795">
      <c r="A2795" s="4"/>
      <c r="B2795" s="4"/>
      <c r="C2795" s="4"/>
      <c r="D2795" s="4"/>
      <c r="E2795" s="4"/>
      <c r="F2795" s="4" t="s">
        <v>17</v>
      </c>
      <c r="G2795" s="15"/>
      <c r="H2795" s="4"/>
      <c r="I2795" s="4"/>
      <c r="J2795" s="4"/>
      <c r="K2795" s="4"/>
      <c r="L2795" s="4"/>
      <c r="M2795" s="4"/>
      <c r="N2795" s="4"/>
      <c r="O2795" s="4"/>
      <c r="P2795" s="4"/>
      <c r="Q2795" s="4"/>
      <c r="R2795" s="4"/>
      <c r="S2795" s="4"/>
      <c r="T2795" s="4"/>
      <c r="U2795" s="4"/>
      <c r="V2795" s="4"/>
      <c r="W2795" s="4"/>
      <c r="X2795" s="4"/>
      <c r="Y2795" s="4"/>
      <c r="Z2795" s="4"/>
      <c r="AA2795" s="4"/>
      <c r="AB2795" s="4"/>
      <c r="AC2795" s="4"/>
      <c r="AD2795" s="4"/>
      <c r="AE2795" s="4"/>
      <c r="AF2795" s="4"/>
      <c r="AG2795" s="4"/>
      <c r="AH2795" s="4"/>
      <c r="AI2795" s="4"/>
      <c r="AJ2795" s="4"/>
      <c r="AK2795" s="4"/>
      <c r="AL2795" s="4"/>
      <c r="AM2795" s="4"/>
      <c r="AN2795" s="4"/>
      <c r="AO2795" s="4"/>
      <c r="AP2795" s="4"/>
      <c r="AQ2795" s="4"/>
      <c r="AR2795" s="4"/>
      <c r="AS2795" s="4"/>
      <c r="AT2795" s="4"/>
      <c r="AU2795" s="4"/>
      <c r="AV2795" s="4"/>
      <c r="AW2795" s="4"/>
      <c r="AX2795" s="4"/>
      <c r="AY2795" s="4"/>
      <c r="AZ2795" s="4"/>
      <c r="BA2795" s="4"/>
      <c r="BB2795" s="4"/>
      <c r="BC2795" s="4"/>
      <c r="BD2795" s="4"/>
      <c r="BE2795" s="4"/>
      <c r="BF2795" s="4"/>
      <c r="BG2795" s="4"/>
      <c r="BH2795" s="4"/>
      <c r="BI2795" s="4"/>
      <c r="BJ2795" s="4"/>
      <c r="BK2795" s="4"/>
      <c r="BL2795" s="4"/>
      <c r="BM2795" s="4"/>
      <c r="BN2795" s="4"/>
      <c r="BO2795" s="4"/>
      <c r="BP2795" s="4"/>
      <c r="BQ2795" s="4"/>
      <c r="BR2795" s="4"/>
      <c r="BS2795" s="4"/>
      <c r="BT2795" s="4"/>
      <c r="BU2795" s="4"/>
      <c r="BV2795" s="4"/>
      <c r="BW2795" s="4"/>
      <c r="BX2795" s="4"/>
      <c r="BY2795" s="4"/>
      <c r="BZ2795" s="4"/>
      <c r="CA2795" s="4"/>
      <c r="CB2795" s="4"/>
      <c r="CC2795" s="4"/>
      <c r="CD2795" s="4"/>
      <c r="CE2795" s="4"/>
      <c r="CF2795" s="4"/>
      <c r="CG2795" s="4"/>
      <c r="CH2795" s="4"/>
      <c r="CI2795" s="4"/>
      <c r="CJ2795" s="4"/>
      <c r="CK2795" s="4"/>
      <c r="CL2795" s="4"/>
      <c r="CM2795" s="4"/>
      <c r="CN2795" s="4"/>
      <c r="CO2795" s="4"/>
      <c r="CP2795" s="4"/>
      <c r="CQ2795" s="4"/>
      <c r="CR2795" s="4"/>
      <c r="CS2795" s="4"/>
      <c r="CT2795" s="4"/>
      <c r="CU2795" s="4"/>
      <c r="CV2795" s="4"/>
      <c r="CW2795" s="4"/>
      <c r="CX2795" s="4"/>
      <c r="CY2795" s="4"/>
      <c r="CZ2795" s="4"/>
      <c r="DA2795" s="4"/>
      <c r="DB2795" s="4"/>
      <c r="DC2795" s="4"/>
      <c r="DD2795" s="4"/>
      <c r="DE2795" s="4"/>
      <c r="DF2795" s="4"/>
      <c r="DG2795" s="4"/>
      <c r="DH2795" s="4"/>
      <c r="DI2795" s="4"/>
      <c r="DJ2795" s="4"/>
      <c r="DK2795" s="4"/>
      <c r="DL2795" s="4"/>
      <c r="DM2795" s="4"/>
      <c r="DN2795" s="4"/>
      <c r="DO2795" s="4"/>
      <c r="DP2795" s="4"/>
      <c r="DQ2795" s="4"/>
      <c r="DR2795" s="4"/>
      <c r="DS2795" s="4"/>
    </row>
    <row r="2796">
      <c r="A2796" s="4"/>
      <c r="B2796" s="4"/>
      <c r="C2796" s="4"/>
      <c r="D2796" s="4"/>
      <c r="E2796" s="4"/>
      <c r="F2796" s="4" t="s">
        <v>17</v>
      </c>
      <c r="G2796" s="15"/>
      <c r="H2796" s="4"/>
      <c r="I2796" s="4"/>
      <c r="J2796" s="4"/>
      <c r="K2796" s="4"/>
      <c r="L2796" s="4"/>
      <c r="M2796" s="4"/>
      <c r="N2796" s="4"/>
      <c r="O2796" s="4"/>
      <c r="P2796" s="4"/>
      <c r="Q2796" s="4"/>
      <c r="R2796" s="4"/>
      <c r="S2796" s="4"/>
      <c r="T2796" s="4"/>
      <c r="U2796" s="4"/>
      <c r="V2796" s="4"/>
      <c r="W2796" s="4"/>
      <c r="X2796" s="4"/>
      <c r="Y2796" s="4"/>
      <c r="Z2796" s="4"/>
      <c r="AA2796" s="4"/>
      <c r="AB2796" s="4"/>
      <c r="AC2796" s="4"/>
      <c r="AD2796" s="4"/>
      <c r="AE2796" s="4"/>
      <c r="AF2796" s="4"/>
      <c r="AG2796" s="4"/>
      <c r="AH2796" s="4"/>
      <c r="AI2796" s="4"/>
      <c r="AJ2796" s="4"/>
      <c r="AK2796" s="4"/>
      <c r="AL2796" s="4"/>
      <c r="AM2796" s="4"/>
      <c r="AN2796" s="4"/>
      <c r="AO2796" s="4"/>
      <c r="AP2796" s="4"/>
      <c r="AQ2796" s="4"/>
      <c r="AR2796" s="4"/>
      <c r="AS2796" s="4"/>
      <c r="AT2796" s="4"/>
      <c r="AU2796" s="4"/>
      <c r="AV2796" s="4"/>
      <c r="AW2796" s="4"/>
      <c r="AX2796" s="4"/>
      <c r="AY2796" s="4"/>
      <c r="AZ2796" s="4"/>
      <c r="BA2796" s="4"/>
      <c r="BB2796" s="4"/>
      <c r="BC2796" s="4"/>
      <c r="BD2796" s="4"/>
      <c r="BE2796" s="4"/>
      <c r="BF2796" s="4"/>
      <c r="BG2796" s="4"/>
      <c r="BH2796" s="4"/>
      <c r="BI2796" s="4"/>
      <c r="BJ2796" s="4"/>
      <c r="BK2796" s="4"/>
      <c r="BL2796" s="4"/>
      <c r="BM2796" s="4"/>
      <c r="BN2796" s="4"/>
      <c r="BO2796" s="4"/>
      <c r="BP2796" s="4"/>
      <c r="BQ2796" s="4"/>
      <c r="BR2796" s="4"/>
      <c r="BS2796" s="4"/>
      <c r="BT2796" s="4"/>
      <c r="BU2796" s="4"/>
      <c r="BV2796" s="4"/>
      <c r="BW2796" s="4"/>
      <c r="BX2796" s="4"/>
      <c r="BY2796" s="4"/>
      <c r="BZ2796" s="4"/>
      <c r="CA2796" s="4"/>
      <c r="CB2796" s="4"/>
      <c r="CC2796" s="4"/>
      <c r="CD2796" s="4"/>
      <c r="CE2796" s="4"/>
      <c r="CF2796" s="4"/>
      <c r="CG2796" s="4"/>
      <c r="CH2796" s="4"/>
      <c r="CI2796" s="4"/>
      <c r="CJ2796" s="4"/>
      <c r="CK2796" s="4"/>
      <c r="CL2796" s="4"/>
      <c r="CM2796" s="4"/>
      <c r="CN2796" s="4"/>
      <c r="CO2796" s="4"/>
      <c r="CP2796" s="4"/>
      <c r="CQ2796" s="4"/>
      <c r="CR2796" s="4"/>
      <c r="CS2796" s="4"/>
      <c r="CT2796" s="4"/>
      <c r="CU2796" s="4"/>
      <c r="CV2796" s="4"/>
      <c r="CW2796" s="4"/>
      <c r="CX2796" s="4"/>
      <c r="CY2796" s="4"/>
      <c r="CZ2796" s="4"/>
      <c r="DA2796" s="4"/>
      <c r="DB2796" s="4"/>
      <c r="DC2796" s="4"/>
      <c r="DD2796" s="4"/>
      <c r="DE2796" s="4"/>
      <c r="DF2796" s="4"/>
      <c r="DG2796" s="4"/>
      <c r="DH2796" s="4"/>
      <c r="DI2796" s="4"/>
      <c r="DJ2796" s="4"/>
      <c r="DK2796" s="4"/>
      <c r="DL2796" s="4"/>
      <c r="DM2796" s="4"/>
      <c r="DN2796" s="4"/>
      <c r="DO2796" s="4"/>
      <c r="DP2796" s="4"/>
      <c r="DQ2796" s="4"/>
      <c r="DR2796" s="4"/>
      <c r="DS2796" s="4"/>
    </row>
    <row r="2797">
      <c r="A2797" s="4"/>
      <c r="B2797" s="4"/>
      <c r="C2797" s="4"/>
      <c r="D2797" s="4"/>
      <c r="E2797" s="4"/>
      <c r="F2797" s="4" t="s">
        <v>17</v>
      </c>
      <c r="G2797" s="15"/>
      <c r="H2797" s="4"/>
      <c r="I2797" s="4"/>
      <c r="J2797" s="4"/>
      <c r="K2797" s="4"/>
      <c r="L2797" s="4"/>
      <c r="M2797" s="4"/>
      <c r="N2797" s="4"/>
      <c r="O2797" s="4"/>
      <c r="P2797" s="4"/>
      <c r="Q2797" s="4"/>
      <c r="R2797" s="4"/>
      <c r="S2797" s="4"/>
      <c r="T2797" s="4"/>
      <c r="U2797" s="4"/>
      <c r="V2797" s="4"/>
      <c r="W2797" s="4"/>
      <c r="X2797" s="4"/>
      <c r="Y2797" s="4"/>
      <c r="Z2797" s="4"/>
      <c r="AA2797" s="4"/>
      <c r="AB2797" s="4"/>
      <c r="AC2797" s="4"/>
      <c r="AD2797" s="4"/>
      <c r="AE2797" s="4"/>
      <c r="AF2797" s="4"/>
      <c r="AG2797" s="4"/>
      <c r="AH2797" s="4"/>
      <c r="AI2797" s="4"/>
      <c r="AJ2797" s="4"/>
      <c r="AK2797" s="4"/>
      <c r="AL2797" s="4"/>
      <c r="AM2797" s="4"/>
      <c r="AN2797" s="4"/>
      <c r="AO2797" s="4"/>
      <c r="AP2797" s="4"/>
      <c r="AQ2797" s="4"/>
      <c r="AR2797" s="4"/>
      <c r="AS2797" s="4"/>
      <c r="AT2797" s="4"/>
      <c r="AU2797" s="4"/>
      <c r="AV2797" s="4"/>
      <c r="AW2797" s="4"/>
      <c r="AX2797" s="4"/>
      <c r="AY2797" s="4"/>
      <c r="AZ2797" s="4"/>
      <c r="BA2797" s="4"/>
      <c r="BB2797" s="4"/>
      <c r="BC2797" s="4"/>
      <c r="BD2797" s="4"/>
      <c r="BE2797" s="4"/>
      <c r="BF2797" s="4"/>
      <c r="BG2797" s="4"/>
      <c r="BH2797" s="4"/>
      <c r="BI2797" s="4"/>
      <c r="BJ2797" s="4"/>
      <c r="BK2797" s="4"/>
      <c r="BL2797" s="4"/>
      <c r="BM2797" s="4"/>
      <c r="BN2797" s="4"/>
      <c r="BO2797" s="4"/>
      <c r="BP2797" s="4"/>
      <c r="BQ2797" s="4"/>
      <c r="BR2797" s="4"/>
      <c r="BS2797" s="4"/>
      <c r="BT2797" s="4"/>
      <c r="BU2797" s="4"/>
      <c r="BV2797" s="4"/>
      <c r="BW2797" s="4"/>
      <c r="BX2797" s="4"/>
      <c r="BY2797" s="4"/>
      <c r="BZ2797" s="4"/>
      <c r="CA2797" s="4"/>
      <c r="CB2797" s="4"/>
      <c r="CC2797" s="4"/>
      <c r="CD2797" s="4"/>
      <c r="CE2797" s="4"/>
      <c r="CF2797" s="4"/>
      <c r="CG2797" s="4"/>
      <c r="CH2797" s="4"/>
      <c r="CI2797" s="4"/>
      <c r="CJ2797" s="4"/>
      <c r="CK2797" s="4"/>
      <c r="CL2797" s="4"/>
      <c r="CM2797" s="4"/>
      <c r="CN2797" s="4"/>
      <c r="CO2797" s="4"/>
      <c r="CP2797" s="4"/>
      <c r="CQ2797" s="4"/>
      <c r="CR2797" s="4"/>
      <c r="CS2797" s="4"/>
      <c r="CT2797" s="4"/>
      <c r="CU2797" s="4"/>
      <c r="CV2797" s="4"/>
      <c r="CW2797" s="4"/>
      <c r="CX2797" s="4"/>
      <c r="CY2797" s="4"/>
      <c r="CZ2797" s="4"/>
      <c r="DA2797" s="4"/>
      <c r="DB2797" s="4"/>
      <c r="DC2797" s="4"/>
      <c r="DD2797" s="4"/>
      <c r="DE2797" s="4"/>
      <c r="DF2797" s="4"/>
      <c r="DG2797" s="4"/>
      <c r="DH2797" s="4"/>
      <c r="DI2797" s="4"/>
      <c r="DJ2797" s="4"/>
      <c r="DK2797" s="4"/>
      <c r="DL2797" s="4"/>
      <c r="DM2797" s="4"/>
      <c r="DN2797" s="4"/>
      <c r="DO2797" s="4"/>
      <c r="DP2797" s="4"/>
      <c r="DQ2797" s="4"/>
      <c r="DR2797" s="4"/>
      <c r="DS2797" s="4"/>
    </row>
    <row r="2798">
      <c r="A2798" s="4"/>
      <c r="B2798" s="4"/>
      <c r="C2798" s="4"/>
      <c r="D2798" s="4"/>
      <c r="E2798" s="4"/>
      <c r="F2798" s="4" t="s">
        <v>17</v>
      </c>
      <c r="G2798" s="15"/>
      <c r="H2798" s="4"/>
      <c r="I2798" s="4"/>
      <c r="J2798" s="4"/>
      <c r="K2798" s="4"/>
      <c r="L2798" s="4"/>
      <c r="M2798" s="4"/>
      <c r="N2798" s="4"/>
      <c r="O2798" s="4"/>
      <c r="P2798" s="4"/>
      <c r="Q2798" s="4"/>
      <c r="R2798" s="4"/>
      <c r="S2798" s="4"/>
      <c r="T2798" s="4"/>
      <c r="U2798" s="4"/>
      <c r="V2798" s="4"/>
      <c r="W2798" s="4"/>
      <c r="X2798" s="4"/>
      <c r="Y2798" s="4"/>
      <c r="Z2798" s="4"/>
      <c r="AA2798" s="4"/>
      <c r="AB2798" s="4"/>
      <c r="AC2798" s="4"/>
      <c r="AD2798" s="4"/>
      <c r="AE2798" s="4"/>
      <c r="AF2798" s="4"/>
      <c r="AG2798" s="4"/>
      <c r="AH2798" s="4"/>
      <c r="AI2798" s="4"/>
      <c r="AJ2798" s="4"/>
      <c r="AK2798" s="4"/>
      <c r="AL2798" s="4"/>
      <c r="AM2798" s="4"/>
      <c r="AN2798" s="4"/>
      <c r="AO2798" s="4"/>
      <c r="AP2798" s="4"/>
      <c r="AQ2798" s="4"/>
      <c r="AR2798" s="4"/>
      <c r="AS2798" s="4"/>
      <c r="AT2798" s="4"/>
      <c r="AU2798" s="4"/>
      <c r="AV2798" s="4"/>
      <c r="AW2798" s="4"/>
      <c r="AX2798" s="4"/>
      <c r="AY2798" s="4"/>
      <c r="AZ2798" s="4"/>
      <c r="BA2798" s="4"/>
      <c r="BB2798" s="4"/>
      <c r="BC2798" s="4"/>
      <c r="BD2798" s="4"/>
      <c r="BE2798" s="4"/>
      <c r="BF2798" s="4"/>
      <c r="BG2798" s="4"/>
      <c r="BH2798" s="4"/>
      <c r="BI2798" s="4"/>
      <c r="BJ2798" s="4"/>
      <c r="BK2798" s="4"/>
      <c r="BL2798" s="4"/>
      <c r="BM2798" s="4"/>
      <c r="BN2798" s="4"/>
      <c r="BO2798" s="4"/>
      <c r="BP2798" s="4"/>
      <c r="BQ2798" s="4"/>
      <c r="BR2798" s="4"/>
      <c r="BS2798" s="4"/>
      <c r="BT2798" s="4"/>
      <c r="BU2798" s="4"/>
      <c r="BV2798" s="4"/>
      <c r="BW2798" s="4"/>
      <c r="BX2798" s="4"/>
      <c r="BY2798" s="4"/>
      <c r="BZ2798" s="4"/>
      <c r="CA2798" s="4"/>
      <c r="CB2798" s="4"/>
      <c r="CC2798" s="4"/>
      <c r="CD2798" s="4"/>
      <c r="CE2798" s="4"/>
      <c r="CF2798" s="4"/>
      <c r="CG2798" s="4"/>
      <c r="CH2798" s="4"/>
      <c r="CI2798" s="4"/>
      <c r="CJ2798" s="4"/>
      <c r="CK2798" s="4"/>
      <c r="CL2798" s="4"/>
      <c r="CM2798" s="4"/>
      <c r="CN2798" s="4"/>
      <c r="CO2798" s="4"/>
      <c r="CP2798" s="4"/>
      <c r="CQ2798" s="4"/>
      <c r="CR2798" s="4"/>
      <c r="CS2798" s="4"/>
      <c r="CT2798" s="4"/>
      <c r="CU2798" s="4"/>
      <c r="CV2798" s="4"/>
      <c r="CW2798" s="4"/>
      <c r="CX2798" s="4"/>
      <c r="CY2798" s="4"/>
      <c r="CZ2798" s="4"/>
      <c r="DA2798" s="4"/>
      <c r="DB2798" s="4"/>
      <c r="DC2798" s="4"/>
      <c r="DD2798" s="4"/>
      <c r="DE2798" s="4"/>
      <c r="DF2798" s="4"/>
      <c r="DG2798" s="4"/>
      <c r="DH2798" s="4"/>
      <c r="DI2798" s="4"/>
      <c r="DJ2798" s="4"/>
      <c r="DK2798" s="4"/>
      <c r="DL2798" s="4"/>
      <c r="DM2798" s="4"/>
      <c r="DN2798" s="4"/>
      <c r="DO2798" s="4"/>
      <c r="DP2798" s="4"/>
      <c r="DQ2798" s="4"/>
      <c r="DR2798" s="4"/>
      <c r="DS2798" s="4"/>
    </row>
    <row r="2799">
      <c r="A2799" s="4"/>
      <c r="B2799" s="4"/>
      <c r="C2799" s="4"/>
      <c r="D2799" s="4"/>
      <c r="E2799" s="4"/>
      <c r="F2799" s="4" t="s">
        <v>17</v>
      </c>
      <c r="G2799" s="15"/>
      <c r="H2799" s="4"/>
      <c r="I2799" s="4"/>
      <c r="J2799" s="4"/>
      <c r="K2799" s="4"/>
      <c r="L2799" s="4"/>
      <c r="M2799" s="4"/>
      <c r="N2799" s="4"/>
      <c r="O2799" s="4"/>
      <c r="P2799" s="4"/>
      <c r="Q2799" s="4"/>
      <c r="R2799" s="4"/>
      <c r="S2799" s="4"/>
      <c r="T2799" s="4"/>
      <c r="U2799" s="4"/>
      <c r="V2799" s="4"/>
      <c r="W2799" s="4"/>
      <c r="X2799" s="4"/>
      <c r="Y2799" s="4"/>
      <c r="Z2799" s="4"/>
      <c r="AA2799" s="4"/>
      <c r="AB2799" s="4"/>
      <c r="AC2799" s="4"/>
      <c r="AD2799" s="4"/>
      <c r="AE2799" s="4"/>
      <c r="AF2799" s="4"/>
      <c r="AG2799" s="4"/>
      <c r="AH2799" s="4"/>
      <c r="AI2799" s="4"/>
      <c r="AJ2799" s="4"/>
      <c r="AK2799" s="4"/>
      <c r="AL2799" s="4"/>
      <c r="AM2799" s="4"/>
      <c r="AN2799" s="4"/>
      <c r="AO2799" s="4"/>
      <c r="AP2799" s="4"/>
      <c r="AQ2799" s="4"/>
      <c r="AR2799" s="4"/>
      <c r="AS2799" s="4"/>
      <c r="AT2799" s="4"/>
      <c r="AU2799" s="4"/>
      <c r="AV2799" s="4"/>
      <c r="AW2799" s="4"/>
      <c r="AX2799" s="4"/>
      <c r="AY2799" s="4"/>
      <c r="AZ2799" s="4"/>
      <c r="BA2799" s="4"/>
      <c r="BB2799" s="4"/>
      <c r="BC2799" s="4"/>
      <c r="BD2799" s="4"/>
      <c r="BE2799" s="4"/>
      <c r="BF2799" s="4"/>
      <c r="BG2799" s="4"/>
      <c r="BH2799" s="4"/>
      <c r="BI2799" s="4"/>
      <c r="BJ2799" s="4"/>
      <c r="BK2799" s="4"/>
      <c r="BL2799" s="4"/>
      <c r="BM2799" s="4"/>
      <c r="BN2799" s="4"/>
      <c r="BO2799" s="4"/>
      <c r="BP2799" s="4"/>
      <c r="BQ2799" s="4"/>
      <c r="BR2799" s="4"/>
      <c r="BS2799" s="4"/>
      <c r="BT2799" s="4"/>
      <c r="BU2799" s="4"/>
      <c r="BV2799" s="4"/>
      <c r="BW2799" s="4"/>
      <c r="BX2799" s="4"/>
      <c r="BY2799" s="4"/>
      <c r="BZ2799" s="4"/>
      <c r="CA2799" s="4"/>
      <c r="CB2799" s="4"/>
      <c r="CC2799" s="4"/>
      <c r="CD2799" s="4"/>
      <c r="CE2799" s="4"/>
      <c r="CF2799" s="4"/>
      <c r="CG2799" s="4"/>
      <c r="CH2799" s="4"/>
      <c r="CI2799" s="4"/>
      <c r="CJ2799" s="4"/>
      <c r="CK2799" s="4"/>
      <c r="CL2799" s="4"/>
      <c r="CM2799" s="4"/>
      <c r="CN2799" s="4"/>
      <c r="CO2799" s="4"/>
      <c r="CP2799" s="4"/>
      <c r="CQ2799" s="4"/>
      <c r="CR2799" s="4"/>
      <c r="CS2799" s="4"/>
      <c r="CT2799" s="4"/>
      <c r="CU2799" s="4"/>
      <c r="CV2799" s="4"/>
      <c r="CW2799" s="4"/>
      <c r="CX2799" s="4"/>
      <c r="CY2799" s="4"/>
      <c r="CZ2799" s="4"/>
      <c r="DA2799" s="4"/>
      <c r="DB2799" s="4"/>
      <c r="DC2799" s="4"/>
      <c r="DD2799" s="4"/>
      <c r="DE2799" s="4"/>
      <c r="DF2799" s="4"/>
      <c r="DG2799" s="4"/>
      <c r="DH2799" s="4"/>
      <c r="DI2799" s="4"/>
      <c r="DJ2799" s="4"/>
      <c r="DK2799" s="4"/>
      <c r="DL2799" s="4"/>
      <c r="DM2799" s="4"/>
      <c r="DN2799" s="4"/>
      <c r="DO2799" s="4"/>
      <c r="DP2799" s="4"/>
      <c r="DQ2799" s="4"/>
      <c r="DR2799" s="4"/>
      <c r="DS2799" s="4"/>
    </row>
    <row r="2800">
      <c r="A2800" s="4"/>
      <c r="B2800" s="4"/>
      <c r="C2800" s="4"/>
      <c r="D2800" s="4"/>
      <c r="E2800" s="4"/>
      <c r="F2800" s="4" t="s">
        <v>17</v>
      </c>
      <c r="G2800" s="15"/>
      <c r="H2800" s="4"/>
      <c r="I2800" s="4"/>
      <c r="J2800" s="4"/>
      <c r="K2800" s="4"/>
      <c r="L2800" s="4"/>
      <c r="M2800" s="4"/>
      <c r="N2800" s="4"/>
      <c r="O2800" s="4"/>
      <c r="P2800" s="4"/>
      <c r="Q2800" s="4"/>
      <c r="R2800" s="4"/>
      <c r="S2800" s="4"/>
      <c r="T2800" s="4"/>
      <c r="U2800" s="4"/>
      <c r="V2800" s="4"/>
      <c r="W2800" s="4"/>
      <c r="X2800" s="4"/>
      <c r="Y2800" s="4"/>
      <c r="Z2800" s="4"/>
      <c r="AA2800" s="4"/>
      <c r="AB2800" s="4"/>
      <c r="AC2800" s="4"/>
      <c r="AD2800" s="4"/>
      <c r="AE2800" s="4"/>
      <c r="AF2800" s="4"/>
      <c r="AG2800" s="4"/>
      <c r="AH2800" s="4"/>
      <c r="AI2800" s="4"/>
      <c r="AJ2800" s="4"/>
      <c r="AK2800" s="4"/>
      <c r="AL2800" s="4"/>
      <c r="AM2800" s="4"/>
      <c r="AN2800" s="4"/>
      <c r="AO2800" s="4"/>
      <c r="AP2800" s="4"/>
      <c r="AQ2800" s="4"/>
      <c r="AR2800" s="4"/>
      <c r="AS2800" s="4"/>
      <c r="AT2800" s="4"/>
      <c r="AU2800" s="4"/>
      <c r="AV2800" s="4"/>
      <c r="AW2800" s="4"/>
      <c r="AX2800" s="4"/>
      <c r="AY2800" s="4"/>
      <c r="AZ2800" s="4"/>
      <c r="BA2800" s="4"/>
      <c r="BB2800" s="4"/>
      <c r="BC2800" s="4"/>
      <c r="BD2800" s="4"/>
      <c r="BE2800" s="4"/>
      <c r="BF2800" s="4"/>
      <c r="BG2800" s="4"/>
      <c r="BH2800" s="4"/>
      <c r="BI2800" s="4"/>
      <c r="BJ2800" s="4"/>
      <c r="BK2800" s="4"/>
      <c r="BL2800" s="4"/>
      <c r="BM2800" s="4"/>
      <c r="BN2800" s="4"/>
      <c r="BO2800" s="4"/>
      <c r="BP2800" s="4"/>
      <c r="BQ2800" s="4"/>
      <c r="BR2800" s="4"/>
      <c r="BS2800" s="4"/>
      <c r="BT2800" s="4"/>
      <c r="BU2800" s="4"/>
      <c r="BV2800" s="4"/>
      <c r="BW2800" s="4"/>
      <c r="BX2800" s="4"/>
      <c r="BY2800" s="4"/>
      <c r="BZ2800" s="4"/>
      <c r="CA2800" s="4"/>
      <c r="CB2800" s="4"/>
      <c r="CC2800" s="4"/>
      <c r="CD2800" s="4"/>
      <c r="CE2800" s="4"/>
      <c r="CF2800" s="4"/>
      <c r="CG2800" s="4"/>
      <c r="CH2800" s="4"/>
      <c r="CI2800" s="4"/>
      <c r="CJ2800" s="4"/>
      <c r="CK2800" s="4"/>
      <c r="CL2800" s="4"/>
      <c r="CM2800" s="4"/>
      <c r="CN2800" s="4"/>
      <c r="CO2800" s="4"/>
      <c r="CP2800" s="4"/>
      <c r="CQ2800" s="4"/>
      <c r="CR2800" s="4"/>
      <c r="CS2800" s="4"/>
      <c r="CT2800" s="4"/>
      <c r="CU2800" s="4"/>
      <c r="CV2800" s="4"/>
      <c r="CW2800" s="4"/>
      <c r="CX2800" s="4"/>
      <c r="CY2800" s="4"/>
      <c r="CZ2800" s="4"/>
      <c r="DA2800" s="4"/>
      <c r="DB2800" s="4"/>
      <c r="DC2800" s="4"/>
      <c r="DD2800" s="4"/>
      <c r="DE2800" s="4"/>
      <c r="DF2800" s="4"/>
      <c r="DG2800" s="4"/>
      <c r="DH2800" s="4"/>
      <c r="DI2800" s="4"/>
      <c r="DJ2800" s="4"/>
      <c r="DK2800" s="4"/>
      <c r="DL2800" s="4"/>
      <c r="DM2800" s="4"/>
      <c r="DN2800" s="4"/>
      <c r="DO2800" s="4"/>
      <c r="DP2800" s="4"/>
      <c r="DQ2800" s="4"/>
      <c r="DR2800" s="4"/>
      <c r="DS2800" s="4"/>
    </row>
    <row r="2801">
      <c r="A2801" s="4"/>
      <c r="B2801" s="4"/>
      <c r="C2801" s="4"/>
      <c r="D2801" s="4"/>
      <c r="E2801" s="4"/>
      <c r="F2801" s="4" t="s">
        <v>17</v>
      </c>
      <c r="G2801" s="15"/>
      <c r="H2801" s="4"/>
      <c r="I2801" s="4"/>
      <c r="J2801" s="4"/>
      <c r="K2801" s="4"/>
      <c r="L2801" s="4"/>
      <c r="M2801" s="4"/>
      <c r="N2801" s="4"/>
      <c r="O2801" s="4"/>
      <c r="P2801" s="4"/>
      <c r="Q2801" s="4"/>
      <c r="R2801" s="4"/>
      <c r="S2801" s="4"/>
      <c r="T2801" s="4"/>
      <c r="U2801" s="4"/>
      <c r="V2801" s="4"/>
      <c r="W2801" s="4"/>
      <c r="X2801" s="4"/>
      <c r="Y2801" s="4"/>
      <c r="Z2801" s="4"/>
      <c r="AA2801" s="4"/>
      <c r="AB2801" s="4"/>
      <c r="AC2801" s="4"/>
      <c r="AD2801" s="4"/>
      <c r="AE2801" s="4"/>
      <c r="AF2801" s="4"/>
      <c r="AG2801" s="4"/>
      <c r="AH2801" s="4"/>
      <c r="AI2801" s="4"/>
      <c r="AJ2801" s="4"/>
      <c r="AK2801" s="4"/>
      <c r="AL2801" s="4"/>
      <c r="AM2801" s="4"/>
      <c r="AN2801" s="4"/>
      <c r="AO2801" s="4"/>
      <c r="AP2801" s="4"/>
      <c r="AQ2801" s="4"/>
      <c r="AR2801" s="4"/>
      <c r="AS2801" s="4"/>
      <c r="AT2801" s="4"/>
      <c r="AU2801" s="4"/>
      <c r="AV2801" s="4"/>
      <c r="AW2801" s="4"/>
      <c r="AX2801" s="4"/>
      <c r="AY2801" s="4"/>
      <c r="AZ2801" s="4"/>
      <c r="BA2801" s="4"/>
      <c r="BB2801" s="4"/>
      <c r="BC2801" s="4"/>
      <c r="BD2801" s="4"/>
      <c r="BE2801" s="4"/>
      <c r="BF2801" s="4"/>
      <c r="BG2801" s="4"/>
      <c r="BH2801" s="4"/>
      <c r="BI2801" s="4"/>
      <c r="BJ2801" s="4"/>
      <c r="BK2801" s="4"/>
      <c r="BL2801" s="4"/>
      <c r="BM2801" s="4"/>
      <c r="BN2801" s="4"/>
      <c r="BO2801" s="4"/>
      <c r="BP2801" s="4"/>
      <c r="BQ2801" s="4"/>
      <c r="BR2801" s="4"/>
      <c r="BS2801" s="4"/>
      <c r="BT2801" s="4"/>
      <c r="BU2801" s="4"/>
      <c r="BV2801" s="4"/>
      <c r="BW2801" s="4"/>
      <c r="BX2801" s="4"/>
      <c r="BY2801" s="4"/>
      <c r="BZ2801" s="4"/>
      <c r="CA2801" s="4"/>
      <c r="CB2801" s="4"/>
      <c r="CC2801" s="4"/>
      <c r="CD2801" s="4"/>
      <c r="CE2801" s="4"/>
      <c r="CF2801" s="4"/>
      <c r="CG2801" s="4"/>
      <c r="CH2801" s="4"/>
      <c r="CI2801" s="4"/>
      <c r="CJ2801" s="4"/>
      <c r="CK2801" s="4"/>
      <c r="CL2801" s="4"/>
      <c r="CM2801" s="4"/>
      <c r="CN2801" s="4"/>
      <c r="CO2801" s="4"/>
      <c r="CP2801" s="4"/>
      <c r="CQ2801" s="4"/>
      <c r="CR2801" s="4"/>
      <c r="CS2801" s="4"/>
      <c r="CT2801" s="4"/>
      <c r="CU2801" s="4"/>
      <c r="CV2801" s="4"/>
      <c r="CW2801" s="4"/>
      <c r="CX2801" s="4"/>
      <c r="CY2801" s="4"/>
      <c r="CZ2801" s="4"/>
      <c r="DA2801" s="4"/>
      <c r="DB2801" s="4"/>
      <c r="DC2801" s="4"/>
      <c r="DD2801" s="4"/>
      <c r="DE2801" s="4"/>
      <c r="DF2801" s="4"/>
      <c r="DG2801" s="4"/>
      <c r="DH2801" s="4"/>
      <c r="DI2801" s="4"/>
      <c r="DJ2801" s="4"/>
      <c r="DK2801" s="4"/>
      <c r="DL2801" s="4"/>
      <c r="DM2801" s="4"/>
      <c r="DN2801" s="4"/>
      <c r="DO2801" s="4"/>
      <c r="DP2801" s="4"/>
      <c r="DQ2801" s="4"/>
      <c r="DR2801" s="4"/>
      <c r="DS2801" s="4"/>
    </row>
    <row r="2802">
      <c r="A2802" s="4"/>
      <c r="B2802" s="4"/>
      <c r="C2802" s="4"/>
      <c r="D2802" s="4"/>
      <c r="E2802" s="4"/>
      <c r="F2802" s="4" t="s">
        <v>17</v>
      </c>
      <c r="G2802" s="15"/>
      <c r="H2802" s="4"/>
      <c r="I2802" s="4"/>
      <c r="J2802" s="4"/>
      <c r="K2802" s="4"/>
      <c r="L2802" s="4"/>
      <c r="M2802" s="4"/>
      <c r="N2802" s="4"/>
      <c r="O2802" s="4"/>
      <c r="P2802" s="4"/>
      <c r="Q2802" s="4"/>
      <c r="R2802" s="4"/>
      <c r="S2802" s="4"/>
      <c r="T2802" s="4"/>
      <c r="U2802" s="4"/>
      <c r="V2802" s="4"/>
      <c r="W2802" s="4"/>
      <c r="X2802" s="4"/>
      <c r="Y2802" s="4"/>
      <c r="Z2802" s="4"/>
      <c r="AA2802" s="4"/>
      <c r="AB2802" s="4"/>
      <c r="AC2802" s="4"/>
      <c r="AD2802" s="4"/>
      <c r="AE2802" s="4"/>
      <c r="AF2802" s="4"/>
      <c r="AG2802" s="4"/>
      <c r="AH2802" s="4"/>
      <c r="AI2802" s="4"/>
      <c r="AJ2802" s="4"/>
      <c r="AK2802" s="4"/>
      <c r="AL2802" s="4"/>
      <c r="AM2802" s="4"/>
      <c r="AN2802" s="4"/>
      <c r="AO2802" s="4"/>
      <c r="AP2802" s="4"/>
      <c r="AQ2802" s="4"/>
      <c r="AR2802" s="4"/>
      <c r="AS2802" s="4"/>
      <c r="AT2802" s="4"/>
      <c r="AU2802" s="4"/>
      <c r="AV2802" s="4"/>
      <c r="AW2802" s="4"/>
      <c r="AX2802" s="4"/>
      <c r="AY2802" s="4"/>
      <c r="AZ2802" s="4"/>
      <c r="BA2802" s="4"/>
      <c r="BB2802" s="4"/>
      <c r="BC2802" s="4"/>
      <c r="BD2802" s="4"/>
      <c r="BE2802" s="4"/>
      <c r="BF2802" s="4"/>
      <c r="BG2802" s="4"/>
      <c r="BH2802" s="4"/>
      <c r="BI2802" s="4"/>
      <c r="BJ2802" s="4"/>
      <c r="BK2802" s="4"/>
      <c r="BL2802" s="4"/>
      <c r="BM2802" s="4"/>
      <c r="BN2802" s="4"/>
      <c r="BO2802" s="4"/>
      <c r="BP2802" s="4"/>
      <c r="BQ2802" s="4"/>
      <c r="BR2802" s="4"/>
      <c r="BS2802" s="4"/>
      <c r="BT2802" s="4"/>
      <c r="BU2802" s="4"/>
      <c r="BV2802" s="4"/>
      <c r="BW2802" s="4"/>
      <c r="BX2802" s="4"/>
      <c r="BY2802" s="4"/>
      <c r="BZ2802" s="4"/>
      <c r="CA2802" s="4"/>
      <c r="CB2802" s="4"/>
      <c r="CC2802" s="4"/>
      <c r="CD2802" s="4"/>
      <c r="CE2802" s="4"/>
      <c r="CF2802" s="4"/>
      <c r="CG2802" s="4"/>
      <c r="CH2802" s="4"/>
      <c r="CI2802" s="4"/>
      <c r="CJ2802" s="4"/>
      <c r="CK2802" s="4"/>
      <c r="CL2802" s="4"/>
      <c r="CM2802" s="4"/>
      <c r="CN2802" s="4"/>
      <c r="CO2802" s="4"/>
      <c r="CP2802" s="4"/>
      <c r="CQ2802" s="4"/>
      <c r="CR2802" s="4"/>
      <c r="CS2802" s="4"/>
      <c r="CT2802" s="4"/>
      <c r="CU2802" s="4"/>
      <c r="CV2802" s="4"/>
      <c r="CW2802" s="4"/>
      <c r="CX2802" s="4"/>
      <c r="CY2802" s="4"/>
      <c r="CZ2802" s="4"/>
      <c r="DA2802" s="4"/>
      <c r="DB2802" s="4"/>
      <c r="DC2802" s="4"/>
      <c r="DD2802" s="4"/>
      <c r="DE2802" s="4"/>
      <c r="DF2802" s="4"/>
      <c r="DG2802" s="4"/>
      <c r="DH2802" s="4"/>
      <c r="DI2802" s="4"/>
      <c r="DJ2802" s="4"/>
      <c r="DK2802" s="4"/>
      <c r="DL2802" s="4"/>
      <c r="DM2802" s="4"/>
      <c r="DN2802" s="4"/>
      <c r="DO2802" s="4"/>
      <c r="DP2802" s="4"/>
      <c r="DQ2802" s="4"/>
      <c r="DR2802" s="4"/>
      <c r="DS2802" s="4"/>
    </row>
    <row r="2803">
      <c r="A2803" s="4"/>
      <c r="B2803" s="4"/>
      <c r="C2803" s="4"/>
      <c r="D2803" s="4"/>
      <c r="E2803" s="4"/>
      <c r="F2803" s="4" t="s">
        <v>17</v>
      </c>
      <c r="G2803" s="15"/>
      <c r="H2803" s="4"/>
      <c r="I2803" s="4"/>
      <c r="J2803" s="4"/>
      <c r="K2803" s="4"/>
      <c r="L2803" s="4"/>
      <c r="M2803" s="4"/>
      <c r="N2803" s="4"/>
      <c r="O2803" s="4"/>
      <c r="P2803" s="4"/>
      <c r="Q2803" s="4"/>
      <c r="R2803" s="4"/>
      <c r="S2803" s="4"/>
      <c r="T2803" s="4"/>
      <c r="U2803" s="4"/>
      <c r="V2803" s="4"/>
      <c r="W2803" s="4"/>
      <c r="X2803" s="4"/>
      <c r="Y2803" s="4"/>
      <c r="Z2803" s="4"/>
      <c r="AA2803" s="4"/>
      <c r="AB2803" s="4"/>
      <c r="AC2803" s="4"/>
      <c r="AD2803" s="4"/>
      <c r="AE2803" s="4"/>
      <c r="AF2803" s="4"/>
      <c r="AG2803" s="4"/>
      <c r="AH2803" s="4"/>
      <c r="AI2803" s="4"/>
      <c r="AJ2803" s="4"/>
      <c r="AK2803" s="4"/>
      <c r="AL2803" s="4"/>
      <c r="AM2803" s="4"/>
      <c r="AN2803" s="4"/>
      <c r="AO2803" s="4"/>
      <c r="AP2803" s="4"/>
      <c r="AQ2803" s="4"/>
      <c r="AR2803" s="4"/>
      <c r="AS2803" s="4"/>
      <c r="AT2803" s="4"/>
      <c r="AU2803" s="4"/>
      <c r="AV2803" s="4"/>
      <c r="AW2803" s="4"/>
      <c r="AX2803" s="4"/>
      <c r="AY2803" s="4"/>
      <c r="AZ2803" s="4"/>
      <c r="BA2803" s="4"/>
      <c r="BB2803" s="4"/>
      <c r="BC2803" s="4"/>
      <c r="BD2803" s="4"/>
      <c r="BE2803" s="4"/>
      <c r="BF2803" s="4"/>
      <c r="BG2803" s="4"/>
      <c r="BH2803" s="4"/>
      <c r="BI2803" s="4"/>
      <c r="BJ2803" s="4"/>
      <c r="BK2803" s="4"/>
      <c r="BL2803" s="4"/>
      <c r="BM2803" s="4"/>
      <c r="BN2803" s="4"/>
      <c r="BO2803" s="4"/>
      <c r="BP2803" s="4"/>
      <c r="BQ2803" s="4"/>
      <c r="BR2803" s="4"/>
      <c r="BS2803" s="4"/>
      <c r="BT2803" s="4"/>
      <c r="BU2803" s="4"/>
      <c r="BV2803" s="4"/>
      <c r="BW2803" s="4"/>
      <c r="BX2803" s="4"/>
      <c r="BY2803" s="4"/>
      <c r="BZ2803" s="4"/>
      <c r="CA2803" s="4"/>
      <c r="CB2803" s="4"/>
      <c r="CC2803" s="4"/>
      <c r="CD2803" s="4"/>
      <c r="CE2803" s="4"/>
      <c r="CF2803" s="4"/>
      <c r="CG2803" s="4"/>
      <c r="CH2803" s="4"/>
      <c r="CI2803" s="4"/>
      <c r="CJ2803" s="4"/>
      <c r="CK2803" s="4"/>
      <c r="CL2803" s="4"/>
      <c r="CM2803" s="4"/>
      <c r="CN2803" s="4"/>
      <c r="CO2803" s="4"/>
      <c r="CP2803" s="4"/>
      <c r="CQ2803" s="4"/>
      <c r="CR2803" s="4"/>
      <c r="CS2803" s="4"/>
      <c r="CT2803" s="4"/>
      <c r="CU2803" s="4"/>
      <c r="CV2803" s="4"/>
      <c r="CW2803" s="4"/>
      <c r="CX2803" s="4"/>
      <c r="CY2803" s="4"/>
      <c r="CZ2803" s="4"/>
      <c r="DA2803" s="4"/>
      <c r="DB2803" s="4"/>
      <c r="DC2803" s="4"/>
      <c r="DD2803" s="4"/>
      <c r="DE2803" s="4"/>
      <c r="DF2803" s="4"/>
      <c r="DG2803" s="4"/>
      <c r="DH2803" s="4"/>
      <c r="DI2803" s="4"/>
      <c r="DJ2803" s="4"/>
      <c r="DK2803" s="4"/>
      <c r="DL2803" s="4"/>
      <c r="DM2803" s="4"/>
      <c r="DN2803" s="4"/>
      <c r="DO2803" s="4"/>
      <c r="DP2803" s="4"/>
      <c r="DQ2803" s="4"/>
      <c r="DR2803" s="4"/>
      <c r="DS2803" s="4"/>
    </row>
    <row r="2804">
      <c r="A2804" s="4"/>
      <c r="B2804" s="4"/>
      <c r="C2804" s="4"/>
      <c r="D2804" s="4"/>
      <c r="E2804" s="4"/>
      <c r="F2804" s="4" t="s">
        <v>17</v>
      </c>
      <c r="G2804" s="15"/>
      <c r="H2804" s="4"/>
      <c r="I2804" s="4"/>
      <c r="J2804" s="4"/>
      <c r="K2804" s="4"/>
      <c r="L2804" s="4"/>
      <c r="M2804" s="4"/>
      <c r="N2804" s="4"/>
      <c r="O2804" s="4"/>
      <c r="P2804" s="4"/>
      <c r="Q2804" s="4"/>
      <c r="R2804" s="4"/>
      <c r="S2804" s="4"/>
      <c r="T2804" s="4"/>
      <c r="U2804" s="4"/>
      <c r="V2804" s="4"/>
      <c r="W2804" s="4"/>
      <c r="X2804" s="4"/>
      <c r="Y2804" s="4"/>
      <c r="Z2804" s="4"/>
      <c r="AA2804" s="4"/>
      <c r="AB2804" s="4"/>
      <c r="AC2804" s="4"/>
      <c r="AD2804" s="4"/>
      <c r="AE2804" s="4"/>
      <c r="AF2804" s="4"/>
      <c r="AG2804" s="4"/>
      <c r="AH2804" s="4"/>
      <c r="AI2804" s="4"/>
      <c r="AJ2804" s="4"/>
      <c r="AK2804" s="4"/>
      <c r="AL2804" s="4"/>
      <c r="AM2804" s="4"/>
      <c r="AN2804" s="4"/>
      <c r="AO2804" s="4"/>
      <c r="AP2804" s="4"/>
      <c r="AQ2804" s="4"/>
      <c r="AR2804" s="4"/>
      <c r="AS2804" s="4"/>
      <c r="AT2804" s="4"/>
      <c r="AU2804" s="4"/>
      <c r="AV2804" s="4"/>
      <c r="AW2804" s="4"/>
      <c r="AX2804" s="4"/>
      <c r="AY2804" s="4"/>
      <c r="AZ2804" s="4"/>
      <c r="BA2804" s="4"/>
      <c r="BB2804" s="4"/>
      <c r="BC2804" s="4"/>
      <c r="BD2804" s="4"/>
      <c r="BE2804" s="4"/>
      <c r="BF2804" s="4"/>
      <c r="BG2804" s="4"/>
      <c r="BH2804" s="4"/>
      <c r="BI2804" s="4"/>
      <c r="BJ2804" s="4"/>
      <c r="BK2804" s="4"/>
      <c r="BL2804" s="4"/>
      <c r="BM2804" s="4"/>
      <c r="BN2804" s="4"/>
      <c r="BO2804" s="4"/>
      <c r="BP2804" s="4"/>
      <c r="BQ2804" s="4"/>
      <c r="BR2804" s="4"/>
      <c r="BS2804" s="4"/>
      <c r="BT2804" s="4"/>
      <c r="BU2804" s="4"/>
      <c r="BV2804" s="4"/>
      <c r="BW2804" s="4"/>
      <c r="BX2804" s="4"/>
      <c r="BY2804" s="4"/>
      <c r="BZ2804" s="4"/>
      <c r="CA2804" s="4"/>
      <c r="CB2804" s="4"/>
      <c r="CC2804" s="4"/>
      <c r="CD2804" s="4"/>
      <c r="CE2804" s="4"/>
      <c r="CF2804" s="4"/>
      <c r="CG2804" s="4"/>
      <c r="CH2804" s="4"/>
      <c r="CI2804" s="4"/>
      <c r="CJ2804" s="4"/>
      <c r="CK2804" s="4"/>
      <c r="CL2804" s="4"/>
      <c r="CM2804" s="4"/>
      <c r="CN2804" s="4"/>
      <c r="CO2804" s="4"/>
      <c r="CP2804" s="4"/>
      <c r="CQ2804" s="4"/>
      <c r="CR2804" s="4"/>
      <c r="CS2804" s="4"/>
      <c r="CT2804" s="4"/>
      <c r="CU2804" s="4"/>
      <c r="CV2804" s="4"/>
      <c r="CW2804" s="4"/>
      <c r="CX2804" s="4"/>
      <c r="CY2804" s="4"/>
      <c r="CZ2804" s="4"/>
      <c r="DA2804" s="4"/>
      <c r="DB2804" s="4"/>
      <c r="DC2804" s="4"/>
      <c r="DD2804" s="4"/>
      <c r="DE2804" s="4"/>
      <c r="DF2804" s="4"/>
      <c r="DG2804" s="4"/>
      <c r="DH2804" s="4"/>
      <c r="DI2804" s="4"/>
      <c r="DJ2804" s="4"/>
      <c r="DK2804" s="4"/>
      <c r="DL2804" s="4"/>
      <c r="DM2804" s="4"/>
      <c r="DN2804" s="4"/>
      <c r="DO2804" s="4"/>
      <c r="DP2804" s="4"/>
      <c r="DQ2804" s="4"/>
      <c r="DR2804" s="4"/>
      <c r="DS2804" s="4"/>
    </row>
    <row r="2805">
      <c r="A2805" s="4"/>
      <c r="B2805" s="4"/>
      <c r="C2805" s="4"/>
      <c r="D2805" s="4"/>
      <c r="E2805" s="4"/>
      <c r="F2805" s="4" t="s">
        <v>17</v>
      </c>
      <c r="G2805" s="15"/>
      <c r="H2805" s="4"/>
      <c r="I2805" s="4"/>
      <c r="J2805" s="4"/>
      <c r="K2805" s="4"/>
      <c r="L2805" s="4"/>
      <c r="M2805" s="4"/>
      <c r="N2805" s="4"/>
      <c r="O2805" s="4"/>
      <c r="P2805" s="4"/>
      <c r="Q2805" s="4"/>
      <c r="R2805" s="4"/>
      <c r="S2805" s="4"/>
      <c r="T2805" s="4"/>
      <c r="U2805" s="4"/>
      <c r="V2805" s="4"/>
      <c r="W2805" s="4"/>
      <c r="X2805" s="4"/>
      <c r="Y2805" s="4"/>
      <c r="Z2805" s="4"/>
      <c r="AA2805" s="4"/>
      <c r="AB2805" s="4"/>
      <c r="AC2805" s="4"/>
      <c r="AD2805" s="4"/>
      <c r="AE2805" s="4"/>
      <c r="AF2805" s="4"/>
      <c r="AG2805" s="4"/>
      <c r="AH2805" s="4"/>
      <c r="AI2805" s="4"/>
      <c r="AJ2805" s="4"/>
      <c r="AK2805" s="4"/>
      <c r="AL2805" s="4"/>
      <c r="AM2805" s="4"/>
      <c r="AN2805" s="4"/>
      <c r="AO2805" s="4"/>
      <c r="AP2805" s="4"/>
      <c r="AQ2805" s="4"/>
      <c r="AR2805" s="4"/>
      <c r="AS2805" s="4"/>
      <c r="AT2805" s="4"/>
      <c r="AU2805" s="4"/>
      <c r="AV2805" s="4"/>
      <c r="AW2805" s="4"/>
      <c r="AX2805" s="4"/>
      <c r="AY2805" s="4"/>
      <c r="AZ2805" s="4"/>
      <c r="BA2805" s="4"/>
      <c r="BB2805" s="4"/>
      <c r="BC2805" s="4"/>
      <c r="BD2805" s="4"/>
      <c r="BE2805" s="4"/>
      <c r="BF2805" s="4"/>
      <c r="BG2805" s="4"/>
      <c r="BH2805" s="4"/>
      <c r="BI2805" s="4"/>
      <c r="BJ2805" s="4"/>
      <c r="BK2805" s="4"/>
      <c r="BL2805" s="4"/>
      <c r="BM2805" s="4"/>
      <c r="BN2805" s="4"/>
      <c r="BO2805" s="4"/>
      <c r="BP2805" s="4"/>
      <c r="BQ2805" s="4"/>
      <c r="BR2805" s="4"/>
      <c r="BS2805" s="4"/>
      <c r="BT2805" s="4"/>
      <c r="BU2805" s="4"/>
      <c r="BV2805" s="4"/>
      <c r="BW2805" s="4"/>
      <c r="BX2805" s="4"/>
      <c r="BY2805" s="4"/>
      <c r="BZ2805" s="4"/>
      <c r="CA2805" s="4"/>
      <c r="CB2805" s="4"/>
      <c r="CC2805" s="4"/>
      <c r="CD2805" s="4"/>
      <c r="CE2805" s="4"/>
      <c r="CF2805" s="4"/>
      <c r="CG2805" s="4"/>
      <c r="CH2805" s="4"/>
      <c r="CI2805" s="4"/>
      <c r="CJ2805" s="4"/>
      <c r="CK2805" s="4"/>
      <c r="CL2805" s="4"/>
      <c r="CM2805" s="4"/>
      <c r="CN2805" s="4"/>
      <c r="CO2805" s="4"/>
      <c r="CP2805" s="4"/>
      <c r="CQ2805" s="4"/>
      <c r="CR2805" s="4"/>
      <c r="CS2805" s="4"/>
      <c r="CT2805" s="4"/>
      <c r="CU2805" s="4"/>
      <c r="CV2805" s="4"/>
      <c r="CW2805" s="4"/>
      <c r="CX2805" s="4"/>
      <c r="CY2805" s="4"/>
      <c r="CZ2805" s="4"/>
      <c r="DA2805" s="4"/>
      <c r="DB2805" s="4"/>
      <c r="DC2805" s="4"/>
      <c r="DD2805" s="4"/>
      <c r="DE2805" s="4"/>
      <c r="DF2805" s="4"/>
      <c r="DG2805" s="4"/>
      <c r="DH2805" s="4"/>
      <c r="DI2805" s="4"/>
      <c r="DJ2805" s="4"/>
      <c r="DK2805" s="4"/>
      <c r="DL2805" s="4"/>
      <c r="DM2805" s="4"/>
      <c r="DN2805" s="4"/>
      <c r="DO2805" s="4"/>
      <c r="DP2805" s="4"/>
      <c r="DQ2805" s="4"/>
      <c r="DR2805" s="4"/>
      <c r="DS2805" s="4"/>
    </row>
    <row r="2806">
      <c r="A2806" s="4"/>
      <c r="B2806" s="4"/>
      <c r="C2806" s="4"/>
      <c r="D2806" s="4"/>
      <c r="E2806" s="4"/>
      <c r="F2806" s="4" t="s">
        <v>17</v>
      </c>
      <c r="G2806" s="15"/>
      <c r="H2806" s="4"/>
      <c r="I2806" s="4"/>
      <c r="J2806" s="4"/>
      <c r="K2806" s="4"/>
      <c r="L2806" s="4"/>
      <c r="M2806" s="4"/>
      <c r="N2806" s="4"/>
      <c r="O2806" s="4"/>
      <c r="P2806" s="4"/>
      <c r="Q2806" s="4"/>
      <c r="R2806" s="4"/>
      <c r="S2806" s="4"/>
      <c r="T2806" s="4"/>
      <c r="U2806" s="4"/>
      <c r="V2806" s="4"/>
      <c r="W2806" s="4"/>
      <c r="X2806" s="4"/>
      <c r="Y2806" s="4"/>
      <c r="Z2806" s="4"/>
      <c r="AA2806" s="4"/>
      <c r="AB2806" s="4"/>
      <c r="AC2806" s="4"/>
      <c r="AD2806" s="4"/>
      <c r="AE2806" s="4"/>
      <c r="AF2806" s="4"/>
      <c r="AG2806" s="4"/>
      <c r="AH2806" s="4"/>
      <c r="AI2806" s="4"/>
      <c r="AJ2806" s="4"/>
      <c r="AK2806" s="4"/>
      <c r="AL2806" s="4"/>
      <c r="AM2806" s="4"/>
      <c r="AN2806" s="4"/>
      <c r="AO2806" s="4"/>
      <c r="AP2806" s="4"/>
      <c r="AQ2806" s="4"/>
      <c r="AR2806" s="4"/>
      <c r="AS2806" s="4"/>
      <c r="AT2806" s="4"/>
      <c r="AU2806" s="4"/>
      <c r="AV2806" s="4"/>
      <c r="AW2806" s="4"/>
      <c r="AX2806" s="4"/>
      <c r="AY2806" s="4"/>
      <c r="AZ2806" s="4"/>
      <c r="BA2806" s="4"/>
      <c r="BB2806" s="4"/>
      <c r="BC2806" s="4"/>
      <c r="BD2806" s="4"/>
      <c r="BE2806" s="4"/>
      <c r="BF2806" s="4"/>
      <c r="BG2806" s="4"/>
      <c r="BH2806" s="4"/>
      <c r="BI2806" s="4"/>
      <c r="BJ2806" s="4"/>
      <c r="BK2806" s="4"/>
      <c r="BL2806" s="4"/>
      <c r="BM2806" s="4"/>
      <c r="BN2806" s="4"/>
      <c r="BO2806" s="4"/>
      <c r="BP2806" s="4"/>
      <c r="BQ2806" s="4"/>
      <c r="BR2806" s="4"/>
      <c r="BS2806" s="4"/>
      <c r="BT2806" s="4"/>
      <c r="BU2806" s="4"/>
      <c r="BV2806" s="4"/>
      <c r="BW2806" s="4"/>
      <c r="BX2806" s="4"/>
      <c r="BY2806" s="4"/>
      <c r="BZ2806" s="4"/>
      <c r="CA2806" s="4"/>
      <c r="CB2806" s="4"/>
      <c r="CC2806" s="4"/>
      <c r="CD2806" s="4"/>
      <c r="CE2806" s="4"/>
      <c r="CF2806" s="4"/>
      <c r="CG2806" s="4"/>
      <c r="CH2806" s="4"/>
      <c r="CI2806" s="4"/>
      <c r="CJ2806" s="4"/>
      <c r="CK2806" s="4"/>
      <c r="CL2806" s="4"/>
      <c r="CM2806" s="4"/>
      <c r="CN2806" s="4"/>
      <c r="CO2806" s="4"/>
      <c r="CP2806" s="4"/>
      <c r="CQ2806" s="4"/>
      <c r="CR2806" s="4"/>
      <c r="CS2806" s="4"/>
      <c r="CT2806" s="4"/>
      <c r="CU2806" s="4"/>
      <c r="CV2806" s="4"/>
      <c r="CW2806" s="4"/>
      <c r="CX2806" s="4"/>
      <c r="CY2806" s="4"/>
      <c r="CZ2806" s="4"/>
      <c r="DA2806" s="4"/>
      <c r="DB2806" s="4"/>
      <c r="DC2806" s="4"/>
      <c r="DD2806" s="4"/>
      <c r="DE2806" s="4"/>
      <c r="DF2806" s="4"/>
      <c r="DG2806" s="4"/>
      <c r="DH2806" s="4"/>
      <c r="DI2806" s="4"/>
      <c r="DJ2806" s="4"/>
      <c r="DK2806" s="4"/>
      <c r="DL2806" s="4"/>
      <c r="DM2806" s="4"/>
      <c r="DN2806" s="4"/>
      <c r="DO2806" s="4"/>
      <c r="DP2806" s="4"/>
      <c r="DQ2806" s="4"/>
      <c r="DR2806" s="4"/>
      <c r="DS2806" s="4"/>
    </row>
    <row r="2807">
      <c r="A2807" s="4"/>
      <c r="B2807" s="4"/>
      <c r="C2807" s="4"/>
      <c r="D2807" s="4"/>
      <c r="E2807" s="4"/>
      <c r="F2807" s="4" t="s">
        <v>17</v>
      </c>
      <c r="G2807" s="15"/>
      <c r="H2807" s="4"/>
      <c r="I2807" s="4"/>
      <c r="J2807" s="4"/>
      <c r="K2807" s="4"/>
      <c r="L2807" s="4"/>
      <c r="M2807" s="4"/>
      <c r="N2807" s="4"/>
      <c r="O2807" s="4"/>
      <c r="P2807" s="4"/>
      <c r="Q2807" s="4"/>
      <c r="R2807" s="4"/>
      <c r="S2807" s="4"/>
      <c r="T2807" s="4"/>
      <c r="U2807" s="4"/>
      <c r="V2807" s="4"/>
      <c r="W2807" s="4"/>
      <c r="X2807" s="4"/>
      <c r="Y2807" s="4"/>
      <c r="Z2807" s="4"/>
      <c r="AA2807" s="4"/>
      <c r="AB2807" s="4"/>
      <c r="AC2807" s="4"/>
      <c r="AD2807" s="4"/>
      <c r="AE2807" s="4"/>
      <c r="AF2807" s="4"/>
      <c r="AG2807" s="4"/>
      <c r="AH2807" s="4"/>
      <c r="AI2807" s="4"/>
      <c r="AJ2807" s="4"/>
      <c r="AK2807" s="4"/>
      <c r="AL2807" s="4"/>
      <c r="AM2807" s="4"/>
      <c r="AN2807" s="4"/>
      <c r="AO2807" s="4"/>
      <c r="AP2807" s="4"/>
      <c r="AQ2807" s="4"/>
      <c r="AR2807" s="4"/>
      <c r="AS2807" s="4"/>
      <c r="AT2807" s="4"/>
      <c r="AU2807" s="4"/>
      <c r="AV2807" s="4"/>
      <c r="AW2807" s="4"/>
      <c r="AX2807" s="4"/>
      <c r="AY2807" s="4"/>
      <c r="AZ2807" s="4"/>
      <c r="BA2807" s="4"/>
      <c r="BB2807" s="4"/>
      <c r="BC2807" s="4"/>
      <c r="BD2807" s="4"/>
      <c r="BE2807" s="4"/>
      <c r="BF2807" s="4"/>
      <c r="BG2807" s="4"/>
      <c r="BH2807" s="4"/>
      <c r="BI2807" s="4"/>
      <c r="BJ2807" s="4"/>
      <c r="BK2807" s="4"/>
      <c r="BL2807" s="4"/>
      <c r="BM2807" s="4"/>
      <c r="BN2807" s="4"/>
      <c r="BO2807" s="4"/>
      <c r="BP2807" s="4"/>
      <c r="BQ2807" s="4"/>
      <c r="BR2807" s="4"/>
      <c r="BS2807" s="4"/>
      <c r="BT2807" s="4"/>
      <c r="BU2807" s="4"/>
      <c r="BV2807" s="4"/>
      <c r="BW2807" s="4"/>
      <c r="BX2807" s="4"/>
      <c r="BY2807" s="4"/>
      <c r="BZ2807" s="4"/>
      <c r="CA2807" s="4"/>
      <c r="CB2807" s="4"/>
      <c r="CC2807" s="4"/>
      <c r="CD2807" s="4"/>
      <c r="CE2807" s="4"/>
      <c r="CF2807" s="4"/>
      <c r="CG2807" s="4"/>
      <c r="CH2807" s="4"/>
      <c r="CI2807" s="4"/>
      <c r="CJ2807" s="4"/>
      <c r="CK2807" s="4"/>
      <c r="CL2807" s="4"/>
      <c r="CM2807" s="4"/>
      <c r="CN2807" s="4"/>
      <c r="CO2807" s="4"/>
      <c r="CP2807" s="4"/>
      <c r="CQ2807" s="4"/>
      <c r="CR2807" s="4"/>
      <c r="CS2807" s="4"/>
      <c r="CT2807" s="4"/>
      <c r="CU2807" s="4"/>
      <c r="CV2807" s="4"/>
      <c r="CW2807" s="4"/>
      <c r="CX2807" s="4"/>
      <c r="CY2807" s="4"/>
      <c r="CZ2807" s="4"/>
      <c r="DA2807" s="4"/>
      <c r="DB2807" s="4"/>
      <c r="DC2807" s="4"/>
      <c r="DD2807" s="4"/>
      <c r="DE2807" s="4"/>
      <c r="DF2807" s="4"/>
      <c r="DG2807" s="4"/>
      <c r="DH2807" s="4"/>
      <c r="DI2807" s="4"/>
      <c r="DJ2807" s="4"/>
      <c r="DK2807" s="4"/>
      <c r="DL2807" s="4"/>
      <c r="DM2807" s="4"/>
      <c r="DN2807" s="4"/>
      <c r="DO2807" s="4"/>
      <c r="DP2807" s="4"/>
      <c r="DQ2807" s="4"/>
      <c r="DR2807" s="4"/>
      <c r="DS2807" s="4"/>
    </row>
    <row r="2808">
      <c r="A2808" s="4"/>
      <c r="B2808" s="4"/>
      <c r="C2808" s="4"/>
      <c r="D2808" s="4"/>
      <c r="E2808" s="4"/>
      <c r="F2808" s="4" t="s">
        <v>17</v>
      </c>
      <c r="G2808" s="15"/>
      <c r="H2808" s="4"/>
      <c r="I2808" s="4"/>
      <c r="J2808" s="4"/>
      <c r="K2808" s="4"/>
      <c r="L2808" s="4"/>
      <c r="M2808" s="4"/>
      <c r="N2808" s="4"/>
      <c r="O2808" s="4"/>
      <c r="P2808" s="4"/>
      <c r="Q2808" s="4"/>
      <c r="R2808" s="4"/>
      <c r="S2808" s="4"/>
      <c r="T2808" s="4"/>
      <c r="U2808" s="4"/>
      <c r="V2808" s="4"/>
      <c r="W2808" s="4"/>
      <c r="X2808" s="4"/>
      <c r="Y2808" s="4"/>
      <c r="Z2808" s="4"/>
      <c r="AA2808" s="4"/>
      <c r="AB2808" s="4"/>
      <c r="AC2808" s="4"/>
      <c r="AD2808" s="4"/>
      <c r="AE2808" s="4"/>
      <c r="AF2808" s="4"/>
      <c r="AG2808" s="4"/>
      <c r="AH2808" s="4"/>
      <c r="AI2808" s="4"/>
      <c r="AJ2808" s="4"/>
      <c r="AK2808" s="4"/>
      <c r="AL2808" s="4"/>
      <c r="AM2808" s="4"/>
      <c r="AN2808" s="4"/>
      <c r="AO2808" s="4"/>
      <c r="AP2808" s="4"/>
      <c r="AQ2808" s="4"/>
      <c r="AR2808" s="4"/>
      <c r="AS2808" s="4"/>
      <c r="AT2808" s="4"/>
      <c r="AU2808" s="4"/>
      <c r="AV2808" s="4"/>
      <c r="AW2808" s="4"/>
      <c r="AX2808" s="4"/>
      <c r="AY2808" s="4"/>
      <c r="AZ2808" s="4"/>
      <c r="BA2808" s="4"/>
      <c r="BB2808" s="4"/>
      <c r="BC2808" s="4"/>
      <c r="BD2808" s="4"/>
      <c r="BE2808" s="4"/>
      <c r="BF2808" s="4"/>
      <c r="BG2808" s="4"/>
      <c r="BH2808" s="4"/>
      <c r="BI2808" s="4"/>
      <c r="BJ2808" s="4"/>
      <c r="BK2808" s="4"/>
      <c r="BL2808" s="4"/>
      <c r="BM2808" s="4"/>
      <c r="BN2808" s="4"/>
      <c r="BO2808" s="4"/>
      <c r="BP2808" s="4"/>
      <c r="BQ2808" s="4"/>
      <c r="BR2808" s="4"/>
      <c r="BS2808" s="4"/>
      <c r="BT2808" s="4"/>
      <c r="BU2808" s="4"/>
      <c r="BV2808" s="4"/>
      <c r="BW2808" s="4"/>
      <c r="BX2808" s="4"/>
      <c r="BY2808" s="4"/>
      <c r="BZ2808" s="4"/>
      <c r="CA2808" s="4"/>
      <c r="CB2808" s="4"/>
      <c r="CC2808" s="4"/>
      <c r="CD2808" s="4"/>
      <c r="CE2808" s="4"/>
      <c r="CF2808" s="4"/>
      <c r="CG2808" s="4"/>
      <c r="CH2808" s="4"/>
      <c r="CI2808" s="4"/>
      <c r="CJ2808" s="4"/>
      <c r="CK2808" s="4"/>
      <c r="CL2808" s="4"/>
      <c r="CM2808" s="4"/>
      <c r="CN2808" s="4"/>
      <c r="CO2808" s="4"/>
      <c r="CP2808" s="4"/>
      <c r="CQ2808" s="4"/>
      <c r="CR2808" s="4"/>
      <c r="CS2808" s="4"/>
      <c r="CT2808" s="4"/>
      <c r="CU2808" s="4"/>
      <c r="CV2808" s="4"/>
      <c r="CW2808" s="4"/>
      <c r="CX2808" s="4"/>
      <c r="CY2808" s="4"/>
      <c r="CZ2808" s="4"/>
      <c r="DA2808" s="4"/>
      <c r="DB2808" s="4"/>
      <c r="DC2808" s="4"/>
      <c r="DD2808" s="4"/>
      <c r="DE2808" s="4"/>
      <c r="DF2808" s="4"/>
      <c r="DG2808" s="4"/>
      <c r="DH2808" s="4"/>
      <c r="DI2808" s="4"/>
      <c r="DJ2808" s="4"/>
      <c r="DK2808" s="4"/>
      <c r="DL2808" s="4"/>
      <c r="DM2808" s="4"/>
      <c r="DN2808" s="4"/>
      <c r="DO2808" s="4"/>
      <c r="DP2808" s="4"/>
      <c r="DQ2808" s="4"/>
      <c r="DR2808" s="4"/>
      <c r="DS2808" s="4"/>
    </row>
    <row r="2809">
      <c r="A2809" s="4"/>
      <c r="B2809" s="4"/>
      <c r="C2809" s="4"/>
      <c r="D2809" s="4"/>
      <c r="E2809" s="4"/>
      <c r="F2809" s="4" t="s">
        <v>17</v>
      </c>
      <c r="G2809" s="15"/>
      <c r="H2809" s="4"/>
      <c r="I2809" s="4"/>
      <c r="J2809" s="4"/>
      <c r="K2809" s="4"/>
      <c r="L2809" s="4"/>
      <c r="M2809" s="4"/>
      <c r="N2809" s="4"/>
      <c r="O2809" s="4"/>
      <c r="P2809" s="4"/>
      <c r="Q2809" s="4"/>
      <c r="R2809" s="4"/>
      <c r="S2809" s="4"/>
      <c r="T2809" s="4"/>
      <c r="U2809" s="4"/>
      <c r="V2809" s="4"/>
      <c r="W2809" s="4"/>
      <c r="X2809" s="4"/>
      <c r="Y2809" s="4"/>
      <c r="Z2809" s="4"/>
      <c r="AA2809" s="4"/>
      <c r="AB2809" s="4"/>
      <c r="AC2809" s="4"/>
      <c r="AD2809" s="4"/>
      <c r="AE2809" s="4"/>
      <c r="AF2809" s="4"/>
      <c r="AG2809" s="4"/>
      <c r="AH2809" s="4"/>
      <c r="AI2809" s="4"/>
      <c r="AJ2809" s="4"/>
      <c r="AK2809" s="4"/>
      <c r="AL2809" s="4"/>
      <c r="AM2809" s="4"/>
      <c r="AN2809" s="4"/>
      <c r="AO2809" s="4"/>
      <c r="AP2809" s="4"/>
      <c r="AQ2809" s="4"/>
      <c r="AR2809" s="4"/>
      <c r="AS2809" s="4"/>
      <c r="AT2809" s="4"/>
      <c r="AU2809" s="4"/>
      <c r="AV2809" s="4"/>
      <c r="AW2809" s="4"/>
      <c r="AX2809" s="4"/>
      <c r="AY2809" s="4"/>
      <c r="AZ2809" s="4"/>
      <c r="BA2809" s="4"/>
      <c r="BB2809" s="4"/>
      <c r="BC2809" s="4"/>
      <c r="BD2809" s="4"/>
      <c r="BE2809" s="4"/>
      <c r="BF2809" s="4"/>
      <c r="BG2809" s="4"/>
      <c r="BH2809" s="4"/>
      <c r="BI2809" s="4"/>
      <c r="BJ2809" s="4"/>
      <c r="BK2809" s="4"/>
      <c r="BL2809" s="4"/>
      <c r="BM2809" s="4"/>
      <c r="BN2809" s="4"/>
      <c r="BO2809" s="4"/>
      <c r="BP2809" s="4"/>
      <c r="BQ2809" s="4"/>
      <c r="BR2809" s="4"/>
      <c r="BS2809" s="4"/>
      <c r="BT2809" s="4"/>
      <c r="BU2809" s="4"/>
      <c r="BV2809" s="4"/>
      <c r="BW2809" s="4"/>
      <c r="BX2809" s="4"/>
      <c r="BY2809" s="4"/>
      <c r="BZ2809" s="4"/>
      <c r="CA2809" s="4"/>
      <c r="CB2809" s="4"/>
      <c r="CC2809" s="4"/>
      <c r="CD2809" s="4"/>
      <c r="CE2809" s="4"/>
      <c r="CF2809" s="4"/>
      <c r="CG2809" s="4"/>
      <c r="CH2809" s="4"/>
      <c r="CI2809" s="4"/>
      <c r="CJ2809" s="4"/>
      <c r="CK2809" s="4"/>
      <c r="CL2809" s="4"/>
      <c r="CM2809" s="4"/>
      <c r="CN2809" s="4"/>
      <c r="CO2809" s="4"/>
      <c r="CP2809" s="4"/>
      <c r="CQ2809" s="4"/>
      <c r="CR2809" s="4"/>
      <c r="CS2809" s="4"/>
      <c r="CT2809" s="4"/>
      <c r="CU2809" s="4"/>
      <c r="CV2809" s="4"/>
      <c r="CW2809" s="4"/>
      <c r="CX2809" s="4"/>
      <c r="CY2809" s="4"/>
      <c r="CZ2809" s="4"/>
      <c r="DA2809" s="4"/>
      <c r="DB2809" s="4"/>
      <c r="DC2809" s="4"/>
      <c r="DD2809" s="4"/>
      <c r="DE2809" s="4"/>
      <c r="DF2809" s="4"/>
      <c r="DG2809" s="4"/>
      <c r="DH2809" s="4"/>
      <c r="DI2809" s="4"/>
      <c r="DJ2809" s="4"/>
      <c r="DK2809" s="4"/>
      <c r="DL2809" s="4"/>
      <c r="DM2809" s="4"/>
      <c r="DN2809" s="4"/>
      <c r="DO2809" s="4"/>
      <c r="DP2809" s="4"/>
      <c r="DQ2809" s="4"/>
      <c r="DR2809" s="4"/>
      <c r="DS2809" s="4"/>
    </row>
    <row r="2810">
      <c r="A2810" s="4"/>
      <c r="B2810" s="4"/>
      <c r="C2810" s="4"/>
      <c r="D2810" s="4"/>
      <c r="E2810" s="4"/>
      <c r="F2810" s="4" t="s">
        <v>17</v>
      </c>
      <c r="G2810" s="15"/>
      <c r="H2810" s="4"/>
      <c r="I2810" s="4"/>
      <c r="J2810" s="4"/>
      <c r="K2810" s="4"/>
      <c r="L2810" s="4"/>
      <c r="M2810" s="4"/>
      <c r="N2810" s="4"/>
      <c r="O2810" s="4"/>
      <c r="P2810" s="4"/>
      <c r="Q2810" s="4"/>
      <c r="R2810" s="4"/>
      <c r="S2810" s="4"/>
      <c r="T2810" s="4"/>
      <c r="U2810" s="4"/>
      <c r="V2810" s="4"/>
      <c r="W2810" s="4"/>
      <c r="X2810" s="4"/>
      <c r="Y2810" s="4"/>
      <c r="Z2810" s="4"/>
      <c r="AA2810" s="4"/>
      <c r="AB2810" s="4"/>
      <c r="AC2810" s="4"/>
      <c r="AD2810" s="4"/>
      <c r="AE2810" s="4"/>
      <c r="AF2810" s="4"/>
      <c r="AG2810" s="4"/>
      <c r="AH2810" s="4"/>
      <c r="AI2810" s="4"/>
      <c r="AJ2810" s="4"/>
      <c r="AK2810" s="4"/>
      <c r="AL2810" s="4"/>
      <c r="AM2810" s="4"/>
      <c r="AN2810" s="4"/>
      <c r="AO2810" s="4"/>
      <c r="AP2810" s="4"/>
      <c r="AQ2810" s="4"/>
      <c r="AR2810" s="4"/>
      <c r="AS2810" s="4"/>
      <c r="AT2810" s="4"/>
      <c r="AU2810" s="4"/>
      <c r="AV2810" s="4"/>
      <c r="AW2810" s="4"/>
      <c r="AX2810" s="4"/>
      <c r="AY2810" s="4"/>
      <c r="AZ2810" s="4"/>
      <c r="BA2810" s="4"/>
      <c r="BB2810" s="4"/>
      <c r="BC2810" s="4"/>
      <c r="BD2810" s="4"/>
      <c r="BE2810" s="4"/>
      <c r="BF2810" s="4"/>
      <c r="BG2810" s="4"/>
      <c r="BH2810" s="4"/>
      <c r="BI2810" s="4"/>
      <c r="BJ2810" s="4"/>
      <c r="BK2810" s="4"/>
      <c r="BL2810" s="4"/>
      <c r="BM2810" s="4"/>
      <c r="BN2810" s="4"/>
      <c r="BO2810" s="4"/>
      <c r="BP2810" s="4"/>
      <c r="BQ2810" s="4"/>
      <c r="BR2810" s="4"/>
      <c r="BS2810" s="4"/>
      <c r="BT2810" s="4"/>
      <c r="BU2810" s="4"/>
      <c r="BV2810" s="4"/>
      <c r="BW2810" s="4"/>
      <c r="BX2810" s="4"/>
      <c r="BY2810" s="4"/>
      <c r="BZ2810" s="4"/>
      <c r="CA2810" s="4"/>
      <c r="CB2810" s="4"/>
      <c r="CC2810" s="4"/>
      <c r="CD2810" s="4"/>
      <c r="CE2810" s="4"/>
      <c r="CF2810" s="4"/>
      <c r="CG2810" s="4"/>
      <c r="CH2810" s="4"/>
      <c r="CI2810" s="4"/>
      <c r="CJ2810" s="4"/>
      <c r="CK2810" s="4"/>
      <c r="CL2810" s="4"/>
      <c r="CM2810" s="4"/>
      <c r="CN2810" s="4"/>
      <c r="CO2810" s="4"/>
      <c r="CP2810" s="4"/>
      <c r="CQ2810" s="4"/>
      <c r="CR2810" s="4"/>
      <c r="CS2810" s="4"/>
      <c r="CT2810" s="4"/>
      <c r="CU2810" s="4"/>
      <c r="CV2810" s="4"/>
      <c r="CW2810" s="4"/>
      <c r="CX2810" s="4"/>
      <c r="CY2810" s="4"/>
      <c r="CZ2810" s="4"/>
      <c r="DA2810" s="4"/>
      <c r="DB2810" s="4"/>
      <c r="DC2810" s="4"/>
      <c r="DD2810" s="4"/>
      <c r="DE2810" s="4"/>
      <c r="DF2810" s="4"/>
      <c r="DG2810" s="4"/>
      <c r="DH2810" s="4"/>
      <c r="DI2810" s="4"/>
      <c r="DJ2810" s="4"/>
      <c r="DK2810" s="4"/>
      <c r="DL2810" s="4"/>
      <c r="DM2810" s="4"/>
      <c r="DN2810" s="4"/>
      <c r="DO2810" s="4"/>
      <c r="DP2810" s="4"/>
      <c r="DQ2810" s="4"/>
      <c r="DR2810" s="4"/>
      <c r="DS2810" s="4"/>
    </row>
    <row r="2811">
      <c r="A2811" s="4"/>
      <c r="B2811" s="4"/>
      <c r="C2811" s="4"/>
      <c r="D2811" s="4"/>
      <c r="E2811" s="4"/>
      <c r="F2811" s="4" t="s">
        <v>17</v>
      </c>
      <c r="G2811" s="15"/>
      <c r="H2811" s="4"/>
      <c r="I2811" s="4"/>
      <c r="J2811" s="4"/>
      <c r="K2811" s="4"/>
      <c r="L2811" s="4"/>
      <c r="M2811" s="4"/>
      <c r="N2811" s="4"/>
      <c r="O2811" s="4"/>
      <c r="P2811" s="4"/>
      <c r="Q2811" s="4"/>
      <c r="R2811" s="4"/>
      <c r="S2811" s="4"/>
      <c r="T2811" s="4"/>
      <c r="U2811" s="4"/>
      <c r="V2811" s="4"/>
      <c r="W2811" s="4"/>
      <c r="X2811" s="4"/>
      <c r="Y2811" s="4"/>
      <c r="Z2811" s="4"/>
      <c r="AA2811" s="4"/>
      <c r="AB2811" s="4"/>
      <c r="AC2811" s="4"/>
      <c r="AD2811" s="4"/>
      <c r="AE2811" s="4"/>
      <c r="AF2811" s="4"/>
      <c r="AG2811" s="4"/>
      <c r="AH2811" s="4"/>
      <c r="AI2811" s="4"/>
      <c r="AJ2811" s="4"/>
      <c r="AK2811" s="4"/>
      <c r="AL2811" s="4"/>
      <c r="AM2811" s="4"/>
      <c r="AN2811" s="4"/>
      <c r="AO2811" s="4"/>
      <c r="AP2811" s="4"/>
      <c r="AQ2811" s="4"/>
      <c r="AR2811" s="4"/>
      <c r="AS2811" s="4"/>
      <c r="AT2811" s="4"/>
      <c r="AU2811" s="4"/>
      <c r="AV2811" s="4"/>
      <c r="AW2811" s="4"/>
      <c r="AX2811" s="4"/>
      <c r="AY2811" s="4"/>
      <c r="AZ2811" s="4"/>
      <c r="BA2811" s="4"/>
      <c r="BB2811" s="4"/>
      <c r="BC2811" s="4"/>
      <c r="BD2811" s="4"/>
      <c r="BE2811" s="4"/>
      <c r="BF2811" s="4"/>
      <c r="BG2811" s="4"/>
      <c r="BH2811" s="4"/>
      <c r="BI2811" s="4"/>
      <c r="BJ2811" s="4"/>
      <c r="BK2811" s="4"/>
      <c r="BL2811" s="4"/>
      <c r="BM2811" s="4"/>
      <c r="BN2811" s="4"/>
      <c r="BO2811" s="4"/>
      <c r="BP2811" s="4"/>
      <c r="BQ2811" s="4"/>
      <c r="BR2811" s="4"/>
      <c r="BS2811" s="4"/>
      <c r="BT2811" s="4"/>
      <c r="BU2811" s="4"/>
      <c r="BV2811" s="4"/>
      <c r="BW2811" s="4"/>
      <c r="BX2811" s="4"/>
      <c r="BY2811" s="4"/>
      <c r="BZ2811" s="4"/>
      <c r="CA2811" s="4"/>
      <c r="CB2811" s="4"/>
      <c r="CC2811" s="4"/>
      <c r="CD2811" s="4"/>
      <c r="CE2811" s="4"/>
      <c r="CF2811" s="4"/>
      <c r="CG2811" s="4"/>
      <c r="CH2811" s="4"/>
      <c r="CI2811" s="4"/>
      <c r="CJ2811" s="4"/>
      <c r="CK2811" s="4"/>
      <c r="CL2811" s="4"/>
      <c r="CM2811" s="4"/>
      <c r="CN2811" s="4"/>
      <c r="CO2811" s="4"/>
      <c r="CP2811" s="4"/>
      <c r="CQ2811" s="4"/>
      <c r="CR2811" s="4"/>
      <c r="CS2811" s="4"/>
      <c r="CT2811" s="4"/>
      <c r="CU2811" s="4"/>
      <c r="CV2811" s="4"/>
      <c r="CW2811" s="4"/>
      <c r="CX2811" s="4"/>
      <c r="CY2811" s="4"/>
      <c r="CZ2811" s="4"/>
      <c r="DA2811" s="4"/>
      <c r="DB2811" s="4"/>
      <c r="DC2811" s="4"/>
      <c r="DD2811" s="4"/>
      <c r="DE2811" s="4"/>
      <c r="DF2811" s="4"/>
      <c r="DG2811" s="4"/>
      <c r="DH2811" s="4"/>
      <c r="DI2811" s="4"/>
      <c r="DJ2811" s="4"/>
      <c r="DK2811" s="4"/>
      <c r="DL2811" s="4"/>
      <c r="DM2811" s="4"/>
      <c r="DN2811" s="4"/>
      <c r="DO2811" s="4"/>
      <c r="DP2811" s="4"/>
      <c r="DQ2811" s="4"/>
      <c r="DR2811" s="4"/>
      <c r="DS2811" s="4"/>
    </row>
    <row r="2812">
      <c r="A2812" s="4"/>
      <c r="B2812" s="4"/>
      <c r="C2812" s="4"/>
      <c r="D2812" s="4"/>
      <c r="E2812" s="4"/>
      <c r="F2812" s="4" t="s">
        <v>17</v>
      </c>
      <c r="G2812" s="15"/>
      <c r="H2812" s="4"/>
      <c r="I2812" s="4"/>
      <c r="J2812" s="4"/>
      <c r="K2812" s="4"/>
      <c r="L2812" s="4"/>
      <c r="M2812" s="4"/>
      <c r="N2812" s="4"/>
      <c r="O2812" s="4"/>
      <c r="P2812" s="4"/>
      <c r="Q2812" s="4"/>
      <c r="R2812" s="4"/>
      <c r="S2812" s="4"/>
      <c r="T2812" s="4"/>
      <c r="U2812" s="4"/>
      <c r="V2812" s="4"/>
      <c r="W2812" s="4"/>
      <c r="X2812" s="4"/>
      <c r="Y2812" s="4"/>
      <c r="Z2812" s="4"/>
      <c r="AA2812" s="4"/>
      <c r="AB2812" s="4"/>
      <c r="AC2812" s="4"/>
      <c r="AD2812" s="4"/>
      <c r="AE2812" s="4"/>
      <c r="AF2812" s="4"/>
      <c r="AG2812" s="4"/>
      <c r="AH2812" s="4"/>
      <c r="AI2812" s="4"/>
      <c r="AJ2812" s="4"/>
      <c r="AK2812" s="4"/>
      <c r="AL2812" s="4"/>
      <c r="AM2812" s="4"/>
      <c r="AN2812" s="4"/>
      <c r="AO2812" s="4"/>
      <c r="AP2812" s="4"/>
      <c r="AQ2812" s="4"/>
      <c r="AR2812" s="4"/>
      <c r="AS2812" s="4"/>
      <c r="AT2812" s="4"/>
      <c r="AU2812" s="4"/>
      <c r="AV2812" s="4"/>
      <c r="AW2812" s="4"/>
      <c r="AX2812" s="4"/>
      <c r="AY2812" s="4"/>
      <c r="AZ2812" s="4"/>
      <c r="BA2812" s="4"/>
      <c r="BB2812" s="4"/>
      <c r="BC2812" s="4"/>
      <c r="BD2812" s="4"/>
      <c r="BE2812" s="4"/>
      <c r="BF2812" s="4"/>
      <c r="BG2812" s="4"/>
      <c r="BH2812" s="4"/>
      <c r="BI2812" s="4"/>
      <c r="BJ2812" s="4"/>
      <c r="BK2812" s="4"/>
      <c r="BL2812" s="4"/>
      <c r="BM2812" s="4"/>
      <c r="BN2812" s="4"/>
      <c r="BO2812" s="4"/>
      <c r="BP2812" s="4"/>
      <c r="BQ2812" s="4"/>
      <c r="BR2812" s="4"/>
      <c r="BS2812" s="4"/>
      <c r="BT2812" s="4"/>
      <c r="BU2812" s="4"/>
      <c r="BV2812" s="4"/>
      <c r="BW2812" s="4"/>
      <c r="BX2812" s="4"/>
      <c r="BY2812" s="4"/>
      <c r="BZ2812" s="4"/>
      <c r="CA2812" s="4"/>
      <c r="CB2812" s="4"/>
      <c r="CC2812" s="4"/>
      <c r="CD2812" s="4"/>
      <c r="CE2812" s="4"/>
      <c r="CF2812" s="4"/>
      <c r="CG2812" s="4"/>
      <c r="CH2812" s="4"/>
      <c r="CI2812" s="4"/>
      <c r="CJ2812" s="4"/>
      <c r="CK2812" s="4"/>
      <c r="CL2812" s="4"/>
      <c r="CM2812" s="4"/>
      <c r="CN2812" s="4"/>
      <c r="CO2812" s="4"/>
      <c r="CP2812" s="4"/>
      <c r="CQ2812" s="4"/>
      <c r="CR2812" s="4"/>
      <c r="CS2812" s="4"/>
      <c r="CT2812" s="4"/>
      <c r="CU2812" s="4"/>
      <c r="CV2812" s="4"/>
      <c r="CW2812" s="4"/>
      <c r="CX2812" s="4"/>
      <c r="CY2812" s="4"/>
      <c r="CZ2812" s="4"/>
      <c r="DA2812" s="4"/>
      <c r="DB2812" s="4"/>
      <c r="DC2812" s="4"/>
      <c r="DD2812" s="4"/>
      <c r="DE2812" s="4"/>
      <c r="DF2812" s="4"/>
      <c r="DG2812" s="4"/>
      <c r="DH2812" s="4"/>
      <c r="DI2812" s="4"/>
      <c r="DJ2812" s="4"/>
      <c r="DK2812" s="4"/>
      <c r="DL2812" s="4"/>
      <c r="DM2812" s="4"/>
      <c r="DN2812" s="4"/>
      <c r="DO2812" s="4"/>
      <c r="DP2812" s="4"/>
      <c r="DQ2812" s="4"/>
      <c r="DR2812" s="4"/>
      <c r="DS2812" s="4"/>
    </row>
    <row r="2813">
      <c r="A2813" s="4"/>
      <c r="B2813" s="4"/>
      <c r="C2813" s="4"/>
      <c r="D2813" s="4"/>
      <c r="E2813" s="4"/>
      <c r="F2813" s="4" t="s">
        <v>17</v>
      </c>
      <c r="G2813" s="15"/>
      <c r="H2813" s="4"/>
      <c r="I2813" s="4"/>
      <c r="J2813" s="4"/>
      <c r="K2813" s="4"/>
      <c r="L2813" s="4"/>
      <c r="M2813" s="4"/>
      <c r="N2813" s="4"/>
      <c r="O2813" s="4"/>
      <c r="P2813" s="4"/>
      <c r="Q2813" s="4"/>
      <c r="R2813" s="4"/>
      <c r="S2813" s="4"/>
      <c r="T2813" s="4"/>
      <c r="U2813" s="4"/>
      <c r="V2813" s="4"/>
      <c r="W2813" s="4"/>
      <c r="X2813" s="4"/>
      <c r="Y2813" s="4"/>
      <c r="Z2813" s="4"/>
      <c r="AA2813" s="4"/>
      <c r="AB2813" s="4"/>
      <c r="AC2813" s="4"/>
      <c r="AD2813" s="4"/>
      <c r="AE2813" s="4"/>
      <c r="AF2813" s="4"/>
      <c r="AG2813" s="4"/>
      <c r="AH2813" s="4"/>
      <c r="AI2813" s="4"/>
      <c r="AJ2813" s="4"/>
      <c r="AK2813" s="4"/>
      <c r="AL2813" s="4"/>
      <c r="AM2813" s="4"/>
      <c r="AN2813" s="4"/>
      <c r="AO2813" s="4"/>
      <c r="AP2813" s="4"/>
      <c r="AQ2813" s="4"/>
      <c r="AR2813" s="4"/>
      <c r="AS2813" s="4"/>
      <c r="AT2813" s="4"/>
      <c r="AU2813" s="4"/>
      <c r="AV2813" s="4"/>
      <c r="AW2813" s="4"/>
      <c r="AX2813" s="4"/>
      <c r="AY2813" s="4"/>
      <c r="AZ2813" s="4"/>
      <c r="BA2813" s="4"/>
      <c r="BB2813" s="4"/>
      <c r="BC2813" s="4"/>
      <c r="BD2813" s="4"/>
      <c r="BE2813" s="4"/>
      <c r="BF2813" s="4"/>
      <c r="BG2813" s="4"/>
      <c r="BH2813" s="4"/>
      <c r="BI2813" s="4"/>
      <c r="BJ2813" s="4"/>
      <c r="BK2813" s="4"/>
      <c r="BL2813" s="4"/>
      <c r="BM2813" s="4"/>
      <c r="BN2813" s="4"/>
      <c r="BO2813" s="4"/>
      <c r="BP2813" s="4"/>
      <c r="BQ2813" s="4"/>
      <c r="BR2813" s="4"/>
      <c r="BS2813" s="4"/>
      <c r="BT2813" s="4"/>
      <c r="BU2813" s="4"/>
      <c r="BV2813" s="4"/>
      <c r="BW2813" s="4"/>
      <c r="BX2813" s="4"/>
      <c r="BY2813" s="4"/>
      <c r="BZ2813" s="4"/>
      <c r="CA2813" s="4"/>
      <c r="CB2813" s="4"/>
      <c r="CC2813" s="4"/>
      <c r="CD2813" s="4"/>
      <c r="CE2813" s="4"/>
      <c r="CF2813" s="4"/>
      <c r="CG2813" s="4"/>
      <c r="CH2813" s="4"/>
      <c r="CI2813" s="4"/>
      <c r="CJ2813" s="4"/>
      <c r="CK2813" s="4"/>
      <c r="CL2813" s="4"/>
      <c r="CM2813" s="4"/>
      <c r="CN2813" s="4"/>
      <c r="CO2813" s="4"/>
      <c r="CP2813" s="4"/>
      <c r="CQ2813" s="4"/>
      <c r="CR2813" s="4"/>
      <c r="CS2813" s="4"/>
      <c r="CT2813" s="4"/>
      <c r="CU2813" s="4"/>
      <c r="CV2813" s="4"/>
      <c r="CW2813" s="4"/>
      <c r="CX2813" s="4"/>
      <c r="CY2813" s="4"/>
      <c r="CZ2813" s="4"/>
      <c r="DA2813" s="4"/>
      <c r="DB2813" s="4"/>
      <c r="DC2813" s="4"/>
      <c r="DD2813" s="4"/>
      <c r="DE2813" s="4"/>
      <c r="DF2813" s="4"/>
      <c r="DG2813" s="4"/>
      <c r="DH2813" s="4"/>
      <c r="DI2813" s="4"/>
      <c r="DJ2813" s="4"/>
      <c r="DK2813" s="4"/>
      <c r="DL2813" s="4"/>
      <c r="DM2813" s="4"/>
      <c r="DN2813" s="4"/>
      <c r="DO2813" s="4"/>
      <c r="DP2813" s="4"/>
      <c r="DQ2813" s="4"/>
      <c r="DR2813" s="4"/>
      <c r="DS2813" s="4"/>
    </row>
    <row r="2814">
      <c r="A2814" s="4"/>
      <c r="B2814" s="4"/>
      <c r="C2814" s="4"/>
      <c r="D2814" s="4"/>
      <c r="E2814" s="4"/>
      <c r="F2814" s="4" t="s">
        <v>17</v>
      </c>
      <c r="G2814" s="15"/>
      <c r="H2814" s="4"/>
      <c r="I2814" s="4"/>
      <c r="J2814" s="4"/>
      <c r="K2814" s="4"/>
      <c r="L2814" s="4"/>
      <c r="M2814" s="4"/>
      <c r="N2814" s="4"/>
      <c r="O2814" s="4"/>
      <c r="P2814" s="4"/>
      <c r="Q2814" s="4"/>
      <c r="R2814" s="4"/>
      <c r="S2814" s="4"/>
      <c r="T2814" s="4"/>
      <c r="U2814" s="4"/>
      <c r="V2814" s="4"/>
      <c r="W2814" s="4"/>
      <c r="X2814" s="4"/>
      <c r="Y2814" s="4"/>
      <c r="Z2814" s="4"/>
      <c r="AA2814" s="4"/>
      <c r="AB2814" s="4"/>
      <c r="AC2814" s="4"/>
      <c r="AD2814" s="4"/>
      <c r="AE2814" s="4"/>
      <c r="AF2814" s="4"/>
      <c r="AG2814" s="4"/>
      <c r="AH2814" s="4"/>
      <c r="AI2814" s="4"/>
      <c r="AJ2814" s="4"/>
      <c r="AK2814" s="4"/>
      <c r="AL2814" s="4"/>
      <c r="AM2814" s="4"/>
      <c r="AN2814" s="4"/>
      <c r="AO2814" s="4"/>
      <c r="AP2814" s="4"/>
      <c r="AQ2814" s="4"/>
      <c r="AR2814" s="4"/>
      <c r="AS2814" s="4"/>
      <c r="AT2814" s="4"/>
      <c r="AU2814" s="4"/>
      <c r="AV2814" s="4"/>
      <c r="AW2814" s="4"/>
      <c r="AX2814" s="4"/>
      <c r="AY2814" s="4"/>
      <c r="AZ2814" s="4"/>
      <c r="BA2814" s="4"/>
      <c r="BB2814" s="4"/>
      <c r="BC2814" s="4"/>
      <c r="BD2814" s="4"/>
      <c r="BE2814" s="4"/>
      <c r="BF2814" s="4"/>
      <c r="BG2814" s="4"/>
      <c r="BH2814" s="4"/>
      <c r="BI2814" s="4"/>
      <c r="BJ2814" s="4"/>
      <c r="BK2814" s="4"/>
      <c r="BL2814" s="4"/>
      <c r="BM2814" s="4"/>
      <c r="BN2814" s="4"/>
      <c r="BO2814" s="4"/>
      <c r="BP2814" s="4"/>
      <c r="BQ2814" s="4"/>
      <c r="BR2814" s="4"/>
      <c r="BS2814" s="4"/>
      <c r="BT2814" s="4"/>
      <c r="BU2814" s="4"/>
      <c r="BV2814" s="4"/>
      <c r="BW2814" s="4"/>
      <c r="BX2814" s="4"/>
      <c r="BY2814" s="4"/>
      <c r="BZ2814" s="4"/>
      <c r="CA2814" s="4"/>
      <c r="CB2814" s="4"/>
      <c r="CC2814" s="4"/>
      <c r="CD2814" s="4"/>
      <c r="CE2814" s="4"/>
      <c r="CF2814" s="4"/>
      <c r="CG2814" s="4"/>
      <c r="CH2814" s="4"/>
      <c r="CI2814" s="4"/>
      <c r="CJ2814" s="4"/>
      <c r="CK2814" s="4"/>
      <c r="CL2814" s="4"/>
      <c r="CM2814" s="4"/>
      <c r="CN2814" s="4"/>
      <c r="CO2814" s="4"/>
      <c r="CP2814" s="4"/>
      <c r="CQ2814" s="4"/>
      <c r="CR2814" s="4"/>
      <c r="CS2814" s="4"/>
      <c r="CT2814" s="4"/>
      <c r="CU2814" s="4"/>
      <c r="CV2814" s="4"/>
      <c r="CW2814" s="4"/>
      <c r="CX2814" s="4"/>
      <c r="CY2814" s="4"/>
      <c r="CZ2814" s="4"/>
      <c r="DA2814" s="4"/>
      <c r="DB2814" s="4"/>
      <c r="DC2814" s="4"/>
      <c r="DD2814" s="4"/>
      <c r="DE2814" s="4"/>
      <c r="DF2814" s="4"/>
      <c r="DG2814" s="4"/>
      <c r="DH2814" s="4"/>
      <c r="DI2814" s="4"/>
      <c r="DJ2814" s="4"/>
      <c r="DK2814" s="4"/>
      <c r="DL2814" s="4"/>
      <c r="DM2814" s="4"/>
      <c r="DN2814" s="4"/>
      <c r="DO2814" s="4"/>
      <c r="DP2814" s="4"/>
      <c r="DQ2814" s="4"/>
      <c r="DR2814" s="4"/>
      <c r="DS2814" s="4"/>
    </row>
    <row r="2815">
      <c r="A2815" s="4"/>
      <c r="B2815" s="4"/>
      <c r="C2815" s="4"/>
      <c r="D2815" s="4"/>
      <c r="E2815" s="4"/>
      <c r="F2815" s="4" t="s">
        <v>17</v>
      </c>
      <c r="G2815" s="15"/>
      <c r="H2815" s="4"/>
      <c r="I2815" s="4"/>
      <c r="J2815" s="4"/>
      <c r="K2815" s="4"/>
      <c r="L2815" s="4"/>
      <c r="M2815" s="4"/>
      <c r="N2815" s="4"/>
      <c r="O2815" s="4"/>
      <c r="P2815" s="4"/>
      <c r="Q2815" s="4"/>
      <c r="R2815" s="4"/>
      <c r="S2815" s="4"/>
      <c r="T2815" s="4"/>
      <c r="U2815" s="4"/>
      <c r="V2815" s="4"/>
      <c r="W2815" s="4"/>
      <c r="X2815" s="4"/>
      <c r="Y2815" s="4"/>
      <c r="Z2815" s="4"/>
      <c r="AA2815" s="4"/>
      <c r="AB2815" s="4"/>
      <c r="AC2815" s="4"/>
      <c r="AD2815" s="4"/>
      <c r="AE2815" s="4"/>
      <c r="AF2815" s="4"/>
      <c r="AG2815" s="4"/>
      <c r="AH2815" s="4"/>
      <c r="AI2815" s="4"/>
      <c r="AJ2815" s="4"/>
      <c r="AK2815" s="4"/>
      <c r="AL2815" s="4"/>
      <c r="AM2815" s="4"/>
      <c r="AN2815" s="4"/>
      <c r="AO2815" s="4"/>
      <c r="AP2815" s="4"/>
      <c r="AQ2815" s="4"/>
      <c r="AR2815" s="4"/>
      <c r="AS2815" s="4"/>
      <c r="AT2815" s="4"/>
      <c r="AU2815" s="4"/>
      <c r="AV2815" s="4"/>
      <c r="AW2815" s="4"/>
      <c r="AX2815" s="4"/>
      <c r="AY2815" s="4"/>
      <c r="AZ2815" s="4"/>
      <c r="BA2815" s="4"/>
      <c r="BB2815" s="4"/>
      <c r="BC2815" s="4"/>
      <c r="BD2815" s="4"/>
      <c r="BE2815" s="4"/>
      <c r="BF2815" s="4"/>
      <c r="BG2815" s="4"/>
      <c r="BH2815" s="4"/>
      <c r="BI2815" s="4"/>
      <c r="BJ2815" s="4"/>
      <c r="BK2815" s="4"/>
      <c r="BL2815" s="4"/>
      <c r="BM2815" s="4"/>
      <c r="BN2815" s="4"/>
      <c r="BO2815" s="4"/>
      <c r="BP2815" s="4"/>
      <c r="BQ2815" s="4"/>
      <c r="BR2815" s="4"/>
      <c r="BS2815" s="4"/>
      <c r="BT2815" s="4"/>
      <c r="BU2815" s="4"/>
      <c r="BV2815" s="4"/>
      <c r="BW2815" s="4"/>
      <c r="BX2815" s="4"/>
      <c r="BY2815" s="4"/>
      <c r="BZ2815" s="4"/>
      <c r="CA2815" s="4"/>
      <c r="CB2815" s="4"/>
      <c r="CC2815" s="4"/>
      <c r="CD2815" s="4"/>
      <c r="CE2815" s="4"/>
      <c r="CF2815" s="4"/>
      <c r="CG2815" s="4"/>
      <c r="CH2815" s="4"/>
      <c r="CI2815" s="4"/>
      <c r="CJ2815" s="4"/>
      <c r="CK2815" s="4"/>
      <c r="CL2815" s="4"/>
      <c r="CM2815" s="4"/>
      <c r="CN2815" s="4"/>
      <c r="CO2815" s="4"/>
      <c r="CP2815" s="4"/>
      <c r="CQ2815" s="4"/>
      <c r="CR2815" s="4"/>
      <c r="CS2815" s="4"/>
      <c r="CT2815" s="4"/>
      <c r="CU2815" s="4"/>
      <c r="CV2815" s="4"/>
      <c r="CW2815" s="4"/>
      <c r="CX2815" s="4"/>
      <c r="CY2815" s="4"/>
      <c r="CZ2815" s="4"/>
      <c r="DA2815" s="4"/>
      <c r="DB2815" s="4"/>
      <c r="DC2815" s="4"/>
      <c r="DD2815" s="4"/>
      <c r="DE2815" s="4"/>
      <c r="DF2815" s="4"/>
      <c r="DG2815" s="4"/>
      <c r="DH2815" s="4"/>
      <c r="DI2815" s="4"/>
      <c r="DJ2815" s="4"/>
      <c r="DK2815" s="4"/>
      <c r="DL2815" s="4"/>
      <c r="DM2815" s="4"/>
      <c r="DN2815" s="4"/>
      <c r="DO2815" s="4"/>
      <c r="DP2815" s="4"/>
      <c r="DQ2815" s="4"/>
      <c r="DR2815" s="4"/>
      <c r="DS2815" s="4"/>
    </row>
    <row r="2816">
      <c r="A2816" s="4"/>
      <c r="B2816" s="4"/>
      <c r="C2816" s="4"/>
      <c r="D2816" s="4"/>
      <c r="E2816" s="4"/>
      <c r="F2816" s="4" t="s">
        <v>17</v>
      </c>
      <c r="G2816" s="15"/>
      <c r="H2816" s="4"/>
      <c r="I2816" s="4"/>
      <c r="J2816" s="4"/>
      <c r="K2816" s="4"/>
      <c r="L2816" s="4"/>
      <c r="M2816" s="4"/>
      <c r="N2816" s="4"/>
      <c r="O2816" s="4"/>
      <c r="P2816" s="4"/>
      <c r="Q2816" s="4"/>
      <c r="R2816" s="4"/>
      <c r="S2816" s="4"/>
      <c r="T2816" s="4"/>
      <c r="U2816" s="4"/>
      <c r="V2816" s="4"/>
      <c r="W2816" s="4"/>
      <c r="X2816" s="4"/>
      <c r="Y2816" s="4"/>
      <c r="Z2816" s="4"/>
      <c r="AA2816" s="4"/>
      <c r="AB2816" s="4"/>
      <c r="AC2816" s="4"/>
      <c r="AD2816" s="4"/>
      <c r="AE2816" s="4"/>
      <c r="AF2816" s="4"/>
      <c r="AG2816" s="4"/>
      <c r="AH2816" s="4"/>
      <c r="AI2816" s="4"/>
      <c r="AJ2816" s="4"/>
      <c r="AK2816" s="4"/>
      <c r="AL2816" s="4"/>
      <c r="AM2816" s="4"/>
      <c r="AN2816" s="4"/>
      <c r="AO2816" s="4"/>
      <c r="AP2816" s="4"/>
      <c r="AQ2816" s="4"/>
      <c r="AR2816" s="4"/>
      <c r="AS2816" s="4"/>
      <c r="AT2816" s="4"/>
      <c r="AU2816" s="4"/>
      <c r="AV2816" s="4"/>
      <c r="AW2816" s="4"/>
      <c r="AX2816" s="4"/>
      <c r="AY2816" s="4"/>
      <c r="AZ2816" s="4"/>
      <c r="BA2816" s="4"/>
      <c r="BB2816" s="4"/>
      <c r="BC2816" s="4"/>
      <c r="BD2816" s="4"/>
      <c r="BE2816" s="4"/>
      <c r="BF2816" s="4"/>
      <c r="BG2816" s="4"/>
      <c r="BH2816" s="4"/>
      <c r="BI2816" s="4"/>
      <c r="BJ2816" s="4"/>
      <c r="BK2816" s="4"/>
      <c r="BL2816" s="4"/>
      <c r="BM2816" s="4"/>
      <c r="BN2816" s="4"/>
      <c r="BO2816" s="4"/>
      <c r="BP2816" s="4"/>
      <c r="BQ2816" s="4"/>
      <c r="BR2816" s="4"/>
      <c r="BS2816" s="4"/>
      <c r="BT2816" s="4"/>
      <c r="BU2816" s="4"/>
      <c r="BV2816" s="4"/>
      <c r="BW2816" s="4"/>
      <c r="BX2816" s="4"/>
      <c r="BY2816" s="4"/>
      <c r="BZ2816" s="4"/>
      <c r="CA2816" s="4"/>
      <c r="CB2816" s="4"/>
      <c r="CC2816" s="4"/>
      <c r="CD2816" s="4"/>
      <c r="CE2816" s="4"/>
      <c r="CF2816" s="4"/>
      <c r="CG2816" s="4"/>
      <c r="CH2816" s="4"/>
      <c r="CI2816" s="4"/>
      <c r="CJ2816" s="4"/>
      <c r="CK2816" s="4"/>
      <c r="CL2816" s="4"/>
      <c r="CM2816" s="4"/>
      <c r="CN2816" s="4"/>
      <c r="CO2816" s="4"/>
      <c r="CP2816" s="4"/>
      <c r="CQ2816" s="4"/>
      <c r="CR2816" s="4"/>
      <c r="CS2816" s="4"/>
      <c r="CT2816" s="4"/>
      <c r="CU2816" s="4"/>
      <c r="CV2816" s="4"/>
      <c r="CW2816" s="4"/>
      <c r="CX2816" s="4"/>
      <c r="CY2816" s="4"/>
      <c r="CZ2816" s="4"/>
      <c r="DA2816" s="4"/>
      <c r="DB2816" s="4"/>
      <c r="DC2816" s="4"/>
      <c r="DD2816" s="4"/>
      <c r="DE2816" s="4"/>
      <c r="DF2816" s="4"/>
      <c r="DG2816" s="4"/>
      <c r="DH2816" s="4"/>
      <c r="DI2816" s="4"/>
      <c r="DJ2816" s="4"/>
      <c r="DK2816" s="4"/>
      <c r="DL2816" s="4"/>
      <c r="DM2816" s="4"/>
      <c r="DN2816" s="4"/>
      <c r="DO2816" s="4"/>
      <c r="DP2816" s="4"/>
      <c r="DQ2816" s="4"/>
      <c r="DR2816" s="4"/>
      <c r="DS2816" s="4"/>
    </row>
    <row r="2817">
      <c r="A2817" s="4"/>
      <c r="B2817" s="4"/>
      <c r="C2817" s="4"/>
      <c r="D2817" s="4"/>
      <c r="E2817" s="4"/>
      <c r="F2817" s="4" t="s">
        <v>17</v>
      </c>
      <c r="G2817" s="15"/>
      <c r="H2817" s="4"/>
      <c r="I2817" s="4"/>
      <c r="J2817" s="4"/>
      <c r="K2817" s="4"/>
      <c r="L2817" s="4"/>
      <c r="M2817" s="4"/>
      <c r="N2817" s="4"/>
      <c r="O2817" s="4"/>
      <c r="P2817" s="4"/>
      <c r="Q2817" s="4"/>
      <c r="R2817" s="4"/>
      <c r="S2817" s="4"/>
      <c r="T2817" s="4"/>
      <c r="U2817" s="4"/>
      <c r="V2817" s="4"/>
      <c r="W2817" s="4"/>
      <c r="X2817" s="4"/>
      <c r="Y2817" s="4"/>
      <c r="Z2817" s="4"/>
      <c r="AA2817" s="4"/>
      <c r="AB2817" s="4"/>
      <c r="AC2817" s="4"/>
      <c r="AD2817" s="4"/>
      <c r="AE2817" s="4"/>
      <c r="AF2817" s="4"/>
      <c r="AG2817" s="4"/>
      <c r="AH2817" s="4"/>
      <c r="AI2817" s="4"/>
      <c r="AJ2817" s="4"/>
      <c r="AK2817" s="4"/>
      <c r="AL2817" s="4"/>
      <c r="AM2817" s="4"/>
      <c r="AN2817" s="4"/>
      <c r="AO2817" s="4"/>
      <c r="AP2817" s="4"/>
      <c r="AQ2817" s="4"/>
      <c r="AR2817" s="4"/>
      <c r="AS2817" s="4"/>
      <c r="AT2817" s="4"/>
      <c r="AU2817" s="4"/>
      <c r="AV2817" s="4"/>
      <c r="AW2817" s="4"/>
      <c r="AX2817" s="4"/>
      <c r="AY2817" s="4"/>
      <c r="AZ2817" s="4"/>
      <c r="BA2817" s="4"/>
      <c r="BB2817" s="4"/>
      <c r="BC2817" s="4"/>
      <c r="BD2817" s="4"/>
      <c r="BE2817" s="4"/>
      <c r="BF2817" s="4"/>
      <c r="BG2817" s="4"/>
      <c r="BH2817" s="4"/>
      <c r="BI2817" s="4"/>
      <c r="BJ2817" s="4"/>
      <c r="BK2817" s="4"/>
      <c r="BL2817" s="4"/>
      <c r="BM2817" s="4"/>
      <c r="BN2817" s="4"/>
      <c r="BO2817" s="4"/>
      <c r="BP2817" s="4"/>
      <c r="BQ2817" s="4"/>
      <c r="BR2817" s="4"/>
      <c r="BS2817" s="4"/>
      <c r="BT2817" s="4"/>
      <c r="BU2817" s="4"/>
      <c r="BV2817" s="4"/>
      <c r="BW2817" s="4"/>
      <c r="BX2817" s="4"/>
      <c r="BY2817" s="4"/>
      <c r="BZ2817" s="4"/>
      <c r="CA2817" s="4"/>
      <c r="CB2817" s="4"/>
      <c r="CC2817" s="4"/>
      <c r="CD2817" s="4"/>
      <c r="CE2817" s="4"/>
      <c r="CF2817" s="4"/>
      <c r="CG2817" s="4"/>
      <c r="CH2817" s="4"/>
      <c r="CI2817" s="4"/>
      <c r="CJ2817" s="4"/>
      <c r="CK2817" s="4"/>
      <c r="CL2817" s="4"/>
      <c r="CM2817" s="4"/>
      <c r="CN2817" s="4"/>
      <c r="CO2817" s="4"/>
      <c r="CP2817" s="4"/>
      <c r="CQ2817" s="4"/>
      <c r="CR2817" s="4"/>
      <c r="CS2817" s="4"/>
      <c r="CT2817" s="4"/>
      <c r="CU2817" s="4"/>
      <c r="CV2817" s="4"/>
      <c r="CW2817" s="4"/>
      <c r="CX2817" s="4"/>
      <c r="CY2817" s="4"/>
      <c r="CZ2817" s="4"/>
      <c r="DA2817" s="4"/>
      <c r="DB2817" s="4"/>
      <c r="DC2817" s="4"/>
      <c r="DD2817" s="4"/>
      <c r="DE2817" s="4"/>
      <c r="DF2817" s="4"/>
      <c r="DG2817" s="4"/>
      <c r="DH2817" s="4"/>
      <c r="DI2817" s="4"/>
      <c r="DJ2817" s="4"/>
      <c r="DK2817" s="4"/>
      <c r="DL2817" s="4"/>
      <c r="DM2817" s="4"/>
      <c r="DN2817" s="4"/>
      <c r="DO2817" s="4"/>
      <c r="DP2817" s="4"/>
      <c r="DQ2817" s="4"/>
      <c r="DR2817" s="4"/>
      <c r="DS2817" s="4"/>
    </row>
    <row r="2818">
      <c r="A2818" s="4"/>
      <c r="B2818" s="4"/>
      <c r="C2818" s="4"/>
      <c r="D2818" s="4"/>
      <c r="E2818" s="4"/>
      <c r="F2818" s="4" t="s">
        <v>17</v>
      </c>
      <c r="G2818" s="15"/>
      <c r="H2818" s="4"/>
      <c r="I2818" s="4"/>
      <c r="J2818" s="4"/>
      <c r="K2818" s="4"/>
      <c r="L2818" s="4"/>
      <c r="M2818" s="4"/>
      <c r="N2818" s="4"/>
      <c r="O2818" s="4"/>
      <c r="P2818" s="4"/>
      <c r="Q2818" s="4"/>
      <c r="R2818" s="4"/>
      <c r="S2818" s="4"/>
      <c r="T2818" s="4"/>
      <c r="U2818" s="4"/>
      <c r="V2818" s="4"/>
      <c r="W2818" s="4"/>
      <c r="X2818" s="4"/>
      <c r="Y2818" s="4"/>
      <c r="Z2818" s="4"/>
      <c r="AA2818" s="4"/>
      <c r="AB2818" s="4"/>
      <c r="AC2818" s="4"/>
      <c r="AD2818" s="4"/>
      <c r="AE2818" s="4"/>
      <c r="AF2818" s="4"/>
      <c r="AG2818" s="4"/>
      <c r="AH2818" s="4"/>
      <c r="AI2818" s="4"/>
      <c r="AJ2818" s="4"/>
      <c r="AK2818" s="4"/>
      <c r="AL2818" s="4"/>
      <c r="AM2818" s="4"/>
      <c r="AN2818" s="4"/>
      <c r="AO2818" s="4"/>
      <c r="AP2818" s="4"/>
      <c r="AQ2818" s="4"/>
      <c r="AR2818" s="4"/>
      <c r="AS2818" s="4"/>
      <c r="AT2818" s="4"/>
      <c r="AU2818" s="4"/>
      <c r="AV2818" s="4"/>
      <c r="AW2818" s="4"/>
      <c r="AX2818" s="4"/>
      <c r="AY2818" s="4"/>
      <c r="AZ2818" s="4"/>
      <c r="BA2818" s="4"/>
      <c r="BB2818" s="4"/>
      <c r="BC2818" s="4"/>
      <c r="BD2818" s="4"/>
      <c r="BE2818" s="4"/>
      <c r="BF2818" s="4"/>
      <c r="BG2818" s="4"/>
      <c r="BH2818" s="4"/>
      <c r="BI2818" s="4"/>
      <c r="BJ2818" s="4"/>
      <c r="BK2818" s="4"/>
      <c r="BL2818" s="4"/>
      <c r="BM2818" s="4"/>
      <c r="BN2818" s="4"/>
      <c r="BO2818" s="4"/>
      <c r="BP2818" s="4"/>
      <c r="BQ2818" s="4"/>
      <c r="BR2818" s="4"/>
      <c r="BS2818" s="4"/>
      <c r="BT2818" s="4"/>
      <c r="BU2818" s="4"/>
      <c r="BV2818" s="4"/>
      <c r="BW2818" s="4"/>
      <c r="BX2818" s="4"/>
      <c r="BY2818" s="4"/>
      <c r="BZ2818" s="4"/>
      <c r="CA2818" s="4"/>
      <c r="CB2818" s="4"/>
      <c r="CC2818" s="4"/>
      <c r="CD2818" s="4"/>
      <c r="CE2818" s="4"/>
      <c r="CF2818" s="4"/>
      <c r="CG2818" s="4"/>
      <c r="CH2818" s="4"/>
      <c r="CI2818" s="4"/>
      <c r="CJ2818" s="4"/>
      <c r="CK2818" s="4"/>
      <c r="CL2818" s="4"/>
      <c r="CM2818" s="4"/>
      <c r="CN2818" s="4"/>
      <c r="CO2818" s="4"/>
      <c r="CP2818" s="4"/>
      <c r="CQ2818" s="4"/>
      <c r="CR2818" s="4"/>
      <c r="CS2818" s="4"/>
      <c r="CT2818" s="4"/>
      <c r="CU2818" s="4"/>
      <c r="CV2818" s="4"/>
      <c r="CW2818" s="4"/>
      <c r="CX2818" s="4"/>
      <c r="CY2818" s="4"/>
      <c r="CZ2818" s="4"/>
      <c r="DA2818" s="4"/>
      <c r="DB2818" s="4"/>
      <c r="DC2818" s="4"/>
      <c r="DD2818" s="4"/>
      <c r="DE2818" s="4"/>
      <c r="DF2818" s="4"/>
      <c r="DG2818" s="4"/>
      <c r="DH2818" s="4"/>
      <c r="DI2818" s="4"/>
      <c r="DJ2818" s="4"/>
      <c r="DK2818" s="4"/>
      <c r="DL2818" s="4"/>
      <c r="DM2818" s="4"/>
      <c r="DN2818" s="4"/>
      <c r="DO2818" s="4"/>
      <c r="DP2818" s="4"/>
      <c r="DQ2818" s="4"/>
      <c r="DR2818" s="4"/>
      <c r="DS2818" s="4"/>
    </row>
    <row r="2819">
      <c r="A2819" s="4"/>
      <c r="B2819" s="4"/>
      <c r="C2819" s="4"/>
      <c r="D2819" s="4"/>
      <c r="E2819" s="4"/>
      <c r="F2819" s="4" t="s">
        <v>17</v>
      </c>
      <c r="G2819" s="15"/>
      <c r="H2819" s="4"/>
      <c r="I2819" s="4"/>
      <c r="J2819" s="4"/>
      <c r="K2819" s="4"/>
      <c r="L2819" s="4"/>
      <c r="M2819" s="4"/>
      <c r="N2819" s="4"/>
      <c r="O2819" s="4"/>
      <c r="P2819" s="4"/>
      <c r="Q2819" s="4"/>
      <c r="R2819" s="4"/>
      <c r="S2819" s="4"/>
      <c r="T2819" s="4"/>
      <c r="U2819" s="4"/>
      <c r="V2819" s="4"/>
      <c r="W2819" s="4"/>
      <c r="X2819" s="4"/>
      <c r="Y2819" s="4"/>
      <c r="Z2819" s="4"/>
      <c r="AA2819" s="4"/>
      <c r="AB2819" s="4"/>
      <c r="AC2819" s="4"/>
      <c r="AD2819" s="4"/>
      <c r="AE2819" s="4"/>
      <c r="AF2819" s="4"/>
      <c r="AG2819" s="4"/>
      <c r="AH2819" s="4"/>
      <c r="AI2819" s="4"/>
      <c r="AJ2819" s="4"/>
      <c r="AK2819" s="4"/>
      <c r="AL2819" s="4"/>
      <c r="AM2819" s="4"/>
      <c r="AN2819" s="4"/>
      <c r="AO2819" s="4"/>
      <c r="AP2819" s="4"/>
      <c r="AQ2819" s="4"/>
      <c r="AR2819" s="4"/>
      <c r="AS2819" s="4"/>
      <c r="AT2819" s="4"/>
      <c r="AU2819" s="4"/>
      <c r="AV2819" s="4"/>
      <c r="AW2819" s="4"/>
      <c r="AX2819" s="4"/>
      <c r="AY2819" s="4"/>
      <c r="AZ2819" s="4"/>
      <c r="BA2819" s="4"/>
      <c r="BB2819" s="4"/>
      <c r="BC2819" s="4"/>
      <c r="BD2819" s="4"/>
      <c r="BE2819" s="4"/>
      <c r="BF2819" s="4"/>
      <c r="BG2819" s="4"/>
      <c r="BH2819" s="4"/>
      <c r="BI2819" s="4"/>
      <c r="BJ2819" s="4"/>
      <c r="BK2819" s="4"/>
      <c r="BL2819" s="4"/>
      <c r="BM2819" s="4"/>
      <c r="BN2819" s="4"/>
      <c r="BO2819" s="4"/>
      <c r="BP2819" s="4"/>
      <c r="BQ2819" s="4"/>
      <c r="BR2819" s="4"/>
      <c r="BS2819" s="4"/>
      <c r="BT2819" s="4"/>
      <c r="BU2819" s="4"/>
      <c r="BV2819" s="4"/>
      <c r="BW2819" s="4"/>
      <c r="BX2819" s="4"/>
      <c r="BY2819" s="4"/>
      <c r="BZ2819" s="4"/>
      <c r="CA2819" s="4"/>
      <c r="CB2819" s="4"/>
      <c r="CC2819" s="4"/>
      <c r="CD2819" s="4"/>
      <c r="CE2819" s="4"/>
      <c r="CF2819" s="4"/>
      <c r="CG2819" s="4"/>
      <c r="CH2819" s="4"/>
      <c r="CI2819" s="4"/>
      <c r="CJ2819" s="4"/>
      <c r="CK2819" s="4"/>
      <c r="CL2819" s="4"/>
      <c r="CM2819" s="4"/>
      <c r="CN2819" s="4"/>
      <c r="CO2819" s="4"/>
      <c r="CP2819" s="4"/>
      <c r="CQ2819" s="4"/>
      <c r="CR2819" s="4"/>
      <c r="CS2819" s="4"/>
      <c r="CT2819" s="4"/>
      <c r="CU2819" s="4"/>
      <c r="CV2819" s="4"/>
      <c r="CW2819" s="4"/>
      <c r="CX2819" s="4"/>
      <c r="CY2819" s="4"/>
      <c r="CZ2819" s="4"/>
      <c r="DA2819" s="4"/>
      <c r="DB2819" s="4"/>
      <c r="DC2819" s="4"/>
      <c r="DD2819" s="4"/>
      <c r="DE2819" s="4"/>
      <c r="DF2819" s="4"/>
      <c r="DG2819" s="4"/>
      <c r="DH2819" s="4"/>
      <c r="DI2819" s="4"/>
      <c r="DJ2819" s="4"/>
      <c r="DK2819" s="4"/>
      <c r="DL2819" s="4"/>
      <c r="DM2819" s="4"/>
      <c r="DN2819" s="4"/>
      <c r="DO2819" s="4"/>
      <c r="DP2819" s="4"/>
      <c r="DQ2819" s="4"/>
      <c r="DR2819" s="4"/>
      <c r="DS2819" s="4"/>
    </row>
    <row r="2820">
      <c r="A2820" s="4"/>
      <c r="B2820" s="4"/>
      <c r="C2820" s="4"/>
      <c r="D2820" s="4"/>
      <c r="E2820" s="4"/>
      <c r="F2820" s="4" t="s">
        <v>17</v>
      </c>
      <c r="G2820" s="15"/>
      <c r="H2820" s="4"/>
      <c r="I2820" s="4"/>
      <c r="J2820" s="4"/>
      <c r="K2820" s="4"/>
      <c r="L2820" s="4"/>
      <c r="M2820" s="4"/>
      <c r="N2820" s="4"/>
      <c r="O2820" s="4"/>
      <c r="P2820" s="4"/>
      <c r="Q2820" s="4"/>
      <c r="R2820" s="4"/>
      <c r="S2820" s="4"/>
      <c r="T2820" s="4"/>
      <c r="U2820" s="4"/>
      <c r="V2820" s="4"/>
      <c r="W2820" s="4"/>
      <c r="X2820" s="4"/>
      <c r="Y2820" s="4"/>
      <c r="Z2820" s="4"/>
      <c r="AA2820" s="4"/>
      <c r="AB2820" s="4"/>
      <c r="AC2820" s="4"/>
      <c r="AD2820" s="4"/>
      <c r="AE2820" s="4"/>
      <c r="AF2820" s="4"/>
      <c r="AG2820" s="4"/>
      <c r="AH2820" s="4"/>
      <c r="AI2820" s="4"/>
      <c r="AJ2820" s="4"/>
      <c r="AK2820" s="4"/>
      <c r="AL2820" s="4"/>
      <c r="AM2820" s="4"/>
      <c r="AN2820" s="4"/>
      <c r="AO2820" s="4"/>
      <c r="AP2820" s="4"/>
      <c r="AQ2820" s="4"/>
      <c r="AR2820" s="4"/>
      <c r="AS2820" s="4"/>
      <c r="AT2820" s="4"/>
      <c r="AU2820" s="4"/>
      <c r="AV2820" s="4"/>
      <c r="AW2820" s="4"/>
      <c r="AX2820" s="4"/>
      <c r="AY2820" s="4"/>
      <c r="AZ2820" s="4"/>
      <c r="BA2820" s="4"/>
      <c r="BB2820" s="4"/>
      <c r="BC2820" s="4"/>
      <c r="BD2820" s="4"/>
      <c r="BE2820" s="4"/>
      <c r="BF2820" s="4"/>
      <c r="BG2820" s="4"/>
      <c r="BH2820" s="4"/>
      <c r="BI2820" s="4"/>
      <c r="BJ2820" s="4"/>
      <c r="BK2820" s="4"/>
      <c r="BL2820" s="4"/>
      <c r="BM2820" s="4"/>
      <c r="BN2820" s="4"/>
      <c r="BO2820" s="4"/>
      <c r="BP2820" s="4"/>
      <c r="BQ2820" s="4"/>
      <c r="BR2820" s="4"/>
      <c r="BS2820" s="4"/>
      <c r="BT2820" s="4"/>
      <c r="BU2820" s="4"/>
      <c r="BV2820" s="4"/>
      <c r="BW2820" s="4"/>
      <c r="BX2820" s="4"/>
      <c r="BY2820" s="4"/>
      <c r="BZ2820" s="4"/>
      <c r="CA2820" s="4"/>
      <c r="CB2820" s="4"/>
      <c r="CC2820" s="4"/>
      <c r="CD2820" s="4"/>
      <c r="CE2820" s="4"/>
      <c r="CF2820" s="4"/>
      <c r="CG2820" s="4"/>
      <c r="CH2820" s="4"/>
      <c r="CI2820" s="4"/>
      <c r="CJ2820" s="4"/>
      <c r="CK2820" s="4"/>
      <c r="CL2820" s="4"/>
      <c r="CM2820" s="4"/>
      <c r="CN2820" s="4"/>
      <c r="CO2820" s="4"/>
      <c r="CP2820" s="4"/>
      <c r="CQ2820" s="4"/>
      <c r="CR2820" s="4"/>
      <c r="CS2820" s="4"/>
      <c r="CT2820" s="4"/>
      <c r="CU2820" s="4"/>
      <c r="CV2820" s="4"/>
      <c r="CW2820" s="4"/>
      <c r="CX2820" s="4"/>
      <c r="CY2820" s="4"/>
      <c r="CZ2820" s="4"/>
      <c r="DA2820" s="4"/>
      <c r="DB2820" s="4"/>
      <c r="DC2820" s="4"/>
      <c r="DD2820" s="4"/>
      <c r="DE2820" s="4"/>
      <c r="DF2820" s="4"/>
      <c r="DG2820" s="4"/>
      <c r="DH2820" s="4"/>
      <c r="DI2820" s="4"/>
      <c r="DJ2820" s="4"/>
      <c r="DK2820" s="4"/>
      <c r="DL2820" s="4"/>
      <c r="DM2820" s="4"/>
      <c r="DN2820" s="4"/>
      <c r="DO2820" s="4"/>
      <c r="DP2820" s="4"/>
      <c r="DQ2820" s="4"/>
      <c r="DR2820" s="4"/>
      <c r="DS2820" s="4"/>
    </row>
    <row r="2821">
      <c r="A2821" s="4"/>
      <c r="B2821" s="4"/>
      <c r="C2821" s="4"/>
      <c r="D2821" s="4"/>
      <c r="E2821" s="4"/>
      <c r="F2821" s="4" t="s">
        <v>17</v>
      </c>
      <c r="G2821" s="15"/>
      <c r="H2821" s="4"/>
      <c r="I2821" s="4"/>
      <c r="J2821" s="4"/>
      <c r="K2821" s="4"/>
      <c r="L2821" s="4"/>
      <c r="M2821" s="4"/>
      <c r="N2821" s="4"/>
      <c r="O2821" s="4"/>
      <c r="P2821" s="4"/>
      <c r="Q2821" s="4"/>
      <c r="R2821" s="4"/>
      <c r="S2821" s="4"/>
      <c r="T2821" s="4"/>
      <c r="U2821" s="4"/>
      <c r="V2821" s="4"/>
      <c r="W2821" s="4"/>
      <c r="X2821" s="4"/>
      <c r="Y2821" s="4"/>
      <c r="Z2821" s="4"/>
      <c r="AA2821" s="4"/>
      <c r="AB2821" s="4"/>
      <c r="AC2821" s="4"/>
      <c r="AD2821" s="4"/>
      <c r="AE2821" s="4"/>
      <c r="AF2821" s="4"/>
      <c r="AG2821" s="4"/>
      <c r="AH2821" s="4"/>
      <c r="AI2821" s="4"/>
      <c r="AJ2821" s="4"/>
      <c r="AK2821" s="4"/>
      <c r="AL2821" s="4"/>
      <c r="AM2821" s="4"/>
      <c r="AN2821" s="4"/>
      <c r="AO2821" s="4"/>
      <c r="AP2821" s="4"/>
      <c r="AQ2821" s="4"/>
      <c r="AR2821" s="4"/>
      <c r="AS2821" s="4"/>
      <c r="AT2821" s="4"/>
      <c r="AU2821" s="4"/>
      <c r="AV2821" s="4"/>
      <c r="AW2821" s="4"/>
      <c r="AX2821" s="4"/>
      <c r="AY2821" s="4"/>
      <c r="AZ2821" s="4"/>
      <c r="BA2821" s="4"/>
      <c r="BB2821" s="4"/>
      <c r="BC2821" s="4"/>
      <c r="BD2821" s="4"/>
      <c r="BE2821" s="4"/>
      <c r="BF2821" s="4"/>
      <c r="BG2821" s="4"/>
      <c r="BH2821" s="4"/>
      <c r="BI2821" s="4"/>
      <c r="BJ2821" s="4"/>
      <c r="BK2821" s="4"/>
      <c r="BL2821" s="4"/>
      <c r="BM2821" s="4"/>
      <c r="BN2821" s="4"/>
      <c r="BO2821" s="4"/>
      <c r="BP2821" s="4"/>
      <c r="BQ2821" s="4"/>
      <c r="BR2821" s="4"/>
      <c r="BS2821" s="4"/>
      <c r="BT2821" s="4"/>
      <c r="BU2821" s="4"/>
      <c r="BV2821" s="4"/>
      <c r="BW2821" s="4"/>
      <c r="BX2821" s="4"/>
      <c r="BY2821" s="4"/>
      <c r="BZ2821" s="4"/>
      <c r="CA2821" s="4"/>
      <c r="CB2821" s="4"/>
      <c r="CC2821" s="4"/>
      <c r="CD2821" s="4"/>
      <c r="CE2821" s="4"/>
      <c r="CF2821" s="4"/>
      <c r="CG2821" s="4"/>
      <c r="CH2821" s="4"/>
      <c r="CI2821" s="4"/>
      <c r="CJ2821" s="4"/>
      <c r="CK2821" s="4"/>
      <c r="CL2821" s="4"/>
      <c r="CM2821" s="4"/>
      <c r="CN2821" s="4"/>
      <c r="CO2821" s="4"/>
      <c r="CP2821" s="4"/>
      <c r="CQ2821" s="4"/>
      <c r="CR2821" s="4"/>
      <c r="CS2821" s="4"/>
      <c r="CT2821" s="4"/>
      <c r="CU2821" s="4"/>
      <c r="CV2821" s="4"/>
      <c r="CW2821" s="4"/>
      <c r="CX2821" s="4"/>
      <c r="CY2821" s="4"/>
      <c r="CZ2821" s="4"/>
      <c r="DA2821" s="4"/>
      <c r="DB2821" s="4"/>
      <c r="DC2821" s="4"/>
      <c r="DD2821" s="4"/>
      <c r="DE2821" s="4"/>
      <c r="DF2821" s="4"/>
      <c r="DG2821" s="4"/>
      <c r="DH2821" s="4"/>
      <c r="DI2821" s="4"/>
      <c r="DJ2821" s="4"/>
      <c r="DK2821" s="4"/>
      <c r="DL2821" s="4"/>
      <c r="DM2821" s="4"/>
      <c r="DN2821" s="4"/>
      <c r="DO2821" s="4"/>
      <c r="DP2821" s="4"/>
      <c r="DQ2821" s="4"/>
      <c r="DR2821" s="4"/>
      <c r="DS2821" s="4"/>
    </row>
    <row r="2822">
      <c r="A2822" s="4"/>
      <c r="B2822" s="4"/>
      <c r="C2822" s="4"/>
      <c r="D2822" s="4"/>
      <c r="E2822" s="4"/>
      <c r="F2822" s="4" t="s">
        <v>17</v>
      </c>
      <c r="G2822" s="15"/>
      <c r="H2822" s="4"/>
      <c r="I2822" s="4"/>
      <c r="J2822" s="4"/>
      <c r="K2822" s="4"/>
      <c r="L2822" s="4"/>
      <c r="M2822" s="4"/>
      <c r="N2822" s="4"/>
      <c r="O2822" s="4"/>
      <c r="P2822" s="4"/>
      <c r="Q2822" s="4"/>
      <c r="R2822" s="4"/>
      <c r="S2822" s="4"/>
      <c r="T2822" s="4"/>
      <c r="U2822" s="4"/>
      <c r="V2822" s="4"/>
      <c r="W2822" s="4"/>
      <c r="X2822" s="4"/>
      <c r="Y2822" s="4"/>
      <c r="Z2822" s="4"/>
      <c r="AA2822" s="4"/>
      <c r="AB2822" s="4"/>
      <c r="AC2822" s="4"/>
      <c r="AD2822" s="4"/>
      <c r="AE2822" s="4"/>
      <c r="AF2822" s="4"/>
      <c r="AG2822" s="4"/>
      <c r="AH2822" s="4"/>
      <c r="AI2822" s="4"/>
      <c r="AJ2822" s="4"/>
      <c r="AK2822" s="4"/>
      <c r="AL2822" s="4"/>
      <c r="AM2822" s="4"/>
      <c r="AN2822" s="4"/>
      <c r="AO2822" s="4"/>
      <c r="AP2822" s="4"/>
      <c r="AQ2822" s="4"/>
      <c r="AR2822" s="4"/>
      <c r="AS2822" s="4"/>
      <c r="AT2822" s="4"/>
      <c r="AU2822" s="4"/>
      <c r="AV2822" s="4"/>
      <c r="AW2822" s="4"/>
      <c r="AX2822" s="4"/>
      <c r="AY2822" s="4"/>
      <c r="AZ2822" s="4"/>
      <c r="BA2822" s="4"/>
      <c r="BB2822" s="4"/>
      <c r="BC2822" s="4"/>
      <c r="BD2822" s="4"/>
      <c r="BE2822" s="4"/>
      <c r="BF2822" s="4"/>
      <c r="BG2822" s="4"/>
      <c r="BH2822" s="4"/>
      <c r="BI2822" s="4"/>
      <c r="BJ2822" s="4"/>
      <c r="BK2822" s="4"/>
      <c r="BL2822" s="4"/>
      <c r="BM2822" s="4"/>
      <c r="BN2822" s="4"/>
      <c r="BO2822" s="4"/>
      <c r="BP2822" s="4"/>
      <c r="BQ2822" s="4"/>
      <c r="BR2822" s="4"/>
      <c r="BS2822" s="4"/>
      <c r="BT2822" s="4"/>
      <c r="BU2822" s="4"/>
      <c r="BV2822" s="4"/>
      <c r="BW2822" s="4"/>
      <c r="BX2822" s="4"/>
      <c r="BY2822" s="4"/>
      <c r="BZ2822" s="4"/>
      <c r="CA2822" s="4"/>
      <c r="CB2822" s="4"/>
      <c r="CC2822" s="4"/>
      <c r="CD2822" s="4"/>
      <c r="CE2822" s="4"/>
      <c r="CF2822" s="4"/>
      <c r="CG2822" s="4"/>
      <c r="CH2822" s="4"/>
      <c r="CI2822" s="4"/>
      <c r="CJ2822" s="4"/>
      <c r="CK2822" s="4"/>
      <c r="CL2822" s="4"/>
      <c r="CM2822" s="4"/>
      <c r="CN2822" s="4"/>
      <c r="CO2822" s="4"/>
      <c r="CP2822" s="4"/>
      <c r="CQ2822" s="4"/>
      <c r="CR2822" s="4"/>
      <c r="CS2822" s="4"/>
      <c r="CT2822" s="4"/>
      <c r="CU2822" s="4"/>
      <c r="CV2822" s="4"/>
      <c r="CW2822" s="4"/>
      <c r="CX2822" s="4"/>
      <c r="CY2822" s="4"/>
      <c r="CZ2822" s="4"/>
      <c r="DA2822" s="4"/>
      <c r="DB2822" s="4"/>
      <c r="DC2822" s="4"/>
      <c r="DD2822" s="4"/>
      <c r="DE2822" s="4"/>
      <c r="DF2822" s="4"/>
      <c r="DG2822" s="4"/>
      <c r="DH2822" s="4"/>
      <c r="DI2822" s="4"/>
      <c r="DJ2822" s="4"/>
      <c r="DK2822" s="4"/>
      <c r="DL2822" s="4"/>
      <c r="DM2822" s="4"/>
      <c r="DN2822" s="4"/>
      <c r="DO2822" s="4"/>
      <c r="DP2822" s="4"/>
      <c r="DQ2822" s="4"/>
      <c r="DR2822" s="4"/>
      <c r="DS2822" s="4"/>
    </row>
    <row r="2823">
      <c r="A2823" s="4"/>
      <c r="B2823" s="4"/>
      <c r="C2823" s="4"/>
      <c r="D2823" s="4"/>
      <c r="E2823" s="4"/>
      <c r="F2823" s="4" t="s">
        <v>17</v>
      </c>
      <c r="G2823" s="15"/>
      <c r="H2823" s="4"/>
      <c r="I2823" s="4"/>
      <c r="J2823" s="4"/>
      <c r="K2823" s="4"/>
      <c r="L2823" s="4"/>
      <c r="M2823" s="4"/>
      <c r="N2823" s="4"/>
      <c r="O2823" s="4"/>
      <c r="P2823" s="4"/>
      <c r="Q2823" s="4"/>
      <c r="R2823" s="4"/>
      <c r="S2823" s="4"/>
      <c r="T2823" s="4"/>
      <c r="U2823" s="4"/>
      <c r="V2823" s="4"/>
      <c r="W2823" s="4"/>
      <c r="X2823" s="4"/>
      <c r="Y2823" s="4"/>
      <c r="Z2823" s="4"/>
      <c r="AA2823" s="4"/>
      <c r="AB2823" s="4"/>
      <c r="AC2823" s="4"/>
      <c r="AD2823" s="4"/>
      <c r="AE2823" s="4"/>
      <c r="AF2823" s="4"/>
      <c r="AG2823" s="4"/>
      <c r="AH2823" s="4"/>
      <c r="AI2823" s="4"/>
      <c r="AJ2823" s="4"/>
      <c r="AK2823" s="4"/>
      <c r="AL2823" s="4"/>
      <c r="AM2823" s="4"/>
      <c r="AN2823" s="4"/>
      <c r="AO2823" s="4"/>
      <c r="AP2823" s="4"/>
      <c r="AQ2823" s="4"/>
      <c r="AR2823" s="4"/>
      <c r="AS2823" s="4"/>
      <c r="AT2823" s="4"/>
      <c r="AU2823" s="4"/>
      <c r="AV2823" s="4"/>
      <c r="AW2823" s="4"/>
      <c r="AX2823" s="4"/>
      <c r="AY2823" s="4"/>
      <c r="AZ2823" s="4"/>
      <c r="BA2823" s="4"/>
      <c r="BB2823" s="4"/>
      <c r="BC2823" s="4"/>
      <c r="BD2823" s="4"/>
      <c r="BE2823" s="4"/>
      <c r="BF2823" s="4"/>
      <c r="BG2823" s="4"/>
      <c r="BH2823" s="4"/>
      <c r="BI2823" s="4"/>
      <c r="BJ2823" s="4"/>
      <c r="BK2823" s="4"/>
      <c r="BL2823" s="4"/>
      <c r="BM2823" s="4"/>
      <c r="BN2823" s="4"/>
      <c r="BO2823" s="4"/>
      <c r="BP2823" s="4"/>
      <c r="BQ2823" s="4"/>
      <c r="BR2823" s="4"/>
      <c r="BS2823" s="4"/>
      <c r="BT2823" s="4"/>
      <c r="BU2823" s="4"/>
      <c r="BV2823" s="4"/>
      <c r="BW2823" s="4"/>
      <c r="BX2823" s="4"/>
      <c r="BY2823" s="4"/>
      <c r="BZ2823" s="4"/>
      <c r="CA2823" s="4"/>
      <c r="CB2823" s="4"/>
      <c r="CC2823" s="4"/>
      <c r="CD2823" s="4"/>
      <c r="CE2823" s="4"/>
      <c r="CF2823" s="4"/>
      <c r="CG2823" s="4"/>
      <c r="CH2823" s="4"/>
      <c r="CI2823" s="4"/>
      <c r="CJ2823" s="4"/>
      <c r="CK2823" s="4"/>
      <c r="CL2823" s="4"/>
      <c r="CM2823" s="4"/>
      <c r="CN2823" s="4"/>
      <c r="CO2823" s="4"/>
      <c r="CP2823" s="4"/>
      <c r="CQ2823" s="4"/>
      <c r="CR2823" s="4"/>
      <c r="CS2823" s="4"/>
      <c r="CT2823" s="4"/>
      <c r="CU2823" s="4"/>
      <c r="CV2823" s="4"/>
      <c r="CW2823" s="4"/>
      <c r="CX2823" s="4"/>
      <c r="CY2823" s="4"/>
      <c r="CZ2823" s="4"/>
      <c r="DA2823" s="4"/>
      <c r="DB2823" s="4"/>
      <c r="DC2823" s="4"/>
      <c r="DD2823" s="4"/>
      <c r="DE2823" s="4"/>
      <c r="DF2823" s="4"/>
      <c r="DG2823" s="4"/>
      <c r="DH2823" s="4"/>
      <c r="DI2823" s="4"/>
      <c r="DJ2823" s="4"/>
      <c r="DK2823" s="4"/>
      <c r="DL2823" s="4"/>
      <c r="DM2823" s="4"/>
      <c r="DN2823" s="4"/>
      <c r="DO2823" s="4"/>
      <c r="DP2823" s="4"/>
      <c r="DQ2823" s="4"/>
      <c r="DR2823" s="4"/>
      <c r="DS2823" s="4"/>
    </row>
    <row r="2824">
      <c r="A2824" s="4"/>
      <c r="B2824" s="4"/>
      <c r="C2824" s="4"/>
      <c r="D2824" s="4"/>
      <c r="E2824" s="4"/>
      <c r="F2824" s="4" t="s">
        <v>17</v>
      </c>
      <c r="G2824" s="15"/>
      <c r="H2824" s="4"/>
      <c r="I2824" s="4"/>
      <c r="J2824" s="4"/>
      <c r="K2824" s="4"/>
      <c r="L2824" s="4"/>
      <c r="M2824" s="4"/>
      <c r="N2824" s="4"/>
      <c r="O2824" s="4"/>
      <c r="P2824" s="4"/>
      <c r="Q2824" s="4"/>
      <c r="R2824" s="4"/>
      <c r="S2824" s="4"/>
      <c r="T2824" s="4"/>
      <c r="U2824" s="4"/>
      <c r="V2824" s="4"/>
      <c r="W2824" s="4"/>
      <c r="X2824" s="4"/>
      <c r="Y2824" s="4"/>
      <c r="Z2824" s="4"/>
      <c r="AA2824" s="4"/>
      <c r="AB2824" s="4"/>
      <c r="AC2824" s="4"/>
      <c r="AD2824" s="4"/>
      <c r="AE2824" s="4"/>
      <c r="AF2824" s="4"/>
      <c r="AG2824" s="4"/>
      <c r="AH2824" s="4"/>
      <c r="AI2824" s="4"/>
      <c r="AJ2824" s="4"/>
      <c r="AK2824" s="4"/>
      <c r="AL2824" s="4"/>
      <c r="AM2824" s="4"/>
      <c r="AN2824" s="4"/>
      <c r="AO2824" s="4"/>
      <c r="AP2824" s="4"/>
      <c r="AQ2824" s="4"/>
      <c r="AR2824" s="4"/>
      <c r="AS2824" s="4"/>
      <c r="AT2824" s="4"/>
      <c r="AU2824" s="4"/>
      <c r="AV2824" s="4"/>
      <c r="AW2824" s="4"/>
      <c r="AX2824" s="4"/>
      <c r="AY2824" s="4"/>
      <c r="AZ2824" s="4"/>
      <c r="BA2824" s="4"/>
      <c r="BB2824" s="4"/>
      <c r="BC2824" s="4"/>
      <c r="BD2824" s="4"/>
      <c r="BE2824" s="4"/>
      <c r="BF2824" s="4"/>
      <c r="BG2824" s="4"/>
      <c r="BH2824" s="4"/>
      <c r="BI2824" s="4"/>
      <c r="BJ2824" s="4"/>
      <c r="BK2824" s="4"/>
      <c r="BL2824" s="4"/>
      <c r="BM2824" s="4"/>
      <c r="BN2824" s="4"/>
      <c r="BO2824" s="4"/>
      <c r="BP2824" s="4"/>
      <c r="BQ2824" s="4"/>
      <c r="BR2824" s="4"/>
      <c r="BS2824" s="4"/>
      <c r="BT2824" s="4"/>
      <c r="BU2824" s="4"/>
      <c r="BV2824" s="4"/>
      <c r="BW2824" s="4"/>
      <c r="BX2824" s="4"/>
      <c r="BY2824" s="4"/>
      <c r="BZ2824" s="4"/>
      <c r="CA2824" s="4"/>
      <c r="CB2824" s="4"/>
      <c r="CC2824" s="4"/>
      <c r="CD2824" s="4"/>
      <c r="CE2824" s="4"/>
      <c r="CF2824" s="4"/>
      <c r="CG2824" s="4"/>
      <c r="CH2824" s="4"/>
      <c r="CI2824" s="4"/>
      <c r="CJ2824" s="4"/>
      <c r="CK2824" s="4"/>
      <c r="CL2824" s="4"/>
      <c r="CM2824" s="4"/>
      <c r="CN2824" s="4"/>
      <c r="CO2824" s="4"/>
      <c r="CP2824" s="4"/>
      <c r="CQ2824" s="4"/>
      <c r="CR2824" s="4"/>
      <c r="CS2824" s="4"/>
      <c r="CT2824" s="4"/>
      <c r="CU2824" s="4"/>
      <c r="CV2824" s="4"/>
      <c r="CW2824" s="4"/>
      <c r="CX2824" s="4"/>
      <c r="CY2824" s="4"/>
      <c r="CZ2824" s="4"/>
      <c r="DA2824" s="4"/>
      <c r="DB2824" s="4"/>
      <c r="DC2824" s="4"/>
      <c r="DD2824" s="4"/>
      <c r="DE2824" s="4"/>
      <c r="DF2824" s="4"/>
      <c r="DG2824" s="4"/>
      <c r="DH2824" s="4"/>
      <c r="DI2824" s="4"/>
      <c r="DJ2824" s="4"/>
      <c r="DK2824" s="4"/>
      <c r="DL2824" s="4"/>
      <c r="DM2824" s="4"/>
      <c r="DN2824" s="4"/>
      <c r="DO2824" s="4"/>
      <c r="DP2824" s="4"/>
      <c r="DQ2824" s="4"/>
      <c r="DR2824" s="4"/>
      <c r="DS2824" s="4"/>
    </row>
    <row r="2825">
      <c r="A2825" s="4"/>
      <c r="B2825" s="4"/>
      <c r="C2825" s="4"/>
      <c r="D2825" s="4"/>
      <c r="E2825" s="4"/>
      <c r="F2825" s="4" t="s">
        <v>17</v>
      </c>
      <c r="G2825" s="15"/>
      <c r="H2825" s="4"/>
      <c r="I2825" s="4"/>
      <c r="J2825" s="4"/>
      <c r="K2825" s="4"/>
      <c r="L2825" s="4"/>
      <c r="M2825" s="4"/>
      <c r="N2825" s="4"/>
      <c r="O2825" s="4"/>
      <c r="P2825" s="4"/>
      <c r="Q2825" s="4"/>
      <c r="R2825" s="4"/>
      <c r="S2825" s="4"/>
      <c r="T2825" s="4"/>
      <c r="U2825" s="4"/>
      <c r="V2825" s="4"/>
      <c r="W2825" s="4"/>
      <c r="X2825" s="4"/>
      <c r="Y2825" s="4"/>
      <c r="Z2825" s="4"/>
      <c r="AA2825" s="4"/>
      <c r="AB2825" s="4"/>
      <c r="AC2825" s="4"/>
      <c r="AD2825" s="4"/>
      <c r="AE2825" s="4"/>
      <c r="AF2825" s="4"/>
      <c r="AG2825" s="4"/>
      <c r="AH2825" s="4"/>
      <c r="AI2825" s="4"/>
      <c r="AJ2825" s="4"/>
      <c r="AK2825" s="4"/>
      <c r="AL2825" s="4"/>
      <c r="AM2825" s="4"/>
      <c r="AN2825" s="4"/>
      <c r="AO2825" s="4"/>
      <c r="AP2825" s="4"/>
      <c r="AQ2825" s="4"/>
      <c r="AR2825" s="4"/>
      <c r="AS2825" s="4"/>
      <c r="AT2825" s="4"/>
      <c r="AU2825" s="4"/>
      <c r="AV2825" s="4"/>
      <c r="AW2825" s="4"/>
      <c r="AX2825" s="4"/>
      <c r="AY2825" s="4"/>
      <c r="AZ2825" s="4"/>
      <c r="BA2825" s="4"/>
      <c r="BB2825" s="4"/>
      <c r="BC2825" s="4"/>
      <c r="BD2825" s="4"/>
      <c r="BE2825" s="4"/>
      <c r="BF2825" s="4"/>
      <c r="BG2825" s="4"/>
      <c r="BH2825" s="4"/>
      <c r="BI2825" s="4"/>
      <c r="BJ2825" s="4"/>
      <c r="BK2825" s="4"/>
      <c r="BL2825" s="4"/>
      <c r="BM2825" s="4"/>
      <c r="BN2825" s="4"/>
      <c r="BO2825" s="4"/>
      <c r="BP2825" s="4"/>
      <c r="BQ2825" s="4"/>
      <c r="BR2825" s="4"/>
      <c r="BS2825" s="4"/>
      <c r="BT2825" s="4"/>
      <c r="BU2825" s="4"/>
      <c r="BV2825" s="4"/>
      <c r="BW2825" s="4"/>
      <c r="BX2825" s="4"/>
      <c r="BY2825" s="4"/>
      <c r="BZ2825" s="4"/>
      <c r="CA2825" s="4"/>
      <c r="CB2825" s="4"/>
      <c r="CC2825" s="4"/>
      <c r="CD2825" s="4"/>
      <c r="CE2825" s="4"/>
      <c r="CF2825" s="4"/>
      <c r="CG2825" s="4"/>
      <c r="CH2825" s="4"/>
      <c r="CI2825" s="4"/>
      <c r="CJ2825" s="4"/>
      <c r="CK2825" s="4"/>
      <c r="CL2825" s="4"/>
      <c r="CM2825" s="4"/>
      <c r="CN2825" s="4"/>
      <c r="CO2825" s="4"/>
      <c r="CP2825" s="4"/>
      <c r="CQ2825" s="4"/>
      <c r="CR2825" s="4"/>
      <c r="CS2825" s="4"/>
      <c r="CT2825" s="4"/>
      <c r="CU2825" s="4"/>
      <c r="CV2825" s="4"/>
      <c r="CW2825" s="4"/>
      <c r="CX2825" s="4"/>
      <c r="CY2825" s="4"/>
      <c r="CZ2825" s="4"/>
      <c r="DA2825" s="4"/>
      <c r="DB2825" s="4"/>
      <c r="DC2825" s="4"/>
      <c r="DD2825" s="4"/>
      <c r="DE2825" s="4"/>
      <c r="DF2825" s="4"/>
      <c r="DG2825" s="4"/>
      <c r="DH2825" s="4"/>
      <c r="DI2825" s="4"/>
      <c r="DJ2825" s="4"/>
      <c r="DK2825" s="4"/>
      <c r="DL2825" s="4"/>
      <c r="DM2825" s="4"/>
      <c r="DN2825" s="4"/>
      <c r="DO2825" s="4"/>
      <c r="DP2825" s="4"/>
      <c r="DQ2825" s="4"/>
      <c r="DR2825" s="4"/>
      <c r="DS2825" s="4"/>
    </row>
    <row r="2826">
      <c r="A2826" s="4"/>
      <c r="B2826" s="4"/>
      <c r="C2826" s="4"/>
      <c r="D2826" s="4"/>
      <c r="E2826" s="4"/>
      <c r="F2826" s="4" t="s">
        <v>17</v>
      </c>
      <c r="G2826" s="15"/>
      <c r="H2826" s="4"/>
      <c r="I2826" s="4"/>
      <c r="J2826" s="4"/>
      <c r="K2826" s="4"/>
      <c r="L2826" s="4"/>
      <c r="M2826" s="4"/>
      <c r="N2826" s="4"/>
      <c r="O2826" s="4"/>
      <c r="P2826" s="4"/>
      <c r="Q2826" s="4"/>
      <c r="R2826" s="4"/>
      <c r="S2826" s="4"/>
      <c r="T2826" s="4"/>
      <c r="U2826" s="4"/>
      <c r="V2826" s="4"/>
      <c r="W2826" s="4"/>
      <c r="X2826" s="4"/>
      <c r="Y2826" s="4"/>
      <c r="Z2826" s="4"/>
      <c r="AA2826" s="4"/>
      <c r="AB2826" s="4"/>
      <c r="AC2826" s="4"/>
      <c r="AD2826" s="4"/>
      <c r="AE2826" s="4"/>
      <c r="AF2826" s="4"/>
      <c r="AG2826" s="4"/>
      <c r="AH2826" s="4"/>
      <c r="AI2826" s="4"/>
      <c r="AJ2826" s="4"/>
      <c r="AK2826" s="4"/>
      <c r="AL2826" s="4"/>
      <c r="AM2826" s="4"/>
      <c r="AN2826" s="4"/>
      <c r="AO2826" s="4"/>
      <c r="AP2826" s="4"/>
      <c r="AQ2826" s="4"/>
      <c r="AR2826" s="4"/>
      <c r="AS2826" s="4"/>
      <c r="AT2826" s="4"/>
      <c r="AU2826" s="4"/>
      <c r="AV2826" s="4"/>
      <c r="AW2826" s="4"/>
      <c r="AX2826" s="4"/>
      <c r="AY2826" s="4"/>
      <c r="AZ2826" s="4"/>
      <c r="BA2826" s="4"/>
      <c r="BB2826" s="4"/>
      <c r="BC2826" s="4"/>
      <c r="BD2826" s="4"/>
      <c r="BE2826" s="4"/>
      <c r="BF2826" s="4"/>
      <c r="BG2826" s="4"/>
      <c r="BH2826" s="4"/>
      <c r="BI2826" s="4"/>
      <c r="BJ2826" s="4"/>
      <c r="BK2826" s="4"/>
      <c r="BL2826" s="4"/>
      <c r="BM2826" s="4"/>
      <c r="BN2826" s="4"/>
      <c r="BO2826" s="4"/>
      <c r="BP2826" s="4"/>
      <c r="BQ2826" s="4"/>
      <c r="BR2826" s="4"/>
      <c r="BS2826" s="4"/>
      <c r="BT2826" s="4"/>
      <c r="BU2826" s="4"/>
      <c r="BV2826" s="4"/>
      <c r="BW2826" s="4"/>
      <c r="BX2826" s="4"/>
      <c r="BY2826" s="4"/>
      <c r="BZ2826" s="4"/>
      <c r="CA2826" s="4"/>
      <c r="CB2826" s="4"/>
      <c r="CC2826" s="4"/>
      <c r="CD2826" s="4"/>
      <c r="CE2826" s="4"/>
      <c r="CF2826" s="4"/>
      <c r="CG2826" s="4"/>
      <c r="CH2826" s="4"/>
      <c r="CI2826" s="4"/>
      <c r="CJ2826" s="4"/>
      <c r="CK2826" s="4"/>
      <c r="CL2826" s="4"/>
      <c r="CM2826" s="4"/>
      <c r="CN2826" s="4"/>
      <c r="CO2826" s="4"/>
      <c r="CP2826" s="4"/>
      <c r="CQ2826" s="4"/>
      <c r="CR2826" s="4"/>
      <c r="CS2826" s="4"/>
      <c r="CT2826" s="4"/>
      <c r="CU2826" s="4"/>
      <c r="CV2826" s="4"/>
      <c r="CW2826" s="4"/>
      <c r="CX2826" s="4"/>
      <c r="CY2826" s="4"/>
      <c r="CZ2826" s="4"/>
      <c r="DA2826" s="4"/>
      <c r="DB2826" s="4"/>
      <c r="DC2826" s="4"/>
      <c r="DD2826" s="4"/>
      <c r="DE2826" s="4"/>
      <c r="DF2826" s="4"/>
      <c r="DG2826" s="4"/>
      <c r="DH2826" s="4"/>
      <c r="DI2826" s="4"/>
      <c r="DJ2826" s="4"/>
      <c r="DK2826" s="4"/>
      <c r="DL2826" s="4"/>
      <c r="DM2826" s="4"/>
      <c r="DN2826" s="4"/>
      <c r="DO2826" s="4"/>
      <c r="DP2826" s="4"/>
      <c r="DQ2826" s="4"/>
      <c r="DR2826" s="4"/>
      <c r="DS2826" s="4"/>
    </row>
    <row r="2827">
      <c r="A2827" s="4"/>
      <c r="B2827" s="4"/>
      <c r="C2827" s="4"/>
      <c r="D2827" s="4"/>
      <c r="E2827" s="4"/>
      <c r="F2827" s="4" t="s">
        <v>17</v>
      </c>
      <c r="G2827" s="15"/>
      <c r="H2827" s="4"/>
      <c r="I2827" s="4"/>
      <c r="J2827" s="4"/>
      <c r="K2827" s="4"/>
      <c r="L2827" s="4"/>
      <c r="M2827" s="4"/>
      <c r="N2827" s="4"/>
      <c r="O2827" s="4"/>
      <c r="P2827" s="4"/>
      <c r="Q2827" s="4"/>
      <c r="R2827" s="4"/>
      <c r="S2827" s="4"/>
      <c r="T2827" s="4"/>
      <c r="U2827" s="4"/>
      <c r="V2827" s="4"/>
      <c r="W2827" s="4"/>
      <c r="X2827" s="4"/>
      <c r="Y2827" s="4"/>
      <c r="Z2827" s="4"/>
      <c r="AA2827" s="4"/>
      <c r="AB2827" s="4"/>
      <c r="AC2827" s="4"/>
      <c r="AD2827" s="4"/>
      <c r="AE2827" s="4"/>
      <c r="AF2827" s="4"/>
      <c r="AG2827" s="4"/>
      <c r="AH2827" s="4"/>
      <c r="AI2827" s="4"/>
      <c r="AJ2827" s="4"/>
      <c r="AK2827" s="4"/>
      <c r="AL2827" s="4"/>
      <c r="AM2827" s="4"/>
      <c r="AN2827" s="4"/>
      <c r="AO2827" s="4"/>
      <c r="AP2827" s="4"/>
      <c r="AQ2827" s="4"/>
      <c r="AR2827" s="4"/>
      <c r="AS2827" s="4"/>
      <c r="AT2827" s="4"/>
      <c r="AU2827" s="4"/>
      <c r="AV2827" s="4"/>
      <c r="AW2827" s="4"/>
      <c r="AX2827" s="4"/>
      <c r="AY2827" s="4"/>
      <c r="AZ2827" s="4"/>
      <c r="BA2827" s="4"/>
      <c r="BB2827" s="4"/>
      <c r="BC2827" s="4"/>
      <c r="BD2827" s="4"/>
      <c r="BE2827" s="4"/>
      <c r="BF2827" s="4"/>
      <c r="BG2827" s="4"/>
      <c r="BH2827" s="4"/>
      <c r="BI2827" s="4"/>
      <c r="BJ2827" s="4"/>
      <c r="BK2827" s="4"/>
      <c r="BL2827" s="4"/>
      <c r="BM2827" s="4"/>
      <c r="BN2827" s="4"/>
      <c r="BO2827" s="4"/>
      <c r="BP2827" s="4"/>
      <c r="BQ2827" s="4"/>
      <c r="BR2827" s="4"/>
      <c r="BS2827" s="4"/>
      <c r="BT2827" s="4"/>
      <c r="BU2827" s="4"/>
      <c r="BV2827" s="4"/>
      <c r="BW2827" s="4"/>
      <c r="BX2827" s="4"/>
      <c r="BY2827" s="4"/>
      <c r="BZ2827" s="4"/>
      <c r="CA2827" s="4"/>
      <c r="CB2827" s="4"/>
      <c r="CC2827" s="4"/>
      <c r="CD2827" s="4"/>
      <c r="CE2827" s="4"/>
      <c r="CF2827" s="4"/>
      <c r="CG2827" s="4"/>
      <c r="CH2827" s="4"/>
      <c r="CI2827" s="4"/>
      <c r="CJ2827" s="4"/>
      <c r="CK2827" s="4"/>
      <c r="CL2827" s="4"/>
      <c r="CM2827" s="4"/>
      <c r="CN2827" s="4"/>
      <c r="CO2827" s="4"/>
      <c r="CP2827" s="4"/>
      <c r="CQ2827" s="4"/>
      <c r="CR2827" s="4"/>
      <c r="CS2827" s="4"/>
      <c r="CT2827" s="4"/>
      <c r="CU2827" s="4"/>
      <c r="CV2827" s="4"/>
      <c r="CW2827" s="4"/>
      <c r="CX2827" s="4"/>
      <c r="CY2827" s="4"/>
      <c r="CZ2827" s="4"/>
      <c r="DA2827" s="4"/>
      <c r="DB2827" s="4"/>
      <c r="DC2827" s="4"/>
      <c r="DD2827" s="4"/>
      <c r="DE2827" s="4"/>
      <c r="DF2827" s="4"/>
      <c r="DG2827" s="4"/>
      <c r="DH2827" s="4"/>
      <c r="DI2827" s="4"/>
      <c r="DJ2827" s="4"/>
      <c r="DK2827" s="4"/>
      <c r="DL2827" s="4"/>
      <c r="DM2827" s="4"/>
      <c r="DN2827" s="4"/>
      <c r="DO2827" s="4"/>
      <c r="DP2827" s="4"/>
      <c r="DQ2827" s="4"/>
      <c r="DR2827" s="4"/>
      <c r="DS2827" s="4"/>
    </row>
    <row r="2828">
      <c r="A2828" s="4"/>
      <c r="B2828" s="4"/>
      <c r="C2828" s="4"/>
      <c r="D2828" s="4"/>
      <c r="E2828" s="4"/>
      <c r="F2828" s="4" t="s">
        <v>17</v>
      </c>
      <c r="G2828" s="15"/>
      <c r="H2828" s="4"/>
      <c r="I2828" s="4"/>
      <c r="J2828" s="4"/>
      <c r="K2828" s="4"/>
      <c r="L2828" s="4"/>
      <c r="M2828" s="4"/>
      <c r="N2828" s="4"/>
      <c r="O2828" s="4"/>
      <c r="P2828" s="4"/>
      <c r="Q2828" s="4"/>
      <c r="R2828" s="4"/>
      <c r="S2828" s="4"/>
      <c r="T2828" s="4"/>
      <c r="U2828" s="4"/>
      <c r="V2828" s="4"/>
      <c r="W2828" s="4"/>
      <c r="X2828" s="4"/>
      <c r="Y2828" s="4"/>
      <c r="Z2828" s="4"/>
      <c r="AA2828" s="4"/>
      <c r="AB2828" s="4"/>
      <c r="AC2828" s="4"/>
      <c r="AD2828" s="4"/>
      <c r="AE2828" s="4"/>
      <c r="AF2828" s="4"/>
      <c r="AG2828" s="4"/>
      <c r="AH2828" s="4"/>
      <c r="AI2828" s="4"/>
      <c r="AJ2828" s="4"/>
      <c r="AK2828" s="4"/>
      <c r="AL2828" s="4"/>
      <c r="AM2828" s="4"/>
      <c r="AN2828" s="4"/>
      <c r="AO2828" s="4"/>
      <c r="AP2828" s="4"/>
      <c r="AQ2828" s="4"/>
      <c r="AR2828" s="4"/>
      <c r="AS2828" s="4"/>
      <c r="AT2828" s="4"/>
      <c r="AU2828" s="4"/>
      <c r="AV2828" s="4"/>
      <c r="AW2828" s="4"/>
      <c r="AX2828" s="4"/>
      <c r="AY2828" s="4"/>
      <c r="AZ2828" s="4"/>
      <c r="BA2828" s="4"/>
      <c r="BB2828" s="4"/>
      <c r="BC2828" s="4"/>
      <c r="BD2828" s="4"/>
      <c r="BE2828" s="4"/>
      <c r="BF2828" s="4"/>
      <c r="BG2828" s="4"/>
      <c r="BH2828" s="4"/>
      <c r="BI2828" s="4"/>
      <c r="BJ2828" s="4"/>
      <c r="BK2828" s="4"/>
      <c r="BL2828" s="4"/>
      <c r="BM2828" s="4"/>
      <c r="BN2828" s="4"/>
      <c r="BO2828" s="4"/>
      <c r="BP2828" s="4"/>
      <c r="BQ2828" s="4"/>
      <c r="BR2828" s="4"/>
      <c r="BS2828" s="4"/>
      <c r="BT2828" s="4"/>
      <c r="BU2828" s="4"/>
      <c r="BV2828" s="4"/>
      <c r="BW2828" s="4"/>
      <c r="BX2828" s="4"/>
      <c r="BY2828" s="4"/>
      <c r="BZ2828" s="4"/>
      <c r="CA2828" s="4"/>
      <c r="CB2828" s="4"/>
      <c r="CC2828" s="4"/>
      <c r="CD2828" s="4"/>
      <c r="CE2828" s="4"/>
      <c r="CF2828" s="4"/>
      <c r="CG2828" s="4"/>
      <c r="CH2828" s="4"/>
      <c r="CI2828" s="4"/>
      <c r="CJ2828" s="4"/>
      <c r="CK2828" s="4"/>
      <c r="CL2828" s="4"/>
      <c r="CM2828" s="4"/>
      <c r="CN2828" s="4"/>
      <c r="CO2828" s="4"/>
      <c r="CP2828" s="4"/>
      <c r="CQ2828" s="4"/>
      <c r="CR2828" s="4"/>
      <c r="CS2828" s="4"/>
      <c r="CT2828" s="4"/>
      <c r="CU2828" s="4"/>
      <c r="CV2828" s="4"/>
      <c r="CW2828" s="4"/>
      <c r="CX2828" s="4"/>
      <c r="CY2828" s="4"/>
      <c r="CZ2828" s="4"/>
      <c r="DA2828" s="4"/>
      <c r="DB2828" s="4"/>
      <c r="DC2828" s="4"/>
      <c r="DD2828" s="4"/>
      <c r="DE2828" s="4"/>
      <c r="DF2828" s="4"/>
      <c r="DG2828" s="4"/>
      <c r="DH2828" s="4"/>
      <c r="DI2828" s="4"/>
      <c r="DJ2828" s="4"/>
      <c r="DK2828" s="4"/>
      <c r="DL2828" s="4"/>
      <c r="DM2828" s="4"/>
      <c r="DN2828" s="4"/>
      <c r="DO2828" s="4"/>
      <c r="DP2828" s="4"/>
      <c r="DQ2828" s="4"/>
      <c r="DR2828" s="4"/>
      <c r="DS2828" s="4"/>
    </row>
    <row r="2829">
      <c r="A2829" s="4"/>
      <c r="B2829" s="4"/>
      <c r="C2829" s="4"/>
      <c r="D2829" s="4"/>
      <c r="E2829" s="4"/>
      <c r="F2829" s="4" t="s">
        <v>17</v>
      </c>
      <c r="G2829" s="15"/>
      <c r="H2829" s="4"/>
      <c r="I2829" s="4"/>
      <c r="J2829" s="4"/>
      <c r="K2829" s="4"/>
      <c r="L2829" s="4"/>
      <c r="M2829" s="4"/>
      <c r="N2829" s="4"/>
      <c r="O2829" s="4"/>
      <c r="P2829" s="4"/>
      <c r="Q2829" s="4"/>
      <c r="R2829" s="4"/>
      <c r="S2829" s="4"/>
      <c r="T2829" s="4"/>
      <c r="U2829" s="4"/>
      <c r="V2829" s="4"/>
      <c r="W2829" s="4"/>
      <c r="X2829" s="4"/>
      <c r="Y2829" s="4"/>
      <c r="Z2829" s="4"/>
      <c r="AA2829" s="4"/>
      <c r="AB2829" s="4"/>
      <c r="AC2829" s="4"/>
      <c r="AD2829" s="4"/>
      <c r="AE2829" s="4"/>
      <c r="AF2829" s="4"/>
      <c r="AG2829" s="4"/>
      <c r="AH2829" s="4"/>
      <c r="AI2829" s="4"/>
      <c r="AJ2829" s="4"/>
      <c r="AK2829" s="4"/>
      <c r="AL2829" s="4"/>
      <c r="AM2829" s="4"/>
      <c r="AN2829" s="4"/>
      <c r="AO2829" s="4"/>
      <c r="AP2829" s="4"/>
      <c r="AQ2829" s="4"/>
      <c r="AR2829" s="4"/>
      <c r="AS2829" s="4"/>
      <c r="AT2829" s="4"/>
      <c r="AU2829" s="4"/>
      <c r="AV2829" s="4"/>
      <c r="AW2829" s="4"/>
      <c r="AX2829" s="4"/>
      <c r="AY2829" s="4"/>
      <c r="AZ2829" s="4"/>
      <c r="BA2829" s="4"/>
      <c r="BB2829" s="4"/>
      <c r="BC2829" s="4"/>
      <c r="BD2829" s="4"/>
      <c r="BE2829" s="4"/>
      <c r="BF2829" s="4"/>
      <c r="BG2829" s="4"/>
      <c r="BH2829" s="4"/>
      <c r="BI2829" s="4"/>
      <c r="BJ2829" s="4"/>
      <c r="BK2829" s="4"/>
      <c r="BL2829" s="4"/>
      <c r="BM2829" s="4"/>
      <c r="BN2829" s="4"/>
      <c r="BO2829" s="4"/>
      <c r="BP2829" s="4"/>
      <c r="BQ2829" s="4"/>
      <c r="BR2829" s="4"/>
      <c r="BS2829" s="4"/>
      <c r="BT2829" s="4"/>
      <c r="BU2829" s="4"/>
      <c r="BV2829" s="4"/>
      <c r="BW2829" s="4"/>
      <c r="BX2829" s="4"/>
      <c r="BY2829" s="4"/>
      <c r="BZ2829" s="4"/>
      <c r="CA2829" s="4"/>
      <c r="CB2829" s="4"/>
      <c r="CC2829" s="4"/>
      <c r="CD2829" s="4"/>
      <c r="CE2829" s="4"/>
      <c r="CF2829" s="4"/>
      <c r="CG2829" s="4"/>
      <c r="CH2829" s="4"/>
      <c r="CI2829" s="4"/>
      <c r="CJ2829" s="4"/>
      <c r="CK2829" s="4"/>
      <c r="CL2829" s="4"/>
      <c r="CM2829" s="4"/>
      <c r="CN2829" s="4"/>
      <c r="CO2829" s="4"/>
      <c r="CP2829" s="4"/>
      <c r="CQ2829" s="4"/>
      <c r="CR2829" s="4"/>
      <c r="CS2829" s="4"/>
      <c r="CT2829" s="4"/>
      <c r="CU2829" s="4"/>
      <c r="CV2829" s="4"/>
      <c r="CW2829" s="4"/>
      <c r="CX2829" s="4"/>
      <c r="CY2829" s="4"/>
      <c r="CZ2829" s="4"/>
      <c r="DA2829" s="4"/>
      <c r="DB2829" s="4"/>
      <c r="DC2829" s="4"/>
      <c r="DD2829" s="4"/>
      <c r="DE2829" s="4"/>
      <c r="DF2829" s="4"/>
      <c r="DG2829" s="4"/>
      <c r="DH2829" s="4"/>
      <c r="DI2829" s="4"/>
      <c r="DJ2829" s="4"/>
      <c r="DK2829" s="4"/>
      <c r="DL2829" s="4"/>
      <c r="DM2829" s="4"/>
      <c r="DN2829" s="4"/>
      <c r="DO2829" s="4"/>
      <c r="DP2829" s="4"/>
      <c r="DQ2829" s="4"/>
      <c r="DR2829" s="4"/>
      <c r="DS2829" s="4"/>
    </row>
    <row r="2830">
      <c r="A2830" s="4"/>
      <c r="B2830" s="4"/>
      <c r="C2830" s="4"/>
      <c r="D2830" s="4"/>
      <c r="E2830" s="4"/>
      <c r="F2830" s="4" t="s">
        <v>17</v>
      </c>
      <c r="G2830" s="15"/>
      <c r="H2830" s="4"/>
      <c r="I2830" s="4"/>
      <c r="J2830" s="4"/>
      <c r="K2830" s="4"/>
      <c r="L2830" s="4"/>
      <c r="M2830" s="4"/>
      <c r="N2830" s="4"/>
      <c r="O2830" s="4"/>
      <c r="P2830" s="4"/>
      <c r="Q2830" s="4"/>
      <c r="R2830" s="4"/>
      <c r="S2830" s="4"/>
      <c r="T2830" s="4"/>
      <c r="U2830" s="4"/>
      <c r="V2830" s="4"/>
      <c r="W2830" s="4"/>
      <c r="X2830" s="4"/>
      <c r="Y2830" s="4"/>
      <c r="Z2830" s="4"/>
      <c r="AA2830" s="4"/>
      <c r="AB2830" s="4"/>
      <c r="AC2830" s="4"/>
      <c r="AD2830" s="4"/>
      <c r="AE2830" s="4"/>
      <c r="AF2830" s="4"/>
      <c r="AG2830" s="4"/>
      <c r="AH2830" s="4"/>
      <c r="AI2830" s="4"/>
      <c r="AJ2830" s="4"/>
      <c r="AK2830" s="4"/>
      <c r="AL2830" s="4"/>
      <c r="AM2830" s="4"/>
      <c r="AN2830" s="4"/>
      <c r="AO2830" s="4"/>
      <c r="AP2830" s="4"/>
      <c r="AQ2830" s="4"/>
      <c r="AR2830" s="4"/>
      <c r="AS2830" s="4"/>
      <c r="AT2830" s="4"/>
      <c r="AU2830" s="4"/>
      <c r="AV2830" s="4"/>
      <c r="AW2830" s="4"/>
      <c r="AX2830" s="4"/>
      <c r="AY2830" s="4"/>
      <c r="AZ2830" s="4"/>
      <c r="BA2830" s="4"/>
      <c r="BB2830" s="4"/>
      <c r="BC2830" s="4"/>
      <c r="BD2830" s="4"/>
      <c r="BE2830" s="4"/>
      <c r="BF2830" s="4"/>
      <c r="BG2830" s="4"/>
      <c r="BH2830" s="4"/>
      <c r="BI2830" s="4"/>
      <c r="BJ2830" s="4"/>
      <c r="BK2830" s="4"/>
      <c r="BL2830" s="4"/>
      <c r="BM2830" s="4"/>
      <c r="BN2830" s="4"/>
      <c r="BO2830" s="4"/>
      <c r="BP2830" s="4"/>
      <c r="BQ2830" s="4"/>
      <c r="BR2830" s="4"/>
      <c r="BS2830" s="4"/>
      <c r="BT2830" s="4"/>
      <c r="BU2830" s="4"/>
      <c r="BV2830" s="4"/>
      <c r="BW2830" s="4"/>
      <c r="BX2830" s="4"/>
      <c r="BY2830" s="4"/>
      <c r="BZ2830" s="4"/>
      <c r="CA2830" s="4"/>
      <c r="CB2830" s="4"/>
      <c r="CC2830" s="4"/>
      <c r="CD2830" s="4"/>
      <c r="CE2830" s="4"/>
      <c r="CF2830" s="4"/>
      <c r="CG2830" s="4"/>
      <c r="CH2830" s="4"/>
      <c r="CI2830" s="4"/>
      <c r="CJ2830" s="4"/>
      <c r="CK2830" s="4"/>
      <c r="CL2830" s="4"/>
      <c r="CM2830" s="4"/>
      <c r="CN2830" s="4"/>
      <c r="CO2830" s="4"/>
      <c r="CP2830" s="4"/>
      <c r="CQ2830" s="4"/>
      <c r="CR2830" s="4"/>
      <c r="CS2830" s="4"/>
      <c r="CT2830" s="4"/>
      <c r="CU2830" s="4"/>
      <c r="CV2830" s="4"/>
      <c r="CW2830" s="4"/>
      <c r="CX2830" s="4"/>
      <c r="CY2830" s="4"/>
      <c r="CZ2830" s="4"/>
      <c r="DA2830" s="4"/>
      <c r="DB2830" s="4"/>
      <c r="DC2830" s="4"/>
      <c r="DD2830" s="4"/>
      <c r="DE2830" s="4"/>
      <c r="DF2830" s="4"/>
      <c r="DG2830" s="4"/>
      <c r="DH2830" s="4"/>
      <c r="DI2830" s="4"/>
      <c r="DJ2830" s="4"/>
      <c r="DK2830" s="4"/>
      <c r="DL2830" s="4"/>
      <c r="DM2830" s="4"/>
      <c r="DN2830" s="4"/>
      <c r="DO2830" s="4"/>
      <c r="DP2830" s="4"/>
      <c r="DQ2830" s="4"/>
      <c r="DR2830" s="4"/>
      <c r="DS2830" s="4"/>
    </row>
    <row r="2831">
      <c r="A2831" s="4"/>
      <c r="B2831" s="4"/>
      <c r="C2831" s="4"/>
      <c r="D2831" s="4"/>
      <c r="E2831" s="4"/>
      <c r="F2831" s="4" t="s">
        <v>17</v>
      </c>
      <c r="G2831" s="15"/>
      <c r="H2831" s="4"/>
      <c r="I2831" s="4"/>
      <c r="J2831" s="4"/>
      <c r="K2831" s="4"/>
      <c r="L2831" s="4"/>
      <c r="M2831" s="4"/>
      <c r="N2831" s="4"/>
      <c r="O2831" s="4"/>
      <c r="P2831" s="4"/>
      <c r="Q2831" s="4"/>
      <c r="R2831" s="4"/>
      <c r="S2831" s="4"/>
      <c r="T2831" s="4"/>
      <c r="U2831" s="4"/>
      <c r="V2831" s="4"/>
      <c r="W2831" s="4"/>
      <c r="X2831" s="4"/>
      <c r="Y2831" s="4"/>
      <c r="Z2831" s="4"/>
      <c r="AA2831" s="4"/>
      <c r="AB2831" s="4"/>
      <c r="AC2831" s="4"/>
      <c r="AD2831" s="4"/>
      <c r="AE2831" s="4"/>
      <c r="AF2831" s="4"/>
      <c r="AG2831" s="4"/>
      <c r="AH2831" s="4"/>
      <c r="AI2831" s="4"/>
      <c r="AJ2831" s="4"/>
      <c r="AK2831" s="4"/>
      <c r="AL2831" s="4"/>
      <c r="AM2831" s="4"/>
      <c r="AN2831" s="4"/>
      <c r="AO2831" s="4"/>
      <c r="AP2831" s="4"/>
      <c r="AQ2831" s="4"/>
      <c r="AR2831" s="4"/>
      <c r="AS2831" s="4"/>
      <c r="AT2831" s="4"/>
      <c r="AU2831" s="4"/>
      <c r="AV2831" s="4"/>
      <c r="AW2831" s="4"/>
      <c r="AX2831" s="4"/>
      <c r="AY2831" s="4"/>
      <c r="AZ2831" s="4"/>
      <c r="BA2831" s="4"/>
      <c r="BB2831" s="4"/>
      <c r="BC2831" s="4"/>
      <c r="BD2831" s="4"/>
      <c r="BE2831" s="4"/>
      <c r="BF2831" s="4"/>
      <c r="BG2831" s="4"/>
      <c r="BH2831" s="4"/>
      <c r="BI2831" s="4"/>
      <c r="BJ2831" s="4"/>
      <c r="BK2831" s="4"/>
      <c r="BL2831" s="4"/>
      <c r="BM2831" s="4"/>
      <c r="BN2831" s="4"/>
      <c r="BO2831" s="4"/>
      <c r="BP2831" s="4"/>
      <c r="BQ2831" s="4"/>
      <c r="BR2831" s="4"/>
      <c r="BS2831" s="4"/>
      <c r="BT2831" s="4"/>
      <c r="BU2831" s="4"/>
      <c r="BV2831" s="4"/>
      <c r="BW2831" s="4"/>
      <c r="BX2831" s="4"/>
      <c r="BY2831" s="4"/>
      <c r="BZ2831" s="4"/>
      <c r="CA2831" s="4"/>
      <c r="CB2831" s="4"/>
      <c r="CC2831" s="4"/>
      <c r="CD2831" s="4"/>
      <c r="CE2831" s="4"/>
      <c r="CF2831" s="4"/>
      <c r="CG2831" s="4"/>
      <c r="CH2831" s="4"/>
      <c r="CI2831" s="4"/>
      <c r="CJ2831" s="4"/>
      <c r="CK2831" s="4"/>
      <c r="CL2831" s="4"/>
      <c r="CM2831" s="4"/>
      <c r="CN2831" s="4"/>
      <c r="CO2831" s="4"/>
      <c r="CP2831" s="4"/>
      <c r="CQ2831" s="4"/>
      <c r="CR2831" s="4"/>
      <c r="CS2831" s="4"/>
      <c r="CT2831" s="4"/>
      <c r="CU2831" s="4"/>
      <c r="CV2831" s="4"/>
      <c r="CW2831" s="4"/>
      <c r="CX2831" s="4"/>
      <c r="CY2831" s="4"/>
      <c r="CZ2831" s="4"/>
      <c r="DA2831" s="4"/>
      <c r="DB2831" s="4"/>
      <c r="DC2831" s="4"/>
      <c r="DD2831" s="4"/>
      <c r="DE2831" s="4"/>
      <c r="DF2831" s="4"/>
      <c r="DG2831" s="4"/>
      <c r="DH2831" s="4"/>
      <c r="DI2831" s="4"/>
      <c r="DJ2831" s="4"/>
      <c r="DK2831" s="4"/>
      <c r="DL2831" s="4"/>
      <c r="DM2831" s="4"/>
      <c r="DN2831" s="4"/>
      <c r="DO2831" s="4"/>
      <c r="DP2831" s="4"/>
      <c r="DQ2831" s="4"/>
      <c r="DR2831" s="4"/>
      <c r="DS2831" s="4"/>
    </row>
    <row r="2832">
      <c r="A2832" s="4"/>
      <c r="B2832" s="4"/>
      <c r="C2832" s="4"/>
      <c r="D2832" s="4"/>
      <c r="E2832" s="4"/>
      <c r="F2832" s="4" t="s">
        <v>17</v>
      </c>
      <c r="G2832" s="15"/>
      <c r="H2832" s="4"/>
      <c r="I2832" s="4"/>
      <c r="J2832" s="4"/>
      <c r="K2832" s="4"/>
      <c r="L2832" s="4"/>
      <c r="M2832" s="4"/>
      <c r="N2832" s="4"/>
      <c r="O2832" s="4"/>
      <c r="P2832" s="4"/>
      <c r="Q2832" s="4"/>
      <c r="R2832" s="4"/>
      <c r="S2832" s="4"/>
      <c r="T2832" s="4"/>
      <c r="U2832" s="4"/>
      <c r="V2832" s="4"/>
      <c r="W2832" s="4"/>
      <c r="X2832" s="4"/>
      <c r="Y2832" s="4"/>
      <c r="Z2832" s="4"/>
      <c r="AA2832" s="4"/>
      <c r="AB2832" s="4"/>
      <c r="AC2832" s="4"/>
      <c r="AD2832" s="4"/>
      <c r="AE2832" s="4"/>
      <c r="AF2832" s="4"/>
      <c r="AG2832" s="4"/>
      <c r="AH2832" s="4"/>
      <c r="AI2832" s="4"/>
      <c r="AJ2832" s="4"/>
      <c r="AK2832" s="4"/>
      <c r="AL2832" s="4"/>
      <c r="AM2832" s="4"/>
      <c r="AN2832" s="4"/>
      <c r="AO2832" s="4"/>
      <c r="AP2832" s="4"/>
      <c r="AQ2832" s="4"/>
      <c r="AR2832" s="4"/>
      <c r="AS2832" s="4"/>
      <c r="AT2832" s="4"/>
      <c r="AU2832" s="4"/>
      <c r="AV2832" s="4"/>
      <c r="AW2832" s="4"/>
      <c r="AX2832" s="4"/>
      <c r="AY2832" s="4"/>
      <c r="AZ2832" s="4"/>
      <c r="BA2832" s="4"/>
      <c r="BB2832" s="4"/>
      <c r="BC2832" s="4"/>
      <c r="BD2832" s="4"/>
      <c r="BE2832" s="4"/>
      <c r="BF2832" s="4"/>
      <c r="BG2832" s="4"/>
      <c r="BH2832" s="4"/>
      <c r="BI2832" s="4"/>
      <c r="BJ2832" s="4"/>
      <c r="BK2832" s="4"/>
      <c r="BL2832" s="4"/>
      <c r="BM2832" s="4"/>
      <c r="BN2832" s="4"/>
      <c r="BO2832" s="4"/>
      <c r="BP2832" s="4"/>
      <c r="BQ2832" s="4"/>
      <c r="BR2832" s="4"/>
      <c r="BS2832" s="4"/>
      <c r="BT2832" s="4"/>
      <c r="BU2832" s="4"/>
      <c r="BV2832" s="4"/>
      <c r="BW2832" s="4"/>
      <c r="BX2832" s="4"/>
      <c r="BY2832" s="4"/>
      <c r="BZ2832" s="4"/>
      <c r="CA2832" s="4"/>
      <c r="CB2832" s="4"/>
      <c r="CC2832" s="4"/>
      <c r="CD2832" s="4"/>
      <c r="CE2832" s="4"/>
      <c r="CF2832" s="4"/>
      <c r="CG2832" s="4"/>
      <c r="CH2832" s="4"/>
      <c r="CI2832" s="4"/>
      <c r="CJ2832" s="4"/>
      <c r="CK2832" s="4"/>
      <c r="CL2832" s="4"/>
      <c r="CM2832" s="4"/>
      <c r="CN2832" s="4"/>
      <c r="CO2832" s="4"/>
      <c r="CP2832" s="4"/>
      <c r="CQ2832" s="4"/>
      <c r="CR2832" s="4"/>
      <c r="CS2832" s="4"/>
      <c r="CT2832" s="4"/>
      <c r="CU2832" s="4"/>
      <c r="CV2832" s="4"/>
      <c r="CW2832" s="4"/>
      <c r="CX2832" s="4"/>
      <c r="CY2832" s="4"/>
      <c r="CZ2832" s="4"/>
      <c r="DA2832" s="4"/>
      <c r="DB2832" s="4"/>
      <c r="DC2832" s="4"/>
      <c r="DD2832" s="4"/>
      <c r="DE2832" s="4"/>
      <c r="DF2832" s="4"/>
      <c r="DG2832" s="4"/>
      <c r="DH2832" s="4"/>
      <c r="DI2832" s="4"/>
      <c r="DJ2832" s="4"/>
      <c r="DK2832" s="4"/>
      <c r="DL2832" s="4"/>
      <c r="DM2832" s="4"/>
      <c r="DN2832" s="4"/>
      <c r="DO2832" s="4"/>
      <c r="DP2832" s="4"/>
      <c r="DQ2832" s="4"/>
      <c r="DR2832" s="4"/>
      <c r="DS2832" s="4"/>
    </row>
    <row r="2833">
      <c r="A2833" s="4"/>
      <c r="B2833" s="4"/>
      <c r="C2833" s="4"/>
      <c r="D2833" s="4"/>
      <c r="E2833" s="4"/>
      <c r="F2833" s="4" t="s">
        <v>17</v>
      </c>
      <c r="G2833" s="15"/>
      <c r="H2833" s="4"/>
      <c r="I2833" s="4"/>
      <c r="J2833" s="4"/>
      <c r="K2833" s="4"/>
      <c r="L2833" s="4"/>
      <c r="M2833" s="4"/>
      <c r="N2833" s="4"/>
      <c r="O2833" s="4"/>
      <c r="P2833" s="4"/>
      <c r="Q2833" s="4"/>
      <c r="R2833" s="4"/>
      <c r="S2833" s="4"/>
      <c r="T2833" s="4"/>
      <c r="U2833" s="4"/>
      <c r="V2833" s="4"/>
      <c r="W2833" s="4"/>
      <c r="X2833" s="4"/>
      <c r="Y2833" s="4"/>
      <c r="Z2833" s="4"/>
      <c r="AA2833" s="4"/>
      <c r="AB2833" s="4"/>
      <c r="AC2833" s="4"/>
      <c r="AD2833" s="4"/>
      <c r="AE2833" s="4"/>
      <c r="AF2833" s="4"/>
      <c r="AG2833" s="4"/>
      <c r="AH2833" s="4"/>
      <c r="AI2833" s="4"/>
      <c r="AJ2833" s="4"/>
      <c r="AK2833" s="4"/>
      <c r="AL2833" s="4"/>
      <c r="AM2833" s="4"/>
      <c r="AN2833" s="4"/>
      <c r="AO2833" s="4"/>
      <c r="AP2833" s="4"/>
      <c r="AQ2833" s="4"/>
      <c r="AR2833" s="4"/>
      <c r="AS2833" s="4"/>
      <c r="AT2833" s="4"/>
      <c r="AU2833" s="4"/>
      <c r="AV2833" s="4"/>
      <c r="AW2833" s="4"/>
      <c r="AX2833" s="4"/>
      <c r="AY2833" s="4"/>
      <c r="AZ2833" s="4"/>
      <c r="BA2833" s="4"/>
      <c r="BB2833" s="4"/>
      <c r="BC2833" s="4"/>
      <c r="BD2833" s="4"/>
      <c r="BE2833" s="4"/>
      <c r="BF2833" s="4"/>
      <c r="BG2833" s="4"/>
      <c r="BH2833" s="4"/>
      <c r="BI2833" s="4"/>
      <c r="BJ2833" s="4"/>
      <c r="BK2833" s="4"/>
      <c r="BL2833" s="4"/>
      <c r="BM2833" s="4"/>
      <c r="BN2833" s="4"/>
      <c r="BO2833" s="4"/>
      <c r="BP2833" s="4"/>
      <c r="BQ2833" s="4"/>
      <c r="BR2833" s="4"/>
      <c r="BS2833" s="4"/>
      <c r="BT2833" s="4"/>
      <c r="BU2833" s="4"/>
      <c r="BV2833" s="4"/>
      <c r="BW2833" s="4"/>
      <c r="BX2833" s="4"/>
      <c r="BY2833" s="4"/>
      <c r="BZ2833" s="4"/>
      <c r="CA2833" s="4"/>
      <c r="CB2833" s="4"/>
      <c r="CC2833" s="4"/>
      <c r="CD2833" s="4"/>
      <c r="CE2833" s="4"/>
      <c r="CF2833" s="4"/>
      <c r="CG2833" s="4"/>
      <c r="CH2833" s="4"/>
      <c r="CI2833" s="4"/>
      <c r="CJ2833" s="4"/>
      <c r="CK2833" s="4"/>
      <c r="CL2833" s="4"/>
      <c r="CM2833" s="4"/>
      <c r="CN2833" s="4"/>
      <c r="CO2833" s="4"/>
      <c r="CP2833" s="4"/>
      <c r="CQ2833" s="4"/>
      <c r="CR2833" s="4"/>
      <c r="CS2833" s="4"/>
      <c r="CT2833" s="4"/>
      <c r="CU2833" s="4"/>
      <c r="CV2833" s="4"/>
      <c r="CW2833" s="4"/>
      <c r="CX2833" s="4"/>
      <c r="CY2833" s="4"/>
      <c r="CZ2833" s="4"/>
      <c r="DA2833" s="4"/>
      <c r="DB2833" s="4"/>
      <c r="DC2833" s="4"/>
      <c r="DD2833" s="4"/>
      <c r="DE2833" s="4"/>
      <c r="DF2833" s="4"/>
      <c r="DG2833" s="4"/>
      <c r="DH2833" s="4"/>
      <c r="DI2833" s="4"/>
      <c r="DJ2833" s="4"/>
      <c r="DK2833" s="4"/>
      <c r="DL2833" s="4"/>
      <c r="DM2833" s="4"/>
      <c r="DN2833" s="4"/>
      <c r="DO2833" s="4"/>
      <c r="DP2833" s="4"/>
      <c r="DQ2833" s="4"/>
      <c r="DR2833" s="4"/>
      <c r="DS2833" s="4"/>
    </row>
    <row r="2834">
      <c r="A2834" s="4"/>
      <c r="B2834" s="4"/>
      <c r="C2834" s="4"/>
      <c r="D2834" s="4"/>
      <c r="E2834" s="4"/>
      <c r="F2834" s="4" t="s">
        <v>17</v>
      </c>
      <c r="G2834" s="15"/>
      <c r="H2834" s="4"/>
      <c r="I2834" s="4"/>
      <c r="J2834" s="4"/>
      <c r="K2834" s="4"/>
      <c r="L2834" s="4"/>
      <c r="M2834" s="4"/>
      <c r="N2834" s="4"/>
      <c r="O2834" s="4"/>
      <c r="P2834" s="4"/>
      <c r="Q2834" s="4"/>
      <c r="R2834" s="4"/>
      <c r="S2834" s="4"/>
      <c r="T2834" s="4"/>
      <c r="U2834" s="4"/>
      <c r="V2834" s="4"/>
      <c r="W2834" s="4"/>
      <c r="X2834" s="4"/>
      <c r="Y2834" s="4"/>
      <c r="Z2834" s="4"/>
      <c r="AA2834" s="4"/>
      <c r="AB2834" s="4"/>
      <c r="AC2834" s="4"/>
      <c r="AD2834" s="4"/>
      <c r="AE2834" s="4"/>
      <c r="AF2834" s="4"/>
      <c r="AG2834" s="4"/>
      <c r="AH2834" s="4"/>
      <c r="AI2834" s="4"/>
      <c r="AJ2834" s="4"/>
      <c r="AK2834" s="4"/>
      <c r="AL2834" s="4"/>
      <c r="AM2834" s="4"/>
      <c r="AN2834" s="4"/>
      <c r="AO2834" s="4"/>
      <c r="AP2834" s="4"/>
      <c r="AQ2834" s="4"/>
      <c r="AR2834" s="4"/>
      <c r="AS2834" s="4"/>
      <c r="AT2834" s="4"/>
      <c r="AU2834" s="4"/>
      <c r="AV2834" s="4"/>
      <c r="AW2834" s="4"/>
      <c r="AX2834" s="4"/>
      <c r="AY2834" s="4"/>
      <c r="AZ2834" s="4"/>
      <c r="BA2834" s="4"/>
      <c r="BB2834" s="4"/>
      <c r="BC2834" s="4"/>
      <c r="BD2834" s="4"/>
      <c r="BE2834" s="4"/>
      <c r="BF2834" s="4"/>
      <c r="BG2834" s="4"/>
      <c r="BH2834" s="4"/>
      <c r="BI2834" s="4"/>
      <c r="BJ2834" s="4"/>
      <c r="BK2834" s="4"/>
      <c r="BL2834" s="4"/>
      <c r="BM2834" s="4"/>
      <c r="BN2834" s="4"/>
      <c r="BO2834" s="4"/>
      <c r="BP2834" s="4"/>
      <c r="BQ2834" s="4"/>
      <c r="BR2834" s="4"/>
      <c r="BS2834" s="4"/>
      <c r="BT2834" s="4"/>
      <c r="BU2834" s="4"/>
      <c r="BV2834" s="4"/>
      <c r="BW2834" s="4"/>
      <c r="BX2834" s="4"/>
      <c r="BY2834" s="4"/>
      <c r="BZ2834" s="4"/>
      <c r="CA2834" s="4"/>
      <c r="CB2834" s="4"/>
      <c r="CC2834" s="4"/>
      <c r="CD2834" s="4"/>
      <c r="CE2834" s="4"/>
      <c r="CF2834" s="4"/>
      <c r="CG2834" s="4"/>
      <c r="CH2834" s="4"/>
      <c r="CI2834" s="4"/>
      <c r="CJ2834" s="4"/>
      <c r="CK2834" s="4"/>
      <c r="CL2834" s="4"/>
      <c r="CM2834" s="4"/>
      <c r="CN2834" s="4"/>
      <c r="CO2834" s="4"/>
      <c r="CP2834" s="4"/>
      <c r="CQ2834" s="4"/>
      <c r="CR2834" s="4"/>
      <c r="CS2834" s="4"/>
      <c r="CT2834" s="4"/>
      <c r="CU2834" s="4"/>
      <c r="CV2834" s="4"/>
      <c r="CW2834" s="4"/>
      <c r="CX2834" s="4"/>
      <c r="CY2834" s="4"/>
      <c r="CZ2834" s="4"/>
      <c r="DA2834" s="4"/>
      <c r="DB2834" s="4"/>
      <c r="DC2834" s="4"/>
      <c r="DD2834" s="4"/>
      <c r="DE2834" s="4"/>
      <c r="DF2834" s="4"/>
      <c r="DG2834" s="4"/>
      <c r="DH2834" s="4"/>
      <c r="DI2834" s="4"/>
      <c r="DJ2834" s="4"/>
      <c r="DK2834" s="4"/>
      <c r="DL2834" s="4"/>
      <c r="DM2834" s="4"/>
      <c r="DN2834" s="4"/>
      <c r="DO2834" s="4"/>
      <c r="DP2834" s="4"/>
      <c r="DQ2834" s="4"/>
      <c r="DR2834" s="4"/>
      <c r="DS2834" s="4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2" max="2" width="17.63"/>
    <col customWidth="1" min="3" max="3" width="20.75"/>
    <col customWidth="1" min="4" max="4" width="14.63"/>
    <col customWidth="1" min="5" max="5" width="20.5"/>
    <col customWidth="1" min="6" max="6" width="19.0"/>
    <col customWidth="1" min="7" max="7" width="16.38"/>
    <col customWidth="1" min="8" max="8" width="16.13"/>
    <col customWidth="1" min="9" max="9" width="12.63"/>
    <col customWidth="1" min="10" max="10" width="12.25"/>
    <col customWidth="1" min="11" max="11" width="13.13"/>
    <col customWidth="1" min="12" max="25" width="16.0"/>
  </cols>
  <sheetData>
    <row r="1">
      <c r="A1" s="16"/>
      <c r="B1" s="17"/>
      <c r="C1" s="18"/>
      <c r="D1" s="19"/>
      <c r="E1" s="20"/>
      <c r="F1" s="20"/>
      <c r="G1" s="20"/>
      <c r="H1" s="21"/>
      <c r="I1" s="22"/>
      <c r="K1" s="23"/>
      <c r="L1" s="24"/>
      <c r="M1" s="25"/>
    </row>
    <row r="2">
      <c r="A2" s="26" t="s">
        <v>18</v>
      </c>
      <c r="K2" s="27" t="s">
        <v>19</v>
      </c>
    </row>
    <row r="3">
      <c r="A3" s="16"/>
      <c r="B3" s="17"/>
      <c r="C3" s="18"/>
      <c r="D3" s="19"/>
      <c r="E3" s="20"/>
      <c r="F3" s="20"/>
      <c r="G3" s="20"/>
      <c r="H3" s="21"/>
      <c r="I3" s="22"/>
      <c r="K3" s="23"/>
      <c r="L3" s="24"/>
      <c r="M3" s="25"/>
    </row>
    <row r="4">
      <c r="A4" s="28" t="str">
        <f>IFERROR(__xludf.DUMMYFUNCTION("QUERY(master!A2:G1023, ""SELECT G, SUM(C) WHERE G &lt;&gt; '' AND C &gt; 0 GROUP BY G ORDER BY G LABEL G 'period', SUM(C) 'total_expenses'"", 0)"),"period")</f>
        <v>period</v>
      </c>
      <c r="B4" s="29" t="str">
        <f>IFERROR(__xludf.DUMMYFUNCTION("""COMPUTED_VALUE"""),"total_expenses")</f>
        <v>total_expenses</v>
      </c>
      <c r="C4" s="30" t="s">
        <v>20</v>
      </c>
      <c r="D4" s="30" t="s">
        <v>21</v>
      </c>
      <c r="E4" s="31" t="s">
        <v>22</v>
      </c>
      <c r="F4" s="31" t="s">
        <v>23</v>
      </c>
      <c r="G4" s="31" t="s">
        <v>24</v>
      </c>
      <c r="H4" s="32" t="s">
        <v>25</v>
      </c>
      <c r="I4" s="33" t="s">
        <v>26</v>
      </c>
      <c r="K4" s="34" t="s">
        <v>27</v>
      </c>
      <c r="L4" s="35" t="s">
        <v>28</v>
      </c>
      <c r="M4" s="36" t="s">
        <v>29</v>
      </c>
    </row>
    <row r="5">
      <c r="A5" s="37" t="str">
        <f>IFERROR(__xludf.DUMMYFUNCTION("""COMPUTED_VALUE"""),"202405")</f>
        <v>202405</v>
      </c>
      <c r="B5" s="38">
        <f>IFERROR(__xludf.DUMMYFUNCTION("""COMPUTED_VALUE"""),1043753.5)</f>
        <v>1043753.5</v>
      </c>
      <c r="C5" s="39"/>
      <c r="D5" s="38">
        <f>IFERROR(__xludf.DUMMYFUNCTION("ARRAYFORMULA(IF(QUERY(ipc_indec_raw!A:H, ""SELECT F WHERE B = 'NIVEL GENERAL' AND H = 'GBA' AND D &gt;= '202405' AND D &lt;= '202511' ORDER BY D"", 0)="""", """", VALUE(SUBSTITUTE(QUERY(ipc_indec_raw!A:H, ""SELECT F WHERE B = 'NIVEL GENERAL' AND H = 'GBA' AND D"&amp;" &gt;= '202405' AND D &lt;= '202511' ORDER BY D"", 0), ""."", "",""))))"),4.3)</f>
        <v>4.3</v>
      </c>
      <c r="E5" s="38">
        <f>100</f>
        <v>100</v>
      </c>
      <c r="F5" s="38">
        <f>IFERROR(__xludf.DUMMYFUNCTION("ARRAYFORMULA(
  LET(
    datos, QUERY(ipc_indec_raw!A:H, ""SELECT E WHERE B = 'NIVEL GENERAL' AND H = 'GBA' AND D &gt;= '202405' AND D &lt;= '202511' ORDER BY D"", 0),
    IF(datos = """", """", VALUE(SUBSTITUTE(datos, ""."", "","")))
  )
)"),6034.383)</f>
        <v>6034.383</v>
      </c>
      <c r="G5" s="38">
        <f t="shared" ref="G5:G23" si="1">F5/$F$5*100</f>
        <v>100</v>
      </c>
      <c r="H5" s="40">
        <f>100</f>
        <v>100</v>
      </c>
      <c r="I5" s="41" t="str">
        <f t="array" ref="I5:I23">CHOOSE(VALUE(RIGHT(A5:A23,2)),"Jan","Feb","Mar","Apr","May","Jun","Jul","Aug","Sep","Oct","Nov","Dec")&amp;" "&amp;LEFT(A5:A23,4)</f>
        <v>May 2024</v>
      </c>
      <c r="K5" s="42">
        <f>(E23-E5)/E5*100</f>
        <v>58.79956331</v>
      </c>
      <c r="L5" s="43">
        <f>(G23-G5)/G5*100</f>
        <v>63.07956754</v>
      </c>
      <c r="M5" s="44">
        <f>  L5 - K5</f>
        <v>4.280004231</v>
      </c>
    </row>
    <row r="6">
      <c r="A6" s="37" t="str">
        <f>IFERROR(__xludf.DUMMYFUNCTION("""COMPUTED_VALUE"""),"202406")</f>
        <v>202406</v>
      </c>
      <c r="B6" s="38">
        <f>IFERROR(__xludf.DUMMYFUNCTION("""COMPUTED_VALUE"""),975101.5)</f>
        <v>975101.5</v>
      </c>
      <c r="C6" s="38">
        <f t="shared" ref="C6:C23" si="2">(B6-B5)/B5*100</f>
        <v>-6.57741507</v>
      </c>
      <c r="D6" s="38">
        <f>IFERROR(__xludf.DUMMYFUNCTION("""COMPUTED_VALUE"""),4.4)</f>
        <v>4.4</v>
      </c>
      <c r="E6" s="38">
        <f t="shared" ref="E6:E23" si="3">(B6/B5)*E5</f>
        <v>93.42258493</v>
      </c>
      <c r="F6" s="38">
        <f>IFERROR(__xludf.DUMMYFUNCTION("""COMPUTED_VALUE"""),6297.096)</f>
        <v>6297.096</v>
      </c>
      <c r="G6" s="38">
        <f t="shared" si="1"/>
        <v>104.3536017</v>
      </c>
      <c r="H6" s="40">
        <f t="array" ref="H6:H24">IF(A5:A23="", "", 100)</f>
        <v>100</v>
      </c>
      <c r="I6" s="41" t="s">
        <v>30</v>
      </c>
    </row>
    <row r="7">
      <c r="A7" s="37" t="str">
        <f>IFERROR(__xludf.DUMMYFUNCTION("""COMPUTED_VALUE"""),"202407")</f>
        <v>202407</v>
      </c>
      <c r="B7" s="38">
        <f>IFERROR(__xludf.DUMMYFUNCTION("""COMPUTED_VALUE"""),853881.25)</f>
        <v>853881.25</v>
      </c>
      <c r="C7" s="38">
        <f t="shared" si="2"/>
        <v>-12.431552</v>
      </c>
      <c r="D7" s="38">
        <f>IFERROR(__xludf.DUMMYFUNCTION("""COMPUTED_VALUE"""),4.0)</f>
        <v>4</v>
      </c>
      <c r="E7" s="38">
        <f t="shared" si="3"/>
        <v>81.80870771</v>
      </c>
      <c r="F7" s="38">
        <f>IFERROR(__xludf.DUMMYFUNCTION("""COMPUTED_VALUE"""),6551.322)</f>
        <v>6551.322</v>
      </c>
      <c r="G7" s="38">
        <f t="shared" si="1"/>
        <v>108.5665593</v>
      </c>
      <c r="H7" s="40">
        <v>100.0</v>
      </c>
      <c r="I7" s="41" t="s">
        <v>31</v>
      </c>
    </row>
    <row r="8">
      <c r="A8" s="37" t="str">
        <f>IFERROR(__xludf.DUMMYFUNCTION("""COMPUTED_VALUE"""),"202408")</f>
        <v>202408</v>
      </c>
      <c r="B8" s="38">
        <f>IFERROR(__xludf.DUMMYFUNCTION("""COMPUTED_VALUE"""),853881.25)</f>
        <v>853881.25</v>
      </c>
      <c r="C8" s="38">
        <f t="shared" si="2"/>
        <v>0</v>
      </c>
      <c r="D8" s="38">
        <f>IFERROR(__xludf.DUMMYFUNCTION("""COMPUTED_VALUE"""),4.1)</f>
        <v>4.1</v>
      </c>
      <c r="E8" s="38">
        <f t="shared" si="3"/>
        <v>81.80870771</v>
      </c>
      <c r="F8" s="38">
        <f>IFERROR(__xludf.DUMMYFUNCTION("""COMPUTED_VALUE"""),6822.401)</f>
        <v>6822.401</v>
      </c>
      <c r="G8" s="38">
        <f t="shared" si="1"/>
        <v>113.0587999</v>
      </c>
      <c r="H8" s="40">
        <v>100.0</v>
      </c>
      <c r="I8" s="41" t="s">
        <v>32</v>
      </c>
    </row>
    <row r="9">
      <c r="A9" s="37" t="str">
        <f>IFERROR(__xludf.DUMMYFUNCTION("""COMPUTED_VALUE"""),"202409")</f>
        <v>202409</v>
      </c>
      <c r="B9" s="38">
        <f>IFERROR(__xludf.DUMMYFUNCTION("""COMPUTED_VALUE"""),902573.66)</f>
        <v>902573.66</v>
      </c>
      <c r="C9" s="38">
        <f t="shared" si="2"/>
        <v>5.702480292</v>
      </c>
      <c r="D9" s="38">
        <f>IFERROR(__xludf.DUMMYFUNCTION("""COMPUTED_VALUE"""),3.7)</f>
        <v>3.7</v>
      </c>
      <c r="E9" s="38">
        <f t="shared" si="3"/>
        <v>86.47383314</v>
      </c>
      <c r="F9" s="38">
        <f>IFERROR(__xludf.DUMMYFUNCTION("""COMPUTED_VALUE"""),7076.041)</f>
        <v>7076.041</v>
      </c>
      <c r="G9" s="38">
        <f t="shared" si="1"/>
        <v>117.2620465</v>
      </c>
      <c r="H9" s="40">
        <v>100.0</v>
      </c>
      <c r="I9" s="41" t="s">
        <v>33</v>
      </c>
    </row>
    <row r="10">
      <c r="A10" s="37" t="str">
        <f>IFERROR(__xludf.DUMMYFUNCTION("""COMPUTED_VALUE"""),"202410")</f>
        <v>202410</v>
      </c>
      <c r="B10" s="38">
        <f>IFERROR(__xludf.DUMMYFUNCTION("""COMPUTED_VALUE"""),1023770.0)</f>
        <v>1023770</v>
      </c>
      <c r="C10" s="38">
        <f t="shared" si="2"/>
        <v>13.42786139</v>
      </c>
      <c r="D10" s="38">
        <f>IFERROR(__xludf.DUMMYFUNCTION("""COMPUTED_VALUE"""),2.8)</f>
        <v>2.8</v>
      </c>
      <c r="E10" s="38">
        <f t="shared" si="3"/>
        <v>98.08541959</v>
      </c>
      <c r="F10" s="38">
        <f>IFERROR(__xludf.DUMMYFUNCTION("""COMPUTED_VALUE"""),7275.604)</f>
        <v>7275.604</v>
      </c>
      <c r="G10" s="38">
        <f t="shared" si="1"/>
        <v>120.5691452</v>
      </c>
      <c r="H10" s="40">
        <v>100.0</v>
      </c>
      <c r="I10" s="41" t="s">
        <v>34</v>
      </c>
    </row>
    <row r="11">
      <c r="A11" s="37" t="str">
        <f>IFERROR(__xludf.DUMMYFUNCTION("""COMPUTED_VALUE"""),"202411")</f>
        <v>202411</v>
      </c>
      <c r="B11" s="38">
        <f>IFERROR(__xludf.DUMMYFUNCTION("""COMPUTED_VALUE"""),1186731.85)</f>
        <v>1186731.85</v>
      </c>
      <c r="C11" s="38">
        <f t="shared" si="2"/>
        <v>15.91781846</v>
      </c>
      <c r="D11" s="38">
        <f>IFERROR(__xludf.DUMMYFUNCTION("""COMPUTED_VALUE"""),2.6)</f>
        <v>2.6</v>
      </c>
      <c r="E11" s="38">
        <f t="shared" si="3"/>
        <v>113.6984786</v>
      </c>
      <c r="F11" s="38">
        <f>IFERROR(__xludf.DUMMYFUNCTION("""COMPUTED_VALUE"""),7464.867)</f>
        <v>7464.867</v>
      </c>
      <c r="G11" s="38">
        <f t="shared" si="1"/>
        <v>123.7055553</v>
      </c>
      <c r="H11" s="40">
        <v>100.0</v>
      </c>
      <c r="I11" s="41" t="s">
        <v>35</v>
      </c>
    </row>
    <row r="12">
      <c r="A12" s="37" t="str">
        <f>IFERROR(__xludf.DUMMYFUNCTION("""COMPUTED_VALUE"""),"202412")</f>
        <v>202412</v>
      </c>
      <c r="B12" s="38">
        <f>IFERROR(__xludf.DUMMYFUNCTION("""COMPUTED_VALUE"""),1122819.6700000002)</f>
        <v>1122819.67</v>
      </c>
      <c r="C12" s="38">
        <f t="shared" si="2"/>
        <v>-5.385562037</v>
      </c>
      <c r="D12" s="38">
        <f>IFERROR(__xludf.DUMMYFUNCTION("""COMPUTED_VALUE"""),2.9)</f>
        <v>2.9</v>
      </c>
      <c r="E12" s="38">
        <f t="shared" si="3"/>
        <v>107.5751765</v>
      </c>
      <c r="F12" s="38">
        <f>IFERROR(__xludf.DUMMYFUNCTION("""COMPUTED_VALUE"""),7678.7745)</f>
        <v>7678.7745</v>
      </c>
      <c r="G12" s="38">
        <f t="shared" si="1"/>
        <v>127.2503668</v>
      </c>
      <c r="H12" s="40">
        <v>100.0</v>
      </c>
      <c r="I12" s="41" t="s">
        <v>36</v>
      </c>
    </row>
    <row r="13">
      <c r="A13" s="37" t="str">
        <f>IFERROR(__xludf.DUMMYFUNCTION("""COMPUTED_VALUE"""),"202501")</f>
        <v>202501</v>
      </c>
      <c r="B13" s="38">
        <f>IFERROR(__xludf.DUMMYFUNCTION("""COMPUTED_VALUE"""),1333818.5499999998)</f>
        <v>1333818.55</v>
      </c>
      <c r="C13" s="38">
        <f t="shared" si="2"/>
        <v>18.79187599</v>
      </c>
      <c r="D13" s="38">
        <f>IFERROR(__xludf.DUMMYFUNCTION("""COMPUTED_VALUE"""),2.0)</f>
        <v>2</v>
      </c>
      <c r="E13" s="38">
        <f t="shared" si="3"/>
        <v>127.7905703</v>
      </c>
      <c r="F13" s="38">
        <f>IFERROR(__xludf.DUMMYFUNCTION("""COMPUTED_VALUE"""),7834.1477)</f>
        <v>7834.1477</v>
      </c>
      <c r="G13" s="38">
        <f t="shared" si="1"/>
        <v>129.8251652</v>
      </c>
      <c r="H13" s="40">
        <v>100.0</v>
      </c>
      <c r="I13" s="41" t="s">
        <v>37</v>
      </c>
    </row>
    <row r="14">
      <c r="A14" s="37" t="str">
        <f>IFERROR(__xludf.DUMMYFUNCTION("""COMPUTED_VALUE"""),"202502")</f>
        <v>202502</v>
      </c>
      <c r="B14" s="38">
        <f>IFERROR(__xludf.DUMMYFUNCTION("""COMPUTED_VALUE"""),1265262.55)</f>
        <v>1265262.55</v>
      </c>
      <c r="C14" s="38">
        <f t="shared" si="2"/>
        <v>-5.139829552</v>
      </c>
      <c r="D14" s="38">
        <f>IFERROR(__xludf.DUMMYFUNCTION("""COMPUTED_VALUE"""),2.2)</f>
        <v>2.2</v>
      </c>
      <c r="E14" s="38">
        <f t="shared" si="3"/>
        <v>121.2223528</v>
      </c>
      <c r="F14" s="38">
        <f>IFERROR(__xludf.DUMMYFUNCTION("""COMPUTED_VALUE"""),8009.2272)</f>
        <v>8009.2272</v>
      </c>
      <c r="G14" s="38">
        <f t="shared" si="1"/>
        <v>132.7265306</v>
      </c>
      <c r="H14" s="40">
        <v>100.0</v>
      </c>
      <c r="I14" s="41" t="s">
        <v>38</v>
      </c>
    </row>
    <row r="15">
      <c r="A15" s="37" t="str">
        <f>IFERROR(__xludf.DUMMYFUNCTION("""COMPUTED_VALUE"""),"202503")</f>
        <v>202503</v>
      </c>
      <c r="B15" s="38">
        <f>IFERROR(__xludf.DUMMYFUNCTION("""COMPUTED_VALUE"""),1404469.22)</f>
        <v>1404469.22</v>
      </c>
      <c r="C15" s="38">
        <f t="shared" si="2"/>
        <v>11.00219634</v>
      </c>
      <c r="D15" s="38">
        <f>IFERROR(__xludf.DUMMYFUNCTION("""COMPUTED_VALUE"""),3.9)</f>
        <v>3.9</v>
      </c>
      <c r="E15" s="38">
        <f t="shared" si="3"/>
        <v>134.5594741</v>
      </c>
      <c r="F15" s="38">
        <f>IFERROR(__xludf.DUMMYFUNCTION("""COMPUTED_VALUE"""),8317.925)</f>
        <v>8317.925</v>
      </c>
      <c r="G15" s="38">
        <f t="shared" si="1"/>
        <v>137.8421787</v>
      </c>
      <c r="H15" s="40">
        <v>100.0</v>
      </c>
      <c r="I15" s="41" t="s">
        <v>39</v>
      </c>
    </row>
    <row r="16">
      <c r="A16" s="37" t="str">
        <f>IFERROR(__xludf.DUMMYFUNCTION("""COMPUTED_VALUE"""),"202504")</f>
        <v>202504</v>
      </c>
      <c r="B16" s="38">
        <f>IFERROR(__xludf.DUMMYFUNCTION("""COMPUTED_VALUE"""),1825623.7)</f>
        <v>1825623.7</v>
      </c>
      <c r="C16" s="38">
        <f t="shared" si="2"/>
        <v>29.9867362</v>
      </c>
      <c r="D16" s="38">
        <f>IFERROR(__xludf.DUMMYFUNCTION("""COMPUTED_VALUE"""),2.8)</f>
        <v>2.8</v>
      </c>
      <c r="E16" s="38">
        <f t="shared" si="3"/>
        <v>174.9094686</v>
      </c>
      <c r="F16" s="38">
        <f>IFERROR(__xludf.DUMMYFUNCTION("""COMPUTED_VALUE"""),8547.3129)</f>
        <v>8547.3129</v>
      </c>
      <c r="G16" s="38">
        <f t="shared" si="1"/>
        <v>141.6435268</v>
      </c>
      <c r="H16" s="40">
        <v>100.0</v>
      </c>
      <c r="I16" s="41" t="s">
        <v>40</v>
      </c>
    </row>
    <row r="17">
      <c r="A17" s="37" t="str">
        <f>IFERROR(__xludf.DUMMYFUNCTION("""COMPUTED_VALUE"""),"202505")</f>
        <v>202505</v>
      </c>
      <c r="B17" s="38">
        <f>IFERROR(__xludf.DUMMYFUNCTION("""COMPUTED_VALUE"""),1826913.7)</f>
        <v>1826913.7</v>
      </c>
      <c r="C17" s="38">
        <f t="shared" si="2"/>
        <v>0.07066078294</v>
      </c>
      <c r="D17" s="38">
        <f>IFERROR(__xludf.DUMMYFUNCTION("""COMPUTED_VALUE"""),1.5)</f>
        <v>1.5</v>
      </c>
      <c r="E17" s="38">
        <f t="shared" si="3"/>
        <v>175.033061</v>
      </c>
      <c r="F17" s="38">
        <f>IFERROR(__xludf.DUMMYFUNCTION("""COMPUTED_VALUE"""),8675.5948)</f>
        <v>8675.5948</v>
      </c>
      <c r="G17" s="38">
        <f t="shared" si="1"/>
        <v>143.7693763</v>
      </c>
      <c r="H17" s="40">
        <v>100.0</v>
      </c>
      <c r="I17" s="41" t="s">
        <v>41</v>
      </c>
    </row>
    <row r="18">
      <c r="A18" s="37" t="str">
        <f>IFERROR(__xludf.DUMMYFUNCTION("""COMPUTED_VALUE"""),"202506")</f>
        <v>202506</v>
      </c>
      <c r="B18" s="38">
        <f>IFERROR(__xludf.DUMMYFUNCTION("""COMPUTED_VALUE"""),1843282.7)</f>
        <v>1843282.7</v>
      </c>
      <c r="C18" s="38">
        <f t="shared" si="2"/>
        <v>0.8959919672</v>
      </c>
      <c r="D18" s="38">
        <f>IFERROR(__xludf.DUMMYFUNCTION("""COMPUTED_VALUE"""),2.0)</f>
        <v>2</v>
      </c>
      <c r="E18" s="38">
        <f t="shared" si="3"/>
        <v>176.6013431</v>
      </c>
      <c r="F18" s="38">
        <f>IFERROR(__xludf.DUMMYFUNCTION("""COMPUTED_VALUE"""),8851.2214)</f>
        <v>8851.2214</v>
      </c>
      <c r="G18" s="38">
        <f t="shared" si="1"/>
        <v>146.679808</v>
      </c>
      <c r="H18" s="40">
        <v>100.0</v>
      </c>
      <c r="I18" s="41" t="s">
        <v>42</v>
      </c>
    </row>
    <row r="19">
      <c r="A19" s="37" t="str">
        <f>IFERROR(__xludf.DUMMYFUNCTION("""COMPUTED_VALUE"""),"202507")</f>
        <v>202507</v>
      </c>
      <c r="B19" s="38">
        <f>IFERROR(__xludf.DUMMYFUNCTION("""COMPUTED_VALUE"""),1779460.0)</f>
        <v>1779460</v>
      </c>
      <c r="C19" s="38">
        <f t="shared" si="2"/>
        <v>-3.46244773</v>
      </c>
      <c r="D19" s="38">
        <f>IFERROR(__xludf.DUMMYFUNCTION("""COMPUTED_VALUE"""),1.9)</f>
        <v>1.9</v>
      </c>
      <c r="E19" s="38">
        <f t="shared" si="3"/>
        <v>170.4866139</v>
      </c>
      <c r="F19" s="38">
        <f>IFERROR(__xludf.DUMMYFUNCTION("""COMPUTED_VALUE"""),9016.5562)</f>
        <v>9016.5562</v>
      </c>
      <c r="G19" s="38">
        <f t="shared" si="1"/>
        <v>149.4196871</v>
      </c>
      <c r="H19" s="40">
        <v>100.0</v>
      </c>
      <c r="I19" s="41" t="s">
        <v>43</v>
      </c>
    </row>
    <row r="20">
      <c r="A20" s="37" t="str">
        <f>IFERROR(__xludf.DUMMYFUNCTION("""COMPUTED_VALUE"""),"202508")</f>
        <v>202508</v>
      </c>
      <c r="B20" s="38">
        <f>IFERROR(__xludf.DUMMYFUNCTION("""COMPUTED_VALUE"""),1779460.0)</f>
        <v>1779460</v>
      </c>
      <c r="C20" s="38">
        <f t="shared" si="2"/>
        <v>0</v>
      </c>
      <c r="D20" s="38">
        <f>IFERROR(__xludf.DUMMYFUNCTION("""COMPUTED_VALUE"""),1.9)</f>
        <v>1.9</v>
      </c>
      <c r="E20" s="38">
        <f t="shared" si="3"/>
        <v>170.4866139</v>
      </c>
      <c r="F20" s="38">
        <f>IFERROR(__xludf.DUMMYFUNCTION("""COMPUTED_VALUE"""),9185.3068)</f>
        <v>9185.3068</v>
      </c>
      <c r="G20" s="38">
        <f t="shared" si="1"/>
        <v>152.2161719</v>
      </c>
      <c r="H20" s="40">
        <v>100.0</v>
      </c>
      <c r="I20" s="41" t="s">
        <v>44</v>
      </c>
    </row>
    <row r="21">
      <c r="A21" s="37" t="str">
        <f>IFERROR(__xludf.DUMMYFUNCTION("""COMPUTED_VALUE"""),"202509")</f>
        <v>202509</v>
      </c>
      <c r="B21" s="38">
        <f>IFERROR(__xludf.DUMMYFUNCTION("""COMPUTED_VALUE"""),1348148.0)</f>
        <v>1348148</v>
      </c>
      <c r="C21" s="38">
        <f t="shared" si="2"/>
        <v>-24.23836445</v>
      </c>
      <c r="D21" s="38">
        <f>IFERROR(__xludf.DUMMYFUNCTION("""COMPUTED_VALUE"""),2.1)</f>
        <v>2.1</v>
      </c>
      <c r="E21" s="38">
        <f t="shared" si="3"/>
        <v>129.1634471</v>
      </c>
      <c r="F21" s="38">
        <f>IFERROR(__xludf.DUMMYFUNCTION("""COMPUTED_VALUE"""),9377.7681)</f>
        <v>9377.7681</v>
      </c>
      <c r="G21" s="38">
        <f t="shared" si="1"/>
        <v>155.4055833</v>
      </c>
      <c r="H21" s="40">
        <v>100.0</v>
      </c>
      <c r="I21" s="41" t="s">
        <v>45</v>
      </c>
    </row>
    <row r="22">
      <c r="A22" s="37" t="str">
        <f>IFERROR(__xludf.DUMMYFUNCTION("""COMPUTED_VALUE"""),"202510")</f>
        <v>202510</v>
      </c>
      <c r="B22" s="38">
        <f>IFERROR(__xludf.DUMMYFUNCTION("""COMPUTED_VALUE"""),841895.99)</f>
        <v>841895.99</v>
      </c>
      <c r="C22" s="38">
        <f t="shared" si="2"/>
        <v>-37.55166421</v>
      </c>
      <c r="D22" s="38">
        <f>IFERROR(__xludf.DUMMYFUNCTION("""COMPUTED_VALUE"""),2.4)</f>
        <v>2.4</v>
      </c>
      <c r="E22" s="38">
        <f t="shared" si="3"/>
        <v>80.66042317</v>
      </c>
      <c r="F22" s="38">
        <f>IFERROR(__xludf.DUMMYFUNCTION("""COMPUTED_VALUE"""),9602.5137)</f>
        <v>9602.5137</v>
      </c>
      <c r="G22" s="38">
        <f t="shared" si="1"/>
        <v>159.1300005</v>
      </c>
      <c r="H22" s="40">
        <v>100.0</v>
      </c>
      <c r="I22" s="41" t="s">
        <v>46</v>
      </c>
    </row>
    <row r="23">
      <c r="A23" s="45" t="str">
        <f>IFERROR(__xludf.DUMMYFUNCTION("""COMPUTED_VALUE"""),"202511")</f>
        <v>202511</v>
      </c>
      <c r="B23" s="46">
        <f>IFERROR(__xludf.DUMMYFUNCTION("""COMPUTED_VALUE"""),1657476.0)</f>
        <v>1657476</v>
      </c>
      <c r="C23" s="46">
        <f t="shared" si="2"/>
        <v>96.87420058</v>
      </c>
      <c r="D23" s="46">
        <f>IFERROR(__xludf.DUMMYFUNCTION("""COMPUTED_VALUE"""),2.5)</f>
        <v>2.5</v>
      </c>
      <c r="E23" s="46">
        <f t="shared" si="3"/>
        <v>158.7995633</v>
      </c>
      <c r="F23" s="46">
        <f>IFERROR(__xludf.DUMMYFUNCTION("""COMPUTED_VALUE"""),9840.8457)</f>
        <v>9840.8457</v>
      </c>
      <c r="G23" s="46">
        <f t="shared" si="1"/>
        <v>163.0795675</v>
      </c>
      <c r="H23" s="47">
        <v>100.0</v>
      </c>
      <c r="I23" s="48" t="s">
        <v>47</v>
      </c>
    </row>
    <row r="24" hidden="1">
      <c r="B24" s="49"/>
      <c r="C24" s="49"/>
      <c r="D24" s="49"/>
      <c r="E24" s="50"/>
      <c r="F24" s="50"/>
      <c r="G24" s="50"/>
      <c r="H24" s="51">
        <v>100.0</v>
      </c>
    </row>
    <row r="25">
      <c r="B25" s="49"/>
      <c r="C25" s="49"/>
      <c r="D25" s="49"/>
      <c r="E25" s="50"/>
      <c r="F25" s="52"/>
      <c r="G25" s="50"/>
    </row>
    <row r="26">
      <c r="A26" s="26" t="s">
        <v>48</v>
      </c>
    </row>
    <row r="27">
      <c r="A27" s="53"/>
      <c r="B27" s="49"/>
      <c r="C27" s="49"/>
      <c r="D27" s="49"/>
      <c r="E27" s="50"/>
      <c r="F27" s="50"/>
      <c r="G27" s="50"/>
    </row>
    <row r="28">
      <c r="M28" s="4"/>
      <c r="N28" s="4"/>
      <c r="O28" s="4"/>
      <c r="P28" s="4"/>
      <c r="Q28" s="4"/>
      <c r="R28" s="4"/>
      <c r="S28" s="4"/>
      <c r="T28" s="4"/>
      <c r="U28" s="4"/>
    </row>
    <row r="29">
      <c r="M29" s="62"/>
      <c r="N29" s="63"/>
      <c r="O29" s="63"/>
      <c r="P29" s="63"/>
      <c r="Q29" s="63"/>
      <c r="R29" s="63"/>
      <c r="S29" s="63"/>
      <c r="T29" s="63"/>
      <c r="U29" s="63"/>
    </row>
    <row r="30">
      <c r="M30" s="65"/>
      <c r="N30" s="65"/>
      <c r="O30" s="65"/>
      <c r="P30" s="65"/>
      <c r="Q30" s="65"/>
      <c r="R30" s="65"/>
      <c r="S30" s="65"/>
      <c r="T30" s="65"/>
      <c r="U30" s="65"/>
    </row>
    <row r="31">
      <c r="M31" s="67"/>
      <c r="N31" s="67"/>
      <c r="O31" s="67"/>
      <c r="P31" s="67"/>
      <c r="Q31" s="67"/>
      <c r="R31" s="67"/>
      <c r="S31" s="67"/>
      <c r="T31" s="67"/>
      <c r="U31" s="67"/>
    </row>
    <row r="32">
      <c r="M32" s="67"/>
      <c r="N32" s="67"/>
      <c r="O32" s="67"/>
      <c r="P32" s="67"/>
      <c r="Q32" s="67"/>
      <c r="R32" s="67"/>
      <c r="S32" s="67"/>
      <c r="T32" s="67"/>
      <c r="U32" s="67"/>
    </row>
    <row r="33">
      <c r="M33" s="67"/>
      <c r="N33" s="67"/>
      <c r="O33" s="67"/>
      <c r="P33" s="67"/>
      <c r="Q33" s="67"/>
      <c r="R33" s="67"/>
      <c r="S33" s="67"/>
      <c r="T33" s="67"/>
      <c r="U33" s="67"/>
    </row>
    <row r="34">
      <c r="M34" s="67"/>
      <c r="N34" s="67"/>
      <c r="O34" s="67"/>
      <c r="P34" s="67"/>
      <c r="Q34" s="67"/>
      <c r="R34" s="67"/>
      <c r="S34" s="67"/>
      <c r="T34" s="67"/>
      <c r="U34" s="67"/>
    </row>
    <row r="35">
      <c r="M35" s="67"/>
      <c r="N35" s="67"/>
      <c r="O35" s="67"/>
      <c r="P35" s="67"/>
      <c r="Q35" s="67"/>
      <c r="R35" s="67"/>
      <c r="S35" s="67"/>
      <c r="T35" s="67"/>
      <c r="U35" s="67"/>
    </row>
    <row r="36">
      <c r="M36" s="67"/>
      <c r="N36" s="67"/>
      <c r="O36" s="67"/>
      <c r="P36" s="67"/>
      <c r="Q36" s="67"/>
      <c r="R36" s="67"/>
      <c r="S36" s="67"/>
      <c r="T36" s="67"/>
      <c r="U36" s="67"/>
    </row>
    <row r="37">
      <c r="M37" s="67"/>
      <c r="N37" s="67"/>
      <c r="O37" s="67"/>
      <c r="P37" s="67"/>
      <c r="Q37" s="67"/>
      <c r="R37" s="67"/>
      <c r="S37" s="67"/>
      <c r="T37" s="67"/>
      <c r="U37" s="67"/>
    </row>
    <row r="38">
      <c r="M38" s="67"/>
      <c r="N38" s="67"/>
      <c r="O38" s="67"/>
      <c r="P38" s="67"/>
      <c r="Q38" s="67"/>
      <c r="R38" s="67"/>
      <c r="S38" s="67"/>
      <c r="T38" s="67"/>
      <c r="U38" s="67"/>
    </row>
    <row r="39">
      <c r="M39" s="67"/>
      <c r="N39" s="67"/>
      <c r="O39" s="67"/>
      <c r="P39" s="67"/>
      <c r="Q39" s="67"/>
      <c r="R39" s="67"/>
      <c r="S39" s="67"/>
      <c r="T39" s="67"/>
      <c r="U39" s="67"/>
    </row>
    <row r="40">
      <c r="M40" s="67"/>
      <c r="N40" s="67"/>
      <c r="O40" s="67"/>
      <c r="P40" s="67"/>
      <c r="Q40" s="67"/>
      <c r="R40" s="67"/>
      <c r="S40" s="67"/>
      <c r="T40" s="67"/>
      <c r="U40" s="67"/>
    </row>
    <row r="41">
      <c r="M41" s="67"/>
      <c r="N41" s="67"/>
      <c r="O41" s="67"/>
      <c r="P41" s="67"/>
      <c r="Q41" s="67"/>
      <c r="R41" s="67"/>
      <c r="S41" s="67"/>
      <c r="T41" s="67"/>
      <c r="U41" s="67"/>
    </row>
    <row r="42">
      <c r="M42" s="72"/>
      <c r="N42" s="72"/>
      <c r="O42" s="72"/>
      <c r="P42" s="72"/>
      <c r="Q42" s="72"/>
      <c r="R42" s="72"/>
      <c r="S42" s="72"/>
      <c r="T42" s="72"/>
      <c r="U42" s="72"/>
    </row>
    <row r="43">
      <c r="M43" s="72"/>
      <c r="N43" s="72"/>
      <c r="O43" s="72"/>
      <c r="P43" s="72"/>
      <c r="Q43" s="72"/>
      <c r="R43" s="72"/>
      <c r="S43" s="72"/>
      <c r="T43" s="72"/>
      <c r="U43" s="72"/>
    </row>
    <row r="44">
      <c r="M44" s="72"/>
      <c r="N44" s="72"/>
      <c r="O44" s="72"/>
      <c r="P44" s="72"/>
      <c r="Q44" s="72"/>
      <c r="R44" s="72"/>
      <c r="S44" s="72"/>
      <c r="T44" s="72"/>
      <c r="U44" s="72"/>
    </row>
    <row r="45">
      <c r="M45" s="72"/>
      <c r="N45" s="72"/>
      <c r="O45" s="72"/>
      <c r="P45" s="72"/>
      <c r="Q45" s="72"/>
      <c r="R45" s="72"/>
      <c r="S45" s="72"/>
      <c r="T45" s="72"/>
      <c r="U45" s="72"/>
    </row>
    <row r="46">
      <c r="M46" s="72"/>
      <c r="N46" s="72"/>
      <c r="O46" s="72"/>
      <c r="P46" s="72"/>
      <c r="Q46" s="72"/>
      <c r="R46" s="72"/>
      <c r="S46" s="72"/>
      <c r="T46" s="72"/>
      <c r="U46" s="72"/>
    </row>
    <row r="47">
      <c r="M47" s="72"/>
      <c r="N47" s="72"/>
      <c r="O47" s="72"/>
      <c r="P47" s="72"/>
      <c r="Q47" s="72"/>
      <c r="R47" s="72"/>
      <c r="S47" s="72"/>
      <c r="T47" s="72"/>
      <c r="U47" s="72"/>
    </row>
    <row r="48">
      <c r="M48" s="72"/>
      <c r="N48" s="72"/>
      <c r="O48" s="72"/>
      <c r="P48" s="72"/>
      <c r="Q48" s="72"/>
      <c r="R48" s="72"/>
      <c r="S48" s="72"/>
      <c r="T48" s="72"/>
      <c r="U48" s="72"/>
    </row>
    <row r="49">
      <c r="M49" s="72"/>
      <c r="N49" s="72"/>
      <c r="O49" s="72"/>
      <c r="P49" s="72"/>
      <c r="Q49" s="72"/>
      <c r="R49" s="72"/>
      <c r="S49" s="72"/>
      <c r="T49" s="72"/>
      <c r="U49" s="72"/>
    </row>
    <row r="50">
      <c r="B50" s="49"/>
      <c r="C50" s="49"/>
      <c r="D50" s="49"/>
      <c r="E50" s="50"/>
      <c r="F50" s="50"/>
      <c r="G50" s="50"/>
    </row>
    <row r="51">
      <c r="B51" s="49"/>
      <c r="C51" s="49"/>
      <c r="D51" s="49"/>
      <c r="E51" s="50"/>
      <c r="F51" s="50"/>
      <c r="G51" s="50"/>
    </row>
    <row r="52">
      <c r="A52" s="26" t="s">
        <v>70</v>
      </c>
    </row>
    <row r="53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</row>
    <row r="54">
      <c r="A54" s="75" t="s">
        <v>6</v>
      </c>
      <c r="B54" s="76" t="str">
        <f t="shared" ref="B54:K54" si="4">B29</f>
        <v>Clothing and footwear</v>
      </c>
      <c r="C54" s="77" t="str">
        <f t="shared" si="4"/>
        <v>Education</v>
      </c>
      <c r="D54" s="78" t="str">
        <f t="shared" si="4"/>
        <v>Food and non-alcoholic beverages</v>
      </c>
      <c r="E54" s="78" t="str">
        <f t="shared" si="4"/>
        <v>Furnishings and household equipment</v>
      </c>
      <c r="F54" s="78" t="str">
        <f t="shared" si="4"/>
        <v>Health</v>
      </c>
      <c r="G54" s="78" t="str">
        <f t="shared" si="4"/>
        <v>Housing, water, electricity, gas and other fuels</v>
      </c>
      <c r="H54" s="78" t="str">
        <f t="shared" si="4"/>
        <v>Miscellaneous goods and services</v>
      </c>
      <c r="I54" s="78" t="str">
        <f t="shared" si="4"/>
        <v>Recreation and culture</v>
      </c>
      <c r="J54" s="78" t="str">
        <f t="shared" si="4"/>
        <v>Restaurants and hotels</v>
      </c>
      <c r="K54" s="79" t="str">
        <f t="shared" si="4"/>
        <v>Transport</v>
      </c>
    </row>
    <row r="55">
      <c r="A55" s="80" t="str">
        <f t="shared" ref="A55:A73" si="6">A30</f>
        <v>202405</v>
      </c>
      <c r="B55" s="81">
        <f t="shared" ref="B55:K55" si="5">100</f>
        <v>100</v>
      </c>
      <c r="C55" s="81">
        <f t="shared" si="5"/>
        <v>100</v>
      </c>
      <c r="D55" s="81">
        <f t="shared" si="5"/>
        <v>100</v>
      </c>
      <c r="E55" s="81">
        <f t="shared" si="5"/>
        <v>100</v>
      </c>
      <c r="F55" s="81">
        <f t="shared" si="5"/>
        <v>100</v>
      </c>
      <c r="G55" s="81">
        <f t="shared" si="5"/>
        <v>100</v>
      </c>
      <c r="H55" s="81">
        <f t="shared" si="5"/>
        <v>100</v>
      </c>
      <c r="I55" s="81">
        <f t="shared" si="5"/>
        <v>100</v>
      </c>
      <c r="J55" s="81">
        <f t="shared" si="5"/>
        <v>100</v>
      </c>
      <c r="K55" s="82">
        <f t="shared" si="5"/>
        <v>100</v>
      </c>
    </row>
    <row r="56">
      <c r="A56" s="83" t="str">
        <f t="shared" si="6"/>
        <v>202406</v>
      </c>
      <c r="B56" s="84">
        <f t="shared" ref="B56:K56" si="7">LET(
  current, B31,
  previous, B30,
  previous_index, B55,
  IF(OR(N(current)=0,N(previous)=0),
    previous_index,
    (current/previous)*previous_index)
)</f>
        <v>60.81236378</v>
      </c>
      <c r="C56" s="84">
        <f t="shared" si="7"/>
        <v>19.14634382</v>
      </c>
      <c r="D56" s="84">
        <f t="shared" si="7"/>
        <v>45.98022809</v>
      </c>
      <c r="E56" s="84">
        <f t="shared" si="7"/>
        <v>39.43844722</v>
      </c>
      <c r="F56" s="84">
        <f t="shared" si="7"/>
        <v>588.3876698</v>
      </c>
      <c r="G56" s="84">
        <f t="shared" si="7"/>
        <v>364.3429172</v>
      </c>
      <c r="H56" s="84">
        <f t="shared" si="7"/>
        <v>55.43871936</v>
      </c>
      <c r="I56" s="84">
        <f t="shared" si="7"/>
        <v>77.59643068</v>
      </c>
      <c r="J56" s="84">
        <f t="shared" si="7"/>
        <v>108.8880264</v>
      </c>
      <c r="K56" s="84">
        <f t="shared" si="7"/>
        <v>65.8707462</v>
      </c>
    </row>
    <row r="57">
      <c r="A57" s="83" t="str">
        <f t="shared" si="6"/>
        <v>202407</v>
      </c>
      <c r="B57" s="84">
        <f t="shared" ref="B57:K57" si="8">LET(
  current, B32,
  previous, B31,
  previous_index, B56,
  IF(OR(N(current)=0,N(previous)=0),
    previous_index,
    (current/previous)*previous_index)
)</f>
        <v>8.953173502</v>
      </c>
      <c r="C57" s="84">
        <f t="shared" si="8"/>
        <v>81.81290734</v>
      </c>
      <c r="D57" s="84">
        <f t="shared" si="8"/>
        <v>28.08494484</v>
      </c>
      <c r="E57" s="84">
        <f t="shared" si="8"/>
        <v>24.52255403</v>
      </c>
      <c r="F57" s="84">
        <f t="shared" si="8"/>
        <v>503.7967657</v>
      </c>
      <c r="G57" s="84">
        <f t="shared" si="8"/>
        <v>417.867927</v>
      </c>
      <c r="H57" s="84">
        <f t="shared" si="8"/>
        <v>96.77038519</v>
      </c>
      <c r="I57" s="84">
        <f t="shared" si="8"/>
        <v>97.12249191</v>
      </c>
      <c r="J57" s="84">
        <f t="shared" si="8"/>
        <v>3.632188369</v>
      </c>
      <c r="K57" s="84">
        <f t="shared" si="8"/>
        <v>48.76518929</v>
      </c>
    </row>
    <row r="58">
      <c r="A58" s="83" t="str">
        <f t="shared" si="6"/>
        <v>202408</v>
      </c>
      <c r="B58" s="84">
        <f t="shared" ref="B58:K58" si="9">LET(
  current, B33,
  previous, B32,
  previous_index, B57,
  IF(OR(N(current)=0,N(previous)=0),
    previous_index,
    (current/previous)*previous_index)
)</f>
        <v>8.953173502</v>
      </c>
      <c r="C58" s="84">
        <f t="shared" si="9"/>
        <v>81.81290734</v>
      </c>
      <c r="D58" s="84">
        <f t="shared" si="9"/>
        <v>28.08494484</v>
      </c>
      <c r="E58" s="84">
        <f t="shared" si="9"/>
        <v>24.52255403</v>
      </c>
      <c r="F58" s="84">
        <f t="shared" si="9"/>
        <v>503.7967657</v>
      </c>
      <c r="G58" s="84">
        <f t="shared" si="9"/>
        <v>417.867927</v>
      </c>
      <c r="H58" s="84">
        <f t="shared" si="9"/>
        <v>96.77038519</v>
      </c>
      <c r="I58" s="84">
        <f t="shared" si="9"/>
        <v>97.12249191</v>
      </c>
      <c r="J58" s="84">
        <f t="shared" si="9"/>
        <v>3.632188369</v>
      </c>
      <c r="K58" s="84">
        <f t="shared" si="9"/>
        <v>48.76518929</v>
      </c>
    </row>
    <row r="59">
      <c r="A59" s="83" t="str">
        <f t="shared" si="6"/>
        <v>202409</v>
      </c>
      <c r="B59" s="84">
        <f t="shared" ref="B59:K59" si="10">LET(
  current, B34,
  previous, B33,
  previous_index, B58,
  IF(OR(N(current)=0,N(previous)=0),
    previous_index,
    (current/previous)*previous_index)
)</f>
        <v>17.27538472</v>
      </c>
      <c r="C59" s="84">
        <f t="shared" si="10"/>
        <v>80.08780243</v>
      </c>
      <c r="D59" s="84">
        <f t="shared" si="10"/>
        <v>79.7071402</v>
      </c>
      <c r="E59" s="84">
        <f t="shared" si="10"/>
        <v>19.1021527</v>
      </c>
      <c r="F59" s="84">
        <f t="shared" si="10"/>
        <v>393.4056174</v>
      </c>
      <c r="G59" s="84">
        <f t="shared" si="10"/>
        <v>432.3917261</v>
      </c>
      <c r="H59" s="84">
        <f t="shared" si="10"/>
        <v>56.71835918</v>
      </c>
      <c r="I59" s="84">
        <f t="shared" si="10"/>
        <v>60.06158598</v>
      </c>
      <c r="J59" s="84">
        <f t="shared" si="10"/>
        <v>107.4023762</v>
      </c>
      <c r="K59" s="84">
        <f t="shared" si="10"/>
        <v>50.42471535</v>
      </c>
    </row>
    <row r="60">
      <c r="A60" s="83" t="str">
        <f t="shared" si="6"/>
        <v>202410</v>
      </c>
      <c r="B60" s="84">
        <f t="shared" ref="B60:K60" si="11">LET(
  current, B35,
  previous, B34,
  previous_index, B59,
  IF(OR(N(current)=0,N(previous)=0),
    previous_index,
    (current/previous)*previous_index)
)</f>
        <v>17.27538472</v>
      </c>
      <c r="C60" s="84">
        <f t="shared" si="11"/>
        <v>55.46250991</v>
      </c>
      <c r="D60" s="84">
        <f t="shared" si="11"/>
        <v>113.1930457</v>
      </c>
      <c r="E60" s="84">
        <f t="shared" si="11"/>
        <v>13.95884424</v>
      </c>
      <c r="F60" s="84">
        <f t="shared" si="11"/>
        <v>473.3005218</v>
      </c>
      <c r="G60" s="84">
        <f t="shared" si="11"/>
        <v>440.9267282</v>
      </c>
      <c r="H60" s="84">
        <f t="shared" si="11"/>
        <v>93.70053027</v>
      </c>
      <c r="I60" s="84">
        <f t="shared" si="11"/>
        <v>84.79893988</v>
      </c>
      <c r="J60" s="84">
        <f t="shared" si="11"/>
        <v>77.65325485</v>
      </c>
      <c r="K60" s="84">
        <f t="shared" si="11"/>
        <v>68.64867163</v>
      </c>
    </row>
    <row r="61">
      <c r="A61" s="83" t="str">
        <f t="shared" si="6"/>
        <v>202411</v>
      </c>
      <c r="B61" s="84">
        <f t="shared" ref="B61:K61" si="12">LET(
  current, B36,
  previous, B35,
  previous_index, B60,
  IF(OR(N(current)=0,N(previous)=0),
    previous_index,
    (current/previous)*previous_index)
)</f>
        <v>17.27538472</v>
      </c>
      <c r="C61" s="84">
        <f t="shared" si="12"/>
        <v>65.90597018</v>
      </c>
      <c r="D61" s="84">
        <f t="shared" si="12"/>
        <v>72.56229701</v>
      </c>
      <c r="E61" s="84">
        <f t="shared" si="12"/>
        <v>59.71932316</v>
      </c>
      <c r="F61" s="84">
        <f t="shared" si="12"/>
        <v>491.174185</v>
      </c>
      <c r="G61" s="84">
        <f t="shared" si="12"/>
        <v>481.4384491</v>
      </c>
      <c r="H61" s="84">
        <f t="shared" si="12"/>
        <v>41.39437719</v>
      </c>
      <c r="I61" s="84">
        <f t="shared" si="12"/>
        <v>89.76236327</v>
      </c>
      <c r="J61" s="84">
        <f t="shared" si="12"/>
        <v>127.0414214</v>
      </c>
      <c r="K61" s="84">
        <f t="shared" si="12"/>
        <v>104.3880165</v>
      </c>
    </row>
    <row r="62">
      <c r="A62" s="83" t="str">
        <f t="shared" si="6"/>
        <v>202412</v>
      </c>
      <c r="B62" s="84">
        <f t="shared" ref="B62:K62" si="13">LET(
  current, B37,
  previous, B36,
  previous_index, B61,
  IF(OR(N(current)=0,N(previous)=0),
    previous_index,
    (current/previous)*previous_index)
)</f>
        <v>12.38083981</v>
      </c>
      <c r="C62" s="84">
        <f t="shared" si="13"/>
        <v>55.46250991</v>
      </c>
      <c r="D62" s="84">
        <f t="shared" si="13"/>
        <v>128.688174</v>
      </c>
      <c r="E62" s="84">
        <f t="shared" si="13"/>
        <v>43.38975851</v>
      </c>
      <c r="F62" s="84">
        <f t="shared" si="13"/>
        <v>71.53165822</v>
      </c>
      <c r="G62" s="84">
        <f t="shared" si="13"/>
        <v>508.6254431</v>
      </c>
      <c r="H62" s="84">
        <f t="shared" si="13"/>
        <v>41.39437719</v>
      </c>
      <c r="I62" s="84">
        <f t="shared" si="13"/>
        <v>76.19819373</v>
      </c>
      <c r="J62" s="84">
        <f t="shared" si="13"/>
        <v>99.29760442</v>
      </c>
      <c r="K62" s="84">
        <f t="shared" si="13"/>
        <v>112.4340389</v>
      </c>
    </row>
    <row r="63">
      <c r="A63" s="83" t="str">
        <f t="shared" si="6"/>
        <v>202501</v>
      </c>
      <c r="B63" s="84">
        <f t="shared" ref="B63:K63" si="14">LET(
  current, B38,
  previous, B37,
  previous_index, B62,
  IF(OR(N(current)=0,N(previous)=0),
    previous_index,
    (current/previous)*previous_index)
)</f>
        <v>19.38868802</v>
      </c>
      <c r="C63" s="84">
        <f t="shared" si="14"/>
        <v>51.98135649</v>
      </c>
      <c r="D63" s="84">
        <f t="shared" si="14"/>
        <v>90.20143796</v>
      </c>
      <c r="E63" s="84">
        <f t="shared" si="14"/>
        <v>61.15323734</v>
      </c>
      <c r="F63" s="84">
        <f t="shared" si="14"/>
        <v>306.8497206</v>
      </c>
      <c r="G63" s="84">
        <f t="shared" si="14"/>
        <v>592.4014996</v>
      </c>
      <c r="H63" s="84">
        <f t="shared" si="14"/>
        <v>96.8084042</v>
      </c>
      <c r="I63" s="84">
        <f t="shared" si="14"/>
        <v>61.85736712</v>
      </c>
      <c r="J63" s="84">
        <f t="shared" si="14"/>
        <v>155.210557</v>
      </c>
      <c r="K63" s="84">
        <f t="shared" si="14"/>
        <v>92.56703486</v>
      </c>
    </row>
    <row r="64">
      <c r="A64" s="83" t="str">
        <f t="shared" si="6"/>
        <v>202502</v>
      </c>
      <c r="B64" s="84">
        <f t="shared" ref="B64:K64" si="15">LET(
  current, B39,
  previous, B38,
  previous_index, B63,
  IF(OR(N(current)=0,N(previous)=0),
    previous_index,
    (current/previous)*previous_index)
)</f>
        <v>17.94863035</v>
      </c>
      <c r="C64" s="84">
        <f t="shared" si="15"/>
        <v>58.49691531</v>
      </c>
      <c r="D64" s="84">
        <f t="shared" si="15"/>
        <v>108.2236271</v>
      </c>
      <c r="E64" s="84">
        <f t="shared" si="15"/>
        <v>17.65795124</v>
      </c>
      <c r="F64" s="84">
        <f t="shared" si="15"/>
        <v>168.3750879</v>
      </c>
      <c r="G64" s="84">
        <f t="shared" si="15"/>
        <v>595.9389086</v>
      </c>
      <c r="H64" s="84">
        <f t="shared" si="15"/>
        <v>20.7943972</v>
      </c>
      <c r="I64" s="84">
        <f t="shared" si="15"/>
        <v>136.3656008</v>
      </c>
      <c r="J64" s="84">
        <f t="shared" si="15"/>
        <v>132.6282424</v>
      </c>
      <c r="K64" s="84">
        <f t="shared" si="15"/>
        <v>87.8425417</v>
      </c>
    </row>
    <row r="65">
      <c r="A65" s="83" t="str">
        <f t="shared" si="6"/>
        <v>202503</v>
      </c>
      <c r="B65" s="84">
        <f t="shared" ref="B65:K65" si="16">LET(
  current, B40,
  previous, B39,
  previous_index, B64,
  IF(OR(N(current)=0,N(previous)=0),
    previous_index,
    (current/previous)*previous_index)
)</f>
        <v>17.12638612</v>
      </c>
      <c r="C65" s="84">
        <f t="shared" si="16"/>
        <v>44.48140484</v>
      </c>
      <c r="D65" s="84">
        <f t="shared" si="16"/>
        <v>170.2380067</v>
      </c>
      <c r="E65" s="84">
        <f t="shared" si="16"/>
        <v>35.62087057</v>
      </c>
      <c r="F65" s="84">
        <f t="shared" si="16"/>
        <v>426.000074</v>
      </c>
      <c r="G65" s="84">
        <f t="shared" si="16"/>
        <v>645.3371844</v>
      </c>
      <c r="H65" s="84">
        <f t="shared" si="16"/>
        <v>17.6088044</v>
      </c>
      <c r="I65" s="84">
        <f t="shared" si="16"/>
        <v>74.3652322</v>
      </c>
      <c r="J65" s="84">
        <f t="shared" si="16"/>
        <v>138.1891886</v>
      </c>
      <c r="K65" s="84">
        <f t="shared" si="16"/>
        <v>76.17128945</v>
      </c>
    </row>
    <row r="66">
      <c r="A66" s="83" t="str">
        <f t="shared" si="6"/>
        <v>202504</v>
      </c>
      <c r="B66" s="84">
        <f t="shared" ref="B66:K66" si="17">LET(
  current, B41,
  previous, B40,
  previous_index, B65,
  IF(OR(N(current)=0,N(previous)=0),
    previous_index,
    (current/previous)*previous_index)
)</f>
        <v>62.13791847</v>
      </c>
      <c r="C66" s="84">
        <f t="shared" si="17"/>
        <v>46.22004758</v>
      </c>
      <c r="D66" s="84">
        <f t="shared" si="17"/>
        <v>351.772654</v>
      </c>
      <c r="E66" s="84">
        <f t="shared" si="17"/>
        <v>82.20599118</v>
      </c>
      <c r="F66" s="84">
        <f t="shared" si="17"/>
        <v>75.86130333</v>
      </c>
      <c r="G66" s="84">
        <f t="shared" si="17"/>
        <v>687.0392251</v>
      </c>
      <c r="H66" s="84">
        <f t="shared" si="17"/>
        <v>17.6088044</v>
      </c>
      <c r="I66" s="84">
        <f t="shared" si="17"/>
        <v>43.15022785</v>
      </c>
      <c r="J66" s="84">
        <f t="shared" si="17"/>
        <v>161.1844233</v>
      </c>
      <c r="K66" s="84">
        <f t="shared" si="17"/>
        <v>64.44191659</v>
      </c>
    </row>
    <row r="67">
      <c r="A67" s="83" t="str">
        <f t="shared" si="6"/>
        <v>202505</v>
      </c>
      <c r="B67" s="84">
        <f t="shared" ref="B67:K67" si="18">LET(
  current, B42,
  previous, B41,
  previous_index, B66,
  IF(OR(N(current)=0,N(previous)=0),
    previous_index,
    (current/previous)*previous_index)
)</f>
        <v>25.9707698</v>
      </c>
      <c r="C67" s="84">
        <f t="shared" si="18"/>
        <v>46.20264181</v>
      </c>
      <c r="D67" s="84">
        <f t="shared" si="18"/>
        <v>203.4535763</v>
      </c>
      <c r="E67" s="84">
        <f t="shared" si="18"/>
        <v>42.30262525</v>
      </c>
      <c r="F67" s="84">
        <f t="shared" si="18"/>
        <v>37.00551382</v>
      </c>
      <c r="G67" s="84">
        <f t="shared" si="18"/>
        <v>1070.134057</v>
      </c>
      <c r="H67" s="84">
        <f t="shared" si="18"/>
        <v>17.6088044</v>
      </c>
      <c r="I67" s="84">
        <f t="shared" si="18"/>
        <v>69.29980107</v>
      </c>
      <c r="J67" s="84">
        <f t="shared" si="18"/>
        <v>140.8844902</v>
      </c>
      <c r="K67" s="84">
        <f t="shared" si="18"/>
        <v>117.8635595</v>
      </c>
    </row>
    <row r="68">
      <c r="A68" s="83" t="str">
        <f t="shared" si="6"/>
        <v>202506</v>
      </c>
      <c r="B68" s="84">
        <f t="shared" ref="B68:K68" si="19">LET(
  current, B43,
  previous, B42,
  previous_index, B67,
  IF(OR(N(current)=0,N(previous)=0),
    previous_index,
    (current/previous)*previous_index)
)</f>
        <v>35.4060371</v>
      </c>
      <c r="C68" s="84">
        <f t="shared" si="19"/>
        <v>47.96255826</v>
      </c>
      <c r="D68" s="84">
        <f t="shared" si="19"/>
        <v>240.8447998</v>
      </c>
      <c r="E68" s="84">
        <f t="shared" si="19"/>
        <v>115.5566912</v>
      </c>
      <c r="F68" s="84">
        <f t="shared" si="19"/>
        <v>88.81323317</v>
      </c>
      <c r="G68" s="84">
        <f t="shared" si="19"/>
        <v>876.6968623</v>
      </c>
      <c r="H68" s="84">
        <f t="shared" si="19"/>
        <v>3.799268583</v>
      </c>
      <c r="I68" s="84">
        <f t="shared" si="19"/>
        <v>70.41203501</v>
      </c>
      <c r="J68" s="84">
        <f t="shared" si="19"/>
        <v>148.1833668</v>
      </c>
      <c r="K68" s="84">
        <f t="shared" si="19"/>
        <v>110.9671178</v>
      </c>
    </row>
    <row r="69">
      <c r="A69" s="83" t="str">
        <f t="shared" si="6"/>
        <v>202507</v>
      </c>
      <c r="B69" s="84">
        <f t="shared" ref="B69:K69" si="20">LET(
  current, B44,
  previous, B43,
  previous_index, B68,
  IF(OR(N(current)=0,N(previous)=0),
    previous_index,
    (current/previous)*previous_index)
)</f>
        <v>15.52632204</v>
      </c>
      <c r="C69" s="84">
        <f t="shared" si="20"/>
        <v>144.4465933</v>
      </c>
      <c r="D69" s="84">
        <f t="shared" si="20"/>
        <v>92.03049461</v>
      </c>
      <c r="E69" s="84">
        <f t="shared" si="20"/>
        <v>63.27673117</v>
      </c>
      <c r="F69" s="84">
        <f t="shared" si="20"/>
        <v>103.1010621</v>
      </c>
      <c r="G69" s="84">
        <f t="shared" si="20"/>
        <v>877.4306011</v>
      </c>
      <c r="H69" s="84">
        <f t="shared" si="20"/>
        <v>104.2091396</v>
      </c>
      <c r="I69" s="84">
        <f t="shared" si="20"/>
        <v>28.78270762</v>
      </c>
      <c r="J69" s="84">
        <f t="shared" si="20"/>
        <v>102.0667572</v>
      </c>
      <c r="K69" s="84">
        <f t="shared" si="20"/>
        <v>144.6700616</v>
      </c>
    </row>
    <row r="70">
      <c r="A70" s="83" t="str">
        <f t="shared" si="6"/>
        <v>202508</v>
      </c>
      <c r="B70" s="84">
        <f t="shared" ref="B70:K70" si="21">LET(
  current, B45,
  previous, B44,
  previous_index, B69,
  IF(OR(N(current)=0,N(previous)=0),
    previous_index,
    (current/previous)*previous_index)
)</f>
        <v>15.52632204</v>
      </c>
      <c r="C70" s="84">
        <f t="shared" si="21"/>
        <v>144.4465933</v>
      </c>
      <c r="D70" s="84">
        <f t="shared" si="21"/>
        <v>92.03049461</v>
      </c>
      <c r="E70" s="84">
        <f t="shared" si="21"/>
        <v>63.27673117</v>
      </c>
      <c r="F70" s="84">
        <f t="shared" si="21"/>
        <v>103.1010621</v>
      </c>
      <c r="G70" s="84">
        <f t="shared" si="21"/>
        <v>877.4306011</v>
      </c>
      <c r="H70" s="84">
        <f t="shared" si="21"/>
        <v>104.2091396</v>
      </c>
      <c r="I70" s="84">
        <f t="shared" si="21"/>
        <v>28.78270762</v>
      </c>
      <c r="J70" s="84">
        <f t="shared" si="21"/>
        <v>102.0667572</v>
      </c>
      <c r="K70" s="84">
        <f t="shared" si="21"/>
        <v>144.6700616</v>
      </c>
    </row>
    <row r="71">
      <c r="A71" s="83" t="str">
        <f t="shared" si="6"/>
        <v>202509</v>
      </c>
      <c r="B71" s="84">
        <f t="shared" ref="B71:K71" si="22">LET(
  current, B46,
  previous, B45,
  previous_index, B70,
  IF(OR(N(current)=0,N(previous)=0),
    previous_index,
    (current/previous)*previous_index)
)</f>
        <v>15.52632204</v>
      </c>
      <c r="C71" s="84">
        <f t="shared" si="22"/>
        <v>81.22691318</v>
      </c>
      <c r="D71" s="84">
        <f t="shared" si="22"/>
        <v>79.14652287</v>
      </c>
      <c r="E71" s="84">
        <f t="shared" si="22"/>
        <v>84.02783539</v>
      </c>
      <c r="F71" s="84">
        <f t="shared" si="22"/>
        <v>74.56611035</v>
      </c>
      <c r="G71" s="84">
        <f t="shared" si="22"/>
        <v>887.3761907</v>
      </c>
      <c r="H71" s="84">
        <f t="shared" si="22"/>
        <v>1.954900656</v>
      </c>
      <c r="I71" s="84">
        <f t="shared" si="22"/>
        <v>78.25677986</v>
      </c>
      <c r="J71" s="84">
        <f t="shared" si="22"/>
        <v>164.0188024</v>
      </c>
      <c r="K71" s="84">
        <f t="shared" si="22"/>
        <v>132.6695938</v>
      </c>
    </row>
    <row r="72">
      <c r="A72" s="83" t="str">
        <f t="shared" si="6"/>
        <v>202510</v>
      </c>
      <c r="B72" s="84">
        <f t="shared" ref="B72:K72" si="23">LET(
  current, B47,
  previous, B46,
  previous_index, B71,
  IF(OR(N(current)=0,N(previous)=0),
    previous_index,
    (current/previous)*previous_index)
)</f>
        <v>15.52632204</v>
      </c>
      <c r="C72" s="84">
        <f t="shared" si="23"/>
        <v>68.84947879</v>
      </c>
      <c r="D72" s="84">
        <f t="shared" si="23"/>
        <v>107.5040288</v>
      </c>
      <c r="E72" s="84">
        <f t="shared" si="23"/>
        <v>73.03040057</v>
      </c>
      <c r="F72" s="84">
        <f t="shared" si="23"/>
        <v>721.8073493</v>
      </c>
      <c r="G72" s="84">
        <f t="shared" si="23"/>
        <v>103.9531457</v>
      </c>
      <c r="H72" s="84">
        <f t="shared" si="23"/>
        <v>7.434498952</v>
      </c>
      <c r="I72" s="84">
        <f t="shared" si="23"/>
        <v>23.00036227</v>
      </c>
      <c r="J72" s="84">
        <f t="shared" si="23"/>
        <v>66.68176036</v>
      </c>
      <c r="K72" s="84">
        <f t="shared" si="23"/>
        <v>27.11161668</v>
      </c>
    </row>
    <row r="73">
      <c r="A73" s="85" t="str">
        <f t="shared" si="6"/>
        <v>202511</v>
      </c>
      <c r="B73" s="86">
        <f t="shared" ref="B73:K73" si="24">LET(
  current, B48,
  previous, B47,
  previous_index, B72,
  IF(OR(N(current)=0,N(previous)=0),
    previous_index,
    (current/previous)*previous_index)
)</f>
        <v>2.587774252</v>
      </c>
      <c r="C73" s="87">
        <f t="shared" si="24"/>
        <v>75.03819599</v>
      </c>
      <c r="D73" s="87">
        <f t="shared" si="24"/>
        <v>225.5702244</v>
      </c>
      <c r="E73" s="87">
        <f t="shared" si="24"/>
        <v>60.79185513</v>
      </c>
      <c r="F73" s="87">
        <f t="shared" si="24"/>
        <v>162.6392332</v>
      </c>
      <c r="G73" s="87">
        <f t="shared" si="24"/>
        <v>769.0516826</v>
      </c>
      <c r="H73" s="87">
        <f t="shared" si="24"/>
        <v>23.23539065</v>
      </c>
      <c r="I73" s="87">
        <f t="shared" si="24"/>
        <v>112.5695146</v>
      </c>
      <c r="J73" s="87">
        <f t="shared" si="24"/>
        <v>219.1495785</v>
      </c>
      <c r="K73" s="87">
        <f t="shared" si="24"/>
        <v>90.25015149</v>
      </c>
    </row>
    <row r="74">
      <c r="B74" s="49"/>
      <c r="C74" s="49"/>
      <c r="D74" s="49"/>
      <c r="E74" s="50"/>
      <c r="F74" s="50"/>
      <c r="G74" s="50"/>
    </row>
    <row r="75">
      <c r="B75" s="49"/>
      <c r="C75" s="49"/>
      <c r="D75" s="49"/>
      <c r="E75" s="50"/>
      <c r="F75" s="50"/>
      <c r="G75" s="50"/>
    </row>
    <row r="76">
      <c r="B76" s="49"/>
      <c r="C76" s="49"/>
      <c r="D76" s="49"/>
      <c r="E76" s="50"/>
      <c r="F76" s="50"/>
      <c r="G76" s="50"/>
    </row>
    <row r="77">
      <c r="A77" s="88" t="s">
        <v>71</v>
      </c>
      <c r="B77" s="89"/>
      <c r="C77" s="89"/>
      <c r="D77" s="89"/>
      <c r="E77" s="89"/>
      <c r="F77" s="89"/>
      <c r="G77" s="89"/>
      <c r="H77" s="89"/>
      <c r="I77" s="89"/>
      <c r="J77" s="89"/>
      <c r="K77" s="90"/>
    </row>
    <row r="78">
      <c r="A78" s="91"/>
      <c r="B78" s="74"/>
      <c r="C78" s="74"/>
      <c r="D78" s="74"/>
      <c r="E78" s="74"/>
      <c r="F78" s="74"/>
      <c r="G78" s="74"/>
      <c r="H78" s="74"/>
      <c r="I78" s="74"/>
      <c r="J78" s="74"/>
      <c r="K78" s="92"/>
    </row>
    <row r="79">
      <c r="A79" s="93" t="s">
        <v>6</v>
      </c>
      <c r="B79" s="59" t="str">
        <f t="shared" ref="B79:K79" si="25">B29</f>
        <v>Clothing and footwear</v>
      </c>
      <c r="C79" s="59" t="str">
        <f t="shared" si="25"/>
        <v>Education</v>
      </c>
      <c r="D79" s="59" t="str">
        <f t="shared" si="25"/>
        <v>Food and non-alcoholic beverages</v>
      </c>
      <c r="E79" s="59" t="str">
        <f t="shared" si="25"/>
        <v>Furnishings and household equipment</v>
      </c>
      <c r="F79" s="59" t="str">
        <f t="shared" si="25"/>
        <v>Health</v>
      </c>
      <c r="G79" s="59" t="str">
        <f t="shared" si="25"/>
        <v>Housing, water, electricity, gas and other fuels</v>
      </c>
      <c r="H79" s="59" t="str">
        <f t="shared" si="25"/>
        <v>Miscellaneous goods and services</v>
      </c>
      <c r="I79" s="59" t="str">
        <f t="shared" si="25"/>
        <v>Recreation and culture</v>
      </c>
      <c r="J79" s="59" t="str">
        <f t="shared" si="25"/>
        <v>Restaurants and hotels</v>
      </c>
      <c r="K79" s="94" t="str">
        <f t="shared" si="25"/>
        <v>Transport</v>
      </c>
    </row>
    <row r="80">
      <c r="A80" s="80" t="str">
        <f t="shared" ref="A80:A98" si="26">A55</f>
        <v>202405</v>
      </c>
      <c r="B80" s="95">
        <v>100.0</v>
      </c>
      <c r="C80" s="95">
        <v>100.0</v>
      </c>
      <c r="D80" s="95">
        <v>100.0</v>
      </c>
      <c r="E80" s="95">
        <v>100.0</v>
      </c>
      <c r="F80" s="95">
        <v>100.0</v>
      </c>
      <c r="G80" s="95">
        <v>100.0</v>
      </c>
      <c r="H80" s="95">
        <v>100.0</v>
      </c>
      <c r="I80" s="95">
        <v>100.0</v>
      </c>
      <c r="J80" s="95">
        <v>100.0</v>
      </c>
      <c r="K80" s="96">
        <v>100.0</v>
      </c>
    </row>
    <row r="81">
      <c r="A81" s="80" t="str">
        <f t="shared" si="26"/>
        <v>202406</v>
      </c>
      <c r="B81" s="97">
        <f t="array" ref="B81">LET(
  cat_code, "03",
  current, INDEX(ipc_gba!D:D, MATCH(cat_code&amp;A81, ipc_gba!F:F, 0)),
  previous, INDEX(ipc_gba!D:D, MATCH(cat_code&amp;A80, ipc_gba!F:F, 0)),
  previous_index, B80,
  IF(OR(ISBLANK(current), previous = 0),
    previous_index,
    (current / previous) * previous_index)
)</f>
        <v>101.7894071</v>
      </c>
      <c r="C81" s="97">
        <f t="array" ref="C81">LET(
  cat_code, "10",
  current, INDEX(ipc_gba!D:D, MATCH(cat_code&amp;A81, ipc_gba!F:F, 0)),
  previous, INDEX(ipc_gba!D:D, MATCH(cat_code&amp;A80, ipc_gba!F:F, 0)),
  previous_index, C80,
  IF(OR(ISBLANK(current), previous = 0),
    previous_index,
    (current / previous) * previous_index)
)</f>
        <v>105.0318032</v>
      </c>
      <c r="D81" s="97">
        <f t="array" ref="D81">LET(
  cat_code, "01",
  current, INDEX(ipc_gba!D:D, MATCH(cat_code&amp;A81, ipc_gba!F:F, 0)),
  previous, INDEX(ipc_gba!D:D, MATCH(cat_code&amp;A80, ipc_gba!F:F, 0)),
  previous_index, D80,
  IF(OR(ISBLANK(current), previous = 0),
    previous_index,
    (current / previous) * previous_index)
)</f>
        <v>102.1750013</v>
      </c>
      <c r="E81" s="97">
        <f t="array" ref="E81">LET(
  cat_code, "05",
  current, INDEX(ipc_gba!D:D, MATCH(cat_code&amp;A81, ipc_gba!F:F, 0)),
  previous, INDEX(ipc_gba!D:D, MATCH(cat_code&amp;A80, ipc_gba!F:F, 0)),
  previous_index, E80,
  IF(OR(ISBLANK(current), previous = 0),
    previous_index,
    (current / previous) * previous_index)
)</f>
        <v>102.2227842</v>
      </c>
      <c r="F81" s="97">
        <f t="array" ref="F81">LET(
  cat_code, "06",
  current, INDEX(ipc_gba!D:D, MATCH(cat_code&amp;A81, ipc_gba!F:F, 0)),
  previous, INDEX(ipc_gba!D:D, MATCH(cat_code&amp;A80, ipc_gba!F:F, 0)),
  previous_index, F80,
  IF(OR(ISBLANK(current), previous = 0),
    previous_index,
    (current / previous) * previous_index)
)</f>
        <v>104.9012647</v>
      </c>
      <c r="G81" s="97">
        <f t="array" ref="G81">LET(
  cat_code, "04",
  current, INDEX(ipc_gba!D:D, MATCH(cat_code&amp;A81, ipc_gba!F:F, 0)),
  previous, INDEX(ipc_gba!D:D, MATCH(cat_code&amp;A80, ipc_gba!F:F, 0)),
  previous_index, G80,
  IF(OR(ISBLANK(current), previous = 0),
    previous_index,
    (current / previous) * previous_index)
)</f>
        <v>111.7264927</v>
      </c>
      <c r="H81" s="97">
        <f t="array" ref="H81">LET(
  cat_code, "12",
  current, INDEX(ipc_gba!D:D, MATCH(cat_code&amp;A81, ipc_gba!F:F, 0)),
  previous, INDEX(ipc_gba!D:D, MATCH(cat_code&amp;A80, ipc_gba!F:F, 0)),
  previous_index, H80,
  IF(OR(ISBLANK(current), previous = 0),
    previous_index,
    (current / previous) * previous_index)
)</f>
        <v>102.6270535</v>
      </c>
      <c r="I81" s="97">
        <f t="array" ref="I81">LET(
  cat_code, "09",
  current, INDEX(ipc_gba!D:D, MATCH(cat_code&amp;A81, ipc_gba!F:F, 0)),
  previous, INDEX(ipc_gba!D:D, MATCH(cat_code&amp;A80, ipc_gba!F:F, 0)),
  previous_index, I80,
  IF(OR(ISBLANK(current), previous = 0),
    previous_index,
    (current / previous) * previous_index)
)</f>
        <v>105.826535</v>
      </c>
      <c r="J81" s="97">
        <f t="array" ref="J81">LET(
  cat_code, "11",
  current, INDEX(ipc_gba!D:D, MATCH(cat_code&amp;A81, ipc_gba!F:F, 0)),
  previous, INDEX(ipc_gba!D:D, MATCH(cat_code&amp;A80, ipc_gba!F:F, 0)),
  previous_index, J80,
  IF(OR(ISBLANK(current), previous = 0),
    previous_index,
    (current / previous) * previous_index)
)</f>
        <v>107.2752932</v>
      </c>
      <c r="K81" s="98">
        <f t="array" ref="K81">LET(
  cat_code, "07",
  current, INDEX(ipc_gba!D:D, MATCH(cat_code&amp;A81, ipc_gba!F:F, 0)),
  previous, INDEX(ipc_gba!D:D, MATCH(cat_code&amp;A80, ipc_gba!F:F, 0)),
  previous_index, K80,
  IF(OR(ISBLANK(current), previous = 0),
    previous_index,
    (current / previous) * previous_index)
)</f>
        <v>103.7558671</v>
      </c>
    </row>
    <row r="82">
      <c r="A82" s="80" t="str">
        <f t="shared" si="26"/>
        <v>202407</v>
      </c>
      <c r="B82" s="97">
        <f t="array" ref="B82">LET(
  cat_code, "03",
  current, INDEX(ipc_gba!D:D, MATCH(cat_code&amp;A82, ipc_gba!F:F, 0)),
  previous, INDEX(ipc_gba!D:D, MATCH(cat_code&amp;A81, ipc_gba!F:F, 0)),
  previous_index, B81,
  IF(OR(ISBLANK(current), previous = 0),
    previous_index,
    (current / previous) * previous_index)
)</f>
        <v>102.6135196</v>
      </c>
      <c r="C82" s="97">
        <f t="array" ref="C82">LET(
  cat_code, "10",
  current, INDEX(ipc_gba!D:D, MATCH(cat_code&amp;A82, ipc_gba!F:F, 0)),
  previous, INDEX(ipc_gba!D:D, MATCH(cat_code&amp;A81, ipc_gba!F:F, 0)),
  previous_index, C81,
  IF(OR(ISBLANK(current), previous = 0),
    previous_index,
    (current / previous) * previous_index)
)</f>
        <v>108.2091415</v>
      </c>
      <c r="D82" s="97">
        <f t="array" ref="D82">LET(
  cat_code, "01",
  current, INDEX(ipc_gba!D:D, MATCH(cat_code&amp;A82, ipc_gba!F:F, 0)),
  previous, INDEX(ipc_gba!D:D, MATCH(cat_code&amp;A81, ipc_gba!F:F, 0)),
  previous_index, D81,
  IF(OR(ISBLANK(current), previous = 0),
    previous_index,
    (current / previous) * previous_index)
)</f>
        <v>105.8991766</v>
      </c>
      <c r="E82" s="97">
        <f t="array" ref="E82">LET(
  cat_code, "05",
  current, INDEX(ipc_gba!D:D, MATCH(cat_code&amp;A82, ipc_gba!F:F, 0)),
  previous, INDEX(ipc_gba!D:D, MATCH(cat_code&amp;A81, ipc_gba!F:F, 0)),
  previous_index, E81,
  IF(OR(ISBLANK(current), previous = 0),
    previous_index,
    (current / previous) * previous_index)
)</f>
        <v>105.4710295</v>
      </c>
      <c r="F82" s="97">
        <f t="array" ref="F82">LET(
  cat_code, "06",
  current, INDEX(ipc_gba!D:D, MATCH(cat_code&amp;A82, ipc_gba!F:F, 0)),
  previous, INDEX(ipc_gba!D:D, MATCH(cat_code&amp;A81, ipc_gba!F:F, 0)),
  previous_index, F81,
  IF(OR(ISBLANK(current), previous = 0),
    previous_index,
    (current / previous) * previous_index)
)</f>
        <v>111.0275209</v>
      </c>
      <c r="G82" s="97">
        <f t="array" ref="G82">LET(
  cat_code, "04",
  current, INDEX(ipc_gba!D:D, MATCH(cat_code&amp;A82, ipc_gba!F:F, 0)),
  previous, INDEX(ipc_gba!D:D, MATCH(cat_code&amp;A81, ipc_gba!F:F, 0)),
  previous_index, G81,
  IF(OR(ISBLANK(current), previous = 0),
    previous_index,
    (current / previous) * previous_index)
)</f>
        <v>117.2571664</v>
      </c>
      <c r="H82" s="97">
        <f t="array" ref="H82">LET(
  cat_code, "12",
  current, INDEX(ipc_gba!D:D, MATCH(cat_code&amp;A82, ipc_gba!F:F, 0)),
  previous, INDEX(ipc_gba!D:D, MATCH(cat_code&amp;A81, ipc_gba!F:F, 0)),
  previous_index, H81,
  IF(OR(ISBLANK(current), previous = 0),
    previous_index,
    (current / previous) * previous_index)
)</f>
        <v>106.1993276</v>
      </c>
      <c r="I82" s="97">
        <f t="array" ref="I82">LET(
  cat_code, "09",
  current, INDEX(ipc_gba!D:D, MATCH(cat_code&amp;A82, ipc_gba!F:F, 0)),
  previous, INDEX(ipc_gba!D:D, MATCH(cat_code&amp;A81, ipc_gba!F:F, 0)),
  previous_index, I81,
  IF(OR(ISBLANK(current), previous = 0),
    previous_index,
    (current / previous) * previous_index)
)</f>
        <v>111.5536801</v>
      </c>
      <c r="J82" s="97">
        <f t="array" ref="J82">LET(
  cat_code, "11",
  current, INDEX(ipc_gba!D:D, MATCH(cat_code&amp;A82, ipc_gba!F:F, 0)),
  previous, INDEX(ipc_gba!D:D, MATCH(cat_code&amp;A81, ipc_gba!F:F, 0)),
  previous_index, J81,
  IF(OR(ISBLANK(current), previous = 0),
    previous_index,
    (current / previous) * previous_index)
)</f>
        <v>114.7349489</v>
      </c>
      <c r="K82" s="98">
        <f t="array" ref="K82">LET(
  cat_code, "07",
  current, INDEX(ipc_gba!D:D, MATCH(cat_code&amp;A82, ipc_gba!F:F, 0)),
  previous, INDEX(ipc_gba!D:D, MATCH(cat_code&amp;A81, ipc_gba!F:F, 0)),
  previous_index, K81,
  IF(OR(ISBLANK(current), previous = 0),
    previous_index,
    (current / previous) * previous_index)
)</f>
        <v>105.5220072</v>
      </c>
    </row>
    <row r="83">
      <c r="A83" s="80" t="str">
        <f t="shared" si="26"/>
        <v>202408</v>
      </c>
      <c r="B83" s="97">
        <f t="array" ref="B83">LET(
  cat_code, "03",
  current, INDEX(ipc_gba!D:D, MATCH(cat_code&amp;A83, ipc_gba!F:F, 0)),
  previous, INDEX(ipc_gba!D:D, MATCH(cat_code&amp;A82, ipc_gba!F:F, 0)),
  previous_index, B82,
  IF(OR(ISBLANK(current), previous = 0),
    previous_index,
    (current / previous) * previous_index)
)</f>
        <v>104.7545603</v>
      </c>
      <c r="C83" s="97">
        <f t="array" ref="C83">LET(
  cat_code, "10",
  current, INDEX(ipc_gba!D:D, MATCH(cat_code&amp;A83, ipc_gba!F:F, 0)),
  previous, INDEX(ipc_gba!D:D, MATCH(cat_code&amp;A82, ipc_gba!F:F, 0)),
  previous_index, C82,
  IF(OR(ISBLANK(current), previous = 0),
    previous_index,
    (current / previous) * previous_index)
)</f>
        <v>115.4245495</v>
      </c>
      <c r="D83" s="97">
        <f t="array" ref="D83">LET(
  cat_code, "01",
  current, INDEX(ipc_gba!D:D, MATCH(cat_code&amp;A83, ipc_gba!F:F, 0)),
  previous, INDEX(ipc_gba!D:D, MATCH(cat_code&amp;A82, ipc_gba!F:F, 0)),
  previous_index, D82,
  IF(OR(ISBLANK(current), previous = 0),
    previous_index,
    (current / previous) * previous_index)
)</f>
        <v>108.932841</v>
      </c>
      <c r="E83" s="97">
        <f t="array" ref="E83">LET(
  cat_code, "05",
  current, INDEX(ipc_gba!D:D, MATCH(cat_code&amp;A83, ipc_gba!F:F, 0)),
  previous, INDEX(ipc_gba!D:D, MATCH(cat_code&amp;A82, ipc_gba!F:F, 0)),
  previous_index, E82,
  IF(OR(ISBLANK(current), previous = 0),
    previous_index,
    (current / previous) * previous_index)
)</f>
        <v>109.9326162</v>
      </c>
      <c r="F83" s="97">
        <f t="array" ref="F83">LET(
  cat_code, "06",
  current, INDEX(ipc_gba!D:D, MATCH(cat_code&amp;A83, ipc_gba!F:F, 0)),
  previous, INDEX(ipc_gba!D:D, MATCH(cat_code&amp;A82, ipc_gba!F:F, 0)),
  previous_index, F82,
  IF(OR(ISBLANK(current), previous = 0),
    previous_index,
    (current / previous) * previous_index)
)</f>
        <v>115.9545952</v>
      </c>
      <c r="G83" s="97">
        <f t="array" ref="G83">LET(
  cat_code, "04",
  current, INDEX(ipc_gba!D:D, MATCH(cat_code&amp;A83, ipc_gba!F:F, 0)),
  previous, INDEX(ipc_gba!D:D, MATCH(cat_code&amp;A82, ipc_gba!F:F, 0)),
  previous_index, G82,
  IF(OR(ISBLANK(current), previous = 0),
    previous_index,
    (current / previous) * previous_index)
)</f>
        <v>124.4268054</v>
      </c>
      <c r="H83" s="97">
        <f t="array" ref="H83">LET(
  cat_code, "12",
  current, INDEX(ipc_gba!D:D, MATCH(cat_code&amp;A83, ipc_gba!F:F, 0)),
  previous, INDEX(ipc_gba!D:D, MATCH(cat_code&amp;A82, ipc_gba!F:F, 0)),
  previous_index, H82,
  IF(OR(ISBLANK(current), previous = 0),
    previous_index,
    (current / previous) * previous_index)
)</f>
        <v>108.8702356</v>
      </c>
      <c r="I83" s="97">
        <f t="array" ref="I83">LET(
  cat_code, "09",
  current, INDEX(ipc_gba!D:D, MATCH(cat_code&amp;A83, ipc_gba!F:F, 0)),
  previous, INDEX(ipc_gba!D:D, MATCH(cat_code&amp;A82, ipc_gba!F:F, 0)),
  previous_index, I82,
  IF(OR(ISBLANK(current), previous = 0),
    previous_index,
    (current / previous) * previous_index)
)</f>
        <v>115.0588799</v>
      </c>
      <c r="J83" s="97">
        <f t="array" ref="J83">LET(
  cat_code, "11",
  current, INDEX(ipc_gba!D:D, MATCH(cat_code&amp;A83, ipc_gba!F:F, 0)),
  previous, INDEX(ipc_gba!D:D, MATCH(cat_code&amp;A82, ipc_gba!F:F, 0)),
  previous_index, J82,
  IF(OR(ISBLANK(current), previous = 0),
    previous_index,
    (current / previous) * previous_index)
)</f>
        <v>120.0156095</v>
      </c>
      <c r="K83" s="98">
        <f t="array" ref="K83">LET(
  cat_code, "07",
  current, INDEX(ipc_gba!D:D, MATCH(cat_code&amp;A83, ipc_gba!F:F, 0)),
  previous, INDEX(ipc_gba!D:D, MATCH(cat_code&amp;A82, ipc_gba!F:F, 0)),
  previous_index, K82,
  IF(OR(ISBLANK(current), previous = 0),
    previous_index,
    (current / previous) * previous_index)
)</f>
        <v>112.8042573</v>
      </c>
    </row>
    <row r="84">
      <c r="A84" s="80" t="str">
        <f t="shared" si="26"/>
        <v>202409</v>
      </c>
      <c r="B84" s="97">
        <f t="array" ref="B84">LET(
  cat_code, "03",
  current, INDEX(ipc_gba!D:D, MATCH(cat_code&amp;A84, ipc_gba!F:F, 0)),
  previous, INDEX(ipc_gba!D:D, MATCH(cat_code&amp;A83, ipc_gba!F:F, 0)),
  previous_index, B83,
  IF(OR(ISBLANK(current), previous = 0),
    previous_index,
    (current / previous) * previous_index)
)</f>
        <v>112.4434098</v>
      </c>
      <c r="C84" s="97">
        <f t="array" ref="C84">LET(
  cat_code, "10",
  current, INDEX(ipc_gba!D:D, MATCH(cat_code&amp;A84, ipc_gba!F:F, 0)),
  previous, INDEX(ipc_gba!D:D, MATCH(cat_code&amp;A83, ipc_gba!F:F, 0)),
  previous_index, C83,
  IF(OR(ISBLANK(current), previous = 0),
    previous_index,
    (current / previous) * previous_index)
)</f>
        <v>119.7546718</v>
      </c>
      <c r="D84" s="97">
        <f t="array" ref="D84">LET(
  cat_code, "01",
  current, INDEX(ipc_gba!D:D, MATCH(cat_code&amp;A84, ipc_gba!F:F, 0)),
  previous, INDEX(ipc_gba!D:D, MATCH(cat_code&amp;A83, ipc_gba!F:F, 0)),
  previous_index, D83,
  IF(OR(ISBLANK(current), previous = 0),
    previous_index,
    (current / previous) * previous_index)
)</f>
        <v>111.3322968</v>
      </c>
      <c r="E84" s="97">
        <f t="array" ref="E84">LET(
  cat_code, "05",
  current, INDEX(ipc_gba!D:D, MATCH(cat_code&amp;A84, ipc_gba!F:F, 0)),
  previous, INDEX(ipc_gba!D:D, MATCH(cat_code&amp;A83, ipc_gba!F:F, 0)),
  previous_index, E83,
  IF(OR(ISBLANK(current), previous = 0),
    previous_index,
    (current / previous) * previous_index)
)</f>
        <v>112.9981</v>
      </c>
      <c r="F84" s="97">
        <f t="array" ref="F84">LET(
  cat_code, "06",
  current, INDEX(ipc_gba!D:D, MATCH(cat_code&amp;A84, ipc_gba!F:F, 0)),
  previous, INDEX(ipc_gba!D:D, MATCH(cat_code&amp;A83, ipc_gba!F:F, 0)),
  previous_index, F83,
  IF(OR(ISBLANK(current), previous = 0),
    previous_index,
    (current / previous) * previous_index)
)</f>
        <v>119.7509792</v>
      </c>
      <c r="G84" s="97">
        <f t="array" ref="G84">LET(
  cat_code, "04",
  current, INDEX(ipc_gba!D:D, MATCH(cat_code&amp;A84, ipc_gba!F:F, 0)),
  previous, INDEX(ipc_gba!D:D, MATCH(cat_code&amp;A83, ipc_gba!F:F, 0)),
  previous_index, G83,
  IF(OR(ISBLANK(current), previous = 0),
    previous_index,
    (current / previous) * previous_index)
)</f>
        <v>132.971193</v>
      </c>
      <c r="H84" s="97">
        <f t="array" ref="H84">LET(
  cat_code, "12",
  current, INDEX(ipc_gba!D:D, MATCH(cat_code&amp;A84, ipc_gba!F:F, 0)),
  previous, INDEX(ipc_gba!D:D, MATCH(cat_code&amp;A83, ipc_gba!F:F, 0)),
  previous_index, H83,
  IF(OR(ISBLANK(current), previous = 0),
    previous_index,
    (current / previous) * previous_index)
)</f>
        <v>112.6543175</v>
      </c>
      <c r="I84" s="97">
        <f t="array" ref="I84">LET(
  cat_code, "09",
  current, INDEX(ipc_gba!D:D, MATCH(cat_code&amp;A84, ipc_gba!F:F, 0)),
  previous, INDEX(ipc_gba!D:D, MATCH(cat_code&amp;A83, ipc_gba!F:F, 0)),
  previous_index, I83,
  IF(OR(ISBLANK(current), previous = 0),
    previous_index,
    (current / previous) * previous_index)
)</f>
        <v>117.1322802</v>
      </c>
      <c r="J84" s="97">
        <f t="array" ref="J84">LET(
  cat_code, "11",
  current, INDEX(ipc_gba!D:D, MATCH(cat_code&amp;A84, ipc_gba!F:F, 0)),
  previous, INDEX(ipc_gba!D:D, MATCH(cat_code&amp;A83, ipc_gba!F:F, 0)),
  previous_index, J83,
  IF(OR(ISBLANK(current), previous = 0),
    previous_index,
    (current / previous) * previous_index)
)</f>
        <v>124.8897689</v>
      </c>
      <c r="K84" s="98">
        <f t="array" ref="K84">LET(
  cat_code, "07",
  current, INDEX(ipc_gba!D:D, MATCH(cat_code&amp;A84, ipc_gba!F:F, 0)),
  previous, INDEX(ipc_gba!D:D, MATCH(cat_code&amp;A83, ipc_gba!F:F, 0)),
  previous_index, K83,
  IF(OR(ISBLANK(current), previous = 0),
    previous_index,
    (current / previous) * previous_index)
)</f>
        <v>117.8057119</v>
      </c>
    </row>
    <row r="85">
      <c r="A85" s="80" t="str">
        <f t="shared" si="26"/>
        <v>202410</v>
      </c>
      <c r="B85" s="97">
        <f t="array" ref="B85">LET(
  cat_code, "03",
  current, INDEX(ipc_gba!D:D, MATCH(cat_code&amp;A85, ipc_gba!F:F, 0)),
  previous, INDEX(ipc_gba!D:D, MATCH(cat_code&amp;A84, ipc_gba!F:F, 0)),
  previous_index, B84,
  IF(OR(ISBLANK(current), previous = 0),
    previous_index,
    (current / previous) * previous_index)
)</f>
        <v>117.4614649</v>
      </c>
      <c r="C85" s="97">
        <f t="array" ref="C85">LET(
  cat_code, "10",
  current, INDEX(ipc_gba!D:D, MATCH(cat_code&amp;A85, ipc_gba!F:F, 0)),
  previous, INDEX(ipc_gba!D:D, MATCH(cat_code&amp;A84, ipc_gba!F:F, 0)),
  previous_index, C84,
  IF(OR(ISBLANK(current), previous = 0),
    previous_index,
    (current / previous) * previous_index)
)</f>
        <v>123.0068598</v>
      </c>
      <c r="D85" s="97">
        <f t="array" ref="D85">LET(
  cat_code, "01",
  current, INDEX(ipc_gba!D:D, MATCH(cat_code&amp;A85, ipc_gba!F:F, 0)),
  previous, INDEX(ipc_gba!D:D, MATCH(cat_code&amp;A84, ipc_gba!F:F, 0)),
  previous_index, D84,
  IF(OR(ISBLANK(current), previous = 0),
    previous_index,
    (current / previous) * previous_index)
)</f>
        <v>112.6626465</v>
      </c>
      <c r="E85" s="97">
        <f t="array" ref="E85">LET(
  cat_code, "05",
  current, INDEX(ipc_gba!D:D, MATCH(cat_code&amp;A85, ipc_gba!F:F, 0)),
  previous, INDEX(ipc_gba!D:D, MATCH(cat_code&amp;A84, ipc_gba!F:F, 0)),
  previous_index, E84,
  IF(OR(ISBLANK(current), previous = 0),
    previous_index,
    (current / previous) * previous_index)
)</f>
        <v>115.9466415</v>
      </c>
      <c r="F85" s="97">
        <f t="array" ref="F85">LET(
  cat_code, "06",
  current, INDEX(ipc_gba!D:D, MATCH(cat_code&amp;A85, ipc_gba!F:F, 0)),
  previous, INDEX(ipc_gba!D:D, MATCH(cat_code&amp;A84, ipc_gba!F:F, 0)),
  previous_index, F84,
  IF(OR(ISBLANK(current), previous = 0),
    previous_index,
    (current / previous) * previous_index)
)</f>
        <v>124.3791385</v>
      </c>
      <c r="G85" s="97">
        <f t="array" ref="G85">LET(
  cat_code, "04",
  current, INDEX(ipc_gba!D:D, MATCH(cat_code&amp;A85, ipc_gba!F:F, 0)),
  previous, INDEX(ipc_gba!D:D, MATCH(cat_code&amp;A84, ipc_gba!F:F, 0)),
  previous_index, G84,
  IF(OR(ISBLANK(current), previous = 0),
    previous_index,
    (current / previous) * previous_index)
)</f>
        <v>139.1842551</v>
      </c>
      <c r="H85" s="97">
        <f t="array" ref="H85">LET(
  cat_code, "12",
  current, INDEX(ipc_gba!D:D, MATCH(cat_code&amp;A85, ipc_gba!F:F, 0)),
  previous, INDEX(ipc_gba!D:D, MATCH(cat_code&amp;A84, ipc_gba!F:F, 0)),
  previous_index, H84,
  IF(OR(ISBLANK(current), previous = 0),
    previous_index,
    (current / previous) * previous_index)
)</f>
        <v>116.3358447</v>
      </c>
      <c r="I85" s="97">
        <f t="array" ref="I85">LET(
  cat_code, "09",
  current, INDEX(ipc_gba!D:D, MATCH(cat_code&amp;A85, ipc_gba!F:F, 0)),
  previous, INDEX(ipc_gba!D:D, MATCH(cat_code&amp;A84, ipc_gba!F:F, 0)),
  previous_index, I84,
  IF(OR(ISBLANK(current), previous = 0),
    previous_index,
    (current / previous) * previous_index)
)</f>
        <v>121.0790263</v>
      </c>
      <c r="J85" s="97">
        <f t="array" ref="J85">LET(
  cat_code, "11",
  current, INDEX(ipc_gba!D:D, MATCH(cat_code&amp;A85, ipc_gba!F:F, 0)),
  previous, INDEX(ipc_gba!D:D, MATCH(cat_code&amp;A84, ipc_gba!F:F, 0)),
  previous_index, J84,
  IF(OR(ISBLANK(current), previous = 0),
    previous_index,
    (current / previous) * previous_index)
)</f>
        <v>129.8843851</v>
      </c>
      <c r="K85" s="98">
        <f t="array" ref="K85">LET(
  cat_code, "07",
  current, INDEX(ipc_gba!D:D, MATCH(cat_code&amp;A85, ipc_gba!F:F, 0)),
  previous, INDEX(ipc_gba!D:D, MATCH(cat_code&amp;A84, ipc_gba!F:F, 0)),
  previous_index, K84,
  IF(OR(ISBLANK(current), previous = 0),
    previous_index,
    (current / previous) * previous_index)
)</f>
        <v>119.5141443</v>
      </c>
    </row>
    <row r="86">
      <c r="A86" s="80" t="str">
        <f t="shared" si="26"/>
        <v>202411</v>
      </c>
      <c r="B86" s="97">
        <f t="array" ref="B86">LET(
  cat_code, "03",
  current, INDEX(ipc_gba!D:D, MATCH(cat_code&amp;A86, ipc_gba!F:F, 0)),
  previous, INDEX(ipc_gba!D:D, MATCH(cat_code&amp;A85, ipc_gba!F:F, 0)),
  previous_index, B85,
  IF(OR(ISBLANK(current), previous = 0),
    previous_index,
    (current / previous) * previous_index)
)</f>
        <v>119.6333354</v>
      </c>
      <c r="C86" s="97">
        <f t="array" ref="C86">LET(
  cat_code, "10",
  current, INDEX(ipc_gba!D:D, MATCH(cat_code&amp;A86, ipc_gba!F:F, 0)),
  previous, INDEX(ipc_gba!D:D, MATCH(cat_code&amp;A85, ipc_gba!F:F, 0)),
  previous_index, C85,
  IF(OR(ISBLANK(current), previous = 0),
    previous_index,
    (current / previous) * previous_index)
)</f>
        <v>128.1844907</v>
      </c>
      <c r="D86" s="97">
        <f t="array" ref="D86">LET(
  cat_code, "01",
  current, INDEX(ipc_gba!D:D, MATCH(cat_code&amp;A86, ipc_gba!F:F, 0)),
  previous, INDEX(ipc_gba!D:D, MATCH(cat_code&amp;A85, ipc_gba!F:F, 0)),
  previous_index, D85,
  IF(OR(ISBLANK(current), previous = 0),
    previous_index,
    (current / previous) * previous_index)
)</f>
        <v>113.7398773</v>
      </c>
      <c r="E86" s="97">
        <f t="array" ref="E86">LET(
  cat_code, "05",
  current, INDEX(ipc_gba!D:D, MATCH(cat_code&amp;A86, ipc_gba!F:F, 0)),
  previous, INDEX(ipc_gba!D:D, MATCH(cat_code&amp;A85, ipc_gba!F:F, 0)),
  previous_index, E85,
  IF(OR(ISBLANK(current), previous = 0),
    previous_index,
    (current / previous) * previous_index)
)</f>
        <v>117.4093774</v>
      </c>
      <c r="F86" s="97">
        <f t="array" ref="F86">LET(
  cat_code, "06",
  current, INDEX(ipc_gba!D:D, MATCH(cat_code&amp;A86, ipc_gba!F:F, 0)),
  previous, INDEX(ipc_gba!D:D, MATCH(cat_code&amp;A85, ipc_gba!F:F, 0)),
  previous_index, F85,
  IF(OR(ISBLANK(current), previous = 0),
    previous_index,
    (current / previous) * previous_index)
)</f>
        <v>128.3243383</v>
      </c>
      <c r="G86" s="97">
        <f t="array" ref="G86">LET(
  cat_code, "04",
  current, INDEX(ipc_gba!D:D, MATCH(cat_code&amp;A86, ipc_gba!F:F, 0)),
  previous, INDEX(ipc_gba!D:D, MATCH(cat_code&amp;A85, ipc_gba!F:F, 0)),
  previous_index, G85,
  IF(OR(ISBLANK(current), previous = 0),
    previous_index,
    (current / previous) * previous_index)
)</f>
        <v>145.4588268</v>
      </c>
      <c r="H86" s="97">
        <f t="array" ref="H86">LET(
  cat_code, "12",
  current, INDEX(ipc_gba!D:D, MATCH(cat_code&amp;A86, ipc_gba!F:F, 0)),
  previous, INDEX(ipc_gba!D:D, MATCH(cat_code&amp;A85, ipc_gba!F:F, 0)),
  previous_index, H85,
  IF(OR(ISBLANK(current), previous = 0),
    previous_index,
    (current / previous) * previous_index)
)</f>
        <v>119.326847</v>
      </c>
      <c r="I86" s="97">
        <f t="array" ref="I86">LET(
  cat_code, "09",
  current, INDEX(ipc_gba!D:D, MATCH(cat_code&amp;A86, ipc_gba!F:F, 0)),
  previous, INDEX(ipc_gba!D:D, MATCH(cat_code&amp;A85, ipc_gba!F:F, 0)),
  previous_index, I85,
  IF(OR(ISBLANK(current), previous = 0),
    previous_index,
    (current / previous) * previous_index)
)</f>
        <v>124.0591143</v>
      </c>
      <c r="J86" s="97">
        <f t="array" ref="J86">LET(
  cat_code, "11",
  current, INDEX(ipc_gba!D:D, MATCH(cat_code&amp;A86, ipc_gba!F:F, 0)),
  previous, INDEX(ipc_gba!D:D, MATCH(cat_code&amp;A85, ipc_gba!F:F, 0)),
  previous_index, J85,
  IF(OR(ISBLANK(current), previous = 0),
    previous_index,
    (current / previous) * previous_index)
)</f>
        <v>134.0728673</v>
      </c>
      <c r="K86" s="98">
        <f t="array" ref="K86">LET(
  cat_code, "07",
  current, INDEX(ipc_gba!D:D, MATCH(cat_code&amp;A86, ipc_gba!F:F, 0)),
  previous, INDEX(ipc_gba!D:D, MATCH(cat_code&amp;A85, ipc_gba!F:F, 0)),
  previous_index, K85,
  IF(OR(ISBLANK(current), previous = 0),
    previous_index,
    (current / previous) * previous_index)
)</f>
        <v>124.8337226</v>
      </c>
    </row>
    <row r="87">
      <c r="A87" s="80" t="str">
        <f t="shared" si="26"/>
        <v>202412</v>
      </c>
      <c r="B87" s="97">
        <f t="array" ref="B87">LET(
  cat_code, "03",
  current, INDEX(ipc_gba!D:D, MATCH(cat_code&amp;A87, ipc_gba!F:F, 0)),
  previous, INDEX(ipc_gba!D:D, MATCH(cat_code&amp;A86, ipc_gba!F:F, 0)),
  previous_index, B86,
  IF(OR(ISBLANK(current), previous = 0),
    previous_index,
    (current / previous) * previous_index)
)</f>
        <v>121.2897206</v>
      </c>
      <c r="C87" s="97">
        <f t="array" ref="C87">LET(
  cat_code, "10",
  current, INDEX(ipc_gba!D:D, MATCH(cat_code&amp;A87, ipc_gba!F:F, 0)),
  previous, INDEX(ipc_gba!D:D, MATCH(cat_code&amp;A86, ipc_gba!F:F, 0)),
  previous_index, C86,
  IF(OR(ISBLANK(current), previous = 0),
    previous_index,
    (current / previous) * previous_index)
)</f>
        <v>131.0952213</v>
      </c>
      <c r="D87" s="97">
        <f t="array" ref="D87">LET(
  cat_code, "01",
  current, INDEX(ipc_gba!D:D, MATCH(cat_code&amp;A87, ipc_gba!F:F, 0)),
  previous, INDEX(ipc_gba!D:D, MATCH(cat_code&amp;A86, ipc_gba!F:F, 0)),
  previous_index, D86,
  IF(OR(ISBLANK(current), previous = 0),
    previous_index,
    (current / previous) * previous_index)
)</f>
        <v>116.2511613</v>
      </c>
      <c r="E87" s="97">
        <f t="array" ref="E87">LET(
  cat_code, "05",
  current, INDEX(ipc_gba!D:D, MATCH(cat_code&amp;A87, ipc_gba!F:F, 0)),
  previous, INDEX(ipc_gba!D:D, MATCH(cat_code&amp;A86, ipc_gba!F:F, 0)),
  previous_index, E86,
  IF(OR(ISBLANK(current), previous = 0),
    previous_index,
    (current / previous) * previous_index)
)</f>
        <v>117.9863304</v>
      </c>
      <c r="F87" s="97">
        <f t="array" ref="F87">LET(
  cat_code, "06",
  current, INDEX(ipc_gba!D:D, MATCH(cat_code&amp;A87, ipc_gba!F:F, 0)),
  previous, INDEX(ipc_gba!D:D, MATCH(cat_code&amp;A86, ipc_gba!F:F, 0)),
  previous_index, F86,
  IF(OR(ISBLANK(current), previous = 0),
    previous_index,
    (current / previous) * previous_index)
)</f>
        <v>131.5011005</v>
      </c>
      <c r="G87" s="97">
        <f t="array" ref="G87">LET(
  cat_code, "04",
  current, INDEX(ipc_gba!D:D, MATCH(cat_code&amp;A87, ipc_gba!F:F, 0)),
  previous, INDEX(ipc_gba!D:D, MATCH(cat_code&amp;A86, ipc_gba!F:F, 0)),
  previous_index, G86,
  IF(OR(ISBLANK(current), previous = 0),
    previous_index,
    (current / previous) * previous_index)
)</f>
        <v>153.4802788</v>
      </c>
      <c r="H87" s="97">
        <f t="array" ref="H87">LET(
  cat_code, "12",
  current, INDEX(ipc_gba!D:D, MATCH(cat_code&amp;A87, ipc_gba!F:F, 0)),
  previous, INDEX(ipc_gba!D:D, MATCH(cat_code&amp;A86, ipc_gba!F:F, 0)),
  previous_index, H86,
  IF(OR(ISBLANK(current), previous = 0),
    previous_index,
    (current / previous) * previous_index)
)</f>
        <v>121.7150635</v>
      </c>
      <c r="I87" s="97">
        <f t="array" ref="I87">LET(
  cat_code, "09",
  current, INDEX(ipc_gba!D:D, MATCH(cat_code&amp;A87, ipc_gba!F:F, 0)),
  previous, INDEX(ipc_gba!D:D, MATCH(cat_code&amp;A86, ipc_gba!F:F, 0)),
  previous_index, I86,
  IF(OR(ISBLANK(current), previous = 0),
    previous_index,
    (current / previous) * previous_index)
)</f>
        <v>129.4809649</v>
      </c>
      <c r="J87" s="97">
        <f t="array" ref="J87">LET(
  cat_code, "11",
  current, INDEX(ipc_gba!D:D, MATCH(cat_code&amp;A87, ipc_gba!F:F, 0)),
  previous, INDEX(ipc_gba!D:D, MATCH(cat_code&amp;A86, ipc_gba!F:F, 0)),
  previous_index, J86,
  IF(OR(ISBLANK(current), previous = 0),
    previous_index,
    (current / previous) * previous_index)
)</f>
        <v>140.4296773</v>
      </c>
      <c r="K87" s="98">
        <f t="array" ref="K87">LET(
  cat_code, "07",
  current, INDEX(ipc_gba!D:D, MATCH(cat_code&amp;A87, ipc_gba!F:F, 0)),
  previous, INDEX(ipc_gba!D:D, MATCH(cat_code&amp;A86, ipc_gba!F:F, 0)),
  previous_index, K86,
  IF(OR(ISBLANK(current), previous = 0),
    previous_index,
    (current / previous) * previous_index)
)</f>
        <v>127.001404</v>
      </c>
    </row>
    <row r="88">
      <c r="A88" s="80" t="str">
        <f t="shared" si="26"/>
        <v>202501</v>
      </c>
      <c r="B88" s="97">
        <f t="array" ref="B88">LET(
  cat_code, "03",
  current, INDEX(ipc_gba!D:D, MATCH(cat_code&amp;A88, ipc_gba!F:F, 0)),
  previous, INDEX(ipc_gba!D:D, MATCH(cat_code&amp;A87, ipc_gba!F:F, 0)),
  previous_index, B87,
  IF(OR(ISBLANK(current), previous = 0),
    previous_index,
    (current / previous) * previous_index)
)</f>
        <v>118.4403336</v>
      </c>
      <c r="C88" s="97">
        <f t="array" ref="C88">LET(
  cat_code, "10",
  current, INDEX(ipc_gba!D:D, MATCH(cat_code&amp;A88, ipc_gba!F:F, 0)),
  previous, INDEX(ipc_gba!D:D, MATCH(cat_code&amp;A87, ipc_gba!F:F, 0)),
  previous_index, C87,
  IF(OR(ISBLANK(current), previous = 0),
    previous_index,
    (current / previous) * previous_index)
)</f>
        <v>131.5710011</v>
      </c>
      <c r="D88" s="97">
        <f t="array" ref="D88">LET(
  cat_code, "01",
  current, INDEX(ipc_gba!D:D, MATCH(cat_code&amp;A88, ipc_gba!F:F, 0)),
  previous, INDEX(ipc_gba!D:D, MATCH(cat_code&amp;A87, ipc_gba!F:F, 0)),
  previous_index, D87,
  IF(OR(ISBLANK(current), previous = 0),
    previous_index,
    (current / previous) * previous_index)
)</f>
        <v>118.4523383</v>
      </c>
      <c r="E88" s="97">
        <f t="array" ref="E88">LET(
  cat_code, "05",
  current, INDEX(ipc_gba!D:D, MATCH(cat_code&amp;A88, ipc_gba!F:F, 0)),
  previous, INDEX(ipc_gba!D:D, MATCH(cat_code&amp;A87, ipc_gba!F:F, 0)),
  previous_index, E87,
  IF(OR(ISBLANK(current), previous = 0),
    previous_index,
    (current / previous) * previous_index)
)</f>
        <v>119.8536128</v>
      </c>
      <c r="F88" s="97">
        <f t="array" ref="F88">LET(
  cat_code, "06",
  current, INDEX(ipc_gba!D:D, MATCH(cat_code&amp;A88, ipc_gba!F:F, 0)),
  previous, INDEX(ipc_gba!D:D, MATCH(cat_code&amp;A87, ipc_gba!F:F, 0)),
  previous_index, F87,
  IF(OR(ISBLANK(current), previous = 0),
    previous_index,
    (current / previous) * previous_index)
)</f>
        <v>134.8718553</v>
      </c>
      <c r="G88" s="97">
        <f t="array" ref="G88">LET(
  cat_code, "04",
  current, INDEX(ipc_gba!D:D, MATCH(cat_code&amp;A88, ipc_gba!F:F, 0)),
  previous, INDEX(ipc_gba!D:D, MATCH(cat_code&amp;A87, ipc_gba!F:F, 0)),
  previous_index, G87,
  IF(OR(ISBLANK(current), previous = 0),
    previous_index,
    (current / previous) * previous_index)
)</f>
        <v>156.8663159</v>
      </c>
      <c r="H88" s="97">
        <f t="array" ref="H88">LET(
  cat_code, "12",
  current, INDEX(ipc_gba!D:D, MATCH(cat_code&amp;A88, ipc_gba!F:F, 0)),
  previous, INDEX(ipc_gba!D:D, MATCH(cat_code&amp;A87, ipc_gba!F:F, 0)),
  previous_index, H87,
  IF(OR(ISBLANK(current), previous = 0),
    previous_index,
    (current / previous) * previous_index)
)</f>
        <v>125.7031738</v>
      </c>
      <c r="I88" s="97">
        <f t="array" ref="I88">LET(
  cat_code, "09",
  current, INDEX(ipc_gba!D:D, MATCH(cat_code&amp;A88, ipc_gba!F:F, 0)),
  previous, INDEX(ipc_gba!D:D, MATCH(cat_code&amp;A87, ipc_gba!F:F, 0)),
  previous_index, I87,
  IF(OR(ISBLANK(current), previous = 0),
    previous_index,
    (current / previous) * previous_index)
)</f>
        <v>133.0362615</v>
      </c>
      <c r="J88" s="97">
        <f t="array" ref="J88">LET(
  cat_code, "11",
  current, INDEX(ipc_gba!D:D, MATCH(cat_code&amp;A88, ipc_gba!F:F, 0)),
  previous, INDEX(ipc_gba!D:D, MATCH(cat_code&amp;A87, ipc_gba!F:F, 0)),
  previous_index, J87,
  IF(OR(ISBLANK(current), previous = 0),
    previous_index,
    (current / previous) * previous_index)
)</f>
        <v>147.7656849</v>
      </c>
      <c r="K88" s="98">
        <f t="array" ref="K88">LET(
  cat_code, "07",
  current, INDEX(ipc_gba!D:D, MATCH(cat_code&amp;A88, ipc_gba!F:F, 0)),
  previous, INDEX(ipc_gba!D:D, MATCH(cat_code&amp;A87, ipc_gba!F:F, 0)),
  previous_index, K87,
  IF(OR(ISBLANK(current), previous = 0),
    previous_index,
    (current / previous) * previous_index)
)</f>
        <v>128.0471564</v>
      </c>
    </row>
    <row r="89">
      <c r="A89" s="80" t="str">
        <f t="shared" si="26"/>
        <v>202502</v>
      </c>
      <c r="B89" s="97">
        <f t="array" ref="B89">LET(
  cat_code, "03",
  current, INDEX(ipc_gba!D:D, MATCH(cat_code&amp;A89, ipc_gba!F:F, 0)),
  previous, INDEX(ipc_gba!D:D, MATCH(cat_code&amp;A88, ipc_gba!F:F, 0)),
  previous_index, B88,
  IF(OR(ISBLANK(current), previous = 0),
    previous_index,
    (current / previous) * previous_index)
)</f>
        <v>119.0825281</v>
      </c>
      <c r="C89" s="97">
        <f t="array" ref="C89">LET(
  cat_code, "10",
  current, INDEX(ipc_gba!D:D, MATCH(cat_code&amp;A89, ipc_gba!F:F, 0)),
  previous, INDEX(ipc_gba!D:D, MATCH(cat_code&amp;A88, ipc_gba!F:F, 0)),
  previous_index, C88,
  IF(OR(ISBLANK(current), previous = 0),
    previous_index,
    (current / previous) * previous_index)
)</f>
        <v>133.6809772</v>
      </c>
      <c r="D89" s="97">
        <f t="array" ref="D89">LET(
  cat_code, "01",
  current, INDEX(ipc_gba!D:D, MATCH(cat_code&amp;A89, ipc_gba!F:F, 0)),
  previous, INDEX(ipc_gba!D:D, MATCH(cat_code&amp;A88, ipc_gba!F:F, 0)),
  previous_index, D88,
  IF(OR(ISBLANK(current), previous = 0),
    previous_index,
    (current / previous) * previous_index)
)</f>
        <v>122.1902129</v>
      </c>
      <c r="E89" s="97">
        <f t="array" ref="E89">LET(
  cat_code, "05",
  current, INDEX(ipc_gba!D:D, MATCH(cat_code&amp;A89, ipc_gba!F:F, 0)),
  previous, INDEX(ipc_gba!D:D, MATCH(cat_code&amp;A88, ipc_gba!F:F, 0)),
  previous_index, E88,
  IF(OR(ISBLANK(current), previous = 0),
    previous_index,
    (current / previous) * previous_index)
)</f>
        <v>121.3472954</v>
      </c>
      <c r="F89" s="97">
        <f t="array" ref="F89">LET(
  cat_code, "06",
  current, INDEX(ipc_gba!D:D, MATCH(cat_code&amp;A89, ipc_gba!F:F, 0)),
  previous, INDEX(ipc_gba!D:D, MATCH(cat_code&amp;A88, ipc_gba!F:F, 0)),
  previous_index, F88,
  IF(OR(ISBLANK(current), previous = 0),
    previous_index,
    (current / previous) * previous_index)
)</f>
        <v>137.4457866</v>
      </c>
      <c r="G89" s="97">
        <f t="array" ref="G89">LET(
  cat_code, "04",
  current, INDEX(ipc_gba!D:D, MATCH(cat_code&amp;A89, ipc_gba!F:F, 0)),
  previous, INDEX(ipc_gba!D:D, MATCH(cat_code&amp;A88, ipc_gba!F:F, 0)),
  previous_index, G88,
  IF(OR(ISBLANK(current), previous = 0),
    previous_index,
    (current / previous) * previous_index)
)</f>
        <v>161.8049456</v>
      </c>
      <c r="H89" s="97">
        <f t="array" ref="H89">LET(
  cat_code, "12",
  current, INDEX(ipc_gba!D:D, MATCH(cat_code&amp;A89, ipc_gba!F:F, 0)),
  previous, INDEX(ipc_gba!D:D, MATCH(cat_code&amp;A88, ipc_gba!F:F, 0)),
  previous_index, H88,
  IF(OR(ISBLANK(current), previous = 0),
    previous_index,
    (current / previous) * previous_index)
)</f>
        <v>129.6655729</v>
      </c>
      <c r="I89" s="97">
        <f t="array" ref="I89">LET(
  cat_code, "09",
  current, INDEX(ipc_gba!D:D, MATCH(cat_code&amp;A89, ipc_gba!F:F, 0)),
  previous, INDEX(ipc_gba!D:D, MATCH(cat_code&amp;A88, ipc_gba!F:F, 0)),
  previous_index, I88,
  IF(OR(ISBLANK(current), previous = 0),
    previous_index,
    (current / previous) * previous_index)
)</f>
        <v>136.6035804</v>
      </c>
      <c r="J89" s="97">
        <f t="array" ref="J89">LET(
  cat_code, "11",
  current, INDEX(ipc_gba!D:D, MATCH(cat_code&amp;A89, ipc_gba!F:F, 0)),
  previous, INDEX(ipc_gba!D:D, MATCH(cat_code&amp;A88, ipc_gba!F:F, 0)),
  previous_index, J88,
  IF(OR(ISBLANK(current), previous = 0),
    previous_index,
    (current / previous) * previous_index)
)</f>
        <v>150.5264753</v>
      </c>
      <c r="K89" s="98">
        <f t="array" ref="K89">LET(
  cat_code, "07",
  current, INDEX(ipc_gba!D:D, MATCH(cat_code&amp;A89, ipc_gba!F:F, 0)),
  previous, INDEX(ipc_gba!D:D, MATCH(cat_code&amp;A88, ipc_gba!F:F, 0)),
  previous_index, K88,
  IF(OR(ISBLANK(current), previous = 0),
    previous_index,
    (current / previous) * previous_index)
)</f>
        <v>130.0584585</v>
      </c>
    </row>
    <row r="90">
      <c r="A90" s="80" t="str">
        <f t="shared" si="26"/>
        <v>202503</v>
      </c>
      <c r="B90" s="97">
        <f t="array" ref="B90">LET(
  cat_code, "03",
  current, INDEX(ipc_gba!D:D, MATCH(cat_code&amp;A90, ipc_gba!F:F, 0)),
  previous, INDEX(ipc_gba!D:D, MATCH(cat_code&amp;A89, ipc_gba!F:F, 0)),
  previous_index, B89,
  IF(OR(ISBLANK(current), previous = 0),
    previous_index,
    (current / previous) * previous_index)
)</f>
        <v>125.7094681</v>
      </c>
      <c r="C90" s="97">
        <f t="array" ref="C90">LET(
  cat_code, "10",
  current, INDEX(ipc_gba!D:D, MATCH(cat_code&amp;A90, ipc_gba!F:F, 0)),
  previous, INDEX(ipc_gba!D:D, MATCH(cat_code&amp;A89, ipc_gba!F:F, 0)),
  previous_index, C89,
  IF(OR(ISBLANK(current), previous = 0),
    previous_index,
    (current / previous) * previous_index)
)</f>
        <v>155.0239866</v>
      </c>
      <c r="D90" s="97">
        <f t="array" ref="D90">LET(
  cat_code, "01",
  current, INDEX(ipc_gba!D:D, MATCH(cat_code&amp;A90, ipc_gba!F:F, 0)),
  previous, INDEX(ipc_gba!D:D, MATCH(cat_code&amp;A89, ipc_gba!F:F, 0)),
  previous_index, D89,
  IF(OR(ISBLANK(current), previous = 0),
    previous_index,
    (current / previous) * previous_index)
)</f>
        <v>129.8845913</v>
      </c>
      <c r="E90" s="97">
        <f t="array" ref="E90">LET(
  cat_code, "05",
  current, INDEX(ipc_gba!D:D, MATCH(cat_code&amp;A90, ipc_gba!F:F, 0)),
  previous, INDEX(ipc_gba!D:D, MATCH(cat_code&amp;A89, ipc_gba!F:F, 0)),
  previous_index, E89,
  IF(OR(ISBLANK(current), previous = 0),
    previous_index,
    (current / previous) * previous_index)
)</f>
        <v>122.9919283</v>
      </c>
      <c r="F90" s="97">
        <f t="array" ref="F90">LET(
  cat_code, "06",
  current, INDEX(ipc_gba!D:D, MATCH(cat_code&amp;A90, ipc_gba!F:F, 0)),
  previous, INDEX(ipc_gba!D:D, MATCH(cat_code&amp;A89, ipc_gba!F:F, 0)),
  previous_index, F89,
  IF(OR(ISBLANK(current), previous = 0),
    previous_index,
    (current / previous) * previous_index)
)</f>
        <v>140.0771047</v>
      </c>
      <c r="G90" s="97">
        <f t="array" ref="G90">LET(
  cat_code, "04",
  current, INDEX(ipc_gba!D:D, MATCH(cat_code&amp;A90, ipc_gba!F:F, 0)),
  previous, INDEX(ipc_gba!D:D, MATCH(cat_code&amp;A89, ipc_gba!F:F, 0)),
  previous_index, G89,
  IF(OR(ISBLANK(current), previous = 0),
    previous_index,
    (current / previous) * previous_index)
)</f>
        <v>166.725352</v>
      </c>
      <c r="H90" s="97">
        <f t="array" ref="H90">LET(
  cat_code, "12",
  current, INDEX(ipc_gba!D:D, MATCH(cat_code&amp;A90, ipc_gba!F:F, 0)),
  previous, INDEX(ipc_gba!D:D, MATCH(cat_code&amp;A89, ipc_gba!F:F, 0)),
  previous_index, H89,
  IF(OR(ISBLANK(current), previous = 0),
    previous_index,
    (current / previous) * previous_index)
)</f>
        <v>135.1921225</v>
      </c>
      <c r="I90" s="97">
        <f t="array" ref="I90">LET(
  cat_code, "09",
  current, INDEX(ipc_gba!D:D, MATCH(cat_code&amp;A90, ipc_gba!F:F, 0)),
  previous, INDEX(ipc_gba!D:D, MATCH(cat_code&amp;A89, ipc_gba!F:F, 0)),
  previous_index, I89,
  IF(OR(ISBLANK(current), previous = 0),
    previous_index,
    (current / previous) * previous_index)
)</f>
        <v>136.2209141</v>
      </c>
      <c r="J90" s="97">
        <f t="array" ref="J90">LET(
  cat_code, "11",
  current, INDEX(ipc_gba!D:D, MATCH(cat_code&amp;A90, ipc_gba!F:F, 0)),
  previous, INDEX(ipc_gba!D:D, MATCH(cat_code&amp;A89, ipc_gba!F:F, 0)),
  previous_index, J89,
  IF(OR(ISBLANK(current), previous = 0),
    previous_index,
    (current / previous) * previous_index)
)</f>
        <v>156.1809214</v>
      </c>
      <c r="K90" s="98">
        <f t="array" ref="K90">LET(
  cat_code, "07",
  current, INDEX(ipc_gba!D:D, MATCH(cat_code&amp;A90, ipc_gba!F:F, 0)),
  previous, INDEX(ipc_gba!D:D, MATCH(cat_code&amp;A89, ipc_gba!F:F, 0)),
  previous_index, K89,
  IF(OR(ISBLANK(current), previous = 0),
    previous_index,
    (current / previous) * previous_index)
)</f>
        <v>132.2301004</v>
      </c>
    </row>
    <row r="91">
      <c r="A91" s="80" t="str">
        <f t="shared" si="26"/>
        <v>202504</v>
      </c>
      <c r="B91" s="97">
        <f t="array" ref="B91">LET(
  cat_code, "03",
  current, INDEX(ipc_gba!D:D, MATCH(cat_code&amp;A91, ipc_gba!F:F, 0)),
  previous, INDEX(ipc_gba!D:D, MATCH(cat_code&amp;A90, ipc_gba!F:F, 0)),
  previous_index, B90,
  IF(OR(ISBLANK(current), previous = 0),
    previous_index,
    (current / previous) * previous_index)
)</f>
        <v>131.6591713</v>
      </c>
      <c r="C91" s="97">
        <f t="array" ref="C91">LET(
  cat_code, "10",
  current, INDEX(ipc_gba!D:D, MATCH(cat_code&amp;A91, ipc_gba!F:F, 0)),
  previous, INDEX(ipc_gba!D:D, MATCH(cat_code&amp;A90, ipc_gba!F:F, 0)),
  previous_index, C90,
  IF(OR(ISBLANK(current), previous = 0),
    previous_index,
    (current / previous) * previous_index)
)</f>
        <v>157.7176353</v>
      </c>
      <c r="D91" s="97">
        <f t="array" ref="D91">LET(
  cat_code, "01",
  current, INDEX(ipc_gba!D:D, MATCH(cat_code&amp;A91, ipc_gba!F:F, 0)),
  previous, INDEX(ipc_gba!D:D, MATCH(cat_code&amp;A90, ipc_gba!F:F, 0)),
  previous_index, D90,
  IF(OR(ISBLANK(current), previous = 0),
    previous_index,
    (current / previous) * previous_index)
)</f>
        <v>133.5222304</v>
      </c>
      <c r="E91" s="97">
        <f t="array" ref="E91">LET(
  cat_code, "05",
  current, INDEX(ipc_gba!D:D, MATCH(cat_code&amp;A91, ipc_gba!F:F, 0)),
  previous, INDEX(ipc_gba!D:D, MATCH(cat_code&amp;A90, ipc_gba!F:F, 0)),
  previous_index, E90,
  IF(OR(ISBLANK(current), previous = 0),
    previous_index,
    (current / previous) * previous_index)
)</f>
        <v>124.4204256</v>
      </c>
      <c r="F91" s="97">
        <f t="array" ref="F91">LET(
  cat_code, "06",
  current, INDEX(ipc_gba!D:D, MATCH(cat_code&amp;A91, ipc_gba!F:F, 0)),
  previous, INDEX(ipc_gba!D:D, MATCH(cat_code&amp;A90, ipc_gba!F:F, 0)),
  previous_index, F90,
  IF(OR(ISBLANK(current), previous = 0),
    previous_index,
    (current / previous) * previous_index)
)</f>
        <v>144.1685441</v>
      </c>
      <c r="G91" s="97">
        <f t="array" ref="G91">LET(
  cat_code, "04",
  current, INDEX(ipc_gba!D:D, MATCH(cat_code&amp;A91, ipc_gba!F:F, 0)),
  previous, INDEX(ipc_gba!D:D, MATCH(cat_code&amp;A90, ipc_gba!F:F, 0)),
  previous_index, G90,
  IF(OR(ISBLANK(current), previous = 0),
    previous_index,
    (current / previous) * previous_index)
)</f>
        <v>169.616</v>
      </c>
      <c r="H91" s="97">
        <f t="array" ref="H91">LET(
  cat_code, "12",
  current, INDEX(ipc_gba!D:D, MATCH(cat_code&amp;A91, ipc_gba!F:F, 0)),
  previous, INDEX(ipc_gba!D:D, MATCH(cat_code&amp;A90, ipc_gba!F:F, 0)),
  previous_index, H90,
  IF(OR(ISBLANK(current), previous = 0),
    previous_index,
    (current / previous) * previous_index)
)</f>
        <v>138.6593108</v>
      </c>
      <c r="I91" s="97">
        <f t="array" ref="I91">LET(
  cat_code, "09",
  current, INDEX(ipc_gba!D:D, MATCH(cat_code&amp;A91, ipc_gba!F:F, 0)),
  previous, INDEX(ipc_gba!D:D, MATCH(cat_code&amp;A90, ipc_gba!F:F, 0)),
  previous_index, I90,
  IF(OR(ISBLANK(current), previous = 0),
    previous_index,
    (current / previous) * previous_index)
)</f>
        <v>139.8419071</v>
      </c>
      <c r="J91" s="97">
        <f t="array" ref="J91">LET(
  cat_code, "11",
  current, INDEX(ipc_gba!D:D, MATCH(cat_code&amp;A91, ipc_gba!F:F, 0)),
  previous, INDEX(ipc_gba!D:D, MATCH(cat_code&amp;A90, ipc_gba!F:F, 0)),
  previous_index, J90,
  IF(OR(ISBLANK(current), previous = 0),
    previous_index,
    (current / previous) * previous_index)
)</f>
        <v>162.7173346</v>
      </c>
      <c r="K91" s="98">
        <f t="array" ref="K91">LET(
  cat_code, "07",
  current, INDEX(ipc_gba!D:D, MATCH(cat_code&amp;A91, ipc_gba!F:F, 0)),
  previous, INDEX(ipc_gba!D:D, MATCH(cat_code&amp;A90, ipc_gba!F:F, 0)),
  previous_index, K90,
  IF(OR(ISBLANK(current), previous = 0),
    previous_index,
    (current / previous) * previous_index)
)</f>
        <v>134.4671165</v>
      </c>
    </row>
    <row r="92">
      <c r="A92" s="80" t="str">
        <f t="shared" si="26"/>
        <v>202505</v>
      </c>
      <c r="B92" s="97">
        <f t="array" ref="B92">LET(
  cat_code, "03",
  current, INDEX(ipc_gba!D:D, MATCH(cat_code&amp;A92, ipc_gba!F:F, 0)),
  previous, INDEX(ipc_gba!D:D, MATCH(cat_code&amp;A91, ipc_gba!F:F, 0)),
  previous_index, B91,
  IF(OR(ISBLANK(current), previous = 0),
    previous_index,
    (current / previous) * previous_index)
)</f>
        <v>131.8859759</v>
      </c>
      <c r="C92" s="97">
        <f t="array" ref="C92">LET(
  cat_code, "10",
  current, INDEX(ipc_gba!D:D, MATCH(cat_code&amp;A92, ipc_gba!F:F, 0)),
  previous, INDEX(ipc_gba!D:D, MATCH(cat_code&amp;A91, ipc_gba!F:F, 0)),
  previous_index, C91,
  IF(OR(ISBLANK(current), previous = 0),
    previous_index,
    (current / previous) * previous_index)
)</f>
        <v>160.378509</v>
      </c>
      <c r="D92" s="97">
        <f t="array" ref="D92">LET(
  cat_code, "01",
  current, INDEX(ipc_gba!D:D, MATCH(cat_code&amp;A92, ipc_gba!F:F, 0)),
  previous, INDEX(ipc_gba!D:D, MATCH(cat_code&amp;A91, ipc_gba!F:F, 0)),
  previous_index, D91,
  IF(OR(ISBLANK(current), previous = 0),
    previous_index,
    (current / previous) * previous_index)
)</f>
        <v>134.0664119</v>
      </c>
      <c r="E92" s="97">
        <f t="array" ref="E92">LET(
  cat_code, "05",
  current, INDEX(ipc_gba!D:D, MATCH(cat_code&amp;A92, ipc_gba!F:F, 0)),
  previous, INDEX(ipc_gba!D:D, MATCH(cat_code&amp;A91, ipc_gba!F:F, 0)),
  previous_index, E91,
  IF(OR(ISBLANK(current), previous = 0),
    previous_index,
    (current / previous) * previous_index)
)</f>
        <v>126.197202</v>
      </c>
      <c r="F92" s="97">
        <f t="array" ref="F92">LET(
  cat_code, "06",
  current, INDEX(ipc_gba!D:D, MATCH(cat_code&amp;A92, ipc_gba!F:F, 0)),
  previous, INDEX(ipc_gba!D:D, MATCH(cat_code&amp;A91, ipc_gba!F:F, 0)),
  previous_index, F91,
  IF(OR(ISBLANK(current), previous = 0),
    previous_index,
    (current / previous) * previous_index)
)</f>
        <v>147.6805049</v>
      </c>
      <c r="G92" s="97">
        <f t="array" ref="G92">LET(
  cat_code, "04",
  current, INDEX(ipc_gba!D:D, MATCH(cat_code&amp;A92, ipc_gba!F:F, 0)),
  previous, INDEX(ipc_gba!D:D, MATCH(cat_code&amp;A91, ipc_gba!F:F, 0)),
  previous_index, G91,
  IF(OR(ISBLANK(current), previous = 0),
    previous_index,
    (current / previous) * previous_index)
)</f>
        <v>174.5341782</v>
      </c>
      <c r="H92" s="97">
        <f t="array" ref="H92">LET(
  cat_code, "12",
  current, INDEX(ipc_gba!D:D, MATCH(cat_code&amp;A92, ipc_gba!F:F, 0)),
  previous, INDEX(ipc_gba!D:D, MATCH(cat_code&amp;A91, ipc_gba!F:F, 0)),
  previous_index, H91,
  IF(OR(ISBLANK(current), previous = 0),
    previous_index,
    (current / previous) * previous_index)
)</f>
        <v>142.7819704</v>
      </c>
      <c r="I92" s="97">
        <f t="array" ref="I92">LET(
  cat_code, "09",
  current, INDEX(ipc_gba!D:D, MATCH(cat_code&amp;A92, ipc_gba!F:F, 0)),
  previous, INDEX(ipc_gba!D:D, MATCH(cat_code&amp;A91, ipc_gba!F:F, 0)),
  previous_index, I91,
  IF(OR(ISBLANK(current), previous = 0),
    previous_index,
    (current / previous) * previous_index)
)</f>
        <v>141.2727561</v>
      </c>
      <c r="J92" s="97">
        <f t="array" ref="J92">LET(
  cat_code, "11",
  current, INDEX(ipc_gba!D:D, MATCH(cat_code&amp;A92, ipc_gba!F:F, 0)),
  previous, INDEX(ipc_gba!D:D, MATCH(cat_code&amp;A91, ipc_gba!F:F, 0)),
  previous_index, J91,
  IF(OR(ISBLANK(current), previous = 0),
    previous_index,
    (current / previous) * previous_index)
)</f>
        <v>167.6623944</v>
      </c>
      <c r="K92" s="98">
        <f t="array" ref="K92">LET(
  cat_code, "07",
  current, INDEX(ipc_gba!D:D, MATCH(cat_code&amp;A92, ipc_gba!F:F, 0)),
  previous, INDEX(ipc_gba!D:D, MATCH(cat_code&amp;A91, ipc_gba!F:F, 0)),
  previous_index, K91,
  IF(OR(ISBLANK(current), previous = 0),
    previous_index,
    (current / previous) * previous_index)
)</f>
        <v>135.1825285</v>
      </c>
    </row>
    <row r="93">
      <c r="A93" s="80" t="str">
        <f t="shared" si="26"/>
        <v>202506</v>
      </c>
      <c r="B93" s="97">
        <f t="array" ref="B93">LET(
  cat_code, "03",
  current, INDEX(ipc_gba!D:D, MATCH(cat_code&amp;A93, ipc_gba!F:F, 0)),
  previous, INDEX(ipc_gba!D:D, MATCH(cat_code&amp;A92, ipc_gba!F:F, 0)),
  previous_index, B92,
  IF(OR(ISBLANK(current), previous = 0),
    previous_index,
    (current / previous) * previous_index)
)</f>
        <v>131.7414034</v>
      </c>
      <c r="C93" s="97">
        <f t="array" ref="C93">LET(
  cat_code, "10",
  current, INDEX(ipc_gba!D:D, MATCH(cat_code&amp;A93, ipc_gba!F:F, 0)),
  previous, INDEX(ipc_gba!D:D, MATCH(cat_code&amp;A92, ipc_gba!F:F, 0)),
  previous_index, C92,
  IF(OR(ISBLANK(current), previous = 0),
    previous_index,
    (current / previous) * previous_index)
)</f>
        <v>166.3755849</v>
      </c>
      <c r="D93" s="97">
        <f t="array" ref="D93">LET(
  cat_code, "01",
  current, INDEX(ipc_gba!D:D, MATCH(cat_code&amp;A93, ipc_gba!F:F, 0)),
  previous, INDEX(ipc_gba!D:D, MATCH(cat_code&amp;A92, ipc_gba!F:F, 0)),
  previous_index, D92,
  IF(OR(ISBLANK(current), previous = 0),
    previous_index,
    (current / previous) * previous_index)
)</f>
        <v>135.2566624</v>
      </c>
      <c r="E93" s="97">
        <f t="array" ref="E93">LET(
  cat_code, "05",
  current, INDEX(ipc_gba!D:D, MATCH(cat_code&amp;A93, ipc_gba!F:F, 0)),
  previous, INDEX(ipc_gba!D:D, MATCH(cat_code&amp;A92, ipc_gba!F:F, 0)),
  previous_index, E92,
  IF(OR(ISBLANK(current), previous = 0),
    previous_index,
    (current / previous) * previous_index)
)</f>
        <v>128.8285078</v>
      </c>
      <c r="F93" s="97">
        <f t="array" ref="F93">LET(
  cat_code, "06",
  current, INDEX(ipc_gba!D:D, MATCH(cat_code&amp;A93, ipc_gba!F:F, 0)),
  previous, INDEX(ipc_gba!D:D, MATCH(cat_code&amp;A92, ipc_gba!F:F, 0)),
  previous_index, F92,
  IF(OR(ISBLANK(current), previous = 0),
    previous_index,
    (current / previous) * previous_index)
)</f>
        <v>150.9431069</v>
      </c>
      <c r="G93" s="97">
        <f t="array" ref="G93">LET(
  cat_code, "04",
  current, INDEX(ipc_gba!D:D, MATCH(cat_code&amp;A93, ipc_gba!F:F, 0)),
  previous, INDEX(ipc_gba!D:D, MATCH(cat_code&amp;A92, ipc_gba!F:F, 0)),
  previous_index, G92,
  IF(OR(ISBLANK(current), previous = 0),
    previous_index,
    (current / previous) * previous_index)
)</f>
        <v>181.9783524</v>
      </c>
      <c r="H93" s="97">
        <f t="array" ref="H93">LET(
  cat_code, "12",
  current, INDEX(ipc_gba!D:D, MATCH(cat_code&amp;A93, ipc_gba!F:F, 0)),
  previous, INDEX(ipc_gba!D:D, MATCH(cat_code&amp;A92, ipc_gba!F:F, 0)),
  previous_index, H92,
  IF(OR(ISBLANK(current), previous = 0),
    previous_index,
    (current / previous) * previous_index)
)</f>
        <v>143.914744</v>
      </c>
      <c r="I93" s="97">
        <f t="array" ref="I93">LET(
  cat_code, "09",
  current, INDEX(ipc_gba!D:D, MATCH(cat_code&amp;A93, ipc_gba!F:F, 0)),
  previous, INDEX(ipc_gba!D:D, MATCH(cat_code&amp;A92, ipc_gba!F:F, 0)),
  previous_index, I92,
  IF(OR(ISBLANK(current), previous = 0),
    previous_index,
    (current / previous) * previous_index)
)</f>
        <v>147.0134317</v>
      </c>
      <c r="J93" s="97">
        <f t="array" ref="J93">LET(
  cat_code, "11",
  current, INDEX(ipc_gba!D:D, MATCH(cat_code&amp;A93, ipc_gba!F:F, 0)),
  previous, INDEX(ipc_gba!D:D, MATCH(cat_code&amp;A92, ipc_gba!F:F, 0)),
  previous_index, J92,
  IF(OR(ISBLANK(current), previous = 0),
    previous_index,
    (current / previous) * previous_index)
)</f>
        <v>171.3455784</v>
      </c>
      <c r="K93" s="98">
        <f t="array" ref="K93">LET(
  cat_code, "07",
  current, INDEX(ipc_gba!D:D, MATCH(cat_code&amp;A93, ipc_gba!F:F, 0)),
  previous, INDEX(ipc_gba!D:D, MATCH(cat_code&amp;A92, ipc_gba!F:F, 0)),
  previous_index, K92,
  IF(OR(ISBLANK(current), previous = 0),
    previous_index,
    (current / previous) * previous_index)
)</f>
        <v>138.1149667</v>
      </c>
    </row>
    <row r="94">
      <c r="A94" s="80" t="str">
        <f t="shared" si="26"/>
        <v>202507</v>
      </c>
      <c r="B94" s="97">
        <f t="array" ref="B94">LET(
  cat_code, "03",
  current, INDEX(ipc_gba!D:D, MATCH(cat_code&amp;A94, ipc_gba!F:F, 0)),
  previous, INDEX(ipc_gba!D:D, MATCH(cat_code&amp;A93, ipc_gba!F:F, 0)),
  previous_index, B93,
  IF(OR(ISBLANK(current), previous = 0),
    previous_index,
    (current / previous) * previous_index)
)</f>
        <v>129.6150167</v>
      </c>
      <c r="C94" s="97">
        <f t="array" ref="C94">LET(
  cat_code, "10",
  current, INDEX(ipc_gba!D:D, MATCH(cat_code&amp;A94, ipc_gba!F:F, 0)),
  previous, INDEX(ipc_gba!D:D, MATCH(cat_code&amp;A93, ipc_gba!F:F, 0)),
  previous_index, C93,
  IF(OR(ISBLANK(current), previous = 0),
    previous_index,
    (current / previous) * previous_index)
)</f>
        <v>169.1092295</v>
      </c>
      <c r="D94" s="97">
        <f t="array" ref="D94">LET(
  cat_code, "01",
  current, INDEX(ipc_gba!D:D, MATCH(cat_code&amp;A94, ipc_gba!F:F, 0)),
  previous, INDEX(ipc_gba!D:D, MATCH(cat_code&amp;A93, ipc_gba!F:F, 0)),
  previous_index, D93,
  IF(OR(ISBLANK(current), previous = 0),
    previous_index,
    (current / previous) * previous_index)
)</f>
        <v>138.0191297</v>
      </c>
      <c r="E94" s="97">
        <f t="array" ref="E94">LET(
  cat_code, "05",
  current, INDEX(ipc_gba!D:D, MATCH(cat_code&amp;A94, ipc_gba!F:F, 0)),
  previous, INDEX(ipc_gba!D:D, MATCH(cat_code&amp;A93, ipc_gba!F:F, 0)),
  previous_index, E93,
  IF(OR(ISBLANK(current), previous = 0),
    previous_index,
    (current / previous) * previous_index)
)</f>
        <v>130.8923546</v>
      </c>
      <c r="F94" s="97">
        <f t="array" ref="F94">LET(
  cat_code, "06",
  current, INDEX(ipc_gba!D:D, MATCH(cat_code&amp;A94, ipc_gba!F:F, 0)),
  previous, INDEX(ipc_gba!D:D, MATCH(cat_code&amp;A93, ipc_gba!F:F, 0)),
  previous_index, F93,
  IF(OR(ISBLANK(current), previous = 0),
    previous_index,
    (current / previous) * previous_index)
)</f>
        <v>152.8241228</v>
      </c>
      <c r="G94" s="97">
        <f t="array" ref="G94">LET(
  cat_code, "04",
  current, INDEX(ipc_gba!D:D, MATCH(cat_code&amp;A94, ipc_gba!F:F, 0)),
  previous, INDEX(ipc_gba!D:D, MATCH(cat_code&amp;A93, ipc_gba!F:F, 0)),
  previous_index, G93,
  IF(OR(ISBLANK(current), previous = 0),
    previous_index,
    (current / previous) * previous_index)
)</f>
        <v>182.6594609</v>
      </c>
      <c r="H94" s="97">
        <f t="array" ref="H94">LET(
  cat_code, "12",
  current, INDEX(ipc_gba!D:D, MATCH(cat_code&amp;A94, ipc_gba!F:F, 0)),
  previous, INDEX(ipc_gba!D:D, MATCH(cat_code&amp;A93, ipc_gba!F:F, 0)),
  previous_index, H93,
  IF(OR(ISBLANK(current), previous = 0),
    previous_index,
    (current / previous) * previous_index)
)</f>
        <v>147.715613</v>
      </c>
      <c r="I94" s="97">
        <f t="array" ref="I94">LET(
  cat_code, "09",
  current, INDEX(ipc_gba!D:D, MATCH(cat_code&amp;A94, ipc_gba!F:F, 0)),
  previous, INDEX(ipc_gba!D:D, MATCH(cat_code&amp;A93, ipc_gba!F:F, 0)),
  previous_index, I93,
  IF(OR(ISBLANK(current), previous = 0),
    previous_index,
    (current / previous) * previous_index)
)</f>
        <v>153.5192011</v>
      </c>
      <c r="J94" s="97">
        <f t="array" ref="J94">LET(
  cat_code, "11",
  current, INDEX(ipc_gba!D:D, MATCH(cat_code&amp;A94, ipc_gba!F:F, 0)),
  previous, INDEX(ipc_gba!D:D, MATCH(cat_code&amp;A93, ipc_gba!F:F, 0)),
  previous_index, J93,
  IF(OR(ISBLANK(current), previous = 0),
    previous_index,
    (current / previous) * previous_index)
)</f>
        <v>176.1975174</v>
      </c>
      <c r="K94" s="98">
        <f t="array" ref="K94">LET(
  cat_code, "07",
  current, INDEX(ipc_gba!D:D, MATCH(cat_code&amp;A94, ipc_gba!F:F, 0)),
  previous, INDEX(ipc_gba!D:D, MATCH(cat_code&amp;A93, ipc_gba!F:F, 0)),
  previous_index, K93,
  IF(OR(ISBLANK(current), previous = 0),
    previous_index,
    (current / previous) * previous_index)
)</f>
        <v>142.4114979</v>
      </c>
    </row>
    <row r="95">
      <c r="A95" s="80" t="str">
        <f t="shared" si="26"/>
        <v>202508</v>
      </c>
      <c r="B95" s="97">
        <f t="array" ref="B95">LET(
  cat_code, "03",
  current, INDEX(ipc_gba!D:D, MATCH(cat_code&amp;A95, ipc_gba!F:F, 0)),
  previous, INDEX(ipc_gba!D:D, MATCH(cat_code&amp;A94, ipc_gba!F:F, 0)),
  previous_index, B94,
  IF(OR(ISBLANK(current), previous = 0),
    previous_index,
    (current / previous) * previous_index)
)</f>
        <v>129.7917497</v>
      </c>
      <c r="C95" s="97">
        <f t="array" ref="C95">LET(
  cat_code, "10",
  current, INDEX(ipc_gba!D:D, MATCH(cat_code&amp;A95, ipc_gba!F:F, 0)),
  previous, INDEX(ipc_gba!D:D, MATCH(cat_code&amp;A94, ipc_gba!F:F, 0)),
  previous_index, C94,
  IF(OR(ISBLANK(current), previous = 0),
    previous_index,
    (current / previous) * previous_index)
)</f>
        <v>171.4164097</v>
      </c>
      <c r="D95" s="97">
        <f t="array" ref="D95">LET(
  cat_code, "01",
  current, INDEX(ipc_gba!D:D, MATCH(cat_code&amp;A95, ipc_gba!F:F, 0)),
  previous, INDEX(ipc_gba!D:D, MATCH(cat_code&amp;A94, ipc_gba!F:F, 0)),
  previous_index, D94,
  IF(OR(ISBLANK(current), previous = 0),
    previous_index,
    (current / previous) * previous_index)
)</f>
        <v>140.086817</v>
      </c>
      <c r="E95" s="97">
        <f t="array" ref="E95">LET(
  cat_code, "05",
  current, INDEX(ipc_gba!D:D, MATCH(cat_code&amp;A95, ipc_gba!F:F, 0)),
  previous, INDEX(ipc_gba!D:D, MATCH(cat_code&amp;A94, ipc_gba!F:F, 0)),
  previous_index, E94,
  IF(OR(ISBLANK(current), previous = 0),
    previous_index,
    (current / previous) * previous_index)
)</f>
        <v>131.9863504</v>
      </c>
      <c r="F95" s="97">
        <f t="array" ref="F95">LET(
  cat_code, "06",
  current, INDEX(ipc_gba!D:D, MATCH(cat_code&amp;A95, ipc_gba!F:F, 0)),
  previous, INDEX(ipc_gba!D:D, MATCH(cat_code&amp;A94, ipc_gba!F:F, 0)),
  previous_index, F94,
  IF(OR(ISBLANK(current), previous = 0),
    previous_index,
    (current / previous) * previous_index)
)</f>
        <v>155.3885254</v>
      </c>
      <c r="G95" s="97">
        <f t="array" ref="G95">LET(
  cat_code, "04",
  current, INDEX(ipc_gba!D:D, MATCH(cat_code&amp;A95, ipc_gba!F:F, 0)),
  previous, INDEX(ipc_gba!D:D, MATCH(cat_code&amp;A94, ipc_gba!F:F, 0)),
  previous_index, G94,
  IF(OR(ISBLANK(current), previous = 0),
    previous_index,
    (current / previous) * previous_index)
)</f>
        <v>186.7814526</v>
      </c>
      <c r="H95" s="97">
        <f t="array" ref="H95">LET(
  cat_code, "12",
  current, INDEX(ipc_gba!D:D, MATCH(cat_code&amp;A95, ipc_gba!F:F, 0)),
  previous, INDEX(ipc_gba!D:D, MATCH(cat_code&amp;A94, ipc_gba!F:F, 0)),
  previous_index, H94,
  IF(OR(ISBLANK(current), previous = 0),
    previous_index,
    (current / previous) * previous_index)
)</f>
        <v>150.8980022</v>
      </c>
      <c r="I95" s="97">
        <f t="array" ref="I95">LET(
  cat_code, "09",
  current, INDEX(ipc_gba!D:D, MATCH(cat_code&amp;A95, ipc_gba!F:F, 0)),
  previous, INDEX(ipc_gba!D:D, MATCH(cat_code&amp;A94, ipc_gba!F:F, 0)),
  previous_index, I94,
  IF(OR(ISBLANK(current), previous = 0),
    previous_index,
    (current / previous) * previous_index)
)</f>
        <v>153.2279699</v>
      </c>
      <c r="J95" s="97">
        <f t="array" ref="J95">LET(
  cat_code, "11",
  current, INDEX(ipc_gba!D:D, MATCH(cat_code&amp;A95, ipc_gba!F:F, 0)),
  previous, INDEX(ipc_gba!D:D, MATCH(cat_code&amp;A94, ipc_gba!F:F, 0)),
  previous_index, J94,
  IF(OR(ISBLANK(current), previous = 0),
    previous_index,
    (current / previous) * previous_index)
)</f>
        <v>181.2022338</v>
      </c>
      <c r="K95" s="98">
        <f t="array" ref="K95">LET(
  cat_code, "07",
  current, INDEX(ipc_gba!D:D, MATCH(cat_code&amp;A95, ipc_gba!F:F, 0)),
  previous, INDEX(ipc_gba!D:D, MATCH(cat_code&amp;A94, ipc_gba!F:F, 0)),
  previous_index, K94,
  IF(OR(ISBLANK(current), previous = 0),
    previous_index,
    (current / previous) * previous_index)
)</f>
        <v>148.1085405</v>
      </c>
    </row>
    <row r="96">
      <c r="A96" s="80" t="str">
        <f t="shared" si="26"/>
        <v>202509</v>
      </c>
      <c r="B96" s="97">
        <f t="array" ref="B96">LET(
  cat_code, "03",
  current, INDEX(ipc_gba!D:D, MATCH(cat_code&amp;A96, ipc_gba!F:F, 0)),
  previous, INDEX(ipc_gba!D:D, MATCH(cat_code&amp;A95, ipc_gba!F:F, 0)),
  previous_index, B95,
  IF(OR(ISBLANK(current), previous = 0),
    previous_index,
    (current / previous) * previous_index)
)</f>
        <v>133.1114829</v>
      </c>
      <c r="C96" s="97">
        <f t="array" ref="C96">LET(
  cat_code, "10",
  current, INDEX(ipc_gba!D:D, MATCH(cat_code&amp;A96, ipc_gba!F:F, 0)),
  previous, INDEX(ipc_gba!D:D, MATCH(cat_code&amp;A95, ipc_gba!F:F, 0)),
  previous_index, C95,
  IF(OR(ISBLANK(current), previous = 0),
    previous_index,
    (current / previous) * previous_index)
)</f>
        <v>177.176782</v>
      </c>
      <c r="D96" s="97">
        <f t="array" ref="D96">LET(
  cat_code, "01",
  current, INDEX(ipc_gba!D:D, MATCH(cat_code&amp;A96, ipc_gba!F:F, 0)),
  previous, INDEX(ipc_gba!D:D, MATCH(cat_code&amp;A95, ipc_gba!F:F, 0)),
  previous_index, D95,
  IF(OR(ISBLANK(current), previous = 0),
    previous_index,
    (current / previous) * previous_index)
)</f>
        <v>142.8542817</v>
      </c>
      <c r="E96" s="97">
        <f t="array" ref="E96">LET(
  cat_code, "05",
  current, INDEX(ipc_gba!D:D, MATCH(cat_code&amp;A96, ipc_gba!F:F, 0)),
  previous, INDEX(ipc_gba!D:D, MATCH(cat_code&amp;A95, ipc_gba!F:F, 0)),
  previous_index, E95,
  IF(OR(ISBLANK(current), previous = 0),
    previous_index,
    (current / previous) * previous_index)
)</f>
        <v>135.3886698</v>
      </c>
      <c r="F96" s="97">
        <f t="array" ref="F96">LET(
  cat_code, "06",
  current, INDEX(ipc_gba!D:D, MATCH(cat_code&amp;A96, ipc_gba!F:F, 0)),
  previous, INDEX(ipc_gba!D:D, MATCH(cat_code&amp;A95, ipc_gba!F:F, 0)),
  previous_index, F95,
  IF(OR(ISBLANK(current), previous = 0),
    previous_index,
    (current / previous) * previous_index)
)</f>
        <v>158.4885225</v>
      </c>
      <c r="G96" s="97">
        <f t="array" ref="G96">LET(
  cat_code, "04",
  current, INDEX(ipc_gba!D:D, MATCH(cat_code&amp;A96, ipc_gba!F:F, 0)),
  previous, INDEX(ipc_gba!D:D, MATCH(cat_code&amp;A95, ipc_gba!F:F, 0)),
  previous_index, G95,
  IF(OR(ISBLANK(current), previous = 0),
    previous_index,
    (current / previous) * previous_index)
)</f>
        <v>192.0660094</v>
      </c>
      <c r="H96" s="97">
        <f t="array" ref="H96">LET(
  cat_code, "12",
  current, INDEX(ipc_gba!D:D, MATCH(cat_code&amp;A96, ipc_gba!F:F, 0)),
  previous, INDEX(ipc_gba!D:D, MATCH(cat_code&amp;A95, ipc_gba!F:F, 0)),
  previous_index, H95,
  IF(OR(ISBLANK(current), previous = 0),
    previous_index,
    (current / previous) * previous_index)
)</f>
        <v>154.2832566</v>
      </c>
      <c r="I96" s="97">
        <f t="array" ref="I96">LET(
  cat_code, "09",
  current, INDEX(ipc_gba!D:D, MATCH(cat_code&amp;A96, ipc_gba!F:F, 0)),
  previous, INDEX(ipc_gba!D:D, MATCH(cat_code&amp;A95, ipc_gba!F:F, 0)),
  previous_index, I95,
  IF(OR(ISBLANK(current), previous = 0),
    previous_index,
    (current / previous) * previous_index)
)</f>
        <v>156.3839437</v>
      </c>
      <c r="J96" s="97">
        <f t="array" ref="J96">LET(
  cat_code, "11",
  current, INDEX(ipc_gba!D:D, MATCH(cat_code&amp;A96, ipc_gba!F:F, 0)),
  previous, INDEX(ipc_gba!D:D, MATCH(cat_code&amp;A95, ipc_gba!F:F, 0)),
  previous_index, J95,
  IF(OR(ISBLANK(current), previous = 0),
    previous_index,
    (current / previous) * previous_index)
)</f>
        <v>182.0550732</v>
      </c>
      <c r="K96" s="98">
        <f t="array" ref="K96">LET(
  cat_code, "07",
  current, INDEX(ipc_gba!D:D, MATCH(cat_code&amp;A96, ipc_gba!F:F, 0)),
  previous, INDEX(ipc_gba!D:D, MATCH(cat_code&amp;A95, ipc_gba!F:F, 0)),
  previous_index, K95,
  IF(OR(ISBLANK(current), previous = 0),
    previous_index,
    (current / previous) * previous_index)
)</f>
        <v>152.3865421</v>
      </c>
    </row>
    <row r="97">
      <c r="A97" s="80" t="str">
        <f t="shared" si="26"/>
        <v>202510</v>
      </c>
      <c r="B97" s="97">
        <f t="array" ref="B97">LET(
  cat_code, "03",
  current, INDEX(ipc_gba!D:D, MATCH(cat_code&amp;A97, ipc_gba!F:F, 0)),
  previous, INDEX(ipc_gba!D:D, MATCH(cat_code&amp;A96, ipc_gba!F:F, 0)),
  previous_index, B96,
  IF(OR(ISBLANK(current), previous = 0),
    previous_index,
    (current / previous) * previous_index)
)</f>
        <v>137.3950094</v>
      </c>
      <c r="C97" s="97">
        <f t="array" ref="C97">LET(
  cat_code, "10",
  current, INDEX(ipc_gba!D:D, MATCH(cat_code&amp;A97, ipc_gba!F:F, 0)),
  previous, INDEX(ipc_gba!D:D, MATCH(cat_code&amp;A96, ipc_gba!F:F, 0)),
  previous_index, C96,
  IF(OR(ISBLANK(current), previous = 0),
    previous_index,
    (current / previous) * previous_index)
)</f>
        <v>179.9502677</v>
      </c>
      <c r="D97" s="97">
        <f t="array" ref="D97">LET(
  cat_code, "01",
  current, INDEX(ipc_gba!D:D, MATCH(cat_code&amp;A97, ipc_gba!F:F, 0)),
  previous, INDEX(ipc_gba!D:D, MATCH(cat_code&amp;A96, ipc_gba!F:F, 0)),
  previous_index, D96,
  IF(OR(ISBLANK(current), previous = 0),
    previous_index,
    (current / previous) * previous_index)
)</f>
        <v>146.3353101</v>
      </c>
      <c r="E97" s="97">
        <f t="array" ref="E97">LET(
  cat_code, "05",
  current, INDEX(ipc_gba!D:D, MATCH(cat_code&amp;A97, ipc_gba!F:F, 0)),
  previous, INDEX(ipc_gba!D:D, MATCH(cat_code&amp;A96, ipc_gba!F:F, 0)),
  previous_index, E96,
  IF(OR(ISBLANK(current), previous = 0),
    previous_index,
    (current / previous) * previous_index)
)</f>
        <v>138.1064847</v>
      </c>
      <c r="F97" s="97">
        <f t="array" ref="F97">LET(
  cat_code, "06",
  current, INDEX(ipc_gba!D:D, MATCH(cat_code&amp;A97, ipc_gba!F:F, 0)),
  previous, INDEX(ipc_gba!D:D, MATCH(cat_code&amp;A96, ipc_gba!F:F, 0)),
  previous_index, F96,
  IF(OR(ISBLANK(current), previous = 0),
    previous_index,
    (current / previous) * previous_index)
)</f>
        <v>160.8287811</v>
      </c>
      <c r="G97" s="97">
        <f t="array" ref="G97">LET(
  cat_code, "04",
  current, INDEX(ipc_gba!D:D, MATCH(cat_code&amp;A97, ipc_gba!F:F, 0)),
  previous, INDEX(ipc_gba!D:D, MATCH(cat_code&amp;A96, ipc_gba!F:F, 0)),
  previous_index, G96,
  IF(OR(ISBLANK(current), previous = 0),
    previous_index,
    (current / previous) * previous_index)
)</f>
        <v>196.4190883</v>
      </c>
      <c r="H97" s="97">
        <f t="array" ref="H97">LET(
  cat_code, "12",
  current, INDEX(ipc_gba!D:D, MATCH(cat_code&amp;A97, ipc_gba!F:F, 0)),
  previous, INDEX(ipc_gba!D:D, MATCH(cat_code&amp;A96, ipc_gba!F:F, 0)),
  previous_index, H96,
  IF(OR(ISBLANK(current), previous = 0),
    previous_index,
    (current / previous) * previous_index)
)</f>
        <v>157.8930487</v>
      </c>
      <c r="I97" s="97">
        <f t="array" ref="I97">LET(
  cat_code, "09",
  current, INDEX(ipc_gba!D:D, MATCH(cat_code&amp;A97, ipc_gba!F:F, 0)),
  previous, INDEX(ipc_gba!D:D, MATCH(cat_code&amp;A96, ipc_gba!F:F, 0)),
  previous_index, I96,
  IF(OR(ISBLANK(current), previous = 0),
    previous_index,
    (current / previous) * previous_index)
)</f>
        <v>158.7009352</v>
      </c>
      <c r="J97" s="97">
        <f t="array" ref="J97">LET(
  cat_code, "11",
  current, INDEX(ipc_gba!D:D, MATCH(cat_code&amp;A97, ipc_gba!F:F, 0)),
  previous, INDEX(ipc_gba!D:D, MATCH(cat_code&amp;A96, ipc_gba!F:F, 0)),
  previous_index, J96,
  IF(OR(ISBLANK(current), previous = 0),
    previous_index,
    (current / previous) * previous_index)
)</f>
        <v>186.9135308</v>
      </c>
      <c r="K97" s="98">
        <f t="array" ref="K97">LET(
  cat_code, "07",
  current, INDEX(ipc_gba!D:D, MATCH(cat_code&amp;A97, ipc_gba!F:F, 0)),
  previous, INDEX(ipc_gba!D:D, MATCH(cat_code&amp;A96, ipc_gba!F:F, 0)),
  previous_index, K96,
  IF(OR(ISBLANK(current), previous = 0),
    previous_index,
    (current / previous) * previous_index)
)</f>
        <v>157.5555234</v>
      </c>
    </row>
    <row r="98">
      <c r="A98" s="99" t="str">
        <f t="shared" si="26"/>
        <v>202511</v>
      </c>
      <c r="B98" s="100">
        <f t="array" ref="B98">LET(
  cat_code, "03",
  current, INDEX(ipc_gba!D:D, MATCH(cat_code&amp;A98, ipc_gba!F:F, 0)),
  previous, INDEX(ipc_gba!D:D, MATCH(cat_code&amp;A97, ipc_gba!F:F, 0)),
  previous_index, B97,
  IF(OR(ISBLANK(current), previous = 0),
    previous_index,
    (current / previous) * previous_index)
)</f>
        <v>137.7472538</v>
      </c>
      <c r="C98" s="100">
        <f t="array" ref="C98">LET(
  cat_code, "10",
  current, INDEX(ipc_gba!D:D, MATCH(cat_code&amp;A98, ipc_gba!F:F, 0)),
  previous, INDEX(ipc_gba!D:D, MATCH(cat_code&amp;A97, ipc_gba!F:F, 0)),
  previous_index, C97,
  IF(OR(ISBLANK(current), previous = 0),
    previous_index,
    (current / previous) * previous_index)
)</f>
        <v>185.5126934</v>
      </c>
      <c r="D98" s="100">
        <f t="array" ref="D98">LET(
  cat_code, "01",
  current, INDEX(ipc_gba!D:D, MATCH(cat_code&amp;A98, ipc_gba!F:F, 0)),
  previous, INDEX(ipc_gba!D:D, MATCH(cat_code&amp;A97, ipc_gba!F:F, 0)),
  previous_index, D97,
  IF(OR(ISBLANK(current), previous = 0),
    previous_index,
    (current / previous) * previous_index)
)</f>
        <v>150.4287143</v>
      </c>
      <c r="E98" s="100">
        <f t="array" ref="E98">LET(
  cat_code, "05",
  current, INDEX(ipc_gba!D:D, MATCH(cat_code&amp;A98, ipc_gba!F:F, 0)),
  previous, INDEX(ipc_gba!D:D, MATCH(cat_code&amp;A97, ipc_gba!F:F, 0)),
  previous_index, E97,
  IF(OR(ISBLANK(current), previous = 0),
    previous_index,
    (current / previous) * previous_index)
)</f>
        <v>139.6100597</v>
      </c>
      <c r="F98" s="100">
        <f t="array" ref="F98">LET(
  cat_code, "06",
  current, INDEX(ipc_gba!D:D, MATCH(cat_code&amp;A98, ipc_gba!F:F, 0)),
  previous, INDEX(ipc_gba!D:D, MATCH(cat_code&amp;A97, ipc_gba!F:F, 0)),
  previous_index, F97,
  IF(OR(ISBLANK(current), previous = 0),
    previous_index,
    (current / previous) * previous_index)
)</f>
        <v>164.8279415</v>
      </c>
      <c r="G98" s="100">
        <f t="array" ref="G98">LET(
  cat_code, "04",
  current, INDEX(ipc_gba!D:D, MATCH(cat_code&amp;A98, ipc_gba!F:F, 0)),
  previous, INDEX(ipc_gba!D:D, MATCH(cat_code&amp;A97, ipc_gba!F:F, 0)),
  previous_index, G97,
  IF(OR(ISBLANK(current), previous = 0),
    previous_index,
    (current / previous) * previous_index)
)</f>
        <v>202.8551476</v>
      </c>
      <c r="H98" s="100">
        <f t="array" ref="H98">LET(
  cat_code, "12",
  current, INDEX(ipc_gba!D:D, MATCH(cat_code&amp;A98, ipc_gba!F:F, 0)),
  previous, INDEX(ipc_gba!D:D, MATCH(cat_code&amp;A97, ipc_gba!F:F, 0)),
  previous_index, H97,
  IF(OR(ISBLANK(current), previous = 0),
    previous_index,
    (current / previous) * previous_index)
)</f>
        <v>161.8839282</v>
      </c>
      <c r="I98" s="100">
        <f t="array" ref="I98">LET(
  cat_code, "09",
  current, INDEX(ipc_gba!D:D, MATCH(cat_code&amp;A98, ipc_gba!F:F, 0)),
  previous, INDEX(ipc_gba!D:D, MATCH(cat_code&amp;A97, ipc_gba!F:F, 0)),
  previous_index, I97,
  IF(OR(ISBLANK(current), previous = 0),
    previous_index,
    (current / previous) * previous_index)
)</f>
        <v>162.9645573</v>
      </c>
      <c r="J98" s="100">
        <f t="array" ref="J98">LET(
  cat_code, "11",
  current, INDEX(ipc_gba!D:D, MATCH(cat_code&amp;A98, ipc_gba!F:F, 0)),
  previous, INDEX(ipc_gba!D:D, MATCH(cat_code&amp;A97, ipc_gba!F:F, 0)),
  previous_index, J97,
  IF(OR(ISBLANK(current), previous = 0),
    previous_index,
    (current / previous) * previous_index)
)</f>
        <v>191.8551985</v>
      </c>
      <c r="K98" s="101">
        <f t="array" ref="K98">LET(
  cat_code, "07",
  current, INDEX(ipc_gba!D:D, MATCH(cat_code&amp;A98, ipc_gba!F:F, 0)),
  previous, INDEX(ipc_gba!D:D, MATCH(cat_code&amp;A97, ipc_gba!F:F, 0)),
  previous_index, K97,
  IF(OR(ISBLANK(current), previous = 0),
    previous_index,
    (current / previous) * previous_index)
)</f>
        <v>162.0453337</v>
      </c>
    </row>
    <row r="99">
      <c r="B99" s="49"/>
      <c r="C99" s="49"/>
      <c r="D99" s="49"/>
      <c r="E99" s="50"/>
      <c r="F99" s="50"/>
      <c r="G99" s="50"/>
    </row>
    <row r="100">
      <c r="B100" s="49"/>
      <c r="C100" s="49"/>
      <c r="D100" s="49"/>
      <c r="E100" s="50"/>
      <c r="F100" s="50"/>
      <c r="G100" s="50"/>
    </row>
    <row r="101">
      <c r="A101" s="26" t="s">
        <v>72</v>
      </c>
      <c r="D101" s="49"/>
      <c r="E101" s="50"/>
      <c r="F101" s="50"/>
      <c r="G101" s="50"/>
    </row>
    <row r="102">
      <c r="B102" s="49"/>
      <c r="C102" s="49"/>
      <c r="D102" s="49"/>
      <c r="E102" s="50"/>
      <c r="F102" s="50"/>
      <c r="G102" s="50"/>
    </row>
    <row r="103">
      <c r="A103" s="102" t="s">
        <v>5</v>
      </c>
      <c r="B103" s="103" t="s">
        <v>73</v>
      </c>
      <c r="C103" s="103" t="s">
        <v>74</v>
      </c>
      <c r="D103" s="49"/>
      <c r="E103" s="104" t="s">
        <v>75</v>
      </c>
      <c r="F103" s="105" t="s">
        <v>76</v>
      </c>
      <c r="G103" s="106" t="s">
        <v>77</v>
      </c>
      <c r="H103" s="107" t="s">
        <v>78</v>
      </c>
    </row>
    <row r="104">
      <c r="A104" s="108" t="str">
        <f>B79</f>
        <v>Clothing and footwear</v>
      </c>
      <c r="B104" s="97">
        <f>B73</f>
        <v>2.587774252</v>
      </c>
      <c r="C104" s="97">
        <f>B98</f>
        <v>137.7472538</v>
      </c>
      <c r="D104" s="49"/>
      <c r="E104" s="109">
        <f>SUMPRODUCT((B104:B113&gt;C104:C113)*1)</f>
        <v>3</v>
      </c>
      <c r="F104" s="110">
        <f>SUMPRODUCT((B104:B113&lt;C104:C113)*1)</f>
        <v>7</v>
      </c>
      <c r="G104" s="111" t="str">
        <f t="array" ref="G104">INDEX(A104:A113,MATCH(MAX(B104:B113-C104:C113),B104:B113-C104:C113,0))</f>
        <v>Housing, water, electricity, gas and other fuels</v>
      </c>
      <c r="H104" s="112" t="str">
        <f t="array" ref="H104">INDEX(A104:A113,MATCH(MIN(B104:B113-C104:C113),B104:B113-C104:C113,0))</f>
        <v>Miscellaneous goods and services</v>
      </c>
    </row>
    <row r="105">
      <c r="A105" s="108" t="str">
        <f>C79</f>
        <v>Education</v>
      </c>
      <c r="B105" s="97">
        <f>C73</f>
        <v>75.03819599</v>
      </c>
      <c r="C105" s="97">
        <f>C98</f>
        <v>185.5126934</v>
      </c>
      <c r="D105" s="49"/>
      <c r="E105" s="50"/>
      <c r="F105" s="50"/>
      <c r="G105" s="50"/>
    </row>
    <row r="106">
      <c r="A106" s="108" t="str">
        <f>D79</f>
        <v>Food and non-alcoholic beverages</v>
      </c>
      <c r="B106" s="97">
        <f>D73</f>
        <v>225.5702244</v>
      </c>
      <c r="C106" s="97">
        <f>D98</f>
        <v>150.4287143</v>
      </c>
      <c r="D106" s="49"/>
      <c r="E106" s="113"/>
      <c r="F106" s="113"/>
      <c r="G106" s="50"/>
    </row>
    <row r="107">
      <c r="A107" s="108" t="str">
        <f>E79</f>
        <v>Furnishings and household equipment</v>
      </c>
      <c r="B107" s="97">
        <f>E73</f>
        <v>60.79185513</v>
      </c>
      <c r="C107" s="97">
        <f>E98</f>
        <v>139.6100597</v>
      </c>
      <c r="D107" s="49"/>
      <c r="E107" s="113"/>
      <c r="F107" s="113"/>
    </row>
    <row r="108">
      <c r="A108" s="108" t="str">
        <f>F79</f>
        <v>Health</v>
      </c>
      <c r="B108" s="97">
        <f>F73</f>
        <v>162.6392332</v>
      </c>
      <c r="C108" s="97">
        <f>F98</f>
        <v>164.8279415</v>
      </c>
      <c r="D108" s="49"/>
      <c r="E108" s="113"/>
      <c r="F108" s="113"/>
    </row>
    <row r="109">
      <c r="A109" s="108" t="str">
        <f>G79</f>
        <v>Housing, water, electricity, gas and other fuels</v>
      </c>
      <c r="B109" s="97">
        <f>G73</f>
        <v>769.0516826</v>
      </c>
      <c r="C109" s="97">
        <f>G98</f>
        <v>202.8551476</v>
      </c>
      <c r="D109" s="49"/>
      <c r="E109" s="49"/>
      <c r="F109" s="49"/>
      <c r="J109" s="114"/>
    </row>
    <row r="110">
      <c r="A110" s="108" t="str">
        <f>H79</f>
        <v>Miscellaneous goods and services</v>
      </c>
      <c r="B110" s="97">
        <f>H73</f>
        <v>23.23539065</v>
      </c>
      <c r="C110" s="97">
        <f>H98</f>
        <v>161.8839282</v>
      </c>
      <c r="D110" s="49"/>
      <c r="E110" s="49"/>
      <c r="F110" s="49"/>
    </row>
    <row r="111">
      <c r="A111" s="108" t="str">
        <f>I79</f>
        <v>Recreation and culture</v>
      </c>
      <c r="B111" s="97">
        <f>I73</f>
        <v>112.5695146</v>
      </c>
      <c r="C111" s="97">
        <f>I98</f>
        <v>162.9645573</v>
      </c>
      <c r="D111" s="49"/>
      <c r="E111" s="49"/>
      <c r="F111" s="49"/>
    </row>
    <row r="112">
      <c r="A112" s="108" t="str">
        <f>J79</f>
        <v>Restaurants and hotels</v>
      </c>
      <c r="B112" s="97">
        <f>J73</f>
        <v>219.1495785</v>
      </c>
      <c r="C112" s="97">
        <f>J98</f>
        <v>191.8551985</v>
      </c>
      <c r="D112" s="49"/>
      <c r="E112" s="49"/>
      <c r="F112" s="49"/>
    </row>
    <row r="113">
      <c r="A113" s="108" t="str">
        <f>K79</f>
        <v>Transport</v>
      </c>
      <c r="B113" s="97">
        <f>K73</f>
        <v>90.25015149</v>
      </c>
      <c r="C113" s="97">
        <f>K98</f>
        <v>162.0453337</v>
      </c>
      <c r="D113" s="49"/>
      <c r="E113" s="49"/>
      <c r="F113" s="49"/>
    </row>
    <row r="114">
      <c r="B114" s="49"/>
      <c r="C114" s="49"/>
      <c r="D114" s="49"/>
      <c r="E114" s="49"/>
      <c r="F114" s="49"/>
    </row>
    <row r="115">
      <c r="B115" s="49"/>
      <c r="C115" s="49"/>
      <c r="D115" s="49"/>
      <c r="E115" s="49"/>
      <c r="F115" s="49"/>
    </row>
    <row r="116">
      <c r="A116" s="115" t="s">
        <v>5</v>
      </c>
      <c r="B116" s="116" t="s">
        <v>29</v>
      </c>
      <c r="C116" s="49"/>
      <c r="D116" s="49"/>
      <c r="E116" s="49"/>
      <c r="F116" s="49"/>
    </row>
    <row r="117">
      <c r="A117" s="117" t="s">
        <v>10</v>
      </c>
      <c r="B117" s="84">
        <f t="shared" ref="B117:B126" si="27">B104-C104</f>
        <v>-135.1594795</v>
      </c>
      <c r="C117" s="49"/>
      <c r="D117" s="49"/>
    </row>
    <row r="118">
      <c r="A118" s="117" t="s">
        <v>11</v>
      </c>
      <c r="B118" s="84">
        <f t="shared" si="27"/>
        <v>-110.4744974</v>
      </c>
      <c r="C118" s="49"/>
      <c r="D118" s="49"/>
      <c r="E118" s="52"/>
      <c r="F118" s="52"/>
      <c r="G118" s="50"/>
    </row>
    <row r="119">
      <c r="A119" s="117" t="s">
        <v>7</v>
      </c>
      <c r="B119" s="84">
        <f t="shared" si="27"/>
        <v>75.14151004</v>
      </c>
      <c r="C119" s="49"/>
      <c r="D119" s="49"/>
      <c r="E119" s="50"/>
      <c r="F119" s="50"/>
      <c r="G119" s="50"/>
    </row>
    <row r="120">
      <c r="A120" s="117" t="s">
        <v>8</v>
      </c>
      <c r="B120" s="84">
        <f t="shared" si="27"/>
        <v>-78.81820458</v>
      </c>
      <c r="C120" s="49"/>
      <c r="D120" s="49"/>
      <c r="E120" s="50"/>
      <c r="F120" s="50"/>
      <c r="G120" s="50"/>
    </row>
    <row r="121">
      <c r="A121" s="117" t="s">
        <v>15</v>
      </c>
      <c r="B121" s="84">
        <f t="shared" si="27"/>
        <v>-2.188708253</v>
      </c>
      <c r="C121" s="49"/>
      <c r="D121" s="49"/>
      <c r="E121" s="50"/>
      <c r="F121" s="50"/>
      <c r="G121" s="50"/>
    </row>
    <row r="122">
      <c r="A122" s="117" t="s">
        <v>13</v>
      </c>
      <c r="B122" s="84">
        <f t="shared" si="27"/>
        <v>566.196535</v>
      </c>
      <c r="C122" s="49"/>
      <c r="D122" s="49"/>
      <c r="E122" s="50"/>
      <c r="F122" s="50"/>
      <c r="G122" s="50"/>
    </row>
    <row r="123">
      <c r="A123" s="117" t="s">
        <v>16</v>
      </c>
      <c r="B123" s="84">
        <f t="shared" si="27"/>
        <v>-138.6485376</v>
      </c>
      <c r="C123" s="49"/>
      <c r="D123" s="49"/>
      <c r="E123" s="50"/>
      <c r="F123" s="50"/>
      <c r="G123" s="50"/>
    </row>
    <row r="124">
      <c r="A124" s="117" t="s">
        <v>12</v>
      </c>
      <c r="B124" s="84">
        <f t="shared" si="27"/>
        <v>-50.39504272</v>
      </c>
      <c r="C124" s="49"/>
      <c r="D124" s="49"/>
      <c r="E124" s="50"/>
      <c r="F124" s="50"/>
      <c r="G124" s="50"/>
    </row>
    <row r="125">
      <c r="A125" s="117" t="s">
        <v>14</v>
      </c>
      <c r="B125" s="84">
        <f t="shared" si="27"/>
        <v>27.29437998</v>
      </c>
      <c r="C125" s="49"/>
      <c r="D125" s="49"/>
      <c r="E125" s="50"/>
      <c r="F125" s="50"/>
      <c r="G125" s="50"/>
    </row>
    <row r="126">
      <c r="A126" s="117" t="s">
        <v>9</v>
      </c>
      <c r="B126" s="84">
        <f t="shared" si="27"/>
        <v>-71.7951822</v>
      </c>
      <c r="C126" s="49"/>
      <c r="D126" s="49"/>
      <c r="E126" s="50"/>
      <c r="F126" s="50"/>
      <c r="G126" s="50"/>
    </row>
    <row r="127">
      <c r="B127" s="49"/>
      <c r="C127" s="49"/>
      <c r="D127" s="49"/>
      <c r="E127" s="50"/>
      <c r="F127" s="50"/>
      <c r="G127" s="50"/>
    </row>
    <row r="128">
      <c r="B128" s="49"/>
      <c r="C128" s="49"/>
      <c r="D128" s="49"/>
      <c r="E128" s="50"/>
      <c r="F128" s="50"/>
      <c r="G128" s="50"/>
    </row>
    <row r="129">
      <c r="B129" s="49"/>
      <c r="C129" s="49"/>
      <c r="D129" s="49"/>
      <c r="E129" s="50"/>
      <c r="F129" s="50"/>
      <c r="G129" s="50"/>
    </row>
    <row r="130">
      <c r="B130" s="49"/>
      <c r="C130" s="49"/>
      <c r="D130" s="49"/>
      <c r="E130" s="50"/>
      <c r="F130" s="50"/>
      <c r="G130" s="50"/>
    </row>
    <row r="131">
      <c r="B131" s="49"/>
      <c r="C131" s="49"/>
      <c r="D131" s="49"/>
      <c r="E131" s="50"/>
      <c r="F131" s="50"/>
      <c r="G131" s="50"/>
    </row>
    <row r="132">
      <c r="B132" s="49"/>
      <c r="C132" s="49"/>
      <c r="D132" s="49"/>
      <c r="E132" s="50"/>
      <c r="F132" s="50"/>
      <c r="G132" s="50"/>
    </row>
    <row r="133">
      <c r="B133" s="49"/>
      <c r="C133" s="49"/>
      <c r="D133" s="49"/>
      <c r="E133" s="50"/>
      <c r="F133" s="50"/>
      <c r="G133" s="50"/>
    </row>
    <row r="134">
      <c r="B134" s="49"/>
      <c r="C134" s="49"/>
      <c r="D134" s="49"/>
      <c r="E134" s="50"/>
      <c r="F134" s="50"/>
      <c r="G134" s="50"/>
    </row>
    <row r="135">
      <c r="B135" s="49"/>
      <c r="C135" s="49"/>
      <c r="D135" s="49"/>
      <c r="E135" s="50"/>
      <c r="F135" s="50"/>
      <c r="G135" s="50"/>
    </row>
    <row r="136">
      <c r="B136" s="49"/>
      <c r="C136" s="49"/>
      <c r="D136" s="49"/>
      <c r="E136" s="50"/>
      <c r="F136" s="50"/>
      <c r="G136" s="50"/>
    </row>
    <row r="137">
      <c r="B137" s="49"/>
      <c r="C137" s="49"/>
      <c r="D137" s="49"/>
      <c r="E137" s="50"/>
      <c r="F137" s="50"/>
      <c r="G137" s="50"/>
    </row>
    <row r="138">
      <c r="B138" s="49"/>
      <c r="C138" s="49"/>
      <c r="D138" s="49"/>
      <c r="E138" s="50"/>
      <c r="F138" s="50"/>
      <c r="G138" s="50"/>
    </row>
    <row r="139">
      <c r="B139" s="49"/>
      <c r="C139" s="49"/>
      <c r="D139" s="49"/>
      <c r="E139" s="50"/>
      <c r="F139" s="50"/>
      <c r="G139" s="50"/>
    </row>
    <row r="140">
      <c r="B140" s="49"/>
      <c r="C140" s="49"/>
      <c r="D140" s="49"/>
      <c r="E140" s="50"/>
      <c r="F140" s="50"/>
      <c r="G140" s="50"/>
    </row>
    <row r="141">
      <c r="B141" s="49"/>
      <c r="C141" s="49"/>
      <c r="D141" s="49"/>
      <c r="E141" s="50"/>
      <c r="F141" s="50"/>
      <c r="G141" s="50"/>
    </row>
    <row r="142">
      <c r="B142" s="49"/>
      <c r="C142" s="49"/>
      <c r="D142" s="49"/>
      <c r="E142" s="50"/>
      <c r="F142" s="50"/>
      <c r="G142" s="50"/>
    </row>
    <row r="143">
      <c r="B143" s="49"/>
      <c r="C143" s="49"/>
      <c r="D143" s="49"/>
      <c r="E143" s="50"/>
      <c r="F143" s="50"/>
      <c r="G143" s="50"/>
    </row>
    <row r="144">
      <c r="B144" s="49"/>
      <c r="C144" s="49"/>
      <c r="D144" s="49"/>
      <c r="E144" s="50"/>
      <c r="F144" s="50"/>
      <c r="G144" s="50"/>
    </row>
    <row r="145">
      <c r="B145" s="49"/>
      <c r="C145" s="49"/>
      <c r="D145" s="49"/>
      <c r="E145" s="50"/>
      <c r="F145" s="50"/>
      <c r="G145" s="50"/>
    </row>
    <row r="146">
      <c r="B146" s="49"/>
      <c r="C146" s="49"/>
      <c r="D146" s="49"/>
      <c r="E146" s="50"/>
      <c r="F146" s="50"/>
      <c r="G146" s="50"/>
    </row>
    <row r="147">
      <c r="B147" s="49"/>
      <c r="C147" s="49"/>
      <c r="D147" s="49"/>
      <c r="E147" s="50"/>
      <c r="F147" s="50"/>
      <c r="G147" s="50"/>
    </row>
    <row r="148">
      <c r="B148" s="49"/>
      <c r="C148" s="49"/>
      <c r="D148" s="49"/>
      <c r="E148" s="50"/>
      <c r="F148" s="50"/>
      <c r="G148" s="50"/>
    </row>
    <row r="149">
      <c r="B149" s="49"/>
      <c r="C149" s="49"/>
      <c r="D149" s="49"/>
      <c r="E149" s="50"/>
      <c r="F149" s="50"/>
      <c r="G149" s="50"/>
    </row>
    <row r="150">
      <c r="B150" s="49"/>
      <c r="C150" s="49"/>
      <c r="D150" s="49"/>
      <c r="E150" s="50"/>
      <c r="F150" s="50"/>
      <c r="G150" s="50"/>
    </row>
    <row r="151">
      <c r="B151" s="49"/>
      <c r="C151" s="49"/>
      <c r="D151" s="49"/>
      <c r="E151" s="50"/>
      <c r="F151" s="50"/>
      <c r="G151" s="50"/>
    </row>
    <row r="152">
      <c r="B152" s="49"/>
      <c r="C152" s="49"/>
      <c r="D152" s="49"/>
      <c r="E152" s="50"/>
      <c r="F152" s="50"/>
      <c r="G152" s="50"/>
    </row>
    <row r="153">
      <c r="B153" s="49"/>
      <c r="C153" s="49"/>
      <c r="D153" s="49"/>
      <c r="E153" s="50"/>
      <c r="F153" s="50"/>
      <c r="G153" s="50"/>
    </row>
    <row r="154">
      <c r="B154" s="49"/>
      <c r="C154" s="49"/>
      <c r="D154" s="49"/>
      <c r="E154" s="50"/>
      <c r="F154" s="50"/>
      <c r="G154" s="50"/>
    </row>
    <row r="155">
      <c r="B155" s="49"/>
      <c r="C155" s="49"/>
      <c r="D155" s="49"/>
      <c r="E155" s="50"/>
      <c r="F155" s="50"/>
      <c r="G155" s="50"/>
    </row>
    <row r="156">
      <c r="B156" s="49"/>
      <c r="C156" s="49"/>
      <c r="D156" s="49"/>
      <c r="E156" s="50"/>
      <c r="F156" s="50"/>
      <c r="G156" s="50"/>
    </row>
    <row r="157">
      <c r="B157" s="49"/>
      <c r="C157" s="49"/>
      <c r="D157" s="49"/>
      <c r="E157" s="50"/>
      <c r="F157" s="50"/>
      <c r="G157" s="50"/>
    </row>
    <row r="158">
      <c r="B158" s="49"/>
      <c r="C158" s="49"/>
      <c r="D158" s="49"/>
      <c r="E158" s="50"/>
      <c r="F158" s="50"/>
      <c r="G158" s="50"/>
    </row>
    <row r="159">
      <c r="B159" s="49"/>
      <c r="C159" s="49"/>
      <c r="D159" s="49"/>
      <c r="E159" s="50"/>
      <c r="F159" s="50"/>
      <c r="G159" s="50"/>
    </row>
    <row r="160">
      <c r="B160" s="49"/>
      <c r="C160" s="49"/>
      <c r="D160" s="49"/>
      <c r="E160" s="50"/>
      <c r="F160" s="50"/>
      <c r="G160" s="50"/>
    </row>
    <row r="161">
      <c r="B161" s="49"/>
      <c r="C161" s="49"/>
      <c r="D161" s="49"/>
      <c r="E161" s="50"/>
      <c r="F161" s="50"/>
      <c r="G161" s="50"/>
    </row>
    <row r="162">
      <c r="B162" s="49"/>
      <c r="C162" s="49"/>
      <c r="D162" s="49"/>
      <c r="E162" s="50"/>
      <c r="F162" s="50"/>
      <c r="G162" s="50"/>
    </row>
    <row r="163">
      <c r="B163" s="49"/>
      <c r="C163" s="49"/>
      <c r="D163" s="49"/>
      <c r="E163" s="50"/>
      <c r="F163" s="50"/>
      <c r="G163" s="50"/>
    </row>
    <row r="164">
      <c r="B164" s="49"/>
      <c r="C164" s="49"/>
      <c r="D164" s="49"/>
      <c r="E164" s="50"/>
      <c r="F164" s="50"/>
      <c r="G164" s="50"/>
    </row>
    <row r="165">
      <c r="B165" s="49"/>
      <c r="C165" s="49"/>
      <c r="D165" s="49"/>
      <c r="E165" s="50"/>
      <c r="F165" s="50"/>
      <c r="G165" s="50"/>
    </row>
    <row r="166">
      <c r="B166" s="49"/>
      <c r="C166" s="49"/>
      <c r="D166" s="49"/>
      <c r="E166" s="50"/>
      <c r="F166" s="50"/>
      <c r="G166" s="50"/>
    </row>
    <row r="167">
      <c r="B167" s="49"/>
      <c r="C167" s="49"/>
      <c r="D167" s="49"/>
      <c r="E167" s="50"/>
      <c r="F167" s="50"/>
      <c r="G167" s="50"/>
    </row>
    <row r="168">
      <c r="B168" s="49"/>
      <c r="C168" s="49"/>
      <c r="D168" s="49"/>
      <c r="E168" s="50"/>
      <c r="F168" s="50"/>
      <c r="G168" s="50"/>
    </row>
    <row r="169">
      <c r="B169" s="49"/>
      <c r="C169" s="49"/>
      <c r="D169" s="49"/>
      <c r="E169" s="50"/>
      <c r="F169" s="50"/>
      <c r="G169" s="50"/>
    </row>
    <row r="170">
      <c r="B170" s="49"/>
      <c r="C170" s="49"/>
      <c r="D170" s="49"/>
      <c r="E170" s="50"/>
      <c r="F170" s="50"/>
      <c r="G170" s="50"/>
    </row>
    <row r="171">
      <c r="B171" s="49"/>
      <c r="C171" s="49"/>
      <c r="D171" s="49"/>
      <c r="E171" s="50"/>
      <c r="F171" s="50"/>
      <c r="G171" s="50"/>
    </row>
    <row r="172">
      <c r="B172" s="49"/>
      <c r="C172" s="49"/>
      <c r="D172" s="49"/>
      <c r="E172" s="50"/>
      <c r="F172" s="50"/>
      <c r="G172" s="50"/>
    </row>
    <row r="173">
      <c r="B173" s="49"/>
      <c r="C173" s="49"/>
      <c r="D173" s="49"/>
      <c r="E173" s="50"/>
      <c r="F173" s="50"/>
      <c r="G173" s="50"/>
    </row>
    <row r="174">
      <c r="B174" s="49"/>
      <c r="C174" s="49"/>
      <c r="D174" s="49"/>
      <c r="E174" s="50"/>
      <c r="F174" s="50"/>
      <c r="G174" s="50"/>
    </row>
    <row r="175">
      <c r="B175" s="49"/>
      <c r="C175" s="49"/>
      <c r="D175" s="49"/>
      <c r="E175" s="50"/>
      <c r="F175" s="50"/>
      <c r="G175" s="50"/>
    </row>
    <row r="176">
      <c r="B176" s="49"/>
      <c r="C176" s="49"/>
      <c r="D176" s="49"/>
      <c r="E176" s="50"/>
      <c r="F176" s="50"/>
      <c r="G176" s="50"/>
    </row>
    <row r="177">
      <c r="B177" s="49"/>
      <c r="C177" s="49"/>
      <c r="D177" s="49"/>
      <c r="E177" s="50"/>
      <c r="F177" s="50"/>
      <c r="G177" s="50"/>
    </row>
    <row r="178">
      <c r="B178" s="49"/>
      <c r="C178" s="49"/>
      <c r="D178" s="49"/>
      <c r="E178" s="50"/>
      <c r="F178" s="50"/>
      <c r="G178" s="50"/>
    </row>
    <row r="179">
      <c r="B179" s="49"/>
      <c r="C179" s="49"/>
      <c r="D179" s="49"/>
      <c r="E179" s="50"/>
      <c r="F179" s="50"/>
      <c r="G179" s="50"/>
    </row>
    <row r="180">
      <c r="B180" s="49"/>
      <c r="C180" s="49"/>
      <c r="D180" s="49"/>
      <c r="E180" s="50"/>
      <c r="F180" s="50"/>
      <c r="G180" s="50"/>
    </row>
    <row r="181">
      <c r="B181" s="49"/>
      <c r="C181" s="49"/>
      <c r="D181" s="49"/>
      <c r="E181" s="50"/>
      <c r="F181" s="50"/>
      <c r="G181" s="50"/>
    </row>
    <row r="182">
      <c r="B182" s="49"/>
      <c r="C182" s="49"/>
      <c r="D182" s="49"/>
      <c r="E182" s="50"/>
      <c r="F182" s="50"/>
      <c r="G182" s="50"/>
    </row>
    <row r="183">
      <c r="B183" s="49"/>
      <c r="C183" s="49"/>
      <c r="D183" s="49"/>
      <c r="E183" s="50"/>
      <c r="F183" s="50"/>
      <c r="G183" s="50"/>
    </row>
    <row r="184">
      <c r="B184" s="49"/>
      <c r="C184" s="49"/>
      <c r="D184" s="49"/>
      <c r="E184" s="50"/>
      <c r="F184" s="50"/>
      <c r="G184" s="50"/>
    </row>
    <row r="185">
      <c r="B185" s="49"/>
      <c r="C185" s="49"/>
      <c r="D185" s="49"/>
      <c r="E185" s="50"/>
      <c r="F185" s="50"/>
      <c r="G185" s="50"/>
    </row>
    <row r="186">
      <c r="B186" s="49"/>
      <c r="C186" s="49"/>
      <c r="D186" s="49"/>
      <c r="E186" s="50"/>
      <c r="F186" s="50"/>
      <c r="G186" s="50"/>
    </row>
    <row r="187">
      <c r="B187" s="49"/>
      <c r="C187" s="49"/>
      <c r="D187" s="49"/>
      <c r="E187" s="50"/>
      <c r="F187" s="50"/>
      <c r="G187" s="50"/>
    </row>
    <row r="188">
      <c r="B188" s="49"/>
      <c r="C188" s="49"/>
      <c r="D188" s="49"/>
      <c r="E188" s="50"/>
      <c r="F188" s="50"/>
      <c r="G188" s="50"/>
    </row>
    <row r="189">
      <c r="B189" s="49"/>
      <c r="C189" s="49"/>
      <c r="D189" s="49"/>
      <c r="E189" s="50"/>
      <c r="F189" s="50"/>
      <c r="G189" s="50"/>
    </row>
    <row r="190">
      <c r="B190" s="49"/>
      <c r="C190" s="49"/>
      <c r="D190" s="49"/>
      <c r="E190" s="50"/>
      <c r="F190" s="50"/>
      <c r="G190" s="50"/>
    </row>
    <row r="191">
      <c r="B191" s="49"/>
      <c r="C191" s="49"/>
      <c r="D191" s="49"/>
      <c r="E191" s="50"/>
      <c r="F191" s="50"/>
      <c r="G191" s="50"/>
    </row>
    <row r="192">
      <c r="B192" s="49"/>
      <c r="C192" s="49"/>
      <c r="D192" s="49"/>
      <c r="E192" s="50"/>
      <c r="F192" s="50"/>
      <c r="G192" s="50"/>
    </row>
    <row r="193">
      <c r="B193" s="49"/>
      <c r="C193" s="49"/>
      <c r="D193" s="49"/>
      <c r="E193" s="50"/>
      <c r="F193" s="50"/>
      <c r="G193" s="50"/>
    </row>
    <row r="194">
      <c r="B194" s="49"/>
      <c r="C194" s="49"/>
      <c r="D194" s="49"/>
      <c r="E194" s="50"/>
      <c r="F194" s="50"/>
      <c r="G194" s="50"/>
    </row>
    <row r="195">
      <c r="B195" s="49"/>
      <c r="C195" s="49"/>
      <c r="D195" s="49"/>
      <c r="E195" s="50"/>
      <c r="F195" s="50"/>
      <c r="G195" s="50"/>
    </row>
    <row r="196">
      <c r="B196" s="49"/>
      <c r="C196" s="49"/>
      <c r="D196" s="49"/>
      <c r="E196" s="50"/>
      <c r="F196" s="50"/>
      <c r="G196" s="50"/>
    </row>
    <row r="197">
      <c r="B197" s="49"/>
      <c r="C197" s="49"/>
      <c r="D197" s="49"/>
      <c r="E197" s="50"/>
      <c r="F197" s="50"/>
      <c r="G197" s="50"/>
    </row>
    <row r="198">
      <c r="B198" s="49"/>
      <c r="C198" s="49"/>
      <c r="D198" s="49"/>
      <c r="E198" s="50"/>
      <c r="F198" s="50"/>
      <c r="G198" s="50"/>
    </row>
    <row r="199">
      <c r="B199" s="49"/>
      <c r="C199" s="49"/>
      <c r="D199" s="49"/>
      <c r="E199" s="50"/>
      <c r="F199" s="50"/>
      <c r="G199" s="50"/>
    </row>
    <row r="200">
      <c r="B200" s="49"/>
      <c r="C200" s="49"/>
      <c r="D200" s="49"/>
      <c r="E200" s="50"/>
      <c r="F200" s="50"/>
      <c r="G200" s="50"/>
    </row>
    <row r="201">
      <c r="B201" s="49"/>
      <c r="C201" s="49"/>
      <c r="D201" s="49"/>
      <c r="E201" s="50"/>
      <c r="F201" s="50"/>
      <c r="G201" s="50"/>
    </row>
    <row r="202">
      <c r="B202" s="49"/>
      <c r="C202" s="49"/>
      <c r="D202" s="49"/>
      <c r="E202" s="50"/>
      <c r="F202" s="50"/>
      <c r="G202" s="50"/>
    </row>
    <row r="203">
      <c r="B203" s="49"/>
      <c r="C203" s="49"/>
      <c r="D203" s="49"/>
      <c r="E203" s="50"/>
      <c r="F203" s="50"/>
      <c r="G203" s="50"/>
    </row>
    <row r="204">
      <c r="B204" s="49"/>
      <c r="C204" s="49"/>
      <c r="D204" s="49"/>
      <c r="E204" s="50"/>
      <c r="F204" s="50"/>
      <c r="G204" s="50"/>
    </row>
    <row r="205">
      <c r="B205" s="49"/>
      <c r="C205" s="49"/>
      <c r="D205" s="49"/>
      <c r="E205" s="50"/>
      <c r="F205" s="50"/>
      <c r="G205" s="50"/>
    </row>
    <row r="206">
      <c r="B206" s="49"/>
      <c r="C206" s="49"/>
      <c r="D206" s="49"/>
      <c r="E206" s="50"/>
      <c r="F206" s="50"/>
      <c r="G206" s="50"/>
    </row>
    <row r="207">
      <c r="B207" s="49"/>
      <c r="C207" s="49"/>
      <c r="D207" s="49"/>
      <c r="E207" s="50"/>
      <c r="F207" s="50"/>
      <c r="G207" s="50"/>
    </row>
    <row r="208">
      <c r="B208" s="49"/>
      <c r="C208" s="49"/>
      <c r="D208" s="49"/>
      <c r="E208" s="50"/>
      <c r="F208" s="50"/>
      <c r="G208" s="50"/>
    </row>
    <row r="209">
      <c r="B209" s="49"/>
      <c r="C209" s="49"/>
      <c r="D209" s="49"/>
      <c r="E209" s="50"/>
      <c r="F209" s="50"/>
      <c r="G209" s="50"/>
    </row>
    <row r="210">
      <c r="B210" s="49"/>
      <c r="C210" s="49"/>
      <c r="D210" s="49"/>
      <c r="E210" s="50"/>
      <c r="F210" s="50"/>
      <c r="G210" s="50"/>
    </row>
    <row r="211">
      <c r="B211" s="49"/>
      <c r="C211" s="49"/>
      <c r="D211" s="49"/>
      <c r="E211" s="50"/>
      <c r="F211" s="50"/>
      <c r="G211" s="50"/>
    </row>
    <row r="212">
      <c r="B212" s="49"/>
      <c r="C212" s="49"/>
      <c r="D212" s="49"/>
      <c r="E212" s="50"/>
      <c r="F212" s="50"/>
      <c r="G212" s="50"/>
    </row>
    <row r="213">
      <c r="B213" s="49"/>
      <c r="C213" s="49"/>
      <c r="D213" s="49"/>
      <c r="E213" s="50"/>
      <c r="F213" s="50"/>
      <c r="G213" s="50"/>
    </row>
    <row r="214">
      <c r="B214" s="49"/>
      <c r="C214" s="49"/>
      <c r="D214" s="49"/>
      <c r="E214" s="50"/>
      <c r="F214" s="50"/>
      <c r="G214" s="50"/>
    </row>
    <row r="215">
      <c r="B215" s="49"/>
      <c r="C215" s="49"/>
      <c r="D215" s="49"/>
      <c r="E215" s="50"/>
      <c r="F215" s="50"/>
      <c r="G215" s="50"/>
    </row>
    <row r="216">
      <c r="B216" s="49"/>
      <c r="C216" s="49"/>
      <c r="D216" s="49"/>
      <c r="E216" s="50"/>
      <c r="F216" s="50"/>
      <c r="G216" s="50"/>
    </row>
    <row r="217">
      <c r="B217" s="49"/>
      <c r="C217" s="49"/>
      <c r="D217" s="49"/>
      <c r="E217" s="50"/>
      <c r="F217" s="50"/>
      <c r="G217" s="50"/>
    </row>
    <row r="218">
      <c r="B218" s="49"/>
      <c r="C218" s="49"/>
      <c r="D218" s="49"/>
      <c r="E218" s="50"/>
      <c r="F218" s="50"/>
      <c r="G218" s="50"/>
    </row>
    <row r="219">
      <c r="B219" s="49"/>
      <c r="C219" s="49"/>
      <c r="D219" s="49"/>
      <c r="E219" s="50"/>
      <c r="F219" s="50"/>
      <c r="G219" s="50"/>
    </row>
    <row r="220">
      <c r="B220" s="49"/>
      <c r="C220" s="49"/>
      <c r="D220" s="49"/>
      <c r="E220" s="50"/>
      <c r="F220" s="50"/>
      <c r="G220" s="50"/>
    </row>
    <row r="221">
      <c r="B221" s="49"/>
      <c r="C221" s="49"/>
      <c r="D221" s="49"/>
      <c r="E221" s="50"/>
      <c r="F221" s="50"/>
      <c r="G221" s="50"/>
    </row>
    <row r="222">
      <c r="B222" s="49"/>
      <c r="C222" s="49"/>
      <c r="D222" s="49"/>
      <c r="E222" s="50"/>
      <c r="F222" s="50"/>
      <c r="G222" s="50"/>
    </row>
    <row r="223">
      <c r="B223" s="49"/>
      <c r="C223" s="49"/>
      <c r="D223" s="49"/>
      <c r="E223" s="50"/>
      <c r="F223" s="50"/>
      <c r="G223" s="50"/>
    </row>
    <row r="224">
      <c r="B224" s="49"/>
      <c r="C224" s="49"/>
      <c r="D224" s="49"/>
      <c r="E224" s="50"/>
      <c r="F224" s="50"/>
      <c r="G224" s="50"/>
    </row>
    <row r="225">
      <c r="B225" s="49"/>
      <c r="C225" s="49"/>
      <c r="D225" s="49"/>
      <c r="E225" s="50"/>
      <c r="F225" s="50"/>
      <c r="G225" s="50"/>
    </row>
    <row r="226">
      <c r="B226" s="49"/>
      <c r="C226" s="49"/>
      <c r="D226" s="49"/>
      <c r="E226" s="50"/>
      <c r="F226" s="50"/>
      <c r="G226" s="50"/>
    </row>
    <row r="227">
      <c r="B227" s="49"/>
      <c r="C227" s="49"/>
      <c r="D227" s="49"/>
      <c r="E227" s="50"/>
      <c r="F227" s="50"/>
      <c r="G227" s="50"/>
    </row>
    <row r="228">
      <c r="B228" s="49"/>
      <c r="C228" s="49"/>
      <c r="D228" s="49"/>
      <c r="E228" s="50"/>
      <c r="F228" s="50"/>
      <c r="G228" s="50"/>
    </row>
    <row r="229">
      <c r="B229" s="49"/>
      <c r="C229" s="49"/>
      <c r="D229" s="49"/>
      <c r="E229" s="50"/>
      <c r="F229" s="50"/>
      <c r="G229" s="50"/>
    </row>
    <row r="230">
      <c r="B230" s="49"/>
      <c r="C230" s="49"/>
      <c r="D230" s="49"/>
      <c r="E230" s="50"/>
      <c r="F230" s="50"/>
      <c r="G230" s="50"/>
    </row>
    <row r="231">
      <c r="B231" s="49"/>
      <c r="C231" s="49"/>
      <c r="D231" s="49"/>
      <c r="E231" s="50"/>
      <c r="F231" s="50"/>
      <c r="G231" s="50"/>
    </row>
    <row r="232">
      <c r="B232" s="49"/>
      <c r="C232" s="49"/>
      <c r="D232" s="49"/>
      <c r="E232" s="50"/>
      <c r="F232" s="50"/>
      <c r="G232" s="50"/>
    </row>
    <row r="233">
      <c r="B233" s="49"/>
      <c r="C233" s="49"/>
      <c r="D233" s="49"/>
      <c r="E233" s="50"/>
      <c r="F233" s="50"/>
      <c r="G233" s="50"/>
    </row>
    <row r="234">
      <c r="B234" s="49"/>
      <c r="C234" s="49"/>
      <c r="D234" s="49"/>
      <c r="E234" s="50"/>
      <c r="F234" s="50"/>
      <c r="G234" s="50"/>
    </row>
    <row r="235">
      <c r="B235" s="49"/>
      <c r="C235" s="49"/>
      <c r="D235" s="49"/>
      <c r="E235" s="50"/>
      <c r="F235" s="50"/>
      <c r="G235" s="50"/>
    </row>
    <row r="236">
      <c r="B236" s="49"/>
      <c r="C236" s="49"/>
      <c r="D236" s="49"/>
      <c r="E236" s="50"/>
      <c r="F236" s="50"/>
      <c r="G236" s="50"/>
    </row>
    <row r="237">
      <c r="B237" s="49"/>
      <c r="C237" s="49"/>
      <c r="D237" s="49"/>
      <c r="E237" s="50"/>
      <c r="F237" s="50"/>
      <c r="G237" s="50"/>
    </row>
    <row r="238">
      <c r="B238" s="49"/>
      <c r="C238" s="49"/>
      <c r="D238" s="49"/>
      <c r="E238" s="50"/>
      <c r="F238" s="50"/>
      <c r="G238" s="50"/>
    </row>
    <row r="239">
      <c r="B239" s="49"/>
      <c r="C239" s="49"/>
      <c r="D239" s="49"/>
      <c r="E239" s="50"/>
      <c r="F239" s="50"/>
      <c r="G239" s="50"/>
    </row>
    <row r="240">
      <c r="B240" s="49"/>
      <c r="C240" s="49"/>
      <c r="D240" s="49"/>
      <c r="E240" s="50"/>
      <c r="F240" s="50"/>
      <c r="G240" s="50"/>
    </row>
    <row r="241">
      <c r="B241" s="49"/>
      <c r="C241" s="49"/>
      <c r="D241" s="49"/>
      <c r="E241" s="50"/>
      <c r="F241" s="50"/>
      <c r="G241" s="50"/>
    </row>
    <row r="242">
      <c r="B242" s="49"/>
      <c r="C242" s="49"/>
      <c r="D242" s="49"/>
      <c r="E242" s="50"/>
      <c r="F242" s="50"/>
      <c r="G242" s="50"/>
    </row>
    <row r="243">
      <c r="B243" s="49"/>
      <c r="C243" s="49"/>
      <c r="D243" s="49"/>
      <c r="E243" s="50"/>
      <c r="F243" s="50"/>
      <c r="G243" s="50"/>
    </row>
    <row r="244">
      <c r="B244" s="49"/>
      <c r="C244" s="49"/>
      <c r="D244" s="49"/>
      <c r="E244" s="50"/>
      <c r="F244" s="50"/>
      <c r="G244" s="50"/>
    </row>
    <row r="245">
      <c r="B245" s="49"/>
      <c r="C245" s="49"/>
      <c r="D245" s="49"/>
      <c r="E245" s="50"/>
      <c r="F245" s="50"/>
      <c r="G245" s="50"/>
    </row>
    <row r="246">
      <c r="B246" s="49"/>
      <c r="C246" s="49"/>
      <c r="D246" s="49"/>
      <c r="E246" s="50"/>
      <c r="F246" s="50"/>
      <c r="G246" s="50"/>
    </row>
    <row r="247">
      <c r="B247" s="49"/>
      <c r="C247" s="49"/>
      <c r="D247" s="49"/>
      <c r="E247" s="50"/>
      <c r="F247" s="50"/>
      <c r="G247" s="50"/>
    </row>
    <row r="248">
      <c r="B248" s="49"/>
      <c r="C248" s="49"/>
      <c r="D248" s="49"/>
      <c r="E248" s="50"/>
      <c r="F248" s="50"/>
      <c r="G248" s="50"/>
    </row>
    <row r="249">
      <c r="B249" s="49"/>
      <c r="C249" s="49"/>
      <c r="D249" s="49"/>
      <c r="E249" s="50"/>
      <c r="F249" s="50"/>
      <c r="G249" s="50"/>
    </row>
    <row r="250">
      <c r="B250" s="49"/>
      <c r="C250" s="49"/>
      <c r="D250" s="49"/>
      <c r="E250" s="50"/>
      <c r="F250" s="50"/>
      <c r="G250" s="50"/>
    </row>
    <row r="251">
      <c r="B251" s="49"/>
      <c r="C251" s="49"/>
      <c r="D251" s="49"/>
      <c r="E251" s="50"/>
      <c r="F251" s="50"/>
      <c r="G251" s="50"/>
    </row>
    <row r="252">
      <c r="B252" s="49"/>
      <c r="C252" s="49"/>
      <c r="D252" s="49"/>
      <c r="E252" s="50"/>
      <c r="F252" s="50"/>
      <c r="G252" s="50"/>
    </row>
    <row r="253">
      <c r="B253" s="49"/>
      <c r="C253" s="49"/>
      <c r="D253" s="49"/>
      <c r="E253" s="50"/>
      <c r="F253" s="50"/>
      <c r="G253" s="50"/>
    </row>
    <row r="254">
      <c r="B254" s="49"/>
      <c r="C254" s="49"/>
      <c r="D254" s="49"/>
      <c r="E254" s="50"/>
      <c r="F254" s="50"/>
      <c r="G254" s="50"/>
    </row>
    <row r="255">
      <c r="B255" s="49"/>
      <c r="C255" s="49"/>
      <c r="D255" s="49"/>
      <c r="E255" s="50"/>
      <c r="F255" s="50"/>
      <c r="G255" s="50"/>
    </row>
    <row r="256">
      <c r="B256" s="49"/>
      <c r="C256" s="49"/>
      <c r="D256" s="49"/>
      <c r="E256" s="50"/>
      <c r="F256" s="50"/>
      <c r="G256" s="50"/>
    </row>
    <row r="257">
      <c r="B257" s="49"/>
      <c r="C257" s="49"/>
      <c r="D257" s="49"/>
      <c r="E257" s="50"/>
      <c r="F257" s="50"/>
      <c r="G257" s="50"/>
    </row>
    <row r="258">
      <c r="B258" s="49"/>
      <c r="C258" s="49"/>
      <c r="D258" s="49"/>
      <c r="E258" s="50"/>
      <c r="F258" s="50"/>
      <c r="G258" s="50"/>
    </row>
    <row r="259">
      <c r="B259" s="49"/>
      <c r="C259" s="49"/>
      <c r="D259" s="49"/>
      <c r="E259" s="50"/>
      <c r="F259" s="50"/>
      <c r="G259" s="50"/>
    </row>
    <row r="260">
      <c r="B260" s="49"/>
      <c r="C260" s="49"/>
      <c r="D260" s="49"/>
      <c r="E260" s="50"/>
      <c r="F260" s="50"/>
      <c r="G260" s="50"/>
    </row>
    <row r="261">
      <c r="B261" s="49"/>
      <c r="C261" s="49"/>
      <c r="D261" s="49"/>
      <c r="E261" s="50"/>
      <c r="F261" s="50"/>
      <c r="G261" s="50"/>
    </row>
    <row r="262">
      <c r="B262" s="49"/>
      <c r="C262" s="49"/>
      <c r="D262" s="49"/>
      <c r="E262" s="50"/>
      <c r="F262" s="50"/>
      <c r="G262" s="50"/>
    </row>
    <row r="263">
      <c r="B263" s="49"/>
      <c r="C263" s="49"/>
      <c r="D263" s="49"/>
      <c r="E263" s="50"/>
      <c r="F263" s="50"/>
      <c r="G263" s="50"/>
    </row>
    <row r="264">
      <c r="B264" s="49"/>
      <c r="C264" s="49"/>
      <c r="D264" s="49"/>
      <c r="E264" s="50"/>
      <c r="F264" s="50"/>
      <c r="G264" s="50"/>
    </row>
    <row r="265">
      <c r="B265" s="49"/>
      <c r="C265" s="49"/>
      <c r="D265" s="49"/>
      <c r="E265" s="50"/>
      <c r="F265" s="50"/>
      <c r="G265" s="50"/>
    </row>
    <row r="266">
      <c r="B266" s="49"/>
      <c r="C266" s="49"/>
      <c r="D266" s="49"/>
      <c r="E266" s="50"/>
      <c r="F266" s="50"/>
      <c r="G266" s="50"/>
    </row>
    <row r="267">
      <c r="B267" s="49"/>
      <c r="C267" s="49"/>
      <c r="D267" s="49"/>
      <c r="E267" s="50"/>
      <c r="F267" s="50"/>
      <c r="G267" s="50"/>
    </row>
    <row r="268">
      <c r="B268" s="49"/>
      <c r="C268" s="49"/>
      <c r="D268" s="49"/>
      <c r="E268" s="50"/>
      <c r="F268" s="50"/>
      <c r="G268" s="50"/>
    </row>
    <row r="269">
      <c r="B269" s="49"/>
      <c r="C269" s="49"/>
      <c r="D269" s="49"/>
      <c r="E269" s="50"/>
      <c r="F269" s="50"/>
      <c r="G269" s="50"/>
    </row>
    <row r="270">
      <c r="B270" s="49"/>
      <c r="C270" s="49"/>
      <c r="D270" s="49"/>
      <c r="E270" s="50"/>
      <c r="F270" s="50"/>
      <c r="G270" s="50"/>
    </row>
    <row r="271">
      <c r="B271" s="49"/>
      <c r="C271" s="49"/>
      <c r="D271" s="49"/>
      <c r="E271" s="50"/>
      <c r="F271" s="50"/>
      <c r="G271" s="50"/>
    </row>
    <row r="272">
      <c r="B272" s="49"/>
      <c r="C272" s="49"/>
      <c r="D272" s="49"/>
      <c r="E272" s="50"/>
      <c r="F272" s="50"/>
      <c r="G272" s="50"/>
    </row>
    <row r="273">
      <c r="B273" s="49"/>
      <c r="C273" s="49"/>
      <c r="D273" s="49"/>
      <c r="E273" s="50"/>
      <c r="F273" s="50"/>
      <c r="G273" s="50"/>
    </row>
    <row r="274">
      <c r="B274" s="49"/>
      <c r="C274" s="49"/>
      <c r="D274" s="49"/>
      <c r="E274" s="50"/>
      <c r="F274" s="50"/>
      <c r="G274" s="50"/>
    </row>
    <row r="275">
      <c r="B275" s="49"/>
      <c r="C275" s="49"/>
      <c r="D275" s="49"/>
      <c r="E275" s="50"/>
      <c r="F275" s="50"/>
      <c r="G275" s="50"/>
    </row>
    <row r="276">
      <c r="B276" s="49"/>
      <c r="C276" s="49"/>
      <c r="D276" s="49"/>
      <c r="E276" s="50"/>
      <c r="F276" s="50"/>
      <c r="G276" s="50"/>
    </row>
    <row r="277">
      <c r="B277" s="49"/>
      <c r="C277" s="49"/>
      <c r="D277" s="49"/>
      <c r="E277" s="50"/>
      <c r="F277" s="50"/>
      <c r="G277" s="50"/>
    </row>
    <row r="278">
      <c r="B278" s="49"/>
      <c r="C278" s="49"/>
      <c r="D278" s="49"/>
      <c r="E278" s="50"/>
      <c r="F278" s="50"/>
      <c r="G278" s="50"/>
    </row>
    <row r="279">
      <c r="B279" s="49"/>
      <c r="C279" s="49"/>
      <c r="D279" s="49"/>
      <c r="E279" s="50"/>
      <c r="F279" s="50"/>
      <c r="G279" s="50"/>
    </row>
    <row r="280">
      <c r="B280" s="49"/>
      <c r="C280" s="49"/>
      <c r="D280" s="49"/>
      <c r="E280" s="50"/>
      <c r="F280" s="50"/>
      <c r="G280" s="50"/>
    </row>
    <row r="281">
      <c r="B281" s="49"/>
      <c r="C281" s="49"/>
      <c r="D281" s="49"/>
      <c r="E281" s="50"/>
      <c r="F281" s="50"/>
      <c r="G281" s="50"/>
    </row>
    <row r="282">
      <c r="B282" s="49"/>
      <c r="C282" s="49"/>
      <c r="D282" s="49"/>
      <c r="E282" s="50"/>
      <c r="F282" s="50"/>
      <c r="G282" s="50"/>
    </row>
    <row r="283">
      <c r="B283" s="49"/>
      <c r="C283" s="49"/>
      <c r="D283" s="49"/>
      <c r="E283" s="50"/>
      <c r="F283" s="50"/>
      <c r="G283" s="50"/>
    </row>
    <row r="284">
      <c r="B284" s="49"/>
      <c r="C284" s="49"/>
      <c r="D284" s="49"/>
      <c r="E284" s="50"/>
      <c r="F284" s="50"/>
      <c r="G284" s="50"/>
    </row>
    <row r="285">
      <c r="B285" s="49"/>
      <c r="C285" s="49"/>
      <c r="D285" s="49"/>
      <c r="E285" s="50"/>
      <c r="F285" s="50"/>
      <c r="G285" s="50"/>
    </row>
    <row r="286">
      <c r="B286" s="49"/>
      <c r="C286" s="49"/>
      <c r="D286" s="49"/>
      <c r="E286" s="50"/>
      <c r="F286" s="50"/>
      <c r="G286" s="50"/>
    </row>
    <row r="287">
      <c r="B287" s="49"/>
      <c r="C287" s="49"/>
      <c r="D287" s="49"/>
      <c r="E287" s="50"/>
      <c r="F287" s="50"/>
      <c r="G287" s="50"/>
    </row>
    <row r="288">
      <c r="B288" s="49"/>
      <c r="C288" s="49"/>
      <c r="D288" s="49"/>
      <c r="E288" s="50"/>
      <c r="F288" s="50"/>
      <c r="G288" s="50"/>
    </row>
    <row r="289">
      <c r="B289" s="49"/>
      <c r="C289" s="49"/>
      <c r="D289" s="49"/>
      <c r="E289" s="50"/>
      <c r="F289" s="50"/>
      <c r="G289" s="50"/>
    </row>
    <row r="290">
      <c r="B290" s="49"/>
      <c r="C290" s="49"/>
      <c r="D290" s="49"/>
      <c r="E290" s="50"/>
      <c r="F290" s="50"/>
      <c r="G290" s="50"/>
    </row>
    <row r="291">
      <c r="B291" s="49"/>
      <c r="C291" s="49"/>
      <c r="D291" s="49"/>
      <c r="E291" s="50"/>
      <c r="F291" s="50"/>
      <c r="G291" s="50"/>
    </row>
    <row r="292">
      <c r="B292" s="49"/>
      <c r="C292" s="49"/>
      <c r="D292" s="49"/>
      <c r="E292" s="50"/>
      <c r="F292" s="50"/>
      <c r="G292" s="50"/>
    </row>
    <row r="293">
      <c r="B293" s="49"/>
      <c r="C293" s="49"/>
      <c r="D293" s="49"/>
      <c r="E293" s="50"/>
      <c r="F293" s="50"/>
      <c r="G293" s="50"/>
    </row>
    <row r="294">
      <c r="B294" s="49"/>
      <c r="C294" s="49"/>
      <c r="D294" s="49"/>
      <c r="E294" s="50"/>
      <c r="F294" s="50"/>
      <c r="G294" s="50"/>
    </row>
    <row r="295">
      <c r="B295" s="49"/>
      <c r="C295" s="49"/>
      <c r="D295" s="49"/>
      <c r="E295" s="50"/>
      <c r="F295" s="50"/>
      <c r="G295" s="50"/>
    </row>
    <row r="296">
      <c r="B296" s="49"/>
      <c r="C296" s="49"/>
      <c r="D296" s="49"/>
      <c r="E296" s="50"/>
      <c r="F296" s="50"/>
      <c r="G296" s="50"/>
    </row>
    <row r="297">
      <c r="B297" s="49"/>
      <c r="C297" s="49"/>
      <c r="D297" s="49"/>
      <c r="E297" s="50"/>
      <c r="F297" s="50"/>
      <c r="G297" s="50"/>
    </row>
    <row r="298">
      <c r="B298" s="49"/>
      <c r="C298" s="49"/>
      <c r="D298" s="49"/>
      <c r="E298" s="50"/>
      <c r="F298" s="50"/>
      <c r="G298" s="50"/>
    </row>
    <row r="299">
      <c r="B299" s="49"/>
      <c r="C299" s="49"/>
      <c r="D299" s="49"/>
      <c r="E299" s="50"/>
      <c r="F299" s="50"/>
      <c r="G299" s="50"/>
    </row>
    <row r="300">
      <c r="B300" s="49"/>
      <c r="C300" s="49"/>
      <c r="D300" s="49"/>
      <c r="E300" s="50"/>
      <c r="F300" s="50"/>
      <c r="G300" s="50"/>
    </row>
    <row r="301">
      <c r="B301" s="49"/>
      <c r="C301" s="49"/>
      <c r="D301" s="49"/>
      <c r="E301" s="50"/>
      <c r="F301" s="50"/>
      <c r="G301" s="50"/>
    </row>
    <row r="302">
      <c r="B302" s="49"/>
      <c r="C302" s="49"/>
      <c r="D302" s="49"/>
      <c r="E302" s="50"/>
      <c r="F302" s="50"/>
      <c r="G302" s="50"/>
    </row>
    <row r="303">
      <c r="B303" s="49"/>
      <c r="C303" s="49"/>
      <c r="D303" s="49"/>
      <c r="E303" s="50"/>
      <c r="F303" s="50"/>
      <c r="G303" s="50"/>
    </row>
    <row r="304">
      <c r="B304" s="49"/>
      <c r="C304" s="49"/>
      <c r="D304" s="49"/>
      <c r="E304" s="50"/>
      <c r="F304" s="50"/>
      <c r="G304" s="50"/>
    </row>
    <row r="305">
      <c r="B305" s="49"/>
      <c r="C305" s="49"/>
      <c r="D305" s="49"/>
      <c r="E305" s="50"/>
      <c r="F305" s="50"/>
      <c r="G305" s="50"/>
    </row>
    <row r="306">
      <c r="B306" s="49"/>
      <c r="C306" s="49"/>
      <c r="D306" s="49"/>
      <c r="E306" s="50"/>
      <c r="F306" s="50"/>
      <c r="G306" s="50"/>
    </row>
    <row r="307">
      <c r="B307" s="49"/>
      <c r="C307" s="49"/>
      <c r="D307" s="49"/>
      <c r="E307" s="50"/>
      <c r="F307" s="50"/>
      <c r="G307" s="50"/>
    </row>
    <row r="308">
      <c r="B308" s="49"/>
      <c r="C308" s="49"/>
      <c r="D308" s="49"/>
      <c r="E308" s="50"/>
      <c r="F308" s="50"/>
      <c r="G308" s="50"/>
    </row>
    <row r="309">
      <c r="B309" s="49"/>
      <c r="C309" s="49"/>
      <c r="D309" s="49"/>
      <c r="E309" s="50"/>
      <c r="F309" s="50"/>
      <c r="G309" s="50"/>
    </row>
    <row r="310">
      <c r="B310" s="49"/>
      <c r="C310" s="49"/>
      <c r="D310" s="49"/>
      <c r="E310" s="50"/>
      <c r="F310" s="50"/>
      <c r="G310" s="50"/>
    </row>
    <row r="311">
      <c r="B311" s="49"/>
      <c r="C311" s="49"/>
      <c r="D311" s="49"/>
      <c r="E311" s="50"/>
      <c r="F311" s="50"/>
      <c r="G311" s="50"/>
    </row>
    <row r="312">
      <c r="B312" s="49"/>
      <c r="C312" s="49"/>
      <c r="D312" s="49"/>
      <c r="E312" s="50"/>
      <c r="F312" s="50"/>
      <c r="G312" s="50"/>
    </row>
    <row r="313">
      <c r="B313" s="49"/>
      <c r="C313" s="49"/>
      <c r="D313" s="49"/>
      <c r="E313" s="50"/>
      <c r="F313" s="50"/>
      <c r="G313" s="50"/>
    </row>
    <row r="314">
      <c r="B314" s="49"/>
      <c r="C314" s="49"/>
      <c r="D314" s="49"/>
      <c r="E314" s="50"/>
      <c r="F314" s="50"/>
      <c r="G314" s="50"/>
    </row>
    <row r="315">
      <c r="B315" s="49"/>
      <c r="C315" s="49"/>
      <c r="D315" s="49"/>
      <c r="E315" s="50"/>
      <c r="F315" s="50"/>
      <c r="G315" s="50"/>
    </row>
    <row r="316">
      <c r="B316" s="49"/>
      <c r="C316" s="49"/>
      <c r="D316" s="49"/>
      <c r="E316" s="50"/>
      <c r="F316" s="50"/>
      <c r="G316" s="50"/>
    </row>
    <row r="317">
      <c r="B317" s="49"/>
      <c r="C317" s="49"/>
      <c r="D317" s="49"/>
      <c r="E317" s="50"/>
      <c r="F317" s="50"/>
      <c r="G317" s="50"/>
    </row>
    <row r="318">
      <c r="B318" s="49"/>
      <c r="C318" s="49"/>
      <c r="D318" s="49"/>
      <c r="E318" s="50"/>
      <c r="F318" s="50"/>
      <c r="G318" s="50"/>
    </row>
    <row r="319">
      <c r="B319" s="49"/>
      <c r="C319" s="49"/>
      <c r="D319" s="49"/>
      <c r="E319" s="50"/>
      <c r="F319" s="50"/>
      <c r="G319" s="50"/>
    </row>
    <row r="320">
      <c r="B320" s="49"/>
      <c r="C320" s="49"/>
      <c r="D320" s="49"/>
      <c r="E320" s="50"/>
      <c r="F320" s="50"/>
      <c r="G320" s="50"/>
    </row>
    <row r="321">
      <c r="B321" s="49"/>
      <c r="C321" s="49"/>
      <c r="D321" s="49"/>
      <c r="E321" s="50"/>
      <c r="F321" s="50"/>
      <c r="G321" s="50"/>
    </row>
    <row r="322">
      <c r="B322" s="49"/>
      <c r="C322" s="49"/>
      <c r="D322" s="49"/>
      <c r="E322" s="50"/>
      <c r="F322" s="50"/>
      <c r="G322" s="50"/>
    </row>
    <row r="323">
      <c r="B323" s="49"/>
      <c r="C323" s="49"/>
      <c r="D323" s="49"/>
      <c r="E323" s="50"/>
      <c r="F323" s="50"/>
      <c r="G323" s="50"/>
    </row>
    <row r="324">
      <c r="B324" s="49"/>
      <c r="C324" s="49"/>
      <c r="D324" s="49"/>
      <c r="E324" s="50"/>
      <c r="F324" s="50"/>
      <c r="G324" s="50"/>
    </row>
    <row r="325">
      <c r="B325" s="49"/>
      <c r="C325" s="49"/>
      <c r="D325" s="49"/>
      <c r="E325" s="50"/>
      <c r="F325" s="50"/>
      <c r="G325" s="50"/>
    </row>
    <row r="326">
      <c r="B326" s="49"/>
      <c r="C326" s="49"/>
      <c r="D326" s="49"/>
      <c r="E326" s="50"/>
      <c r="F326" s="50"/>
      <c r="G326" s="50"/>
    </row>
    <row r="327">
      <c r="B327" s="49"/>
      <c r="C327" s="49"/>
      <c r="D327" s="49"/>
      <c r="E327" s="50"/>
      <c r="F327" s="50"/>
      <c r="G327" s="50"/>
    </row>
    <row r="328">
      <c r="B328" s="49"/>
      <c r="C328" s="49"/>
      <c r="D328" s="49"/>
      <c r="E328" s="50"/>
      <c r="F328" s="50"/>
      <c r="G328" s="50"/>
    </row>
    <row r="329">
      <c r="B329" s="49"/>
      <c r="C329" s="49"/>
      <c r="D329" s="49"/>
      <c r="E329" s="50"/>
      <c r="F329" s="50"/>
      <c r="G329" s="50"/>
    </row>
    <row r="330">
      <c r="B330" s="49"/>
      <c r="C330" s="49"/>
      <c r="D330" s="49"/>
      <c r="E330" s="50"/>
      <c r="F330" s="50"/>
      <c r="G330" s="50"/>
    </row>
    <row r="331">
      <c r="B331" s="49"/>
      <c r="C331" s="49"/>
      <c r="D331" s="49"/>
      <c r="E331" s="50"/>
      <c r="F331" s="50"/>
      <c r="G331" s="50"/>
    </row>
    <row r="332">
      <c r="B332" s="49"/>
      <c r="C332" s="49"/>
      <c r="D332" s="49"/>
      <c r="E332" s="50"/>
      <c r="F332" s="50"/>
      <c r="G332" s="50"/>
    </row>
    <row r="333">
      <c r="B333" s="49"/>
      <c r="C333" s="49"/>
      <c r="D333" s="49"/>
      <c r="E333" s="50"/>
      <c r="F333" s="50"/>
      <c r="G333" s="50"/>
    </row>
    <row r="334">
      <c r="B334" s="49"/>
      <c r="C334" s="49"/>
      <c r="D334" s="49"/>
      <c r="E334" s="50"/>
      <c r="F334" s="50"/>
      <c r="G334" s="50"/>
    </row>
    <row r="335">
      <c r="B335" s="49"/>
      <c r="C335" s="49"/>
      <c r="D335" s="49"/>
      <c r="E335" s="50"/>
      <c r="F335" s="50"/>
      <c r="G335" s="50"/>
    </row>
    <row r="336">
      <c r="B336" s="49"/>
      <c r="C336" s="49"/>
      <c r="D336" s="49"/>
      <c r="E336" s="50"/>
      <c r="F336" s="50"/>
      <c r="G336" s="50"/>
    </row>
    <row r="337">
      <c r="B337" s="49"/>
      <c r="C337" s="49"/>
      <c r="D337" s="49"/>
      <c r="E337" s="50"/>
      <c r="F337" s="50"/>
      <c r="G337" s="50"/>
    </row>
    <row r="338">
      <c r="B338" s="49"/>
      <c r="C338" s="49"/>
      <c r="D338" s="49"/>
      <c r="E338" s="50"/>
      <c r="F338" s="50"/>
      <c r="G338" s="50"/>
    </row>
    <row r="339">
      <c r="B339" s="49"/>
      <c r="C339" s="49"/>
      <c r="D339" s="49"/>
      <c r="E339" s="50"/>
      <c r="F339" s="50"/>
      <c r="G339" s="50"/>
    </row>
    <row r="340">
      <c r="B340" s="49"/>
      <c r="C340" s="49"/>
      <c r="D340" s="49"/>
      <c r="E340" s="50"/>
      <c r="F340" s="50"/>
      <c r="G340" s="50"/>
    </row>
    <row r="341">
      <c r="B341" s="49"/>
      <c r="C341" s="49"/>
      <c r="D341" s="49"/>
      <c r="E341" s="50"/>
      <c r="F341" s="50"/>
      <c r="G341" s="50"/>
    </row>
    <row r="342">
      <c r="B342" s="49"/>
      <c r="C342" s="49"/>
      <c r="D342" s="49"/>
      <c r="E342" s="50"/>
      <c r="F342" s="50"/>
      <c r="G342" s="50"/>
    </row>
    <row r="343">
      <c r="B343" s="49"/>
      <c r="C343" s="49"/>
      <c r="D343" s="49"/>
      <c r="E343" s="50"/>
      <c r="F343" s="50"/>
      <c r="G343" s="50"/>
    </row>
    <row r="344">
      <c r="B344" s="49"/>
      <c r="C344" s="49"/>
      <c r="D344" s="49"/>
      <c r="E344" s="50"/>
      <c r="F344" s="50"/>
      <c r="G344" s="50"/>
    </row>
    <row r="345">
      <c r="B345" s="49"/>
      <c r="C345" s="49"/>
      <c r="D345" s="49"/>
      <c r="E345" s="50"/>
      <c r="F345" s="50"/>
      <c r="G345" s="50"/>
    </row>
    <row r="346">
      <c r="B346" s="49"/>
      <c r="C346" s="49"/>
      <c r="D346" s="49"/>
      <c r="E346" s="50"/>
      <c r="F346" s="50"/>
      <c r="G346" s="50"/>
    </row>
    <row r="347">
      <c r="B347" s="49"/>
      <c r="C347" s="49"/>
      <c r="D347" s="49"/>
      <c r="E347" s="50"/>
      <c r="F347" s="50"/>
      <c r="G347" s="50"/>
    </row>
    <row r="348">
      <c r="B348" s="49"/>
      <c r="C348" s="49"/>
      <c r="D348" s="49"/>
      <c r="E348" s="50"/>
      <c r="F348" s="50"/>
      <c r="G348" s="50"/>
    </row>
    <row r="349">
      <c r="B349" s="49"/>
      <c r="C349" s="49"/>
      <c r="D349" s="49"/>
      <c r="E349" s="50"/>
      <c r="F349" s="50"/>
      <c r="G349" s="50"/>
    </row>
    <row r="350">
      <c r="B350" s="49"/>
      <c r="C350" s="49"/>
      <c r="D350" s="49"/>
      <c r="E350" s="50"/>
      <c r="F350" s="50"/>
      <c r="G350" s="50"/>
    </row>
    <row r="351">
      <c r="B351" s="49"/>
      <c r="C351" s="49"/>
      <c r="D351" s="49"/>
      <c r="E351" s="50"/>
      <c r="F351" s="50"/>
      <c r="G351" s="50"/>
    </row>
    <row r="352">
      <c r="B352" s="49"/>
      <c r="C352" s="49"/>
      <c r="D352" s="49"/>
      <c r="E352" s="50"/>
      <c r="F352" s="50"/>
      <c r="G352" s="50"/>
    </row>
    <row r="353">
      <c r="B353" s="49"/>
      <c r="C353" s="49"/>
      <c r="D353" s="49"/>
      <c r="E353" s="50"/>
      <c r="F353" s="50"/>
      <c r="G353" s="50"/>
    </row>
    <row r="354">
      <c r="B354" s="49"/>
      <c r="C354" s="49"/>
      <c r="D354" s="49"/>
      <c r="E354" s="50"/>
      <c r="F354" s="50"/>
      <c r="G354" s="50"/>
    </row>
    <row r="355">
      <c r="B355" s="49"/>
      <c r="C355" s="49"/>
      <c r="D355" s="49"/>
      <c r="E355" s="50"/>
      <c r="F355" s="50"/>
      <c r="G355" s="50"/>
    </row>
    <row r="356">
      <c r="B356" s="49"/>
      <c r="C356" s="49"/>
      <c r="D356" s="49"/>
      <c r="E356" s="50"/>
      <c r="F356" s="50"/>
      <c r="G356" s="50"/>
    </row>
    <row r="357">
      <c r="B357" s="49"/>
      <c r="C357" s="49"/>
      <c r="D357" s="49"/>
      <c r="E357" s="50"/>
      <c r="F357" s="50"/>
      <c r="G357" s="50"/>
    </row>
    <row r="358">
      <c r="B358" s="49"/>
      <c r="C358" s="49"/>
      <c r="D358" s="49"/>
      <c r="E358" s="50"/>
      <c r="F358" s="50"/>
      <c r="G358" s="50"/>
    </row>
    <row r="359">
      <c r="B359" s="49"/>
      <c r="C359" s="49"/>
      <c r="D359" s="49"/>
      <c r="E359" s="50"/>
      <c r="F359" s="50"/>
      <c r="G359" s="50"/>
    </row>
    <row r="360">
      <c r="B360" s="49"/>
      <c r="C360" s="49"/>
      <c r="D360" s="49"/>
      <c r="E360" s="50"/>
      <c r="F360" s="50"/>
      <c r="G360" s="50"/>
    </row>
    <row r="361">
      <c r="B361" s="49"/>
      <c r="C361" s="49"/>
      <c r="D361" s="49"/>
      <c r="E361" s="50"/>
      <c r="F361" s="50"/>
      <c r="G361" s="50"/>
    </row>
    <row r="362">
      <c r="B362" s="49"/>
      <c r="C362" s="49"/>
      <c r="D362" s="49"/>
      <c r="E362" s="50"/>
      <c r="F362" s="50"/>
      <c r="G362" s="50"/>
    </row>
    <row r="363">
      <c r="B363" s="49"/>
      <c r="C363" s="49"/>
      <c r="D363" s="49"/>
      <c r="E363" s="50"/>
      <c r="F363" s="50"/>
      <c r="G363" s="50"/>
    </row>
    <row r="364">
      <c r="B364" s="49"/>
      <c r="C364" s="49"/>
      <c r="D364" s="49"/>
      <c r="E364" s="50"/>
      <c r="F364" s="50"/>
      <c r="G364" s="50"/>
    </row>
    <row r="365">
      <c r="B365" s="49"/>
      <c r="C365" s="49"/>
      <c r="D365" s="49"/>
      <c r="E365" s="50"/>
      <c r="F365" s="50"/>
      <c r="G365" s="50"/>
    </row>
    <row r="366">
      <c r="B366" s="49"/>
      <c r="C366" s="49"/>
      <c r="D366" s="49"/>
      <c r="E366" s="50"/>
      <c r="F366" s="50"/>
      <c r="G366" s="50"/>
    </row>
    <row r="367">
      <c r="B367" s="49"/>
      <c r="C367" s="49"/>
      <c r="D367" s="49"/>
      <c r="E367" s="50"/>
      <c r="F367" s="50"/>
      <c r="G367" s="50"/>
    </row>
    <row r="368">
      <c r="B368" s="49"/>
      <c r="C368" s="49"/>
      <c r="D368" s="49"/>
      <c r="E368" s="50"/>
      <c r="F368" s="50"/>
      <c r="G368" s="50"/>
    </row>
    <row r="369">
      <c r="B369" s="49"/>
      <c r="C369" s="49"/>
      <c r="D369" s="49"/>
      <c r="E369" s="50"/>
      <c r="F369" s="50"/>
      <c r="G369" s="50"/>
    </row>
    <row r="370">
      <c r="B370" s="49"/>
      <c r="C370" s="49"/>
      <c r="D370" s="49"/>
      <c r="E370" s="50"/>
      <c r="F370" s="50"/>
      <c r="G370" s="50"/>
    </row>
    <row r="371">
      <c r="B371" s="49"/>
      <c r="C371" s="49"/>
      <c r="D371" s="49"/>
      <c r="E371" s="50"/>
      <c r="F371" s="50"/>
      <c r="G371" s="50"/>
    </row>
    <row r="372">
      <c r="B372" s="49"/>
      <c r="C372" s="49"/>
      <c r="D372" s="49"/>
      <c r="E372" s="50"/>
      <c r="F372" s="50"/>
      <c r="G372" s="50"/>
    </row>
    <row r="373">
      <c r="B373" s="49"/>
      <c r="C373" s="49"/>
      <c r="D373" s="49"/>
      <c r="E373" s="50"/>
      <c r="F373" s="50"/>
      <c r="G373" s="50"/>
    </row>
    <row r="374">
      <c r="B374" s="49"/>
      <c r="C374" s="49"/>
      <c r="D374" s="49"/>
      <c r="E374" s="50"/>
      <c r="F374" s="50"/>
      <c r="G374" s="50"/>
    </row>
    <row r="375">
      <c r="B375" s="49"/>
      <c r="C375" s="49"/>
      <c r="D375" s="49"/>
      <c r="E375" s="50"/>
      <c r="F375" s="50"/>
      <c r="G375" s="50"/>
    </row>
    <row r="376">
      <c r="B376" s="49"/>
      <c r="C376" s="49"/>
      <c r="D376" s="49"/>
      <c r="E376" s="50"/>
      <c r="F376" s="50"/>
      <c r="G376" s="50"/>
    </row>
    <row r="377">
      <c r="B377" s="49"/>
      <c r="C377" s="49"/>
      <c r="D377" s="49"/>
      <c r="E377" s="50"/>
      <c r="F377" s="50"/>
      <c r="G377" s="50"/>
    </row>
    <row r="378">
      <c r="B378" s="49"/>
      <c r="C378" s="49"/>
      <c r="D378" s="49"/>
      <c r="E378" s="50"/>
      <c r="F378" s="50"/>
      <c r="G378" s="50"/>
    </row>
    <row r="379">
      <c r="B379" s="49"/>
      <c r="C379" s="49"/>
      <c r="D379" s="49"/>
      <c r="E379" s="50"/>
      <c r="F379" s="50"/>
      <c r="G379" s="50"/>
    </row>
    <row r="380">
      <c r="B380" s="49"/>
      <c r="C380" s="49"/>
      <c r="D380" s="49"/>
      <c r="E380" s="50"/>
      <c r="F380" s="50"/>
      <c r="G380" s="50"/>
    </row>
    <row r="381">
      <c r="B381" s="49"/>
      <c r="C381" s="49"/>
      <c r="D381" s="49"/>
      <c r="E381" s="50"/>
      <c r="F381" s="50"/>
      <c r="G381" s="50"/>
    </row>
    <row r="382">
      <c r="B382" s="49"/>
      <c r="C382" s="49"/>
      <c r="D382" s="49"/>
      <c r="E382" s="50"/>
      <c r="F382" s="50"/>
      <c r="G382" s="50"/>
    </row>
    <row r="383">
      <c r="B383" s="49"/>
      <c r="C383" s="49"/>
      <c r="D383" s="49"/>
      <c r="E383" s="50"/>
      <c r="F383" s="50"/>
      <c r="G383" s="50"/>
    </row>
    <row r="384">
      <c r="B384" s="49"/>
      <c r="C384" s="49"/>
      <c r="D384" s="49"/>
      <c r="E384" s="50"/>
      <c r="F384" s="50"/>
      <c r="G384" s="50"/>
    </row>
    <row r="385">
      <c r="B385" s="49"/>
      <c r="C385" s="49"/>
      <c r="D385" s="49"/>
      <c r="E385" s="50"/>
      <c r="F385" s="50"/>
      <c r="G385" s="50"/>
    </row>
    <row r="386">
      <c r="B386" s="49"/>
      <c r="C386" s="49"/>
      <c r="D386" s="49"/>
      <c r="E386" s="50"/>
      <c r="F386" s="50"/>
      <c r="G386" s="50"/>
    </row>
    <row r="387">
      <c r="B387" s="49"/>
      <c r="C387" s="49"/>
      <c r="D387" s="49"/>
      <c r="E387" s="50"/>
      <c r="F387" s="50"/>
      <c r="G387" s="50"/>
    </row>
    <row r="388">
      <c r="B388" s="49"/>
      <c r="C388" s="49"/>
      <c r="D388" s="49"/>
      <c r="E388" s="50"/>
      <c r="F388" s="50"/>
      <c r="G388" s="50"/>
    </row>
    <row r="389">
      <c r="B389" s="49"/>
      <c r="C389" s="49"/>
      <c r="D389" s="49"/>
      <c r="E389" s="50"/>
      <c r="F389" s="50"/>
      <c r="G389" s="50"/>
    </row>
    <row r="390">
      <c r="B390" s="49"/>
      <c r="C390" s="49"/>
      <c r="D390" s="49"/>
      <c r="E390" s="50"/>
      <c r="F390" s="50"/>
      <c r="G390" s="50"/>
    </row>
    <row r="391">
      <c r="B391" s="49"/>
      <c r="C391" s="49"/>
      <c r="D391" s="49"/>
      <c r="E391" s="50"/>
      <c r="F391" s="50"/>
      <c r="G391" s="50"/>
    </row>
    <row r="392">
      <c r="B392" s="49"/>
      <c r="C392" s="49"/>
      <c r="D392" s="49"/>
      <c r="E392" s="50"/>
      <c r="F392" s="50"/>
      <c r="G392" s="50"/>
    </row>
    <row r="393">
      <c r="B393" s="49"/>
      <c r="C393" s="49"/>
      <c r="D393" s="49"/>
      <c r="E393" s="50"/>
      <c r="F393" s="50"/>
      <c r="G393" s="50"/>
    </row>
    <row r="394">
      <c r="B394" s="49"/>
      <c r="C394" s="49"/>
      <c r="D394" s="49"/>
      <c r="E394" s="50"/>
      <c r="F394" s="50"/>
      <c r="G394" s="50"/>
    </row>
    <row r="395">
      <c r="B395" s="49"/>
      <c r="C395" s="49"/>
      <c r="D395" s="49"/>
      <c r="E395" s="50"/>
      <c r="F395" s="50"/>
      <c r="G395" s="50"/>
    </row>
    <row r="396">
      <c r="B396" s="49"/>
      <c r="C396" s="49"/>
      <c r="D396" s="49"/>
      <c r="E396" s="50"/>
      <c r="F396" s="50"/>
      <c r="G396" s="50"/>
    </row>
    <row r="397">
      <c r="B397" s="49"/>
      <c r="C397" s="49"/>
      <c r="D397" s="49"/>
      <c r="E397" s="50"/>
      <c r="F397" s="50"/>
      <c r="G397" s="50"/>
    </row>
    <row r="398">
      <c r="B398" s="49"/>
      <c r="C398" s="49"/>
      <c r="D398" s="49"/>
      <c r="E398" s="50"/>
      <c r="F398" s="50"/>
      <c r="G398" s="50"/>
    </row>
    <row r="399">
      <c r="B399" s="49"/>
      <c r="C399" s="49"/>
      <c r="D399" s="49"/>
      <c r="E399" s="50"/>
      <c r="F399" s="50"/>
      <c r="G399" s="50"/>
    </row>
    <row r="400">
      <c r="B400" s="49"/>
      <c r="C400" s="49"/>
      <c r="D400" s="49"/>
      <c r="E400" s="50"/>
      <c r="F400" s="50"/>
      <c r="G400" s="50"/>
    </row>
    <row r="401">
      <c r="B401" s="49"/>
      <c r="C401" s="49"/>
      <c r="D401" s="49"/>
      <c r="E401" s="50"/>
      <c r="F401" s="50"/>
      <c r="G401" s="50"/>
    </row>
    <row r="402">
      <c r="B402" s="49"/>
      <c r="C402" s="49"/>
      <c r="D402" s="49"/>
      <c r="E402" s="50"/>
      <c r="F402" s="50"/>
      <c r="G402" s="50"/>
    </row>
    <row r="403">
      <c r="B403" s="49"/>
      <c r="C403" s="49"/>
      <c r="D403" s="49"/>
      <c r="E403" s="50"/>
      <c r="F403" s="50"/>
      <c r="G403" s="50"/>
    </row>
    <row r="404">
      <c r="B404" s="49"/>
      <c r="C404" s="49"/>
      <c r="D404" s="49"/>
      <c r="E404" s="50"/>
      <c r="F404" s="50"/>
      <c r="G404" s="50"/>
    </row>
    <row r="405">
      <c r="B405" s="49"/>
      <c r="C405" s="49"/>
      <c r="D405" s="49"/>
      <c r="E405" s="50"/>
      <c r="F405" s="50"/>
      <c r="G405" s="50"/>
    </row>
    <row r="406">
      <c r="B406" s="49"/>
      <c r="C406" s="49"/>
      <c r="D406" s="49"/>
      <c r="E406" s="50"/>
      <c r="F406" s="50"/>
      <c r="G406" s="50"/>
    </row>
    <row r="407">
      <c r="B407" s="49"/>
      <c r="C407" s="49"/>
      <c r="D407" s="49"/>
      <c r="E407" s="50"/>
      <c r="F407" s="50"/>
      <c r="G407" s="50"/>
    </row>
    <row r="408">
      <c r="B408" s="49"/>
      <c r="C408" s="49"/>
      <c r="D408" s="49"/>
      <c r="E408" s="50"/>
      <c r="F408" s="50"/>
      <c r="G408" s="50"/>
    </row>
    <row r="409">
      <c r="B409" s="49"/>
      <c r="C409" s="49"/>
      <c r="D409" s="49"/>
      <c r="E409" s="50"/>
      <c r="F409" s="50"/>
      <c r="G409" s="50"/>
    </row>
    <row r="410">
      <c r="B410" s="49"/>
      <c r="C410" s="49"/>
      <c r="D410" s="49"/>
      <c r="E410" s="50"/>
      <c r="F410" s="50"/>
      <c r="G410" s="50"/>
    </row>
    <row r="411">
      <c r="B411" s="49"/>
      <c r="C411" s="49"/>
      <c r="D411" s="49"/>
      <c r="E411" s="50"/>
      <c r="F411" s="50"/>
      <c r="G411" s="50"/>
    </row>
    <row r="412">
      <c r="B412" s="49"/>
      <c r="C412" s="49"/>
      <c r="D412" s="49"/>
      <c r="E412" s="50"/>
      <c r="F412" s="50"/>
      <c r="G412" s="50"/>
    </row>
    <row r="413">
      <c r="B413" s="49"/>
      <c r="C413" s="49"/>
      <c r="D413" s="49"/>
      <c r="E413" s="50"/>
      <c r="F413" s="50"/>
      <c r="G413" s="50"/>
    </row>
    <row r="414">
      <c r="B414" s="49"/>
      <c r="C414" s="49"/>
      <c r="D414" s="49"/>
      <c r="E414" s="50"/>
      <c r="F414" s="50"/>
      <c r="G414" s="50"/>
    </row>
    <row r="415">
      <c r="B415" s="49"/>
      <c r="C415" s="49"/>
      <c r="D415" s="49"/>
      <c r="E415" s="50"/>
      <c r="F415" s="50"/>
      <c r="G415" s="50"/>
    </row>
    <row r="416">
      <c r="B416" s="49"/>
      <c r="C416" s="49"/>
      <c r="D416" s="49"/>
      <c r="E416" s="50"/>
      <c r="F416" s="50"/>
      <c r="G416" s="50"/>
    </row>
    <row r="417">
      <c r="B417" s="49"/>
      <c r="C417" s="49"/>
      <c r="D417" s="49"/>
      <c r="E417" s="50"/>
      <c r="F417" s="50"/>
      <c r="G417" s="50"/>
    </row>
    <row r="418">
      <c r="B418" s="49"/>
      <c r="C418" s="49"/>
      <c r="D418" s="49"/>
      <c r="E418" s="50"/>
      <c r="F418" s="50"/>
      <c r="G418" s="50"/>
    </row>
    <row r="419">
      <c r="B419" s="49"/>
      <c r="C419" s="49"/>
      <c r="D419" s="49"/>
      <c r="E419" s="50"/>
      <c r="F419" s="50"/>
      <c r="G419" s="50"/>
    </row>
    <row r="420">
      <c r="B420" s="49"/>
      <c r="C420" s="49"/>
      <c r="D420" s="49"/>
      <c r="E420" s="50"/>
      <c r="F420" s="50"/>
      <c r="G420" s="50"/>
    </row>
    <row r="421">
      <c r="B421" s="49"/>
      <c r="C421" s="49"/>
      <c r="D421" s="49"/>
      <c r="E421" s="50"/>
      <c r="F421" s="50"/>
      <c r="G421" s="50"/>
    </row>
    <row r="422">
      <c r="B422" s="49"/>
      <c r="C422" s="49"/>
      <c r="D422" s="49"/>
      <c r="E422" s="50"/>
      <c r="F422" s="50"/>
      <c r="G422" s="50"/>
    </row>
    <row r="423">
      <c r="B423" s="49"/>
      <c r="C423" s="49"/>
      <c r="D423" s="49"/>
      <c r="E423" s="50"/>
      <c r="F423" s="50"/>
      <c r="G423" s="50"/>
    </row>
    <row r="424">
      <c r="B424" s="49"/>
      <c r="C424" s="49"/>
      <c r="D424" s="49"/>
      <c r="E424" s="50"/>
      <c r="F424" s="50"/>
      <c r="G424" s="50"/>
    </row>
    <row r="425">
      <c r="B425" s="49"/>
      <c r="C425" s="49"/>
      <c r="D425" s="49"/>
      <c r="E425" s="50"/>
      <c r="F425" s="50"/>
      <c r="G425" s="50"/>
    </row>
    <row r="426">
      <c r="B426" s="49"/>
      <c r="C426" s="49"/>
      <c r="D426" s="49"/>
      <c r="E426" s="50"/>
      <c r="F426" s="50"/>
      <c r="G426" s="50"/>
    </row>
    <row r="427">
      <c r="B427" s="49"/>
      <c r="C427" s="49"/>
      <c r="D427" s="49"/>
      <c r="E427" s="50"/>
      <c r="F427" s="50"/>
      <c r="G427" s="50"/>
    </row>
    <row r="428">
      <c r="B428" s="49"/>
      <c r="C428" s="49"/>
      <c r="D428" s="49"/>
      <c r="E428" s="50"/>
      <c r="F428" s="50"/>
      <c r="G428" s="50"/>
    </row>
    <row r="429">
      <c r="B429" s="49"/>
      <c r="C429" s="49"/>
      <c r="D429" s="49"/>
      <c r="E429" s="50"/>
      <c r="F429" s="50"/>
      <c r="G429" s="50"/>
    </row>
    <row r="430">
      <c r="B430" s="49"/>
      <c r="C430" s="49"/>
      <c r="D430" s="49"/>
      <c r="E430" s="50"/>
      <c r="F430" s="50"/>
      <c r="G430" s="50"/>
    </row>
    <row r="431">
      <c r="B431" s="49"/>
      <c r="C431" s="49"/>
      <c r="D431" s="49"/>
      <c r="E431" s="50"/>
      <c r="F431" s="50"/>
      <c r="G431" s="50"/>
    </row>
    <row r="432">
      <c r="B432" s="49"/>
      <c r="C432" s="49"/>
      <c r="D432" s="49"/>
      <c r="E432" s="50"/>
      <c r="F432" s="50"/>
      <c r="G432" s="50"/>
    </row>
    <row r="433">
      <c r="B433" s="49"/>
      <c r="C433" s="49"/>
      <c r="D433" s="49"/>
      <c r="E433" s="50"/>
      <c r="F433" s="50"/>
      <c r="G433" s="50"/>
    </row>
    <row r="434">
      <c r="B434" s="49"/>
      <c r="C434" s="49"/>
      <c r="D434" s="49"/>
      <c r="E434" s="50"/>
      <c r="F434" s="50"/>
      <c r="G434" s="50"/>
    </row>
    <row r="435">
      <c r="B435" s="49"/>
      <c r="C435" s="49"/>
      <c r="D435" s="49"/>
      <c r="E435" s="50"/>
      <c r="F435" s="50"/>
      <c r="G435" s="50"/>
    </row>
    <row r="436">
      <c r="B436" s="49"/>
      <c r="C436" s="49"/>
      <c r="D436" s="49"/>
      <c r="E436" s="50"/>
      <c r="F436" s="50"/>
      <c r="G436" s="50"/>
    </row>
    <row r="437">
      <c r="B437" s="49"/>
      <c r="C437" s="49"/>
      <c r="D437" s="49"/>
      <c r="E437" s="50"/>
      <c r="F437" s="50"/>
      <c r="G437" s="50"/>
    </row>
    <row r="438">
      <c r="B438" s="49"/>
      <c r="C438" s="49"/>
      <c r="D438" s="49"/>
      <c r="E438" s="50"/>
      <c r="F438" s="50"/>
      <c r="G438" s="50"/>
    </row>
    <row r="439">
      <c r="B439" s="49"/>
      <c r="C439" s="49"/>
      <c r="D439" s="49"/>
      <c r="E439" s="50"/>
      <c r="F439" s="50"/>
      <c r="G439" s="50"/>
    </row>
    <row r="440">
      <c r="B440" s="49"/>
      <c r="C440" s="49"/>
      <c r="D440" s="49"/>
      <c r="E440" s="50"/>
      <c r="F440" s="50"/>
      <c r="G440" s="50"/>
    </row>
    <row r="441">
      <c r="B441" s="49"/>
      <c r="C441" s="49"/>
      <c r="D441" s="49"/>
      <c r="E441" s="50"/>
      <c r="F441" s="50"/>
      <c r="G441" s="50"/>
    </row>
    <row r="442">
      <c r="B442" s="49"/>
      <c r="C442" s="49"/>
      <c r="D442" s="49"/>
      <c r="E442" s="50"/>
      <c r="F442" s="50"/>
      <c r="G442" s="50"/>
    </row>
    <row r="443">
      <c r="B443" s="49"/>
      <c r="C443" s="49"/>
      <c r="D443" s="49"/>
      <c r="E443" s="50"/>
      <c r="F443" s="50"/>
      <c r="G443" s="50"/>
    </row>
    <row r="444">
      <c r="B444" s="49"/>
      <c r="C444" s="49"/>
      <c r="D444" s="49"/>
      <c r="E444" s="50"/>
      <c r="F444" s="50"/>
      <c r="G444" s="50"/>
    </row>
    <row r="445">
      <c r="B445" s="49"/>
      <c r="C445" s="49"/>
      <c r="D445" s="49"/>
      <c r="E445" s="50"/>
      <c r="F445" s="50"/>
      <c r="G445" s="50"/>
    </row>
    <row r="446">
      <c r="B446" s="49"/>
      <c r="C446" s="49"/>
      <c r="D446" s="49"/>
      <c r="E446" s="50"/>
      <c r="F446" s="50"/>
      <c r="G446" s="50"/>
    </row>
    <row r="447">
      <c r="B447" s="49"/>
      <c r="C447" s="49"/>
      <c r="D447" s="49"/>
      <c r="E447" s="50"/>
      <c r="F447" s="50"/>
      <c r="G447" s="50"/>
    </row>
    <row r="448">
      <c r="B448" s="49"/>
      <c r="C448" s="49"/>
      <c r="D448" s="49"/>
      <c r="E448" s="50"/>
      <c r="F448" s="50"/>
      <c r="G448" s="50"/>
    </row>
    <row r="449">
      <c r="B449" s="49"/>
      <c r="C449" s="49"/>
      <c r="D449" s="49"/>
      <c r="E449" s="50"/>
      <c r="F449" s="50"/>
      <c r="G449" s="50"/>
    </row>
    <row r="450">
      <c r="B450" s="49"/>
      <c r="C450" s="49"/>
      <c r="D450" s="49"/>
      <c r="E450" s="50"/>
      <c r="F450" s="50"/>
      <c r="G450" s="50"/>
    </row>
    <row r="451">
      <c r="B451" s="49"/>
      <c r="C451" s="49"/>
      <c r="D451" s="49"/>
      <c r="E451" s="50"/>
      <c r="F451" s="50"/>
      <c r="G451" s="50"/>
    </row>
    <row r="452">
      <c r="B452" s="49"/>
      <c r="C452" s="49"/>
      <c r="D452" s="49"/>
      <c r="E452" s="50"/>
      <c r="F452" s="50"/>
      <c r="G452" s="50"/>
    </row>
    <row r="453">
      <c r="B453" s="49"/>
      <c r="C453" s="49"/>
      <c r="D453" s="49"/>
      <c r="E453" s="50"/>
      <c r="F453" s="50"/>
      <c r="G453" s="50"/>
    </row>
    <row r="454">
      <c r="B454" s="49"/>
      <c r="C454" s="49"/>
      <c r="D454" s="49"/>
      <c r="E454" s="50"/>
      <c r="F454" s="50"/>
      <c r="G454" s="50"/>
    </row>
    <row r="455">
      <c r="B455" s="49"/>
      <c r="C455" s="49"/>
      <c r="D455" s="49"/>
      <c r="E455" s="50"/>
      <c r="F455" s="50"/>
      <c r="G455" s="50"/>
    </row>
    <row r="456">
      <c r="B456" s="49"/>
      <c r="C456" s="49"/>
      <c r="D456" s="49"/>
      <c r="E456" s="50"/>
      <c r="F456" s="50"/>
      <c r="G456" s="50"/>
    </row>
    <row r="457">
      <c r="B457" s="49"/>
      <c r="C457" s="49"/>
      <c r="D457" s="49"/>
      <c r="E457" s="50"/>
      <c r="F457" s="50"/>
      <c r="G457" s="50"/>
    </row>
    <row r="458">
      <c r="B458" s="49"/>
      <c r="C458" s="49"/>
      <c r="D458" s="49"/>
      <c r="E458" s="50"/>
      <c r="F458" s="50"/>
      <c r="G458" s="50"/>
    </row>
    <row r="459">
      <c r="B459" s="49"/>
      <c r="C459" s="49"/>
      <c r="D459" s="49"/>
      <c r="E459" s="50"/>
      <c r="F459" s="50"/>
      <c r="G459" s="50"/>
    </row>
    <row r="460">
      <c r="B460" s="49"/>
      <c r="C460" s="49"/>
      <c r="D460" s="49"/>
      <c r="E460" s="50"/>
      <c r="F460" s="50"/>
      <c r="G460" s="50"/>
    </row>
    <row r="461">
      <c r="B461" s="49"/>
      <c r="C461" s="49"/>
      <c r="D461" s="49"/>
      <c r="E461" s="50"/>
      <c r="F461" s="50"/>
      <c r="G461" s="50"/>
    </row>
    <row r="462">
      <c r="B462" s="49"/>
      <c r="C462" s="49"/>
      <c r="D462" s="49"/>
      <c r="E462" s="50"/>
      <c r="F462" s="50"/>
      <c r="G462" s="50"/>
    </row>
    <row r="463">
      <c r="B463" s="49"/>
      <c r="C463" s="49"/>
      <c r="D463" s="49"/>
      <c r="E463" s="50"/>
      <c r="F463" s="50"/>
      <c r="G463" s="50"/>
    </row>
    <row r="464">
      <c r="B464" s="49"/>
      <c r="C464" s="49"/>
      <c r="D464" s="49"/>
      <c r="E464" s="50"/>
      <c r="F464" s="50"/>
      <c r="G464" s="50"/>
    </row>
    <row r="465">
      <c r="B465" s="49"/>
      <c r="C465" s="49"/>
      <c r="D465" s="49"/>
      <c r="E465" s="50"/>
      <c r="F465" s="50"/>
      <c r="G465" s="50"/>
    </row>
    <row r="466">
      <c r="B466" s="49"/>
      <c r="C466" s="49"/>
      <c r="D466" s="49"/>
      <c r="E466" s="50"/>
      <c r="F466" s="50"/>
      <c r="G466" s="50"/>
    </row>
    <row r="467">
      <c r="B467" s="49"/>
      <c r="C467" s="49"/>
      <c r="D467" s="49"/>
      <c r="E467" s="50"/>
      <c r="F467" s="50"/>
      <c r="G467" s="50"/>
    </row>
    <row r="468">
      <c r="B468" s="49"/>
      <c r="C468" s="49"/>
      <c r="D468" s="49"/>
      <c r="E468" s="50"/>
      <c r="F468" s="50"/>
      <c r="G468" s="50"/>
    </row>
    <row r="469">
      <c r="B469" s="49"/>
      <c r="C469" s="49"/>
      <c r="D469" s="49"/>
      <c r="E469" s="50"/>
      <c r="F469" s="50"/>
      <c r="G469" s="50"/>
    </row>
    <row r="470">
      <c r="B470" s="49"/>
      <c r="C470" s="49"/>
      <c r="D470" s="49"/>
      <c r="E470" s="50"/>
      <c r="F470" s="50"/>
      <c r="G470" s="50"/>
    </row>
    <row r="471">
      <c r="B471" s="49"/>
      <c r="C471" s="49"/>
      <c r="D471" s="49"/>
      <c r="E471" s="50"/>
      <c r="F471" s="50"/>
      <c r="G471" s="50"/>
    </row>
    <row r="472">
      <c r="B472" s="49"/>
      <c r="C472" s="49"/>
      <c r="D472" s="49"/>
      <c r="E472" s="50"/>
      <c r="F472" s="50"/>
      <c r="G472" s="50"/>
    </row>
    <row r="473">
      <c r="B473" s="49"/>
      <c r="C473" s="49"/>
      <c r="D473" s="49"/>
      <c r="E473" s="50"/>
      <c r="F473" s="50"/>
      <c r="G473" s="50"/>
    </row>
    <row r="474">
      <c r="B474" s="49"/>
      <c r="C474" s="49"/>
      <c r="D474" s="49"/>
      <c r="E474" s="50"/>
      <c r="F474" s="50"/>
      <c r="G474" s="50"/>
    </row>
    <row r="475">
      <c r="B475" s="49"/>
      <c r="C475" s="49"/>
      <c r="D475" s="49"/>
      <c r="E475" s="50"/>
      <c r="F475" s="50"/>
      <c r="G475" s="50"/>
    </row>
    <row r="476">
      <c r="B476" s="49"/>
      <c r="C476" s="49"/>
      <c r="D476" s="49"/>
      <c r="E476" s="50"/>
      <c r="F476" s="50"/>
      <c r="G476" s="50"/>
    </row>
    <row r="477">
      <c r="B477" s="49"/>
      <c r="C477" s="49"/>
      <c r="D477" s="49"/>
      <c r="E477" s="50"/>
      <c r="F477" s="50"/>
      <c r="G477" s="50"/>
    </row>
    <row r="478">
      <c r="B478" s="49"/>
      <c r="C478" s="49"/>
      <c r="D478" s="49"/>
      <c r="E478" s="50"/>
      <c r="F478" s="50"/>
      <c r="G478" s="50"/>
    </row>
    <row r="479">
      <c r="B479" s="49"/>
      <c r="C479" s="49"/>
      <c r="D479" s="49"/>
      <c r="E479" s="50"/>
      <c r="F479" s="50"/>
      <c r="G479" s="50"/>
    </row>
    <row r="480">
      <c r="B480" s="49"/>
      <c r="C480" s="49"/>
      <c r="D480" s="49"/>
      <c r="E480" s="50"/>
      <c r="F480" s="50"/>
      <c r="G480" s="50"/>
    </row>
    <row r="481">
      <c r="B481" s="49"/>
      <c r="C481" s="49"/>
      <c r="D481" s="49"/>
      <c r="E481" s="50"/>
      <c r="F481" s="50"/>
      <c r="G481" s="50"/>
    </row>
    <row r="482">
      <c r="B482" s="49"/>
      <c r="C482" s="49"/>
      <c r="D482" s="49"/>
      <c r="E482" s="50"/>
      <c r="F482" s="50"/>
      <c r="G482" s="50"/>
    </row>
    <row r="483">
      <c r="B483" s="49"/>
      <c r="C483" s="49"/>
      <c r="D483" s="49"/>
      <c r="E483" s="50"/>
      <c r="F483" s="50"/>
      <c r="G483" s="50"/>
    </row>
    <row r="484">
      <c r="B484" s="49"/>
      <c r="C484" s="49"/>
      <c r="D484" s="49"/>
      <c r="E484" s="50"/>
      <c r="F484" s="50"/>
      <c r="G484" s="50"/>
    </row>
    <row r="485">
      <c r="B485" s="49"/>
      <c r="C485" s="49"/>
      <c r="D485" s="49"/>
      <c r="E485" s="50"/>
      <c r="F485" s="50"/>
      <c r="G485" s="50"/>
    </row>
    <row r="486">
      <c r="B486" s="49"/>
      <c r="C486" s="49"/>
      <c r="D486" s="49"/>
      <c r="E486" s="50"/>
      <c r="F486" s="50"/>
      <c r="G486" s="50"/>
    </row>
    <row r="487">
      <c r="B487" s="49"/>
      <c r="C487" s="49"/>
      <c r="D487" s="49"/>
      <c r="E487" s="50"/>
      <c r="F487" s="50"/>
      <c r="G487" s="50"/>
    </row>
    <row r="488">
      <c r="B488" s="49"/>
      <c r="C488" s="49"/>
      <c r="D488" s="49"/>
      <c r="E488" s="50"/>
      <c r="F488" s="50"/>
      <c r="G488" s="50"/>
    </row>
    <row r="489">
      <c r="B489" s="49"/>
      <c r="C489" s="49"/>
      <c r="D489" s="49"/>
      <c r="E489" s="50"/>
      <c r="F489" s="50"/>
      <c r="G489" s="50"/>
    </row>
    <row r="490">
      <c r="B490" s="49"/>
      <c r="C490" s="49"/>
      <c r="D490" s="49"/>
      <c r="E490" s="50"/>
      <c r="F490" s="50"/>
      <c r="G490" s="50"/>
    </row>
    <row r="491">
      <c r="B491" s="49"/>
      <c r="C491" s="49"/>
      <c r="D491" s="49"/>
      <c r="E491" s="50"/>
      <c r="F491" s="50"/>
      <c r="G491" s="50"/>
    </row>
    <row r="492">
      <c r="B492" s="49"/>
      <c r="C492" s="49"/>
      <c r="D492" s="49"/>
      <c r="E492" s="50"/>
      <c r="F492" s="50"/>
      <c r="G492" s="50"/>
    </row>
    <row r="493">
      <c r="B493" s="49"/>
      <c r="C493" s="49"/>
      <c r="D493" s="49"/>
      <c r="E493" s="50"/>
      <c r="F493" s="50"/>
      <c r="G493" s="50"/>
    </row>
    <row r="494">
      <c r="B494" s="49"/>
      <c r="C494" s="49"/>
      <c r="D494" s="49"/>
      <c r="E494" s="50"/>
      <c r="F494" s="50"/>
      <c r="G494" s="50"/>
    </row>
    <row r="495">
      <c r="B495" s="49"/>
      <c r="C495" s="49"/>
      <c r="D495" s="49"/>
      <c r="E495" s="50"/>
      <c r="F495" s="50"/>
      <c r="G495" s="50"/>
    </row>
    <row r="496">
      <c r="B496" s="49"/>
      <c r="C496" s="49"/>
      <c r="D496" s="49"/>
      <c r="E496" s="50"/>
      <c r="F496" s="50"/>
      <c r="G496" s="50"/>
    </row>
    <row r="497">
      <c r="B497" s="49"/>
      <c r="C497" s="49"/>
      <c r="D497" s="49"/>
      <c r="E497" s="50"/>
      <c r="F497" s="50"/>
      <c r="G497" s="50"/>
    </row>
    <row r="498">
      <c r="B498" s="49"/>
      <c r="C498" s="49"/>
      <c r="D498" s="49"/>
      <c r="E498" s="50"/>
      <c r="F498" s="50"/>
      <c r="G498" s="50"/>
    </row>
    <row r="499">
      <c r="B499" s="49"/>
      <c r="C499" s="49"/>
      <c r="D499" s="49"/>
      <c r="E499" s="50"/>
      <c r="F499" s="50"/>
      <c r="G499" s="50"/>
    </row>
    <row r="500">
      <c r="B500" s="49"/>
      <c r="C500" s="49"/>
      <c r="D500" s="49"/>
      <c r="E500" s="50"/>
      <c r="F500" s="50"/>
      <c r="G500" s="50"/>
    </row>
    <row r="501">
      <c r="B501" s="49"/>
      <c r="C501" s="49"/>
      <c r="D501" s="49"/>
      <c r="E501" s="50"/>
      <c r="F501" s="50"/>
      <c r="G501" s="50"/>
    </row>
    <row r="502">
      <c r="B502" s="49"/>
      <c r="C502" s="49"/>
      <c r="D502" s="49"/>
      <c r="E502" s="50"/>
      <c r="F502" s="50"/>
      <c r="G502" s="50"/>
    </row>
    <row r="503">
      <c r="B503" s="49"/>
      <c r="C503" s="49"/>
      <c r="D503" s="49"/>
      <c r="E503" s="50"/>
      <c r="F503" s="50"/>
      <c r="G503" s="50"/>
    </row>
    <row r="504">
      <c r="B504" s="49"/>
      <c r="C504" s="49"/>
      <c r="D504" s="49"/>
      <c r="E504" s="50"/>
      <c r="F504" s="50"/>
      <c r="G504" s="50"/>
    </row>
    <row r="505">
      <c r="B505" s="49"/>
      <c r="C505" s="49"/>
      <c r="D505" s="49"/>
      <c r="E505" s="50"/>
      <c r="F505" s="50"/>
      <c r="G505" s="50"/>
    </row>
    <row r="506">
      <c r="B506" s="49"/>
      <c r="C506" s="49"/>
      <c r="D506" s="49"/>
      <c r="E506" s="50"/>
      <c r="F506" s="50"/>
      <c r="G506" s="50"/>
    </row>
    <row r="507">
      <c r="B507" s="49"/>
      <c r="C507" s="49"/>
      <c r="D507" s="49"/>
      <c r="E507" s="50"/>
      <c r="F507" s="50"/>
      <c r="G507" s="50"/>
    </row>
    <row r="508">
      <c r="B508" s="49"/>
      <c r="C508" s="49"/>
      <c r="D508" s="49"/>
      <c r="E508" s="50"/>
      <c r="F508" s="50"/>
      <c r="G508" s="50"/>
    </row>
    <row r="509">
      <c r="B509" s="49"/>
      <c r="C509" s="49"/>
      <c r="D509" s="49"/>
      <c r="E509" s="50"/>
      <c r="F509" s="50"/>
      <c r="G509" s="50"/>
    </row>
    <row r="510">
      <c r="B510" s="49"/>
      <c r="C510" s="49"/>
      <c r="D510" s="49"/>
      <c r="E510" s="50"/>
      <c r="F510" s="50"/>
      <c r="G510" s="50"/>
    </row>
    <row r="511">
      <c r="B511" s="49"/>
      <c r="C511" s="49"/>
      <c r="D511" s="49"/>
      <c r="E511" s="50"/>
      <c r="F511" s="50"/>
      <c r="G511" s="50"/>
    </row>
    <row r="512">
      <c r="B512" s="49"/>
      <c r="C512" s="49"/>
      <c r="D512" s="49"/>
      <c r="E512" s="50"/>
      <c r="F512" s="50"/>
      <c r="G512" s="50"/>
    </row>
    <row r="513">
      <c r="B513" s="49"/>
      <c r="C513" s="49"/>
      <c r="D513" s="49"/>
      <c r="E513" s="50"/>
      <c r="F513" s="50"/>
      <c r="G513" s="50"/>
    </row>
    <row r="514">
      <c r="B514" s="49"/>
      <c r="C514" s="49"/>
      <c r="D514" s="49"/>
      <c r="E514" s="50"/>
      <c r="F514" s="50"/>
      <c r="G514" s="50"/>
    </row>
    <row r="515">
      <c r="B515" s="49"/>
      <c r="C515" s="49"/>
      <c r="D515" s="49"/>
      <c r="E515" s="50"/>
      <c r="F515" s="50"/>
      <c r="G515" s="50"/>
    </row>
    <row r="516">
      <c r="B516" s="49"/>
      <c r="C516" s="49"/>
      <c r="D516" s="49"/>
      <c r="E516" s="50"/>
      <c r="F516" s="50"/>
      <c r="G516" s="50"/>
    </row>
    <row r="517">
      <c r="B517" s="49"/>
      <c r="C517" s="49"/>
      <c r="D517" s="49"/>
      <c r="E517" s="50"/>
      <c r="F517" s="50"/>
      <c r="G517" s="50"/>
    </row>
    <row r="518">
      <c r="B518" s="49"/>
      <c r="C518" s="49"/>
      <c r="D518" s="49"/>
      <c r="E518" s="50"/>
      <c r="F518" s="50"/>
      <c r="G518" s="50"/>
    </row>
    <row r="519">
      <c r="B519" s="49"/>
      <c r="C519" s="49"/>
      <c r="D519" s="49"/>
      <c r="E519" s="50"/>
      <c r="F519" s="50"/>
      <c r="G519" s="50"/>
    </row>
    <row r="520">
      <c r="B520" s="49"/>
      <c r="C520" s="49"/>
      <c r="D520" s="49"/>
      <c r="E520" s="50"/>
      <c r="F520" s="50"/>
      <c r="G520" s="50"/>
    </row>
    <row r="521">
      <c r="B521" s="49"/>
      <c r="C521" s="49"/>
      <c r="D521" s="49"/>
      <c r="E521" s="50"/>
      <c r="F521" s="50"/>
      <c r="G521" s="50"/>
    </row>
    <row r="522">
      <c r="B522" s="49"/>
      <c r="C522" s="49"/>
      <c r="D522" s="49"/>
      <c r="E522" s="50"/>
      <c r="F522" s="50"/>
      <c r="G522" s="50"/>
    </row>
    <row r="523">
      <c r="B523" s="49"/>
      <c r="C523" s="49"/>
      <c r="D523" s="49"/>
      <c r="E523" s="50"/>
      <c r="F523" s="50"/>
      <c r="G523" s="50"/>
    </row>
    <row r="524">
      <c r="B524" s="49"/>
      <c r="C524" s="49"/>
      <c r="D524" s="49"/>
      <c r="E524" s="50"/>
      <c r="F524" s="50"/>
      <c r="G524" s="50"/>
    </row>
    <row r="525">
      <c r="B525" s="49"/>
      <c r="C525" s="49"/>
      <c r="D525" s="49"/>
      <c r="E525" s="50"/>
      <c r="F525" s="50"/>
      <c r="G525" s="50"/>
    </row>
    <row r="526">
      <c r="B526" s="49"/>
      <c r="C526" s="49"/>
      <c r="D526" s="49"/>
      <c r="E526" s="50"/>
      <c r="F526" s="50"/>
      <c r="G526" s="50"/>
    </row>
    <row r="527">
      <c r="B527" s="49"/>
      <c r="C527" s="49"/>
      <c r="D527" s="49"/>
      <c r="E527" s="50"/>
      <c r="F527" s="50"/>
      <c r="G527" s="50"/>
    </row>
    <row r="528">
      <c r="B528" s="49"/>
      <c r="C528" s="49"/>
      <c r="D528" s="49"/>
      <c r="E528" s="50"/>
      <c r="F528" s="50"/>
      <c r="G528" s="50"/>
    </row>
    <row r="529">
      <c r="B529" s="49"/>
      <c r="C529" s="49"/>
      <c r="D529" s="49"/>
      <c r="E529" s="50"/>
      <c r="F529" s="50"/>
      <c r="G529" s="50"/>
    </row>
    <row r="530">
      <c r="B530" s="49"/>
      <c r="C530" s="49"/>
      <c r="D530" s="49"/>
      <c r="E530" s="50"/>
      <c r="F530" s="50"/>
      <c r="G530" s="50"/>
    </row>
    <row r="531">
      <c r="B531" s="49"/>
      <c r="C531" s="49"/>
      <c r="D531" s="49"/>
      <c r="E531" s="50"/>
      <c r="F531" s="50"/>
      <c r="G531" s="50"/>
    </row>
    <row r="532">
      <c r="B532" s="49"/>
      <c r="C532" s="49"/>
      <c r="D532" s="49"/>
      <c r="E532" s="50"/>
      <c r="F532" s="50"/>
      <c r="G532" s="50"/>
    </row>
    <row r="533">
      <c r="B533" s="49"/>
      <c r="C533" s="49"/>
      <c r="D533" s="49"/>
      <c r="E533" s="50"/>
      <c r="F533" s="50"/>
      <c r="G533" s="50"/>
    </row>
    <row r="534">
      <c r="B534" s="49"/>
      <c r="C534" s="49"/>
      <c r="D534" s="49"/>
      <c r="E534" s="50"/>
      <c r="F534" s="50"/>
      <c r="G534" s="50"/>
    </row>
    <row r="535">
      <c r="B535" s="49"/>
      <c r="C535" s="49"/>
      <c r="D535" s="49"/>
      <c r="E535" s="50"/>
      <c r="F535" s="50"/>
      <c r="G535" s="50"/>
    </row>
    <row r="536">
      <c r="B536" s="49"/>
      <c r="C536" s="49"/>
      <c r="D536" s="49"/>
      <c r="E536" s="50"/>
      <c r="F536" s="50"/>
      <c r="G536" s="50"/>
    </row>
    <row r="537">
      <c r="B537" s="49"/>
      <c r="C537" s="49"/>
      <c r="D537" s="49"/>
      <c r="E537" s="50"/>
      <c r="F537" s="50"/>
      <c r="G537" s="50"/>
    </row>
    <row r="538">
      <c r="B538" s="49"/>
      <c r="C538" s="49"/>
      <c r="D538" s="49"/>
      <c r="E538" s="50"/>
      <c r="F538" s="50"/>
      <c r="G538" s="50"/>
    </row>
    <row r="539">
      <c r="B539" s="49"/>
      <c r="C539" s="49"/>
      <c r="D539" s="49"/>
      <c r="E539" s="50"/>
      <c r="F539" s="50"/>
      <c r="G539" s="50"/>
    </row>
    <row r="540">
      <c r="B540" s="49"/>
      <c r="C540" s="49"/>
      <c r="D540" s="49"/>
      <c r="E540" s="50"/>
      <c r="F540" s="50"/>
      <c r="G540" s="50"/>
    </row>
    <row r="541">
      <c r="B541" s="49"/>
      <c r="C541" s="49"/>
      <c r="D541" s="49"/>
      <c r="E541" s="50"/>
      <c r="F541" s="50"/>
      <c r="G541" s="50"/>
    </row>
    <row r="542">
      <c r="B542" s="49"/>
      <c r="C542" s="49"/>
      <c r="D542" s="49"/>
      <c r="E542" s="50"/>
      <c r="F542" s="50"/>
      <c r="G542" s="50"/>
    </row>
    <row r="543">
      <c r="B543" s="49"/>
      <c r="C543" s="49"/>
      <c r="D543" s="49"/>
      <c r="E543" s="50"/>
      <c r="F543" s="50"/>
      <c r="G543" s="50"/>
    </row>
    <row r="544">
      <c r="B544" s="49"/>
      <c r="C544" s="49"/>
      <c r="D544" s="49"/>
      <c r="E544" s="50"/>
      <c r="F544" s="50"/>
      <c r="G544" s="50"/>
    </row>
    <row r="545">
      <c r="B545" s="49"/>
      <c r="C545" s="49"/>
      <c r="D545" s="49"/>
      <c r="E545" s="50"/>
      <c r="F545" s="50"/>
      <c r="G545" s="50"/>
    </row>
    <row r="546">
      <c r="B546" s="49"/>
      <c r="C546" s="49"/>
      <c r="D546" s="49"/>
      <c r="E546" s="50"/>
      <c r="F546" s="50"/>
      <c r="G546" s="50"/>
    </row>
    <row r="547">
      <c r="B547" s="49"/>
      <c r="C547" s="49"/>
      <c r="D547" s="49"/>
      <c r="E547" s="50"/>
      <c r="F547" s="50"/>
      <c r="G547" s="50"/>
    </row>
    <row r="548">
      <c r="B548" s="49"/>
      <c r="C548" s="49"/>
      <c r="D548" s="49"/>
      <c r="E548" s="50"/>
      <c r="F548" s="50"/>
      <c r="G548" s="50"/>
    </row>
    <row r="549">
      <c r="B549" s="49"/>
      <c r="C549" s="49"/>
      <c r="D549" s="49"/>
      <c r="E549" s="50"/>
      <c r="F549" s="50"/>
      <c r="G549" s="50"/>
    </row>
    <row r="550">
      <c r="B550" s="49"/>
      <c r="C550" s="49"/>
      <c r="D550" s="49"/>
      <c r="E550" s="50"/>
      <c r="F550" s="50"/>
      <c r="G550" s="50"/>
    </row>
    <row r="551">
      <c r="B551" s="49"/>
      <c r="C551" s="49"/>
      <c r="D551" s="49"/>
      <c r="E551" s="50"/>
      <c r="F551" s="50"/>
      <c r="G551" s="50"/>
    </row>
    <row r="552">
      <c r="B552" s="49"/>
      <c r="C552" s="49"/>
      <c r="D552" s="49"/>
      <c r="E552" s="50"/>
      <c r="F552" s="50"/>
      <c r="G552" s="50"/>
    </row>
    <row r="553">
      <c r="B553" s="49"/>
      <c r="C553" s="49"/>
      <c r="D553" s="49"/>
      <c r="E553" s="50"/>
      <c r="F553" s="50"/>
      <c r="G553" s="50"/>
    </row>
    <row r="554">
      <c r="B554" s="49"/>
      <c r="C554" s="49"/>
      <c r="D554" s="49"/>
      <c r="E554" s="50"/>
      <c r="F554" s="50"/>
      <c r="G554" s="50"/>
    </row>
    <row r="555">
      <c r="B555" s="49"/>
      <c r="C555" s="49"/>
      <c r="D555" s="49"/>
      <c r="E555" s="50"/>
      <c r="F555" s="50"/>
      <c r="G555" s="50"/>
    </row>
    <row r="556">
      <c r="B556" s="49"/>
      <c r="C556" s="49"/>
      <c r="D556" s="49"/>
      <c r="E556" s="50"/>
      <c r="F556" s="50"/>
      <c r="G556" s="50"/>
    </row>
    <row r="557">
      <c r="B557" s="49"/>
      <c r="C557" s="49"/>
      <c r="D557" s="49"/>
      <c r="E557" s="50"/>
      <c r="F557" s="50"/>
      <c r="G557" s="50"/>
    </row>
    <row r="558">
      <c r="B558" s="49"/>
      <c r="C558" s="49"/>
      <c r="D558" s="49"/>
      <c r="E558" s="50"/>
      <c r="F558" s="50"/>
      <c r="G558" s="50"/>
    </row>
    <row r="559">
      <c r="B559" s="49"/>
      <c r="C559" s="49"/>
      <c r="D559" s="49"/>
      <c r="E559" s="50"/>
      <c r="F559" s="50"/>
      <c r="G559" s="50"/>
    </row>
    <row r="560">
      <c r="B560" s="49"/>
      <c r="C560" s="49"/>
      <c r="D560" s="49"/>
      <c r="E560" s="50"/>
      <c r="F560" s="50"/>
      <c r="G560" s="50"/>
    </row>
    <row r="561">
      <c r="B561" s="49"/>
      <c r="C561" s="49"/>
      <c r="D561" s="49"/>
      <c r="E561" s="50"/>
      <c r="F561" s="50"/>
      <c r="G561" s="50"/>
    </row>
    <row r="562">
      <c r="B562" s="49"/>
      <c r="C562" s="49"/>
      <c r="D562" s="49"/>
      <c r="E562" s="50"/>
      <c r="F562" s="50"/>
      <c r="G562" s="50"/>
    </row>
    <row r="563">
      <c r="B563" s="49"/>
      <c r="C563" s="49"/>
      <c r="D563" s="49"/>
      <c r="E563" s="50"/>
      <c r="F563" s="50"/>
      <c r="G563" s="50"/>
    </row>
    <row r="564">
      <c r="B564" s="49"/>
      <c r="C564" s="49"/>
      <c r="D564" s="49"/>
      <c r="E564" s="50"/>
      <c r="F564" s="50"/>
      <c r="G564" s="50"/>
    </row>
    <row r="565">
      <c r="B565" s="49"/>
      <c r="C565" s="49"/>
      <c r="D565" s="49"/>
      <c r="E565" s="50"/>
      <c r="F565" s="50"/>
      <c r="G565" s="50"/>
    </row>
    <row r="566">
      <c r="B566" s="49"/>
      <c r="C566" s="49"/>
      <c r="D566" s="49"/>
      <c r="E566" s="50"/>
      <c r="F566" s="50"/>
      <c r="G566" s="50"/>
    </row>
    <row r="567">
      <c r="B567" s="49"/>
      <c r="C567" s="49"/>
      <c r="D567" s="49"/>
      <c r="E567" s="50"/>
      <c r="F567" s="50"/>
      <c r="G567" s="50"/>
    </row>
    <row r="568">
      <c r="B568" s="49"/>
      <c r="C568" s="49"/>
      <c r="D568" s="49"/>
      <c r="E568" s="50"/>
      <c r="F568" s="50"/>
      <c r="G568" s="50"/>
    </row>
    <row r="569">
      <c r="B569" s="49"/>
      <c r="C569" s="49"/>
      <c r="D569" s="49"/>
      <c r="E569" s="50"/>
      <c r="F569" s="50"/>
      <c r="G569" s="50"/>
    </row>
    <row r="570">
      <c r="B570" s="49"/>
      <c r="C570" s="49"/>
      <c r="D570" s="49"/>
      <c r="E570" s="50"/>
      <c r="F570" s="50"/>
      <c r="G570" s="50"/>
    </row>
    <row r="571">
      <c r="B571" s="49"/>
      <c r="C571" s="49"/>
      <c r="D571" s="49"/>
      <c r="E571" s="50"/>
      <c r="F571" s="50"/>
      <c r="G571" s="50"/>
    </row>
    <row r="572">
      <c r="B572" s="49"/>
      <c r="C572" s="49"/>
      <c r="D572" s="49"/>
      <c r="E572" s="50"/>
      <c r="F572" s="50"/>
      <c r="G572" s="50"/>
    </row>
    <row r="573">
      <c r="B573" s="49"/>
      <c r="C573" s="49"/>
      <c r="D573" s="49"/>
      <c r="E573" s="50"/>
      <c r="F573" s="50"/>
      <c r="G573" s="50"/>
    </row>
    <row r="574">
      <c r="B574" s="49"/>
      <c r="C574" s="49"/>
      <c r="D574" s="49"/>
      <c r="E574" s="50"/>
      <c r="F574" s="50"/>
      <c r="G574" s="50"/>
    </row>
    <row r="575">
      <c r="B575" s="49"/>
      <c r="C575" s="49"/>
      <c r="D575" s="49"/>
      <c r="E575" s="50"/>
      <c r="F575" s="50"/>
      <c r="G575" s="50"/>
    </row>
    <row r="576">
      <c r="B576" s="49"/>
      <c r="C576" s="49"/>
      <c r="D576" s="49"/>
      <c r="E576" s="50"/>
      <c r="F576" s="50"/>
      <c r="G576" s="50"/>
    </row>
    <row r="577">
      <c r="B577" s="49"/>
      <c r="C577" s="49"/>
      <c r="D577" s="49"/>
      <c r="E577" s="50"/>
      <c r="F577" s="50"/>
      <c r="G577" s="50"/>
    </row>
    <row r="578">
      <c r="B578" s="49"/>
      <c r="C578" s="49"/>
      <c r="D578" s="49"/>
      <c r="E578" s="50"/>
      <c r="F578" s="50"/>
      <c r="G578" s="50"/>
    </row>
    <row r="579">
      <c r="B579" s="49"/>
      <c r="C579" s="49"/>
      <c r="D579" s="49"/>
      <c r="E579" s="50"/>
      <c r="F579" s="50"/>
      <c r="G579" s="50"/>
    </row>
    <row r="580">
      <c r="B580" s="49"/>
      <c r="C580" s="49"/>
      <c r="D580" s="49"/>
      <c r="E580" s="50"/>
      <c r="F580" s="50"/>
      <c r="G580" s="50"/>
    </row>
    <row r="581">
      <c r="B581" s="49"/>
      <c r="C581" s="49"/>
      <c r="D581" s="49"/>
      <c r="E581" s="50"/>
      <c r="F581" s="50"/>
      <c r="G581" s="50"/>
    </row>
    <row r="582">
      <c r="B582" s="49"/>
      <c r="C582" s="49"/>
      <c r="D582" s="49"/>
      <c r="E582" s="50"/>
      <c r="F582" s="50"/>
      <c r="G582" s="50"/>
    </row>
    <row r="583">
      <c r="B583" s="49"/>
      <c r="C583" s="49"/>
      <c r="D583" s="49"/>
      <c r="E583" s="50"/>
      <c r="F583" s="50"/>
      <c r="G583" s="50"/>
    </row>
    <row r="584">
      <c r="B584" s="49"/>
      <c r="C584" s="49"/>
      <c r="D584" s="49"/>
      <c r="E584" s="50"/>
      <c r="F584" s="50"/>
      <c r="G584" s="50"/>
    </row>
    <row r="585">
      <c r="B585" s="49"/>
      <c r="C585" s="49"/>
      <c r="D585" s="49"/>
      <c r="E585" s="50"/>
      <c r="F585" s="50"/>
      <c r="G585" s="50"/>
    </row>
    <row r="586">
      <c r="B586" s="49"/>
      <c r="C586" s="49"/>
      <c r="D586" s="49"/>
      <c r="E586" s="50"/>
      <c r="F586" s="50"/>
      <c r="G586" s="50"/>
    </row>
    <row r="587">
      <c r="B587" s="49"/>
      <c r="C587" s="49"/>
      <c r="D587" s="49"/>
      <c r="E587" s="50"/>
      <c r="F587" s="50"/>
      <c r="G587" s="50"/>
    </row>
    <row r="588">
      <c r="B588" s="49"/>
      <c r="C588" s="49"/>
      <c r="D588" s="49"/>
      <c r="E588" s="50"/>
      <c r="F588" s="50"/>
      <c r="G588" s="50"/>
    </row>
    <row r="589">
      <c r="B589" s="49"/>
      <c r="C589" s="49"/>
      <c r="D589" s="49"/>
      <c r="E589" s="50"/>
      <c r="F589" s="50"/>
      <c r="G589" s="50"/>
    </row>
    <row r="590">
      <c r="B590" s="49"/>
      <c r="C590" s="49"/>
      <c r="D590" s="49"/>
      <c r="E590" s="50"/>
      <c r="F590" s="50"/>
      <c r="G590" s="50"/>
    </row>
    <row r="591">
      <c r="B591" s="49"/>
      <c r="C591" s="49"/>
      <c r="D591" s="49"/>
      <c r="E591" s="50"/>
      <c r="F591" s="50"/>
      <c r="G591" s="50"/>
    </row>
    <row r="592">
      <c r="B592" s="49"/>
      <c r="C592" s="49"/>
      <c r="D592" s="49"/>
      <c r="E592" s="50"/>
      <c r="F592" s="50"/>
      <c r="G592" s="50"/>
    </row>
    <row r="593">
      <c r="B593" s="49"/>
      <c r="C593" s="49"/>
      <c r="D593" s="49"/>
      <c r="E593" s="50"/>
      <c r="F593" s="50"/>
      <c r="G593" s="50"/>
    </row>
    <row r="594">
      <c r="B594" s="49"/>
      <c r="C594" s="49"/>
      <c r="D594" s="49"/>
      <c r="E594" s="50"/>
      <c r="F594" s="50"/>
      <c r="G594" s="50"/>
    </row>
    <row r="595">
      <c r="B595" s="49"/>
      <c r="C595" s="49"/>
      <c r="D595" s="49"/>
      <c r="E595" s="50"/>
      <c r="F595" s="50"/>
      <c r="G595" s="50"/>
    </row>
    <row r="596">
      <c r="B596" s="49"/>
      <c r="C596" s="49"/>
      <c r="D596" s="49"/>
      <c r="E596" s="50"/>
      <c r="F596" s="50"/>
      <c r="G596" s="50"/>
    </row>
    <row r="597">
      <c r="B597" s="49"/>
      <c r="C597" s="49"/>
      <c r="D597" s="49"/>
      <c r="E597" s="50"/>
      <c r="F597" s="50"/>
      <c r="G597" s="50"/>
    </row>
    <row r="598">
      <c r="B598" s="49"/>
      <c r="C598" s="49"/>
      <c r="D598" s="49"/>
      <c r="E598" s="50"/>
      <c r="F598" s="50"/>
      <c r="G598" s="50"/>
    </row>
    <row r="599">
      <c r="B599" s="49"/>
      <c r="C599" s="49"/>
      <c r="D599" s="49"/>
      <c r="E599" s="50"/>
      <c r="F599" s="50"/>
      <c r="G599" s="50"/>
    </row>
    <row r="600">
      <c r="B600" s="49"/>
      <c r="C600" s="49"/>
      <c r="D600" s="49"/>
      <c r="E600" s="50"/>
      <c r="F600" s="50"/>
      <c r="G600" s="50"/>
    </row>
    <row r="601">
      <c r="B601" s="49"/>
      <c r="C601" s="49"/>
      <c r="D601" s="49"/>
      <c r="E601" s="50"/>
      <c r="F601" s="50"/>
      <c r="G601" s="50"/>
    </row>
    <row r="602">
      <c r="B602" s="49"/>
      <c r="C602" s="49"/>
      <c r="D602" s="49"/>
      <c r="E602" s="50"/>
      <c r="F602" s="50"/>
      <c r="G602" s="50"/>
    </row>
    <row r="603">
      <c r="B603" s="49"/>
      <c r="C603" s="49"/>
      <c r="D603" s="49"/>
      <c r="E603" s="50"/>
      <c r="F603" s="50"/>
      <c r="G603" s="50"/>
    </row>
    <row r="604">
      <c r="B604" s="49"/>
      <c r="C604" s="49"/>
      <c r="D604" s="49"/>
      <c r="E604" s="50"/>
      <c r="F604" s="50"/>
      <c r="G604" s="50"/>
    </row>
    <row r="605">
      <c r="B605" s="49"/>
      <c r="C605" s="49"/>
      <c r="D605" s="49"/>
      <c r="E605" s="50"/>
      <c r="F605" s="50"/>
      <c r="G605" s="50"/>
    </row>
    <row r="606">
      <c r="B606" s="49"/>
      <c r="C606" s="49"/>
      <c r="D606" s="49"/>
      <c r="E606" s="50"/>
      <c r="F606" s="50"/>
      <c r="G606" s="50"/>
    </row>
    <row r="607">
      <c r="B607" s="49"/>
      <c r="C607" s="49"/>
      <c r="D607" s="49"/>
      <c r="E607" s="50"/>
      <c r="F607" s="50"/>
      <c r="G607" s="50"/>
    </row>
    <row r="608">
      <c r="B608" s="49"/>
      <c r="C608" s="49"/>
      <c r="D608" s="49"/>
      <c r="E608" s="50"/>
      <c r="F608" s="50"/>
      <c r="G608" s="50"/>
    </row>
    <row r="609">
      <c r="B609" s="49"/>
      <c r="C609" s="49"/>
      <c r="D609" s="49"/>
      <c r="E609" s="50"/>
      <c r="F609" s="50"/>
      <c r="G609" s="50"/>
    </row>
    <row r="610">
      <c r="B610" s="49"/>
      <c r="C610" s="49"/>
      <c r="D610" s="49"/>
      <c r="E610" s="50"/>
      <c r="F610" s="50"/>
      <c r="G610" s="50"/>
    </row>
    <row r="611">
      <c r="B611" s="49"/>
      <c r="C611" s="49"/>
      <c r="D611" s="49"/>
      <c r="E611" s="50"/>
      <c r="F611" s="50"/>
      <c r="G611" s="50"/>
    </row>
    <row r="612">
      <c r="B612" s="49"/>
      <c r="C612" s="49"/>
      <c r="D612" s="49"/>
      <c r="E612" s="50"/>
      <c r="F612" s="50"/>
      <c r="G612" s="50"/>
    </row>
    <row r="613">
      <c r="B613" s="49"/>
      <c r="C613" s="49"/>
      <c r="D613" s="49"/>
      <c r="E613" s="50"/>
      <c r="F613" s="50"/>
      <c r="G613" s="50"/>
    </row>
    <row r="614">
      <c r="B614" s="49"/>
      <c r="C614" s="49"/>
      <c r="D614" s="49"/>
      <c r="E614" s="50"/>
      <c r="F614" s="50"/>
      <c r="G614" s="50"/>
    </row>
    <row r="615">
      <c r="B615" s="49"/>
      <c r="C615" s="49"/>
      <c r="D615" s="49"/>
      <c r="E615" s="50"/>
      <c r="F615" s="50"/>
      <c r="G615" s="50"/>
    </row>
    <row r="616">
      <c r="B616" s="49"/>
      <c r="C616" s="49"/>
      <c r="D616" s="49"/>
      <c r="E616" s="50"/>
      <c r="F616" s="50"/>
      <c r="G616" s="50"/>
    </row>
    <row r="617">
      <c r="B617" s="49"/>
      <c r="C617" s="49"/>
      <c r="D617" s="49"/>
      <c r="E617" s="50"/>
      <c r="F617" s="50"/>
      <c r="G617" s="50"/>
    </row>
    <row r="618">
      <c r="B618" s="49"/>
      <c r="C618" s="49"/>
      <c r="D618" s="49"/>
      <c r="E618" s="50"/>
      <c r="F618" s="50"/>
      <c r="G618" s="50"/>
    </row>
    <row r="619">
      <c r="B619" s="49"/>
      <c r="C619" s="49"/>
      <c r="D619" s="49"/>
      <c r="E619" s="50"/>
      <c r="F619" s="50"/>
      <c r="G619" s="50"/>
    </row>
    <row r="620">
      <c r="B620" s="49"/>
      <c r="C620" s="49"/>
      <c r="D620" s="49"/>
      <c r="E620" s="50"/>
      <c r="F620" s="50"/>
      <c r="G620" s="50"/>
    </row>
    <row r="621">
      <c r="B621" s="49"/>
      <c r="C621" s="49"/>
      <c r="D621" s="49"/>
      <c r="E621" s="50"/>
      <c r="F621" s="50"/>
      <c r="G621" s="50"/>
    </row>
    <row r="622">
      <c r="B622" s="49"/>
      <c r="C622" s="49"/>
      <c r="D622" s="49"/>
      <c r="E622" s="50"/>
      <c r="F622" s="50"/>
      <c r="G622" s="50"/>
    </row>
    <row r="623">
      <c r="B623" s="49"/>
      <c r="C623" s="49"/>
      <c r="D623" s="49"/>
      <c r="E623" s="50"/>
      <c r="F623" s="50"/>
      <c r="G623" s="50"/>
    </row>
    <row r="624">
      <c r="B624" s="49"/>
      <c r="C624" s="49"/>
      <c r="D624" s="49"/>
      <c r="E624" s="50"/>
      <c r="F624" s="50"/>
      <c r="G624" s="50"/>
    </row>
    <row r="625">
      <c r="B625" s="49"/>
      <c r="C625" s="49"/>
      <c r="D625" s="49"/>
      <c r="E625" s="50"/>
      <c r="F625" s="50"/>
      <c r="G625" s="50"/>
    </row>
    <row r="626">
      <c r="B626" s="49"/>
      <c r="C626" s="49"/>
      <c r="D626" s="49"/>
      <c r="E626" s="50"/>
      <c r="F626" s="50"/>
      <c r="G626" s="50"/>
    </row>
    <row r="627">
      <c r="B627" s="49"/>
      <c r="C627" s="49"/>
      <c r="D627" s="49"/>
      <c r="E627" s="50"/>
      <c r="F627" s="50"/>
      <c r="G627" s="50"/>
    </row>
    <row r="628">
      <c r="B628" s="49"/>
      <c r="C628" s="49"/>
      <c r="D628" s="49"/>
      <c r="E628" s="50"/>
      <c r="F628" s="50"/>
      <c r="G628" s="50"/>
    </row>
    <row r="629">
      <c r="B629" s="49"/>
      <c r="C629" s="49"/>
      <c r="D629" s="49"/>
      <c r="E629" s="50"/>
      <c r="F629" s="50"/>
      <c r="G629" s="50"/>
    </row>
    <row r="630">
      <c r="B630" s="49"/>
      <c r="C630" s="49"/>
      <c r="D630" s="49"/>
      <c r="E630" s="50"/>
      <c r="F630" s="50"/>
      <c r="G630" s="50"/>
    </row>
    <row r="631">
      <c r="B631" s="49"/>
      <c r="C631" s="49"/>
      <c r="D631" s="49"/>
      <c r="E631" s="50"/>
      <c r="F631" s="50"/>
      <c r="G631" s="50"/>
    </row>
    <row r="632">
      <c r="B632" s="49"/>
      <c r="C632" s="49"/>
      <c r="D632" s="49"/>
      <c r="E632" s="50"/>
      <c r="F632" s="50"/>
      <c r="G632" s="50"/>
    </row>
    <row r="633">
      <c r="B633" s="49"/>
      <c r="C633" s="49"/>
      <c r="D633" s="49"/>
      <c r="E633" s="50"/>
      <c r="F633" s="50"/>
      <c r="G633" s="50"/>
    </row>
    <row r="634">
      <c r="B634" s="49"/>
      <c r="C634" s="49"/>
      <c r="D634" s="49"/>
      <c r="E634" s="50"/>
      <c r="F634" s="50"/>
      <c r="G634" s="50"/>
    </row>
    <row r="635">
      <c r="B635" s="49"/>
      <c r="C635" s="49"/>
      <c r="D635" s="49"/>
      <c r="E635" s="50"/>
      <c r="F635" s="50"/>
      <c r="G635" s="50"/>
    </row>
    <row r="636">
      <c r="B636" s="49"/>
      <c r="C636" s="49"/>
      <c r="D636" s="49"/>
      <c r="E636" s="50"/>
      <c r="F636" s="50"/>
      <c r="G636" s="50"/>
    </row>
    <row r="637">
      <c r="B637" s="49"/>
      <c r="C637" s="49"/>
      <c r="D637" s="49"/>
      <c r="E637" s="50"/>
      <c r="F637" s="50"/>
      <c r="G637" s="50"/>
    </row>
    <row r="638">
      <c r="B638" s="49"/>
      <c r="C638" s="49"/>
      <c r="D638" s="49"/>
      <c r="E638" s="50"/>
      <c r="F638" s="50"/>
      <c r="G638" s="50"/>
    </row>
    <row r="639">
      <c r="B639" s="49"/>
      <c r="C639" s="49"/>
      <c r="D639" s="49"/>
      <c r="E639" s="50"/>
      <c r="F639" s="50"/>
      <c r="G639" s="50"/>
    </row>
    <row r="640">
      <c r="B640" s="49"/>
      <c r="C640" s="49"/>
      <c r="D640" s="49"/>
      <c r="E640" s="50"/>
      <c r="F640" s="50"/>
      <c r="G640" s="50"/>
    </row>
    <row r="641">
      <c r="B641" s="49"/>
      <c r="C641" s="49"/>
      <c r="D641" s="49"/>
      <c r="E641" s="50"/>
      <c r="F641" s="50"/>
      <c r="G641" s="50"/>
    </row>
    <row r="642">
      <c r="B642" s="49"/>
      <c r="C642" s="49"/>
      <c r="D642" s="49"/>
      <c r="E642" s="50"/>
      <c r="F642" s="50"/>
      <c r="G642" s="50"/>
    </row>
    <row r="643">
      <c r="B643" s="49"/>
      <c r="C643" s="49"/>
      <c r="D643" s="49"/>
      <c r="E643" s="50"/>
      <c r="F643" s="50"/>
      <c r="G643" s="50"/>
    </row>
    <row r="644">
      <c r="B644" s="49"/>
      <c r="C644" s="49"/>
      <c r="D644" s="49"/>
      <c r="E644" s="50"/>
      <c r="F644" s="50"/>
      <c r="G644" s="50"/>
    </row>
    <row r="645">
      <c r="B645" s="49"/>
      <c r="C645" s="49"/>
      <c r="D645" s="49"/>
      <c r="E645" s="50"/>
      <c r="F645" s="50"/>
      <c r="G645" s="50"/>
    </row>
    <row r="646">
      <c r="B646" s="49"/>
      <c r="C646" s="49"/>
      <c r="D646" s="49"/>
      <c r="E646" s="50"/>
      <c r="F646" s="50"/>
      <c r="G646" s="50"/>
    </row>
    <row r="647">
      <c r="B647" s="49"/>
      <c r="C647" s="49"/>
      <c r="D647" s="49"/>
      <c r="E647" s="50"/>
      <c r="F647" s="50"/>
      <c r="G647" s="50"/>
    </row>
    <row r="648">
      <c r="B648" s="49"/>
      <c r="C648" s="49"/>
      <c r="D648" s="49"/>
      <c r="E648" s="50"/>
      <c r="F648" s="50"/>
      <c r="G648" s="50"/>
    </row>
    <row r="649">
      <c r="B649" s="49"/>
      <c r="C649" s="49"/>
      <c r="D649" s="49"/>
      <c r="E649" s="50"/>
      <c r="F649" s="50"/>
      <c r="G649" s="50"/>
    </row>
    <row r="650">
      <c r="B650" s="49"/>
      <c r="C650" s="49"/>
      <c r="D650" s="49"/>
      <c r="E650" s="50"/>
      <c r="F650" s="50"/>
      <c r="G650" s="50"/>
    </row>
    <row r="651">
      <c r="B651" s="49"/>
      <c r="C651" s="49"/>
      <c r="D651" s="49"/>
      <c r="E651" s="50"/>
      <c r="F651" s="50"/>
      <c r="G651" s="50"/>
    </row>
    <row r="652">
      <c r="B652" s="49"/>
      <c r="C652" s="49"/>
      <c r="D652" s="49"/>
      <c r="E652" s="50"/>
      <c r="F652" s="50"/>
      <c r="G652" s="50"/>
    </row>
    <row r="653">
      <c r="B653" s="49"/>
      <c r="C653" s="49"/>
      <c r="D653" s="49"/>
      <c r="E653" s="50"/>
      <c r="F653" s="50"/>
      <c r="G653" s="50"/>
    </row>
    <row r="654">
      <c r="B654" s="49"/>
      <c r="C654" s="49"/>
      <c r="D654" s="49"/>
      <c r="E654" s="50"/>
      <c r="F654" s="50"/>
      <c r="G654" s="50"/>
    </row>
    <row r="655">
      <c r="B655" s="49"/>
      <c r="C655" s="49"/>
      <c r="D655" s="49"/>
      <c r="E655" s="50"/>
      <c r="F655" s="50"/>
      <c r="G655" s="50"/>
    </row>
    <row r="656">
      <c r="B656" s="49"/>
      <c r="C656" s="49"/>
      <c r="D656" s="49"/>
      <c r="E656" s="50"/>
      <c r="F656" s="50"/>
      <c r="G656" s="50"/>
    </row>
    <row r="657">
      <c r="B657" s="49"/>
      <c r="C657" s="49"/>
      <c r="D657" s="49"/>
      <c r="E657" s="50"/>
      <c r="F657" s="50"/>
      <c r="G657" s="50"/>
    </row>
    <row r="658">
      <c r="B658" s="49"/>
      <c r="C658" s="49"/>
      <c r="D658" s="49"/>
      <c r="E658" s="50"/>
      <c r="F658" s="50"/>
      <c r="G658" s="50"/>
    </row>
    <row r="659">
      <c r="B659" s="49"/>
      <c r="C659" s="49"/>
      <c r="D659" s="49"/>
      <c r="E659" s="50"/>
      <c r="F659" s="50"/>
      <c r="G659" s="50"/>
    </row>
    <row r="660">
      <c r="B660" s="49"/>
      <c r="C660" s="49"/>
      <c r="D660" s="49"/>
      <c r="E660" s="50"/>
      <c r="F660" s="50"/>
      <c r="G660" s="50"/>
    </row>
    <row r="661">
      <c r="B661" s="49"/>
      <c r="C661" s="49"/>
      <c r="D661" s="49"/>
      <c r="E661" s="50"/>
      <c r="F661" s="50"/>
      <c r="G661" s="50"/>
    </row>
    <row r="662">
      <c r="B662" s="49"/>
      <c r="C662" s="49"/>
      <c r="D662" s="49"/>
      <c r="E662" s="50"/>
      <c r="F662" s="50"/>
      <c r="G662" s="50"/>
    </row>
    <row r="663">
      <c r="B663" s="49"/>
      <c r="C663" s="49"/>
      <c r="D663" s="49"/>
      <c r="E663" s="50"/>
      <c r="F663" s="50"/>
      <c r="G663" s="50"/>
    </row>
    <row r="664">
      <c r="B664" s="49"/>
      <c r="C664" s="49"/>
      <c r="D664" s="49"/>
      <c r="E664" s="50"/>
      <c r="F664" s="50"/>
      <c r="G664" s="50"/>
    </row>
    <row r="665">
      <c r="B665" s="49"/>
      <c r="C665" s="49"/>
      <c r="D665" s="49"/>
      <c r="E665" s="50"/>
      <c r="F665" s="50"/>
      <c r="G665" s="50"/>
    </row>
    <row r="666">
      <c r="B666" s="49"/>
      <c r="C666" s="49"/>
      <c r="D666" s="49"/>
      <c r="E666" s="50"/>
      <c r="F666" s="50"/>
      <c r="G666" s="50"/>
    </row>
    <row r="667">
      <c r="B667" s="49"/>
      <c r="C667" s="49"/>
      <c r="D667" s="49"/>
      <c r="E667" s="50"/>
      <c r="F667" s="50"/>
      <c r="G667" s="50"/>
    </row>
    <row r="668">
      <c r="B668" s="49"/>
      <c r="C668" s="49"/>
      <c r="D668" s="49"/>
      <c r="E668" s="50"/>
      <c r="F668" s="50"/>
      <c r="G668" s="50"/>
    </row>
    <row r="669">
      <c r="B669" s="49"/>
      <c r="C669" s="49"/>
      <c r="D669" s="49"/>
      <c r="E669" s="50"/>
      <c r="F669" s="50"/>
      <c r="G669" s="50"/>
    </row>
    <row r="670">
      <c r="B670" s="49"/>
      <c r="C670" s="49"/>
      <c r="D670" s="49"/>
      <c r="E670" s="50"/>
      <c r="F670" s="50"/>
      <c r="G670" s="50"/>
    </row>
    <row r="671">
      <c r="B671" s="49"/>
      <c r="C671" s="49"/>
      <c r="D671" s="49"/>
      <c r="E671" s="50"/>
      <c r="F671" s="50"/>
      <c r="G671" s="50"/>
    </row>
    <row r="672">
      <c r="B672" s="49"/>
      <c r="C672" s="49"/>
      <c r="D672" s="49"/>
      <c r="E672" s="50"/>
      <c r="F672" s="50"/>
      <c r="G672" s="50"/>
    </row>
    <row r="673">
      <c r="B673" s="49"/>
      <c r="C673" s="49"/>
      <c r="D673" s="49"/>
      <c r="E673" s="50"/>
      <c r="F673" s="50"/>
      <c r="G673" s="50"/>
    </row>
    <row r="674">
      <c r="B674" s="49"/>
      <c r="C674" s="49"/>
      <c r="D674" s="49"/>
      <c r="E674" s="50"/>
      <c r="F674" s="50"/>
      <c r="G674" s="50"/>
    </row>
    <row r="675">
      <c r="B675" s="49"/>
      <c r="C675" s="49"/>
      <c r="D675" s="49"/>
      <c r="E675" s="50"/>
      <c r="F675" s="50"/>
      <c r="G675" s="50"/>
    </row>
    <row r="676">
      <c r="B676" s="49"/>
      <c r="C676" s="49"/>
      <c r="D676" s="49"/>
      <c r="E676" s="50"/>
      <c r="F676" s="50"/>
      <c r="G676" s="50"/>
    </row>
    <row r="677">
      <c r="B677" s="49"/>
      <c r="C677" s="49"/>
      <c r="D677" s="49"/>
      <c r="E677" s="50"/>
      <c r="F677" s="50"/>
      <c r="G677" s="50"/>
    </row>
    <row r="678">
      <c r="B678" s="49"/>
      <c r="C678" s="49"/>
      <c r="D678" s="49"/>
      <c r="E678" s="50"/>
      <c r="F678" s="50"/>
      <c r="G678" s="50"/>
    </row>
    <row r="679">
      <c r="B679" s="49"/>
      <c r="C679" s="49"/>
      <c r="D679" s="49"/>
      <c r="E679" s="50"/>
      <c r="F679" s="50"/>
      <c r="G679" s="50"/>
    </row>
    <row r="680">
      <c r="B680" s="49"/>
      <c r="C680" s="49"/>
      <c r="D680" s="49"/>
      <c r="E680" s="50"/>
      <c r="F680" s="50"/>
      <c r="G680" s="50"/>
    </row>
    <row r="681">
      <c r="B681" s="49"/>
      <c r="C681" s="49"/>
      <c r="D681" s="49"/>
      <c r="E681" s="50"/>
      <c r="F681" s="50"/>
      <c r="G681" s="50"/>
    </row>
    <row r="682">
      <c r="B682" s="49"/>
      <c r="C682" s="49"/>
      <c r="D682" s="49"/>
      <c r="E682" s="50"/>
      <c r="F682" s="50"/>
      <c r="G682" s="50"/>
    </row>
    <row r="683">
      <c r="B683" s="49"/>
      <c r="C683" s="49"/>
      <c r="D683" s="49"/>
      <c r="E683" s="50"/>
      <c r="F683" s="50"/>
      <c r="G683" s="50"/>
    </row>
    <row r="684">
      <c r="B684" s="49"/>
      <c r="C684" s="49"/>
      <c r="D684" s="49"/>
      <c r="E684" s="50"/>
      <c r="F684" s="50"/>
      <c r="G684" s="50"/>
    </row>
    <row r="685">
      <c r="B685" s="49"/>
      <c r="C685" s="49"/>
      <c r="D685" s="49"/>
      <c r="E685" s="50"/>
      <c r="F685" s="50"/>
      <c r="G685" s="50"/>
    </row>
    <row r="686">
      <c r="B686" s="49"/>
      <c r="C686" s="49"/>
      <c r="D686" s="49"/>
      <c r="E686" s="50"/>
      <c r="F686" s="50"/>
      <c r="G686" s="50"/>
    </row>
    <row r="687">
      <c r="B687" s="49"/>
      <c r="C687" s="49"/>
      <c r="D687" s="49"/>
      <c r="E687" s="50"/>
      <c r="F687" s="50"/>
      <c r="G687" s="50"/>
    </row>
    <row r="688">
      <c r="B688" s="49"/>
      <c r="C688" s="49"/>
      <c r="D688" s="49"/>
      <c r="E688" s="50"/>
      <c r="F688" s="50"/>
      <c r="G688" s="50"/>
    </row>
    <row r="689">
      <c r="B689" s="49"/>
      <c r="C689" s="49"/>
      <c r="D689" s="49"/>
      <c r="E689" s="50"/>
      <c r="F689" s="50"/>
      <c r="G689" s="50"/>
    </row>
    <row r="690">
      <c r="B690" s="49"/>
      <c r="C690" s="49"/>
      <c r="D690" s="49"/>
      <c r="E690" s="50"/>
      <c r="F690" s="50"/>
      <c r="G690" s="50"/>
    </row>
    <row r="691">
      <c r="B691" s="49"/>
      <c r="C691" s="49"/>
      <c r="D691" s="49"/>
      <c r="E691" s="50"/>
      <c r="F691" s="50"/>
      <c r="G691" s="50"/>
    </row>
    <row r="692">
      <c r="B692" s="49"/>
      <c r="C692" s="49"/>
      <c r="D692" s="49"/>
      <c r="E692" s="50"/>
      <c r="F692" s="50"/>
      <c r="G692" s="50"/>
    </row>
    <row r="693">
      <c r="B693" s="49"/>
      <c r="C693" s="49"/>
      <c r="D693" s="49"/>
      <c r="E693" s="50"/>
      <c r="F693" s="50"/>
      <c r="G693" s="50"/>
    </row>
    <row r="694">
      <c r="B694" s="49"/>
      <c r="C694" s="49"/>
      <c r="D694" s="49"/>
      <c r="E694" s="50"/>
      <c r="F694" s="50"/>
      <c r="G694" s="50"/>
    </row>
    <row r="695">
      <c r="B695" s="49"/>
      <c r="C695" s="49"/>
      <c r="D695" s="49"/>
      <c r="E695" s="50"/>
      <c r="F695" s="50"/>
      <c r="G695" s="50"/>
    </row>
    <row r="696">
      <c r="B696" s="49"/>
      <c r="C696" s="49"/>
      <c r="D696" s="49"/>
      <c r="E696" s="50"/>
      <c r="F696" s="50"/>
      <c r="G696" s="50"/>
    </row>
    <row r="697">
      <c r="B697" s="49"/>
      <c r="C697" s="49"/>
      <c r="D697" s="49"/>
      <c r="E697" s="50"/>
      <c r="F697" s="50"/>
      <c r="G697" s="50"/>
    </row>
    <row r="698">
      <c r="B698" s="49"/>
      <c r="C698" s="49"/>
      <c r="D698" s="49"/>
      <c r="E698" s="50"/>
      <c r="F698" s="50"/>
      <c r="G698" s="50"/>
    </row>
    <row r="699">
      <c r="B699" s="49"/>
      <c r="C699" s="49"/>
      <c r="D699" s="49"/>
      <c r="E699" s="50"/>
      <c r="F699" s="50"/>
      <c r="G699" s="50"/>
    </row>
    <row r="700">
      <c r="B700" s="49"/>
      <c r="C700" s="49"/>
      <c r="D700" s="49"/>
      <c r="E700" s="50"/>
      <c r="F700" s="50"/>
      <c r="G700" s="50"/>
    </row>
    <row r="701">
      <c r="B701" s="49"/>
      <c r="C701" s="49"/>
      <c r="D701" s="49"/>
      <c r="E701" s="50"/>
      <c r="F701" s="50"/>
      <c r="G701" s="50"/>
    </row>
    <row r="702">
      <c r="B702" s="49"/>
      <c r="C702" s="49"/>
      <c r="D702" s="49"/>
      <c r="E702" s="50"/>
      <c r="F702" s="50"/>
      <c r="G702" s="50"/>
    </row>
    <row r="703">
      <c r="B703" s="49"/>
      <c r="C703" s="49"/>
      <c r="D703" s="49"/>
      <c r="E703" s="50"/>
      <c r="F703" s="50"/>
      <c r="G703" s="50"/>
    </row>
    <row r="704">
      <c r="B704" s="49"/>
      <c r="C704" s="49"/>
      <c r="D704" s="49"/>
      <c r="E704" s="50"/>
      <c r="F704" s="50"/>
      <c r="G704" s="50"/>
    </row>
    <row r="705">
      <c r="B705" s="49"/>
      <c r="C705" s="49"/>
      <c r="D705" s="49"/>
      <c r="E705" s="50"/>
      <c r="F705" s="50"/>
      <c r="G705" s="50"/>
    </row>
    <row r="706">
      <c r="B706" s="49"/>
      <c r="C706" s="49"/>
      <c r="D706" s="49"/>
      <c r="E706" s="50"/>
      <c r="F706" s="50"/>
      <c r="G706" s="50"/>
    </row>
    <row r="707">
      <c r="B707" s="49"/>
      <c r="C707" s="49"/>
      <c r="D707" s="49"/>
      <c r="E707" s="50"/>
      <c r="F707" s="50"/>
      <c r="G707" s="50"/>
    </row>
    <row r="708">
      <c r="B708" s="49"/>
      <c r="C708" s="49"/>
      <c r="D708" s="49"/>
      <c r="E708" s="50"/>
      <c r="F708" s="50"/>
      <c r="G708" s="50"/>
    </row>
    <row r="709">
      <c r="B709" s="49"/>
      <c r="C709" s="49"/>
      <c r="D709" s="49"/>
      <c r="E709" s="50"/>
      <c r="F709" s="50"/>
      <c r="G709" s="50"/>
    </row>
    <row r="710">
      <c r="B710" s="49"/>
      <c r="C710" s="49"/>
      <c r="D710" s="49"/>
      <c r="E710" s="50"/>
      <c r="F710" s="50"/>
      <c r="G710" s="50"/>
    </row>
    <row r="711">
      <c r="B711" s="49"/>
      <c r="C711" s="49"/>
      <c r="D711" s="49"/>
      <c r="E711" s="50"/>
      <c r="F711" s="50"/>
      <c r="G711" s="50"/>
    </row>
    <row r="712">
      <c r="B712" s="49"/>
      <c r="C712" s="49"/>
      <c r="D712" s="49"/>
      <c r="E712" s="50"/>
      <c r="F712" s="50"/>
      <c r="G712" s="50"/>
    </row>
    <row r="713">
      <c r="B713" s="49"/>
      <c r="C713" s="49"/>
      <c r="D713" s="49"/>
      <c r="E713" s="50"/>
      <c r="F713" s="50"/>
      <c r="G713" s="50"/>
    </row>
    <row r="714">
      <c r="B714" s="49"/>
      <c r="C714" s="49"/>
      <c r="D714" s="49"/>
      <c r="E714" s="50"/>
      <c r="F714" s="50"/>
      <c r="G714" s="50"/>
    </row>
    <row r="715">
      <c r="B715" s="49"/>
      <c r="C715" s="49"/>
      <c r="D715" s="49"/>
      <c r="E715" s="50"/>
      <c r="F715" s="50"/>
      <c r="G715" s="50"/>
    </row>
    <row r="716">
      <c r="B716" s="49"/>
      <c r="C716" s="49"/>
      <c r="D716" s="49"/>
      <c r="E716" s="50"/>
      <c r="F716" s="50"/>
      <c r="G716" s="50"/>
    </row>
    <row r="717">
      <c r="B717" s="49"/>
      <c r="C717" s="49"/>
      <c r="D717" s="49"/>
      <c r="E717" s="50"/>
      <c r="F717" s="50"/>
      <c r="G717" s="50"/>
    </row>
    <row r="718">
      <c r="B718" s="49"/>
      <c r="C718" s="49"/>
      <c r="D718" s="49"/>
      <c r="E718" s="50"/>
      <c r="F718" s="50"/>
      <c r="G718" s="50"/>
    </row>
    <row r="719">
      <c r="B719" s="49"/>
      <c r="C719" s="49"/>
      <c r="D719" s="49"/>
      <c r="E719" s="50"/>
      <c r="F719" s="50"/>
      <c r="G719" s="50"/>
    </row>
    <row r="720">
      <c r="B720" s="49"/>
      <c r="C720" s="49"/>
      <c r="D720" s="49"/>
      <c r="E720" s="50"/>
      <c r="F720" s="50"/>
      <c r="G720" s="50"/>
    </row>
    <row r="721">
      <c r="B721" s="49"/>
      <c r="C721" s="49"/>
      <c r="D721" s="49"/>
      <c r="E721" s="50"/>
      <c r="F721" s="50"/>
      <c r="G721" s="50"/>
    </row>
    <row r="722">
      <c r="B722" s="49"/>
      <c r="C722" s="49"/>
      <c r="D722" s="49"/>
      <c r="E722" s="50"/>
      <c r="F722" s="50"/>
      <c r="G722" s="50"/>
    </row>
    <row r="723">
      <c r="B723" s="49"/>
      <c r="C723" s="49"/>
      <c r="D723" s="49"/>
      <c r="E723" s="50"/>
      <c r="F723" s="50"/>
      <c r="G723" s="50"/>
    </row>
    <row r="724">
      <c r="B724" s="49"/>
      <c r="C724" s="49"/>
      <c r="D724" s="49"/>
      <c r="E724" s="50"/>
      <c r="F724" s="50"/>
      <c r="G724" s="50"/>
    </row>
    <row r="725">
      <c r="B725" s="49"/>
      <c r="C725" s="49"/>
      <c r="D725" s="49"/>
      <c r="E725" s="50"/>
      <c r="F725" s="50"/>
      <c r="G725" s="50"/>
    </row>
    <row r="726">
      <c r="B726" s="49"/>
      <c r="C726" s="49"/>
      <c r="D726" s="49"/>
      <c r="E726" s="50"/>
      <c r="F726" s="50"/>
      <c r="G726" s="50"/>
    </row>
    <row r="727">
      <c r="B727" s="49"/>
      <c r="C727" s="49"/>
      <c r="D727" s="49"/>
      <c r="E727" s="50"/>
      <c r="F727" s="50"/>
      <c r="G727" s="50"/>
    </row>
    <row r="728">
      <c r="B728" s="49"/>
      <c r="C728" s="49"/>
      <c r="D728" s="49"/>
      <c r="E728" s="50"/>
      <c r="F728" s="50"/>
      <c r="G728" s="50"/>
    </row>
    <row r="729">
      <c r="B729" s="49"/>
      <c r="C729" s="49"/>
      <c r="D729" s="49"/>
      <c r="E729" s="50"/>
      <c r="F729" s="50"/>
      <c r="G729" s="50"/>
    </row>
    <row r="730">
      <c r="B730" s="49"/>
      <c r="C730" s="49"/>
      <c r="D730" s="49"/>
      <c r="E730" s="50"/>
      <c r="F730" s="50"/>
      <c r="G730" s="50"/>
    </row>
    <row r="731">
      <c r="B731" s="49"/>
      <c r="C731" s="49"/>
      <c r="D731" s="49"/>
      <c r="E731" s="50"/>
      <c r="F731" s="50"/>
      <c r="G731" s="50"/>
    </row>
    <row r="732">
      <c r="B732" s="49"/>
      <c r="C732" s="49"/>
      <c r="D732" s="49"/>
      <c r="E732" s="50"/>
      <c r="F732" s="50"/>
      <c r="G732" s="50"/>
    </row>
    <row r="733">
      <c r="B733" s="49"/>
      <c r="C733" s="49"/>
      <c r="D733" s="49"/>
      <c r="E733" s="50"/>
      <c r="F733" s="50"/>
      <c r="G733" s="50"/>
    </row>
    <row r="734">
      <c r="B734" s="49"/>
      <c r="C734" s="49"/>
      <c r="D734" s="49"/>
      <c r="E734" s="50"/>
      <c r="F734" s="50"/>
      <c r="G734" s="50"/>
    </row>
    <row r="735">
      <c r="B735" s="49"/>
      <c r="C735" s="49"/>
      <c r="D735" s="49"/>
      <c r="E735" s="50"/>
      <c r="F735" s="50"/>
      <c r="G735" s="50"/>
    </row>
    <row r="736">
      <c r="B736" s="49"/>
      <c r="C736" s="49"/>
      <c r="D736" s="49"/>
      <c r="E736" s="50"/>
      <c r="F736" s="50"/>
      <c r="G736" s="50"/>
    </row>
    <row r="737">
      <c r="B737" s="49"/>
      <c r="C737" s="49"/>
      <c r="D737" s="49"/>
      <c r="E737" s="50"/>
      <c r="F737" s="50"/>
      <c r="G737" s="50"/>
    </row>
    <row r="738">
      <c r="B738" s="49"/>
      <c r="C738" s="49"/>
      <c r="D738" s="49"/>
      <c r="E738" s="50"/>
      <c r="F738" s="50"/>
      <c r="G738" s="50"/>
    </row>
    <row r="739">
      <c r="B739" s="49"/>
      <c r="C739" s="49"/>
      <c r="D739" s="49"/>
      <c r="E739" s="50"/>
      <c r="F739" s="50"/>
      <c r="G739" s="50"/>
    </row>
    <row r="740">
      <c r="B740" s="49"/>
      <c r="C740" s="49"/>
      <c r="D740" s="49"/>
      <c r="E740" s="50"/>
      <c r="F740" s="50"/>
      <c r="G740" s="50"/>
    </row>
    <row r="741">
      <c r="B741" s="49"/>
      <c r="C741" s="49"/>
      <c r="D741" s="49"/>
      <c r="E741" s="50"/>
      <c r="F741" s="50"/>
      <c r="G741" s="50"/>
    </row>
    <row r="742">
      <c r="B742" s="49"/>
      <c r="C742" s="49"/>
      <c r="D742" s="49"/>
      <c r="E742" s="50"/>
      <c r="F742" s="50"/>
      <c r="G742" s="50"/>
    </row>
    <row r="743">
      <c r="B743" s="49"/>
      <c r="C743" s="49"/>
      <c r="D743" s="49"/>
      <c r="E743" s="50"/>
      <c r="F743" s="50"/>
      <c r="G743" s="50"/>
    </row>
    <row r="744">
      <c r="B744" s="49"/>
      <c r="C744" s="49"/>
      <c r="D744" s="49"/>
      <c r="E744" s="50"/>
      <c r="F744" s="50"/>
      <c r="G744" s="50"/>
    </row>
    <row r="745">
      <c r="B745" s="49"/>
      <c r="C745" s="49"/>
      <c r="D745" s="49"/>
      <c r="E745" s="50"/>
      <c r="F745" s="50"/>
      <c r="G745" s="50"/>
    </row>
    <row r="746">
      <c r="B746" s="49"/>
      <c r="C746" s="49"/>
      <c r="D746" s="49"/>
      <c r="E746" s="50"/>
      <c r="F746" s="50"/>
      <c r="G746" s="50"/>
    </row>
    <row r="747">
      <c r="B747" s="49"/>
      <c r="C747" s="49"/>
      <c r="D747" s="49"/>
      <c r="E747" s="50"/>
      <c r="F747" s="50"/>
      <c r="G747" s="50"/>
    </row>
    <row r="748">
      <c r="B748" s="49"/>
      <c r="C748" s="49"/>
      <c r="D748" s="49"/>
      <c r="E748" s="50"/>
      <c r="F748" s="50"/>
      <c r="G748" s="50"/>
    </row>
    <row r="749">
      <c r="B749" s="49"/>
      <c r="C749" s="49"/>
      <c r="D749" s="49"/>
      <c r="E749" s="50"/>
      <c r="F749" s="50"/>
      <c r="G749" s="50"/>
    </row>
    <row r="750">
      <c r="B750" s="49"/>
      <c r="C750" s="49"/>
      <c r="D750" s="49"/>
      <c r="E750" s="50"/>
      <c r="F750" s="50"/>
      <c r="G750" s="50"/>
    </row>
    <row r="751">
      <c r="B751" s="49"/>
      <c r="C751" s="49"/>
      <c r="D751" s="49"/>
      <c r="E751" s="50"/>
      <c r="F751" s="50"/>
      <c r="G751" s="50"/>
    </row>
    <row r="752">
      <c r="B752" s="49"/>
      <c r="C752" s="49"/>
      <c r="D752" s="49"/>
      <c r="E752" s="50"/>
      <c r="F752" s="50"/>
      <c r="G752" s="50"/>
    </row>
    <row r="753">
      <c r="B753" s="49"/>
      <c r="C753" s="49"/>
      <c r="D753" s="49"/>
      <c r="E753" s="50"/>
      <c r="F753" s="50"/>
      <c r="G753" s="50"/>
    </row>
    <row r="754">
      <c r="B754" s="49"/>
      <c r="C754" s="49"/>
      <c r="D754" s="49"/>
      <c r="E754" s="50"/>
      <c r="F754" s="50"/>
      <c r="G754" s="50"/>
    </row>
    <row r="755">
      <c r="B755" s="49"/>
      <c r="C755" s="49"/>
      <c r="D755" s="49"/>
      <c r="E755" s="50"/>
      <c r="F755" s="50"/>
      <c r="G755" s="50"/>
    </row>
    <row r="756">
      <c r="B756" s="49"/>
      <c r="C756" s="49"/>
      <c r="D756" s="49"/>
      <c r="E756" s="50"/>
      <c r="F756" s="50"/>
      <c r="G756" s="50"/>
    </row>
    <row r="757">
      <c r="B757" s="49"/>
      <c r="C757" s="49"/>
      <c r="D757" s="49"/>
      <c r="E757" s="50"/>
      <c r="F757" s="50"/>
      <c r="G757" s="50"/>
    </row>
    <row r="758">
      <c r="B758" s="49"/>
      <c r="C758" s="49"/>
      <c r="D758" s="49"/>
      <c r="E758" s="50"/>
      <c r="F758" s="50"/>
      <c r="G758" s="50"/>
    </row>
    <row r="759">
      <c r="B759" s="49"/>
      <c r="C759" s="49"/>
      <c r="D759" s="49"/>
      <c r="E759" s="50"/>
      <c r="F759" s="50"/>
      <c r="G759" s="50"/>
    </row>
    <row r="760">
      <c r="B760" s="49"/>
      <c r="C760" s="49"/>
      <c r="D760" s="49"/>
      <c r="E760" s="50"/>
      <c r="F760" s="50"/>
      <c r="G760" s="50"/>
    </row>
    <row r="761">
      <c r="B761" s="49"/>
      <c r="C761" s="49"/>
      <c r="D761" s="49"/>
      <c r="E761" s="50"/>
      <c r="F761" s="50"/>
      <c r="G761" s="50"/>
    </row>
    <row r="762">
      <c r="B762" s="49"/>
      <c r="C762" s="49"/>
      <c r="D762" s="49"/>
      <c r="E762" s="50"/>
      <c r="F762" s="50"/>
      <c r="G762" s="50"/>
    </row>
    <row r="763">
      <c r="B763" s="49"/>
      <c r="C763" s="49"/>
      <c r="D763" s="49"/>
      <c r="E763" s="50"/>
      <c r="F763" s="50"/>
      <c r="G763" s="50"/>
    </row>
    <row r="764">
      <c r="B764" s="49"/>
      <c r="C764" s="49"/>
      <c r="D764" s="49"/>
      <c r="E764" s="50"/>
      <c r="F764" s="50"/>
      <c r="G764" s="50"/>
    </row>
    <row r="765">
      <c r="B765" s="49"/>
      <c r="C765" s="49"/>
      <c r="D765" s="49"/>
      <c r="E765" s="50"/>
      <c r="F765" s="50"/>
      <c r="G765" s="50"/>
    </row>
    <row r="766">
      <c r="B766" s="49"/>
      <c r="C766" s="49"/>
      <c r="D766" s="49"/>
      <c r="E766" s="50"/>
      <c r="F766" s="50"/>
      <c r="G766" s="50"/>
    </row>
    <row r="767">
      <c r="B767" s="49"/>
      <c r="C767" s="49"/>
      <c r="D767" s="49"/>
      <c r="E767" s="50"/>
      <c r="F767" s="50"/>
      <c r="G767" s="50"/>
    </row>
    <row r="768">
      <c r="B768" s="49"/>
      <c r="C768" s="49"/>
      <c r="D768" s="49"/>
      <c r="E768" s="50"/>
      <c r="F768" s="50"/>
      <c r="G768" s="50"/>
    </row>
    <row r="769">
      <c r="B769" s="49"/>
      <c r="C769" s="49"/>
      <c r="D769" s="49"/>
      <c r="E769" s="50"/>
      <c r="F769" s="50"/>
      <c r="G769" s="50"/>
    </row>
    <row r="770">
      <c r="B770" s="49"/>
      <c r="C770" s="49"/>
      <c r="D770" s="49"/>
      <c r="E770" s="50"/>
      <c r="F770" s="50"/>
      <c r="G770" s="50"/>
    </row>
    <row r="771">
      <c r="B771" s="49"/>
      <c r="C771" s="49"/>
      <c r="D771" s="49"/>
      <c r="E771" s="50"/>
      <c r="F771" s="50"/>
      <c r="G771" s="50"/>
    </row>
    <row r="772">
      <c r="B772" s="49"/>
      <c r="C772" s="49"/>
      <c r="D772" s="49"/>
      <c r="E772" s="50"/>
      <c r="F772" s="50"/>
      <c r="G772" s="50"/>
    </row>
    <row r="773">
      <c r="B773" s="49"/>
      <c r="C773" s="49"/>
      <c r="D773" s="49"/>
      <c r="E773" s="50"/>
      <c r="F773" s="50"/>
      <c r="G773" s="50"/>
    </row>
    <row r="774">
      <c r="B774" s="49"/>
      <c r="C774" s="49"/>
      <c r="D774" s="49"/>
      <c r="E774" s="50"/>
      <c r="F774" s="50"/>
      <c r="G774" s="50"/>
    </row>
    <row r="775">
      <c r="B775" s="49"/>
      <c r="C775" s="49"/>
      <c r="D775" s="49"/>
      <c r="E775" s="50"/>
      <c r="F775" s="50"/>
      <c r="G775" s="50"/>
    </row>
    <row r="776">
      <c r="B776" s="49"/>
      <c r="C776" s="49"/>
      <c r="D776" s="49"/>
      <c r="E776" s="50"/>
      <c r="F776" s="50"/>
      <c r="G776" s="50"/>
    </row>
    <row r="777">
      <c r="B777" s="49"/>
      <c r="C777" s="49"/>
      <c r="D777" s="49"/>
      <c r="E777" s="50"/>
      <c r="F777" s="50"/>
      <c r="G777" s="50"/>
    </row>
    <row r="778">
      <c r="B778" s="49"/>
      <c r="C778" s="49"/>
      <c r="D778" s="49"/>
      <c r="E778" s="50"/>
      <c r="F778" s="50"/>
      <c r="G778" s="50"/>
    </row>
    <row r="779">
      <c r="B779" s="49"/>
      <c r="C779" s="49"/>
      <c r="D779" s="49"/>
      <c r="E779" s="50"/>
      <c r="F779" s="50"/>
      <c r="G779" s="50"/>
    </row>
    <row r="780">
      <c r="B780" s="49"/>
      <c r="C780" s="49"/>
      <c r="D780" s="49"/>
      <c r="E780" s="50"/>
      <c r="F780" s="50"/>
      <c r="G780" s="50"/>
    </row>
    <row r="781">
      <c r="B781" s="49"/>
      <c r="C781" s="49"/>
      <c r="D781" s="49"/>
      <c r="E781" s="50"/>
      <c r="F781" s="50"/>
      <c r="G781" s="50"/>
    </row>
    <row r="782">
      <c r="B782" s="49"/>
      <c r="C782" s="49"/>
      <c r="D782" s="49"/>
      <c r="E782" s="50"/>
      <c r="F782" s="50"/>
      <c r="G782" s="50"/>
    </row>
    <row r="783">
      <c r="B783" s="49"/>
      <c r="C783" s="49"/>
      <c r="D783" s="49"/>
      <c r="E783" s="50"/>
      <c r="F783" s="50"/>
      <c r="G783" s="50"/>
    </row>
    <row r="784">
      <c r="B784" s="49"/>
      <c r="C784" s="49"/>
      <c r="D784" s="49"/>
      <c r="E784" s="50"/>
      <c r="F784" s="50"/>
      <c r="G784" s="50"/>
    </row>
    <row r="785">
      <c r="B785" s="49"/>
      <c r="C785" s="49"/>
      <c r="D785" s="49"/>
      <c r="E785" s="50"/>
      <c r="F785" s="50"/>
      <c r="G785" s="50"/>
    </row>
    <row r="786">
      <c r="B786" s="49"/>
      <c r="C786" s="49"/>
      <c r="D786" s="49"/>
      <c r="E786" s="50"/>
      <c r="F786" s="50"/>
      <c r="G786" s="50"/>
    </row>
    <row r="787">
      <c r="B787" s="49"/>
      <c r="C787" s="49"/>
      <c r="D787" s="49"/>
      <c r="E787" s="50"/>
      <c r="F787" s="50"/>
      <c r="G787" s="50"/>
    </row>
    <row r="788">
      <c r="B788" s="49"/>
      <c r="C788" s="49"/>
      <c r="D788" s="49"/>
      <c r="E788" s="50"/>
      <c r="F788" s="50"/>
      <c r="G788" s="50"/>
    </row>
    <row r="789">
      <c r="B789" s="49"/>
      <c r="C789" s="49"/>
      <c r="D789" s="49"/>
      <c r="E789" s="50"/>
      <c r="F789" s="50"/>
      <c r="G789" s="50"/>
    </row>
    <row r="790">
      <c r="B790" s="49"/>
      <c r="C790" s="49"/>
      <c r="D790" s="49"/>
      <c r="E790" s="50"/>
      <c r="F790" s="50"/>
      <c r="G790" s="50"/>
    </row>
    <row r="791">
      <c r="B791" s="49"/>
      <c r="C791" s="49"/>
      <c r="D791" s="49"/>
      <c r="E791" s="50"/>
      <c r="F791" s="50"/>
      <c r="G791" s="50"/>
    </row>
    <row r="792">
      <c r="B792" s="49"/>
      <c r="C792" s="49"/>
      <c r="D792" s="49"/>
      <c r="E792" s="50"/>
      <c r="F792" s="50"/>
      <c r="G792" s="50"/>
    </row>
    <row r="793">
      <c r="B793" s="49"/>
      <c r="C793" s="49"/>
      <c r="D793" s="49"/>
      <c r="E793" s="50"/>
      <c r="F793" s="50"/>
      <c r="G793" s="50"/>
    </row>
    <row r="794">
      <c r="B794" s="49"/>
      <c r="C794" s="49"/>
      <c r="D794" s="49"/>
      <c r="E794" s="50"/>
      <c r="F794" s="50"/>
      <c r="G794" s="50"/>
    </row>
    <row r="795">
      <c r="B795" s="49"/>
      <c r="C795" s="49"/>
      <c r="D795" s="49"/>
      <c r="E795" s="50"/>
      <c r="F795" s="50"/>
      <c r="G795" s="50"/>
    </row>
    <row r="796">
      <c r="B796" s="49"/>
      <c r="C796" s="49"/>
      <c r="D796" s="49"/>
      <c r="E796" s="50"/>
      <c r="F796" s="50"/>
      <c r="G796" s="50"/>
    </row>
    <row r="797">
      <c r="B797" s="49"/>
      <c r="C797" s="49"/>
      <c r="D797" s="49"/>
      <c r="E797" s="50"/>
      <c r="F797" s="50"/>
      <c r="G797" s="50"/>
    </row>
    <row r="798">
      <c r="B798" s="49"/>
      <c r="C798" s="49"/>
      <c r="D798" s="49"/>
      <c r="E798" s="50"/>
      <c r="F798" s="50"/>
      <c r="G798" s="50"/>
    </row>
    <row r="799">
      <c r="B799" s="49"/>
      <c r="C799" s="49"/>
      <c r="D799" s="49"/>
      <c r="E799" s="50"/>
      <c r="F799" s="50"/>
      <c r="G799" s="50"/>
    </row>
    <row r="800">
      <c r="B800" s="49"/>
      <c r="C800" s="49"/>
      <c r="D800" s="49"/>
      <c r="E800" s="50"/>
      <c r="F800" s="50"/>
      <c r="G800" s="50"/>
    </row>
    <row r="801">
      <c r="B801" s="49"/>
      <c r="C801" s="49"/>
      <c r="D801" s="49"/>
      <c r="E801" s="50"/>
      <c r="F801" s="50"/>
      <c r="G801" s="50"/>
    </row>
    <row r="802">
      <c r="B802" s="49"/>
      <c r="C802" s="49"/>
      <c r="D802" s="49"/>
      <c r="E802" s="50"/>
      <c r="F802" s="50"/>
      <c r="G802" s="50"/>
    </row>
    <row r="803">
      <c r="B803" s="49"/>
      <c r="C803" s="49"/>
      <c r="D803" s="49"/>
      <c r="E803" s="50"/>
      <c r="F803" s="50"/>
      <c r="G803" s="50"/>
    </row>
    <row r="804">
      <c r="B804" s="49"/>
      <c r="C804" s="49"/>
      <c r="D804" s="49"/>
      <c r="E804" s="50"/>
      <c r="F804" s="50"/>
      <c r="G804" s="50"/>
    </row>
    <row r="805">
      <c r="B805" s="49"/>
      <c r="C805" s="49"/>
      <c r="D805" s="49"/>
      <c r="E805" s="50"/>
      <c r="F805" s="50"/>
      <c r="G805" s="50"/>
    </row>
    <row r="806">
      <c r="B806" s="49"/>
      <c r="C806" s="49"/>
      <c r="D806" s="49"/>
      <c r="E806" s="50"/>
      <c r="F806" s="50"/>
      <c r="G806" s="50"/>
    </row>
    <row r="807">
      <c r="B807" s="49"/>
      <c r="C807" s="49"/>
      <c r="D807" s="49"/>
      <c r="E807" s="50"/>
      <c r="F807" s="50"/>
      <c r="G807" s="50"/>
    </row>
    <row r="808">
      <c r="B808" s="49"/>
      <c r="C808" s="49"/>
      <c r="D808" s="49"/>
      <c r="E808" s="50"/>
      <c r="F808" s="50"/>
      <c r="G808" s="50"/>
    </row>
    <row r="809">
      <c r="B809" s="49"/>
      <c r="C809" s="49"/>
      <c r="D809" s="49"/>
      <c r="E809" s="50"/>
      <c r="F809" s="50"/>
      <c r="G809" s="50"/>
    </row>
    <row r="810">
      <c r="B810" s="49"/>
      <c r="C810" s="49"/>
      <c r="D810" s="49"/>
      <c r="E810" s="50"/>
      <c r="F810" s="50"/>
      <c r="G810" s="50"/>
    </row>
    <row r="811">
      <c r="B811" s="49"/>
      <c r="C811" s="49"/>
      <c r="D811" s="49"/>
      <c r="E811" s="50"/>
      <c r="F811" s="50"/>
      <c r="G811" s="50"/>
    </row>
    <row r="812">
      <c r="B812" s="49"/>
      <c r="C812" s="49"/>
      <c r="D812" s="49"/>
      <c r="E812" s="50"/>
      <c r="F812" s="50"/>
      <c r="G812" s="50"/>
    </row>
    <row r="813">
      <c r="B813" s="49"/>
      <c r="C813" s="49"/>
      <c r="D813" s="49"/>
      <c r="E813" s="50"/>
      <c r="F813" s="50"/>
      <c r="G813" s="50"/>
    </row>
    <row r="814">
      <c r="B814" s="49"/>
      <c r="C814" s="49"/>
      <c r="D814" s="49"/>
      <c r="E814" s="50"/>
      <c r="F814" s="50"/>
      <c r="G814" s="50"/>
    </row>
    <row r="815">
      <c r="B815" s="49"/>
      <c r="C815" s="49"/>
      <c r="D815" s="49"/>
      <c r="E815" s="50"/>
      <c r="F815" s="50"/>
      <c r="G815" s="50"/>
    </row>
    <row r="816">
      <c r="B816" s="49"/>
      <c r="C816" s="49"/>
      <c r="D816" s="49"/>
      <c r="E816" s="50"/>
      <c r="F816" s="50"/>
      <c r="G816" s="50"/>
    </row>
    <row r="817">
      <c r="B817" s="49"/>
      <c r="C817" s="49"/>
      <c r="D817" s="49"/>
      <c r="E817" s="50"/>
      <c r="F817" s="50"/>
      <c r="G817" s="50"/>
    </row>
    <row r="818">
      <c r="B818" s="49"/>
      <c r="C818" s="49"/>
      <c r="D818" s="49"/>
      <c r="E818" s="50"/>
      <c r="F818" s="50"/>
      <c r="G818" s="50"/>
    </row>
    <row r="819">
      <c r="B819" s="49"/>
      <c r="C819" s="49"/>
      <c r="D819" s="49"/>
      <c r="E819" s="50"/>
      <c r="F819" s="50"/>
      <c r="G819" s="50"/>
    </row>
    <row r="820">
      <c r="B820" s="49"/>
      <c r="C820" s="49"/>
      <c r="D820" s="49"/>
      <c r="E820" s="50"/>
      <c r="F820" s="50"/>
      <c r="G820" s="50"/>
    </row>
    <row r="821">
      <c r="B821" s="49"/>
      <c r="C821" s="49"/>
      <c r="D821" s="49"/>
      <c r="E821" s="50"/>
      <c r="F821" s="50"/>
      <c r="G821" s="50"/>
    </row>
    <row r="822">
      <c r="B822" s="49"/>
      <c r="C822" s="49"/>
      <c r="D822" s="49"/>
      <c r="E822" s="50"/>
      <c r="F822" s="50"/>
      <c r="G822" s="50"/>
    </row>
    <row r="823">
      <c r="B823" s="49"/>
      <c r="C823" s="49"/>
      <c r="D823" s="49"/>
      <c r="E823" s="50"/>
      <c r="F823" s="50"/>
      <c r="G823" s="50"/>
    </row>
    <row r="824">
      <c r="B824" s="49"/>
      <c r="C824" s="49"/>
      <c r="D824" s="49"/>
      <c r="E824" s="50"/>
      <c r="F824" s="50"/>
      <c r="G824" s="50"/>
    </row>
    <row r="825">
      <c r="B825" s="49"/>
      <c r="C825" s="49"/>
      <c r="D825" s="49"/>
      <c r="E825" s="50"/>
      <c r="F825" s="50"/>
      <c r="G825" s="50"/>
    </row>
    <row r="826">
      <c r="B826" s="49"/>
      <c r="C826" s="49"/>
      <c r="D826" s="49"/>
      <c r="E826" s="50"/>
      <c r="F826" s="50"/>
      <c r="G826" s="50"/>
    </row>
    <row r="827">
      <c r="B827" s="49"/>
      <c r="C827" s="49"/>
      <c r="D827" s="49"/>
      <c r="E827" s="50"/>
      <c r="F827" s="50"/>
      <c r="G827" s="50"/>
    </row>
    <row r="828">
      <c r="B828" s="49"/>
      <c r="C828" s="49"/>
      <c r="D828" s="49"/>
      <c r="E828" s="50"/>
      <c r="F828" s="50"/>
      <c r="G828" s="50"/>
    </row>
    <row r="829">
      <c r="B829" s="49"/>
      <c r="C829" s="49"/>
      <c r="D829" s="49"/>
      <c r="E829" s="50"/>
      <c r="F829" s="50"/>
      <c r="G829" s="50"/>
    </row>
    <row r="830">
      <c r="B830" s="49"/>
      <c r="C830" s="49"/>
      <c r="D830" s="49"/>
      <c r="E830" s="50"/>
      <c r="F830" s="50"/>
      <c r="G830" s="50"/>
    </row>
    <row r="831">
      <c r="B831" s="49"/>
      <c r="C831" s="49"/>
      <c r="D831" s="49"/>
      <c r="E831" s="50"/>
      <c r="F831" s="50"/>
      <c r="G831" s="50"/>
    </row>
    <row r="832">
      <c r="B832" s="49"/>
      <c r="C832" s="49"/>
      <c r="D832" s="49"/>
      <c r="E832" s="50"/>
      <c r="F832" s="50"/>
      <c r="G832" s="50"/>
    </row>
    <row r="833">
      <c r="B833" s="49"/>
      <c r="C833" s="49"/>
      <c r="D833" s="49"/>
      <c r="E833" s="50"/>
      <c r="F833" s="50"/>
      <c r="G833" s="50"/>
    </row>
    <row r="834">
      <c r="B834" s="49"/>
      <c r="C834" s="49"/>
      <c r="D834" s="49"/>
      <c r="E834" s="50"/>
      <c r="F834" s="50"/>
      <c r="G834" s="50"/>
    </row>
    <row r="835">
      <c r="B835" s="49"/>
      <c r="C835" s="49"/>
      <c r="D835" s="49"/>
      <c r="E835" s="50"/>
      <c r="F835" s="50"/>
      <c r="G835" s="50"/>
    </row>
    <row r="836">
      <c r="B836" s="49"/>
      <c r="C836" s="49"/>
      <c r="D836" s="49"/>
      <c r="E836" s="50"/>
      <c r="F836" s="50"/>
      <c r="G836" s="50"/>
    </row>
    <row r="837">
      <c r="B837" s="49"/>
      <c r="C837" s="49"/>
      <c r="D837" s="49"/>
      <c r="E837" s="50"/>
      <c r="F837" s="50"/>
      <c r="G837" s="50"/>
    </row>
    <row r="838">
      <c r="B838" s="49"/>
      <c r="C838" s="49"/>
      <c r="D838" s="49"/>
      <c r="E838" s="50"/>
      <c r="F838" s="50"/>
      <c r="G838" s="50"/>
    </row>
    <row r="839">
      <c r="B839" s="49"/>
      <c r="C839" s="49"/>
      <c r="D839" s="49"/>
      <c r="E839" s="50"/>
      <c r="F839" s="50"/>
      <c r="G839" s="50"/>
    </row>
    <row r="840">
      <c r="B840" s="49"/>
      <c r="C840" s="49"/>
      <c r="D840" s="49"/>
      <c r="E840" s="50"/>
      <c r="F840" s="50"/>
      <c r="G840" s="50"/>
    </row>
    <row r="841">
      <c r="B841" s="49"/>
      <c r="C841" s="49"/>
      <c r="D841" s="49"/>
      <c r="E841" s="50"/>
      <c r="F841" s="50"/>
      <c r="G841" s="50"/>
    </row>
    <row r="842">
      <c r="B842" s="49"/>
      <c r="C842" s="49"/>
      <c r="D842" s="49"/>
      <c r="E842" s="50"/>
      <c r="F842" s="50"/>
      <c r="G842" s="50"/>
    </row>
    <row r="843">
      <c r="B843" s="49"/>
      <c r="C843" s="49"/>
      <c r="D843" s="49"/>
      <c r="E843" s="50"/>
      <c r="F843" s="50"/>
      <c r="G843" s="50"/>
    </row>
    <row r="844">
      <c r="B844" s="49"/>
      <c r="C844" s="49"/>
      <c r="D844" s="49"/>
      <c r="E844" s="50"/>
      <c r="F844" s="50"/>
      <c r="G844" s="50"/>
    </row>
    <row r="845">
      <c r="B845" s="49"/>
      <c r="C845" s="49"/>
      <c r="D845" s="49"/>
      <c r="E845" s="50"/>
      <c r="F845" s="50"/>
      <c r="G845" s="50"/>
    </row>
    <row r="846">
      <c r="B846" s="49"/>
      <c r="C846" s="49"/>
      <c r="D846" s="49"/>
      <c r="E846" s="50"/>
      <c r="F846" s="50"/>
      <c r="G846" s="50"/>
    </row>
    <row r="847">
      <c r="B847" s="49"/>
      <c r="C847" s="49"/>
      <c r="D847" s="49"/>
      <c r="E847" s="50"/>
      <c r="F847" s="50"/>
      <c r="G847" s="50"/>
    </row>
    <row r="848">
      <c r="B848" s="49"/>
      <c r="C848" s="49"/>
      <c r="D848" s="49"/>
      <c r="E848" s="50"/>
      <c r="F848" s="50"/>
      <c r="G848" s="50"/>
    </row>
    <row r="849">
      <c r="B849" s="49"/>
      <c r="C849" s="49"/>
      <c r="D849" s="49"/>
      <c r="E849" s="50"/>
      <c r="F849" s="50"/>
      <c r="G849" s="50"/>
    </row>
    <row r="850">
      <c r="B850" s="49"/>
      <c r="C850" s="49"/>
      <c r="D850" s="49"/>
      <c r="E850" s="50"/>
      <c r="F850" s="50"/>
      <c r="G850" s="50"/>
    </row>
    <row r="851">
      <c r="B851" s="49"/>
      <c r="C851" s="49"/>
      <c r="D851" s="49"/>
      <c r="E851" s="50"/>
      <c r="F851" s="50"/>
      <c r="G851" s="50"/>
    </row>
    <row r="852">
      <c r="B852" s="49"/>
      <c r="C852" s="49"/>
      <c r="D852" s="49"/>
      <c r="E852" s="50"/>
      <c r="F852" s="50"/>
      <c r="G852" s="50"/>
    </row>
    <row r="853">
      <c r="B853" s="49"/>
      <c r="C853" s="49"/>
      <c r="D853" s="49"/>
      <c r="E853" s="50"/>
      <c r="F853" s="50"/>
      <c r="G853" s="50"/>
    </row>
    <row r="854">
      <c r="B854" s="49"/>
      <c r="C854" s="49"/>
      <c r="D854" s="49"/>
      <c r="E854" s="50"/>
      <c r="F854" s="50"/>
      <c r="G854" s="50"/>
    </row>
    <row r="855">
      <c r="B855" s="49"/>
      <c r="C855" s="49"/>
      <c r="D855" s="49"/>
      <c r="E855" s="50"/>
      <c r="F855" s="50"/>
      <c r="G855" s="50"/>
    </row>
    <row r="856">
      <c r="B856" s="49"/>
      <c r="C856" s="49"/>
      <c r="D856" s="49"/>
      <c r="E856" s="50"/>
      <c r="F856" s="50"/>
      <c r="G856" s="50"/>
    </row>
    <row r="857">
      <c r="B857" s="49"/>
      <c r="C857" s="49"/>
      <c r="D857" s="49"/>
      <c r="E857" s="50"/>
      <c r="F857" s="50"/>
      <c r="G857" s="50"/>
    </row>
    <row r="858">
      <c r="B858" s="49"/>
      <c r="C858" s="49"/>
      <c r="D858" s="49"/>
      <c r="E858" s="50"/>
      <c r="F858" s="50"/>
      <c r="G858" s="50"/>
    </row>
    <row r="859">
      <c r="B859" s="49"/>
      <c r="C859" s="49"/>
      <c r="D859" s="49"/>
      <c r="E859" s="50"/>
      <c r="F859" s="50"/>
      <c r="G859" s="50"/>
    </row>
    <row r="860">
      <c r="B860" s="49"/>
      <c r="C860" s="49"/>
      <c r="D860" s="49"/>
      <c r="E860" s="50"/>
      <c r="F860" s="50"/>
      <c r="G860" s="50"/>
    </row>
    <row r="861">
      <c r="B861" s="49"/>
      <c r="C861" s="49"/>
      <c r="D861" s="49"/>
      <c r="E861" s="50"/>
      <c r="F861" s="50"/>
      <c r="G861" s="50"/>
    </row>
    <row r="862">
      <c r="B862" s="49"/>
      <c r="C862" s="49"/>
      <c r="D862" s="49"/>
      <c r="E862" s="50"/>
      <c r="F862" s="50"/>
      <c r="G862" s="50"/>
    </row>
    <row r="863">
      <c r="B863" s="49"/>
      <c r="C863" s="49"/>
      <c r="D863" s="49"/>
      <c r="E863" s="50"/>
      <c r="F863" s="50"/>
      <c r="G863" s="50"/>
    </row>
    <row r="864">
      <c r="B864" s="49"/>
      <c r="C864" s="49"/>
      <c r="D864" s="49"/>
      <c r="E864" s="50"/>
      <c r="F864" s="50"/>
      <c r="G864" s="50"/>
    </row>
    <row r="865">
      <c r="B865" s="49"/>
      <c r="C865" s="49"/>
      <c r="D865" s="49"/>
      <c r="E865" s="50"/>
      <c r="F865" s="50"/>
      <c r="G865" s="50"/>
    </row>
    <row r="866">
      <c r="B866" s="49"/>
      <c r="C866" s="49"/>
      <c r="D866" s="49"/>
      <c r="E866" s="50"/>
      <c r="F866" s="50"/>
      <c r="G866" s="50"/>
    </row>
    <row r="867">
      <c r="B867" s="49"/>
      <c r="C867" s="49"/>
      <c r="D867" s="49"/>
      <c r="E867" s="50"/>
      <c r="F867" s="50"/>
      <c r="G867" s="50"/>
    </row>
    <row r="868">
      <c r="B868" s="49"/>
      <c r="C868" s="49"/>
      <c r="D868" s="49"/>
      <c r="E868" s="50"/>
      <c r="F868" s="50"/>
      <c r="G868" s="50"/>
    </row>
    <row r="869">
      <c r="B869" s="49"/>
      <c r="C869" s="49"/>
      <c r="D869" s="49"/>
      <c r="E869" s="50"/>
      <c r="F869" s="50"/>
      <c r="G869" s="50"/>
    </row>
    <row r="870">
      <c r="B870" s="49"/>
      <c r="C870" s="49"/>
      <c r="D870" s="49"/>
      <c r="E870" s="50"/>
      <c r="F870" s="50"/>
      <c r="G870" s="50"/>
    </row>
    <row r="871">
      <c r="B871" s="49"/>
      <c r="C871" s="49"/>
      <c r="D871" s="49"/>
      <c r="E871" s="50"/>
      <c r="F871" s="50"/>
      <c r="G871" s="50"/>
    </row>
    <row r="872">
      <c r="B872" s="49"/>
      <c r="C872" s="49"/>
      <c r="D872" s="49"/>
      <c r="E872" s="50"/>
      <c r="F872" s="50"/>
      <c r="G872" s="50"/>
    </row>
    <row r="873">
      <c r="B873" s="49"/>
      <c r="C873" s="49"/>
      <c r="D873" s="49"/>
      <c r="E873" s="50"/>
      <c r="F873" s="50"/>
      <c r="G873" s="50"/>
    </row>
    <row r="874">
      <c r="B874" s="49"/>
      <c r="C874" s="49"/>
      <c r="D874" s="49"/>
      <c r="E874" s="50"/>
      <c r="F874" s="50"/>
      <c r="G874" s="50"/>
    </row>
    <row r="875">
      <c r="B875" s="49"/>
      <c r="C875" s="49"/>
      <c r="D875" s="49"/>
      <c r="E875" s="50"/>
      <c r="F875" s="50"/>
      <c r="G875" s="50"/>
    </row>
    <row r="876">
      <c r="B876" s="49"/>
      <c r="C876" s="49"/>
      <c r="D876" s="49"/>
      <c r="E876" s="50"/>
      <c r="F876" s="50"/>
      <c r="G876" s="50"/>
    </row>
    <row r="877">
      <c r="B877" s="49"/>
      <c r="C877" s="49"/>
      <c r="D877" s="49"/>
      <c r="E877" s="50"/>
      <c r="F877" s="50"/>
      <c r="G877" s="50"/>
    </row>
    <row r="878">
      <c r="B878" s="49"/>
      <c r="C878" s="49"/>
      <c r="D878" s="49"/>
      <c r="E878" s="50"/>
      <c r="F878" s="50"/>
      <c r="G878" s="50"/>
    </row>
    <row r="879">
      <c r="B879" s="49"/>
      <c r="C879" s="49"/>
      <c r="D879" s="49"/>
      <c r="E879" s="50"/>
      <c r="F879" s="50"/>
      <c r="G879" s="50"/>
    </row>
    <row r="880">
      <c r="B880" s="49"/>
      <c r="C880" s="49"/>
      <c r="D880" s="49"/>
      <c r="E880" s="50"/>
      <c r="F880" s="50"/>
      <c r="G880" s="50"/>
    </row>
    <row r="881">
      <c r="B881" s="49"/>
      <c r="C881" s="49"/>
      <c r="D881" s="49"/>
      <c r="E881" s="50"/>
      <c r="F881" s="50"/>
      <c r="G881" s="50"/>
    </row>
    <row r="882">
      <c r="B882" s="49"/>
      <c r="C882" s="49"/>
      <c r="D882" s="49"/>
      <c r="E882" s="50"/>
      <c r="F882" s="50"/>
      <c r="G882" s="50"/>
    </row>
    <row r="883">
      <c r="B883" s="49"/>
      <c r="C883" s="49"/>
      <c r="D883" s="49"/>
      <c r="E883" s="50"/>
      <c r="F883" s="50"/>
      <c r="G883" s="50"/>
    </row>
    <row r="884">
      <c r="B884" s="49"/>
      <c r="C884" s="49"/>
      <c r="D884" s="49"/>
      <c r="E884" s="50"/>
      <c r="F884" s="50"/>
      <c r="G884" s="50"/>
    </row>
    <row r="885">
      <c r="B885" s="49"/>
      <c r="C885" s="49"/>
      <c r="D885" s="49"/>
      <c r="E885" s="50"/>
      <c r="F885" s="50"/>
      <c r="G885" s="50"/>
    </row>
    <row r="886">
      <c r="B886" s="49"/>
      <c r="C886" s="49"/>
      <c r="D886" s="49"/>
      <c r="E886" s="50"/>
      <c r="F886" s="50"/>
      <c r="G886" s="50"/>
    </row>
    <row r="887">
      <c r="B887" s="49"/>
      <c r="C887" s="49"/>
      <c r="D887" s="49"/>
      <c r="E887" s="50"/>
      <c r="F887" s="50"/>
      <c r="G887" s="50"/>
    </row>
    <row r="888">
      <c r="B888" s="49"/>
      <c r="C888" s="49"/>
      <c r="D888" s="49"/>
      <c r="E888" s="50"/>
      <c r="F888" s="50"/>
      <c r="G888" s="50"/>
    </row>
    <row r="889">
      <c r="B889" s="49"/>
      <c r="C889" s="49"/>
      <c r="D889" s="49"/>
      <c r="E889" s="50"/>
      <c r="F889" s="50"/>
      <c r="G889" s="50"/>
    </row>
    <row r="890">
      <c r="B890" s="49"/>
      <c r="C890" s="49"/>
      <c r="D890" s="49"/>
      <c r="E890" s="50"/>
      <c r="F890" s="50"/>
      <c r="G890" s="50"/>
    </row>
    <row r="891">
      <c r="B891" s="49"/>
      <c r="C891" s="49"/>
      <c r="D891" s="49"/>
      <c r="E891" s="50"/>
      <c r="F891" s="50"/>
      <c r="G891" s="50"/>
    </row>
    <row r="892">
      <c r="B892" s="49"/>
      <c r="C892" s="49"/>
      <c r="D892" s="49"/>
      <c r="E892" s="50"/>
      <c r="F892" s="50"/>
      <c r="G892" s="50"/>
    </row>
    <row r="893">
      <c r="B893" s="49"/>
      <c r="C893" s="49"/>
      <c r="D893" s="49"/>
      <c r="E893" s="50"/>
      <c r="F893" s="50"/>
      <c r="G893" s="50"/>
    </row>
    <row r="894">
      <c r="B894" s="49"/>
      <c r="C894" s="49"/>
      <c r="D894" s="49"/>
      <c r="E894" s="50"/>
      <c r="F894" s="50"/>
      <c r="G894" s="50"/>
    </row>
    <row r="895">
      <c r="B895" s="49"/>
      <c r="C895" s="49"/>
      <c r="D895" s="49"/>
      <c r="E895" s="50"/>
      <c r="F895" s="50"/>
      <c r="G895" s="50"/>
    </row>
    <row r="896">
      <c r="B896" s="49"/>
      <c r="C896" s="49"/>
      <c r="D896" s="49"/>
      <c r="E896" s="50"/>
      <c r="F896" s="50"/>
      <c r="G896" s="50"/>
    </row>
    <row r="897">
      <c r="B897" s="49"/>
      <c r="C897" s="49"/>
      <c r="D897" s="49"/>
      <c r="E897" s="50"/>
      <c r="F897" s="50"/>
      <c r="G897" s="50"/>
    </row>
    <row r="898">
      <c r="B898" s="49"/>
      <c r="C898" s="49"/>
      <c r="D898" s="49"/>
      <c r="E898" s="50"/>
      <c r="F898" s="50"/>
      <c r="G898" s="50"/>
    </row>
    <row r="899">
      <c r="B899" s="49"/>
      <c r="C899" s="49"/>
      <c r="D899" s="49"/>
      <c r="E899" s="50"/>
      <c r="F899" s="50"/>
      <c r="G899" s="50"/>
    </row>
    <row r="900">
      <c r="B900" s="49"/>
      <c r="C900" s="49"/>
      <c r="D900" s="49"/>
      <c r="E900" s="50"/>
      <c r="F900" s="50"/>
      <c r="G900" s="50"/>
    </row>
    <row r="901">
      <c r="B901" s="49"/>
      <c r="C901" s="49"/>
      <c r="D901" s="49"/>
      <c r="E901" s="50"/>
      <c r="F901" s="50"/>
      <c r="G901" s="50"/>
    </row>
    <row r="902">
      <c r="B902" s="49"/>
      <c r="C902" s="49"/>
      <c r="D902" s="49"/>
      <c r="E902" s="50"/>
      <c r="F902" s="50"/>
      <c r="G902" s="50"/>
    </row>
    <row r="903">
      <c r="B903" s="49"/>
      <c r="C903" s="49"/>
      <c r="D903" s="49"/>
      <c r="E903" s="50"/>
      <c r="F903" s="50"/>
      <c r="G903" s="50"/>
    </row>
    <row r="904">
      <c r="B904" s="49"/>
      <c r="C904" s="49"/>
      <c r="D904" s="49"/>
      <c r="E904" s="50"/>
      <c r="F904" s="50"/>
      <c r="G904" s="50"/>
    </row>
    <row r="905">
      <c r="B905" s="49"/>
      <c r="C905" s="49"/>
      <c r="D905" s="49"/>
      <c r="E905" s="50"/>
      <c r="F905" s="50"/>
      <c r="G905" s="50"/>
    </row>
    <row r="906">
      <c r="B906" s="49"/>
      <c r="C906" s="49"/>
      <c r="D906" s="49"/>
      <c r="E906" s="50"/>
      <c r="F906" s="50"/>
      <c r="G906" s="50"/>
    </row>
    <row r="907">
      <c r="B907" s="49"/>
      <c r="C907" s="49"/>
      <c r="D907" s="49"/>
      <c r="E907" s="50"/>
      <c r="F907" s="50"/>
      <c r="G907" s="50"/>
    </row>
    <row r="908">
      <c r="B908" s="49"/>
      <c r="C908" s="49"/>
      <c r="D908" s="49"/>
      <c r="E908" s="50"/>
      <c r="F908" s="50"/>
      <c r="G908" s="50"/>
    </row>
    <row r="909">
      <c r="B909" s="49"/>
      <c r="C909" s="49"/>
      <c r="D909" s="49"/>
      <c r="E909" s="50"/>
      <c r="F909" s="50"/>
      <c r="G909" s="50"/>
    </row>
    <row r="910">
      <c r="B910" s="49"/>
      <c r="C910" s="49"/>
      <c r="D910" s="49"/>
      <c r="E910" s="50"/>
      <c r="F910" s="50"/>
      <c r="G910" s="50"/>
    </row>
    <row r="911">
      <c r="B911" s="49"/>
      <c r="C911" s="49"/>
      <c r="D911" s="49"/>
      <c r="E911" s="50"/>
      <c r="F911" s="50"/>
      <c r="G911" s="50"/>
    </row>
    <row r="912">
      <c r="B912" s="49"/>
      <c r="C912" s="49"/>
      <c r="D912" s="49"/>
      <c r="E912" s="50"/>
      <c r="F912" s="50"/>
      <c r="G912" s="50"/>
    </row>
    <row r="913">
      <c r="B913" s="49"/>
      <c r="C913" s="49"/>
      <c r="D913" s="49"/>
      <c r="E913" s="50"/>
      <c r="F913" s="50"/>
      <c r="G913" s="50"/>
    </row>
    <row r="914">
      <c r="B914" s="49"/>
      <c r="C914" s="49"/>
      <c r="D914" s="49"/>
      <c r="E914" s="50"/>
      <c r="F914" s="50"/>
      <c r="G914" s="50"/>
    </row>
    <row r="915">
      <c r="B915" s="49"/>
      <c r="C915" s="49"/>
      <c r="D915" s="49"/>
      <c r="E915" s="50"/>
      <c r="F915" s="50"/>
      <c r="G915" s="50"/>
    </row>
    <row r="916">
      <c r="B916" s="49"/>
      <c r="C916" s="49"/>
      <c r="D916" s="49"/>
      <c r="E916" s="50"/>
      <c r="F916" s="50"/>
      <c r="G916" s="50"/>
    </row>
    <row r="917">
      <c r="B917" s="49"/>
      <c r="C917" s="49"/>
      <c r="D917" s="49"/>
      <c r="E917" s="50"/>
      <c r="F917" s="50"/>
      <c r="G917" s="50"/>
    </row>
    <row r="918">
      <c r="B918" s="49"/>
      <c r="C918" s="49"/>
      <c r="D918" s="49"/>
      <c r="E918" s="50"/>
      <c r="F918" s="50"/>
      <c r="G918" s="50"/>
    </row>
    <row r="919">
      <c r="B919" s="49"/>
      <c r="C919" s="49"/>
      <c r="D919" s="49"/>
      <c r="E919" s="50"/>
      <c r="F919" s="50"/>
      <c r="G919" s="50"/>
    </row>
    <row r="920">
      <c r="B920" s="49"/>
      <c r="C920" s="49"/>
      <c r="D920" s="49"/>
      <c r="E920" s="50"/>
      <c r="F920" s="50"/>
      <c r="G920" s="50"/>
    </row>
    <row r="921">
      <c r="B921" s="49"/>
      <c r="C921" s="49"/>
      <c r="D921" s="49"/>
      <c r="E921" s="50"/>
      <c r="F921" s="50"/>
      <c r="G921" s="50"/>
    </row>
    <row r="922">
      <c r="B922" s="49"/>
      <c r="C922" s="49"/>
      <c r="D922" s="49"/>
      <c r="E922" s="50"/>
      <c r="F922" s="50"/>
      <c r="G922" s="50"/>
    </row>
    <row r="923">
      <c r="B923" s="49"/>
      <c r="C923" s="49"/>
      <c r="D923" s="49"/>
      <c r="E923" s="50"/>
      <c r="F923" s="50"/>
      <c r="G923" s="50"/>
    </row>
    <row r="924">
      <c r="B924" s="49"/>
      <c r="C924" s="49"/>
      <c r="D924" s="49"/>
      <c r="E924" s="50"/>
      <c r="F924" s="50"/>
      <c r="G924" s="50"/>
    </row>
    <row r="925">
      <c r="B925" s="49"/>
      <c r="C925" s="49"/>
      <c r="D925" s="49"/>
      <c r="E925" s="50"/>
      <c r="F925" s="50"/>
      <c r="G925" s="50"/>
    </row>
    <row r="926">
      <c r="B926" s="49"/>
      <c r="C926" s="49"/>
      <c r="D926" s="49"/>
      <c r="E926" s="50"/>
      <c r="F926" s="50"/>
      <c r="G926" s="50"/>
    </row>
    <row r="927">
      <c r="B927" s="49"/>
      <c r="C927" s="49"/>
      <c r="D927" s="49"/>
      <c r="E927" s="50"/>
      <c r="F927" s="50"/>
      <c r="G927" s="50"/>
    </row>
    <row r="928">
      <c r="B928" s="49"/>
      <c r="C928" s="49"/>
      <c r="D928" s="49"/>
      <c r="E928" s="50"/>
      <c r="F928" s="50"/>
      <c r="G928" s="50"/>
    </row>
    <row r="929">
      <c r="B929" s="49"/>
      <c r="C929" s="49"/>
      <c r="D929" s="49"/>
      <c r="E929" s="50"/>
      <c r="F929" s="50"/>
      <c r="G929" s="50"/>
    </row>
    <row r="930">
      <c r="B930" s="49"/>
      <c r="C930" s="49"/>
      <c r="D930" s="49"/>
      <c r="E930" s="50"/>
      <c r="F930" s="50"/>
      <c r="G930" s="50"/>
    </row>
    <row r="931">
      <c r="B931" s="49"/>
      <c r="C931" s="49"/>
      <c r="D931" s="49"/>
      <c r="E931" s="50"/>
      <c r="F931" s="50"/>
      <c r="G931" s="50"/>
    </row>
    <row r="932">
      <c r="B932" s="49"/>
      <c r="C932" s="49"/>
      <c r="D932" s="49"/>
      <c r="E932" s="50"/>
      <c r="F932" s="50"/>
      <c r="G932" s="50"/>
    </row>
    <row r="933">
      <c r="B933" s="49"/>
      <c r="C933" s="49"/>
      <c r="D933" s="49"/>
      <c r="E933" s="50"/>
      <c r="F933" s="50"/>
      <c r="G933" s="50"/>
    </row>
    <row r="934">
      <c r="B934" s="49"/>
      <c r="C934" s="49"/>
      <c r="D934" s="49"/>
      <c r="E934" s="50"/>
      <c r="F934" s="50"/>
      <c r="G934" s="50"/>
    </row>
    <row r="935">
      <c r="B935" s="49"/>
      <c r="C935" s="49"/>
      <c r="D935" s="49"/>
      <c r="E935" s="50"/>
      <c r="F935" s="50"/>
      <c r="G935" s="50"/>
    </row>
    <row r="936">
      <c r="B936" s="49"/>
      <c r="C936" s="49"/>
      <c r="D936" s="49"/>
      <c r="E936" s="50"/>
      <c r="F936" s="50"/>
      <c r="G936" s="50"/>
    </row>
    <row r="937">
      <c r="B937" s="49"/>
      <c r="C937" s="49"/>
      <c r="D937" s="49"/>
      <c r="E937" s="50"/>
      <c r="F937" s="50"/>
      <c r="G937" s="50"/>
    </row>
    <row r="938">
      <c r="B938" s="49"/>
      <c r="C938" s="49"/>
      <c r="D938" s="49"/>
      <c r="E938" s="50"/>
      <c r="F938" s="50"/>
      <c r="G938" s="50"/>
    </row>
    <row r="939">
      <c r="B939" s="49"/>
      <c r="C939" s="49"/>
      <c r="D939" s="49"/>
      <c r="E939" s="50"/>
      <c r="F939" s="50"/>
      <c r="G939" s="50"/>
    </row>
    <row r="940">
      <c r="B940" s="49"/>
      <c r="C940" s="49"/>
      <c r="D940" s="49"/>
      <c r="E940" s="50"/>
      <c r="F940" s="50"/>
      <c r="G940" s="50"/>
    </row>
    <row r="941">
      <c r="B941" s="49"/>
      <c r="C941" s="49"/>
      <c r="D941" s="49"/>
      <c r="E941" s="50"/>
      <c r="F941" s="50"/>
      <c r="G941" s="50"/>
    </row>
    <row r="942">
      <c r="B942" s="49"/>
      <c r="C942" s="49"/>
      <c r="D942" s="49"/>
      <c r="E942" s="50"/>
      <c r="F942" s="50"/>
      <c r="G942" s="50"/>
    </row>
    <row r="943">
      <c r="B943" s="49"/>
      <c r="C943" s="49"/>
      <c r="D943" s="49"/>
      <c r="E943" s="50"/>
      <c r="F943" s="50"/>
      <c r="G943" s="50"/>
    </row>
    <row r="944">
      <c r="B944" s="49"/>
      <c r="C944" s="49"/>
      <c r="D944" s="49"/>
      <c r="E944" s="50"/>
      <c r="F944" s="50"/>
      <c r="G944" s="50"/>
    </row>
    <row r="945">
      <c r="B945" s="49"/>
      <c r="C945" s="49"/>
      <c r="D945" s="49"/>
      <c r="E945" s="50"/>
      <c r="F945" s="50"/>
      <c r="G945" s="50"/>
    </row>
    <row r="946">
      <c r="B946" s="49"/>
      <c r="C946" s="49"/>
      <c r="D946" s="49"/>
      <c r="E946" s="50"/>
      <c r="F946" s="50"/>
      <c r="G946" s="50"/>
    </row>
    <row r="947">
      <c r="B947" s="49"/>
      <c r="C947" s="49"/>
      <c r="D947" s="49"/>
      <c r="E947" s="50"/>
      <c r="F947" s="50"/>
      <c r="G947" s="50"/>
    </row>
    <row r="948">
      <c r="B948" s="49"/>
      <c r="C948" s="49"/>
      <c r="D948" s="49"/>
      <c r="E948" s="50"/>
      <c r="F948" s="50"/>
      <c r="G948" s="50"/>
    </row>
    <row r="949">
      <c r="B949" s="49"/>
      <c r="C949" s="49"/>
      <c r="D949" s="49"/>
      <c r="E949" s="50"/>
      <c r="F949" s="50"/>
      <c r="G949" s="50"/>
    </row>
    <row r="950">
      <c r="B950" s="49"/>
      <c r="C950" s="49"/>
      <c r="D950" s="49"/>
      <c r="E950" s="50"/>
      <c r="F950" s="50"/>
      <c r="G950" s="50"/>
    </row>
    <row r="951">
      <c r="B951" s="49"/>
      <c r="C951" s="49"/>
      <c r="D951" s="49"/>
      <c r="E951" s="50"/>
      <c r="F951" s="50"/>
      <c r="G951" s="50"/>
    </row>
    <row r="952">
      <c r="B952" s="49"/>
      <c r="C952" s="49"/>
      <c r="D952" s="49"/>
      <c r="E952" s="50"/>
      <c r="F952" s="50"/>
      <c r="G952" s="50"/>
    </row>
    <row r="953">
      <c r="B953" s="49"/>
      <c r="C953" s="49"/>
      <c r="D953" s="49"/>
      <c r="E953" s="50"/>
      <c r="F953" s="50"/>
      <c r="G953" s="50"/>
    </row>
    <row r="954">
      <c r="B954" s="49"/>
      <c r="C954" s="49"/>
      <c r="D954" s="49"/>
      <c r="E954" s="50"/>
      <c r="F954" s="50"/>
      <c r="G954" s="50"/>
    </row>
    <row r="955">
      <c r="B955" s="49"/>
      <c r="C955" s="49"/>
      <c r="D955" s="49"/>
      <c r="E955" s="50"/>
      <c r="F955" s="50"/>
      <c r="G955" s="50"/>
    </row>
    <row r="956">
      <c r="B956" s="49"/>
      <c r="C956" s="49"/>
      <c r="D956" s="49"/>
      <c r="E956" s="50"/>
      <c r="F956" s="50"/>
      <c r="G956" s="50"/>
    </row>
    <row r="957">
      <c r="B957" s="49"/>
      <c r="C957" s="49"/>
      <c r="D957" s="49"/>
      <c r="E957" s="50"/>
      <c r="F957" s="50"/>
      <c r="G957" s="50"/>
    </row>
    <row r="958">
      <c r="B958" s="49"/>
      <c r="C958" s="49"/>
      <c r="D958" s="49"/>
      <c r="E958" s="50"/>
      <c r="F958" s="50"/>
      <c r="G958" s="50"/>
    </row>
    <row r="959">
      <c r="B959" s="49"/>
      <c r="C959" s="49"/>
      <c r="D959" s="49"/>
      <c r="E959" s="50"/>
      <c r="F959" s="50"/>
      <c r="G959" s="50"/>
    </row>
    <row r="960">
      <c r="B960" s="49"/>
      <c r="C960" s="49"/>
      <c r="D960" s="49"/>
      <c r="E960" s="50"/>
      <c r="F960" s="50"/>
      <c r="G960" s="50"/>
    </row>
    <row r="961">
      <c r="B961" s="49"/>
      <c r="C961" s="49"/>
      <c r="D961" s="49"/>
      <c r="E961" s="50"/>
      <c r="F961" s="50"/>
      <c r="G961" s="50"/>
    </row>
    <row r="962">
      <c r="B962" s="49"/>
      <c r="C962" s="49"/>
      <c r="D962" s="49"/>
      <c r="E962" s="50"/>
      <c r="F962" s="50"/>
      <c r="G962" s="50"/>
    </row>
    <row r="963">
      <c r="B963" s="49"/>
      <c r="C963" s="49"/>
      <c r="D963" s="49"/>
      <c r="E963" s="50"/>
      <c r="F963" s="50"/>
      <c r="G963" s="50"/>
    </row>
    <row r="964">
      <c r="B964" s="49"/>
      <c r="C964" s="49"/>
      <c r="D964" s="49"/>
      <c r="E964" s="50"/>
      <c r="F964" s="50"/>
      <c r="G964" s="50"/>
    </row>
    <row r="965">
      <c r="B965" s="49"/>
      <c r="C965" s="49"/>
      <c r="D965" s="49"/>
      <c r="E965" s="50"/>
      <c r="F965" s="50"/>
      <c r="G965" s="50"/>
    </row>
    <row r="966">
      <c r="B966" s="49"/>
      <c r="C966" s="49"/>
      <c r="D966" s="49"/>
      <c r="E966" s="50"/>
      <c r="F966" s="50"/>
      <c r="G966" s="50"/>
    </row>
    <row r="967">
      <c r="B967" s="49"/>
      <c r="C967" s="49"/>
      <c r="D967" s="49"/>
      <c r="E967" s="50"/>
      <c r="F967" s="50"/>
      <c r="G967" s="50"/>
    </row>
    <row r="968">
      <c r="B968" s="49"/>
      <c r="C968" s="49"/>
      <c r="D968" s="49"/>
      <c r="E968" s="50"/>
      <c r="F968" s="50"/>
      <c r="G968" s="50"/>
    </row>
    <row r="969">
      <c r="B969" s="49"/>
      <c r="C969" s="49"/>
      <c r="D969" s="49"/>
      <c r="E969" s="50"/>
      <c r="F969" s="50"/>
      <c r="G969" s="50"/>
    </row>
    <row r="970">
      <c r="B970" s="49"/>
      <c r="C970" s="49"/>
      <c r="D970" s="49"/>
      <c r="E970" s="50"/>
      <c r="F970" s="50"/>
      <c r="G970" s="50"/>
    </row>
    <row r="971">
      <c r="B971" s="49"/>
      <c r="C971" s="49"/>
      <c r="D971" s="49"/>
      <c r="E971" s="50"/>
      <c r="F971" s="50"/>
      <c r="G971" s="50"/>
    </row>
    <row r="972">
      <c r="B972" s="49"/>
      <c r="C972" s="49"/>
      <c r="D972" s="49"/>
      <c r="E972" s="50"/>
      <c r="F972" s="50"/>
      <c r="G972" s="50"/>
    </row>
    <row r="973">
      <c r="B973" s="49"/>
      <c r="C973" s="49"/>
      <c r="D973" s="49"/>
      <c r="E973" s="50"/>
      <c r="F973" s="50"/>
      <c r="G973" s="50"/>
    </row>
    <row r="974">
      <c r="B974" s="49"/>
      <c r="C974" s="49"/>
      <c r="D974" s="49"/>
      <c r="E974" s="50"/>
      <c r="F974" s="50"/>
      <c r="G974" s="50"/>
    </row>
    <row r="975">
      <c r="B975" s="49"/>
      <c r="C975" s="49"/>
      <c r="D975" s="49"/>
      <c r="E975" s="50"/>
      <c r="F975" s="50"/>
      <c r="G975" s="50"/>
    </row>
    <row r="976">
      <c r="B976" s="49"/>
      <c r="C976" s="49"/>
      <c r="D976" s="49"/>
      <c r="E976" s="50"/>
      <c r="F976" s="50"/>
      <c r="G976" s="50"/>
    </row>
    <row r="977">
      <c r="B977" s="49"/>
      <c r="C977" s="49"/>
      <c r="D977" s="49"/>
      <c r="E977" s="50"/>
      <c r="F977" s="50"/>
      <c r="G977" s="50"/>
    </row>
    <row r="978">
      <c r="B978" s="49"/>
      <c r="C978" s="49"/>
      <c r="D978" s="49"/>
      <c r="E978" s="50"/>
      <c r="F978" s="50"/>
      <c r="G978" s="50"/>
    </row>
    <row r="979">
      <c r="B979" s="49"/>
      <c r="C979" s="49"/>
      <c r="D979" s="49"/>
      <c r="E979" s="50"/>
      <c r="F979" s="50"/>
      <c r="G979" s="50"/>
    </row>
    <row r="980">
      <c r="B980" s="49"/>
      <c r="C980" s="49"/>
      <c r="D980" s="49"/>
      <c r="E980" s="50"/>
      <c r="F980" s="50"/>
      <c r="G980" s="50"/>
    </row>
    <row r="981">
      <c r="B981" s="49"/>
      <c r="C981" s="49"/>
      <c r="D981" s="49"/>
      <c r="E981" s="50"/>
      <c r="F981" s="50"/>
      <c r="G981" s="50"/>
    </row>
    <row r="982">
      <c r="B982" s="49"/>
      <c r="C982" s="49"/>
      <c r="D982" s="49"/>
      <c r="E982" s="50"/>
      <c r="F982" s="50"/>
      <c r="G982" s="50"/>
    </row>
    <row r="983">
      <c r="B983" s="49"/>
      <c r="C983" s="49"/>
      <c r="D983" s="49"/>
      <c r="E983" s="50"/>
      <c r="F983" s="50"/>
      <c r="G983" s="50"/>
    </row>
    <row r="984">
      <c r="B984" s="49"/>
      <c r="C984" s="49"/>
      <c r="D984" s="49"/>
      <c r="E984" s="50"/>
      <c r="F984" s="50"/>
      <c r="G984" s="50"/>
    </row>
    <row r="985">
      <c r="B985" s="49"/>
      <c r="C985" s="49"/>
      <c r="D985" s="49"/>
      <c r="E985" s="50"/>
      <c r="F985" s="50"/>
      <c r="G985" s="50"/>
    </row>
    <row r="986">
      <c r="B986" s="49"/>
      <c r="C986" s="49"/>
      <c r="D986" s="49"/>
      <c r="E986" s="50"/>
      <c r="F986" s="50"/>
      <c r="G986" s="50"/>
    </row>
    <row r="987">
      <c r="B987" s="49"/>
      <c r="C987" s="49"/>
      <c r="D987" s="49"/>
      <c r="E987" s="50"/>
      <c r="F987" s="50"/>
      <c r="G987" s="50"/>
    </row>
    <row r="988">
      <c r="B988" s="49"/>
      <c r="C988" s="49"/>
      <c r="D988" s="49"/>
      <c r="E988" s="50"/>
      <c r="F988" s="50"/>
      <c r="G988" s="50"/>
    </row>
    <row r="989">
      <c r="B989" s="49"/>
      <c r="C989" s="49"/>
      <c r="D989" s="49"/>
      <c r="E989" s="50"/>
      <c r="F989" s="50"/>
      <c r="G989" s="50"/>
    </row>
    <row r="990">
      <c r="B990" s="49"/>
      <c r="C990" s="49"/>
      <c r="D990" s="49"/>
      <c r="E990" s="50"/>
      <c r="F990" s="50"/>
      <c r="G990" s="50"/>
    </row>
    <row r="991">
      <c r="B991" s="49"/>
      <c r="C991" s="49"/>
      <c r="D991" s="49"/>
      <c r="E991" s="50"/>
      <c r="F991" s="50"/>
      <c r="G991" s="50"/>
    </row>
    <row r="992">
      <c r="B992" s="49"/>
      <c r="C992" s="49"/>
      <c r="D992" s="49"/>
      <c r="E992" s="50"/>
      <c r="F992" s="50"/>
      <c r="G992" s="50"/>
    </row>
    <row r="993">
      <c r="B993" s="49"/>
      <c r="C993" s="49"/>
      <c r="D993" s="49"/>
      <c r="E993" s="50"/>
      <c r="F993" s="50"/>
      <c r="G993" s="50"/>
    </row>
    <row r="994">
      <c r="B994" s="49"/>
      <c r="C994" s="49"/>
      <c r="D994" s="49"/>
      <c r="E994" s="50"/>
      <c r="F994" s="50"/>
      <c r="G994" s="50"/>
    </row>
    <row r="995">
      <c r="B995" s="49"/>
      <c r="C995" s="49"/>
      <c r="D995" s="49"/>
      <c r="E995" s="50"/>
      <c r="F995" s="50"/>
      <c r="G995" s="50"/>
    </row>
    <row r="996">
      <c r="B996" s="49"/>
      <c r="C996" s="49"/>
      <c r="D996" s="49"/>
      <c r="E996" s="50"/>
      <c r="F996" s="50"/>
      <c r="G996" s="50"/>
    </row>
    <row r="997">
      <c r="B997" s="49"/>
      <c r="C997" s="49"/>
      <c r="D997" s="49"/>
      <c r="E997" s="50"/>
      <c r="F997" s="50"/>
      <c r="G997" s="50"/>
    </row>
    <row r="998">
      <c r="B998" s="49"/>
      <c r="C998" s="49"/>
      <c r="D998" s="49"/>
      <c r="E998" s="50"/>
      <c r="F998" s="50"/>
      <c r="G998" s="50"/>
    </row>
    <row r="999">
      <c r="B999" s="49"/>
      <c r="C999" s="49"/>
      <c r="D999" s="49"/>
      <c r="E999" s="50"/>
      <c r="F999" s="50"/>
      <c r="G999" s="50"/>
    </row>
    <row r="1000">
      <c r="B1000" s="49"/>
      <c r="C1000" s="49"/>
      <c r="D1000" s="49"/>
      <c r="E1000" s="50"/>
      <c r="F1000" s="50"/>
      <c r="G1000" s="50"/>
    </row>
    <row r="1001">
      <c r="B1001" s="49"/>
      <c r="C1001" s="49"/>
      <c r="D1001" s="49"/>
      <c r="E1001" s="50"/>
      <c r="F1001" s="50"/>
      <c r="G1001" s="50"/>
    </row>
    <row r="1002">
      <c r="B1002" s="49"/>
      <c r="C1002" s="49"/>
      <c r="D1002" s="49"/>
      <c r="E1002" s="50"/>
      <c r="F1002" s="50"/>
      <c r="G1002" s="50"/>
    </row>
    <row r="1003">
      <c r="B1003" s="49"/>
      <c r="C1003" s="49"/>
      <c r="D1003" s="49"/>
      <c r="E1003" s="50"/>
      <c r="F1003" s="50"/>
      <c r="G1003" s="50"/>
    </row>
    <row r="1004">
      <c r="B1004" s="49"/>
      <c r="C1004" s="49"/>
      <c r="D1004" s="49"/>
      <c r="E1004" s="50"/>
      <c r="F1004" s="50"/>
      <c r="G1004" s="50"/>
    </row>
    <row r="1005">
      <c r="B1005" s="49"/>
      <c r="C1005" s="49"/>
      <c r="D1005" s="49"/>
      <c r="E1005" s="50"/>
      <c r="F1005" s="50"/>
      <c r="G1005" s="50"/>
    </row>
    <row r="1006">
      <c r="B1006" s="49"/>
      <c r="C1006" s="49"/>
      <c r="D1006" s="49"/>
      <c r="E1006" s="50"/>
      <c r="F1006" s="50"/>
      <c r="G1006" s="50"/>
    </row>
    <row r="1007">
      <c r="B1007" s="49"/>
      <c r="C1007" s="49"/>
      <c r="D1007" s="49"/>
      <c r="E1007" s="50"/>
      <c r="F1007" s="50"/>
      <c r="G1007" s="50"/>
    </row>
    <row r="1008">
      <c r="B1008" s="49"/>
      <c r="C1008" s="49"/>
      <c r="D1008" s="49"/>
      <c r="E1008" s="50"/>
      <c r="F1008" s="50"/>
      <c r="G1008" s="50"/>
    </row>
    <row r="1009">
      <c r="B1009" s="49"/>
      <c r="C1009" s="49"/>
      <c r="D1009" s="49"/>
      <c r="E1009" s="50"/>
      <c r="F1009" s="50"/>
      <c r="G1009" s="50"/>
    </row>
    <row r="1010">
      <c r="B1010" s="49"/>
      <c r="C1010" s="49"/>
      <c r="D1010" s="49"/>
      <c r="E1010" s="50"/>
      <c r="F1010" s="50"/>
      <c r="G1010" s="50"/>
    </row>
    <row r="1011">
      <c r="B1011" s="49"/>
      <c r="C1011" s="49"/>
      <c r="D1011" s="49"/>
      <c r="E1011" s="50"/>
      <c r="F1011" s="50"/>
      <c r="G1011" s="50"/>
    </row>
    <row r="1012">
      <c r="B1012" s="49"/>
      <c r="C1012" s="49"/>
      <c r="D1012" s="49"/>
      <c r="E1012" s="50"/>
      <c r="F1012" s="50"/>
      <c r="G1012" s="50"/>
    </row>
    <row r="1013">
      <c r="B1013" s="49"/>
      <c r="C1013" s="49"/>
      <c r="D1013" s="49"/>
      <c r="E1013" s="50"/>
      <c r="F1013" s="50"/>
      <c r="G1013" s="50"/>
    </row>
    <row r="1014">
      <c r="B1014" s="49"/>
      <c r="C1014" s="49"/>
      <c r="D1014" s="49"/>
      <c r="E1014" s="50"/>
      <c r="F1014" s="50"/>
      <c r="G1014" s="50"/>
    </row>
    <row r="1015">
      <c r="B1015" s="49"/>
      <c r="C1015" s="49"/>
      <c r="D1015" s="49"/>
      <c r="E1015" s="50"/>
      <c r="F1015" s="50"/>
      <c r="G1015" s="50"/>
    </row>
    <row r="1016">
      <c r="B1016" s="49"/>
      <c r="C1016" s="49"/>
      <c r="D1016" s="49"/>
      <c r="E1016" s="50"/>
      <c r="F1016" s="50"/>
      <c r="G1016" s="50"/>
    </row>
    <row r="1017">
      <c r="B1017" s="49"/>
      <c r="C1017" s="49"/>
      <c r="D1017" s="49"/>
      <c r="E1017" s="50"/>
      <c r="F1017" s="50"/>
      <c r="G1017" s="50"/>
    </row>
    <row r="1018">
      <c r="B1018" s="49"/>
      <c r="C1018" s="49"/>
      <c r="D1018" s="49"/>
      <c r="E1018" s="50"/>
      <c r="F1018" s="50"/>
      <c r="G1018" s="50"/>
    </row>
    <row r="1019">
      <c r="B1019" s="49"/>
      <c r="C1019" s="49"/>
      <c r="D1019" s="49"/>
      <c r="E1019" s="50"/>
      <c r="F1019" s="50"/>
      <c r="G1019" s="50"/>
    </row>
    <row r="1020">
      <c r="B1020" s="49"/>
      <c r="C1020" s="49"/>
      <c r="D1020" s="49"/>
      <c r="E1020" s="50"/>
      <c r="F1020" s="50"/>
      <c r="G1020" s="50"/>
    </row>
    <row r="1021">
      <c r="B1021" s="49"/>
      <c r="C1021" s="49"/>
      <c r="D1021" s="49"/>
      <c r="E1021" s="50"/>
      <c r="F1021" s="50"/>
      <c r="G1021" s="50"/>
    </row>
    <row r="1022">
      <c r="B1022" s="49"/>
      <c r="C1022" s="49"/>
      <c r="D1022" s="49"/>
      <c r="E1022" s="50"/>
      <c r="F1022" s="50"/>
      <c r="G1022" s="50"/>
    </row>
    <row r="1023">
      <c r="B1023" s="49"/>
      <c r="C1023" s="49"/>
      <c r="D1023" s="49"/>
      <c r="E1023" s="50"/>
      <c r="F1023" s="50"/>
      <c r="G1023" s="50"/>
    </row>
  </sheetData>
  <mergeCells count="6">
    <mergeCell ref="A2:I2"/>
    <mergeCell ref="K2:M2"/>
    <mergeCell ref="A26:L26"/>
    <mergeCell ref="A52:K52"/>
    <mergeCell ref="A77:K77"/>
    <mergeCell ref="A101:C101"/>
  </mergeCells>
  <drawing r:id="rId5"/>
  <legacyDrawing r:id="rId6"/>
  <tableParts count="7"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72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>
      <c r="A6" s="72"/>
      <c r="B6" s="72"/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>
      <c r="A7" s="72"/>
      <c r="B7" s="72"/>
      <c r="C7" s="72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>
      <c r="A8" s="72"/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>
      <c r="A10" s="72"/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>
      <c r="A11" s="72"/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>
      <c r="A12" s="72"/>
      <c r="B12" s="72"/>
      <c r="C12" s="72"/>
      <c r="D12" s="72"/>
      <c r="E12" s="72"/>
      <c r="F12" s="72"/>
      <c r="G12" s="72"/>
      <c r="H12" s="72"/>
      <c r="I12" s="118" t="s">
        <v>79</v>
      </c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119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>
      <c r="A17" s="72"/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>
      <c r="A18" s="72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>
      <c r="A19" s="72"/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>
      <c r="A20" s="72"/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9.38"/>
  </cols>
  <sheetData>
    <row r="1">
      <c r="A1" s="120" t="s">
        <v>80</v>
      </c>
      <c r="B1" s="121" t="s">
        <v>81</v>
      </c>
      <c r="C1" s="121" t="s">
        <v>82</v>
      </c>
      <c r="D1" s="121" t="s">
        <v>83</v>
      </c>
      <c r="E1" s="121" t="s">
        <v>84</v>
      </c>
      <c r="F1" s="121" t="s">
        <v>85</v>
      </c>
      <c r="G1" s="121" t="s">
        <v>86</v>
      </c>
      <c r="H1" s="121" t="s">
        <v>87</v>
      </c>
      <c r="I1" s="122" t="str">
        <f t="array" ref="I1:S1">{"January" , "February" , "March" , "April" , "May" , "June" , "July" , "August" , "September" , "October" , "November"}
</f>
        <v>January</v>
      </c>
      <c r="J1" s="122" t="s">
        <v>88</v>
      </c>
      <c r="K1" s="122" t="s">
        <v>89</v>
      </c>
      <c r="L1" s="122" t="s">
        <v>90</v>
      </c>
      <c r="M1" s="122" t="s">
        <v>91</v>
      </c>
      <c r="N1" s="122" t="s">
        <v>92</v>
      </c>
      <c r="O1" s="122" t="s">
        <v>93</v>
      </c>
      <c r="P1" s="122" t="s">
        <v>94</v>
      </c>
      <c r="Q1" s="122" t="s">
        <v>95</v>
      </c>
      <c r="R1" s="122" t="s">
        <v>96</v>
      </c>
      <c r="S1" s="123" t="s">
        <v>97</v>
      </c>
    </row>
    <row r="2">
      <c r="A2" s="124" t="str">
        <f t="array" ref="A2:A24">TRANSPOSE(expense_history_may_2024!1:1)</f>
        <v>date</v>
      </c>
      <c r="B2" s="6" t="str">
        <f t="array" ref="B2:B23">TRANSPOSE(expense_history_june_2024!1:1)</f>
        <v>date</v>
      </c>
      <c r="C2" s="6" t="str">
        <f t="array" ref="C2:C22">TRANSPOSE(expense_history_july_2024!1:1)</f>
        <v>date</v>
      </c>
      <c r="D2" s="6" t="str">
        <f t="array" ref="D2:D22">TRANSPOSE(expense_history_august_2024!1:1)</f>
        <v>date</v>
      </c>
      <c r="E2" s="6" t="str">
        <f t="array" ref="E2:E22">TRANSPOSE(expense_history_september_2024!1:1)</f>
        <v>date</v>
      </c>
      <c r="F2" s="6" t="str">
        <f t="array" ref="F2:F22">TRANSPOSE(expense_history_october_2024!1:1)</f>
        <v>date</v>
      </c>
      <c r="G2" s="6" t="str">
        <f t="array" ref="G2:G22">TRANSPOSE(expense_history_november_2024!1:1)</f>
        <v>date</v>
      </c>
      <c r="H2" s="6" t="str">
        <f t="array" ref="H2:H22">TRANSPOSE(expense_history_december_2024!1:1)</f>
        <v>date</v>
      </c>
      <c r="I2" s="6" t="str">
        <f t="array" ref="I2:I22">TRANSPOSE(expense_history_january_2025!1:1)</f>
        <v>date</v>
      </c>
      <c r="J2" s="6" t="str">
        <f t="array" ref="J2:J22">TRANSPOSE(expense_history_february_2025!1:1)</f>
        <v>date</v>
      </c>
      <c r="K2" s="6" t="str">
        <f t="array" ref="K2:K22">TRANSPOSE(expense_history_march_2025!1:1)</f>
        <v>date</v>
      </c>
      <c r="L2" s="6" t="str">
        <f t="array" ref="L2:L22">TRANSPOSE(expense_history_april_2025!1:1)</f>
        <v>date</v>
      </c>
      <c r="M2" s="6" t="str">
        <f t="array" ref="M2:M22">TRANSPOSE(expense_history_may_2025!1:1)</f>
        <v>date</v>
      </c>
      <c r="N2" s="6" t="str">
        <f t="array" ref="N2:N21">TRANSPOSE(expense_history_june_2025!1:1)</f>
        <v>date</v>
      </c>
      <c r="O2" s="6" t="str">
        <f t="array" ref="O2:O22">TRANSPOSE(expense_history_july_2025!1:1)</f>
        <v>date</v>
      </c>
      <c r="P2" s="6" t="str">
        <f t="array" ref="P2:P22">TRANSPOSE(expense_history_august_2025!1:1)</f>
        <v>date</v>
      </c>
      <c r="Q2" s="6" t="str">
        <f t="array" ref="Q2:Q22">TRANSPOSE(expense_history_september_2025!1:1)</f>
        <v>date</v>
      </c>
      <c r="R2" s="6" t="str">
        <f t="array" ref="R2:R22">TRANSPOSE(expense_history_october_2025!1:1)</f>
        <v>date</v>
      </c>
      <c r="S2" s="41" t="str">
        <f t="array" ref="S2:S22">TRANSPOSE(expense_history_november_2025!1:1)</f>
        <v>date</v>
      </c>
    </row>
    <row r="3">
      <c r="A3" s="124" t="s">
        <v>1</v>
      </c>
      <c r="B3" s="6" t="s">
        <v>1</v>
      </c>
      <c r="C3" s="6" t="s">
        <v>1</v>
      </c>
      <c r="D3" s="6" t="s">
        <v>1</v>
      </c>
      <c r="E3" s="6" t="s">
        <v>1</v>
      </c>
      <c r="F3" s="6" t="s">
        <v>1</v>
      </c>
      <c r="G3" s="6" t="s">
        <v>1</v>
      </c>
      <c r="H3" s="6" t="s">
        <v>1</v>
      </c>
      <c r="I3" s="6" t="s">
        <v>1</v>
      </c>
      <c r="J3" s="6" t="s">
        <v>1</v>
      </c>
      <c r="K3" s="6" t="s">
        <v>1</v>
      </c>
      <c r="L3" s="6" t="s">
        <v>1</v>
      </c>
      <c r="M3" s="6" t="s">
        <v>1</v>
      </c>
      <c r="N3" s="6" t="s">
        <v>1</v>
      </c>
      <c r="O3" s="6" t="s">
        <v>1</v>
      </c>
      <c r="P3" s="6" t="s">
        <v>1</v>
      </c>
      <c r="Q3" s="6" t="s">
        <v>1</v>
      </c>
      <c r="R3" s="6" t="s">
        <v>1</v>
      </c>
      <c r="S3" s="41" t="s">
        <v>1</v>
      </c>
    </row>
    <row r="4">
      <c r="A4" s="124" t="s">
        <v>2</v>
      </c>
      <c r="B4" s="6" t="s">
        <v>2</v>
      </c>
      <c r="C4" s="6" t="s">
        <v>2</v>
      </c>
      <c r="D4" s="6" t="s">
        <v>2</v>
      </c>
      <c r="E4" s="6" t="s">
        <v>2</v>
      </c>
      <c r="F4" s="6" t="s">
        <v>2</v>
      </c>
      <c r="G4" s="6" t="s">
        <v>2</v>
      </c>
      <c r="H4" s="6" t="s">
        <v>2</v>
      </c>
      <c r="I4" s="6" t="s">
        <v>2</v>
      </c>
      <c r="J4" s="6" t="s">
        <v>2</v>
      </c>
      <c r="K4" s="6" t="s">
        <v>2</v>
      </c>
      <c r="L4" s="6" t="s">
        <v>2</v>
      </c>
      <c r="M4" s="6" t="s">
        <v>2</v>
      </c>
      <c r="N4" s="6" t="s">
        <v>2</v>
      </c>
      <c r="O4" s="6" t="s">
        <v>2</v>
      </c>
      <c r="P4" s="6" t="s">
        <v>2</v>
      </c>
      <c r="Q4" s="6" t="s">
        <v>2</v>
      </c>
      <c r="R4" s="6" t="s">
        <v>2</v>
      </c>
      <c r="S4" s="41" t="s">
        <v>2</v>
      </c>
    </row>
    <row r="5">
      <c r="A5" s="124" t="s">
        <v>3</v>
      </c>
      <c r="B5" s="6" t="s">
        <v>3</v>
      </c>
      <c r="C5" s="6" t="s">
        <v>3</v>
      </c>
      <c r="D5" s="6" t="s">
        <v>3</v>
      </c>
      <c r="E5" s="6" t="s">
        <v>3</v>
      </c>
      <c r="F5" s="6" t="s">
        <v>3</v>
      </c>
      <c r="G5" s="6" t="s">
        <v>3</v>
      </c>
      <c r="H5" s="6" t="s">
        <v>3</v>
      </c>
      <c r="I5" s="6" t="s">
        <v>3</v>
      </c>
      <c r="J5" s="6" t="s">
        <v>3</v>
      </c>
      <c r="K5" s="6" t="s">
        <v>3</v>
      </c>
      <c r="L5" s="6" t="s">
        <v>3</v>
      </c>
      <c r="M5" s="6" t="s">
        <v>3</v>
      </c>
      <c r="N5" s="6" t="s">
        <v>3</v>
      </c>
      <c r="O5" s="6" t="s">
        <v>3</v>
      </c>
      <c r="P5" s="6" t="s">
        <v>3</v>
      </c>
      <c r="Q5" s="6" t="s">
        <v>3</v>
      </c>
      <c r="R5" s="6" t="s">
        <v>3</v>
      </c>
      <c r="S5" s="41" t="s">
        <v>3</v>
      </c>
    </row>
    <row r="6">
      <c r="A6" s="125" t="s">
        <v>4</v>
      </c>
      <c r="B6" s="12" t="s">
        <v>4</v>
      </c>
      <c r="C6" s="12" t="s">
        <v>4</v>
      </c>
      <c r="D6" s="12" t="s">
        <v>4</v>
      </c>
      <c r="E6" s="12" t="s">
        <v>4</v>
      </c>
      <c r="F6" s="12" t="s">
        <v>4</v>
      </c>
      <c r="G6" s="12" t="s">
        <v>4</v>
      </c>
      <c r="H6" s="12" t="s">
        <v>4</v>
      </c>
      <c r="I6" s="12" t="s">
        <v>4</v>
      </c>
      <c r="J6" s="12" t="s">
        <v>4</v>
      </c>
      <c r="K6" s="12" t="s">
        <v>4</v>
      </c>
      <c r="L6" s="12" t="s">
        <v>4</v>
      </c>
      <c r="M6" s="12" t="s">
        <v>4</v>
      </c>
      <c r="N6" s="12" t="s">
        <v>4</v>
      </c>
      <c r="O6" s="12" t="s">
        <v>4</v>
      </c>
      <c r="P6" s="12" t="s">
        <v>4</v>
      </c>
      <c r="Q6" s="12" t="s">
        <v>4</v>
      </c>
      <c r="R6" s="12" t="s">
        <v>4</v>
      </c>
      <c r="S6" s="48" t="s">
        <v>4</v>
      </c>
    </row>
    <row r="7">
      <c r="A7" s="51"/>
      <c r="B7" s="51"/>
      <c r="C7" s="51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</row>
    <row r="8">
      <c r="A8" s="51"/>
      <c r="B8" s="51"/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</row>
    <row r="9">
      <c r="A9" s="51"/>
      <c r="B9" s="51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</row>
    <row r="10">
      <c r="A10" s="51"/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</row>
    <row r="11">
      <c r="A11" s="51"/>
      <c r="B11" s="51"/>
      <c r="C11" s="51"/>
      <c r="D11" s="51"/>
      <c r="E11" s="51"/>
      <c r="F11" s="51"/>
      <c r="G11" s="51"/>
      <c r="H11" s="51"/>
      <c r="I11" s="51"/>
      <c r="J11" s="51"/>
      <c r="K11" s="51"/>
      <c r="L11" s="51"/>
      <c r="M11" s="51"/>
      <c r="N11" s="51"/>
      <c r="O11" s="51"/>
      <c r="P11" s="51"/>
      <c r="Q11" s="51"/>
      <c r="R11" s="51"/>
      <c r="S11" s="51"/>
    </row>
    <row r="12">
      <c r="A12" s="51"/>
      <c r="B12" s="51"/>
      <c r="C12" s="51"/>
      <c r="D12" s="51"/>
      <c r="E12" s="51"/>
      <c r="F12" s="51"/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</row>
    <row r="13">
      <c r="A13" s="51"/>
      <c r="B13" s="51"/>
      <c r="C13" s="51"/>
      <c r="D13" s="51"/>
      <c r="E13" s="51"/>
      <c r="F13" s="51"/>
      <c r="G13" s="51"/>
      <c r="H13" s="51"/>
      <c r="I13" s="51"/>
      <c r="J13" s="51"/>
      <c r="K13" s="51"/>
      <c r="L13" s="51"/>
      <c r="M13" s="51"/>
      <c r="N13" s="51"/>
      <c r="O13" s="51"/>
      <c r="P13" s="51"/>
      <c r="Q13" s="51"/>
      <c r="R13" s="51"/>
      <c r="S13" s="51"/>
    </row>
    <row r="14">
      <c r="A14" s="51"/>
      <c r="B14" s="51"/>
      <c r="C14" s="51"/>
      <c r="D14" s="51"/>
      <c r="E14" s="51"/>
      <c r="F14" s="51"/>
      <c r="G14" s="51"/>
      <c r="H14" s="51"/>
      <c r="I14" s="51"/>
      <c r="J14" s="51"/>
      <c r="K14" s="51"/>
      <c r="L14" s="51"/>
      <c r="M14" s="51"/>
      <c r="N14" s="51"/>
      <c r="O14" s="51"/>
      <c r="P14" s="51"/>
      <c r="Q14" s="51"/>
      <c r="R14" s="51"/>
      <c r="S14" s="51"/>
    </row>
    <row r="15">
      <c r="A15" s="51"/>
      <c r="B15" s="51"/>
      <c r="C15" s="51"/>
      <c r="D15" s="51"/>
      <c r="E15" s="51"/>
      <c r="F15" s="51"/>
      <c r="G15" s="51"/>
      <c r="H15" s="51"/>
      <c r="I15" s="51"/>
      <c r="J15" s="51"/>
      <c r="K15" s="51"/>
      <c r="L15" s="51"/>
      <c r="M15" s="51"/>
      <c r="N15" s="51"/>
      <c r="O15" s="51"/>
      <c r="P15" s="51"/>
      <c r="Q15" s="51"/>
      <c r="R15" s="51"/>
      <c r="S15" s="51"/>
    </row>
    <row r="16">
      <c r="A16" s="51"/>
      <c r="B16" s="51"/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  <c r="O16" s="51"/>
      <c r="P16" s="51"/>
      <c r="Q16" s="51"/>
      <c r="R16" s="51"/>
      <c r="S16" s="51"/>
    </row>
    <row r="17">
      <c r="A17" s="51"/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51"/>
      <c r="P17" s="51"/>
      <c r="Q17" s="51"/>
      <c r="R17" s="51"/>
      <c r="S17" s="51"/>
    </row>
    <row r="18">
      <c r="A18" s="51"/>
      <c r="B18" s="51"/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</row>
    <row r="19">
      <c r="A19" s="51"/>
      <c r="B19" s="51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</row>
    <row r="20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</row>
    <row r="21">
      <c r="A21" s="51"/>
      <c r="B21" s="51"/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</row>
    <row r="22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O22" s="51"/>
      <c r="P22" s="51"/>
      <c r="Q22" s="51"/>
      <c r="R22" s="51"/>
      <c r="S22" s="51"/>
    </row>
    <row r="23">
      <c r="A23" s="51"/>
      <c r="B23" s="51"/>
    </row>
    <row r="24">
      <c r="A24" s="51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3.25"/>
    <col customWidth="1" min="4" max="4" width="17.75"/>
  </cols>
  <sheetData>
    <row r="1">
      <c r="A1" s="126" t="s">
        <v>98</v>
      </c>
      <c r="B1" s="127" t="s">
        <v>99</v>
      </c>
      <c r="C1" s="127" t="s">
        <v>100</v>
      </c>
      <c r="D1" s="127" t="s">
        <v>101</v>
      </c>
    </row>
    <row r="2">
      <c r="A2" s="126" t="s">
        <v>102</v>
      </c>
      <c r="B2" s="127" t="s">
        <v>103</v>
      </c>
      <c r="C2" s="127" t="s">
        <v>104</v>
      </c>
      <c r="D2" s="127" t="s">
        <v>105</v>
      </c>
    </row>
    <row r="3">
      <c r="A3" s="126" t="s">
        <v>106</v>
      </c>
      <c r="B3" s="127" t="s">
        <v>107</v>
      </c>
      <c r="C3" s="127" t="s">
        <v>108</v>
      </c>
      <c r="D3" s="127" t="s">
        <v>105</v>
      </c>
    </row>
    <row r="4">
      <c r="A4" s="126" t="s">
        <v>109</v>
      </c>
      <c r="B4" s="127" t="s">
        <v>110</v>
      </c>
      <c r="C4" s="127" t="s">
        <v>111</v>
      </c>
      <c r="D4" s="127" t="s">
        <v>112</v>
      </c>
    </row>
    <row r="5">
      <c r="A5" s="126" t="s">
        <v>113</v>
      </c>
      <c r="B5" s="127" t="s">
        <v>103</v>
      </c>
      <c r="C5" s="127" t="s">
        <v>114</v>
      </c>
      <c r="D5" s="127" t="s">
        <v>115</v>
      </c>
    </row>
    <row r="6">
      <c r="A6" s="126" t="s">
        <v>116</v>
      </c>
      <c r="B6" s="127" t="s">
        <v>116</v>
      </c>
      <c r="C6" s="127" t="s">
        <v>117</v>
      </c>
      <c r="D6" s="127" t="s">
        <v>118</v>
      </c>
    </row>
    <row r="7">
      <c r="A7" s="126" t="s">
        <v>119</v>
      </c>
      <c r="B7" s="127" t="s">
        <v>119</v>
      </c>
      <c r="C7" s="127" t="s">
        <v>120</v>
      </c>
      <c r="D7" s="127" t="s">
        <v>121</v>
      </c>
    </row>
    <row r="8">
      <c r="A8" s="126" t="s">
        <v>122</v>
      </c>
      <c r="B8" s="127" t="s">
        <v>122</v>
      </c>
      <c r="C8" s="127" t="s">
        <v>123</v>
      </c>
      <c r="D8" s="127" t="s">
        <v>124</v>
      </c>
    </row>
    <row r="9">
      <c r="A9" s="126" t="s">
        <v>125</v>
      </c>
      <c r="B9" s="127" t="s">
        <v>125</v>
      </c>
      <c r="C9" s="127" t="s">
        <v>126</v>
      </c>
      <c r="D9" s="127" t="s">
        <v>127</v>
      </c>
    </row>
    <row r="10">
      <c r="A10" s="128"/>
    </row>
    <row r="11">
      <c r="A11" s="128"/>
    </row>
    <row r="12">
      <c r="A12" s="128"/>
    </row>
    <row r="13">
      <c r="A13" s="128"/>
    </row>
    <row r="14">
      <c r="A14" s="128"/>
    </row>
    <row r="15">
      <c r="A15" s="128"/>
    </row>
    <row r="16">
      <c r="A16" s="128"/>
    </row>
    <row r="17">
      <c r="A17" s="128"/>
    </row>
    <row r="18">
      <c r="A18" s="128"/>
    </row>
    <row r="19">
      <c r="A19" s="128"/>
    </row>
    <row r="20">
      <c r="A20" s="128"/>
    </row>
    <row r="21">
      <c r="A21" s="128"/>
    </row>
    <row r="22">
      <c r="A22" s="128"/>
    </row>
    <row r="23">
      <c r="A23" s="128"/>
    </row>
    <row r="24">
      <c r="A24" s="128"/>
    </row>
    <row r="25">
      <c r="A25" s="128"/>
    </row>
    <row r="26">
      <c r="A26" s="128"/>
    </row>
    <row r="27">
      <c r="A27" s="128"/>
    </row>
    <row r="28">
      <c r="A28" s="128"/>
    </row>
    <row r="29">
      <c r="A29" s="128"/>
    </row>
    <row r="30">
      <c r="A30" s="128"/>
    </row>
    <row r="31">
      <c r="A31" s="128"/>
    </row>
    <row r="32">
      <c r="A32" s="128"/>
    </row>
    <row r="33">
      <c r="A33" s="128"/>
    </row>
    <row r="34">
      <c r="A34" s="128"/>
    </row>
    <row r="35">
      <c r="A35" s="128"/>
    </row>
    <row r="36">
      <c r="A36" s="128"/>
    </row>
    <row r="37">
      <c r="A37" s="128"/>
    </row>
    <row r="38">
      <c r="A38" s="128"/>
    </row>
    <row r="39">
      <c r="A39" s="128"/>
    </row>
    <row r="40">
      <c r="A40" s="128"/>
    </row>
    <row r="41">
      <c r="A41" s="128"/>
    </row>
    <row r="42">
      <c r="A42" s="128"/>
    </row>
    <row r="43">
      <c r="A43" s="128"/>
    </row>
    <row r="44">
      <c r="A44" s="128"/>
    </row>
    <row r="45">
      <c r="A45" s="128"/>
    </row>
    <row r="46">
      <c r="A46" s="128"/>
    </row>
    <row r="47">
      <c r="A47" s="128"/>
    </row>
    <row r="48">
      <c r="A48" s="128"/>
    </row>
    <row r="49">
      <c r="A49" s="128"/>
    </row>
    <row r="50">
      <c r="A50" s="128"/>
    </row>
    <row r="51">
      <c r="A51" s="128"/>
    </row>
    <row r="52">
      <c r="A52" s="128"/>
    </row>
    <row r="53">
      <c r="A53" s="128"/>
    </row>
    <row r="54">
      <c r="A54" s="128"/>
    </row>
    <row r="55">
      <c r="A55" s="128"/>
    </row>
    <row r="56">
      <c r="A56" s="128"/>
    </row>
    <row r="57">
      <c r="A57" s="128"/>
    </row>
    <row r="58">
      <c r="A58" s="128"/>
    </row>
    <row r="59">
      <c r="A59" s="128"/>
    </row>
    <row r="60">
      <c r="A60" s="128"/>
    </row>
    <row r="61">
      <c r="A61" s="128"/>
    </row>
    <row r="62">
      <c r="A62" s="128"/>
    </row>
    <row r="63">
      <c r="A63" s="128"/>
    </row>
    <row r="64">
      <c r="A64" s="128"/>
    </row>
    <row r="65">
      <c r="A65" s="128"/>
    </row>
    <row r="66">
      <c r="A66" s="128"/>
    </row>
    <row r="67">
      <c r="A67" s="128"/>
    </row>
    <row r="68">
      <c r="A68" s="128"/>
    </row>
    <row r="69">
      <c r="A69" s="128"/>
    </row>
    <row r="70">
      <c r="A70" s="128"/>
    </row>
    <row r="71">
      <c r="A71" s="128"/>
    </row>
    <row r="72">
      <c r="A72" s="128"/>
    </row>
    <row r="73">
      <c r="A73" s="128"/>
    </row>
    <row r="74">
      <c r="A74" s="128"/>
    </row>
    <row r="75">
      <c r="A75" s="128"/>
    </row>
    <row r="76">
      <c r="A76" s="128"/>
    </row>
    <row r="77">
      <c r="A77" s="128"/>
    </row>
    <row r="78">
      <c r="A78" s="128"/>
    </row>
    <row r="79">
      <c r="A79" s="128"/>
    </row>
    <row r="80">
      <c r="A80" s="128"/>
    </row>
    <row r="81">
      <c r="A81" s="128"/>
    </row>
    <row r="82">
      <c r="A82" s="128"/>
    </row>
    <row r="83">
      <c r="A83" s="128"/>
    </row>
    <row r="84">
      <c r="A84" s="128"/>
    </row>
    <row r="85">
      <c r="A85" s="128"/>
    </row>
    <row r="86">
      <c r="A86" s="128"/>
    </row>
    <row r="87">
      <c r="A87" s="128"/>
    </row>
    <row r="88">
      <c r="A88" s="128"/>
    </row>
    <row r="89">
      <c r="A89" s="128"/>
    </row>
    <row r="90">
      <c r="A90" s="128"/>
    </row>
    <row r="91">
      <c r="A91" s="128"/>
    </row>
    <row r="92">
      <c r="A92" s="128"/>
    </row>
    <row r="93">
      <c r="A93" s="128"/>
    </row>
    <row r="94">
      <c r="A94" s="128"/>
    </row>
    <row r="95">
      <c r="A95" s="128"/>
    </row>
    <row r="96">
      <c r="A96" s="128"/>
    </row>
    <row r="97">
      <c r="A97" s="128"/>
    </row>
    <row r="98">
      <c r="A98" s="128"/>
    </row>
    <row r="99">
      <c r="A99" s="128"/>
    </row>
    <row r="100">
      <c r="A100" s="128"/>
    </row>
    <row r="101">
      <c r="A101" s="128"/>
    </row>
    <row r="102">
      <c r="A102" s="128"/>
    </row>
    <row r="103">
      <c r="A103" s="128"/>
    </row>
    <row r="104">
      <c r="A104" s="128"/>
    </row>
    <row r="105">
      <c r="A105" s="128"/>
    </row>
    <row r="106">
      <c r="A106" s="128"/>
    </row>
    <row r="107">
      <c r="A107" s="128"/>
    </row>
    <row r="108">
      <c r="A108" s="128"/>
    </row>
    <row r="109">
      <c r="A109" s="128"/>
    </row>
    <row r="110">
      <c r="A110" s="128"/>
    </row>
    <row r="111">
      <c r="A111" s="128"/>
    </row>
    <row r="112">
      <c r="A112" s="128"/>
    </row>
    <row r="113">
      <c r="A113" s="128"/>
    </row>
    <row r="114">
      <c r="A114" s="128"/>
    </row>
    <row r="115">
      <c r="A115" s="128"/>
    </row>
    <row r="116">
      <c r="A116" s="128"/>
    </row>
    <row r="117">
      <c r="A117" s="128"/>
    </row>
    <row r="118">
      <c r="A118" s="128"/>
    </row>
    <row r="119">
      <c r="A119" s="128"/>
    </row>
    <row r="120">
      <c r="A120" s="128"/>
    </row>
    <row r="121">
      <c r="A121" s="128"/>
    </row>
    <row r="122">
      <c r="A122" s="128"/>
    </row>
    <row r="123">
      <c r="A123" s="128"/>
    </row>
    <row r="124">
      <c r="A124" s="128"/>
    </row>
    <row r="125">
      <c r="A125" s="128"/>
    </row>
    <row r="126">
      <c r="A126" s="128"/>
    </row>
    <row r="127">
      <c r="A127" s="128"/>
    </row>
    <row r="128">
      <c r="A128" s="128"/>
    </row>
    <row r="129">
      <c r="A129" s="128"/>
    </row>
    <row r="130">
      <c r="A130" s="128"/>
    </row>
    <row r="131">
      <c r="A131" s="128"/>
    </row>
    <row r="132">
      <c r="A132" s="128"/>
    </row>
    <row r="133">
      <c r="A133" s="128"/>
    </row>
    <row r="134">
      <c r="A134" s="128"/>
    </row>
    <row r="135">
      <c r="A135" s="128"/>
    </row>
    <row r="136">
      <c r="A136" s="128"/>
    </row>
    <row r="137">
      <c r="A137" s="128"/>
    </row>
    <row r="138">
      <c r="A138" s="128"/>
    </row>
    <row r="139">
      <c r="A139" s="128"/>
    </row>
    <row r="140">
      <c r="A140" s="128"/>
    </row>
    <row r="141">
      <c r="A141" s="128"/>
    </row>
    <row r="142">
      <c r="A142" s="128"/>
    </row>
    <row r="143">
      <c r="A143" s="128"/>
    </row>
    <row r="144">
      <c r="A144" s="128"/>
    </row>
    <row r="145">
      <c r="A145" s="128"/>
    </row>
    <row r="146">
      <c r="A146" s="128"/>
    </row>
    <row r="147">
      <c r="A147" s="128"/>
    </row>
    <row r="148">
      <c r="A148" s="128"/>
    </row>
    <row r="149">
      <c r="A149" s="128"/>
    </row>
    <row r="150">
      <c r="A150" s="128"/>
    </row>
    <row r="151">
      <c r="A151" s="128"/>
    </row>
    <row r="152">
      <c r="A152" s="128"/>
    </row>
    <row r="153">
      <c r="A153" s="128"/>
    </row>
    <row r="154">
      <c r="A154" s="128"/>
    </row>
    <row r="155">
      <c r="A155" s="128"/>
    </row>
    <row r="156">
      <c r="A156" s="128"/>
    </row>
    <row r="157">
      <c r="A157" s="128"/>
    </row>
    <row r="158">
      <c r="A158" s="128"/>
    </row>
    <row r="159">
      <c r="A159" s="128"/>
    </row>
    <row r="160">
      <c r="A160" s="128"/>
    </row>
    <row r="161">
      <c r="A161" s="128"/>
    </row>
    <row r="162">
      <c r="A162" s="128"/>
    </row>
    <row r="163">
      <c r="A163" s="128"/>
    </row>
    <row r="164">
      <c r="A164" s="128"/>
    </row>
    <row r="165">
      <c r="A165" s="128"/>
    </row>
    <row r="166">
      <c r="A166" s="128"/>
    </row>
    <row r="167">
      <c r="A167" s="128"/>
    </row>
    <row r="168">
      <c r="A168" s="128"/>
    </row>
    <row r="169">
      <c r="A169" s="128"/>
    </row>
    <row r="170">
      <c r="A170" s="128"/>
    </row>
    <row r="171">
      <c r="A171" s="128"/>
    </row>
    <row r="172">
      <c r="A172" s="128"/>
    </row>
    <row r="173">
      <c r="A173" s="128"/>
    </row>
    <row r="174">
      <c r="A174" s="128"/>
    </row>
    <row r="175">
      <c r="A175" s="128"/>
    </row>
    <row r="176">
      <c r="A176" s="128"/>
    </row>
    <row r="177">
      <c r="A177" s="128"/>
    </row>
    <row r="178">
      <c r="A178" s="128"/>
    </row>
    <row r="179">
      <c r="A179" s="128"/>
    </row>
    <row r="180">
      <c r="A180" s="128"/>
    </row>
    <row r="181">
      <c r="A181" s="128"/>
    </row>
    <row r="182">
      <c r="A182" s="128"/>
    </row>
    <row r="183">
      <c r="A183" s="128"/>
    </row>
    <row r="184">
      <c r="A184" s="128"/>
    </row>
    <row r="185">
      <c r="A185" s="128"/>
    </row>
    <row r="186">
      <c r="A186" s="128"/>
    </row>
    <row r="187">
      <c r="A187" s="128"/>
    </row>
    <row r="188">
      <c r="A188" s="128"/>
    </row>
    <row r="189">
      <c r="A189" s="128"/>
    </row>
    <row r="190">
      <c r="A190" s="128"/>
    </row>
    <row r="191">
      <c r="A191" s="128"/>
    </row>
    <row r="192">
      <c r="A192" s="128"/>
    </row>
    <row r="193">
      <c r="A193" s="128"/>
    </row>
    <row r="194">
      <c r="A194" s="128"/>
    </row>
    <row r="195">
      <c r="A195" s="128"/>
    </row>
    <row r="196">
      <c r="A196" s="128"/>
    </row>
    <row r="197">
      <c r="A197" s="128"/>
    </row>
    <row r="198">
      <c r="A198" s="128"/>
    </row>
    <row r="199">
      <c r="A199" s="128"/>
    </row>
    <row r="200">
      <c r="A200" s="128"/>
    </row>
    <row r="201">
      <c r="A201" s="128"/>
    </row>
    <row r="202">
      <c r="A202" s="128"/>
    </row>
    <row r="203">
      <c r="A203" s="128"/>
    </row>
    <row r="204">
      <c r="A204" s="128"/>
    </row>
    <row r="205">
      <c r="A205" s="128"/>
    </row>
    <row r="206">
      <c r="A206" s="128"/>
    </row>
    <row r="207">
      <c r="A207" s="128"/>
    </row>
    <row r="208">
      <c r="A208" s="128"/>
    </row>
    <row r="209">
      <c r="A209" s="128"/>
    </row>
    <row r="210">
      <c r="A210" s="128"/>
    </row>
    <row r="211">
      <c r="A211" s="128"/>
    </row>
    <row r="212">
      <c r="A212" s="128"/>
    </row>
    <row r="213">
      <c r="A213" s="128"/>
    </row>
    <row r="214">
      <c r="A214" s="128"/>
    </row>
    <row r="215">
      <c r="A215" s="128"/>
    </row>
    <row r="216">
      <c r="A216" s="128"/>
    </row>
    <row r="217">
      <c r="A217" s="128"/>
    </row>
    <row r="218">
      <c r="A218" s="128"/>
    </row>
    <row r="219">
      <c r="A219" s="128"/>
    </row>
    <row r="220">
      <c r="A220" s="128"/>
    </row>
    <row r="221">
      <c r="A221" s="128"/>
    </row>
    <row r="222">
      <c r="A222" s="128"/>
    </row>
    <row r="223">
      <c r="A223" s="128"/>
    </row>
    <row r="224">
      <c r="A224" s="128"/>
    </row>
    <row r="225">
      <c r="A225" s="128"/>
    </row>
    <row r="226">
      <c r="A226" s="128"/>
    </row>
    <row r="227">
      <c r="A227" s="128"/>
    </row>
    <row r="228">
      <c r="A228" s="128"/>
    </row>
    <row r="229">
      <c r="A229" s="128"/>
    </row>
    <row r="230">
      <c r="A230" s="128"/>
    </row>
    <row r="231">
      <c r="A231" s="128"/>
    </row>
    <row r="232">
      <c r="A232" s="128"/>
    </row>
    <row r="233">
      <c r="A233" s="128"/>
    </row>
    <row r="234">
      <c r="A234" s="128"/>
    </row>
    <row r="235">
      <c r="A235" s="128"/>
    </row>
    <row r="236">
      <c r="A236" s="128"/>
    </row>
    <row r="237">
      <c r="A237" s="128"/>
    </row>
    <row r="238">
      <c r="A238" s="128"/>
    </row>
    <row r="239">
      <c r="A239" s="128"/>
    </row>
    <row r="240">
      <c r="A240" s="128"/>
    </row>
    <row r="241">
      <c r="A241" s="128"/>
    </row>
    <row r="242">
      <c r="A242" s="128"/>
    </row>
    <row r="243">
      <c r="A243" s="128"/>
    </row>
    <row r="244">
      <c r="A244" s="128"/>
    </row>
    <row r="245">
      <c r="A245" s="128"/>
    </row>
    <row r="246">
      <c r="A246" s="128"/>
    </row>
    <row r="247">
      <c r="A247" s="128"/>
    </row>
    <row r="248">
      <c r="A248" s="128"/>
    </row>
    <row r="249">
      <c r="A249" s="128"/>
    </row>
    <row r="250">
      <c r="A250" s="128"/>
    </row>
    <row r="251">
      <c r="A251" s="128"/>
    </row>
    <row r="252">
      <c r="A252" s="128"/>
    </row>
    <row r="253">
      <c r="A253" s="128"/>
    </row>
    <row r="254">
      <c r="A254" s="128"/>
    </row>
    <row r="255">
      <c r="A255" s="128"/>
    </row>
    <row r="256">
      <c r="A256" s="128"/>
    </row>
    <row r="257">
      <c r="A257" s="128"/>
    </row>
    <row r="258">
      <c r="A258" s="128"/>
    </row>
    <row r="259">
      <c r="A259" s="128"/>
    </row>
    <row r="260">
      <c r="A260" s="128"/>
    </row>
    <row r="261">
      <c r="A261" s="128"/>
    </row>
    <row r="262">
      <c r="A262" s="128"/>
    </row>
    <row r="263">
      <c r="A263" s="128"/>
    </row>
    <row r="264">
      <c r="A264" s="128"/>
    </row>
    <row r="265">
      <c r="A265" s="128"/>
    </row>
    <row r="266">
      <c r="A266" s="128"/>
    </row>
    <row r="267">
      <c r="A267" s="128"/>
    </row>
    <row r="268">
      <c r="A268" s="128"/>
    </row>
    <row r="269">
      <c r="A269" s="128"/>
    </row>
    <row r="270">
      <c r="A270" s="128"/>
    </row>
    <row r="271">
      <c r="A271" s="128"/>
    </row>
    <row r="272">
      <c r="A272" s="128"/>
    </row>
    <row r="273">
      <c r="A273" s="128"/>
    </row>
    <row r="274">
      <c r="A274" s="128"/>
    </row>
    <row r="275">
      <c r="A275" s="128"/>
    </row>
    <row r="276">
      <c r="A276" s="128"/>
    </row>
    <row r="277">
      <c r="A277" s="128"/>
    </row>
    <row r="278">
      <c r="A278" s="128"/>
    </row>
    <row r="279">
      <c r="A279" s="128"/>
    </row>
    <row r="280">
      <c r="A280" s="128"/>
    </row>
    <row r="281">
      <c r="A281" s="128"/>
    </row>
    <row r="282">
      <c r="A282" s="128"/>
    </row>
    <row r="283">
      <c r="A283" s="128"/>
    </row>
    <row r="284">
      <c r="A284" s="128"/>
    </row>
    <row r="285">
      <c r="A285" s="128"/>
    </row>
    <row r="286">
      <c r="A286" s="128"/>
    </row>
    <row r="287">
      <c r="A287" s="128"/>
    </row>
    <row r="288">
      <c r="A288" s="128"/>
    </row>
    <row r="289">
      <c r="A289" s="128"/>
    </row>
    <row r="290">
      <c r="A290" s="128"/>
    </row>
    <row r="291">
      <c r="A291" s="128"/>
    </row>
    <row r="292">
      <c r="A292" s="128"/>
    </row>
    <row r="293">
      <c r="A293" s="128"/>
    </row>
    <row r="294">
      <c r="A294" s="128"/>
    </row>
    <row r="295">
      <c r="A295" s="128"/>
    </row>
    <row r="296">
      <c r="A296" s="128"/>
    </row>
    <row r="297">
      <c r="A297" s="128"/>
    </row>
    <row r="298">
      <c r="A298" s="128"/>
    </row>
    <row r="299">
      <c r="A299" s="128"/>
    </row>
    <row r="300">
      <c r="A300" s="128"/>
    </row>
    <row r="301">
      <c r="A301" s="128"/>
    </row>
    <row r="302">
      <c r="A302" s="128"/>
    </row>
    <row r="303">
      <c r="A303" s="128"/>
    </row>
    <row r="304">
      <c r="A304" s="128"/>
    </row>
    <row r="305">
      <c r="A305" s="128"/>
    </row>
    <row r="306">
      <c r="A306" s="128"/>
    </row>
    <row r="307">
      <c r="A307" s="128"/>
    </row>
    <row r="308">
      <c r="A308" s="128"/>
    </row>
    <row r="309">
      <c r="A309" s="128"/>
    </row>
    <row r="310">
      <c r="A310" s="128"/>
    </row>
    <row r="311">
      <c r="A311" s="128"/>
    </row>
    <row r="312">
      <c r="A312" s="128"/>
    </row>
    <row r="313">
      <c r="A313" s="128"/>
    </row>
    <row r="314">
      <c r="A314" s="128"/>
    </row>
    <row r="315">
      <c r="A315" s="128"/>
    </row>
    <row r="316">
      <c r="A316" s="128"/>
    </row>
    <row r="317">
      <c r="A317" s="128"/>
    </row>
    <row r="318">
      <c r="A318" s="128"/>
    </row>
    <row r="319">
      <c r="A319" s="128"/>
    </row>
    <row r="320">
      <c r="A320" s="128"/>
    </row>
    <row r="321">
      <c r="A321" s="128"/>
    </row>
    <row r="322">
      <c r="A322" s="128"/>
    </row>
    <row r="323">
      <c r="A323" s="128"/>
    </row>
    <row r="324">
      <c r="A324" s="128"/>
    </row>
    <row r="325">
      <c r="A325" s="128"/>
    </row>
    <row r="326">
      <c r="A326" s="128"/>
    </row>
    <row r="327">
      <c r="A327" s="128"/>
    </row>
    <row r="328">
      <c r="A328" s="128"/>
    </row>
    <row r="329">
      <c r="A329" s="128"/>
    </row>
    <row r="330">
      <c r="A330" s="128"/>
    </row>
    <row r="331">
      <c r="A331" s="128"/>
    </row>
    <row r="332">
      <c r="A332" s="128"/>
    </row>
    <row r="333">
      <c r="A333" s="128"/>
    </row>
    <row r="334">
      <c r="A334" s="128"/>
    </row>
    <row r="335">
      <c r="A335" s="128"/>
    </row>
    <row r="336">
      <c r="A336" s="128"/>
    </row>
    <row r="337">
      <c r="A337" s="128"/>
    </row>
    <row r="338">
      <c r="A338" s="128"/>
    </row>
    <row r="339">
      <c r="A339" s="128"/>
    </row>
    <row r="340">
      <c r="A340" s="128"/>
    </row>
    <row r="341">
      <c r="A341" s="128"/>
    </row>
    <row r="342">
      <c r="A342" s="128"/>
    </row>
    <row r="343">
      <c r="A343" s="128"/>
    </row>
    <row r="344">
      <c r="A344" s="128"/>
    </row>
    <row r="345">
      <c r="A345" s="128"/>
    </row>
    <row r="346">
      <c r="A346" s="128"/>
    </row>
    <row r="347">
      <c r="A347" s="128"/>
    </row>
    <row r="348">
      <c r="A348" s="128"/>
    </row>
    <row r="349">
      <c r="A349" s="128"/>
    </row>
    <row r="350">
      <c r="A350" s="128"/>
    </row>
    <row r="351">
      <c r="A351" s="128"/>
    </row>
    <row r="352">
      <c r="A352" s="128"/>
    </row>
    <row r="353">
      <c r="A353" s="128"/>
    </row>
    <row r="354">
      <c r="A354" s="128"/>
    </row>
    <row r="355">
      <c r="A355" s="128"/>
    </row>
    <row r="356">
      <c r="A356" s="128"/>
    </row>
    <row r="357">
      <c r="A357" s="128"/>
    </row>
    <row r="358">
      <c r="A358" s="128"/>
    </row>
    <row r="359">
      <c r="A359" s="128"/>
    </row>
    <row r="360">
      <c r="A360" s="128"/>
    </row>
    <row r="361">
      <c r="A361" s="128"/>
    </row>
    <row r="362">
      <c r="A362" s="128"/>
    </row>
    <row r="363">
      <c r="A363" s="128"/>
    </row>
    <row r="364">
      <c r="A364" s="128"/>
    </row>
    <row r="365">
      <c r="A365" s="128"/>
    </row>
    <row r="366">
      <c r="A366" s="128"/>
    </row>
    <row r="367">
      <c r="A367" s="128"/>
    </row>
    <row r="368">
      <c r="A368" s="128"/>
    </row>
    <row r="369">
      <c r="A369" s="128"/>
    </row>
    <row r="370">
      <c r="A370" s="128"/>
    </row>
    <row r="371">
      <c r="A371" s="128"/>
    </row>
    <row r="372">
      <c r="A372" s="128"/>
    </row>
    <row r="373">
      <c r="A373" s="128"/>
    </row>
    <row r="374">
      <c r="A374" s="128"/>
    </row>
    <row r="375">
      <c r="A375" s="128"/>
    </row>
    <row r="376">
      <c r="A376" s="128"/>
    </row>
    <row r="377">
      <c r="A377" s="128"/>
    </row>
    <row r="378">
      <c r="A378" s="128"/>
    </row>
    <row r="379">
      <c r="A379" s="128"/>
    </row>
    <row r="380">
      <c r="A380" s="128"/>
    </row>
    <row r="381">
      <c r="A381" s="128"/>
    </row>
    <row r="382">
      <c r="A382" s="128"/>
    </row>
    <row r="383">
      <c r="A383" s="128"/>
    </row>
    <row r="384">
      <c r="A384" s="128"/>
    </row>
    <row r="385">
      <c r="A385" s="128"/>
    </row>
    <row r="386">
      <c r="A386" s="128"/>
    </row>
    <row r="387">
      <c r="A387" s="128"/>
    </row>
    <row r="388">
      <c r="A388" s="128"/>
    </row>
    <row r="389">
      <c r="A389" s="128"/>
    </row>
    <row r="390">
      <c r="A390" s="128"/>
    </row>
    <row r="391">
      <c r="A391" s="128"/>
    </row>
    <row r="392">
      <c r="A392" s="128"/>
    </row>
    <row r="393">
      <c r="A393" s="128"/>
    </row>
    <row r="394">
      <c r="A394" s="128"/>
    </row>
    <row r="395">
      <c r="A395" s="128"/>
    </row>
    <row r="396">
      <c r="A396" s="128"/>
    </row>
    <row r="397">
      <c r="A397" s="128"/>
    </row>
    <row r="398">
      <c r="A398" s="128"/>
    </row>
    <row r="399">
      <c r="A399" s="128"/>
    </row>
    <row r="400">
      <c r="A400" s="128"/>
    </row>
    <row r="401">
      <c r="A401" s="128"/>
    </row>
    <row r="402">
      <c r="A402" s="128"/>
    </row>
    <row r="403">
      <c r="A403" s="128"/>
    </row>
    <row r="404">
      <c r="A404" s="128"/>
    </row>
    <row r="405">
      <c r="A405" s="128"/>
    </row>
    <row r="406">
      <c r="A406" s="128"/>
    </row>
    <row r="407">
      <c r="A407" s="128"/>
    </row>
    <row r="408">
      <c r="A408" s="128"/>
    </row>
    <row r="409">
      <c r="A409" s="128"/>
    </row>
    <row r="410">
      <c r="A410" s="128"/>
    </row>
    <row r="411">
      <c r="A411" s="128"/>
    </row>
    <row r="412">
      <c r="A412" s="128"/>
    </row>
    <row r="413">
      <c r="A413" s="128"/>
    </row>
    <row r="414">
      <c r="A414" s="128"/>
    </row>
    <row r="415">
      <c r="A415" s="128"/>
    </row>
    <row r="416">
      <c r="A416" s="128"/>
    </row>
    <row r="417">
      <c r="A417" s="128"/>
    </row>
    <row r="418">
      <c r="A418" s="128"/>
    </row>
    <row r="419">
      <c r="A419" s="128"/>
    </row>
    <row r="420">
      <c r="A420" s="128"/>
    </row>
    <row r="421">
      <c r="A421" s="128"/>
    </row>
    <row r="422">
      <c r="A422" s="128"/>
    </row>
    <row r="423">
      <c r="A423" s="128"/>
    </row>
    <row r="424">
      <c r="A424" s="128"/>
    </row>
    <row r="425">
      <c r="A425" s="128"/>
    </row>
    <row r="426">
      <c r="A426" s="128"/>
    </row>
    <row r="427">
      <c r="A427" s="128"/>
    </row>
    <row r="428">
      <c r="A428" s="128"/>
    </row>
    <row r="429">
      <c r="A429" s="128"/>
    </row>
    <row r="430">
      <c r="A430" s="128"/>
    </row>
    <row r="431">
      <c r="A431" s="128"/>
    </row>
    <row r="432">
      <c r="A432" s="128"/>
    </row>
    <row r="433">
      <c r="A433" s="128"/>
    </row>
    <row r="434">
      <c r="A434" s="128"/>
    </row>
    <row r="435">
      <c r="A435" s="128"/>
    </row>
    <row r="436">
      <c r="A436" s="128"/>
    </row>
    <row r="437">
      <c r="A437" s="128"/>
    </row>
    <row r="438">
      <c r="A438" s="128"/>
    </row>
    <row r="439">
      <c r="A439" s="128"/>
    </row>
    <row r="440">
      <c r="A440" s="128"/>
    </row>
    <row r="441">
      <c r="A441" s="128"/>
    </row>
    <row r="442">
      <c r="A442" s="128"/>
    </row>
    <row r="443">
      <c r="A443" s="128"/>
    </row>
    <row r="444">
      <c r="A444" s="128"/>
    </row>
    <row r="445">
      <c r="A445" s="128"/>
    </row>
    <row r="446">
      <c r="A446" s="128"/>
    </row>
    <row r="447">
      <c r="A447" s="128"/>
    </row>
    <row r="448">
      <c r="A448" s="128"/>
    </row>
    <row r="449">
      <c r="A449" s="128"/>
    </row>
    <row r="450">
      <c r="A450" s="128"/>
    </row>
    <row r="451">
      <c r="A451" s="128"/>
    </row>
    <row r="452">
      <c r="A452" s="128"/>
    </row>
    <row r="453">
      <c r="A453" s="128"/>
    </row>
    <row r="454">
      <c r="A454" s="128"/>
    </row>
    <row r="455">
      <c r="A455" s="128"/>
    </row>
    <row r="456">
      <c r="A456" s="128"/>
    </row>
    <row r="457">
      <c r="A457" s="128"/>
    </row>
    <row r="458">
      <c r="A458" s="128"/>
    </row>
    <row r="459">
      <c r="A459" s="128"/>
    </row>
    <row r="460">
      <c r="A460" s="128"/>
    </row>
    <row r="461">
      <c r="A461" s="128"/>
    </row>
    <row r="462">
      <c r="A462" s="128"/>
    </row>
    <row r="463">
      <c r="A463" s="128"/>
    </row>
    <row r="464">
      <c r="A464" s="128"/>
    </row>
    <row r="465">
      <c r="A465" s="128"/>
    </row>
    <row r="466">
      <c r="A466" s="128"/>
    </row>
    <row r="467">
      <c r="A467" s="128"/>
    </row>
    <row r="468">
      <c r="A468" s="128"/>
    </row>
    <row r="469">
      <c r="A469" s="128"/>
    </row>
    <row r="470">
      <c r="A470" s="128"/>
    </row>
    <row r="471">
      <c r="A471" s="128"/>
    </row>
    <row r="472">
      <c r="A472" s="128"/>
    </row>
    <row r="473">
      <c r="A473" s="128"/>
    </row>
    <row r="474">
      <c r="A474" s="128"/>
    </row>
    <row r="475">
      <c r="A475" s="128"/>
    </row>
    <row r="476">
      <c r="A476" s="128"/>
    </row>
    <row r="477">
      <c r="A477" s="128"/>
    </row>
    <row r="478">
      <c r="A478" s="128"/>
    </row>
    <row r="479">
      <c r="A479" s="128"/>
    </row>
    <row r="480">
      <c r="A480" s="128"/>
    </row>
    <row r="481">
      <c r="A481" s="128"/>
    </row>
    <row r="482">
      <c r="A482" s="128"/>
    </row>
    <row r="483">
      <c r="A483" s="128"/>
    </row>
    <row r="484">
      <c r="A484" s="128"/>
    </row>
    <row r="485">
      <c r="A485" s="128"/>
    </row>
    <row r="486">
      <c r="A486" s="128"/>
    </row>
    <row r="487">
      <c r="A487" s="128"/>
    </row>
    <row r="488">
      <c r="A488" s="128"/>
    </row>
    <row r="489">
      <c r="A489" s="128"/>
    </row>
    <row r="490">
      <c r="A490" s="128"/>
    </row>
    <row r="491">
      <c r="A491" s="128"/>
    </row>
    <row r="492">
      <c r="A492" s="128"/>
    </row>
    <row r="493">
      <c r="A493" s="128"/>
    </row>
    <row r="494">
      <c r="A494" s="128"/>
    </row>
    <row r="495">
      <c r="A495" s="128"/>
    </row>
    <row r="496">
      <c r="A496" s="128"/>
    </row>
    <row r="497">
      <c r="A497" s="128"/>
    </row>
    <row r="498">
      <c r="A498" s="128"/>
    </row>
    <row r="499">
      <c r="A499" s="128"/>
    </row>
    <row r="500">
      <c r="A500" s="128"/>
    </row>
    <row r="501">
      <c r="A501" s="128"/>
    </row>
    <row r="502">
      <c r="A502" s="128"/>
    </row>
    <row r="503">
      <c r="A503" s="128"/>
    </row>
    <row r="504">
      <c r="A504" s="128"/>
    </row>
    <row r="505">
      <c r="A505" s="128"/>
    </row>
    <row r="506">
      <c r="A506" s="128"/>
    </row>
    <row r="507">
      <c r="A507" s="128"/>
    </row>
    <row r="508">
      <c r="A508" s="128"/>
    </row>
    <row r="509">
      <c r="A509" s="128"/>
    </row>
    <row r="510">
      <c r="A510" s="128"/>
    </row>
    <row r="511">
      <c r="A511" s="128"/>
    </row>
    <row r="512">
      <c r="A512" s="128"/>
    </row>
    <row r="513">
      <c r="A513" s="128"/>
    </row>
    <row r="514">
      <c r="A514" s="128"/>
    </row>
    <row r="515">
      <c r="A515" s="128"/>
    </row>
    <row r="516">
      <c r="A516" s="128"/>
    </row>
    <row r="517">
      <c r="A517" s="128"/>
    </row>
    <row r="518">
      <c r="A518" s="128"/>
    </row>
    <row r="519">
      <c r="A519" s="128"/>
    </row>
    <row r="520">
      <c r="A520" s="128"/>
    </row>
    <row r="521">
      <c r="A521" s="128"/>
    </row>
    <row r="522">
      <c r="A522" s="128"/>
    </row>
    <row r="523">
      <c r="A523" s="128"/>
    </row>
    <row r="524">
      <c r="A524" s="128"/>
    </row>
    <row r="525">
      <c r="A525" s="128"/>
    </row>
    <row r="526">
      <c r="A526" s="128"/>
    </row>
    <row r="527">
      <c r="A527" s="128"/>
    </row>
    <row r="528">
      <c r="A528" s="128"/>
    </row>
    <row r="529">
      <c r="A529" s="128"/>
    </row>
    <row r="530">
      <c r="A530" s="128"/>
    </row>
    <row r="531">
      <c r="A531" s="128"/>
    </row>
    <row r="532">
      <c r="A532" s="128"/>
    </row>
    <row r="533">
      <c r="A533" s="128"/>
    </row>
    <row r="534">
      <c r="A534" s="128"/>
    </row>
    <row r="535">
      <c r="A535" s="128"/>
    </row>
    <row r="536">
      <c r="A536" s="128"/>
    </row>
    <row r="537">
      <c r="A537" s="128"/>
    </row>
    <row r="538">
      <c r="A538" s="128"/>
    </row>
    <row r="539">
      <c r="A539" s="128"/>
    </row>
    <row r="540">
      <c r="A540" s="128"/>
    </row>
    <row r="541">
      <c r="A541" s="128"/>
    </row>
    <row r="542">
      <c r="A542" s="128"/>
    </row>
    <row r="543">
      <c r="A543" s="128"/>
    </row>
    <row r="544">
      <c r="A544" s="128"/>
    </row>
    <row r="545">
      <c r="A545" s="128"/>
    </row>
    <row r="546">
      <c r="A546" s="128"/>
    </row>
    <row r="547">
      <c r="A547" s="128"/>
    </row>
    <row r="548">
      <c r="A548" s="128"/>
    </row>
    <row r="549">
      <c r="A549" s="128"/>
    </row>
    <row r="550">
      <c r="A550" s="128"/>
    </row>
    <row r="551">
      <c r="A551" s="128"/>
    </row>
    <row r="552">
      <c r="A552" s="128"/>
    </row>
    <row r="553">
      <c r="A553" s="128"/>
    </row>
    <row r="554">
      <c r="A554" s="128"/>
    </row>
    <row r="555">
      <c r="A555" s="128"/>
    </row>
    <row r="556">
      <c r="A556" s="128"/>
    </row>
    <row r="557">
      <c r="A557" s="128"/>
    </row>
    <row r="558">
      <c r="A558" s="128"/>
    </row>
    <row r="559">
      <c r="A559" s="128"/>
    </row>
    <row r="560">
      <c r="A560" s="128"/>
    </row>
    <row r="561">
      <c r="A561" s="128"/>
    </row>
    <row r="562">
      <c r="A562" s="128"/>
    </row>
    <row r="563">
      <c r="A563" s="128"/>
    </row>
    <row r="564">
      <c r="A564" s="128"/>
    </row>
    <row r="565">
      <c r="A565" s="128"/>
    </row>
    <row r="566">
      <c r="A566" s="128"/>
    </row>
    <row r="567">
      <c r="A567" s="128"/>
    </row>
    <row r="568">
      <c r="A568" s="128"/>
    </row>
    <row r="569">
      <c r="A569" s="128"/>
    </row>
    <row r="570">
      <c r="A570" s="128"/>
    </row>
    <row r="571">
      <c r="A571" s="128"/>
    </row>
    <row r="572">
      <c r="A572" s="128"/>
    </row>
    <row r="573">
      <c r="A573" s="128"/>
    </row>
    <row r="574">
      <c r="A574" s="128"/>
    </row>
    <row r="575">
      <c r="A575" s="128"/>
    </row>
    <row r="576">
      <c r="A576" s="128"/>
    </row>
    <row r="577">
      <c r="A577" s="128"/>
    </row>
    <row r="578">
      <c r="A578" s="128"/>
    </row>
    <row r="579">
      <c r="A579" s="128"/>
    </row>
    <row r="580">
      <c r="A580" s="128"/>
    </row>
    <row r="581">
      <c r="A581" s="128"/>
    </row>
    <row r="582">
      <c r="A582" s="128"/>
    </row>
    <row r="583">
      <c r="A583" s="128"/>
    </row>
    <row r="584">
      <c r="A584" s="128"/>
    </row>
    <row r="585">
      <c r="A585" s="128"/>
    </row>
    <row r="586">
      <c r="A586" s="128"/>
    </row>
    <row r="587">
      <c r="A587" s="128"/>
    </row>
    <row r="588">
      <c r="A588" s="128"/>
    </row>
    <row r="589">
      <c r="A589" s="128"/>
    </row>
    <row r="590">
      <c r="A590" s="128"/>
    </row>
    <row r="591">
      <c r="A591" s="128"/>
    </row>
    <row r="592">
      <c r="A592" s="128"/>
    </row>
    <row r="593">
      <c r="A593" s="128"/>
    </row>
    <row r="594">
      <c r="A594" s="128"/>
    </row>
    <row r="595">
      <c r="A595" s="128"/>
    </row>
    <row r="596">
      <c r="A596" s="128"/>
    </row>
    <row r="597">
      <c r="A597" s="128"/>
    </row>
    <row r="598">
      <c r="A598" s="128"/>
    </row>
    <row r="599">
      <c r="A599" s="128"/>
    </row>
    <row r="600">
      <c r="A600" s="128"/>
    </row>
    <row r="601">
      <c r="A601" s="128"/>
    </row>
    <row r="602">
      <c r="A602" s="128"/>
    </row>
    <row r="603">
      <c r="A603" s="128"/>
    </row>
    <row r="604">
      <c r="A604" s="128"/>
    </row>
    <row r="605">
      <c r="A605" s="128"/>
    </row>
    <row r="606">
      <c r="A606" s="128"/>
    </row>
    <row r="607">
      <c r="A607" s="128"/>
    </row>
    <row r="608">
      <c r="A608" s="128"/>
    </row>
    <row r="609">
      <c r="A609" s="128"/>
    </row>
    <row r="610">
      <c r="A610" s="128"/>
    </row>
    <row r="611">
      <c r="A611" s="128"/>
    </row>
    <row r="612">
      <c r="A612" s="128"/>
    </row>
    <row r="613">
      <c r="A613" s="128"/>
    </row>
    <row r="614">
      <c r="A614" s="128"/>
    </row>
    <row r="615">
      <c r="A615" s="128"/>
    </row>
    <row r="616">
      <c r="A616" s="128"/>
    </row>
    <row r="617">
      <c r="A617" s="128"/>
    </row>
    <row r="618">
      <c r="A618" s="128"/>
    </row>
    <row r="619">
      <c r="A619" s="128"/>
    </row>
    <row r="620">
      <c r="A620" s="128"/>
    </row>
    <row r="621">
      <c r="A621" s="128"/>
    </row>
    <row r="622">
      <c r="A622" s="128"/>
    </row>
    <row r="623">
      <c r="A623" s="128"/>
    </row>
    <row r="624">
      <c r="A624" s="128"/>
    </row>
    <row r="625">
      <c r="A625" s="128"/>
    </row>
    <row r="626">
      <c r="A626" s="128"/>
    </row>
    <row r="627">
      <c r="A627" s="128"/>
    </row>
    <row r="628">
      <c r="A628" s="128"/>
    </row>
    <row r="629">
      <c r="A629" s="128"/>
    </row>
    <row r="630">
      <c r="A630" s="128"/>
    </row>
    <row r="631">
      <c r="A631" s="128"/>
    </row>
    <row r="632">
      <c r="A632" s="128"/>
    </row>
    <row r="633">
      <c r="A633" s="128"/>
    </row>
    <row r="634">
      <c r="A634" s="128"/>
    </row>
    <row r="635">
      <c r="A635" s="128"/>
    </row>
    <row r="636">
      <c r="A636" s="128"/>
    </row>
    <row r="637">
      <c r="A637" s="128"/>
    </row>
    <row r="638">
      <c r="A638" s="128"/>
    </row>
    <row r="639">
      <c r="A639" s="128"/>
    </row>
    <row r="640">
      <c r="A640" s="128"/>
    </row>
    <row r="641">
      <c r="A641" s="128"/>
    </row>
    <row r="642">
      <c r="A642" s="128"/>
    </row>
    <row r="643">
      <c r="A643" s="128"/>
    </row>
    <row r="644">
      <c r="A644" s="128"/>
    </row>
    <row r="645">
      <c r="A645" s="128"/>
    </row>
    <row r="646">
      <c r="A646" s="128"/>
    </row>
    <row r="647">
      <c r="A647" s="128"/>
    </row>
    <row r="648">
      <c r="A648" s="128"/>
    </row>
    <row r="649">
      <c r="A649" s="128"/>
    </row>
    <row r="650">
      <c r="A650" s="128"/>
    </row>
    <row r="651">
      <c r="A651" s="128"/>
    </row>
    <row r="652">
      <c r="A652" s="128"/>
    </row>
    <row r="653">
      <c r="A653" s="128"/>
    </row>
    <row r="654">
      <c r="A654" s="128"/>
    </row>
    <row r="655">
      <c r="A655" s="128"/>
    </row>
    <row r="656">
      <c r="A656" s="128"/>
    </row>
    <row r="657">
      <c r="A657" s="128"/>
    </row>
    <row r="658">
      <c r="A658" s="128"/>
    </row>
    <row r="659">
      <c r="A659" s="128"/>
    </row>
    <row r="660">
      <c r="A660" s="128"/>
    </row>
    <row r="661">
      <c r="A661" s="128"/>
    </row>
    <row r="662">
      <c r="A662" s="128"/>
    </row>
    <row r="663">
      <c r="A663" s="128"/>
    </row>
    <row r="664">
      <c r="A664" s="128"/>
    </row>
    <row r="665">
      <c r="A665" s="128"/>
    </row>
    <row r="666">
      <c r="A666" s="128"/>
    </row>
    <row r="667">
      <c r="A667" s="128"/>
    </row>
    <row r="668">
      <c r="A668" s="128"/>
    </row>
    <row r="669">
      <c r="A669" s="128"/>
    </row>
    <row r="670">
      <c r="A670" s="128"/>
    </row>
    <row r="671">
      <c r="A671" s="128"/>
    </row>
    <row r="672">
      <c r="A672" s="128"/>
    </row>
    <row r="673">
      <c r="A673" s="128"/>
    </row>
    <row r="674">
      <c r="A674" s="128"/>
    </row>
    <row r="675">
      <c r="A675" s="128"/>
    </row>
    <row r="676">
      <c r="A676" s="128"/>
    </row>
    <row r="677">
      <c r="A677" s="128"/>
    </row>
    <row r="678">
      <c r="A678" s="128"/>
    </row>
    <row r="679">
      <c r="A679" s="128"/>
    </row>
    <row r="680">
      <c r="A680" s="128"/>
    </row>
    <row r="681">
      <c r="A681" s="128"/>
    </row>
    <row r="682">
      <c r="A682" s="128"/>
    </row>
    <row r="683">
      <c r="A683" s="128"/>
    </row>
    <row r="684">
      <c r="A684" s="128"/>
    </row>
    <row r="685">
      <c r="A685" s="128"/>
    </row>
    <row r="686">
      <c r="A686" s="128"/>
    </row>
    <row r="687">
      <c r="A687" s="128"/>
    </row>
    <row r="688">
      <c r="A688" s="128"/>
    </row>
    <row r="689">
      <c r="A689" s="128"/>
    </row>
    <row r="690">
      <c r="A690" s="128"/>
    </row>
    <row r="691">
      <c r="A691" s="128"/>
    </row>
    <row r="692">
      <c r="A692" s="128"/>
    </row>
    <row r="693">
      <c r="A693" s="128"/>
    </row>
    <row r="694">
      <c r="A694" s="128"/>
    </row>
    <row r="695">
      <c r="A695" s="128"/>
    </row>
    <row r="696">
      <c r="A696" s="128"/>
    </row>
    <row r="697">
      <c r="A697" s="128"/>
    </row>
    <row r="698">
      <c r="A698" s="128"/>
    </row>
    <row r="699">
      <c r="A699" s="128"/>
    </row>
    <row r="700">
      <c r="A700" s="128"/>
    </row>
    <row r="701">
      <c r="A701" s="128"/>
    </row>
    <row r="702">
      <c r="A702" s="128"/>
    </row>
    <row r="703">
      <c r="A703" s="128"/>
    </row>
    <row r="704">
      <c r="A704" s="128"/>
    </row>
    <row r="705">
      <c r="A705" s="128"/>
    </row>
    <row r="706">
      <c r="A706" s="128"/>
    </row>
    <row r="707">
      <c r="A707" s="128"/>
    </row>
    <row r="708">
      <c r="A708" s="128"/>
    </row>
    <row r="709">
      <c r="A709" s="128"/>
    </row>
    <row r="710">
      <c r="A710" s="128"/>
    </row>
    <row r="711">
      <c r="A711" s="128"/>
    </row>
    <row r="712">
      <c r="A712" s="128"/>
    </row>
    <row r="713">
      <c r="A713" s="128"/>
    </row>
    <row r="714">
      <c r="A714" s="128"/>
    </row>
    <row r="715">
      <c r="A715" s="128"/>
    </row>
    <row r="716">
      <c r="A716" s="128"/>
    </row>
    <row r="717">
      <c r="A717" s="128"/>
    </row>
    <row r="718">
      <c r="A718" s="128"/>
    </row>
    <row r="719">
      <c r="A719" s="128"/>
    </row>
    <row r="720">
      <c r="A720" s="128"/>
    </row>
    <row r="721">
      <c r="A721" s="128"/>
    </row>
    <row r="722">
      <c r="A722" s="128"/>
    </row>
    <row r="723">
      <c r="A723" s="128"/>
    </row>
    <row r="724">
      <c r="A724" s="128"/>
    </row>
    <row r="725">
      <c r="A725" s="128"/>
    </row>
    <row r="726">
      <c r="A726" s="128"/>
    </row>
    <row r="727">
      <c r="A727" s="128"/>
    </row>
    <row r="728">
      <c r="A728" s="128"/>
    </row>
    <row r="729">
      <c r="A729" s="128"/>
    </row>
    <row r="730">
      <c r="A730" s="128"/>
    </row>
    <row r="731">
      <c r="A731" s="128"/>
    </row>
    <row r="732">
      <c r="A732" s="128"/>
    </row>
    <row r="733">
      <c r="A733" s="128"/>
    </row>
    <row r="734">
      <c r="A734" s="128"/>
    </row>
    <row r="735">
      <c r="A735" s="128"/>
    </row>
    <row r="736">
      <c r="A736" s="128"/>
    </row>
    <row r="737">
      <c r="A737" s="128"/>
    </row>
    <row r="738">
      <c r="A738" s="128"/>
    </row>
    <row r="739">
      <c r="A739" s="128"/>
    </row>
    <row r="740">
      <c r="A740" s="128"/>
    </row>
    <row r="741">
      <c r="A741" s="128"/>
    </row>
    <row r="742">
      <c r="A742" s="128"/>
    </row>
    <row r="743">
      <c r="A743" s="128"/>
    </row>
    <row r="744">
      <c r="A744" s="128"/>
    </row>
    <row r="745">
      <c r="A745" s="128"/>
    </row>
    <row r="746">
      <c r="A746" s="128"/>
    </row>
    <row r="747">
      <c r="A747" s="128"/>
    </row>
    <row r="748">
      <c r="A748" s="128"/>
    </row>
    <row r="749">
      <c r="A749" s="128"/>
    </row>
    <row r="750">
      <c r="A750" s="128"/>
    </row>
    <row r="751">
      <c r="A751" s="128"/>
    </row>
    <row r="752">
      <c r="A752" s="128"/>
    </row>
    <row r="753">
      <c r="A753" s="128"/>
    </row>
    <row r="754">
      <c r="A754" s="128"/>
    </row>
    <row r="755">
      <c r="A755" s="128"/>
    </row>
    <row r="756">
      <c r="A756" s="128"/>
    </row>
    <row r="757">
      <c r="A757" s="128"/>
    </row>
    <row r="758">
      <c r="A758" s="128"/>
    </row>
    <row r="759">
      <c r="A759" s="128"/>
    </row>
    <row r="760">
      <c r="A760" s="128"/>
    </row>
    <row r="761">
      <c r="A761" s="128"/>
    </row>
    <row r="762">
      <c r="A762" s="128"/>
    </row>
    <row r="763">
      <c r="A763" s="128"/>
    </row>
    <row r="764">
      <c r="A764" s="128"/>
    </row>
    <row r="765">
      <c r="A765" s="128"/>
    </row>
    <row r="766">
      <c r="A766" s="128"/>
    </row>
    <row r="767">
      <c r="A767" s="128"/>
    </row>
    <row r="768">
      <c r="A768" s="128"/>
    </row>
    <row r="769">
      <c r="A769" s="128"/>
    </row>
    <row r="770">
      <c r="A770" s="128"/>
    </row>
    <row r="771">
      <c r="A771" s="128"/>
    </row>
    <row r="772">
      <c r="A772" s="128"/>
    </row>
    <row r="773">
      <c r="A773" s="128"/>
    </row>
    <row r="774">
      <c r="A774" s="128"/>
    </row>
    <row r="775">
      <c r="A775" s="128"/>
    </row>
    <row r="776">
      <c r="A776" s="128"/>
    </row>
    <row r="777">
      <c r="A777" s="128"/>
    </row>
    <row r="778">
      <c r="A778" s="128"/>
    </row>
    <row r="779">
      <c r="A779" s="128"/>
    </row>
    <row r="780">
      <c r="A780" s="128"/>
    </row>
    <row r="781">
      <c r="A781" s="128"/>
    </row>
    <row r="782">
      <c r="A782" s="128"/>
    </row>
    <row r="783">
      <c r="A783" s="128"/>
    </row>
    <row r="784">
      <c r="A784" s="128"/>
    </row>
    <row r="785">
      <c r="A785" s="128"/>
    </row>
    <row r="786">
      <c r="A786" s="128"/>
    </row>
    <row r="787">
      <c r="A787" s="128"/>
    </row>
    <row r="788">
      <c r="A788" s="128"/>
    </row>
    <row r="789">
      <c r="A789" s="128"/>
    </row>
    <row r="790">
      <c r="A790" s="128"/>
    </row>
    <row r="791">
      <c r="A791" s="128"/>
    </row>
    <row r="792">
      <c r="A792" s="128"/>
    </row>
    <row r="793">
      <c r="A793" s="128"/>
    </row>
    <row r="794">
      <c r="A794" s="128"/>
    </row>
    <row r="795">
      <c r="A795" s="128"/>
    </row>
    <row r="796">
      <c r="A796" s="128"/>
    </row>
    <row r="797">
      <c r="A797" s="128"/>
    </row>
    <row r="798">
      <c r="A798" s="128"/>
    </row>
    <row r="799">
      <c r="A799" s="128"/>
    </row>
    <row r="800">
      <c r="A800" s="128"/>
    </row>
    <row r="801">
      <c r="A801" s="128"/>
    </row>
    <row r="802">
      <c r="A802" s="128"/>
    </row>
    <row r="803">
      <c r="A803" s="128"/>
    </row>
    <row r="804">
      <c r="A804" s="128"/>
    </row>
    <row r="805">
      <c r="A805" s="128"/>
    </row>
    <row r="806">
      <c r="A806" s="128"/>
    </row>
    <row r="807">
      <c r="A807" s="128"/>
    </row>
    <row r="808">
      <c r="A808" s="128"/>
    </row>
    <row r="809">
      <c r="A809" s="128"/>
    </row>
    <row r="810">
      <c r="A810" s="128"/>
    </row>
    <row r="811">
      <c r="A811" s="128"/>
    </row>
    <row r="812">
      <c r="A812" s="128"/>
    </row>
    <row r="813">
      <c r="A813" s="128"/>
    </row>
    <row r="814">
      <c r="A814" s="128"/>
    </row>
    <row r="815">
      <c r="A815" s="128"/>
    </row>
    <row r="816">
      <c r="A816" s="128"/>
    </row>
    <row r="817">
      <c r="A817" s="128"/>
    </row>
    <row r="818">
      <c r="A818" s="128"/>
    </row>
    <row r="819">
      <c r="A819" s="128"/>
    </row>
    <row r="820">
      <c r="A820" s="128"/>
    </row>
    <row r="821">
      <c r="A821" s="128"/>
    </row>
    <row r="822">
      <c r="A822" s="128"/>
    </row>
    <row r="823">
      <c r="A823" s="128"/>
    </row>
    <row r="824">
      <c r="A824" s="128"/>
    </row>
    <row r="825">
      <c r="A825" s="128"/>
    </row>
    <row r="826">
      <c r="A826" s="128"/>
    </row>
    <row r="827">
      <c r="A827" s="128"/>
    </row>
    <row r="828">
      <c r="A828" s="128"/>
    </row>
    <row r="829">
      <c r="A829" s="128"/>
    </row>
    <row r="830">
      <c r="A830" s="128"/>
    </row>
    <row r="831">
      <c r="A831" s="128"/>
    </row>
    <row r="832">
      <c r="A832" s="128"/>
    </row>
    <row r="833">
      <c r="A833" s="128"/>
    </row>
    <row r="834">
      <c r="A834" s="128"/>
    </row>
    <row r="835">
      <c r="A835" s="128"/>
    </row>
    <row r="836">
      <c r="A836" s="128"/>
    </row>
    <row r="837">
      <c r="A837" s="128"/>
    </row>
    <row r="838">
      <c r="A838" s="128"/>
    </row>
    <row r="839">
      <c r="A839" s="128"/>
    </row>
    <row r="840">
      <c r="A840" s="128"/>
    </row>
    <row r="841">
      <c r="A841" s="128"/>
    </row>
    <row r="842">
      <c r="A842" s="128"/>
    </row>
    <row r="843">
      <c r="A843" s="128"/>
    </row>
    <row r="844">
      <c r="A844" s="128"/>
    </row>
    <row r="845">
      <c r="A845" s="128"/>
    </row>
    <row r="846">
      <c r="A846" s="128"/>
    </row>
    <row r="847">
      <c r="A847" s="128"/>
    </row>
    <row r="848">
      <c r="A848" s="128"/>
    </row>
    <row r="849">
      <c r="A849" s="128"/>
    </row>
    <row r="850">
      <c r="A850" s="128"/>
    </row>
    <row r="851">
      <c r="A851" s="128"/>
    </row>
    <row r="852">
      <c r="A852" s="128"/>
    </row>
    <row r="853">
      <c r="A853" s="128"/>
    </row>
    <row r="854">
      <c r="A854" s="128"/>
    </row>
    <row r="855">
      <c r="A855" s="128"/>
    </row>
    <row r="856">
      <c r="A856" s="128"/>
    </row>
    <row r="857">
      <c r="A857" s="128"/>
    </row>
    <row r="858">
      <c r="A858" s="128"/>
    </row>
    <row r="859">
      <c r="A859" s="128"/>
    </row>
    <row r="860">
      <c r="A860" s="128"/>
    </row>
    <row r="861">
      <c r="A861" s="128"/>
    </row>
    <row r="862">
      <c r="A862" s="128"/>
    </row>
    <row r="863">
      <c r="A863" s="128"/>
    </row>
    <row r="864">
      <c r="A864" s="128"/>
    </row>
    <row r="865">
      <c r="A865" s="128"/>
    </row>
    <row r="866">
      <c r="A866" s="128"/>
    </row>
    <row r="867">
      <c r="A867" s="128"/>
    </row>
    <row r="868">
      <c r="A868" s="128"/>
    </row>
    <row r="869">
      <c r="A869" s="128"/>
    </row>
    <row r="870">
      <c r="A870" s="128"/>
    </row>
    <row r="871">
      <c r="A871" s="128"/>
    </row>
    <row r="872">
      <c r="A872" s="128"/>
    </row>
    <row r="873">
      <c r="A873" s="128"/>
    </row>
    <row r="874">
      <c r="A874" s="128"/>
    </row>
    <row r="875">
      <c r="A875" s="128"/>
    </row>
    <row r="876">
      <c r="A876" s="128"/>
    </row>
    <row r="877">
      <c r="A877" s="128"/>
    </row>
    <row r="878">
      <c r="A878" s="128"/>
    </row>
    <row r="879">
      <c r="A879" s="128"/>
    </row>
    <row r="880">
      <c r="A880" s="128"/>
    </row>
    <row r="881">
      <c r="A881" s="128"/>
    </row>
    <row r="882">
      <c r="A882" s="128"/>
    </row>
    <row r="883">
      <c r="A883" s="128"/>
    </row>
    <row r="884">
      <c r="A884" s="128"/>
    </row>
    <row r="885">
      <c r="A885" s="128"/>
    </row>
    <row r="886">
      <c r="A886" s="128"/>
    </row>
    <row r="887">
      <c r="A887" s="128"/>
    </row>
    <row r="888">
      <c r="A888" s="128"/>
    </row>
    <row r="889">
      <c r="A889" s="128"/>
    </row>
    <row r="890">
      <c r="A890" s="128"/>
    </row>
    <row r="891">
      <c r="A891" s="128"/>
    </row>
    <row r="892">
      <c r="A892" s="128"/>
    </row>
    <row r="893">
      <c r="A893" s="128"/>
    </row>
    <row r="894">
      <c r="A894" s="128"/>
    </row>
    <row r="895">
      <c r="A895" s="128"/>
    </row>
    <row r="896">
      <c r="A896" s="128"/>
    </row>
    <row r="897">
      <c r="A897" s="128"/>
    </row>
    <row r="898">
      <c r="A898" s="128"/>
    </row>
    <row r="899">
      <c r="A899" s="128"/>
    </row>
    <row r="900">
      <c r="A900" s="128"/>
    </row>
    <row r="901">
      <c r="A901" s="128"/>
    </row>
    <row r="902">
      <c r="A902" s="128"/>
    </row>
    <row r="903">
      <c r="A903" s="128"/>
    </row>
    <row r="904">
      <c r="A904" s="128"/>
    </row>
    <row r="905">
      <c r="A905" s="128"/>
    </row>
    <row r="906">
      <c r="A906" s="128"/>
    </row>
    <row r="907">
      <c r="A907" s="128"/>
    </row>
    <row r="908">
      <c r="A908" s="128"/>
    </row>
    <row r="909">
      <c r="A909" s="128"/>
    </row>
    <row r="910">
      <c r="A910" s="128"/>
    </row>
    <row r="911">
      <c r="A911" s="128"/>
    </row>
    <row r="912">
      <c r="A912" s="128"/>
    </row>
    <row r="913">
      <c r="A913" s="128"/>
    </row>
    <row r="914">
      <c r="A914" s="128"/>
    </row>
    <row r="915">
      <c r="A915" s="128"/>
    </row>
    <row r="916">
      <c r="A916" s="128"/>
    </row>
    <row r="917">
      <c r="A917" s="128"/>
    </row>
    <row r="918">
      <c r="A918" s="128"/>
    </row>
    <row r="919">
      <c r="A919" s="128"/>
    </row>
    <row r="920">
      <c r="A920" s="128"/>
    </row>
    <row r="921">
      <c r="A921" s="128"/>
    </row>
    <row r="922">
      <c r="A922" s="128"/>
    </row>
    <row r="923">
      <c r="A923" s="128"/>
    </row>
    <row r="924">
      <c r="A924" s="128"/>
    </row>
    <row r="925">
      <c r="A925" s="128"/>
    </row>
    <row r="926">
      <c r="A926" s="128"/>
    </row>
    <row r="927">
      <c r="A927" s="128"/>
    </row>
    <row r="928">
      <c r="A928" s="128"/>
    </row>
    <row r="929">
      <c r="A929" s="128"/>
    </row>
    <row r="930">
      <c r="A930" s="128"/>
    </row>
    <row r="931">
      <c r="A931" s="128"/>
    </row>
    <row r="932">
      <c r="A932" s="128"/>
    </row>
    <row r="933">
      <c r="A933" s="128"/>
    </row>
    <row r="934">
      <c r="A934" s="128"/>
    </row>
    <row r="935">
      <c r="A935" s="128"/>
    </row>
    <row r="936">
      <c r="A936" s="128"/>
    </row>
    <row r="937">
      <c r="A937" s="128"/>
    </row>
    <row r="938">
      <c r="A938" s="128"/>
    </row>
    <row r="939">
      <c r="A939" s="128"/>
    </row>
    <row r="940">
      <c r="A940" s="128"/>
    </row>
    <row r="941">
      <c r="A941" s="128"/>
    </row>
    <row r="942">
      <c r="A942" s="128"/>
    </row>
    <row r="943">
      <c r="A943" s="128"/>
    </row>
    <row r="944">
      <c r="A944" s="128"/>
    </row>
    <row r="945">
      <c r="A945" s="128"/>
    </row>
    <row r="946">
      <c r="A946" s="128"/>
    </row>
    <row r="947">
      <c r="A947" s="128"/>
    </row>
    <row r="948">
      <c r="A948" s="128"/>
    </row>
    <row r="949">
      <c r="A949" s="128"/>
    </row>
    <row r="950">
      <c r="A950" s="128"/>
    </row>
    <row r="951">
      <c r="A951" s="128"/>
    </row>
    <row r="952">
      <c r="A952" s="128"/>
    </row>
    <row r="953">
      <c r="A953" s="128"/>
    </row>
    <row r="954">
      <c r="A954" s="128"/>
    </row>
    <row r="955">
      <c r="A955" s="128"/>
    </row>
    <row r="956">
      <c r="A956" s="128"/>
    </row>
    <row r="957">
      <c r="A957" s="128"/>
    </row>
    <row r="958">
      <c r="A958" s="128"/>
    </row>
    <row r="959">
      <c r="A959" s="128"/>
    </row>
    <row r="960">
      <c r="A960" s="128"/>
    </row>
    <row r="961">
      <c r="A961" s="128"/>
    </row>
    <row r="962">
      <c r="A962" s="128"/>
    </row>
    <row r="963">
      <c r="A963" s="128"/>
    </row>
    <row r="964">
      <c r="A964" s="128"/>
    </row>
    <row r="965">
      <c r="A965" s="128"/>
    </row>
    <row r="966">
      <c r="A966" s="128"/>
    </row>
    <row r="967">
      <c r="A967" s="128"/>
    </row>
    <row r="968">
      <c r="A968" s="128"/>
    </row>
    <row r="969">
      <c r="A969" s="128"/>
    </row>
    <row r="970">
      <c r="A970" s="128"/>
    </row>
    <row r="971">
      <c r="A971" s="128"/>
    </row>
    <row r="972">
      <c r="A972" s="128"/>
    </row>
    <row r="973">
      <c r="A973" s="128"/>
    </row>
    <row r="974">
      <c r="A974" s="128"/>
    </row>
    <row r="975">
      <c r="A975" s="128"/>
    </row>
    <row r="976">
      <c r="A976" s="128"/>
    </row>
    <row r="977">
      <c r="A977" s="128"/>
    </row>
    <row r="978">
      <c r="A978" s="128"/>
    </row>
    <row r="979">
      <c r="A979" s="128"/>
    </row>
    <row r="980">
      <c r="A980" s="128"/>
    </row>
    <row r="981">
      <c r="A981" s="128"/>
    </row>
    <row r="982">
      <c r="A982" s="128"/>
    </row>
    <row r="983">
      <c r="A983" s="128"/>
    </row>
    <row r="984">
      <c r="A984" s="128"/>
    </row>
    <row r="985">
      <c r="A985" s="128"/>
    </row>
    <row r="986">
      <c r="A986" s="128"/>
    </row>
    <row r="987">
      <c r="A987" s="128"/>
    </row>
    <row r="988">
      <c r="A988" s="128"/>
    </row>
    <row r="989">
      <c r="A989" s="128"/>
    </row>
    <row r="990">
      <c r="A990" s="128"/>
    </row>
    <row r="991">
      <c r="A991" s="128"/>
    </row>
    <row r="992">
      <c r="A992" s="128"/>
    </row>
    <row r="993">
      <c r="A993" s="128"/>
    </row>
    <row r="994">
      <c r="A994" s="128"/>
    </row>
    <row r="995">
      <c r="A995" s="128"/>
    </row>
    <row r="996">
      <c r="A996" s="128"/>
    </row>
    <row r="997">
      <c r="A997" s="128"/>
    </row>
    <row r="998">
      <c r="A998" s="128"/>
    </row>
    <row r="999">
      <c r="A999" s="128"/>
    </row>
    <row r="1000">
      <c r="A1000" s="1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63"/>
    <col customWidth="1" min="2" max="2" width="18.25"/>
  </cols>
  <sheetData>
    <row r="1">
      <c r="A1" s="129" t="s">
        <v>128</v>
      </c>
      <c r="B1" s="130" t="s">
        <v>129</v>
      </c>
    </row>
    <row r="2">
      <c r="A2" s="131" t="s">
        <v>130</v>
      </c>
      <c r="B2" s="132" t="s">
        <v>129</v>
      </c>
    </row>
    <row r="3">
      <c r="A3" s="131" t="s">
        <v>131</v>
      </c>
      <c r="B3" s="132" t="s">
        <v>132</v>
      </c>
      <c r="F3" s="126"/>
    </row>
    <row r="4">
      <c r="A4" s="131" t="s">
        <v>133</v>
      </c>
      <c r="B4" s="132" t="s">
        <v>134</v>
      </c>
    </row>
    <row r="5">
      <c r="A5" s="131" t="s">
        <v>135</v>
      </c>
      <c r="B5" s="132" t="s">
        <v>134</v>
      </c>
    </row>
    <row r="6">
      <c r="A6" s="131" t="s">
        <v>136</v>
      </c>
      <c r="B6" s="132" t="s">
        <v>137</v>
      </c>
    </row>
    <row r="7">
      <c r="A7" s="131" t="s">
        <v>138</v>
      </c>
      <c r="B7" s="132" t="s">
        <v>11</v>
      </c>
    </row>
    <row r="8">
      <c r="A8" s="131" t="s">
        <v>139</v>
      </c>
      <c r="B8" s="132" t="s">
        <v>140</v>
      </c>
    </row>
    <row r="9">
      <c r="A9" s="131" t="s">
        <v>141</v>
      </c>
      <c r="B9" s="132" t="s">
        <v>142</v>
      </c>
    </row>
    <row r="10">
      <c r="A10" s="133" t="s">
        <v>143</v>
      </c>
      <c r="B10" s="132" t="s">
        <v>142</v>
      </c>
    </row>
    <row r="11">
      <c r="A11" s="131" t="s">
        <v>144</v>
      </c>
      <c r="B11" s="132" t="s">
        <v>145</v>
      </c>
    </row>
    <row r="12">
      <c r="A12" s="131" t="s">
        <v>146</v>
      </c>
      <c r="B12" s="132" t="s">
        <v>147</v>
      </c>
    </row>
    <row r="13">
      <c r="A13" s="131" t="s">
        <v>148</v>
      </c>
      <c r="B13" s="132" t="s">
        <v>147</v>
      </c>
    </row>
    <row r="14">
      <c r="A14" s="133" t="s">
        <v>149</v>
      </c>
      <c r="B14" s="132" t="s">
        <v>147</v>
      </c>
    </row>
    <row r="15">
      <c r="A15" s="131" t="s">
        <v>150</v>
      </c>
      <c r="B15" s="132" t="s">
        <v>147</v>
      </c>
    </row>
    <row r="16">
      <c r="A16" s="131" t="s">
        <v>151</v>
      </c>
      <c r="B16" s="132" t="s">
        <v>152</v>
      </c>
    </row>
    <row r="17">
      <c r="A17" s="131" t="s">
        <v>153</v>
      </c>
      <c r="B17" s="132" t="s">
        <v>152</v>
      </c>
    </row>
    <row r="18">
      <c r="A18" s="131" t="s">
        <v>154</v>
      </c>
      <c r="B18" s="132" t="s">
        <v>155</v>
      </c>
    </row>
    <row r="19">
      <c r="A19" s="131" t="s">
        <v>156</v>
      </c>
      <c r="B19" s="132" t="s">
        <v>157</v>
      </c>
    </row>
    <row r="20">
      <c r="A20" s="131" t="s">
        <v>158</v>
      </c>
      <c r="B20" s="132" t="s">
        <v>159</v>
      </c>
    </row>
    <row r="21">
      <c r="A21" s="131" t="s">
        <v>160</v>
      </c>
      <c r="B21" s="132" t="s">
        <v>159</v>
      </c>
    </row>
    <row r="22">
      <c r="A22" s="133" t="s">
        <v>161</v>
      </c>
      <c r="B22" s="132" t="s">
        <v>162</v>
      </c>
    </row>
    <row r="23">
      <c r="A23" s="131" t="s">
        <v>163</v>
      </c>
      <c r="B23" s="132" t="s">
        <v>164</v>
      </c>
    </row>
    <row r="24">
      <c r="A24" s="131" t="s">
        <v>165</v>
      </c>
      <c r="B24" s="132" t="s">
        <v>164</v>
      </c>
    </row>
    <row r="25">
      <c r="A25" s="131" t="s">
        <v>166</v>
      </c>
      <c r="B25" s="132" t="s">
        <v>167</v>
      </c>
    </row>
    <row r="26">
      <c r="A26" s="131" t="s">
        <v>168</v>
      </c>
      <c r="B26" s="132" t="s">
        <v>169</v>
      </c>
    </row>
    <row r="27">
      <c r="A27" s="133" t="s">
        <v>168</v>
      </c>
      <c r="B27" s="132" t="s">
        <v>169</v>
      </c>
    </row>
    <row r="28">
      <c r="A28" s="134" t="s">
        <v>170</v>
      </c>
      <c r="B28" s="135" t="s">
        <v>171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88"/>
    <col customWidth="1" min="2" max="2" width="18.25"/>
  </cols>
  <sheetData>
    <row r="1">
      <c r="A1" s="129" t="s">
        <v>172</v>
      </c>
      <c r="B1" s="130" t="s">
        <v>173</v>
      </c>
    </row>
    <row r="2">
      <c r="A2" s="131" t="s">
        <v>174</v>
      </c>
      <c r="B2" s="132" t="s">
        <v>175</v>
      </c>
      <c r="F2" s="126"/>
    </row>
    <row r="3">
      <c r="A3" s="131" t="s">
        <v>176</v>
      </c>
      <c r="B3" s="132" t="s">
        <v>177</v>
      </c>
    </row>
    <row r="4">
      <c r="A4" s="131" t="s">
        <v>178</v>
      </c>
      <c r="B4" s="132" t="s">
        <v>179</v>
      </c>
    </row>
    <row r="5">
      <c r="A5" s="131" t="s">
        <v>180</v>
      </c>
      <c r="B5" s="132" t="s">
        <v>181</v>
      </c>
    </row>
    <row r="6">
      <c r="A6" s="131" t="s">
        <v>182</v>
      </c>
      <c r="B6" s="132" t="s">
        <v>183</v>
      </c>
    </row>
    <row r="7">
      <c r="A7" s="134" t="s">
        <v>184</v>
      </c>
      <c r="B7" s="135" t="s">
        <v>185</v>
      </c>
    </row>
    <row r="20">
      <c r="A20" s="136"/>
    </row>
    <row r="21">
      <c r="A21" s="136"/>
    </row>
    <row r="22">
      <c r="A22" s="136"/>
    </row>
    <row r="23">
      <c r="A23" s="136"/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25"/>
    <col customWidth="1" min="2" max="2" width="40.63"/>
    <col customWidth="1" min="3" max="3" width="34.88"/>
  </cols>
  <sheetData>
    <row r="1">
      <c r="A1" s="137" t="s">
        <v>186</v>
      </c>
      <c r="B1" s="138" t="s">
        <v>187</v>
      </c>
      <c r="C1" s="138" t="s">
        <v>188</v>
      </c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L1" s="139"/>
      <c r="AM1" s="140"/>
    </row>
    <row r="2">
      <c r="A2" s="124" t="str">
        <f>IFERROR(__xludf.DUMMYFUNCTION("ARRAYFORMULA(UNIQUE(FILTER(categories_lookup!B:B, categories_lookup!B:B&lt;&gt;"""")))"),"Basic Services")</f>
        <v>Basic Services</v>
      </c>
      <c r="B2" s="141" t="s">
        <v>189</v>
      </c>
      <c r="C2" s="141" t="s">
        <v>13</v>
      </c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2"/>
      <c r="AL2" s="142"/>
      <c r="AM2" s="143"/>
    </row>
    <row r="3">
      <c r="A3" s="124" t="str">
        <f>IFERROR(__xludf.DUMMYFUNCTION("""COMPUTED_VALUE"""),"Car Expenses")</f>
        <v>Car Expenses</v>
      </c>
      <c r="B3" s="141" t="s">
        <v>170</v>
      </c>
      <c r="C3" s="141" t="s">
        <v>9</v>
      </c>
      <c r="D3" s="142"/>
      <c r="E3" s="142"/>
      <c r="F3" s="142"/>
      <c r="G3" s="142"/>
      <c r="H3" s="142"/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2"/>
      <c r="AE3" s="142"/>
      <c r="AF3" s="142"/>
      <c r="AG3" s="142"/>
      <c r="AH3" s="142"/>
      <c r="AI3" s="142"/>
      <c r="AJ3" s="142"/>
      <c r="AK3" s="142"/>
      <c r="AL3" s="142"/>
      <c r="AM3" s="143"/>
    </row>
    <row r="4">
      <c r="A4" s="124" t="str">
        <f>IFERROR(__xludf.DUMMYFUNCTION("""COMPUTED_VALUE"""),"Clothing")</f>
        <v>Clothing</v>
      </c>
      <c r="B4" s="141" t="s">
        <v>190</v>
      </c>
      <c r="C4" s="141" t="s">
        <v>10</v>
      </c>
      <c r="D4" s="142"/>
      <c r="E4" s="142"/>
      <c r="F4" s="142"/>
      <c r="G4" s="142"/>
      <c r="H4" s="142"/>
      <c r="I4" s="142"/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  <c r="AD4" s="142"/>
      <c r="AE4" s="142"/>
      <c r="AF4" s="142"/>
      <c r="AG4" s="142"/>
      <c r="AH4" s="142"/>
      <c r="AI4" s="142"/>
      <c r="AJ4" s="142"/>
      <c r="AK4" s="142"/>
      <c r="AL4" s="142"/>
      <c r="AM4" s="143"/>
    </row>
    <row r="5">
      <c r="A5" s="124" t="str">
        <f>IFERROR(__xludf.DUMMYFUNCTION("""COMPUTED_VALUE"""),"Donation")</f>
        <v>Donation</v>
      </c>
      <c r="B5" s="6"/>
      <c r="C5" s="6"/>
      <c r="D5" s="142"/>
      <c r="E5" s="142"/>
      <c r="F5" s="142"/>
      <c r="G5" s="142"/>
      <c r="H5" s="142"/>
      <c r="I5" s="142"/>
      <c r="J5" s="142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  <c r="AD5" s="142"/>
      <c r="AE5" s="142"/>
      <c r="AF5" s="142"/>
      <c r="AG5" s="142"/>
      <c r="AH5" s="142"/>
      <c r="AI5" s="142"/>
      <c r="AJ5" s="142"/>
      <c r="AK5" s="142"/>
      <c r="AL5" s="142"/>
      <c r="AM5" s="143"/>
    </row>
    <row r="6">
      <c r="A6" s="124" t="str">
        <f>IFERROR(__xludf.DUMMYFUNCTION("""COMPUTED_VALUE"""),"Education")</f>
        <v>Education</v>
      </c>
      <c r="B6" s="141" t="s">
        <v>138</v>
      </c>
      <c r="C6" s="141" t="s">
        <v>11</v>
      </c>
      <c r="D6" s="142"/>
      <c r="E6" s="142"/>
      <c r="F6" s="142"/>
      <c r="G6" s="142"/>
      <c r="H6" s="142"/>
      <c r="I6" s="142"/>
      <c r="J6" s="142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2"/>
      <c r="AG6" s="142"/>
      <c r="AH6" s="142"/>
      <c r="AI6" s="142"/>
      <c r="AJ6" s="142"/>
      <c r="AK6" s="142"/>
      <c r="AL6" s="142"/>
      <c r="AM6" s="143"/>
    </row>
    <row r="7">
      <c r="A7" s="124" t="str">
        <f>IFERROR(__xludf.DUMMYFUNCTION("""COMPUTED_VALUE"""),"Gifts")</f>
        <v>Gifts</v>
      </c>
      <c r="B7" s="6"/>
      <c r="C7" s="6"/>
      <c r="D7" s="142"/>
      <c r="E7" s="142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  <c r="AD7" s="142"/>
      <c r="AE7" s="142"/>
      <c r="AF7" s="142"/>
      <c r="AG7" s="142"/>
      <c r="AH7" s="142"/>
      <c r="AI7" s="142"/>
      <c r="AJ7" s="142"/>
      <c r="AK7" s="142"/>
      <c r="AL7" s="142"/>
      <c r="AM7" s="143"/>
    </row>
    <row r="8">
      <c r="A8" s="124" t="str">
        <f>IFERROR(__xludf.DUMMYFUNCTION("""COMPUTED_VALUE"""),"Groceries")</f>
        <v>Groceries</v>
      </c>
      <c r="B8" s="141" t="s">
        <v>191</v>
      </c>
      <c r="C8" s="141" t="s">
        <v>7</v>
      </c>
      <c r="D8" s="142"/>
      <c r="E8" s="142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  <c r="AD8" s="142"/>
      <c r="AE8" s="142"/>
      <c r="AF8" s="142"/>
      <c r="AG8" s="142"/>
      <c r="AH8" s="142"/>
      <c r="AI8" s="142"/>
      <c r="AJ8" s="142"/>
      <c r="AK8" s="142"/>
      <c r="AL8" s="142"/>
      <c r="AM8" s="143"/>
    </row>
    <row r="9">
      <c r="A9" s="124" t="str">
        <f>IFERROR(__xludf.DUMMYFUNCTION("""COMPUTED_VALUE"""),"Healthcare")</f>
        <v>Healthcare</v>
      </c>
      <c r="B9" s="141" t="s">
        <v>144</v>
      </c>
      <c r="C9" s="141" t="s">
        <v>15</v>
      </c>
      <c r="D9" s="142"/>
      <c r="E9" s="142"/>
      <c r="F9" s="142"/>
      <c r="G9" s="142"/>
      <c r="H9" s="142"/>
      <c r="I9" s="142"/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  <c r="AD9" s="142"/>
      <c r="AE9" s="142"/>
      <c r="AF9" s="142"/>
      <c r="AG9" s="142"/>
      <c r="AH9" s="142"/>
      <c r="AI9" s="142"/>
      <c r="AJ9" s="142"/>
      <c r="AK9" s="142"/>
      <c r="AL9" s="142"/>
      <c r="AM9" s="143"/>
    </row>
    <row r="10">
      <c r="A10" s="124" t="str">
        <f>IFERROR(__xludf.DUMMYFUNCTION("""COMPUTED_VALUE"""),"Home Goods &amp; Utilities")</f>
        <v>Home Goods &amp; Utilities</v>
      </c>
      <c r="B10" s="141" t="s">
        <v>192</v>
      </c>
      <c r="C10" s="141" t="s">
        <v>8</v>
      </c>
      <c r="D10" s="142"/>
      <c r="E10" s="142"/>
      <c r="F10" s="142"/>
      <c r="G10" s="142"/>
      <c r="H10" s="142"/>
      <c r="I10" s="142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  <c r="AD10" s="142"/>
      <c r="AE10" s="142"/>
      <c r="AF10" s="142"/>
      <c r="AG10" s="142"/>
      <c r="AH10" s="142"/>
      <c r="AI10" s="142"/>
      <c r="AJ10" s="142"/>
      <c r="AK10" s="142"/>
      <c r="AL10" s="142"/>
      <c r="AM10" s="143"/>
    </row>
    <row r="11">
      <c r="A11" s="124" t="str">
        <f>IFERROR(__xludf.DUMMYFUNCTION("""COMPUTED_VALUE"""),"Lunch Out")</f>
        <v>Lunch Out</v>
      </c>
      <c r="B11" s="141" t="s">
        <v>193</v>
      </c>
      <c r="C11" s="141" t="s">
        <v>14</v>
      </c>
      <c r="D11" s="142"/>
      <c r="E11" s="142"/>
      <c r="F11" s="142"/>
      <c r="G11" s="142"/>
      <c r="H11" s="142"/>
      <c r="I11" s="142"/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  <c r="AD11" s="142"/>
      <c r="AE11" s="142"/>
      <c r="AF11" s="142"/>
      <c r="AG11" s="142"/>
      <c r="AH11" s="142"/>
      <c r="AI11" s="142"/>
      <c r="AJ11" s="142"/>
      <c r="AK11" s="142"/>
      <c r="AL11" s="142"/>
      <c r="AM11" s="143"/>
    </row>
    <row r="12">
      <c r="A12" s="124" t="str">
        <f>IFERROR(__xludf.DUMMYFUNCTION("""COMPUTED_VALUE"""),"Personal Care")</f>
        <v>Personal Care</v>
      </c>
      <c r="B12" s="141" t="s">
        <v>194</v>
      </c>
      <c r="C12" s="141" t="s">
        <v>16</v>
      </c>
      <c r="D12" s="142"/>
      <c r="E12" s="142"/>
      <c r="F12" s="142"/>
      <c r="G12" s="142"/>
      <c r="H12" s="142"/>
      <c r="I12" s="142"/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  <c r="AD12" s="142"/>
      <c r="AE12" s="142"/>
      <c r="AF12" s="142"/>
      <c r="AG12" s="142"/>
      <c r="AH12" s="142"/>
      <c r="AI12" s="142"/>
      <c r="AJ12" s="142"/>
      <c r="AK12" s="142"/>
      <c r="AL12" s="142"/>
      <c r="AM12" s="143"/>
    </row>
    <row r="13">
      <c r="A13" s="124" t="str">
        <f>IFERROR(__xludf.DUMMYFUNCTION("""COMPUTED_VALUE"""),"Pets")</f>
        <v>Pets</v>
      </c>
      <c r="B13" s="141" t="s">
        <v>191</v>
      </c>
      <c r="C13" s="141" t="s">
        <v>7</v>
      </c>
      <c r="D13" s="142"/>
      <c r="E13" s="142"/>
      <c r="F13" s="142"/>
      <c r="G13" s="142"/>
      <c r="H13" s="142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  <c r="AD13" s="142"/>
      <c r="AE13" s="142"/>
      <c r="AF13" s="142"/>
      <c r="AG13" s="142"/>
      <c r="AH13" s="142"/>
      <c r="AI13" s="142"/>
      <c r="AJ13" s="142"/>
      <c r="AK13" s="142"/>
      <c r="AL13" s="142"/>
      <c r="AM13" s="143"/>
    </row>
    <row r="14">
      <c r="A14" s="124" t="str">
        <f>IFERROR(__xludf.DUMMYFUNCTION("""COMPUTED_VALUE"""),"Recreation")</f>
        <v>Recreation</v>
      </c>
      <c r="B14" s="141" t="s">
        <v>195</v>
      </c>
      <c r="C14" s="141" t="s">
        <v>12</v>
      </c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  <c r="AD14" s="142"/>
      <c r="AE14" s="142"/>
      <c r="AF14" s="142"/>
      <c r="AG14" s="142"/>
      <c r="AH14" s="142"/>
      <c r="AI14" s="142"/>
      <c r="AJ14" s="142"/>
      <c r="AK14" s="142"/>
      <c r="AL14" s="142"/>
      <c r="AM14" s="143"/>
    </row>
    <row r="15">
      <c r="A15" s="124" t="str">
        <f>IFERROR(__xludf.DUMMYFUNCTION("""COMPUTED_VALUE"""),"Rent &amp; Utilities")</f>
        <v>Rent &amp; Utilities</v>
      </c>
      <c r="B15" s="141" t="s">
        <v>189</v>
      </c>
      <c r="C15" s="141" t="s">
        <v>13</v>
      </c>
      <c r="D15" s="142"/>
      <c r="E15" s="142"/>
      <c r="F15" s="142"/>
      <c r="G15" s="142"/>
      <c r="H15" s="142"/>
      <c r="I15" s="142"/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  <c r="AD15" s="142"/>
      <c r="AE15" s="142"/>
      <c r="AF15" s="142"/>
      <c r="AG15" s="142"/>
      <c r="AH15" s="142"/>
      <c r="AI15" s="142"/>
      <c r="AJ15" s="142"/>
      <c r="AK15" s="142"/>
      <c r="AL15" s="142"/>
      <c r="AM15" s="143"/>
    </row>
    <row r="16">
      <c r="A16" s="124" t="str">
        <f>IFERROR(__xludf.DUMMYFUNCTION("""COMPUTED_VALUE"""),"Restaurant / Café")</f>
        <v>Restaurant / Café</v>
      </c>
      <c r="B16" s="141" t="s">
        <v>193</v>
      </c>
      <c r="C16" s="141" t="s">
        <v>14</v>
      </c>
      <c r="D16" s="142"/>
      <c r="E16" s="142"/>
      <c r="F16" s="142"/>
      <c r="G16" s="142"/>
      <c r="H16" s="142"/>
      <c r="I16" s="142"/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  <c r="AD16" s="142"/>
      <c r="AE16" s="142"/>
      <c r="AF16" s="142"/>
      <c r="AG16" s="142"/>
      <c r="AH16" s="142"/>
      <c r="AI16" s="142"/>
      <c r="AJ16" s="142"/>
      <c r="AK16" s="142"/>
      <c r="AL16" s="142"/>
      <c r="AM16" s="143"/>
    </row>
    <row r="17">
      <c r="A17" s="124" t="str">
        <f>IFERROR(__xludf.DUMMYFUNCTION("""COMPUTED_VALUE"""),"Sports")</f>
        <v>Sports</v>
      </c>
      <c r="B17" s="141" t="s">
        <v>195</v>
      </c>
      <c r="C17" s="141" t="s">
        <v>12</v>
      </c>
      <c r="D17" s="142"/>
      <c r="E17" s="142"/>
      <c r="F17" s="142"/>
      <c r="G17" s="142"/>
      <c r="H17" s="142"/>
      <c r="I17" s="142"/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  <c r="AD17" s="142"/>
      <c r="AE17" s="142"/>
      <c r="AF17" s="142"/>
      <c r="AG17" s="142"/>
      <c r="AH17" s="142"/>
      <c r="AI17" s="142"/>
      <c r="AJ17" s="142"/>
      <c r="AK17" s="142"/>
      <c r="AL17" s="142"/>
      <c r="AM17" s="143"/>
    </row>
    <row r="18">
      <c r="A18" s="124" t="str">
        <f>IFERROR(__xludf.DUMMYFUNCTION("""COMPUTED_VALUE"""),"Streaming Services")</f>
        <v>Streaming Services</v>
      </c>
      <c r="B18" s="141" t="s">
        <v>195</v>
      </c>
      <c r="C18" s="141" t="s">
        <v>12</v>
      </c>
      <c r="D18" s="142"/>
      <c r="E18" s="142"/>
      <c r="F18" s="142"/>
      <c r="G18" s="142"/>
      <c r="H18" s="142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  <c r="AD18" s="142"/>
      <c r="AE18" s="142"/>
      <c r="AF18" s="142"/>
      <c r="AG18" s="142"/>
      <c r="AH18" s="142"/>
      <c r="AI18" s="142"/>
      <c r="AJ18" s="142"/>
      <c r="AK18" s="142"/>
      <c r="AL18" s="142"/>
      <c r="AM18" s="143"/>
    </row>
    <row r="19">
      <c r="A19" s="124" t="str">
        <f>IFERROR(__xludf.DUMMYFUNCTION("""COMPUTED_VALUE"""),"Transportation")</f>
        <v>Transportation</v>
      </c>
      <c r="B19" s="141" t="s">
        <v>170</v>
      </c>
      <c r="C19" s="141" t="s">
        <v>9</v>
      </c>
      <c r="D19" s="142"/>
      <c r="E19" s="142"/>
      <c r="F19" s="142"/>
      <c r="G19" s="142"/>
      <c r="H19" s="142"/>
      <c r="I19" s="142"/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  <c r="AD19" s="142"/>
      <c r="AE19" s="142"/>
      <c r="AF19" s="142"/>
      <c r="AG19" s="142"/>
      <c r="AH19" s="142"/>
      <c r="AI19" s="142"/>
      <c r="AJ19" s="142"/>
      <c r="AK19" s="142"/>
      <c r="AL19" s="142"/>
      <c r="AM19" s="143"/>
    </row>
    <row r="20">
      <c r="A20" s="144"/>
      <c r="B20" s="142"/>
      <c r="C20" s="142"/>
      <c r="D20" s="142"/>
      <c r="E20" s="142"/>
      <c r="F20" s="142"/>
      <c r="G20" s="142"/>
      <c r="H20" s="142"/>
      <c r="I20" s="142"/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  <c r="AD20" s="142"/>
      <c r="AE20" s="142"/>
      <c r="AF20" s="142"/>
      <c r="AG20" s="142"/>
      <c r="AH20" s="142"/>
      <c r="AI20" s="142"/>
      <c r="AJ20" s="142"/>
      <c r="AK20" s="142"/>
      <c r="AL20" s="142"/>
      <c r="AM20" s="143"/>
    </row>
    <row r="21">
      <c r="A21" s="144"/>
      <c r="B21" s="142"/>
      <c r="C21" s="142"/>
      <c r="D21" s="142"/>
      <c r="E21" s="142"/>
      <c r="F21" s="142"/>
      <c r="G21" s="142"/>
      <c r="H21" s="142"/>
      <c r="I21" s="142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  <c r="AD21" s="142"/>
      <c r="AE21" s="142"/>
      <c r="AF21" s="142"/>
      <c r="AG21" s="142"/>
      <c r="AH21" s="142"/>
      <c r="AI21" s="142"/>
      <c r="AJ21" s="142"/>
      <c r="AK21" s="142"/>
      <c r="AL21" s="142"/>
      <c r="AM21" s="143"/>
    </row>
    <row r="22">
      <c r="A22" s="144"/>
      <c r="B22" s="142"/>
      <c r="C22" s="142"/>
      <c r="D22" s="142"/>
      <c r="E22" s="142"/>
      <c r="F22" s="142"/>
      <c r="G22" s="142"/>
      <c r="H22" s="142"/>
      <c r="I22" s="142"/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  <c r="AD22" s="142"/>
      <c r="AE22" s="142"/>
      <c r="AF22" s="142"/>
      <c r="AG22" s="142"/>
      <c r="AH22" s="142"/>
      <c r="AI22" s="142"/>
      <c r="AJ22" s="142"/>
      <c r="AK22" s="142"/>
      <c r="AL22" s="142"/>
      <c r="AM22" s="143"/>
    </row>
    <row r="23">
      <c r="A23" s="144"/>
      <c r="B23" s="142"/>
      <c r="C23" s="142"/>
      <c r="D23" s="142"/>
      <c r="E23" s="142"/>
      <c r="F23" s="142"/>
      <c r="G23" s="142"/>
      <c r="H23" s="142"/>
      <c r="I23" s="142"/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  <c r="AD23" s="142"/>
      <c r="AE23" s="142"/>
      <c r="AF23" s="142"/>
      <c r="AG23" s="142"/>
      <c r="AH23" s="142"/>
      <c r="AI23" s="142"/>
      <c r="AJ23" s="142"/>
      <c r="AK23" s="142"/>
      <c r="AL23" s="142"/>
      <c r="AM23" s="143"/>
    </row>
    <row r="24">
      <c r="A24" s="144"/>
      <c r="B24" s="142"/>
      <c r="C24" s="142"/>
      <c r="D24" s="142"/>
      <c r="E24" s="142"/>
      <c r="F24" s="142"/>
      <c r="G24" s="142"/>
      <c r="H24" s="142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  <c r="AD24" s="142"/>
      <c r="AE24" s="142"/>
      <c r="AF24" s="142"/>
      <c r="AG24" s="142"/>
      <c r="AH24" s="142"/>
      <c r="AI24" s="142"/>
      <c r="AJ24" s="142"/>
      <c r="AK24" s="142"/>
      <c r="AL24" s="142"/>
      <c r="AM24" s="143"/>
    </row>
    <row r="25">
      <c r="A25" s="144"/>
      <c r="B25" s="142"/>
      <c r="C25" s="142"/>
      <c r="D25" s="142"/>
      <c r="E25" s="142"/>
      <c r="F25" s="142"/>
      <c r="G25" s="142"/>
      <c r="H25" s="142"/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  <c r="AD25" s="142"/>
      <c r="AE25" s="142"/>
      <c r="AF25" s="142"/>
      <c r="AG25" s="142"/>
      <c r="AH25" s="142"/>
      <c r="AI25" s="142"/>
      <c r="AJ25" s="142"/>
      <c r="AK25" s="142"/>
      <c r="AL25" s="142"/>
      <c r="AM25" s="143"/>
    </row>
    <row r="26">
      <c r="A26" s="144"/>
      <c r="B26" s="142"/>
      <c r="C26" s="142"/>
      <c r="D26" s="142"/>
      <c r="E26" s="142"/>
      <c r="F26" s="142"/>
      <c r="G26" s="142"/>
      <c r="H26" s="142"/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  <c r="AD26" s="142"/>
      <c r="AE26" s="142"/>
      <c r="AF26" s="142"/>
      <c r="AG26" s="142"/>
      <c r="AH26" s="142"/>
      <c r="AI26" s="142"/>
      <c r="AJ26" s="142"/>
      <c r="AK26" s="142"/>
      <c r="AL26" s="142"/>
      <c r="AM26" s="143"/>
    </row>
    <row r="27">
      <c r="A27" s="144"/>
      <c r="B27" s="142"/>
      <c r="C27" s="142"/>
      <c r="D27" s="142"/>
      <c r="E27" s="142"/>
      <c r="F27" s="142"/>
      <c r="G27" s="142"/>
      <c r="H27" s="142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  <c r="AD27" s="142"/>
      <c r="AE27" s="142"/>
      <c r="AF27" s="142"/>
      <c r="AG27" s="142"/>
      <c r="AH27" s="142"/>
      <c r="AI27" s="142"/>
      <c r="AJ27" s="142"/>
      <c r="AK27" s="142"/>
      <c r="AL27" s="142"/>
      <c r="AM27" s="143"/>
    </row>
    <row r="28">
      <c r="A28" s="144"/>
      <c r="B28" s="142"/>
      <c r="C28" s="142"/>
      <c r="D28" s="142"/>
      <c r="E28" s="142"/>
      <c r="F28" s="142"/>
      <c r="G28" s="142"/>
      <c r="H28" s="142"/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  <c r="AD28" s="142"/>
      <c r="AE28" s="142"/>
      <c r="AF28" s="142"/>
      <c r="AG28" s="142"/>
      <c r="AH28" s="142"/>
      <c r="AI28" s="142"/>
      <c r="AJ28" s="142"/>
      <c r="AK28" s="142"/>
      <c r="AL28" s="142"/>
      <c r="AM28" s="143"/>
    </row>
    <row r="29">
      <c r="A29" s="144"/>
      <c r="B29" s="142"/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  <c r="AD29" s="142"/>
      <c r="AE29" s="142"/>
      <c r="AF29" s="142"/>
      <c r="AG29" s="142"/>
      <c r="AH29" s="142"/>
      <c r="AI29" s="142"/>
      <c r="AJ29" s="142"/>
      <c r="AK29" s="142"/>
      <c r="AL29" s="142"/>
      <c r="AM29" s="143"/>
    </row>
    <row r="30">
      <c r="A30" s="144"/>
      <c r="B30" s="142"/>
      <c r="C30" s="142"/>
      <c r="D30" s="142"/>
      <c r="E30" s="142"/>
      <c r="F30" s="142"/>
      <c r="G30" s="142"/>
      <c r="H30" s="142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  <c r="AD30" s="142"/>
      <c r="AE30" s="142"/>
      <c r="AF30" s="142"/>
      <c r="AG30" s="142"/>
      <c r="AH30" s="142"/>
      <c r="AI30" s="142"/>
      <c r="AJ30" s="142"/>
      <c r="AK30" s="142"/>
      <c r="AL30" s="142"/>
      <c r="AM30" s="143"/>
    </row>
    <row r="31">
      <c r="A31" s="144"/>
      <c r="B31" s="142"/>
      <c r="C31" s="142"/>
      <c r="D31" s="142"/>
      <c r="E31" s="142"/>
      <c r="F31" s="142"/>
      <c r="G31" s="142"/>
      <c r="H31" s="142"/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  <c r="AD31" s="142"/>
      <c r="AE31" s="142"/>
      <c r="AF31" s="142"/>
      <c r="AG31" s="142"/>
      <c r="AH31" s="142"/>
      <c r="AI31" s="142"/>
      <c r="AJ31" s="142"/>
      <c r="AK31" s="142"/>
      <c r="AL31" s="142"/>
      <c r="AM31" s="143"/>
    </row>
    <row r="32">
      <c r="A32" s="144"/>
      <c r="B32" s="142"/>
      <c r="C32" s="142"/>
      <c r="D32" s="142"/>
      <c r="E32" s="142"/>
      <c r="F32" s="142"/>
      <c r="G32" s="142"/>
      <c r="H32" s="142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  <c r="AD32" s="142"/>
      <c r="AE32" s="142"/>
      <c r="AF32" s="142"/>
      <c r="AG32" s="142"/>
      <c r="AH32" s="142"/>
      <c r="AI32" s="142"/>
      <c r="AJ32" s="142"/>
      <c r="AK32" s="142"/>
      <c r="AL32" s="142"/>
      <c r="AM32" s="143"/>
    </row>
    <row r="33">
      <c r="A33" s="144"/>
      <c r="B33" s="142"/>
      <c r="C33" s="142"/>
      <c r="D33" s="142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  <c r="AD33" s="142"/>
      <c r="AE33" s="142"/>
      <c r="AF33" s="142"/>
      <c r="AG33" s="142"/>
      <c r="AH33" s="142"/>
      <c r="AI33" s="142"/>
      <c r="AJ33" s="142"/>
      <c r="AK33" s="142"/>
      <c r="AL33" s="142"/>
      <c r="AM33" s="143"/>
    </row>
    <row r="34">
      <c r="A34" s="144"/>
      <c r="B34" s="142"/>
      <c r="C34" s="142"/>
      <c r="D34" s="142"/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3"/>
    </row>
    <row r="35">
      <c r="A35" s="144"/>
      <c r="B35" s="142"/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  <c r="AD35" s="142"/>
      <c r="AE35" s="142"/>
      <c r="AF35" s="142"/>
      <c r="AG35" s="142"/>
      <c r="AH35" s="142"/>
      <c r="AI35" s="142"/>
      <c r="AJ35" s="142"/>
      <c r="AK35" s="142"/>
      <c r="AL35" s="142"/>
      <c r="AM35" s="143"/>
    </row>
    <row r="36">
      <c r="A36" s="144"/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142"/>
      <c r="AG36" s="142"/>
      <c r="AH36" s="142"/>
      <c r="AI36" s="142"/>
      <c r="AJ36" s="142"/>
      <c r="AK36" s="142"/>
      <c r="AL36" s="142"/>
      <c r="AM36" s="143"/>
    </row>
    <row r="37">
      <c r="A37" s="144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  <c r="AD37" s="142"/>
      <c r="AE37" s="142"/>
      <c r="AF37" s="142"/>
      <c r="AG37" s="142"/>
      <c r="AH37" s="142"/>
      <c r="AI37" s="142"/>
      <c r="AJ37" s="142"/>
      <c r="AK37" s="142"/>
      <c r="AL37" s="142"/>
      <c r="AM37" s="143"/>
    </row>
    <row r="38">
      <c r="A38" s="144"/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  <c r="AD38" s="142"/>
      <c r="AE38" s="142"/>
      <c r="AF38" s="142"/>
      <c r="AG38" s="142"/>
      <c r="AH38" s="142"/>
      <c r="AI38" s="142"/>
      <c r="AJ38" s="142"/>
      <c r="AK38" s="142"/>
      <c r="AL38" s="142"/>
      <c r="AM38" s="143"/>
    </row>
    <row r="39">
      <c r="A39" s="144"/>
      <c r="B39" s="142"/>
      <c r="C39" s="142"/>
      <c r="D39" s="142"/>
      <c r="E39" s="142"/>
      <c r="F39" s="142"/>
      <c r="G39" s="142"/>
      <c r="H39" s="14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  <c r="AD39" s="142"/>
      <c r="AE39" s="142"/>
      <c r="AF39" s="142"/>
      <c r="AG39" s="142"/>
      <c r="AH39" s="142"/>
      <c r="AI39" s="142"/>
      <c r="AJ39" s="142"/>
      <c r="AK39" s="142"/>
      <c r="AL39" s="142"/>
      <c r="AM39" s="143"/>
    </row>
    <row r="40">
      <c r="A40" s="144"/>
      <c r="B40" s="142"/>
      <c r="C40" s="142"/>
      <c r="D40" s="142"/>
      <c r="E40" s="142"/>
      <c r="F40" s="142"/>
      <c r="G40" s="142"/>
      <c r="H40" s="14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  <c r="AD40" s="142"/>
      <c r="AE40" s="142"/>
      <c r="AF40" s="142"/>
      <c r="AG40" s="142"/>
      <c r="AH40" s="142"/>
      <c r="AI40" s="142"/>
      <c r="AJ40" s="142"/>
      <c r="AK40" s="142"/>
      <c r="AL40" s="142"/>
      <c r="AM40" s="143"/>
    </row>
    <row r="41">
      <c r="A41" s="144"/>
      <c r="B41" s="142"/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  <c r="AD41" s="142"/>
      <c r="AE41" s="142"/>
      <c r="AF41" s="142"/>
      <c r="AG41" s="142"/>
      <c r="AH41" s="142"/>
      <c r="AI41" s="142"/>
      <c r="AJ41" s="142"/>
      <c r="AK41" s="142"/>
      <c r="AL41" s="142"/>
      <c r="AM41" s="143"/>
    </row>
    <row r="42">
      <c r="A42" s="144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  <c r="AD42" s="142"/>
      <c r="AE42" s="142"/>
      <c r="AF42" s="142"/>
      <c r="AG42" s="142"/>
      <c r="AH42" s="142"/>
      <c r="AI42" s="142"/>
      <c r="AJ42" s="142"/>
      <c r="AK42" s="142"/>
      <c r="AL42" s="142"/>
      <c r="AM42" s="143"/>
    </row>
    <row r="43">
      <c r="A43" s="144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  <c r="AD43" s="142"/>
      <c r="AE43" s="142"/>
      <c r="AF43" s="142"/>
      <c r="AG43" s="142"/>
      <c r="AH43" s="142"/>
      <c r="AI43" s="142"/>
      <c r="AJ43" s="142"/>
      <c r="AK43" s="142"/>
      <c r="AL43" s="142"/>
      <c r="AM43" s="143"/>
    </row>
    <row r="44">
      <c r="A44" s="144"/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  <c r="AD44" s="142"/>
      <c r="AE44" s="142"/>
      <c r="AF44" s="142"/>
      <c r="AG44" s="142"/>
      <c r="AH44" s="142"/>
      <c r="AI44" s="142"/>
      <c r="AJ44" s="142"/>
      <c r="AK44" s="142"/>
      <c r="AL44" s="142"/>
      <c r="AM44" s="143"/>
    </row>
    <row r="45">
      <c r="A45" s="144"/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  <c r="AD45" s="142"/>
      <c r="AE45" s="142"/>
      <c r="AF45" s="142"/>
      <c r="AG45" s="142"/>
      <c r="AH45" s="142"/>
      <c r="AI45" s="142"/>
      <c r="AJ45" s="142"/>
      <c r="AK45" s="142"/>
      <c r="AL45" s="142"/>
      <c r="AM45" s="143"/>
    </row>
    <row r="46">
      <c r="A46" s="144"/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  <c r="AD46" s="142"/>
      <c r="AE46" s="142"/>
      <c r="AF46" s="142"/>
      <c r="AG46" s="142"/>
      <c r="AH46" s="142"/>
      <c r="AI46" s="142"/>
      <c r="AJ46" s="142"/>
      <c r="AK46" s="142"/>
      <c r="AL46" s="142"/>
      <c r="AM46" s="143"/>
    </row>
    <row r="47">
      <c r="A47" s="144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  <c r="AD47" s="142"/>
      <c r="AE47" s="142"/>
      <c r="AF47" s="142"/>
      <c r="AG47" s="142"/>
      <c r="AH47" s="142"/>
      <c r="AI47" s="142"/>
      <c r="AJ47" s="142"/>
      <c r="AK47" s="142"/>
      <c r="AL47" s="142"/>
      <c r="AM47" s="143"/>
    </row>
    <row r="48">
      <c r="A48" s="144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  <c r="AD48" s="142"/>
      <c r="AE48" s="142"/>
      <c r="AF48" s="142"/>
      <c r="AG48" s="142"/>
      <c r="AH48" s="142"/>
      <c r="AI48" s="142"/>
      <c r="AJ48" s="142"/>
      <c r="AK48" s="142"/>
      <c r="AL48" s="142"/>
      <c r="AM48" s="143"/>
    </row>
    <row r="49">
      <c r="A49" s="144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  <c r="AD49" s="142"/>
      <c r="AE49" s="142"/>
      <c r="AF49" s="142"/>
      <c r="AG49" s="142"/>
      <c r="AH49" s="142"/>
      <c r="AI49" s="142"/>
      <c r="AJ49" s="142"/>
      <c r="AK49" s="142"/>
      <c r="AL49" s="142"/>
      <c r="AM49" s="143"/>
    </row>
    <row r="50">
      <c r="A50" s="144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3"/>
    </row>
    <row r="51">
      <c r="A51" s="144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  <c r="AD51" s="142"/>
      <c r="AE51" s="142"/>
      <c r="AF51" s="142"/>
      <c r="AG51" s="142"/>
      <c r="AH51" s="142"/>
      <c r="AI51" s="142"/>
      <c r="AJ51" s="142"/>
      <c r="AK51" s="142"/>
      <c r="AL51" s="142"/>
      <c r="AM51" s="143"/>
    </row>
    <row r="52">
      <c r="A52" s="144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  <c r="AD52" s="142"/>
      <c r="AE52" s="142"/>
      <c r="AF52" s="142"/>
      <c r="AG52" s="142"/>
      <c r="AH52" s="142"/>
      <c r="AI52" s="142"/>
      <c r="AJ52" s="142"/>
      <c r="AK52" s="142"/>
      <c r="AL52" s="142"/>
      <c r="AM52" s="143"/>
    </row>
    <row r="53">
      <c r="A53" s="144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142"/>
      <c r="AH53" s="142"/>
      <c r="AI53" s="142"/>
      <c r="AJ53" s="142"/>
      <c r="AK53" s="142"/>
      <c r="AL53" s="142"/>
      <c r="AM53" s="143"/>
    </row>
    <row r="54">
      <c r="A54" s="144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  <c r="AD54" s="142"/>
      <c r="AE54" s="142"/>
      <c r="AF54" s="142"/>
      <c r="AG54" s="142"/>
      <c r="AH54" s="142"/>
      <c r="AI54" s="142"/>
      <c r="AJ54" s="142"/>
      <c r="AK54" s="142"/>
      <c r="AL54" s="142"/>
      <c r="AM54" s="143"/>
    </row>
    <row r="55">
      <c r="A55" s="144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  <c r="AD55" s="142"/>
      <c r="AE55" s="142"/>
      <c r="AF55" s="142"/>
      <c r="AG55" s="142"/>
      <c r="AH55" s="142"/>
      <c r="AI55" s="142"/>
      <c r="AJ55" s="142"/>
      <c r="AK55" s="142"/>
      <c r="AL55" s="142"/>
      <c r="AM55" s="143"/>
    </row>
    <row r="56">
      <c r="A56" s="144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  <c r="AD56" s="142"/>
      <c r="AE56" s="142"/>
      <c r="AF56" s="142"/>
      <c r="AG56" s="142"/>
      <c r="AH56" s="142"/>
      <c r="AI56" s="142"/>
      <c r="AJ56" s="142"/>
      <c r="AK56" s="142"/>
      <c r="AL56" s="142"/>
      <c r="AM56" s="143"/>
    </row>
    <row r="57">
      <c r="A57" s="144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  <c r="AD57" s="142"/>
      <c r="AE57" s="142"/>
      <c r="AF57" s="142"/>
      <c r="AG57" s="142"/>
      <c r="AH57" s="142"/>
      <c r="AI57" s="142"/>
      <c r="AJ57" s="142"/>
      <c r="AK57" s="142"/>
      <c r="AL57" s="142"/>
      <c r="AM57" s="143"/>
    </row>
    <row r="58">
      <c r="A58" s="144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  <c r="AD58" s="142"/>
      <c r="AE58" s="142"/>
      <c r="AF58" s="142"/>
      <c r="AG58" s="142"/>
      <c r="AH58" s="142"/>
      <c r="AI58" s="142"/>
      <c r="AJ58" s="142"/>
      <c r="AK58" s="142"/>
      <c r="AL58" s="142"/>
      <c r="AM58" s="143"/>
    </row>
    <row r="59">
      <c r="A59" s="144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  <c r="AD59" s="142"/>
      <c r="AE59" s="142"/>
      <c r="AF59" s="142"/>
      <c r="AG59" s="142"/>
      <c r="AH59" s="142"/>
      <c r="AI59" s="142"/>
      <c r="AJ59" s="142"/>
      <c r="AK59" s="142"/>
      <c r="AL59" s="142"/>
      <c r="AM59" s="143"/>
    </row>
    <row r="60">
      <c r="A60" s="144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  <c r="AD60" s="142"/>
      <c r="AE60" s="142"/>
      <c r="AF60" s="142"/>
      <c r="AG60" s="142"/>
      <c r="AH60" s="142"/>
      <c r="AI60" s="142"/>
      <c r="AJ60" s="142"/>
      <c r="AK60" s="142"/>
      <c r="AL60" s="142"/>
      <c r="AM60" s="143"/>
    </row>
    <row r="61">
      <c r="A61" s="144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  <c r="AD61" s="142"/>
      <c r="AE61" s="142"/>
      <c r="AF61" s="142"/>
      <c r="AG61" s="142"/>
      <c r="AH61" s="142"/>
      <c r="AI61" s="142"/>
      <c r="AJ61" s="142"/>
      <c r="AK61" s="142"/>
      <c r="AL61" s="142"/>
      <c r="AM61" s="143"/>
    </row>
    <row r="62">
      <c r="A62" s="144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  <c r="AD62" s="142"/>
      <c r="AE62" s="142"/>
      <c r="AF62" s="142"/>
      <c r="AG62" s="142"/>
      <c r="AH62" s="142"/>
      <c r="AI62" s="142"/>
      <c r="AJ62" s="142"/>
      <c r="AK62" s="142"/>
      <c r="AL62" s="142"/>
      <c r="AM62" s="143"/>
    </row>
    <row r="63">
      <c r="A63" s="144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  <c r="AD63" s="142"/>
      <c r="AE63" s="142"/>
      <c r="AF63" s="142"/>
      <c r="AG63" s="142"/>
      <c r="AH63" s="142"/>
      <c r="AI63" s="142"/>
      <c r="AJ63" s="142"/>
      <c r="AK63" s="142"/>
      <c r="AL63" s="142"/>
      <c r="AM63" s="143"/>
    </row>
    <row r="64">
      <c r="A64" s="144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  <c r="AD64" s="142"/>
      <c r="AE64" s="142"/>
      <c r="AF64" s="142"/>
      <c r="AG64" s="142"/>
      <c r="AH64" s="142"/>
      <c r="AI64" s="142"/>
      <c r="AJ64" s="142"/>
      <c r="AK64" s="142"/>
      <c r="AL64" s="142"/>
      <c r="AM64" s="143"/>
    </row>
    <row r="65">
      <c r="A65" s="144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  <c r="AD65" s="142"/>
      <c r="AE65" s="142"/>
      <c r="AF65" s="142"/>
      <c r="AG65" s="142"/>
      <c r="AH65" s="142"/>
      <c r="AI65" s="142"/>
      <c r="AJ65" s="142"/>
      <c r="AK65" s="142"/>
      <c r="AL65" s="142"/>
      <c r="AM65" s="143"/>
    </row>
    <row r="66">
      <c r="A66" s="144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  <c r="AD66" s="142"/>
      <c r="AE66" s="142"/>
      <c r="AF66" s="142"/>
      <c r="AG66" s="142"/>
      <c r="AH66" s="142"/>
      <c r="AI66" s="142"/>
      <c r="AJ66" s="142"/>
      <c r="AK66" s="142"/>
      <c r="AL66" s="142"/>
      <c r="AM66" s="143"/>
    </row>
    <row r="67">
      <c r="A67" s="144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  <c r="AD67" s="142"/>
      <c r="AE67" s="142"/>
      <c r="AF67" s="142"/>
      <c r="AG67" s="142"/>
      <c r="AH67" s="142"/>
      <c r="AI67" s="142"/>
      <c r="AJ67" s="142"/>
      <c r="AK67" s="142"/>
      <c r="AL67" s="142"/>
      <c r="AM67" s="143"/>
    </row>
    <row r="68">
      <c r="A68" s="144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  <c r="AD68" s="142"/>
      <c r="AE68" s="142"/>
      <c r="AF68" s="142"/>
      <c r="AG68" s="142"/>
      <c r="AH68" s="142"/>
      <c r="AI68" s="142"/>
      <c r="AJ68" s="142"/>
      <c r="AK68" s="142"/>
      <c r="AL68" s="142"/>
      <c r="AM68" s="143"/>
    </row>
    <row r="69">
      <c r="A69" s="144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  <c r="AD69" s="142"/>
      <c r="AE69" s="142"/>
      <c r="AF69" s="142"/>
      <c r="AG69" s="142"/>
      <c r="AH69" s="142"/>
      <c r="AI69" s="142"/>
      <c r="AJ69" s="142"/>
      <c r="AK69" s="142"/>
      <c r="AL69" s="142"/>
      <c r="AM69" s="143"/>
    </row>
    <row r="70">
      <c r="A70" s="144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  <c r="AD70" s="142"/>
      <c r="AE70" s="142"/>
      <c r="AF70" s="142"/>
      <c r="AG70" s="142"/>
      <c r="AH70" s="142"/>
      <c r="AI70" s="142"/>
      <c r="AJ70" s="142"/>
      <c r="AK70" s="142"/>
      <c r="AL70" s="142"/>
      <c r="AM70" s="143"/>
    </row>
    <row r="71">
      <c r="A71" s="144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  <c r="AD71" s="142"/>
      <c r="AE71" s="142"/>
      <c r="AF71" s="142"/>
      <c r="AG71" s="142"/>
      <c r="AH71" s="142"/>
      <c r="AI71" s="142"/>
      <c r="AJ71" s="142"/>
      <c r="AK71" s="142"/>
      <c r="AL71" s="142"/>
      <c r="AM71" s="143"/>
    </row>
    <row r="72">
      <c r="A72" s="144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  <c r="AD72" s="142"/>
      <c r="AE72" s="142"/>
      <c r="AF72" s="142"/>
      <c r="AG72" s="142"/>
      <c r="AH72" s="142"/>
      <c r="AI72" s="142"/>
      <c r="AJ72" s="142"/>
      <c r="AK72" s="142"/>
      <c r="AL72" s="142"/>
      <c r="AM72" s="143"/>
    </row>
    <row r="73">
      <c r="A73" s="144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  <c r="AD73" s="142"/>
      <c r="AE73" s="142"/>
      <c r="AF73" s="142"/>
      <c r="AG73" s="142"/>
      <c r="AH73" s="142"/>
      <c r="AI73" s="142"/>
      <c r="AJ73" s="142"/>
      <c r="AK73" s="142"/>
      <c r="AL73" s="142"/>
      <c r="AM73" s="143"/>
    </row>
    <row r="74">
      <c r="A74" s="144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  <c r="AD74" s="142"/>
      <c r="AE74" s="142"/>
      <c r="AF74" s="142"/>
      <c r="AG74" s="142"/>
      <c r="AH74" s="142"/>
      <c r="AI74" s="142"/>
      <c r="AJ74" s="142"/>
      <c r="AK74" s="142"/>
      <c r="AL74" s="142"/>
      <c r="AM74" s="143"/>
    </row>
    <row r="75">
      <c r="A75" s="144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  <c r="AD75" s="142"/>
      <c r="AE75" s="142"/>
      <c r="AF75" s="142"/>
      <c r="AG75" s="142"/>
      <c r="AH75" s="142"/>
      <c r="AI75" s="142"/>
      <c r="AJ75" s="142"/>
      <c r="AK75" s="142"/>
      <c r="AL75" s="142"/>
      <c r="AM75" s="143"/>
    </row>
    <row r="76">
      <c r="A76" s="144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  <c r="AD76" s="142"/>
      <c r="AE76" s="142"/>
      <c r="AF76" s="142"/>
      <c r="AG76" s="142"/>
      <c r="AH76" s="142"/>
      <c r="AI76" s="142"/>
      <c r="AJ76" s="142"/>
      <c r="AK76" s="142"/>
      <c r="AL76" s="142"/>
      <c r="AM76" s="143"/>
    </row>
    <row r="77">
      <c r="A77" s="144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  <c r="AD77" s="142"/>
      <c r="AE77" s="142"/>
      <c r="AF77" s="142"/>
      <c r="AG77" s="142"/>
      <c r="AH77" s="142"/>
      <c r="AI77" s="142"/>
      <c r="AJ77" s="142"/>
      <c r="AK77" s="142"/>
      <c r="AL77" s="142"/>
      <c r="AM77" s="143"/>
    </row>
    <row r="78">
      <c r="A78" s="144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  <c r="AD78" s="142"/>
      <c r="AE78" s="142"/>
      <c r="AF78" s="142"/>
      <c r="AG78" s="142"/>
      <c r="AH78" s="142"/>
      <c r="AI78" s="142"/>
      <c r="AJ78" s="142"/>
      <c r="AK78" s="142"/>
      <c r="AL78" s="142"/>
      <c r="AM78" s="143"/>
    </row>
    <row r="79">
      <c r="A79" s="144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  <c r="AD79" s="142"/>
      <c r="AE79" s="142"/>
      <c r="AF79" s="142"/>
      <c r="AG79" s="142"/>
      <c r="AH79" s="142"/>
      <c r="AI79" s="142"/>
      <c r="AJ79" s="142"/>
      <c r="AK79" s="142"/>
      <c r="AL79" s="142"/>
      <c r="AM79" s="143"/>
    </row>
    <row r="80">
      <c r="A80" s="144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  <c r="AD80" s="142"/>
      <c r="AE80" s="142"/>
      <c r="AF80" s="142"/>
      <c r="AG80" s="142"/>
      <c r="AH80" s="142"/>
      <c r="AI80" s="142"/>
      <c r="AJ80" s="142"/>
      <c r="AK80" s="142"/>
      <c r="AL80" s="142"/>
      <c r="AM80" s="143"/>
    </row>
    <row r="81">
      <c r="A81" s="144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  <c r="AD81" s="142"/>
      <c r="AE81" s="142"/>
      <c r="AF81" s="142"/>
      <c r="AG81" s="142"/>
      <c r="AH81" s="142"/>
      <c r="AI81" s="142"/>
      <c r="AJ81" s="142"/>
      <c r="AK81" s="142"/>
      <c r="AL81" s="142"/>
      <c r="AM81" s="143"/>
    </row>
    <row r="82">
      <c r="A82" s="144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  <c r="AD82" s="142"/>
      <c r="AE82" s="142"/>
      <c r="AF82" s="142"/>
      <c r="AG82" s="142"/>
      <c r="AH82" s="142"/>
      <c r="AI82" s="142"/>
      <c r="AJ82" s="142"/>
      <c r="AK82" s="142"/>
      <c r="AL82" s="142"/>
      <c r="AM82" s="143"/>
    </row>
    <row r="83">
      <c r="A83" s="144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  <c r="AD83" s="142"/>
      <c r="AE83" s="142"/>
      <c r="AF83" s="142"/>
      <c r="AG83" s="142"/>
      <c r="AH83" s="142"/>
      <c r="AI83" s="142"/>
      <c r="AJ83" s="142"/>
      <c r="AK83" s="142"/>
      <c r="AL83" s="142"/>
      <c r="AM83" s="143"/>
    </row>
    <row r="84">
      <c r="A84" s="144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  <c r="AD84" s="142"/>
      <c r="AE84" s="142"/>
      <c r="AF84" s="142"/>
      <c r="AG84" s="142"/>
      <c r="AH84" s="142"/>
      <c r="AI84" s="142"/>
      <c r="AJ84" s="142"/>
      <c r="AK84" s="142"/>
      <c r="AL84" s="142"/>
      <c r="AM84" s="143"/>
    </row>
    <row r="85">
      <c r="A85" s="144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  <c r="AD85" s="142"/>
      <c r="AE85" s="142"/>
      <c r="AF85" s="142"/>
      <c r="AG85" s="142"/>
      <c r="AH85" s="142"/>
      <c r="AI85" s="142"/>
      <c r="AJ85" s="142"/>
      <c r="AK85" s="142"/>
      <c r="AL85" s="142"/>
      <c r="AM85" s="143"/>
    </row>
    <row r="86">
      <c r="A86" s="144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  <c r="AD86" s="142"/>
      <c r="AE86" s="142"/>
      <c r="AF86" s="142"/>
      <c r="AG86" s="142"/>
      <c r="AH86" s="142"/>
      <c r="AI86" s="142"/>
      <c r="AJ86" s="142"/>
      <c r="AK86" s="142"/>
      <c r="AL86" s="142"/>
      <c r="AM86" s="143"/>
    </row>
    <row r="87">
      <c r="A87" s="144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  <c r="AD87" s="142"/>
      <c r="AE87" s="142"/>
      <c r="AF87" s="142"/>
      <c r="AG87" s="142"/>
      <c r="AH87" s="142"/>
      <c r="AI87" s="142"/>
      <c r="AJ87" s="142"/>
      <c r="AK87" s="142"/>
      <c r="AL87" s="142"/>
      <c r="AM87" s="143"/>
    </row>
    <row r="88">
      <c r="A88" s="144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  <c r="AD88" s="142"/>
      <c r="AE88" s="142"/>
      <c r="AF88" s="142"/>
      <c r="AG88" s="142"/>
      <c r="AH88" s="142"/>
      <c r="AI88" s="142"/>
      <c r="AJ88" s="142"/>
      <c r="AK88" s="142"/>
      <c r="AL88" s="142"/>
      <c r="AM88" s="143"/>
    </row>
    <row r="89">
      <c r="A89" s="144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  <c r="AD89" s="142"/>
      <c r="AE89" s="142"/>
      <c r="AF89" s="142"/>
      <c r="AG89" s="142"/>
      <c r="AH89" s="142"/>
      <c r="AI89" s="142"/>
      <c r="AJ89" s="142"/>
      <c r="AK89" s="142"/>
      <c r="AL89" s="142"/>
      <c r="AM89" s="143"/>
    </row>
    <row r="90">
      <c r="A90" s="144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  <c r="AD90" s="142"/>
      <c r="AE90" s="142"/>
      <c r="AF90" s="142"/>
      <c r="AG90" s="142"/>
      <c r="AH90" s="142"/>
      <c r="AI90" s="142"/>
      <c r="AJ90" s="142"/>
      <c r="AK90" s="142"/>
      <c r="AL90" s="142"/>
      <c r="AM90" s="143"/>
    </row>
    <row r="91">
      <c r="A91" s="144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  <c r="AD91" s="142"/>
      <c r="AE91" s="142"/>
      <c r="AF91" s="142"/>
      <c r="AG91" s="142"/>
      <c r="AH91" s="142"/>
      <c r="AI91" s="142"/>
      <c r="AJ91" s="142"/>
      <c r="AK91" s="142"/>
      <c r="AL91" s="142"/>
      <c r="AM91" s="143"/>
    </row>
    <row r="92">
      <c r="A92" s="144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  <c r="AD92" s="142"/>
      <c r="AE92" s="142"/>
      <c r="AF92" s="142"/>
      <c r="AG92" s="142"/>
      <c r="AH92" s="142"/>
      <c r="AI92" s="142"/>
      <c r="AJ92" s="142"/>
      <c r="AK92" s="142"/>
      <c r="AL92" s="142"/>
      <c r="AM92" s="143"/>
    </row>
    <row r="93">
      <c r="A93" s="144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  <c r="AD93" s="142"/>
      <c r="AE93" s="142"/>
      <c r="AF93" s="142"/>
      <c r="AG93" s="142"/>
      <c r="AH93" s="142"/>
      <c r="AI93" s="142"/>
      <c r="AJ93" s="142"/>
      <c r="AK93" s="142"/>
      <c r="AL93" s="142"/>
      <c r="AM93" s="143"/>
    </row>
    <row r="94">
      <c r="A94" s="144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  <c r="AD94" s="142"/>
      <c r="AE94" s="142"/>
      <c r="AF94" s="142"/>
      <c r="AG94" s="142"/>
      <c r="AH94" s="142"/>
      <c r="AI94" s="142"/>
      <c r="AJ94" s="142"/>
      <c r="AK94" s="142"/>
      <c r="AL94" s="142"/>
      <c r="AM94" s="143"/>
    </row>
    <row r="95">
      <c r="A95" s="144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  <c r="AD95" s="142"/>
      <c r="AE95" s="142"/>
      <c r="AF95" s="142"/>
      <c r="AG95" s="142"/>
      <c r="AH95" s="142"/>
      <c r="AI95" s="142"/>
      <c r="AJ95" s="142"/>
      <c r="AK95" s="142"/>
      <c r="AL95" s="142"/>
      <c r="AM95" s="143"/>
    </row>
    <row r="96">
      <c r="A96" s="144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  <c r="AD96" s="142"/>
      <c r="AE96" s="142"/>
      <c r="AF96" s="142"/>
      <c r="AG96" s="142"/>
      <c r="AH96" s="142"/>
      <c r="AI96" s="142"/>
      <c r="AJ96" s="142"/>
      <c r="AK96" s="142"/>
      <c r="AL96" s="142"/>
      <c r="AM96" s="143"/>
    </row>
    <row r="97">
      <c r="A97" s="144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  <c r="AD97" s="142"/>
      <c r="AE97" s="142"/>
      <c r="AF97" s="142"/>
      <c r="AG97" s="142"/>
      <c r="AH97" s="142"/>
      <c r="AI97" s="142"/>
      <c r="AJ97" s="142"/>
      <c r="AK97" s="142"/>
      <c r="AL97" s="142"/>
      <c r="AM97" s="143"/>
    </row>
    <row r="98">
      <c r="A98" s="144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  <c r="AD98" s="142"/>
      <c r="AE98" s="142"/>
      <c r="AF98" s="142"/>
      <c r="AG98" s="142"/>
      <c r="AH98" s="142"/>
      <c r="AI98" s="142"/>
      <c r="AJ98" s="142"/>
      <c r="AK98" s="142"/>
      <c r="AL98" s="142"/>
      <c r="AM98" s="143"/>
    </row>
    <row r="99">
      <c r="A99" s="144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  <c r="AD99" s="142"/>
      <c r="AE99" s="142"/>
      <c r="AF99" s="142"/>
      <c r="AG99" s="142"/>
      <c r="AH99" s="142"/>
      <c r="AI99" s="142"/>
      <c r="AJ99" s="142"/>
      <c r="AK99" s="142"/>
      <c r="AL99" s="142"/>
      <c r="AM99" s="143"/>
    </row>
    <row r="100">
      <c r="A100" s="144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  <c r="AD100" s="142"/>
      <c r="AE100" s="142"/>
      <c r="AF100" s="142"/>
      <c r="AG100" s="142"/>
      <c r="AH100" s="142"/>
      <c r="AI100" s="142"/>
      <c r="AJ100" s="142"/>
      <c r="AK100" s="142"/>
      <c r="AL100" s="142"/>
      <c r="AM100" s="143"/>
    </row>
    <row r="101">
      <c r="A101" s="144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  <c r="AD101" s="142"/>
      <c r="AE101" s="142"/>
      <c r="AF101" s="142"/>
      <c r="AG101" s="142"/>
      <c r="AH101" s="142"/>
      <c r="AI101" s="142"/>
      <c r="AJ101" s="142"/>
      <c r="AK101" s="142"/>
      <c r="AL101" s="142"/>
      <c r="AM101" s="143"/>
    </row>
    <row r="102">
      <c r="A102" s="144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  <c r="AD102" s="142"/>
      <c r="AE102" s="142"/>
      <c r="AF102" s="142"/>
      <c r="AG102" s="142"/>
      <c r="AH102" s="142"/>
      <c r="AI102" s="142"/>
      <c r="AJ102" s="142"/>
      <c r="AK102" s="142"/>
      <c r="AL102" s="142"/>
      <c r="AM102" s="143"/>
    </row>
    <row r="103">
      <c r="A103" s="144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  <c r="AD103" s="142"/>
      <c r="AE103" s="142"/>
      <c r="AF103" s="142"/>
      <c r="AG103" s="142"/>
      <c r="AH103" s="142"/>
      <c r="AI103" s="142"/>
      <c r="AJ103" s="142"/>
      <c r="AK103" s="142"/>
      <c r="AL103" s="142"/>
      <c r="AM103" s="143"/>
    </row>
    <row r="104">
      <c r="A104" s="144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  <c r="AD104" s="142"/>
      <c r="AE104" s="142"/>
      <c r="AF104" s="142"/>
      <c r="AG104" s="142"/>
      <c r="AH104" s="142"/>
      <c r="AI104" s="142"/>
      <c r="AJ104" s="142"/>
      <c r="AK104" s="142"/>
      <c r="AL104" s="142"/>
      <c r="AM104" s="143"/>
    </row>
    <row r="105">
      <c r="A105" s="144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  <c r="AD105" s="142"/>
      <c r="AE105" s="142"/>
      <c r="AF105" s="142"/>
      <c r="AG105" s="142"/>
      <c r="AH105" s="142"/>
      <c r="AI105" s="142"/>
      <c r="AJ105" s="142"/>
      <c r="AK105" s="142"/>
      <c r="AL105" s="142"/>
      <c r="AM105" s="143"/>
    </row>
    <row r="106">
      <c r="A106" s="144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  <c r="AD106" s="142"/>
      <c r="AE106" s="142"/>
      <c r="AF106" s="142"/>
      <c r="AG106" s="142"/>
      <c r="AH106" s="142"/>
      <c r="AI106" s="142"/>
      <c r="AJ106" s="142"/>
      <c r="AK106" s="142"/>
      <c r="AL106" s="142"/>
      <c r="AM106" s="143"/>
    </row>
    <row r="107">
      <c r="A107" s="144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  <c r="AD107" s="142"/>
      <c r="AE107" s="142"/>
      <c r="AF107" s="142"/>
      <c r="AG107" s="142"/>
      <c r="AH107" s="142"/>
      <c r="AI107" s="142"/>
      <c r="AJ107" s="142"/>
      <c r="AK107" s="142"/>
      <c r="AL107" s="142"/>
      <c r="AM107" s="143"/>
    </row>
    <row r="108">
      <c r="A108" s="144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  <c r="AD108" s="142"/>
      <c r="AE108" s="142"/>
      <c r="AF108" s="142"/>
      <c r="AG108" s="142"/>
      <c r="AH108" s="142"/>
      <c r="AI108" s="142"/>
      <c r="AJ108" s="142"/>
      <c r="AK108" s="142"/>
      <c r="AL108" s="142"/>
      <c r="AM108" s="143"/>
    </row>
    <row r="109">
      <c r="A109" s="144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  <c r="AD109" s="142"/>
      <c r="AE109" s="142"/>
      <c r="AF109" s="142"/>
      <c r="AG109" s="142"/>
      <c r="AH109" s="142"/>
      <c r="AI109" s="142"/>
      <c r="AJ109" s="142"/>
      <c r="AK109" s="142"/>
      <c r="AL109" s="142"/>
      <c r="AM109" s="143"/>
    </row>
    <row r="110">
      <c r="A110" s="144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  <c r="AD110" s="142"/>
      <c r="AE110" s="142"/>
      <c r="AF110" s="142"/>
      <c r="AG110" s="142"/>
      <c r="AH110" s="142"/>
      <c r="AI110" s="142"/>
      <c r="AJ110" s="142"/>
      <c r="AK110" s="142"/>
      <c r="AL110" s="142"/>
      <c r="AM110" s="143"/>
    </row>
    <row r="111">
      <c r="A111" s="144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  <c r="AD111" s="142"/>
      <c r="AE111" s="142"/>
      <c r="AF111" s="142"/>
      <c r="AG111" s="142"/>
      <c r="AH111" s="142"/>
      <c r="AI111" s="142"/>
      <c r="AJ111" s="142"/>
      <c r="AK111" s="142"/>
      <c r="AL111" s="142"/>
      <c r="AM111" s="143"/>
    </row>
    <row r="112">
      <c r="A112" s="144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  <c r="AD112" s="142"/>
      <c r="AE112" s="142"/>
      <c r="AF112" s="142"/>
      <c r="AG112" s="142"/>
      <c r="AH112" s="142"/>
      <c r="AI112" s="142"/>
      <c r="AJ112" s="142"/>
      <c r="AK112" s="142"/>
      <c r="AL112" s="142"/>
      <c r="AM112" s="143"/>
    </row>
    <row r="113">
      <c r="A113" s="144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  <c r="AD113" s="142"/>
      <c r="AE113" s="142"/>
      <c r="AF113" s="142"/>
      <c r="AG113" s="142"/>
      <c r="AH113" s="142"/>
      <c r="AI113" s="142"/>
      <c r="AJ113" s="142"/>
      <c r="AK113" s="142"/>
      <c r="AL113" s="142"/>
      <c r="AM113" s="143"/>
    </row>
    <row r="114">
      <c r="A114" s="144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  <c r="AD114" s="142"/>
      <c r="AE114" s="142"/>
      <c r="AF114" s="142"/>
      <c r="AG114" s="142"/>
      <c r="AH114" s="142"/>
      <c r="AI114" s="142"/>
      <c r="AJ114" s="142"/>
      <c r="AK114" s="142"/>
      <c r="AL114" s="142"/>
      <c r="AM114" s="143"/>
    </row>
    <row r="115">
      <c r="A115" s="144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  <c r="AD115" s="142"/>
      <c r="AE115" s="142"/>
      <c r="AF115" s="142"/>
      <c r="AG115" s="142"/>
      <c r="AH115" s="142"/>
      <c r="AI115" s="142"/>
      <c r="AJ115" s="142"/>
      <c r="AK115" s="142"/>
      <c r="AL115" s="142"/>
      <c r="AM115" s="143"/>
    </row>
    <row r="116">
      <c r="A116" s="144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  <c r="AD116" s="142"/>
      <c r="AE116" s="142"/>
      <c r="AF116" s="142"/>
      <c r="AG116" s="142"/>
      <c r="AH116" s="142"/>
      <c r="AI116" s="142"/>
      <c r="AJ116" s="142"/>
      <c r="AK116" s="142"/>
      <c r="AL116" s="142"/>
      <c r="AM116" s="143"/>
    </row>
    <row r="117">
      <c r="A117" s="144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  <c r="AD117" s="142"/>
      <c r="AE117" s="142"/>
      <c r="AF117" s="142"/>
      <c r="AG117" s="142"/>
      <c r="AH117" s="142"/>
      <c r="AI117" s="142"/>
      <c r="AJ117" s="142"/>
      <c r="AK117" s="142"/>
      <c r="AL117" s="142"/>
      <c r="AM117" s="143"/>
    </row>
    <row r="118">
      <c r="A118" s="144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  <c r="AD118" s="142"/>
      <c r="AE118" s="142"/>
      <c r="AF118" s="142"/>
      <c r="AG118" s="142"/>
      <c r="AH118" s="142"/>
      <c r="AI118" s="142"/>
      <c r="AJ118" s="142"/>
      <c r="AK118" s="142"/>
      <c r="AL118" s="142"/>
      <c r="AM118" s="143"/>
    </row>
    <row r="119">
      <c r="A119" s="144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  <c r="AD119" s="142"/>
      <c r="AE119" s="142"/>
      <c r="AF119" s="142"/>
      <c r="AG119" s="142"/>
      <c r="AH119" s="142"/>
      <c r="AI119" s="142"/>
      <c r="AJ119" s="142"/>
      <c r="AK119" s="142"/>
      <c r="AL119" s="142"/>
      <c r="AM119" s="143"/>
    </row>
    <row r="120">
      <c r="A120" s="144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  <c r="AD120" s="142"/>
      <c r="AE120" s="142"/>
      <c r="AF120" s="142"/>
      <c r="AG120" s="142"/>
      <c r="AH120" s="142"/>
      <c r="AI120" s="142"/>
      <c r="AJ120" s="142"/>
      <c r="AK120" s="142"/>
      <c r="AL120" s="142"/>
      <c r="AM120" s="143"/>
    </row>
    <row r="121">
      <c r="A121" s="144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  <c r="AD121" s="142"/>
      <c r="AE121" s="142"/>
      <c r="AF121" s="142"/>
      <c r="AG121" s="142"/>
      <c r="AH121" s="142"/>
      <c r="AI121" s="142"/>
      <c r="AJ121" s="142"/>
      <c r="AK121" s="142"/>
      <c r="AL121" s="142"/>
      <c r="AM121" s="143"/>
    </row>
    <row r="122">
      <c r="A122" s="144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  <c r="AD122" s="142"/>
      <c r="AE122" s="142"/>
      <c r="AF122" s="142"/>
      <c r="AG122" s="142"/>
      <c r="AH122" s="142"/>
      <c r="AI122" s="142"/>
      <c r="AJ122" s="142"/>
      <c r="AK122" s="142"/>
      <c r="AL122" s="142"/>
      <c r="AM122" s="143"/>
    </row>
    <row r="123">
      <c r="A123" s="144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  <c r="AD123" s="142"/>
      <c r="AE123" s="142"/>
      <c r="AF123" s="142"/>
      <c r="AG123" s="142"/>
      <c r="AH123" s="142"/>
      <c r="AI123" s="142"/>
      <c r="AJ123" s="142"/>
      <c r="AK123" s="142"/>
      <c r="AL123" s="142"/>
      <c r="AM123" s="143"/>
    </row>
    <row r="124">
      <c r="A124" s="144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  <c r="AD124" s="142"/>
      <c r="AE124" s="142"/>
      <c r="AF124" s="142"/>
      <c r="AG124" s="142"/>
      <c r="AH124" s="142"/>
      <c r="AI124" s="142"/>
      <c r="AJ124" s="142"/>
      <c r="AK124" s="142"/>
      <c r="AL124" s="142"/>
      <c r="AM124" s="143"/>
    </row>
    <row r="125">
      <c r="A125" s="144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  <c r="AH125" s="142"/>
      <c r="AI125" s="142"/>
      <c r="AJ125" s="142"/>
      <c r="AK125" s="142"/>
      <c r="AL125" s="142"/>
      <c r="AM125" s="143"/>
    </row>
    <row r="126">
      <c r="A126" s="144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  <c r="AH126" s="142"/>
      <c r="AI126" s="142"/>
      <c r="AJ126" s="142"/>
      <c r="AK126" s="142"/>
      <c r="AL126" s="142"/>
      <c r="AM126" s="143"/>
    </row>
    <row r="127">
      <c r="A127" s="144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  <c r="AH127" s="142"/>
      <c r="AI127" s="142"/>
      <c r="AJ127" s="142"/>
      <c r="AK127" s="142"/>
      <c r="AL127" s="142"/>
      <c r="AM127" s="143"/>
    </row>
    <row r="128">
      <c r="A128" s="144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  <c r="AH128" s="142"/>
      <c r="AI128" s="142"/>
      <c r="AJ128" s="142"/>
      <c r="AK128" s="142"/>
      <c r="AL128" s="142"/>
      <c r="AM128" s="143"/>
    </row>
    <row r="129">
      <c r="A129" s="144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  <c r="AH129" s="142"/>
      <c r="AI129" s="142"/>
      <c r="AJ129" s="142"/>
      <c r="AK129" s="142"/>
      <c r="AL129" s="142"/>
      <c r="AM129" s="143"/>
    </row>
    <row r="130">
      <c r="A130" s="144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  <c r="AH130" s="142"/>
      <c r="AI130" s="142"/>
      <c r="AJ130" s="142"/>
      <c r="AK130" s="142"/>
      <c r="AL130" s="142"/>
      <c r="AM130" s="143"/>
    </row>
    <row r="131">
      <c r="A131" s="144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  <c r="AH131" s="142"/>
      <c r="AI131" s="142"/>
      <c r="AJ131" s="142"/>
      <c r="AK131" s="142"/>
      <c r="AL131" s="142"/>
      <c r="AM131" s="143"/>
    </row>
    <row r="132">
      <c r="A132" s="144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  <c r="AH132" s="142"/>
      <c r="AI132" s="142"/>
      <c r="AJ132" s="142"/>
      <c r="AK132" s="142"/>
      <c r="AL132" s="142"/>
      <c r="AM132" s="143"/>
    </row>
    <row r="133">
      <c r="A133" s="144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  <c r="AH133" s="142"/>
      <c r="AI133" s="142"/>
      <c r="AJ133" s="142"/>
      <c r="AK133" s="142"/>
      <c r="AL133" s="142"/>
      <c r="AM133" s="143"/>
    </row>
    <row r="134">
      <c r="A134" s="144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  <c r="AH134" s="142"/>
      <c r="AI134" s="142"/>
      <c r="AJ134" s="142"/>
      <c r="AK134" s="142"/>
      <c r="AL134" s="142"/>
      <c r="AM134" s="143"/>
    </row>
    <row r="135">
      <c r="A135" s="144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  <c r="AH135" s="142"/>
      <c r="AI135" s="142"/>
      <c r="AJ135" s="142"/>
      <c r="AK135" s="142"/>
      <c r="AL135" s="142"/>
      <c r="AM135" s="143"/>
    </row>
    <row r="136">
      <c r="A136" s="144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  <c r="AH136" s="142"/>
      <c r="AI136" s="142"/>
      <c r="AJ136" s="142"/>
      <c r="AK136" s="142"/>
      <c r="AL136" s="142"/>
      <c r="AM136" s="143"/>
    </row>
    <row r="137">
      <c r="A137" s="144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  <c r="AH137" s="142"/>
      <c r="AI137" s="142"/>
      <c r="AJ137" s="142"/>
      <c r="AK137" s="142"/>
      <c r="AL137" s="142"/>
      <c r="AM137" s="143"/>
    </row>
    <row r="138">
      <c r="A138" s="144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  <c r="AH138" s="142"/>
      <c r="AI138" s="142"/>
      <c r="AJ138" s="142"/>
      <c r="AK138" s="142"/>
      <c r="AL138" s="142"/>
      <c r="AM138" s="143"/>
    </row>
    <row r="139">
      <c r="A139" s="144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  <c r="AH139" s="142"/>
      <c r="AI139" s="142"/>
      <c r="AJ139" s="142"/>
      <c r="AK139" s="142"/>
      <c r="AL139" s="142"/>
      <c r="AM139" s="143"/>
    </row>
    <row r="140">
      <c r="A140" s="144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  <c r="AH140" s="142"/>
      <c r="AI140" s="142"/>
      <c r="AJ140" s="142"/>
      <c r="AK140" s="142"/>
      <c r="AL140" s="142"/>
      <c r="AM140" s="143"/>
    </row>
    <row r="141">
      <c r="A141" s="144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  <c r="AH141" s="142"/>
      <c r="AI141" s="142"/>
      <c r="AJ141" s="142"/>
      <c r="AK141" s="142"/>
      <c r="AL141" s="142"/>
      <c r="AM141" s="143"/>
    </row>
    <row r="142">
      <c r="A142" s="144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  <c r="AH142" s="142"/>
      <c r="AI142" s="142"/>
      <c r="AJ142" s="142"/>
      <c r="AK142" s="142"/>
      <c r="AL142" s="142"/>
      <c r="AM142" s="143"/>
    </row>
    <row r="143">
      <c r="A143" s="144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  <c r="AH143" s="142"/>
      <c r="AI143" s="142"/>
      <c r="AJ143" s="142"/>
      <c r="AK143" s="142"/>
      <c r="AL143" s="142"/>
      <c r="AM143" s="143"/>
    </row>
    <row r="144">
      <c r="A144" s="144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  <c r="AH144" s="142"/>
      <c r="AI144" s="142"/>
      <c r="AJ144" s="142"/>
      <c r="AK144" s="142"/>
      <c r="AL144" s="142"/>
      <c r="AM144" s="143"/>
    </row>
    <row r="145">
      <c r="A145" s="144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  <c r="AH145" s="142"/>
      <c r="AI145" s="142"/>
      <c r="AJ145" s="142"/>
      <c r="AK145" s="142"/>
      <c r="AL145" s="142"/>
      <c r="AM145" s="143"/>
    </row>
    <row r="146">
      <c r="A146" s="144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  <c r="AH146" s="142"/>
      <c r="AI146" s="142"/>
      <c r="AJ146" s="142"/>
      <c r="AK146" s="142"/>
      <c r="AL146" s="142"/>
      <c r="AM146" s="143"/>
    </row>
    <row r="147">
      <c r="A147" s="144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  <c r="AD147" s="142"/>
      <c r="AE147" s="142"/>
      <c r="AF147" s="142"/>
      <c r="AG147" s="142"/>
      <c r="AH147" s="142"/>
      <c r="AI147" s="142"/>
      <c r="AJ147" s="142"/>
      <c r="AK147" s="142"/>
      <c r="AL147" s="142"/>
      <c r="AM147" s="143"/>
    </row>
    <row r="148">
      <c r="A148" s="144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  <c r="AD148" s="142"/>
      <c r="AE148" s="142"/>
      <c r="AF148" s="142"/>
      <c r="AG148" s="142"/>
      <c r="AH148" s="142"/>
      <c r="AI148" s="142"/>
      <c r="AJ148" s="142"/>
      <c r="AK148" s="142"/>
      <c r="AL148" s="142"/>
      <c r="AM148" s="143"/>
    </row>
    <row r="149">
      <c r="A149" s="144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  <c r="AD149" s="142"/>
      <c r="AE149" s="142"/>
      <c r="AF149" s="142"/>
      <c r="AG149" s="142"/>
      <c r="AH149" s="142"/>
      <c r="AI149" s="142"/>
      <c r="AJ149" s="142"/>
      <c r="AK149" s="142"/>
      <c r="AL149" s="142"/>
      <c r="AM149" s="143"/>
    </row>
    <row r="150">
      <c r="A150" s="144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  <c r="AD150" s="142"/>
      <c r="AE150" s="142"/>
      <c r="AF150" s="142"/>
      <c r="AG150" s="142"/>
      <c r="AH150" s="142"/>
      <c r="AI150" s="142"/>
      <c r="AJ150" s="142"/>
      <c r="AK150" s="142"/>
      <c r="AL150" s="142"/>
      <c r="AM150" s="143"/>
    </row>
    <row r="151">
      <c r="A151" s="144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  <c r="AD151" s="142"/>
      <c r="AE151" s="142"/>
      <c r="AF151" s="142"/>
      <c r="AG151" s="142"/>
      <c r="AH151" s="142"/>
      <c r="AI151" s="142"/>
      <c r="AJ151" s="142"/>
      <c r="AK151" s="142"/>
      <c r="AL151" s="142"/>
      <c r="AM151" s="143"/>
    </row>
    <row r="152">
      <c r="A152" s="144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142"/>
      <c r="AH152" s="142"/>
      <c r="AI152" s="142"/>
      <c r="AJ152" s="142"/>
      <c r="AK152" s="142"/>
      <c r="AL152" s="142"/>
      <c r="AM152" s="143"/>
    </row>
    <row r="153">
      <c r="A153" s="144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  <c r="AD153" s="142"/>
      <c r="AE153" s="142"/>
      <c r="AF153" s="142"/>
      <c r="AG153" s="142"/>
      <c r="AH153" s="142"/>
      <c r="AI153" s="142"/>
      <c r="AJ153" s="142"/>
      <c r="AK153" s="142"/>
      <c r="AL153" s="142"/>
      <c r="AM153" s="143"/>
    </row>
    <row r="154">
      <c r="A154" s="144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  <c r="AD154" s="142"/>
      <c r="AE154" s="142"/>
      <c r="AF154" s="142"/>
      <c r="AG154" s="142"/>
      <c r="AH154" s="142"/>
      <c r="AI154" s="142"/>
      <c r="AJ154" s="142"/>
      <c r="AK154" s="142"/>
      <c r="AL154" s="142"/>
      <c r="AM154" s="143"/>
    </row>
    <row r="155">
      <c r="A155" s="144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  <c r="AD155" s="142"/>
      <c r="AE155" s="142"/>
      <c r="AF155" s="142"/>
      <c r="AG155" s="142"/>
      <c r="AH155" s="142"/>
      <c r="AI155" s="142"/>
      <c r="AJ155" s="142"/>
      <c r="AK155" s="142"/>
      <c r="AL155" s="142"/>
      <c r="AM155" s="143"/>
    </row>
    <row r="156">
      <c r="A156" s="144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  <c r="AD156" s="142"/>
      <c r="AE156" s="142"/>
      <c r="AF156" s="142"/>
      <c r="AG156" s="142"/>
      <c r="AH156" s="142"/>
      <c r="AI156" s="142"/>
      <c r="AJ156" s="142"/>
      <c r="AK156" s="142"/>
      <c r="AL156" s="142"/>
      <c r="AM156" s="143"/>
    </row>
    <row r="157">
      <c r="A157" s="144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  <c r="AD157" s="142"/>
      <c r="AE157" s="142"/>
      <c r="AF157" s="142"/>
      <c r="AG157" s="142"/>
      <c r="AH157" s="142"/>
      <c r="AI157" s="142"/>
      <c r="AJ157" s="142"/>
      <c r="AK157" s="142"/>
      <c r="AL157" s="142"/>
      <c r="AM157" s="143"/>
    </row>
    <row r="158">
      <c r="A158" s="144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  <c r="AD158" s="142"/>
      <c r="AE158" s="142"/>
      <c r="AF158" s="142"/>
      <c r="AG158" s="142"/>
      <c r="AH158" s="142"/>
      <c r="AI158" s="142"/>
      <c r="AJ158" s="142"/>
      <c r="AK158" s="142"/>
      <c r="AL158" s="142"/>
      <c r="AM158" s="143"/>
    </row>
    <row r="159">
      <c r="A159" s="144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  <c r="AD159" s="142"/>
      <c r="AE159" s="142"/>
      <c r="AF159" s="142"/>
      <c r="AG159" s="142"/>
      <c r="AH159" s="142"/>
      <c r="AI159" s="142"/>
      <c r="AJ159" s="142"/>
      <c r="AK159" s="142"/>
      <c r="AL159" s="142"/>
      <c r="AM159" s="143"/>
    </row>
    <row r="160">
      <c r="A160" s="144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  <c r="AI160" s="142"/>
      <c r="AJ160" s="142"/>
      <c r="AK160" s="142"/>
      <c r="AL160" s="142"/>
      <c r="AM160" s="143"/>
    </row>
    <row r="161">
      <c r="A161" s="144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  <c r="AD161" s="142"/>
      <c r="AE161" s="142"/>
      <c r="AF161" s="142"/>
      <c r="AG161" s="142"/>
      <c r="AH161" s="142"/>
      <c r="AI161" s="142"/>
      <c r="AJ161" s="142"/>
      <c r="AK161" s="142"/>
      <c r="AL161" s="142"/>
      <c r="AM161" s="143"/>
    </row>
    <row r="162">
      <c r="A162" s="144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  <c r="AD162" s="142"/>
      <c r="AE162" s="142"/>
      <c r="AF162" s="142"/>
      <c r="AG162" s="142"/>
      <c r="AH162" s="142"/>
      <c r="AI162" s="142"/>
      <c r="AJ162" s="142"/>
      <c r="AK162" s="142"/>
      <c r="AL162" s="142"/>
      <c r="AM162" s="143"/>
    </row>
    <row r="163">
      <c r="A163" s="144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  <c r="AD163" s="142"/>
      <c r="AE163" s="142"/>
      <c r="AF163" s="142"/>
      <c r="AG163" s="142"/>
      <c r="AH163" s="142"/>
      <c r="AI163" s="142"/>
      <c r="AJ163" s="142"/>
      <c r="AK163" s="142"/>
      <c r="AL163" s="142"/>
      <c r="AM163" s="143"/>
    </row>
    <row r="164">
      <c r="A164" s="144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  <c r="AD164" s="142"/>
      <c r="AE164" s="142"/>
      <c r="AF164" s="142"/>
      <c r="AG164" s="142"/>
      <c r="AH164" s="142"/>
      <c r="AI164" s="142"/>
      <c r="AJ164" s="142"/>
      <c r="AK164" s="142"/>
      <c r="AL164" s="142"/>
      <c r="AM164" s="143"/>
    </row>
    <row r="165">
      <c r="A165" s="144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  <c r="AI165" s="142"/>
      <c r="AJ165" s="142"/>
      <c r="AK165" s="142"/>
      <c r="AL165" s="142"/>
      <c r="AM165" s="143"/>
    </row>
    <row r="166">
      <c r="A166" s="144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  <c r="AI166" s="142"/>
      <c r="AJ166" s="142"/>
      <c r="AK166" s="142"/>
      <c r="AL166" s="142"/>
      <c r="AM166" s="143"/>
    </row>
    <row r="167">
      <c r="A167" s="144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  <c r="AI167" s="142"/>
      <c r="AJ167" s="142"/>
      <c r="AK167" s="142"/>
      <c r="AL167" s="142"/>
      <c r="AM167" s="143"/>
    </row>
    <row r="168">
      <c r="A168" s="144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  <c r="AI168" s="142"/>
      <c r="AJ168" s="142"/>
      <c r="AK168" s="142"/>
      <c r="AL168" s="142"/>
      <c r="AM168" s="143"/>
    </row>
    <row r="169">
      <c r="A169" s="144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  <c r="AI169" s="142"/>
      <c r="AJ169" s="142"/>
      <c r="AK169" s="142"/>
      <c r="AL169" s="142"/>
      <c r="AM169" s="143"/>
    </row>
    <row r="170">
      <c r="A170" s="144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  <c r="AI170" s="142"/>
      <c r="AJ170" s="142"/>
      <c r="AK170" s="142"/>
      <c r="AL170" s="142"/>
      <c r="AM170" s="143"/>
    </row>
    <row r="171">
      <c r="A171" s="144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  <c r="AI171" s="142"/>
      <c r="AJ171" s="142"/>
      <c r="AK171" s="142"/>
      <c r="AL171" s="142"/>
      <c r="AM171" s="143"/>
    </row>
    <row r="172">
      <c r="A172" s="144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  <c r="AD172" s="142"/>
      <c r="AE172" s="142"/>
      <c r="AF172" s="142"/>
      <c r="AG172" s="142"/>
      <c r="AH172" s="142"/>
      <c r="AI172" s="142"/>
      <c r="AJ172" s="142"/>
      <c r="AK172" s="142"/>
      <c r="AL172" s="142"/>
      <c r="AM172" s="143"/>
    </row>
    <row r="173">
      <c r="A173" s="144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  <c r="AD173" s="142"/>
      <c r="AE173" s="142"/>
      <c r="AF173" s="142"/>
      <c r="AG173" s="142"/>
      <c r="AH173" s="142"/>
      <c r="AI173" s="142"/>
      <c r="AJ173" s="142"/>
      <c r="AK173" s="142"/>
      <c r="AL173" s="142"/>
      <c r="AM173" s="143"/>
    </row>
    <row r="174">
      <c r="A174" s="144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  <c r="AD174" s="142"/>
      <c r="AE174" s="142"/>
      <c r="AF174" s="142"/>
      <c r="AG174" s="142"/>
      <c r="AH174" s="142"/>
      <c r="AI174" s="142"/>
      <c r="AJ174" s="142"/>
      <c r="AK174" s="142"/>
      <c r="AL174" s="142"/>
      <c r="AM174" s="143"/>
    </row>
    <row r="175">
      <c r="A175" s="144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  <c r="AD175" s="142"/>
      <c r="AE175" s="142"/>
      <c r="AF175" s="142"/>
      <c r="AG175" s="142"/>
      <c r="AH175" s="142"/>
      <c r="AI175" s="142"/>
      <c r="AJ175" s="142"/>
      <c r="AK175" s="142"/>
      <c r="AL175" s="142"/>
      <c r="AM175" s="143"/>
    </row>
    <row r="176">
      <c r="A176" s="144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  <c r="AD176" s="142"/>
      <c r="AE176" s="142"/>
      <c r="AF176" s="142"/>
      <c r="AG176" s="142"/>
      <c r="AH176" s="142"/>
      <c r="AI176" s="142"/>
      <c r="AJ176" s="142"/>
      <c r="AK176" s="142"/>
      <c r="AL176" s="142"/>
      <c r="AM176" s="143"/>
    </row>
    <row r="177">
      <c r="A177" s="144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  <c r="AD177" s="142"/>
      <c r="AE177" s="142"/>
      <c r="AF177" s="142"/>
      <c r="AG177" s="142"/>
      <c r="AH177" s="142"/>
      <c r="AI177" s="142"/>
      <c r="AJ177" s="142"/>
      <c r="AK177" s="142"/>
      <c r="AL177" s="142"/>
      <c r="AM177" s="143"/>
    </row>
    <row r="178">
      <c r="A178" s="144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  <c r="AD178" s="142"/>
      <c r="AE178" s="142"/>
      <c r="AF178" s="142"/>
      <c r="AG178" s="142"/>
      <c r="AH178" s="142"/>
      <c r="AI178" s="142"/>
      <c r="AJ178" s="142"/>
      <c r="AK178" s="142"/>
      <c r="AL178" s="142"/>
      <c r="AM178" s="143"/>
    </row>
    <row r="179">
      <c r="A179" s="144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  <c r="AD179" s="142"/>
      <c r="AE179" s="142"/>
      <c r="AF179" s="142"/>
      <c r="AG179" s="142"/>
      <c r="AH179" s="142"/>
      <c r="AI179" s="142"/>
      <c r="AJ179" s="142"/>
      <c r="AK179" s="142"/>
      <c r="AL179" s="142"/>
      <c r="AM179" s="143"/>
    </row>
    <row r="180">
      <c r="A180" s="144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  <c r="AD180" s="142"/>
      <c r="AE180" s="142"/>
      <c r="AF180" s="142"/>
      <c r="AG180" s="142"/>
      <c r="AH180" s="142"/>
      <c r="AI180" s="142"/>
      <c r="AJ180" s="142"/>
      <c r="AK180" s="142"/>
      <c r="AL180" s="142"/>
      <c r="AM180" s="143"/>
    </row>
    <row r="181">
      <c r="A181" s="144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  <c r="AD181" s="142"/>
      <c r="AE181" s="142"/>
      <c r="AF181" s="142"/>
      <c r="AG181" s="142"/>
      <c r="AH181" s="142"/>
      <c r="AI181" s="142"/>
      <c r="AJ181" s="142"/>
      <c r="AK181" s="142"/>
      <c r="AL181" s="142"/>
      <c r="AM181" s="143"/>
    </row>
    <row r="182">
      <c r="A182" s="144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  <c r="AD182" s="142"/>
      <c r="AE182" s="142"/>
      <c r="AF182" s="142"/>
      <c r="AG182" s="142"/>
      <c r="AH182" s="142"/>
      <c r="AI182" s="142"/>
      <c r="AJ182" s="142"/>
      <c r="AK182" s="142"/>
      <c r="AL182" s="142"/>
      <c r="AM182" s="143"/>
    </row>
    <row r="183">
      <c r="A183" s="144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  <c r="AD183" s="142"/>
      <c r="AE183" s="142"/>
      <c r="AF183" s="142"/>
      <c r="AG183" s="142"/>
      <c r="AH183" s="142"/>
      <c r="AI183" s="142"/>
      <c r="AJ183" s="142"/>
      <c r="AK183" s="142"/>
      <c r="AL183" s="142"/>
      <c r="AM183" s="143"/>
    </row>
    <row r="184">
      <c r="A184" s="144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  <c r="AD184" s="142"/>
      <c r="AE184" s="142"/>
      <c r="AF184" s="142"/>
      <c r="AG184" s="142"/>
      <c r="AH184" s="142"/>
      <c r="AI184" s="142"/>
      <c r="AJ184" s="142"/>
      <c r="AK184" s="142"/>
      <c r="AL184" s="142"/>
      <c r="AM184" s="143"/>
    </row>
    <row r="185">
      <c r="A185" s="144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  <c r="AD185" s="142"/>
      <c r="AE185" s="142"/>
      <c r="AF185" s="142"/>
      <c r="AG185" s="142"/>
      <c r="AH185" s="142"/>
      <c r="AI185" s="142"/>
      <c r="AJ185" s="142"/>
      <c r="AK185" s="142"/>
      <c r="AL185" s="142"/>
      <c r="AM185" s="143"/>
    </row>
    <row r="186">
      <c r="A186" s="144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  <c r="AD186" s="142"/>
      <c r="AE186" s="142"/>
      <c r="AF186" s="142"/>
      <c r="AG186" s="142"/>
      <c r="AH186" s="142"/>
      <c r="AI186" s="142"/>
      <c r="AJ186" s="142"/>
      <c r="AK186" s="142"/>
      <c r="AL186" s="142"/>
      <c r="AM186" s="143"/>
    </row>
    <row r="187">
      <c r="A187" s="144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  <c r="AD187" s="142"/>
      <c r="AE187" s="142"/>
      <c r="AF187" s="142"/>
      <c r="AG187" s="142"/>
      <c r="AH187" s="142"/>
      <c r="AI187" s="142"/>
      <c r="AJ187" s="142"/>
      <c r="AK187" s="142"/>
      <c r="AL187" s="142"/>
      <c r="AM187" s="143"/>
    </row>
    <row r="188">
      <c r="A188" s="144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  <c r="AD188" s="142"/>
      <c r="AE188" s="142"/>
      <c r="AF188" s="142"/>
      <c r="AG188" s="142"/>
      <c r="AH188" s="142"/>
      <c r="AI188" s="142"/>
      <c r="AJ188" s="142"/>
      <c r="AK188" s="142"/>
      <c r="AL188" s="142"/>
      <c r="AM188" s="143"/>
    </row>
    <row r="189">
      <c r="A189" s="144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  <c r="AD189" s="142"/>
      <c r="AE189" s="142"/>
      <c r="AF189" s="142"/>
      <c r="AG189" s="142"/>
      <c r="AH189" s="142"/>
      <c r="AI189" s="142"/>
      <c r="AJ189" s="142"/>
      <c r="AK189" s="142"/>
      <c r="AL189" s="142"/>
      <c r="AM189" s="143"/>
    </row>
    <row r="190">
      <c r="A190" s="144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  <c r="AD190" s="142"/>
      <c r="AE190" s="142"/>
      <c r="AF190" s="142"/>
      <c r="AG190" s="142"/>
      <c r="AH190" s="142"/>
      <c r="AI190" s="142"/>
      <c r="AJ190" s="142"/>
      <c r="AK190" s="142"/>
      <c r="AL190" s="142"/>
      <c r="AM190" s="143"/>
    </row>
    <row r="191">
      <c r="A191" s="144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  <c r="AD191" s="142"/>
      <c r="AE191" s="142"/>
      <c r="AF191" s="142"/>
      <c r="AG191" s="142"/>
      <c r="AH191" s="142"/>
      <c r="AI191" s="142"/>
      <c r="AJ191" s="142"/>
      <c r="AK191" s="142"/>
      <c r="AL191" s="142"/>
      <c r="AM191" s="143"/>
    </row>
    <row r="192">
      <c r="A192" s="144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  <c r="AD192" s="142"/>
      <c r="AE192" s="142"/>
      <c r="AF192" s="142"/>
      <c r="AG192" s="142"/>
      <c r="AH192" s="142"/>
      <c r="AI192" s="142"/>
      <c r="AJ192" s="142"/>
      <c r="AK192" s="142"/>
      <c r="AL192" s="142"/>
      <c r="AM192" s="143"/>
    </row>
    <row r="193">
      <c r="A193" s="144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  <c r="AD193" s="142"/>
      <c r="AE193" s="142"/>
      <c r="AF193" s="142"/>
      <c r="AG193" s="142"/>
      <c r="AH193" s="142"/>
      <c r="AI193" s="142"/>
      <c r="AJ193" s="142"/>
      <c r="AK193" s="142"/>
      <c r="AL193" s="142"/>
      <c r="AM193" s="143"/>
    </row>
    <row r="194">
      <c r="A194" s="144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  <c r="AD194" s="142"/>
      <c r="AE194" s="142"/>
      <c r="AF194" s="142"/>
      <c r="AG194" s="142"/>
      <c r="AH194" s="142"/>
      <c r="AI194" s="142"/>
      <c r="AJ194" s="142"/>
      <c r="AK194" s="142"/>
      <c r="AL194" s="142"/>
      <c r="AM194" s="143"/>
    </row>
    <row r="195">
      <c r="A195" s="144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  <c r="AD195" s="142"/>
      <c r="AE195" s="142"/>
      <c r="AF195" s="142"/>
      <c r="AG195" s="142"/>
      <c r="AH195" s="142"/>
      <c r="AI195" s="142"/>
      <c r="AJ195" s="142"/>
      <c r="AK195" s="142"/>
      <c r="AL195" s="142"/>
      <c r="AM195" s="143"/>
    </row>
    <row r="196">
      <c r="A196" s="144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  <c r="AD196" s="142"/>
      <c r="AE196" s="142"/>
      <c r="AF196" s="142"/>
      <c r="AG196" s="142"/>
      <c r="AH196" s="142"/>
      <c r="AI196" s="142"/>
      <c r="AJ196" s="142"/>
      <c r="AK196" s="142"/>
      <c r="AL196" s="142"/>
      <c r="AM196" s="143"/>
    </row>
    <row r="197">
      <c r="A197" s="144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  <c r="AD197" s="142"/>
      <c r="AE197" s="142"/>
      <c r="AF197" s="142"/>
      <c r="AG197" s="142"/>
      <c r="AH197" s="142"/>
      <c r="AI197" s="142"/>
      <c r="AJ197" s="142"/>
      <c r="AK197" s="142"/>
      <c r="AL197" s="142"/>
      <c r="AM197" s="143"/>
    </row>
    <row r="198">
      <c r="A198" s="144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  <c r="AD198" s="142"/>
      <c r="AE198" s="142"/>
      <c r="AF198" s="142"/>
      <c r="AG198" s="142"/>
      <c r="AH198" s="142"/>
      <c r="AI198" s="142"/>
      <c r="AJ198" s="142"/>
      <c r="AK198" s="142"/>
      <c r="AL198" s="142"/>
      <c r="AM198" s="143"/>
    </row>
    <row r="199">
      <c r="A199" s="144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  <c r="AD199" s="142"/>
      <c r="AE199" s="142"/>
      <c r="AF199" s="142"/>
      <c r="AG199" s="142"/>
      <c r="AH199" s="142"/>
      <c r="AI199" s="142"/>
      <c r="AJ199" s="142"/>
      <c r="AK199" s="142"/>
      <c r="AL199" s="142"/>
      <c r="AM199" s="143"/>
    </row>
    <row r="200">
      <c r="A200" s="144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  <c r="AD200" s="142"/>
      <c r="AE200" s="142"/>
      <c r="AF200" s="142"/>
      <c r="AG200" s="142"/>
      <c r="AH200" s="142"/>
      <c r="AI200" s="142"/>
      <c r="AJ200" s="142"/>
      <c r="AK200" s="142"/>
      <c r="AL200" s="142"/>
      <c r="AM200" s="143"/>
    </row>
    <row r="201">
      <c r="A201" s="144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  <c r="AD201" s="142"/>
      <c r="AE201" s="142"/>
      <c r="AF201" s="142"/>
      <c r="AG201" s="142"/>
      <c r="AH201" s="142"/>
      <c r="AI201" s="142"/>
      <c r="AJ201" s="142"/>
      <c r="AK201" s="142"/>
      <c r="AL201" s="142"/>
      <c r="AM201" s="143"/>
    </row>
    <row r="202">
      <c r="A202" s="144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  <c r="AD202" s="142"/>
      <c r="AE202" s="142"/>
      <c r="AF202" s="142"/>
      <c r="AG202" s="142"/>
      <c r="AH202" s="142"/>
      <c r="AI202" s="142"/>
      <c r="AJ202" s="142"/>
      <c r="AK202" s="142"/>
      <c r="AL202" s="142"/>
      <c r="AM202" s="143"/>
    </row>
    <row r="203">
      <c r="A203" s="144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  <c r="AD203" s="142"/>
      <c r="AE203" s="142"/>
      <c r="AF203" s="142"/>
      <c r="AG203" s="142"/>
      <c r="AH203" s="142"/>
      <c r="AI203" s="142"/>
      <c r="AJ203" s="142"/>
      <c r="AK203" s="142"/>
      <c r="AL203" s="142"/>
      <c r="AM203" s="143"/>
    </row>
    <row r="204">
      <c r="A204" s="144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  <c r="AD204" s="142"/>
      <c r="AE204" s="142"/>
      <c r="AF204" s="142"/>
      <c r="AG204" s="142"/>
      <c r="AH204" s="142"/>
      <c r="AI204" s="142"/>
      <c r="AJ204" s="142"/>
      <c r="AK204" s="142"/>
      <c r="AL204" s="142"/>
      <c r="AM204" s="143"/>
    </row>
    <row r="205">
      <c r="A205" s="144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  <c r="AD205" s="142"/>
      <c r="AE205" s="142"/>
      <c r="AF205" s="142"/>
      <c r="AG205" s="142"/>
      <c r="AH205" s="142"/>
      <c r="AI205" s="142"/>
      <c r="AJ205" s="142"/>
      <c r="AK205" s="142"/>
      <c r="AL205" s="142"/>
      <c r="AM205" s="143"/>
    </row>
    <row r="206">
      <c r="A206" s="144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  <c r="AD206" s="142"/>
      <c r="AE206" s="142"/>
      <c r="AF206" s="142"/>
      <c r="AG206" s="142"/>
      <c r="AH206" s="142"/>
      <c r="AI206" s="142"/>
      <c r="AJ206" s="142"/>
      <c r="AK206" s="142"/>
      <c r="AL206" s="142"/>
      <c r="AM206" s="143"/>
    </row>
    <row r="207">
      <c r="A207" s="144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  <c r="AD207" s="142"/>
      <c r="AE207" s="142"/>
      <c r="AF207" s="142"/>
      <c r="AG207" s="142"/>
      <c r="AH207" s="142"/>
      <c r="AI207" s="142"/>
      <c r="AJ207" s="142"/>
      <c r="AK207" s="142"/>
      <c r="AL207" s="142"/>
      <c r="AM207" s="143"/>
    </row>
    <row r="208">
      <c r="A208" s="144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  <c r="AD208" s="142"/>
      <c r="AE208" s="142"/>
      <c r="AF208" s="142"/>
      <c r="AG208" s="142"/>
      <c r="AH208" s="142"/>
      <c r="AI208" s="142"/>
      <c r="AJ208" s="142"/>
      <c r="AK208" s="142"/>
      <c r="AL208" s="142"/>
      <c r="AM208" s="143"/>
    </row>
    <row r="209">
      <c r="A209" s="144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  <c r="AD209" s="142"/>
      <c r="AE209" s="142"/>
      <c r="AF209" s="142"/>
      <c r="AG209" s="142"/>
      <c r="AH209" s="142"/>
      <c r="AI209" s="142"/>
      <c r="AJ209" s="142"/>
      <c r="AK209" s="142"/>
      <c r="AL209" s="142"/>
      <c r="AM209" s="143"/>
    </row>
    <row r="210">
      <c r="A210" s="144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  <c r="AD210" s="142"/>
      <c r="AE210" s="142"/>
      <c r="AF210" s="142"/>
      <c r="AG210" s="142"/>
      <c r="AH210" s="142"/>
      <c r="AI210" s="142"/>
      <c r="AJ210" s="142"/>
      <c r="AK210" s="142"/>
      <c r="AL210" s="142"/>
      <c r="AM210" s="143"/>
    </row>
    <row r="211">
      <c r="A211" s="144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  <c r="AD211" s="142"/>
      <c r="AE211" s="142"/>
      <c r="AF211" s="142"/>
      <c r="AG211" s="142"/>
      <c r="AH211" s="142"/>
      <c r="AI211" s="142"/>
      <c r="AJ211" s="142"/>
      <c r="AK211" s="142"/>
      <c r="AL211" s="142"/>
      <c r="AM211" s="143"/>
    </row>
    <row r="212">
      <c r="A212" s="144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  <c r="AD212" s="142"/>
      <c r="AE212" s="142"/>
      <c r="AF212" s="142"/>
      <c r="AG212" s="142"/>
      <c r="AH212" s="142"/>
      <c r="AI212" s="142"/>
      <c r="AJ212" s="142"/>
      <c r="AK212" s="142"/>
      <c r="AL212" s="142"/>
      <c r="AM212" s="143"/>
    </row>
    <row r="213">
      <c r="A213" s="144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  <c r="AD213" s="142"/>
      <c r="AE213" s="142"/>
      <c r="AF213" s="142"/>
      <c r="AG213" s="142"/>
      <c r="AH213" s="142"/>
      <c r="AI213" s="142"/>
      <c r="AJ213" s="142"/>
      <c r="AK213" s="142"/>
      <c r="AL213" s="142"/>
      <c r="AM213" s="143"/>
    </row>
    <row r="214">
      <c r="A214" s="144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  <c r="AD214" s="142"/>
      <c r="AE214" s="142"/>
      <c r="AF214" s="142"/>
      <c r="AG214" s="142"/>
      <c r="AH214" s="142"/>
      <c r="AI214" s="142"/>
      <c r="AJ214" s="142"/>
      <c r="AK214" s="142"/>
      <c r="AL214" s="142"/>
      <c r="AM214" s="143"/>
    </row>
    <row r="215">
      <c r="A215" s="144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  <c r="AD215" s="142"/>
      <c r="AE215" s="142"/>
      <c r="AF215" s="142"/>
      <c r="AG215" s="142"/>
      <c r="AH215" s="142"/>
      <c r="AI215" s="142"/>
      <c r="AJ215" s="142"/>
      <c r="AK215" s="142"/>
      <c r="AL215" s="142"/>
      <c r="AM215" s="143"/>
    </row>
    <row r="216">
      <c r="A216" s="144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  <c r="AD216" s="142"/>
      <c r="AE216" s="142"/>
      <c r="AF216" s="142"/>
      <c r="AG216" s="142"/>
      <c r="AH216" s="142"/>
      <c r="AI216" s="142"/>
      <c r="AJ216" s="142"/>
      <c r="AK216" s="142"/>
      <c r="AL216" s="142"/>
      <c r="AM216" s="143"/>
    </row>
    <row r="217">
      <c r="A217" s="144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  <c r="AD217" s="142"/>
      <c r="AE217" s="142"/>
      <c r="AF217" s="142"/>
      <c r="AG217" s="142"/>
      <c r="AH217" s="142"/>
      <c r="AI217" s="142"/>
      <c r="AJ217" s="142"/>
      <c r="AK217" s="142"/>
      <c r="AL217" s="142"/>
      <c r="AM217" s="143"/>
    </row>
    <row r="218">
      <c r="A218" s="144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  <c r="AD218" s="142"/>
      <c r="AE218" s="142"/>
      <c r="AF218" s="142"/>
      <c r="AG218" s="142"/>
      <c r="AH218" s="142"/>
      <c r="AI218" s="142"/>
      <c r="AJ218" s="142"/>
      <c r="AK218" s="142"/>
      <c r="AL218" s="142"/>
      <c r="AM218" s="143"/>
    </row>
    <row r="219">
      <c r="A219" s="144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  <c r="AD219" s="142"/>
      <c r="AE219" s="142"/>
      <c r="AF219" s="142"/>
      <c r="AG219" s="142"/>
      <c r="AH219" s="142"/>
      <c r="AI219" s="142"/>
      <c r="AJ219" s="142"/>
      <c r="AK219" s="142"/>
      <c r="AL219" s="142"/>
      <c r="AM219" s="143"/>
    </row>
    <row r="220">
      <c r="A220" s="144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  <c r="AD220" s="142"/>
      <c r="AE220" s="142"/>
      <c r="AF220" s="142"/>
      <c r="AG220" s="142"/>
      <c r="AH220" s="142"/>
      <c r="AI220" s="142"/>
      <c r="AJ220" s="142"/>
      <c r="AK220" s="142"/>
      <c r="AL220" s="142"/>
      <c r="AM220" s="143"/>
    </row>
    <row r="221">
      <c r="A221" s="144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  <c r="AD221" s="142"/>
      <c r="AE221" s="142"/>
      <c r="AF221" s="142"/>
      <c r="AG221" s="142"/>
      <c r="AH221" s="142"/>
      <c r="AI221" s="142"/>
      <c r="AJ221" s="142"/>
      <c r="AK221" s="142"/>
      <c r="AL221" s="142"/>
      <c r="AM221" s="143"/>
    </row>
    <row r="222">
      <c r="A222" s="144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  <c r="AD222" s="142"/>
      <c r="AE222" s="142"/>
      <c r="AF222" s="142"/>
      <c r="AG222" s="142"/>
      <c r="AH222" s="142"/>
      <c r="AI222" s="142"/>
      <c r="AJ222" s="142"/>
      <c r="AK222" s="142"/>
      <c r="AL222" s="142"/>
      <c r="AM222" s="143"/>
    </row>
    <row r="223">
      <c r="A223" s="144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  <c r="AD223" s="142"/>
      <c r="AE223" s="142"/>
      <c r="AF223" s="142"/>
      <c r="AG223" s="142"/>
      <c r="AH223" s="142"/>
      <c r="AI223" s="142"/>
      <c r="AJ223" s="142"/>
      <c r="AK223" s="142"/>
      <c r="AL223" s="142"/>
      <c r="AM223" s="143"/>
    </row>
    <row r="224">
      <c r="A224" s="144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  <c r="AD224" s="142"/>
      <c r="AE224" s="142"/>
      <c r="AF224" s="142"/>
      <c r="AG224" s="142"/>
      <c r="AH224" s="142"/>
      <c r="AI224" s="142"/>
      <c r="AJ224" s="142"/>
      <c r="AK224" s="142"/>
      <c r="AL224" s="142"/>
      <c r="AM224" s="143"/>
    </row>
    <row r="225">
      <c r="A225" s="144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  <c r="AD225" s="142"/>
      <c r="AE225" s="142"/>
      <c r="AF225" s="142"/>
      <c r="AG225" s="142"/>
      <c r="AH225" s="142"/>
      <c r="AI225" s="142"/>
      <c r="AJ225" s="142"/>
      <c r="AK225" s="142"/>
      <c r="AL225" s="142"/>
      <c r="AM225" s="143"/>
    </row>
    <row r="226">
      <c r="A226" s="144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  <c r="AD226" s="142"/>
      <c r="AE226" s="142"/>
      <c r="AF226" s="142"/>
      <c r="AG226" s="142"/>
      <c r="AH226" s="142"/>
      <c r="AI226" s="142"/>
      <c r="AJ226" s="142"/>
      <c r="AK226" s="142"/>
      <c r="AL226" s="142"/>
      <c r="AM226" s="143"/>
    </row>
    <row r="227">
      <c r="A227" s="144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  <c r="AD227" s="142"/>
      <c r="AE227" s="142"/>
      <c r="AF227" s="142"/>
      <c r="AG227" s="142"/>
      <c r="AH227" s="142"/>
      <c r="AI227" s="142"/>
      <c r="AJ227" s="142"/>
      <c r="AK227" s="142"/>
      <c r="AL227" s="142"/>
      <c r="AM227" s="143"/>
    </row>
    <row r="228">
      <c r="A228" s="144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  <c r="AD228" s="142"/>
      <c r="AE228" s="142"/>
      <c r="AF228" s="142"/>
      <c r="AG228" s="142"/>
      <c r="AH228" s="142"/>
      <c r="AI228" s="142"/>
      <c r="AJ228" s="142"/>
      <c r="AK228" s="142"/>
      <c r="AL228" s="142"/>
      <c r="AM228" s="143"/>
    </row>
    <row r="229">
      <c r="A229" s="144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  <c r="AD229" s="142"/>
      <c r="AE229" s="142"/>
      <c r="AF229" s="142"/>
      <c r="AG229" s="142"/>
      <c r="AH229" s="142"/>
      <c r="AI229" s="142"/>
      <c r="AJ229" s="142"/>
      <c r="AK229" s="142"/>
      <c r="AL229" s="142"/>
      <c r="AM229" s="143"/>
    </row>
    <row r="230">
      <c r="A230" s="144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  <c r="AD230" s="142"/>
      <c r="AE230" s="142"/>
      <c r="AF230" s="142"/>
      <c r="AG230" s="142"/>
      <c r="AH230" s="142"/>
      <c r="AI230" s="142"/>
      <c r="AJ230" s="142"/>
      <c r="AK230" s="142"/>
      <c r="AL230" s="142"/>
      <c r="AM230" s="143"/>
    </row>
    <row r="231">
      <c r="A231" s="144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  <c r="AD231" s="142"/>
      <c r="AE231" s="142"/>
      <c r="AF231" s="142"/>
      <c r="AG231" s="142"/>
      <c r="AH231" s="142"/>
      <c r="AI231" s="142"/>
      <c r="AJ231" s="142"/>
      <c r="AK231" s="142"/>
      <c r="AL231" s="142"/>
      <c r="AM231" s="143"/>
    </row>
    <row r="232">
      <c r="A232" s="144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  <c r="AD232" s="142"/>
      <c r="AE232" s="142"/>
      <c r="AF232" s="142"/>
      <c r="AG232" s="142"/>
      <c r="AH232" s="142"/>
      <c r="AI232" s="142"/>
      <c r="AJ232" s="142"/>
      <c r="AK232" s="142"/>
      <c r="AL232" s="142"/>
      <c r="AM232" s="143"/>
    </row>
    <row r="233">
      <c r="A233" s="144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  <c r="AD233" s="142"/>
      <c r="AE233" s="142"/>
      <c r="AF233" s="142"/>
      <c r="AG233" s="142"/>
      <c r="AH233" s="142"/>
      <c r="AI233" s="142"/>
      <c r="AJ233" s="142"/>
      <c r="AK233" s="142"/>
      <c r="AL233" s="142"/>
      <c r="AM233" s="143"/>
    </row>
    <row r="234">
      <c r="A234" s="144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  <c r="AD234" s="142"/>
      <c r="AE234" s="142"/>
      <c r="AF234" s="142"/>
      <c r="AG234" s="142"/>
      <c r="AH234" s="142"/>
      <c r="AI234" s="142"/>
      <c r="AJ234" s="142"/>
      <c r="AK234" s="142"/>
      <c r="AL234" s="142"/>
      <c r="AM234" s="143"/>
    </row>
    <row r="235">
      <c r="A235" s="144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  <c r="AD235" s="142"/>
      <c r="AE235" s="142"/>
      <c r="AF235" s="142"/>
      <c r="AG235" s="142"/>
      <c r="AH235" s="142"/>
      <c r="AI235" s="142"/>
      <c r="AJ235" s="142"/>
      <c r="AK235" s="142"/>
      <c r="AL235" s="142"/>
      <c r="AM235" s="143"/>
    </row>
    <row r="236">
      <c r="A236" s="144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  <c r="AD236" s="142"/>
      <c r="AE236" s="142"/>
      <c r="AF236" s="142"/>
      <c r="AG236" s="142"/>
      <c r="AH236" s="142"/>
      <c r="AI236" s="142"/>
      <c r="AJ236" s="142"/>
      <c r="AK236" s="142"/>
      <c r="AL236" s="142"/>
      <c r="AM236" s="143"/>
    </row>
    <row r="237">
      <c r="A237" s="144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  <c r="AD237" s="142"/>
      <c r="AE237" s="142"/>
      <c r="AF237" s="142"/>
      <c r="AG237" s="142"/>
      <c r="AH237" s="142"/>
      <c r="AI237" s="142"/>
      <c r="AJ237" s="142"/>
      <c r="AK237" s="142"/>
      <c r="AL237" s="142"/>
      <c r="AM237" s="143"/>
    </row>
    <row r="238">
      <c r="A238" s="144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  <c r="AD238" s="142"/>
      <c r="AE238" s="142"/>
      <c r="AF238" s="142"/>
      <c r="AG238" s="142"/>
      <c r="AH238" s="142"/>
      <c r="AI238" s="142"/>
      <c r="AJ238" s="142"/>
      <c r="AK238" s="142"/>
      <c r="AL238" s="142"/>
      <c r="AM238" s="143"/>
    </row>
    <row r="239">
      <c r="A239" s="144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  <c r="AD239" s="142"/>
      <c r="AE239" s="142"/>
      <c r="AF239" s="142"/>
      <c r="AG239" s="142"/>
      <c r="AH239" s="142"/>
      <c r="AI239" s="142"/>
      <c r="AJ239" s="142"/>
      <c r="AK239" s="142"/>
      <c r="AL239" s="142"/>
      <c r="AM239" s="143"/>
    </row>
    <row r="240">
      <c r="A240" s="144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  <c r="AD240" s="142"/>
      <c r="AE240" s="142"/>
      <c r="AF240" s="142"/>
      <c r="AG240" s="142"/>
      <c r="AH240" s="142"/>
      <c r="AI240" s="142"/>
      <c r="AJ240" s="142"/>
      <c r="AK240" s="142"/>
      <c r="AL240" s="142"/>
      <c r="AM240" s="143"/>
    </row>
    <row r="241">
      <c r="A241" s="144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  <c r="AD241" s="142"/>
      <c r="AE241" s="142"/>
      <c r="AF241" s="142"/>
      <c r="AG241" s="142"/>
      <c r="AH241" s="142"/>
      <c r="AI241" s="142"/>
      <c r="AJ241" s="142"/>
      <c r="AK241" s="142"/>
      <c r="AL241" s="142"/>
      <c r="AM241" s="143"/>
    </row>
    <row r="242">
      <c r="A242" s="144"/>
      <c r="B242" s="142"/>
      <c r="C242" s="142"/>
      <c r="D242" s="14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142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  <c r="AD242" s="142"/>
      <c r="AE242" s="142"/>
      <c r="AF242" s="142"/>
      <c r="AG242" s="142"/>
      <c r="AH242" s="142"/>
      <c r="AI242" s="142"/>
      <c r="AJ242" s="142"/>
      <c r="AK242" s="142"/>
      <c r="AL242" s="142"/>
      <c r="AM242" s="143"/>
    </row>
    <row r="243">
      <c r="A243" s="144"/>
      <c r="B243" s="142"/>
      <c r="C243" s="142"/>
      <c r="D243" s="142"/>
      <c r="E243" s="142"/>
      <c r="F243" s="142"/>
      <c r="G243" s="142"/>
      <c r="H243" s="142"/>
      <c r="I243" s="142"/>
      <c r="J243" s="142"/>
      <c r="K243" s="142"/>
      <c r="L243" s="142"/>
      <c r="M243" s="142"/>
      <c r="N243" s="142"/>
      <c r="O243" s="142"/>
      <c r="P243" s="142"/>
      <c r="Q243" s="142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  <c r="AD243" s="142"/>
      <c r="AE243" s="142"/>
      <c r="AF243" s="142"/>
      <c r="AG243" s="142"/>
      <c r="AH243" s="142"/>
      <c r="AI243" s="142"/>
      <c r="AJ243" s="142"/>
      <c r="AK243" s="142"/>
      <c r="AL243" s="142"/>
      <c r="AM243" s="143"/>
    </row>
    <row r="244">
      <c r="A244" s="144"/>
      <c r="B244" s="142"/>
      <c r="C244" s="142"/>
      <c r="D244" s="14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142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  <c r="AD244" s="142"/>
      <c r="AE244" s="142"/>
      <c r="AF244" s="142"/>
      <c r="AG244" s="142"/>
      <c r="AH244" s="142"/>
      <c r="AI244" s="142"/>
      <c r="AJ244" s="142"/>
      <c r="AK244" s="142"/>
      <c r="AL244" s="142"/>
      <c r="AM244" s="143"/>
    </row>
    <row r="245">
      <c r="A245" s="144"/>
      <c r="B245" s="142"/>
      <c r="C245" s="142"/>
      <c r="D245" s="14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142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  <c r="AD245" s="142"/>
      <c r="AE245" s="142"/>
      <c r="AF245" s="142"/>
      <c r="AG245" s="142"/>
      <c r="AH245" s="142"/>
      <c r="AI245" s="142"/>
      <c r="AJ245" s="142"/>
      <c r="AK245" s="142"/>
      <c r="AL245" s="142"/>
      <c r="AM245" s="143"/>
    </row>
    <row r="246">
      <c r="A246" s="144"/>
      <c r="B246" s="142"/>
      <c r="C246" s="142"/>
      <c r="D246" s="142"/>
      <c r="E246" s="142"/>
      <c r="F246" s="142"/>
      <c r="G246" s="142"/>
      <c r="H246" s="142"/>
      <c r="I246" s="142"/>
      <c r="J246" s="142"/>
      <c r="K246" s="142"/>
      <c r="L246" s="142"/>
      <c r="M246" s="142"/>
      <c r="N246" s="142"/>
      <c r="O246" s="142"/>
      <c r="P246" s="142"/>
      <c r="Q246" s="142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  <c r="AD246" s="142"/>
      <c r="AE246" s="142"/>
      <c r="AF246" s="142"/>
      <c r="AG246" s="142"/>
      <c r="AH246" s="142"/>
      <c r="AI246" s="142"/>
      <c r="AJ246" s="142"/>
      <c r="AK246" s="142"/>
      <c r="AL246" s="142"/>
      <c r="AM246" s="143"/>
    </row>
    <row r="247">
      <c r="A247" s="144"/>
      <c r="B247" s="142"/>
      <c r="C247" s="142"/>
      <c r="D247" s="142"/>
      <c r="E247" s="142"/>
      <c r="F247" s="142"/>
      <c r="G247" s="142"/>
      <c r="H247" s="142"/>
      <c r="I247" s="142"/>
      <c r="J247" s="142"/>
      <c r="K247" s="142"/>
      <c r="L247" s="142"/>
      <c r="M247" s="142"/>
      <c r="N247" s="142"/>
      <c r="O247" s="142"/>
      <c r="P247" s="142"/>
      <c r="Q247" s="142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  <c r="AD247" s="142"/>
      <c r="AE247" s="142"/>
      <c r="AF247" s="142"/>
      <c r="AG247" s="142"/>
      <c r="AH247" s="142"/>
      <c r="AI247" s="142"/>
      <c r="AJ247" s="142"/>
      <c r="AK247" s="142"/>
      <c r="AL247" s="142"/>
      <c r="AM247" s="143"/>
    </row>
    <row r="248">
      <c r="A248" s="144"/>
      <c r="B248" s="142"/>
      <c r="C248" s="142"/>
      <c r="D248" s="142"/>
      <c r="E248" s="142"/>
      <c r="F248" s="142"/>
      <c r="G248" s="142"/>
      <c r="H248" s="142"/>
      <c r="I248" s="142"/>
      <c r="J248" s="142"/>
      <c r="K248" s="142"/>
      <c r="L248" s="142"/>
      <c r="M248" s="142"/>
      <c r="N248" s="142"/>
      <c r="O248" s="142"/>
      <c r="P248" s="142"/>
      <c r="Q248" s="142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  <c r="AD248" s="142"/>
      <c r="AE248" s="142"/>
      <c r="AF248" s="142"/>
      <c r="AG248" s="142"/>
      <c r="AH248" s="142"/>
      <c r="AI248" s="142"/>
      <c r="AJ248" s="142"/>
      <c r="AK248" s="142"/>
      <c r="AL248" s="142"/>
      <c r="AM248" s="143"/>
    </row>
    <row r="249">
      <c r="A249" s="144"/>
      <c r="B249" s="142"/>
      <c r="C249" s="142"/>
      <c r="D249" s="142"/>
      <c r="E249" s="142"/>
      <c r="F249" s="142"/>
      <c r="G249" s="142"/>
      <c r="H249" s="142"/>
      <c r="I249" s="142"/>
      <c r="J249" s="142"/>
      <c r="K249" s="142"/>
      <c r="L249" s="142"/>
      <c r="M249" s="142"/>
      <c r="N249" s="142"/>
      <c r="O249" s="142"/>
      <c r="P249" s="142"/>
      <c r="Q249" s="142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  <c r="AD249" s="142"/>
      <c r="AE249" s="142"/>
      <c r="AF249" s="142"/>
      <c r="AG249" s="142"/>
      <c r="AH249" s="142"/>
      <c r="AI249" s="142"/>
      <c r="AJ249" s="142"/>
      <c r="AK249" s="142"/>
      <c r="AL249" s="142"/>
      <c r="AM249" s="143"/>
    </row>
    <row r="250">
      <c r="A250" s="144"/>
      <c r="B250" s="142"/>
      <c r="C250" s="142"/>
      <c r="D250" s="142"/>
      <c r="E250" s="142"/>
      <c r="F250" s="142"/>
      <c r="G250" s="142"/>
      <c r="H250" s="142"/>
      <c r="I250" s="142"/>
      <c r="J250" s="142"/>
      <c r="K250" s="142"/>
      <c r="L250" s="142"/>
      <c r="M250" s="142"/>
      <c r="N250" s="142"/>
      <c r="O250" s="142"/>
      <c r="P250" s="142"/>
      <c r="Q250" s="142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  <c r="AD250" s="142"/>
      <c r="AE250" s="142"/>
      <c r="AF250" s="142"/>
      <c r="AG250" s="142"/>
      <c r="AH250" s="142"/>
      <c r="AI250" s="142"/>
      <c r="AJ250" s="142"/>
      <c r="AK250" s="142"/>
      <c r="AL250" s="142"/>
      <c r="AM250" s="143"/>
    </row>
    <row r="251">
      <c r="A251" s="144"/>
      <c r="B251" s="142"/>
      <c r="C251" s="142"/>
      <c r="D251" s="142"/>
      <c r="E251" s="142"/>
      <c r="F251" s="142"/>
      <c r="G251" s="142"/>
      <c r="H251" s="142"/>
      <c r="I251" s="142"/>
      <c r="J251" s="142"/>
      <c r="K251" s="142"/>
      <c r="L251" s="142"/>
      <c r="M251" s="142"/>
      <c r="N251" s="142"/>
      <c r="O251" s="142"/>
      <c r="P251" s="142"/>
      <c r="Q251" s="142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  <c r="AD251" s="142"/>
      <c r="AE251" s="142"/>
      <c r="AF251" s="142"/>
      <c r="AG251" s="142"/>
      <c r="AH251" s="142"/>
      <c r="AI251" s="142"/>
      <c r="AJ251" s="142"/>
      <c r="AK251" s="142"/>
      <c r="AL251" s="142"/>
      <c r="AM251" s="143"/>
    </row>
    <row r="252">
      <c r="A252" s="144"/>
      <c r="B252" s="142"/>
      <c r="C252" s="142"/>
      <c r="D252" s="142"/>
      <c r="E252" s="142"/>
      <c r="F252" s="142"/>
      <c r="G252" s="142"/>
      <c r="H252" s="142"/>
      <c r="I252" s="142"/>
      <c r="J252" s="142"/>
      <c r="K252" s="142"/>
      <c r="L252" s="142"/>
      <c r="M252" s="142"/>
      <c r="N252" s="142"/>
      <c r="O252" s="142"/>
      <c r="P252" s="142"/>
      <c r="Q252" s="142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  <c r="AD252" s="142"/>
      <c r="AE252" s="142"/>
      <c r="AF252" s="142"/>
      <c r="AG252" s="142"/>
      <c r="AH252" s="142"/>
      <c r="AI252" s="142"/>
      <c r="AJ252" s="142"/>
      <c r="AK252" s="142"/>
      <c r="AL252" s="142"/>
      <c r="AM252" s="143"/>
    </row>
    <row r="253">
      <c r="A253" s="144"/>
      <c r="B253" s="142"/>
      <c r="C253" s="142"/>
      <c r="D253" s="142"/>
      <c r="E253" s="142"/>
      <c r="F253" s="142"/>
      <c r="G253" s="142"/>
      <c r="H253" s="142"/>
      <c r="I253" s="142"/>
      <c r="J253" s="142"/>
      <c r="K253" s="142"/>
      <c r="L253" s="142"/>
      <c r="M253" s="142"/>
      <c r="N253" s="142"/>
      <c r="O253" s="142"/>
      <c r="P253" s="142"/>
      <c r="Q253" s="142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  <c r="AD253" s="142"/>
      <c r="AE253" s="142"/>
      <c r="AF253" s="142"/>
      <c r="AG253" s="142"/>
      <c r="AH253" s="142"/>
      <c r="AI253" s="142"/>
      <c r="AJ253" s="142"/>
      <c r="AK253" s="142"/>
      <c r="AL253" s="142"/>
      <c r="AM253" s="143"/>
    </row>
    <row r="254">
      <c r="A254" s="144"/>
      <c r="B254" s="142"/>
      <c r="C254" s="142"/>
      <c r="D254" s="142"/>
      <c r="E254" s="142"/>
      <c r="F254" s="142"/>
      <c r="G254" s="142"/>
      <c r="H254" s="142"/>
      <c r="I254" s="142"/>
      <c r="J254" s="142"/>
      <c r="K254" s="142"/>
      <c r="L254" s="142"/>
      <c r="M254" s="142"/>
      <c r="N254" s="142"/>
      <c r="O254" s="142"/>
      <c r="P254" s="142"/>
      <c r="Q254" s="142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  <c r="AD254" s="142"/>
      <c r="AE254" s="142"/>
      <c r="AF254" s="142"/>
      <c r="AG254" s="142"/>
      <c r="AH254" s="142"/>
      <c r="AI254" s="142"/>
      <c r="AJ254" s="142"/>
      <c r="AK254" s="142"/>
      <c r="AL254" s="142"/>
      <c r="AM254" s="143"/>
    </row>
    <row r="255">
      <c r="A255" s="144"/>
      <c r="B255" s="142"/>
      <c r="C255" s="142"/>
      <c r="D255" s="142"/>
      <c r="E255" s="142"/>
      <c r="F255" s="142"/>
      <c r="G255" s="142"/>
      <c r="H255" s="142"/>
      <c r="I255" s="142"/>
      <c r="J255" s="142"/>
      <c r="K255" s="142"/>
      <c r="L255" s="142"/>
      <c r="M255" s="142"/>
      <c r="N255" s="142"/>
      <c r="O255" s="142"/>
      <c r="P255" s="142"/>
      <c r="Q255" s="142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  <c r="AD255" s="142"/>
      <c r="AE255" s="142"/>
      <c r="AF255" s="142"/>
      <c r="AG255" s="142"/>
      <c r="AH255" s="142"/>
      <c r="AI255" s="142"/>
      <c r="AJ255" s="142"/>
      <c r="AK255" s="142"/>
      <c r="AL255" s="142"/>
      <c r="AM255" s="143"/>
    </row>
    <row r="256">
      <c r="A256" s="144"/>
      <c r="B256" s="142"/>
      <c r="C256" s="142"/>
      <c r="D256" s="142"/>
      <c r="E256" s="142"/>
      <c r="F256" s="142"/>
      <c r="G256" s="142"/>
      <c r="H256" s="142"/>
      <c r="I256" s="142"/>
      <c r="J256" s="142"/>
      <c r="K256" s="142"/>
      <c r="L256" s="142"/>
      <c r="M256" s="142"/>
      <c r="N256" s="142"/>
      <c r="O256" s="142"/>
      <c r="P256" s="142"/>
      <c r="Q256" s="142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  <c r="AD256" s="142"/>
      <c r="AE256" s="142"/>
      <c r="AF256" s="142"/>
      <c r="AG256" s="142"/>
      <c r="AH256" s="142"/>
      <c r="AI256" s="142"/>
      <c r="AJ256" s="142"/>
      <c r="AK256" s="142"/>
      <c r="AL256" s="142"/>
      <c r="AM256" s="143"/>
    </row>
    <row r="257">
      <c r="A257" s="144"/>
      <c r="B257" s="142"/>
      <c r="C257" s="142"/>
      <c r="D257" s="142"/>
      <c r="E257" s="142"/>
      <c r="F257" s="142"/>
      <c r="G257" s="142"/>
      <c r="H257" s="142"/>
      <c r="I257" s="142"/>
      <c r="J257" s="142"/>
      <c r="K257" s="142"/>
      <c r="L257" s="142"/>
      <c r="M257" s="142"/>
      <c r="N257" s="142"/>
      <c r="O257" s="142"/>
      <c r="P257" s="142"/>
      <c r="Q257" s="142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  <c r="AD257" s="142"/>
      <c r="AE257" s="142"/>
      <c r="AF257" s="142"/>
      <c r="AG257" s="142"/>
      <c r="AH257" s="142"/>
      <c r="AI257" s="142"/>
      <c r="AJ257" s="142"/>
      <c r="AK257" s="142"/>
      <c r="AL257" s="142"/>
      <c r="AM257" s="143"/>
    </row>
    <row r="258">
      <c r="A258" s="144"/>
      <c r="B258" s="142"/>
      <c r="C258" s="142"/>
      <c r="D258" s="142"/>
      <c r="E258" s="142"/>
      <c r="F258" s="142"/>
      <c r="G258" s="142"/>
      <c r="H258" s="142"/>
      <c r="I258" s="142"/>
      <c r="J258" s="142"/>
      <c r="K258" s="142"/>
      <c r="L258" s="142"/>
      <c r="M258" s="142"/>
      <c r="N258" s="142"/>
      <c r="O258" s="142"/>
      <c r="P258" s="142"/>
      <c r="Q258" s="142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  <c r="AD258" s="142"/>
      <c r="AE258" s="142"/>
      <c r="AF258" s="142"/>
      <c r="AG258" s="142"/>
      <c r="AH258" s="142"/>
      <c r="AI258" s="142"/>
      <c r="AJ258" s="142"/>
      <c r="AK258" s="142"/>
      <c r="AL258" s="142"/>
      <c r="AM258" s="143"/>
    </row>
    <row r="259">
      <c r="A259" s="144"/>
      <c r="B259" s="142"/>
      <c r="C259" s="142"/>
      <c r="D259" s="142"/>
      <c r="E259" s="142"/>
      <c r="F259" s="142"/>
      <c r="G259" s="142"/>
      <c r="H259" s="142"/>
      <c r="I259" s="142"/>
      <c r="J259" s="142"/>
      <c r="K259" s="142"/>
      <c r="L259" s="142"/>
      <c r="M259" s="142"/>
      <c r="N259" s="142"/>
      <c r="O259" s="142"/>
      <c r="P259" s="142"/>
      <c r="Q259" s="142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  <c r="AD259" s="142"/>
      <c r="AE259" s="142"/>
      <c r="AF259" s="142"/>
      <c r="AG259" s="142"/>
      <c r="AH259" s="142"/>
      <c r="AI259" s="142"/>
      <c r="AJ259" s="142"/>
      <c r="AK259" s="142"/>
      <c r="AL259" s="142"/>
      <c r="AM259" s="143"/>
    </row>
    <row r="260">
      <c r="A260" s="144"/>
      <c r="B260" s="142"/>
      <c r="C260" s="142"/>
      <c r="D260" s="142"/>
      <c r="E260" s="142"/>
      <c r="F260" s="142"/>
      <c r="G260" s="142"/>
      <c r="H260" s="142"/>
      <c r="I260" s="142"/>
      <c r="J260" s="142"/>
      <c r="K260" s="142"/>
      <c r="L260" s="142"/>
      <c r="M260" s="142"/>
      <c r="N260" s="142"/>
      <c r="O260" s="142"/>
      <c r="P260" s="142"/>
      <c r="Q260" s="142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  <c r="AD260" s="142"/>
      <c r="AE260" s="142"/>
      <c r="AF260" s="142"/>
      <c r="AG260" s="142"/>
      <c r="AH260" s="142"/>
      <c r="AI260" s="142"/>
      <c r="AJ260" s="142"/>
      <c r="AK260" s="142"/>
      <c r="AL260" s="142"/>
      <c r="AM260" s="143"/>
    </row>
    <row r="261">
      <c r="A261" s="144"/>
      <c r="B261" s="142"/>
      <c r="C261" s="142"/>
      <c r="D261" s="142"/>
      <c r="E261" s="142"/>
      <c r="F261" s="142"/>
      <c r="G261" s="142"/>
      <c r="H261" s="142"/>
      <c r="I261" s="142"/>
      <c r="J261" s="142"/>
      <c r="K261" s="142"/>
      <c r="L261" s="142"/>
      <c r="M261" s="142"/>
      <c r="N261" s="142"/>
      <c r="O261" s="142"/>
      <c r="P261" s="142"/>
      <c r="Q261" s="142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  <c r="AD261" s="142"/>
      <c r="AE261" s="142"/>
      <c r="AF261" s="142"/>
      <c r="AG261" s="142"/>
      <c r="AH261" s="142"/>
      <c r="AI261" s="142"/>
      <c r="AJ261" s="142"/>
      <c r="AK261" s="142"/>
      <c r="AL261" s="142"/>
      <c r="AM261" s="143"/>
    </row>
    <row r="262">
      <c r="A262" s="144"/>
      <c r="B262" s="142"/>
      <c r="C262" s="142"/>
      <c r="D262" s="142"/>
      <c r="E262" s="142"/>
      <c r="F262" s="142"/>
      <c r="G262" s="142"/>
      <c r="H262" s="142"/>
      <c r="I262" s="142"/>
      <c r="J262" s="142"/>
      <c r="K262" s="142"/>
      <c r="L262" s="142"/>
      <c r="M262" s="142"/>
      <c r="N262" s="142"/>
      <c r="O262" s="142"/>
      <c r="P262" s="142"/>
      <c r="Q262" s="142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  <c r="AD262" s="142"/>
      <c r="AE262" s="142"/>
      <c r="AF262" s="142"/>
      <c r="AG262" s="142"/>
      <c r="AH262" s="142"/>
      <c r="AI262" s="142"/>
      <c r="AJ262" s="142"/>
      <c r="AK262" s="142"/>
      <c r="AL262" s="142"/>
      <c r="AM262" s="143"/>
    </row>
    <row r="263">
      <c r="A263" s="144"/>
      <c r="B263" s="142"/>
      <c r="C263" s="142"/>
      <c r="D263" s="142"/>
      <c r="E263" s="142"/>
      <c r="F263" s="142"/>
      <c r="G263" s="142"/>
      <c r="H263" s="142"/>
      <c r="I263" s="142"/>
      <c r="J263" s="142"/>
      <c r="K263" s="142"/>
      <c r="L263" s="142"/>
      <c r="M263" s="142"/>
      <c r="N263" s="142"/>
      <c r="O263" s="142"/>
      <c r="P263" s="142"/>
      <c r="Q263" s="142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  <c r="AD263" s="142"/>
      <c r="AE263" s="142"/>
      <c r="AF263" s="142"/>
      <c r="AG263" s="142"/>
      <c r="AH263" s="142"/>
      <c r="AI263" s="142"/>
      <c r="AJ263" s="142"/>
      <c r="AK263" s="142"/>
      <c r="AL263" s="142"/>
      <c r="AM263" s="143"/>
    </row>
    <row r="264">
      <c r="A264" s="144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  <c r="AD264" s="142"/>
      <c r="AE264" s="142"/>
      <c r="AF264" s="142"/>
      <c r="AG264" s="142"/>
      <c r="AH264" s="142"/>
      <c r="AI264" s="142"/>
      <c r="AJ264" s="142"/>
      <c r="AK264" s="142"/>
      <c r="AL264" s="142"/>
      <c r="AM264" s="143"/>
    </row>
    <row r="265">
      <c r="A265" s="144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  <c r="AD265" s="142"/>
      <c r="AE265" s="142"/>
      <c r="AF265" s="142"/>
      <c r="AG265" s="142"/>
      <c r="AH265" s="142"/>
      <c r="AI265" s="142"/>
      <c r="AJ265" s="142"/>
      <c r="AK265" s="142"/>
      <c r="AL265" s="142"/>
      <c r="AM265" s="143"/>
    </row>
    <row r="266">
      <c r="A266" s="144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  <c r="AD266" s="142"/>
      <c r="AE266" s="142"/>
      <c r="AF266" s="142"/>
      <c r="AG266" s="142"/>
      <c r="AH266" s="142"/>
      <c r="AI266" s="142"/>
      <c r="AJ266" s="142"/>
      <c r="AK266" s="142"/>
      <c r="AL266" s="142"/>
      <c r="AM266" s="143"/>
    </row>
    <row r="267">
      <c r="A267" s="144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  <c r="AD267" s="142"/>
      <c r="AE267" s="142"/>
      <c r="AF267" s="142"/>
      <c r="AG267" s="142"/>
      <c r="AH267" s="142"/>
      <c r="AI267" s="142"/>
      <c r="AJ267" s="142"/>
      <c r="AK267" s="142"/>
      <c r="AL267" s="142"/>
      <c r="AM267" s="143"/>
    </row>
    <row r="268">
      <c r="A268" s="144"/>
      <c r="B268" s="142"/>
      <c r="C268" s="142"/>
      <c r="D268" s="142"/>
      <c r="E268" s="142"/>
      <c r="F268" s="142"/>
      <c r="G268" s="142"/>
      <c r="H268" s="142"/>
      <c r="I268" s="142"/>
      <c r="J268" s="142"/>
      <c r="K268" s="142"/>
      <c r="L268" s="142"/>
      <c r="M268" s="142"/>
      <c r="N268" s="142"/>
      <c r="O268" s="142"/>
      <c r="P268" s="142"/>
      <c r="Q268" s="142"/>
      <c r="R268" s="142"/>
      <c r="S268" s="142"/>
      <c r="T268" s="142"/>
      <c r="U268" s="142"/>
      <c r="V268" s="142"/>
      <c r="W268" s="142"/>
      <c r="X268" s="142"/>
      <c r="Y268" s="142"/>
      <c r="Z268" s="142"/>
      <c r="AA268" s="142"/>
      <c r="AB268" s="142"/>
      <c r="AC268" s="142"/>
      <c r="AD268" s="142"/>
      <c r="AE268" s="142"/>
      <c r="AF268" s="142"/>
      <c r="AG268" s="142"/>
      <c r="AH268" s="142"/>
      <c r="AI268" s="142"/>
      <c r="AJ268" s="142"/>
      <c r="AK268" s="142"/>
      <c r="AL268" s="142"/>
      <c r="AM268" s="143"/>
    </row>
    <row r="269">
      <c r="A269" s="144"/>
      <c r="B269" s="142"/>
      <c r="C269" s="142"/>
      <c r="D269" s="142"/>
      <c r="E269" s="142"/>
      <c r="F269" s="142"/>
      <c r="G269" s="142"/>
      <c r="H269" s="142"/>
      <c r="I269" s="142"/>
      <c r="J269" s="142"/>
      <c r="K269" s="142"/>
      <c r="L269" s="142"/>
      <c r="M269" s="142"/>
      <c r="N269" s="142"/>
      <c r="O269" s="142"/>
      <c r="P269" s="142"/>
      <c r="Q269" s="142"/>
      <c r="R269" s="142"/>
      <c r="S269" s="142"/>
      <c r="T269" s="142"/>
      <c r="U269" s="142"/>
      <c r="V269" s="142"/>
      <c r="W269" s="142"/>
      <c r="X269" s="142"/>
      <c r="Y269" s="142"/>
      <c r="Z269" s="142"/>
      <c r="AA269" s="142"/>
      <c r="AB269" s="142"/>
      <c r="AC269" s="142"/>
      <c r="AD269" s="142"/>
      <c r="AE269" s="142"/>
      <c r="AF269" s="142"/>
      <c r="AG269" s="142"/>
      <c r="AH269" s="142"/>
      <c r="AI269" s="142"/>
      <c r="AJ269" s="142"/>
      <c r="AK269" s="142"/>
      <c r="AL269" s="142"/>
      <c r="AM269" s="143"/>
    </row>
    <row r="270">
      <c r="A270" s="144"/>
      <c r="B270" s="142"/>
      <c r="C270" s="142"/>
      <c r="D270" s="142"/>
      <c r="E270" s="142"/>
      <c r="F270" s="142"/>
      <c r="G270" s="142"/>
      <c r="H270" s="142"/>
      <c r="I270" s="142"/>
      <c r="J270" s="142"/>
      <c r="K270" s="142"/>
      <c r="L270" s="142"/>
      <c r="M270" s="142"/>
      <c r="N270" s="142"/>
      <c r="O270" s="142"/>
      <c r="P270" s="142"/>
      <c r="Q270" s="142"/>
      <c r="R270" s="142"/>
      <c r="S270" s="142"/>
      <c r="T270" s="142"/>
      <c r="U270" s="142"/>
      <c r="V270" s="142"/>
      <c r="W270" s="142"/>
      <c r="X270" s="142"/>
      <c r="Y270" s="142"/>
      <c r="Z270" s="142"/>
      <c r="AA270" s="142"/>
      <c r="AB270" s="142"/>
      <c r="AC270" s="142"/>
      <c r="AD270" s="142"/>
      <c r="AE270" s="142"/>
      <c r="AF270" s="142"/>
      <c r="AG270" s="142"/>
      <c r="AH270" s="142"/>
      <c r="AI270" s="142"/>
      <c r="AJ270" s="142"/>
      <c r="AK270" s="142"/>
      <c r="AL270" s="142"/>
      <c r="AM270" s="143"/>
    </row>
    <row r="271">
      <c r="A271" s="144"/>
      <c r="B271" s="142"/>
      <c r="C271" s="142"/>
      <c r="D271" s="142"/>
      <c r="E271" s="142"/>
      <c r="F271" s="142"/>
      <c r="G271" s="142"/>
      <c r="H271" s="142"/>
      <c r="I271" s="142"/>
      <c r="J271" s="142"/>
      <c r="K271" s="142"/>
      <c r="L271" s="142"/>
      <c r="M271" s="142"/>
      <c r="N271" s="142"/>
      <c r="O271" s="142"/>
      <c r="P271" s="142"/>
      <c r="Q271" s="142"/>
      <c r="R271" s="142"/>
      <c r="S271" s="142"/>
      <c r="T271" s="142"/>
      <c r="U271" s="142"/>
      <c r="V271" s="142"/>
      <c r="W271" s="142"/>
      <c r="X271" s="142"/>
      <c r="Y271" s="142"/>
      <c r="Z271" s="142"/>
      <c r="AA271" s="142"/>
      <c r="AB271" s="142"/>
      <c r="AC271" s="142"/>
      <c r="AD271" s="142"/>
      <c r="AE271" s="142"/>
      <c r="AF271" s="142"/>
      <c r="AG271" s="142"/>
      <c r="AH271" s="142"/>
      <c r="AI271" s="142"/>
      <c r="AJ271" s="142"/>
      <c r="AK271" s="142"/>
      <c r="AL271" s="142"/>
      <c r="AM271" s="143"/>
    </row>
    <row r="272">
      <c r="A272" s="144"/>
      <c r="B272" s="142"/>
      <c r="C272" s="142"/>
      <c r="D272" s="142"/>
      <c r="E272" s="142"/>
      <c r="F272" s="142"/>
      <c r="G272" s="142"/>
      <c r="H272" s="142"/>
      <c r="I272" s="142"/>
      <c r="J272" s="142"/>
      <c r="K272" s="142"/>
      <c r="L272" s="142"/>
      <c r="M272" s="142"/>
      <c r="N272" s="142"/>
      <c r="O272" s="142"/>
      <c r="P272" s="142"/>
      <c r="Q272" s="142"/>
      <c r="R272" s="142"/>
      <c r="S272" s="142"/>
      <c r="T272" s="142"/>
      <c r="U272" s="142"/>
      <c r="V272" s="142"/>
      <c r="W272" s="142"/>
      <c r="X272" s="142"/>
      <c r="Y272" s="142"/>
      <c r="Z272" s="142"/>
      <c r="AA272" s="142"/>
      <c r="AB272" s="142"/>
      <c r="AC272" s="142"/>
      <c r="AD272" s="142"/>
      <c r="AE272" s="142"/>
      <c r="AF272" s="142"/>
      <c r="AG272" s="142"/>
      <c r="AH272" s="142"/>
      <c r="AI272" s="142"/>
      <c r="AJ272" s="142"/>
      <c r="AK272" s="142"/>
      <c r="AL272" s="142"/>
      <c r="AM272" s="143"/>
    </row>
    <row r="273">
      <c r="A273" s="144"/>
      <c r="B273" s="142"/>
      <c r="C273" s="142"/>
      <c r="D273" s="142"/>
      <c r="E273" s="142"/>
      <c r="F273" s="142"/>
      <c r="G273" s="142"/>
      <c r="H273" s="142"/>
      <c r="I273" s="142"/>
      <c r="J273" s="142"/>
      <c r="K273" s="142"/>
      <c r="L273" s="142"/>
      <c r="M273" s="142"/>
      <c r="N273" s="142"/>
      <c r="O273" s="142"/>
      <c r="P273" s="142"/>
      <c r="Q273" s="142"/>
      <c r="R273" s="142"/>
      <c r="S273" s="142"/>
      <c r="T273" s="142"/>
      <c r="U273" s="142"/>
      <c r="V273" s="142"/>
      <c r="W273" s="142"/>
      <c r="X273" s="142"/>
      <c r="Y273" s="142"/>
      <c r="Z273" s="142"/>
      <c r="AA273" s="142"/>
      <c r="AB273" s="142"/>
      <c r="AC273" s="142"/>
      <c r="AD273" s="142"/>
      <c r="AE273" s="142"/>
      <c r="AF273" s="142"/>
      <c r="AG273" s="142"/>
      <c r="AH273" s="142"/>
      <c r="AI273" s="142"/>
      <c r="AJ273" s="142"/>
      <c r="AK273" s="142"/>
      <c r="AL273" s="142"/>
      <c r="AM273" s="143"/>
    </row>
    <row r="274">
      <c r="A274" s="144"/>
      <c r="B274" s="142"/>
      <c r="C274" s="142"/>
      <c r="D274" s="142"/>
      <c r="E274" s="142"/>
      <c r="F274" s="142"/>
      <c r="G274" s="142"/>
      <c r="H274" s="142"/>
      <c r="I274" s="142"/>
      <c r="J274" s="142"/>
      <c r="K274" s="142"/>
      <c r="L274" s="142"/>
      <c r="M274" s="142"/>
      <c r="N274" s="142"/>
      <c r="O274" s="142"/>
      <c r="P274" s="142"/>
      <c r="Q274" s="142"/>
      <c r="R274" s="142"/>
      <c r="S274" s="142"/>
      <c r="T274" s="142"/>
      <c r="U274" s="142"/>
      <c r="V274" s="142"/>
      <c r="W274" s="142"/>
      <c r="X274" s="142"/>
      <c r="Y274" s="142"/>
      <c r="Z274" s="142"/>
      <c r="AA274" s="142"/>
      <c r="AB274" s="142"/>
      <c r="AC274" s="142"/>
      <c r="AD274" s="142"/>
      <c r="AE274" s="142"/>
      <c r="AF274" s="142"/>
      <c r="AG274" s="142"/>
      <c r="AH274" s="142"/>
      <c r="AI274" s="142"/>
      <c r="AJ274" s="142"/>
      <c r="AK274" s="142"/>
      <c r="AL274" s="142"/>
      <c r="AM274" s="143"/>
    </row>
    <row r="275">
      <c r="A275" s="144"/>
      <c r="B275" s="142"/>
      <c r="C275" s="142"/>
      <c r="D275" s="142"/>
      <c r="E275" s="142"/>
      <c r="F275" s="142"/>
      <c r="G275" s="142"/>
      <c r="H275" s="142"/>
      <c r="I275" s="142"/>
      <c r="J275" s="142"/>
      <c r="K275" s="142"/>
      <c r="L275" s="142"/>
      <c r="M275" s="142"/>
      <c r="N275" s="142"/>
      <c r="O275" s="142"/>
      <c r="P275" s="142"/>
      <c r="Q275" s="142"/>
      <c r="R275" s="142"/>
      <c r="S275" s="142"/>
      <c r="T275" s="142"/>
      <c r="U275" s="142"/>
      <c r="V275" s="142"/>
      <c r="W275" s="142"/>
      <c r="X275" s="142"/>
      <c r="Y275" s="142"/>
      <c r="Z275" s="142"/>
      <c r="AA275" s="142"/>
      <c r="AB275" s="142"/>
      <c r="AC275" s="142"/>
      <c r="AD275" s="142"/>
      <c r="AE275" s="142"/>
      <c r="AF275" s="142"/>
      <c r="AG275" s="142"/>
      <c r="AH275" s="142"/>
      <c r="AI275" s="142"/>
      <c r="AJ275" s="142"/>
      <c r="AK275" s="142"/>
      <c r="AL275" s="142"/>
      <c r="AM275" s="143"/>
    </row>
    <row r="276">
      <c r="A276" s="144"/>
      <c r="B276" s="142"/>
      <c r="C276" s="142"/>
      <c r="D276" s="142"/>
      <c r="E276" s="142"/>
      <c r="F276" s="142"/>
      <c r="G276" s="142"/>
      <c r="H276" s="142"/>
      <c r="I276" s="142"/>
      <c r="J276" s="142"/>
      <c r="K276" s="142"/>
      <c r="L276" s="142"/>
      <c r="M276" s="142"/>
      <c r="N276" s="142"/>
      <c r="O276" s="142"/>
      <c r="P276" s="142"/>
      <c r="Q276" s="142"/>
      <c r="R276" s="142"/>
      <c r="S276" s="142"/>
      <c r="T276" s="142"/>
      <c r="U276" s="142"/>
      <c r="V276" s="142"/>
      <c r="W276" s="142"/>
      <c r="X276" s="142"/>
      <c r="Y276" s="142"/>
      <c r="Z276" s="142"/>
      <c r="AA276" s="142"/>
      <c r="AB276" s="142"/>
      <c r="AC276" s="142"/>
      <c r="AD276" s="142"/>
      <c r="AE276" s="142"/>
      <c r="AF276" s="142"/>
      <c r="AG276" s="142"/>
      <c r="AH276" s="142"/>
      <c r="AI276" s="142"/>
      <c r="AJ276" s="142"/>
      <c r="AK276" s="142"/>
      <c r="AL276" s="142"/>
      <c r="AM276" s="143"/>
    </row>
    <row r="277">
      <c r="A277" s="144"/>
      <c r="B277" s="142"/>
      <c r="C277" s="142"/>
      <c r="D277" s="142"/>
      <c r="E277" s="142"/>
      <c r="F277" s="142"/>
      <c r="G277" s="142"/>
      <c r="H277" s="142"/>
      <c r="I277" s="142"/>
      <c r="J277" s="142"/>
      <c r="K277" s="142"/>
      <c r="L277" s="142"/>
      <c r="M277" s="142"/>
      <c r="N277" s="142"/>
      <c r="O277" s="142"/>
      <c r="P277" s="142"/>
      <c r="Q277" s="142"/>
      <c r="R277" s="142"/>
      <c r="S277" s="142"/>
      <c r="T277" s="142"/>
      <c r="U277" s="142"/>
      <c r="V277" s="142"/>
      <c r="W277" s="142"/>
      <c r="X277" s="142"/>
      <c r="Y277" s="142"/>
      <c r="Z277" s="142"/>
      <c r="AA277" s="142"/>
      <c r="AB277" s="142"/>
      <c r="AC277" s="142"/>
      <c r="AD277" s="142"/>
      <c r="AE277" s="142"/>
      <c r="AF277" s="142"/>
      <c r="AG277" s="142"/>
      <c r="AH277" s="142"/>
      <c r="AI277" s="142"/>
      <c r="AJ277" s="142"/>
      <c r="AK277" s="142"/>
      <c r="AL277" s="142"/>
      <c r="AM277" s="143"/>
    </row>
    <row r="278">
      <c r="A278" s="144"/>
      <c r="B278" s="142"/>
      <c r="C278" s="142"/>
      <c r="D278" s="142"/>
      <c r="E278" s="142"/>
      <c r="F278" s="142"/>
      <c r="G278" s="142"/>
      <c r="H278" s="142"/>
      <c r="I278" s="142"/>
      <c r="J278" s="142"/>
      <c r="K278" s="142"/>
      <c r="L278" s="142"/>
      <c r="M278" s="142"/>
      <c r="N278" s="142"/>
      <c r="O278" s="142"/>
      <c r="P278" s="142"/>
      <c r="Q278" s="142"/>
      <c r="R278" s="142"/>
      <c r="S278" s="142"/>
      <c r="T278" s="142"/>
      <c r="U278" s="142"/>
      <c r="V278" s="142"/>
      <c r="W278" s="142"/>
      <c r="X278" s="142"/>
      <c r="Y278" s="142"/>
      <c r="Z278" s="142"/>
      <c r="AA278" s="142"/>
      <c r="AB278" s="142"/>
      <c r="AC278" s="142"/>
      <c r="AD278" s="142"/>
      <c r="AE278" s="142"/>
      <c r="AF278" s="142"/>
      <c r="AG278" s="142"/>
      <c r="AH278" s="142"/>
      <c r="AI278" s="142"/>
      <c r="AJ278" s="142"/>
      <c r="AK278" s="142"/>
      <c r="AL278" s="142"/>
      <c r="AM278" s="143"/>
    </row>
    <row r="279">
      <c r="A279" s="144"/>
      <c r="B279" s="142"/>
      <c r="C279" s="142"/>
      <c r="D279" s="142"/>
      <c r="E279" s="142"/>
      <c r="F279" s="142"/>
      <c r="G279" s="142"/>
      <c r="H279" s="142"/>
      <c r="I279" s="142"/>
      <c r="J279" s="142"/>
      <c r="K279" s="142"/>
      <c r="L279" s="142"/>
      <c r="M279" s="142"/>
      <c r="N279" s="142"/>
      <c r="O279" s="142"/>
      <c r="P279" s="142"/>
      <c r="Q279" s="142"/>
      <c r="R279" s="142"/>
      <c r="S279" s="142"/>
      <c r="T279" s="142"/>
      <c r="U279" s="142"/>
      <c r="V279" s="142"/>
      <c r="W279" s="142"/>
      <c r="X279" s="142"/>
      <c r="Y279" s="142"/>
      <c r="Z279" s="142"/>
      <c r="AA279" s="142"/>
      <c r="AB279" s="142"/>
      <c r="AC279" s="142"/>
      <c r="AD279" s="142"/>
      <c r="AE279" s="142"/>
      <c r="AF279" s="142"/>
      <c r="AG279" s="142"/>
      <c r="AH279" s="142"/>
      <c r="AI279" s="142"/>
      <c r="AJ279" s="142"/>
      <c r="AK279" s="142"/>
      <c r="AL279" s="142"/>
      <c r="AM279" s="143"/>
    </row>
    <row r="280">
      <c r="A280" s="144"/>
      <c r="B280" s="142"/>
      <c r="C280" s="142"/>
      <c r="D280" s="142"/>
      <c r="E280" s="142"/>
      <c r="F280" s="142"/>
      <c r="G280" s="142"/>
      <c r="H280" s="142"/>
      <c r="I280" s="142"/>
      <c r="J280" s="142"/>
      <c r="K280" s="142"/>
      <c r="L280" s="142"/>
      <c r="M280" s="142"/>
      <c r="N280" s="142"/>
      <c r="O280" s="142"/>
      <c r="P280" s="142"/>
      <c r="Q280" s="142"/>
      <c r="R280" s="142"/>
      <c r="S280" s="142"/>
      <c r="T280" s="142"/>
      <c r="U280" s="142"/>
      <c r="V280" s="142"/>
      <c r="W280" s="142"/>
      <c r="X280" s="142"/>
      <c r="Y280" s="142"/>
      <c r="Z280" s="142"/>
      <c r="AA280" s="142"/>
      <c r="AB280" s="142"/>
      <c r="AC280" s="142"/>
      <c r="AD280" s="142"/>
      <c r="AE280" s="142"/>
      <c r="AF280" s="142"/>
      <c r="AG280" s="142"/>
      <c r="AH280" s="142"/>
      <c r="AI280" s="142"/>
      <c r="AJ280" s="142"/>
      <c r="AK280" s="142"/>
      <c r="AL280" s="142"/>
      <c r="AM280" s="143"/>
    </row>
    <row r="281">
      <c r="A281" s="144"/>
      <c r="B281" s="142"/>
      <c r="C281" s="142"/>
      <c r="D281" s="142"/>
      <c r="E281" s="142"/>
      <c r="F281" s="142"/>
      <c r="G281" s="142"/>
      <c r="H281" s="142"/>
      <c r="I281" s="142"/>
      <c r="J281" s="142"/>
      <c r="K281" s="142"/>
      <c r="L281" s="142"/>
      <c r="M281" s="142"/>
      <c r="N281" s="142"/>
      <c r="O281" s="142"/>
      <c r="P281" s="142"/>
      <c r="Q281" s="142"/>
      <c r="R281" s="142"/>
      <c r="S281" s="142"/>
      <c r="T281" s="142"/>
      <c r="U281" s="142"/>
      <c r="V281" s="142"/>
      <c r="W281" s="142"/>
      <c r="X281" s="142"/>
      <c r="Y281" s="142"/>
      <c r="Z281" s="142"/>
      <c r="AA281" s="142"/>
      <c r="AB281" s="142"/>
      <c r="AC281" s="142"/>
      <c r="AD281" s="142"/>
      <c r="AE281" s="142"/>
      <c r="AF281" s="142"/>
      <c r="AG281" s="142"/>
      <c r="AH281" s="142"/>
      <c r="AI281" s="142"/>
      <c r="AJ281" s="142"/>
      <c r="AK281" s="142"/>
      <c r="AL281" s="142"/>
      <c r="AM281" s="143"/>
    </row>
    <row r="282">
      <c r="A282" s="144"/>
      <c r="B282" s="142"/>
      <c r="C282" s="142"/>
      <c r="D282" s="142"/>
      <c r="E282" s="142"/>
      <c r="F282" s="142"/>
      <c r="G282" s="142"/>
      <c r="H282" s="142"/>
      <c r="I282" s="142"/>
      <c r="J282" s="142"/>
      <c r="K282" s="142"/>
      <c r="L282" s="142"/>
      <c r="M282" s="142"/>
      <c r="N282" s="142"/>
      <c r="O282" s="142"/>
      <c r="P282" s="142"/>
      <c r="Q282" s="142"/>
      <c r="R282" s="142"/>
      <c r="S282" s="142"/>
      <c r="T282" s="142"/>
      <c r="U282" s="142"/>
      <c r="V282" s="142"/>
      <c r="W282" s="142"/>
      <c r="X282" s="142"/>
      <c r="Y282" s="142"/>
      <c r="Z282" s="142"/>
      <c r="AA282" s="142"/>
      <c r="AB282" s="142"/>
      <c r="AC282" s="142"/>
      <c r="AD282" s="142"/>
      <c r="AE282" s="142"/>
      <c r="AF282" s="142"/>
      <c r="AG282" s="142"/>
      <c r="AH282" s="142"/>
      <c r="AI282" s="142"/>
      <c r="AJ282" s="142"/>
      <c r="AK282" s="142"/>
      <c r="AL282" s="142"/>
      <c r="AM282" s="143"/>
    </row>
    <row r="283">
      <c r="A283" s="144"/>
      <c r="B283" s="142"/>
      <c r="C283" s="142"/>
      <c r="D283" s="142"/>
      <c r="E283" s="142"/>
      <c r="F283" s="142"/>
      <c r="G283" s="142"/>
      <c r="H283" s="142"/>
      <c r="I283" s="142"/>
      <c r="J283" s="142"/>
      <c r="K283" s="142"/>
      <c r="L283" s="142"/>
      <c r="M283" s="142"/>
      <c r="N283" s="142"/>
      <c r="O283" s="142"/>
      <c r="P283" s="142"/>
      <c r="Q283" s="142"/>
      <c r="R283" s="142"/>
      <c r="S283" s="142"/>
      <c r="T283" s="142"/>
      <c r="U283" s="142"/>
      <c r="V283" s="142"/>
      <c r="W283" s="142"/>
      <c r="X283" s="142"/>
      <c r="Y283" s="142"/>
      <c r="Z283" s="142"/>
      <c r="AA283" s="142"/>
      <c r="AB283" s="142"/>
      <c r="AC283" s="142"/>
      <c r="AD283" s="142"/>
      <c r="AE283" s="142"/>
      <c r="AF283" s="142"/>
      <c r="AG283" s="142"/>
      <c r="AH283" s="142"/>
      <c r="AI283" s="142"/>
      <c r="AJ283" s="142"/>
      <c r="AK283" s="142"/>
      <c r="AL283" s="142"/>
      <c r="AM283" s="143"/>
    </row>
    <row r="284">
      <c r="A284" s="144"/>
      <c r="B284" s="142"/>
      <c r="C284" s="142"/>
      <c r="D284" s="142"/>
      <c r="E284" s="142"/>
      <c r="F284" s="142"/>
      <c r="G284" s="142"/>
      <c r="H284" s="142"/>
      <c r="I284" s="142"/>
      <c r="J284" s="142"/>
      <c r="K284" s="142"/>
      <c r="L284" s="142"/>
      <c r="M284" s="142"/>
      <c r="N284" s="142"/>
      <c r="O284" s="142"/>
      <c r="P284" s="142"/>
      <c r="Q284" s="142"/>
      <c r="R284" s="142"/>
      <c r="S284" s="142"/>
      <c r="T284" s="142"/>
      <c r="U284" s="142"/>
      <c r="V284" s="142"/>
      <c r="W284" s="142"/>
      <c r="X284" s="142"/>
      <c r="Y284" s="142"/>
      <c r="Z284" s="142"/>
      <c r="AA284" s="142"/>
      <c r="AB284" s="142"/>
      <c r="AC284" s="142"/>
      <c r="AD284" s="142"/>
      <c r="AE284" s="142"/>
      <c r="AF284" s="142"/>
      <c r="AG284" s="142"/>
      <c r="AH284" s="142"/>
      <c r="AI284" s="142"/>
      <c r="AJ284" s="142"/>
      <c r="AK284" s="142"/>
      <c r="AL284" s="142"/>
      <c r="AM284" s="143"/>
    </row>
    <row r="285">
      <c r="A285" s="144"/>
      <c r="B285" s="142"/>
      <c r="C285" s="142"/>
      <c r="D285" s="142"/>
      <c r="E285" s="142"/>
      <c r="F285" s="142"/>
      <c r="G285" s="142"/>
      <c r="H285" s="142"/>
      <c r="I285" s="142"/>
      <c r="J285" s="142"/>
      <c r="K285" s="142"/>
      <c r="L285" s="142"/>
      <c r="M285" s="142"/>
      <c r="N285" s="142"/>
      <c r="O285" s="142"/>
      <c r="P285" s="142"/>
      <c r="Q285" s="142"/>
      <c r="R285" s="142"/>
      <c r="S285" s="142"/>
      <c r="T285" s="142"/>
      <c r="U285" s="142"/>
      <c r="V285" s="142"/>
      <c r="W285" s="142"/>
      <c r="X285" s="142"/>
      <c r="Y285" s="142"/>
      <c r="Z285" s="142"/>
      <c r="AA285" s="142"/>
      <c r="AB285" s="142"/>
      <c r="AC285" s="142"/>
      <c r="AD285" s="142"/>
      <c r="AE285" s="142"/>
      <c r="AF285" s="142"/>
      <c r="AG285" s="142"/>
      <c r="AH285" s="142"/>
      <c r="AI285" s="142"/>
      <c r="AJ285" s="142"/>
      <c r="AK285" s="142"/>
      <c r="AL285" s="142"/>
      <c r="AM285" s="143"/>
    </row>
    <row r="286">
      <c r="A286" s="144"/>
      <c r="B286" s="142"/>
      <c r="C286" s="142"/>
      <c r="D286" s="142"/>
      <c r="E286" s="142"/>
      <c r="F286" s="142"/>
      <c r="G286" s="142"/>
      <c r="H286" s="142"/>
      <c r="I286" s="142"/>
      <c r="J286" s="142"/>
      <c r="K286" s="142"/>
      <c r="L286" s="142"/>
      <c r="M286" s="142"/>
      <c r="N286" s="142"/>
      <c r="O286" s="142"/>
      <c r="P286" s="142"/>
      <c r="Q286" s="142"/>
      <c r="R286" s="142"/>
      <c r="S286" s="142"/>
      <c r="T286" s="142"/>
      <c r="U286" s="142"/>
      <c r="V286" s="142"/>
      <c r="W286" s="142"/>
      <c r="X286" s="142"/>
      <c r="Y286" s="142"/>
      <c r="Z286" s="142"/>
      <c r="AA286" s="142"/>
      <c r="AB286" s="142"/>
      <c r="AC286" s="142"/>
      <c r="AD286" s="142"/>
      <c r="AE286" s="142"/>
      <c r="AF286" s="142"/>
      <c r="AG286" s="142"/>
      <c r="AH286" s="142"/>
      <c r="AI286" s="142"/>
      <c r="AJ286" s="142"/>
      <c r="AK286" s="142"/>
      <c r="AL286" s="142"/>
      <c r="AM286" s="143"/>
    </row>
    <row r="287">
      <c r="A287" s="144"/>
      <c r="B287" s="142"/>
      <c r="C287" s="142"/>
      <c r="D287" s="142"/>
      <c r="E287" s="142"/>
      <c r="F287" s="142"/>
      <c r="G287" s="142"/>
      <c r="H287" s="142"/>
      <c r="I287" s="142"/>
      <c r="J287" s="142"/>
      <c r="K287" s="142"/>
      <c r="L287" s="142"/>
      <c r="M287" s="142"/>
      <c r="N287" s="142"/>
      <c r="O287" s="142"/>
      <c r="P287" s="142"/>
      <c r="Q287" s="142"/>
      <c r="R287" s="142"/>
      <c r="S287" s="142"/>
      <c r="T287" s="142"/>
      <c r="U287" s="142"/>
      <c r="V287" s="142"/>
      <c r="W287" s="142"/>
      <c r="X287" s="142"/>
      <c r="Y287" s="142"/>
      <c r="Z287" s="142"/>
      <c r="AA287" s="142"/>
      <c r="AB287" s="142"/>
      <c r="AC287" s="142"/>
      <c r="AD287" s="142"/>
      <c r="AE287" s="142"/>
      <c r="AF287" s="142"/>
      <c r="AG287" s="142"/>
      <c r="AH287" s="142"/>
      <c r="AI287" s="142"/>
      <c r="AJ287" s="142"/>
      <c r="AK287" s="142"/>
      <c r="AL287" s="142"/>
      <c r="AM287" s="143"/>
    </row>
    <row r="288">
      <c r="A288" s="144"/>
      <c r="B288" s="142"/>
      <c r="C288" s="142"/>
      <c r="D288" s="142"/>
      <c r="E288" s="142"/>
      <c r="F288" s="142"/>
      <c r="G288" s="142"/>
      <c r="H288" s="142"/>
      <c r="I288" s="142"/>
      <c r="J288" s="142"/>
      <c r="K288" s="142"/>
      <c r="L288" s="142"/>
      <c r="M288" s="142"/>
      <c r="N288" s="142"/>
      <c r="O288" s="142"/>
      <c r="P288" s="142"/>
      <c r="Q288" s="142"/>
      <c r="R288" s="142"/>
      <c r="S288" s="142"/>
      <c r="T288" s="142"/>
      <c r="U288" s="142"/>
      <c r="V288" s="142"/>
      <c r="W288" s="142"/>
      <c r="X288" s="142"/>
      <c r="Y288" s="142"/>
      <c r="Z288" s="142"/>
      <c r="AA288" s="142"/>
      <c r="AB288" s="142"/>
      <c r="AC288" s="142"/>
      <c r="AD288" s="142"/>
      <c r="AE288" s="142"/>
      <c r="AF288" s="142"/>
      <c r="AG288" s="142"/>
      <c r="AH288" s="142"/>
      <c r="AI288" s="142"/>
      <c r="AJ288" s="142"/>
      <c r="AK288" s="142"/>
      <c r="AL288" s="142"/>
      <c r="AM288" s="143"/>
    </row>
    <row r="289">
      <c r="A289" s="144"/>
      <c r="B289" s="142"/>
      <c r="C289" s="142"/>
      <c r="D289" s="142"/>
      <c r="E289" s="142"/>
      <c r="F289" s="142"/>
      <c r="G289" s="142"/>
      <c r="H289" s="142"/>
      <c r="I289" s="142"/>
      <c r="J289" s="142"/>
      <c r="K289" s="142"/>
      <c r="L289" s="142"/>
      <c r="M289" s="142"/>
      <c r="N289" s="142"/>
      <c r="O289" s="142"/>
      <c r="P289" s="142"/>
      <c r="Q289" s="142"/>
      <c r="R289" s="142"/>
      <c r="S289" s="142"/>
      <c r="T289" s="142"/>
      <c r="U289" s="142"/>
      <c r="V289" s="142"/>
      <c r="W289" s="142"/>
      <c r="X289" s="142"/>
      <c r="Y289" s="142"/>
      <c r="Z289" s="142"/>
      <c r="AA289" s="142"/>
      <c r="AB289" s="142"/>
      <c r="AC289" s="142"/>
      <c r="AD289" s="142"/>
      <c r="AE289" s="142"/>
      <c r="AF289" s="142"/>
      <c r="AG289" s="142"/>
      <c r="AH289" s="142"/>
      <c r="AI289" s="142"/>
      <c r="AJ289" s="142"/>
      <c r="AK289" s="142"/>
      <c r="AL289" s="142"/>
      <c r="AM289" s="143"/>
    </row>
    <row r="290">
      <c r="A290" s="144"/>
      <c r="B290" s="142"/>
      <c r="C290" s="142"/>
      <c r="D290" s="142"/>
      <c r="E290" s="142"/>
      <c r="F290" s="142"/>
      <c r="G290" s="142"/>
      <c r="H290" s="142"/>
      <c r="I290" s="142"/>
      <c r="J290" s="142"/>
      <c r="K290" s="142"/>
      <c r="L290" s="142"/>
      <c r="M290" s="142"/>
      <c r="N290" s="142"/>
      <c r="O290" s="142"/>
      <c r="P290" s="142"/>
      <c r="Q290" s="142"/>
      <c r="R290" s="142"/>
      <c r="S290" s="142"/>
      <c r="T290" s="142"/>
      <c r="U290" s="142"/>
      <c r="V290" s="142"/>
      <c r="W290" s="142"/>
      <c r="X290" s="142"/>
      <c r="Y290" s="142"/>
      <c r="Z290" s="142"/>
      <c r="AA290" s="142"/>
      <c r="AB290" s="142"/>
      <c r="AC290" s="142"/>
      <c r="AD290" s="142"/>
      <c r="AE290" s="142"/>
      <c r="AF290" s="142"/>
      <c r="AG290" s="142"/>
      <c r="AH290" s="142"/>
      <c r="AI290" s="142"/>
      <c r="AJ290" s="142"/>
      <c r="AK290" s="142"/>
      <c r="AL290" s="142"/>
      <c r="AM290" s="143"/>
    </row>
    <row r="291">
      <c r="A291" s="144"/>
      <c r="B291" s="142"/>
      <c r="C291" s="142"/>
      <c r="D291" s="142"/>
      <c r="E291" s="142"/>
      <c r="F291" s="142"/>
      <c r="G291" s="142"/>
      <c r="H291" s="142"/>
      <c r="I291" s="142"/>
      <c r="J291" s="142"/>
      <c r="K291" s="142"/>
      <c r="L291" s="142"/>
      <c r="M291" s="142"/>
      <c r="N291" s="142"/>
      <c r="O291" s="142"/>
      <c r="P291" s="142"/>
      <c r="Q291" s="142"/>
      <c r="R291" s="142"/>
      <c r="S291" s="142"/>
      <c r="T291" s="142"/>
      <c r="U291" s="142"/>
      <c r="V291" s="142"/>
      <c r="W291" s="142"/>
      <c r="X291" s="142"/>
      <c r="Y291" s="142"/>
      <c r="Z291" s="142"/>
      <c r="AA291" s="142"/>
      <c r="AB291" s="142"/>
      <c r="AC291" s="142"/>
      <c r="AD291" s="142"/>
      <c r="AE291" s="142"/>
      <c r="AF291" s="142"/>
      <c r="AG291" s="142"/>
      <c r="AH291" s="142"/>
      <c r="AI291" s="142"/>
      <c r="AJ291" s="142"/>
      <c r="AK291" s="142"/>
      <c r="AL291" s="142"/>
      <c r="AM291" s="143"/>
    </row>
    <row r="292">
      <c r="A292" s="144"/>
      <c r="B292" s="142"/>
      <c r="C292" s="142"/>
      <c r="D292" s="142"/>
      <c r="E292" s="142"/>
      <c r="F292" s="142"/>
      <c r="G292" s="142"/>
      <c r="H292" s="142"/>
      <c r="I292" s="142"/>
      <c r="J292" s="142"/>
      <c r="K292" s="142"/>
      <c r="L292" s="142"/>
      <c r="M292" s="142"/>
      <c r="N292" s="142"/>
      <c r="O292" s="142"/>
      <c r="P292" s="142"/>
      <c r="Q292" s="142"/>
      <c r="R292" s="142"/>
      <c r="S292" s="142"/>
      <c r="T292" s="142"/>
      <c r="U292" s="142"/>
      <c r="V292" s="142"/>
      <c r="W292" s="142"/>
      <c r="X292" s="142"/>
      <c r="Y292" s="142"/>
      <c r="Z292" s="142"/>
      <c r="AA292" s="142"/>
      <c r="AB292" s="142"/>
      <c r="AC292" s="142"/>
      <c r="AD292" s="142"/>
      <c r="AE292" s="142"/>
      <c r="AF292" s="142"/>
      <c r="AG292" s="142"/>
      <c r="AH292" s="142"/>
      <c r="AI292" s="142"/>
      <c r="AJ292" s="142"/>
      <c r="AK292" s="142"/>
      <c r="AL292" s="142"/>
      <c r="AM292" s="143"/>
    </row>
    <row r="293">
      <c r="A293" s="144"/>
      <c r="B293" s="142"/>
      <c r="C293" s="142"/>
      <c r="D293" s="142"/>
      <c r="E293" s="142"/>
      <c r="F293" s="142"/>
      <c r="G293" s="142"/>
      <c r="H293" s="142"/>
      <c r="I293" s="142"/>
      <c r="J293" s="142"/>
      <c r="K293" s="142"/>
      <c r="L293" s="142"/>
      <c r="M293" s="142"/>
      <c r="N293" s="142"/>
      <c r="O293" s="142"/>
      <c r="P293" s="142"/>
      <c r="Q293" s="142"/>
      <c r="R293" s="142"/>
      <c r="S293" s="142"/>
      <c r="T293" s="142"/>
      <c r="U293" s="142"/>
      <c r="V293" s="142"/>
      <c r="W293" s="142"/>
      <c r="X293" s="142"/>
      <c r="Y293" s="142"/>
      <c r="Z293" s="142"/>
      <c r="AA293" s="142"/>
      <c r="AB293" s="142"/>
      <c r="AC293" s="142"/>
      <c r="AD293" s="142"/>
      <c r="AE293" s="142"/>
      <c r="AF293" s="142"/>
      <c r="AG293" s="142"/>
      <c r="AH293" s="142"/>
      <c r="AI293" s="142"/>
      <c r="AJ293" s="142"/>
      <c r="AK293" s="142"/>
      <c r="AL293" s="142"/>
      <c r="AM293" s="143"/>
    </row>
    <row r="294">
      <c r="A294" s="144"/>
      <c r="B294" s="142"/>
      <c r="C294" s="142"/>
      <c r="D294" s="142"/>
      <c r="E294" s="142"/>
      <c r="F294" s="142"/>
      <c r="G294" s="142"/>
      <c r="H294" s="142"/>
      <c r="I294" s="142"/>
      <c r="J294" s="142"/>
      <c r="K294" s="142"/>
      <c r="L294" s="142"/>
      <c r="M294" s="142"/>
      <c r="N294" s="142"/>
      <c r="O294" s="142"/>
      <c r="P294" s="142"/>
      <c r="Q294" s="142"/>
      <c r="R294" s="142"/>
      <c r="S294" s="142"/>
      <c r="T294" s="142"/>
      <c r="U294" s="142"/>
      <c r="V294" s="142"/>
      <c r="W294" s="142"/>
      <c r="X294" s="142"/>
      <c r="Y294" s="142"/>
      <c r="Z294" s="142"/>
      <c r="AA294" s="142"/>
      <c r="AB294" s="142"/>
      <c r="AC294" s="142"/>
      <c r="AD294" s="142"/>
      <c r="AE294" s="142"/>
      <c r="AF294" s="142"/>
      <c r="AG294" s="142"/>
      <c r="AH294" s="142"/>
      <c r="AI294" s="142"/>
      <c r="AJ294" s="142"/>
      <c r="AK294" s="142"/>
      <c r="AL294" s="142"/>
      <c r="AM294" s="143"/>
    </row>
    <row r="295">
      <c r="A295" s="144"/>
      <c r="B295" s="142"/>
      <c r="C295" s="142"/>
      <c r="D295" s="142"/>
      <c r="E295" s="142"/>
      <c r="F295" s="142"/>
      <c r="G295" s="142"/>
      <c r="H295" s="142"/>
      <c r="I295" s="142"/>
      <c r="J295" s="142"/>
      <c r="K295" s="142"/>
      <c r="L295" s="142"/>
      <c r="M295" s="142"/>
      <c r="N295" s="142"/>
      <c r="O295" s="142"/>
      <c r="P295" s="142"/>
      <c r="Q295" s="142"/>
      <c r="R295" s="142"/>
      <c r="S295" s="142"/>
      <c r="T295" s="142"/>
      <c r="U295" s="142"/>
      <c r="V295" s="142"/>
      <c r="W295" s="142"/>
      <c r="X295" s="142"/>
      <c r="Y295" s="142"/>
      <c r="Z295" s="142"/>
      <c r="AA295" s="142"/>
      <c r="AB295" s="142"/>
      <c r="AC295" s="142"/>
      <c r="AD295" s="142"/>
      <c r="AE295" s="142"/>
      <c r="AF295" s="142"/>
      <c r="AG295" s="142"/>
      <c r="AH295" s="142"/>
      <c r="AI295" s="142"/>
      <c r="AJ295" s="142"/>
      <c r="AK295" s="142"/>
      <c r="AL295" s="142"/>
      <c r="AM295" s="143"/>
    </row>
    <row r="296">
      <c r="A296" s="144"/>
      <c r="B296" s="142"/>
      <c r="C296" s="142"/>
      <c r="D296" s="142"/>
      <c r="E296" s="142"/>
      <c r="F296" s="142"/>
      <c r="G296" s="142"/>
      <c r="H296" s="142"/>
      <c r="I296" s="142"/>
      <c r="J296" s="142"/>
      <c r="K296" s="142"/>
      <c r="L296" s="142"/>
      <c r="M296" s="142"/>
      <c r="N296" s="142"/>
      <c r="O296" s="142"/>
      <c r="P296" s="142"/>
      <c r="Q296" s="142"/>
      <c r="R296" s="142"/>
      <c r="S296" s="142"/>
      <c r="T296" s="142"/>
      <c r="U296" s="142"/>
      <c r="V296" s="142"/>
      <c r="W296" s="142"/>
      <c r="X296" s="142"/>
      <c r="Y296" s="142"/>
      <c r="Z296" s="142"/>
      <c r="AA296" s="142"/>
      <c r="AB296" s="142"/>
      <c r="AC296" s="142"/>
      <c r="AD296" s="142"/>
      <c r="AE296" s="142"/>
      <c r="AF296" s="142"/>
      <c r="AG296" s="142"/>
      <c r="AH296" s="142"/>
      <c r="AI296" s="142"/>
      <c r="AJ296" s="142"/>
      <c r="AK296" s="142"/>
      <c r="AL296" s="142"/>
      <c r="AM296" s="143"/>
    </row>
    <row r="297">
      <c r="A297" s="144"/>
      <c r="B297" s="142"/>
      <c r="C297" s="142"/>
      <c r="D297" s="142"/>
      <c r="E297" s="142"/>
      <c r="F297" s="142"/>
      <c r="G297" s="142"/>
      <c r="H297" s="142"/>
      <c r="I297" s="142"/>
      <c r="J297" s="142"/>
      <c r="K297" s="142"/>
      <c r="L297" s="142"/>
      <c r="M297" s="142"/>
      <c r="N297" s="142"/>
      <c r="O297" s="142"/>
      <c r="P297" s="142"/>
      <c r="Q297" s="142"/>
      <c r="R297" s="142"/>
      <c r="S297" s="142"/>
      <c r="T297" s="142"/>
      <c r="U297" s="142"/>
      <c r="V297" s="142"/>
      <c r="W297" s="142"/>
      <c r="X297" s="142"/>
      <c r="Y297" s="142"/>
      <c r="Z297" s="142"/>
      <c r="AA297" s="142"/>
      <c r="AB297" s="142"/>
      <c r="AC297" s="142"/>
      <c r="AD297" s="142"/>
      <c r="AE297" s="142"/>
      <c r="AF297" s="142"/>
      <c r="AG297" s="142"/>
      <c r="AH297" s="142"/>
      <c r="AI297" s="142"/>
      <c r="AJ297" s="142"/>
      <c r="AK297" s="142"/>
      <c r="AL297" s="142"/>
      <c r="AM297" s="143"/>
    </row>
    <row r="298">
      <c r="A298" s="144"/>
      <c r="B298" s="142"/>
      <c r="C298" s="142"/>
      <c r="D298" s="142"/>
      <c r="E298" s="142"/>
      <c r="F298" s="142"/>
      <c r="G298" s="142"/>
      <c r="H298" s="142"/>
      <c r="I298" s="142"/>
      <c r="J298" s="142"/>
      <c r="K298" s="142"/>
      <c r="L298" s="142"/>
      <c r="M298" s="142"/>
      <c r="N298" s="142"/>
      <c r="O298" s="142"/>
      <c r="P298" s="142"/>
      <c r="Q298" s="142"/>
      <c r="R298" s="142"/>
      <c r="S298" s="142"/>
      <c r="T298" s="142"/>
      <c r="U298" s="142"/>
      <c r="V298" s="142"/>
      <c r="W298" s="142"/>
      <c r="X298" s="142"/>
      <c r="Y298" s="142"/>
      <c r="Z298" s="142"/>
      <c r="AA298" s="142"/>
      <c r="AB298" s="142"/>
      <c r="AC298" s="142"/>
      <c r="AD298" s="142"/>
      <c r="AE298" s="142"/>
      <c r="AF298" s="142"/>
      <c r="AG298" s="142"/>
      <c r="AH298" s="142"/>
      <c r="AI298" s="142"/>
      <c r="AJ298" s="142"/>
      <c r="AK298" s="142"/>
      <c r="AL298" s="142"/>
      <c r="AM298" s="143"/>
    </row>
    <row r="299">
      <c r="A299" s="144"/>
      <c r="B299" s="142"/>
      <c r="C299" s="142"/>
      <c r="D299" s="142"/>
      <c r="E299" s="142"/>
      <c r="F299" s="142"/>
      <c r="G299" s="142"/>
      <c r="H299" s="142"/>
      <c r="I299" s="142"/>
      <c r="J299" s="142"/>
      <c r="K299" s="142"/>
      <c r="L299" s="142"/>
      <c r="M299" s="142"/>
      <c r="N299" s="142"/>
      <c r="O299" s="142"/>
      <c r="P299" s="142"/>
      <c r="Q299" s="142"/>
      <c r="R299" s="142"/>
      <c r="S299" s="142"/>
      <c r="T299" s="142"/>
      <c r="U299" s="142"/>
      <c r="V299" s="142"/>
      <c r="W299" s="142"/>
      <c r="X299" s="142"/>
      <c r="Y299" s="142"/>
      <c r="Z299" s="142"/>
      <c r="AA299" s="142"/>
      <c r="AB299" s="142"/>
      <c r="AC299" s="142"/>
      <c r="AD299" s="142"/>
      <c r="AE299" s="142"/>
      <c r="AF299" s="142"/>
      <c r="AG299" s="142"/>
      <c r="AH299" s="142"/>
      <c r="AI299" s="142"/>
      <c r="AJ299" s="142"/>
      <c r="AK299" s="142"/>
      <c r="AL299" s="142"/>
      <c r="AM299" s="143"/>
    </row>
    <row r="300">
      <c r="A300" s="144"/>
      <c r="B300" s="142"/>
      <c r="C300" s="142"/>
      <c r="D300" s="142"/>
      <c r="E300" s="142"/>
      <c r="F300" s="142"/>
      <c r="G300" s="142"/>
      <c r="H300" s="142"/>
      <c r="I300" s="142"/>
      <c r="J300" s="142"/>
      <c r="K300" s="142"/>
      <c r="L300" s="142"/>
      <c r="M300" s="142"/>
      <c r="N300" s="142"/>
      <c r="O300" s="142"/>
      <c r="P300" s="142"/>
      <c r="Q300" s="142"/>
      <c r="R300" s="142"/>
      <c r="S300" s="142"/>
      <c r="T300" s="142"/>
      <c r="U300" s="142"/>
      <c r="V300" s="142"/>
      <c r="W300" s="142"/>
      <c r="X300" s="142"/>
      <c r="Y300" s="142"/>
      <c r="Z300" s="142"/>
      <c r="AA300" s="142"/>
      <c r="AB300" s="142"/>
      <c r="AC300" s="142"/>
      <c r="AD300" s="142"/>
      <c r="AE300" s="142"/>
      <c r="AF300" s="142"/>
      <c r="AG300" s="142"/>
      <c r="AH300" s="142"/>
      <c r="AI300" s="142"/>
      <c r="AJ300" s="142"/>
      <c r="AK300" s="142"/>
      <c r="AL300" s="142"/>
      <c r="AM300" s="143"/>
    </row>
    <row r="301">
      <c r="A301" s="144"/>
      <c r="B301" s="142"/>
      <c r="C301" s="142"/>
      <c r="D301" s="142"/>
      <c r="E301" s="142"/>
      <c r="F301" s="142"/>
      <c r="G301" s="142"/>
      <c r="H301" s="142"/>
      <c r="I301" s="142"/>
      <c r="J301" s="142"/>
      <c r="K301" s="142"/>
      <c r="L301" s="142"/>
      <c r="M301" s="142"/>
      <c r="N301" s="142"/>
      <c r="O301" s="142"/>
      <c r="P301" s="142"/>
      <c r="Q301" s="142"/>
      <c r="R301" s="142"/>
      <c r="S301" s="142"/>
      <c r="T301" s="142"/>
      <c r="U301" s="142"/>
      <c r="V301" s="142"/>
      <c r="W301" s="142"/>
      <c r="X301" s="142"/>
      <c r="Y301" s="142"/>
      <c r="Z301" s="142"/>
      <c r="AA301" s="142"/>
      <c r="AB301" s="142"/>
      <c r="AC301" s="142"/>
      <c r="AD301" s="142"/>
      <c r="AE301" s="142"/>
      <c r="AF301" s="142"/>
      <c r="AG301" s="142"/>
      <c r="AH301" s="142"/>
      <c r="AI301" s="142"/>
      <c r="AJ301" s="142"/>
      <c r="AK301" s="142"/>
      <c r="AL301" s="142"/>
      <c r="AM301" s="143"/>
    </row>
    <row r="302">
      <c r="A302" s="144"/>
      <c r="B302" s="142"/>
      <c r="C302" s="142"/>
      <c r="D302" s="142"/>
      <c r="E302" s="142"/>
      <c r="F302" s="142"/>
      <c r="G302" s="142"/>
      <c r="H302" s="142"/>
      <c r="I302" s="142"/>
      <c r="J302" s="142"/>
      <c r="K302" s="142"/>
      <c r="L302" s="142"/>
      <c r="M302" s="142"/>
      <c r="N302" s="142"/>
      <c r="O302" s="142"/>
      <c r="P302" s="142"/>
      <c r="Q302" s="142"/>
      <c r="R302" s="142"/>
      <c r="S302" s="142"/>
      <c r="T302" s="142"/>
      <c r="U302" s="142"/>
      <c r="V302" s="142"/>
      <c r="W302" s="142"/>
      <c r="X302" s="142"/>
      <c r="Y302" s="142"/>
      <c r="Z302" s="142"/>
      <c r="AA302" s="142"/>
      <c r="AB302" s="142"/>
      <c r="AC302" s="142"/>
      <c r="AD302" s="142"/>
      <c r="AE302" s="142"/>
      <c r="AF302" s="142"/>
      <c r="AG302" s="142"/>
      <c r="AH302" s="142"/>
      <c r="AI302" s="142"/>
      <c r="AJ302" s="142"/>
      <c r="AK302" s="142"/>
      <c r="AL302" s="142"/>
      <c r="AM302" s="143"/>
    </row>
    <row r="303">
      <c r="A303" s="144"/>
      <c r="B303" s="142"/>
      <c r="C303" s="142"/>
      <c r="D303" s="142"/>
      <c r="E303" s="142"/>
      <c r="F303" s="142"/>
      <c r="G303" s="142"/>
      <c r="H303" s="142"/>
      <c r="I303" s="142"/>
      <c r="J303" s="142"/>
      <c r="K303" s="142"/>
      <c r="L303" s="142"/>
      <c r="M303" s="142"/>
      <c r="N303" s="142"/>
      <c r="O303" s="142"/>
      <c r="P303" s="142"/>
      <c r="Q303" s="142"/>
      <c r="R303" s="142"/>
      <c r="S303" s="142"/>
      <c r="T303" s="142"/>
      <c r="U303" s="142"/>
      <c r="V303" s="142"/>
      <c r="W303" s="142"/>
      <c r="X303" s="142"/>
      <c r="Y303" s="142"/>
      <c r="Z303" s="142"/>
      <c r="AA303" s="142"/>
      <c r="AB303" s="142"/>
      <c r="AC303" s="142"/>
      <c r="AD303" s="142"/>
      <c r="AE303" s="142"/>
      <c r="AF303" s="142"/>
      <c r="AG303" s="142"/>
      <c r="AH303" s="142"/>
      <c r="AI303" s="142"/>
      <c r="AJ303" s="142"/>
      <c r="AK303" s="142"/>
      <c r="AL303" s="142"/>
      <c r="AM303" s="143"/>
    </row>
    <row r="304">
      <c r="A304" s="144"/>
      <c r="B304" s="142"/>
      <c r="C304" s="142"/>
      <c r="D304" s="142"/>
      <c r="E304" s="142"/>
      <c r="F304" s="142"/>
      <c r="G304" s="142"/>
      <c r="H304" s="142"/>
      <c r="I304" s="142"/>
      <c r="J304" s="142"/>
      <c r="K304" s="142"/>
      <c r="L304" s="142"/>
      <c r="M304" s="142"/>
      <c r="N304" s="142"/>
      <c r="O304" s="142"/>
      <c r="P304" s="142"/>
      <c r="Q304" s="142"/>
      <c r="R304" s="142"/>
      <c r="S304" s="142"/>
      <c r="T304" s="142"/>
      <c r="U304" s="142"/>
      <c r="V304" s="142"/>
      <c r="W304" s="142"/>
      <c r="X304" s="142"/>
      <c r="Y304" s="142"/>
      <c r="Z304" s="142"/>
      <c r="AA304" s="142"/>
      <c r="AB304" s="142"/>
      <c r="AC304" s="142"/>
      <c r="AD304" s="142"/>
      <c r="AE304" s="142"/>
      <c r="AF304" s="142"/>
      <c r="AG304" s="142"/>
      <c r="AH304" s="142"/>
      <c r="AI304" s="142"/>
      <c r="AJ304" s="142"/>
      <c r="AK304" s="142"/>
      <c r="AL304" s="142"/>
      <c r="AM304" s="143"/>
    </row>
    <row r="305">
      <c r="A305" s="144"/>
      <c r="B305" s="142"/>
      <c r="C305" s="142"/>
      <c r="D305" s="142"/>
      <c r="E305" s="142"/>
      <c r="F305" s="142"/>
      <c r="G305" s="142"/>
      <c r="H305" s="142"/>
      <c r="I305" s="142"/>
      <c r="J305" s="142"/>
      <c r="K305" s="142"/>
      <c r="L305" s="142"/>
      <c r="M305" s="142"/>
      <c r="N305" s="142"/>
      <c r="O305" s="142"/>
      <c r="P305" s="142"/>
      <c r="Q305" s="142"/>
      <c r="R305" s="142"/>
      <c r="S305" s="142"/>
      <c r="T305" s="142"/>
      <c r="U305" s="142"/>
      <c r="V305" s="142"/>
      <c r="W305" s="142"/>
      <c r="X305" s="142"/>
      <c r="Y305" s="142"/>
      <c r="Z305" s="142"/>
      <c r="AA305" s="142"/>
      <c r="AB305" s="142"/>
      <c r="AC305" s="142"/>
      <c r="AD305" s="142"/>
      <c r="AE305" s="142"/>
      <c r="AF305" s="142"/>
      <c r="AG305" s="142"/>
      <c r="AH305" s="142"/>
      <c r="AI305" s="142"/>
      <c r="AJ305" s="142"/>
      <c r="AK305" s="142"/>
      <c r="AL305" s="142"/>
      <c r="AM305" s="143"/>
    </row>
    <row r="306">
      <c r="A306" s="144"/>
      <c r="B306" s="142"/>
      <c r="C306" s="142"/>
      <c r="D306" s="142"/>
      <c r="E306" s="142"/>
      <c r="F306" s="142"/>
      <c r="G306" s="142"/>
      <c r="H306" s="142"/>
      <c r="I306" s="142"/>
      <c r="J306" s="142"/>
      <c r="K306" s="142"/>
      <c r="L306" s="142"/>
      <c r="M306" s="142"/>
      <c r="N306" s="142"/>
      <c r="O306" s="142"/>
      <c r="P306" s="142"/>
      <c r="Q306" s="142"/>
      <c r="R306" s="142"/>
      <c r="S306" s="142"/>
      <c r="T306" s="142"/>
      <c r="U306" s="142"/>
      <c r="V306" s="142"/>
      <c r="W306" s="142"/>
      <c r="X306" s="142"/>
      <c r="Y306" s="142"/>
      <c r="Z306" s="142"/>
      <c r="AA306" s="142"/>
      <c r="AB306" s="142"/>
      <c r="AC306" s="142"/>
      <c r="AD306" s="142"/>
      <c r="AE306" s="142"/>
      <c r="AF306" s="142"/>
      <c r="AG306" s="142"/>
      <c r="AH306" s="142"/>
      <c r="AI306" s="142"/>
      <c r="AJ306" s="142"/>
      <c r="AK306" s="142"/>
      <c r="AL306" s="142"/>
      <c r="AM306" s="143"/>
    </row>
    <row r="307">
      <c r="A307" s="144"/>
      <c r="B307" s="142"/>
      <c r="C307" s="142"/>
      <c r="D307" s="142"/>
      <c r="E307" s="142"/>
      <c r="F307" s="142"/>
      <c r="G307" s="142"/>
      <c r="H307" s="142"/>
      <c r="I307" s="142"/>
      <c r="J307" s="142"/>
      <c r="K307" s="142"/>
      <c r="L307" s="142"/>
      <c r="M307" s="142"/>
      <c r="N307" s="142"/>
      <c r="O307" s="142"/>
      <c r="P307" s="142"/>
      <c r="Q307" s="142"/>
      <c r="R307" s="142"/>
      <c r="S307" s="142"/>
      <c r="T307" s="142"/>
      <c r="U307" s="142"/>
      <c r="V307" s="142"/>
      <c r="W307" s="142"/>
      <c r="X307" s="142"/>
      <c r="Y307" s="142"/>
      <c r="Z307" s="142"/>
      <c r="AA307" s="142"/>
      <c r="AB307" s="142"/>
      <c r="AC307" s="142"/>
      <c r="AD307" s="142"/>
      <c r="AE307" s="142"/>
      <c r="AF307" s="142"/>
      <c r="AG307" s="142"/>
      <c r="AH307" s="142"/>
      <c r="AI307" s="142"/>
      <c r="AJ307" s="142"/>
      <c r="AK307" s="142"/>
      <c r="AL307" s="142"/>
      <c r="AM307" s="143"/>
    </row>
    <row r="308">
      <c r="A308" s="144"/>
      <c r="B308" s="142"/>
      <c r="C308" s="142"/>
      <c r="D308" s="142"/>
      <c r="E308" s="142"/>
      <c r="F308" s="142"/>
      <c r="G308" s="142"/>
      <c r="H308" s="142"/>
      <c r="I308" s="142"/>
      <c r="J308" s="142"/>
      <c r="K308" s="142"/>
      <c r="L308" s="142"/>
      <c r="M308" s="142"/>
      <c r="N308" s="142"/>
      <c r="O308" s="142"/>
      <c r="P308" s="142"/>
      <c r="Q308" s="142"/>
      <c r="R308" s="142"/>
      <c r="S308" s="142"/>
      <c r="T308" s="142"/>
      <c r="U308" s="142"/>
      <c r="V308" s="142"/>
      <c r="W308" s="142"/>
      <c r="X308" s="142"/>
      <c r="Y308" s="142"/>
      <c r="Z308" s="142"/>
      <c r="AA308" s="142"/>
      <c r="AB308" s="142"/>
      <c r="AC308" s="142"/>
      <c r="AD308" s="142"/>
      <c r="AE308" s="142"/>
      <c r="AF308" s="142"/>
      <c r="AG308" s="142"/>
      <c r="AH308" s="142"/>
      <c r="AI308" s="142"/>
      <c r="AJ308" s="142"/>
      <c r="AK308" s="142"/>
      <c r="AL308" s="142"/>
      <c r="AM308" s="143"/>
    </row>
    <row r="309">
      <c r="A309" s="144"/>
      <c r="B309" s="142"/>
      <c r="C309" s="142"/>
      <c r="D309" s="142"/>
      <c r="E309" s="142"/>
      <c r="F309" s="142"/>
      <c r="G309" s="142"/>
      <c r="H309" s="142"/>
      <c r="I309" s="142"/>
      <c r="J309" s="142"/>
      <c r="K309" s="142"/>
      <c r="L309" s="142"/>
      <c r="M309" s="142"/>
      <c r="N309" s="142"/>
      <c r="O309" s="142"/>
      <c r="P309" s="142"/>
      <c r="Q309" s="142"/>
      <c r="R309" s="142"/>
      <c r="S309" s="142"/>
      <c r="T309" s="142"/>
      <c r="U309" s="142"/>
      <c r="V309" s="142"/>
      <c r="W309" s="142"/>
      <c r="X309" s="142"/>
      <c r="Y309" s="142"/>
      <c r="Z309" s="142"/>
      <c r="AA309" s="142"/>
      <c r="AB309" s="142"/>
      <c r="AC309" s="142"/>
      <c r="AD309" s="142"/>
      <c r="AE309" s="142"/>
      <c r="AF309" s="142"/>
      <c r="AG309" s="142"/>
      <c r="AH309" s="142"/>
      <c r="AI309" s="142"/>
      <c r="AJ309" s="142"/>
      <c r="AK309" s="142"/>
      <c r="AL309" s="142"/>
      <c r="AM309" s="143"/>
    </row>
    <row r="310">
      <c r="A310" s="144"/>
      <c r="B310" s="142"/>
      <c r="C310" s="142"/>
      <c r="D310" s="142"/>
      <c r="E310" s="142"/>
      <c r="F310" s="142"/>
      <c r="G310" s="142"/>
      <c r="H310" s="142"/>
      <c r="I310" s="142"/>
      <c r="J310" s="142"/>
      <c r="K310" s="142"/>
      <c r="L310" s="142"/>
      <c r="M310" s="142"/>
      <c r="N310" s="142"/>
      <c r="O310" s="142"/>
      <c r="P310" s="142"/>
      <c r="Q310" s="142"/>
      <c r="R310" s="142"/>
      <c r="S310" s="142"/>
      <c r="T310" s="142"/>
      <c r="U310" s="142"/>
      <c r="V310" s="142"/>
      <c r="W310" s="142"/>
      <c r="X310" s="142"/>
      <c r="Y310" s="142"/>
      <c r="Z310" s="142"/>
      <c r="AA310" s="142"/>
      <c r="AB310" s="142"/>
      <c r="AC310" s="142"/>
      <c r="AD310" s="142"/>
      <c r="AE310" s="142"/>
      <c r="AF310" s="142"/>
      <c r="AG310" s="142"/>
      <c r="AH310" s="142"/>
      <c r="AI310" s="142"/>
      <c r="AJ310" s="142"/>
      <c r="AK310" s="142"/>
      <c r="AL310" s="142"/>
      <c r="AM310" s="143"/>
    </row>
    <row r="311">
      <c r="A311" s="144"/>
      <c r="B311" s="142"/>
      <c r="C311" s="142"/>
      <c r="D311" s="142"/>
      <c r="E311" s="142"/>
      <c r="F311" s="142"/>
      <c r="G311" s="142"/>
      <c r="H311" s="142"/>
      <c r="I311" s="142"/>
      <c r="J311" s="142"/>
      <c r="K311" s="142"/>
      <c r="L311" s="142"/>
      <c r="M311" s="142"/>
      <c r="N311" s="142"/>
      <c r="O311" s="142"/>
      <c r="P311" s="142"/>
      <c r="Q311" s="142"/>
      <c r="R311" s="142"/>
      <c r="S311" s="142"/>
      <c r="T311" s="142"/>
      <c r="U311" s="142"/>
      <c r="V311" s="142"/>
      <c r="W311" s="142"/>
      <c r="X311" s="142"/>
      <c r="Y311" s="142"/>
      <c r="Z311" s="142"/>
      <c r="AA311" s="142"/>
      <c r="AB311" s="142"/>
      <c r="AC311" s="142"/>
      <c r="AD311" s="142"/>
      <c r="AE311" s="142"/>
      <c r="AF311" s="142"/>
      <c r="AG311" s="142"/>
      <c r="AH311" s="142"/>
      <c r="AI311" s="142"/>
      <c r="AJ311" s="142"/>
      <c r="AK311" s="142"/>
      <c r="AL311" s="142"/>
      <c r="AM311" s="143"/>
    </row>
    <row r="312">
      <c r="A312" s="144"/>
      <c r="B312" s="142"/>
      <c r="C312" s="142"/>
      <c r="D312" s="142"/>
      <c r="E312" s="142"/>
      <c r="F312" s="142"/>
      <c r="G312" s="142"/>
      <c r="H312" s="142"/>
      <c r="I312" s="142"/>
      <c r="J312" s="142"/>
      <c r="K312" s="142"/>
      <c r="L312" s="142"/>
      <c r="M312" s="142"/>
      <c r="N312" s="142"/>
      <c r="O312" s="142"/>
      <c r="P312" s="142"/>
      <c r="Q312" s="142"/>
      <c r="R312" s="142"/>
      <c r="S312" s="142"/>
      <c r="T312" s="142"/>
      <c r="U312" s="142"/>
      <c r="V312" s="142"/>
      <c r="W312" s="142"/>
      <c r="X312" s="142"/>
      <c r="Y312" s="142"/>
      <c r="Z312" s="142"/>
      <c r="AA312" s="142"/>
      <c r="AB312" s="142"/>
      <c r="AC312" s="142"/>
      <c r="AD312" s="142"/>
      <c r="AE312" s="142"/>
      <c r="AF312" s="142"/>
      <c r="AG312" s="142"/>
      <c r="AH312" s="142"/>
      <c r="AI312" s="142"/>
      <c r="AJ312" s="142"/>
      <c r="AK312" s="142"/>
      <c r="AL312" s="142"/>
      <c r="AM312" s="143"/>
    </row>
    <row r="313">
      <c r="A313" s="144"/>
      <c r="B313" s="142"/>
      <c r="C313" s="142"/>
      <c r="D313" s="142"/>
      <c r="E313" s="142"/>
      <c r="F313" s="142"/>
      <c r="G313" s="142"/>
      <c r="H313" s="142"/>
      <c r="I313" s="142"/>
      <c r="J313" s="142"/>
      <c r="K313" s="142"/>
      <c r="L313" s="142"/>
      <c r="M313" s="142"/>
      <c r="N313" s="142"/>
      <c r="O313" s="142"/>
      <c r="P313" s="142"/>
      <c r="Q313" s="142"/>
      <c r="R313" s="142"/>
      <c r="S313" s="142"/>
      <c r="T313" s="142"/>
      <c r="U313" s="142"/>
      <c r="V313" s="142"/>
      <c r="W313" s="142"/>
      <c r="X313" s="142"/>
      <c r="Y313" s="142"/>
      <c r="Z313" s="142"/>
      <c r="AA313" s="142"/>
      <c r="AB313" s="142"/>
      <c r="AC313" s="142"/>
      <c r="AD313" s="142"/>
      <c r="AE313" s="142"/>
      <c r="AF313" s="142"/>
      <c r="AG313" s="142"/>
      <c r="AH313" s="142"/>
      <c r="AI313" s="142"/>
      <c r="AJ313" s="142"/>
      <c r="AK313" s="142"/>
      <c r="AL313" s="142"/>
      <c r="AM313" s="143"/>
    </row>
    <row r="314">
      <c r="A314" s="144"/>
      <c r="B314" s="142"/>
      <c r="C314" s="142"/>
      <c r="D314" s="142"/>
      <c r="E314" s="142"/>
      <c r="F314" s="142"/>
      <c r="G314" s="142"/>
      <c r="H314" s="142"/>
      <c r="I314" s="142"/>
      <c r="J314" s="142"/>
      <c r="K314" s="142"/>
      <c r="L314" s="142"/>
      <c r="M314" s="142"/>
      <c r="N314" s="142"/>
      <c r="O314" s="142"/>
      <c r="P314" s="142"/>
      <c r="Q314" s="142"/>
      <c r="R314" s="142"/>
      <c r="S314" s="142"/>
      <c r="T314" s="142"/>
      <c r="U314" s="142"/>
      <c r="V314" s="142"/>
      <c r="W314" s="142"/>
      <c r="X314" s="142"/>
      <c r="Y314" s="142"/>
      <c r="Z314" s="142"/>
      <c r="AA314" s="142"/>
      <c r="AB314" s="142"/>
      <c r="AC314" s="142"/>
      <c r="AD314" s="142"/>
      <c r="AE314" s="142"/>
      <c r="AF314" s="142"/>
      <c r="AG314" s="142"/>
      <c r="AH314" s="142"/>
      <c r="AI314" s="142"/>
      <c r="AJ314" s="142"/>
      <c r="AK314" s="142"/>
      <c r="AL314" s="142"/>
      <c r="AM314" s="143"/>
    </row>
    <row r="315">
      <c r="A315" s="144"/>
      <c r="B315" s="142"/>
      <c r="C315" s="142"/>
      <c r="D315" s="142"/>
      <c r="E315" s="142"/>
      <c r="F315" s="142"/>
      <c r="G315" s="142"/>
      <c r="H315" s="142"/>
      <c r="I315" s="142"/>
      <c r="J315" s="142"/>
      <c r="K315" s="142"/>
      <c r="L315" s="142"/>
      <c r="M315" s="142"/>
      <c r="N315" s="142"/>
      <c r="O315" s="142"/>
      <c r="P315" s="142"/>
      <c r="Q315" s="142"/>
      <c r="R315" s="142"/>
      <c r="S315" s="142"/>
      <c r="T315" s="142"/>
      <c r="U315" s="142"/>
      <c r="V315" s="142"/>
      <c r="W315" s="142"/>
      <c r="X315" s="142"/>
      <c r="Y315" s="142"/>
      <c r="Z315" s="142"/>
      <c r="AA315" s="142"/>
      <c r="AB315" s="142"/>
      <c r="AC315" s="142"/>
      <c r="AD315" s="142"/>
      <c r="AE315" s="142"/>
      <c r="AF315" s="142"/>
      <c r="AG315" s="142"/>
      <c r="AH315" s="142"/>
      <c r="AI315" s="142"/>
      <c r="AJ315" s="142"/>
      <c r="AK315" s="142"/>
      <c r="AL315" s="142"/>
      <c r="AM315" s="143"/>
    </row>
    <row r="316">
      <c r="A316" s="144"/>
      <c r="B316" s="142"/>
      <c r="C316" s="142"/>
      <c r="D316" s="142"/>
      <c r="E316" s="142"/>
      <c r="F316" s="142"/>
      <c r="G316" s="142"/>
      <c r="H316" s="142"/>
      <c r="I316" s="142"/>
      <c r="J316" s="142"/>
      <c r="K316" s="142"/>
      <c r="L316" s="142"/>
      <c r="M316" s="142"/>
      <c r="N316" s="142"/>
      <c r="O316" s="142"/>
      <c r="P316" s="142"/>
      <c r="Q316" s="142"/>
      <c r="R316" s="142"/>
      <c r="S316" s="142"/>
      <c r="T316" s="142"/>
      <c r="U316" s="142"/>
      <c r="V316" s="142"/>
      <c r="W316" s="142"/>
      <c r="X316" s="142"/>
      <c r="Y316" s="142"/>
      <c r="Z316" s="142"/>
      <c r="AA316" s="142"/>
      <c r="AB316" s="142"/>
      <c r="AC316" s="142"/>
      <c r="AD316" s="142"/>
      <c r="AE316" s="142"/>
      <c r="AF316" s="142"/>
      <c r="AG316" s="142"/>
      <c r="AH316" s="142"/>
      <c r="AI316" s="142"/>
      <c r="AJ316" s="142"/>
      <c r="AK316" s="142"/>
      <c r="AL316" s="142"/>
      <c r="AM316" s="143"/>
    </row>
    <row r="317">
      <c r="A317" s="144"/>
      <c r="B317" s="142"/>
      <c r="C317" s="142"/>
      <c r="D317" s="142"/>
      <c r="E317" s="142"/>
      <c r="F317" s="142"/>
      <c r="G317" s="142"/>
      <c r="H317" s="142"/>
      <c r="I317" s="142"/>
      <c r="J317" s="142"/>
      <c r="K317" s="142"/>
      <c r="L317" s="142"/>
      <c r="M317" s="142"/>
      <c r="N317" s="142"/>
      <c r="O317" s="142"/>
      <c r="P317" s="142"/>
      <c r="Q317" s="142"/>
      <c r="R317" s="142"/>
      <c r="S317" s="142"/>
      <c r="T317" s="142"/>
      <c r="U317" s="142"/>
      <c r="V317" s="142"/>
      <c r="W317" s="142"/>
      <c r="X317" s="142"/>
      <c r="Y317" s="142"/>
      <c r="Z317" s="142"/>
      <c r="AA317" s="142"/>
      <c r="AB317" s="142"/>
      <c r="AC317" s="142"/>
      <c r="AD317" s="142"/>
      <c r="AE317" s="142"/>
      <c r="AF317" s="142"/>
      <c r="AG317" s="142"/>
      <c r="AH317" s="142"/>
      <c r="AI317" s="142"/>
      <c r="AJ317" s="142"/>
      <c r="AK317" s="142"/>
      <c r="AL317" s="142"/>
      <c r="AM317" s="143"/>
    </row>
    <row r="318">
      <c r="A318" s="144"/>
      <c r="B318" s="142"/>
      <c r="C318" s="142"/>
      <c r="D318" s="142"/>
      <c r="E318" s="142"/>
      <c r="F318" s="142"/>
      <c r="G318" s="142"/>
      <c r="H318" s="142"/>
      <c r="I318" s="142"/>
      <c r="J318" s="142"/>
      <c r="K318" s="142"/>
      <c r="L318" s="142"/>
      <c r="M318" s="142"/>
      <c r="N318" s="142"/>
      <c r="O318" s="142"/>
      <c r="P318" s="142"/>
      <c r="Q318" s="142"/>
      <c r="R318" s="142"/>
      <c r="S318" s="142"/>
      <c r="T318" s="142"/>
      <c r="U318" s="142"/>
      <c r="V318" s="142"/>
      <c r="W318" s="142"/>
      <c r="X318" s="142"/>
      <c r="Y318" s="142"/>
      <c r="Z318" s="142"/>
      <c r="AA318" s="142"/>
      <c r="AB318" s="142"/>
      <c r="AC318" s="142"/>
      <c r="AD318" s="142"/>
      <c r="AE318" s="142"/>
      <c r="AF318" s="142"/>
      <c r="AG318" s="142"/>
      <c r="AH318" s="142"/>
      <c r="AI318" s="142"/>
      <c r="AJ318" s="142"/>
      <c r="AK318" s="142"/>
      <c r="AL318" s="142"/>
      <c r="AM318" s="143"/>
    </row>
    <row r="319">
      <c r="A319" s="144"/>
      <c r="B319" s="142"/>
      <c r="C319" s="142"/>
      <c r="D319" s="142"/>
      <c r="E319" s="142"/>
      <c r="F319" s="142"/>
      <c r="G319" s="142"/>
      <c r="H319" s="142"/>
      <c r="I319" s="142"/>
      <c r="J319" s="142"/>
      <c r="K319" s="142"/>
      <c r="L319" s="142"/>
      <c r="M319" s="142"/>
      <c r="N319" s="142"/>
      <c r="O319" s="142"/>
      <c r="P319" s="142"/>
      <c r="Q319" s="142"/>
      <c r="R319" s="142"/>
      <c r="S319" s="142"/>
      <c r="T319" s="142"/>
      <c r="U319" s="142"/>
      <c r="V319" s="142"/>
      <c r="W319" s="142"/>
      <c r="X319" s="142"/>
      <c r="Y319" s="142"/>
      <c r="Z319" s="142"/>
      <c r="AA319" s="142"/>
      <c r="AB319" s="142"/>
      <c r="AC319" s="142"/>
      <c r="AD319" s="142"/>
      <c r="AE319" s="142"/>
      <c r="AF319" s="142"/>
      <c r="AG319" s="142"/>
      <c r="AH319" s="142"/>
      <c r="AI319" s="142"/>
      <c r="AJ319" s="142"/>
      <c r="AK319" s="142"/>
      <c r="AL319" s="142"/>
      <c r="AM319" s="143"/>
    </row>
    <row r="320">
      <c r="A320" s="144"/>
      <c r="B320" s="142"/>
      <c r="C320" s="142"/>
      <c r="D320" s="142"/>
      <c r="E320" s="142"/>
      <c r="F320" s="142"/>
      <c r="G320" s="142"/>
      <c r="H320" s="142"/>
      <c r="I320" s="142"/>
      <c r="J320" s="142"/>
      <c r="K320" s="142"/>
      <c r="L320" s="142"/>
      <c r="M320" s="142"/>
      <c r="N320" s="142"/>
      <c r="O320" s="142"/>
      <c r="P320" s="142"/>
      <c r="Q320" s="142"/>
      <c r="R320" s="142"/>
      <c r="S320" s="142"/>
      <c r="T320" s="142"/>
      <c r="U320" s="142"/>
      <c r="V320" s="142"/>
      <c r="W320" s="142"/>
      <c r="X320" s="142"/>
      <c r="Y320" s="142"/>
      <c r="Z320" s="142"/>
      <c r="AA320" s="142"/>
      <c r="AB320" s="142"/>
      <c r="AC320" s="142"/>
      <c r="AD320" s="142"/>
      <c r="AE320" s="142"/>
      <c r="AF320" s="142"/>
      <c r="AG320" s="142"/>
      <c r="AH320" s="142"/>
      <c r="AI320" s="142"/>
      <c r="AJ320" s="142"/>
      <c r="AK320" s="142"/>
      <c r="AL320" s="142"/>
      <c r="AM320" s="143"/>
    </row>
    <row r="321">
      <c r="A321" s="144"/>
      <c r="B321" s="142"/>
      <c r="C321" s="142"/>
      <c r="D321" s="142"/>
      <c r="E321" s="142"/>
      <c r="F321" s="142"/>
      <c r="G321" s="142"/>
      <c r="H321" s="142"/>
      <c r="I321" s="142"/>
      <c r="J321" s="142"/>
      <c r="K321" s="142"/>
      <c r="L321" s="142"/>
      <c r="M321" s="142"/>
      <c r="N321" s="142"/>
      <c r="O321" s="142"/>
      <c r="P321" s="142"/>
      <c r="Q321" s="142"/>
      <c r="R321" s="142"/>
      <c r="S321" s="142"/>
      <c r="T321" s="142"/>
      <c r="U321" s="142"/>
      <c r="V321" s="142"/>
      <c r="W321" s="142"/>
      <c r="X321" s="142"/>
      <c r="Y321" s="142"/>
      <c r="Z321" s="142"/>
      <c r="AA321" s="142"/>
      <c r="AB321" s="142"/>
      <c r="AC321" s="142"/>
      <c r="AD321" s="142"/>
      <c r="AE321" s="142"/>
      <c r="AF321" s="142"/>
      <c r="AG321" s="142"/>
      <c r="AH321" s="142"/>
      <c r="AI321" s="142"/>
      <c r="AJ321" s="142"/>
      <c r="AK321" s="142"/>
      <c r="AL321" s="142"/>
      <c r="AM321" s="143"/>
    </row>
    <row r="322">
      <c r="A322" s="144"/>
      <c r="B322" s="142"/>
      <c r="C322" s="142"/>
      <c r="D322" s="142"/>
      <c r="E322" s="142"/>
      <c r="F322" s="142"/>
      <c r="G322" s="142"/>
      <c r="H322" s="142"/>
      <c r="I322" s="142"/>
      <c r="J322" s="142"/>
      <c r="K322" s="142"/>
      <c r="L322" s="142"/>
      <c r="M322" s="142"/>
      <c r="N322" s="142"/>
      <c r="O322" s="142"/>
      <c r="P322" s="142"/>
      <c r="Q322" s="142"/>
      <c r="R322" s="142"/>
      <c r="S322" s="142"/>
      <c r="T322" s="142"/>
      <c r="U322" s="142"/>
      <c r="V322" s="142"/>
      <c r="W322" s="142"/>
      <c r="X322" s="142"/>
      <c r="Y322" s="142"/>
      <c r="Z322" s="142"/>
      <c r="AA322" s="142"/>
      <c r="AB322" s="142"/>
      <c r="AC322" s="142"/>
      <c r="AD322" s="142"/>
      <c r="AE322" s="142"/>
      <c r="AF322" s="142"/>
      <c r="AG322" s="142"/>
      <c r="AH322" s="142"/>
      <c r="AI322" s="142"/>
      <c r="AJ322" s="142"/>
      <c r="AK322" s="142"/>
      <c r="AL322" s="142"/>
      <c r="AM322" s="143"/>
    </row>
    <row r="323">
      <c r="A323" s="144"/>
      <c r="B323" s="142"/>
      <c r="C323" s="142"/>
      <c r="D323" s="142"/>
      <c r="E323" s="142"/>
      <c r="F323" s="142"/>
      <c r="G323" s="142"/>
      <c r="H323" s="142"/>
      <c r="I323" s="142"/>
      <c r="J323" s="142"/>
      <c r="K323" s="142"/>
      <c r="L323" s="142"/>
      <c r="M323" s="142"/>
      <c r="N323" s="142"/>
      <c r="O323" s="142"/>
      <c r="P323" s="142"/>
      <c r="Q323" s="142"/>
      <c r="R323" s="142"/>
      <c r="S323" s="142"/>
      <c r="T323" s="142"/>
      <c r="U323" s="142"/>
      <c r="V323" s="142"/>
      <c r="W323" s="142"/>
      <c r="X323" s="142"/>
      <c r="Y323" s="142"/>
      <c r="Z323" s="142"/>
      <c r="AA323" s="142"/>
      <c r="AB323" s="142"/>
      <c r="AC323" s="142"/>
      <c r="AD323" s="142"/>
      <c r="AE323" s="142"/>
      <c r="AF323" s="142"/>
      <c r="AG323" s="142"/>
      <c r="AH323" s="142"/>
      <c r="AI323" s="142"/>
      <c r="AJ323" s="142"/>
      <c r="AK323" s="142"/>
      <c r="AL323" s="142"/>
      <c r="AM323" s="143"/>
    </row>
    <row r="324">
      <c r="A324" s="144"/>
      <c r="B324" s="142"/>
      <c r="C324" s="142"/>
      <c r="D324" s="142"/>
      <c r="E324" s="142"/>
      <c r="F324" s="142"/>
      <c r="G324" s="142"/>
      <c r="H324" s="142"/>
      <c r="I324" s="142"/>
      <c r="J324" s="142"/>
      <c r="K324" s="142"/>
      <c r="L324" s="142"/>
      <c r="M324" s="142"/>
      <c r="N324" s="142"/>
      <c r="O324" s="142"/>
      <c r="P324" s="142"/>
      <c r="Q324" s="142"/>
      <c r="R324" s="142"/>
      <c r="S324" s="142"/>
      <c r="T324" s="142"/>
      <c r="U324" s="142"/>
      <c r="V324" s="142"/>
      <c r="W324" s="142"/>
      <c r="X324" s="142"/>
      <c r="Y324" s="142"/>
      <c r="Z324" s="142"/>
      <c r="AA324" s="142"/>
      <c r="AB324" s="142"/>
      <c r="AC324" s="142"/>
      <c r="AD324" s="142"/>
      <c r="AE324" s="142"/>
      <c r="AF324" s="142"/>
      <c r="AG324" s="142"/>
      <c r="AH324" s="142"/>
      <c r="AI324" s="142"/>
      <c r="AJ324" s="142"/>
      <c r="AK324" s="142"/>
      <c r="AL324" s="142"/>
      <c r="AM324" s="143"/>
    </row>
    <row r="325">
      <c r="A325" s="144"/>
      <c r="B325" s="142"/>
      <c r="C325" s="142"/>
      <c r="D325" s="142"/>
      <c r="E325" s="142"/>
      <c r="F325" s="142"/>
      <c r="G325" s="142"/>
      <c r="H325" s="142"/>
      <c r="I325" s="142"/>
      <c r="J325" s="142"/>
      <c r="K325" s="142"/>
      <c r="L325" s="142"/>
      <c r="M325" s="142"/>
      <c r="N325" s="142"/>
      <c r="O325" s="142"/>
      <c r="P325" s="142"/>
      <c r="Q325" s="142"/>
      <c r="R325" s="142"/>
      <c r="S325" s="142"/>
      <c r="T325" s="142"/>
      <c r="U325" s="142"/>
      <c r="V325" s="142"/>
      <c r="W325" s="142"/>
      <c r="X325" s="142"/>
      <c r="Y325" s="142"/>
      <c r="Z325" s="142"/>
      <c r="AA325" s="142"/>
      <c r="AB325" s="142"/>
      <c r="AC325" s="142"/>
      <c r="AD325" s="142"/>
      <c r="AE325" s="142"/>
      <c r="AF325" s="142"/>
      <c r="AG325" s="142"/>
      <c r="AH325" s="142"/>
      <c r="AI325" s="142"/>
      <c r="AJ325" s="142"/>
      <c r="AK325" s="142"/>
      <c r="AL325" s="142"/>
      <c r="AM325" s="143"/>
    </row>
    <row r="326">
      <c r="A326" s="144"/>
      <c r="B326" s="142"/>
      <c r="C326" s="142"/>
      <c r="D326" s="142"/>
      <c r="E326" s="142"/>
      <c r="F326" s="142"/>
      <c r="G326" s="142"/>
      <c r="H326" s="142"/>
      <c r="I326" s="142"/>
      <c r="J326" s="142"/>
      <c r="K326" s="142"/>
      <c r="L326" s="142"/>
      <c r="M326" s="142"/>
      <c r="N326" s="142"/>
      <c r="O326" s="142"/>
      <c r="P326" s="142"/>
      <c r="Q326" s="142"/>
      <c r="R326" s="142"/>
      <c r="S326" s="142"/>
      <c r="T326" s="142"/>
      <c r="U326" s="142"/>
      <c r="V326" s="142"/>
      <c r="W326" s="142"/>
      <c r="X326" s="142"/>
      <c r="Y326" s="142"/>
      <c r="Z326" s="142"/>
      <c r="AA326" s="142"/>
      <c r="AB326" s="142"/>
      <c r="AC326" s="142"/>
      <c r="AD326" s="142"/>
      <c r="AE326" s="142"/>
      <c r="AF326" s="142"/>
      <c r="AG326" s="142"/>
      <c r="AH326" s="142"/>
      <c r="AI326" s="142"/>
      <c r="AJ326" s="142"/>
      <c r="AK326" s="142"/>
      <c r="AL326" s="142"/>
      <c r="AM326" s="143"/>
    </row>
    <row r="327">
      <c r="A327" s="144"/>
      <c r="B327" s="142"/>
      <c r="C327" s="142"/>
      <c r="D327" s="142"/>
      <c r="E327" s="142"/>
      <c r="F327" s="142"/>
      <c r="G327" s="142"/>
      <c r="H327" s="142"/>
      <c r="I327" s="142"/>
      <c r="J327" s="142"/>
      <c r="K327" s="142"/>
      <c r="L327" s="142"/>
      <c r="M327" s="142"/>
      <c r="N327" s="142"/>
      <c r="O327" s="142"/>
      <c r="P327" s="142"/>
      <c r="Q327" s="142"/>
      <c r="R327" s="142"/>
      <c r="S327" s="142"/>
      <c r="T327" s="142"/>
      <c r="U327" s="142"/>
      <c r="V327" s="142"/>
      <c r="W327" s="142"/>
      <c r="X327" s="142"/>
      <c r="Y327" s="142"/>
      <c r="Z327" s="142"/>
      <c r="AA327" s="142"/>
      <c r="AB327" s="142"/>
      <c r="AC327" s="142"/>
      <c r="AD327" s="142"/>
      <c r="AE327" s="142"/>
      <c r="AF327" s="142"/>
      <c r="AG327" s="142"/>
      <c r="AH327" s="142"/>
      <c r="AI327" s="142"/>
      <c r="AJ327" s="142"/>
      <c r="AK327" s="142"/>
      <c r="AL327" s="142"/>
      <c r="AM327" s="143"/>
    </row>
    <row r="328">
      <c r="A328" s="144"/>
      <c r="B328" s="142"/>
      <c r="C328" s="142"/>
      <c r="D328" s="142"/>
      <c r="E328" s="142"/>
      <c r="F328" s="142"/>
      <c r="G328" s="142"/>
      <c r="H328" s="142"/>
      <c r="I328" s="142"/>
      <c r="J328" s="142"/>
      <c r="K328" s="142"/>
      <c r="L328" s="142"/>
      <c r="M328" s="142"/>
      <c r="N328" s="142"/>
      <c r="O328" s="142"/>
      <c r="P328" s="142"/>
      <c r="Q328" s="142"/>
      <c r="R328" s="142"/>
      <c r="S328" s="142"/>
      <c r="T328" s="142"/>
      <c r="U328" s="142"/>
      <c r="V328" s="142"/>
      <c r="W328" s="142"/>
      <c r="X328" s="142"/>
      <c r="Y328" s="142"/>
      <c r="Z328" s="142"/>
      <c r="AA328" s="142"/>
      <c r="AB328" s="142"/>
      <c r="AC328" s="142"/>
      <c r="AD328" s="142"/>
      <c r="AE328" s="142"/>
      <c r="AF328" s="142"/>
      <c r="AG328" s="142"/>
      <c r="AH328" s="142"/>
      <c r="AI328" s="142"/>
      <c r="AJ328" s="142"/>
      <c r="AK328" s="142"/>
      <c r="AL328" s="142"/>
      <c r="AM328" s="143"/>
    </row>
    <row r="329">
      <c r="A329" s="144"/>
      <c r="B329" s="142"/>
      <c r="C329" s="142"/>
      <c r="D329" s="142"/>
      <c r="E329" s="142"/>
      <c r="F329" s="142"/>
      <c r="G329" s="142"/>
      <c r="H329" s="142"/>
      <c r="I329" s="142"/>
      <c r="J329" s="142"/>
      <c r="K329" s="142"/>
      <c r="L329" s="142"/>
      <c r="M329" s="142"/>
      <c r="N329" s="142"/>
      <c r="O329" s="142"/>
      <c r="P329" s="142"/>
      <c r="Q329" s="142"/>
      <c r="R329" s="142"/>
      <c r="S329" s="142"/>
      <c r="T329" s="142"/>
      <c r="U329" s="142"/>
      <c r="V329" s="142"/>
      <c r="W329" s="142"/>
      <c r="X329" s="142"/>
      <c r="Y329" s="142"/>
      <c r="Z329" s="142"/>
      <c r="AA329" s="142"/>
      <c r="AB329" s="142"/>
      <c r="AC329" s="142"/>
      <c r="AD329" s="142"/>
      <c r="AE329" s="142"/>
      <c r="AF329" s="142"/>
      <c r="AG329" s="142"/>
      <c r="AH329" s="142"/>
      <c r="AI329" s="142"/>
      <c r="AJ329" s="142"/>
      <c r="AK329" s="142"/>
      <c r="AL329" s="142"/>
      <c r="AM329" s="143"/>
    </row>
    <row r="330">
      <c r="A330" s="144"/>
      <c r="B330" s="142"/>
      <c r="C330" s="142"/>
      <c r="D330" s="142"/>
      <c r="E330" s="142"/>
      <c r="F330" s="142"/>
      <c r="G330" s="142"/>
      <c r="H330" s="142"/>
      <c r="I330" s="142"/>
      <c r="J330" s="142"/>
      <c r="K330" s="142"/>
      <c r="L330" s="142"/>
      <c r="M330" s="142"/>
      <c r="N330" s="142"/>
      <c r="O330" s="142"/>
      <c r="P330" s="142"/>
      <c r="Q330" s="142"/>
      <c r="R330" s="142"/>
      <c r="S330" s="142"/>
      <c r="T330" s="142"/>
      <c r="U330" s="142"/>
      <c r="V330" s="142"/>
      <c r="W330" s="142"/>
      <c r="X330" s="142"/>
      <c r="Y330" s="142"/>
      <c r="Z330" s="142"/>
      <c r="AA330" s="142"/>
      <c r="AB330" s="142"/>
      <c r="AC330" s="142"/>
      <c r="AD330" s="142"/>
      <c r="AE330" s="142"/>
      <c r="AF330" s="142"/>
      <c r="AG330" s="142"/>
      <c r="AH330" s="142"/>
      <c r="AI330" s="142"/>
      <c r="AJ330" s="142"/>
      <c r="AK330" s="142"/>
      <c r="AL330" s="142"/>
      <c r="AM330" s="143"/>
    </row>
    <row r="331">
      <c r="A331" s="144"/>
      <c r="B331" s="142"/>
      <c r="C331" s="142"/>
      <c r="D331" s="142"/>
      <c r="E331" s="142"/>
      <c r="F331" s="142"/>
      <c r="G331" s="142"/>
      <c r="H331" s="142"/>
      <c r="I331" s="142"/>
      <c r="J331" s="142"/>
      <c r="K331" s="142"/>
      <c r="L331" s="142"/>
      <c r="M331" s="142"/>
      <c r="N331" s="142"/>
      <c r="O331" s="142"/>
      <c r="P331" s="142"/>
      <c r="Q331" s="142"/>
      <c r="R331" s="142"/>
      <c r="S331" s="142"/>
      <c r="T331" s="142"/>
      <c r="U331" s="142"/>
      <c r="V331" s="142"/>
      <c r="W331" s="142"/>
      <c r="X331" s="142"/>
      <c r="Y331" s="142"/>
      <c r="Z331" s="142"/>
      <c r="AA331" s="142"/>
      <c r="AB331" s="142"/>
      <c r="AC331" s="142"/>
      <c r="AD331" s="142"/>
      <c r="AE331" s="142"/>
      <c r="AF331" s="142"/>
      <c r="AG331" s="142"/>
      <c r="AH331" s="142"/>
      <c r="AI331" s="142"/>
      <c r="AJ331" s="142"/>
      <c r="AK331" s="142"/>
      <c r="AL331" s="142"/>
      <c r="AM331" s="143"/>
    </row>
    <row r="332">
      <c r="A332" s="144"/>
      <c r="B332" s="142"/>
      <c r="C332" s="142"/>
      <c r="D332" s="142"/>
      <c r="E332" s="142"/>
      <c r="F332" s="142"/>
      <c r="G332" s="142"/>
      <c r="H332" s="142"/>
      <c r="I332" s="142"/>
      <c r="J332" s="142"/>
      <c r="K332" s="142"/>
      <c r="L332" s="142"/>
      <c r="M332" s="142"/>
      <c r="N332" s="142"/>
      <c r="O332" s="142"/>
      <c r="P332" s="142"/>
      <c r="Q332" s="142"/>
      <c r="R332" s="142"/>
      <c r="S332" s="142"/>
      <c r="T332" s="142"/>
      <c r="U332" s="142"/>
      <c r="V332" s="142"/>
      <c r="W332" s="142"/>
      <c r="X332" s="142"/>
      <c r="Y332" s="142"/>
      <c r="Z332" s="142"/>
      <c r="AA332" s="142"/>
      <c r="AB332" s="142"/>
      <c r="AC332" s="142"/>
      <c r="AD332" s="142"/>
      <c r="AE332" s="142"/>
      <c r="AF332" s="142"/>
      <c r="AG332" s="142"/>
      <c r="AH332" s="142"/>
      <c r="AI332" s="142"/>
      <c r="AJ332" s="142"/>
      <c r="AK332" s="142"/>
      <c r="AL332" s="142"/>
      <c r="AM332" s="143"/>
    </row>
    <row r="333">
      <c r="A333" s="144"/>
      <c r="B333" s="142"/>
      <c r="C333" s="142"/>
      <c r="D333" s="142"/>
      <c r="E333" s="142"/>
      <c r="F333" s="142"/>
      <c r="G333" s="142"/>
      <c r="H333" s="142"/>
      <c r="I333" s="142"/>
      <c r="J333" s="142"/>
      <c r="K333" s="142"/>
      <c r="L333" s="142"/>
      <c r="M333" s="142"/>
      <c r="N333" s="142"/>
      <c r="O333" s="142"/>
      <c r="P333" s="142"/>
      <c r="Q333" s="142"/>
      <c r="R333" s="142"/>
      <c r="S333" s="142"/>
      <c r="T333" s="142"/>
      <c r="U333" s="142"/>
      <c r="V333" s="142"/>
      <c r="W333" s="142"/>
      <c r="X333" s="142"/>
      <c r="Y333" s="142"/>
      <c r="Z333" s="142"/>
      <c r="AA333" s="142"/>
      <c r="AB333" s="142"/>
      <c r="AC333" s="142"/>
      <c r="AD333" s="142"/>
      <c r="AE333" s="142"/>
      <c r="AF333" s="142"/>
      <c r="AG333" s="142"/>
      <c r="AH333" s="142"/>
      <c r="AI333" s="142"/>
      <c r="AJ333" s="142"/>
      <c r="AK333" s="142"/>
      <c r="AL333" s="142"/>
      <c r="AM333" s="143"/>
    </row>
    <row r="334">
      <c r="A334" s="144"/>
      <c r="B334" s="142"/>
      <c r="C334" s="142"/>
      <c r="D334" s="142"/>
      <c r="E334" s="142"/>
      <c r="F334" s="142"/>
      <c r="G334" s="142"/>
      <c r="H334" s="142"/>
      <c r="I334" s="142"/>
      <c r="J334" s="142"/>
      <c r="K334" s="142"/>
      <c r="L334" s="142"/>
      <c r="M334" s="142"/>
      <c r="N334" s="142"/>
      <c r="O334" s="142"/>
      <c r="P334" s="142"/>
      <c r="Q334" s="142"/>
      <c r="R334" s="142"/>
      <c r="S334" s="142"/>
      <c r="T334" s="142"/>
      <c r="U334" s="142"/>
      <c r="V334" s="142"/>
      <c r="W334" s="142"/>
      <c r="X334" s="142"/>
      <c r="Y334" s="142"/>
      <c r="Z334" s="142"/>
      <c r="AA334" s="142"/>
      <c r="AB334" s="142"/>
      <c r="AC334" s="142"/>
      <c r="AD334" s="142"/>
      <c r="AE334" s="142"/>
      <c r="AF334" s="142"/>
      <c r="AG334" s="142"/>
      <c r="AH334" s="142"/>
      <c r="AI334" s="142"/>
      <c r="AJ334" s="142"/>
      <c r="AK334" s="142"/>
      <c r="AL334" s="142"/>
      <c r="AM334" s="143"/>
    </row>
    <row r="335">
      <c r="A335" s="144"/>
      <c r="B335" s="142"/>
      <c r="C335" s="142"/>
      <c r="D335" s="142"/>
      <c r="E335" s="142"/>
      <c r="F335" s="142"/>
      <c r="G335" s="142"/>
      <c r="H335" s="142"/>
      <c r="I335" s="142"/>
      <c r="J335" s="142"/>
      <c r="K335" s="142"/>
      <c r="L335" s="142"/>
      <c r="M335" s="142"/>
      <c r="N335" s="142"/>
      <c r="O335" s="142"/>
      <c r="P335" s="142"/>
      <c r="Q335" s="142"/>
      <c r="R335" s="142"/>
      <c r="S335" s="142"/>
      <c r="T335" s="142"/>
      <c r="U335" s="142"/>
      <c r="V335" s="142"/>
      <c r="W335" s="142"/>
      <c r="X335" s="142"/>
      <c r="Y335" s="142"/>
      <c r="Z335" s="142"/>
      <c r="AA335" s="142"/>
      <c r="AB335" s="142"/>
      <c r="AC335" s="142"/>
      <c r="AD335" s="142"/>
      <c r="AE335" s="142"/>
      <c r="AF335" s="142"/>
      <c r="AG335" s="142"/>
      <c r="AH335" s="142"/>
      <c r="AI335" s="142"/>
      <c r="AJ335" s="142"/>
      <c r="AK335" s="142"/>
      <c r="AL335" s="142"/>
      <c r="AM335" s="143"/>
    </row>
    <row r="336">
      <c r="A336" s="144"/>
      <c r="B336" s="142"/>
      <c r="C336" s="142"/>
      <c r="D336" s="142"/>
      <c r="E336" s="142"/>
      <c r="F336" s="142"/>
      <c r="G336" s="142"/>
      <c r="H336" s="142"/>
      <c r="I336" s="142"/>
      <c r="J336" s="142"/>
      <c r="K336" s="142"/>
      <c r="L336" s="142"/>
      <c r="M336" s="142"/>
      <c r="N336" s="142"/>
      <c r="O336" s="142"/>
      <c r="P336" s="142"/>
      <c r="Q336" s="142"/>
      <c r="R336" s="142"/>
      <c r="S336" s="142"/>
      <c r="T336" s="142"/>
      <c r="U336" s="142"/>
      <c r="V336" s="142"/>
      <c r="W336" s="142"/>
      <c r="X336" s="142"/>
      <c r="Y336" s="142"/>
      <c r="Z336" s="142"/>
      <c r="AA336" s="142"/>
      <c r="AB336" s="142"/>
      <c r="AC336" s="142"/>
      <c r="AD336" s="142"/>
      <c r="AE336" s="142"/>
      <c r="AF336" s="142"/>
      <c r="AG336" s="142"/>
      <c r="AH336" s="142"/>
      <c r="AI336" s="142"/>
      <c r="AJ336" s="142"/>
      <c r="AK336" s="142"/>
      <c r="AL336" s="142"/>
      <c r="AM336" s="143"/>
    </row>
    <row r="337">
      <c r="A337" s="144"/>
      <c r="B337" s="142"/>
      <c r="C337" s="142"/>
      <c r="D337" s="142"/>
      <c r="E337" s="142"/>
      <c r="F337" s="142"/>
      <c r="G337" s="142"/>
      <c r="H337" s="142"/>
      <c r="I337" s="142"/>
      <c r="J337" s="142"/>
      <c r="K337" s="142"/>
      <c r="L337" s="142"/>
      <c r="M337" s="142"/>
      <c r="N337" s="142"/>
      <c r="O337" s="142"/>
      <c r="P337" s="142"/>
      <c r="Q337" s="142"/>
      <c r="R337" s="142"/>
      <c r="S337" s="142"/>
      <c r="T337" s="142"/>
      <c r="U337" s="142"/>
      <c r="V337" s="142"/>
      <c r="W337" s="142"/>
      <c r="X337" s="142"/>
      <c r="Y337" s="142"/>
      <c r="Z337" s="142"/>
      <c r="AA337" s="142"/>
      <c r="AB337" s="142"/>
      <c r="AC337" s="142"/>
      <c r="AD337" s="142"/>
      <c r="AE337" s="142"/>
      <c r="AF337" s="142"/>
      <c r="AG337" s="142"/>
      <c r="AH337" s="142"/>
      <c r="AI337" s="142"/>
      <c r="AJ337" s="142"/>
      <c r="AK337" s="142"/>
      <c r="AL337" s="142"/>
      <c r="AM337" s="143"/>
    </row>
    <row r="338">
      <c r="A338" s="144"/>
      <c r="B338" s="142"/>
      <c r="C338" s="142"/>
      <c r="D338" s="142"/>
      <c r="E338" s="142"/>
      <c r="F338" s="142"/>
      <c r="G338" s="142"/>
      <c r="H338" s="142"/>
      <c r="I338" s="142"/>
      <c r="J338" s="142"/>
      <c r="K338" s="142"/>
      <c r="L338" s="142"/>
      <c r="M338" s="142"/>
      <c r="N338" s="142"/>
      <c r="O338" s="142"/>
      <c r="P338" s="142"/>
      <c r="Q338" s="142"/>
      <c r="R338" s="142"/>
      <c r="S338" s="142"/>
      <c r="T338" s="142"/>
      <c r="U338" s="142"/>
      <c r="V338" s="142"/>
      <c r="W338" s="142"/>
      <c r="X338" s="142"/>
      <c r="Y338" s="142"/>
      <c r="Z338" s="142"/>
      <c r="AA338" s="142"/>
      <c r="AB338" s="142"/>
      <c r="AC338" s="142"/>
      <c r="AD338" s="142"/>
      <c r="AE338" s="142"/>
      <c r="AF338" s="142"/>
      <c r="AG338" s="142"/>
      <c r="AH338" s="142"/>
      <c r="AI338" s="142"/>
      <c r="AJ338" s="142"/>
      <c r="AK338" s="142"/>
      <c r="AL338" s="142"/>
      <c r="AM338" s="143"/>
    </row>
    <row r="339">
      <c r="A339" s="144"/>
      <c r="B339" s="142"/>
      <c r="C339" s="142"/>
      <c r="D339" s="142"/>
      <c r="E339" s="142"/>
      <c r="F339" s="142"/>
      <c r="G339" s="142"/>
      <c r="H339" s="142"/>
      <c r="I339" s="142"/>
      <c r="J339" s="142"/>
      <c r="K339" s="142"/>
      <c r="L339" s="142"/>
      <c r="M339" s="142"/>
      <c r="N339" s="142"/>
      <c r="O339" s="142"/>
      <c r="P339" s="142"/>
      <c r="Q339" s="142"/>
      <c r="R339" s="142"/>
      <c r="S339" s="142"/>
      <c r="T339" s="142"/>
      <c r="U339" s="142"/>
      <c r="V339" s="142"/>
      <c r="W339" s="142"/>
      <c r="X339" s="142"/>
      <c r="Y339" s="142"/>
      <c r="Z339" s="142"/>
      <c r="AA339" s="142"/>
      <c r="AB339" s="142"/>
      <c r="AC339" s="142"/>
      <c r="AD339" s="142"/>
      <c r="AE339" s="142"/>
      <c r="AF339" s="142"/>
      <c r="AG339" s="142"/>
      <c r="AH339" s="142"/>
      <c r="AI339" s="142"/>
      <c r="AJ339" s="142"/>
      <c r="AK339" s="142"/>
      <c r="AL339" s="142"/>
      <c r="AM339" s="143"/>
    </row>
    <row r="340">
      <c r="A340" s="144"/>
      <c r="B340" s="142"/>
      <c r="C340" s="142"/>
      <c r="D340" s="142"/>
      <c r="E340" s="142"/>
      <c r="F340" s="142"/>
      <c r="G340" s="142"/>
      <c r="H340" s="142"/>
      <c r="I340" s="142"/>
      <c r="J340" s="142"/>
      <c r="K340" s="142"/>
      <c r="L340" s="142"/>
      <c r="M340" s="142"/>
      <c r="N340" s="142"/>
      <c r="O340" s="142"/>
      <c r="P340" s="142"/>
      <c r="Q340" s="142"/>
      <c r="R340" s="142"/>
      <c r="S340" s="142"/>
      <c r="T340" s="142"/>
      <c r="U340" s="142"/>
      <c r="V340" s="142"/>
      <c r="W340" s="142"/>
      <c r="X340" s="142"/>
      <c r="Y340" s="142"/>
      <c r="Z340" s="142"/>
      <c r="AA340" s="142"/>
      <c r="AB340" s="142"/>
      <c r="AC340" s="142"/>
      <c r="AD340" s="142"/>
      <c r="AE340" s="142"/>
      <c r="AF340" s="142"/>
      <c r="AG340" s="142"/>
      <c r="AH340" s="142"/>
      <c r="AI340" s="142"/>
      <c r="AJ340" s="142"/>
      <c r="AK340" s="142"/>
      <c r="AL340" s="142"/>
      <c r="AM340" s="143"/>
    </row>
    <row r="341">
      <c r="A341" s="144"/>
      <c r="B341" s="142"/>
      <c r="C341" s="142"/>
      <c r="D341" s="142"/>
      <c r="E341" s="142"/>
      <c r="F341" s="142"/>
      <c r="G341" s="142"/>
      <c r="H341" s="142"/>
      <c r="I341" s="142"/>
      <c r="J341" s="142"/>
      <c r="K341" s="142"/>
      <c r="L341" s="142"/>
      <c r="M341" s="142"/>
      <c r="N341" s="142"/>
      <c r="O341" s="142"/>
      <c r="P341" s="142"/>
      <c r="Q341" s="142"/>
      <c r="R341" s="142"/>
      <c r="S341" s="142"/>
      <c r="T341" s="142"/>
      <c r="U341" s="142"/>
      <c r="V341" s="142"/>
      <c r="W341" s="142"/>
      <c r="X341" s="142"/>
      <c r="Y341" s="142"/>
      <c r="Z341" s="142"/>
      <c r="AA341" s="142"/>
      <c r="AB341" s="142"/>
      <c r="AC341" s="142"/>
      <c r="AD341" s="142"/>
      <c r="AE341" s="142"/>
      <c r="AF341" s="142"/>
      <c r="AG341" s="142"/>
      <c r="AH341" s="142"/>
      <c r="AI341" s="142"/>
      <c r="AJ341" s="142"/>
      <c r="AK341" s="142"/>
      <c r="AL341" s="142"/>
      <c r="AM341" s="143"/>
    </row>
    <row r="342">
      <c r="A342" s="144"/>
      <c r="B342" s="142"/>
      <c r="C342" s="142"/>
      <c r="D342" s="142"/>
      <c r="E342" s="142"/>
      <c r="F342" s="142"/>
      <c r="G342" s="142"/>
      <c r="H342" s="142"/>
      <c r="I342" s="142"/>
      <c r="J342" s="142"/>
      <c r="K342" s="142"/>
      <c r="L342" s="142"/>
      <c r="M342" s="142"/>
      <c r="N342" s="142"/>
      <c r="O342" s="142"/>
      <c r="P342" s="142"/>
      <c r="Q342" s="142"/>
      <c r="R342" s="142"/>
      <c r="S342" s="142"/>
      <c r="T342" s="142"/>
      <c r="U342" s="142"/>
      <c r="V342" s="142"/>
      <c r="W342" s="142"/>
      <c r="X342" s="142"/>
      <c r="Y342" s="142"/>
      <c r="Z342" s="142"/>
      <c r="AA342" s="142"/>
      <c r="AB342" s="142"/>
      <c r="AC342" s="142"/>
      <c r="AD342" s="142"/>
      <c r="AE342" s="142"/>
      <c r="AF342" s="142"/>
      <c r="AG342" s="142"/>
      <c r="AH342" s="142"/>
      <c r="AI342" s="142"/>
      <c r="AJ342" s="142"/>
      <c r="AK342" s="142"/>
      <c r="AL342" s="142"/>
      <c r="AM342" s="143"/>
    </row>
    <row r="343">
      <c r="A343" s="144"/>
      <c r="B343" s="142"/>
      <c r="C343" s="142"/>
      <c r="D343" s="142"/>
      <c r="E343" s="142"/>
      <c r="F343" s="142"/>
      <c r="G343" s="142"/>
      <c r="H343" s="142"/>
      <c r="I343" s="142"/>
      <c r="J343" s="142"/>
      <c r="K343" s="142"/>
      <c r="L343" s="142"/>
      <c r="M343" s="142"/>
      <c r="N343" s="142"/>
      <c r="O343" s="142"/>
      <c r="P343" s="142"/>
      <c r="Q343" s="142"/>
      <c r="R343" s="142"/>
      <c r="S343" s="142"/>
      <c r="T343" s="142"/>
      <c r="U343" s="142"/>
      <c r="V343" s="142"/>
      <c r="W343" s="142"/>
      <c r="X343" s="142"/>
      <c r="Y343" s="142"/>
      <c r="Z343" s="142"/>
      <c r="AA343" s="142"/>
      <c r="AB343" s="142"/>
      <c r="AC343" s="142"/>
      <c r="AD343" s="142"/>
      <c r="AE343" s="142"/>
      <c r="AF343" s="142"/>
      <c r="AG343" s="142"/>
      <c r="AH343" s="142"/>
      <c r="AI343" s="142"/>
      <c r="AJ343" s="142"/>
      <c r="AK343" s="142"/>
      <c r="AL343" s="142"/>
      <c r="AM343" s="143"/>
    </row>
    <row r="344">
      <c r="A344" s="144"/>
      <c r="B344" s="142"/>
      <c r="C344" s="142"/>
      <c r="D344" s="142"/>
      <c r="E344" s="142"/>
      <c r="F344" s="142"/>
      <c r="G344" s="142"/>
      <c r="H344" s="142"/>
      <c r="I344" s="142"/>
      <c r="J344" s="142"/>
      <c r="K344" s="142"/>
      <c r="L344" s="142"/>
      <c r="M344" s="142"/>
      <c r="N344" s="142"/>
      <c r="O344" s="142"/>
      <c r="P344" s="142"/>
      <c r="Q344" s="142"/>
      <c r="R344" s="142"/>
      <c r="S344" s="142"/>
      <c r="T344" s="142"/>
      <c r="U344" s="142"/>
      <c r="V344" s="142"/>
      <c r="W344" s="142"/>
      <c r="X344" s="142"/>
      <c r="Y344" s="142"/>
      <c r="Z344" s="142"/>
      <c r="AA344" s="142"/>
      <c r="AB344" s="142"/>
      <c r="AC344" s="142"/>
      <c r="AD344" s="142"/>
      <c r="AE344" s="142"/>
      <c r="AF344" s="142"/>
      <c r="AG344" s="142"/>
      <c r="AH344" s="142"/>
      <c r="AI344" s="142"/>
      <c r="AJ344" s="142"/>
      <c r="AK344" s="142"/>
      <c r="AL344" s="142"/>
      <c r="AM344" s="143"/>
    </row>
    <row r="345">
      <c r="A345" s="144"/>
      <c r="B345" s="142"/>
      <c r="C345" s="142"/>
      <c r="D345" s="142"/>
      <c r="E345" s="142"/>
      <c r="F345" s="142"/>
      <c r="G345" s="142"/>
      <c r="H345" s="142"/>
      <c r="I345" s="142"/>
      <c r="J345" s="142"/>
      <c r="K345" s="142"/>
      <c r="L345" s="142"/>
      <c r="M345" s="142"/>
      <c r="N345" s="142"/>
      <c r="O345" s="142"/>
      <c r="P345" s="142"/>
      <c r="Q345" s="142"/>
      <c r="R345" s="142"/>
      <c r="S345" s="142"/>
      <c r="T345" s="142"/>
      <c r="U345" s="142"/>
      <c r="V345" s="142"/>
      <c r="W345" s="142"/>
      <c r="X345" s="142"/>
      <c r="Y345" s="142"/>
      <c r="Z345" s="142"/>
      <c r="AA345" s="142"/>
      <c r="AB345" s="142"/>
      <c r="AC345" s="142"/>
      <c r="AD345" s="142"/>
      <c r="AE345" s="142"/>
      <c r="AF345" s="142"/>
      <c r="AG345" s="142"/>
      <c r="AH345" s="142"/>
      <c r="AI345" s="142"/>
      <c r="AJ345" s="142"/>
      <c r="AK345" s="142"/>
      <c r="AL345" s="142"/>
      <c r="AM345" s="143"/>
    </row>
    <row r="346">
      <c r="A346" s="144"/>
      <c r="B346" s="142"/>
      <c r="C346" s="142"/>
      <c r="D346" s="142"/>
      <c r="E346" s="142"/>
      <c r="F346" s="142"/>
      <c r="G346" s="142"/>
      <c r="H346" s="142"/>
      <c r="I346" s="142"/>
      <c r="J346" s="142"/>
      <c r="K346" s="142"/>
      <c r="L346" s="142"/>
      <c r="M346" s="142"/>
      <c r="N346" s="142"/>
      <c r="O346" s="142"/>
      <c r="P346" s="142"/>
      <c r="Q346" s="142"/>
      <c r="R346" s="142"/>
      <c r="S346" s="142"/>
      <c r="T346" s="142"/>
      <c r="U346" s="142"/>
      <c r="V346" s="142"/>
      <c r="W346" s="142"/>
      <c r="X346" s="142"/>
      <c r="Y346" s="142"/>
      <c r="Z346" s="142"/>
      <c r="AA346" s="142"/>
      <c r="AB346" s="142"/>
      <c r="AC346" s="142"/>
      <c r="AD346" s="142"/>
      <c r="AE346" s="142"/>
      <c r="AF346" s="142"/>
      <c r="AG346" s="142"/>
      <c r="AH346" s="142"/>
      <c r="AI346" s="142"/>
      <c r="AJ346" s="142"/>
      <c r="AK346" s="142"/>
      <c r="AL346" s="142"/>
      <c r="AM346" s="143"/>
    </row>
    <row r="347">
      <c r="A347" s="144"/>
      <c r="B347" s="142"/>
      <c r="C347" s="142"/>
      <c r="D347" s="142"/>
      <c r="E347" s="142"/>
      <c r="F347" s="142"/>
      <c r="G347" s="142"/>
      <c r="H347" s="142"/>
      <c r="I347" s="142"/>
      <c r="J347" s="142"/>
      <c r="K347" s="142"/>
      <c r="L347" s="142"/>
      <c r="M347" s="142"/>
      <c r="N347" s="142"/>
      <c r="O347" s="142"/>
      <c r="P347" s="142"/>
      <c r="Q347" s="142"/>
      <c r="R347" s="142"/>
      <c r="S347" s="142"/>
      <c r="T347" s="142"/>
      <c r="U347" s="142"/>
      <c r="V347" s="142"/>
      <c r="W347" s="142"/>
      <c r="X347" s="142"/>
      <c r="Y347" s="142"/>
      <c r="Z347" s="142"/>
      <c r="AA347" s="142"/>
      <c r="AB347" s="142"/>
      <c r="AC347" s="142"/>
      <c r="AD347" s="142"/>
      <c r="AE347" s="142"/>
      <c r="AF347" s="142"/>
      <c r="AG347" s="142"/>
      <c r="AH347" s="142"/>
      <c r="AI347" s="142"/>
      <c r="AJ347" s="142"/>
      <c r="AK347" s="142"/>
      <c r="AL347" s="142"/>
      <c r="AM347" s="143"/>
    </row>
    <row r="348">
      <c r="A348" s="144"/>
      <c r="B348" s="142"/>
      <c r="C348" s="142"/>
      <c r="D348" s="142"/>
      <c r="E348" s="142"/>
      <c r="F348" s="142"/>
      <c r="G348" s="142"/>
      <c r="H348" s="142"/>
      <c r="I348" s="142"/>
      <c r="J348" s="142"/>
      <c r="K348" s="142"/>
      <c r="L348" s="142"/>
      <c r="M348" s="142"/>
      <c r="N348" s="142"/>
      <c r="O348" s="142"/>
      <c r="P348" s="142"/>
      <c r="Q348" s="142"/>
      <c r="R348" s="142"/>
      <c r="S348" s="142"/>
      <c r="T348" s="142"/>
      <c r="U348" s="142"/>
      <c r="V348" s="142"/>
      <c r="W348" s="142"/>
      <c r="X348" s="142"/>
      <c r="Y348" s="142"/>
      <c r="Z348" s="142"/>
      <c r="AA348" s="142"/>
      <c r="AB348" s="142"/>
      <c r="AC348" s="142"/>
      <c r="AD348" s="142"/>
      <c r="AE348" s="142"/>
      <c r="AF348" s="142"/>
      <c r="AG348" s="142"/>
      <c r="AH348" s="142"/>
      <c r="AI348" s="142"/>
      <c r="AJ348" s="142"/>
      <c r="AK348" s="142"/>
      <c r="AL348" s="142"/>
      <c r="AM348" s="143"/>
    </row>
    <row r="349">
      <c r="A349" s="144"/>
      <c r="B349" s="142"/>
      <c r="C349" s="142"/>
      <c r="D349" s="142"/>
      <c r="E349" s="142"/>
      <c r="F349" s="142"/>
      <c r="G349" s="142"/>
      <c r="H349" s="142"/>
      <c r="I349" s="142"/>
      <c r="J349" s="142"/>
      <c r="K349" s="142"/>
      <c r="L349" s="142"/>
      <c r="M349" s="142"/>
      <c r="N349" s="142"/>
      <c r="O349" s="142"/>
      <c r="P349" s="142"/>
      <c r="Q349" s="142"/>
      <c r="R349" s="142"/>
      <c r="S349" s="142"/>
      <c r="T349" s="142"/>
      <c r="U349" s="142"/>
      <c r="V349" s="142"/>
      <c r="W349" s="142"/>
      <c r="X349" s="142"/>
      <c r="Y349" s="142"/>
      <c r="Z349" s="142"/>
      <c r="AA349" s="142"/>
      <c r="AB349" s="142"/>
      <c r="AC349" s="142"/>
      <c r="AD349" s="142"/>
      <c r="AE349" s="142"/>
      <c r="AF349" s="142"/>
      <c r="AG349" s="142"/>
      <c r="AH349" s="142"/>
      <c r="AI349" s="142"/>
      <c r="AJ349" s="142"/>
      <c r="AK349" s="142"/>
      <c r="AL349" s="142"/>
      <c r="AM349" s="143"/>
    </row>
    <row r="350">
      <c r="A350" s="144"/>
      <c r="B350" s="142"/>
      <c r="C350" s="142"/>
      <c r="D350" s="142"/>
      <c r="E350" s="142"/>
      <c r="F350" s="142"/>
      <c r="G350" s="142"/>
      <c r="H350" s="142"/>
      <c r="I350" s="142"/>
      <c r="J350" s="142"/>
      <c r="K350" s="142"/>
      <c r="L350" s="142"/>
      <c r="M350" s="142"/>
      <c r="N350" s="142"/>
      <c r="O350" s="142"/>
      <c r="P350" s="142"/>
      <c r="Q350" s="142"/>
      <c r="R350" s="142"/>
      <c r="S350" s="142"/>
      <c r="T350" s="142"/>
      <c r="U350" s="142"/>
      <c r="V350" s="142"/>
      <c r="W350" s="142"/>
      <c r="X350" s="142"/>
      <c r="Y350" s="142"/>
      <c r="Z350" s="142"/>
      <c r="AA350" s="142"/>
      <c r="AB350" s="142"/>
      <c r="AC350" s="142"/>
      <c r="AD350" s="142"/>
      <c r="AE350" s="142"/>
      <c r="AF350" s="142"/>
      <c r="AG350" s="142"/>
      <c r="AH350" s="142"/>
      <c r="AI350" s="142"/>
      <c r="AJ350" s="142"/>
      <c r="AK350" s="142"/>
      <c r="AL350" s="142"/>
      <c r="AM350" s="143"/>
    </row>
    <row r="351">
      <c r="A351" s="144"/>
      <c r="B351" s="142"/>
      <c r="C351" s="142"/>
      <c r="D351" s="142"/>
      <c r="E351" s="142"/>
      <c r="F351" s="142"/>
      <c r="G351" s="142"/>
      <c r="H351" s="142"/>
      <c r="I351" s="142"/>
      <c r="J351" s="142"/>
      <c r="K351" s="142"/>
      <c r="L351" s="142"/>
      <c r="M351" s="142"/>
      <c r="N351" s="142"/>
      <c r="O351" s="142"/>
      <c r="P351" s="142"/>
      <c r="Q351" s="142"/>
      <c r="R351" s="142"/>
      <c r="S351" s="142"/>
      <c r="T351" s="142"/>
      <c r="U351" s="142"/>
      <c r="V351" s="142"/>
      <c r="W351" s="142"/>
      <c r="X351" s="142"/>
      <c r="Y351" s="142"/>
      <c r="Z351" s="142"/>
      <c r="AA351" s="142"/>
      <c r="AB351" s="142"/>
      <c r="AC351" s="142"/>
      <c r="AD351" s="142"/>
      <c r="AE351" s="142"/>
      <c r="AF351" s="142"/>
      <c r="AG351" s="142"/>
      <c r="AH351" s="142"/>
      <c r="AI351" s="142"/>
      <c r="AJ351" s="142"/>
      <c r="AK351" s="142"/>
      <c r="AL351" s="142"/>
      <c r="AM351" s="143"/>
    </row>
    <row r="352">
      <c r="A352" s="144"/>
      <c r="B352" s="142"/>
      <c r="C352" s="142"/>
      <c r="D352" s="142"/>
      <c r="E352" s="142"/>
      <c r="F352" s="142"/>
      <c r="G352" s="142"/>
      <c r="H352" s="142"/>
      <c r="I352" s="142"/>
      <c r="J352" s="142"/>
      <c r="K352" s="142"/>
      <c r="L352" s="142"/>
      <c r="M352" s="142"/>
      <c r="N352" s="142"/>
      <c r="O352" s="142"/>
      <c r="P352" s="142"/>
      <c r="Q352" s="142"/>
      <c r="R352" s="142"/>
      <c r="S352" s="142"/>
      <c r="T352" s="142"/>
      <c r="U352" s="142"/>
      <c r="V352" s="142"/>
      <c r="W352" s="142"/>
      <c r="X352" s="142"/>
      <c r="Y352" s="142"/>
      <c r="Z352" s="142"/>
      <c r="AA352" s="142"/>
      <c r="AB352" s="142"/>
      <c r="AC352" s="142"/>
      <c r="AD352" s="142"/>
      <c r="AE352" s="142"/>
      <c r="AF352" s="142"/>
      <c r="AG352" s="142"/>
      <c r="AH352" s="142"/>
      <c r="AI352" s="142"/>
      <c r="AJ352" s="142"/>
      <c r="AK352" s="142"/>
      <c r="AL352" s="142"/>
      <c r="AM352" s="143"/>
    </row>
    <row r="353">
      <c r="A353" s="144"/>
      <c r="B353" s="142"/>
      <c r="C353" s="142"/>
      <c r="D353" s="142"/>
      <c r="E353" s="142"/>
      <c r="F353" s="142"/>
      <c r="G353" s="142"/>
      <c r="H353" s="142"/>
      <c r="I353" s="142"/>
      <c r="J353" s="142"/>
      <c r="K353" s="142"/>
      <c r="L353" s="142"/>
      <c r="M353" s="142"/>
      <c r="N353" s="142"/>
      <c r="O353" s="142"/>
      <c r="P353" s="142"/>
      <c r="Q353" s="142"/>
      <c r="R353" s="142"/>
      <c r="S353" s="142"/>
      <c r="T353" s="142"/>
      <c r="U353" s="142"/>
      <c r="V353" s="142"/>
      <c r="W353" s="142"/>
      <c r="X353" s="142"/>
      <c r="Y353" s="142"/>
      <c r="Z353" s="142"/>
      <c r="AA353" s="142"/>
      <c r="AB353" s="142"/>
      <c r="AC353" s="142"/>
      <c r="AD353" s="142"/>
      <c r="AE353" s="142"/>
      <c r="AF353" s="142"/>
      <c r="AG353" s="142"/>
      <c r="AH353" s="142"/>
      <c r="AI353" s="142"/>
      <c r="AJ353" s="142"/>
      <c r="AK353" s="142"/>
      <c r="AL353" s="142"/>
      <c r="AM353" s="143"/>
    </row>
    <row r="354">
      <c r="A354" s="144"/>
      <c r="B354" s="142"/>
      <c r="C354" s="142"/>
      <c r="D354" s="142"/>
      <c r="E354" s="142"/>
      <c r="F354" s="142"/>
      <c r="G354" s="142"/>
      <c r="H354" s="142"/>
      <c r="I354" s="142"/>
      <c r="J354" s="142"/>
      <c r="K354" s="142"/>
      <c r="L354" s="142"/>
      <c r="M354" s="142"/>
      <c r="N354" s="142"/>
      <c r="O354" s="142"/>
      <c r="P354" s="142"/>
      <c r="Q354" s="142"/>
      <c r="R354" s="142"/>
      <c r="S354" s="142"/>
      <c r="T354" s="142"/>
      <c r="U354" s="142"/>
      <c r="V354" s="142"/>
      <c r="W354" s="142"/>
      <c r="X354" s="142"/>
      <c r="Y354" s="142"/>
      <c r="Z354" s="142"/>
      <c r="AA354" s="142"/>
      <c r="AB354" s="142"/>
      <c r="AC354" s="142"/>
      <c r="AD354" s="142"/>
      <c r="AE354" s="142"/>
      <c r="AF354" s="142"/>
      <c r="AG354" s="142"/>
      <c r="AH354" s="142"/>
      <c r="AI354" s="142"/>
      <c r="AJ354" s="142"/>
      <c r="AK354" s="142"/>
      <c r="AL354" s="142"/>
      <c r="AM354" s="143"/>
    </row>
    <row r="355">
      <c r="A355" s="144"/>
      <c r="B355" s="142"/>
      <c r="C355" s="142"/>
      <c r="D355" s="142"/>
      <c r="E355" s="142"/>
      <c r="F355" s="142"/>
      <c r="G355" s="142"/>
      <c r="H355" s="142"/>
      <c r="I355" s="142"/>
      <c r="J355" s="142"/>
      <c r="K355" s="142"/>
      <c r="L355" s="142"/>
      <c r="M355" s="142"/>
      <c r="N355" s="142"/>
      <c r="O355" s="142"/>
      <c r="P355" s="142"/>
      <c r="Q355" s="142"/>
      <c r="R355" s="142"/>
      <c r="S355" s="142"/>
      <c r="T355" s="142"/>
      <c r="U355" s="142"/>
      <c r="V355" s="142"/>
      <c r="W355" s="142"/>
      <c r="X355" s="142"/>
      <c r="Y355" s="142"/>
      <c r="Z355" s="142"/>
      <c r="AA355" s="142"/>
      <c r="AB355" s="142"/>
      <c r="AC355" s="142"/>
      <c r="AD355" s="142"/>
      <c r="AE355" s="142"/>
      <c r="AF355" s="142"/>
      <c r="AG355" s="142"/>
      <c r="AH355" s="142"/>
      <c r="AI355" s="142"/>
      <c r="AJ355" s="142"/>
      <c r="AK355" s="142"/>
      <c r="AL355" s="142"/>
      <c r="AM355" s="143"/>
    </row>
    <row r="356">
      <c r="A356" s="144"/>
      <c r="B356" s="142"/>
      <c r="C356" s="142"/>
      <c r="D356" s="142"/>
      <c r="E356" s="142"/>
      <c r="F356" s="142"/>
      <c r="G356" s="142"/>
      <c r="H356" s="142"/>
      <c r="I356" s="142"/>
      <c r="J356" s="142"/>
      <c r="K356" s="142"/>
      <c r="L356" s="142"/>
      <c r="M356" s="142"/>
      <c r="N356" s="142"/>
      <c r="O356" s="142"/>
      <c r="P356" s="142"/>
      <c r="Q356" s="142"/>
      <c r="R356" s="142"/>
      <c r="S356" s="142"/>
      <c r="T356" s="142"/>
      <c r="U356" s="142"/>
      <c r="V356" s="142"/>
      <c r="W356" s="142"/>
      <c r="X356" s="142"/>
      <c r="Y356" s="142"/>
      <c r="Z356" s="142"/>
      <c r="AA356" s="142"/>
      <c r="AB356" s="142"/>
      <c r="AC356" s="142"/>
      <c r="AD356" s="142"/>
      <c r="AE356" s="142"/>
      <c r="AF356" s="142"/>
      <c r="AG356" s="142"/>
      <c r="AH356" s="142"/>
      <c r="AI356" s="142"/>
      <c r="AJ356" s="142"/>
      <c r="AK356" s="142"/>
      <c r="AL356" s="142"/>
      <c r="AM356" s="143"/>
    </row>
    <row r="357">
      <c r="A357" s="144"/>
      <c r="B357" s="142"/>
      <c r="C357" s="142"/>
      <c r="D357" s="142"/>
      <c r="E357" s="142"/>
      <c r="F357" s="142"/>
      <c r="G357" s="142"/>
      <c r="H357" s="142"/>
      <c r="I357" s="142"/>
      <c r="J357" s="142"/>
      <c r="K357" s="142"/>
      <c r="L357" s="142"/>
      <c r="M357" s="142"/>
      <c r="N357" s="142"/>
      <c r="O357" s="142"/>
      <c r="P357" s="142"/>
      <c r="Q357" s="142"/>
      <c r="R357" s="142"/>
      <c r="S357" s="142"/>
      <c r="T357" s="142"/>
      <c r="U357" s="142"/>
      <c r="V357" s="142"/>
      <c r="W357" s="142"/>
      <c r="X357" s="142"/>
      <c r="Y357" s="142"/>
      <c r="Z357" s="142"/>
      <c r="AA357" s="142"/>
      <c r="AB357" s="142"/>
      <c r="AC357" s="142"/>
      <c r="AD357" s="142"/>
      <c r="AE357" s="142"/>
      <c r="AF357" s="142"/>
      <c r="AG357" s="142"/>
      <c r="AH357" s="142"/>
      <c r="AI357" s="142"/>
      <c r="AJ357" s="142"/>
      <c r="AK357" s="142"/>
      <c r="AL357" s="142"/>
      <c r="AM357" s="143"/>
    </row>
    <row r="358">
      <c r="A358" s="144"/>
      <c r="B358" s="142"/>
      <c r="C358" s="142"/>
      <c r="D358" s="142"/>
      <c r="E358" s="142"/>
      <c r="F358" s="142"/>
      <c r="G358" s="142"/>
      <c r="H358" s="142"/>
      <c r="I358" s="142"/>
      <c r="J358" s="142"/>
      <c r="K358" s="142"/>
      <c r="L358" s="142"/>
      <c r="M358" s="142"/>
      <c r="N358" s="142"/>
      <c r="O358" s="142"/>
      <c r="P358" s="142"/>
      <c r="Q358" s="142"/>
      <c r="R358" s="142"/>
      <c r="S358" s="142"/>
      <c r="T358" s="142"/>
      <c r="U358" s="142"/>
      <c r="V358" s="142"/>
      <c r="W358" s="142"/>
      <c r="X358" s="142"/>
      <c r="Y358" s="142"/>
      <c r="Z358" s="142"/>
      <c r="AA358" s="142"/>
      <c r="AB358" s="142"/>
      <c r="AC358" s="142"/>
      <c r="AD358" s="142"/>
      <c r="AE358" s="142"/>
      <c r="AF358" s="142"/>
      <c r="AG358" s="142"/>
      <c r="AH358" s="142"/>
      <c r="AI358" s="142"/>
      <c r="AJ358" s="142"/>
      <c r="AK358" s="142"/>
      <c r="AL358" s="142"/>
      <c r="AM358" s="143"/>
    </row>
    <row r="359">
      <c r="A359" s="144"/>
      <c r="B359" s="142"/>
      <c r="C359" s="142"/>
      <c r="D359" s="142"/>
      <c r="E359" s="142"/>
      <c r="F359" s="142"/>
      <c r="G359" s="142"/>
      <c r="H359" s="142"/>
      <c r="I359" s="142"/>
      <c r="J359" s="142"/>
      <c r="K359" s="142"/>
      <c r="L359" s="142"/>
      <c r="M359" s="142"/>
      <c r="N359" s="142"/>
      <c r="O359" s="142"/>
      <c r="P359" s="142"/>
      <c r="Q359" s="142"/>
      <c r="R359" s="142"/>
      <c r="S359" s="142"/>
      <c r="T359" s="142"/>
      <c r="U359" s="142"/>
      <c r="V359" s="142"/>
      <c r="W359" s="142"/>
      <c r="X359" s="142"/>
      <c r="Y359" s="142"/>
      <c r="Z359" s="142"/>
      <c r="AA359" s="142"/>
      <c r="AB359" s="142"/>
      <c r="AC359" s="142"/>
      <c r="AD359" s="142"/>
      <c r="AE359" s="142"/>
      <c r="AF359" s="142"/>
      <c r="AG359" s="142"/>
      <c r="AH359" s="142"/>
      <c r="AI359" s="142"/>
      <c r="AJ359" s="142"/>
      <c r="AK359" s="142"/>
      <c r="AL359" s="142"/>
      <c r="AM359" s="143"/>
    </row>
    <row r="360">
      <c r="A360" s="144"/>
      <c r="B360" s="142"/>
      <c r="C360" s="142"/>
      <c r="D360" s="142"/>
      <c r="E360" s="142"/>
      <c r="F360" s="142"/>
      <c r="G360" s="142"/>
      <c r="H360" s="142"/>
      <c r="I360" s="142"/>
      <c r="J360" s="142"/>
      <c r="K360" s="142"/>
      <c r="L360" s="142"/>
      <c r="M360" s="142"/>
      <c r="N360" s="142"/>
      <c r="O360" s="142"/>
      <c r="P360" s="142"/>
      <c r="Q360" s="142"/>
      <c r="R360" s="142"/>
      <c r="S360" s="142"/>
      <c r="T360" s="142"/>
      <c r="U360" s="142"/>
      <c r="V360" s="142"/>
      <c r="W360" s="142"/>
      <c r="X360" s="142"/>
      <c r="Y360" s="142"/>
      <c r="Z360" s="142"/>
      <c r="AA360" s="142"/>
      <c r="AB360" s="142"/>
      <c r="AC360" s="142"/>
      <c r="AD360" s="142"/>
      <c r="AE360" s="142"/>
      <c r="AF360" s="142"/>
      <c r="AG360" s="142"/>
      <c r="AH360" s="142"/>
      <c r="AI360" s="142"/>
      <c r="AJ360" s="142"/>
      <c r="AK360" s="142"/>
      <c r="AL360" s="142"/>
      <c r="AM360" s="143"/>
    </row>
    <row r="361">
      <c r="A361" s="144"/>
      <c r="B361" s="142"/>
      <c r="C361" s="142"/>
      <c r="D361" s="142"/>
      <c r="E361" s="142"/>
      <c r="F361" s="142"/>
      <c r="G361" s="142"/>
      <c r="H361" s="142"/>
      <c r="I361" s="142"/>
      <c r="J361" s="142"/>
      <c r="K361" s="142"/>
      <c r="L361" s="142"/>
      <c r="M361" s="142"/>
      <c r="N361" s="142"/>
      <c r="O361" s="142"/>
      <c r="P361" s="142"/>
      <c r="Q361" s="142"/>
      <c r="R361" s="142"/>
      <c r="S361" s="142"/>
      <c r="T361" s="142"/>
      <c r="U361" s="142"/>
      <c r="V361" s="142"/>
      <c r="W361" s="142"/>
      <c r="X361" s="142"/>
      <c r="Y361" s="142"/>
      <c r="Z361" s="142"/>
      <c r="AA361" s="142"/>
      <c r="AB361" s="142"/>
      <c r="AC361" s="142"/>
      <c r="AD361" s="142"/>
      <c r="AE361" s="142"/>
      <c r="AF361" s="142"/>
      <c r="AG361" s="142"/>
      <c r="AH361" s="142"/>
      <c r="AI361" s="142"/>
      <c r="AJ361" s="142"/>
      <c r="AK361" s="142"/>
      <c r="AL361" s="142"/>
      <c r="AM361" s="143"/>
    </row>
    <row r="362">
      <c r="A362" s="144"/>
      <c r="B362" s="142"/>
      <c r="C362" s="142"/>
      <c r="D362" s="142"/>
      <c r="E362" s="142"/>
      <c r="F362" s="142"/>
      <c r="G362" s="142"/>
      <c r="H362" s="142"/>
      <c r="I362" s="142"/>
      <c r="J362" s="142"/>
      <c r="K362" s="142"/>
      <c r="L362" s="142"/>
      <c r="M362" s="142"/>
      <c r="N362" s="142"/>
      <c r="O362" s="142"/>
      <c r="P362" s="142"/>
      <c r="Q362" s="142"/>
      <c r="R362" s="142"/>
      <c r="S362" s="142"/>
      <c r="T362" s="142"/>
      <c r="U362" s="142"/>
      <c r="V362" s="142"/>
      <c r="W362" s="142"/>
      <c r="X362" s="142"/>
      <c r="Y362" s="142"/>
      <c r="Z362" s="142"/>
      <c r="AA362" s="142"/>
      <c r="AB362" s="142"/>
      <c r="AC362" s="142"/>
      <c r="AD362" s="142"/>
      <c r="AE362" s="142"/>
      <c r="AF362" s="142"/>
      <c r="AG362" s="142"/>
      <c r="AH362" s="142"/>
      <c r="AI362" s="142"/>
      <c r="AJ362" s="142"/>
      <c r="AK362" s="142"/>
      <c r="AL362" s="142"/>
      <c r="AM362" s="143"/>
    </row>
    <row r="363">
      <c r="A363" s="144"/>
      <c r="B363" s="142"/>
      <c r="C363" s="142"/>
      <c r="D363" s="142"/>
      <c r="E363" s="142"/>
      <c r="F363" s="142"/>
      <c r="G363" s="142"/>
      <c r="H363" s="142"/>
      <c r="I363" s="142"/>
      <c r="J363" s="142"/>
      <c r="K363" s="142"/>
      <c r="L363" s="142"/>
      <c r="M363" s="142"/>
      <c r="N363" s="142"/>
      <c r="O363" s="142"/>
      <c r="P363" s="142"/>
      <c r="Q363" s="142"/>
      <c r="R363" s="142"/>
      <c r="S363" s="142"/>
      <c r="T363" s="142"/>
      <c r="U363" s="142"/>
      <c r="V363" s="142"/>
      <c r="W363" s="142"/>
      <c r="X363" s="142"/>
      <c r="Y363" s="142"/>
      <c r="Z363" s="142"/>
      <c r="AA363" s="142"/>
      <c r="AB363" s="142"/>
      <c r="AC363" s="142"/>
      <c r="AD363" s="142"/>
      <c r="AE363" s="142"/>
      <c r="AF363" s="142"/>
      <c r="AG363" s="142"/>
      <c r="AH363" s="142"/>
      <c r="AI363" s="142"/>
      <c r="AJ363" s="142"/>
      <c r="AK363" s="142"/>
      <c r="AL363" s="142"/>
      <c r="AM363" s="143"/>
    </row>
    <row r="364">
      <c r="A364" s="144"/>
      <c r="B364" s="142"/>
      <c r="C364" s="142"/>
      <c r="D364" s="142"/>
      <c r="E364" s="142"/>
      <c r="F364" s="142"/>
      <c r="G364" s="142"/>
      <c r="H364" s="142"/>
      <c r="I364" s="142"/>
      <c r="J364" s="142"/>
      <c r="K364" s="142"/>
      <c r="L364" s="142"/>
      <c r="M364" s="142"/>
      <c r="N364" s="142"/>
      <c r="O364" s="142"/>
      <c r="P364" s="142"/>
      <c r="Q364" s="142"/>
      <c r="R364" s="142"/>
      <c r="S364" s="142"/>
      <c r="T364" s="142"/>
      <c r="U364" s="142"/>
      <c r="V364" s="142"/>
      <c r="W364" s="142"/>
      <c r="X364" s="142"/>
      <c r="Y364" s="142"/>
      <c r="Z364" s="142"/>
      <c r="AA364" s="142"/>
      <c r="AB364" s="142"/>
      <c r="AC364" s="142"/>
      <c r="AD364" s="142"/>
      <c r="AE364" s="142"/>
      <c r="AF364" s="142"/>
      <c r="AG364" s="142"/>
      <c r="AH364" s="142"/>
      <c r="AI364" s="142"/>
      <c r="AJ364" s="142"/>
      <c r="AK364" s="142"/>
      <c r="AL364" s="142"/>
      <c r="AM364" s="143"/>
    </row>
    <row r="365">
      <c r="A365" s="144"/>
      <c r="B365" s="142"/>
      <c r="C365" s="142"/>
      <c r="D365" s="142"/>
      <c r="E365" s="142"/>
      <c r="F365" s="142"/>
      <c r="G365" s="142"/>
      <c r="H365" s="142"/>
      <c r="I365" s="142"/>
      <c r="J365" s="142"/>
      <c r="K365" s="142"/>
      <c r="L365" s="142"/>
      <c r="M365" s="142"/>
      <c r="N365" s="142"/>
      <c r="O365" s="142"/>
      <c r="P365" s="142"/>
      <c r="Q365" s="142"/>
      <c r="R365" s="142"/>
      <c r="S365" s="142"/>
      <c r="T365" s="142"/>
      <c r="U365" s="142"/>
      <c r="V365" s="142"/>
      <c r="W365" s="142"/>
      <c r="X365" s="142"/>
      <c r="Y365" s="142"/>
      <c r="Z365" s="142"/>
      <c r="AA365" s="142"/>
      <c r="AB365" s="142"/>
      <c r="AC365" s="142"/>
      <c r="AD365" s="142"/>
      <c r="AE365" s="142"/>
      <c r="AF365" s="142"/>
      <c r="AG365" s="142"/>
      <c r="AH365" s="142"/>
      <c r="AI365" s="142"/>
      <c r="AJ365" s="142"/>
      <c r="AK365" s="142"/>
      <c r="AL365" s="142"/>
      <c r="AM365" s="143"/>
    </row>
    <row r="366">
      <c r="A366" s="144"/>
      <c r="B366" s="142"/>
      <c r="C366" s="142"/>
      <c r="D366" s="142"/>
      <c r="E366" s="142"/>
      <c r="F366" s="142"/>
      <c r="G366" s="142"/>
      <c r="H366" s="142"/>
      <c r="I366" s="142"/>
      <c r="J366" s="142"/>
      <c r="K366" s="142"/>
      <c r="L366" s="142"/>
      <c r="M366" s="142"/>
      <c r="N366" s="142"/>
      <c r="O366" s="142"/>
      <c r="P366" s="142"/>
      <c r="Q366" s="142"/>
      <c r="R366" s="142"/>
      <c r="S366" s="142"/>
      <c r="T366" s="142"/>
      <c r="U366" s="142"/>
      <c r="V366" s="142"/>
      <c r="W366" s="142"/>
      <c r="X366" s="142"/>
      <c r="Y366" s="142"/>
      <c r="Z366" s="142"/>
      <c r="AA366" s="142"/>
      <c r="AB366" s="142"/>
      <c r="AC366" s="142"/>
      <c r="AD366" s="142"/>
      <c r="AE366" s="142"/>
      <c r="AF366" s="142"/>
      <c r="AG366" s="142"/>
      <c r="AH366" s="142"/>
      <c r="AI366" s="142"/>
      <c r="AJ366" s="142"/>
      <c r="AK366" s="142"/>
      <c r="AL366" s="142"/>
      <c r="AM366" s="143"/>
    </row>
    <row r="367">
      <c r="A367" s="144"/>
      <c r="B367" s="142"/>
      <c r="C367" s="142"/>
      <c r="D367" s="142"/>
      <c r="E367" s="142"/>
      <c r="F367" s="142"/>
      <c r="G367" s="142"/>
      <c r="H367" s="142"/>
      <c r="I367" s="142"/>
      <c r="J367" s="142"/>
      <c r="K367" s="142"/>
      <c r="L367" s="142"/>
      <c r="M367" s="142"/>
      <c r="N367" s="142"/>
      <c r="O367" s="142"/>
      <c r="P367" s="142"/>
      <c r="Q367" s="142"/>
      <c r="R367" s="142"/>
      <c r="S367" s="142"/>
      <c r="T367" s="142"/>
      <c r="U367" s="142"/>
      <c r="V367" s="142"/>
      <c r="W367" s="142"/>
      <c r="X367" s="142"/>
      <c r="Y367" s="142"/>
      <c r="Z367" s="142"/>
      <c r="AA367" s="142"/>
      <c r="AB367" s="142"/>
      <c r="AC367" s="142"/>
      <c r="AD367" s="142"/>
      <c r="AE367" s="142"/>
      <c r="AF367" s="142"/>
      <c r="AG367" s="142"/>
      <c r="AH367" s="142"/>
      <c r="AI367" s="142"/>
      <c r="AJ367" s="142"/>
      <c r="AK367" s="142"/>
      <c r="AL367" s="142"/>
      <c r="AM367" s="143"/>
    </row>
    <row r="368">
      <c r="A368" s="144"/>
      <c r="B368" s="142"/>
      <c r="C368" s="142"/>
      <c r="D368" s="142"/>
      <c r="E368" s="142"/>
      <c r="F368" s="142"/>
      <c r="G368" s="142"/>
      <c r="H368" s="142"/>
      <c r="I368" s="142"/>
      <c r="J368" s="142"/>
      <c r="K368" s="142"/>
      <c r="L368" s="142"/>
      <c r="M368" s="142"/>
      <c r="N368" s="142"/>
      <c r="O368" s="142"/>
      <c r="P368" s="142"/>
      <c r="Q368" s="142"/>
      <c r="R368" s="142"/>
      <c r="S368" s="142"/>
      <c r="T368" s="142"/>
      <c r="U368" s="142"/>
      <c r="V368" s="142"/>
      <c r="W368" s="142"/>
      <c r="X368" s="142"/>
      <c r="Y368" s="142"/>
      <c r="Z368" s="142"/>
      <c r="AA368" s="142"/>
      <c r="AB368" s="142"/>
      <c r="AC368" s="142"/>
      <c r="AD368" s="142"/>
      <c r="AE368" s="142"/>
      <c r="AF368" s="142"/>
      <c r="AG368" s="142"/>
      <c r="AH368" s="142"/>
      <c r="AI368" s="142"/>
      <c r="AJ368" s="142"/>
      <c r="AK368" s="142"/>
      <c r="AL368" s="142"/>
      <c r="AM368" s="143"/>
    </row>
    <row r="369">
      <c r="A369" s="144"/>
      <c r="B369" s="142"/>
      <c r="C369" s="142"/>
      <c r="D369" s="142"/>
      <c r="E369" s="142"/>
      <c r="F369" s="142"/>
      <c r="G369" s="142"/>
      <c r="H369" s="142"/>
      <c r="I369" s="142"/>
      <c r="J369" s="142"/>
      <c r="K369" s="142"/>
      <c r="L369" s="142"/>
      <c r="M369" s="142"/>
      <c r="N369" s="142"/>
      <c r="O369" s="142"/>
      <c r="P369" s="142"/>
      <c r="Q369" s="142"/>
      <c r="R369" s="142"/>
      <c r="S369" s="142"/>
      <c r="T369" s="142"/>
      <c r="U369" s="142"/>
      <c r="V369" s="142"/>
      <c r="W369" s="142"/>
      <c r="X369" s="142"/>
      <c r="Y369" s="142"/>
      <c r="Z369" s="142"/>
      <c r="AA369" s="142"/>
      <c r="AB369" s="142"/>
      <c r="AC369" s="142"/>
      <c r="AD369" s="142"/>
      <c r="AE369" s="142"/>
      <c r="AF369" s="142"/>
      <c r="AG369" s="142"/>
      <c r="AH369" s="142"/>
      <c r="AI369" s="142"/>
      <c r="AJ369" s="142"/>
      <c r="AK369" s="142"/>
      <c r="AL369" s="142"/>
      <c r="AM369" s="143"/>
    </row>
    <row r="370">
      <c r="A370" s="144"/>
      <c r="B370" s="142"/>
      <c r="C370" s="142"/>
      <c r="D370" s="142"/>
      <c r="E370" s="142"/>
      <c r="F370" s="142"/>
      <c r="G370" s="142"/>
      <c r="H370" s="142"/>
      <c r="I370" s="142"/>
      <c r="J370" s="142"/>
      <c r="K370" s="142"/>
      <c r="L370" s="142"/>
      <c r="M370" s="142"/>
      <c r="N370" s="142"/>
      <c r="O370" s="142"/>
      <c r="P370" s="142"/>
      <c r="Q370" s="142"/>
      <c r="R370" s="142"/>
      <c r="S370" s="142"/>
      <c r="T370" s="142"/>
      <c r="U370" s="142"/>
      <c r="V370" s="142"/>
      <c r="W370" s="142"/>
      <c r="X370" s="142"/>
      <c r="Y370" s="142"/>
      <c r="Z370" s="142"/>
      <c r="AA370" s="142"/>
      <c r="AB370" s="142"/>
      <c r="AC370" s="142"/>
      <c r="AD370" s="142"/>
      <c r="AE370" s="142"/>
      <c r="AF370" s="142"/>
      <c r="AG370" s="142"/>
      <c r="AH370" s="142"/>
      <c r="AI370" s="142"/>
      <c r="AJ370" s="142"/>
      <c r="AK370" s="142"/>
      <c r="AL370" s="142"/>
      <c r="AM370" s="143"/>
    </row>
    <row r="371">
      <c r="A371" s="144"/>
      <c r="B371" s="142"/>
      <c r="C371" s="142"/>
      <c r="D371" s="142"/>
      <c r="E371" s="142"/>
      <c r="F371" s="142"/>
      <c r="G371" s="142"/>
      <c r="H371" s="142"/>
      <c r="I371" s="142"/>
      <c r="J371" s="142"/>
      <c r="K371" s="142"/>
      <c r="L371" s="142"/>
      <c r="M371" s="142"/>
      <c r="N371" s="142"/>
      <c r="O371" s="142"/>
      <c r="P371" s="142"/>
      <c r="Q371" s="142"/>
      <c r="R371" s="142"/>
      <c r="S371" s="142"/>
      <c r="T371" s="142"/>
      <c r="U371" s="142"/>
      <c r="V371" s="142"/>
      <c r="W371" s="142"/>
      <c r="X371" s="142"/>
      <c r="Y371" s="142"/>
      <c r="Z371" s="142"/>
      <c r="AA371" s="142"/>
      <c r="AB371" s="142"/>
      <c r="AC371" s="142"/>
      <c r="AD371" s="142"/>
      <c r="AE371" s="142"/>
      <c r="AF371" s="142"/>
      <c r="AG371" s="142"/>
      <c r="AH371" s="142"/>
      <c r="AI371" s="142"/>
      <c r="AJ371" s="142"/>
      <c r="AK371" s="142"/>
      <c r="AL371" s="142"/>
      <c r="AM371" s="143"/>
    </row>
    <row r="372">
      <c r="A372" s="144"/>
      <c r="B372" s="142"/>
      <c r="C372" s="142"/>
      <c r="D372" s="142"/>
      <c r="E372" s="142"/>
      <c r="F372" s="142"/>
      <c r="G372" s="142"/>
      <c r="H372" s="142"/>
      <c r="I372" s="142"/>
      <c r="J372" s="142"/>
      <c r="K372" s="142"/>
      <c r="L372" s="142"/>
      <c r="M372" s="142"/>
      <c r="N372" s="142"/>
      <c r="O372" s="142"/>
      <c r="P372" s="142"/>
      <c r="Q372" s="142"/>
      <c r="R372" s="142"/>
      <c r="S372" s="142"/>
      <c r="T372" s="142"/>
      <c r="U372" s="142"/>
      <c r="V372" s="142"/>
      <c r="W372" s="142"/>
      <c r="X372" s="142"/>
      <c r="Y372" s="142"/>
      <c r="Z372" s="142"/>
      <c r="AA372" s="142"/>
      <c r="AB372" s="142"/>
      <c r="AC372" s="142"/>
      <c r="AD372" s="142"/>
      <c r="AE372" s="142"/>
      <c r="AF372" s="142"/>
      <c r="AG372" s="142"/>
      <c r="AH372" s="142"/>
      <c r="AI372" s="142"/>
      <c r="AJ372" s="142"/>
      <c r="AK372" s="142"/>
      <c r="AL372" s="142"/>
      <c r="AM372" s="143"/>
    </row>
    <row r="373">
      <c r="A373" s="144"/>
      <c r="B373" s="142"/>
      <c r="C373" s="142"/>
      <c r="D373" s="142"/>
      <c r="E373" s="142"/>
      <c r="F373" s="142"/>
      <c r="G373" s="142"/>
      <c r="H373" s="142"/>
      <c r="I373" s="142"/>
      <c r="J373" s="142"/>
      <c r="K373" s="142"/>
      <c r="L373" s="142"/>
      <c r="M373" s="142"/>
      <c r="N373" s="142"/>
      <c r="O373" s="142"/>
      <c r="P373" s="142"/>
      <c r="Q373" s="142"/>
      <c r="R373" s="142"/>
      <c r="S373" s="142"/>
      <c r="T373" s="142"/>
      <c r="U373" s="142"/>
      <c r="V373" s="142"/>
      <c r="W373" s="142"/>
      <c r="X373" s="142"/>
      <c r="Y373" s="142"/>
      <c r="Z373" s="142"/>
      <c r="AA373" s="142"/>
      <c r="AB373" s="142"/>
      <c r="AC373" s="142"/>
      <c r="AD373" s="142"/>
      <c r="AE373" s="142"/>
      <c r="AF373" s="142"/>
      <c r="AG373" s="142"/>
      <c r="AH373" s="142"/>
      <c r="AI373" s="142"/>
      <c r="AJ373" s="142"/>
      <c r="AK373" s="142"/>
      <c r="AL373" s="142"/>
      <c r="AM373" s="143"/>
    </row>
    <row r="374">
      <c r="A374" s="144"/>
      <c r="B374" s="142"/>
      <c r="C374" s="142"/>
      <c r="D374" s="142"/>
      <c r="E374" s="142"/>
      <c r="F374" s="142"/>
      <c r="G374" s="142"/>
      <c r="H374" s="142"/>
      <c r="I374" s="142"/>
      <c r="J374" s="142"/>
      <c r="K374" s="142"/>
      <c r="L374" s="142"/>
      <c r="M374" s="142"/>
      <c r="N374" s="142"/>
      <c r="O374" s="142"/>
      <c r="P374" s="142"/>
      <c r="Q374" s="142"/>
      <c r="R374" s="142"/>
      <c r="S374" s="142"/>
      <c r="T374" s="142"/>
      <c r="U374" s="142"/>
      <c r="V374" s="142"/>
      <c r="W374" s="142"/>
      <c r="X374" s="142"/>
      <c r="Y374" s="142"/>
      <c r="Z374" s="142"/>
      <c r="AA374" s="142"/>
      <c r="AB374" s="142"/>
      <c r="AC374" s="142"/>
      <c r="AD374" s="142"/>
      <c r="AE374" s="142"/>
      <c r="AF374" s="142"/>
      <c r="AG374" s="142"/>
      <c r="AH374" s="142"/>
      <c r="AI374" s="142"/>
      <c r="AJ374" s="142"/>
      <c r="AK374" s="142"/>
      <c r="AL374" s="142"/>
      <c r="AM374" s="143"/>
    </row>
    <row r="375">
      <c r="A375" s="144"/>
      <c r="B375" s="142"/>
      <c r="C375" s="142"/>
      <c r="D375" s="142"/>
      <c r="E375" s="142"/>
      <c r="F375" s="142"/>
      <c r="G375" s="142"/>
      <c r="H375" s="142"/>
      <c r="I375" s="142"/>
      <c r="J375" s="142"/>
      <c r="K375" s="142"/>
      <c r="L375" s="142"/>
      <c r="M375" s="142"/>
      <c r="N375" s="142"/>
      <c r="O375" s="142"/>
      <c r="P375" s="142"/>
      <c r="Q375" s="142"/>
      <c r="R375" s="142"/>
      <c r="S375" s="142"/>
      <c r="T375" s="142"/>
      <c r="U375" s="142"/>
      <c r="V375" s="142"/>
      <c r="W375" s="142"/>
      <c r="X375" s="142"/>
      <c r="Y375" s="142"/>
      <c r="Z375" s="142"/>
      <c r="AA375" s="142"/>
      <c r="AB375" s="142"/>
      <c r="AC375" s="142"/>
      <c r="AD375" s="142"/>
      <c r="AE375" s="142"/>
      <c r="AF375" s="142"/>
      <c r="AG375" s="142"/>
      <c r="AH375" s="142"/>
      <c r="AI375" s="142"/>
      <c r="AJ375" s="142"/>
      <c r="AK375" s="142"/>
      <c r="AL375" s="142"/>
      <c r="AM375" s="143"/>
    </row>
    <row r="376">
      <c r="A376" s="144"/>
      <c r="B376" s="142"/>
      <c r="C376" s="142"/>
      <c r="D376" s="142"/>
      <c r="E376" s="142"/>
      <c r="F376" s="142"/>
      <c r="G376" s="142"/>
      <c r="H376" s="142"/>
      <c r="I376" s="142"/>
      <c r="J376" s="142"/>
      <c r="K376" s="142"/>
      <c r="L376" s="142"/>
      <c r="M376" s="142"/>
      <c r="N376" s="142"/>
      <c r="O376" s="142"/>
      <c r="P376" s="142"/>
      <c r="Q376" s="142"/>
      <c r="R376" s="142"/>
      <c r="S376" s="142"/>
      <c r="T376" s="142"/>
      <c r="U376" s="142"/>
      <c r="V376" s="142"/>
      <c r="W376" s="142"/>
      <c r="X376" s="142"/>
      <c r="Y376" s="142"/>
      <c r="Z376" s="142"/>
      <c r="AA376" s="142"/>
      <c r="AB376" s="142"/>
      <c r="AC376" s="142"/>
      <c r="AD376" s="142"/>
      <c r="AE376" s="142"/>
      <c r="AF376" s="142"/>
      <c r="AG376" s="142"/>
      <c r="AH376" s="142"/>
      <c r="AI376" s="142"/>
      <c r="AJ376" s="142"/>
      <c r="AK376" s="142"/>
      <c r="AL376" s="142"/>
      <c r="AM376" s="143"/>
    </row>
    <row r="377">
      <c r="A377" s="144"/>
      <c r="B377" s="142"/>
      <c r="C377" s="142"/>
      <c r="D377" s="142"/>
      <c r="E377" s="142"/>
      <c r="F377" s="142"/>
      <c r="G377" s="142"/>
      <c r="H377" s="142"/>
      <c r="I377" s="142"/>
      <c r="J377" s="142"/>
      <c r="K377" s="142"/>
      <c r="L377" s="142"/>
      <c r="M377" s="142"/>
      <c r="N377" s="142"/>
      <c r="O377" s="142"/>
      <c r="P377" s="142"/>
      <c r="Q377" s="142"/>
      <c r="R377" s="142"/>
      <c r="S377" s="142"/>
      <c r="T377" s="142"/>
      <c r="U377" s="142"/>
      <c r="V377" s="142"/>
      <c r="W377" s="142"/>
      <c r="X377" s="142"/>
      <c r="Y377" s="142"/>
      <c r="Z377" s="142"/>
      <c r="AA377" s="142"/>
      <c r="AB377" s="142"/>
      <c r="AC377" s="142"/>
      <c r="AD377" s="142"/>
      <c r="AE377" s="142"/>
      <c r="AF377" s="142"/>
      <c r="AG377" s="142"/>
      <c r="AH377" s="142"/>
      <c r="AI377" s="142"/>
      <c r="AJ377" s="142"/>
      <c r="AK377" s="142"/>
      <c r="AL377" s="142"/>
      <c r="AM377" s="143"/>
    </row>
    <row r="378">
      <c r="A378" s="144"/>
      <c r="B378" s="142"/>
      <c r="C378" s="142"/>
      <c r="D378" s="142"/>
      <c r="E378" s="142"/>
      <c r="F378" s="142"/>
      <c r="G378" s="142"/>
      <c r="H378" s="142"/>
      <c r="I378" s="142"/>
      <c r="J378" s="142"/>
      <c r="K378" s="142"/>
      <c r="L378" s="142"/>
      <c r="M378" s="142"/>
      <c r="N378" s="142"/>
      <c r="O378" s="142"/>
      <c r="P378" s="142"/>
      <c r="Q378" s="142"/>
      <c r="R378" s="142"/>
      <c r="S378" s="142"/>
      <c r="T378" s="142"/>
      <c r="U378" s="142"/>
      <c r="V378" s="142"/>
      <c r="W378" s="142"/>
      <c r="X378" s="142"/>
      <c r="Y378" s="142"/>
      <c r="Z378" s="142"/>
      <c r="AA378" s="142"/>
      <c r="AB378" s="142"/>
      <c r="AC378" s="142"/>
      <c r="AD378" s="142"/>
      <c r="AE378" s="142"/>
      <c r="AF378" s="142"/>
      <c r="AG378" s="142"/>
      <c r="AH378" s="142"/>
      <c r="AI378" s="142"/>
      <c r="AJ378" s="142"/>
      <c r="AK378" s="142"/>
      <c r="AL378" s="142"/>
      <c r="AM378" s="143"/>
    </row>
    <row r="379">
      <c r="A379" s="144"/>
      <c r="B379" s="142"/>
      <c r="C379" s="142"/>
      <c r="D379" s="142"/>
      <c r="E379" s="142"/>
      <c r="F379" s="142"/>
      <c r="G379" s="142"/>
      <c r="H379" s="142"/>
      <c r="I379" s="142"/>
      <c r="J379" s="142"/>
      <c r="K379" s="142"/>
      <c r="L379" s="142"/>
      <c r="M379" s="142"/>
      <c r="N379" s="142"/>
      <c r="O379" s="142"/>
      <c r="P379" s="142"/>
      <c r="Q379" s="142"/>
      <c r="R379" s="142"/>
      <c r="S379" s="142"/>
      <c r="T379" s="142"/>
      <c r="U379" s="142"/>
      <c r="V379" s="142"/>
      <c r="W379" s="142"/>
      <c r="X379" s="142"/>
      <c r="Y379" s="142"/>
      <c r="Z379" s="142"/>
      <c r="AA379" s="142"/>
      <c r="AB379" s="142"/>
      <c r="AC379" s="142"/>
      <c r="AD379" s="142"/>
      <c r="AE379" s="142"/>
      <c r="AF379" s="142"/>
      <c r="AG379" s="142"/>
      <c r="AH379" s="142"/>
      <c r="AI379" s="142"/>
      <c r="AJ379" s="142"/>
      <c r="AK379" s="142"/>
      <c r="AL379" s="142"/>
      <c r="AM379" s="143"/>
    </row>
    <row r="380">
      <c r="A380" s="144"/>
      <c r="B380" s="142"/>
      <c r="C380" s="142"/>
      <c r="D380" s="142"/>
      <c r="E380" s="142"/>
      <c r="F380" s="142"/>
      <c r="G380" s="142"/>
      <c r="H380" s="142"/>
      <c r="I380" s="142"/>
      <c r="J380" s="142"/>
      <c r="K380" s="142"/>
      <c r="L380" s="142"/>
      <c r="M380" s="142"/>
      <c r="N380" s="142"/>
      <c r="O380" s="142"/>
      <c r="P380" s="142"/>
      <c r="Q380" s="142"/>
      <c r="R380" s="142"/>
      <c r="S380" s="142"/>
      <c r="T380" s="142"/>
      <c r="U380" s="142"/>
      <c r="V380" s="142"/>
      <c r="W380" s="142"/>
      <c r="X380" s="142"/>
      <c r="Y380" s="142"/>
      <c r="Z380" s="142"/>
      <c r="AA380" s="142"/>
      <c r="AB380" s="142"/>
      <c r="AC380" s="142"/>
      <c r="AD380" s="142"/>
      <c r="AE380" s="142"/>
      <c r="AF380" s="142"/>
      <c r="AG380" s="142"/>
      <c r="AH380" s="142"/>
      <c r="AI380" s="142"/>
      <c r="AJ380" s="142"/>
      <c r="AK380" s="142"/>
      <c r="AL380" s="142"/>
      <c r="AM380" s="143"/>
    </row>
    <row r="381">
      <c r="A381" s="144"/>
      <c r="B381" s="142"/>
      <c r="C381" s="142"/>
      <c r="D381" s="142"/>
      <c r="E381" s="142"/>
      <c r="F381" s="142"/>
      <c r="G381" s="142"/>
      <c r="H381" s="142"/>
      <c r="I381" s="142"/>
      <c r="J381" s="142"/>
      <c r="K381" s="142"/>
      <c r="L381" s="142"/>
      <c r="M381" s="142"/>
      <c r="N381" s="142"/>
      <c r="O381" s="142"/>
      <c r="P381" s="142"/>
      <c r="Q381" s="142"/>
      <c r="R381" s="142"/>
      <c r="S381" s="142"/>
      <c r="T381" s="142"/>
      <c r="U381" s="142"/>
      <c r="V381" s="142"/>
      <c r="W381" s="142"/>
      <c r="X381" s="142"/>
      <c r="Y381" s="142"/>
      <c r="Z381" s="142"/>
      <c r="AA381" s="142"/>
      <c r="AB381" s="142"/>
      <c r="AC381" s="142"/>
      <c r="AD381" s="142"/>
      <c r="AE381" s="142"/>
      <c r="AF381" s="142"/>
      <c r="AG381" s="142"/>
      <c r="AH381" s="142"/>
      <c r="AI381" s="142"/>
      <c r="AJ381" s="142"/>
      <c r="AK381" s="142"/>
      <c r="AL381" s="142"/>
      <c r="AM381" s="143"/>
    </row>
    <row r="382">
      <c r="A382" s="144"/>
      <c r="B382" s="142"/>
      <c r="C382" s="142"/>
      <c r="D382" s="142"/>
      <c r="E382" s="142"/>
      <c r="F382" s="142"/>
      <c r="G382" s="142"/>
      <c r="H382" s="142"/>
      <c r="I382" s="142"/>
      <c r="J382" s="142"/>
      <c r="K382" s="142"/>
      <c r="L382" s="142"/>
      <c r="M382" s="142"/>
      <c r="N382" s="142"/>
      <c r="O382" s="142"/>
      <c r="P382" s="142"/>
      <c r="Q382" s="142"/>
      <c r="R382" s="142"/>
      <c r="S382" s="142"/>
      <c r="T382" s="142"/>
      <c r="U382" s="142"/>
      <c r="V382" s="142"/>
      <c r="W382" s="142"/>
      <c r="X382" s="142"/>
      <c r="Y382" s="142"/>
      <c r="Z382" s="142"/>
      <c r="AA382" s="142"/>
      <c r="AB382" s="142"/>
      <c r="AC382" s="142"/>
      <c r="AD382" s="142"/>
      <c r="AE382" s="142"/>
      <c r="AF382" s="142"/>
      <c r="AG382" s="142"/>
      <c r="AH382" s="142"/>
      <c r="AI382" s="142"/>
      <c r="AJ382" s="142"/>
      <c r="AK382" s="142"/>
      <c r="AL382" s="142"/>
      <c r="AM382" s="143"/>
    </row>
    <row r="383">
      <c r="A383" s="144"/>
      <c r="B383" s="142"/>
      <c r="C383" s="142"/>
      <c r="D383" s="142"/>
      <c r="E383" s="142"/>
      <c r="F383" s="142"/>
      <c r="G383" s="142"/>
      <c r="H383" s="142"/>
      <c r="I383" s="142"/>
      <c r="J383" s="142"/>
      <c r="K383" s="142"/>
      <c r="L383" s="142"/>
      <c r="M383" s="142"/>
      <c r="N383" s="142"/>
      <c r="O383" s="142"/>
      <c r="P383" s="142"/>
      <c r="Q383" s="142"/>
      <c r="R383" s="142"/>
      <c r="S383" s="142"/>
      <c r="T383" s="142"/>
      <c r="U383" s="142"/>
      <c r="V383" s="142"/>
      <c r="W383" s="142"/>
      <c r="X383" s="142"/>
      <c r="Y383" s="142"/>
      <c r="Z383" s="142"/>
      <c r="AA383" s="142"/>
      <c r="AB383" s="142"/>
      <c r="AC383" s="142"/>
      <c r="AD383" s="142"/>
      <c r="AE383" s="142"/>
      <c r="AF383" s="142"/>
      <c r="AG383" s="142"/>
      <c r="AH383" s="142"/>
      <c r="AI383" s="142"/>
      <c r="AJ383" s="142"/>
      <c r="AK383" s="142"/>
      <c r="AL383" s="142"/>
      <c r="AM383" s="143"/>
    </row>
    <row r="384">
      <c r="A384" s="144"/>
      <c r="B384" s="142"/>
      <c r="C384" s="142"/>
      <c r="D384" s="142"/>
      <c r="E384" s="142"/>
      <c r="F384" s="142"/>
      <c r="G384" s="142"/>
      <c r="H384" s="142"/>
      <c r="I384" s="142"/>
      <c r="J384" s="142"/>
      <c r="K384" s="142"/>
      <c r="L384" s="142"/>
      <c r="M384" s="142"/>
      <c r="N384" s="142"/>
      <c r="O384" s="142"/>
      <c r="P384" s="142"/>
      <c r="Q384" s="142"/>
      <c r="R384" s="142"/>
      <c r="S384" s="142"/>
      <c r="T384" s="142"/>
      <c r="U384" s="142"/>
      <c r="V384" s="142"/>
      <c r="W384" s="142"/>
      <c r="X384" s="142"/>
      <c r="Y384" s="142"/>
      <c r="Z384" s="142"/>
      <c r="AA384" s="142"/>
      <c r="AB384" s="142"/>
      <c r="AC384" s="142"/>
      <c r="AD384" s="142"/>
      <c r="AE384" s="142"/>
      <c r="AF384" s="142"/>
      <c r="AG384" s="142"/>
      <c r="AH384" s="142"/>
      <c r="AI384" s="142"/>
      <c r="AJ384" s="142"/>
      <c r="AK384" s="142"/>
      <c r="AL384" s="142"/>
      <c r="AM384" s="143"/>
    </row>
    <row r="385">
      <c r="A385" s="144"/>
      <c r="B385" s="142"/>
      <c r="C385" s="142"/>
      <c r="D385" s="142"/>
      <c r="E385" s="142"/>
      <c r="F385" s="142"/>
      <c r="G385" s="142"/>
      <c r="H385" s="142"/>
      <c r="I385" s="142"/>
      <c r="J385" s="142"/>
      <c r="K385" s="142"/>
      <c r="L385" s="142"/>
      <c r="M385" s="142"/>
      <c r="N385" s="142"/>
      <c r="O385" s="142"/>
      <c r="P385" s="142"/>
      <c r="Q385" s="142"/>
      <c r="R385" s="142"/>
      <c r="S385" s="142"/>
      <c r="T385" s="142"/>
      <c r="U385" s="142"/>
      <c r="V385" s="142"/>
      <c r="W385" s="142"/>
      <c r="X385" s="142"/>
      <c r="Y385" s="142"/>
      <c r="Z385" s="142"/>
      <c r="AA385" s="142"/>
      <c r="AB385" s="142"/>
      <c r="AC385" s="142"/>
      <c r="AD385" s="142"/>
      <c r="AE385" s="142"/>
      <c r="AF385" s="142"/>
      <c r="AG385" s="142"/>
      <c r="AH385" s="142"/>
      <c r="AI385" s="142"/>
      <c r="AJ385" s="142"/>
      <c r="AK385" s="142"/>
      <c r="AL385" s="142"/>
      <c r="AM385" s="143"/>
    </row>
    <row r="386">
      <c r="A386" s="144"/>
      <c r="B386" s="142"/>
      <c r="C386" s="142"/>
      <c r="D386" s="142"/>
      <c r="E386" s="142"/>
      <c r="F386" s="142"/>
      <c r="G386" s="142"/>
      <c r="H386" s="142"/>
      <c r="I386" s="142"/>
      <c r="J386" s="142"/>
      <c r="K386" s="142"/>
      <c r="L386" s="142"/>
      <c r="M386" s="142"/>
      <c r="N386" s="142"/>
      <c r="O386" s="142"/>
      <c r="P386" s="142"/>
      <c r="Q386" s="142"/>
      <c r="R386" s="142"/>
      <c r="S386" s="142"/>
      <c r="T386" s="142"/>
      <c r="U386" s="142"/>
      <c r="V386" s="142"/>
      <c r="W386" s="142"/>
      <c r="X386" s="142"/>
      <c r="Y386" s="142"/>
      <c r="Z386" s="142"/>
      <c r="AA386" s="142"/>
      <c r="AB386" s="142"/>
      <c r="AC386" s="142"/>
      <c r="AD386" s="142"/>
      <c r="AE386" s="142"/>
      <c r="AF386" s="142"/>
      <c r="AG386" s="142"/>
      <c r="AH386" s="142"/>
      <c r="AI386" s="142"/>
      <c r="AJ386" s="142"/>
      <c r="AK386" s="142"/>
      <c r="AL386" s="142"/>
      <c r="AM386" s="143"/>
    </row>
    <row r="387">
      <c r="A387" s="144"/>
      <c r="B387" s="142"/>
      <c r="C387" s="142"/>
      <c r="D387" s="142"/>
      <c r="E387" s="142"/>
      <c r="F387" s="142"/>
      <c r="G387" s="142"/>
      <c r="H387" s="142"/>
      <c r="I387" s="142"/>
      <c r="J387" s="142"/>
      <c r="K387" s="142"/>
      <c r="L387" s="142"/>
      <c r="M387" s="142"/>
      <c r="N387" s="142"/>
      <c r="O387" s="142"/>
      <c r="P387" s="142"/>
      <c r="Q387" s="142"/>
      <c r="R387" s="142"/>
      <c r="S387" s="142"/>
      <c r="T387" s="142"/>
      <c r="U387" s="142"/>
      <c r="V387" s="142"/>
      <c r="W387" s="142"/>
      <c r="X387" s="142"/>
      <c r="Y387" s="142"/>
      <c r="Z387" s="142"/>
      <c r="AA387" s="142"/>
      <c r="AB387" s="142"/>
      <c r="AC387" s="142"/>
      <c r="AD387" s="142"/>
      <c r="AE387" s="142"/>
      <c r="AF387" s="142"/>
      <c r="AG387" s="142"/>
      <c r="AH387" s="142"/>
      <c r="AI387" s="142"/>
      <c r="AJ387" s="142"/>
      <c r="AK387" s="142"/>
      <c r="AL387" s="142"/>
      <c r="AM387" s="143"/>
    </row>
    <row r="388">
      <c r="A388" s="144"/>
      <c r="B388" s="142"/>
      <c r="C388" s="142"/>
      <c r="D388" s="142"/>
      <c r="E388" s="142"/>
      <c r="F388" s="142"/>
      <c r="G388" s="142"/>
      <c r="H388" s="142"/>
      <c r="I388" s="142"/>
      <c r="J388" s="142"/>
      <c r="K388" s="142"/>
      <c r="L388" s="142"/>
      <c r="M388" s="142"/>
      <c r="N388" s="142"/>
      <c r="O388" s="142"/>
      <c r="P388" s="142"/>
      <c r="Q388" s="142"/>
      <c r="R388" s="142"/>
      <c r="S388" s="142"/>
      <c r="T388" s="142"/>
      <c r="U388" s="142"/>
      <c r="V388" s="142"/>
      <c r="W388" s="142"/>
      <c r="X388" s="142"/>
      <c r="Y388" s="142"/>
      <c r="Z388" s="142"/>
      <c r="AA388" s="142"/>
      <c r="AB388" s="142"/>
      <c r="AC388" s="142"/>
      <c r="AD388" s="142"/>
      <c r="AE388" s="142"/>
      <c r="AF388" s="142"/>
      <c r="AG388" s="142"/>
      <c r="AH388" s="142"/>
      <c r="AI388" s="142"/>
      <c r="AJ388" s="142"/>
      <c r="AK388" s="142"/>
      <c r="AL388" s="142"/>
      <c r="AM388" s="143"/>
    </row>
    <row r="389">
      <c r="A389" s="144"/>
      <c r="B389" s="142"/>
      <c r="C389" s="142"/>
      <c r="D389" s="142"/>
      <c r="E389" s="142"/>
      <c r="F389" s="142"/>
      <c r="G389" s="142"/>
      <c r="H389" s="142"/>
      <c r="I389" s="142"/>
      <c r="J389" s="142"/>
      <c r="K389" s="142"/>
      <c r="L389" s="142"/>
      <c r="M389" s="142"/>
      <c r="N389" s="142"/>
      <c r="O389" s="142"/>
      <c r="P389" s="142"/>
      <c r="Q389" s="142"/>
      <c r="R389" s="142"/>
      <c r="S389" s="142"/>
      <c r="T389" s="142"/>
      <c r="U389" s="142"/>
      <c r="V389" s="142"/>
      <c r="W389" s="142"/>
      <c r="X389" s="142"/>
      <c r="Y389" s="142"/>
      <c r="Z389" s="142"/>
      <c r="AA389" s="142"/>
      <c r="AB389" s="142"/>
      <c r="AC389" s="142"/>
      <c r="AD389" s="142"/>
      <c r="AE389" s="142"/>
      <c r="AF389" s="142"/>
      <c r="AG389" s="142"/>
      <c r="AH389" s="142"/>
      <c r="AI389" s="142"/>
      <c r="AJ389" s="142"/>
      <c r="AK389" s="142"/>
      <c r="AL389" s="142"/>
      <c r="AM389" s="143"/>
    </row>
    <row r="390">
      <c r="A390" s="144"/>
      <c r="B390" s="142"/>
      <c r="C390" s="142"/>
      <c r="D390" s="142"/>
      <c r="E390" s="142"/>
      <c r="F390" s="142"/>
      <c r="G390" s="142"/>
      <c r="H390" s="142"/>
      <c r="I390" s="142"/>
      <c r="J390" s="142"/>
      <c r="K390" s="142"/>
      <c r="L390" s="142"/>
      <c r="M390" s="142"/>
      <c r="N390" s="142"/>
      <c r="O390" s="142"/>
      <c r="P390" s="142"/>
      <c r="Q390" s="142"/>
      <c r="R390" s="142"/>
      <c r="S390" s="142"/>
      <c r="T390" s="142"/>
      <c r="U390" s="142"/>
      <c r="V390" s="142"/>
      <c r="W390" s="142"/>
      <c r="X390" s="142"/>
      <c r="Y390" s="142"/>
      <c r="Z390" s="142"/>
      <c r="AA390" s="142"/>
      <c r="AB390" s="142"/>
      <c r="AC390" s="142"/>
      <c r="AD390" s="142"/>
      <c r="AE390" s="142"/>
      <c r="AF390" s="142"/>
      <c r="AG390" s="142"/>
      <c r="AH390" s="142"/>
      <c r="AI390" s="142"/>
      <c r="AJ390" s="142"/>
      <c r="AK390" s="142"/>
      <c r="AL390" s="142"/>
      <c r="AM390" s="143"/>
    </row>
    <row r="391">
      <c r="A391" s="144"/>
      <c r="B391" s="142"/>
      <c r="C391" s="142"/>
      <c r="D391" s="142"/>
      <c r="E391" s="142"/>
      <c r="F391" s="142"/>
      <c r="G391" s="142"/>
      <c r="H391" s="142"/>
      <c r="I391" s="142"/>
      <c r="J391" s="142"/>
      <c r="K391" s="142"/>
      <c r="L391" s="142"/>
      <c r="M391" s="142"/>
      <c r="N391" s="142"/>
      <c r="O391" s="142"/>
      <c r="P391" s="142"/>
      <c r="Q391" s="142"/>
      <c r="R391" s="142"/>
      <c r="S391" s="142"/>
      <c r="T391" s="142"/>
      <c r="U391" s="142"/>
      <c r="V391" s="142"/>
      <c r="W391" s="142"/>
      <c r="X391" s="142"/>
      <c r="Y391" s="142"/>
      <c r="Z391" s="142"/>
      <c r="AA391" s="142"/>
      <c r="AB391" s="142"/>
      <c r="AC391" s="142"/>
      <c r="AD391" s="142"/>
      <c r="AE391" s="142"/>
      <c r="AF391" s="142"/>
      <c r="AG391" s="142"/>
      <c r="AH391" s="142"/>
      <c r="AI391" s="142"/>
      <c r="AJ391" s="142"/>
      <c r="AK391" s="142"/>
      <c r="AL391" s="142"/>
      <c r="AM391" s="143"/>
    </row>
    <row r="392">
      <c r="A392" s="144"/>
      <c r="B392" s="142"/>
      <c r="C392" s="142"/>
      <c r="D392" s="142"/>
      <c r="E392" s="142"/>
      <c r="F392" s="142"/>
      <c r="G392" s="142"/>
      <c r="H392" s="142"/>
      <c r="I392" s="142"/>
      <c r="J392" s="142"/>
      <c r="K392" s="142"/>
      <c r="L392" s="142"/>
      <c r="M392" s="142"/>
      <c r="N392" s="142"/>
      <c r="O392" s="142"/>
      <c r="P392" s="142"/>
      <c r="Q392" s="142"/>
      <c r="R392" s="142"/>
      <c r="S392" s="142"/>
      <c r="T392" s="142"/>
      <c r="U392" s="142"/>
      <c r="V392" s="142"/>
      <c r="W392" s="142"/>
      <c r="X392" s="142"/>
      <c r="Y392" s="142"/>
      <c r="Z392" s="142"/>
      <c r="AA392" s="142"/>
      <c r="AB392" s="142"/>
      <c r="AC392" s="142"/>
      <c r="AD392" s="142"/>
      <c r="AE392" s="142"/>
      <c r="AF392" s="142"/>
      <c r="AG392" s="142"/>
      <c r="AH392" s="142"/>
      <c r="AI392" s="142"/>
      <c r="AJ392" s="142"/>
      <c r="AK392" s="142"/>
      <c r="AL392" s="142"/>
      <c r="AM392" s="143"/>
    </row>
    <row r="393">
      <c r="A393" s="144"/>
      <c r="B393" s="142"/>
      <c r="C393" s="142"/>
      <c r="D393" s="142"/>
      <c r="E393" s="142"/>
      <c r="F393" s="142"/>
      <c r="G393" s="142"/>
      <c r="H393" s="142"/>
      <c r="I393" s="142"/>
      <c r="J393" s="142"/>
      <c r="K393" s="142"/>
      <c r="L393" s="142"/>
      <c r="M393" s="142"/>
      <c r="N393" s="142"/>
      <c r="O393" s="142"/>
      <c r="P393" s="142"/>
      <c r="Q393" s="142"/>
      <c r="R393" s="142"/>
      <c r="S393" s="142"/>
      <c r="T393" s="142"/>
      <c r="U393" s="142"/>
      <c r="V393" s="142"/>
      <c r="W393" s="142"/>
      <c r="X393" s="142"/>
      <c r="Y393" s="142"/>
      <c r="Z393" s="142"/>
      <c r="AA393" s="142"/>
      <c r="AB393" s="142"/>
      <c r="AC393" s="142"/>
      <c r="AD393" s="142"/>
      <c r="AE393" s="142"/>
      <c r="AF393" s="142"/>
      <c r="AG393" s="142"/>
      <c r="AH393" s="142"/>
      <c r="AI393" s="142"/>
      <c r="AJ393" s="142"/>
      <c r="AK393" s="142"/>
      <c r="AL393" s="142"/>
      <c r="AM393" s="143"/>
    </row>
    <row r="394">
      <c r="A394" s="144"/>
      <c r="B394" s="142"/>
      <c r="C394" s="142"/>
      <c r="D394" s="142"/>
      <c r="E394" s="142"/>
      <c r="F394" s="142"/>
      <c r="G394" s="142"/>
      <c r="H394" s="142"/>
      <c r="I394" s="142"/>
      <c r="J394" s="142"/>
      <c r="K394" s="142"/>
      <c r="L394" s="142"/>
      <c r="M394" s="142"/>
      <c r="N394" s="142"/>
      <c r="O394" s="142"/>
      <c r="P394" s="142"/>
      <c r="Q394" s="142"/>
      <c r="R394" s="142"/>
      <c r="S394" s="142"/>
      <c r="T394" s="142"/>
      <c r="U394" s="142"/>
      <c r="V394" s="142"/>
      <c r="W394" s="142"/>
      <c r="X394" s="142"/>
      <c r="Y394" s="142"/>
      <c r="Z394" s="142"/>
      <c r="AA394" s="142"/>
      <c r="AB394" s="142"/>
      <c r="AC394" s="142"/>
      <c r="AD394" s="142"/>
      <c r="AE394" s="142"/>
      <c r="AF394" s="142"/>
      <c r="AG394" s="142"/>
      <c r="AH394" s="142"/>
      <c r="AI394" s="142"/>
      <c r="AJ394" s="142"/>
      <c r="AK394" s="142"/>
      <c r="AL394" s="142"/>
      <c r="AM394" s="143"/>
    </row>
    <row r="395">
      <c r="A395" s="144"/>
      <c r="B395" s="142"/>
      <c r="C395" s="142"/>
      <c r="D395" s="142"/>
      <c r="E395" s="142"/>
      <c r="F395" s="142"/>
      <c r="G395" s="142"/>
      <c r="H395" s="142"/>
      <c r="I395" s="142"/>
      <c r="J395" s="142"/>
      <c r="K395" s="142"/>
      <c r="L395" s="142"/>
      <c r="M395" s="142"/>
      <c r="N395" s="142"/>
      <c r="O395" s="142"/>
      <c r="P395" s="142"/>
      <c r="Q395" s="142"/>
      <c r="R395" s="142"/>
      <c r="S395" s="142"/>
      <c r="T395" s="142"/>
      <c r="U395" s="142"/>
      <c r="V395" s="142"/>
      <c r="W395" s="142"/>
      <c r="X395" s="142"/>
      <c r="Y395" s="142"/>
      <c r="Z395" s="142"/>
      <c r="AA395" s="142"/>
      <c r="AB395" s="142"/>
      <c r="AC395" s="142"/>
      <c r="AD395" s="142"/>
      <c r="AE395" s="142"/>
      <c r="AF395" s="142"/>
      <c r="AG395" s="142"/>
      <c r="AH395" s="142"/>
      <c r="AI395" s="142"/>
      <c r="AJ395" s="142"/>
      <c r="AK395" s="142"/>
      <c r="AL395" s="142"/>
      <c r="AM395" s="143"/>
    </row>
    <row r="396">
      <c r="A396" s="144"/>
      <c r="B396" s="142"/>
      <c r="C396" s="142"/>
      <c r="D396" s="142"/>
      <c r="E396" s="142"/>
      <c r="F396" s="142"/>
      <c r="G396" s="142"/>
      <c r="H396" s="142"/>
      <c r="I396" s="142"/>
      <c r="J396" s="142"/>
      <c r="K396" s="142"/>
      <c r="L396" s="142"/>
      <c r="M396" s="142"/>
      <c r="N396" s="142"/>
      <c r="O396" s="142"/>
      <c r="P396" s="142"/>
      <c r="Q396" s="142"/>
      <c r="R396" s="142"/>
      <c r="S396" s="142"/>
      <c r="T396" s="142"/>
      <c r="U396" s="142"/>
      <c r="V396" s="142"/>
      <c r="W396" s="142"/>
      <c r="X396" s="142"/>
      <c r="Y396" s="142"/>
      <c r="Z396" s="142"/>
      <c r="AA396" s="142"/>
      <c r="AB396" s="142"/>
      <c r="AC396" s="142"/>
      <c r="AD396" s="142"/>
      <c r="AE396" s="142"/>
      <c r="AF396" s="142"/>
      <c r="AG396" s="142"/>
      <c r="AH396" s="142"/>
      <c r="AI396" s="142"/>
      <c r="AJ396" s="142"/>
      <c r="AK396" s="142"/>
      <c r="AL396" s="142"/>
      <c r="AM396" s="143"/>
    </row>
    <row r="397">
      <c r="A397" s="144"/>
      <c r="B397" s="142"/>
      <c r="C397" s="142"/>
      <c r="D397" s="142"/>
      <c r="E397" s="142"/>
      <c r="F397" s="142"/>
      <c r="G397" s="142"/>
      <c r="H397" s="142"/>
      <c r="I397" s="142"/>
      <c r="J397" s="142"/>
      <c r="K397" s="142"/>
      <c r="L397" s="142"/>
      <c r="M397" s="142"/>
      <c r="N397" s="142"/>
      <c r="O397" s="142"/>
      <c r="P397" s="142"/>
      <c r="Q397" s="142"/>
      <c r="R397" s="142"/>
      <c r="S397" s="142"/>
      <c r="T397" s="142"/>
      <c r="U397" s="142"/>
      <c r="V397" s="142"/>
      <c r="W397" s="142"/>
      <c r="X397" s="142"/>
      <c r="Y397" s="142"/>
      <c r="Z397" s="142"/>
      <c r="AA397" s="142"/>
      <c r="AB397" s="142"/>
      <c r="AC397" s="142"/>
      <c r="AD397" s="142"/>
      <c r="AE397" s="142"/>
      <c r="AF397" s="142"/>
      <c r="AG397" s="142"/>
      <c r="AH397" s="142"/>
      <c r="AI397" s="142"/>
      <c r="AJ397" s="142"/>
      <c r="AK397" s="142"/>
      <c r="AL397" s="142"/>
      <c r="AM397" s="143"/>
    </row>
    <row r="398">
      <c r="A398" s="144"/>
      <c r="B398" s="142"/>
      <c r="C398" s="142"/>
      <c r="D398" s="142"/>
      <c r="E398" s="142"/>
      <c r="F398" s="142"/>
      <c r="G398" s="142"/>
      <c r="H398" s="142"/>
      <c r="I398" s="142"/>
      <c r="J398" s="142"/>
      <c r="K398" s="142"/>
      <c r="L398" s="142"/>
      <c r="M398" s="142"/>
      <c r="N398" s="142"/>
      <c r="O398" s="142"/>
      <c r="P398" s="142"/>
      <c r="Q398" s="142"/>
      <c r="R398" s="142"/>
      <c r="S398" s="142"/>
      <c r="T398" s="142"/>
      <c r="U398" s="142"/>
      <c r="V398" s="142"/>
      <c r="W398" s="142"/>
      <c r="X398" s="142"/>
      <c r="Y398" s="142"/>
      <c r="Z398" s="142"/>
      <c r="AA398" s="142"/>
      <c r="AB398" s="142"/>
      <c r="AC398" s="142"/>
      <c r="AD398" s="142"/>
      <c r="AE398" s="142"/>
      <c r="AF398" s="142"/>
      <c r="AG398" s="142"/>
      <c r="AH398" s="142"/>
      <c r="AI398" s="142"/>
      <c r="AJ398" s="142"/>
      <c r="AK398" s="142"/>
      <c r="AL398" s="142"/>
      <c r="AM398" s="143"/>
    </row>
    <row r="399">
      <c r="A399" s="144"/>
      <c r="B399" s="142"/>
      <c r="C399" s="142"/>
      <c r="D399" s="142"/>
      <c r="E399" s="142"/>
      <c r="F399" s="142"/>
      <c r="G399" s="142"/>
      <c r="H399" s="142"/>
      <c r="I399" s="142"/>
      <c r="J399" s="142"/>
      <c r="K399" s="142"/>
      <c r="L399" s="142"/>
      <c r="M399" s="142"/>
      <c r="N399" s="142"/>
      <c r="O399" s="142"/>
      <c r="P399" s="142"/>
      <c r="Q399" s="142"/>
      <c r="R399" s="142"/>
      <c r="S399" s="142"/>
      <c r="T399" s="142"/>
      <c r="U399" s="142"/>
      <c r="V399" s="142"/>
      <c r="W399" s="142"/>
      <c r="X399" s="142"/>
      <c r="Y399" s="142"/>
      <c r="Z399" s="142"/>
      <c r="AA399" s="142"/>
      <c r="AB399" s="142"/>
      <c r="AC399" s="142"/>
      <c r="AD399" s="142"/>
      <c r="AE399" s="142"/>
      <c r="AF399" s="142"/>
      <c r="AG399" s="142"/>
      <c r="AH399" s="142"/>
      <c r="AI399" s="142"/>
      <c r="AJ399" s="142"/>
      <c r="AK399" s="142"/>
      <c r="AL399" s="142"/>
      <c r="AM399" s="143"/>
    </row>
    <row r="400">
      <c r="A400" s="144"/>
      <c r="B400" s="142"/>
      <c r="C400" s="142"/>
      <c r="D400" s="142"/>
      <c r="E400" s="142"/>
      <c r="F400" s="142"/>
      <c r="G400" s="142"/>
      <c r="H400" s="142"/>
      <c r="I400" s="142"/>
      <c r="J400" s="142"/>
      <c r="K400" s="142"/>
      <c r="L400" s="142"/>
      <c r="M400" s="142"/>
      <c r="N400" s="142"/>
      <c r="O400" s="142"/>
      <c r="P400" s="142"/>
      <c r="Q400" s="142"/>
      <c r="R400" s="142"/>
      <c r="S400" s="142"/>
      <c r="T400" s="142"/>
      <c r="U400" s="142"/>
      <c r="V400" s="142"/>
      <c r="W400" s="142"/>
      <c r="X400" s="142"/>
      <c r="Y400" s="142"/>
      <c r="Z400" s="142"/>
      <c r="AA400" s="142"/>
      <c r="AB400" s="142"/>
      <c r="AC400" s="142"/>
      <c r="AD400" s="142"/>
      <c r="AE400" s="142"/>
      <c r="AF400" s="142"/>
      <c r="AG400" s="142"/>
      <c r="AH400" s="142"/>
      <c r="AI400" s="142"/>
      <c r="AJ400" s="142"/>
      <c r="AK400" s="142"/>
      <c r="AL400" s="142"/>
      <c r="AM400" s="143"/>
    </row>
    <row r="401">
      <c r="A401" s="144"/>
      <c r="B401" s="142"/>
      <c r="C401" s="142"/>
      <c r="D401" s="142"/>
      <c r="E401" s="142"/>
      <c r="F401" s="142"/>
      <c r="G401" s="142"/>
      <c r="H401" s="142"/>
      <c r="I401" s="142"/>
      <c r="J401" s="142"/>
      <c r="K401" s="142"/>
      <c r="L401" s="142"/>
      <c r="M401" s="142"/>
      <c r="N401" s="142"/>
      <c r="O401" s="142"/>
      <c r="P401" s="142"/>
      <c r="Q401" s="142"/>
      <c r="R401" s="142"/>
      <c r="S401" s="142"/>
      <c r="T401" s="142"/>
      <c r="U401" s="142"/>
      <c r="V401" s="142"/>
      <c r="W401" s="142"/>
      <c r="X401" s="142"/>
      <c r="Y401" s="142"/>
      <c r="Z401" s="142"/>
      <c r="AA401" s="142"/>
      <c r="AB401" s="142"/>
      <c r="AC401" s="142"/>
      <c r="AD401" s="142"/>
      <c r="AE401" s="142"/>
      <c r="AF401" s="142"/>
      <c r="AG401" s="142"/>
      <c r="AH401" s="142"/>
      <c r="AI401" s="142"/>
      <c r="AJ401" s="142"/>
      <c r="AK401" s="142"/>
      <c r="AL401" s="142"/>
      <c r="AM401" s="143"/>
    </row>
    <row r="402">
      <c r="A402" s="144"/>
      <c r="B402" s="142"/>
      <c r="C402" s="142"/>
      <c r="D402" s="142"/>
      <c r="E402" s="142"/>
      <c r="F402" s="142"/>
      <c r="G402" s="142"/>
      <c r="H402" s="142"/>
      <c r="I402" s="142"/>
      <c r="J402" s="142"/>
      <c r="K402" s="142"/>
      <c r="L402" s="142"/>
      <c r="M402" s="142"/>
      <c r="N402" s="142"/>
      <c r="O402" s="142"/>
      <c r="P402" s="142"/>
      <c r="Q402" s="142"/>
      <c r="R402" s="142"/>
      <c r="S402" s="142"/>
      <c r="T402" s="142"/>
      <c r="U402" s="142"/>
      <c r="V402" s="142"/>
      <c r="W402" s="142"/>
      <c r="X402" s="142"/>
      <c r="Y402" s="142"/>
      <c r="Z402" s="142"/>
      <c r="AA402" s="142"/>
      <c r="AB402" s="142"/>
      <c r="AC402" s="142"/>
      <c r="AD402" s="142"/>
      <c r="AE402" s="142"/>
      <c r="AF402" s="142"/>
      <c r="AG402" s="142"/>
      <c r="AH402" s="142"/>
      <c r="AI402" s="142"/>
      <c r="AJ402" s="142"/>
      <c r="AK402" s="142"/>
      <c r="AL402" s="142"/>
      <c r="AM402" s="143"/>
    </row>
    <row r="403">
      <c r="A403" s="144"/>
      <c r="B403" s="142"/>
      <c r="C403" s="142"/>
      <c r="D403" s="142"/>
      <c r="E403" s="142"/>
      <c r="F403" s="142"/>
      <c r="G403" s="142"/>
      <c r="H403" s="142"/>
      <c r="I403" s="142"/>
      <c r="J403" s="142"/>
      <c r="K403" s="142"/>
      <c r="L403" s="142"/>
      <c r="M403" s="142"/>
      <c r="N403" s="142"/>
      <c r="O403" s="142"/>
      <c r="P403" s="142"/>
      <c r="Q403" s="142"/>
      <c r="R403" s="142"/>
      <c r="S403" s="142"/>
      <c r="T403" s="142"/>
      <c r="U403" s="142"/>
      <c r="V403" s="142"/>
      <c r="W403" s="142"/>
      <c r="X403" s="142"/>
      <c r="Y403" s="142"/>
      <c r="Z403" s="142"/>
      <c r="AA403" s="142"/>
      <c r="AB403" s="142"/>
      <c r="AC403" s="142"/>
      <c r="AD403" s="142"/>
      <c r="AE403" s="142"/>
      <c r="AF403" s="142"/>
      <c r="AG403" s="142"/>
      <c r="AH403" s="142"/>
      <c r="AI403" s="142"/>
      <c r="AJ403" s="142"/>
      <c r="AK403" s="142"/>
      <c r="AL403" s="142"/>
      <c r="AM403" s="143"/>
    </row>
    <row r="404">
      <c r="A404" s="144"/>
      <c r="B404" s="142"/>
      <c r="C404" s="142"/>
      <c r="D404" s="142"/>
      <c r="E404" s="142"/>
      <c r="F404" s="142"/>
      <c r="G404" s="142"/>
      <c r="H404" s="142"/>
      <c r="I404" s="142"/>
      <c r="J404" s="142"/>
      <c r="K404" s="142"/>
      <c r="L404" s="142"/>
      <c r="M404" s="142"/>
      <c r="N404" s="142"/>
      <c r="O404" s="142"/>
      <c r="P404" s="142"/>
      <c r="Q404" s="142"/>
      <c r="R404" s="142"/>
      <c r="S404" s="142"/>
      <c r="T404" s="142"/>
      <c r="U404" s="142"/>
      <c r="V404" s="142"/>
      <c r="W404" s="142"/>
      <c r="X404" s="142"/>
      <c r="Y404" s="142"/>
      <c r="Z404" s="142"/>
      <c r="AA404" s="142"/>
      <c r="AB404" s="142"/>
      <c r="AC404" s="142"/>
      <c r="AD404" s="142"/>
      <c r="AE404" s="142"/>
      <c r="AF404" s="142"/>
      <c r="AG404" s="142"/>
      <c r="AH404" s="142"/>
      <c r="AI404" s="142"/>
      <c r="AJ404" s="142"/>
      <c r="AK404" s="142"/>
      <c r="AL404" s="142"/>
      <c r="AM404" s="143"/>
    </row>
    <row r="405">
      <c r="A405" s="144"/>
      <c r="B405" s="142"/>
      <c r="C405" s="142"/>
      <c r="D405" s="142"/>
      <c r="E405" s="142"/>
      <c r="F405" s="142"/>
      <c r="G405" s="142"/>
      <c r="H405" s="142"/>
      <c r="I405" s="142"/>
      <c r="J405" s="142"/>
      <c r="K405" s="142"/>
      <c r="L405" s="142"/>
      <c r="M405" s="142"/>
      <c r="N405" s="142"/>
      <c r="O405" s="142"/>
      <c r="P405" s="142"/>
      <c r="Q405" s="142"/>
      <c r="R405" s="142"/>
      <c r="S405" s="142"/>
      <c r="T405" s="142"/>
      <c r="U405" s="142"/>
      <c r="V405" s="142"/>
      <c r="W405" s="142"/>
      <c r="X405" s="142"/>
      <c r="Y405" s="142"/>
      <c r="Z405" s="142"/>
      <c r="AA405" s="142"/>
      <c r="AB405" s="142"/>
      <c r="AC405" s="142"/>
      <c r="AD405" s="142"/>
      <c r="AE405" s="142"/>
      <c r="AF405" s="142"/>
      <c r="AG405" s="142"/>
      <c r="AH405" s="142"/>
      <c r="AI405" s="142"/>
      <c r="AJ405" s="142"/>
      <c r="AK405" s="142"/>
      <c r="AL405" s="142"/>
      <c r="AM405" s="143"/>
    </row>
    <row r="406">
      <c r="A406" s="144"/>
      <c r="B406" s="142"/>
      <c r="C406" s="142"/>
      <c r="D406" s="142"/>
      <c r="E406" s="142"/>
      <c r="F406" s="142"/>
      <c r="G406" s="142"/>
      <c r="H406" s="142"/>
      <c r="I406" s="142"/>
      <c r="J406" s="142"/>
      <c r="K406" s="142"/>
      <c r="L406" s="142"/>
      <c r="M406" s="142"/>
      <c r="N406" s="142"/>
      <c r="O406" s="142"/>
      <c r="P406" s="142"/>
      <c r="Q406" s="142"/>
      <c r="R406" s="142"/>
      <c r="S406" s="142"/>
      <c r="T406" s="142"/>
      <c r="U406" s="142"/>
      <c r="V406" s="142"/>
      <c r="W406" s="142"/>
      <c r="X406" s="142"/>
      <c r="Y406" s="142"/>
      <c r="Z406" s="142"/>
      <c r="AA406" s="142"/>
      <c r="AB406" s="142"/>
      <c r="AC406" s="142"/>
      <c r="AD406" s="142"/>
      <c r="AE406" s="142"/>
      <c r="AF406" s="142"/>
      <c r="AG406" s="142"/>
      <c r="AH406" s="142"/>
      <c r="AI406" s="142"/>
      <c r="AJ406" s="142"/>
      <c r="AK406" s="142"/>
      <c r="AL406" s="142"/>
      <c r="AM406" s="143"/>
    </row>
    <row r="407">
      <c r="A407" s="144"/>
      <c r="B407" s="142"/>
      <c r="C407" s="142"/>
      <c r="D407" s="142"/>
      <c r="E407" s="142"/>
      <c r="F407" s="142"/>
      <c r="G407" s="142"/>
      <c r="H407" s="142"/>
      <c r="I407" s="142"/>
      <c r="J407" s="142"/>
      <c r="K407" s="142"/>
      <c r="L407" s="142"/>
      <c r="M407" s="142"/>
      <c r="N407" s="142"/>
      <c r="O407" s="142"/>
      <c r="P407" s="142"/>
      <c r="Q407" s="142"/>
      <c r="R407" s="142"/>
      <c r="S407" s="142"/>
      <c r="T407" s="142"/>
      <c r="U407" s="142"/>
      <c r="V407" s="142"/>
      <c r="W407" s="142"/>
      <c r="X407" s="142"/>
      <c r="Y407" s="142"/>
      <c r="Z407" s="142"/>
      <c r="AA407" s="142"/>
      <c r="AB407" s="142"/>
      <c r="AC407" s="142"/>
      <c r="AD407" s="142"/>
      <c r="AE407" s="142"/>
      <c r="AF407" s="142"/>
      <c r="AG407" s="142"/>
      <c r="AH407" s="142"/>
      <c r="AI407" s="142"/>
      <c r="AJ407" s="142"/>
      <c r="AK407" s="142"/>
      <c r="AL407" s="142"/>
      <c r="AM407" s="143"/>
    </row>
    <row r="408">
      <c r="A408" s="144"/>
      <c r="B408" s="142"/>
      <c r="C408" s="142"/>
      <c r="D408" s="142"/>
      <c r="E408" s="142"/>
      <c r="F408" s="142"/>
      <c r="G408" s="142"/>
      <c r="H408" s="142"/>
      <c r="I408" s="142"/>
      <c r="J408" s="142"/>
      <c r="K408" s="142"/>
      <c r="L408" s="142"/>
      <c r="M408" s="142"/>
      <c r="N408" s="142"/>
      <c r="O408" s="142"/>
      <c r="P408" s="142"/>
      <c r="Q408" s="142"/>
      <c r="R408" s="142"/>
      <c r="S408" s="142"/>
      <c r="T408" s="142"/>
      <c r="U408" s="142"/>
      <c r="V408" s="142"/>
      <c r="W408" s="142"/>
      <c r="X408" s="142"/>
      <c r="Y408" s="142"/>
      <c r="Z408" s="142"/>
      <c r="AA408" s="142"/>
      <c r="AB408" s="142"/>
      <c r="AC408" s="142"/>
      <c r="AD408" s="142"/>
      <c r="AE408" s="142"/>
      <c r="AF408" s="142"/>
      <c r="AG408" s="142"/>
      <c r="AH408" s="142"/>
      <c r="AI408" s="142"/>
      <c r="AJ408" s="142"/>
      <c r="AK408" s="142"/>
      <c r="AL408" s="142"/>
      <c r="AM408" s="143"/>
    </row>
    <row r="409">
      <c r="A409" s="144"/>
      <c r="B409" s="142"/>
      <c r="C409" s="142"/>
      <c r="D409" s="142"/>
      <c r="E409" s="142"/>
      <c r="F409" s="142"/>
      <c r="G409" s="142"/>
      <c r="H409" s="142"/>
      <c r="I409" s="142"/>
      <c r="J409" s="142"/>
      <c r="K409" s="142"/>
      <c r="L409" s="142"/>
      <c r="M409" s="142"/>
      <c r="N409" s="142"/>
      <c r="O409" s="142"/>
      <c r="P409" s="142"/>
      <c r="Q409" s="142"/>
      <c r="R409" s="142"/>
      <c r="S409" s="142"/>
      <c r="T409" s="142"/>
      <c r="U409" s="142"/>
      <c r="V409" s="142"/>
      <c r="W409" s="142"/>
      <c r="X409" s="142"/>
      <c r="Y409" s="142"/>
      <c r="Z409" s="142"/>
      <c r="AA409" s="142"/>
      <c r="AB409" s="142"/>
      <c r="AC409" s="142"/>
      <c r="AD409" s="142"/>
      <c r="AE409" s="142"/>
      <c r="AF409" s="142"/>
      <c r="AG409" s="142"/>
      <c r="AH409" s="142"/>
      <c r="AI409" s="142"/>
      <c r="AJ409" s="142"/>
      <c r="AK409" s="142"/>
      <c r="AL409" s="142"/>
      <c r="AM409" s="143"/>
    </row>
    <row r="410">
      <c r="A410" s="144"/>
      <c r="B410" s="142"/>
      <c r="C410" s="142"/>
      <c r="D410" s="142"/>
      <c r="E410" s="142"/>
      <c r="F410" s="142"/>
      <c r="G410" s="142"/>
      <c r="H410" s="142"/>
      <c r="I410" s="142"/>
      <c r="J410" s="142"/>
      <c r="K410" s="142"/>
      <c r="L410" s="142"/>
      <c r="M410" s="142"/>
      <c r="N410" s="142"/>
      <c r="O410" s="142"/>
      <c r="P410" s="142"/>
      <c r="Q410" s="142"/>
      <c r="R410" s="142"/>
      <c r="S410" s="142"/>
      <c r="T410" s="142"/>
      <c r="U410" s="142"/>
      <c r="V410" s="142"/>
      <c r="W410" s="142"/>
      <c r="X410" s="142"/>
      <c r="Y410" s="142"/>
      <c r="Z410" s="142"/>
      <c r="AA410" s="142"/>
      <c r="AB410" s="142"/>
      <c r="AC410" s="142"/>
      <c r="AD410" s="142"/>
      <c r="AE410" s="142"/>
      <c r="AF410" s="142"/>
      <c r="AG410" s="142"/>
      <c r="AH410" s="142"/>
      <c r="AI410" s="142"/>
      <c r="AJ410" s="142"/>
      <c r="AK410" s="142"/>
      <c r="AL410" s="142"/>
      <c r="AM410" s="143"/>
    </row>
    <row r="411">
      <c r="A411" s="144"/>
      <c r="B411" s="142"/>
      <c r="C411" s="142"/>
      <c r="D411" s="142"/>
      <c r="E411" s="142"/>
      <c r="F411" s="142"/>
      <c r="G411" s="142"/>
      <c r="H411" s="142"/>
      <c r="I411" s="142"/>
      <c r="J411" s="142"/>
      <c r="K411" s="142"/>
      <c r="L411" s="142"/>
      <c r="M411" s="142"/>
      <c r="N411" s="142"/>
      <c r="O411" s="142"/>
      <c r="P411" s="142"/>
      <c r="Q411" s="142"/>
      <c r="R411" s="142"/>
      <c r="S411" s="142"/>
      <c r="T411" s="142"/>
      <c r="U411" s="142"/>
      <c r="V411" s="142"/>
      <c r="W411" s="142"/>
      <c r="X411" s="142"/>
      <c r="Y411" s="142"/>
      <c r="Z411" s="142"/>
      <c r="AA411" s="142"/>
      <c r="AB411" s="142"/>
      <c r="AC411" s="142"/>
      <c r="AD411" s="142"/>
      <c r="AE411" s="142"/>
      <c r="AF411" s="142"/>
      <c r="AG411" s="142"/>
      <c r="AH411" s="142"/>
      <c r="AI411" s="142"/>
      <c r="AJ411" s="142"/>
      <c r="AK411" s="142"/>
      <c r="AL411" s="142"/>
      <c r="AM411" s="143"/>
    </row>
    <row r="412">
      <c r="A412" s="144"/>
      <c r="B412" s="142"/>
      <c r="C412" s="142"/>
      <c r="D412" s="142"/>
      <c r="E412" s="142"/>
      <c r="F412" s="142"/>
      <c r="G412" s="142"/>
      <c r="H412" s="142"/>
      <c r="I412" s="142"/>
      <c r="J412" s="142"/>
      <c r="K412" s="142"/>
      <c r="L412" s="142"/>
      <c r="M412" s="142"/>
      <c r="N412" s="142"/>
      <c r="O412" s="142"/>
      <c r="P412" s="142"/>
      <c r="Q412" s="142"/>
      <c r="R412" s="142"/>
      <c r="S412" s="142"/>
      <c r="T412" s="142"/>
      <c r="U412" s="142"/>
      <c r="V412" s="142"/>
      <c r="W412" s="142"/>
      <c r="X412" s="142"/>
      <c r="Y412" s="142"/>
      <c r="Z412" s="142"/>
      <c r="AA412" s="142"/>
      <c r="AB412" s="142"/>
      <c r="AC412" s="142"/>
      <c r="AD412" s="142"/>
      <c r="AE412" s="142"/>
      <c r="AF412" s="142"/>
      <c r="AG412" s="142"/>
      <c r="AH412" s="142"/>
      <c r="AI412" s="142"/>
      <c r="AJ412" s="142"/>
      <c r="AK412" s="142"/>
      <c r="AL412" s="142"/>
      <c r="AM412" s="143"/>
    </row>
    <row r="413">
      <c r="A413" s="144"/>
      <c r="B413" s="142"/>
      <c r="C413" s="142"/>
      <c r="D413" s="142"/>
      <c r="E413" s="142"/>
      <c r="F413" s="142"/>
      <c r="G413" s="142"/>
      <c r="H413" s="142"/>
      <c r="I413" s="142"/>
      <c r="J413" s="142"/>
      <c r="K413" s="142"/>
      <c r="L413" s="142"/>
      <c r="M413" s="142"/>
      <c r="N413" s="142"/>
      <c r="O413" s="142"/>
      <c r="P413" s="142"/>
      <c r="Q413" s="142"/>
      <c r="R413" s="142"/>
      <c r="S413" s="142"/>
      <c r="T413" s="142"/>
      <c r="U413" s="142"/>
      <c r="V413" s="142"/>
      <c r="W413" s="142"/>
      <c r="X413" s="142"/>
      <c r="Y413" s="142"/>
      <c r="Z413" s="142"/>
      <c r="AA413" s="142"/>
      <c r="AB413" s="142"/>
      <c r="AC413" s="142"/>
      <c r="AD413" s="142"/>
      <c r="AE413" s="142"/>
      <c r="AF413" s="142"/>
      <c r="AG413" s="142"/>
      <c r="AH413" s="142"/>
      <c r="AI413" s="142"/>
      <c r="AJ413" s="142"/>
      <c r="AK413" s="142"/>
      <c r="AL413" s="142"/>
      <c r="AM413" s="143"/>
    </row>
    <row r="414">
      <c r="A414" s="144"/>
      <c r="B414" s="142"/>
      <c r="C414" s="142"/>
      <c r="D414" s="142"/>
      <c r="E414" s="142"/>
      <c r="F414" s="142"/>
      <c r="G414" s="142"/>
      <c r="H414" s="142"/>
      <c r="I414" s="142"/>
      <c r="J414" s="142"/>
      <c r="K414" s="142"/>
      <c r="L414" s="142"/>
      <c r="M414" s="142"/>
      <c r="N414" s="142"/>
      <c r="O414" s="142"/>
      <c r="P414" s="142"/>
      <c r="Q414" s="142"/>
      <c r="R414" s="142"/>
      <c r="S414" s="142"/>
      <c r="T414" s="142"/>
      <c r="U414" s="142"/>
      <c r="V414" s="142"/>
      <c r="W414" s="142"/>
      <c r="X414" s="142"/>
      <c r="Y414" s="142"/>
      <c r="Z414" s="142"/>
      <c r="AA414" s="142"/>
      <c r="AB414" s="142"/>
      <c r="AC414" s="142"/>
      <c r="AD414" s="142"/>
      <c r="AE414" s="142"/>
      <c r="AF414" s="142"/>
      <c r="AG414" s="142"/>
      <c r="AH414" s="142"/>
      <c r="AI414" s="142"/>
      <c r="AJ414" s="142"/>
      <c r="AK414" s="142"/>
      <c r="AL414" s="142"/>
      <c r="AM414" s="143"/>
    </row>
    <row r="415">
      <c r="A415" s="144"/>
      <c r="B415" s="142"/>
      <c r="C415" s="142"/>
      <c r="D415" s="142"/>
      <c r="E415" s="142"/>
      <c r="F415" s="142"/>
      <c r="G415" s="142"/>
      <c r="H415" s="142"/>
      <c r="I415" s="142"/>
      <c r="J415" s="142"/>
      <c r="K415" s="142"/>
      <c r="L415" s="142"/>
      <c r="M415" s="142"/>
      <c r="N415" s="142"/>
      <c r="O415" s="142"/>
      <c r="P415" s="142"/>
      <c r="Q415" s="142"/>
      <c r="R415" s="142"/>
      <c r="S415" s="142"/>
      <c r="T415" s="142"/>
      <c r="U415" s="142"/>
      <c r="V415" s="142"/>
      <c r="W415" s="142"/>
      <c r="X415" s="142"/>
      <c r="Y415" s="142"/>
      <c r="Z415" s="142"/>
      <c r="AA415" s="142"/>
      <c r="AB415" s="142"/>
      <c r="AC415" s="142"/>
      <c r="AD415" s="142"/>
      <c r="AE415" s="142"/>
      <c r="AF415" s="142"/>
      <c r="AG415" s="142"/>
      <c r="AH415" s="142"/>
      <c r="AI415" s="142"/>
      <c r="AJ415" s="142"/>
      <c r="AK415" s="142"/>
      <c r="AL415" s="142"/>
      <c r="AM415" s="143"/>
    </row>
    <row r="416">
      <c r="A416" s="144"/>
      <c r="B416" s="142"/>
      <c r="C416" s="142"/>
      <c r="D416" s="142"/>
      <c r="E416" s="142"/>
      <c r="F416" s="142"/>
      <c r="G416" s="142"/>
      <c r="H416" s="142"/>
      <c r="I416" s="142"/>
      <c r="J416" s="142"/>
      <c r="K416" s="142"/>
      <c r="L416" s="142"/>
      <c r="M416" s="142"/>
      <c r="N416" s="142"/>
      <c r="O416" s="142"/>
      <c r="P416" s="142"/>
      <c r="Q416" s="142"/>
      <c r="R416" s="142"/>
      <c r="S416" s="142"/>
      <c r="T416" s="142"/>
      <c r="U416" s="142"/>
      <c r="V416" s="142"/>
      <c r="W416" s="142"/>
      <c r="X416" s="142"/>
      <c r="Y416" s="142"/>
      <c r="Z416" s="142"/>
      <c r="AA416" s="142"/>
      <c r="AB416" s="142"/>
      <c r="AC416" s="142"/>
      <c r="AD416" s="142"/>
      <c r="AE416" s="142"/>
      <c r="AF416" s="142"/>
      <c r="AG416" s="142"/>
      <c r="AH416" s="142"/>
      <c r="AI416" s="142"/>
      <c r="AJ416" s="142"/>
      <c r="AK416" s="142"/>
      <c r="AL416" s="142"/>
      <c r="AM416" s="143"/>
    </row>
    <row r="417">
      <c r="A417" s="144"/>
      <c r="B417" s="142"/>
      <c r="C417" s="142"/>
      <c r="D417" s="142"/>
      <c r="E417" s="142"/>
      <c r="F417" s="142"/>
      <c r="G417" s="142"/>
      <c r="H417" s="142"/>
      <c r="I417" s="142"/>
      <c r="J417" s="142"/>
      <c r="K417" s="142"/>
      <c r="L417" s="142"/>
      <c r="M417" s="142"/>
      <c r="N417" s="142"/>
      <c r="O417" s="142"/>
      <c r="P417" s="142"/>
      <c r="Q417" s="142"/>
      <c r="R417" s="142"/>
      <c r="S417" s="142"/>
      <c r="T417" s="142"/>
      <c r="U417" s="142"/>
      <c r="V417" s="142"/>
      <c r="W417" s="142"/>
      <c r="X417" s="142"/>
      <c r="Y417" s="142"/>
      <c r="Z417" s="142"/>
      <c r="AA417" s="142"/>
      <c r="AB417" s="142"/>
      <c r="AC417" s="142"/>
      <c r="AD417" s="142"/>
      <c r="AE417" s="142"/>
      <c r="AF417" s="142"/>
      <c r="AG417" s="142"/>
      <c r="AH417" s="142"/>
      <c r="AI417" s="142"/>
      <c r="AJ417" s="142"/>
      <c r="AK417" s="142"/>
      <c r="AL417" s="142"/>
      <c r="AM417" s="143"/>
    </row>
    <row r="418">
      <c r="A418" s="144"/>
      <c r="B418" s="142"/>
      <c r="C418" s="142"/>
      <c r="D418" s="142"/>
      <c r="E418" s="142"/>
      <c r="F418" s="142"/>
      <c r="G418" s="142"/>
      <c r="H418" s="142"/>
      <c r="I418" s="142"/>
      <c r="J418" s="142"/>
      <c r="K418" s="142"/>
      <c r="L418" s="142"/>
      <c r="M418" s="142"/>
      <c r="N418" s="142"/>
      <c r="O418" s="142"/>
      <c r="P418" s="142"/>
      <c r="Q418" s="142"/>
      <c r="R418" s="142"/>
      <c r="S418" s="142"/>
      <c r="T418" s="142"/>
      <c r="U418" s="142"/>
      <c r="V418" s="142"/>
      <c r="W418" s="142"/>
      <c r="X418" s="142"/>
      <c r="Y418" s="142"/>
      <c r="Z418" s="142"/>
      <c r="AA418" s="142"/>
      <c r="AB418" s="142"/>
      <c r="AC418" s="142"/>
      <c r="AD418" s="142"/>
      <c r="AE418" s="142"/>
      <c r="AF418" s="142"/>
      <c r="AG418" s="142"/>
      <c r="AH418" s="142"/>
      <c r="AI418" s="142"/>
      <c r="AJ418" s="142"/>
      <c r="AK418" s="142"/>
      <c r="AL418" s="142"/>
      <c r="AM418" s="143"/>
    </row>
    <row r="419">
      <c r="A419" s="144"/>
      <c r="B419" s="142"/>
      <c r="C419" s="142"/>
      <c r="D419" s="142"/>
      <c r="E419" s="142"/>
      <c r="F419" s="142"/>
      <c r="G419" s="142"/>
      <c r="H419" s="142"/>
      <c r="I419" s="142"/>
      <c r="J419" s="142"/>
      <c r="K419" s="142"/>
      <c r="L419" s="142"/>
      <c r="M419" s="142"/>
      <c r="N419" s="142"/>
      <c r="O419" s="142"/>
      <c r="P419" s="142"/>
      <c r="Q419" s="142"/>
      <c r="R419" s="142"/>
      <c r="S419" s="142"/>
      <c r="T419" s="142"/>
      <c r="U419" s="142"/>
      <c r="V419" s="142"/>
      <c r="W419" s="142"/>
      <c r="X419" s="142"/>
      <c r="Y419" s="142"/>
      <c r="Z419" s="142"/>
      <c r="AA419" s="142"/>
      <c r="AB419" s="142"/>
      <c r="AC419" s="142"/>
      <c r="AD419" s="142"/>
      <c r="AE419" s="142"/>
      <c r="AF419" s="142"/>
      <c r="AG419" s="142"/>
      <c r="AH419" s="142"/>
      <c r="AI419" s="142"/>
      <c r="AJ419" s="142"/>
      <c r="AK419" s="142"/>
      <c r="AL419" s="142"/>
      <c r="AM419" s="143"/>
    </row>
    <row r="420">
      <c r="A420" s="144"/>
      <c r="B420" s="142"/>
      <c r="C420" s="142"/>
      <c r="D420" s="142"/>
      <c r="E420" s="142"/>
      <c r="F420" s="142"/>
      <c r="G420" s="142"/>
      <c r="H420" s="142"/>
      <c r="I420" s="142"/>
      <c r="J420" s="142"/>
      <c r="K420" s="142"/>
      <c r="L420" s="142"/>
      <c r="M420" s="142"/>
      <c r="N420" s="142"/>
      <c r="O420" s="142"/>
      <c r="P420" s="142"/>
      <c r="Q420" s="142"/>
      <c r="R420" s="142"/>
      <c r="S420" s="142"/>
      <c r="T420" s="142"/>
      <c r="U420" s="142"/>
      <c r="V420" s="142"/>
      <c r="W420" s="142"/>
      <c r="X420" s="142"/>
      <c r="Y420" s="142"/>
      <c r="Z420" s="142"/>
      <c r="AA420" s="142"/>
      <c r="AB420" s="142"/>
      <c r="AC420" s="142"/>
      <c r="AD420" s="142"/>
      <c r="AE420" s="142"/>
      <c r="AF420" s="142"/>
      <c r="AG420" s="142"/>
      <c r="AH420" s="142"/>
      <c r="AI420" s="142"/>
      <c r="AJ420" s="142"/>
      <c r="AK420" s="142"/>
      <c r="AL420" s="142"/>
      <c r="AM420" s="143"/>
    </row>
    <row r="421">
      <c r="A421" s="144"/>
      <c r="B421" s="142"/>
      <c r="C421" s="142"/>
      <c r="D421" s="142"/>
      <c r="E421" s="142"/>
      <c r="F421" s="142"/>
      <c r="G421" s="142"/>
      <c r="H421" s="142"/>
      <c r="I421" s="142"/>
      <c r="J421" s="142"/>
      <c r="K421" s="142"/>
      <c r="L421" s="142"/>
      <c r="M421" s="142"/>
      <c r="N421" s="142"/>
      <c r="O421" s="142"/>
      <c r="P421" s="142"/>
      <c r="Q421" s="142"/>
      <c r="R421" s="142"/>
      <c r="S421" s="142"/>
      <c r="T421" s="142"/>
      <c r="U421" s="142"/>
      <c r="V421" s="142"/>
      <c r="W421" s="142"/>
      <c r="X421" s="142"/>
      <c r="Y421" s="142"/>
      <c r="Z421" s="142"/>
      <c r="AA421" s="142"/>
      <c r="AB421" s="142"/>
      <c r="AC421" s="142"/>
      <c r="AD421" s="142"/>
      <c r="AE421" s="142"/>
      <c r="AF421" s="142"/>
      <c r="AG421" s="142"/>
      <c r="AH421" s="142"/>
      <c r="AI421" s="142"/>
      <c r="AJ421" s="142"/>
      <c r="AK421" s="142"/>
      <c r="AL421" s="142"/>
      <c r="AM421" s="143"/>
    </row>
    <row r="422">
      <c r="A422" s="144"/>
      <c r="B422" s="142"/>
      <c r="C422" s="142"/>
      <c r="D422" s="142"/>
      <c r="E422" s="142"/>
      <c r="F422" s="142"/>
      <c r="G422" s="142"/>
      <c r="H422" s="142"/>
      <c r="I422" s="142"/>
      <c r="J422" s="142"/>
      <c r="K422" s="142"/>
      <c r="L422" s="142"/>
      <c r="M422" s="142"/>
      <c r="N422" s="142"/>
      <c r="O422" s="142"/>
      <c r="P422" s="142"/>
      <c r="Q422" s="142"/>
      <c r="R422" s="142"/>
      <c r="S422" s="142"/>
      <c r="T422" s="142"/>
      <c r="U422" s="142"/>
      <c r="V422" s="142"/>
      <c r="W422" s="142"/>
      <c r="X422" s="142"/>
      <c r="Y422" s="142"/>
      <c r="Z422" s="142"/>
      <c r="AA422" s="142"/>
      <c r="AB422" s="142"/>
      <c r="AC422" s="142"/>
      <c r="AD422" s="142"/>
      <c r="AE422" s="142"/>
      <c r="AF422" s="142"/>
      <c r="AG422" s="142"/>
      <c r="AH422" s="142"/>
      <c r="AI422" s="142"/>
      <c r="AJ422" s="142"/>
      <c r="AK422" s="142"/>
      <c r="AL422" s="142"/>
      <c r="AM422" s="143"/>
    </row>
    <row r="423">
      <c r="A423" s="144"/>
      <c r="B423" s="142"/>
      <c r="C423" s="142"/>
      <c r="D423" s="142"/>
      <c r="E423" s="142"/>
      <c r="F423" s="142"/>
      <c r="G423" s="142"/>
      <c r="H423" s="142"/>
      <c r="I423" s="142"/>
      <c r="J423" s="142"/>
      <c r="K423" s="142"/>
      <c r="L423" s="142"/>
      <c r="M423" s="142"/>
      <c r="N423" s="142"/>
      <c r="O423" s="142"/>
      <c r="P423" s="142"/>
      <c r="Q423" s="142"/>
      <c r="R423" s="142"/>
      <c r="S423" s="142"/>
      <c r="T423" s="142"/>
      <c r="U423" s="142"/>
      <c r="V423" s="142"/>
      <c r="W423" s="142"/>
      <c r="X423" s="142"/>
      <c r="Y423" s="142"/>
      <c r="Z423" s="142"/>
      <c r="AA423" s="142"/>
      <c r="AB423" s="142"/>
      <c r="AC423" s="142"/>
      <c r="AD423" s="142"/>
      <c r="AE423" s="142"/>
      <c r="AF423" s="142"/>
      <c r="AG423" s="142"/>
      <c r="AH423" s="142"/>
      <c r="AI423" s="142"/>
      <c r="AJ423" s="142"/>
      <c r="AK423" s="142"/>
      <c r="AL423" s="142"/>
      <c r="AM423" s="143"/>
    </row>
    <row r="424">
      <c r="A424" s="144"/>
      <c r="B424" s="142"/>
      <c r="C424" s="142"/>
      <c r="D424" s="142"/>
      <c r="E424" s="142"/>
      <c r="F424" s="142"/>
      <c r="G424" s="142"/>
      <c r="H424" s="142"/>
      <c r="I424" s="142"/>
      <c r="J424" s="142"/>
      <c r="K424" s="142"/>
      <c r="L424" s="142"/>
      <c r="M424" s="142"/>
      <c r="N424" s="142"/>
      <c r="O424" s="142"/>
      <c r="P424" s="142"/>
      <c r="Q424" s="142"/>
      <c r="R424" s="142"/>
      <c r="S424" s="142"/>
      <c r="T424" s="142"/>
      <c r="U424" s="142"/>
      <c r="V424" s="142"/>
      <c r="W424" s="142"/>
      <c r="X424" s="142"/>
      <c r="Y424" s="142"/>
      <c r="Z424" s="142"/>
      <c r="AA424" s="142"/>
      <c r="AB424" s="142"/>
      <c r="AC424" s="142"/>
      <c r="AD424" s="142"/>
      <c r="AE424" s="142"/>
      <c r="AF424" s="142"/>
      <c r="AG424" s="142"/>
      <c r="AH424" s="142"/>
      <c r="AI424" s="142"/>
      <c r="AJ424" s="142"/>
      <c r="AK424" s="142"/>
      <c r="AL424" s="142"/>
      <c r="AM424" s="143"/>
    </row>
    <row r="425">
      <c r="A425" s="144"/>
      <c r="B425" s="142"/>
      <c r="C425" s="142"/>
      <c r="D425" s="142"/>
      <c r="E425" s="142"/>
      <c r="F425" s="142"/>
      <c r="G425" s="142"/>
      <c r="H425" s="142"/>
      <c r="I425" s="142"/>
      <c r="J425" s="142"/>
      <c r="K425" s="142"/>
      <c r="L425" s="142"/>
      <c r="M425" s="142"/>
      <c r="N425" s="142"/>
      <c r="O425" s="142"/>
      <c r="P425" s="142"/>
      <c r="Q425" s="142"/>
      <c r="R425" s="142"/>
      <c r="S425" s="142"/>
      <c r="T425" s="142"/>
      <c r="U425" s="142"/>
      <c r="V425" s="142"/>
      <c r="W425" s="142"/>
      <c r="X425" s="142"/>
      <c r="Y425" s="142"/>
      <c r="Z425" s="142"/>
      <c r="AA425" s="142"/>
      <c r="AB425" s="142"/>
      <c r="AC425" s="142"/>
      <c r="AD425" s="142"/>
      <c r="AE425" s="142"/>
      <c r="AF425" s="142"/>
      <c r="AG425" s="142"/>
      <c r="AH425" s="142"/>
      <c r="AI425" s="142"/>
      <c r="AJ425" s="142"/>
      <c r="AK425" s="142"/>
      <c r="AL425" s="142"/>
      <c r="AM425" s="143"/>
    </row>
    <row r="426">
      <c r="A426" s="144"/>
      <c r="B426" s="142"/>
      <c r="C426" s="142"/>
      <c r="D426" s="142"/>
      <c r="E426" s="142"/>
      <c r="F426" s="142"/>
      <c r="G426" s="142"/>
      <c r="H426" s="142"/>
      <c r="I426" s="142"/>
      <c r="J426" s="142"/>
      <c r="K426" s="142"/>
      <c r="L426" s="142"/>
      <c r="M426" s="142"/>
      <c r="N426" s="142"/>
      <c r="O426" s="142"/>
      <c r="P426" s="142"/>
      <c r="Q426" s="142"/>
      <c r="R426" s="142"/>
      <c r="S426" s="142"/>
      <c r="T426" s="142"/>
      <c r="U426" s="142"/>
      <c r="V426" s="142"/>
      <c r="W426" s="142"/>
      <c r="X426" s="142"/>
      <c r="Y426" s="142"/>
      <c r="Z426" s="142"/>
      <c r="AA426" s="142"/>
      <c r="AB426" s="142"/>
      <c r="AC426" s="142"/>
      <c r="AD426" s="142"/>
      <c r="AE426" s="142"/>
      <c r="AF426" s="142"/>
      <c r="AG426" s="142"/>
      <c r="AH426" s="142"/>
      <c r="AI426" s="142"/>
      <c r="AJ426" s="142"/>
      <c r="AK426" s="142"/>
      <c r="AL426" s="142"/>
      <c r="AM426" s="143"/>
    </row>
    <row r="427">
      <c r="A427" s="144"/>
      <c r="B427" s="142"/>
      <c r="C427" s="142"/>
      <c r="D427" s="142"/>
      <c r="E427" s="142"/>
      <c r="F427" s="142"/>
      <c r="G427" s="142"/>
      <c r="H427" s="142"/>
      <c r="I427" s="142"/>
      <c r="J427" s="142"/>
      <c r="K427" s="142"/>
      <c r="L427" s="142"/>
      <c r="M427" s="142"/>
      <c r="N427" s="142"/>
      <c r="O427" s="142"/>
      <c r="P427" s="142"/>
      <c r="Q427" s="142"/>
      <c r="R427" s="142"/>
      <c r="S427" s="142"/>
      <c r="T427" s="142"/>
      <c r="U427" s="142"/>
      <c r="V427" s="142"/>
      <c r="W427" s="142"/>
      <c r="X427" s="142"/>
      <c r="Y427" s="142"/>
      <c r="Z427" s="142"/>
      <c r="AA427" s="142"/>
      <c r="AB427" s="142"/>
      <c r="AC427" s="142"/>
      <c r="AD427" s="142"/>
      <c r="AE427" s="142"/>
      <c r="AF427" s="142"/>
      <c r="AG427" s="142"/>
      <c r="AH427" s="142"/>
      <c r="AI427" s="142"/>
      <c r="AJ427" s="142"/>
      <c r="AK427" s="142"/>
      <c r="AL427" s="142"/>
      <c r="AM427" s="143"/>
    </row>
    <row r="428">
      <c r="A428" s="144"/>
      <c r="B428" s="142"/>
      <c r="C428" s="142"/>
      <c r="D428" s="142"/>
      <c r="E428" s="142"/>
      <c r="F428" s="142"/>
      <c r="G428" s="142"/>
      <c r="H428" s="142"/>
      <c r="I428" s="142"/>
      <c r="J428" s="142"/>
      <c r="K428" s="142"/>
      <c r="L428" s="142"/>
      <c r="M428" s="142"/>
      <c r="N428" s="142"/>
      <c r="O428" s="142"/>
      <c r="P428" s="142"/>
      <c r="Q428" s="142"/>
      <c r="R428" s="142"/>
      <c r="S428" s="142"/>
      <c r="T428" s="142"/>
      <c r="U428" s="142"/>
      <c r="V428" s="142"/>
      <c r="W428" s="142"/>
      <c r="X428" s="142"/>
      <c r="Y428" s="142"/>
      <c r="Z428" s="142"/>
      <c r="AA428" s="142"/>
      <c r="AB428" s="142"/>
      <c r="AC428" s="142"/>
      <c r="AD428" s="142"/>
      <c r="AE428" s="142"/>
      <c r="AF428" s="142"/>
      <c r="AG428" s="142"/>
      <c r="AH428" s="142"/>
      <c r="AI428" s="142"/>
      <c r="AJ428" s="142"/>
      <c r="AK428" s="142"/>
      <c r="AL428" s="142"/>
      <c r="AM428" s="143"/>
    </row>
    <row r="429">
      <c r="A429" s="144"/>
      <c r="B429" s="142"/>
      <c r="C429" s="142"/>
      <c r="D429" s="142"/>
      <c r="E429" s="142"/>
      <c r="F429" s="142"/>
      <c r="G429" s="142"/>
      <c r="H429" s="142"/>
      <c r="I429" s="142"/>
      <c r="J429" s="142"/>
      <c r="K429" s="142"/>
      <c r="L429" s="142"/>
      <c r="M429" s="142"/>
      <c r="N429" s="142"/>
      <c r="O429" s="142"/>
      <c r="P429" s="142"/>
      <c r="Q429" s="142"/>
      <c r="R429" s="142"/>
      <c r="S429" s="142"/>
      <c r="T429" s="142"/>
      <c r="U429" s="142"/>
      <c r="V429" s="142"/>
      <c r="W429" s="142"/>
      <c r="X429" s="142"/>
      <c r="Y429" s="142"/>
      <c r="Z429" s="142"/>
      <c r="AA429" s="142"/>
      <c r="AB429" s="142"/>
      <c r="AC429" s="142"/>
      <c r="AD429" s="142"/>
      <c r="AE429" s="142"/>
      <c r="AF429" s="142"/>
      <c r="AG429" s="142"/>
      <c r="AH429" s="142"/>
      <c r="AI429" s="142"/>
      <c r="AJ429" s="142"/>
      <c r="AK429" s="142"/>
      <c r="AL429" s="142"/>
      <c r="AM429" s="143"/>
    </row>
    <row r="430">
      <c r="A430" s="144"/>
      <c r="B430" s="142"/>
      <c r="C430" s="142"/>
      <c r="D430" s="142"/>
      <c r="E430" s="142"/>
      <c r="F430" s="142"/>
      <c r="G430" s="142"/>
      <c r="H430" s="142"/>
      <c r="I430" s="142"/>
      <c r="J430" s="142"/>
      <c r="K430" s="142"/>
      <c r="L430" s="142"/>
      <c r="M430" s="142"/>
      <c r="N430" s="142"/>
      <c r="O430" s="142"/>
      <c r="P430" s="142"/>
      <c r="Q430" s="142"/>
      <c r="R430" s="142"/>
      <c r="S430" s="142"/>
      <c r="T430" s="142"/>
      <c r="U430" s="142"/>
      <c r="V430" s="142"/>
      <c r="W430" s="142"/>
      <c r="X430" s="142"/>
      <c r="Y430" s="142"/>
      <c r="Z430" s="142"/>
      <c r="AA430" s="142"/>
      <c r="AB430" s="142"/>
      <c r="AC430" s="142"/>
      <c r="AD430" s="142"/>
      <c r="AE430" s="142"/>
      <c r="AF430" s="142"/>
      <c r="AG430" s="142"/>
      <c r="AH430" s="142"/>
      <c r="AI430" s="142"/>
      <c r="AJ430" s="142"/>
      <c r="AK430" s="142"/>
      <c r="AL430" s="142"/>
      <c r="AM430" s="143"/>
    </row>
    <row r="431">
      <c r="A431" s="144"/>
      <c r="B431" s="142"/>
      <c r="C431" s="142"/>
      <c r="D431" s="142"/>
      <c r="E431" s="142"/>
      <c r="F431" s="142"/>
      <c r="G431" s="142"/>
      <c r="H431" s="142"/>
      <c r="I431" s="142"/>
      <c r="J431" s="142"/>
      <c r="K431" s="142"/>
      <c r="L431" s="142"/>
      <c r="M431" s="142"/>
      <c r="N431" s="142"/>
      <c r="O431" s="142"/>
      <c r="P431" s="142"/>
      <c r="Q431" s="142"/>
      <c r="R431" s="142"/>
      <c r="S431" s="142"/>
      <c r="T431" s="142"/>
      <c r="U431" s="142"/>
      <c r="V431" s="142"/>
      <c r="W431" s="142"/>
      <c r="X431" s="142"/>
      <c r="Y431" s="142"/>
      <c r="Z431" s="142"/>
      <c r="AA431" s="142"/>
      <c r="AB431" s="142"/>
      <c r="AC431" s="142"/>
      <c r="AD431" s="142"/>
      <c r="AE431" s="142"/>
      <c r="AF431" s="142"/>
      <c r="AG431" s="142"/>
      <c r="AH431" s="142"/>
      <c r="AI431" s="142"/>
      <c r="AJ431" s="142"/>
      <c r="AK431" s="142"/>
      <c r="AL431" s="142"/>
      <c r="AM431" s="143"/>
    </row>
    <row r="432">
      <c r="A432" s="144"/>
      <c r="B432" s="142"/>
      <c r="C432" s="142"/>
      <c r="D432" s="142"/>
      <c r="E432" s="142"/>
      <c r="F432" s="142"/>
      <c r="G432" s="142"/>
      <c r="H432" s="142"/>
      <c r="I432" s="142"/>
      <c r="J432" s="142"/>
      <c r="K432" s="142"/>
      <c r="L432" s="142"/>
      <c r="M432" s="142"/>
      <c r="N432" s="142"/>
      <c r="O432" s="142"/>
      <c r="P432" s="142"/>
      <c r="Q432" s="142"/>
      <c r="R432" s="142"/>
      <c r="S432" s="142"/>
      <c r="T432" s="142"/>
      <c r="U432" s="142"/>
      <c r="V432" s="142"/>
      <c r="W432" s="142"/>
      <c r="X432" s="142"/>
      <c r="Y432" s="142"/>
      <c r="Z432" s="142"/>
      <c r="AA432" s="142"/>
      <c r="AB432" s="142"/>
      <c r="AC432" s="142"/>
      <c r="AD432" s="142"/>
      <c r="AE432" s="142"/>
      <c r="AF432" s="142"/>
      <c r="AG432" s="142"/>
      <c r="AH432" s="142"/>
      <c r="AI432" s="142"/>
      <c r="AJ432" s="142"/>
      <c r="AK432" s="142"/>
      <c r="AL432" s="142"/>
      <c r="AM432" s="143"/>
    </row>
    <row r="433">
      <c r="A433" s="144"/>
      <c r="B433" s="142"/>
      <c r="C433" s="142"/>
      <c r="D433" s="142"/>
      <c r="E433" s="142"/>
      <c r="F433" s="142"/>
      <c r="G433" s="142"/>
      <c r="H433" s="142"/>
      <c r="I433" s="142"/>
      <c r="J433" s="142"/>
      <c r="K433" s="142"/>
      <c r="L433" s="142"/>
      <c r="M433" s="142"/>
      <c r="N433" s="142"/>
      <c r="O433" s="142"/>
      <c r="P433" s="142"/>
      <c r="Q433" s="142"/>
      <c r="R433" s="142"/>
      <c r="S433" s="142"/>
      <c r="T433" s="142"/>
      <c r="U433" s="142"/>
      <c r="V433" s="142"/>
      <c r="W433" s="142"/>
      <c r="X433" s="142"/>
      <c r="Y433" s="142"/>
      <c r="Z433" s="142"/>
      <c r="AA433" s="142"/>
      <c r="AB433" s="142"/>
      <c r="AC433" s="142"/>
      <c r="AD433" s="142"/>
      <c r="AE433" s="142"/>
      <c r="AF433" s="142"/>
      <c r="AG433" s="142"/>
      <c r="AH433" s="142"/>
      <c r="AI433" s="142"/>
      <c r="AJ433" s="142"/>
      <c r="AK433" s="142"/>
      <c r="AL433" s="142"/>
      <c r="AM433" s="143"/>
    </row>
    <row r="434">
      <c r="A434" s="144"/>
      <c r="B434" s="142"/>
      <c r="C434" s="142"/>
      <c r="D434" s="142"/>
      <c r="E434" s="142"/>
      <c r="F434" s="142"/>
      <c r="G434" s="142"/>
      <c r="H434" s="142"/>
      <c r="I434" s="142"/>
      <c r="J434" s="142"/>
      <c r="K434" s="142"/>
      <c r="L434" s="142"/>
      <c r="M434" s="142"/>
      <c r="N434" s="142"/>
      <c r="O434" s="142"/>
      <c r="P434" s="142"/>
      <c r="Q434" s="142"/>
      <c r="R434" s="142"/>
      <c r="S434" s="142"/>
      <c r="T434" s="142"/>
      <c r="U434" s="142"/>
      <c r="V434" s="142"/>
      <c r="W434" s="142"/>
      <c r="X434" s="142"/>
      <c r="Y434" s="142"/>
      <c r="Z434" s="142"/>
      <c r="AA434" s="142"/>
      <c r="AB434" s="142"/>
      <c r="AC434" s="142"/>
      <c r="AD434" s="142"/>
      <c r="AE434" s="142"/>
      <c r="AF434" s="142"/>
      <c r="AG434" s="142"/>
      <c r="AH434" s="142"/>
      <c r="AI434" s="142"/>
      <c r="AJ434" s="142"/>
      <c r="AK434" s="142"/>
      <c r="AL434" s="142"/>
      <c r="AM434" s="143"/>
    </row>
    <row r="435">
      <c r="A435" s="144"/>
      <c r="B435" s="142"/>
      <c r="C435" s="142"/>
      <c r="D435" s="142"/>
      <c r="E435" s="142"/>
      <c r="F435" s="142"/>
      <c r="G435" s="142"/>
      <c r="H435" s="142"/>
      <c r="I435" s="142"/>
      <c r="J435" s="142"/>
      <c r="K435" s="142"/>
      <c r="L435" s="142"/>
      <c r="M435" s="142"/>
      <c r="N435" s="142"/>
      <c r="O435" s="142"/>
      <c r="P435" s="142"/>
      <c r="Q435" s="142"/>
      <c r="R435" s="142"/>
      <c r="S435" s="142"/>
      <c r="T435" s="142"/>
      <c r="U435" s="142"/>
      <c r="V435" s="142"/>
      <c r="W435" s="142"/>
      <c r="X435" s="142"/>
      <c r="Y435" s="142"/>
      <c r="Z435" s="142"/>
      <c r="AA435" s="142"/>
      <c r="AB435" s="142"/>
      <c r="AC435" s="142"/>
      <c r="AD435" s="142"/>
      <c r="AE435" s="142"/>
      <c r="AF435" s="142"/>
      <c r="AG435" s="142"/>
      <c r="AH435" s="142"/>
      <c r="AI435" s="142"/>
      <c r="AJ435" s="142"/>
      <c r="AK435" s="142"/>
      <c r="AL435" s="142"/>
      <c r="AM435" s="143"/>
    </row>
    <row r="436">
      <c r="A436" s="144"/>
      <c r="B436" s="142"/>
      <c r="C436" s="142"/>
      <c r="D436" s="142"/>
      <c r="E436" s="142"/>
      <c r="F436" s="142"/>
      <c r="G436" s="142"/>
      <c r="H436" s="142"/>
      <c r="I436" s="142"/>
      <c r="J436" s="142"/>
      <c r="K436" s="142"/>
      <c r="L436" s="142"/>
      <c r="M436" s="142"/>
      <c r="N436" s="142"/>
      <c r="O436" s="142"/>
      <c r="P436" s="142"/>
      <c r="Q436" s="142"/>
      <c r="R436" s="142"/>
      <c r="S436" s="142"/>
      <c r="T436" s="142"/>
      <c r="U436" s="142"/>
      <c r="V436" s="142"/>
      <c r="W436" s="142"/>
      <c r="X436" s="142"/>
      <c r="Y436" s="142"/>
      <c r="Z436" s="142"/>
      <c r="AA436" s="142"/>
      <c r="AB436" s="142"/>
      <c r="AC436" s="142"/>
      <c r="AD436" s="142"/>
      <c r="AE436" s="142"/>
      <c r="AF436" s="142"/>
      <c r="AG436" s="142"/>
      <c r="AH436" s="142"/>
      <c r="AI436" s="142"/>
      <c r="AJ436" s="142"/>
      <c r="AK436" s="142"/>
      <c r="AL436" s="142"/>
      <c r="AM436" s="143"/>
    </row>
    <row r="437">
      <c r="A437" s="144"/>
      <c r="B437" s="142"/>
      <c r="C437" s="142"/>
      <c r="D437" s="142"/>
      <c r="E437" s="142"/>
      <c r="F437" s="142"/>
      <c r="G437" s="142"/>
      <c r="H437" s="142"/>
      <c r="I437" s="142"/>
      <c r="J437" s="142"/>
      <c r="K437" s="142"/>
      <c r="L437" s="142"/>
      <c r="M437" s="142"/>
      <c r="N437" s="142"/>
      <c r="O437" s="142"/>
      <c r="P437" s="142"/>
      <c r="Q437" s="142"/>
      <c r="R437" s="142"/>
      <c r="S437" s="142"/>
      <c r="T437" s="142"/>
      <c r="U437" s="142"/>
      <c r="V437" s="142"/>
      <c r="W437" s="142"/>
      <c r="X437" s="142"/>
      <c r="Y437" s="142"/>
      <c r="Z437" s="142"/>
      <c r="AA437" s="142"/>
      <c r="AB437" s="142"/>
      <c r="AC437" s="142"/>
      <c r="AD437" s="142"/>
      <c r="AE437" s="142"/>
      <c r="AF437" s="142"/>
      <c r="AG437" s="142"/>
      <c r="AH437" s="142"/>
      <c r="AI437" s="142"/>
      <c r="AJ437" s="142"/>
      <c r="AK437" s="142"/>
      <c r="AL437" s="142"/>
      <c r="AM437" s="143"/>
    </row>
    <row r="438">
      <c r="A438" s="144"/>
      <c r="B438" s="142"/>
      <c r="C438" s="142"/>
      <c r="D438" s="142"/>
      <c r="E438" s="142"/>
      <c r="F438" s="142"/>
      <c r="G438" s="142"/>
      <c r="H438" s="142"/>
      <c r="I438" s="142"/>
      <c r="J438" s="142"/>
      <c r="K438" s="142"/>
      <c r="L438" s="142"/>
      <c r="M438" s="142"/>
      <c r="N438" s="142"/>
      <c r="O438" s="142"/>
      <c r="P438" s="142"/>
      <c r="Q438" s="142"/>
      <c r="R438" s="142"/>
      <c r="S438" s="142"/>
      <c r="T438" s="142"/>
      <c r="U438" s="142"/>
      <c r="V438" s="142"/>
      <c r="W438" s="142"/>
      <c r="X438" s="142"/>
      <c r="Y438" s="142"/>
      <c r="Z438" s="142"/>
      <c r="AA438" s="142"/>
      <c r="AB438" s="142"/>
      <c r="AC438" s="142"/>
      <c r="AD438" s="142"/>
      <c r="AE438" s="142"/>
      <c r="AF438" s="142"/>
      <c r="AG438" s="142"/>
      <c r="AH438" s="142"/>
      <c r="AI438" s="142"/>
      <c r="AJ438" s="142"/>
      <c r="AK438" s="142"/>
      <c r="AL438" s="142"/>
      <c r="AM438" s="143"/>
    </row>
    <row r="439">
      <c r="A439" s="144"/>
      <c r="B439" s="142"/>
      <c r="C439" s="142"/>
      <c r="D439" s="142"/>
      <c r="E439" s="142"/>
      <c r="F439" s="142"/>
      <c r="G439" s="142"/>
      <c r="H439" s="142"/>
      <c r="I439" s="142"/>
      <c r="J439" s="142"/>
      <c r="K439" s="142"/>
      <c r="L439" s="142"/>
      <c r="M439" s="142"/>
      <c r="N439" s="142"/>
      <c r="O439" s="142"/>
      <c r="P439" s="142"/>
      <c r="Q439" s="142"/>
      <c r="R439" s="142"/>
      <c r="S439" s="142"/>
      <c r="T439" s="142"/>
      <c r="U439" s="142"/>
      <c r="V439" s="142"/>
      <c r="W439" s="142"/>
      <c r="X439" s="142"/>
      <c r="Y439" s="142"/>
      <c r="Z439" s="142"/>
      <c r="AA439" s="142"/>
      <c r="AB439" s="142"/>
      <c r="AC439" s="142"/>
      <c r="AD439" s="142"/>
      <c r="AE439" s="142"/>
      <c r="AF439" s="142"/>
      <c r="AG439" s="142"/>
      <c r="AH439" s="142"/>
      <c r="AI439" s="142"/>
      <c r="AJ439" s="142"/>
      <c r="AK439" s="142"/>
      <c r="AL439" s="142"/>
      <c r="AM439" s="143"/>
    </row>
    <row r="440">
      <c r="A440" s="144"/>
      <c r="B440" s="142"/>
      <c r="C440" s="142"/>
      <c r="D440" s="142"/>
      <c r="E440" s="142"/>
      <c r="F440" s="142"/>
      <c r="G440" s="142"/>
      <c r="H440" s="142"/>
      <c r="I440" s="142"/>
      <c r="J440" s="142"/>
      <c r="K440" s="142"/>
      <c r="L440" s="142"/>
      <c r="M440" s="142"/>
      <c r="N440" s="142"/>
      <c r="O440" s="142"/>
      <c r="P440" s="142"/>
      <c r="Q440" s="142"/>
      <c r="R440" s="142"/>
      <c r="S440" s="142"/>
      <c r="T440" s="142"/>
      <c r="U440" s="142"/>
      <c r="V440" s="142"/>
      <c r="W440" s="142"/>
      <c r="X440" s="142"/>
      <c r="Y440" s="142"/>
      <c r="Z440" s="142"/>
      <c r="AA440" s="142"/>
      <c r="AB440" s="142"/>
      <c r="AC440" s="142"/>
      <c r="AD440" s="142"/>
      <c r="AE440" s="142"/>
      <c r="AF440" s="142"/>
      <c r="AG440" s="142"/>
      <c r="AH440" s="142"/>
      <c r="AI440" s="142"/>
      <c r="AJ440" s="142"/>
      <c r="AK440" s="142"/>
      <c r="AL440" s="142"/>
      <c r="AM440" s="143"/>
    </row>
    <row r="441">
      <c r="A441" s="144"/>
      <c r="B441" s="142"/>
      <c r="C441" s="142"/>
      <c r="D441" s="142"/>
      <c r="E441" s="142"/>
      <c r="F441" s="142"/>
      <c r="G441" s="142"/>
      <c r="H441" s="142"/>
      <c r="I441" s="142"/>
      <c r="J441" s="142"/>
      <c r="K441" s="142"/>
      <c r="L441" s="142"/>
      <c r="M441" s="142"/>
      <c r="N441" s="142"/>
      <c r="O441" s="142"/>
      <c r="P441" s="142"/>
      <c r="Q441" s="142"/>
      <c r="R441" s="142"/>
      <c r="S441" s="142"/>
      <c r="T441" s="142"/>
      <c r="U441" s="142"/>
      <c r="V441" s="142"/>
      <c r="W441" s="142"/>
      <c r="X441" s="142"/>
      <c r="Y441" s="142"/>
      <c r="Z441" s="142"/>
      <c r="AA441" s="142"/>
      <c r="AB441" s="142"/>
      <c r="AC441" s="142"/>
      <c r="AD441" s="142"/>
      <c r="AE441" s="142"/>
      <c r="AF441" s="142"/>
      <c r="AG441" s="142"/>
      <c r="AH441" s="142"/>
      <c r="AI441" s="142"/>
      <c r="AJ441" s="142"/>
      <c r="AK441" s="142"/>
      <c r="AL441" s="142"/>
      <c r="AM441" s="143"/>
    </row>
    <row r="442">
      <c r="A442" s="144"/>
      <c r="B442" s="142"/>
      <c r="C442" s="142"/>
      <c r="D442" s="142"/>
      <c r="E442" s="142"/>
      <c r="F442" s="142"/>
      <c r="G442" s="142"/>
      <c r="H442" s="142"/>
      <c r="I442" s="142"/>
      <c r="J442" s="142"/>
      <c r="K442" s="142"/>
      <c r="L442" s="142"/>
      <c r="M442" s="142"/>
      <c r="N442" s="142"/>
      <c r="O442" s="142"/>
      <c r="P442" s="142"/>
      <c r="Q442" s="142"/>
      <c r="R442" s="142"/>
      <c r="S442" s="142"/>
      <c r="T442" s="142"/>
      <c r="U442" s="142"/>
      <c r="V442" s="142"/>
      <c r="W442" s="142"/>
      <c r="X442" s="142"/>
      <c r="Y442" s="142"/>
      <c r="Z442" s="142"/>
      <c r="AA442" s="142"/>
      <c r="AB442" s="142"/>
      <c r="AC442" s="142"/>
      <c r="AD442" s="142"/>
      <c r="AE442" s="142"/>
      <c r="AF442" s="142"/>
      <c r="AG442" s="142"/>
      <c r="AH442" s="142"/>
      <c r="AI442" s="142"/>
      <c r="AJ442" s="142"/>
      <c r="AK442" s="142"/>
      <c r="AL442" s="142"/>
      <c r="AM442" s="143"/>
    </row>
    <row r="443">
      <c r="A443" s="144"/>
      <c r="B443" s="142"/>
      <c r="C443" s="142"/>
      <c r="D443" s="142"/>
      <c r="E443" s="142"/>
      <c r="F443" s="142"/>
      <c r="G443" s="142"/>
      <c r="H443" s="142"/>
      <c r="I443" s="142"/>
      <c r="J443" s="142"/>
      <c r="K443" s="142"/>
      <c r="L443" s="142"/>
      <c r="M443" s="142"/>
      <c r="N443" s="142"/>
      <c r="O443" s="142"/>
      <c r="P443" s="142"/>
      <c r="Q443" s="142"/>
      <c r="R443" s="142"/>
      <c r="S443" s="142"/>
      <c r="T443" s="142"/>
      <c r="U443" s="142"/>
      <c r="V443" s="142"/>
      <c r="W443" s="142"/>
      <c r="X443" s="142"/>
      <c r="Y443" s="142"/>
      <c r="Z443" s="142"/>
      <c r="AA443" s="142"/>
      <c r="AB443" s="142"/>
      <c r="AC443" s="142"/>
      <c r="AD443" s="142"/>
      <c r="AE443" s="142"/>
      <c r="AF443" s="142"/>
      <c r="AG443" s="142"/>
      <c r="AH443" s="142"/>
      <c r="AI443" s="142"/>
      <c r="AJ443" s="142"/>
      <c r="AK443" s="142"/>
      <c r="AL443" s="142"/>
      <c r="AM443" s="143"/>
    </row>
    <row r="444">
      <c r="A444" s="144"/>
      <c r="B444" s="142"/>
      <c r="C444" s="142"/>
      <c r="D444" s="142"/>
      <c r="E444" s="142"/>
      <c r="F444" s="142"/>
      <c r="G444" s="142"/>
      <c r="H444" s="142"/>
      <c r="I444" s="142"/>
      <c r="J444" s="142"/>
      <c r="K444" s="142"/>
      <c r="L444" s="142"/>
      <c r="M444" s="142"/>
      <c r="N444" s="142"/>
      <c r="O444" s="142"/>
      <c r="P444" s="142"/>
      <c r="Q444" s="142"/>
      <c r="R444" s="142"/>
      <c r="S444" s="142"/>
      <c r="T444" s="142"/>
      <c r="U444" s="142"/>
      <c r="V444" s="142"/>
      <c r="W444" s="142"/>
      <c r="X444" s="142"/>
      <c r="Y444" s="142"/>
      <c r="Z444" s="142"/>
      <c r="AA444" s="142"/>
      <c r="AB444" s="142"/>
      <c r="AC444" s="142"/>
      <c r="AD444" s="142"/>
      <c r="AE444" s="142"/>
      <c r="AF444" s="142"/>
      <c r="AG444" s="142"/>
      <c r="AH444" s="142"/>
      <c r="AI444" s="142"/>
      <c r="AJ444" s="142"/>
      <c r="AK444" s="142"/>
      <c r="AL444" s="142"/>
      <c r="AM444" s="143"/>
    </row>
    <row r="445">
      <c r="A445" s="144"/>
      <c r="B445" s="142"/>
      <c r="C445" s="142"/>
      <c r="D445" s="142"/>
      <c r="E445" s="142"/>
      <c r="F445" s="142"/>
      <c r="G445" s="142"/>
      <c r="H445" s="142"/>
      <c r="I445" s="142"/>
      <c r="J445" s="142"/>
      <c r="K445" s="142"/>
      <c r="L445" s="142"/>
      <c r="M445" s="142"/>
      <c r="N445" s="142"/>
      <c r="O445" s="142"/>
      <c r="P445" s="142"/>
      <c r="Q445" s="142"/>
      <c r="R445" s="142"/>
      <c r="S445" s="142"/>
      <c r="T445" s="142"/>
      <c r="U445" s="142"/>
      <c r="V445" s="142"/>
      <c r="W445" s="142"/>
      <c r="X445" s="142"/>
      <c r="Y445" s="142"/>
      <c r="Z445" s="142"/>
      <c r="AA445" s="142"/>
      <c r="AB445" s="142"/>
      <c r="AC445" s="142"/>
      <c r="AD445" s="142"/>
      <c r="AE445" s="142"/>
      <c r="AF445" s="142"/>
      <c r="AG445" s="142"/>
      <c r="AH445" s="142"/>
      <c r="AI445" s="142"/>
      <c r="AJ445" s="142"/>
      <c r="AK445" s="142"/>
      <c r="AL445" s="142"/>
      <c r="AM445" s="143"/>
    </row>
    <row r="446">
      <c r="A446" s="144"/>
      <c r="B446" s="142"/>
      <c r="C446" s="142"/>
      <c r="D446" s="142"/>
      <c r="E446" s="142"/>
      <c r="F446" s="142"/>
      <c r="G446" s="142"/>
      <c r="H446" s="142"/>
      <c r="I446" s="142"/>
      <c r="J446" s="142"/>
      <c r="K446" s="142"/>
      <c r="L446" s="142"/>
      <c r="M446" s="142"/>
      <c r="N446" s="142"/>
      <c r="O446" s="142"/>
      <c r="P446" s="142"/>
      <c r="Q446" s="142"/>
      <c r="R446" s="142"/>
      <c r="S446" s="142"/>
      <c r="T446" s="142"/>
      <c r="U446" s="142"/>
      <c r="V446" s="142"/>
      <c r="W446" s="142"/>
      <c r="X446" s="142"/>
      <c r="Y446" s="142"/>
      <c r="Z446" s="142"/>
      <c r="AA446" s="142"/>
      <c r="AB446" s="142"/>
      <c r="AC446" s="142"/>
      <c r="AD446" s="142"/>
      <c r="AE446" s="142"/>
      <c r="AF446" s="142"/>
      <c r="AG446" s="142"/>
      <c r="AH446" s="142"/>
      <c r="AI446" s="142"/>
      <c r="AJ446" s="142"/>
      <c r="AK446" s="142"/>
      <c r="AL446" s="142"/>
      <c r="AM446" s="143"/>
    </row>
    <row r="447">
      <c r="A447" s="144"/>
      <c r="B447" s="142"/>
      <c r="C447" s="142"/>
      <c r="D447" s="142"/>
      <c r="E447" s="142"/>
      <c r="F447" s="142"/>
      <c r="G447" s="142"/>
      <c r="H447" s="142"/>
      <c r="I447" s="142"/>
      <c r="J447" s="142"/>
      <c r="K447" s="142"/>
      <c r="L447" s="142"/>
      <c r="M447" s="142"/>
      <c r="N447" s="142"/>
      <c r="O447" s="142"/>
      <c r="P447" s="142"/>
      <c r="Q447" s="142"/>
      <c r="R447" s="142"/>
      <c r="S447" s="142"/>
      <c r="T447" s="142"/>
      <c r="U447" s="142"/>
      <c r="V447" s="142"/>
      <c r="W447" s="142"/>
      <c r="X447" s="142"/>
      <c r="Y447" s="142"/>
      <c r="Z447" s="142"/>
      <c r="AA447" s="142"/>
      <c r="AB447" s="142"/>
      <c r="AC447" s="142"/>
      <c r="AD447" s="142"/>
      <c r="AE447" s="142"/>
      <c r="AF447" s="142"/>
      <c r="AG447" s="142"/>
      <c r="AH447" s="142"/>
      <c r="AI447" s="142"/>
      <c r="AJ447" s="142"/>
      <c r="AK447" s="142"/>
      <c r="AL447" s="142"/>
      <c r="AM447" s="143"/>
    </row>
    <row r="448">
      <c r="A448" s="144"/>
      <c r="B448" s="142"/>
      <c r="C448" s="142"/>
      <c r="D448" s="142"/>
      <c r="E448" s="142"/>
      <c r="F448" s="142"/>
      <c r="G448" s="142"/>
      <c r="H448" s="142"/>
      <c r="I448" s="142"/>
      <c r="J448" s="142"/>
      <c r="K448" s="142"/>
      <c r="L448" s="142"/>
      <c r="M448" s="142"/>
      <c r="N448" s="142"/>
      <c r="O448" s="142"/>
      <c r="P448" s="142"/>
      <c r="Q448" s="142"/>
      <c r="R448" s="142"/>
      <c r="S448" s="142"/>
      <c r="T448" s="142"/>
      <c r="U448" s="142"/>
      <c r="V448" s="142"/>
      <c r="W448" s="142"/>
      <c r="X448" s="142"/>
      <c r="Y448" s="142"/>
      <c r="Z448" s="142"/>
      <c r="AA448" s="142"/>
      <c r="AB448" s="142"/>
      <c r="AC448" s="142"/>
      <c r="AD448" s="142"/>
      <c r="AE448" s="142"/>
      <c r="AF448" s="142"/>
      <c r="AG448" s="142"/>
      <c r="AH448" s="142"/>
      <c r="AI448" s="142"/>
      <c r="AJ448" s="142"/>
      <c r="AK448" s="142"/>
      <c r="AL448" s="142"/>
      <c r="AM448" s="143"/>
    </row>
    <row r="449">
      <c r="A449" s="144"/>
      <c r="B449" s="142"/>
      <c r="C449" s="142"/>
      <c r="D449" s="142"/>
      <c r="E449" s="142"/>
      <c r="F449" s="142"/>
      <c r="G449" s="142"/>
      <c r="H449" s="142"/>
      <c r="I449" s="142"/>
      <c r="J449" s="142"/>
      <c r="K449" s="142"/>
      <c r="L449" s="142"/>
      <c r="M449" s="142"/>
      <c r="N449" s="142"/>
      <c r="O449" s="142"/>
      <c r="P449" s="142"/>
      <c r="Q449" s="142"/>
      <c r="R449" s="142"/>
      <c r="S449" s="142"/>
      <c r="T449" s="142"/>
      <c r="U449" s="142"/>
      <c r="V449" s="142"/>
      <c r="W449" s="142"/>
      <c r="X449" s="142"/>
      <c r="Y449" s="142"/>
      <c r="Z449" s="142"/>
      <c r="AA449" s="142"/>
      <c r="AB449" s="142"/>
      <c r="AC449" s="142"/>
      <c r="AD449" s="142"/>
      <c r="AE449" s="142"/>
      <c r="AF449" s="142"/>
      <c r="AG449" s="142"/>
      <c r="AH449" s="142"/>
      <c r="AI449" s="142"/>
      <c r="AJ449" s="142"/>
      <c r="AK449" s="142"/>
      <c r="AL449" s="142"/>
      <c r="AM449" s="143"/>
    </row>
    <row r="450">
      <c r="A450" s="144"/>
      <c r="B450" s="142"/>
      <c r="C450" s="142"/>
      <c r="D450" s="142"/>
      <c r="E450" s="142"/>
      <c r="F450" s="142"/>
      <c r="G450" s="142"/>
      <c r="H450" s="142"/>
      <c r="I450" s="142"/>
      <c r="J450" s="142"/>
      <c r="K450" s="142"/>
      <c r="L450" s="142"/>
      <c r="M450" s="142"/>
      <c r="N450" s="142"/>
      <c r="O450" s="142"/>
      <c r="P450" s="142"/>
      <c r="Q450" s="142"/>
      <c r="R450" s="142"/>
      <c r="S450" s="142"/>
      <c r="T450" s="142"/>
      <c r="U450" s="142"/>
      <c r="V450" s="142"/>
      <c r="W450" s="142"/>
      <c r="X450" s="142"/>
      <c r="Y450" s="142"/>
      <c r="Z450" s="142"/>
      <c r="AA450" s="142"/>
      <c r="AB450" s="142"/>
      <c r="AC450" s="142"/>
      <c r="AD450" s="142"/>
      <c r="AE450" s="142"/>
      <c r="AF450" s="142"/>
      <c r="AG450" s="142"/>
      <c r="AH450" s="142"/>
      <c r="AI450" s="142"/>
      <c r="AJ450" s="142"/>
      <c r="AK450" s="142"/>
      <c r="AL450" s="142"/>
      <c r="AM450" s="143"/>
    </row>
    <row r="451">
      <c r="A451" s="144"/>
      <c r="B451" s="142"/>
      <c r="C451" s="142"/>
      <c r="D451" s="142"/>
      <c r="E451" s="142"/>
      <c r="F451" s="142"/>
      <c r="G451" s="142"/>
      <c r="H451" s="142"/>
      <c r="I451" s="142"/>
      <c r="J451" s="142"/>
      <c r="K451" s="142"/>
      <c r="L451" s="142"/>
      <c r="M451" s="142"/>
      <c r="N451" s="142"/>
      <c r="O451" s="142"/>
      <c r="P451" s="142"/>
      <c r="Q451" s="142"/>
      <c r="R451" s="142"/>
      <c r="S451" s="142"/>
      <c r="T451" s="142"/>
      <c r="U451" s="142"/>
      <c r="V451" s="142"/>
      <c r="W451" s="142"/>
      <c r="X451" s="142"/>
      <c r="Y451" s="142"/>
      <c r="Z451" s="142"/>
      <c r="AA451" s="142"/>
      <c r="AB451" s="142"/>
      <c r="AC451" s="142"/>
      <c r="AD451" s="142"/>
      <c r="AE451" s="142"/>
      <c r="AF451" s="142"/>
      <c r="AG451" s="142"/>
      <c r="AH451" s="142"/>
      <c r="AI451" s="142"/>
      <c r="AJ451" s="142"/>
      <c r="AK451" s="142"/>
      <c r="AL451" s="142"/>
      <c r="AM451" s="143"/>
    </row>
    <row r="452">
      <c r="A452" s="144"/>
      <c r="B452" s="142"/>
      <c r="C452" s="142"/>
      <c r="D452" s="142"/>
      <c r="E452" s="142"/>
      <c r="F452" s="142"/>
      <c r="G452" s="142"/>
      <c r="H452" s="142"/>
      <c r="I452" s="142"/>
      <c r="J452" s="142"/>
      <c r="K452" s="142"/>
      <c r="L452" s="142"/>
      <c r="M452" s="142"/>
      <c r="N452" s="142"/>
      <c r="O452" s="142"/>
      <c r="P452" s="142"/>
      <c r="Q452" s="142"/>
      <c r="R452" s="142"/>
      <c r="S452" s="142"/>
      <c r="T452" s="142"/>
      <c r="U452" s="142"/>
      <c r="V452" s="142"/>
      <c r="W452" s="142"/>
      <c r="X452" s="142"/>
      <c r="Y452" s="142"/>
      <c r="Z452" s="142"/>
      <c r="AA452" s="142"/>
      <c r="AB452" s="142"/>
      <c r="AC452" s="142"/>
      <c r="AD452" s="142"/>
      <c r="AE452" s="142"/>
      <c r="AF452" s="142"/>
      <c r="AG452" s="142"/>
      <c r="AH452" s="142"/>
      <c r="AI452" s="142"/>
      <c r="AJ452" s="142"/>
      <c r="AK452" s="142"/>
      <c r="AL452" s="142"/>
      <c r="AM452" s="143"/>
    </row>
    <row r="453">
      <c r="A453" s="144"/>
      <c r="B453" s="142"/>
      <c r="C453" s="142"/>
      <c r="D453" s="142"/>
      <c r="E453" s="142"/>
      <c r="F453" s="142"/>
      <c r="G453" s="142"/>
      <c r="H453" s="142"/>
      <c r="I453" s="142"/>
      <c r="J453" s="142"/>
      <c r="K453" s="142"/>
      <c r="L453" s="142"/>
      <c r="M453" s="142"/>
      <c r="N453" s="142"/>
      <c r="O453" s="142"/>
      <c r="P453" s="142"/>
      <c r="Q453" s="142"/>
      <c r="R453" s="142"/>
      <c r="S453" s="142"/>
      <c r="T453" s="142"/>
      <c r="U453" s="142"/>
      <c r="V453" s="142"/>
      <c r="W453" s="142"/>
      <c r="X453" s="142"/>
      <c r="Y453" s="142"/>
      <c r="Z453" s="142"/>
      <c r="AA453" s="142"/>
      <c r="AB453" s="142"/>
      <c r="AC453" s="142"/>
      <c r="AD453" s="142"/>
      <c r="AE453" s="142"/>
      <c r="AF453" s="142"/>
      <c r="AG453" s="142"/>
      <c r="AH453" s="142"/>
      <c r="AI453" s="142"/>
      <c r="AJ453" s="142"/>
      <c r="AK453" s="142"/>
      <c r="AL453" s="142"/>
      <c r="AM453" s="143"/>
    </row>
    <row r="454">
      <c r="A454" s="144"/>
      <c r="B454" s="142"/>
      <c r="C454" s="142"/>
      <c r="D454" s="142"/>
      <c r="E454" s="142"/>
      <c r="F454" s="142"/>
      <c r="G454" s="142"/>
      <c r="H454" s="142"/>
      <c r="I454" s="142"/>
      <c r="J454" s="142"/>
      <c r="K454" s="142"/>
      <c r="L454" s="142"/>
      <c r="M454" s="142"/>
      <c r="N454" s="142"/>
      <c r="O454" s="142"/>
      <c r="P454" s="142"/>
      <c r="Q454" s="142"/>
      <c r="R454" s="142"/>
      <c r="S454" s="142"/>
      <c r="T454" s="142"/>
      <c r="U454" s="142"/>
      <c r="V454" s="142"/>
      <c r="W454" s="142"/>
      <c r="X454" s="142"/>
      <c r="Y454" s="142"/>
      <c r="Z454" s="142"/>
      <c r="AA454" s="142"/>
      <c r="AB454" s="142"/>
      <c r="AC454" s="142"/>
      <c r="AD454" s="142"/>
      <c r="AE454" s="142"/>
      <c r="AF454" s="142"/>
      <c r="AG454" s="142"/>
      <c r="AH454" s="142"/>
      <c r="AI454" s="142"/>
      <c r="AJ454" s="142"/>
      <c r="AK454" s="142"/>
      <c r="AL454" s="142"/>
      <c r="AM454" s="143"/>
    </row>
    <row r="455">
      <c r="A455" s="144"/>
      <c r="B455" s="142"/>
      <c r="C455" s="142"/>
      <c r="D455" s="142"/>
      <c r="E455" s="142"/>
      <c r="F455" s="142"/>
      <c r="G455" s="142"/>
      <c r="H455" s="142"/>
      <c r="I455" s="142"/>
      <c r="J455" s="142"/>
      <c r="K455" s="142"/>
      <c r="L455" s="142"/>
      <c r="M455" s="142"/>
      <c r="N455" s="142"/>
      <c r="O455" s="142"/>
      <c r="P455" s="142"/>
      <c r="Q455" s="142"/>
      <c r="R455" s="142"/>
      <c r="S455" s="142"/>
      <c r="T455" s="142"/>
      <c r="U455" s="142"/>
      <c r="V455" s="142"/>
      <c r="W455" s="142"/>
      <c r="X455" s="142"/>
      <c r="Y455" s="142"/>
      <c r="Z455" s="142"/>
      <c r="AA455" s="142"/>
      <c r="AB455" s="142"/>
      <c r="AC455" s="142"/>
      <c r="AD455" s="142"/>
      <c r="AE455" s="142"/>
      <c r="AF455" s="142"/>
      <c r="AG455" s="142"/>
      <c r="AH455" s="142"/>
      <c r="AI455" s="142"/>
      <c r="AJ455" s="142"/>
      <c r="AK455" s="142"/>
      <c r="AL455" s="142"/>
      <c r="AM455" s="143"/>
    </row>
    <row r="456">
      <c r="A456" s="144"/>
      <c r="B456" s="142"/>
      <c r="C456" s="142"/>
      <c r="D456" s="142"/>
      <c r="E456" s="142"/>
      <c r="F456" s="142"/>
      <c r="G456" s="142"/>
      <c r="H456" s="142"/>
      <c r="I456" s="142"/>
      <c r="J456" s="142"/>
      <c r="K456" s="142"/>
      <c r="L456" s="142"/>
      <c r="M456" s="142"/>
      <c r="N456" s="142"/>
      <c r="O456" s="142"/>
      <c r="P456" s="142"/>
      <c r="Q456" s="142"/>
      <c r="R456" s="142"/>
      <c r="S456" s="142"/>
      <c r="T456" s="142"/>
      <c r="U456" s="142"/>
      <c r="V456" s="142"/>
      <c r="W456" s="142"/>
      <c r="X456" s="142"/>
      <c r="Y456" s="142"/>
      <c r="Z456" s="142"/>
      <c r="AA456" s="142"/>
      <c r="AB456" s="142"/>
      <c r="AC456" s="142"/>
      <c r="AD456" s="142"/>
      <c r="AE456" s="142"/>
      <c r="AF456" s="142"/>
      <c r="AG456" s="142"/>
      <c r="AH456" s="142"/>
      <c r="AI456" s="142"/>
      <c r="AJ456" s="142"/>
      <c r="AK456" s="142"/>
      <c r="AL456" s="142"/>
      <c r="AM456" s="143"/>
    </row>
    <row r="457">
      <c r="A457" s="144"/>
      <c r="B457" s="142"/>
      <c r="C457" s="142"/>
      <c r="D457" s="142"/>
      <c r="E457" s="142"/>
      <c r="F457" s="142"/>
      <c r="G457" s="142"/>
      <c r="H457" s="142"/>
      <c r="I457" s="142"/>
      <c r="J457" s="142"/>
      <c r="K457" s="142"/>
      <c r="L457" s="142"/>
      <c r="M457" s="142"/>
      <c r="N457" s="142"/>
      <c r="O457" s="142"/>
      <c r="P457" s="142"/>
      <c r="Q457" s="142"/>
      <c r="R457" s="142"/>
      <c r="S457" s="142"/>
      <c r="T457" s="142"/>
      <c r="U457" s="142"/>
      <c r="V457" s="142"/>
      <c r="W457" s="142"/>
      <c r="X457" s="142"/>
      <c r="Y457" s="142"/>
      <c r="Z457" s="142"/>
      <c r="AA457" s="142"/>
      <c r="AB457" s="142"/>
      <c r="AC457" s="142"/>
      <c r="AD457" s="142"/>
      <c r="AE457" s="142"/>
      <c r="AF457" s="142"/>
      <c r="AG457" s="142"/>
      <c r="AH457" s="142"/>
      <c r="AI457" s="142"/>
      <c r="AJ457" s="142"/>
      <c r="AK457" s="142"/>
      <c r="AL457" s="142"/>
      <c r="AM457" s="143"/>
    </row>
    <row r="458">
      <c r="A458" s="144"/>
      <c r="B458" s="142"/>
      <c r="C458" s="142"/>
      <c r="D458" s="142"/>
      <c r="E458" s="142"/>
      <c r="F458" s="142"/>
      <c r="G458" s="142"/>
      <c r="H458" s="142"/>
      <c r="I458" s="142"/>
      <c r="J458" s="142"/>
      <c r="K458" s="142"/>
      <c r="L458" s="142"/>
      <c r="M458" s="142"/>
      <c r="N458" s="142"/>
      <c r="O458" s="142"/>
      <c r="P458" s="142"/>
      <c r="Q458" s="142"/>
      <c r="R458" s="142"/>
      <c r="S458" s="142"/>
      <c r="T458" s="142"/>
      <c r="U458" s="142"/>
      <c r="V458" s="142"/>
      <c r="W458" s="142"/>
      <c r="X458" s="142"/>
      <c r="Y458" s="142"/>
      <c r="Z458" s="142"/>
      <c r="AA458" s="142"/>
      <c r="AB458" s="142"/>
      <c r="AC458" s="142"/>
      <c r="AD458" s="142"/>
      <c r="AE458" s="142"/>
      <c r="AF458" s="142"/>
      <c r="AG458" s="142"/>
      <c r="AH458" s="142"/>
      <c r="AI458" s="142"/>
      <c r="AJ458" s="142"/>
      <c r="AK458" s="142"/>
      <c r="AL458" s="142"/>
      <c r="AM458" s="143"/>
    </row>
    <row r="459">
      <c r="A459" s="144"/>
      <c r="B459" s="142"/>
      <c r="C459" s="142"/>
      <c r="D459" s="142"/>
      <c r="E459" s="142"/>
      <c r="F459" s="142"/>
      <c r="G459" s="142"/>
      <c r="H459" s="142"/>
      <c r="I459" s="142"/>
      <c r="J459" s="142"/>
      <c r="K459" s="142"/>
      <c r="L459" s="142"/>
      <c r="M459" s="142"/>
      <c r="N459" s="142"/>
      <c r="O459" s="142"/>
      <c r="P459" s="142"/>
      <c r="Q459" s="142"/>
      <c r="R459" s="142"/>
      <c r="S459" s="142"/>
      <c r="T459" s="142"/>
      <c r="U459" s="142"/>
      <c r="V459" s="142"/>
      <c r="W459" s="142"/>
      <c r="X459" s="142"/>
      <c r="Y459" s="142"/>
      <c r="Z459" s="142"/>
      <c r="AA459" s="142"/>
      <c r="AB459" s="142"/>
      <c r="AC459" s="142"/>
      <c r="AD459" s="142"/>
      <c r="AE459" s="142"/>
      <c r="AF459" s="142"/>
      <c r="AG459" s="142"/>
      <c r="AH459" s="142"/>
      <c r="AI459" s="142"/>
      <c r="AJ459" s="142"/>
      <c r="AK459" s="142"/>
      <c r="AL459" s="142"/>
      <c r="AM459" s="143"/>
    </row>
    <row r="460">
      <c r="A460" s="144"/>
      <c r="B460" s="142"/>
      <c r="C460" s="142"/>
      <c r="D460" s="142"/>
      <c r="E460" s="142"/>
      <c r="F460" s="142"/>
      <c r="G460" s="142"/>
      <c r="H460" s="142"/>
      <c r="I460" s="142"/>
      <c r="J460" s="142"/>
      <c r="K460" s="142"/>
      <c r="L460" s="142"/>
      <c r="M460" s="142"/>
      <c r="N460" s="142"/>
      <c r="O460" s="142"/>
      <c r="P460" s="142"/>
      <c r="Q460" s="142"/>
      <c r="R460" s="142"/>
      <c r="S460" s="142"/>
      <c r="T460" s="142"/>
      <c r="U460" s="142"/>
      <c r="V460" s="142"/>
      <c r="W460" s="142"/>
      <c r="X460" s="142"/>
      <c r="Y460" s="142"/>
      <c r="Z460" s="142"/>
      <c r="AA460" s="142"/>
      <c r="AB460" s="142"/>
      <c r="AC460" s="142"/>
      <c r="AD460" s="142"/>
      <c r="AE460" s="142"/>
      <c r="AF460" s="142"/>
      <c r="AG460" s="142"/>
      <c r="AH460" s="142"/>
      <c r="AI460" s="142"/>
      <c r="AJ460" s="142"/>
      <c r="AK460" s="142"/>
      <c r="AL460" s="142"/>
      <c r="AM460" s="143"/>
    </row>
    <row r="461">
      <c r="A461" s="144"/>
      <c r="B461" s="142"/>
      <c r="C461" s="142"/>
      <c r="D461" s="142"/>
      <c r="E461" s="142"/>
      <c r="F461" s="142"/>
      <c r="G461" s="142"/>
      <c r="H461" s="142"/>
      <c r="I461" s="142"/>
      <c r="J461" s="142"/>
      <c r="K461" s="142"/>
      <c r="L461" s="142"/>
      <c r="M461" s="142"/>
      <c r="N461" s="142"/>
      <c r="O461" s="142"/>
      <c r="P461" s="142"/>
      <c r="Q461" s="142"/>
      <c r="R461" s="142"/>
      <c r="S461" s="142"/>
      <c r="T461" s="142"/>
      <c r="U461" s="142"/>
      <c r="V461" s="142"/>
      <c r="W461" s="142"/>
      <c r="X461" s="142"/>
      <c r="Y461" s="142"/>
      <c r="Z461" s="142"/>
      <c r="AA461" s="142"/>
      <c r="AB461" s="142"/>
      <c r="AC461" s="142"/>
      <c r="AD461" s="142"/>
      <c r="AE461" s="142"/>
      <c r="AF461" s="142"/>
      <c r="AG461" s="142"/>
      <c r="AH461" s="142"/>
      <c r="AI461" s="142"/>
      <c r="AJ461" s="142"/>
      <c r="AK461" s="142"/>
      <c r="AL461" s="142"/>
      <c r="AM461" s="143"/>
    </row>
    <row r="462">
      <c r="A462" s="144"/>
      <c r="B462" s="142"/>
      <c r="C462" s="142"/>
      <c r="D462" s="142"/>
      <c r="E462" s="142"/>
      <c r="F462" s="142"/>
      <c r="G462" s="142"/>
      <c r="H462" s="142"/>
      <c r="I462" s="142"/>
      <c r="J462" s="142"/>
      <c r="K462" s="142"/>
      <c r="L462" s="142"/>
      <c r="M462" s="142"/>
      <c r="N462" s="142"/>
      <c r="O462" s="142"/>
      <c r="P462" s="142"/>
      <c r="Q462" s="142"/>
      <c r="R462" s="142"/>
      <c r="S462" s="142"/>
      <c r="T462" s="142"/>
      <c r="U462" s="142"/>
      <c r="V462" s="142"/>
      <c r="W462" s="142"/>
      <c r="X462" s="142"/>
      <c r="Y462" s="142"/>
      <c r="Z462" s="142"/>
      <c r="AA462" s="142"/>
      <c r="AB462" s="142"/>
      <c r="AC462" s="142"/>
      <c r="AD462" s="142"/>
      <c r="AE462" s="142"/>
      <c r="AF462" s="142"/>
      <c r="AG462" s="142"/>
      <c r="AH462" s="142"/>
      <c r="AI462" s="142"/>
      <c r="AJ462" s="142"/>
      <c r="AK462" s="142"/>
      <c r="AL462" s="142"/>
      <c r="AM462" s="143"/>
    </row>
    <row r="463">
      <c r="A463" s="144"/>
      <c r="B463" s="142"/>
      <c r="C463" s="142"/>
      <c r="D463" s="142"/>
      <c r="E463" s="142"/>
      <c r="F463" s="142"/>
      <c r="G463" s="142"/>
      <c r="H463" s="142"/>
      <c r="I463" s="142"/>
      <c r="J463" s="142"/>
      <c r="K463" s="142"/>
      <c r="L463" s="142"/>
      <c r="M463" s="142"/>
      <c r="N463" s="142"/>
      <c r="O463" s="142"/>
      <c r="P463" s="142"/>
      <c r="Q463" s="142"/>
      <c r="R463" s="142"/>
      <c r="S463" s="142"/>
      <c r="T463" s="142"/>
      <c r="U463" s="142"/>
      <c r="V463" s="142"/>
      <c r="W463" s="142"/>
      <c r="X463" s="142"/>
      <c r="Y463" s="142"/>
      <c r="Z463" s="142"/>
      <c r="AA463" s="142"/>
      <c r="AB463" s="142"/>
      <c r="AC463" s="142"/>
      <c r="AD463" s="142"/>
      <c r="AE463" s="142"/>
      <c r="AF463" s="142"/>
      <c r="AG463" s="142"/>
      <c r="AH463" s="142"/>
      <c r="AI463" s="142"/>
      <c r="AJ463" s="142"/>
      <c r="AK463" s="142"/>
      <c r="AL463" s="142"/>
      <c r="AM463" s="143"/>
    </row>
    <row r="464">
      <c r="A464" s="144"/>
      <c r="B464" s="142"/>
      <c r="C464" s="142"/>
      <c r="D464" s="142"/>
      <c r="E464" s="142"/>
      <c r="F464" s="142"/>
      <c r="G464" s="142"/>
      <c r="H464" s="142"/>
      <c r="I464" s="142"/>
      <c r="J464" s="142"/>
      <c r="K464" s="142"/>
      <c r="L464" s="142"/>
      <c r="M464" s="142"/>
      <c r="N464" s="142"/>
      <c r="O464" s="142"/>
      <c r="P464" s="142"/>
      <c r="Q464" s="142"/>
      <c r="R464" s="142"/>
      <c r="S464" s="142"/>
      <c r="T464" s="142"/>
      <c r="U464" s="142"/>
      <c r="V464" s="142"/>
      <c r="W464" s="142"/>
      <c r="X464" s="142"/>
      <c r="Y464" s="142"/>
      <c r="Z464" s="142"/>
      <c r="AA464" s="142"/>
      <c r="AB464" s="142"/>
      <c r="AC464" s="142"/>
      <c r="AD464" s="142"/>
      <c r="AE464" s="142"/>
      <c r="AF464" s="142"/>
      <c r="AG464" s="142"/>
      <c r="AH464" s="142"/>
      <c r="AI464" s="142"/>
      <c r="AJ464" s="142"/>
      <c r="AK464" s="142"/>
      <c r="AL464" s="142"/>
      <c r="AM464" s="143"/>
    </row>
    <row r="465">
      <c r="A465" s="144"/>
      <c r="B465" s="142"/>
      <c r="C465" s="142"/>
      <c r="D465" s="142"/>
      <c r="E465" s="142"/>
      <c r="F465" s="142"/>
      <c r="G465" s="142"/>
      <c r="H465" s="142"/>
      <c r="I465" s="142"/>
      <c r="J465" s="142"/>
      <c r="K465" s="142"/>
      <c r="L465" s="142"/>
      <c r="M465" s="142"/>
      <c r="N465" s="142"/>
      <c r="O465" s="142"/>
      <c r="P465" s="142"/>
      <c r="Q465" s="142"/>
      <c r="R465" s="142"/>
      <c r="S465" s="142"/>
      <c r="T465" s="142"/>
      <c r="U465" s="142"/>
      <c r="V465" s="142"/>
      <c r="W465" s="142"/>
      <c r="X465" s="142"/>
      <c r="Y465" s="142"/>
      <c r="Z465" s="142"/>
      <c r="AA465" s="142"/>
      <c r="AB465" s="142"/>
      <c r="AC465" s="142"/>
      <c r="AD465" s="142"/>
      <c r="AE465" s="142"/>
      <c r="AF465" s="142"/>
      <c r="AG465" s="142"/>
      <c r="AH465" s="142"/>
      <c r="AI465" s="142"/>
      <c r="AJ465" s="142"/>
      <c r="AK465" s="142"/>
      <c r="AL465" s="142"/>
      <c r="AM465" s="143"/>
    </row>
    <row r="466">
      <c r="A466" s="144"/>
      <c r="B466" s="142"/>
      <c r="C466" s="142"/>
      <c r="D466" s="142"/>
      <c r="E466" s="142"/>
      <c r="F466" s="142"/>
      <c r="G466" s="142"/>
      <c r="H466" s="142"/>
      <c r="I466" s="142"/>
      <c r="J466" s="142"/>
      <c r="K466" s="142"/>
      <c r="L466" s="142"/>
      <c r="M466" s="142"/>
      <c r="N466" s="142"/>
      <c r="O466" s="142"/>
      <c r="P466" s="142"/>
      <c r="Q466" s="142"/>
      <c r="R466" s="142"/>
      <c r="S466" s="142"/>
      <c r="T466" s="142"/>
      <c r="U466" s="142"/>
      <c r="V466" s="142"/>
      <c r="W466" s="142"/>
      <c r="X466" s="142"/>
      <c r="Y466" s="142"/>
      <c r="Z466" s="142"/>
      <c r="AA466" s="142"/>
      <c r="AB466" s="142"/>
      <c r="AC466" s="142"/>
      <c r="AD466" s="142"/>
      <c r="AE466" s="142"/>
      <c r="AF466" s="142"/>
      <c r="AG466" s="142"/>
      <c r="AH466" s="142"/>
      <c r="AI466" s="142"/>
      <c r="AJ466" s="142"/>
      <c r="AK466" s="142"/>
      <c r="AL466" s="142"/>
      <c r="AM466" s="143"/>
    </row>
    <row r="467">
      <c r="A467" s="144"/>
      <c r="B467" s="142"/>
      <c r="C467" s="142"/>
      <c r="D467" s="142"/>
      <c r="E467" s="142"/>
      <c r="F467" s="142"/>
      <c r="G467" s="142"/>
      <c r="H467" s="142"/>
      <c r="I467" s="142"/>
      <c r="J467" s="142"/>
      <c r="K467" s="142"/>
      <c r="L467" s="142"/>
      <c r="M467" s="142"/>
      <c r="N467" s="142"/>
      <c r="O467" s="142"/>
      <c r="P467" s="142"/>
      <c r="Q467" s="142"/>
      <c r="R467" s="142"/>
      <c r="S467" s="142"/>
      <c r="T467" s="142"/>
      <c r="U467" s="142"/>
      <c r="V467" s="142"/>
      <c r="W467" s="142"/>
      <c r="X467" s="142"/>
      <c r="Y467" s="142"/>
      <c r="Z467" s="142"/>
      <c r="AA467" s="142"/>
      <c r="AB467" s="142"/>
      <c r="AC467" s="142"/>
      <c r="AD467" s="142"/>
      <c r="AE467" s="142"/>
      <c r="AF467" s="142"/>
      <c r="AG467" s="142"/>
      <c r="AH467" s="142"/>
      <c r="AI467" s="142"/>
      <c r="AJ467" s="142"/>
      <c r="AK467" s="142"/>
      <c r="AL467" s="142"/>
      <c r="AM467" s="143"/>
    </row>
    <row r="468">
      <c r="A468" s="144"/>
      <c r="B468" s="142"/>
      <c r="C468" s="142"/>
      <c r="D468" s="142"/>
      <c r="E468" s="142"/>
      <c r="F468" s="142"/>
      <c r="G468" s="142"/>
      <c r="H468" s="142"/>
      <c r="I468" s="142"/>
      <c r="J468" s="142"/>
      <c r="K468" s="142"/>
      <c r="L468" s="142"/>
      <c r="M468" s="142"/>
      <c r="N468" s="142"/>
      <c r="O468" s="142"/>
      <c r="P468" s="142"/>
      <c r="Q468" s="142"/>
      <c r="R468" s="142"/>
      <c r="S468" s="142"/>
      <c r="T468" s="142"/>
      <c r="U468" s="142"/>
      <c r="V468" s="142"/>
      <c r="W468" s="142"/>
      <c r="X468" s="142"/>
      <c r="Y468" s="142"/>
      <c r="Z468" s="142"/>
      <c r="AA468" s="142"/>
      <c r="AB468" s="142"/>
      <c r="AC468" s="142"/>
      <c r="AD468" s="142"/>
      <c r="AE468" s="142"/>
      <c r="AF468" s="142"/>
      <c r="AG468" s="142"/>
      <c r="AH468" s="142"/>
      <c r="AI468" s="142"/>
      <c r="AJ468" s="142"/>
      <c r="AK468" s="142"/>
      <c r="AL468" s="142"/>
      <c r="AM468" s="143"/>
    </row>
    <row r="469">
      <c r="A469" s="144"/>
      <c r="B469" s="142"/>
      <c r="C469" s="142"/>
      <c r="D469" s="142"/>
      <c r="E469" s="142"/>
      <c r="F469" s="142"/>
      <c r="G469" s="142"/>
      <c r="H469" s="142"/>
      <c r="I469" s="142"/>
      <c r="J469" s="142"/>
      <c r="K469" s="142"/>
      <c r="L469" s="142"/>
      <c r="M469" s="142"/>
      <c r="N469" s="142"/>
      <c r="O469" s="142"/>
      <c r="P469" s="142"/>
      <c r="Q469" s="142"/>
      <c r="R469" s="142"/>
      <c r="S469" s="142"/>
      <c r="T469" s="142"/>
      <c r="U469" s="142"/>
      <c r="V469" s="142"/>
      <c r="W469" s="142"/>
      <c r="X469" s="142"/>
      <c r="Y469" s="142"/>
      <c r="Z469" s="142"/>
      <c r="AA469" s="142"/>
      <c r="AB469" s="142"/>
      <c r="AC469" s="142"/>
      <c r="AD469" s="142"/>
      <c r="AE469" s="142"/>
      <c r="AF469" s="142"/>
      <c r="AG469" s="142"/>
      <c r="AH469" s="142"/>
      <c r="AI469" s="142"/>
      <c r="AJ469" s="142"/>
      <c r="AK469" s="142"/>
      <c r="AL469" s="142"/>
      <c r="AM469" s="143"/>
    </row>
    <row r="470">
      <c r="A470" s="144"/>
      <c r="B470" s="142"/>
      <c r="C470" s="142"/>
      <c r="D470" s="142"/>
      <c r="E470" s="142"/>
      <c r="F470" s="142"/>
      <c r="G470" s="142"/>
      <c r="H470" s="142"/>
      <c r="I470" s="142"/>
      <c r="J470" s="142"/>
      <c r="K470" s="142"/>
      <c r="L470" s="142"/>
      <c r="M470" s="142"/>
      <c r="N470" s="142"/>
      <c r="O470" s="142"/>
      <c r="P470" s="142"/>
      <c r="Q470" s="142"/>
      <c r="R470" s="142"/>
      <c r="S470" s="142"/>
      <c r="T470" s="142"/>
      <c r="U470" s="142"/>
      <c r="V470" s="142"/>
      <c r="W470" s="142"/>
      <c r="X470" s="142"/>
      <c r="Y470" s="142"/>
      <c r="Z470" s="142"/>
      <c r="AA470" s="142"/>
      <c r="AB470" s="142"/>
      <c r="AC470" s="142"/>
      <c r="AD470" s="142"/>
      <c r="AE470" s="142"/>
      <c r="AF470" s="142"/>
      <c r="AG470" s="142"/>
      <c r="AH470" s="142"/>
      <c r="AI470" s="142"/>
      <c r="AJ470" s="142"/>
      <c r="AK470" s="142"/>
      <c r="AL470" s="142"/>
      <c r="AM470" s="143"/>
    </row>
    <row r="471">
      <c r="A471" s="144"/>
      <c r="B471" s="142"/>
      <c r="C471" s="142"/>
      <c r="D471" s="142"/>
      <c r="E471" s="142"/>
      <c r="F471" s="142"/>
      <c r="G471" s="142"/>
      <c r="H471" s="142"/>
      <c r="I471" s="142"/>
      <c r="J471" s="142"/>
      <c r="K471" s="142"/>
      <c r="L471" s="142"/>
      <c r="M471" s="142"/>
      <c r="N471" s="142"/>
      <c r="O471" s="142"/>
      <c r="P471" s="142"/>
      <c r="Q471" s="142"/>
      <c r="R471" s="142"/>
      <c r="S471" s="142"/>
      <c r="T471" s="142"/>
      <c r="U471" s="142"/>
      <c r="V471" s="142"/>
      <c r="W471" s="142"/>
      <c r="X471" s="142"/>
      <c r="Y471" s="142"/>
      <c r="Z471" s="142"/>
      <c r="AA471" s="142"/>
      <c r="AB471" s="142"/>
      <c r="AC471" s="142"/>
      <c r="AD471" s="142"/>
      <c r="AE471" s="142"/>
      <c r="AF471" s="142"/>
      <c r="AG471" s="142"/>
      <c r="AH471" s="142"/>
      <c r="AI471" s="142"/>
      <c r="AJ471" s="142"/>
      <c r="AK471" s="142"/>
      <c r="AL471" s="142"/>
      <c r="AM471" s="143"/>
    </row>
    <row r="472">
      <c r="A472" s="144"/>
      <c r="B472" s="142"/>
      <c r="C472" s="142"/>
      <c r="D472" s="142"/>
      <c r="E472" s="142"/>
      <c r="F472" s="142"/>
      <c r="G472" s="142"/>
      <c r="H472" s="142"/>
      <c r="I472" s="142"/>
      <c r="J472" s="142"/>
      <c r="K472" s="142"/>
      <c r="L472" s="142"/>
      <c r="M472" s="142"/>
      <c r="N472" s="142"/>
      <c r="O472" s="142"/>
      <c r="P472" s="142"/>
      <c r="Q472" s="142"/>
      <c r="R472" s="142"/>
      <c r="S472" s="142"/>
      <c r="T472" s="142"/>
      <c r="U472" s="142"/>
      <c r="V472" s="142"/>
      <c r="W472" s="142"/>
      <c r="X472" s="142"/>
      <c r="Y472" s="142"/>
      <c r="Z472" s="142"/>
      <c r="AA472" s="142"/>
      <c r="AB472" s="142"/>
      <c r="AC472" s="142"/>
      <c r="AD472" s="142"/>
      <c r="AE472" s="142"/>
      <c r="AF472" s="142"/>
      <c r="AG472" s="142"/>
      <c r="AH472" s="142"/>
      <c r="AI472" s="142"/>
      <c r="AJ472" s="142"/>
      <c r="AK472" s="142"/>
      <c r="AL472" s="142"/>
      <c r="AM472" s="143"/>
    </row>
    <row r="473">
      <c r="A473" s="144"/>
      <c r="B473" s="142"/>
      <c r="C473" s="142"/>
      <c r="D473" s="142"/>
      <c r="E473" s="142"/>
      <c r="F473" s="142"/>
      <c r="G473" s="142"/>
      <c r="H473" s="142"/>
      <c r="I473" s="142"/>
      <c r="J473" s="142"/>
      <c r="K473" s="142"/>
      <c r="L473" s="142"/>
      <c r="M473" s="142"/>
      <c r="N473" s="142"/>
      <c r="O473" s="142"/>
      <c r="P473" s="142"/>
      <c r="Q473" s="142"/>
      <c r="R473" s="142"/>
      <c r="S473" s="142"/>
      <c r="T473" s="142"/>
      <c r="U473" s="142"/>
      <c r="V473" s="142"/>
      <c r="W473" s="142"/>
      <c r="X473" s="142"/>
      <c r="Y473" s="142"/>
      <c r="Z473" s="142"/>
      <c r="AA473" s="142"/>
      <c r="AB473" s="142"/>
      <c r="AC473" s="142"/>
      <c r="AD473" s="142"/>
      <c r="AE473" s="142"/>
      <c r="AF473" s="142"/>
      <c r="AG473" s="142"/>
      <c r="AH473" s="142"/>
      <c r="AI473" s="142"/>
      <c r="AJ473" s="142"/>
      <c r="AK473" s="142"/>
      <c r="AL473" s="142"/>
      <c r="AM473" s="143"/>
    </row>
    <row r="474">
      <c r="A474" s="144"/>
      <c r="B474" s="142"/>
      <c r="C474" s="142"/>
      <c r="D474" s="142"/>
      <c r="E474" s="142"/>
      <c r="F474" s="142"/>
      <c r="G474" s="142"/>
      <c r="H474" s="142"/>
      <c r="I474" s="142"/>
      <c r="J474" s="142"/>
      <c r="K474" s="142"/>
      <c r="L474" s="142"/>
      <c r="M474" s="142"/>
      <c r="N474" s="142"/>
      <c r="O474" s="142"/>
      <c r="P474" s="142"/>
      <c r="Q474" s="142"/>
      <c r="R474" s="142"/>
      <c r="S474" s="142"/>
      <c r="T474" s="142"/>
      <c r="U474" s="142"/>
      <c r="V474" s="142"/>
      <c r="W474" s="142"/>
      <c r="X474" s="142"/>
      <c r="Y474" s="142"/>
      <c r="Z474" s="142"/>
      <c r="AA474" s="142"/>
      <c r="AB474" s="142"/>
      <c r="AC474" s="142"/>
      <c r="AD474" s="142"/>
      <c r="AE474" s="142"/>
      <c r="AF474" s="142"/>
      <c r="AG474" s="142"/>
      <c r="AH474" s="142"/>
      <c r="AI474" s="142"/>
      <c r="AJ474" s="142"/>
      <c r="AK474" s="142"/>
      <c r="AL474" s="142"/>
      <c r="AM474" s="143"/>
    </row>
    <row r="475">
      <c r="A475" s="144"/>
      <c r="B475" s="142"/>
      <c r="C475" s="142"/>
      <c r="D475" s="142"/>
      <c r="E475" s="142"/>
      <c r="F475" s="142"/>
      <c r="G475" s="142"/>
      <c r="H475" s="142"/>
      <c r="I475" s="142"/>
      <c r="J475" s="142"/>
      <c r="K475" s="142"/>
      <c r="L475" s="142"/>
      <c r="M475" s="142"/>
      <c r="N475" s="142"/>
      <c r="O475" s="142"/>
      <c r="P475" s="142"/>
      <c r="Q475" s="142"/>
      <c r="R475" s="142"/>
      <c r="S475" s="142"/>
      <c r="T475" s="142"/>
      <c r="U475" s="142"/>
      <c r="V475" s="142"/>
      <c r="W475" s="142"/>
      <c r="X475" s="142"/>
      <c r="Y475" s="142"/>
      <c r="Z475" s="142"/>
      <c r="AA475" s="142"/>
      <c r="AB475" s="142"/>
      <c r="AC475" s="142"/>
      <c r="AD475" s="142"/>
      <c r="AE475" s="142"/>
      <c r="AF475" s="142"/>
      <c r="AG475" s="142"/>
      <c r="AH475" s="142"/>
      <c r="AI475" s="142"/>
      <c r="AJ475" s="142"/>
      <c r="AK475" s="142"/>
      <c r="AL475" s="142"/>
      <c r="AM475" s="143"/>
    </row>
    <row r="476">
      <c r="A476" s="144"/>
      <c r="B476" s="142"/>
      <c r="C476" s="142"/>
      <c r="D476" s="142"/>
      <c r="E476" s="142"/>
      <c r="F476" s="142"/>
      <c r="G476" s="142"/>
      <c r="H476" s="142"/>
      <c r="I476" s="142"/>
      <c r="J476" s="142"/>
      <c r="K476" s="142"/>
      <c r="L476" s="142"/>
      <c r="M476" s="142"/>
      <c r="N476" s="142"/>
      <c r="O476" s="142"/>
      <c r="P476" s="142"/>
      <c r="Q476" s="142"/>
      <c r="R476" s="142"/>
      <c r="S476" s="142"/>
      <c r="T476" s="142"/>
      <c r="U476" s="142"/>
      <c r="V476" s="142"/>
      <c r="W476" s="142"/>
      <c r="X476" s="142"/>
      <c r="Y476" s="142"/>
      <c r="Z476" s="142"/>
      <c r="AA476" s="142"/>
      <c r="AB476" s="142"/>
      <c r="AC476" s="142"/>
      <c r="AD476" s="142"/>
      <c r="AE476" s="142"/>
      <c r="AF476" s="142"/>
      <c r="AG476" s="142"/>
      <c r="AH476" s="142"/>
      <c r="AI476" s="142"/>
      <c r="AJ476" s="142"/>
      <c r="AK476" s="142"/>
      <c r="AL476" s="142"/>
      <c r="AM476" s="143"/>
    </row>
    <row r="477">
      <c r="A477" s="144"/>
      <c r="B477" s="142"/>
      <c r="C477" s="142"/>
      <c r="D477" s="142"/>
      <c r="E477" s="142"/>
      <c r="F477" s="142"/>
      <c r="G477" s="142"/>
      <c r="H477" s="142"/>
      <c r="I477" s="142"/>
      <c r="J477" s="142"/>
      <c r="K477" s="142"/>
      <c r="L477" s="142"/>
      <c r="M477" s="142"/>
      <c r="N477" s="142"/>
      <c r="O477" s="142"/>
      <c r="P477" s="142"/>
      <c r="Q477" s="142"/>
      <c r="R477" s="142"/>
      <c r="S477" s="142"/>
      <c r="T477" s="142"/>
      <c r="U477" s="142"/>
      <c r="V477" s="142"/>
      <c r="W477" s="142"/>
      <c r="X477" s="142"/>
      <c r="Y477" s="142"/>
      <c r="Z477" s="142"/>
      <c r="AA477" s="142"/>
      <c r="AB477" s="142"/>
      <c r="AC477" s="142"/>
      <c r="AD477" s="142"/>
      <c r="AE477" s="142"/>
      <c r="AF477" s="142"/>
      <c r="AG477" s="142"/>
      <c r="AH477" s="142"/>
      <c r="AI477" s="142"/>
      <c r="AJ477" s="142"/>
      <c r="AK477" s="142"/>
      <c r="AL477" s="142"/>
      <c r="AM477" s="143"/>
    </row>
    <row r="478">
      <c r="A478" s="144"/>
      <c r="B478" s="142"/>
      <c r="C478" s="142"/>
      <c r="D478" s="142"/>
      <c r="E478" s="142"/>
      <c r="F478" s="142"/>
      <c r="G478" s="142"/>
      <c r="H478" s="142"/>
      <c r="I478" s="142"/>
      <c r="J478" s="142"/>
      <c r="K478" s="142"/>
      <c r="L478" s="142"/>
      <c r="M478" s="142"/>
      <c r="N478" s="142"/>
      <c r="O478" s="142"/>
      <c r="P478" s="142"/>
      <c r="Q478" s="142"/>
      <c r="R478" s="142"/>
      <c r="S478" s="142"/>
      <c r="T478" s="142"/>
      <c r="U478" s="142"/>
      <c r="V478" s="142"/>
      <c r="W478" s="142"/>
      <c r="X478" s="142"/>
      <c r="Y478" s="142"/>
      <c r="Z478" s="142"/>
      <c r="AA478" s="142"/>
      <c r="AB478" s="142"/>
      <c r="AC478" s="142"/>
      <c r="AD478" s="142"/>
      <c r="AE478" s="142"/>
      <c r="AF478" s="142"/>
      <c r="AG478" s="142"/>
      <c r="AH478" s="142"/>
      <c r="AI478" s="142"/>
      <c r="AJ478" s="142"/>
      <c r="AK478" s="142"/>
      <c r="AL478" s="142"/>
      <c r="AM478" s="143"/>
    </row>
    <row r="479">
      <c r="A479" s="144"/>
      <c r="B479" s="142"/>
      <c r="C479" s="142"/>
      <c r="D479" s="142"/>
      <c r="E479" s="142"/>
      <c r="F479" s="142"/>
      <c r="G479" s="142"/>
      <c r="H479" s="142"/>
      <c r="I479" s="142"/>
      <c r="J479" s="142"/>
      <c r="K479" s="142"/>
      <c r="L479" s="142"/>
      <c r="M479" s="142"/>
      <c r="N479" s="142"/>
      <c r="O479" s="142"/>
      <c r="P479" s="142"/>
      <c r="Q479" s="142"/>
      <c r="R479" s="142"/>
      <c r="S479" s="142"/>
      <c r="T479" s="142"/>
      <c r="U479" s="142"/>
      <c r="V479" s="142"/>
      <c r="W479" s="142"/>
      <c r="X479" s="142"/>
      <c r="Y479" s="142"/>
      <c r="Z479" s="142"/>
      <c r="AA479" s="142"/>
      <c r="AB479" s="142"/>
      <c r="AC479" s="142"/>
      <c r="AD479" s="142"/>
      <c r="AE479" s="142"/>
      <c r="AF479" s="142"/>
      <c r="AG479" s="142"/>
      <c r="AH479" s="142"/>
      <c r="AI479" s="142"/>
      <c r="AJ479" s="142"/>
      <c r="AK479" s="142"/>
      <c r="AL479" s="142"/>
      <c r="AM479" s="143"/>
    </row>
    <row r="480">
      <c r="A480" s="144"/>
      <c r="B480" s="142"/>
      <c r="C480" s="142"/>
      <c r="D480" s="142"/>
      <c r="E480" s="142"/>
      <c r="F480" s="142"/>
      <c r="G480" s="142"/>
      <c r="H480" s="142"/>
      <c r="I480" s="142"/>
      <c r="J480" s="142"/>
      <c r="K480" s="142"/>
      <c r="L480" s="142"/>
      <c r="M480" s="142"/>
      <c r="N480" s="142"/>
      <c r="O480" s="142"/>
      <c r="P480" s="142"/>
      <c r="Q480" s="142"/>
      <c r="R480" s="142"/>
      <c r="S480" s="142"/>
      <c r="T480" s="142"/>
      <c r="U480" s="142"/>
      <c r="V480" s="142"/>
      <c r="W480" s="142"/>
      <c r="X480" s="142"/>
      <c r="Y480" s="142"/>
      <c r="Z480" s="142"/>
      <c r="AA480" s="142"/>
      <c r="AB480" s="142"/>
      <c r="AC480" s="142"/>
      <c r="AD480" s="142"/>
      <c r="AE480" s="142"/>
      <c r="AF480" s="142"/>
      <c r="AG480" s="142"/>
      <c r="AH480" s="142"/>
      <c r="AI480" s="142"/>
      <c r="AJ480" s="142"/>
      <c r="AK480" s="142"/>
      <c r="AL480" s="142"/>
      <c r="AM480" s="143"/>
    </row>
    <row r="481">
      <c r="A481" s="144"/>
      <c r="B481" s="142"/>
      <c r="C481" s="142"/>
      <c r="D481" s="142"/>
      <c r="E481" s="142"/>
      <c r="F481" s="142"/>
      <c r="G481" s="142"/>
      <c r="H481" s="142"/>
      <c r="I481" s="142"/>
      <c r="J481" s="142"/>
      <c r="K481" s="142"/>
      <c r="L481" s="142"/>
      <c r="M481" s="142"/>
      <c r="N481" s="142"/>
      <c r="O481" s="142"/>
      <c r="P481" s="142"/>
      <c r="Q481" s="142"/>
      <c r="R481" s="142"/>
      <c r="S481" s="142"/>
      <c r="T481" s="142"/>
      <c r="U481" s="142"/>
      <c r="V481" s="142"/>
      <c r="W481" s="142"/>
      <c r="X481" s="142"/>
      <c r="Y481" s="142"/>
      <c r="Z481" s="142"/>
      <c r="AA481" s="142"/>
      <c r="AB481" s="142"/>
      <c r="AC481" s="142"/>
      <c r="AD481" s="142"/>
      <c r="AE481" s="142"/>
      <c r="AF481" s="142"/>
      <c r="AG481" s="142"/>
      <c r="AH481" s="142"/>
      <c r="AI481" s="142"/>
      <c r="AJ481" s="142"/>
      <c r="AK481" s="142"/>
      <c r="AL481" s="142"/>
      <c r="AM481" s="143"/>
    </row>
    <row r="482">
      <c r="A482" s="144"/>
      <c r="B482" s="142"/>
      <c r="C482" s="142"/>
      <c r="D482" s="142"/>
      <c r="E482" s="142"/>
      <c r="F482" s="142"/>
      <c r="G482" s="142"/>
      <c r="H482" s="142"/>
      <c r="I482" s="142"/>
      <c r="J482" s="142"/>
      <c r="K482" s="142"/>
      <c r="L482" s="142"/>
      <c r="M482" s="142"/>
      <c r="N482" s="142"/>
      <c r="O482" s="142"/>
      <c r="P482" s="142"/>
      <c r="Q482" s="142"/>
      <c r="R482" s="142"/>
      <c r="S482" s="142"/>
      <c r="T482" s="142"/>
      <c r="U482" s="142"/>
      <c r="V482" s="142"/>
      <c r="W482" s="142"/>
      <c r="X482" s="142"/>
      <c r="Y482" s="142"/>
      <c r="Z482" s="142"/>
      <c r="AA482" s="142"/>
      <c r="AB482" s="142"/>
      <c r="AC482" s="142"/>
      <c r="AD482" s="142"/>
      <c r="AE482" s="142"/>
      <c r="AF482" s="142"/>
      <c r="AG482" s="142"/>
      <c r="AH482" s="142"/>
      <c r="AI482" s="142"/>
      <c r="AJ482" s="142"/>
      <c r="AK482" s="142"/>
      <c r="AL482" s="142"/>
      <c r="AM482" s="143"/>
    </row>
    <row r="483">
      <c r="A483" s="144"/>
      <c r="B483" s="142"/>
      <c r="C483" s="142"/>
      <c r="D483" s="142"/>
      <c r="E483" s="142"/>
      <c r="F483" s="142"/>
      <c r="G483" s="142"/>
      <c r="H483" s="142"/>
      <c r="I483" s="142"/>
      <c r="J483" s="142"/>
      <c r="K483" s="142"/>
      <c r="L483" s="142"/>
      <c r="M483" s="142"/>
      <c r="N483" s="142"/>
      <c r="O483" s="142"/>
      <c r="P483" s="142"/>
      <c r="Q483" s="142"/>
      <c r="R483" s="142"/>
      <c r="S483" s="142"/>
      <c r="T483" s="142"/>
      <c r="U483" s="142"/>
      <c r="V483" s="142"/>
      <c r="W483" s="142"/>
      <c r="X483" s="142"/>
      <c r="Y483" s="142"/>
      <c r="Z483" s="142"/>
      <c r="AA483" s="142"/>
      <c r="AB483" s="142"/>
      <c r="AC483" s="142"/>
      <c r="AD483" s="142"/>
      <c r="AE483" s="142"/>
      <c r="AF483" s="142"/>
      <c r="AG483" s="142"/>
      <c r="AH483" s="142"/>
      <c r="AI483" s="142"/>
      <c r="AJ483" s="142"/>
      <c r="AK483" s="142"/>
      <c r="AL483" s="142"/>
      <c r="AM483" s="143"/>
    </row>
    <row r="484">
      <c r="A484" s="144"/>
      <c r="B484" s="142"/>
      <c r="C484" s="142"/>
      <c r="D484" s="142"/>
      <c r="E484" s="142"/>
      <c r="F484" s="142"/>
      <c r="G484" s="142"/>
      <c r="H484" s="142"/>
      <c r="I484" s="142"/>
      <c r="J484" s="142"/>
      <c r="K484" s="142"/>
      <c r="L484" s="142"/>
      <c r="M484" s="142"/>
      <c r="N484" s="142"/>
      <c r="O484" s="142"/>
      <c r="P484" s="142"/>
      <c r="Q484" s="142"/>
      <c r="R484" s="142"/>
      <c r="S484" s="142"/>
      <c r="T484" s="142"/>
      <c r="U484" s="142"/>
      <c r="V484" s="142"/>
      <c r="W484" s="142"/>
      <c r="X484" s="142"/>
      <c r="Y484" s="142"/>
      <c r="Z484" s="142"/>
      <c r="AA484" s="142"/>
      <c r="AB484" s="142"/>
      <c r="AC484" s="142"/>
      <c r="AD484" s="142"/>
      <c r="AE484" s="142"/>
      <c r="AF484" s="142"/>
      <c r="AG484" s="142"/>
      <c r="AH484" s="142"/>
      <c r="AI484" s="142"/>
      <c r="AJ484" s="142"/>
      <c r="AK484" s="142"/>
      <c r="AL484" s="142"/>
      <c r="AM484" s="143"/>
    </row>
    <row r="485">
      <c r="A485" s="144"/>
      <c r="B485" s="142"/>
      <c r="C485" s="142"/>
      <c r="D485" s="142"/>
      <c r="E485" s="142"/>
      <c r="F485" s="142"/>
      <c r="G485" s="142"/>
      <c r="H485" s="142"/>
      <c r="I485" s="142"/>
      <c r="J485" s="142"/>
      <c r="K485" s="142"/>
      <c r="L485" s="142"/>
      <c r="M485" s="142"/>
      <c r="N485" s="142"/>
      <c r="O485" s="142"/>
      <c r="P485" s="142"/>
      <c r="Q485" s="142"/>
      <c r="R485" s="142"/>
      <c r="S485" s="142"/>
      <c r="T485" s="142"/>
      <c r="U485" s="142"/>
      <c r="V485" s="142"/>
      <c r="W485" s="142"/>
      <c r="X485" s="142"/>
      <c r="Y485" s="142"/>
      <c r="Z485" s="142"/>
      <c r="AA485" s="142"/>
      <c r="AB485" s="142"/>
      <c r="AC485" s="142"/>
      <c r="AD485" s="142"/>
      <c r="AE485" s="142"/>
      <c r="AF485" s="142"/>
      <c r="AG485" s="142"/>
      <c r="AH485" s="142"/>
      <c r="AI485" s="142"/>
      <c r="AJ485" s="142"/>
      <c r="AK485" s="142"/>
      <c r="AL485" s="142"/>
      <c r="AM485" s="143"/>
    </row>
    <row r="486">
      <c r="A486" s="144"/>
      <c r="B486" s="142"/>
      <c r="C486" s="142"/>
      <c r="D486" s="142"/>
      <c r="E486" s="142"/>
      <c r="F486" s="142"/>
      <c r="G486" s="142"/>
      <c r="H486" s="142"/>
      <c r="I486" s="142"/>
      <c r="J486" s="142"/>
      <c r="K486" s="142"/>
      <c r="L486" s="142"/>
      <c r="M486" s="142"/>
      <c r="N486" s="142"/>
      <c r="O486" s="142"/>
      <c r="P486" s="142"/>
      <c r="Q486" s="142"/>
      <c r="R486" s="142"/>
      <c r="S486" s="142"/>
      <c r="T486" s="142"/>
      <c r="U486" s="142"/>
      <c r="V486" s="142"/>
      <c r="W486" s="142"/>
      <c r="X486" s="142"/>
      <c r="Y486" s="142"/>
      <c r="Z486" s="142"/>
      <c r="AA486" s="142"/>
      <c r="AB486" s="142"/>
      <c r="AC486" s="142"/>
      <c r="AD486" s="142"/>
      <c r="AE486" s="142"/>
      <c r="AF486" s="142"/>
      <c r="AG486" s="142"/>
      <c r="AH486" s="142"/>
      <c r="AI486" s="142"/>
      <c r="AJ486" s="142"/>
      <c r="AK486" s="142"/>
      <c r="AL486" s="142"/>
      <c r="AM486" s="143"/>
    </row>
    <row r="487">
      <c r="A487" s="144"/>
      <c r="B487" s="142"/>
      <c r="C487" s="142"/>
      <c r="D487" s="142"/>
      <c r="E487" s="142"/>
      <c r="F487" s="142"/>
      <c r="G487" s="142"/>
      <c r="H487" s="142"/>
      <c r="I487" s="142"/>
      <c r="J487" s="142"/>
      <c r="K487" s="142"/>
      <c r="L487" s="142"/>
      <c r="M487" s="142"/>
      <c r="N487" s="142"/>
      <c r="O487" s="142"/>
      <c r="P487" s="142"/>
      <c r="Q487" s="142"/>
      <c r="R487" s="142"/>
      <c r="S487" s="142"/>
      <c r="T487" s="142"/>
      <c r="U487" s="142"/>
      <c r="V487" s="142"/>
      <c r="W487" s="142"/>
      <c r="X487" s="142"/>
      <c r="Y487" s="142"/>
      <c r="Z487" s="142"/>
      <c r="AA487" s="142"/>
      <c r="AB487" s="142"/>
      <c r="AC487" s="142"/>
      <c r="AD487" s="142"/>
      <c r="AE487" s="142"/>
      <c r="AF487" s="142"/>
      <c r="AG487" s="142"/>
      <c r="AH487" s="142"/>
      <c r="AI487" s="142"/>
      <c r="AJ487" s="142"/>
      <c r="AK487" s="142"/>
      <c r="AL487" s="142"/>
      <c r="AM487" s="143"/>
    </row>
    <row r="488">
      <c r="A488" s="144"/>
      <c r="B488" s="142"/>
      <c r="C488" s="142"/>
      <c r="D488" s="142"/>
      <c r="E488" s="142"/>
      <c r="F488" s="142"/>
      <c r="G488" s="142"/>
      <c r="H488" s="142"/>
      <c r="I488" s="142"/>
      <c r="J488" s="142"/>
      <c r="K488" s="142"/>
      <c r="L488" s="142"/>
      <c r="M488" s="142"/>
      <c r="N488" s="142"/>
      <c r="O488" s="142"/>
      <c r="P488" s="142"/>
      <c r="Q488" s="142"/>
      <c r="R488" s="142"/>
      <c r="S488" s="142"/>
      <c r="T488" s="142"/>
      <c r="U488" s="142"/>
      <c r="V488" s="142"/>
      <c r="W488" s="142"/>
      <c r="X488" s="142"/>
      <c r="Y488" s="142"/>
      <c r="Z488" s="142"/>
      <c r="AA488" s="142"/>
      <c r="AB488" s="142"/>
      <c r="AC488" s="142"/>
      <c r="AD488" s="142"/>
      <c r="AE488" s="142"/>
      <c r="AF488" s="142"/>
      <c r="AG488" s="142"/>
      <c r="AH488" s="142"/>
      <c r="AI488" s="142"/>
      <c r="AJ488" s="142"/>
      <c r="AK488" s="142"/>
      <c r="AL488" s="142"/>
      <c r="AM488" s="143"/>
    </row>
    <row r="489">
      <c r="A489" s="144"/>
      <c r="B489" s="142"/>
      <c r="C489" s="142"/>
      <c r="D489" s="142"/>
      <c r="E489" s="142"/>
      <c r="F489" s="142"/>
      <c r="G489" s="142"/>
      <c r="H489" s="142"/>
      <c r="I489" s="142"/>
      <c r="J489" s="142"/>
      <c r="K489" s="142"/>
      <c r="L489" s="142"/>
      <c r="M489" s="142"/>
      <c r="N489" s="142"/>
      <c r="O489" s="142"/>
      <c r="P489" s="142"/>
      <c r="Q489" s="142"/>
      <c r="R489" s="142"/>
      <c r="S489" s="142"/>
      <c r="T489" s="142"/>
      <c r="U489" s="142"/>
      <c r="V489" s="142"/>
      <c r="W489" s="142"/>
      <c r="X489" s="142"/>
      <c r="Y489" s="142"/>
      <c r="Z489" s="142"/>
      <c r="AA489" s="142"/>
      <c r="AB489" s="142"/>
      <c r="AC489" s="142"/>
      <c r="AD489" s="142"/>
      <c r="AE489" s="142"/>
      <c r="AF489" s="142"/>
      <c r="AG489" s="142"/>
      <c r="AH489" s="142"/>
      <c r="AI489" s="142"/>
      <c r="AJ489" s="142"/>
      <c r="AK489" s="142"/>
      <c r="AL489" s="142"/>
      <c r="AM489" s="143"/>
    </row>
    <row r="490">
      <c r="A490" s="144"/>
      <c r="B490" s="142"/>
      <c r="C490" s="142"/>
      <c r="D490" s="142"/>
      <c r="E490" s="142"/>
      <c r="F490" s="142"/>
      <c r="G490" s="142"/>
      <c r="H490" s="142"/>
      <c r="I490" s="142"/>
      <c r="J490" s="142"/>
      <c r="K490" s="142"/>
      <c r="L490" s="142"/>
      <c r="M490" s="142"/>
      <c r="N490" s="142"/>
      <c r="O490" s="142"/>
      <c r="P490" s="142"/>
      <c r="Q490" s="142"/>
      <c r="R490" s="142"/>
      <c r="S490" s="142"/>
      <c r="T490" s="142"/>
      <c r="U490" s="142"/>
      <c r="V490" s="142"/>
      <c r="W490" s="142"/>
      <c r="X490" s="142"/>
      <c r="Y490" s="142"/>
      <c r="Z490" s="142"/>
      <c r="AA490" s="142"/>
      <c r="AB490" s="142"/>
      <c r="AC490" s="142"/>
      <c r="AD490" s="142"/>
      <c r="AE490" s="142"/>
      <c r="AF490" s="142"/>
      <c r="AG490" s="142"/>
      <c r="AH490" s="142"/>
      <c r="AI490" s="142"/>
      <c r="AJ490" s="142"/>
      <c r="AK490" s="142"/>
      <c r="AL490" s="142"/>
      <c r="AM490" s="143"/>
    </row>
    <row r="491">
      <c r="A491" s="144"/>
      <c r="B491" s="142"/>
      <c r="C491" s="142"/>
      <c r="D491" s="142"/>
      <c r="E491" s="142"/>
      <c r="F491" s="142"/>
      <c r="G491" s="142"/>
      <c r="H491" s="142"/>
      <c r="I491" s="142"/>
      <c r="J491" s="142"/>
      <c r="K491" s="142"/>
      <c r="L491" s="142"/>
      <c r="M491" s="142"/>
      <c r="N491" s="142"/>
      <c r="O491" s="142"/>
      <c r="P491" s="142"/>
      <c r="Q491" s="142"/>
      <c r="R491" s="142"/>
      <c r="S491" s="142"/>
      <c r="T491" s="142"/>
      <c r="U491" s="142"/>
      <c r="V491" s="142"/>
      <c r="W491" s="142"/>
      <c r="X491" s="142"/>
      <c r="Y491" s="142"/>
      <c r="Z491" s="142"/>
      <c r="AA491" s="142"/>
      <c r="AB491" s="142"/>
      <c r="AC491" s="142"/>
      <c r="AD491" s="142"/>
      <c r="AE491" s="142"/>
      <c r="AF491" s="142"/>
      <c r="AG491" s="142"/>
      <c r="AH491" s="142"/>
      <c r="AI491" s="142"/>
      <c r="AJ491" s="142"/>
      <c r="AK491" s="142"/>
      <c r="AL491" s="142"/>
      <c r="AM491" s="143"/>
    </row>
    <row r="492">
      <c r="A492" s="144"/>
      <c r="B492" s="142"/>
      <c r="C492" s="142"/>
      <c r="D492" s="142"/>
      <c r="E492" s="142"/>
      <c r="F492" s="142"/>
      <c r="G492" s="142"/>
      <c r="H492" s="142"/>
      <c r="I492" s="142"/>
      <c r="J492" s="142"/>
      <c r="K492" s="142"/>
      <c r="L492" s="142"/>
      <c r="M492" s="142"/>
      <c r="N492" s="142"/>
      <c r="O492" s="142"/>
      <c r="P492" s="142"/>
      <c r="Q492" s="142"/>
      <c r="R492" s="142"/>
      <c r="S492" s="142"/>
      <c r="T492" s="142"/>
      <c r="U492" s="142"/>
      <c r="V492" s="142"/>
      <c r="W492" s="142"/>
      <c r="X492" s="142"/>
      <c r="Y492" s="142"/>
      <c r="Z492" s="142"/>
      <c r="AA492" s="142"/>
      <c r="AB492" s="142"/>
      <c r="AC492" s="142"/>
      <c r="AD492" s="142"/>
      <c r="AE492" s="142"/>
      <c r="AF492" s="142"/>
      <c r="AG492" s="142"/>
      <c r="AH492" s="142"/>
      <c r="AI492" s="142"/>
      <c r="AJ492" s="142"/>
      <c r="AK492" s="142"/>
      <c r="AL492" s="142"/>
      <c r="AM492" s="143"/>
    </row>
    <row r="493">
      <c r="A493" s="144"/>
      <c r="B493" s="142"/>
      <c r="C493" s="142"/>
      <c r="D493" s="142"/>
      <c r="E493" s="142"/>
      <c r="F493" s="142"/>
      <c r="G493" s="142"/>
      <c r="H493" s="142"/>
      <c r="I493" s="142"/>
      <c r="J493" s="142"/>
      <c r="K493" s="142"/>
      <c r="L493" s="142"/>
      <c r="M493" s="142"/>
      <c r="N493" s="142"/>
      <c r="O493" s="142"/>
      <c r="P493" s="142"/>
      <c r="Q493" s="142"/>
      <c r="R493" s="142"/>
      <c r="S493" s="142"/>
      <c r="T493" s="142"/>
      <c r="U493" s="142"/>
      <c r="V493" s="142"/>
      <c r="W493" s="142"/>
      <c r="X493" s="142"/>
      <c r="Y493" s="142"/>
      <c r="Z493" s="142"/>
      <c r="AA493" s="142"/>
      <c r="AB493" s="142"/>
      <c r="AC493" s="142"/>
      <c r="AD493" s="142"/>
      <c r="AE493" s="142"/>
      <c r="AF493" s="142"/>
      <c r="AG493" s="142"/>
      <c r="AH493" s="142"/>
      <c r="AI493" s="142"/>
      <c r="AJ493" s="142"/>
      <c r="AK493" s="142"/>
      <c r="AL493" s="142"/>
      <c r="AM493" s="143"/>
    </row>
    <row r="494">
      <c r="A494" s="144"/>
      <c r="B494" s="142"/>
      <c r="C494" s="142"/>
      <c r="D494" s="142"/>
      <c r="E494" s="142"/>
      <c r="F494" s="142"/>
      <c r="G494" s="142"/>
      <c r="H494" s="142"/>
      <c r="I494" s="142"/>
      <c r="J494" s="142"/>
      <c r="K494" s="142"/>
      <c r="L494" s="142"/>
      <c r="M494" s="142"/>
      <c r="N494" s="142"/>
      <c r="O494" s="142"/>
      <c r="P494" s="142"/>
      <c r="Q494" s="142"/>
      <c r="R494" s="142"/>
      <c r="S494" s="142"/>
      <c r="T494" s="142"/>
      <c r="U494" s="142"/>
      <c r="V494" s="142"/>
      <c r="W494" s="142"/>
      <c r="X494" s="142"/>
      <c r="Y494" s="142"/>
      <c r="Z494" s="142"/>
      <c r="AA494" s="142"/>
      <c r="AB494" s="142"/>
      <c r="AC494" s="142"/>
      <c r="AD494" s="142"/>
      <c r="AE494" s="142"/>
      <c r="AF494" s="142"/>
      <c r="AG494" s="142"/>
      <c r="AH494" s="142"/>
      <c r="AI494" s="142"/>
      <c r="AJ494" s="142"/>
      <c r="AK494" s="142"/>
      <c r="AL494" s="142"/>
      <c r="AM494" s="143"/>
    </row>
    <row r="495">
      <c r="A495" s="144"/>
      <c r="B495" s="142"/>
      <c r="C495" s="142"/>
      <c r="D495" s="142"/>
      <c r="E495" s="142"/>
      <c r="F495" s="142"/>
      <c r="G495" s="142"/>
      <c r="H495" s="142"/>
      <c r="I495" s="142"/>
      <c r="J495" s="142"/>
      <c r="K495" s="142"/>
      <c r="L495" s="142"/>
      <c r="M495" s="142"/>
      <c r="N495" s="142"/>
      <c r="O495" s="142"/>
      <c r="P495" s="142"/>
      <c r="Q495" s="142"/>
      <c r="R495" s="142"/>
      <c r="S495" s="142"/>
      <c r="T495" s="142"/>
      <c r="U495" s="142"/>
      <c r="V495" s="142"/>
      <c r="W495" s="142"/>
      <c r="X495" s="142"/>
      <c r="Y495" s="142"/>
      <c r="Z495" s="142"/>
      <c r="AA495" s="142"/>
      <c r="AB495" s="142"/>
      <c r="AC495" s="142"/>
      <c r="AD495" s="142"/>
      <c r="AE495" s="142"/>
      <c r="AF495" s="142"/>
      <c r="AG495" s="142"/>
      <c r="AH495" s="142"/>
      <c r="AI495" s="142"/>
      <c r="AJ495" s="142"/>
      <c r="AK495" s="142"/>
      <c r="AL495" s="142"/>
      <c r="AM495" s="143"/>
    </row>
    <row r="496">
      <c r="A496" s="144"/>
      <c r="B496" s="142"/>
      <c r="C496" s="142"/>
      <c r="D496" s="142"/>
      <c r="E496" s="142"/>
      <c r="F496" s="142"/>
      <c r="G496" s="142"/>
      <c r="H496" s="142"/>
      <c r="I496" s="142"/>
      <c r="J496" s="142"/>
      <c r="K496" s="142"/>
      <c r="L496" s="142"/>
      <c r="M496" s="142"/>
      <c r="N496" s="142"/>
      <c r="O496" s="142"/>
      <c r="P496" s="142"/>
      <c r="Q496" s="142"/>
      <c r="R496" s="142"/>
      <c r="S496" s="142"/>
      <c r="T496" s="142"/>
      <c r="U496" s="142"/>
      <c r="V496" s="142"/>
      <c r="W496" s="142"/>
      <c r="X496" s="142"/>
      <c r="Y496" s="142"/>
      <c r="Z496" s="142"/>
      <c r="AA496" s="142"/>
      <c r="AB496" s="142"/>
      <c r="AC496" s="142"/>
      <c r="AD496" s="142"/>
      <c r="AE496" s="142"/>
      <c r="AF496" s="142"/>
      <c r="AG496" s="142"/>
      <c r="AH496" s="142"/>
      <c r="AI496" s="142"/>
      <c r="AJ496" s="142"/>
      <c r="AK496" s="142"/>
      <c r="AL496" s="142"/>
      <c r="AM496" s="143"/>
    </row>
    <row r="497">
      <c r="A497" s="144"/>
      <c r="B497" s="142"/>
      <c r="C497" s="142"/>
      <c r="D497" s="142"/>
      <c r="E497" s="142"/>
      <c r="F497" s="142"/>
      <c r="G497" s="142"/>
      <c r="H497" s="142"/>
      <c r="I497" s="142"/>
      <c r="J497" s="142"/>
      <c r="K497" s="142"/>
      <c r="L497" s="142"/>
      <c r="M497" s="142"/>
      <c r="N497" s="142"/>
      <c r="O497" s="142"/>
      <c r="P497" s="142"/>
      <c r="Q497" s="142"/>
      <c r="R497" s="142"/>
      <c r="S497" s="142"/>
      <c r="T497" s="142"/>
      <c r="U497" s="142"/>
      <c r="V497" s="142"/>
      <c r="W497" s="142"/>
      <c r="X497" s="142"/>
      <c r="Y497" s="142"/>
      <c r="Z497" s="142"/>
      <c r="AA497" s="142"/>
      <c r="AB497" s="142"/>
      <c r="AC497" s="142"/>
      <c r="AD497" s="142"/>
      <c r="AE497" s="142"/>
      <c r="AF497" s="142"/>
      <c r="AG497" s="142"/>
      <c r="AH497" s="142"/>
      <c r="AI497" s="142"/>
      <c r="AJ497" s="142"/>
      <c r="AK497" s="142"/>
      <c r="AL497" s="142"/>
      <c r="AM497" s="143"/>
    </row>
    <row r="498">
      <c r="A498" s="144"/>
      <c r="B498" s="142"/>
      <c r="C498" s="142"/>
      <c r="D498" s="142"/>
      <c r="E498" s="142"/>
      <c r="F498" s="142"/>
      <c r="G498" s="142"/>
      <c r="H498" s="142"/>
      <c r="I498" s="142"/>
      <c r="J498" s="142"/>
      <c r="K498" s="142"/>
      <c r="L498" s="142"/>
      <c r="M498" s="142"/>
      <c r="N498" s="142"/>
      <c r="O498" s="142"/>
      <c r="P498" s="142"/>
      <c r="Q498" s="142"/>
      <c r="R498" s="142"/>
      <c r="S498" s="142"/>
      <c r="T498" s="142"/>
      <c r="U498" s="142"/>
      <c r="V498" s="142"/>
      <c r="W498" s="142"/>
      <c r="X498" s="142"/>
      <c r="Y498" s="142"/>
      <c r="Z498" s="142"/>
      <c r="AA498" s="142"/>
      <c r="AB498" s="142"/>
      <c r="AC498" s="142"/>
      <c r="AD498" s="142"/>
      <c r="AE498" s="142"/>
      <c r="AF498" s="142"/>
      <c r="AG498" s="142"/>
      <c r="AH498" s="142"/>
      <c r="AI498" s="142"/>
      <c r="AJ498" s="142"/>
      <c r="AK498" s="142"/>
      <c r="AL498" s="142"/>
      <c r="AM498" s="143"/>
    </row>
    <row r="499">
      <c r="A499" s="144"/>
      <c r="B499" s="142"/>
      <c r="C499" s="142"/>
      <c r="D499" s="142"/>
      <c r="E499" s="142"/>
      <c r="F499" s="142"/>
      <c r="G499" s="142"/>
      <c r="H499" s="142"/>
      <c r="I499" s="142"/>
      <c r="J499" s="142"/>
      <c r="K499" s="142"/>
      <c r="L499" s="142"/>
      <c r="M499" s="142"/>
      <c r="N499" s="142"/>
      <c r="O499" s="142"/>
      <c r="P499" s="142"/>
      <c r="Q499" s="142"/>
      <c r="R499" s="142"/>
      <c r="S499" s="142"/>
      <c r="T499" s="142"/>
      <c r="U499" s="142"/>
      <c r="V499" s="142"/>
      <c r="W499" s="142"/>
      <c r="X499" s="142"/>
      <c r="Y499" s="142"/>
      <c r="Z499" s="142"/>
      <c r="AA499" s="142"/>
      <c r="AB499" s="142"/>
      <c r="AC499" s="142"/>
      <c r="AD499" s="142"/>
      <c r="AE499" s="142"/>
      <c r="AF499" s="142"/>
      <c r="AG499" s="142"/>
      <c r="AH499" s="142"/>
      <c r="AI499" s="142"/>
      <c r="AJ499" s="142"/>
      <c r="AK499" s="142"/>
      <c r="AL499" s="142"/>
      <c r="AM499" s="143"/>
    </row>
    <row r="500">
      <c r="A500" s="144"/>
      <c r="B500" s="142"/>
      <c r="C500" s="142"/>
      <c r="D500" s="142"/>
      <c r="E500" s="142"/>
      <c r="F500" s="142"/>
      <c r="G500" s="142"/>
      <c r="H500" s="142"/>
      <c r="I500" s="142"/>
      <c r="J500" s="142"/>
      <c r="K500" s="142"/>
      <c r="L500" s="142"/>
      <c r="M500" s="142"/>
      <c r="N500" s="142"/>
      <c r="O500" s="142"/>
      <c r="P500" s="142"/>
      <c r="Q500" s="142"/>
      <c r="R500" s="142"/>
      <c r="S500" s="142"/>
      <c r="T500" s="142"/>
      <c r="U500" s="142"/>
      <c r="V500" s="142"/>
      <c r="W500" s="142"/>
      <c r="X500" s="142"/>
      <c r="Y500" s="142"/>
      <c r="Z500" s="142"/>
      <c r="AA500" s="142"/>
      <c r="AB500" s="142"/>
      <c r="AC500" s="142"/>
      <c r="AD500" s="142"/>
      <c r="AE500" s="142"/>
      <c r="AF500" s="142"/>
      <c r="AG500" s="142"/>
      <c r="AH500" s="142"/>
      <c r="AI500" s="142"/>
      <c r="AJ500" s="142"/>
      <c r="AK500" s="142"/>
      <c r="AL500" s="142"/>
      <c r="AM500" s="143"/>
    </row>
    <row r="501">
      <c r="A501" s="144"/>
      <c r="B501" s="142"/>
      <c r="C501" s="142"/>
      <c r="D501" s="142"/>
      <c r="E501" s="142"/>
      <c r="F501" s="142"/>
      <c r="G501" s="142"/>
      <c r="H501" s="142"/>
      <c r="I501" s="142"/>
      <c r="J501" s="142"/>
      <c r="K501" s="142"/>
      <c r="L501" s="142"/>
      <c r="M501" s="142"/>
      <c r="N501" s="142"/>
      <c r="O501" s="142"/>
      <c r="P501" s="142"/>
      <c r="Q501" s="142"/>
      <c r="R501" s="142"/>
      <c r="S501" s="142"/>
      <c r="T501" s="142"/>
      <c r="U501" s="142"/>
      <c r="V501" s="142"/>
      <c r="W501" s="142"/>
      <c r="X501" s="142"/>
      <c r="Y501" s="142"/>
      <c r="Z501" s="142"/>
      <c r="AA501" s="142"/>
      <c r="AB501" s="142"/>
      <c r="AC501" s="142"/>
      <c r="AD501" s="142"/>
      <c r="AE501" s="142"/>
      <c r="AF501" s="142"/>
      <c r="AG501" s="142"/>
      <c r="AH501" s="142"/>
      <c r="AI501" s="142"/>
      <c r="AJ501" s="142"/>
      <c r="AK501" s="142"/>
      <c r="AL501" s="142"/>
      <c r="AM501" s="143"/>
    </row>
    <row r="502">
      <c r="A502" s="144"/>
      <c r="B502" s="142"/>
      <c r="C502" s="142"/>
      <c r="D502" s="142"/>
      <c r="E502" s="142"/>
      <c r="F502" s="142"/>
      <c r="G502" s="142"/>
      <c r="H502" s="142"/>
      <c r="I502" s="142"/>
      <c r="J502" s="142"/>
      <c r="K502" s="142"/>
      <c r="L502" s="142"/>
      <c r="M502" s="142"/>
      <c r="N502" s="142"/>
      <c r="O502" s="142"/>
      <c r="P502" s="142"/>
      <c r="Q502" s="142"/>
      <c r="R502" s="142"/>
      <c r="S502" s="142"/>
      <c r="T502" s="142"/>
      <c r="U502" s="142"/>
      <c r="V502" s="142"/>
      <c r="W502" s="142"/>
      <c r="X502" s="142"/>
      <c r="Y502" s="142"/>
      <c r="Z502" s="142"/>
      <c r="AA502" s="142"/>
      <c r="AB502" s="142"/>
      <c r="AC502" s="142"/>
      <c r="AD502" s="142"/>
      <c r="AE502" s="142"/>
      <c r="AF502" s="142"/>
      <c r="AG502" s="142"/>
      <c r="AH502" s="142"/>
      <c r="AI502" s="142"/>
      <c r="AJ502" s="142"/>
      <c r="AK502" s="142"/>
      <c r="AL502" s="142"/>
      <c r="AM502" s="143"/>
    </row>
    <row r="503">
      <c r="A503" s="144"/>
      <c r="B503" s="142"/>
      <c r="C503" s="142"/>
      <c r="D503" s="142"/>
      <c r="E503" s="142"/>
      <c r="F503" s="142"/>
      <c r="G503" s="142"/>
      <c r="H503" s="142"/>
      <c r="I503" s="142"/>
      <c r="J503" s="142"/>
      <c r="K503" s="142"/>
      <c r="L503" s="142"/>
      <c r="M503" s="142"/>
      <c r="N503" s="142"/>
      <c r="O503" s="142"/>
      <c r="P503" s="142"/>
      <c r="Q503" s="142"/>
      <c r="R503" s="142"/>
      <c r="S503" s="142"/>
      <c r="T503" s="142"/>
      <c r="U503" s="142"/>
      <c r="V503" s="142"/>
      <c r="W503" s="142"/>
      <c r="X503" s="142"/>
      <c r="Y503" s="142"/>
      <c r="Z503" s="142"/>
      <c r="AA503" s="142"/>
      <c r="AB503" s="142"/>
      <c r="AC503" s="142"/>
      <c r="AD503" s="142"/>
      <c r="AE503" s="142"/>
      <c r="AF503" s="142"/>
      <c r="AG503" s="142"/>
      <c r="AH503" s="142"/>
      <c r="AI503" s="142"/>
      <c r="AJ503" s="142"/>
      <c r="AK503" s="142"/>
      <c r="AL503" s="142"/>
      <c r="AM503" s="143"/>
    </row>
    <row r="504">
      <c r="A504" s="144"/>
      <c r="B504" s="142"/>
      <c r="C504" s="142"/>
      <c r="D504" s="142"/>
      <c r="E504" s="142"/>
      <c r="F504" s="142"/>
      <c r="G504" s="142"/>
      <c r="H504" s="142"/>
      <c r="I504" s="142"/>
      <c r="J504" s="142"/>
      <c r="K504" s="142"/>
      <c r="L504" s="142"/>
      <c r="M504" s="142"/>
      <c r="N504" s="142"/>
      <c r="O504" s="142"/>
      <c r="P504" s="142"/>
      <c r="Q504" s="142"/>
      <c r="R504" s="142"/>
      <c r="S504" s="142"/>
      <c r="T504" s="142"/>
      <c r="U504" s="142"/>
      <c r="V504" s="142"/>
      <c r="W504" s="142"/>
      <c r="X504" s="142"/>
      <c r="Y504" s="142"/>
      <c r="Z504" s="142"/>
      <c r="AA504" s="142"/>
      <c r="AB504" s="142"/>
      <c r="AC504" s="142"/>
      <c r="AD504" s="142"/>
      <c r="AE504" s="142"/>
      <c r="AF504" s="142"/>
      <c r="AG504" s="142"/>
      <c r="AH504" s="142"/>
      <c r="AI504" s="142"/>
      <c r="AJ504" s="142"/>
      <c r="AK504" s="142"/>
      <c r="AL504" s="142"/>
      <c r="AM504" s="143"/>
    </row>
    <row r="505">
      <c r="A505" s="144"/>
      <c r="B505" s="142"/>
      <c r="C505" s="142"/>
      <c r="D505" s="142"/>
      <c r="E505" s="142"/>
      <c r="F505" s="142"/>
      <c r="G505" s="142"/>
      <c r="H505" s="142"/>
      <c r="I505" s="142"/>
      <c r="J505" s="142"/>
      <c r="K505" s="142"/>
      <c r="L505" s="142"/>
      <c r="M505" s="142"/>
      <c r="N505" s="142"/>
      <c r="O505" s="142"/>
      <c r="P505" s="142"/>
      <c r="Q505" s="142"/>
      <c r="R505" s="142"/>
      <c r="S505" s="142"/>
      <c r="T505" s="142"/>
      <c r="U505" s="142"/>
      <c r="V505" s="142"/>
      <c r="W505" s="142"/>
      <c r="X505" s="142"/>
      <c r="Y505" s="142"/>
      <c r="Z505" s="142"/>
      <c r="AA505" s="142"/>
      <c r="AB505" s="142"/>
      <c r="AC505" s="142"/>
      <c r="AD505" s="142"/>
      <c r="AE505" s="142"/>
      <c r="AF505" s="142"/>
      <c r="AG505" s="142"/>
      <c r="AH505" s="142"/>
      <c r="AI505" s="142"/>
      <c r="AJ505" s="142"/>
      <c r="AK505" s="142"/>
      <c r="AL505" s="142"/>
      <c r="AM505" s="143"/>
    </row>
    <row r="506">
      <c r="A506" s="144"/>
      <c r="B506" s="142"/>
      <c r="C506" s="142"/>
      <c r="D506" s="142"/>
      <c r="E506" s="142"/>
      <c r="F506" s="142"/>
      <c r="G506" s="142"/>
      <c r="H506" s="142"/>
      <c r="I506" s="142"/>
      <c r="J506" s="142"/>
      <c r="K506" s="142"/>
      <c r="L506" s="142"/>
      <c r="M506" s="142"/>
      <c r="N506" s="142"/>
      <c r="O506" s="142"/>
      <c r="P506" s="142"/>
      <c r="Q506" s="142"/>
      <c r="R506" s="142"/>
      <c r="S506" s="142"/>
      <c r="T506" s="142"/>
      <c r="U506" s="142"/>
      <c r="V506" s="142"/>
      <c r="W506" s="142"/>
      <c r="X506" s="142"/>
      <c r="Y506" s="142"/>
      <c r="Z506" s="142"/>
      <c r="AA506" s="142"/>
      <c r="AB506" s="142"/>
      <c r="AC506" s="142"/>
      <c r="AD506" s="142"/>
      <c r="AE506" s="142"/>
      <c r="AF506" s="142"/>
      <c r="AG506" s="142"/>
      <c r="AH506" s="142"/>
      <c r="AI506" s="142"/>
      <c r="AJ506" s="142"/>
      <c r="AK506" s="142"/>
      <c r="AL506" s="142"/>
      <c r="AM506" s="143"/>
    </row>
    <row r="507">
      <c r="A507" s="144"/>
      <c r="B507" s="142"/>
      <c r="C507" s="142"/>
      <c r="D507" s="142"/>
      <c r="E507" s="142"/>
      <c r="F507" s="142"/>
      <c r="G507" s="142"/>
      <c r="H507" s="142"/>
      <c r="I507" s="142"/>
      <c r="J507" s="142"/>
      <c r="K507" s="142"/>
      <c r="L507" s="142"/>
      <c r="M507" s="142"/>
      <c r="N507" s="142"/>
      <c r="O507" s="142"/>
      <c r="P507" s="142"/>
      <c r="Q507" s="142"/>
      <c r="R507" s="142"/>
      <c r="S507" s="142"/>
      <c r="T507" s="142"/>
      <c r="U507" s="142"/>
      <c r="V507" s="142"/>
      <c r="W507" s="142"/>
      <c r="X507" s="142"/>
      <c r="Y507" s="142"/>
      <c r="Z507" s="142"/>
      <c r="AA507" s="142"/>
      <c r="AB507" s="142"/>
      <c r="AC507" s="142"/>
      <c r="AD507" s="142"/>
      <c r="AE507" s="142"/>
      <c r="AF507" s="142"/>
      <c r="AG507" s="142"/>
      <c r="AH507" s="142"/>
      <c r="AI507" s="142"/>
      <c r="AJ507" s="142"/>
      <c r="AK507" s="142"/>
      <c r="AL507" s="142"/>
      <c r="AM507" s="143"/>
    </row>
    <row r="508">
      <c r="A508" s="144"/>
      <c r="B508" s="142"/>
      <c r="C508" s="142"/>
      <c r="D508" s="142"/>
      <c r="E508" s="142"/>
      <c r="F508" s="142"/>
      <c r="G508" s="142"/>
      <c r="H508" s="142"/>
      <c r="I508" s="142"/>
      <c r="J508" s="142"/>
      <c r="K508" s="142"/>
      <c r="L508" s="142"/>
      <c r="M508" s="142"/>
      <c r="N508" s="142"/>
      <c r="O508" s="142"/>
      <c r="P508" s="142"/>
      <c r="Q508" s="142"/>
      <c r="R508" s="142"/>
      <c r="S508" s="142"/>
      <c r="T508" s="142"/>
      <c r="U508" s="142"/>
      <c r="V508" s="142"/>
      <c r="W508" s="142"/>
      <c r="X508" s="142"/>
      <c r="Y508" s="142"/>
      <c r="Z508" s="142"/>
      <c r="AA508" s="142"/>
      <c r="AB508" s="142"/>
      <c r="AC508" s="142"/>
      <c r="AD508" s="142"/>
      <c r="AE508" s="142"/>
      <c r="AF508" s="142"/>
      <c r="AG508" s="142"/>
      <c r="AH508" s="142"/>
      <c r="AI508" s="142"/>
      <c r="AJ508" s="142"/>
      <c r="AK508" s="142"/>
      <c r="AL508" s="142"/>
      <c r="AM508" s="143"/>
    </row>
    <row r="509">
      <c r="A509" s="144"/>
      <c r="B509" s="142"/>
      <c r="C509" s="142"/>
      <c r="D509" s="142"/>
      <c r="E509" s="142"/>
      <c r="F509" s="142"/>
      <c r="G509" s="142"/>
      <c r="H509" s="142"/>
      <c r="I509" s="142"/>
      <c r="J509" s="142"/>
      <c r="K509" s="142"/>
      <c r="L509" s="142"/>
      <c r="M509" s="142"/>
      <c r="N509" s="142"/>
      <c r="O509" s="142"/>
      <c r="P509" s="142"/>
      <c r="Q509" s="142"/>
      <c r="R509" s="142"/>
      <c r="S509" s="142"/>
      <c r="T509" s="142"/>
      <c r="U509" s="142"/>
      <c r="V509" s="142"/>
      <c r="W509" s="142"/>
      <c r="X509" s="142"/>
      <c r="Y509" s="142"/>
      <c r="Z509" s="142"/>
      <c r="AA509" s="142"/>
      <c r="AB509" s="142"/>
      <c r="AC509" s="142"/>
      <c r="AD509" s="142"/>
      <c r="AE509" s="142"/>
      <c r="AF509" s="142"/>
      <c r="AG509" s="142"/>
      <c r="AH509" s="142"/>
      <c r="AI509" s="142"/>
      <c r="AJ509" s="142"/>
      <c r="AK509" s="142"/>
      <c r="AL509" s="142"/>
      <c r="AM509" s="143"/>
    </row>
    <row r="510">
      <c r="A510" s="144"/>
      <c r="B510" s="142"/>
      <c r="C510" s="142"/>
      <c r="D510" s="142"/>
      <c r="E510" s="142"/>
      <c r="F510" s="142"/>
      <c r="G510" s="142"/>
      <c r="H510" s="142"/>
      <c r="I510" s="142"/>
      <c r="J510" s="142"/>
      <c r="K510" s="142"/>
      <c r="L510" s="142"/>
      <c r="M510" s="142"/>
      <c r="N510" s="142"/>
      <c r="O510" s="142"/>
      <c r="P510" s="142"/>
      <c r="Q510" s="142"/>
      <c r="R510" s="142"/>
      <c r="S510" s="142"/>
      <c r="T510" s="142"/>
      <c r="U510" s="142"/>
      <c r="V510" s="142"/>
      <c r="W510" s="142"/>
      <c r="X510" s="142"/>
      <c r="Y510" s="142"/>
      <c r="Z510" s="142"/>
      <c r="AA510" s="142"/>
      <c r="AB510" s="142"/>
      <c r="AC510" s="142"/>
      <c r="AD510" s="142"/>
      <c r="AE510" s="142"/>
      <c r="AF510" s="142"/>
      <c r="AG510" s="142"/>
      <c r="AH510" s="142"/>
      <c r="AI510" s="142"/>
      <c r="AJ510" s="142"/>
      <c r="AK510" s="142"/>
      <c r="AL510" s="142"/>
      <c r="AM510" s="143"/>
    </row>
    <row r="511">
      <c r="A511" s="144"/>
      <c r="B511" s="142"/>
      <c r="C511" s="142"/>
      <c r="D511" s="142"/>
      <c r="E511" s="142"/>
      <c r="F511" s="142"/>
      <c r="G511" s="142"/>
      <c r="H511" s="142"/>
      <c r="I511" s="142"/>
      <c r="J511" s="142"/>
      <c r="K511" s="142"/>
      <c r="L511" s="142"/>
      <c r="M511" s="142"/>
      <c r="N511" s="142"/>
      <c r="O511" s="142"/>
      <c r="P511" s="142"/>
      <c r="Q511" s="142"/>
      <c r="R511" s="142"/>
      <c r="S511" s="142"/>
      <c r="T511" s="142"/>
      <c r="U511" s="142"/>
      <c r="V511" s="142"/>
      <c r="W511" s="142"/>
      <c r="X511" s="142"/>
      <c r="Y511" s="142"/>
      <c r="Z511" s="142"/>
      <c r="AA511" s="142"/>
      <c r="AB511" s="142"/>
      <c r="AC511" s="142"/>
      <c r="AD511" s="142"/>
      <c r="AE511" s="142"/>
      <c r="AF511" s="142"/>
      <c r="AG511" s="142"/>
      <c r="AH511" s="142"/>
      <c r="AI511" s="142"/>
      <c r="AJ511" s="142"/>
      <c r="AK511" s="142"/>
      <c r="AL511" s="142"/>
      <c r="AM511" s="143"/>
    </row>
    <row r="512">
      <c r="A512" s="144"/>
      <c r="B512" s="142"/>
      <c r="C512" s="142"/>
      <c r="D512" s="142"/>
      <c r="E512" s="142"/>
      <c r="F512" s="142"/>
      <c r="G512" s="142"/>
      <c r="H512" s="142"/>
      <c r="I512" s="142"/>
      <c r="J512" s="142"/>
      <c r="K512" s="142"/>
      <c r="L512" s="142"/>
      <c r="M512" s="142"/>
      <c r="N512" s="142"/>
      <c r="O512" s="142"/>
      <c r="P512" s="142"/>
      <c r="Q512" s="142"/>
      <c r="R512" s="142"/>
      <c r="S512" s="142"/>
      <c r="T512" s="142"/>
      <c r="U512" s="142"/>
      <c r="V512" s="142"/>
      <c r="W512" s="142"/>
      <c r="X512" s="142"/>
      <c r="Y512" s="142"/>
      <c r="Z512" s="142"/>
      <c r="AA512" s="142"/>
      <c r="AB512" s="142"/>
      <c r="AC512" s="142"/>
      <c r="AD512" s="142"/>
      <c r="AE512" s="142"/>
      <c r="AF512" s="142"/>
      <c r="AG512" s="142"/>
      <c r="AH512" s="142"/>
      <c r="AI512" s="142"/>
      <c r="AJ512" s="142"/>
      <c r="AK512" s="142"/>
      <c r="AL512" s="142"/>
      <c r="AM512" s="143"/>
    </row>
    <row r="513">
      <c r="A513" s="144"/>
      <c r="B513" s="142"/>
      <c r="C513" s="142"/>
      <c r="D513" s="142"/>
      <c r="E513" s="142"/>
      <c r="F513" s="142"/>
      <c r="G513" s="142"/>
      <c r="H513" s="142"/>
      <c r="I513" s="142"/>
      <c r="J513" s="142"/>
      <c r="K513" s="142"/>
      <c r="L513" s="142"/>
      <c r="M513" s="142"/>
      <c r="N513" s="142"/>
      <c r="O513" s="142"/>
      <c r="P513" s="142"/>
      <c r="Q513" s="142"/>
      <c r="R513" s="142"/>
      <c r="S513" s="142"/>
      <c r="T513" s="142"/>
      <c r="U513" s="142"/>
      <c r="V513" s="142"/>
      <c r="W513" s="142"/>
      <c r="X513" s="142"/>
      <c r="Y513" s="142"/>
      <c r="Z513" s="142"/>
      <c r="AA513" s="142"/>
      <c r="AB513" s="142"/>
      <c r="AC513" s="142"/>
      <c r="AD513" s="142"/>
      <c r="AE513" s="142"/>
      <c r="AF513" s="142"/>
      <c r="AG513" s="142"/>
      <c r="AH513" s="142"/>
      <c r="AI513" s="142"/>
      <c r="AJ513" s="142"/>
      <c r="AK513" s="142"/>
      <c r="AL513" s="142"/>
      <c r="AM513" s="143"/>
    </row>
    <row r="514">
      <c r="A514" s="144"/>
      <c r="B514" s="142"/>
      <c r="C514" s="142"/>
      <c r="D514" s="142"/>
      <c r="E514" s="142"/>
      <c r="F514" s="142"/>
      <c r="G514" s="142"/>
      <c r="H514" s="142"/>
      <c r="I514" s="142"/>
      <c r="J514" s="142"/>
      <c r="K514" s="142"/>
      <c r="L514" s="142"/>
      <c r="M514" s="142"/>
      <c r="N514" s="142"/>
      <c r="O514" s="142"/>
      <c r="P514" s="142"/>
      <c r="Q514" s="142"/>
      <c r="R514" s="142"/>
      <c r="S514" s="142"/>
      <c r="T514" s="142"/>
      <c r="U514" s="142"/>
      <c r="V514" s="142"/>
      <c r="W514" s="142"/>
      <c r="X514" s="142"/>
      <c r="Y514" s="142"/>
      <c r="Z514" s="142"/>
      <c r="AA514" s="142"/>
      <c r="AB514" s="142"/>
      <c r="AC514" s="142"/>
      <c r="AD514" s="142"/>
      <c r="AE514" s="142"/>
      <c r="AF514" s="142"/>
      <c r="AG514" s="142"/>
      <c r="AH514" s="142"/>
      <c r="AI514" s="142"/>
      <c r="AJ514" s="142"/>
      <c r="AK514" s="142"/>
      <c r="AL514" s="142"/>
      <c r="AM514" s="143"/>
    </row>
    <row r="515">
      <c r="A515" s="144"/>
      <c r="B515" s="142"/>
      <c r="C515" s="142"/>
      <c r="D515" s="142"/>
      <c r="E515" s="142"/>
      <c r="F515" s="142"/>
      <c r="G515" s="142"/>
      <c r="H515" s="142"/>
      <c r="I515" s="142"/>
      <c r="J515" s="142"/>
      <c r="K515" s="142"/>
      <c r="L515" s="142"/>
      <c r="M515" s="142"/>
      <c r="N515" s="142"/>
      <c r="O515" s="142"/>
      <c r="P515" s="142"/>
      <c r="Q515" s="142"/>
      <c r="R515" s="142"/>
      <c r="S515" s="142"/>
      <c r="T515" s="142"/>
      <c r="U515" s="142"/>
      <c r="V515" s="142"/>
      <c r="W515" s="142"/>
      <c r="X515" s="142"/>
      <c r="Y515" s="142"/>
      <c r="Z515" s="142"/>
      <c r="AA515" s="142"/>
      <c r="AB515" s="142"/>
      <c r="AC515" s="142"/>
      <c r="AD515" s="142"/>
      <c r="AE515" s="142"/>
      <c r="AF515" s="142"/>
      <c r="AG515" s="142"/>
      <c r="AH515" s="142"/>
      <c r="AI515" s="142"/>
      <c r="AJ515" s="142"/>
      <c r="AK515" s="142"/>
      <c r="AL515" s="142"/>
      <c r="AM515" s="143"/>
    </row>
    <row r="516">
      <c r="A516" s="144"/>
      <c r="B516" s="142"/>
      <c r="C516" s="142"/>
      <c r="D516" s="142"/>
      <c r="E516" s="142"/>
      <c r="F516" s="142"/>
      <c r="G516" s="142"/>
      <c r="H516" s="142"/>
      <c r="I516" s="142"/>
      <c r="J516" s="142"/>
      <c r="K516" s="142"/>
      <c r="L516" s="142"/>
      <c r="M516" s="142"/>
      <c r="N516" s="142"/>
      <c r="O516" s="142"/>
      <c r="P516" s="142"/>
      <c r="Q516" s="142"/>
      <c r="R516" s="142"/>
      <c r="S516" s="142"/>
      <c r="T516" s="142"/>
      <c r="U516" s="142"/>
      <c r="V516" s="142"/>
      <c r="W516" s="142"/>
      <c r="X516" s="142"/>
      <c r="Y516" s="142"/>
      <c r="Z516" s="142"/>
      <c r="AA516" s="142"/>
      <c r="AB516" s="142"/>
      <c r="AC516" s="142"/>
      <c r="AD516" s="142"/>
      <c r="AE516" s="142"/>
      <c r="AF516" s="142"/>
      <c r="AG516" s="142"/>
      <c r="AH516" s="142"/>
      <c r="AI516" s="142"/>
      <c r="AJ516" s="142"/>
      <c r="AK516" s="142"/>
      <c r="AL516" s="142"/>
      <c r="AM516" s="143"/>
    </row>
    <row r="517">
      <c r="A517" s="144"/>
      <c r="B517" s="142"/>
      <c r="C517" s="142"/>
      <c r="D517" s="142"/>
      <c r="E517" s="142"/>
      <c r="F517" s="142"/>
      <c r="G517" s="142"/>
      <c r="H517" s="142"/>
      <c r="I517" s="142"/>
      <c r="J517" s="142"/>
      <c r="K517" s="142"/>
      <c r="L517" s="142"/>
      <c r="M517" s="142"/>
      <c r="N517" s="142"/>
      <c r="O517" s="142"/>
      <c r="P517" s="142"/>
      <c r="Q517" s="142"/>
      <c r="R517" s="142"/>
      <c r="S517" s="142"/>
      <c r="T517" s="142"/>
      <c r="U517" s="142"/>
      <c r="V517" s="142"/>
      <c r="W517" s="142"/>
      <c r="X517" s="142"/>
      <c r="Y517" s="142"/>
      <c r="Z517" s="142"/>
      <c r="AA517" s="142"/>
      <c r="AB517" s="142"/>
      <c r="AC517" s="142"/>
      <c r="AD517" s="142"/>
      <c r="AE517" s="142"/>
      <c r="AF517" s="142"/>
      <c r="AG517" s="142"/>
      <c r="AH517" s="142"/>
      <c r="AI517" s="142"/>
      <c r="AJ517" s="142"/>
      <c r="AK517" s="142"/>
      <c r="AL517" s="142"/>
      <c r="AM517" s="143"/>
    </row>
    <row r="518">
      <c r="A518" s="144"/>
      <c r="B518" s="142"/>
      <c r="C518" s="142"/>
      <c r="D518" s="142"/>
      <c r="E518" s="142"/>
      <c r="F518" s="142"/>
      <c r="G518" s="142"/>
      <c r="H518" s="142"/>
      <c r="I518" s="142"/>
      <c r="J518" s="142"/>
      <c r="K518" s="142"/>
      <c r="L518" s="142"/>
      <c r="M518" s="142"/>
      <c r="N518" s="142"/>
      <c r="O518" s="142"/>
      <c r="P518" s="142"/>
      <c r="Q518" s="142"/>
      <c r="R518" s="142"/>
      <c r="S518" s="142"/>
      <c r="T518" s="142"/>
      <c r="U518" s="142"/>
      <c r="V518" s="142"/>
      <c r="W518" s="142"/>
      <c r="X518" s="142"/>
      <c r="Y518" s="142"/>
      <c r="Z518" s="142"/>
      <c r="AA518" s="142"/>
      <c r="AB518" s="142"/>
      <c r="AC518" s="142"/>
      <c r="AD518" s="142"/>
      <c r="AE518" s="142"/>
      <c r="AF518" s="142"/>
      <c r="AG518" s="142"/>
      <c r="AH518" s="142"/>
      <c r="AI518" s="142"/>
      <c r="AJ518" s="142"/>
      <c r="AK518" s="142"/>
      <c r="AL518" s="142"/>
      <c r="AM518" s="143"/>
    </row>
    <row r="519">
      <c r="A519" s="144"/>
      <c r="B519" s="142"/>
      <c r="C519" s="142"/>
      <c r="D519" s="142"/>
      <c r="E519" s="142"/>
      <c r="F519" s="142"/>
      <c r="G519" s="142"/>
      <c r="H519" s="142"/>
      <c r="I519" s="142"/>
      <c r="J519" s="142"/>
      <c r="K519" s="142"/>
      <c r="L519" s="142"/>
      <c r="M519" s="142"/>
      <c r="N519" s="142"/>
      <c r="O519" s="142"/>
      <c r="P519" s="142"/>
      <c r="Q519" s="142"/>
      <c r="R519" s="142"/>
      <c r="S519" s="142"/>
      <c r="T519" s="142"/>
      <c r="U519" s="142"/>
      <c r="V519" s="142"/>
      <c r="W519" s="142"/>
      <c r="X519" s="142"/>
      <c r="Y519" s="142"/>
      <c r="Z519" s="142"/>
      <c r="AA519" s="142"/>
      <c r="AB519" s="142"/>
      <c r="AC519" s="142"/>
      <c r="AD519" s="142"/>
      <c r="AE519" s="142"/>
      <c r="AF519" s="142"/>
      <c r="AG519" s="142"/>
      <c r="AH519" s="142"/>
      <c r="AI519" s="142"/>
      <c r="AJ519" s="142"/>
      <c r="AK519" s="142"/>
      <c r="AL519" s="142"/>
      <c r="AM519" s="143"/>
    </row>
    <row r="520">
      <c r="A520" s="144"/>
      <c r="B520" s="142"/>
      <c r="C520" s="142"/>
      <c r="D520" s="142"/>
      <c r="E520" s="142"/>
      <c r="F520" s="142"/>
      <c r="G520" s="142"/>
      <c r="H520" s="142"/>
      <c r="I520" s="142"/>
      <c r="J520" s="142"/>
      <c r="K520" s="142"/>
      <c r="L520" s="142"/>
      <c r="M520" s="142"/>
      <c r="N520" s="142"/>
      <c r="O520" s="142"/>
      <c r="P520" s="142"/>
      <c r="Q520" s="142"/>
      <c r="R520" s="142"/>
      <c r="S520" s="142"/>
      <c r="T520" s="142"/>
      <c r="U520" s="142"/>
      <c r="V520" s="142"/>
      <c r="W520" s="142"/>
      <c r="X520" s="142"/>
      <c r="Y520" s="142"/>
      <c r="Z520" s="142"/>
      <c r="AA520" s="142"/>
      <c r="AB520" s="142"/>
      <c r="AC520" s="142"/>
      <c r="AD520" s="142"/>
      <c r="AE520" s="142"/>
      <c r="AF520" s="142"/>
      <c r="AG520" s="142"/>
      <c r="AH520" s="142"/>
      <c r="AI520" s="142"/>
      <c r="AJ520" s="142"/>
      <c r="AK520" s="142"/>
      <c r="AL520" s="142"/>
      <c r="AM520" s="143"/>
    </row>
    <row r="521">
      <c r="A521" s="144"/>
      <c r="B521" s="142"/>
      <c r="C521" s="142"/>
      <c r="D521" s="142"/>
      <c r="E521" s="142"/>
      <c r="F521" s="142"/>
      <c r="G521" s="142"/>
      <c r="H521" s="142"/>
      <c r="I521" s="142"/>
      <c r="J521" s="142"/>
      <c r="K521" s="142"/>
      <c r="L521" s="142"/>
      <c r="M521" s="142"/>
      <c r="N521" s="142"/>
      <c r="O521" s="142"/>
      <c r="P521" s="142"/>
      <c r="Q521" s="142"/>
      <c r="R521" s="142"/>
      <c r="S521" s="142"/>
      <c r="T521" s="142"/>
      <c r="U521" s="142"/>
      <c r="V521" s="142"/>
      <c r="W521" s="142"/>
      <c r="X521" s="142"/>
      <c r="Y521" s="142"/>
      <c r="Z521" s="142"/>
      <c r="AA521" s="142"/>
      <c r="AB521" s="142"/>
      <c r="AC521" s="142"/>
      <c r="AD521" s="142"/>
      <c r="AE521" s="142"/>
      <c r="AF521" s="142"/>
      <c r="AG521" s="142"/>
      <c r="AH521" s="142"/>
      <c r="AI521" s="142"/>
      <c r="AJ521" s="142"/>
      <c r="AK521" s="142"/>
      <c r="AL521" s="142"/>
      <c r="AM521" s="143"/>
    </row>
    <row r="522">
      <c r="A522" s="144"/>
      <c r="B522" s="142"/>
      <c r="C522" s="142"/>
      <c r="D522" s="142"/>
      <c r="E522" s="142"/>
      <c r="F522" s="142"/>
      <c r="G522" s="142"/>
      <c r="H522" s="142"/>
      <c r="I522" s="142"/>
      <c r="J522" s="142"/>
      <c r="K522" s="142"/>
      <c r="L522" s="142"/>
      <c r="M522" s="142"/>
      <c r="N522" s="142"/>
      <c r="O522" s="142"/>
      <c r="P522" s="142"/>
      <c r="Q522" s="142"/>
      <c r="R522" s="142"/>
      <c r="S522" s="142"/>
      <c r="T522" s="142"/>
      <c r="U522" s="142"/>
      <c r="V522" s="142"/>
      <c r="W522" s="142"/>
      <c r="X522" s="142"/>
      <c r="Y522" s="142"/>
      <c r="Z522" s="142"/>
      <c r="AA522" s="142"/>
      <c r="AB522" s="142"/>
      <c r="AC522" s="142"/>
      <c r="AD522" s="142"/>
      <c r="AE522" s="142"/>
      <c r="AF522" s="142"/>
      <c r="AG522" s="142"/>
      <c r="AH522" s="142"/>
      <c r="AI522" s="142"/>
      <c r="AJ522" s="142"/>
      <c r="AK522" s="142"/>
      <c r="AL522" s="142"/>
      <c r="AM522" s="143"/>
    </row>
    <row r="523">
      <c r="A523" s="144"/>
      <c r="B523" s="142"/>
      <c r="C523" s="142"/>
      <c r="D523" s="142"/>
      <c r="E523" s="142"/>
      <c r="F523" s="142"/>
      <c r="G523" s="142"/>
      <c r="H523" s="142"/>
      <c r="I523" s="142"/>
      <c r="J523" s="142"/>
      <c r="K523" s="142"/>
      <c r="L523" s="142"/>
      <c r="M523" s="142"/>
      <c r="N523" s="142"/>
      <c r="O523" s="142"/>
      <c r="P523" s="142"/>
      <c r="Q523" s="142"/>
      <c r="R523" s="142"/>
      <c r="S523" s="142"/>
      <c r="T523" s="142"/>
      <c r="U523" s="142"/>
      <c r="V523" s="142"/>
      <c r="W523" s="142"/>
      <c r="X523" s="142"/>
      <c r="Y523" s="142"/>
      <c r="Z523" s="142"/>
      <c r="AA523" s="142"/>
      <c r="AB523" s="142"/>
      <c r="AC523" s="142"/>
      <c r="AD523" s="142"/>
      <c r="AE523" s="142"/>
      <c r="AF523" s="142"/>
      <c r="AG523" s="142"/>
      <c r="AH523" s="142"/>
      <c r="AI523" s="142"/>
      <c r="AJ523" s="142"/>
      <c r="AK523" s="142"/>
      <c r="AL523" s="142"/>
      <c r="AM523" s="143"/>
    </row>
    <row r="524">
      <c r="A524" s="144"/>
      <c r="B524" s="142"/>
      <c r="C524" s="142"/>
      <c r="D524" s="142"/>
      <c r="E524" s="142"/>
      <c r="F524" s="142"/>
      <c r="G524" s="142"/>
      <c r="H524" s="142"/>
      <c r="I524" s="142"/>
      <c r="J524" s="142"/>
      <c r="K524" s="142"/>
      <c r="L524" s="142"/>
      <c r="M524" s="142"/>
      <c r="N524" s="142"/>
      <c r="O524" s="142"/>
      <c r="P524" s="142"/>
      <c r="Q524" s="142"/>
      <c r="R524" s="142"/>
      <c r="S524" s="142"/>
      <c r="T524" s="142"/>
      <c r="U524" s="142"/>
      <c r="V524" s="142"/>
      <c r="W524" s="142"/>
      <c r="X524" s="142"/>
      <c r="Y524" s="142"/>
      <c r="Z524" s="142"/>
      <c r="AA524" s="142"/>
      <c r="AB524" s="142"/>
      <c r="AC524" s="142"/>
      <c r="AD524" s="142"/>
      <c r="AE524" s="142"/>
      <c r="AF524" s="142"/>
      <c r="AG524" s="142"/>
      <c r="AH524" s="142"/>
      <c r="AI524" s="142"/>
      <c r="AJ524" s="142"/>
      <c r="AK524" s="142"/>
      <c r="AL524" s="142"/>
      <c r="AM524" s="143"/>
    </row>
    <row r="525">
      <c r="A525" s="144"/>
      <c r="B525" s="142"/>
      <c r="C525" s="142"/>
      <c r="D525" s="142"/>
      <c r="E525" s="142"/>
      <c r="F525" s="142"/>
      <c r="G525" s="142"/>
      <c r="H525" s="142"/>
      <c r="I525" s="142"/>
      <c r="J525" s="142"/>
      <c r="K525" s="142"/>
      <c r="L525" s="142"/>
      <c r="M525" s="142"/>
      <c r="N525" s="142"/>
      <c r="O525" s="142"/>
      <c r="P525" s="142"/>
      <c r="Q525" s="142"/>
      <c r="R525" s="142"/>
      <c r="S525" s="142"/>
      <c r="T525" s="142"/>
      <c r="U525" s="142"/>
      <c r="V525" s="142"/>
      <c r="W525" s="142"/>
      <c r="X525" s="142"/>
      <c r="Y525" s="142"/>
      <c r="Z525" s="142"/>
      <c r="AA525" s="142"/>
      <c r="AB525" s="142"/>
      <c r="AC525" s="142"/>
      <c r="AD525" s="142"/>
      <c r="AE525" s="142"/>
      <c r="AF525" s="142"/>
      <c r="AG525" s="142"/>
      <c r="AH525" s="142"/>
      <c r="AI525" s="142"/>
      <c r="AJ525" s="142"/>
      <c r="AK525" s="142"/>
      <c r="AL525" s="142"/>
      <c r="AM525" s="143"/>
    </row>
    <row r="526">
      <c r="A526" s="144"/>
      <c r="B526" s="142"/>
      <c r="C526" s="142"/>
      <c r="D526" s="142"/>
      <c r="E526" s="142"/>
      <c r="F526" s="142"/>
      <c r="G526" s="142"/>
      <c r="H526" s="142"/>
      <c r="I526" s="142"/>
      <c r="J526" s="142"/>
      <c r="K526" s="142"/>
      <c r="L526" s="142"/>
      <c r="M526" s="142"/>
      <c r="N526" s="142"/>
      <c r="O526" s="142"/>
      <c r="P526" s="142"/>
      <c r="Q526" s="142"/>
      <c r="R526" s="142"/>
      <c r="S526" s="142"/>
      <c r="T526" s="142"/>
      <c r="U526" s="142"/>
      <c r="V526" s="142"/>
      <c r="W526" s="142"/>
      <c r="X526" s="142"/>
      <c r="Y526" s="142"/>
      <c r="Z526" s="142"/>
      <c r="AA526" s="142"/>
      <c r="AB526" s="142"/>
      <c r="AC526" s="142"/>
      <c r="AD526" s="142"/>
      <c r="AE526" s="142"/>
      <c r="AF526" s="142"/>
      <c r="AG526" s="142"/>
      <c r="AH526" s="142"/>
      <c r="AI526" s="142"/>
      <c r="AJ526" s="142"/>
      <c r="AK526" s="142"/>
      <c r="AL526" s="142"/>
      <c r="AM526" s="143"/>
    </row>
    <row r="527">
      <c r="A527" s="144"/>
      <c r="B527" s="142"/>
      <c r="C527" s="142"/>
      <c r="D527" s="142"/>
      <c r="E527" s="142"/>
      <c r="F527" s="142"/>
      <c r="G527" s="142"/>
      <c r="H527" s="142"/>
      <c r="I527" s="142"/>
      <c r="J527" s="142"/>
      <c r="K527" s="142"/>
      <c r="L527" s="142"/>
      <c r="M527" s="142"/>
      <c r="N527" s="142"/>
      <c r="O527" s="142"/>
      <c r="P527" s="142"/>
      <c r="Q527" s="142"/>
      <c r="R527" s="142"/>
      <c r="S527" s="142"/>
      <c r="T527" s="142"/>
      <c r="U527" s="142"/>
      <c r="V527" s="142"/>
      <c r="W527" s="142"/>
      <c r="X527" s="142"/>
      <c r="Y527" s="142"/>
      <c r="Z527" s="142"/>
      <c r="AA527" s="142"/>
      <c r="AB527" s="142"/>
      <c r="AC527" s="142"/>
      <c r="AD527" s="142"/>
      <c r="AE527" s="142"/>
      <c r="AF527" s="142"/>
      <c r="AG527" s="142"/>
      <c r="AH527" s="142"/>
      <c r="AI527" s="142"/>
      <c r="AJ527" s="142"/>
      <c r="AK527" s="142"/>
      <c r="AL527" s="142"/>
      <c r="AM527" s="143"/>
    </row>
    <row r="528">
      <c r="A528" s="144"/>
      <c r="B528" s="142"/>
      <c r="C528" s="142"/>
      <c r="D528" s="142"/>
      <c r="E528" s="142"/>
      <c r="F528" s="142"/>
      <c r="G528" s="142"/>
      <c r="H528" s="142"/>
      <c r="I528" s="142"/>
      <c r="J528" s="142"/>
      <c r="K528" s="142"/>
      <c r="L528" s="142"/>
      <c r="M528" s="142"/>
      <c r="N528" s="142"/>
      <c r="O528" s="142"/>
      <c r="P528" s="142"/>
      <c r="Q528" s="142"/>
      <c r="R528" s="142"/>
      <c r="S528" s="142"/>
      <c r="T528" s="142"/>
      <c r="U528" s="142"/>
      <c r="V528" s="142"/>
      <c r="W528" s="142"/>
      <c r="X528" s="142"/>
      <c r="Y528" s="142"/>
      <c r="Z528" s="142"/>
      <c r="AA528" s="142"/>
      <c r="AB528" s="142"/>
      <c r="AC528" s="142"/>
      <c r="AD528" s="142"/>
      <c r="AE528" s="142"/>
      <c r="AF528" s="142"/>
      <c r="AG528" s="142"/>
      <c r="AH528" s="142"/>
      <c r="AI528" s="142"/>
      <c r="AJ528" s="142"/>
      <c r="AK528" s="142"/>
      <c r="AL528" s="142"/>
      <c r="AM528" s="143"/>
    </row>
    <row r="529">
      <c r="A529" s="144"/>
      <c r="B529" s="142"/>
      <c r="C529" s="142"/>
      <c r="D529" s="142"/>
      <c r="E529" s="142"/>
      <c r="F529" s="142"/>
      <c r="G529" s="142"/>
      <c r="H529" s="142"/>
      <c r="I529" s="142"/>
      <c r="J529" s="142"/>
      <c r="K529" s="142"/>
      <c r="L529" s="142"/>
      <c r="M529" s="142"/>
      <c r="N529" s="142"/>
      <c r="O529" s="142"/>
      <c r="P529" s="142"/>
      <c r="Q529" s="142"/>
      <c r="R529" s="142"/>
      <c r="S529" s="142"/>
      <c r="T529" s="142"/>
      <c r="U529" s="142"/>
      <c r="V529" s="142"/>
      <c r="W529" s="142"/>
      <c r="X529" s="142"/>
      <c r="Y529" s="142"/>
      <c r="Z529" s="142"/>
      <c r="AA529" s="142"/>
      <c r="AB529" s="142"/>
      <c r="AC529" s="142"/>
      <c r="AD529" s="142"/>
      <c r="AE529" s="142"/>
      <c r="AF529" s="142"/>
      <c r="AG529" s="142"/>
      <c r="AH529" s="142"/>
      <c r="AI529" s="142"/>
      <c r="AJ529" s="142"/>
      <c r="AK529" s="142"/>
      <c r="AL529" s="142"/>
      <c r="AM529" s="143"/>
    </row>
    <row r="530">
      <c r="A530" s="144"/>
      <c r="B530" s="142"/>
      <c r="C530" s="142"/>
      <c r="D530" s="142"/>
      <c r="E530" s="142"/>
      <c r="F530" s="142"/>
      <c r="G530" s="142"/>
      <c r="H530" s="142"/>
      <c r="I530" s="142"/>
      <c r="J530" s="142"/>
      <c r="K530" s="142"/>
      <c r="L530" s="142"/>
      <c r="M530" s="142"/>
      <c r="N530" s="142"/>
      <c r="O530" s="142"/>
      <c r="P530" s="142"/>
      <c r="Q530" s="142"/>
      <c r="R530" s="142"/>
      <c r="S530" s="142"/>
      <c r="T530" s="142"/>
      <c r="U530" s="142"/>
      <c r="V530" s="142"/>
      <c r="W530" s="142"/>
      <c r="X530" s="142"/>
      <c r="Y530" s="142"/>
      <c r="Z530" s="142"/>
      <c r="AA530" s="142"/>
      <c r="AB530" s="142"/>
      <c r="AC530" s="142"/>
      <c r="AD530" s="142"/>
      <c r="AE530" s="142"/>
      <c r="AF530" s="142"/>
      <c r="AG530" s="142"/>
      <c r="AH530" s="142"/>
      <c r="AI530" s="142"/>
      <c r="AJ530" s="142"/>
      <c r="AK530" s="142"/>
      <c r="AL530" s="142"/>
      <c r="AM530" s="143"/>
    </row>
    <row r="531">
      <c r="A531" s="144"/>
      <c r="B531" s="142"/>
      <c r="C531" s="142"/>
      <c r="D531" s="142"/>
      <c r="E531" s="142"/>
      <c r="F531" s="142"/>
      <c r="G531" s="142"/>
      <c r="H531" s="142"/>
      <c r="I531" s="142"/>
      <c r="J531" s="142"/>
      <c r="K531" s="142"/>
      <c r="L531" s="142"/>
      <c r="M531" s="142"/>
      <c r="N531" s="142"/>
      <c r="O531" s="142"/>
      <c r="P531" s="142"/>
      <c r="Q531" s="142"/>
      <c r="R531" s="142"/>
      <c r="S531" s="142"/>
      <c r="T531" s="142"/>
      <c r="U531" s="142"/>
      <c r="V531" s="142"/>
      <c r="W531" s="142"/>
      <c r="X531" s="142"/>
      <c r="Y531" s="142"/>
      <c r="Z531" s="142"/>
      <c r="AA531" s="142"/>
      <c r="AB531" s="142"/>
      <c r="AC531" s="142"/>
      <c r="AD531" s="142"/>
      <c r="AE531" s="142"/>
      <c r="AF531" s="142"/>
      <c r="AG531" s="142"/>
      <c r="AH531" s="142"/>
      <c r="AI531" s="142"/>
      <c r="AJ531" s="142"/>
      <c r="AK531" s="142"/>
      <c r="AL531" s="142"/>
      <c r="AM531" s="143"/>
    </row>
    <row r="532">
      <c r="A532" s="144"/>
      <c r="B532" s="142"/>
      <c r="C532" s="142"/>
      <c r="D532" s="142"/>
      <c r="E532" s="142"/>
      <c r="F532" s="142"/>
      <c r="G532" s="142"/>
      <c r="H532" s="142"/>
      <c r="I532" s="142"/>
      <c r="J532" s="142"/>
      <c r="K532" s="142"/>
      <c r="L532" s="142"/>
      <c r="M532" s="142"/>
      <c r="N532" s="142"/>
      <c r="O532" s="142"/>
      <c r="P532" s="142"/>
      <c r="Q532" s="142"/>
      <c r="R532" s="142"/>
      <c r="S532" s="142"/>
      <c r="T532" s="142"/>
      <c r="U532" s="142"/>
      <c r="V532" s="142"/>
      <c r="W532" s="142"/>
      <c r="X532" s="142"/>
      <c r="Y532" s="142"/>
      <c r="Z532" s="142"/>
      <c r="AA532" s="142"/>
      <c r="AB532" s="142"/>
      <c r="AC532" s="142"/>
      <c r="AD532" s="142"/>
      <c r="AE532" s="142"/>
      <c r="AF532" s="142"/>
      <c r="AG532" s="142"/>
      <c r="AH532" s="142"/>
      <c r="AI532" s="142"/>
      <c r="AJ532" s="142"/>
      <c r="AK532" s="142"/>
      <c r="AL532" s="142"/>
      <c r="AM532" s="143"/>
    </row>
    <row r="533">
      <c r="A533" s="144"/>
      <c r="B533" s="142"/>
      <c r="C533" s="142"/>
      <c r="D533" s="142"/>
      <c r="E533" s="142"/>
      <c r="F533" s="142"/>
      <c r="G533" s="142"/>
      <c r="H533" s="142"/>
      <c r="I533" s="142"/>
      <c r="J533" s="142"/>
      <c r="K533" s="142"/>
      <c r="L533" s="142"/>
      <c r="M533" s="142"/>
      <c r="N533" s="142"/>
      <c r="O533" s="142"/>
      <c r="P533" s="142"/>
      <c r="Q533" s="142"/>
      <c r="R533" s="142"/>
      <c r="S533" s="142"/>
      <c r="T533" s="142"/>
      <c r="U533" s="142"/>
      <c r="V533" s="142"/>
      <c r="W533" s="142"/>
      <c r="X533" s="142"/>
      <c r="Y533" s="142"/>
      <c r="Z533" s="142"/>
      <c r="AA533" s="142"/>
      <c r="AB533" s="142"/>
      <c r="AC533" s="142"/>
      <c r="AD533" s="142"/>
      <c r="AE533" s="142"/>
      <c r="AF533" s="142"/>
      <c r="AG533" s="142"/>
      <c r="AH533" s="142"/>
      <c r="AI533" s="142"/>
      <c r="AJ533" s="142"/>
      <c r="AK533" s="142"/>
      <c r="AL533" s="142"/>
      <c r="AM533" s="143"/>
    </row>
    <row r="534">
      <c r="A534" s="144"/>
      <c r="B534" s="142"/>
      <c r="C534" s="142"/>
      <c r="D534" s="142"/>
      <c r="E534" s="142"/>
      <c r="F534" s="142"/>
      <c r="G534" s="142"/>
      <c r="H534" s="142"/>
      <c r="I534" s="142"/>
      <c r="J534" s="142"/>
      <c r="K534" s="142"/>
      <c r="L534" s="142"/>
      <c r="M534" s="142"/>
      <c r="N534" s="142"/>
      <c r="O534" s="142"/>
      <c r="P534" s="142"/>
      <c r="Q534" s="142"/>
      <c r="R534" s="142"/>
      <c r="S534" s="142"/>
      <c r="T534" s="142"/>
      <c r="U534" s="142"/>
      <c r="V534" s="142"/>
      <c r="W534" s="142"/>
      <c r="X534" s="142"/>
      <c r="Y534" s="142"/>
      <c r="Z534" s="142"/>
      <c r="AA534" s="142"/>
      <c r="AB534" s="142"/>
      <c r="AC534" s="142"/>
      <c r="AD534" s="142"/>
      <c r="AE534" s="142"/>
      <c r="AF534" s="142"/>
      <c r="AG534" s="142"/>
      <c r="AH534" s="142"/>
      <c r="AI534" s="142"/>
      <c r="AJ534" s="142"/>
      <c r="AK534" s="142"/>
      <c r="AL534" s="142"/>
      <c r="AM534" s="143"/>
    </row>
    <row r="535">
      <c r="A535" s="144"/>
      <c r="B535" s="142"/>
      <c r="C535" s="142"/>
      <c r="D535" s="142"/>
      <c r="E535" s="142"/>
      <c r="F535" s="142"/>
      <c r="G535" s="142"/>
      <c r="H535" s="142"/>
      <c r="I535" s="142"/>
      <c r="J535" s="142"/>
      <c r="K535" s="142"/>
      <c r="L535" s="142"/>
      <c r="M535" s="142"/>
      <c r="N535" s="142"/>
      <c r="O535" s="142"/>
      <c r="P535" s="142"/>
      <c r="Q535" s="142"/>
      <c r="R535" s="142"/>
      <c r="S535" s="142"/>
      <c r="T535" s="142"/>
      <c r="U535" s="142"/>
      <c r="V535" s="142"/>
      <c r="W535" s="142"/>
      <c r="X535" s="142"/>
      <c r="Y535" s="142"/>
      <c r="Z535" s="142"/>
      <c r="AA535" s="142"/>
      <c r="AB535" s="142"/>
      <c r="AC535" s="142"/>
      <c r="AD535" s="142"/>
      <c r="AE535" s="142"/>
      <c r="AF535" s="142"/>
      <c r="AG535" s="142"/>
      <c r="AH535" s="142"/>
      <c r="AI535" s="142"/>
      <c r="AJ535" s="142"/>
      <c r="AK535" s="142"/>
      <c r="AL535" s="142"/>
      <c r="AM535" s="143"/>
    </row>
    <row r="536">
      <c r="A536" s="144"/>
      <c r="B536" s="142"/>
      <c r="C536" s="142"/>
      <c r="D536" s="142"/>
      <c r="E536" s="142"/>
      <c r="F536" s="142"/>
      <c r="G536" s="142"/>
      <c r="H536" s="142"/>
      <c r="I536" s="142"/>
      <c r="J536" s="142"/>
      <c r="K536" s="142"/>
      <c r="L536" s="142"/>
      <c r="M536" s="142"/>
      <c r="N536" s="142"/>
      <c r="O536" s="142"/>
      <c r="P536" s="142"/>
      <c r="Q536" s="142"/>
      <c r="R536" s="142"/>
      <c r="S536" s="142"/>
      <c r="T536" s="142"/>
      <c r="U536" s="142"/>
      <c r="V536" s="142"/>
      <c r="W536" s="142"/>
      <c r="X536" s="142"/>
      <c r="Y536" s="142"/>
      <c r="Z536" s="142"/>
      <c r="AA536" s="142"/>
      <c r="AB536" s="142"/>
      <c r="AC536" s="142"/>
      <c r="AD536" s="142"/>
      <c r="AE536" s="142"/>
      <c r="AF536" s="142"/>
      <c r="AG536" s="142"/>
      <c r="AH536" s="142"/>
      <c r="AI536" s="142"/>
      <c r="AJ536" s="142"/>
      <c r="AK536" s="142"/>
      <c r="AL536" s="142"/>
      <c r="AM536" s="143"/>
    </row>
    <row r="537">
      <c r="A537" s="144"/>
      <c r="B537" s="142"/>
      <c r="C537" s="142"/>
      <c r="D537" s="142"/>
      <c r="E537" s="142"/>
      <c r="F537" s="142"/>
      <c r="G537" s="142"/>
      <c r="H537" s="142"/>
      <c r="I537" s="142"/>
      <c r="J537" s="142"/>
      <c r="K537" s="142"/>
      <c r="L537" s="142"/>
      <c r="M537" s="142"/>
      <c r="N537" s="142"/>
      <c r="O537" s="142"/>
      <c r="P537" s="142"/>
      <c r="Q537" s="142"/>
      <c r="R537" s="142"/>
      <c r="S537" s="142"/>
      <c r="T537" s="142"/>
      <c r="U537" s="142"/>
      <c r="V537" s="142"/>
      <c r="W537" s="142"/>
      <c r="X537" s="142"/>
      <c r="Y537" s="142"/>
      <c r="Z537" s="142"/>
      <c r="AA537" s="142"/>
      <c r="AB537" s="142"/>
      <c r="AC537" s="142"/>
      <c r="AD537" s="142"/>
      <c r="AE537" s="142"/>
      <c r="AF537" s="142"/>
      <c r="AG537" s="142"/>
      <c r="AH537" s="142"/>
      <c r="AI537" s="142"/>
      <c r="AJ537" s="142"/>
      <c r="AK537" s="142"/>
      <c r="AL537" s="142"/>
      <c r="AM537" s="143"/>
    </row>
    <row r="538">
      <c r="A538" s="144"/>
      <c r="B538" s="142"/>
      <c r="C538" s="142"/>
      <c r="D538" s="142"/>
      <c r="E538" s="142"/>
      <c r="F538" s="142"/>
      <c r="G538" s="142"/>
      <c r="H538" s="142"/>
      <c r="I538" s="142"/>
      <c r="J538" s="142"/>
      <c r="K538" s="142"/>
      <c r="L538" s="142"/>
      <c r="M538" s="142"/>
      <c r="N538" s="142"/>
      <c r="O538" s="142"/>
      <c r="P538" s="142"/>
      <c r="Q538" s="142"/>
      <c r="R538" s="142"/>
      <c r="S538" s="142"/>
      <c r="T538" s="142"/>
      <c r="U538" s="142"/>
      <c r="V538" s="142"/>
      <c r="W538" s="142"/>
      <c r="X538" s="142"/>
      <c r="Y538" s="142"/>
      <c r="Z538" s="142"/>
      <c r="AA538" s="142"/>
      <c r="AB538" s="142"/>
      <c r="AC538" s="142"/>
      <c r="AD538" s="142"/>
      <c r="AE538" s="142"/>
      <c r="AF538" s="142"/>
      <c r="AG538" s="142"/>
      <c r="AH538" s="142"/>
      <c r="AI538" s="142"/>
      <c r="AJ538" s="142"/>
      <c r="AK538" s="142"/>
      <c r="AL538" s="142"/>
      <c r="AM538" s="143"/>
    </row>
    <row r="539">
      <c r="A539" s="144"/>
      <c r="B539" s="142"/>
      <c r="C539" s="142"/>
      <c r="D539" s="142"/>
      <c r="E539" s="142"/>
      <c r="F539" s="142"/>
      <c r="G539" s="142"/>
      <c r="H539" s="142"/>
      <c r="I539" s="142"/>
      <c r="J539" s="142"/>
      <c r="K539" s="142"/>
      <c r="L539" s="142"/>
      <c r="M539" s="142"/>
      <c r="N539" s="142"/>
      <c r="O539" s="142"/>
      <c r="P539" s="142"/>
      <c r="Q539" s="142"/>
      <c r="R539" s="142"/>
      <c r="S539" s="142"/>
      <c r="T539" s="142"/>
      <c r="U539" s="142"/>
      <c r="V539" s="142"/>
      <c r="W539" s="142"/>
      <c r="X539" s="142"/>
      <c r="Y539" s="142"/>
      <c r="Z539" s="142"/>
      <c r="AA539" s="142"/>
      <c r="AB539" s="142"/>
      <c r="AC539" s="142"/>
      <c r="AD539" s="142"/>
      <c r="AE539" s="142"/>
      <c r="AF539" s="142"/>
      <c r="AG539" s="142"/>
      <c r="AH539" s="142"/>
      <c r="AI539" s="142"/>
      <c r="AJ539" s="142"/>
      <c r="AK539" s="142"/>
      <c r="AL539" s="142"/>
      <c r="AM539" s="143"/>
    </row>
    <row r="540">
      <c r="A540" s="144"/>
      <c r="B540" s="142"/>
      <c r="C540" s="142"/>
      <c r="D540" s="142"/>
      <c r="E540" s="142"/>
      <c r="F540" s="142"/>
      <c r="G540" s="142"/>
      <c r="H540" s="142"/>
      <c r="I540" s="142"/>
      <c r="J540" s="142"/>
      <c r="K540" s="142"/>
      <c r="L540" s="142"/>
      <c r="M540" s="142"/>
      <c r="N540" s="142"/>
      <c r="O540" s="142"/>
      <c r="P540" s="142"/>
      <c r="Q540" s="142"/>
      <c r="R540" s="142"/>
      <c r="S540" s="142"/>
      <c r="T540" s="142"/>
      <c r="U540" s="142"/>
      <c r="V540" s="142"/>
      <c r="W540" s="142"/>
      <c r="X540" s="142"/>
      <c r="Y540" s="142"/>
      <c r="Z540" s="142"/>
      <c r="AA540" s="142"/>
      <c r="AB540" s="142"/>
      <c r="AC540" s="142"/>
      <c r="AD540" s="142"/>
      <c r="AE540" s="142"/>
      <c r="AF540" s="142"/>
      <c r="AG540" s="142"/>
      <c r="AH540" s="142"/>
      <c r="AI540" s="142"/>
      <c r="AJ540" s="142"/>
      <c r="AK540" s="142"/>
      <c r="AL540" s="142"/>
      <c r="AM540" s="143"/>
    </row>
    <row r="541">
      <c r="A541" s="144"/>
      <c r="B541" s="142"/>
      <c r="C541" s="142"/>
      <c r="D541" s="142"/>
      <c r="E541" s="142"/>
      <c r="F541" s="142"/>
      <c r="G541" s="142"/>
      <c r="H541" s="142"/>
      <c r="I541" s="142"/>
      <c r="J541" s="142"/>
      <c r="K541" s="142"/>
      <c r="L541" s="142"/>
      <c r="M541" s="142"/>
      <c r="N541" s="142"/>
      <c r="O541" s="142"/>
      <c r="P541" s="142"/>
      <c r="Q541" s="142"/>
      <c r="R541" s="142"/>
      <c r="S541" s="142"/>
      <c r="T541" s="142"/>
      <c r="U541" s="142"/>
      <c r="V541" s="142"/>
      <c r="W541" s="142"/>
      <c r="X541" s="142"/>
      <c r="Y541" s="142"/>
      <c r="Z541" s="142"/>
      <c r="AA541" s="142"/>
      <c r="AB541" s="142"/>
      <c r="AC541" s="142"/>
      <c r="AD541" s="142"/>
      <c r="AE541" s="142"/>
      <c r="AF541" s="142"/>
      <c r="AG541" s="142"/>
      <c r="AH541" s="142"/>
      <c r="AI541" s="142"/>
      <c r="AJ541" s="142"/>
      <c r="AK541" s="142"/>
      <c r="AL541" s="142"/>
      <c r="AM541" s="143"/>
    </row>
    <row r="542">
      <c r="A542" s="144"/>
      <c r="B542" s="142"/>
      <c r="C542" s="142"/>
      <c r="D542" s="142"/>
      <c r="E542" s="142"/>
      <c r="F542" s="142"/>
      <c r="G542" s="142"/>
      <c r="H542" s="142"/>
      <c r="I542" s="142"/>
      <c r="J542" s="142"/>
      <c r="K542" s="142"/>
      <c r="L542" s="142"/>
      <c r="M542" s="142"/>
      <c r="N542" s="142"/>
      <c r="O542" s="142"/>
      <c r="P542" s="142"/>
      <c r="Q542" s="142"/>
      <c r="R542" s="142"/>
      <c r="S542" s="142"/>
      <c r="T542" s="142"/>
      <c r="U542" s="142"/>
      <c r="V542" s="142"/>
      <c r="W542" s="142"/>
      <c r="X542" s="142"/>
      <c r="Y542" s="142"/>
      <c r="Z542" s="142"/>
      <c r="AA542" s="142"/>
      <c r="AB542" s="142"/>
      <c r="AC542" s="142"/>
      <c r="AD542" s="142"/>
      <c r="AE542" s="142"/>
      <c r="AF542" s="142"/>
      <c r="AG542" s="142"/>
      <c r="AH542" s="142"/>
      <c r="AI542" s="142"/>
      <c r="AJ542" s="142"/>
      <c r="AK542" s="142"/>
      <c r="AL542" s="142"/>
      <c r="AM542" s="143"/>
    </row>
    <row r="543">
      <c r="A543" s="144"/>
      <c r="B543" s="142"/>
      <c r="C543" s="142"/>
      <c r="D543" s="142"/>
      <c r="E543" s="142"/>
      <c r="F543" s="142"/>
      <c r="G543" s="142"/>
      <c r="H543" s="142"/>
      <c r="I543" s="142"/>
      <c r="J543" s="142"/>
      <c r="K543" s="142"/>
      <c r="L543" s="142"/>
      <c r="M543" s="142"/>
      <c r="N543" s="142"/>
      <c r="O543" s="142"/>
      <c r="P543" s="142"/>
      <c r="Q543" s="142"/>
      <c r="R543" s="142"/>
      <c r="S543" s="142"/>
      <c r="T543" s="142"/>
      <c r="U543" s="142"/>
      <c r="V543" s="142"/>
      <c r="W543" s="142"/>
      <c r="X543" s="142"/>
      <c r="Y543" s="142"/>
      <c r="Z543" s="142"/>
      <c r="AA543" s="142"/>
      <c r="AB543" s="142"/>
      <c r="AC543" s="142"/>
      <c r="AD543" s="142"/>
      <c r="AE543" s="142"/>
      <c r="AF543" s="142"/>
      <c r="AG543" s="142"/>
      <c r="AH543" s="142"/>
      <c r="AI543" s="142"/>
      <c r="AJ543" s="142"/>
      <c r="AK543" s="142"/>
      <c r="AL543" s="142"/>
      <c r="AM543" s="143"/>
    </row>
    <row r="544">
      <c r="A544" s="144"/>
      <c r="B544" s="142"/>
      <c r="C544" s="142"/>
      <c r="D544" s="142"/>
      <c r="E544" s="142"/>
      <c r="F544" s="142"/>
      <c r="G544" s="142"/>
      <c r="H544" s="142"/>
      <c r="I544" s="142"/>
      <c r="J544" s="142"/>
      <c r="K544" s="142"/>
      <c r="L544" s="142"/>
      <c r="M544" s="142"/>
      <c r="N544" s="142"/>
      <c r="O544" s="142"/>
      <c r="P544" s="142"/>
      <c r="Q544" s="142"/>
      <c r="R544" s="142"/>
      <c r="S544" s="142"/>
      <c r="T544" s="142"/>
      <c r="U544" s="142"/>
      <c r="V544" s="142"/>
      <c r="W544" s="142"/>
      <c r="X544" s="142"/>
      <c r="Y544" s="142"/>
      <c r="Z544" s="142"/>
      <c r="AA544" s="142"/>
      <c r="AB544" s="142"/>
      <c r="AC544" s="142"/>
      <c r="AD544" s="142"/>
      <c r="AE544" s="142"/>
      <c r="AF544" s="142"/>
      <c r="AG544" s="142"/>
      <c r="AH544" s="142"/>
      <c r="AI544" s="142"/>
      <c r="AJ544" s="142"/>
      <c r="AK544" s="142"/>
      <c r="AL544" s="142"/>
      <c r="AM544" s="143"/>
    </row>
    <row r="545">
      <c r="A545" s="144"/>
      <c r="B545" s="142"/>
      <c r="C545" s="142"/>
      <c r="D545" s="142"/>
      <c r="E545" s="142"/>
      <c r="F545" s="142"/>
      <c r="G545" s="142"/>
      <c r="H545" s="142"/>
      <c r="I545" s="142"/>
      <c r="J545" s="142"/>
      <c r="K545" s="142"/>
      <c r="L545" s="142"/>
      <c r="M545" s="142"/>
      <c r="N545" s="142"/>
      <c r="O545" s="142"/>
      <c r="P545" s="142"/>
      <c r="Q545" s="142"/>
      <c r="R545" s="142"/>
      <c r="S545" s="142"/>
      <c r="T545" s="142"/>
      <c r="U545" s="142"/>
      <c r="V545" s="142"/>
      <c r="W545" s="142"/>
      <c r="X545" s="142"/>
      <c r="Y545" s="142"/>
      <c r="Z545" s="142"/>
      <c r="AA545" s="142"/>
      <c r="AB545" s="142"/>
      <c r="AC545" s="142"/>
      <c r="AD545" s="142"/>
      <c r="AE545" s="142"/>
      <c r="AF545" s="142"/>
      <c r="AG545" s="142"/>
      <c r="AH545" s="142"/>
      <c r="AI545" s="142"/>
      <c r="AJ545" s="142"/>
      <c r="AK545" s="142"/>
      <c r="AL545" s="142"/>
      <c r="AM545" s="143"/>
    </row>
    <row r="546">
      <c r="A546" s="144"/>
      <c r="B546" s="142"/>
      <c r="C546" s="142"/>
      <c r="D546" s="142"/>
      <c r="E546" s="142"/>
      <c r="F546" s="142"/>
      <c r="G546" s="142"/>
      <c r="H546" s="142"/>
      <c r="I546" s="142"/>
      <c r="J546" s="142"/>
      <c r="K546" s="142"/>
      <c r="L546" s="142"/>
      <c r="M546" s="142"/>
      <c r="N546" s="142"/>
      <c r="O546" s="142"/>
      <c r="P546" s="142"/>
      <c r="Q546" s="142"/>
      <c r="R546" s="142"/>
      <c r="S546" s="142"/>
      <c r="T546" s="142"/>
      <c r="U546" s="142"/>
      <c r="V546" s="142"/>
      <c r="W546" s="142"/>
      <c r="X546" s="142"/>
      <c r="Y546" s="142"/>
      <c r="Z546" s="142"/>
      <c r="AA546" s="142"/>
      <c r="AB546" s="142"/>
      <c r="AC546" s="142"/>
      <c r="AD546" s="142"/>
      <c r="AE546" s="142"/>
      <c r="AF546" s="142"/>
      <c r="AG546" s="142"/>
      <c r="AH546" s="142"/>
      <c r="AI546" s="142"/>
      <c r="AJ546" s="142"/>
      <c r="AK546" s="142"/>
      <c r="AL546" s="142"/>
      <c r="AM546" s="143"/>
    </row>
    <row r="547">
      <c r="A547" s="144"/>
      <c r="B547" s="142"/>
      <c r="C547" s="142"/>
      <c r="D547" s="142"/>
      <c r="E547" s="142"/>
      <c r="F547" s="142"/>
      <c r="G547" s="142"/>
      <c r="H547" s="142"/>
      <c r="I547" s="142"/>
      <c r="J547" s="142"/>
      <c r="K547" s="142"/>
      <c r="L547" s="142"/>
      <c r="M547" s="142"/>
      <c r="N547" s="142"/>
      <c r="O547" s="142"/>
      <c r="P547" s="142"/>
      <c r="Q547" s="142"/>
      <c r="R547" s="142"/>
      <c r="S547" s="142"/>
      <c r="T547" s="142"/>
      <c r="U547" s="142"/>
      <c r="V547" s="142"/>
      <c r="W547" s="142"/>
      <c r="X547" s="142"/>
      <c r="Y547" s="142"/>
      <c r="Z547" s="142"/>
      <c r="AA547" s="142"/>
      <c r="AB547" s="142"/>
      <c r="AC547" s="142"/>
      <c r="AD547" s="142"/>
      <c r="AE547" s="142"/>
      <c r="AF547" s="142"/>
      <c r="AG547" s="142"/>
      <c r="AH547" s="142"/>
      <c r="AI547" s="142"/>
      <c r="AJ547" s="142"/>
      <c r="AK547" s="142"/>
      <c r="AL547" s="142"/>
      <c r="AM547" s="143"/>
    </row>
    <row r="548">
      <c r="A548" s="144"/>
      <c r="B548" s="142"/>
      <c r="C548" s="142"/>
      <c r="D548" s="142"/>
      <c r="E548" s="142"/>
      <c r="F548" s="142"/>
      <c r="G548" s="142"/>
      <c r="H548" s="142"/>
      <c r="I548" s="142"/>
      <c r="J548" s="142"/>
      <c r="K548" s="142"/>
      <c r="L548" s="142"/>
      <c r="M548" s="142"/>
      <c r="N548" s="142"/>
      <c r="O548" s="142"/>
      <c r="P548" s="142"/>
      <c r="Q548" s="142"/>
      <c r="R548" s="142"/>
      <c r="S548" s="142"/>
      <c r="T548" s="142"/>
      <c r="U548" s="142"/>
      <c r="V548" s="142"/>
      <c r="W548" s="142"/>
      <c r="X548" s="142"/>
      <c r="Y548" s="142"/>
      <c r="Z548" s="142"/>
      <c r="AA548" s="142"/>
      <c r="AB548" s="142"/>
      <c r="AC548" s="142"/>
      <c r="AD548" s="142"/>
      <c r="AE548" s="142"/>
      <c r="AF548" s="142"/>
      <c r="AG548" s="142"/>
      <c r="AH548" s="142"/>
      <c r="AI548" s="142"/>
      <c r="AJ548" s="142"/>
      <c r="AK548" s="142"/>
      <c r="AL548" s="142"/>
      <c r="AM548" s="143"/>
    </row>
    <row r="549">
      <c r="A549" s="144"/>
      <c r="B549" s="142"/>
      <c r="C549" s="142"/>
      <c r="D549" s="142"/>
      <c r="E549" s="142"/>
      <c r="F549" s="142"/>
      <c r="G549" s="142"/>
      <c r="H549" s="142"/>
      <c r="I549" s="142"/>
      <c r="J549" s="142"/>
      <c r="K549" s="142"/>
      <c r="L549" s="142"/>
      <c r="M549" s="142"/>
      <c r="N549" s="142"/>
      <c r="O549" s="142"/>
      <c r="P549" s="142"/>
      <c r="Q549" s="142"/>
      <c r="R549" s="142"/>
      <c r="S549" s="142"/>
      <c r="T549" s="142"/>
      <c r="U549" s="142"/>
      <c r="V549" s="142"/>
      <c r="W549" s="142"/>
      <c r="X549" s="142"/>
      <c r="Y549" s="142"/>
      <c r="Z549" s="142"/>
      <c r="AA549" s="142"/>
      <c r="AB549" s="142"/>
      <c r="AC549" s="142"/>
      <c r="AD549" s="142"/>
      <c r="AE549" s="142"/>
      <c r="AF549" s="142"/>
      <c r="AG549" s="142"/>
      <c r="AH549" s="142"/>
      <c r="AI549" s="142"/>
      <c r="AJ549" s="142"/>
      <c r="AK549" s="142"/>
      <c r="AL549" s="142"/>
      <c r="AM549" s="143"/>
    </row>
    <row r="550">
      <c r="A550" s="144"/>
      <c r="B550" s="142"/>
      <c r="C550" s="142"/>
      <c r="D550" s="142"/>
      <c r="E550" s="142"/>
      <c r="F550" s="142"/>
      <c r="G550" s="142"/>
      <c r="H550" s="142"/>
      <c r="I550" s="142"/>
      <c r="J550" s="142"/>
      <c r="K550" s="142"/>
      <c r="L550" s="142"/>
      <c r="M550" s="142"/>
      <c r="N550" s="142"/>
      <c r="O550" s="142"/>
      <c r="P550" s="142"/>
      <c r="Q550" s="142"/>
      <c r="R550" s="142"/>
      <c r="S550" s="142"/>
      <c r="T550" s="142"/>
      <c r="U550" s="142"/>
      <c r="V550" s="142"/>
      <c r="W550" s="142"/>
      <c r="X550" s="142"/>
      <c r="Y550" s="142"/>
      <c r="Z550" s="142"/>
      <c r="AA550" s="142"/>
      <c r="AB550" s="142"/>
      <c r="AC550" s="142"/>
      <c r="AD550" s="142"/>
      <c r="AE550" s="142"/>
      <c r="AF550" s="142"/>
      <c r="AG550" s="142"/>
      <c r="AH550" s="142"/>
      <c r="AI550" s="142"/>
      <c r="AJ550" s="142"/>
      <c r="AK550" s="142"/>
      <c r="AL550" s="142"/>
      <c r="AM550" s="143"/>
    </row>
    <row r="551">
      <c r="A551" s="144"/>
      <c r="B551" s="142"/>
      <c r="C551" s="142"/>
      <c r="D551" s="142"/>
      <c r="E551" s="142"/>
      <c r="F551" s="142"/>
      <c r="G551" s="142"/>
      <c r="H551" s="142"/>
      <c r="I551" s="142"/>
      <c r="J551" s="142"/>
      <c r="K551" s="142"/>
      <c r="L551" s="142"/>
      <c r="M551" s="142"/>
      <c r="N551" s="142"/>
      <c r="O551" s="142"/>
      <c r="P551" s="142"/>
      <c r="Q551" s="142"/>
      <c r="R551" s="142"/>
      <c r="S551" s="142"/>
      <c r="T551" s="142"/>
      <c r="U551" s="142"/>
      <c r="V551" s="142"/>
      <c r="W551" s="142"/>
      <c r="X551" s="142"/>
      <c r="Y551" s="142"/>
      <c r="Z551" s="142"/>
      <c r="AA551" s="142"/>
      <c r="AB551" s="142"/>
      <c r="AC551" s="142"/>
      <c r="AD551" s="142"/>
      <c r="AE551" s="142"/>
      <c r="AF551" s="142"/>
      <c r="AG551" s="142"/>
      <c r="AH551" s="142"/>
      <c r="AI551" s="142"/>
      <c r="AJ551" s="142"/>
      <c r="AK551" s="142"/>
      <c r="AL551" s="142"/>
      <c r="AM551" s="143"/>
    </row>
    <row r="552">
      <c r="A552" s="144"/>
      <c r="B552" s="142"/>
      <c r="C552" s="142"/>
      <c r="D552" s="142"/>
      <c r="E552" s="142"/>
      <c r="F552" s="142"/>
      <c r="G552" s="142"/>
      <c r="H552" s="142"/>
      <c r="I552" s="142"/>
      <c r="J552" s="142"/>
      <c r="K552" s="142"/>
      <c r="L552" s="142"/>
      <c r="M552" s="142"/>
      <c r="N552" s="142"/>
      <c r="O552" s="142"/>
      <c r="P552" s="142"/>
      <c r="Q552" s="142"/>
      <c r="R552" s="142"/>
      <c r="S552" s="142"/>
      <c r="T552" s="142"/>
      <c r="U552" s="142"/>
      <c r="V552" s="142"/>
      <c r="W552" s="142"/>
      <c r="X552" s="142"/>
      <c r="Y552" s="142"/>
      <c r="Z552" s="142"/>
      <c r="AA552" s="142"/>
      <c r="AB552" s="142"/>
      <c r="AC552" s="142"/>
      <c r="AD552" s="142"/>
      <c r="AE552" s="142"/>
      <c r="AF552" s="142"/>
      <c r="AG552" s="142"/>
      <c r="AH552" s="142"/>
      <c r="AI552" s="142"/>
      <c r="AJ552" s="142"/>
      <c r="AK552" s="142"/>
      <c r="AL552" s="142"/>
      <c r="AM552" s="143"/>
    </row>
    <row r="553">
      <c r="A553" s="144"/>
      <c r="B553" s="142"/>
      <c r="C553" s="142"/>
      <c r="D553" s="142"/>
      <c r="E553" s="142"/>
      <c r="F553" s="142"/>
      <c r="G553" s="142"/>
      <c r="H553" s="142"/>
      <c r="I553" s="142"/>
      <c r="J553" s="142"/>
      <c r="K553" s="142"/>
      <c r="L553" s="142"/>
      <c r="M553" s="142"/>
      <c r="N553" s="142"/>
      <c r="O553" s="142"/>
      <c r="P553" s="142"/>
      <c r="Q553" s="142"/>
      <c r="R553" s="142"/>
      <c r="S553" s="142"/>
      <c r="T553" s="142"/>
      <c r="U553" s="142"/>
      <c r="V553" s="142"/>
      <c r="W553" s="142"/>
      <c r="X553" s="142"/>
      <c r="Y553" s="142"/>
      <c r="Z553" s="142"/>
      <c r="AA553" s="142"/>
      <c r="AB553" s="142"/>
      <c r="AC553" s="142"/>
      <c r="AD553" s="142"/>
      <c r="AE553" s="142"/>
      <c r="AF553" s="142"/>
      <c r="AG553" s="142"/>
      <c r="AH553" s="142"/>
      <c r="AI553" s="142"/>
      <c r="AJ553" s="142"/>
      <c r="AK553" s="142"/>
      <c r="AL553" s="142"/>
      <c r="AM553" s="143"/>
    </row>
    <row r="554">
      <c r="A554" s="144"/>
      <c r="B554" s="142"/>
      <c r="C554" s="142"/>
      <c r="D554" s="142"/>
      <c r="E554" s="142"/>
      <c r="F554" s="142"/>
      <c r="G554" s="142"/>
      <c r="H554" s="142"/>
      <c r="I554" s="142"/>
      <c r="J554" s="142"/>
      <c r="K554" s="142"/>
      <c r="L554" s="142"/>
      <c r="M554" s="142"/>
      <c r="N554" s="142"/>
      <c r="O554" s="142"/>
      <c r="P554" s="142"/>
      <c r="Q554" s="142"/>
      <c r="R554" s="142"/>
      <c r="S554" s="142"/>
      <c r="T554" s="142"/>
      <c r="U554" s="142"/>
      <c r="V554" s="142"/>
      <c r="W554" s="142"/>
      <c r="X554" s="142"/>
      <c r="Y554" s="142"/>
      <c r="Z554" s="142"/>
      <c r="AA554" s="142"/>
      <c r="AB554" s="142"/>
      <c r="AC554" s="142"/>
      <c r="AD554" s="142"/>
      <c r="AE554" s="142"/>
      <c r="AF554" s="142"/>
      <c r="AG554" s="142"/>
      <c r="AH554" s="142"/>
      <c r="AI554" s="142"/>
      <c r="AJ554" s="142"/>
      <c r="AK554" s="142"/>
      <c r="AL554" s="142"/>
      <c r="AM554" s="143"/>
    </row>
    <row r="555">
      <c r="A555" s="144"/>
      <c r="B555" s="142"/>
      <c r="C555" s="142"/>
      <c r="D555" s="142"/>
      <c r="E555" s="142"/>
      <c r="F555" s="142"/>
      <c r="G555" s="142"/>
      <c r="H555" s="142"/>
      <c r="I555" s="142"/>
      <c r="J555" s="142"/>
      <c r="K555" s="142"/>
      <c r="L555" s="142"/>
      <c r="M555" s="142"/>
      <c r="N555" s="142"/>
      <c r="O555" s="142"/>
      <c r="P555" s="142"/>
      <c r="Q555" s="142"/>
      <c r="R555" s="142"/>
      <c r="S555" s="142"/>
      <c r="T555" s="142"/>
      <c r="U555" s="142"/>
      <c r="V555" s="142"/>
      <c r="W555" s="142"/>
      <c r="X555" s="142"/>
      <c r="Y555" s="142"/>
      <c r="Z555" s="142"/>
      <c r="AA555" s="142"/>
      <c r="AB555" s="142"/>
      <c r="AC555" s="142"/>
      <c r="AD555" s="142"/>
      <c r="AE555" s="142"/>
      <c r="AF555" s="142"/>
      <c r="AG555" s="142"/>
      <c r="AH555" s="142"/>
      <c r="AI555" s="142"/>
      <c r="AJ555" s="142"/>
      <c r="AK555" s="142"/>
      <c r="AL555" s="142"/>
      <c r="AM555" s="143"/>
    </row>
    <row r="556">
      <c r="A556" s="144"/>
      <c r="B556" s="142"/>
      <c r="C556" s="142"/>
      <c r="D556" s="142"/>
      <c r="E556" s="142"/>
      <c r="F556" s="142"/>
      <c r="G556" s="142"/>
      <c r="H556" s="142"/>
      <c r="I556" s="142"/>
      <c r="J556" s="142"/>
      <c r="K556" s="142"/>
      <c r="L556" s="142"/>
      <c r="M556" s="142"/>
      <c r="N556" s="142"/>
      <c r="O556" s="142"/>
      <c r="P556" s="142"/>
      <c r="Q556" s="142"/>
      <c r="R556" s="142"/>
      <c r="S556" s="142"/>
      <c r="T556" s="142"/>
      <c r="U556" s="142"/>
      <c r="V556" s="142"/>
      <c r="W556" s="142"/>
      <c r="X556" s="142"/>
      <c r="Y556" s="142"/>
      <c r="Z556" s="142"/>
      <c r="AA556" s="142"/>
      <c r="AB556" s="142"/>
      <c r="AC556" s="142"/>
      <c r="AD556" s="142"/>
      <c r="AE556" s="142"/>
      <c r="AF556" s="142"/>
      <c r="AG556" s="142"/>
      <c r="AH556" s="142"/>
      <c r="AI556" s="142"/>
      <c r="AJ556" s="142"/>
      <c r="AK556" s="142"/>
      <c r="AL556" s="142"/>
      <c r="AM556" s="143"/>
    </row>
    <row r="557">
      <c r="A557" s="144"/>
      <c r="B557" s="142"/>
      <c r="C557" s="142"/>
      <c r="D557" s="142"/>
      <c r="E557" s="142"/>
      <c r="F557" s="142"/>
      <c r="G557" s="142"/>
      <c r="H557" s="142"/>
      <c r="I557" s="142"/>
      <c r="J557" s="142"/>
      <c r="K557" s="142"/>
      <c r="L557" s="142"/>
      <c r="M557" s="142"/>
      <c r="N557" s="142"/>
      <c r="O557" s="142"/>
      <c r="P557" s="142"/>
      <c r="Q557" s="142"/>
      <c r="R557" s="142"/>
      <c r="S557" s="142"/>
      <c r="T557" s="142"/>
      <c r="U557" s="142"/>
      <c r="V557" s="142"/>
      <c r="W557" s="142"/>
      <c r="X557" s="142"/>
      <c r="Y557" s="142"/>
      <c r="Z557" s="142"/>
      <c r="AA557" s="142"/>
      <c r="AB557" s="142"/>
      <c r="AC557" s="142"/>
      <c r="AD557" s="142"/>
      <c r="AE557" s="142"/>
      <c r="AF557" s="142"/>
      <c r="AG557" s="142"/>
      <c r="AH557" s="142"/>
      <c r="AI557" s="142"/>
      <c r="AJ557" s="142"/>
      <c r="AK557" s="142"/>
      <c r="AL557" s="142"/>
      <c r="AM557" s="143"/>
    </row>
    <row r="558">
      <c r="A558" s="144"/>
      <c r="B558" s="142"/>
      <c r="C558" s="142"/>
      <c r="D558" s="142"/>
      <c r="E558" s="142"/>
      <c r="F558" s="142"/>
      <c r="G558" s="142"/>
      <c r="H558" s="142"/>
      <c r="I558" s="142"/>
      <c r="J558" s="142"/>
      <c r="K558" s="142"/>
      <c r="L558" s="142"/>
      <c r="M558" s="142"/>
      <c r="N558" s="142"/>
      <c r="O558" s="142"/>
      <c r="P558" s="142"/>
      <c r="Q558" s="142"/>
      <c r="R558" s="142"/>
      <c r="S558" s="142"/>
      <c r="T558" s="142"/>
      <c r="U558" s="142"/>
      <c r="V558" s="142"/>
      <c r="W558" s="142"/>
      <c r="X558" s="142"/>
      <c r="Y558" s="142"/>
      <c r="Z558" s="142"/>
      <c r="AA558" s="142"/>
      <c r="AB558" s="142"/>
      <c r="AC558" s="142"/>
      <c r="AD558" s="142"/>
      <c r="AE558" s="142"/>
      <c r="AF558" s="142"/>
      <c r="AG558" s="142"/>
      <c r="AH558" s="142"/>
      <c r="AI558" s="142"/>
      <c r="AJ558" s="142"/>
      <c r="AK558" s="142"/>
      <c r="AL558" s="142"/>
      <c r="AM558" s="143"/>
    </row>
    <row r="559">
      <c r="A559" s="144"/>
      <c r="B559" s="142"/>
      <c r="C559" s="142"/>
      <c r="D559" s="142"/>
      <c r="E559" s="142"/>
      <c r="F559" s="142"/>
      <c r="G559" s="142"/>
      <c r="H559" s="142"/>
      <c r="I559" s="142"/>
      <c r="J559" s="142"/>
      <c r="K559" s="142"/>
      <c r="L559" s="142"/>
      <c r="M559" s="142"/>
      <c r="N559" s="142"/>
      <c r="O559" s="142"/>
      <c r="P559" s="142"/>
      <c r="Q559" s="142"/>
      <c r="R559" s="142"/>
      <c r="S559" s="142"/>
      <c r="T559" s="142"/>
      <c r="U559" s="142"/>
      <c r="V559" s="142"/>
      <c r="W559" s="142"/>
      <c r="X559" s="142"/>
      <c r="Y559" s="142"/>
      <c r="Z559" s="142"/>
      <c r="AA559" s="142"/>
      <c r="AB559" s="142"/>
      <c r="AC559" s="142"/>
      <c r="AD559" s="142"/>
      <c r="AE559" s="142"/>
      <c r="AF559" s="142"/>
      <c r="AG559" s="142"/>
      <c r="AH559" s="142"/>
      <c r="AI559" s="142"/>
      <c r="AJ559" s="142"/>
      <c r="AK559" s="142"/>
      <c r="AL559" s="142"/>
      <c r="AM559" s="143"/>
    </row>
    <row r="560">
      <c r="A560" s="144"/>
      <c r="B560" s="142"/>
      <c r="C560" s="142"/>
      <c r="D560" s="142"/>
      <c r="E560" s="142"/>
      <c r="F560" s="142"/>
      <c r="G560" s="142"/>
      <c r="H560" s="142"/>
      <c r="I560" s="142"/>
      <c r="J560" s="142"/>
      <c r="K560" s="142"/>
      <c r="L560" s="142"/>
      <c r="M560" s="142"/>
      <c r="N560" s="142"/>
      <c r="O560" s="142"/>
      <c r="P560" s="142"/>
      <c r="Q560" s="142"/>
      <c r="R560" s="142"/>
      <c r="S560" s="142"/>
      <c r="T560" s="142"/>
      <c r="U560" s="142"/>
      <c r="V560" s="142"/>
      <c r="W560" s="142"/>
      <c r="X560" s="142"/>
      <c r="Y560" s="142"/>
      <c r="Z560" s="142"/>
      <c r="AA560" s="142"/>
      <c r="AB560" s="142"/>
      <c r="AC560" s="142"/>
      <c r="AD560" s="142"/>
      <c r="AE560" s="142"/>
      <c r="AF560" s="142"/>
      <c r="AG560" s="142"/>
      <c r="AH560" s="142"/>
      <c r="AI560" s="142"/>
      <c r="AJ560" s="142"/>
      <c r="AK560" s="142"/>
      <c r="AL560" s="142"/>
      <c r="AM560" s="143"/>
    </row>
    <row r="561">
      <c r="A561" s="144"/>
      <c r="B561" s="142"/>
      <c r="C561" s="142"/>
      <c r="D561" s="142"/>
      <c r="E561" s="142"/>
      <c r="F561" s="142"/>
      <c r="G561" s="142"/>
      <c r="H561" s="142"/>
      <c r="I561" s="142"/>
      <c r="J561" s="142"/>
      <c r="K561" s="142"/>
      <c r="L561" s="142"/>
      <c r="M561" s="142"/>
      <c r="N561" s="142"/>
      <c r="O561" s="142"/>
      <c r="P561" s="142"/>
      <c r="Q561" s="142"/>
      <c r="R561" s="142"/>
      <c r="S561" s="142"/>
      <c r="T561" s="142"/>
      <c r="U561" s="142"/>
      <c r="V561" s="142"/>
      <c r="W561" s="142"/>
      <c r="X561" s="142"/>
      <c r="Y561" s="142"/>
      <c r="Z561" s="142"/>
      <c r="AA561" s="142"/>
      <c r="AB561" s="142"/>
      <c r="AC561" s="142"/>
      <c r="AD561" s="142"/>
      <c r="AE561" s="142"/>
      <c r="AF561" s="142"/>
      <c r="AG561" s="142"/>
      <c r="AH561" s="142"/>
      <c r="AI561" s="142"/>
      <c r="AJ561" s="142"/>
      <c r="AK561" s="142"/>
      <c r="AL561" s="142"/>
      <c r="AM561" s="143"/>
    </row>
    <row r="562">
      <c r="A562" s="144"/>
      <c r="B562" s="142"/>
      <c r="C562" s="142"/>
      <c r="D562" s="142"/>
      <c r="E562" s="142"/>
      <c r="F562" s="142"/>
      <c r="G562" s="142"/>
      <c r="H562" s="142"/>
      <c r="I562" s="142"/>
      <c r="J562" s="142"/>
      <c r="K562" s="142"/>
      <c r="L562" s="142"/>
      <c r="M562" s="142"/>
      <c r="N562" s="142"/>
      <c r="O562" s="142"/>
      <c r="P562" s="142"/>
      <c r="Q562" s="142"/>
      <c r="R562" s="142"/>
      <c r="S562" s="142"/>
      <c r="T562" s="142"/>
      <c r="U562" s="142"/>
      <c r="V562" s="142"/>
      <c r="W562" s="142"/>
      <c r="X562" s="142"/>
      <c r="Y562" s="142"/>
      <c r="Z562" s="142"/>
      <c r="AA562" s="142"/>
      <c r="AB562" s="142"/>
      <c r="AC562" s="142"/>
      <c r="AD562" s="142"/>
      <c r="AE562" s="142"/>
      <c r="AF562" s="142"/>
      <c r="AG562" s="142"/>
      <c r="AH562" s="142"/>
      <c r="AI562" s="142"/>
      <c r="AJ562" s="142"/>
      <c r="AK562" s="142"/>
      <c r="AL562" s="142"/>
      <c r="AM562" s="143"/>
    </row>
    <row r="563">
      <c r="A563" s="144"/>
      <c r="B563" s="142"/>
      <c r="C563" s="142"/>
      <c r="D563" s="142"/>
      <c r="E563" s="142"/>
      <c r="F563" s="142"/>
      <c r="G563" s="142"/>
      <c r="H563" s="142"/>
      <c r="I563" s="142"/>
      <c r="J563" s="142"/>
      <c r="K563" s="142"/>
      <c r="L563" s="142"/>
      <c r="M563" s="142"/>
      <c r="N563" s="142"/>
      <c r="O563" s="142"/>
      <c r="P563" s="142"/>
      <c r="Q563" s="142"/>
      <c r="R563" s="142"/>
      <c r="S563" s="142"/>
      <c r="T563" s="142"/>
      <c r="U563" s="142"/>
      <c r="V563" s="142"/>
      <c r="W563" s="142"/>
      <c r="X563" s="142"/>
      <c r="Y563" s="142"/>
      <c r="Z563" s="142"/>
      <c r="AA563" s="142"/>
      <c r="AB563" s="142"/>
      <c r="AC563" s="142"/>
      <c r="AD563" s="142"/>
      <c r="AE563" s="142"/>
      <c r="AF563" s="142"/>
      <c r="AG563" s="142"/>
      <c r="AH563" s="142"/>
      <c r="AI563" s="142"/>
      <c r="AJ563" s="142"/>
      <c r="AK563" s="142"/>
      <c r="AL563" s="142"/>
      <c r="AM563" s="143"/>
    </row>
    <row r="564">
      <c r="A564" s="144"/>
      <c r="B564" s="142"/>
      <c r="C564" s="142"/>
      <c r="D564" s="142"/>
      <c r="E564" s="142"/>
      <c r="F564" s="142"/>
      <c r="G564" s="142"/>
      <c r="H564" s="142"/>
      <c r="I564" s="142"/>
      <c r="J564" s="142"/>
      <c r="K564" s="142"/>
      <c r="L564" s="142"/>
      <c r="M564" s="142"/>
      <c r="N564" s="142"/>
      <c r="O564" s="142"/>
      <c r="P564" s="142"/>
      <c r="Q564" s="142"/>
      <c r="R564" s="142"/>
      <c r="S564" s="142"/>
      <c r="T564" s="142"/>
      <c r="U564" s="142"/>
      <c r="V564" s="142"/>
      <c r="W564" s="142"/>
      <c r="X564" s="142"/>
      <c r="Y564" s="142"/>
      <c r="Z564" s="142"/>
      <c r="AA564" s="142"/>
      <c r="AB564" s="142"/>
      <c r="AC564" s="142"/>
      <c r="AD564" s="142"/>
      <c r="AE564" s="142"/>
      <c r="AF564" s="142"/>
      <c r="AG564" s="142"/>
      <c r="AH564" s="142"/>
      <c r="AI564" s="142"/>
      <c r="AJ564" s="142"/>
      <c r="AK564" s="142"/>
      <c r="AL564" s="142"/>
      <c r="AM564" s="143"/>
    </row>
    <row r="565">
      <c r="A565" s="144"/>
      <c r="B565" s="142"/>
      <c r="C565" s="142"/>
      <c r="D565" s="142"/>
      <c r="E565" s="142"/>
      <c r="F565" s="142"/>
      <c r="G565" s="142"/>
      <c r="H565" s="142"/>
      <c r="I565" s="142"/>
      <c r="J565" s="142"/>
      <c r="K565" s="142"/>
      <c r="L565" s="142"/>
      <c r="M565" s="142"/>
      <c r="N565" s="142"/>
      <c r="O565" s="142"/>
      <c r="P565" s="142"/>
      <c r="Q565" s="142"/>
      <c r="R565" s="142"/>
      <c r="S565" s="142"/>
      <c r="T565" s="142"/>
      <c r="U565" s="142"/>
      <c r="V565" s="142"/>
      <c r="W565" s="142"/>
      <c r="X565" s="142"/>
      <c r="Y565" s="142"/>
      <c r="Z565" s="142"/>
      <c r="AA565" s="142"/>
      <c r="AB565" s="142"/>
      <c r="AC565" s="142"/>
      <c r="AD565" s="142"/>
      <c r="AE565" s="142"/>
      <c r="AF565" s="142"/>
      <c r="AG565" s="142"/>
      <c r="AH565" s="142"/>
      <c r="AI565" s="142"/>
      <c r="AJ565" s="142"/>
      <c r="AK565" s="142"/>
      <c r="AL565" s="142"/>
      <c r="AM565" s="143"/>
    </row>
    <row r="566">
      <c r="A566" s="144"/>
      <c r="B566" s="142"/>
      <c r="C566" s="142"/>
      <c r="D566" s="142"/>
      <c r="E566" s="142"/>
      <c r="F566" s="142"/>
      <c r="G566" s="142"/>
      <c r="H566" s="142"/>
      <c r="I566" s="142"/>
      <c r="J566" s="142"/>
      <c r="K566" s="142"/>
      <c r="L566" s="142"/>
      <c r="M566" s="142"/>
      <c r="N566" s="142"/>
      <c r="O566" s="142"/>
      <c r="P566" s="142"/>
      <c r="Q566" s="142"/>
      <c r="R566" s="142"/>
      <c r="S566" s="142"/>
      <c r="T566" s="142"/>
      <c r="U566" s="142"/>
      <c r="V566" s="142"/>
      <c r="W566" s="142"/>
      <c r="X566" s="142"/>
      <c r="Y566" s="142"/>
      <c r="Z566" s="142"/>
      <c r="AA566" s="142"/>
      <c r="AB566" s="142"/>
      <c r="AC566" s="142"/>
      <c r="AD566" s="142"/>
      <c r="AE566" s="142"/>
      <c r="AF566" s="142"/>
      <c r="AG566" s="142"/>
      <c r="AH566" s="142"/>
      <c r="AI566" s="142"/>
      <c r="AJ566" s="142"/>
      <c r="AK566" s="142"/>
      <c r="AL566" s="142"/>
      <c r="AM566" s="143"/>
    </row>
    <row r="567">
      <c r="A567" s="144"/>
      <c r="B567" s="142"/>
      <c r="C567" s="142"/>
      <c r="D567" s="142"/>
      <c r="E567" s="142"/>
      <c r="F567" s="142"/>
      <c r="G567" s="142"/>
      <c r="H567" s="142"/>
      <c r="I567" s="142"/>
      <c r="J567" s="142"/>
      <c r="K567" s="142"/>
      <c r="L567" s="142"/>
      <c r="M567" s="142"/>
      <c r="N567" s="142"/>
      <c r="O567" s="142"/>
      <c r="P567" s="142"/>
      <c r="Q567" s="142"/>
      <c r="R567" s="142"/>
      <c r="S567" s="142"/>
      <c r="T567" s="142"/>
      <c r="U567" s="142"/>
      <c r="V567" s="142"/>
      <c r="W567" s="142"/>
      <c r="X567" s="142"/>
      <c r="Y567" s="142"/>
      <c r="Z567" s="142"/>
      <c r="AA567" s="142"/>
      <c r="AB567" s="142"/>
      <c r="AC567" s="142"/>
      <c r="AD567" s="142"/>
      <c r="AE567" s="142"/>
      <c r="AF567" s="142"/>
      <c r="AG567" s="142"/>
      <c r="AH567" s="142"/>
      <c r="AI567" s="142"/>
      <c r="AJ567" s="142"/>
      <c r="AK567" s="142"/>
      <c r="AL567" s="142"/>
      <c r="AM567" s="143"/>
    </row>
    <row r="568">
      <c r="A568" s="144"/>
      <c r="B568" s="142"/>
      <c r="C568" s="142"/>
      <c r="D568" s="142"/>
      <c r="E568" s="142"/>
      <c r="F568" s="142"/>
      <c r="G568" s="142"/>
      <c r="H568" s="142"/>
      <c r="I568" s="142"/>
      <c r="J568" s="142"/>
      <c r="K568" s="142"/>
      <c r="L568" s="142"/>
      <c r="M568" s="142"/>
      <c r="N568" s="142"/>
      <c r="O568" s="142"/>
      <c r="P568" s="142"/>
      <c r="Q568" s="142"/>
      <c r="R568" s="142"/>
      <c r="S568" s="142"/>
      <c r="T568" s="142"/>
      <c r="U568" s="142"/>
      <c r="V568" s="142"/>
      <c r="W568" s="142"/>
      <c r="X568" s="142"/>
      <c r="Y568" s="142"/>
      <c r="Z568" s="142"/>
      <c r="AA568" s="142"/>
      <c r="AB568" s="142"/>
      <c r="AC568" s="142"/>
      <c r="AD568" s="142"/>
      <c r="AE568" s="142"/>
      <c r="AF568" s="142"/>
      <c r="AG568" s="142"/>
      <c r="AH568" s="142"/>
      <c r="AI568" s="142"/>
      <c r="AJ568" s="142"/>
      <c r="AK568" s="142"/>
      <c r="AL568" s="142"/>
      <c r="AM568" s="143"/>
    </row>
    <row r="569">
      <c r="A569" s="144"/>
      <c r="B569" s="142"/>
      <c r="C569" s="142"/>
      <c r="D569" s="142"/>
      <c r="E569" s="142"/>
      <c r="F569" s="142"/>
      <c r="G569" s="142"/>
      <c r="H569" s="142"/>
      <c r="I569" s="142"/>
      <c r="J569" s="142"/>
      <c r="K569" s="142"/>
      <c r="L569" s="142"/>
      <c r="M569" s="142"/>
      <c r="N569" s="142"/>
      <c r="O569" s="142"/>
      <c r="P569" s="142"/>
      <c r="Q569" s="142"/>
      <c r="R569" s="142"/>
      <c r="S569" s="142"/>
      <c r="T569" s="142"/>
      <c r="U569" s="142"/>
      <c r="V569" s="142"/>
      <c r="W569" s="142"/>
      <c r="X569" s="142"/>
      <c r="Y569" s="142"/>
      <c r="Z569" s="142"/>
      <c r="AA569" s="142"/>
      <c r="AB569" s="142"/>
      <c r="AC569" s="142"/>
      <c r="AD569" s="142"/>
      <c r="AE569" s="142"/>
      <c r="AF569" s="142"/>
      <c r="AG569" s="142"/>
      <c r="AH569" s="142"/>
      <c r="AI569" s="142"/>
      <c r="AJ569" s="142"/>
      <c r="AK569" s="142"/>
      <c r="AL569" s="142"/>
      <c r="AM569" s="143"/>
    </row>
    <row r="570">
      <c r="A570" s="144"/>
      <c r="B570" s="142"/>
      <c r="C570" s="142"/>
      <c r="D570" s="142"/>
      <c r="E570" s="142"/>
      <c r="F570" s="142"/>
      <c r="G570" s="142"/>
      <c r="H570" s="142"/>
      <c r="I570" s="142"/>
      <c r="J570" s="142"/>
      <c r="K570" s="142"/>
      <c r="L570" s="142"/>
      <c r="M570" s="142"/>
      <c r="N570" s="142"/>
      <c r="O570" s="142"/>
      <c r="P570" s="142"/>
      <c r="Q570" s="142"/>
      <c r="R570" s="142"/>
      <c r="S570" s="142"/>
      <c r="T570" s="142"/>
      <c r="U570" s="142"/>
      <c r="V570" s="142"/>
      <c r="W570" s="142"/>
      <c r="X570" s="142"/>
      <c r="Y570" s="142"/>
      <c r="Z570" s="142"/>
      <c r="AA570" s="142"/>
      <c r="AB570" s="142"/>
      <c r="AC570" s="142"/>
      <c r="AD570" s="142"/>
      <c r="AE570" s="142"/>
      <c r="AF570" s="142"/>
      <c r="AG570" s="142"/>
      <c r="AH570" s="142"/>
      <c r="AI570" s="142"/>
      <c r="AJ570" s="142"/>
      <c r="AK570" s="142"/>
      <c r="AL570" s="142"/>
      <c r="AM570" s="143"/>
    </row>
    <row r="571">
      <c r="A571" s="144"/>
      <c r="B571" s="142"/>
      <c r="C571" s="142"/>
      <c r="D571" s="142"/>
      <c r="E571" s="142"/>
      <c r="F571" s="142"/>
      <c r="G571" s="142"/>
      <c r="H571" s="142"/>
      <c r="I571" s="142"/>
      <c r="J571" s="142"/>
      <c r="K571" s="142"/>
      <c r="L571" s="142"/>
      <c r="M571" s="142"/>
      <c r="N571" s="142"/>
      <c r="O571" s="142"/>
      <c r="P571" s="142"/>
      <c r="Q571" s="142"/>
      <c r="R571" s="142"/>
      <c r="S571" s="142"/>
      <c r="T571" s="142"/>
      <c r="U571" s="142"/>
      <c r="V571" s="142"/>
      <c r="W571" s="142"/>
      <c r="X571" s="142"/>
      <c r="Y571" s="142"/>
      <c r="Z571" s="142"/>
      <c r="AA571" s="142"/>
      <c r="AB571" s="142"/>
      <c r="AC571" s="142"/>
      <c r="AD571" s="142"/>
      <c r="AE571" s="142"/>
      <c r="AF571" s="142"/>
      <c r="AG571" s="142"/>
      <c r="AH571" s="142"/>
      <c r="AI571" s="142"/>
      <c r="AJ571" s="142"/>
      <c r="AK571" s="142"/>
      <c r="AL571" s="142"/>
      <c r="AM571" s="143"/>
    </row>
    <row r="572">
      <c r="A572" s="144"/>
      <c r="B572" s="142"/>
      <c r="C572" s="142"/>
      <c r="D572" s="142"/>
      <c r="E572" s="142"/>
      <c r="F572" s="142"/>
      <c r="G572" s="142"/>
      <c r="H572" s="142"/>
      <c r="I572" s="142"/>
      <c r="J572" s="142"/>
      <c r="K572" s="142"/>
      <c r="L572" s="142"/>
      <c r="M572" s="142"/>
      <c r="N572" s="142"/>
      <c r="O572" s="142"/>
      <c r="P572" s="142"/>
      <c r="Q572" s="142"/>
      <c r="R572" s="142"/>
      <c r="S572" s="142"/>
      <c r="T572" s="142"/>
      <c r="U572" s="142"/>
      <c r="V572" s="142"/>
      <c r="W572" s="142"/>
      <c r="X572" s="142"/>
      <c r="Y572" s="142"/>
      <c r="Z572" s="142"/>
      <c r="AA572" s="142"/>
      <c r="AB572" s="142"/>
      <c r="AC572" s="142"/>
      <c r="AD572" s="142"/>
      <c r="AE572" s="142"/>
      <c r="AF572" s="142"/>
      <c r="AG572" s="142"/>
      <c r="AH572" s="142"/>
      <c r="AI572" s="142"/>
      <c r="AJ572" s="142"/>
      <c r="AK572" s="142"/>
      <c r="AL572" s="142"/>
      <c r="AM572" s="143"/>
    </row>
    <row r="573">
      <c r="A573" s="144"/>
      <c r="B573" s="142"/>
      <c r="C573" s="142"/>
      <c r="D573" s="142"/>
      <c r="E573" s="142"/>
      <c r="F573" s="142"/>
      <c r="G573" s="142"/>
      <c r="H573" s="142"/>
      <c r="I573" s="142"/>
      <c r="J573" s="142"/>
      <c r="K573" s="142"/>
      <c r="L573" s="142"/>
      <c r="M573" s="142"/>
      <c r="N573" s="142"/>
      <c r="O573" s="142"/>
      <c r="P573" s="142"/>
      <c r="Q573" s="142"/>
      <c r="R573" s="142"/>
      <c r="S573" s="142"/>
      <c r="T573" s="142"/>
      <c r="U573" s="142"/>
      <c r="V573" s="142"/>
      <c r="W573" s="142"/>
      <c r="X573" s="142"/>
      <c r="Y573" s="142"/>
      <c r="Z573" s="142"/>
      <c r="AA573" s="142"/>
      <c r="AB573" s="142"/>
      <c r="AC573" s="142"/>
      <c r="AD573" s="142"/>
      <c r="AE573" s="142"/>
      <c r="AF573" s="142"/>
      <c r="AG573" s="142"/>
      <c r="AH573" s="142"/>
      <c r="AI573" s="142"/>
      <c r="AJ573" s="142"/>
      <c r="AK573" s="142"/>
      <c r="AL573" s="142"/>
      <c r="AM573" s="143"/>
    </row>
    <row r="574">
      <c r="A574" s="144"/>
      <c r="B574" s="142"/>
      <c r="C574" s="142"/>
      <c r="D574" s="142"/>
      <c r="E574" s="142"/>
      <c r="F574" s="142"/>
      <c r="G574" s="142"/>
      <c r="H574" s="142"/>
      <c r="I574" s="142"/>
      <c r="J574" s="142"/>
      <c r="K574" s="142"/>
      <c r="L574" s="142"/>
      <c r="M574" s="142"/>
      <c r="N574" s="142"/>
      <c r="O574" s="142"/>
      <c r="P574" s="142"/>
      <c r="Q574" s="142"/>
      <c r="R574" s="142"/>
      <c r="S574" s="142"/>
      <c r="T574" s="142"/>
      <c r="U574" s="142"/>
      <c r="V574" s="142"/>
      <c r="W574" s="142"/>
      <c r="X574" s="142"/>
      <c r="Y574" s="142"/>
      <c r="Z574" s="142"/>
      <c r="AA574" s="142"/>
      <c r="AB574" s="142"/>
      <c r="AC574" s="142"/>
      <c r="AD574" s="142"/>
      <c r="AE574" s="142"/>
      <c r="AF574" s="142"/>
      <c r="AG574" s="142"/>
      <c r="AH574" s="142"/>
      <c r="AI574" s="142"/>
      <c r="AJ574" s="142"/>
      <c r="AK574" s="142"/>
      <c r="AL574" s="142"/>
      <c r="AM574" s="143"/>
    </row>
    <row r="575">
      <c r="A575" s="144"/>
      <c r="B575" s="142"/>
      <c r="C575" s="142"/>
      <c r="D575" s="142"/>
      <c r="E575" s="142"/>
      <c r="F575" s="142"/>
      <c r="G575" s="142"/>
      <c r="H575" s="142"/>
      <c r="I575" s="142"/>
      <c r="J575" s="142"/>
      <c r="K575" s="142"/>
      <c r="L575" s="142"/>
      <c r="M575" s="142"/>
      <c r="N575" s="142"/>
      <c r="O575" s="142"/>
      <c r="P575" s="142"/>
      <c r="Q575" s="142"/>
      <c r="R575" s="142"/>
      <c r="S575" s="142"/>
      <c r="T575" s="142"/>
      <c r="U575" s="142"/>
      <c r="V575" s="142"/>
      <c r="W575" s="142"/>
      <c r="X575" s="142"/>
      <c r="Y575" s="142"/>
      <c r="Z575" s="142"/>
      <c r="AA575" s="142"/>
      <c r="AB575" s="142"/>
      <c r="AC575" s="142"/>
      <c r="AD575" s="142"/>
      <c r="AE575" s="142"/>
      <c r="AF575" s="142"/>
      <c r="AG575" s="142"/>
      <c r="AH575" s="142"/>
      <c r="AI575" s="142"/>
      <c r="AJ575" s="142"/>
      <c r="AK575" s="142"/>
      <c r="AL575" s="142"/>
      <c r="AM575" s="143"/>
    </row>
    <row r="576">
      <c r="A576" s="144"/>
      <c r="B576" s="142"/>
      <c r="C576" s="142"/>
      <c r="D576" s="142"/>
      <c r="E576" s="142"/>
      <c r="F576" s="142"/>
      <c r="G576" s="142"/>
      <c r="H576" s="142"/>
      <c r="I576" s="142"/>
      <c r="J576" s="142"/>
      <c r="K576" s="142"/>
      <c r="L576" s="142"/>
      <c r="M576" s="142"/>
      <c r="N576" s="142"/>
      <c r="O576" s="142"/>
      <c r="P576" s="142"/>
      <c r="Q576" s="142"/>
      <c r="R576" s="142"/>
      <c r="S576" s="142"/>
      <c r="T576" s="142"/>
      <c r="U576" s="142"/>
      <c r="V576" s="142"/>
      <c r="W576" s="142"/>
      <c r="X576" s="142"/>
      <c r="Y576" s="142"/>
      <c r="Z576" s="142"/>
      <c r="AA576" s="142"/>
      <c r="AB576" s="142"/>
      <c r="AC576" s="142"/>
      <c r="AD576" s="142"/>
      <c r="AE576" s="142"/>
      <c r="AF576" s="142"/>
      <c r="AG576" s="142"/>
      <c r="AH576" s="142"/>
      <c r="AI576" s="142"/>
      <c r="AJ576" s="142"/>
      <c r="AK576" s="142"/>
      <c r="AL576" s="142"/>
      <c r="AM576" s="143"/>
    </row>
    <row r="577">
      <c r="A577" s="144"/>
      <c r="B577" s="142"/>
      <c r="C577" s="142"/>
      <c r="D577" s="142"/>
      <c r="E577" s="142"/>
      <c r="F577" s="142"/>
      <c r="G577" s="142"/>
      <c r="H577" s="142"/>
      <c r="I577" s="142"/>
      <c r="J577" s="142"/>
      <c r="K577" s="142"/>
      <c r="L577" s="142"/>
      <c r="M577" s="142"/>
      <c r="N577" s="142"/>
      <c r="O577" s="142"/>
      <c r="P577" s="142"/>
      <c r="Q577" s="142"/>
      <c r="R577" s="142"/>
      <c r="S577" s="142"/>
      <c r="T577" s="142"/>
      <c r="U577" s="142"/>
      <c r="V577" s="142"/>
      <c r="W577" s="142"/>
      <c r="X577" s="142"/>
      <c r="Y577" s="142"/>
      <c r="Z577" s="142"/>
      <c r="AA577" s="142"/>
      <c r="AB577" s="142"/>
      <c r="AC577" s="142"/>
      <c r="AD577" s="142"/>
      <c r="AE577" s="142"/>
      <c r="AF577" s="142"/>
      <c r="AG577" s="142"/>
      <c r="AH577" s="142"/>
      <c r="AI577" s="142"/>
      <c r="AJ577" s="142"/>
      <c r="AK577" s="142"/>
      <c r="AL577" s="142"/>
      <c r="AM577" s="143"/>
    </row>
    <row r="578">
      <c r="A578" s="144"/>
      <c r="B578" s="142"/>
      <c r="C578" s="142"/>
      <c r="D578" s="142"/>
      <c r="E578" s="142"/>
      <c r="F578" s="142"/>
      <c r="G578" s="142"/>
      <c r="H578" s="142"/>
      <c r="I578" s="142"/>
      <c r="J578" s="142"/>
      <c r="K578" s="142"/>
      <c r="L578" s="142"/>
      <c r="M578" s="142"/>
      <c r="N578" s="142"/>
      <c r="O578" s="142"/>
      <c r="P578" s="142"/>
      <c r="Q578" s="142"/>
      <c r="R578" s="142"/>
      <c r="S578" s="142"/>
      <c r="T578" s="142"/>
      <c r="U578" s="142"/>
      <c r="V578" s="142"/>
      <c r="W578" s="142"/>
      <c r="X578" s="142"/>
      <c r="Y578" s="142"/>
      <c r="Z578" s="142"/>
      <c r="AA578" s="142"/>
      <c r="AB578" s="142"/>
      <c r="AC578" s="142"/>
      <c r="AD578" s="142"/>
      <c r="AE578" s="142"/>
      <c r="AF578" s="142"/>
      <c r="AG578" s="142"/>
      <c r="AH578" s="142"/>
      <c r="AI578" s="142"/>
      <c r="AJ578" s="142"/>
      <c r="AK578" s="142"/>
      <c r="AL578" s="142"/>
      <c r="AM578" s="143"/>
    </row>
    <row r="579">
      <c r="A579" s="144"/>
      <c r="B579" s="142"/>
      <c r="C579" s="142"/>
      <c r="D579" s="142"/>
      <c r="E579" s="142"/>
      <c r="F579" s="142"/>
      <c r="G579" s="142"/>
      <c r="H579" s="142"/>
      <c r="I579" s="142"/>
      <c r="J579" s="142"/>
      <c r="K579" s="142"/>
      <c r="L579" s="142"/>
      <c r="M579" s="142"/>
      <c r="N579" s="142"/>
      <c r="O579" s="142"/>
      <c r="P579" s="142"/>
      <c r="Q579" s="142"/>
      <c r="R579" s="142"/>
      <c r="S579" s="142"/>
      <c r="T579" s="142"/>
      <c r="U579" s="142"/>
      <c r="V579" s="142"/>
      <c r="W579" s="142"/>
      <c r="X579" s="142"/>
      <c r="Y579" s="142"/>
      <c r="Z579" s="142"/>
      <c r="AA579" s="142"/>
      <c r="AB579" s="142"/>
      <c r="AC579" s="142"/>
      <c r="AD579" s="142"/>
      <c r="AE579" s="142"/>
      <c r="AF579" s="142"/>
      <c r="AG579" s="142"/>
      <c r="AH579" s="142"/>
      <c r="AI579" s="142"/>
      <c r="AJ579" s="142"/>
      <c r="AK579" s="142"/>
      <c r="AL579" s="142"/>
      <c r="AM579" s="143"/>
    </row>
    <row r="580">
      <c r="A580" s="144"/>
      <c r="B580" s="142"/>
      <c r="C580" s="142"/>
      <c r="D580" s="142"/>
      <c r="E580" s="142"/>
      <c r="F580" s="142"/>
      <c r="G580" s="142"/>
      <c r="H580" s="142"/>
      <c r="I580" s="142"/>
      <c r="J580" s="142"/>
      <c r="K580" s="142"/>
      <c r="L580" s="142"/>
      <c r="M580" s="142"/>
      <c r="N580" s="142"/>
      <c r="O580" s="142"/>
      <c r="P580" s="142"/>
      <c r="Q580" s="142"/>
      <c r="R580" s="142"/>
      <c r="S580" s="142"/>
      <c r="T580" s="142"/>
      <c r="U580" s="142"/>
      <c r="V580" s="142"/>
      <c r="W580" s="142"/>
      <c r="X580" s="142"/>
      <c r="Y580" s="142"/>
      <c r="Z580" s="142"/>
      <c r="AA580" s="142"/>
      <c r="AB580" s="142"/>
      <c r="AC580" s="142"/>
      <c r="AD580" s="142"/>
      <c r="AE580" s="142"/>
      <c r="AF580" s="142"/>
      <c r="AG580" s="142"/>
      <c r="AH580" s="142"/>
      <c r="AI580" s="142"/>
      <c r="AJ580" s="142"/>
      <c r="AK580" s="142"/>
      <c r="AL580" s="142"/>
      <c r="AM580" s="143"/>
    </row>
    <row r="581">
      <c r="A581" s="144"/>
      <c r="B581" s="142"/>
      <c r="C581" s="142"/>
      <c r="D581" s="142"/>
      <c r="E581" s="142"/>
      <c r="F581" s="142"/>
      <c r="G581" s="142"/>
      <c r="H581" s="142"/>
      <c r="I581" s="142"/>
      <c r="J581" s="142"/>
      <c r="K581" s="142"/>
      <c r="L581" s="142"/>
      <c r="M581" s="142"/>
      <c r="N581" s="142"/>
      <c r="O581" s="142"/>
      <c r="P581" s="142"/>
      <c r="Q581" s="142"/>
      <c r="R581" s="142"/>
      <c r="S581" s="142"/>
      <c r="T581" s="142"/>
      <c r="U581" s="142"/>
      <c r="V581" s="142"/>
      <c r="W581" s="142"/>
      <c r="X581" s="142"/>
      <c r="Y581" s="142"/>
      <c r="Z581" s="142"/>
      <c r="AA581" s="142"/>
      <c r="AB581" s="142"/>
      <c r="AC581" s="142"/>
      <c r="AD581" s="142"/>
      <c r="AE581" s="142"/>
      <c r="AF581" s="142"/>
      <c r="AG581" s="142"/>
      <c r="AH581" s="142"/>
      <c r="AI581" s="142"/>
      <c r="AJ581" s="142"/>
      <c r="AK581" s="142"/>
      <c r="AL581" s="142"/>
      <c r="AM581" s="143"/>
    </row>
    <row r="582">
      <c r="A582" s="144"/>
      <c r="B582" s="142"/>
      <c r="C582" s="142"/>
      <c r="D582" s="142"/>
      <c r="E582" s="142"/>
      <c r="F582" s="142"/>
      <c r="G582" s="142"/>
      <c r="H582" s="142"/>
      <c r="I582" s="142"/>
      <c r="J582" s="142"/>
      <c r="K582" s="142"/>
      <c r="L582" s="142"/>
      <c r="M582" s="142"/>
      <c r="N582" s="142"/>
      <c r="O582" s="142"/>
      <c r="P582" s="142"/>
      <c r="Q582" s="142"/>
      <c r="R582" s="142"/>
      <c r="S582" s="142"/>
      <c r="T582" s="142"/>
      <c r="U582" s="142"/>
      <c r="V582" s="142"/>
      <c r="W582" s="142"/>
      <c r="X582" s="142"/>
      <c r="Y582" s="142"/>
      <c r="Z582" s="142"/>
      <c r="AA582" s="142"/>
      <c r="AB582" s="142"/>
      <c r="AC582" s="142"/>
      <c r="AD582" s="142"/>
      <c r="AE582" s="142"/>
      <c r="AF582" s="142"/>
      <c r="AG582" s="142"/>
      <c r="AH582" s="142"/>
      <c r="AI582" s="142"/>
      <c r="AJ582" s="142"/>
      <c r="AK582" s="142"/>
      <c r="AL582" s="142"/>
      <c r="AM582" s="143"/>
    </row>
    <row r="583">
      <c r="A583" s="144"/>
      <c r="B583" s="142"/>
      <c r="C583" s="142"/>
      <c r="D583" s="142"/>
      <c r="E583" s="142"/>
      <c r="F583" s="142"/>
      <c r="G583" s="142"/>
      <c r="H583" s="142"/>
      <c r="I583" s="142"/>
      <c r="J583" s="142"/>
      <c r="K583" s="142"/>
      <c r="L583" s="142"/>
      <c r="M583" s="142"/>
      <c r="N583" s="142"/>
      <c r="O583" s="142"/>
      <c r="P583" s="142"/>
      <c r="Q583" s="142"/>
      <c r="R583" s="142"/>
      <c r="S583" s="142"/>
      <c r="T583" s="142"/>
      <c r="U583" s="142"/>
      <c r="V583" s="142"/>
      <c r="W583" s="142"/>
      <c r="X583" s="142"/>
      <c r="Y583" s="142"/>
      <c r="Z583" s="142"/>
      <c r="AA583" s="142"/>
      <c r="AB583" s="142"/>
      <c r="AC583" s="142"/>
      <c r="AD583" s="142"/>
      <c r="AE583" s="142"/>
      <c r="AF583" s="142"/>
      <c r="AG583" s="142"/>
      <c r="AH583" s="142"/>
      <c r="AI583" s="142"/>
      <c r="AJ583" s="142"/>
      <c r="AK583" s="142"/>
      <c r="AL583" s="142"/>
      <c r="AM583" s="143"/>
    </row>
    <row r="584">
      <c r="A584" s="144"/>
      <c r="B584" s="142"/>
      <c r="C584" s="142"/>
      <c r="D584" s="142"/>
      <c r="E584" s="142"/>
      <c r="F584" s="142"/>
      <c r="G584" s="142"/>
      <c r="H584" s="142"/>
      <c r="I584" s="142"/>
      <c r="J584" s="142"/>
      <c r="K584" s="142"/>
      <c r="L584" s="142"/>
      <c r="M584" s="142"/>
      <c r="N584" s="142"/>
      <c r="O584" s="142"/>
      <c r="P584" s="142"/>
      <c r="Q584" s="142"/>
      <c r="R584" s="142"/>
      <c r="S584" s="142"/>
      <c r="T584" s="142"/>
      <c r="U584" s="142"/>
      <c r="V584" s="142"/>
      <c r="W584" s="142"/>
      <c r="X584" s="142"/>
      <c r="Y584" s="142"/>
      <c r="Z584" s="142"/>
      <c r="AA584" s="142"/>
      <c r="AB584" s="142"/>
      <c r="AC584" s="142"/>
      <c r="AD584" s="142"/>
      <c r="AE584" s="142"/>
      <c r="AF584" s="142"/>
      <c r="AG584" s="142"/>
      <c r="AH584" s="142"/>
      <c r="AI584" s="142"/>
      <c r="AJ584" s="142"/>
      <c r="AK584" s="142"/>
      <c r="AL584" s="142"/>
      <c r="AM584" s="143"/>
    </row>
    <row r="585">
      <c r="A585" s="144"/>
      <c r="B585" s="142"/>
      <c r="C585" s="142"/>
      <c r="D585" s="142"/>
      <c r="E585" s="142"/>
      <c r="F585" s="142"/>
      <c r="G585" s="142"/>
      <c r="H585" s="142"/>
      <c r="I585" s="142"/>
      <c r="J585" s="142"/>
      <c r="K585" s="142"/>
      <c r="L585" s="142"/>
      <c r="M585" s="142"/>
      <c r="N585" s="142"/>
      <c r="O585" s="142"/>
      <c r="P585" s="142"/>
      <c r="Q585" s="142"/>
      <c r="R585" s="142"/>
      <c r="S585" s="142"/>
      <c r="T585" s="142"/>
      <c r="U585" s="142"/>
      <c r="V585" s="142"/>
      <c r="W585" s="142"/>
      <c r="X585" s="142"/>
      <c r="Y585" s="142"/>
      <c r="Z585" s="142"/>
      <c r="AA585" s="142"/>
      <c r="AB585" s="142"/>
      <c r="AC585" s="142"/>
      <c r="AD585" s="142"/>
      <c r="AE585" s="142"/>
      <c r="AF585" s="142"/>
      <c r="AG585" s="142"/>
      <c r="AH585" s="142"/>
      <c r="AI585" s="142"/>
      <c r="AJ585" s="142"/>
      <c r="AK585" s="142"/>
      <c r="AL585" s="142"/>
      <c r="AM585" s="143"/>
    </row>
    <row r="586">
      <c r="A586" s="144"/>
      <c r="B586" s="142"/>
      <c r="C586" s="142"/>
      <c r="D586" s="142"/>
      <c r="E586" s="142"/>
      <c r="F586" s="142"/>
      <c r="G586" s="142"/>
      <c r="H586" s="142"/>
      <c r="I586" s="142"/>
      <c r="J586" s="142"/>
      <c r="K586" s="142"/>
      <c r="L586" s="142"/>
      <c r="M586" s="142"/>
      <c r="N586" s="142"/>
      <c r="O586" s="142"/>
      <c r="P586" s="142"/>
      <c r="Q586" s="142"/>
      <c r="R586" s="142"/>
      <c r="S586" s="142"/>
      <c r="T586" s="142"/>
      <c r="U586" s="142"/>
      <c r="V586" s="142"/>
      <c r="W586" s="142"/>
      <c r="X586" s="142"/>
      <c r="Y586" s="142"/>
      <c r="Z586" s="142"/>
      <c r="AA586" s="142"/>
      <c r="AB586" s="142"/>
      <c r="AC586" s="142"/>
      <c r="AD586" s="142"/>
      <c r="AE586" s="142"/>
      <c r="AF586" s="142"/>
      <c r="AG586" s="142"/>
      <c r="AH586" s="142"/>
      <c r="AI586" s="142"/>
      <c r="AJ586" s="142"/>
      <c r="AK586" s="142"/>
      <c r="AL586" s="142"/>
      <c r="AM586" s="143"/>
    </row>
    <row r="587">
      <c r="A587" s="144"/>
      <c r="B587" s="142"/>
      <c r="C587" s="142"/>
      <c r="D587" s="142"/>
      <c r="E587" s="142"/>
      <c r="F587" s="142"/>
      <c r="G587" s="142"/>
      <c r="H587" s="142"/>
      <c r="I587" s="142"/>
      <c r="J587" s="142"/>
      <c r="K587" s="142"/>
      <c r="L587" s="142"/>
      <c r="M587" s="142"/>
      <c r="N587" s="142"/>
      <c r="O587" s="142"/>
      <c r="P587" s="142"/>
      <c r="Q587" s="142"/>
      <c r="R587" s="142"/>
      <c r="S587" s="142"/>
      <c r="T587" s="142"/>
      <c r="U587" s="142"/>
      <c r="V587" s="142"/>
      <c r="W587" s="142"/>
      <c r="X587" s="142"/>
      <c r="Y587" s="142"/>
      <c r="Z587" s="142"/>
      <c r="AA587" s="142"/>
      <c r="AB587" s="142"/>
      <c r="AC587" s="142"/>
      <c r="AD587" s="142"/>
      <c r="AE587" s="142"/>
      <c r="AF587" s="142"/>
      <c r="AG587" s="142"/>
      <c r="AH587" s="142"/>
      <c r="AI587" s="142"/>
      <c r="AJ587" s="142"/>
      <c r="AK587" s="142"/>
      <c r="AL587" s="142"/>
      <c r="AM587" s="143"/>
    </row>
    <row r="588">
      <c r="A588" s="144"/>
      <c r="B588" s="142"/>
      <c r="C588" s="142"/>
      <c r="D588" s="142"/>
      <c r="E588" s="142"/>
      <c r="F588" s="142"/>
      <c r="G588" s="142"/>
      <c r="H588" s="142"/>
      <c r="I588" s="142"/>
      <c r="J588" s="142"/>
      <c r="K588" s="142"/>
      <c r="L588" s="142"/>
      <c r="M588" s="142"/>
      <c r="N588" s="142"/>
      <c r="O588" s="142"/>
      <c r="P588" s="142"/>
      <c r="Q588" s="142"/>
      <c r="R588" s="142"/>
      <c r="S588" s="142"/>
      <c r="T588" s="142"/>
      <c r="U588" s="142"/>
      <c r="V588" s="142"/>
      <c r="W588" s="142"/>
      <c r="X588" s="142"/>
      <c r="Y588" s="142"/>
      <c r="Z588" s="142"/>
      <c r="AA588" s="142"/>
      <c r="AB588" s="142"/>
      <c r="AC588" s="142"/>
      <c r="AD588" s="142"/>
      <c r="AE588" s="142"/>
      <c r="AF588" s="142"/>
      <c r="AG588" s="142"/>
      <c r="AH588" s="142"/>
      <c r="AI588" s="142"/>
      <c r="AJ588" s="142"/>
      <c r="AK588" s="142"/>
      <c r="AL588" s="142"/>
      <c r="AM588" s="143"/>
    </row>
    <row r="589">
      <c r="A589" s="144"/>
      <c r="B589" s="142"/>
      <c r="C589" s="142"/>
      <c r="D589" s="142"/>
      <c r="E589" s="142"/>
      <c r="F589" s="142"/>
      <c r="G589" s="142"/>
      <c r="H589" s="142"/>
      <c r="I589" s="142"/>
      <c r="J589" s="142"/>
      <c r="K589" s="142"/>
      <c r="L589" s="142"/>
      <c r="M589" s="142"/>
      <c r="N589" s="142"/>
      <c r="O589" s="142"/>
      <c r="P589" s="142"/>
      <c r="Q589" s="142"/>
      <c r="R589" s="142"/>
      <c r="S589" s="142"/>
      <c r="T589" s="142"/>
      <c r="U589" s="142"/>
      <c r="V589" s="142"/>
      <c r="W589" s="142"/>
      <c r="X589" s="142"/>
      <c r="Y589" s="142"/>
      <c r="Z589" s="142"/>
      <c r="AA589" s="142"/>
      <c r="AB589" s="142"/>
      <c r="AC589" s="142"/>
      <c r="AD589" s="142"/>
      <c r="AE589" s="142"/>
      <c r="AF589" s="142"/>
      <c r="AG589" s="142"/>
      <c r="AH589" s="142"/>
      <c r="AI589" s="142"/>
      <c r="AJ589" s="142"/>
      <c r="AK589" s="142"/>
      <c r="AL589" s="142"/>
      <c r="AM589" s="143"/>
    </row>
    <row r="590">
      <c r="A590" s="144"/>
      <c r="B590" s="142"/>
      <c r="C590" s="142"/>
      <c r="D590" s="142"/>
      <c r="E590" s="142"/>
      <c r="F590" s="142"/>
      <c r="G590" s="142"/>
      <c r="H590" s="142"/>
      <c r="I590" s="142"/>
      <c r="J590" s="142"/>
      <c r="K590" s="142"/>
      <c r="L590" s="142"/>
      <c r="M590" s="142"/>
      <c r="N590" s="142"/>
      <c r="O590" s="142"/>
      <c r="P590" s="142"/>
      <c r="Q590" s="142"/>
      <c r="R590" s="142"/>
      <c r="S590" s="142"/>
      <c r="T590" s="142"/>
      <c r="U590" s="142"/>
      <c r="V590" s="142"/>
      <c r="W590" s="142"/>
      <c r="X590" s="142"/>
      <c r="Y590" s="142"/>
      <c r="Z590" s="142"/>
      <c r="AA590" s="142"/>
      <c r="AB590" s="142"/>
      <c r="AC590" s="142"/>
      <c r="AD590" s="142"/>
      <c r="AE590" s="142"/>
      <c r="AF590" s="142"/>
      <c r="AG590" s="142"/>
      <c r="AH590" s="142"/>
      <c r="AI590" s="142"/>
      <c r="AJ590" s="142"/>
      <c r="AK590" s="142"/>
      <c r="AL590" s="142"/>
      <c r="AM590" s="143"/>
    </row>
    <row r="591">
      <c r="A591" s="144"/>
      <c r="B591" s="142"/>
      <c r="C591" s="142"/>
      <c r="D591" s="142"/>
      <c r="E591" s="142"/>
      <c r="F591" s="142"/>
      <c r="G591" s="142"/>
      <c r="H591" s="142"/>
      <c r="I591" s="142"/>
      <c r="J591" s="142"/>
      <c r="K591" s="142"/>
      <c r="L591" s="142"/>
      <c r="M591" s="142"/>
      <c r="N591" s="142"/>
      <c r="O591" s="142"/>
      <c r="P591" s="142"/>
      <c r="Q591" s="142"/>
      <c r="R591" s="142"/>
      <c r="S591" s="142"/>
      <c r="T591" s="142"/>
      <c r="U591" s="142"/>
      <c r="V591" s="142"/>
      <c r="W591" s="142"/>
      <c r="X591" s="142"/>
      <c r="Y591" s="142"/>
      <c r="Z591" s="142"/>
      <c r="AA591" s="142"/>
      <c r="AB591" s="142"/>
      <c r="AC591" s="142"/>
      <c r="AD591" s="142"/>
      <c r="AE591" s="142"/>
      <c r="AF591" s="142"/>
      <c r="AG591" s="142"/>
      <c r="AH591" s="142"/>
      <c r="AI591" s="142"/>
      <c r="AJ591" s="142"/>
      <c r="AK591" s="142"/>
      <c r="AL591" s="142"/>
      <c r="AM591" s="143"/>
    </row>
    <row r="592">
      <c r="A592" s="144"/>
      <c r="B592" s="142"/>
      <c r="C592" s="142"/>
      <c r="D592" s="142"/>
      <c r="E592" s="142"/>
      <c r="F592" s="142"/>
      <c r="G592" s="142"/>
      <c r="H592" s="142"/>
      <c r="I592" s="142"/>
      <c r="J592" s="142"/>
      <c r="K592" s="142"/>
      <c r="L592" s="142"/>
      <c r="M592" s="142"/>
      <c r="N592" s="142"/>
      <c r="O592" s="142"/>
      <c r="P592" s="142"/>
      <c r="Q592" s="142"/>
      <c r="R592" s="142"/>
      <c r="S592" s="142"/>
      <c r="T592" s="142"/>
      <c r="U592" s="142"/>
      <c r="V592" s="142"/>
      <c r="W592" s="142"/>
      <c r="X592" s="142"/>
      <c r="Y592" s="142"/>
      <c r="Z592" s="142"/>
      <c r="AA592" s="142"/>
      <c r="AB592" s="142"/>
      <c r="AC592" s="142"/>
      <c r="AD592" s="142"/>
      <c r="AE592" s="142"/>
      <c r="AF592" s="142"/>
      <c r="AG592" s="142"/>
      <c r="AH592" s="142"/>
      <c r="AI592" s="142"/>
      <c r="AJ592" s="142"/>
      <c r="AK592" s="142"/>
      <c r="AL592" s="142"/>
      <c r="AM592" s="143"/>
    </row>
    <row r="593">
      <c r="A593" s="144"/>
      <c r="B593" s="142"/>
      <c r="C593" s="142"/>
      <c r="D593" s="142"/>
      <c r="E593" s="142"/>
      <c r="F593" s="142"/>
      <c r="G593" s="142"/>
      <c r="H593" s="142"/>
      <c r="I593" s="142"/>
      <c r="J593" s="142"/>
      <c r="K593" s="142"/>
      <c r="L593" s="142"/>
      <c r="M593" s="142"/>
      <c r="N593" s="142"/>
      <c r="O593" s="142"/>
      <c r="P593" s="142"/>
      <c r="Q593" s="142"/>
      <c r="R593" s="142"/>
      <c r="S593" s="142"/>
      <c r="T593" s="142"/>
      <c r="U593" s="142"/>
      <c r="V593" s="142"/>
      <c r="W593" s="142"/>
      <c r="X593" s="142"/>
      <c r="Y593" s="142"/>
      <c r="Z593" s="142"/>
      <c r="AA593" s="142"/>
      <c r="AB593" s="142"/>
      <c r="AC593" s="142"/>
      <c r="AD593" s="142"/>
      <c r="AE593" s="142"/>
      <c r="AF593" s="142"/>
      <c r="AG593" s="142"/>
      <c r="AH593" s="142"/>
      <c r="AI593" s="142"/>
      <c r="AJ593" s="142"/>
      <c r="AK593" s="142"/>
      <c r="AL593" s="142"/>
      <c r="AM593" s="143"/>
    </row>
    <row r="594">
      <c r="A594" s="144"/>
      <c r="B594" s="142"/>
      <c r="C594" s="142"/>
      <c r="D594" s="142"/>
      <c r="E594" s="142"/>
      <c r="F594" s="142"/>
      <c r="G594" s="142"/>
      <c r="H594" s="142"/>
      <c r="I594" s="142"/>
      <c r="J594" s="142"/>
      <c r="K594" s="142"/>
      <c r="L594" s="142"/>
      <c r="M594" s="142"/>
      <c r="N594" s="142"/>
      <c r="O594" s="142"/>
      <c r="P594" s="142"/>
      <c r="Q594" s="142"/>
      <c r="R594" s="142"/>
      <c r="S594" s="142"/>
      <c r="T594" s="142"/>
      <c r="U594" s="142"/>
      <c r="V594" s="142"/>
      <c r="W594" s="142"/>
      <c r="X594" s="142"/>
      <c r="Y594" s="142"/>
      <c r="Z594" s="142"/>
      <c r="AA594" s="142"/>
      <c r="AB594" s="142"/>
      <c r="AC594" s="142"/>
      <c r="AD594" s="142"/>
      <c r="AE594" s="142"/>
      <c r="AF594" s="142"/>
      <c r="AG594" s="142"/>
      <c r="AH594" s="142"/>
      <c r="AI594" s="142"/>
      <c r="AJ594" s="142"/>
      <c r="AK594" s="142"/>
      <c r="AL594" s="142"/>
      <c r="AM594" s="143"/>
    </row>
    <row r="595">
      <c r="A595" s="144"/>
      <c r="B595" s="142"/>
      <c r="C595" s="142"/>
      <c r="D595" s="142"/>
      <c r="E595" s="142"/>
      <c r="F595" s="142"/>
      <c r="G595" s="142"/>
      <c r="H595" s="142"/>
      <c r="I595" s="142"/>
      <c r="J595" s="142"/>
      <c r="K595" s="142"/>
      <c r="L595" s="142"/>
      <c r="M595" s="142"/>
      <c r="N595" s="142"/>
      <c r="O595" s="142"/>
      <c r="P595" s="142"/>
      <c r="Q595" s="142"/>
      <c r="R595" s="142"/>
      <c r="S595" s="142"/>
      <c r="T595" s="142"/>
      <c r="U595" s="142"/>
      <c r="V595" s="142"/>
      <c r="W595" s="142"/>
      <c r="X595" s="142"/>
      <c r="Y595" s="142"/>
      <c r="Z595" s="142"/>
      <c r="AA595" s="142"/>
      <c r="AB595" s="142"/>
      <c r="AC595" s="142"/>
      <c r="AD595" s="142"/>
      <c r="AE595" s="142"/>
      <c r="AF595" s="142"/>
      <c r="AG595" s="142"/>
      <c r="AH595" s="142"/>
      <c r="AI595" s="142"/>
      <c r="AJ595" s="142"/>
      <c r="AK595" s="142"/>
      <c r="AL595" s="142"/>
      <c r="AM595" s="143"/>
    </row>
    <row r="596">
      <c r="A596" s="144"/>
      <c r="B596" s="142"/>
      <c r="C596" s="142"/>
      <c r="D596" s="142"/>
      <c r="E596" s="142"/>
      <c r="F596" s="142"/>
      <c r="G596" s="142"/>
      <c r="H596" s="142"/>
      <c r="I596" s="142"/>
      <c r="J596" s="142"/>
      <c r="K596" s="142"/>
      <c r="L596" s="142"/>
      <c r="M596" s="142"/>
      <c r="N596" s="142"/>
      <c r="O596" s="142"/>
      <c r="P596" s="142"/>
      <c r="Q596" s="142"/>
      <c r="R596" s="142"/>
      <c r="S596" s="142"/>
      <c r="T596" s="142"/>
      <c r="U596" s="142"/>
      <c r="V596" s="142"/>
      <c r="W596" s="142"/>
      <c r="X596" s="142"/>
      <c r="Y596" s="142"/>
      <c r="Z596" s="142"/>
      <c r="AA596" s="142"/>
      <c r="AB596" s="142"/>
      <c r="AC596" s="142"/>
      <c r="AD596" s="142"/>
      <c r="AE596" s="142"/>
      <c r="AF596" s="142"/>
      <c r="AG596" s="142"/>
      <c r="AH596" s="142"/>
      <c r="AI596" s="142"/>
      <c r="AJ596" s="142"/>
      <c r="AK596" s="142"/>
      <c r="AL596" s="142"/>
      <c r="AM596" s="143"/>
    </row>
    <row r="597">
      <c r="A597" s="144"/>
      <c r="B597" s="142"/>
      <c r="C597" s="142"/>
      <c r="D597" s="142"/>
      <c r="E597" s="142"/>
      <c r="F597" s="142"/>
      <c r="G597" s="142"/>
      <c r="H597" s="142"/>
      <c r="I597" s="142"/>
      <c r="J597" s="142"/>
      <c r="K597" s="142"/>
      <c r="L597" s="142"/>
      <c r="M597" s="142"/>
      <c r="N597" s="142"/>
      <c r="O597" s="142"/>
      <c r="P597" s="142"/>
      <c r="Q597" s="142"/>
      <c r="R597" s="142"/>
      <c r="S597" s="142"/>
      <c r="T597" s="142"/>
      <c r="U597" s="142"/>
      <c r="V597" s="142"/>
      <c r="W597" s="142"/>
      <c r="X597" s="142"/>
      <c r="Y597" s="142"/>
      <c r="Z597" s="142"/>
      <c r="AA597" s="142"/>
      <c r="AB597" s="142"/>
      <c r="AC597" s="142"/>
      <c r="AD597" s="142"/>
      <c r="AE597" s="142"/>
      <c r="AF597" s="142"/>
      <c r="AG597" s="142"/>
      <c r="AH597" s="142"/>
      <c r="AI597" s="142"/>
      <c r="AJ597" s="142"/>
      <c r="AK597" s="142"/>
      <c r="AL597" s="142"/>
      <c r="AM597" s="143"/>
    </row>
    <row r="598">
      <c r="A598" s="144"/>
      <c r="B598" s="142"/>
      <c r="C598" s="142"/>
      <c r="D598" s="142"/>
      <c r="E598" s="142"/>
      <c r="F598" s="142"/>
      <c r="G598" s="142"/>
      <c r="H598" s="142"/>
      <c r="I598" s="142"/>
      <c r="J598" s="142"/>
      <c r="K598" s="142"/>
      <c r="L598" s="142"/>
      <c r="M598" s="142"/>
      <c r="N598" s="142"/>
      <c r="O598" s="142"/>
      <c r="P598" s="142"/>
      <c r="Q598" s="142"/>
      <c r="R598" s="142"/>
      <c r="S598" s="142"/>
      <c r="T598" s="142"/>
      <c r="U598" s="142"/>
      <c r="V598" s="142"/>
      <c r="W598" s="142"/>
      <c r="X598" s="142"/>
      <c r="Y598" s="142"/>
      <c r="Z598" s="142"/>
      <c r="AA598" s="142"/>
      <c r="AB598" s="142"/>
      <c r="AC598" s="142"/>
      <c r="AD598" s="142"/>
      <c r="AE598" s="142"/>
      <c r="AF598" s="142"/>
      <c r="AG598" s="142"/>
      <c r="AH598" s="142"/>
      <c r="AI598" s="142"/>
      <c r="AJ598" s="142"/>
      <c r="AK598" s="142"/>
      <c r="AL598" s="142"/>
      <c r="AM598" s="143"/>
    </row>
    <row r="599">
      <c r="A599" s="144"/>
      <c r="B599" s="142"/>
      <c r="C599" s="142"/>
      <c r="D599" s="142"/>
      <c r="E599" s="142"/>
      <c r="F599" s="142"/>
      <c r="G599" s="142"/>
      <c r="H599" s="142"/>
      <c r="I599" s="142"/>
      <c r="J599" s="142"/>
      <c r="K599" s="142"/>
      <c r="L599" s="142"/>
      <c r="M599" s="142"/>
      <c r="N599" s="142"/>
      <c r="O599" s="142"/>
      <c r="P599" s="142"/>
      <c r="Q599" s="142"/>
      <c r="R599" s="142"/>
      <c r="S599" s="142"/>
      <c r="T599" s="142"/>
      <c r="U599" s="142"/>
      <c r="V599" s="142"/>
      <c r="W599" s="142"/>
      <c r="X599" s="142"/>
      <c r="Y599" s="142"/>
      <c r="Z599" s="142"/>
      <c r="AA599" s="142"/>
      <c r="AB599" s="142"/>
      <c r="AC599" s="142"/>
      <c r="AD599" s="142"/>
      <c r="AE599" s="142"/>
      <c r="AF599" s="142"/>
      <c r="AG599" s="142"/>
      <c r="AH599" s="142"/>
      <c r="AI599" s="142"/>
      <c r="AJ599" s="142"/>
      <c r="AK599" s="142"/>
      <c r="AL599" s="142"/>
      <c r="AM599" s="143"/>
    </row>
    <row r="600">
      <c r="A600" s="144"/>
      <c r="B600" s="142"/>
      <c r="C600" s="142"/>
      <c r="D600" s="142"/>
      <c r="E600" s="142"/>
      <c r="F600" s="142"/>
      <c r="G600" s="142"/>
      <c r="H600" s="142"/>
      <c r="I600" s="142"/>
      <c r="J600" s="142"/>
      <c r="K600" s="142"/>
      <c r="L600" s="142"/>
      <c r="M600" s="142"/>
      <c r="N600" s="142"/>
      <c r="O600" s="142"/>
      <c r="P600" s="142"/>
      <c r="Q600" s="142"/>
      <c r="R600" s="142"/>
      <c r="S600" s="142"/>
      <c r="T600" s="142"/>
      <c r="U600" s="142"/>
      <c r="V600" s="142"/>
      <c r="W600" s="142"/>
      <c r="X600" s="142"/>
      <c r="Y600" s="142"/>
      <c r="Z600" s="142"/>
      <c r="AA600" s="142"/>
      <c r="AB600" s="142"/>
      <c r="AC600" s="142"/>
      <c r="AD600" s="142"/>
      <c r="AE600" s="142"/>
      <c r="AF600" s="142"/>
      <c r="AG600" s="142"/>
      <c r="AH600" s="142"/>
      <c r="AI600" s="142"/>
      <c r="AJ600" s="142"/>
      <c r="AK600" s="142"/>
      <c r="AL600" s="142"/>
      <c r="AM600" s="143"/>
    </row>
    <row r="601">
      <c r="A601" s="144"/>
      <c r="B601" s="142"/>
      <c r="C601" s="142"/>
      <c r="D601" s="142"/>
      <c r="E601" s="142"/>
      <c r="F601" s="142"/>
      <c r="G601" s="142"/>
      <c r="H601" s="142"/>
      <c r="I601" s="142"/>
      <c r="J601" s="142"/>
      <c r="K601" s="142"/>
      <c r="L601" s="142"/>
      <c r="M601" s="142"/>
      <c r="N601" s="142"/>
      <c r="O601" s="142"/>
      <c r="P601" s="142"/>
      <c r="Q601" s="142"/>
      <c r="R601" s="142"/>
      <c r="S601" s="142"/>
      <c r="T601" s="142"/>
      <c r="U601" s="142"/>
      <c r="V601" s="142"/>
      <c r="W601" s="142"/>
      <c r="X601" s="142"/>
      <c r="Y601" s="142"/>
      <c r="Z601" s="142"/>
      <c r="AA601" s="142"/>
      <c r="AB601" s="142"/>
      <c r="AC601" s="142"/>
      <c r="AD601" s="142"/>
      <c r="AE601" s="142"/>
      <c r="AF601" s="142"/>
      <c r="AG601" s="142"/>
      <c r="AH601" s="142"/>
      <c r="AI601" s="142"/>
      <c r="AJ601" s="142"/>
      <c r="AK601" s="142"/>
      <c r="AL601" s="142"/>
      <c r="AM601" s="143"/>
    </row>
    <row r="602">
      <c r="A602" s="144"/>
      <c r="B602" s="142"/>
      <c r="C602" s="142"/>
      <c r="D602" s="142"/>
      <c r="E602" s="142"/>
      <c r="F602" s="142"/>
      <c r="G602" s="142"/>
      <c r="H602" s="142"/>
      <c r="I602" s="142"/>
      <c r="J602" s="142"/>
      <c r="K602" s="142"/>
      <c r="L602" s="142"/>
      <c r="M602" s="142"/>
      <c r="N602" s="142"/>
      <c r="O602" s="142"/>
      <c r="P602" s="142"/>
      <c r="Q602" s="142"/>
      <c r="R602" s="142"/>
      <c r="S602" s="142"/>
      <c r="T602" s="142"/>
      <c r="U602" s="142"/>
      <c r="V602" s="142"/>
      <c r="W602" s="142"/>
      <c r="X602" s="142"/>
      <c r="Y602" s="142"/>
      <c r="Z602" s="142"/>
      <c r="AA602" s="142"/>
      <c r="AB602" s="142"/>
      <c r="AC602" s="142"/>
      <c r="AD602" s="142"/>
      <c r="AE602" s="142"/>
      <c r="AF602" s="142"/>
      <c r="AG602" s="142"/>
      <c r="AH602" s="142"/>
      <c r="AI602" s="142"/>
      <c r="AJ602" s="142"/>
      <c r="AK602" s="142"/>
      <c r="AL602" s="142"/>
      <c r="AM602" s="143"/>
    </row>
    <row r="603">
      <c r="A603" s="144"/>
      <c r="B603" s="142"/>
      <c r="C603" s="142"/>
      <c r="D603" s="142"/>
      <c r="E603" s="142"/>
      <c r="F603" s="142"/>
      <c r="G603" s="142"/>
      <c r="H603" s="142"/>
      <c r="I603" s="142"/>
      <c r="J603" s="142"/>
      <c r="K603" s="142"/>
      <c r="L603" s="142"/>
      <c r="M603" s="142"/>
      <c r="N603" s="142"/>
      <c r="O603" s="142"/>
      <c r="P603" s="142"/>
      <c r="Q603" s="142"/>
      <c r="R603" s="142"/>
      <c r="S603" s="142"/>
      <c r="T603" s="142"/>
      <c r="U603" s="142"/>
      <c r="V603" s="142"/>
      <c r="W603" s="142"/>
      <c r="X603" s="142"/>
      <c r="Y603" s="142"/>
      <c r="Z603" s="142"/>
      <c r="AA603" s="142"/>
      <c r="AB603" s="142"/>
      <c r="AC603" s="142"/>
      <c r="AD603" s="142"/>
      <c r="AE603" s="142"/>
      <c r="AF603" s="142"/>
      <c r="AG603" s="142"/>
      <c r="AH603" s="142"/>
      <c r="AI603" s="142"/>
      <c r="AJ603" s="142"/>
      <c r="AK603" s="142"/>
      <c r="AL603" s="142"/>
      <c r="AM603" s="143"/>
    </row>
    <row r="604">
      <c r="A604" s="144"/>
      <c r="B604" s="142"/>
      <c r="C604" s="142"/>
      <c r="D604" s="142"/>
      <c r="E604" s="142"/>
      <c r="F604" s="142"/>
      <c r="G604" s="142"/>
      <c r="H604" s="142"/>
      <c r="I604" s="142"/>
      <c r="J604" s="142"/>
      <c r="K604" s="142"/>
      <c r="L604" s="142"/>
      <c r="M604" s="142"/>
      <c r="N604" s="142"/>
      <c r="O604" s="142"/>
      <c r="P604" s="142"/>
      <c r="Q604" s="142"/>
      <c r="R604" s="142"/>
      <c r="S604" s="142"/>
      <c r="T604" s="142"/>
      <c r="U604" s="142"/>
      <c r="V604" s="142"/>
      <c r="W604" s="142"/>
      <c r="X604" s="142"/>
      <c r="Y604" s="142"/>
      <c r="Z604" s="142"/>
      <c r="AA604" s="142"/>
      <c r="AB604" s="142"/>
      <c r="AC604" s="142"/>
      <c r="AD604" s="142"/>
      <c r="AE604" s="142"/>
      <c r="AF604" s="142"/>
      <c r="AG604" s="142"/>
      <c r="AH604" s="142"/>
      <c r="AI604" s="142"/>
      <c r="AJ604" s="142"/>
      <c r="AK604" s="142"/>
      <c r="AL604" s="142"/>
      <c r="AM604" s="143"/>
    </row>
    <row r="605">
      <c r="A605" s="144"/>
      <c r="B605" s="142"/>
      <c r="C605" s="142"/>
      <c r="D605" s="142"/>
      <c r="E605" s="142"/>
      <c r="F605" s="142"/>
      <c r="G605" s="142"/>
      <c r="H605" s="142"/>
      <c r="I605" s="142"/>
      <c r="J605" s="142"/>
      <c r="K605" s="142"/>
      <c r="L605" s="142"/>
      <c r="M605" s="142"/>
      <c r="N605" s="142"/>
      <c r="O605" s="142"/>
      <c r="P605" s="142"/>
      <c r="Q605" s="142"/>
      <c r="R605" s="142"/>
      <c r="S605" s="142"/>
      <c r="T605" s="142"/>
      <c r="U605" s="142"/>
      <c r="V605" s="142"/>
      <c r="W605" s="142"/>
      <c r="X605" s="142"/>
      <c r="Y605" s="142"/>
      <c r="Z605" s="142"/>
      <c r="AA605" s="142"/>
      <c r="AB605" s="142"/>
      <c r="AC605" s="142"/>
      <c r="AD605" s="142"/>
      <c r="AE605" s="142"/>
      <c r="AF605" s="142"/>
      <c r="AG605" s="142"/>
      <c r="AH605" s="142"/>
      <c r="AI605" s="142"/>
      <c r="AJ605" s="142"/>
      <c r="AK605" s="142"/>
      <c r="AL605" s="142"/>
      <c r="AM605" s="143"/>
    </row>
    <row r="606">
      <c r="A606" s="144"/>
      <c r="B606" s="142"/>
      <c r="C606" s="142"/>
      <c r="D606" s="142"/>
      <c r="E606" s="142"/>
      <c r="F606" s="142"/>
      <c r="G606" s="142"/>
      <c r="H606" s="142"/>
      <c r="I606" s="142"/>
      <c r="J606" s="142"/>
      <c r="K606" s="142"/>
      <c r="L606" s="142"/>
      <c r="M606" s="142"/>
      <c r="N606" s="142"/>
      <c r="O606" s="142"/>
      <c r="P606" s="142"/>
      <c r="Q606" s="142"/>
      <c r="R606" s="142"/>
      <c r="S606" s="142"/>
      <c r="T606" s="142"/>
      <c r="U606" s="142"/>
      <c r="V606" s="142"/>
      <c r="W606" s="142"/>
      <c r="X606" s="142"/>
      <c r="Y606" s="142"/>
      <c r="Z606" s="142"/>
      <c r="AA606" s="142"/>
      <c r="AB606" s="142"/>
      <c r="AC606" s="142"/>
      <c r="AD606" s="142"/>
      <c r="AE606" s="142"/>
      <c r="AF606" s="142"/>
      <c r="AG606" s="142"/>
      <c r="AH606" s="142"/>
      <c r="AI606" s="142"/>
      <c r="AJ606" s="142"/>
      <c r="AK606" s="142"/>
      <c r="AL606" s="142"/>
      <c r="AM606" s="143"/>
    </row>
    <row r="607">
      <c r="A607" s="144"/>
      <c r="B607" s="142"/>
      <c r="C607" s="142"/>
      <c r="D607" s="142"/>
      <c r="E607" s="142"/>
      <c r="F607" s="142"/>
      <c r="G607" s="142"/>
      <c r="H607" s="142"/>
      <c r="I607" s="142"/>
      <c r="J607" s="142"/>
      <c r="K607" s="142"/>
      <c r="L607" s="142"/>
      <c r="M607" s="142"/>
      <c r="N607" s="142"/>
      <c r="O607" s="142"/>
      <c r="P607" s="142"/>
      <c r="Q607" s="142"/>
      <c r="R607" s="142"/>
      <c r="S607" s="142"/>
      <c r="T607" s="142"/>
      <c r="U607" s="142"/>
      <c r="V607" s="142"/>
      <c r="W607" s="142"/>
      <c r="X607" s="142"/>
      <c r="Y607" s="142"/>
      <c r="Z607" s="142"/>
      <c r="AA607" s="142"/>
      <c r="AB607" s="142"/>
      <c r="AC607" s="142"/>
      <c r="AD607" s="142"/>
      <c r="AE607" s="142"/>
      <c r="AF607" s="142"/>
      <c r="AG607" s="142"/>
      <c r="AH607" s="142"/>
      <c r="AI607" s="142"/>
      <c r="AJ607" s="142"/>
      <c r="AK607" s="142"/>
      <c r="AL607" s="142"/>
      <c r="AM607" s="143"/>
    </row>
    <row r="608">
      <c r="A608" s="144"/>
      <c r="B608" s="142"/>
      <c r="C608" s="142"/>
      <c r="D608" s="142"/>
      <c r="E608" s="142"/>
      <c r="F608" s="142"/>
      <c r="G608" s="142"/>
      <c r="H608" s="142"/>
      <c r="I608" s="142"/>
      <c r="J608" s="142"/>
      <c r="K608" s="142"/>
      <c r="L608" s="142"/>
      <c r="M608" s="142"/>
      <c r="N608" s="142"/>
      <c r="O608" s="142"/>
      <c r="P608" s="142"/>
      <c r="Q608" s="142"/>
      <c r="R608" s="142"/>
      <c r="S608" s="142"/>
      <c r="T608" s="142"/>
      <c r="U608" s="142"/>
      <c r="V608" s="142"/>
      <c r="W608" s="142"/>
      <c r="X608" s="142"/>
      <c r="Y608" s="142"/>
      <c r="Z608" s="142"/>
      <c r="AA608" s="142"/>
      <c r="AB608" s="142"/>
      <c r="AC608" s="142"/>
      <c r="AD608" s="142"/>
      <c r="AE608" s="142"/>
      <c r="AF608" s="142"/>
      <c r="AG608" s="142"/>
      <c r="AH608" s="142"/>
      <c r="AI608" s="142"/>
      <c r="AJ608" s="142"/>
      <c r="AK608" s="142"/>
      <c r="AL608" s="142"/>
      <c r="AM608" s="143"/>
    </row>
    <row r="609">
      <c r="A609" s="144"/>
      <c r="B609" s="142"/>
      <c r="C609" s="142"/>
      <c r="D609" s="142"/>
      <c r="E609" s="142"/>
      <c r="F609" s="142"/>
      <c r="G609" s="142"/>
      <c r="H609" s="142"/>
      <c r="I609" s="142"/>
      <c r="J609" s="142"/>
      <c r="K609" s="142"/>
      <c r="L609" s="142"/>
      <c r="M609" s="142"/>
      <c r="N609" s="142"/>
      <c r="O609" s="142"/>
      <c r="P609" s="142"/>
      <c r="Q609" s="142"/>
      <c r="R609" s="142"/>
      <c r="S609" s="142"/>
      <c r="T609" s="142"/>
      <c r="U609" s="142"/>
      <c r="V609" s="142"/>
      <c r="W609" s="142"/>
      <c r="X609" s="142"/>
      <c r="Y609" s="142"/>
      <c r="Z609" s="142"/>
      <c r="AA609" s="142"/>
      <c r="AB609" s="142"/>
      <c r="AC609" s="142"/>
      <c r="AD609" s="142"/>
      <c r="AE609" s="142"/>
      <c r="AF609" s="142"/>
      <c r="AG609" s="142"/>
      <c r="AH609" s="142"/>
      <c r="AI609" s="142"/>
      <c r="AJ609" s="142"/>
      <c r="AK609" s="142"/>
      <c r="AL609" s="142"/>
      <c r="AM609" s="143"/>
    </row>
    <row r="610">
      <c r="A610" s="144"/>
      <c r="B610" s="142"/>
      <c r="C610" s="142"/>
      <c r="D610" s="142"/>
      <c r="E610" s="142"/>
      <c r="F610" s="142"/>
      <c r="G610" s="142"/>
      <c r="H610" s="142"/>
      <c r="I610" s="142"/>
      <c r="J610" s="142"/>
      <c r="K610" s="142"/>
      <c r="L610" s="142"/>
      <c r="M610" s="142"/>
      <c r="N610" s="142"/>
      <c r="O610" s="142"/>
      <c r="P610" s="142"/>
      <c r="Q610" s="142"/>
      <c r="R610" s="142"/>
      <c r="S610" s="142"/>
      <c r="T610" s="142"/>
      <c r="U610" s="142"/>
      <c r="V610" s="142"/>
      <c r="W610" s="142"/>
      <c r="X610" s="142"/>
      <c r="Y610" s="142"/>
      <c r="Z610" s="142"/>
      <c r="AA610" s="142"/>
      <c r="AB610" s="142"/>
      <c r="AC610" s="142"/>
      <c r="AD610" s="142"/>
      <c r="AE610" s="142"/>
      <c r="AF610" s="142"/>
      <c r="AG610" s="142"/>
      <c r="AH610" s="142"/>
      <c r="AI610" s="142"/>
      <c r="AJ610" s="142"/>
      <c r="AK610" s="142"/>
      <c r="AL610" s="142"/>
      <c r="AM610" s="143"/>
    </row>
    <row r="611">
      <c r="A611" s="144"/>
      <c r="B611" s="142"/>
      <c r="C611" s="142"/>
      <c r="D611" s="142"/>
      <c r="E611" s="142"/>
      <c r="F611" s="142"/>
      <c r="G611" s="142"/>
      <c r="H611" s="142"/>
      <c r="I611" s="142"/>
      <c r="J611" s="142"/>
      <c r="K611" s="142"/>
      <c r="L611" s="142"/>
      <c r="M611" s="142"/>
      <c r="N611" s="142"/>
      <c r="O611" s="142"/>
      <c r="P611" s="142"/>
      <c r="Q611" s="142"/>
      <c r="R611" s="142"/>
      <c r="S611" s="142"/>
      <c r="T611" s="142"/>
      <c r="U611" s="142"/>
      <c r="V611" s="142"/>
      <c r="W611" s="142"/>
      <c r="X611" s="142"/>
      <c r="Y611" s="142"/>
      <c r="Z611" s="142"/>
      <c r="AA611" s="142"/>
      <c r="AB611" s="142"/>
      <c r="AC611" s="142"/>
      <c r="AD611" s="142"/>
      <c r="AE611" s="142"/>
      <c r="AF611" s="142"/>
      <c r="AG611" s="142"/>
      <c r="AH611" s="142"/>
      <c r="AI611" s="142"/>
      <c r="AJ611" s="142"/>
      <c r="AK611" s="142"/>
      <c r="AL611" s="142"/>
      <c r="AM611" s="143"/>
    </row>
    <row r="612">
      <c r="A612" s="144"/>
      <c r="B612" s="142"/>
      <c r="C612" s="142"/>
      <c r="D612" s="142"/>
      <c r="E612" s="142"/>
      <c r="F612" s="142"/>
      <c r="G612" s="142"/>
      <c r="H612" s="142"/>
      <c r="I612" s="142"/>
      <c r="J612" s="142"/>
      <c r="K612" s="142"/>
      <c r="L612" s="142"/>
      <c r="M612" s="142"/>
      <c r="N612" s="142"/>
      <c r="O612" s="142"/>
      <c r="P612" s="142"/>
      <c r="Q612" s="142"/>
      <c r="R612" s="142"/>
      <c r="S612" s="142"/>
      <c r="T612" s="142"/>
      <c r="U612" s="142"/>
      <c r="V612" s="142"/>
      <c r="W612" s="142"/>
      <c r="X612" s="142"/>
      <c r="Y612" s="142"/>
      <c r="Z612" s="142"/>
      <c r="AA612" s="142"/>
      <c r="AB612" s="142"/>
      <c r="AC612" s="142"/>
      <c r="AD612" s="142"/>
      <c r="AE612" s="142"/>
      <c r="AF612" s="142"/>
      <c r="AG612" s="142"/>
      <c r="AH612" s="142"/>
      <c r="AI612" s="142"/>
      <c r="AJ612" s="142"/>
      <c r="AK612" s="142"/>
      <c r="AL612" s="142"/>
      <c r="AM612" s="143"/>
    </row>
    <row r="613">
      <c r="A613" s="144"/>
      <c r="B613" s="142"/>
      <c r="C613" s="142"/>
      <c r="D613" s="142"/>
      <c r="E613" s="142"/>
      <c r="F613" s="142"/>
      <c r="G613" s="142"/>
      <c r="H613" s="142"/>
      <c r="I613" s="142"/>
      <c r="J613" s="142"/>
      <c r="K613" s="142"/>
      <c r="L613" s="142"/>
      <c r="M613" s="142"/>
      <c r="N613" s="142"/>
      <c r="O613" s="142"/>
      <c r="P613" s="142"/>
      <c r="Q613" s="142"/>
      <c r="R613" s="142"/>
      <c r="S613" s="142"/>
      <c r="T613" s="142"/>
      <c r="U613" s="142"/>
      <c r="V613" s="142"/>
      <c r="W613" s="142"/>
      <c r="X613" s="142"/>
      <c r="Y613" s="142"/>
      <c r="Z613" s="142"/>
      <c r="AA613" s="142"/>
      <c r="AB613" s="142"/>
      <c r="AC613" s="142"/>
      <c r="AD613" s="142"/>
      <c r="AE613" s="142"/>
      <c r="AF613" s="142"/>
      <c r="AG613" s="142"/>
      <c r="AH613" s="142"/>
      <c r="AI613" s="142"/>
      <c r="AJ613" s="142"/>
      <c r="AK613" s="142"/>
      <c r="AL613" s="142"/>
      <c r="AM613" s="143"/>
    </row>
    <row r="614">
      <c r="A614" s="144"/>
      <c r="B614" s="142"/>
      <c r="C614" s="142"/>
      <c r="D614" s="142"/>
      <c r="E614" s="142"/>
      <c r="F614" s="142"/>
      <c r="G614" s="142"/>
      <c r="H614" s="142"/>
      <c r="I614" s="142"/>
      <c r="J614" s="142"/>
      <c r="K614" s="142"/>
      <c r="L614" s="142"/>
      <c r="M614" s="142"/>
      <c r="N614" s="142"/>
      <c r="O614" s="142"/>
      <c r="P614" s="142"/>
      <c r="Q614" s="142"/>
      <c r="R614" s="142"/>
      <c r="S614" s="142"/>
      <c r="T614" s="142"/>
      <c r="U614" s="142"/>
      <c r="V614" s="142"/>
      <c r="W614" s="142"/>
      <c r="X614" s="142"/>
      <c r="Y614" s="142"/>
      <c r="Z614" s="142"/>
      <c r="AA614" s="142"/>
      <c r="AB614" s="142"/>
      <c r="AC614" s="142"/>
      <c r="AD614" s="142"/>
      <c r="AE614" s="142"/>
      <c r="AF614" s="142"/>
      <c r="AG614" s="142"/>
      <c r="AH614" s="142"/>
      <c r="AI614" s="142"/>
      <c r="AJ614" s="142"/>
      <c r="AK614" s="142"/>
      <c r="AL614" s="142"/>
      <c r="AM614" s="143"/>
    </row>
    <row r="615">
      <c r="A615" s="144"/>
      <c r="B615" s="142"/>
      <c r="C615" s="142"/>
      <c r="D615" s="142"/>
      <c r="E615" s="142"/>
      <c r="F615" s="142"/>
      <c r="G615" s="142"/>
      <c r="H615" s="142"/>
      <c r="I615" s="142"/>
      <c r="J615" s="142"/>
      <c r="K615" s="142"/>
      <c r="L615" s="142"/>
      <c r="M615" s="142"/>
      <c r="N615" s="142"/>
      <c r="O615" s="142"/>
      <c r="P615" s="142"/>
      <c r="Q615" s="142"/>
      <c r="R615" s="142"/>
      <c r="S615" s="142"/>
      <c r="T615" s="142"/>
      <c r="U615" s="142"/>
      <c r="V615" s="142"/>
      <c r="W615" s="142"/>
      <c r="X615" s="142"/>
      <c r="Y615" s="142"/>
      <c r="Z615" s="142"/>
      <c r="AA615" s="142"/>
      <c r="AB615" s="142"/>
      <c r="AC615" s="142"/>
      <c r="AD615" s="142"/>
      <c r="AE615" s="142"/>
      <c r="AF615" s="142"/>
      <c r="AG615" s="142"/>
      <c r="AH615" s="142"/>
      <c r="AI615" s="142"/>
      <c r="AJ615" s="142"/>
      <c r="AK615" s="142"/>
      <c r="AL615" s="142"/>
      <c r="AM615" s="143"/>
    </row>
    <row r="616">
      <c r="A616" s="144"/>
      <c r="B616" s="142"/>
      <c r="C616" s="142"/>
      <c r="D616" s="142"/>
      <c r="E616" s="142"/>
      <c r="F616" s="142"/>
      <c r="G616" s="142"/>
      <c r="H616" s="142"/>
      <c r="I616" s="142"/>
      <c r="J616" s="142"/>
      <c r="K616" s="142"/>
      <c r="L616" s="142"/>
      <c r="M616" s="142"/>
      <c r="N616" s="142"/>
      <c r="O616" s="142"/>
      <c r="P616" s="142"/>
      <c r="Q616" s="142"/>
      <c r="R616" s="142"/>
      <c r="S616" s="142"/>
      <c r="T616" s="142"/>
      <c r="U616" s="142"/>
      <c r="V616" s="142"/>
      <c r="W616" s="142"/>
      <c r="X616" s="142"/>
      <c r="Y616" s="142"/>
      <c r="Z616" s="142"/>
      <c r="AA616" s="142"/>
      <c r="AB616" s="142"/>
      <c r="AC616" s="142"/>
      <c r="AD616" s="142"/>
      <c r="AE616" s="142"/>
      <c r="AF616" s="142"/>
      <c r="AG616" s="142"/>
      <c r="AH616" s="142"/>
      <c r="AI616" s="142"/>
      <c r="AJ616" s="142"/>
      <c r="AK616" s="142"/>
      <c r="AL616" s="142"/>
      <c r="AM616" s="143"/>
    </row>
    <row r="617">
      <c r="A617" s="144"/>
      <c r="B617" s="142"/>
      <c r="C617" s="142"/>
      <c r="D617" s="142"/>
      <c r="E617" s="142"/>
      <c r="F617" s="142"/>
      <c r="G617" s="142"/>
      <c r="H617" s="142"/>
      <c r="I617" s="142"/>
      <c r="J617" s="142"/>
      <c r="K617" s="142"/>
      <c r="L617" s="142"/>
      <c r="M617" s="142"/>
      <c r="N617" s="142"/>
      <c r="O617" s="142"/>
      <c r="P617" s="142"/>
      <c r="Q617" s="142"/>
      <c r="R617" s="142"/>
      <c r="S617" s="142"/>
      <c r="T617" s="142"/>
      <c r="U617" s="142"/>
      <c r="V617" s="142"/>
      <c r="W617" s="142"/>
      <c r="X617" s="142"/>
      <c r="Y617" s="142"/>
      <c r="Z617" s="142"/>
      <c r="AA617" s="142"/>
      <c r="AB617" s="142"/>
      <c r="AC617" s="142"/>
      <c r="AD617" s="142"/>
      <c r="AE617" s="142"/>
      <c r="AF617" s="142"/>
      <c r="AG617" s="142"/>
      <c r="AH617" s="142"/>
      <c r="AI617" s="142"/>
      <c r="AJ617" s="142"/>
      <c r="AK617" s="142"/>
      <c r="AL617" s="142"/>
      <c r="AM617" s="143"/>
    </row>
    <row r="618">
      <c r="A618" s="144"/>
      <c r="B618" s="142"/>
      <c r="C618" s="142"/>
      <c r="D618" s="142"/>
      <c r="E618" s="142"/>
      <c r="F618" s="142"/>
      <c r="G618" s="142"/>
      <c r="H618" s="142"/>
      <c r="I618" s="142"/>
      <c r="J618" s="142"/>
      <c r="K618" s="142"/>
      <c r="L618" s="142"/>
      <c r="M618" s="142"/>
      <c r="N618" s="142"/>
      <c r="O618" s="142"/>
      <c r="P618" s="142"/>
      <c r="Q618" s="142"/>
      <c r="R618" s="142"/>
      <c r="S618" s="142"/>
      <c r="T618" s="142"/>
      <c r="U618" s="142"/>
      <c r="V618" s="142"/>
      <c r="W618" s="142"/>
      <c r="X618" s="142"/>
      <c r="Y618" s="142"/>
      <c r="Z618" s="142"/>
      <c r="AA618" s="142"/>
      <c r="AB618" s="142"/>
      <c r="AC618" s="142"/>
      <c r="AD618" s="142"/>
      <c r="AE618" s="142"/>
      <c r="AF618" s="142"/>
      <c r="AG618" s="142"/>
      <c r="AH618" s="142"/>
      <c r="AI618" s="142"/>
      <c r="AJ618" s="142"/>
      <c r="AK618" s="142"/>
      <c r="AL618" s="142"/>
      <c r="AM618" s="143"/>
    </row>
    <row r="619">
      <c r="A619" s="144"/>
      <c r="B619" s="142"/>
      <c r="C619" s="142"/>
      <c r="D619" s="142"/>
      <c r="E619" s="142"/>
      <c r="F619" s="142"/>
      <c r="G619" s="142"/>
      <c r="H619" s="142"/>
      <c r="I619" s="142"/>
      <c r="J619" s="142"/>
      <c r="K619" s="142"/>
      <c r="L619" s="142"/>
      <c r="M619" s="142"/>
      <c r="N619" s="142"/>
      <c r="O619" s="142"/>
      <c r="P619" s="142"/>
      <c r="Q619" s="142"/>
      <c r="R619" s="142"/>
      <c r="S619" s="142"/>
      <c r="T619" s="142"/>
      <c r="U619" s="142"/>
      <c r="V619" s="142"/>
      <c r="W619" s="142"/>
      <c r="X619" s="142"/>
      <c r="Y619" s="142"/>
      <c r="Z619" s="142"/>
      <c r="AA619" s="142"/>
      <c r="AB619" s="142"/>
      <c r="AC619" s="142"/>
      <c r="AD619" s="142"/>
      <c r="AE619" s="142"/>
      <c r="AF619" s="142"/>
      <c r="AG619" s="142"/>
      <c r="AH619" s="142"/>
      <c r="AI619" s="142"/>
      <c r="AJ619" s="142"/>
      <c r="AK619" s="142"/>
      <c r="AL619" s="142"/>
      <c r="AM619" s="143"/>
    </row>
    <row r="620">
      <c r="A620" s="144"/>
      <c r="B620" s="142"/>
      <c r="C620" s="142"/>
      <c r="D620" s="142"/>
      <c r="E620" s="142"/>
      <c r="F620" s="142"/>
      <c r="G620" s="142"/>
      <c r="H620" s="142"/>
      <c r="I620" s="142"/>
      <c r="J620" s="142"/>
      <c r="K620" s="142"/>
      <c r="L620" s="142"/>
      <c r="M620" s="142"/>
      <c r="N620" s="142"/>
      <c r="O620" s="142"/>
      <c r="P620" s="142"/>
      <c r="Q620" s="142"/>
      <c r="R620" s="142"/>
      <c r="S620" s="142"/>
      <c r="T620" s="142"/>
      <c r="U620" s="142"/>
      <c r="V620" s="142"/>
      <c r="W620" s="142"/>
      <c r="X620" s="142"/>
      <c r="Y620" s="142"/>
      <c r="Z620" s="142"/>
      <c r="AA620" s="142"/>
      <c r="AB620" s="142"/>
      <c r="AC620" s="142"/>
      <c r="AD620" s="142"/>
      <c r="AE620" s="142"/>
      <c r="AF620" s="142"/>
      <c r="AG620" s="142"/>
      <c r="AH620" s="142"/>
      <c r="AI620" s="142"/>
      <c r="AJ620" s="142"/>
      <c r="AK620" s="142"/>
      <c r="AL620" s="142"/>
      <c r="AM620" s="143"/>
    </row>
    <row r="621">
      <c r="A621" s="144"/>
      <c r="B621" s="142"/>
      <c r="C621" s="142"/>
      <c r="D621" s="142"/>
      <c r="E621" s="142"/>
      <c r="F621" s="142"/>
      <c r="G621" s="142"/>
      <c r="H621" s="142"/>
      <c r="I621" s="142"/>
      <c r="J621" s="142"/>
      <c r="K621" s="142"/>
      <c r="L621" s="142"/>
      <c r="M621" s="142"/>
      <c r="N621" s="142"/>
      <c r="O621" s="142"/>
      <c r="P621" s="142"/>
      <c r="Q621" s="142"/>
      <c r="R621" s="142"/>
      <c r="S621" s="142"/>
      <c r="T621" s="142"/>
      <c r="U621" s="142"/>
      <c r="V621" s="142"/>
      <c r="W621" s="142"/>
      <c r="X621" s="142"/>
      <c r="Y621" s="142"/>
      <c r="Z621" s="142"/>
      <c r="AA621" s="142"/>
      <c r="AB621" s="142"/>
      <c r="AC621" s="142"/>
      <c r="AD621" s="142"/>
      <c r="AE621" s="142"/>
      <c r="AF621" s="142"/>
      <c r="AG621" s="142"/>
      <c r="AH621" s="142"/>
      <c r="AI621" s="142"/>
      <c r="AJ621" s="142"/>
      <c r="AK621" s="142"/>
      <c r="AL621" s="142"/>
      <c r="AM621" s="143"/>
    </row>
    <row r="622">
      <c r="A622" s="144"/>
      <c r="B622" s="142"/>
      <c r="C622" s="142"/>
      <c r="D622" s="142"/>
      <c r="E622" s="142"/>
      <c r="F622" s="142"/>
      <c r="G622" s="142"/>
      <c r="H622" s="142"/>
      <c r="I622" s="142"/>
      <c r="J622" s="142"/>
      <c r="K622" s="142"/>
      <c r="L622" s="142"/>
      <c r="M622" s="142"/>
      <c r="N622" s="142"/>
      <c r="O622" s="142"/>
      <c r="P622" s="142"/>
      <c r="Q622" s="142"/>
      <c r="R622" s="142"/>
      <c r="S622" s="142"/>
      <c r="T622" s="142"/>
      <c r="U622" s="142"/>
      <c r="V622" s="142"/>
      <c r="W622" s="142"/>
      <c r="X622" s="142"/>
      <c r="Y622" s="142"/>
      <c r="Z622" s="142"/>
      <c r="AA622" s="142"/>
      <c r="AB622" s="142"/>
      <c r="AC622" s="142"/>
      <c r="AD622" s="142"/>
      <c r="AE622" s="142"/>
      <c r="AF622" s="142"/>
      <c r="AG622" s="142"/>
      <c r="AH622" s="142"/>
      <c r="AI622" s="142"/>
      <c r="AJ622" s="142"/>
      <c r="AK622" s="142"/>
      <c r="AL622" s="142"/>
      <c r="AM622" s="143"/>
    </row>
    <row r="623">
      <c r="A623" s="144"/>
      <c r="B623" s="142"/>
      <c r="C623" s="142"/>
      <c r="D623" s="142"/>
      <c r="E623" s="142"/>
      <c r="F623" s="142"/>
      <c r="G623" s="142"/>
      <c r="H623" s="142"/>
      <c r="I623" s="142"/>
      <c r="J623" s="142"/>
      <c r="K623" s="142"/>
      <c r="L623" s="142"/>
      <c r="M623" s="142"/>
      <c r="N623" s="142"/>
      <c r="O623" s="142"/>
      <c r="P623" s="142"/>
      <c r="Q623" s="142"/>
      <c r="R623" s="142"/>
      <c r="S623" s="142"/>
      <c r="T623" s="142"/>
      <c r="U623" s="142"/>
      <c r="V623" s="142"/>
      <c r="W623" s="142"/>
      <c r="X623" s="142"/>
      <c r="Y623" s="142"/>
      <c r="Z623" s="142"/>
      <c r="AA623" s="142"/>
      <c r="AB623" s="142"/>
      <c r="AC623" s="142"/>
      <c r="AD623" s="142"/>
      <c r="AE623" s="142"/>
      <c r="AF623" s="142"/>
      <c r="AG623" s="142"/>
      <c r="AH623" s="142"/>
      <c r="AI623" s="142"/>
      <c r="AJ623" s="142"/>
      <c r="AK623" s="142"/>
      <c r="AL623" s="142"/>
      <c r="AM623" s="143"/>
    </row>
    <row r="624">
      <c r="A624" s="144"/>
      <c r="B624" s="142"/>
      <c r="C624" s="142"/>
      <c r="D624" s="142"/>
      <c r="E624" s="142"/>
      <c r="F624" s="142"/>
      <c r="G624" s="142"/>
      <c r="H624" s="142"/>
      <c r="I624" s="142"/>
      <c r="J624" s="142"/>
      <c r="K624" s="142"/>
      <c r="L624" s="142"/>
      <c r="M624" s="142"/>
      <c r="N624" s="142"/>
      <c r="O624" s="142"/>
      <c r="P624" s="142"/>
      <c r="Q624" s="142"/>
      <c r="R624" s="142"/>
      <c r="S624" s="142"/>
      <c r="T624" s="142"/>
      <c r="U624" s="142"/>
      <c r="V624" s="142"/>
      <c r="W624" s="142"/>
      <c r="X624" s="142"/>
      <c r="Y624" s="142"/>
      <c r="Z624" s="142"/>
      <c r="AA624" s="142"/>
      <c r="AB624" s="142"/>
      <c r="AC624" s="142"/>
      <c r="AD624" s="142"/>
      <c r="AE624" s="142"/>
      <c r="AF624" s="142"/>
      <c r="AG624" s="142"/>
      <c r="AH624" s="142"/>
      <c r="AI624" s="142"/>
      <c r="AJ624" s="142"/>
      <c r="AK624" s="142"/>
      <c r="AL624" s="142"/>
      <c r="AM624" s="143"/>
    </row>
    <row r="625">
      <c r="A625" s="144"/>
      <c r="B625" s="142"/>
      <c r="C625" s="142"/>
      <c r="D625" s="142"/>
      <c r="E625" s="142"/>
      <c r="F625" s="142"/>
      <c r="G625" s="142"/>
      <c r="H625" s="142"/>
      <c r="I625" s="142"/>
      <c r="J625" s="142"/>
      <c r="K625" s="142"/>
      <c r="L625" s="142"/>
      <c r="M625" s="142"/>
      <c r="N625" s="142"/>
      <c r="O625" s="142"/>
      <c r="P625" s="142"/>
      <c r="Q625" s="142"/>
      <c r="R625" s="142"/>
      <c r="S625" s="142"/>
      <c r="T625" s="142"/>
      <c r="U625" s="142"/>
      <c r="V625" s="142"/>
      <c r="W625" s="142"/>
      <c r="X625" s="142"/>
      <c r="Y625" s="142"/>
      <c r="Z625" s="142"/>
      <c r="AA625" s="142"/>
      <c r="AB625" s="142"/>
      <c r="AC625" s="142"/>
      <c r="AD625" s="142"/>
      <c r="AE625" s="142"/>
      <c r="AF625" s="142"/>
      <c r="AG625" s="142"/>
      <c r="AH625" s="142"/>
      <c r="AI625" s="142"/>
      <c r="AJ625" s="142"/>
      <c r="AK625" s="142"/>
      <c r="AL625" s="142"/>
      <c r="AM625" s="143"/>
    </row>
    <row r="626">
      <c r="A626" s="144"/>
      <c r="B626" s="142"/>
      <c r="C626" s="142"/>
      <c r="D626" s="142"/>
      <c r="E626" s="142"/>
      <c r="F626" s="142"/>
      <c r="G626" s="142"/>
      <c r="H626" s="142"/>
      <c r="I626" s="142"/>
      <c r="J626" s="142"/>
      <c r="K626" s="142"/>
      <c r="L626" s="142"/>
      <c r="M626" s="142"/>
      <c r="N626" s="142"/>
      <c r="O626" s="142"/>
      <c r="P626" s="142"/>
      <c r="Q626" s="142"/>
      <c r="R626" s="142"/>
      <c r="S626" s="142"/>
      <c r="T626" s="142"/>
      <c r="U626" s="142"/>
      <c r="V626" s="142"/>
      <c r="W626" s="142"/>
      <c r="X626" s="142"/>
      <c r="Y626" s="142"/>
      <c r="Z626" s="142"/>
      <c r="AA626" s="142"/>
      <c r="AB626" s="142"/>
      <c r="AC626" s="142"/>
      <c r="AD626" s="142"/>
      <c r="AE626" s="142"/>
      <c r="AF626" s="142"/>
      <c r="AG626" s="142"/>
      <c r="AH626" s="142"/>
      <c r="AI626" s="142"/>
      <c r="AJ626" s="142"/>
      <c r="AK626" s="142"/>
      <c r="AL626" s="142"/>
      <c r="AM626" s="143"/>
    </row>
    <row r="627">
      <c r="A627" s="144"/>
      <c r="B627" s="142"/>
      <c r="C627" s="142"/>
      <c r="D627" s="142"/>
      <c r="E627" s="142"/>
      <c r="F627" s="142"/>
      <c r="G627" s="142"/>
      <c r="H627" s="142"/>
      <c r="I627" s="142"/>
      <c r="J627" s="142"/>
      <c r="K627" s="142"/>
      <c r="L627" s="142"/>
      <c r="M627" s="142"/>
      <c r="N627" s="142"/>
      <c r="O627" s="142"/>
      <c r="P627" s="142"/>
      <c r="Q627" s="142"/>
      <c r="R627" s="142"/>
      <c r="S627" s="142"/>
      <c r="T627" s="142"/>
      <c r="U627" s="142"/>
      <c r="V627" s="142"/>
      <c r="W627" s="142"/>
      <c r="X627" s="142"/>
      <c r="Y627" s="142"/>
      <c r="Z627" s="142"/>
      <c r="AA627" s="142"/>
      <c r="AB627" s="142"/>
      <c r="AC627" s="142"/>
      <c r="AD627" s="142"/>
      <c r="AE627" s="142"/>
      <c r="AF627" s="142"/>
      <c r="AG627" s="142"/>
      <c r="AH627" s="142"/>
      <c r="AI627" s="142"/>
      <c r="AJ627" s="142"/>
      <c r="AK627" s="142"/>
      <c r="AL627" s="142"/>
      <c r="AM627" s="143"/>
    </row>
    <row r="628">
      <c r="A628" s="144"/>
      <c r="B628" s="142"/>
      <c r="C628" s="142"/>
      <c r="D628" s="142"/>
      <c r="E628" s="142"/>
      <c r="F628" s="142"/>
      <c r="G628" s="142"/>
      <c r="H628" s="142"/>
      <c r="I628" s="142"/>
      <c r="J628" s="142"/>
      <c r="K628" s="142"/>
      <c r="L628" s="142"/>
      <c r="M628" s="142"/>
      <c r="N628" s="142"/>
      <c r="O628" s="142"/>
      <c r="P628" s="142"/>
      <c r="Q628" s="142"/>
      <c r="R628" s="142"/>
      <c r="S628" s="142"/>
      <c r="T628" s="142"/>
      <c r="U628" s="142"/>
      <c r="V628" s="142"/>
      <c r="W628" s="142"/>
      <c r="X628" s="142"/>
      <c r="Y628" s="142"/>
      <c r="Z628" s="142"/>
      <c r="AA628" s="142"/>
      <c r="AB628" s="142"/>
      <c r="AC628" s="142"/>
      <c r="AD628" s="142"/>
      <c r="AE628" s="142"/>
      <c r="AF628" s="142"/>
      <c r="AG628" s="142"/>
      <c r="AH628" s="142"/>
      <c r="AI628" s="142"/>
      <c r="AJ628" s="142"/>
      <c r="AK628" s="142"/>
      <c r="AL628" s="142"/>
      <c r="AM628" s="143"/>
    </row>
    <row r="629">
      <c r="A629" s="144"/>
      <c r="B629" s="142"/>
      <c r="C629" s="142"/>
      <c r="D629" s="142"/>
      <c r="E629" s="142"/>
      <c r="F629" s="142"/>
      <c r="G629" s="142"/>
      <c r="H629" s="142"/>
      <c r="I629" s="142"/>
      <c r="J629" s="142"/>
      <c r="K629" s="142"/>
      <c r="L629" s="142"/>
      <c r="M629" s="142"/>
      <c r="N629" s="142"/>
      <c r="O629" s="142"/>
      <c r="P629" s="142"/>
      <c r="Q629" s="142"/>
      <c r="R629" s="142"/>
      <c r="S629" s="142"/>
      <c r="T629" s="142"/>
      <c r="U629" s="142"/>
      <c r="V629" s="142"/>
      <c r="W629" s="142"/>
      <c r="X629" s="142"/>
      <c r="Y629" s="142"/>
      <c r="Z629" s="142"/>
      <c r="AA629" s="142"/>
      <c r="AB629" s="142"/>
      <c r="AC629" s="142"/>
      <c r="AD629" s="142"/>
      <c r="AE629" s="142"/>
      <c r="AF629" s="142"/>
      <c r="AG629" s="142"/>
      <c r="AH629" s="142"/>
      <c r="AI629" s="142"/>
      <c r="AJ629" s="142"/>
      <c r="AK629" s="142"/>
      <c r="AL629" s="142"/>
      <c r="AM629" s="143"/>
    </row>
    <row r="630">
      <c r="A630" s="144"/>
      <c r="B630" s="142"/>
      <c r="C630" s="142"/>
      <c r="D630" s="142"/>
      <c r="E630" s="142"/>
      <c r="F630" s="142"/>
      <c r="G630" s="142"/>
      <c r="H630" s="142"/>
      <c r="I630" s="142"/>
      <c r="J630" s="142"/>
      <c r="K630" s="142"/>
      <c r="L630" s="142"/>
      <c r="M630" s="142"/>
      <c r="N630" s="142"/>
      <c r="O630" s="142"/>
      <c r="P630" s="142"/>
      <c r="Q630" s="142"/>
      <c r="R630" s="142"/>
      <c r="S630" s="142"/>
      <c r="T630" s="142"/>
      <c r="U630" s="142"/>
      <c r="V630" s="142"/>
      <c r="W630" s="142"/>
      <c r="X630" s="142"/>
      <c r="Y630" s="142"/>
      <c r="Z630" s="142"/>
      <c r="AA630" s="142"/>
      <c r="AB630" s="142"/>
      <c r="AC630" s="142"/>
      <c r="AD630" s="142"/>
      <c r="AE630" s="142"/>
      <c r="AF630" s="142"/>
      <c r="AG630" s="142"/>
      <c r="AH630" s="142"/>
      <c r="AI630" s="142"/>
      <c r="AJ630" s="142"/>
      <c r="AK630" s="142"/>
      <c r="AL630" s="142"/>
      <c r="AM630" s="143"/>
    </row>
    <row r="631">
      <c r="A631" s="144"/>
      <c r="B631" s="142"/>
      <c r="C631" s="142"/>
      <c r="D631" s="142"/>
      <c r="E631" s="142"/>
      <c r="F631" s="142"/>
      <c r="G631" s="142"/>
      <c r="H631" s="142"/>
      <c r="I631" s="142"/>
      <c r="J631" s="142"/>
      <c r="K631" s="142"/>
      <c r="L631" s="142"/>
      <c r="M631" s="142"/>
      <c r="N631" s="142"/>
      <c r="O631" s="142"/>
      <c r="P631" s="142"/>
      <c r="Q631" s="142"/>
      <c r="R631" s="142"/>
      <c r="S631" s="142"/>
      <c r="T631" s="142"/>
      <c r="U631" s="142"/>
      <c r="V631" s="142"/>
      <c r="W631" s="142"/>
      <c r="X631" s="142"/>
      <c r="Y631" s="142"/>
      <c r="Z631" s="142"/>
      <c r="AA631" s="142"/>
      <c r="AB631" s="142"/>
      <c r="AC631" s="142"/>
      <c r="AD631" s="142"/>
      <c r="AE631" s="142"/>
      <c r="AF631" s="142"/>
      <c r="AG631" s="142"/>
      <c r="AH631" s="142"/>
      <c r="AI631" s="142"/>
      <c r="AJ631" s="142"/>
      <c r="AK631" s="142"/>
      <c r="AL631" s="142"/>
      <c r="AM631" s="143"/>
    </row>
    <row r="632">
      <c r="A632" s="144"/>
      <c r="B632" s="142"/>
      <c r="C632" s="142"/>
      <c r="D632" s="142"/>
      <c r="E632" s="142"/>
      <c r="F632" s="142"/>
      <c r="G632" s="142"/>
      <c r="H632" s="142"/>
      <c r="I632" s="142"/>
      <c r="J632" s="142"/>
      <c r="K632" s="142"/>
      <c r="L632" s="142"/>
      <c r="M632" s="142"/>
      <c r="N632" s="142"/>
      <c r="O632" s="142"/>
      <c r="P632" s="142"/>
      <c r="Q632" s="142"/>
      <c r="R632" s="142"/>
      <c r="S632" s="142"/>
      <c r="T632" s="142"/>
      <c r="U632" s="142"/>
      <c r="V632" s="142"/>
      <c r="W632" s="142"/>
      <c r="X632" s="142"/>
      <c r="Y632" s="142"/>
      <c r="Z632" s="142"/>
      <c r="AA632" s="142"/>
      <c r="AB632" s="142"/>
      <c r="AC632" s="142"/>
      <c r="AD632" s="142"/>
      <c r="AE632" s="142"/>
      <c r="AF632" s="142"/>
      <c r="AG632" s="142"/>
      <c r="AH632" s="142"/>
      <c r="AI632" s="142"/>
      <c r="AJ632" s="142"/>
      <c r="AK632" s="142"/>
      <c r="AL632" s="142"/>
      <c r="AM632" s="143"/>
    </row>
    <row r="633">
      <c r="A633" s="144"/>
      <c r="B633" s="142"/>
      <c r="C633" s="142"/>
      <c r="D633" s="142"/>
      <c r="E633" s="142"/>
      <c r="F633" s="142"/>
      <c r="G633" s="142"/>
      <c r="H633" s="142"/>
      <c r="I633" s="142"/>
      <c r="J633" s="142"/>
      <c r="K633" s="142"/>
      <c r="L633" s="142"/>
      <c r="M633" s="142"/>
      <c r="N633" s="142"/>
      <c r="O633" s="142"/>
      <c r="P633" s="142"/>
      <c r="Q633" s="142"/>
      <c r="R633" s="142"/>
      <c r="S633" s="142"/>
      <c r="T633" s="142"/>
      <c r="U633" s="142"/>
      <c r="V633" s="142"/>
      <c r="W633" s="142"/>
      <c r="X633" s="142"/>
      <c r="Y633" s="142"/>
      <c r="Z633" s="142"/>
      <c r="AA633" s="142"/>
      <c r="AB633" s="142"/>
      <c r="AC633" s="142"/>
      <c r="AD633" s="142"/>
      <c r="AE633" s="142"/>
      <c r="AF633" s="142"/>
      <c r="AG633" s="142"/>
      <c r="AH633" s="142"/>
      <c r="AI633" s="142"/>
      <c r="AJ633" s="142"/>
      <c r="AK633" s="142"/>
      <c r="AL633" s="142"/>
      <c r="AM633" s="143"/>
    </row>
    <row r="634">
      <c r="A634" s="144"/>
      <c r="B634" s="142"/>
      <c r="C634" s="142"/>
      <c r="D634" s="142"/>
      <c r="E634" s="142"/>
      <c r="F634" s="142"/>
      <c r="G634" s="142"/>
      <c r="H634" s="142"/>
      <c r="I634" s="142"/>
      <c r="J634" s="142"/>
      <c r="K634" s="142"/>
      <c r="L634" s="142"/>
      <c r="M634" s="142"/>
      <c r="N634" s="142"/>
      <c r="O634" s="142"/>
      <c r="P634" s="142"/>
      <c r="Q634" s="142"/>
      <c r="R634" s="142"/>
      <c r="S634" s="142"/>
      <c r="T634" s="142"/>
      <c r="U634" s="142"/>
      <c r="V634" s="142"/>
      <c r="W634" s="142"/>
      <c r="X634" s="142"/>
      <c r="Y634" s="142"/>
      <c r="Z634" s="142"/>
      <c r="AA634" s="142"/>
      <c r="AB634" s="142"/>
      <c r="AC634" s="142"/>
      <c r="AD634" s="142"/>
      <c r="AE634" s="142"/>
      <c r="AF634" s="142"/>
      <c r="AG634" s="142"/>
      <c r="AH634" s="142"/>
      <c r="AI634" s="142"/>
      <c r="AJ634" s="142"/>
      <c r="AK634" s="142"/>
      <c r="AL634" s="142"/>
      <c r="AM634" s="143"/>
    </row>
    <row r="635">
      <c r="A635" s="144"/>
      <c r="B635" s="142"/>
      <c r="C635" s="142"/>
      <c r="D635" s="142"/>
      <c r="E635" s="142"/>
      <c r="F635" s="142"/>
      <c r="G635" s="142"/>
      <c r="H635" s="142"/>
      <c r="I635" s="142"/>
      <c r="J635" s="142"/>
      <c r="K635" s="142"/>
      <c r="L635" s="142"/>
      <c r="M635" s="142"/>
      <c r="N635" s="142"/>
      <c r="O635" s="142"/>
      <c r="P635" s="142"/>
      <c r="Q635" s="142"/>
      <c r="R635" s="142"/>
      <c r="S635" s="142"/>
      <c r="T635" s="142"/>
      <c r="U635" s="142"/>
      <c r="V635" s="142"/>
      <c r="W635" s="142"/>
      <c r="X635" s="142"/>
      <c r="Y635" s="142"/>
      <c r="Z635" s="142"/>
      <c r="AA635" s="142"/>
      <c r="AB635" s="142"/>
      <c r="AC635" s="142"/>
      <c r="AD635" s="142"/>
      <c r="AE635" s="142"/>
      <c r="AF635" s="142"/>
      <c r="AG635" s="142"/>
      <c r="AH635" s="142"/>
      <c r="AI635" s="142"/>
      <c r="AJ635" s="142"/>
      <c r="AK635" s="142"/>
      <c r="AL635" s="142"/>
      <c r="AM635" s="143"/>
    </row>
    <row r="636">
      <c r="A636" s="144"/>
      <c r="B636" s="142"/>
      <c r="C636" s="142"/>
      <c r="D636" s="142"/>
      <c r="E636" s="142"/>
      <c r="F636" s="142"/>
      <c r="G636" s="142"/>
      <c r="H636" s="142"/>
      <c r="I636" s="142"/>
      <c r="J636" s="142"/>
      <c r="K636" s="142"/>
      <c r="L636" s="142"/>
      <c r="M636" s="142"/>
      <c r="N636" s="142"/>
      <c r="O636" s="142"/>
      <c r="P636" s="142"/>
      <c r="Q636" s="142"/>
      <c r="R636" s="142"/>
      <c r="S636" s="142"/>
      <c r="T636" s="142"/>
      <c r="U636" s="142"/>
      <c r="V636" s="142"/>
      <c r="W636" s="142"/>
      <c r="X636" s="142"/>
      <c r="Y636" s="142"/>
      <c r="Z636" s="142"/>
      <c r="AA636" s="142"/>
      <c r="AB636" s="142"/>
      <c r="AC636" s="142"/>
      <c r="AD636" s="142"/>
      <c r="AE636" s="142"/>
      <c r="AF636" s="142"/>
      <c r="AG636" s="142"/>
      <c r="AH636" s="142"/>
      <c r="AI636" s="142"/>
      <c r="AJ636" s="142"/>
      <c r="AK636" s="142"/>
      <c r="AL636" s="142"/>
      <c r="AM636" s="143"/>
    </row>
    <row r="637">
      <c r="A637" s="144"/>
      <c r="B637" s="142"/>
      <c r="C637" s="142"/>
      <c r="D637" s="142"/>
      <c r="E637" s="142"/>
      <c r="F637" s="142"/>
      <c r="G637" s="142"/>
      <c r="H637" s="142"/>
      <c r="I637" s="142"/>
      <c r="J637" s="142"/>
      <c r="K637" s="142"/>
      <c r="L637" s="142"/>
      <c r="M637" s="142"/>
      <c r="N637" s="142"/>
      <c r="O637" s="142"/>
      <c r="P637" s="142"/>
      <c r="Q637" s="142"/>
      <c r="R637" s="142"/>
      <c r="S637" s="142"/>
      <c r="T637" s="142"/>
      <c r="U637" s="142"/>
      <c r="V637" s="142"/>
      <c r="W637" s="142"/>
      <c r="X637" s="142"/>
      <c r="Y637" s="142"/>
      <c r="Z637" s="142"/>
      <c r="AA637" s="142"/>
      <c r="AB637" s="142"/>
      <c r="AC637" s="142"/>
      <c r="AD637" s="142"/>
      <c r="AE637" s="142"/>
      <c r="AF637" s="142"/>
      <c r="AG637" s="142"/>
      <c r="AH637" s="142"/>
      <c r="AI637" s="142"/>
      <c r="AJ637" s="142"/>
      <c r="AK637" s="142"/>
      <c r="AL637" s="142"/>
      <c r="AM637" s="143"/>
    </row>
    <row r="638">
      <c r="A638" s="144"/>
      <c r="B638" s="142"/>
      <c r="C638" s="142"/>
      <c r="D638" s="142"/>
      <c r="E638" s="142"/>
      <c r="F638" s="142"/>
      <c r="G638" s="142"/>
      <c r="H638" s="142"/>
      <c r="I638" s="142"/>
      <c r="J638" s="142"/>
      <c r="K638" s="142"/>
      <c r="L638" s="142"/>
      <c r="M638" s="142"/>
      <c r="N638" s="142"/>
      <c r="O638" s="142"/>
      <c r="P638" s="142"/>
      <c r="Q638" s="142"/>
      <c r="R638" s="142"/>
      <c r="S638" s="142"/>
      <c r="T638" s="142"/>
      <c r="U638" s="142"/>
      <c r="V638" s="142"/>
      <c r="W638" s="142"/>
      <c r="X638" s="142"/>
      <c r="Y638" s="142"/>
      <c r="Z638" s="142"/>
      <c r="AA638" s="142"/>
      <c r="AB638" s="142"/>
      <c r="AC638" s="142"/>
      <c r="AD638" s="142"/>
      <c r="AE638" s="142"/>
      <c r="AF638" s="142"/>
      <c r="AG638" s="142"/>
      <c r="AH638" s="142"/>
      <c r="AI638" s="142"/>
      <c r="AJ638" s="142"/>
      <c r="AK638" s="142"/>
      <c r="AL638" s="142"/>
      <c r="AM638" s="143"/>
    </row>
    <row r="639">
      <c r="A639" s="144"/>
      <c r="B639" s="142"/>
      <c r="C639" s="142"/>
      <c r="D639" s="142"/>
      <c r="E639" s="142"/>
      <c r="F639" s="142"/>
      <c r="G639" s="142"/>
      <c r="H639" s="142"/>
      <c r="I639" s="142"/>
      <c r="J639" s="142"/>
      <c r="K639" s="142"/>
      <c r="L639" s="142"/>
      <c r="M639" s="142"/>
      <c r="N639" s="142"/>
      <c r="O639" s="142"/>
      <c r="P639" s="142"/>
      <c r="Q639" s="142"/>
      <c r="R639" s="142"/>
      <c r="S639" s="142"/>
      <c r="T639" s="142"/>
      <c r="U639" s="142"/>
      <c r="V639" s="142"/>
      <c r="W639" s="142"/>
      <c r="X639" s="142"/>
      <c r="Y639" s="142"/>
      <c r="Z639" s="142"/>
      <c r="AA639" s="142"/>
      <c r="AB639" s="142"/>
      <c r="AC639" s="142"/>
      <c r="AD639" s="142"/>
      <c r="AE639" s="142"/>
      <c r="AF639" s="142"/>
      <c r="AG639" s="142"/>
      <c r="AH639" s="142"/>
      <c r="AI639" s="142"/>
      <c r="AJ639" s="142"/>
      <c r="AK639" s="142"/>
      <c r="AL639" s="142"/>
      <c r="AM639" s="143"/>
    </row>
    <row r="640">
      <c r="A640" s="144"/>
      <c r="B640" s="142"/>
      <c r="C640" s="142"/>
      <c r="D640" s="142"/>
      <c r="E640" s="142"/>
      <c r="F640" s="142"/>
      <c r="G640" s="142"/>
      <c r="H640" s="142"/>
      <c r="I640" s="142"/>
      <c r="J640" s="142"/>
      <c r="K640" s="142"/>
      <c r="L640" s="142"/>
      <c r="M640" s="142"/>
      <c r="N640" s="142"/>
      <c r="O640" s="142"/>
      <c r="P640" s="142"/>
      <c r="Q640" s="142"/>
      <c r="R640" s="142"/>
      <c r="S640" s="142"/>
      <c r="T640" s="142"/>
      <c r="U640" s="142"/>
      <c r="V640" s="142"/>
      <c r="W640" s="142"/>
      <c r="X640" s="142"/>
      <c r="Y640" s="142"/>
      <c r="Z640" s="142"/>
      <c r="AA640" s="142"/>
      <c r="AB640" s="142"/>
      <c r="AC640" s="142"/>
      <c r="AD640" s="142"/>
      <c r="AE640" s="142"/>
      <c r="AF640" s="142"/>
      <c r="AG640" s="142"/>
      <c r="AH640" s="142"/>
      <c r="AI640" s="142"/>
      <c r="AJ640" s="142"/>
      <c r="AK640" s="142"/>
      <c r="AL640" s="142"/>
      <c r="AM640" s="143"/>
    </row>
    <row r="641">
      <c r="A641" s="144"/>
      <c r="B641" s="142"/>
      <c r="C641" s="142"/>
      <c r="D641" s="142"/>
      <c r="E641" s="142"/>
      <c r="F641" s="142"/>
      <c r="G641" s="142"/>
      <c r="H641" s="142"/>
      <c r="I641" s="142"/>
      <c r="J641" s="142"/>
      <c r="K641" s="142"/>
      <c r="L641" s="142"/>
      <c r="M641" s="142"/>
      <c r="N641" s="142"/>
      <c r="O641" s="142"/>
      <c r="P641" s="142"/>
      <c r="Q641" s="142"/>
      <c r="R641" s="142"/>
      <c r="S641" s="142"/>
      <c r="T641" s="142"/>
      <c r="U641" s="142"/>
      <c r="V641" s="142"/>
      <c r="W641" s="142"/>
      <c r="X641" s="142"/>
      <c r="Y641" s="142"/>
      <c r="Z641" s="142"/>
      <c r="AA641" s="142"/>
      <c r="AB641" s="142"/>
      <c r="AC641" s="142"/>
      <c r="AD641" s="142"/>
      <c r="AE641" s="142"/>
      <c r="AF641" s="142"/>
      <c r="AG641" s="142"/>
      <c r="AH641" s="142"/>
      <c r="AI641" s="142"/>
      <c r="AJ641" s="142"/>
      <c r="AK641" s="142"/>
      <c r="AL641" s="142"/>
      <c r="AM641" s="143"/>
    </row>
    <row r="642">
      <c r="A642" s="144"/>
      <c r="B642" s="142"/>
      <c r="C642" s="142"/>
      <c r="D642" s="142"/>
      <c r="E642" s="142"/>
      <c r="F642" s="142"/>
      <c r="G642" s="142"/>
      <c r="H642" s="142"/>
      <c r="I642" s="142"/>
      <c r="J642" s="142"/>
      <c r="K642" s="142"/>
      <c r="L642" s="142"/>
      <c r="M642" s="142"/>
      <c r="N642" s="142"/>
      <c r="O642" s="142"/>
      <c r="P642" s="142"/>
      <c r="Q642" s="142"/>
      <c r="R642" s="142"/>
      <c r="S642" s="142"/>
      <c r="T642" s="142"/>
      <c r="U642" s="142"/>
      <c r="V642" s="142"/>
      <c r="W642" s="142"/>
      <c r="X642" s="142"/>
      <c r="Y642" s="142"/>
      <c r="Z642" s="142"/>
      <c r="AA642" s="142"/>
      <c r="AB642" s="142"/>
      <c r="AC642" s="142"/>
      <c r="AD642" s="142"/>
      <c r="AE642" s="142"/>
      <c r="AF642" s="142"/>
      <c r="AG642" s="142"/>
      <c r="AH642" s="142"/>
      <c r="AI642" s="142"/>
      <c r="AJ642" s="142"/>
      <c r="AK642" s="142"/>
      <c r="AL642" s="142"/>
      <c r="AM642" s="143"/>
    </row>
    <row r="643">
      <c r="A643" s="144"/>
      <c r="B643" s="142"/>
      <c r="C643" s="142"/>
      <c r="D643" s="142"/>
      <c r="E643" s="142"/>
      <c r="F643" s="142"/>
      <c r="G643" s="142"/>
      <c r="H643" s="142"/>
      <c r="I643" s="142"/>
      <c r="J643" s="142"/>
      <c r="K643" s="142"/>
      <c r="L643" s="142"/>
      <c r="M643" s="142"/>
      <c r="N643" s="142"/>
      <c r="O643" s="142"/>
      <c r="P643" s="142"/>
      <c r="Q643" s="142"/>
      <c r="R643" s="142"/>
      <c r="S643" s="142"/>
      <c r="T643" s="142"/>
      <c r="U643" s="142"/>
      <c r="V643" s="142"/>
      <c r="W643" s="142"/>
      <c r="X643" s="142"/>
      <c r="Y643" s="142"/>
      <c r="Z643" s="142"/>
      <c r="AA643" s="142"/>
      <c r="AB643" s="142"/>
      <c r="AC643" s="142"/>
      <c r="AD643" s="142"/>
      <c r="AE643" s="142"/>
      <c r="AF643" s="142"/>
      <c r="AG643" s="142"/>
      <c r="AH643" s="142"/>
      <c r="AI643" s="142"/>
      <c r="AJ643" s="142"/>
      <c r="AK643" s="142"/>
      <c r="AL643" s="142"/>
      <c r="AM643" s="143"/>
    </row>
    <row r="644">
      <c r="A644" s="144"/>
      <c r="B644" s="142"/>
      <c r="C644" s="142"/>
      <c r="D644" s="142"/>
      <c r="E644" s="142"/>
      <c r="F644" s="142"/>
      <c r="G644" s="142"/>
      <c r="H644" s="142"/>
      <c r="I644" s="142"/>
      <c r="J644" s="142"/>
      <c r="K644" s="142"/>
      <c r="L644" s="142"/>
      <c r="M644" s="142"/>
      <c r="N644" s="142"/>
      <c r="O644" s="142"/>
      <c r="P644" s="142"/>
      <c r="Q644" s="142"/>
      <c r="R644" s="142"/>
      <c r="S644" s="142"/>
      <c r="T644" s="142"/>
      <c r="U644" s="142"/>
      <c r="V644" s="142"/>
      <c r="W644" s="142"/>
      <c r="X644" s="142"/>
      <c r="Y644" s="142"/>
      <c r="Z644" s="142"/>
      <c r="AA644" s="142"/>
      <c r="AB644" s="142"/>
      <c r="AC644" s="142"/>
      <c r="AD644" s="142"/>
      <c r="AE644" s="142"/>
      <c r="AF644" s="142"/>
      <c r="AG644" s="142"/>
      <c r="AH644" s="142"/>
      <c r="AI644" s="142"/>
      <c r="AJ644" s="142"/>
      <c r="AK644" s="142"/>
      <c r="AL644" s="142"/>
      <c r="AM644" s="143"/>
    </row>
    <row r="645">
      <c r="A645" s="144"/>
      <c r="B645" s="142"/>
      <c r="C645" s="142"/>
      <c r="D645" s="142"/>
      <c r="E645" s="142"/>
      <c r="F645" s="142"/>
      <c r="G645" s="142"/>
      <c r="H645" s="142"/>
      <c r="I645" s="142"/>
      <c r="J645" s="142"/>
      <c r="K645" s="142"/>
      <c r="L645" s="142"/>
      <c r="M645" s="142"/>
      <c r="N645" s="142"/>
      <c r="O645" s="142"/>
      <c r="P645" s="142"/>
      <c r="Q645" s="142"/>
      <c r="R645" s="142"/>
      <c r="S645" s="142"/>
      <c r="T645" s="142"/>
      <c r="U645" s="142"/>
      <c r="V645" s="142"/>
      <c r="W645" s="142"/>
      <c r="X645" s="142"/>
      <c r="Y645" s="142"/>
      <c r="Z645" s="142"/>
      <c r="AA645" s="142"/>
      <c r="AB645" s="142"/>
      <c r="AC645" s="142"/>
      <c r="AD645" s="142"/>
      <c r="AE645" s="142"/>
      <c r="AF645" s="142"/>
      <c r="AG645" s="142"/>
      <c r="AH645" s="142"/>
      <c r="AI645" s="142"/>
      <c r="AJ645" s="142"/>
      <c r="AK645" s="142"/>
      <c r="AL645" s="142"/>
      <c r="AM645" s="143"/>
    </row>
    <row r="646">
      <c r="A646" s="144"/>
      <c r="B646" s="142"/>
      <c r="C646" s="142"/>
      <c r="D646" s="142"/>
      <c r="E646" s="142"/>
      <c r="F646" s="142"/>
      <c r="G646" s="142"/>
      <c r="H646" s="142"/>
      <c r="I646" s="142"/>
      <c r="J646" s="142"/>
      <c r="K646" s="142"/>
      <c r="L646" s="142"/>
      <c r="M646" s="142"/>
      <c r="N646" s="142"/>
      <c r="O646" s="142"/>
      <c r="P646" s="142"/>
      <c r="Q646" s="142"/>
      <c r="R646" s="142"/>
      <c r="S646" s="142"/>
      <c r="T646" s="142"/>
      <c r="U646" s="142"/>
      <c r="V646" s="142"/>
      <c r="W646" s="142"/>
      <c r="X646" s="142"/>
      <c r="Y646" s="142"/>
      <c r="Z646" s="142"/>
      <c r="AA646" s="142"/>
      <c r="AB646" s="142"/>
      <c r="AC646" s="142"/>
      <c r="AD646" s="142"/>
      <c r="AE646" s="142"/>
      <c r="AF646" s="142"/>
      <c r="AG646" s="142"/>
      <c r="AH646" s="142"/>
      <c r="AI646" s="142"/>
      <c r="AJ646" s="142"/>
      <c r="AK646" s="142"/>
      <c r="AL646" s="142"/>
      <c r="AM646" s="143"/>
    </row>
    <row r="647">
      <c r="A647" s="144"/>
      <c r="B647" s="142"/>
      <c r="C647" s="142"/>
      <c r="D647" s="142"/>
      <c r="E647" s="142"/>
      <c r="F647" s="142"/>
      <c r="G647" s="142"/>
      <c r="H647" s="142"/>
      <c r="I647" s="142"/>
      <c r="J647" s="142"/>
      <c r="K647" s="142"/>
      <c r="L647" s="142"/>
      <c r="M647" s="142"/>
      <c r="N647" s="142"/>
      <c r="O647" s="142"/>
      <c r="P647" s="142"/>
      <c r="Q647" s="142"/>
      <c r="R647" s="142"/>
      <c r="S647" s="142"/>
      <c r="T647" s="142"/>
      <c r="U647" s="142"/>
      <c r="V647" s="142"/>
      <c r="W647" s="142"/>
      <c r="X647" s="142"/>
      <c r="Y647" s="142"/>
      <c r="Z647" s="142"/>
      <c r="AA647" s="142"/>
      <c r="AB647" s="142"/>
      <c r="AC647" s="142"/>
      <c r="AD647" s="142"/>
      <c r="AE647" s="142"/>
      <c r="AF647" s="142"/>
      <c r="AG647" s="142"/>
      <c r="AH647" s="142"/>
      <c r="AI647" s="142"/>
      <c r="AJ647" s="142"/>
      <c r="AK647" s="142"/>
      <c r="AL647" s="142"/>
      <c r="AM647" s="143"/>
    </row>
    <row r="648">
      <c r="A648" s="144"/>
      <c r="B648" s="142"/>
      <c r="C648" s="142"/>
      <c r="D648" s="142"/>
      <c r="E648" s="142"/>
      <c r="F648" s="142"/>
      <c r="G648" s="142"/>
      <c r="H648" s="142"/>
      <c r="I648" s="142"/>
      <c r="J648" s="142"/>
      <c r="K648" s="142"/>
      <c r="L648" s="142"/>
      <c r="M648" s="142"/>
      <c r="N648" s="142"/>
      <c r="O648" s="142"/>
      <c r="P648" s="142"/>
      <c r="Q648" s="142"/>
      <c r="R648" s="142"/>
      <c r="S648" s="142"/>
      <c r="T648" s="142"/>
      <c r="U648" s="142"/>
      <c r="V648" s="142"/>
      <c r="W648" s="142"/>
      <c r="X648" s="142"/>
      <c r="Y648" s="142"/>
      <c r="Z648" s="142"/>
      <c r="AA648" s="142"/>
      <c r="AB648" s="142"/>
      <c r="AC648" s="142"/>
      <c r="AD648" s="142"/>
      <c r="AE648" s="142"/>
      <c r="AF648" s="142"/>
      <c r="AG648" s="142"/>
      <c r="AH648" s="142"/>
      <c r="AI648" s="142"/>
      <c r="AJ648" s="142"/>
      <c r="AK648" s="142"/>
      <c r="AL648" s="142"/>
      <c r="AM648" s="143"/>
    </row>
    <row r="649">
      <c r="A649" s="144"/>
      <c r="B649" s="142"/>
      <c r="C649" s="142"/>
      <c r="D649" s="142"/>
      <c r="E649" s="142"/>
      <c r="F649" s="142"/>
      <c r="G649" s="142"/>
      <c r="H649" s="142"/>
      <c r="I649" s="142"/>
      <c r="J649" s="142"/>
      <c r="K649" s="142"/>
      <c r="L649" s="142"/>
      <c r="M649" s="142"/>
      <c r="N649" s="142"/>
      <c r="O649" s="142"/>
      <c r="P649" s="142"/>
      <c r="Q649" s="142"/>
      <c r="R649" s="142"/>
      <c r="S649" s="142"/>
      <c r="T649" s="142"/>
      <c r="U649" s="142"/>
      <c r="V649" s="142"/>
      <c r="W649" s="142"/>
      <c r="X649" s="142"/>
      <c r="Y649" s="142"/>
      <c r="Z649" s="142"/>
      <c r="AA649" s="142"/>
      <c r="AB649" s="142"/>
      <c r="AC649" s="142"/>
      <c r="AD649" s="142"/>
      <c r="AE649" s="142"/>
      <c r="AF649" s="142"/>
      <c r="AG649" s="142"/>
      <c r="AH649" s="142"/>
      <c r="AI649" s="142"/>
      <c r="AJ649" s="142"/>
      <c r="AK649" s="142"/>
      <c r="AL649" s="142"/>
      <c r="AM649" s="143"/>
    </row>
    <row r="650">
      <c r="A650" s="144"/>
      <c r="B650" s="142"/>
      <c r="C650" s="142"/>
      <c r="D650" s="142"/>
      <c r="E650" s="142"/>
      <c r="F650" s="142"/>
      <c r="G650" s="142"/>
      <c r="H650" s="142"/>
      <c r="I650" s="142"/>
      <c r="J650" s="142"/>
      <c r="K650" s="142"/>
      <c r="L650" s="142"/>
      <c r="M650" s="142"/>
      <c r="N650" s="142"/>
      <c r="O650" s="142"/>
      <c r="P650" s="142"/>
      <c r="Q650" s="142"/>
      <c r="R650" s="142"/>
      <c r="S650" s="142"/>
      <c r="T650" s="142"/>
      <c r="U650" s="142"/>
      <c r="V650" s="142"/>
      <c r="W650" s="142"/>
      <c r="X650" s="142"/>
      <c r="Y650" s="142"/>
      <c r="Z650" s="142"/>
      <c r="AA650" s="142"/>
      <c r="AB650" s="142"/>
      <c r="AC650" s="142"/>
      <c r="AD650" s="142"/>
      <c r="AE650" s="142"/>
      <c r="AF650" s="142"/>
      <c r="AG650" s="142"/>
      <c r="AH650" s="142"/>
      <c r="AI650" s="142"/>
      <c r="AJ650" s="142"/>
      <c r="AK650" s="142"/>
      <c r="AL650" s="142"/>
      <c r="AM650" s="143"/>
    </row>
    <row r="651">
      <c r="A651" s="144"/>
      <c r="B651" s="142"/>
      <c r="C651" s="142"/>
      <c r="D651" s="142"/>
      <c r="E651" s="142"/>
      <c r="F651" s="142"/>
      <c r="G651" s="142"/>
      <c r="H651" s="142"/>
      <c r="I651" s="142"/>
      <c r="J651" s="142"/>
      <c r="K651" s="142"/>
      <c r="L651" s="142"/>
      <c r="M651" s="142"/>
      <c r="N651" s="142"/>
      <c r="O651" s="142"/>
      <c r="P651" s="142"/>
      <c r="Q651" s="142"/>
      <c r="R651" s="142"/>
      <c r="S651" s="142"/>
      <c r="T651" s="142"/>
      <c r="U651" s="142"/>
      <c r="V651" s="142"/>
      <c r="W651" s="142"/>
      <c r="X651" s="142"/>
      <c r="Y651" s="142"/>
      <c r="Z651" s="142"/>
      <c r="AA651" s="142"/>
      <c r="AB651" s="142"/>
      <c r="AC651" s="142"/>
      <c r="AD651" s="142"/>
      <c r="AE651" s="142"/>
      <c r="AF651" s="142"/>
      <c r="AG651" s="142"/>
      <c r="AH651" s="142"/>
      <c r="AI651" s="142"/>
      <c r="AJ651" s="142"/>
      <c r="AK651" s="142"/>
      <c r="AL651" s="142"/>
      <c r="AM651" s="143"/>
    </row>
    <row r="652">
      <c r="A652" s="144"/>
      <c r="B652" s="142"/>
      <c r="C652" s="142"/>
      <c r="D652" s="142"/>
      <c r="E652" s="142"/>
      <c r="F652" s="142"/>
      <c r="G652" s="142"/>
      <c r="H652" s="142"/>
      <c r="I652" s="142"/>
      <c r="J652" s="142"/>
      <c r="K652" s="142"/>
      <c r="L652" s="142"/>
      <c r="M652" s="142"/>
      <c r="N652" s="142"/>
      <c r="O652" s="142"/>
      <c r="P652" s="142"/>
      <c r="Q652" s="142"/>
      <c r="R652" s="142"/>
      <c r="S652" s="142"/>
      <c r="T652" s="142"/>
      <c r="U652" s="142"/>
      <c r="V652" s="142"/>
      <c r="W652" s="142"/>
      <c r="X652" s="142"/>
      <c r="Y652" s="142"/>
      <c r="Z652" s="142"/>
      <c r="AA652" s="142"/>
      <c r="AB652" s="142"/>
      <c r="AC652" s="142"/>
      <c r="AD652" s="142"/>
      <c r="AE652" s="142"/>
      <c r="AF652" s="142"/>
      <c r="AG652" s="142"/>
      <c r="AH652" s="142"/>
      <c r="AI652" s="142"/>
      <c r="AJ652" s="142"/>
      <c r="AK652" s="142"/>
      <c r="AL652" s="142"/>
      <c r="AM652" s="143"/>
    </row>
    <row r="653">
      <c r="A653" s="144"/>
      <c r="B653" s="142"/>
      <c r="C653" s="142"/>
      <c r="D653" s="142"/>
      <c r="E653" s="142"/>
      <c r="F653" s="142"/>
      <c r="G653" s="142"/>
      <c r="H653" s="142"/>
      <c r="I653" s="142"/>
      <c r="J653" s="142"/>
      <c r="K653" s="142"/>
      <c r="L653" s="142"/>
      <c r="M653" s="142"/>
      <c r="N653" s="142"/>
      <c r="O653" s="142"/>
      <c r="P653" s="142"/>
      <c r="Q653" s="142"/>
      <c r="R653" s="142"/>
      <c r="S653" s="142"/>
      <c r="T653" s="142"/>
      <c r="U653" s="142"/>
      <c r="V653" s="142"/>
      <c r="W653" s="142"/>
      <c r="X653" s="142"/>
      <c r="Y653" s="142"/>
      <c r="Z653" s="142"/>
      <c r="AA653" s="142"/>
      <c r="AB653" s="142"/>
      <c r="AC653" s="142"/>
      <c r="AD653" s="142"/>
      <c r="AE653" s="142"/>
      <c r="AF653" s="142"/>
      <c r="AG653" s="142"/>
      <c r="AH653" s="142"/>
      <c r="AI653" s="142"/>
      <c r="AJ653" s="142"/>
      <c r="AK653" s="142"/>
      <c r="AL653" s="142"/>
      <c r="AM653" s="143"/>
    </row>
    <row r="654">
      <c r="A654" s="144"/>
      <c r="B654" s="142"/>
      <c r="C654" s="142"/>
      <c r="D654" s="142"/>
      <c r="E654" s="142"/>
      <c r="F654" s="142"/>
      <c r="G654" s="142"/>
      <c r="H654" s="142"/>
      <c r="I654" s="142"/>
      <c r="J654" s="142"/>
      <c r="K654" s="142"/>
      <c r="L654" s="142"/>
      <c r="M654" s="142"/>
      <c r="N654" s="142"/>
      <c r="O654" s="142"/>
      <c r="P654" s="142"/>
      <c r="Q654" s="142"/>
      <c r="R654" s="142"/>
      <c r="S654" s="142"/>
      <c r="T654" s="142"/>
      <c r="U654" s="142"/>
      <c r="V654" s="142"/>
      <c r="W654" s="142"/>
      <c r="X654" s="142"/>
      <c r="Y654" s="142"/>
      <c r="Z654" s="142"/>
      <c r="AA654" s="142"/>
      <c r="AB654" s="142"/>
      <c r="AC654" s="142"/>
      <c r="AD654" s="142"/>
      <c r="AE654" s="142"/>
      <c r="AF654" s="142"/>
      <c r="AG654" s="142"/>
      <c r="AH654" s="142"/>
      <c r="AI654" s="142"/>
      <c r="AJ654" s="142"/>
      <c r="AK654" s="142"/>
      <c r="AL654" s="142"/>
      <c r="AM654" s="143"/>
    </row>
    <row r="655">
      <c r="A655" s="144"/>
      <c r="B655" s="142"/>
      <c r="C655" s="142"/>
      <c r="D655" s="142"/>
      <c r="E655" s="142"/>
      <c r="F655" s="142"/>
      <c r="G655" s="142"/>
      <c r="H655" s="142"/>
      <c r="I655" s="142"/>
      <c r="J655" s="142"/>
      <c r="K655" s="142"/>
      <c r="L655" s="142"/>
      <c r="M655" s="142"/>
      <c r="N655" s="142"/>
      <c r="O655" s="142"/>
      <c r="P655" s="142"/>
      <c r="Q655" s="142"/>
      <c r="R655" s="142"/>
      <c r="S655" s="142"/>
      <c r="T655" s="142"/>
      <c r="U655" s="142"/>
      <c r="V655" s="142"/>
      <c r="W655" s="142"/>
      <c r="X655" s="142"/>
      <c r="Y655" s="142"/>
      <c r="Z655" s="142"/>
      <c r="AA655" s="142"/>
      <c r="AB655" s="142"/>
      <c r="AC655" s="142"/>
      <c r="AD655" s="142"/>
      <c r="AE655" s="142"/>
      <c r="AF655" s="142"/>
      <c r="AG655" s="142"/>
      <c r="AH655" s="142"/>
      <c r="AI655" s="142"/>
      <c r="AJ655" s="142"/>
      <c r="AK655" s="142"/>
      <c r="AL655" s="142"/>
      <c r="AM655" s="143"/>
    </row>
    <row r="656">
      <c r="A656" s="144"/>
      <c r="B656" s="142"/>
      <c r="C656" s="142"/>
      <c r="D656" s="142"/>
      <c r="E656" s="142"/>
      <c r="F656" s="142"/>
      <c r="G656" s="142"/>
      <c r="H656" s="142"/>
      <c r="I656" s="142"/>
      <c r="J656" s="142"/>
      <c r="K656" s="142"/>
      <c r="L656" s="142"/>
      <c r="M656" s="142"/>
      <c r="N656" s="142"/>
      <c r="O656" s="142"/>
      <c r="P656" s="142"/>
      <c r="Q656" s="142"/>
      <c r="R656" s="142"/>
      <c r="S656" s="142"/>
      <c r="T656" s="142"/>
      <c r="U656" s="142"/>
      <c r="V656" s="142"/>
      <c r="W656" s="142"/>
      <c r="X656" s="142"/>
      <c r="Y656" s="142"/>
      <c r="Z656" s="142"/>
      <c r="AA656" s="142"/>
      <c r="AB656" s="142"/>
      <c r="AC656" s="142"/>
      <c r="AD656" s="142"/>
      <c r="AE656" s="142"/>
      <c r="AF656" s="142"/>
      <c r="AG656" s="142"/>
      <c r="AH656" s="142"/>
      <c r="AI656" s="142"/>
      <c r="AJ656" s="142"/>
      <c r="AK656" s="142"/>
      <c r="AL656" s="142"/>
      <c r="AM656" s="143"/>
    </row>
    <row r="657">
      <c r="A657" s="144"/>
      <c r="B657" s="142"/>
      <c r="C657" s="142"/>
      <c r="D657" s="142"/>
      <c r="E657" s="142"/>
      <c r="F657" s="142"/>
      <c r="G657" s="142"/>
      <c r="H657" s="142"/>
      <c r="I657" s="142"/>
      <c r="J657" s="142"/>
      <c r="K657" s="142"/>
      <c r="L657" s="142"/>
      <c r="M657" s="142"/>
      <c r="N657" s="142"/>
      <c r="O657" s="142"/>
      <c r="P657" s="142"/>
      <c r="Q657" s="142"/>
      <c r="R657" s="142"/>
      <c r="S657" s="142"/>
      <c r="T657" s="142"/>
      <c r="U657" s="142"/>
      <c r="V657" s="142"/>
      <c r="W657" s="142"/>
      <c r="X657" s="142"/>
      <c r="Y657" s="142"/>
      <c r="Z657" s="142"/>
      <c r="AA657" s="142"/>
      <c r="AB657" s="142"/>
      <c r="AC657" s="142"/>
      <c r="AD657" s="142"/>
      <c r="AE657" s="142"/>
      <c r="AF657" s="142"/>
      <c r="AG657" s="142"/>
      <c r="AH657" s="142"/>
      <c r="AI657" s="142"/>
      <c r="AJ657" s="142"/>
      <c r="AK657" s="142"/>
      <c r="AL657" s="142"/>
      <c r="AM657" s="143"/>
    </row>
    <row r="658">
      <c r="A658" s="144"/>
      <c r="B658" s="142"/>
      <c r="C658" s="142"/>
      <c r="D658" s="142"/>
      <c r="E658" s="142"/>
      <c r="F658" s="142"/>
      <c r="G658" s="142"/>
      <c r="H658" s="142"/>
      <c r="I658" s="142"/>
      <c r="J658" s="142"/>
      <c r="K658" s="142"/>
      <c r="L658" s="142"/>
      <c r="M658" s="142"/>
      <c r="N658" s="142"/>
      <c r="O658" s="142"/>
      <c r="P658" s="142"/>
      <c r="Q658" s="142"/>
      <c r="R658" s="142"/>
      <c r="S658" s="142"/>
      <c r="T658" s="142"/>
      <c r="U658" s="142"/>
      <c r="V658" s="142"/>
      <c r="W658" s="142"/>
      <c r="X658" s="142"/>
      <c r="Y658" s="142"/>
      <c r="Z658" s="142"/>
      <c r="AA658" s="142"/>
      <c r="AB658" s="142"/>
      <c r="AC658" s="142"/>
      <c r="AD658" s="142"/>
      <c r="AE658" s="142"/>
      <c r="AF658" s="142"/>
      <c r="AG658" s="142"/>
      <c r="AH658" s="142"/>
      <c r="AI658" s="142"/>
      <c r="AJ658" s="142"/>
      <c r="AK658" s="142"/>
      <c r="AL658" s="142"/>
      <c r="AM658" s="143"/>
    </row>
    <row r="659">
      <c r="A659" s="144"/>
      <c r="B659" s="142"/>
      <c r="C659" s="142"/>
      <c r="D659" s="142"/>
      <c r="E659" s="142"/>
      <c r="F659" s="142"/>
      <c r="G659" s="142"/>
      <c r="H659" s="142"/>
      <c r="I659" s="142"/>
      <c r="J659" s="142"/>
      <c r="K659" s="142"/>
      <c r="L659" s="142"/>
      <c r="M659" s="142"/>
      <c r="N659" s="142"/>
      <c r="O659" s="142"/>
      <c r="P659" s="142"/>
      <c r="Q659" s="142"/>
      <c r="R659" s="142"/>
      <c r="S659" s="142"/>
      <c r="T659" s="142"/>
      <c r="U659" s="142"/>
      <c r="V659" s="142"/>
      <c r="W659" s="142"/>
      <c r="X659" s="142"/>
      <c r="Y659" s="142"/>
      <c r="Z659" s="142"/>
      <c r="AA659" s="142"/>
      <c r="AB659" s="142"/>
      <c r="AC659" s="142"/>
      <c r="AD659" s="142"/>
      <c r="AE659" s="142"/>
      <c r="AF659" s="142"/>
      <c r="AG659" s="142"/>
      <c r="AH659" s="142"/>
      <c r="AI659" s="142"/>
      <c r="AJ659" s="142"/>
      <c r="AK659" s="142"/>
      <c r="AL659" s="142"/>
      <c r="AM659" s="143"/>
    </row>
    <row r="660">
      <c r="A660" s="144"/>
      <c r="B660" s="142"/>
      <c r="C660" s="142"/>
      <c r="D660" s="142"/>
      <c r="E660" s="142"/>
      <c r="F660" s="142"/>
      <c r="G660" s="142"/>
      <c r="H660" s="142"/>
      <c r="I660" s="142"/>
      <c r="J660" s="142"/>
      <c r="K660" s="142"/>
      <c r="L660" s="142"/>
      <c r="M660" s="142"/>
      <c r="N660" s="142"/>
      <c r="O660" s="142"/>
      <c r="P660" s="142"/>
      <c r="Q660" s="142"/>
      <c r="R660" s="142"/>
      <c r="S660" s="142"/>
      <c r="T660" s="142"/>
      <c r="U660" s="142"/>
      <c r="V660" s="142"/>
      <c r="W660" s="142"/>
      <c r="X660" s="142"/>
      <c r="Y660" s="142"/>
      <c r="Z660" s="142"/>
      <c r="AA660" s="142"/>
      <c r="AB660" s="142"/>
      <c r="AC660" s="142"/>
      <c r="AD660" s="142"/>
      <c r="AE660" s="142"/>
      <c r="AF660" s="142"/>
      <c r="AG660" s="142"/>
      <c r="AH660" s="142"/>
      <c r="AI660" s="142"/>
      <c r="AJ660" s="142"/>
      <c r="AK660" s="142"/>
      <c r="AL660" s="142"/>
      <c r="AM660" s="143"/>
    </row>
    <row r="661">
      <c r="A661" s="144"/>
      <c r="B661" s="142"/>
      <c r="C661" s="142"/>
      <c r="D661" s="142"/>
      <c r="E661" s="142"/>
      <c r="F661" s="142"/>
      <c r="G661" s="142"/>
      <c r="H661" s="142"/>
      <c r="I661" s="142"/>
      <c r="J661" s="142"/>
      <c r="K661" s="142"/>
      <c r="L661" s="142"/>
      <c r="M661" s="142"/>
      <c r="N661" s="142"/>
      <c r="O661" s="142"/>
      <c r="P661" s="142"/>
      <c r="Q661" s="142"/>
      <c r="R661" s="142"/>
      <c r="S661" s="142"/>
      <c r="T661" s="142"/>
      <c r="U661" s="142"/>
      <c r="V661" s="142"/>
      <c r="W661" s="142"/>
      <c r="X661" s="142"/>
      <c r="Y661" s="142"/>
      <c r="Z661" s="142"/>
      <c r="AA661" s="142"/>
      <c r="AB661" s="142"/>
      <c r="AC661" s="142"/>
      <c r="AD661" s="142"/>
      <c r="AE661" s="142"/>
      <c r="AF661" s="142"/>
      <c r="AG661" s="142"/>
      <c r="AH661" s="142"/>
      <c r="AI661" s="142"/>
      <c r="AJ661" s="142"/>
      <c r="AK661" s="142"/>
      <c r="AL661" s="142"/>
      <c r="AM661" s="143"/>
    </row>
    <row r="662">
      <c r="A662" s="144"/>
      <c r="B662" s="142"/>
      <c r="C662" s="142"/>
      <c r="D662" s="142"/>
      <c r="E662" s="142"/>
      <c r="F662" s="142"/>
      <c r="G662" s="142"/>
      <c r="H662" s="142"/>
      <c r="I662" s="142"/>
      <c r="J662" s="142"/>
      <c r="K662" s="142"/>
      <c r="L662" s="142"/>
      <c r="M662" s="142"/>
      <c r="N662" s="142"/>
      <c r="O662" s="142"/>
      <c r="P662" s="142"/>
      <c r="Q662" s="142"/>
      <c r="R662" s="142"/>
      <c r="S662" s="142"/>
      <c r="T662" s="142"/>
      <c r="U662" s="142"/>
      <c r="V662" s="142"/>
      <c r="W662" s="142"/>
      <c r="X662" s="142"/>
      <c r="Y662" s="142"/>
      <c r="Z662" s="142"/>
      <c r="AA662" s="142"/>
      <c r="AB662" s="142"/>
      <c r="AC662" s="142"/>
      <c r="AD662" s="142"/>
      <c r="AE662" s="142"/>
      <c r="AF662" s="142"/>
      <c r="AG662" s="142"/>
      <c r="AH662" s="142"/>
      <c r="AI662" s="142"/>
      <c r="AJ662" s="142"/>
      <c r="AK662" s="142"/>
      <c r="AL662" s="142"/>
      <c r="AM662" s="143"/>
    </row>
    <row r="663">
      <c r="A663" s="144"/>
      <c r="B663" s="142"/>
      <c r="C663" s="142"/>
      <c r="D663" s="142"/>
      <c r="E663" s="142"/>
      <c r="F663" s="142"/>
      <c r="G663" s="142"/>
      <c r="H663" s="142"/>
      <c r="I663" s="142"/>
      <c r="J663" s="142"/>
      <c r="K663" s="142"/>
      <c r="L663" s="142"/>
      <c r="M663" s="142"/>
      <c r="N663" s="142"/>
      <c r="O663" s="142"/>
      <c r="P663" s="142"/>
      <c r="Q663" s="142"/>
      <c r="R663" s="142"/>
      <c r="S663" s="142"/>
      <c r="T663" s="142"/>
      <c r="U663" s="142"/>
      <c r="V663" s="142"/>
      <c r="W663" s="142"/>
      <c r="X663" s="142"/>
      <c r="Y663" s="142"/>
      <c r="Z663" s="142"/>
      <c r="AA663" s="142"/>
      <c r="AB663" s="142"/>
      <c r="AC663" s="142"/>
      <c r="AD663" s="142"/>
      <c r="AE663" s="142"/>
      <c r="AF663" s="142"/>
      <c r="AG663" s="142"/>
      <c r="AH663" s="142"/>
      <c r="AI663" s="142"/>
      <c r="AJ663" s="142"/>
      <c r="AK663" s="142"/>
      <c r="AL663" s="142"/>
      <c r="AM663" s="143"/>
    </row>
    <row r="664">
      <c r="A664" s="144"/>
      <c r="B664" s="142"/>
      <c r="C664" s="142"/>
      <c r="D664" s="142"/>
      <c r="E664" s="142"/>
      <c r="F664" s="142"/>
      <c r="G664" s="142"/>
      <c r="H664" s="142"/>
      <c r="I664" s="142"/>
      <c r="J664" s="142"/>
      <c r="K664" s="142"/>
      <c r="L664" s="142"/>
      <c r="M664" s="142"/>
      <c r="N664" s="142"/>
      <c r="O664" s="142"/>
      <c r="P664" s="142"/>
      <c r="Q664" s="142"/>
      <c r="R664" s="142"/>
      <c r="S664" s="142"/>
      <c r="T664" s="142"/>
      <c r="U664" s="142"/>
      <c r="V664" s="142"/>
      <c r="W664" s="142"/>
      <c r="X664" s="142"/>
      <c r="Y664" s="142"/>
      <c r="Z664" s="142"/>
      <c r="AA664" s="142"/>
      <c r="AB664" s="142"/>
      <c r="AC664" s="142"/>
      <c r="AD664" s="142"/>
      <c r="AE664" s="142"/>
      <c r="AF664" s="142"/>
      <c r="AG664" s="142"/>
      <c r="AH664" s="142"/>
      <c r="AI664" s="142"/>
      <c r="AJ664" s="142"/>
      <c r="AK664" s="142"/>
      <c r="AL664" s="142"/>
      <c r="AM664" s="143"/>
    </row>
    <row r="665">
      <c r="A665" s="144"/>
      <c r="B665" s="142"/>
      <c r="C665" s="142"/>
      <c r="D665" s="142"/>
      <c r="E665" s="142"/>
      <c r="F665" s="142"/>
      <c r="G665" s="142"/>
      <c r="H665" s="142"/>
      <c r="I665" s="142"/>
      <c r="J665" s="142"/>
      <c r="K665" s="142"/>
      <c r="L665" s="142"/>
      <c r="M665" s="142"/>
      <c r="N665" s="142"/>
      <c r="O665" s="142"/>
      <c r="P665" s="142"/>
      <c r="Q665" s="142"/>
      <c r="R665" s="142"/>
      <c r="S665" s="142"/>
      <c r="T665" s="142"/>
      <c r="U665" s="142"/>
      <c r="V665" s="142"/>
      <c r="W665" s="142"/>
      <c r="X665" s="142"/>
      <c r="Y665" s="142"/>
      <c r="Z665" s="142"/>
      <c r="AA665" s="142"/>
      <c r="AB665" s="142"/>
      <c r="AC665" s="142"/>
      <c r="AD665" s="142"/>
      <c r="AE665" s="142"/>
      <c r="AF665" s="142"/>
      <c r="AG665" s="142"/>
      <c r="AH665" s="142"/>
      <c r="AI665" s="142"/>
      <c r="AJ665" s="142"/>
      <c r="AK665" s="142"/>
      <c r="AL665" s="142"/>
      <c r="AM665" s="143"/>
    </row>
    <row r="666">
      <c r="A666" s="144"/>
      <c r="B666" s="142"/>
      <c r="C666" s="142"/>
      <c r="D666" s="142"/>
      <c r="E666" s="142"/>
      <c r="F666" s="142"/>
      <c r="G666" s="142"/>
      <c r="H666" s="142"/>
      <c r="I666" s="142"/>
      <c r="J666" s="142"/>
      <c r="K666" s="142"/>
      <c r="L666" s="142"/>
      <c r="M666" s="142"/>
      <c r="N666" s="142"/>
      <c r="O666" s="142"/>
      <c r="P666" s="142"/>
      <c r="Q666" s="142"/>
      <c r="R666" s="142"/>
      <c r="S666" s="142"/>
      <c r="T666" s="142"/>
      <c r="U666" s="142"/>
      <c r="V666" s="142"/>
      <c r="W666" s="142"/>
      <c r="X666" s="142"/>
      <c r="Y666" s="142"/>
      <c r="Z666" s="142"/>
      <c r="AA666" s="142"/>
      <c r="AB666" s="142"/>
      <c r="AC666" s="142"/>
      <c r="AD666" s="142"/>
      <c r="AE666" s="142"/>
      <c r="AF666" s="142"/>
      <c r="AG666" s="142"/>
      <c r="AH666" s="142"/>
      <c r="AI666" s="142"/>
      <c r="AJ666" s="142"/>
      <c r="AK666" s="142"/>
      <c r="AL666" s="142"/>
      <c r="AM666" s="143"/>
    </row>
    <row r="667">
      <c r="A667" s="144"/>
      <c r="B667" s="142"/>
      <c r="C667" s="142"/>
      <c r="D667" s="142"/>
      <c r="E667" s="142"/>
      <c r="F667" s="142"/>
      <c r="G667" s="142"/>
      <c r="H667" s="142"/>
      <c r="I667" s="142"/>
      <c r="J667" s="142"/>
      <c r="K667" s="142"/>
      <c r="L667" s="142"/>
      <c r="M667" s="142"/>
      <c r="N667" s="142"/>
      <c r="O667" s="142"/>
      <c r="P667" s="142"/>
      <c r="Q667" s="142"/>
      <c r="R667" s="142"/>
      <c r="S667" s="142"/>
      <c r="T667" s="142"/>
      <c r="U667" s="142"/>
      <c r="V667" s="142"/>
      <c r="W667" s="142"/>
      <c r="X667" s="142"/>
      <c r="Y667" s="142"/>
      <c r="Z667" s="142"/>
      <c r="AA667" s="142"/>
      <c r="AB667" s="142"/>
      <c r="AC667" s="142"/>
      <c r="AD667" s="142"/>
      <c r="AE667" s="142"/>
      <c r="AF667" s="142"/>
      <c r="AG667" s="142"/>
      <c r="AH667" s="142"/>
      <c r="AI667" s="142"/>
      <c r="AJ667" s="142"/>
      <c r="AK667" s="142"/>
      <c r="AL667" s="142"/>
      <c r="AM667" s="143"/>
    </row>
    <row r="668">
      <c r="A668" s="144"/>
      <c r="B668" s="142"/>
      <c r="C668" s="142"/>
      <c r="D668" s="142"/>
      <c r="E668" s="142"/>
      <c r="F668" s="142"/>
      <c r="G668" s="142"/>
      <c r="H668" s="142"/>
      <c r="I668" s="142"/>
      <c r="J668" s="142"/>
      <c r="K668" s="142"/>
      <c r="L668" s="142"/>
      <c r="M668" s="142"/>
      <c r="N668" s="142"/>
      <c r="O668" s="142"/>
      <c r="P668" s="142"/>
      <c r="Q668" s="142"/>
      <c r="R668" s="142"/>
      <c r="S668" s="142"/>
      <c r="T668" s="142"/>
      <c r="U668" s="142"/>
      <c r="V668" s="142"/>
      <c r="W668" s="142"/>
      <c r="X668" s="142"/>
      <c r="Y668" s="142"/>
      <c r="Z668" s="142"/>
      <c r="AA668" s="142"/>
      <c r="AB668" s="142"/>
      <c r="AC668" s="142"/>
      <c r="AD668" s="142"/>
      <c r="AE668" s="142"/>
      <c r="AF668" s="142"/>
      <c r="AG668" s="142"/>
      <c r="AH668" s="142"/>
      <c r="AI668" s="142"/>
      <c r="AJ668" s="142"/>
      <c r="AK668" s="142"/>
      <c r="AL668" s="142"/>
      <c r="AM668" s="143"/>
    </row>
    <row r="669">
      <c r="A669" s="144"/>
      <c r="B669" s="142"/>
      <c r="C669" s="142"/>
      <c r="D669" s="142"/>
      <c r="E669" s="142"/>
      <c r="F669" s="142"/>
      <c r="G669" s="142"/>
      <c r="H669" s="142"/>
      <c r="I669" s="142"/>
      <c r="J669" s="142"/>
      <c r="K669" s="142"/>
      <c r="L669" s="142"/>
      <c r="M669" s="142"/>
      <c r="N669" s="142"/>
      <c r="O669" s="142"/>
      <c r="P669" s="142"/>
      <c r="Q669" s="142"/>
      <c r="R669" s="142"/>
      <c r="S669" s="142"/>
      <c r="T669" s="142"/>
      <c r="U669" s="142"/>
      <c r="V669" s="142"/>
      <c r="W669" s="142"/>
      <c r="X669" s="142"/>
      <c r="Y669" s="142"/>
      <c r="Z669" s="142"/>
      <c r="AA669" s="142"/>
      <c r="AB669" s="142"/>
      <c r="AC669" s="142"/>
      <c r="AD669" s="142"/>
      <c r="AE669" s="142"/>
      <c r="AF669" s="142"/>
      <c r="AG669" s="142"/>
      <c r="AH669" s="142"/>
      <c r="AI669" s="142"/>
      <c r="AJ669" s="142"/>
      <c r="AK669" s="142"/>
      <c r="AL669" s="142"/>
      <c r="AM669" s="143"/>
    </row>
    <row r="670">
      <c r="A670" s="144"/>
      <c r="B670" s="142"/>
      <c r="C670" s="142"/>
      <c r="D670" s="142"/>
      <c r="E670" s="142"/>
      <c r="F670" s="142"/>
      <c r="G670" s="142"/>
      <c r="H670" s="142"/>
      <c r="I670" s="142"/>
      <c r="J670" s="142"/>
      <c r="K670" s="142"/>
      <c r="L670" s="142"/>
      <c r="M670" s="142"/>
      <c r="N670" s="142"/>
      <c r="O670" s="142"/>
      <c r="P670" s="142"/>
      <c r="Q670" s="142"/>
      <c r="R670" s="142"/>
      <c r="S670" s="142"/>
      <c r="T670" s="142"/>
      <c r="U670" s="142"/>
      <c r="V670" s="142"/>
      <c r="W670" s="142"/>
      <c r="X670" s="142"/>
      <c r="Y670" s="142"/>
      <c r="Z670" s="142"/>
      <c r="AA670" s="142"/>
      <c r="AB670" s="142"/>
      <c r="AC670" s="142"/>
      <c r="AD670" s="142"/>
      <c r="AE670" s="142"/>
      <c r="AF670" s="142"/>
      <c r="AG670" s="142"/>
      <c r="AH670" s="142"/>
      <c r="AI670" s="142"/>
      <c r="AJ670" s="142"/>
      <c r="AK670" s="142"/>
      <c r="AL670" s="142"/>
      <c r="AM670" s="143"/>
    </row>
    <row r="671">
      <c r="A671" s="144"/>
      <c r="B671" s="142"/>
      <c r="C671" s="142"/>
      <c r="D671" s="142"/>
      <c r="E671" s="142"/>
      <c r="F671" s="142"/>
      <c r="G671" s="142"/>
      <c r="H671" s="142"/>
      <c r="I671" s="142"/>
      <c r="J671" s="142"/>
      <c r="K671" s="142"/>
      <c r="L671" s="142"/>
      <c r="M671" s="142"/>
      <c r="N671" s="142"/>
      <c r="O671" s="142"/>
      <c r="P671" s="142"/>
      <c r="Q671" s="142"/>
      <c r="R671" s="142"/>
      <c r="S671" s="142"/>
      <c r="T671" s="142"/>
      <c r="U671" s="142"/>
      <c r="V671" s="142"/>
      <c r="W671" s="142"/>
      <c r="X671" s="142"/>
      <c r="Y671" s="142"/>
      <c r="Z671" s="142"/>
      <c r="AA671" s="142"/>
      <c r="AB671" s="142"/>
      <c r="AC671" s="142"/>
      <c r="AD671" s="142"/>
      <c r="AE671" s="142"/>
      <c r="AF671" s="142"/>
      <c r="AG671" s="142"/>
      <c r="AH671" s="142"/>
      <c r="AI671" s="142"/>
      <c r="AJ671" s="142"/>
      <c r="AK671" s="142"/>
      <c r="AL671" s="142"/>
      <c r="AM671" s="143"/>
    </row>
    <row r="672">
      <c r="A672" s="144"/>
      <c r="B672" s="142"/>
      <c r="C672" s="142"/>
      <c r="D672" s="142"/>
      <c r="E672" s="142"/>
      <c r="F672" s="142"/>
      <c r="G672" s="142"/>
      <c r="H672" s="142"/>
      <c r="I672" s="142"/>
      <c r="J672" s="142"/>
      <c r="K672" s="142"/>
      <c r="L672" s="142"/>
      <c r="M672" s="142"/>
      <c r="N672" s="142"/>
      <c r="O672" s="142"/>
      <c r="P672" s="142"/>
      <c r="Q672" s="142"/>
      <c r="R672" s="142"/>
      <c r="S672" s="142"/>
      <c r="T672" s="142"/>
      <c r="U672" s="142"/>
      <c r="V672" s="142"/>
      <c r="W672" s="142"/>
      <c r="X672" s="142"/>
      <c r="Y672" s="142"/>
      <c r="Z672" s="142"/>
      <c r="AA672" s="142"/>
      <c r="AB672" s="142"/>
      <c r="AC672" s="142"/>
      <c r="AD672" s="142"/>
      <c r="AE672" s="142"/>
      <c r="AF672" s="142"/>
      <c r="AG672" s="142"/>
      <c r="AH672" s="142"/>
      <c r="AI672" s="142"/>
      <c r="AJ672" s="142"/>
      <c r="AK672" s="142"/>
      <c r="AL672" s="142"/>
      <c r="AM672" s="143"/>
    </row>
    <row r="673">
      <c r="A673" s="144"/>
      <c r="B673" s="142"/>
      <c r="C673" s="142"/>
      <c r="D673" s="142"/>
      <c r="E673" s="142"/>
      <c r="F673" s="142"/>
      <c r="G673" s="142"/>
      <c r="H673" s="142"/>
      <c r="I673" s="142"/>
      <c r="J673" s="142"/>
      <c r="K673" s="142"/>
      <c r="L673" s="142"/>
      <c r="M673" s="142"/>
      <c r="N673" s="142"/>
      <c r="O673" s="142"/>
      <c r="P673" s="142"/>
      <c r="Q673" s="142"/>
      <c r="R673" s="142"/>
      <c r="S673" s="142"/>
      <c r="T673" s="142"/>
      <c r="U673" s="142"/>
      <c r="V673" s="142"/>
      <c r="W673" s="142"/>
      <c r="X673" s="142"/>
      <c r="Y673" s="142"/>
      <c r="Z673" s="142"/>
      <c r="AA673" s="142"/>
      <c r="AB673" s="142"/>
      <c r="AC673" s="142"/>
      <c r="AD673" s="142"/>
      <c r="AE673" s="142"/>
      <c r="AF673" s="142"/>
      <c r="AG673" s="142"/>
      <c r="AH673" s="142"/>
      <c r="AI673" s="142"/>
      <c r="AJ673" s="142"/>
      <c r="AK673" s="142"/>
      <c r="AL673" s="142"/>
      <c r="AM673" s="143"/>
    </row>
    <row r="674">
      <c r="A674" s="144"/>
      <c r="B674" s="142"/>
      <c r="C674" s="142"/>
      <c r="D674" s="142"/>
      <c r="E674" s="142"/>
      <c r="F674" s="142"/>
      <c r="G674" s="142"/>
      <c r="H674" s="142"/>
      <c r="I674" s="142"/>
      <c r="J674" s="142"/>
      <c r="K674" s="142"/>
      <c r="L674" s="142"/>
      <c r="M674" s="142"/>
      <c r="N674" s="142"/>
      <c r="O674" s="142"/>
      <c r="P674" s="142"/>
      <c r="Q674" s="142"/>
      <c r="R674" s="142"/>
      <c r="S674" s="142"/>
      <c r="T674" s="142"/>
      <c r="U674" s="142"/>
      <c r="V674" s="142"/>
      <c r="W674" s="142"/>
      <c r="X674" s="142"/>
      <c r="Y674" s="142"/>
      <c r="Z674" s="142"/>
      <c r="AA674" s="142"/>
      <c r="AB674" s="142"/>
      <c r="AC674" s="142"/>
      <c r="AD674" s="142"/>
      <c r="AE674" s="142"/>
      <c r="AF674" s="142"/>
      <c r="AG674" s="142"/>
      <c r="AH674" s="142"/>
      <c r="AI674" s="142"/>
      <c r="AJ674" s="142"/>
      <c r="AK674" s="142"/>
      <c r="AL674" s="142"/>
      <c r="AM674" s="143"/>
    </row>
    <row r="675">
      <c r="A675" s="144"/>
      <c r="B675" s="142"/>
      <c r="C675" s="142"/>
      <c r="D675" s="142"/>
      <c r="E675" s="142"/>
      <c r="F675" s="142"/>
      <c r="G675" s="142"/>
      <c r="H675" s="142"/>
      <c r="I675" s="142"/>
      <c r="J675" s="142"/>
      <c r="K675" s="142"/>
      <c r="L675" s="142"/>
      <c r="M675" s="142"/>
      <c r="N675" s="142"/>
      <c r="O675" s="142"/>
      <c r="P675" s="142"/>
      <c r="Q675" s="142"/>
      <c r="R675" s="142"/>
      <c r="S675" s="142"/>
      <c r="T675" s="142"/>
      <c r="U675" s="142"/>
      <c r="V675" s="142"/>
      <c r="W675" s="142"/>
      <c r="X675" s="142"/>
      <c r="Y675" s="142"/>
      <c r="Z675" s="142"/>
      <c r="AA675" s="142"/>
      <c r="AB675" s="142"/>
      <c r="AC675" s="142"/>
      <c r="AD675" s="142"/>
      <c r="AE675" s="142"/>
      <c r="AF675" s="142"/>
      <c r="AG675" s="142"/>
      <c r="AH675" s="142"/>
      <c r="AI675" s="142"/>
      <c r="AJ675" s="142"/>
      <c r="AK675" s="142"/>
      <c r="AL675" s="142"/>
      <c r="AM675" s="143"/>
    </row>
    <row r="676">
      <c r="A676" s="144"/>
      <c r="B676" s="142"/>
      <c r="C676" s="142"/>
      <c r="D676" s="142"/>
      <c r="E676" s="142"/>
      <c r="F676" s="142"/>
      <c r="G676" s="142"/>
      <c r="H676" s="142"/>
      <c r="I676" s="142"/>
      <c r="J676" s="142"/>
      <c r="K676" s="142"/>
      <c r="L676" s="142"/>
      <c r="M676" s="142"/>
      <c r="N676" s="142"/>
      <c r="O676" s="142"/>
      <c r="P676" s="142"/>
      <c r="Q676" s="142"/>
      <c r="R676" s="142"/>
      <c r="S676" s="142"/>
      <c r="T676" s="142"/>
      <c r="U676" s="142"/>
      <c r="V676" s="142"/>
      <c r="W676" s="142"/>
      <c r="X676" s="142"/>
      <c r="Y676" s="142"/>
      <c r="Z676" s="142"/>
      <c r="AA676" s="142"/>
      <c r="AB676" s="142"/>
      <c r="AC676" s="142"/>
      <c r="AD676" s="142"/>
      <c r="AE676" s="142"/>
      <c r="AF676" s="142"/>
      <c r="AG676" s="142"/>
      <c r="AH676" s="142"/>
      <c r="AI676" s="142"/>
      <c r="AJ676" s="142"/>
      <c r="AK676" s="142"/>
      <c r="AL676" s="142"/>
      <c r="AM676" s="143"/>
    </row>
    <row r="677">
      <c r="A677" s="144"/>
      <c r="B677" s="142"/>
      <c r="C677" s="142"/>
      <c r="D677" s="142"/>
      <c r="E677" s="142"/>
      <c r="F677" s="142"/>
      <c r="G677" s="142"/>
      <c r="H677" s="142"/>
      <c r="I677" s="142"/>
      <c r="J677" s="142"/>
      <c r="K677" s="142"/>
      <c r="L677" s="142"/>
      <c r="M677" s="142"/>
      <c r="N677" s="142"/>
      <c r="O677" s="142"/>
      <c r="P677" s="142"/>
      <c r="Q677" s="142"/>
      <c r="R677" s="142"/>
      <c r="S677" s="142"/>
      <c r="T677" s="142"/>
      <c r="U677" s="142"/>
      <c r="V677" s="142"/>
      <c r="W677" s="142"/>
      <c r="X677" s="142"/>
      <c r="Y677" s="142"/>
      <c r="Z677" s="142"/>
      <c r="AA677" s="142"/>
      <c r="AB677" s="142"/>
      <c r="AC677" s="142"/>
      <c r="AD677" s="142"/>
      <c r="AE677" s="142"/>
      <c r="AF677" s="142"/>
      <c r="AG677" s="142"/>
      <c r="AH677" s="142"/>
      <c r="AI677" s="142"/>
      <c r="AJ677" s="142"/>
      <c r="AK677" s="142"/>
      <c r="AL677" s="142"/>
      <c r="AM677" s="143"/>
    </row>
    <row r="678">
      <c r="A678" s="144"/>
      <c r="B678" s="142"/>
      <c r="C678" s="142"/>
      <c r="D678" s="142"/>
      <c r="E678" s="142"/>
      <c r="F678" s="142"/>
      <c r="G678" s="142"/>
      <c r="H678" s="142"/>
      <c r="I678" s="142"/>
      <c r="J678" s="142"/>
      <c r="K678" s="142"/>
      <c r="L678" s="142"/>
      <c r="M678" s="142"/>
      <c r="N678" s="142"/>
      <c r="O678" s="142"/>
      <c r="P678" s="142"/>
      <c r="Q678" s="142"/>
      <c r="R678" s="142"/>
      <c r="S678" s="142"/>
      <c r="T678" s="142"/>
      <c r="U678" s="142"/>
      <c r="V678" s="142"/>
      <c r="W678" s="142"/>
      <c r="X678" s="142"/>
      <c r="Y678" s="142"/>
      <c r="Z678" s="142"/>
      <c r="AA678" s="142"/>
      <c r="AB678" s="142"/>
      <c r="AC678" s="142"/>
      <c r="AD678" s="142"/>
      <c r="AE678" s="142"/>
      <c r="AF678" s="142"/>
      <c r="AG678" s="142"/>
      <c r="AH678" s="142"/>
      <c r="AI678" s="142"/>
      <c r="AJ678" s="142"/>
      <c r="AK678" s="142"/>
      <c r="AL678" s="142"/>
      <c r="AM678" s="143"/>
    </row>
    <row r="679">
      <c r="A679" s="144"/>
      <c r="B679" s="142"/>
      <c r="C679" s="142"/>
      <c r="D679" s="142"/>
      <c r="E679" s="142"/>
      <c r="F679" s="142"/>
      <c r="G679" s="142"/>
      <c r="H679" s="142"/>
      <c r="I679" s="142"/>
      <c r="J679" s="142"/>
      <c r="K679" s="142"/>
      <c r="L679" s="142"/>
      <c r="M679" s="142"/>
      <c r="N679" s="142"/>
      <c r="O679" s="142"/>
      <c r="P679" s="142"/>
      <c r="Q679" s="142"/>
      <c r="R679" s="142"/>
      <c r="S679" s="142"/>
      <c r="T679" s="142"/>
      <c r="U679" s="142"/>
      <c r="V679" s="142"/>
      <c r="W679" s="142"/>
      <c r="X679" s="142"/>
      <c r="Y679" s="142"/>
      <c r="Z679" s="142"/>
      <c r="AA679" s="142"/>
      <c r="AB679" s="142"/>
      <c r="AC679" s="142"/>
      <c r="AD679" s="142"/>
      <c r="AE679" s="142"/>
      <c r="AF679" s="142"/>
      <c r="AG679" s="142"/>
      <c r="AH679" s="142"/>
      <c r="AI679" s="142"/>
      <c r="AJ679" s="142"/>
      <c r="AK679" s="142"/>
      <c r="AL679" s="142"/>
      <c r="AM679" s="143"/>
    </row>
    <row r="680">
      <c r="A680" s="144"/>
      <c r="B680" s="142"/>
      <c r="C680" s="142"/>
      <c r="D680" s="142"/>
      <c r="E680" s="142"/>
      <c r="F680" s="142"/>
      <c r="G680" s="142"/>
      <c r="H680" s="142"/>
      <c r="I680" s="142"/>
      <c r="J680" s="142"/>
      <c r="K680" s="142"/>
      <c r="L680" s="142"/>
      <c r="M680" s="142"/>
      <c r="N680" s="142"/>
      <c r="O680" s="142"/>
      <c r="P680" s="142"/>
      <c r="Q680" s="142"/>
      <c r="R680" s="142"/>
      <c r="S680" s="142"/>
      <c r="T680" s="142"/>
      <c r="U680" s="142"/>
      <c r="V680" s="142"/>
      <c r="W680" s="142"/>
      <c r="X680" s="142"/>
      <c r="Y680" s="142"/>
      <c r="Z680" s="142"/>
      <c r="AA680" s="142"/>
      <c r="AB680" s="142"/>
      <c r="AC680" s="142"/>
      <c r="AD680" s="142"/>
      <c r="AE680" s="142"/>
      <c r="AF680" s="142"/>
      <c r="AG680" s="142"/>
      <c r="AH680" s="142"/>
      <c r="AI680" s="142"/>
      <c r="AJ680" s="142"/>
      <c r="AK680" s="142"/>
      <c r="AL680" s="142"/>
      <c r="AM680" s="143"/>
    </row>
    <row r="681">
      <c r="A681" s="144"/>
      <c r="B681" s="142"/>
      <c r="C681" s="142"/>
      <c r="D681" s="142"/>
      <c r="E681" s="142"/>
      <c r="F681" s="142"/>
      <c r="G681" s="142"/>
      <c r="H681" s="142"/>
      <c r="I681" s="142"/>
      <c r="J681" s="142"/>
      <c r="K681" s="142"/>
      <c r="L681" s="142"/>
      <c r="M681" s="142"/>
      <c r="N681" s="142"/>
      <c r="O681" s="142"/>
      <c r="P681" s="142"/>
      <c r="Q681" s="142"/>
      <c r="R681" s="142"/>
      <c r="S681" s="142"/>
      <c r="T681" s="142"/>
      <c r="U681" s="142"/>
      <c r="V681" s="142"/>
      <c r="W681" s="142"/>
      <c r="X681" s="142"/>
      <c r="Y681" s="142"/>
      <c r="Z681" s="142"/>
      <c r="AA681" s="142"/>
      <c r="AB681" s="142"/>
      <c r="AC681" s="142"/>
      <c r="AD681" s="142"/>
      <c r="AE681" s="142"/>
      <c r="AF681" s="142"/>
      <c r="AG681" s="142"/>
      <c r="AH681" s="142"/>
      <c r="AI681" s="142"/>
      <c r="AJ681" s="142"/>
      <c r="AK681" s="142"/>
      <c r="AL681" s="142"/>
      <c r="AM681" s="143"/>
    </row>
    <row r="682">
      <c r="A682" s="144"/>
      <c r="B682" s="142"/>
      <c r="C682" s="142"/>
      <c r="D682" s="142"/>
      <c r="E682" s="142"/>
      <c r="F682" s="142"/>
      <c r="G682" s="142"/>
      <c r="H682" s="142"/>
      <c r="I682" s="142"/>
      <c r="J682" s="142"/>
      <c r="K682" s="142"/>
      <c r="L682" s="142"/>
      <c r="M682" s="142"/>
      <c r="N682" s="142"/>
      <c r="O682" s="142"/>
      <c r="P682" s="142"/>
      <c r="Q682" s="142"/>
      <c r="R682" s="142"/>
      <c r="S682" s="142"/>
      <c r="T682" s="142"/>
      <c r="U682" s="142"/>
      <c r="V682" s="142"/>
      <c r="W682" s="142"/>
      <c r="X682" s="142"/>
      <c r="Y682" s="142"/>
      <c r="Z682" s="142"/>
      <c r="AA682" s="142"/>
      <c r="AB682" s="142"/>
      <c r="AC682" s="142"/>
      <c r="AD682" s="142"/>
      <c r="AE682" s="142"/>
      <c r="AF682" s="142"/>
      <c r="AG682" s="142"/>
      <c r="AH682" s="142"/>
      <c r="AI682" s="142"/>
      <c r="AJ682" s="142"/>
      <c r="AK682" s="142"/>
      <c r="AL682" s="142"/>
      <c r="AM682" s="143"/>
    </row>
    <row r="683">
      <c r="A683" s="144"/>
      <c r="B683" s="142"/>
      <c r="C683" s="142"/>
      <c r="D683" s="142"/>
      <c r="E683" s="142"/>
      <c r="F683" s="142"/>
      <c r="G683" s="142"/>
      <c r="H683" s="142"/>
      <c r="I683" s="142"/>
      <c r="J683" s="142"/>
      <c r="K683" s="142"/>
      <c r="L683" s="142"/>
      <c r="M683" s="142"/>
      <c r="N683" s="142"/>
      <c r="O683" s="142"/>
      <c r="P683" s="142"/>
      <c r="Q683" s="142"/>
      <c r="R683" s="142"/>
      <c r="S683" s="142"/>
      <c r="T683" s="142"/>
      <c r="U683" s="142"/>
      <c r="V683" s="142"/>
      <c r="W683" s="142"/>
      <c r="X683" s="142"/>
      <c r="Y683" s="142"/>
      <c r="Z683" s="142"/>
      <c r="AA683" s="142"/>
      <c r="AB683" s="142"/>
      <c r="AC683" s="142"/>
      <c r="AD683" s="142"/>
      <c r="AE683" s="142"/>
      <c r="AF683" s="142"/>
      <c r="AG683" s="142"/>
      <c r="AH683" s="142"/>
      <c r="AI683" s="142"/>
      <c r="AJ683" s="142"/>
      <c r="AK683" s="142"/>
      <c r="AL683" s="142"/>
      <c r="AM683" s="143"/>
    </row>
    <row r="684">
      <c r="A684" s="144"/>
      <c r="B684" s="142"/>
      <c r="C684" s="142"/>
      <c r="D684" s="142"/>
      <c r="E684" s="142"/>
      <c r="F684" s="142"/>
      <c r="G684" s="142"/>
      <c r="H684" s="142"/>
      <c r="I684" s="142"/>
      <c r="J684" s="142"/>
      <c r="K684" s="142"/>
      <c r="L684" s="142"/>
      <c r="M684" s="142"/>
      <c r="N684" s="142"/>
      <c r="O684" s="142"/>
      <c r="P684" s="142"/>
      <c r="Q684" s="142"/>
      <c r="R684" s="142"/>
      <c r="S684" s="142"/>
      <c r="T684" s="142"/>
      <c r="U684" s="142"/>
      <c r="V684" s="142"/>
      <c r="W684" s="142"/>
      <c r="X684" s="142"/>
      <c r="Y684" s="142"/>
      <c r="Z684" s="142"/>
      <c r="AA684" s="142"/>
      <c r="AB684" s="142"/>
      <c r="AC684" s="142"/>
      <c r="AD684" s="142"/>
      <c r="AE684" s="142"/>
      <c r="AF684" s="142"/>
      <c r="AG684" s="142"/>
      <c r="AH684" s="142"/>
      <c r="AI684" s="142"/>
      <c r="AJ684" s="142"/>
      <c r="AK684" s="142"/>
      <c r="AL684" s="142"/>
      <c r="AM684" s="143"/>
    </row>
    <row r="685">
      <c r="A685" s="144"/>
      <c r="B685" s="142"/>
      <c r="C685" s="142"/>
      <c r="D685" s="142"/>
      <c r="E685" s="142"/>
      <c r="F685" s="142"/>
      <c r="G685" s="142"/>
      <c r="H685" s="142"/>
      <c r="I685" s="142"/>
      <c r="J685" s="142"/>
      <c r="K685" s="142"/>
      <c r="L685" s="142"/>
      <c r="M685" s="142"/>
      <c r="N685" s="142"/>
      <c r="O685" s="142"/>
      <c r="P685" s="142"/>
      <c r="Q685" s="142"/>
      <c r="R685" s="142"/>
      <c r="S685" s="142"/>
      <c r="T685" s="142"/>
      <c r="U685" s="142"/>
      <c r="V685" s="142"/>
      <c r="W685" s="142"/>
      <c r="X685" s="142"/>
      <c r="Y685" s="142"/>
      <c r="Z685" s="142"/>
      <c r="AA685" s="142"/>
      <c r="AB685" s="142"/>
      <c r="AC685" s="142"/>
      <c r="AD685" s="142"/>
      <c r="AE685" s="142"/>
      <c r="AF685" s="142"/>
      <c r="AG685" s="142"/>
      <c r="AH685" s="142"/>
      <c r="AI685" s="142"/>
      <c r="AJ685" s="142"/>
      <c r="AK685" s="142"/>
      <c r="AL685" s="142"/>
      <c r="AM685" s="143"/>
    </row>
    <row r="686">
      <c r="A686" s="144"/>
      <c r="B686" s="142"/>
      <c r="C686" s="142"/>
      <c r="D686" s="142"/>
      <c r="E686" s="142"/>
      <c r="F686" s="142"/>
      <c r="G686" s="142"/>
      <c r="H686" s="142"/>
      <c r="I686" s="142"/>
      <c r="J686" s="142"/>
      <c r="K686" s="142"/>
      <c r="L686" s="142"/>
      <c r="M686" s="142"/>
      <c r="N686" s="142"/>
      <c r="O686" s="142"/>
      <c r="P686" s="142"/>
      <c r="Q686" s="142"/>
      <c r="R686" s="142"/>
      <c r="S686" s="142"/>
      <c r="T686" s="142"/>
      <c r="U686" s="142"/>
      <c r="V686" s="142"/>
      <c r="W686" s="142"/>
      <c r="X686" s="142"/>
      <c r="Y686" s="142"/>
      <c r="Z686" s="142"/>
      <c r="AA686" s="142"/>
      <c r="AB686" s="142"/>
      <c r="AC686" s="142"/>
      <c r="AD686" s="142"/>
      <c r="AE686" s="142"/>
      <c r="AF686" s="142"/>
      <c r="AG686" s="142"/>
      <c r="AH686" s="142"/>
      <c r="AI686" s="142"/>
      <c r="AJ686" s="142"/>
      <c r="AK686" s="142"/>
      <c r="AL686" s="142"/>
      <c r="AM686" s="143"/>
    </row>
    <row r="687">
      <c r="A687" s="144"/>
      <c r="B687" s="142"/>
      <c r="C687" s="142"/>
      <c r="D687" s="142"/>
      <c r="E687" s="142"/>
      <c r="F687" s="142"/>
      <c r="G687" s="142"/>
      <c r="H687" s="142"/>
      <c r="I687" s="142"/>
      <c r="J687" s="142"/>
      <c r="K687" s="142"/>
      <c r="L687" s="142"/>
      <c r="M687" s="142"/>
      <c r="N687" s="142"/>
      <c r="O687" s="142"/>
      <c r="P687" s="142"/>
      <c r="Q687" s="142"/>
      <c r="R687" s="142"/>
      <c r="S687" s="142"/>
      <c r="T687" s="142"/>
      <c r="U687" s="142"/>
      <c r="V687" s="142"/>
      <c r="W687" s="142"/>
      <c r="X687" s="142"/>
      <c r="Y687" s="142"/>
      <c r="Z687" s="142"/>
      <c r="AA687" s="142"/>
      <c r="AB687" s="142"/>
      <c r="AC687" s="142"/>
      <c r="AD687" s="142"/>
      <c r="AE687" s="142"/>
      <c r="AF687" s="142"/>
      <c r="AG687" s="142"/>
      <c r="AH687" s="142"/>
      <c r="AI687" s="142"/>
      <c r="AJ687" s="142"/>
      <c r="AK687" s="142"/>
      <c r="AL687" s="142"/>
      <c r="AM687" s="143"/>
    </row>
    <row r="688">
      <c r="A688" s="144"/>
      <c r="B688" s="142"/>
      <c r="C688" s="142"/>
      <c r="D688" s="142"/>
      <c r="E688" s="142"/>
      <c r="F688" s="142"/>
      <c r="G688" s="142"/>
      <c r="H688" s="142"/>
      <c r="I688" s="142"/>
      <c r="J688" s="142"/>
      <c r="K688" s="142"/>
      <c r="L688" s="142"/>
      <c r="M688" s="142"/>
      <c r="N688" s="142"/>
      <c r="O688" s="142"/>
      <c r="P688" s="142"/>
      <c r="Q688" s="142"/>
      <c r="R688" s="142"/>
      <c r="S688" s="142"/>
      <c r="T688" s="142"/>
      <c r="U688" s="142"/>
      <c r="V688" s="142"/>
      <c r="W688" s="142"/>
      <c r="X688" s="142"/>
      <c r="Y688" s="142"/>
      <c r="Z688" s="142"/>
      <c r="AA688" s="142"/>
      <c r="AB688" s="142"/>
      <c r="AC688" s="142"/>
      <c r="AD688" s="142"/>
      <c r="AE688" s="142"/>
      <c r="AF688" s="142"/>
      <c r="AG688" s="142"/>
      <c r="AH688" s="142"/>
      <c r="AI688" s="142"/>
      <c r="AJ688" s="142"/>
      <c r="AK688" s="142"/>
      <c r="AL688" s="142"/>
      <c r="AM688" s="143"/>
    </row>
    <row r="689">
      <c r="A689" s="144"/>
      <c r="B689" s="142"/>
      <c r="C689" s="142"/>
      <c r="D689" s="142"/>
      <c r="E689" s="142"/>
      <c r="F689" s="142"/>
      <c r="G689" s="142"/>
      <c r="H689" s="142"/>
      <c r="I689" s="142"/>
      <c r="J689" s="142"/>
      <c r="K689" s="142"/>
      <c r="L689" s="142"/>
      <c r="M689" s="142"/>
      <c r="N689" s="142"/>
      <c r="O689" s="142"/>
      <c r="P689" s="142"/>
      <c r="Q689" s="142"/>
      <c r="R689" s="142"/>
      <c r="S689" s="142"/>
      <c r="T689" s="142"/>
      <c r="U689" s="142"/>
      <c r="V689" s="142"/>
      <c r="W689" s="142"/>
      <c r="X689" s="142"/>
      <c r="Y689" s="142"/>
      <c r="Z689" s="142"/>
      <c r="AA689" s="142"/>
      <c r="AB689" s="142"/>
      <c r="AC689" s="142"/>
      <c r="AD689" s="142"/>
      <c r="AE689" s="142"/>
      <c r="AF689" s="142"/>
      <c r="AG689" s="142"/>
      <c r="AH689" s="142"/>
      <c r="AI689" s="142"/>
      <c r="AJ689" s="142"/>
      <c r="AK689" s="142"/>
      <c r="AL689" s="142"/>
      <c r="AM689" s="143"/>
    </row>
    <row r="690">
      <c r="A690" s="144"/>
      <c r="B690" s="142"/>
      <c r="C690" s="142"/>
      <c r="D690" s="142"/>
      <c r="E690" s="142"/>
      <c r="F690" s="142"/>
      <c r="G690" s="142"/>
      <c r="H690" s="142"/>
      <c r="I690" s="142"/>
      <c r="J690" s="142"/>
      <c r="K690" s="142"/>
      <c r="L690" s="142"/>
      <c r="M690" s="142"/>
      <c r="N690" s="142"/>
      <c r="O690" s="142"/>
      <c r="P690" s="142"/>
      <c r="Q690" s="142"/>
      <c r="R690" s="142"/>
      <c r="S690" s="142"/>
      <c r="T690" s="142"/>
      <c r="U690" s="142"/>
      <c r="V690" s="142"/>
      <c r="W690" s="142"/>
      <c r="X690" s="142"/>
      <c r="Y690" s="142"/>
      <c r="Z690" s="142"/>
      <c r="AA690" s="142"/>
      <c r="AB690" s="142"/>
      <c r="AC690" s="142"/>
      <c r="AD690" s="142"/>
      <c r="AE690" s="142"/>
      <c r="AF690" s="142"/>
      <c r="AG690" s="142"/>
      <c r="AH690" s="142"/>
      <c r="AI690" s="142"/>
      <c r="AJ690" s="142"/>
      <c r="AK690" s="142"/>
      <c r="AL690" s="142"/>
      <c r="AM690" s="143"/>
    </row>
    <row r="691">
      <c r="A691" s="144"/>
      <c r="B691" s="142"/>
      <c r="C691" s="142"/>
      <c r="D691" s="142"/>
      <c r="E691" s="142"/>
      <c r="F691" s="142"/>
      <c r="G691" s="142"/>
      <c r="H691" s="142"/>
      <c r="I691" s="142"/>
      <c r="J691" s="142"/>
      <c r="K691" s="142"/>
      <c r="L691" s="142"/>
      <c r="M691" s="142"/>
      <c r="N691" s="142"/>
      <c r="O691" s="142"/>
      <c r="P691" s="142"/>
      <c r="Q691" s="142"/>
      <c r="R691" s="142"/>
      <c r="S691" s="142"/>
      <c r="T691" s="142"/>
      <c r="U691" s="142"/>
      <c r="V691" s="142"/>
      <c r="W691" s="142"/>
      <c r="X691" s="142"/>
      <c r="Y691" s="142"/>
      <c r="Z691" s="142"/>
      <c r="AA691" s="142"/>
      <c r="AB691" s="142"/>
      <c r="AC691" s="142"/>
      <c r="AD691" s="142"/>
      <c r="AE691" s="142"/>
      <c r="AF691" s="142"/>
      <c r="AG691" s="142"/>
      <c r="AH691" s="142"/>
      <c r="AI691" s="142"/>
      <c r="AJ691" s="142"/>
      <c r="AK691" s="142"/>
      <c r="AL691" s="142"/>
      <c r="AM691" s="143"/>
    </row>
    <row r="692">
      <c r="A692" s="144"/>
      <c r="B692" s="142"/>
      <c r="C692" s="142"/>
      <c r="D692" s="142"/>
      <c r="E692" s="142"/>
      <c r="F692" s="142"/>
      <c r="G692" s="142"/>
      <c r="H692" s="142"/>
      <c r="I692" s="142"/>
      <c r="J692" s="142"/>
      <c r="K692" s="142"/>
      <c r="L692" s="142"/>
      <c r="M692" s="142"/>
      <c r="N692" s="142"/>
      <c r="O692" s="142"/>
      <c r="P692" s="142"/>
      <c r="Q692" s="142"/>
      <c r="R692" s="142"/>
      <c r="S692" s="142"/>
      <c r="T692" s="142"/>
      <c r="U692" s="142"/>
      <c r="V692" s="142"/>
      <c r="W692" s="142"/>
      <c r="X692" s="142"/>
      <c r="Y692" s="142"/>
      <c r="Z692" s="142"/>
      <c r="AA692" s="142"/>
      <c r="AB692" s="142"/>
      <c r="AC692" s="142"/>
      <c r="AD692" s="142"/>
      <c r="AE692" s="142"/>
      <c r="AF692" s="142"/>
      <c r="AG692" s="142"/>
      <c r="AH692" s="142"/>
      <c r="AI692" s="142"/>
      <c r="AJ692" s="142"/>
      <c r="AK692" s="142"/>
      <c r="AL692" s="142"/>
      <c r="AM692" s="143"/>
    </row>
    <row r="693">
      <c r="A693" s="144"/>
      <c r="B693" s="142"/>
      <c r="C693" s="142"/>
      <c r="D693" s="142"/>
      <c r="E693" s="142"/>
      <c r="F693" s="142"/>
      <c r="G693" s="142"/>
      <c r="H693" s="142"/>
      <c r="I693" s="142"/>
      <c r="J693" s="142"/>
      <c r="K693" s="142"/>
      <c r="L693" s="142"/>
      <c r="M693" s="142"/>
      <c r="N693" s="142"/>
      <c r="O693" s="142"/>
      <c r="P693" s="142"/>
      <c r="Q693" s="142"/>
      <c r="R693" s="142"/>
      <c r="S693" s="142"/>
      <c r="T693" s="142"/>
      <c r="U693" s="142"/>
      <c r="V693" s="142"/>
      <c r="W693" s="142"/>
      <c r="X693" s="142"/>
      <c r="Y693" s="142"/>
      <c r="Z693" s="142"/>
      <c r="AA693" s="142"/>
      <c r="AB693" s="142"/>
      <c r="AC693" s="142"/>
      <c r="AD693" s="142"/>
      <c r="AE693" s="142"/>
      <c r="AF693" s="142"/>
      <c r="AG693" s="142"/>
      <c r="AH693" s="142"/>
      <c r="AI693" s="142"/>
      <c r="AJ693" s="142"/>
      <c r="AK693" s="142"/>
      <c r="AL693" s="142"/>
      <c r="AM693" s="143"/>
    </row>
    <row r="694">
      <c r="A694" s="144"/>
      <c r="B694" s="142"/>
      <c r="C694" s="142"/>
      <c r="D694" s="142"/>
      <c r="E694" s="142"/>
      <c r="F694" s="142"/>
      <c r="G694" s="142"/>
      <c r="H694" s="142"/>
      <c r="I694" s="142"/>
      <c r="J694" s="142"/>
      <c r="K694" s="142"/>
      <c r="L694" s="142"/>
      <c r="M694" s="142"/>
      <c r="N694" s="142"/>
      <c r="O694" s="142"/>
      <c r="P694" s="142"/>
      <c r="Q694" s="142"/>
      <c r="R694" s="142"/>
      <c r="S694" s="142"/>
      <c r="T694" s="142"/>
      <c r="U694" s="142"/>
      <c r="V694" s="142"/>
      <c r="W694" s="142"/>
      <c r="X694" s="142"/>
      <c r="Y694" s="142"/>
      <c r="Z694" s="142"/>
      <c r="AA694" s="142"/>
      <c r="AB694" s="142"/>
      <c r="AC694" s="142"/>
      <c r="AD694" s="142"/>
      <c r="AE694" s="142"/>
      <c r="AF694" s="142"/>
      <c r="AG694" s="142"/>
      <c r="AH694" s="142"/>
      <c r="AI694" s="142"/>
      <c r="AJ694" s="142"/>
      <c r="AK694" s="142"/>
      <c r="AL694" s="142"/>
      <c r="AM694" s="143"/>
    </row>
    <row r="695">
      <c r="A695" s="144"/>
      <c r="B695" s="142"/>
      <c r="C695" s="142"/>
      <c r="D695" s="142"/>
      <c r="E695" s="142"/>
      <c r="F695" s="142"/>
      <c r="G695" s="142"/>
      <c r="H695" s="142"/>
      <c r="I695" s="142"/>
      <c r="J695" s="142"/>
      <c r="K695" s="142"/>
      <c r="L695" s="142"/>
      <c r="M695" s="142"/>
      <c r="N695" s="142"/>
      <c r="O695" s="142"/>
      <c r="P695" s="142"/>
      <c r="Q695" s="142"/>
      <c r="R695" s="142"/>
      <c r="S695" s="142"/>
      <c r="T695" s="142"/>
      <c r="U695" s="142"/>
      <c r="V695" s="142"/>
      <c r="W695" s="142"/>
      <c r="X695" s="142"/>
      <c r="Y695" s="142"/>
      <c r="Z695" s="142"/>
      <c r="AA695" s="142"/>
      <c r="AB695" s="142"/>
      <c r="AC695" s="142"/>
      <c r="AD695" s="142"/>
      <c r="AE695" s="142"/>
      <c r="AF695" s="142"/>
      <c r="AG695" s="142"/>
      <c r="AH695" s="142"/>
      <c r="AI695" s="142"/>
      <c r="AJ695" s="142"/>
      <c r="AK695" s="142"/>
      <c r="AL695" s="142"/>
      <c r="AM695" s="143"/>
    </row>
    <row r="696">
      <c r="A696" s="144"/>
      <c r="B696" s="142"/>
      <c r="C696" s="142"/>
      <c r="D696" s="142"/>
      <c r="E696" s="142"/>
      <c r="F696" s="142"/>
      <c r="G696" s="142"/>
      <c r="H696" s="142"/>
      <c r="I696" s="142"/>
      <c r="J696" s="142"/>
      <c r="K696" s="142"/>
      <c r="L696" s="142"/>
      <c r="M696" s="142"/>
      <c r="N696" s="142"/>
      <c r="O696" s="142"/>
      <c r="P696" s="142"/>
      <c r="Q696" s="142"/>
      <c r="R696" s="142"/>
      <c r="S696" s="142"/>
      <c r="T696" s="142"/>
      <c r="U696" s="142"/>
      <c r="V696" s="142"/>
      <c r="W696" s="142"/>
      <c r="X696" s="142"/>
      <c r="Y696" s="142"/>
      <c r="Z696" s="142"/>
      <c r="AA696" s="142"/>
      <c r="AB696" s="142"/>
      <c r="AC696" s="142"/>
      <c r="AD696" s="142"/>
      <c r="AE696" s="142"/>
      <c r="AF696" s="142"/>
      <c r="AG696" s="142"/>
      <c r="AH696" s="142"/>
      <c r="AI696" s="142"/>
      <c r="AJ696" s="142"/>
      <c r="AK696" s="142"/>
      <c r="AL696" s="142"/>
      <c r="AM696" s="143"/>
    </row>
    <row r="697">
      <c r="A697" s="144"/>
      <c r="B697" s="142"/>
      <c r="C697" s="142"/>
      <c r="D697" s="142"/>
      <c r="E697" s="142"/>
      <c r="F697" s="142"/>
      <c r="G697" s="142"/>
      <c r="H697" s="142"/>
      <c r="I697" s="142"/>
      <c r="J697" s="142"/>
      <c r="K697" s="142"/>
      <c r="L697" s="142"/>
      <c r="M697" s="142"/>
      <c r="N697" s="142"/>
      <c r="O697" s="142"/>
      <c r="P697" s="142"/>
      <c r="Q697" s="142"/>
      <c r="R697" s="142"/>
      <c r="S697" s="142"/>
      <c r="T697" s="142"/>
      <c r="U697" s="142"/>
      <c r="V697" s="142"/>
      <c r="W697" s="142"/>
      <c r="X697" s="142"/>
      <c r="Y697" s="142"/>
      <c r="Z697" s="142"/>
      <c r="AA697" s="142"/>
      <c r="AB697" s="142"/>
      <c r="AC697" s="142"/>
      <c r="AD697" s="142"/>
      <c r="AE697" s="142"/>
      <c r="AF697" s="142"/>
      <c r="AG697" s="142"/>
      <c r="AH697" s="142"/>
      <c r="AI697" s="142"/>
      <c r="AJ697" s="142"/>
      <c r="AK697" s="142"/>
      <c r="AL697" s="142"/>
      <c r="AM697" s="143"/>
    </row>
    <row r="698">
      <c r="A698" s="144"/>
      <c r="B698" s="142"/>
      <c r="C698" s="142"/>
      <c r="D698" s="142"/>
      <c r="E698" s="142"/>
      <c r="F698" s="142"/>
      <c r="G698" s="142"/>
      <c r="H698" s="142"/>
      <c r="I698" s="142"/>
      <c r="J698" s="142"/>
      <c r="K698" s="142"/>
      <c r="L698" s="142"/>
      <c r="M698" s="142"/>
      <c r="N698" s="142"/>
      <c r="O698" s="142"/>
      <c r="P698" s="142"/>
      <c r="Q698" s="142"/>
      <c r="R698" s="142"/>
      <c r="S698" s="142"/>
      <c r="T698" s="142"/>
      <c r="U698" s="142"/>
      <c r="V698" s="142"/>
      <c r="W698" s="142"/>
      <c r="X698" s="142"/>
      <c r="Y698" s="142"/>
      <c r="Z698" s="142"/>
      <c r="AA698" s="142"/>
      <c r="AB698" s="142"/>
      <c r="AC698" s="142"/>
      <c r="AD698" s="142"/>
      <c r="AE698" s="142"/>
      <c r="AF698" s="142"/>
      <c r="AG698" s="142"/>
      <c r="AH698" s="142"/>
      <c r="AI698" s="142"/>
      <c r="AJ698" s="142"/>
      <c r="AK698" s="142"/>
      <c r="AL698" s="142"/>
      <c r="AM698" s="143"/>
    </row>
    <row r="699">
      <c r="A699" s="144"/>
      <c r="B699" s="142"/>
      <c r="C699" s="142"/>
      <c r="D699" s="142"/>
      <c r="E699" s="142"/>
      <c r="F699" s="142"/>
      <c r="G699" s="142"/>
      <c r="H699" s="142"/>
      <c r="I699" s="142"/>
      <c r="J699" s="142"/>
      <c r="K699" s="142"/>
      <c r="L699" s="142"/>
      <c r="M699" s="142"/>
      <c r="N699" s="142"/>
      <c r="O699" s="142"/>
      <c r="P699" s="142"/>
      <c r="Q699" s="142"/>
      <c r="R699" s="142"/>
      <c r="S699" s="142"/>
      <c r="T699" s="142"/>
      <c r="U699" s="142"/>
      <c r="V699" s="142"/>
      <c r="W699" s="142"/>
      <c r="X699" s="142"/>
      <c r="Y699" s="142"/>
      <c r="Z699" s="142"/>
      <c r="AA699" s="142"/>
      <c r="AB699" s="142"/>
      <c r="AC699" s="142"/>
      <c r="AD699" s="142"/>
      <c r="AE699" s="142"/>
      <c r="AF699" s="142"/>
      <c r="AG699" s="142"/>
      <c r="AH699" s="142"/>
      <c r="AI699" s="142"/>
      <c r="AJ699" s="142"/>
      <c r="AK699" s="142"/>
      <c r="AL699" s="142"/>
      <c r="AM699" s="143"/>
    </row>
    <row r="700">
      <c r="A700" s="144"/>
      <c r="B700" s="142"/>
      <c r="C700" s="142"/>
      <c r="D700" s="142"/>
      <c r="E700" s="142"/>
      <c r="F700" s="142"/>
      <c r="G700" s="142"/>
      <c r="H700" s="142"/>
      <c r="I700" s="142"/>
      <c r="J700" s="142"/>
      <c r="K700" s="142"/>
      <c r="L700" s="142"/>
      <c r="M700" s="142"/>
      <c r="N700" s="142"/>
      <c r="O700" s="142"/>
      <c r="P700" s="142"/>
      <c r="Q700" s="142"/>
      <c r="R700" s="142"/>
      <c r="S700" s="142"/>
      <c r="T700" s="142"/>
      <c r="U700" s="142"/>
      <c r="V700" s="142"/>
      <c r="W700" s="142"/>
      <c r="X700" s="142"/>
      <c r="Y700" s="142"/>
      <c r="Z700" s="142"/>
      <c r="AA700" s="142"/>
      <c r="AB700" s="142"/>
      <c r="AC700" s="142"/>
      <c r="AD700" s="142"/>
      <c r="AE700" s="142"/>
      <c r="AF700" s="142"/>
      <c r="AG700" s="142"/>
      <c r="AH700" s="142"/>
      <c r="AI700" s="142"/>
      <c r="AJ700" s="142"/>
      <c r="AK700" s="142"/>
      <c r="AL700" s="142"/>
      <c r="AM700" s="143"/>
    </row>
    <row r="701">
      <c r="A701" s="144"/>
      <c r="B701" s="142"/>
      <c r="C701" s="142"/>
      <c r="D701" s="142"/>
      <c r="E701" s="142"/>
      <c r="F701" s="142"/>
      <c r="G701" s="142"/>
      <c r="H701" s="142"/>
      <c r="I701" s="142"/>
      <c r="J701" s="142"/>
      <c r="K701" s="142"/>
      <c r="L701" s="142"/>
      <c r="M701" s="142"/>
      <c r="N701" s="142"/>
      <c r="O701" s="142"/>
      <c r="P701" s="142"/>
      <c r="Q701" s="142"/>
      <c r="R701" s="142"/>
      <c r="S701" s="142"/>
      <c r="T701" s="142"/>
      <c r="U701" s="142"/>
      <c r="V701" s="142"/>
      <c r="W701" s="142"/>
      <c r="X701" s="142"/>
      <c r="Y701" s="142"/>
      <c r="Z701" s="142"/>
      <c r="AA701" s="142"/>
      <c r="AB701" s="142"/>
      <c r="AC701" s="142"/>
      <c r="AD701" s="142"/>
      <c r="AE701" s="142"/>
      <c r="AF701" s="142"/>
      <c r="AG701" s="142"/>
      <c r="AH701" s="142"/>
      <c r="AI701" s="142"/>
      <c r="AJ701" s="142"/>
      <c r="AK701" s="142"/>
      <c r="AL701" s="142"/>
      <c r="AM701" s="143"/>
    </row>
    <row r="702">
      <c r="A702" s="144"/>
      <c r="B702" s="142"/>
      <c r="C702" s="142"/>
      <c r="D702" s="142"/>
      <c r="E702" s="142"/>
      <c r="F702" s="142"/>
      <c r="G702" s="142"/>
      <c r="H702" s="142"/>
      <c r="I702" s="142"/>
      <c r="J702" s="142"/>
      <c r="K702" s="142"/>
      <c r="L702" s="142"/>
      <c r="M702" s="142"/>
      <c r="N702" s="142"/>
      <c r="O702" s="142"/>
      <c r="P702" s="142"/>
      <c r="Q702" s="142"/>
      <c r="R702" s="142"/>
      <c r="S702" s="142"/>
      <c r="T702" s="142"/>
      <c r="U702" s="142"/>
      <c r="V702" s="142"/>
      <c r="W702" s="142"/>
      <c r="X702" s="142"/>
      <c r="Y702" s="142"/>
      <c r="Z702" s="142"/>
      <c r="AA702" s="142"/>
      <c r="AB702" s="142"/>
      <c r="AC702" s="142"/>
      <c r="AD702" s="142"/>
      <c r="AE702" s="142"/>
      <c r="AF702" s="142"/>
      <c r="AG702" s="142"/>
      <c r="AH702" s="142"/>
      <c r="AI702" s="142"/>
      <c r="AJ702" s="142"/>
      <c r="AK702" s="142"/>
      <c r="AL702" s="142"/>
      <c r="AM702" s="143"/>
    </row>
    <row r="703">
      <c r="A703" s="144"/>
      <c r="B703" s="142"/>
      <c r="C703" s="142"/>
      <c r="D703" s="142"/>
      <c r="E703" s="142"/>
      <c r="F703" s="142"/>
      <c r="G703" s="142"/>
      <c r="H703" s="142"/>
      <c r="I703" s="142"/>
      <c r="J703" s="142"/>
      <c r="K703" s="142"/>
      <c r="L703" s="142"/>
      <c r="M703" s="142"/>
      <c r="N703" s="142"/>
      <c r="O703" s="142"/>
      <c r="P703" s="142"/>
      <c r="Q703" s="142"/>
      <c r="R703" s="142"/>
      <c r="S703" s="142"/>
      <c r="T703" s="142"/>
      <c r="U703" s="142"/>
      <c r="V703" s="142"/>
      <c r="W703" s="142"/>
      <c r="X703" s="142"/>
      <c r="Y703" s="142"/>
      <c r="Z703" s="142"/>
      <c r="AA703" s="142"/>
      <c r="AB703" s="142"/>
      <c r="AC703" s="142"/>
      <c r="AD703" s="142"/>
      <c r="AE703" s="142"/>
      <c r="AF703" s="142"/>
      <c r="AG703" s="142"/>
      <c r="AH703" s="142"/>
      <c r="AI703" s="142"/>
      <c r="AJ703" s="142"/>
      <c r="AK703" s="142"/>
      <c r="AL703" s="142"/>
      <c r="AM703" s="143"/>
    </row>
    <row r="704">
      <c r="A704" s="144"/>
      <c r="B704" s="142"/>
      <c r="C704" s="142"/>
      <c r="D704" s="142"/>
      <c r="E704" s="142"/>
      <c r="F704" s="142"/>
      <c r="G704" s="142"/>
      <c r="H704" s="142"/>
      <c r="I704" s="142"/>
      <c r="J704" s="142"/>
      <c r="K704" s="142"/>
      <c r="L704" s="142"/>
      <c r="M704" s="142"/>
      <c r="N704" s="142"/>
      <c r="O704" s="142"/>
      <c r="P704" s="142"/>
      <c r="Q704" s="142"/>
      <c r="R704" s="142"/>
      <c r="S704" s="142"/>
      <c r="T704" s="142"/>
      <c r="U704" s="142"/>
      <c r="V704" s="142"/>
      <c r="W704" s="142"/>
      <c r="X704" s="142"/>
      <c r="Y704" s="142"/>
      <c r="Z704" s="142"/>
      <c r="AA704" s="142"/>
      <c r="AB704" s="142"/>
      <c r="AC704" s="142"/>
      <c r="AD704" s="142"/>
      <c r="AE704" s="142"/>
      <c r="AF704" s="142"/>
      <c r="AG704" s="142"/>
      <c r="AH704" s="142"/>
      <c r="AI704" s="142"/>
      <c r="AJ704" s="142"/>
      <c r="AK704" s="142"/>
      <c r="AL704" s="142"/>
      <c r="AM704" s="143"/>
    </row>
    <row r="705">
      <c r="A705" s="144"/>
      <c r="B705" s="142"/>
      <c r="C705" s="142"/>
      <c r="D705" s="142"/>
      <c r="E705" s="142"/>
      <c r="F705" s="142"/>
      <c r="G705" s="142"/>
      <c r="H705" s="142"/>
      <c r="I705" s="142"/>
      <c r="J705" s="142"/>
      <c r="K705" s="142"/>
      <c r="L705" s="142"/>
      <c r="M705" s="142"/>
      <c r="N705" s="142"/>
      <c r="O705" s="142"/>
      <c r="P705" s="142"/>
      <c r="Q705" s="142"/>
      <c r="R705" s="142"/>
      <c r="S705" s="142"/>
      <c r="T705" s="142"/>
      <c r="U705" s="142"/>
      <c r="V705" s="142"/>
      <c r="W705" s="142"/>
      <c r="X705" s="142"/>
      <c r="Y705" s="142"/>
      <c r="Z705" s="142"/>
      <c r="AA705" s="142"/>
      <c r="AB705" s="142"/>
      <c r="AC705" s="142"/>
      <c r="AD705" s="142"/>
      <c r="AE705" s="142"/>
      <c r="AF705" s="142"/>
      <c r="AG705" s="142"/>
      <c r="AH705" s="142"/>
      <c r="AI705" s="142"/>
      <c r="AJ705" s="142"/>
      <c r="AK705" s="142"/>
      <c r="AL705" s="142"/>
      <c r="AM705" s="143"/>
    </row>
    <row r="706">
      <c r="A706" s="144"/>
      <c r="B706" s="142"/>
      <c r="C706" s="142"/>
      <c r="D706" s="142"/>
      <c r="E706" s="142"/>
      <c r="F706" s="142"/>
      <c r="G706" s="142"/>
      <c r="H706" s="142"/>
      <c r="I706" s="142"/>
      <c r="J706" s="142"/>
      <c r="K706" s="142"/>
      <c r="L706" s="142"/>
      <c r="M706" s="142"/>
      <c r="N706" s="142"/>
      <c r="O706" s="142"/>
      <c r="P706" s="142"/>
      <c r="Q706" s="142"/>
      <c r="R706" s="142"/>
      <c r="S706" s="142"/>
      <c r="T706" s="142"/>
      <c r="U706" s="142"/>
      <c r="V706" s="142"/>
      <c r="W706" s="142"/>
      <c r="X706" s="142"/>
      <c r="Y706" s="142"/>
      <c r="Z706" s="142"/>
      <c r="AA706" s="142"/>
      <c r="AB706" s="142"/>
      <c r="AC706" s="142"/>
      <c r="AD706" s="142"/>
      <c r="AE706" s="142"/>
      <c r="AF706" s="142"/>
      <c r="AG706" s="142"/>
      <c r="AH706" s="142"/>
      <c r="AI706" s="142"/>
      <c r="AJ706" s="142"/>
      <c r="AK706" s="142"/>
      <c r="AL706" s="142"/>
      <c r="AM706" s="143"/>
    </row>
    <row r="707">
      <c r="A707" s="144"/>
      <c r="B707" s="142"/>
      <c r="C707" s="142"/>
      <c r="D707" s="142"/>
      <c r="E707" s="142"/>
      <c r="F707" s="142"/>
      <c r="G707" s="142"/>
      <c r="H707" s="142"/>
      <c r="I707" s="142"/>
      <c r="J707" s="142"/>
      <c r="K707" s="142"/>
      <c r="L707" s="142"/>
      <c r="M707" s="142"/>
      <c r="N707" s="142"/>
      <c r="O707" s="142"/>
      <c r="P707" s="142"/>
      <c r="Q707" s="142"/>
      <c r="R707" s="142"/>
      <c r="S707" s="142"/>
      <c r="T707" s="142"/>
      <c r="U707" s="142"/>
      <c r="V707" s="142"/>
      <c r="W707" s="142"/>
      <c r="X707" s="142"/>
      <c r="Y707" s="142"/>
      <c r="Z707" s="142"/>
      <c r="AA707" s="142"/>
      <c r="AB707" s="142"/>
      <c r="AC707" s="142"/>
      <c r="AD707" s="142"/>
      <c r="AE707" s="142"/>
      <c r="AF707" s="142"/>
      <c r="AG707" s="142"/>
      <c r="AH707" s="142"/>
      <c r="AI707" s="142"/>
      <c r="AJ707" s="142"/>
      <c r="AK707" s="142"/>
      <c r="AL707" s="142"/>
      <c r="AM707" s="143"/>
    </row>
    <row r="708">
      <c r="A708" s="144"/>
      <c r="B708" s="142"/>
      <c r="C708" s="142"/>
      <c r="D708" s="142"/>
      <c r="E708" s="142"/>
      <c r="F708" s="142"/>
      <c r="G708" s="142"/>
      <c r="H708" s="142"/>
      <c r="I708" s="142"/>
      <c r="J708" s="142"/>
      <c r="K708" s="142"/>
      <c r="L708" s="142"/>
      <c r="M708" s="142"/>
      <c r="N708" s="142"/>
      <c r="O708" s="142"/>
      <c r="P708" s="142"/>
      <c r="Q708" s="142"/>
      <c r="R708" s="142"/>
      <c r="S708" s="142"/>
      <c r="T708" s="142"/>
      <c r="U708" s="142"/>
      <c r="V708" s="142"/>
      <c r="W708" s="142"/>
      <c r="X708" s="142"/>
      <c r="Y708" s="142"/>
      <c r="Z708" s="142"/>
      <c r="AA708" s="142"/>
      <c r="AB708" s="142"/>
      <c r="AC708" s="142"/>
      <c r="AD708" s="142"/>
      <c r="AE708" s="142"/>
      <c r="AF708" s="142"/>
      <c r="AG708" s="142"/>
      <c r="AH708" s="142"/>
      <c r="AI708" s="142"/>
      <c r="AJ708" s="142"/>
      <c r="AK708" s="142"/>
      <c r="AL708" s="142"/>
      <c r="AM708" s="143"/>
    </row>
    <row r="709">
      <c r="A709" s="144"/>
      <c r="B709" s="142"/>
      <c r="C709" s="142"/>
      <c r="D709" s="142"/>
      <c r="E709" s="142"/>
      <c r="F709" s="142"/>
      <c r="G709" s="142"/>
      <c r="H709" s="142"/>
      <c r="I709" s="142"/>
      <c r="J709" s="142"/>
      <c r="K709" s="142"/>
      <c r="L709" s="142"/>
      <c r="M709" s="142"/>
      <c r="N709" s="142"/>
      <c r="O709" s="142"/>
      <c r="P709" s="142"/>
      <c r="Q709" s="142"/>
      <c r="R709" s="142"/>
      <c r="S709" s="142"/>
      <c r="T709" s="142"/>
      <c r="U709" s="142"/>
      <c r="V709" s="142"/>
      <c r="W709" s="142"/>
      <c r="X709" s="142"/>
      <c r="Y709" s="142"/>
      <c r="Z709" s="142"/>
      <c r="AA709" s="142"/>
      <c r="AB709" s="142"/>
      <c r="AC709" s="142"/>
      <c r="AD709" s="142"/>
      <c r="AE709" s="142"/>
      <c r="AF709" s="142"/>
      <c r="AG709" s="142"/>
      <c r="AH709" s="142"/>
      <c r="AI709" s="142"/>
      <c r="AJ709" s="142"/>
      <c r="AK709" s="142"/>
      <c r="AL709" s="142"/>
      <c r="AM709" s="143"/>
    </row>
    <row r="710">
      <c r="A710" s="144"/>
      <c r="B710" s="142"/>
      <c r="C710" s="142"/>
      <c r="D710" s="142"/>
      <c r="E710" s="142"/>
      <c r="F710" s="142"/>
      <c r="G710" s="142"/>
      <c r="H710" s="142"/>
      <c r="I710" s="142"/>
      <c r="J710" s="142"/>
      <c r="K710" s="142"/>
      <c r="L710" s="142"/>
      <c r="M710" s="142"/>
      <c r="N710" s="142"/>
      <c r="O710" s="142"/>
      <c r="P710" s="142"/>
      <c r="Q710" s="142"/>
      <c r="R710" s="142"/>
      <c r="S710" s="142"/>
      <c r="T710" s="142"/>
      <c r="U710" s="142"/>
      <c r="V710" s="142"/>
      <c r="W710" s="142"/>
      <c r="X710" s="142"/>
      <c r="Y710" s="142"/>
      <c r="Z710" s="142"/>
      <c r="AA710" s="142"/>
      <c r="AB710" s="142"/>
      <c r="AC710" s="142"/>
      <c r="AD710" s="142"/>
      <c r="AE710" s="142"/>
      <c r="AF710" s="142"/>
      <c r="AG710" s="142"/>
      <c r="AH710" s="142"/>
      <c r="AI710" s="142"/>
      <c r="AJ710" s="142"/>
      <c r="AK710" s="142"/>
      <c r="AL710" s="142"/>
      <c r="AM710" s="143"/>
    </row>
    <row r="711">
      <c r="A711" s="144"/>
      <c r="B711" s="142"/>
      <c r="C711" s="142"/>
      <c r="D711" s="142"/>
      <c r="E711" s="142"/>
      <c r="F711" s="142"/>
      <c r="G711" s="142"/>
      <c r="H711" s="142"/>
      <c r="I711" s="142"/>
      <c r="J711" s="142"/>
      <c r="K711" s="142"/>
      <c r="L711" s="142"/>
      <c r="M711" s="142"/>
      <c r="N711" s="142"/>
      <c r="O711" s="142"/>
      <c r="P711" s="142"/>
      <c r="Q711" s="142"/>
      <c r="R711" s="142"/>
      <c r="S711" s="142"/>
      <c r="T711" s="142"/>
      <c r="U711" s="142"/>
      <c r="V711" s="142"/>
      <c r="W711" s="142"/>
      <c r="X711" s="142"/>
      <c r="Y711" s="142"/>
      <c r="Z711" s="142"/>
      <c r="AA711" s="142"/>
      <c r="AB711" s="142"/>
      <c r="AC711" s="142"/>
      <c r="AD711" s="142"/>
      <c r="AE711" s="142"/>
      <c r="AF711" s="142"/>
      <c r="AG711" s="142"/>
      <c r="AH711" s="142"/>
      <c r="AI711" s="142"/>
      <c r="AJ711" s="142"/>
      <c r="AK711" s="142"/>
      <c r="AL711" s="142"/>
      <c r="AM711" s="143"/>
    </row>
    <row r="712">
      <c r="A712" s="144"/>
      <c r="B712" s="142"/>
      <c r="C712" s="142"/>
      <c r="D712" s="142"/>
      <c r="E712" s="142"/>
      <c r="F712" s="142"/>
      <c r="G712" s="142"/>
      <c r="H712" s="142"/>
      <c r="I712" s="142"/>
      <c r="J712" s="142"/>
      <c r="K712" s="142"/>
      <c r="L712" s="142"/>
      <c r="M712" s="142"/>
      <c r="N712" s="142"/>
      <c r="O712" s="142"/>
      <c r="P712" s="142"/>
      <c r="Q712" s="142"/>
      <c r="R712" s="142"/>
      <c r="S712" s="142"/>
      <c r="T712" s="142"/>
      <c r="U712" s="142"/>
      <c r="V712" s="142"/>
      <c r="W712" s="142"/>
      <c r="X712" s="142"/>
      <c r="Y712" s="142"/>
      <c r="Z712" s="142"/>
      <c r="AA712" s="142"/>
      <c r="AB712" s="142"/>
      <c r="AC712" s="142"/>
      <c r="AD712" s="142"/>
      <c r="AE712" s="142"/>
      <c r="AF712" s="142"/>
      <c r="AG712" s="142"/>
      <c r="AH712" s="142"/>
      <c r="AI712" s="142"/>
      <c r="AJ712" s="142"/>
      <c r="AK712" s="142"/>
      <c r="AL712" s="142"/>
      <c r="AM712" s="143"/>
    </row>
    <row r="713">
      <c r="A713" s="144"/>
      <c r="B713" s="142"/>
      <c r="C713" s="142"/>
      <c r="D713" s="142"/>
      <c r="E713" s="142"/>
      <c r="F713" s="142"/>
      <c r="G713" s="142"/>
      <c r="H713" s="142"/>
      <c r="I713" s="142"/>
      <c r="J713" s="142"/>
      <c r="K713" s="142"/>
      <c r="L713" s="142"/>
      <c r="M713" s="142"/>
      <c r="N713" s="142"/>
      <c r="O713" s="142"/>
      <c r="P713" s="142"/>
      <c r="Q713" s="142"/>
      <c r="R713" s="142"/>
      <c r="S713" s="142"/>
      <c r="T713" s="142"/>
      <c r="U713" s="142"/>
      <c r="V713" s="142"/>
      <c r="W713" s="142"/>
      <c r="X713" s="142"/>
      <c r="Y713" s="142"/>
      <c r="Z713" s="142"/>
      <c r="AA713" s="142"/>
      <c r="AB713" s="142"/>
      <c r="AC713" s="142"/>
      <c r="AD713" s="142"/>
      <c r="AE713" s="142"/>
      <c r="AF713" s="142"/>
      <c r="AG713" s="142"/>
      <c r="AH713" s="142"/>
      <c r="AI713" s="142"/>
      <c r="AJ713" s="142"/>
      <c r="AK713" s="142"/>
      <c r="AL713" s="142"/>
      <c r="AM713" s="143"/>
    </row>
    <row r="714">
      <c r="A714" s="144"/>
      <c r="B714" s="142"/>
      <c r="C714" s="142"/>
      <c r="D714" s="142"/>
      <c r="E714" s="142"/>
      <c r="F714" s="142"/>
      <c r="G714" s="142"/>
      <c r="H714" s="142"/>
      <c r="I714" s="142"/>
      <c r="J714" s="142"/>
      <c r="K714" s="142"/>
      <c r="L714" s="142"/>
      <c r="M714" s="142"/>
      <c r="N714" s="142"/>
      <c r="O714" s="142"/>
      <c r="P714" s="142"/>
      <c r="Q714" s="142"/>
      <c r="R714" s="142"/>
      <c r="S714" s="142"/>
      <c r="T714" s="142"/>
      <c r="U714" s="142"/>
      <c r="V714" s="142"/>
      <c r="W714" s="142"/>
      <c r="X714" s="142"/>
      <c r="Y714" s="142"/>
      <c r="Z714" s="142"/>
      <c r="AA714" s="142"/>
      <c r="AB714" s="142"/>
      <c r="AC714" s="142"/>
      <c r="AD714" s="142"/>
      <c r="AE714" s="142"/>
      <c r="AF714" s="142"/>
      <c r="AG714" s="142"/>
      <c r="AH714" s="142"/>
      <c r="AI714" s="142"/>
      <c r="AJ714" s="142"/>
      <c r="AK714" s="142"/>
      <c r="AL714" s="142"/>
      <c r="AM714" s="143"/>
    </row>
    <row r="715">
      <c r="A715" s="144"/>
      <c r="B715" s="142"/>
      <c r="C715" s="142"/>
      <c r="D715" s="142"/>
      <c r="E715" s="142"/>
      <c r="F715" s="142"/>
      <c r="G715" s="142"/>
      <c r="H715" s="142"/>
      <c r="I715" s="142"/>
      <c r="J715" s="142"/>
      <c r="K715" s="142"/>
      <c r="L715" s="142"/>
      <c r="M715" s="142"/>
      <c r="N715" s="142"/>
      <c r="O715" s="142"/>
      <c r="P715" s="142"/>
      <c r="Q715" s="142"/>
      <c r="R715" s="142"/>
      <c r="S715" s="142"/>
      <c r="T715" s="142"/>
      <c r="U715" s="142"/>
      <c r="V715" s="142"/>
      <c r="W715" s="142"/>
      <c r="X715" s="142"/>
      <c r="Y715" s="142"/>
      <c r="Z715" s="142"/>
      <c r="AA715" s="142"/>
      <c r="AB715" s="142"/>
      <c r="AC715" s="142"/>
      <c r="AD715" s="142"/>
      <c r="AE715" s="142"/>
      <c r="AF715" s="142"/>
      <c r="AG715" s="142"/>
      <c r="AH715" s="142"/>
      <c r="AI715" s="142"/>
      <c r="AJ715" s="142"/>
      <c r="AK715" s="142"/>
      <c r="AL715" s="142"/>
      <c r="AM715" s="143"/>
    </row>
    <row r="716">
      <c r="A716" s="144"/>
      <c r="B716" s="142"/>
      <c r="C716" s="142"/>
      <c r="D716" s="142"/>
      <c r="E716" s="142"/>
      <c r="F716" s="142"/>
      <c r="G716" s="142"/>
      <c r="H716" s="142"/>
      <c r="I716" s="142"/>
      <c r="J716" s="142"/>
      <c r="K716" s="142"/>
      <c r="L716" s="142"/>
      <c r="M716" s="142"/>
      <c r="N716" s="142"/>
      <c r="O716" s="142"/>
      <c r="P716" s="142"/>
      <c r="Q716" s="142"/>
      <c r="R716" s="142"/>
      <c r="S716" s="142"/>
      <c r="T716" s="142"/>
      <c r="U716" s="142"/>
      <c r="V716" s="142"/>
      <c r="W716" s="142"/>
      <c r="X716" s="142"/>
      <c r="Y716" s="142"/>
      <c r="Z716" s="142"/>
      <c r="AA716" s="142"/>
      <c r="AB716" s="142"/>
      <c r="AC716" s="142"/>
      <c r="AD716" s="142"/>
      <c r="AE716" s="142"/>
      <c r="AF716" s="142"/>
      <c r="AG716" s="142"/>
      <c r="AH716" s="142"/>
      <c r="AI716" s="142"/>
      <c r="AJ716" s="142"/>
      <c r="AK716" s="142"/>
      <c r="AL716" s="142"/>
      <c r="AM716" s="143"/>
    </row>
    <row r="717">
      <c r="A717" s="144"/>
      <c r="B717" s="142"/>
      <c r="C717" s="142"/>
      <c r="D717" s="142"/>
      <c r="E717" s="142"/>
      <c r="F717" s="142"/>
      <c r="G717" s="142"/>
      <c r="H717" s="142"/>
      <c r="I717" s="142"/>
      <c r="J717" s="142"/>
      <c r="K717" s="142"/>
      <c r="L717" s="142"/>
      <c r="M717" s="142"/>
      <c r="N717" s="142"/>
      <c r="O717" s="142"/>
      <c r="P717" s="142"/>
      <c r="Q717" s="142"/>
      <c r="R717" s="142"/>
      <c r="S717" s="142"/>
      <c r="T717" s="142"/>
      <c r="U717" s="142"/>
      <c r="V717" s="142"/>
      <c r="W717" s="142"/>
      <c r="X717" s="142"/>
      <c r="Y717" s="142"/>
      <c r="Z717" s="142"/>
      <c r="AA717" s="142"/>
      <c r="AB717" s="142"/>
      <c r="AC717" s="142"/>
      <c r="AD717" s="142"/>
      <c r="AE717" s="142"/>
      <c r="AF717" s="142"/>
      <c r="AG717" s="142"/>
      <c r="AH717" s="142"/>
      <c r="AI717" s="142"/>
      <c r="AJ717" s="142"/>
      <c r="AK717" s="142"/>
      <c r="AL717" s="142"/>
      <c r="AM717" s="143"/>
    </row>
    <row r="718">
      <c r="A718" s="144"/>
      <c r="B718" s="142"/>
      <c r="C718" s="142"/>
      <c r="D718" s="142"/>
      <c r="E718" s="142"/>
      <c r="F718" s="142"/>
      <c r="G718" s="142"/>
      <c r="H718" s="142"/>
      <c r="I718" s="142"/>
      <c r="J718" s="142"/>
      <c r="K718" s="142"/>
      <c r="L718" s="142"/>
      <c r="M718" s="142"/>
      <c r="N718" s="142"/>
      <c r="O718" s="142"/>
      <c r="P718" s="142"/>
      <c r="Q718" s="142"/>
      <c r="R718" s="142"/>
      <c r="S718" s="142"/>
      <c r="T718" s="142"/>
      <c r="U718" s="142"/>
      <c r="V718" s="142"/>
      <c r="W718" s="142"/>
      <c r="X718" s="142"/>
      <c r="Y718" s="142"/>
      <c r="Z718" s="142"/>
      <c r="AA718" s="142"/>
      <c r="AB718" s="142"/>
      <c r="AC718" s="142"/>
      <c r="AD718" s="142"/>
      <c r="AE718" s="142"/>
      <c r="AF718" s="142"/>
      <c r="AG718" s="142"/>
      <c r="AH718" s="142"/>
      <c r="AI718" s="142"/>
      <c r="AJ718" s="142"/>
      <c r="AK718" s="142"/>
      <c r="AL718" s="142"/>
      <c r="AM718" s="143"/>
    </row>
    <row r="719">
      <c r="A719" s="144"/>
      <c r="B719" s="142"/>
      <c r="C719" s="142"/>
      <c r="D719" s="142"/>
      <c r="E719" s="142"/>
      <c r="F719" s="142"/>
      <c r="G719" s="142"/>
      <c r="H719" s="142"/>
      <c r="I719" s="142"/>
      <c r="J719" s="142"/>
      <c r="K719" s="142"/>
      <c r="L719" s="142"/>
      <c r="M719" s="142"/>
      <c r="N719" s="142"/>
      <c r="O719" s="142"/>
      <c r="P719" s="142"/>
      <c r="Q719" s="142"/>
      <c r="R719" s="142"/>
      <c r="S719" s="142"/>
      <c r="T719" s="142"/>
      <c r="U719" s="142"/>
      <c r="V719" s="142"/>
      <c r="W719" s="142"/>
      <c r="X719" s="142"/>
      <c r="Y719" s="142"/>
      <c r="Z719" s="142"/>
      <c r="AA719" s="142"/>
      <c r="AB719" s="142"/>
      <c r="AC719" s="142"/>
      <c r="AD719" s="142"/>
      <c r="AE719" s="142"/>
      <c r="AF719" s="142"/>
      <c r="AG719" s="142"/>
      <c r="AH719" s="142"/>
      <c r="AI719" s="142"/>
      <c r="AJ719" s="142"/>
      <c r="AK719" s="142"/>
      <c r="AL719" s="142"/>
      <c r="AM719" s="143"/>
    </row>
    <row r="720">
      <c r="A720" s="144"/>
      <c r="B720" s="142"/>
      <c r="C720" s="142"/>
      <c r="D720" s="142"/>
      <c r="E720" s="142"/>
      <c r="F720" s="142"/>
      <c r="G720" s="142"/>
      <c r="H720" s="142"/>
      <c r="I720" s="142"/>
      <c r="J720" s="142"/>
      <c r="K720" s="142"/>
      <c r="L720" s="142"/>
      <c r="M720" s="142"/>
      <c r="N720" s="142"/>
      <c r="O720" s="142"/>
      <c r="P720" s="142"/>
      <c r="Q720" s="142"/>
      <c r="R720" s="142"/>
      <c r="S720" s="142"/>
      <c r="T720" s="142"/>
      <c r="U720" s="142"/>
      <c r="V720" s="142"/>
      <c r="W720" s="142"/>
      <c r="X720" s="142"/>
      <c r="Y720" s="142"/>
      <c r="Z720" s="142"/>
      <c r="AA720" s="142"/>
      <c r="AB720" s="142"/>
      <c r="AC720" s="142"/>
      <c r="AD720" s="142"/>
      <c r="AE720" s="142"/>
      <c r="AF720" s="142"/>
      <c r="AG720" s="142"/>
      <c r="AH720" s="142"/>
      <c r="AI720" s="142"/>
      <c r="AJ720" s="142"/>
      <c r="AK720" s="142"/>
      <c r="AL720" s="142"/>
      <c r="AM720" s="143"/>
    </row>
    <row r="721">
      <c r="A721" s="144"/>
      <c r="B721" s="142"/>
      <c r="C721" s="142"/>
      <c r="D721" s="142"/>
      <c r="E721" s="142"/>
      <c r="F721" s="142"/>
      <c r="G721" s="142"/>
      <c r="H721" s="142"/>
      <c r="I721" s="142"/>
      <c r="J721" s="142"/>
      <c r="K721" s="142"/>
      <c r="L721" s="142"/>
      <c r="M721" s="142"/>
      <c r="N721" s="142"/>
      <c r="O721" s="142"/>
      <c r="P721" s="142"/>
      <c r="Q721" s="142"/>
      <c r="R721" s="142"/>
      <c r="S721" s="142"/>
      <c r="T721" s="142"/>
      <c r="U721" s="142"/>
      <c r="V721" s="142"/>
      <c r="W721" s="142"/>
      <c r="X721" s="142"/>
      <c r="Y721" s="142"/>
      <c r="Z721" s="142"/>
      <c r="AA721" s="142"/>
      <c r="AB721" s="142"/>
      <c r="AC721" s="142"/>
      <c r="AD721" s="142"/>
      <c r="AE721" s="142"/>
      <c r="AF721" s="142"/>
      <c r="AG721" s="142"/>
      <c r="AH721" s="142"/>
      <c r="AI721" s="142"/>
      <c r="AJ721" s="142"/>
      <c r="AK721" s="142"/>
      <c r="AL721" s="142"/>
      <c r="AM721" s="143"/>
    </row>
    <row r="722">
      <c r="A722" s="144"/>
      <c r="B722" s="142"/>
      <c r="C722" s="142"/>
      <c r="D722" s="142"/>
      <c r="E722" s="142"/>
      <c r="F722" s="142"/>
      <c r="G722" s="142"/>
      <c r="H722" s="142"/>
      <c r="I722" s="142"/>
      <c r="J722" s="142"/>
      <c r="K722" s="142"/>
      <c r="L722" s="142"/>
      <c r="M722" s="142"/>
      <c r="N722" s="142"/>
      <c r="O722" s="142"/>
      <c r="P722" s="142"/>
      <c r="Q722" s="142"/>
      <c r="R722" s="142"/>
      <c r="S722" s="142"/>
      <c r="T722" s="142"/>
      <c r="U722" s="142"/>
      <c r="V722" s="142"/>
      <c r="W722" s="142"/>
      <c r="X722" s="142"/>
      <c r="Y722" s="142"/>
      <c r="Z722" s="142"/>
      <c r="AA722" s="142"/>
      <c r="AB722" s="142"/>
      <c r="AC722" s="142"/>
      <c r="AD722" s="142"/>
      <c r="AE722" s="142"/>
      <c r="AF722" s="142"/>
      <c r="AG722" s="142"/>
      <c r="AH722" s="142"/>
      <c r="AI722" s="142"/>
      <c r="AJ722" s="142"/>
      <c r="AK722" s="142"/>
      <c r="AL722" s="142"/>
      <c r="AM722" s="143"/>
    </row>
    <row r="723">
      <c r="A723" s="144"/>
      <c r="B723" s="142"/>
      <c r="C723" s="142"/>
      <c r="D723" s="142"/>
      <c r="E723" s="142"/>
      <c r="F723" s="142"/>
      <c r="G723" s="142"/>
      <c r="H723" s="142"/>
      <c r="I723" s="142"/>
      <c r="J723" s="142"/>
      <c r="K723" s="142"/>
      <c r="L723" s="142"/>
      <c r="M723" s="142"/>
      <c r="N723" s="142"/>
      <c r="O723" s="142"/>
      <c r="P723" s="142"/>
      <c r="Q723" s="142"/>
      <c r="R723" s="142"/>
      <c r="S723" s="142"/>
      <c r="T723" s="142"/>
      <c r="U723" s="142"/>
      <c r="V723" s="142"/>
      <c r="W723" s="142"/>
      <c r="X723" s="142"/>
      <c r="Y723" s="142"/>
      <c r="Z723" s="142"/>
      <c r="AA723" s="142"/>
      <c r="AB723" s="142"/>
      <c r="AC723" s="142"/>
      <c r="AD723" s="142"/>
      <c r="AE723" s="142"/>
      <c r="AF723" s="142"/>
      <c r="AG723" s="142"/>
      <c r="AH723" s="142"/>
      <c r="AI723" s="142"/>
      <c r="AJ723" s="142"/>
      <c r="AK723" s="142"/>
      <c r="AL723" s="142"/>
      <c r="AM723" s="143"/>
    </row>
    <row r="724">
      <c r="A724" s="144"/>
      <c r="B724" s="142"/>
      <c r="C724" s="142"/>
      <c r="D724" s="142"/>
      <c r="E724" s="142"/>
      <c r="F724" s="142"/>
      <c r="G724" s="142"/>
      <c r="H724" s="142"/>
      <c r="I724" s="142"/>
      <c r="J724" s="142"/>
      <c r="K724" s="142"/>
      <c r="L724" s="142"/>
      <c r="M724" s="142"/>
      <c r="N724" s="142"/>
      <c r="O724" s="142"/>
      <c r="P724" s="142"/>
      <c r="Q724" s="142"/>
      <c r="R724" s="142"/>
      <c r="S724" s="142"/>
      <c r="T724" s="142"/>
      <c r="U724" s="142"/>
      <c r="V724" s="142"/>
      <c r="W724" s="142"/>
      <c r="X724" s="142"/>
      <c r="Y724" s="142"/>
      <c r="Z724" s="142"/>
      <c r="AA724" s="142"/>
      <c r="AB724" s="142"/>
      <c r="AC724" s="142"/>
      <c r="AD724" s="142"/>
      <c r="AE724" s="142"/>
      <c r="AF724" s="142"/>
      <c r="AG724" s="142"/>
      <c r="AH724" s="142"/>
      <c r="AI724" s="142"/>
      <c r="AJ724" s="142"/>
      <c r="AK724" s="142"/>
      <c r="AL724" s="142"/>
      <c r="AM724" s="143"/>
    </row>
    <row r="725">
      <c r="A725" s="144"/>
      <c r="B725" s="142"/>
      <c r="C725" s="142"/>
      <c r="D725" s="142"/>
      <c r="E725" s="142"/>
      <c r="F725" s="142"/>
      <c r="G725" s="142"/>
      <c r="H725" s="142"/>
      <c r="I725" s="142"/>
      <c r="J725" s="142"/>
      <c r="K725" s="142"/>
      <c r="L725" s="142"/>
      <c r="M725" s="142"/>
      <c r="N725" s="142"/>
      <c r="O725" s="142"/>
      <c r="P725" s="142"/>
      <c r="Q725" s="142"/>
      <c r="R725" s="142"/>
      <c r="S725" s="142"/>
      <c r="T725" s="142"/>
      <c r="U725" s="142"/>
      <c r="V725" s="142"/>
      <c r="W725" s="142"/>
      <c r="X725" s="142"/>
      <c r="Y725" s="142"/>
      <c r="Z725" s="142"/>
      <c r="AA725" s="142"/>
      <c r="AB725" s="142"/>
      <c r="AC725" s="142"/>
      <c r="AD725" s="142"/>
      <c r="AE725" s="142"/>
      <c r="AF725" s="142"/>
      <c r="AG725" s="142"/>
      <c r="AH725" s="142"/>
      <c r="AI725" s="142"/>
      <c r="AJ725" s="142"/>
      <c r="AK725" s="142"/>
      <c r="AL725" s="142"/>
      <c r="AM725" s="143"/>
    </row>
    <row r="726">
      <c r="A726" s="144"/>
      <c r="B726" s="142"/>
      <c r="C726" s="142"/>
      <c r="D726" s="142"/>
      <c r="E726" s="142"/>
      <c r="F726" s="142"/>
      <c r="G726" s="142"/>
      <c r="H726" s="142"/>
      <c r="I726" s="142"/>
      <c r="J726" s="142"/>
      <c r="K726" s="142"/>
      <c r="L726" s="142"/>
      <c r="M726" s="142"/>
      <c r="N726" s="142"/>
      <c r="O726" s="142"/>
      <c r="P726" s="142"/>
      <c r="Q726" s="142"/>
      <c r="R726" s="142"/>
      <c r="S726" s="142"/>
      <c r="T726" s="142"/>
      <c r="U726" s="142"/>
      <c r="V726" s="142"/>
      <c r="W726" s="142"/>
      <c r="X726" s="142"/>
      <c r="Y726" s="142"/>
      <c r="Z726" s="142"/>
      <c r="AA726" s="142"/>
      <c r="AB726" s="142"/>
      <c r="AC726" s="142"/>
      <c r="AD726" s="142"/>
      <c r="AE726" s="142"/>
      <c r="AF726" s="142"/>
      <c r="AG726" s="142"/>
      <c r="AH726" s="142"/>
      <c r="AI726" s="142"/>
      <c r="AJ726" s="142"/>
      <c r="AK726" s="142"/>
      <c r="AL726" s="142"/>
      <c r="AM726" s="143"/>
    </row>
    <row r="727">
      <c r="A727" s="144"/>
      <c r="B727" s="142"/>
      <c r="C727" s="142"/>
      <c r="D727" s="142"/>
      <c r="E727" s="142"/>
      <c r="F727" s="142"/>
      <c r="G727" s="142"/>
      <c r="H727" s="142"/>
      <c r="I727" s="142"/>
      <c r="J727" s="142"/>
      <c r="K727" s="142"/>
      <c r="L727" s="142"/>
      <c r="M727" s="142"/>
      <c r="N727" s="142"/>
      <c r="O727" s="142"/>
      <c r="P727" s="142"/>
      <c r="Q727" s="142"/>
      <c r="R727" s="142"/>
      <c r="S727" s="142"/>
      <c r="T727" s="142"/>
      <c r="U727" s="142"/>
      <c r="V727" s="142"/>
      <c r="W727" s="142"/>
      <c r="X727" s="142"/>
      <c r="Y727" s="142"/>
      <c r="Z727" s="142"/>
      <c r="AA727" s="142"/>
      <c r="AB727" s="142"/>
      <c r="AC727" s="142"/>
      <c r="AD727" s="142"/>
      <c r="AE727" s="142"/>
      <c r="AF727" s="142"/>
      <c r="AG727" s="142"/>
      <c r="AH727" s="142"/>
      <c r="AI727" s="142"/>
      <c r="AJ727" s="142"/>
      <c r="AK727" s="142"/>
      <c r="AL727" s="142"/>
      <c r="AM727" s="143"/>
    </row>
    <row r="728">
      <c r="A728" s="144"/>
      <c r="B728" s="142"/>
      <c r="C728" s="142"/>
      <c r="D728" s="142"/>
      <c r="E728" s="142"/>
      <c r="F728" s="142"/>
      <c r="G728" s="142"/>
      <c r="H728" s="142"/>
      <c r="I728" s="142"/>
      <c r="J728" s="142"/>
      <c r="K728" s="142"/>
      <c r="L728" s="142"/>
      <c r="M728" s="142"/>
      <c r="N728" s="142"/>
      <c r="O728" s="142"/>
      <c r="P728" s="142"/>
      <c r="Q728" s="142"/>
      <c r="R728" s="142"/>
      <c r="S728" s="142"/>
      <c r="T728" s="142"/>
      <c r="U728" s="142"/>
      <c r="V728" s="142"/>
      <c r="W728" s="142"/>
      <c r="X728" s="142"/>
      <c r="Y728" s="142"/>
      <c r="Z728" s="142"/>
      <c r="AA728" s="142"/>
      <c r="AB728" s="142"/>
      <c r="AC728" s="142"/>
      <c r="AD728" s="142"/>
      <c r="AE728" s="142"/>
      <c r="AF728" s="142"/>
      <c r="AG728" s="142"/>
      <c r="AH728" s="142"/>
      <c r="AI728" s="142"/>
      <c r="AJ728" s="142"/>
      <c r="AK728" s="142"/>
      <c r="AL728" s="142"/>
      <c r="AM728" s="143"/>
    </row>
    <row r="729">
      <c r="A729" s="144"/>
      <c r="B729" s="142"/>
      <c r="C729" s="142"/>
      <c r="D729" s="142"/>
      <c r="E729" s="142"/>
      <c r="F729" s="142"/>
      <c r="G729" s="142"/>
      <c r="H729" s="142"/>
      <c r="I729" s="142"/>
      <c r="J729" s="142"/>
      <c r="K729" s="142"/>
      <c r="L729" s="142"/>
      <c r="M729" s="142"/>
      <c r="N729" s="142"/>
      <c r="O729" s="142"/>
      <c r="P729" s="142"/>
      <c r="Q729" s="142"/>
      <c r="R729" s="142"/>
      <c r="S729" s="142"/>
      <c r="T729" s="142"/>
      <c r="U729" s="142"/>
      <c r="V729" s="142"/>
      <c r="W729" s="142"/>
      <c r="X729" s="142"/>
      <c r="Y729" s="142"/>
      <c r="Z729" s="142"/>
      <c r="AA729" s="142"/>
      <c r="AB729" s="142"/>
      <c r="AC729" s="142"/>
      <c r="AD729" s="142"/>
      <c r="AE729" s="142"/>
      <c r="AF729" s="142"/>
      <c r="AG729" s="142"/>
      <c r="AH729" s="142"/>
      <c r="AI729" s="142"/>
      <c r="AJ729" s="142"/>
      <c r="AK729" s="142"/>
      <c r="AL729" s="142"/>
      <c r="AM729" s="143"/>
    </row>
    <row r="730">
      <c r="A730" s="144"/>
      <c r="B730" s="142"/>
      <c r="C730" s="142"/>
      <c r="D730" s="142"/>
      <c r="E730" s="142"/>
      <c r="F730" s="142"/>
      <c r="G730" s="142"/>
      <c r="H730" s="142"/>
      <c r="I730" s="142"/>
      <c r="J730" s="142"/>
      <c r="K730" s="142"/>
      <c r="L730" s="142"/>
      <c r="M730" s="142"/>
      <c r="N730" s="142"/>
      <c r="O730" s="142"/>
      <c r="P730" s="142"/>
      <c r="Q730" s="142"/>
      <c r="R730" s="142"/>
      <c r="S730" s="142"/>
      <c r="T730" s="142"/>
      <c r="U730" s="142"/>
      <c r="V730" s="142"/>
      <c r="W730" s="142"/>
      <c r="X730" s="142"/>
      <c r="Y730" s="142"/>
      <c r="Z730" s="142"/>
      <c r="AA730" s="142"/>
      <c r="AB730" s="142"/>
      <c r="AC730" s="142"/>
      <c r="AD730" s="142"/>
      <c r="AE730" s="142"/>
      <c r="AF730" s="142"/>
      <c r="AG730" s="142"/>
      <c r="AH730" s="142"/>
      <c r="AI730" s="142"/>
      <c r="AJ730" s="142"/>
      <c r="AK730" s="142"/>
      <c r="AL730" s="142"/>
      <c r="AM730" s="143"/>
    </row>
    <row r="731">
      <c r="A731" s="144"/>
      <c r="B731" s="142"/>
      <c r="C731" s="142"/>
      <c r="D731" s="142"/>
      <c r="E731" s="142"/>
      <c r="F731" s="142"/>
      <c r="G731" s="142"/>
      <c r="H731" s="142"/>
      <c r="I731" s="142"/>
      <c r="J731" s="142"/>
      <c r="K731" s="142"/>
      <c r="L731" s="142"/>
      <c r="M731" s="142"/>
      <c r="N731" s="142"/>
      <c r="O731" s="142"/>
      <c r="P731" s="142"/>
      <c r="Q731" s="142"/>
      <c r="R731" s="142"/>
      <c r="S731" s="142"/>
      <c r="T731" s="142"/>
      <c r="U731" s="142"/>
      <c r="V731" s="142"/>
      <c r="W731" s="142"/>
      <c r="X731" s="142"/>
      <c r="Y731" s="142"/>
      <c r="Z731" s="142"/>
      <c r="AA731" s="142"/>
      <c r="AB731" s="142"/>
      <c r="AC731" s="142"/>
      <c r="AD731" s="142"/>
      <c r="AE731" s="142"/>
      <c r="AF731" s="142"/>
      <c r="AG731" s="142"/>
      <c r="AH731" s="142"/>
      <c r="AI731" s="142"/>
      <c r="AJ731" s="142"/>
      <c r="AK731" s="142"/>
      <c r="AL731" s="142"/>
      <c r="AM731" s="143"/>
    </row>
    <row r="732">
      <c r="A732" s="144"/>
      <c r="B732" s="142"/>
      <c r="C732" s="142"/>
      <c r="D732" s="142"/>
      <c r="E732" s="142"/>
      <c r="F732" s="142"/>
      <c r="G732" s="142"/>
      <c r="H732" s="142"/>
      <c r="I732" s="142"/>
      <c r="J732" s="142"/>
      <c r="K732" s="142"/>
      <c r="L732" s="142"/>
      <c r="M732" s="142"/>
      <c r="N732" s="142"/>
      <c r="O732" s="142"/>
      <c r="P732" s="142"/>
      <c r="Q732" s="142"/>
      <c r="R732" s="142"/>
      <c r="S732" s="142"/>
      <c r="T732" s="142"/>
      <c r="U732" s="142"/>
      <c r="V732" s="142"/>
      <c r="W732" s="142"/>
      <c r="X732" s="142"/>
      <c r="Y732" s="142"/>
      <c r="Z732" s="142"/>
      <c r="AA732" s="142"/>
      <c r="AB732" s="142"/>
      <c r="AC732" s="142"/>
      <c r="AD732" s="142"/>
      <c r="AE732" s="142"/>
      <c r="AF732" s="142"/>
      <c r="AG732" s="142"/>
      <c r="AH732" s="142"/>
      <c r="AI732" s="142"/>
      <c r="AJ732" s="142"/>
      <c r="AK732" s="142"/>
      <c r="AL732" s="142"/>
      <c r="AM732" s="143"/>
    </row>
    <row r="733">
      <c r="A733" s="144"/>
      <c r="B733" s="142"/>
      <c r="C733" s="142"/>
      <c r="D733" s="142"/>
      <c r="E733" s="142"/>
      <c r="F733" s="142"/>
      <c r="G733" s="142"/>
      <c r="H733" s="142"/>
      <c r="I733" s="142"/>
      <c r="J733" s="142"/>
      <c r="K733" s="142"/>
      <c r="L733" s="142"/>
      <c r="M733" s="142"/>
      <c r="N733" s="142"/>
      <c r="O733" s="142"/>
      <c r="P733" s="142"/>
      <c r="Q733" s="142"/>
      <c r="R733" s="142"/>
      <c r="S733" s="142"/>
      <c r="T733" s="142"/>
      <c r="U733" s="142"/>
      <c r="V733" s="142"/>
      <c r="W733" s="142"/>
      <c r="X733" s="142"/>
      <c r="Y733" s="142"/>
      <c r="Z733" s="142"/>
      <c r="AA733" s="142"/>
      <c r="AB733" s="142"/>
      <c r="AC733" s="142"/>
      <c r="AD733" s="142"/>
      <c r="AE733" s="142"/>
      <c r="AF733" s="142"/>
      <c r="AG733" s="142"/>
      <c r="AH733" s="142"/>
      <c r="AI733" s="142"/>
      <c r="AJ733" s="142"/>
      <c r="AK733" s="142"/>
      <c r="AL733" s="142"/>
      <c r="AM733" s="143"/>
    </row>
    <row r="734">
      <c r="A734" s="144"/>
      <c r="B734" s="142"/>
      <c r="C734" s="142"/>
      <c r="D734" s="142"/>
      <c r="E734" s="142"/>
      <c r="F734" s="142"/>
      <c r="G734" s="142"/>
      <c r="H734" s="142"/>
      <c r="I734" s="142"/>
      <c r="J734" s="142"/>
      <c r="K734" s="142"/>
      <c r="L734" s="142"/>
      <c r="M734" s="142"/>
      <c r="N734" s="142"/>
      <c r="O734" s="142"/>
      <c r="P734" s="142"/>
      <c r="Q734" s="142"/>
      <c r="R734" s="142"/>
      <c r="S734" s="142"/>
      <c r="T734" s="142"/>
      <c r="U734" s="142"/>
      <c r="V734" s="142"/>
      <c r="W734" s="142"/>
      <c r="X734" s="142"/>
      <c r="Y734" s="142"/>
      <c r="Z734" s="142"/>
      <c r="AA734" s="142"/>
      <c r="AB734" s="142"/>
      <c r="AC734" s="142"/>
      <c r="AD734" s="142"/>
      <c r="AE734" s="142"/>
      <c r="AF734" s="142"/>
      <c r="AG734" s="142"/>
      <c r="AH734" s="142"/>
      <c r="AI734" s="142"/>
      <c r="AJ734" s="142"/>
      <c r="AK734" s="142"/>
      <c r="AL734" s="142"/>
      <c r="AM734" s="143"/>
    </row>
    <row r="735">
      <c r="A735" s="144"/>
      <c r="B735" s="142"/>
      <c r="C735" s="142"/>
      <c r="D735" s="142"/>
      <c r="E735" s="142"/>
      <c r="F735" s="142"/>
      <c r="G735" s="142"/>
      <c r="H735" s="142"/>
      <c r="I735" s="142"/>
      <c r="J735" s="142"/>
      <c r="K735" s="142"/>
      <c r="L735" s="142"/>
      <c r="M735" s="142"/>
      <c r="N735" s="142"/>
      <c r="O735" s="142"/>
      <c r="P735" s="142"/>
      <c r="Q735" s="142"/>
      <c r="R735" s="142"/>
      <c r="S735" s="142"/>
      <c r="T735" s="142"/>
      <c r="U735" s="142"/>
      <c r="V735" s="142"/>
      <c r="W735" s="142"/>
      <c r="X735" s="142"/>
      <c r="Y735" s="142"/>
      <c r="Z735" s="142"/>
      <c r="AA735" s="142"/>
      <c r="AB735" s="142"/>
      <c r="AC735" s="142"/>
      <c r="AD735" s="142"/>
      <c r="AE735" s="142"/>
      <c r="AF735" s="142"/>
      <c r="AG735" s="142"/>
      <c r="AH735" s="142"/>
      <c r="AI735" s="142"/>
      <c r="AJ735" s="142"/>
      <c r="AK735" s="142"/>
      <c r="AL735" s="142"/>
      <c r="AM735" s="143"/>
    </row>
    <row r="736">
      <c r="A736" s="144"/>
      <c r="B736" s="142"/>
      <c r="C736" s="142"/>
      <c r="D736" s="142"/>
      <c r="E736" s="142"/>
      <c r="F736" s="142"/>
      <c r="G736" s="142"/>
      <c r="H736" s="142"/>
      <c r="I736" s="142"/>
      <c r="J736" s="142"/>
      <c r="K736" s="142"/>
      <c r="L736" s="142"/>
      <c r="M736" s="142"/>
      <c r="N736" s="142"/>
      <c r="O736" s="142"/>
      <c r="P736" s="142"/>
      <c r="Q736" s="142"/>
      <c r="R736" s="142"/>
      <c r="S736" s="142"/>
      <c r="T736" s="142"/>
      <c r="U736" s="142"/>
      <c r="V736" s="142"/>
      <c r="W736" s="142"/>
      <c r="X736" s="142"/>
      <c r="Y736" s="142"/>
      <c r="Z736" s="142"/>
      <c r="AA736" s="142"/>
      <c r="AB736" s="142"/>
      <c r="AC736" s="142"/>
      <c r="AD736" s="142"/>
      <c r="AE736" s="142"/>
      <c r="AF736" s="142"/>
      <c r="AG736" s="142"/>
      <c r="AH736" s="142"/>
      <c r="AI736" s="142"/>
      <c r="AJ736" s="142"/>
      <c r="AK736" s="142"/>
      <c r="AL736" s="142"/>
      <c r="AM736" s="143"/>
    </row>
    <row r="737">
      <c r="A737" s="144"/>
      <c r="B737" s="142"/>
      <c r="C737" s="142"/>
      <c r="D737" s="142"/>
      <c r="E737" s="142"/>
      <c r="F737" s="142"/>
      <c r="G737" s="142"/>
      <c r="H737" s="142"/>
      <c r="I737" s="142"/>
      <c r="J737" s="142"/>
      <c r="K737" s="142"/>
      <c r="L737" s="142"/>
      <c r="M737" s="142"/>
      <c r="N737" s="142"/>
      <c r="O737" s="142"/>
      <c r="P737" s="142"/>
      <c r="Q737" s="142"/>
      <c r="R737" s="142"/>
      <c r="S737" s="142"/>
      <c r="T737" s="142"/>
      <c r="U737" s="142"/>
      <c r="V737" s="142"/>
      <c r="W737" s="142"/>
      <c r="X737" s="142"/>
      <c r="Y737" s="142"/>
      <c r="Z737" s="142"/>
      <c r="AA737" s="142"/>
      <c r="AB737" s="142"/>
      <c r="AC737" s="142"/>
      <c r="AD737" s="142"/>
      <c r="AE737" s="142"/>
      <c r="AF737" s="142"/>
      <c r="AG737" s="142"/>
      <c r="AH737" s="142"/>
      <c r="AI737" s="142"/>
      <c r="AJ737" s="142"/>
      <c r="AK737" s="142"/>
      <c r="AL737" s="142"/>
      <c r="AM737" s="143"/>
    </row>
    <row r="738">
      <c r="A738" s="144"/>
      <c r="B738" s="142"/>
      <c r="C738" s="142"/>
      <c r="D738" s="142"/>
      <c r="E738" s="142"/>
      <c r="F738" s="142"/>
      <c r="G738" s="142"/>
      <c r="H738" s="142"/>
      <c r="I738" s="142"/>
      <c r="J738" s="142"/>
      <c r="K738" s="142"/>
      <c r="L738" s="142"/>
      <c r="M738" s="142"/>
      <c r="N738" s="142"/>
      <c r="O738" s="142"/>
      <c r="P738" s="142"/>
      <c r="Q738" s="142"/>
      <c r="R738" s="142"/>
      <c r="S738" s="142"/>
      <c r="T738" s="142"/>
      <c r="U738" s="142"/>
      <c r="V738" s="142"/>
      <c r="W738" s="142"/>
      <c r="X738" s="142"/>
      <c r="Y738" s="142"/>
      <c r="Z738" s="142"/>
      <c r="AA738" s="142"/>
      <c r="AB738" s="142"/>
      <c r="AC738" s="142"/>
      <c r="AD738" s="142"/>
      <c r="AE738" s="142"/>
      <c r="AF738" s="142"/>
      <c r="AG738" s="142"/>
      <c r="AH738" s="142"/>
      <c r="AI738" s="142"/>
      <c r="AJ738" s="142"/>
      <c r="AK738" s="142"/>
      <c r="AL738" s="142"/>
      <c r="AM738" s="143"/>
    </row>
    <row r="739">
      <c r="A739" s="144"/>
      <c r="B739" s="142"/>
      <c r="C739" s="142"/>
      <c r="D739" s="142"/>
      <c r="E739" s="142"/>
      <c r="F739" s="142"/>
      <c r="G739" s="142"/>
      <c r="H739" s="142"/>
      <c r="I739" s="142"/>
      <c r="J739" s="142"/>
      <c r="K739" s="142"/>
      <c r="L739" s="142"/>
      <c r="M739" s="142"/>
      <c r="N739" s="142"/>
      <c r="O739" s="142"/>
      <c r="P739" s="142"/>
      <c r="Q739" s="142"/>
      <c r="R739" s="142"/>
      <c r="S739" s="142"/>
      <c r="T739" s="142"/>
      <c r="U739" s="142"/>
      <c r="V739" s="142"/>
      <c r="W739" s="142"/>
      <c r="X739" s="142"/>
      <c r="Y739" s="142"/>
      <c r="Z739" s="142"/>
      <c r="AA739" s="142"/>
      <c r="AB739" s="142"/>
      <c r="AC739" s="142"/>
      <c r="AD739" s="142"/>
      <c r="AE739" s="142"/>
      <c r="AF739" s="142"/>
      <c r="AG739" s="142"/>
      <c r="AH739" s="142"/>
      <c r="AI739" s="142"/>
      <c r="AJ739" s="142"/>
      <c r="AK739" s="142"/>
      <c r="AL739" s="142"/>
      <c r="AM739" s="143"/>
    </row>
    <row r="740">
      <c r="A740" s="144"/>
      <c r="B740" s="142"/>
      <c r="C740" s="142"/>
      <c r="D740" s="142"/>
      <c r="E740" s="142"/>
      <c r="F740" s="142"/>
      <c r="G740" s="142"/>
      <c r="H740" s="142"/>
      <c r="I740" s="142"/>
      <c r="J740" s="142"/>
      <c r="K740" s="142"/>
      <c r="L740" s="142"/>
      <c r="M740" s="142"/>
      <c r="N740" s="142"/>
      <c r="O740" s="142"/>
      <c r="P740" s="142"/>
      <c r="Q740" s="142"/>
      <c r="R740" s="142"/>
      <c r="S740" s="142"/>
      <c r="T740" s="142"/>
      <c r="U740" s="142"/>
      <c r="V740" s="142"/>
      <c r="W740" s="142"/>
      <c r="X740" s="142"/>
      <c r="Y740" s="142"/>
      <c r="Z740" s="142"/>
      <c r="AA740" s="142"/>
      <c r="AB740" s="142"/>
      <c r="AC740" s="142"/>
      <c r="AD740" s="142"/>
      <c r="AE740" s="142"/>
      <c r="AF740" s="142"/>
      <c r="AG740" s="142"/>
      <c r="AH740" s="142"/>
      <c r="AI740" s="142"/>
      <c r="AJ740" s="142"/>
      <c r="AK740" s="142"/>
      <c r="AL740" s="142"/>
      <c r="AM740" s="143"/>
    </row>
    <row r="741">
      <c r="A741" s="144"/>
      <c r="B741" s="142"/>
      <c r="C741" s="142"/>
      <c r="D741" s="142"/>
      <c r="E741" s="142"/>
      <c r="F741" s="142"/>
      <c r="G741" s="142"/>
      <c r="H741" s="142"/>
      <c r="I741" s="142"/>
      <c r="J741" s="142"/>
      <c r="K741" s="142"/>
      <c r="L741" s="142"/>
      <c r="M741" s="142"/>
      <c r="N741" s="142"/>
      <c r="O741" s="142"/>
      <c r="P741" s="142"/>
      <c r="Q741" s="142"/>
      <c r="R741" s="142"/>
      <c r="S741" s="142"/>
      <c r="T741" s="142"/>
      <c r="U741" s="142"/>
      <c r="V741" s="142"/>
      <c r="W741" s="142"/>
      <c r="X741" s="142"/>
      <c r="Y741" s="142"/>
      <c r="Z741" s="142"/>
      <c r="AA741" s="142"/>
      <c r="AB741" s="142"/>
      <c r="AC741" s="142"/>
      <c r="AD741" s="142"/>
      <c r="AE741" s="142"/>
      <c r="AF741" s="142"/>
      <c r="AG741" s="142"/>
      <c r="AH741" s="142"/>
      <c r="AI741" s="142"/>
      <c r="AJ741" s="142"/>
      <c r="AK741" s="142"/>
      <c r="AL741" s="142"/>
      <c r="AM741" s="143"/>
    </row>
    <row r="742">
      <c r="A742" s="144"/>
      <c r="B742" s="142"/>
      <c r="C742" s="142"/>
      <c r="D742" s="142"/>
      <c r="E742" s="142"/>
      <c r="F742" s="142"/>
      <c r="G742" s="142"/>
      <c r="H742" s="142"/>
      <c r="I742" s="142"/>
      <c r="J742" s="142"/>
      <c r="K742" s="142"/>
      <c r="L742" s="142"/>
      <c r="M742" s="142"/>
      <c r="N742" s="142"/>
      <c r="O742" s="142"/>
      <c r="P742" s="142"/>
      <c r="Q742" s="142"/>
      <c r="R742" s="142"/>
      <c r="S742" s="142"/>
      <c r="T742" s="142"/>
      <c r="U742" s="142"/>
      <c r="V742" s="142"/>
      <c r="W742" s="142"/>
      <c r="X742" s="142"/>
      <c r="Y742" s="142"/>
      <c r="Z742" s="142"/>
      <c r="AA742" s="142"/>
      <c r="AB742" s="142"/>
      <c r="AC742" s="142"/>
      <c r="AD742" s="142"/>
      <c r="AE742" s="142"/>
      <c r="AF742" s="142"/>
      <c r="AG742" s="142"/>
      <c r="AH742" s="142"/>
      <c r="AI742" s="142"/>
      <c r="AJ742" s="142"/>
      <c r="AK742" s="142"/>
      <c r="AL742" s="142"/>
      <c r="AM742" s="143"/>
    </row>
    <row r="743">
      <c r="A743" s="144"/>
      <c r="B743" s="142"/>
      <c r="C743" s="142"/>
      <c r="D743" s="142"/>
      <c r="E743" s="142"/>
      <c r="F743" s="142"/>
      <c r="G743" s="142"/>
      <c r="H743" s="142"/>
      <c r="I743" s="142"/>
      <c r="J743" s="142"/>
      <c r="K743" s="142"/>
      <c r="L743" s="142"/>
      <c r="M743" s="142"/>
      <c r="N743" s="142"/>
      <c r="O743" s="142"/>
      <c r="P743" s="142"/>
      <c r="Q743" s="142"/>
      <c r="R743" s="142"/>
      <c r="S743" s="142"/>
      <c r="T743" s="142"/>
      <c r="U743" s="142"/>
      <c r="V743" s="142"/>
      <c r="W743" s="142"/>
      <c r="X743" s="142"/>
      <c r="Y743" s="142"/>
      <c r="Z743" s="142"/>
      <c r="AA743" s="142"/>
      <c r="AB743" s="142"/>
      <c r="AC743" s="142"/>
      <c r="AD743" s="142"/>
      <c r="AE743" s="142"/>
      <c r="AF743" s="142"/>
      <c r="AG743" s="142"/>
      <c r="AH743" s="142"/>
      <c r="AI743" s="142"/>
      <c r="AJ743" s="142"/>
      <c r="AK743" s="142"/>
      <c r="AL743" s="142"/>
      <c r="AM743" s="143"/>
    </row>
    <row r="744">
      <c r="A744" s="144"/>
      <c r="B744" s="142"/>
      <c r="C744" s="142"/>
      <c r="D744" s="142"/>
      <c r="E744" s="142"/>
      <c r="F744" s="142"/>
      <c r="G744" s="142"/>
      <c r="H744" s="142"/>
      <c r="I744" s="142"/>
      <c r="J744" s="142"/>
      <c r="K744" s="142"/>
      <c r="L744" s="142"/>
      <c r="M744" s="142"/>
      <c r="N744" s="142"/>
      <c r="O744" s="142"/>
      <c r="P744" s="142"/>
      <c r="Q744" s="142"/>
      <c r="R744" s="142"/>
      <c r="S744" s="142"/>
      <c r="T744" s="142"/>
      <c r="U744" s="142"/>
      <c r="V744" s="142"/>
      <c r="W744" s="142"/>
      <c r="X744" s="142"/>
      <c r="Y744" s="142"/>
      <c r="Z744" s="142"/>
      <c r="AA744" s="142"/>
      <c r="AB744" s="142"/>
      <c r="AC744" s="142"/>
      <c r="AD744" s="142"/>
      <c r="AE744" s="142"/>
      <c r="AF744" s="142"/>
      <c r="AG744" s="142"/>
      <c r="AH744" s="142"/>
      <c r="AI744" s="142"/>
      <c r="AJ744" s="142"/>
      <c r="AK744" s="142"/>
      <c r="AL744" s="142"/>
      <c r="AM744" s="143"/>
    </row>
    <row r="745">
      <c r="A745" s="144"/>
      <c r="B745" s="142"/>
      <c r="C745" s="142"/>
      <c r="D745" s="142"/>
      <c r="E745" s="142"/>
      <c r="F745" s="142"/>
      <c r="G745" s="142"/>
      <c r="H745" s="142"/>
      <c r="I745" s="142"/>
      <c r="J745" s="142"/>
      <c r="K745" s="142"/>
      <c r="L745" s="142"/>
      <c r="M745" s="142"/>
      <c r="N745" s="142"/>
      <c r="O745" s="142"/>
      <c r="P745" s="142"/>
      <c r="Q745" s="142"/>
      <c r="R745" s="142"/>
      <c r="S745" s="142"/>
      <c r="T745" s="142"/>
      <c r="U745" s="142"/>
      <c r="V745" s="142"/>
      <c r="W745" s="142"/>
      <c r="X745" s="142"/>
      <c r="Y745" s="142"/>
      <c r="Z745" s="142"/>
      <c r="AA745" s="142"/>
      <c r="AB745" s="142"/>
      <c r="AC745" s="142"/>
      <c r="AD745" s="142"/>
      <c r="AE745" s="142"/>
      <c r="AF745" s="142"/>
      <c r="AG745" s="142"/>
      <c r="AH745" s="142"/>
      <c r="AI745" s="142"/>
      <c r="AJ745" s="142"/>
      <c r="AK745" s="142"/>
      <c r="AL745" s="142"/>
      <c r="AM745" s="143"/>
    </row>
    <row r="746">
      <c r="A746" s="144"/>
      <c r="B746" s="142"/>
      <c r="C746" s="142"/>
      <c r="D746" s="142"/>
      <c r="E746" s="142"/>
      <c r="F746" s="142"/>
      <c r="G746" s="142"/>
      <c r="H746" s="142"/>
      <c r="I746" s="142"/>
      <c r="J746" s="142"/>
      <c r="K746" s="142"/>
      <c r="L746" s="142"/>
      <c r="M746" s="142"/>
      <c r="N746" s="142"/>
      <c r="O746" s="142"/>
      <c r="P746" s="142"/>
      <c r="Q746" s="142"/>
      <c r="R746" s="142"/>
      <c r="S746" s="142"/>
      <c r="T746" s="142"/>
      <c r="U746" s="142"/>
      <c r="V746" s="142"/>
      <c r="W746" s="142"/>
      <c r="X746" s="142"/>
      <c r="Y746" s="142"/>
      <c r="Z746" s="142"/>
      <c r="AA746" s="142"/>
      <c r="AB746" s="142"/>
      <c r="AC746" s="142"/>
      <c r="AD746" s="142"/>
      <c r="AE746" s="142"/>
      <c r="AF746" s="142"/>
      <c r="AG746" s="142"/>
      <c r="AH746" s="142"/>
      <c r="AI746" s="142"/>
      <c r="AJ746" s="142"/>
      <c r="AK746" s="142"/>
      <c r="AL746" s="142"/>
      <c r="AM746" s="143"/>
    </row>
    <row r="747">
      <c r="A747" s="144"/>
      <c r="B747" s="142"/>
      <c r="C747" s="142"/>
      <c r="D747" s="142"/>
      <c r="E747" s="142"/>
      <c r="F747" s="142"/>
      <c r="G747" s="142"/>
      <c r="H747" s="142"/>
      <c r="I747" s="142"/>
      <c r="J747" s="142"/>
      <c r="K747" s="142"/>
      <c r="L747" s="142"/>
      <c r="M747" s="142"/>
      <c r="N747" s="142"/>
      <c r="O747" s="142"/>
      <c r="P747" s="142"/>
      <c r="Q747" s="142"/>
      <c r="R747" s="142"/>
      <c r="S747" s="142"/>
      <c r="T747" s="142"/>
      <c r="U747" s="142"/>
      <c r="V747" s="142"/>
      <c r="W747" s="142"/>
      <c r="X747" s="142"/>
      <c r="Y747" s="142"/>
      <c r="Z747" s="142"/>
      <c r="AA747" s="142"/>
      <c r="AB747" s="142"/>
      <c r="AC747" s="142"/>
      <c r="AD747" s="142"/>
      <c r="AE747" s="142"/>
      <c r="AF747" s="142"/>
      <c r="AG747" s="142"/>
      <c r="AH747" s="142"/>
      <c r="AI747" s="142"/>
      <c r="AJ747" s="142"/>
      <c r="AK747" s="142"/>
      <c r="AL747" s="142"/>
      <c r="AM747" s="143"/>
    </row>
    <row r="748">
      <c r="A748" s="144"/>
      <c r="B748" s="142"/>
      <c r="C748" s="142"/>
      <c r="D748" s="142"/>
      <c r="E748" s="142"/>
      <c r="F748" s="142"/>
      <c r="G748" s="142"/>
      <c r="H748" s="142"/>
      <c r="I748" s="142"/>
      <c r="J748" s="142"/>
      <c r="K748" s="142"/>
      <c r="L748" s="142"/>
      <c r="M748" s="142"/>
      <c r="N748" s="142"/>
      <c r="O748" s="142"/>
      <c r="P748" s="142"/>
      <c r="Q748" s="142"/>
      <c r="R748" s="142"/>
      <c r="S748" s="142"/>
      <c r="T748" s="142"/>
      <c r="U748" s="142"/>
      <c r="V748" s="142"/>
      <c r="W748" s="142"/>
      <c r="X748" s="142"/>
      <c r="Y748" s="142"/>
      <c r="Z748" s="142"/>
      <c r="AA748" s="142"/>
      <c r="AB748" s="142"/>
      <c r="AC748" s="142"/>
      <c r="AD748" s="142"/>
      <c r="AE748" s="142"/>
      <c r="AF748" s="142"/>
      <c r="AG748" s="142"/>
      <c r="AH748" s="142"/>
      <c r="AI748" s="142"/>
      <c r="AJ748" s="142"/>
      <c r="AK748" s="142"/>
      <c r="AL748" s="142"/>
      <c r="AM748" s="143"/>
    </row>
    <row r="749">
      <c r="A749" s="144"/>
      <c r="B749" s="142"/>
      <c r="C749" s="142"/>
      <c r="D749" s="142"/>
      <c r="E749" s="142"/>
      <c r="F749" s="142"/>
      <c r="G749" s="142"/>
      <c r="H749" s="142"/>
      <c r="I749" s="142"/>
      <c r="J749" s="142"/>
      <c r="K749" s="142"/>
      <c r="L749" s="142"/>
      <c r="M749" s="142"/>
      <c r="N749" s="142"/>
      <c r="O749" s="142"/>
      <c r="P749" s="142"/>
      <c r="Q749" s="142"/>
      <c r="R749" s="142"/>
      <c r="S749" s="142"/>
      <c r="T749" s="142"/>
      <c r="U749" s="142"/>
      <c r="V749" s="142"/>
      <c r="W749" s="142"/>
      <c r="X749" s="142"/>
      <c r="Y749" s="142"/>
      <c r="Z749" s="142"/>
      <c r="AA749" s="142"/>
      <c r="AB749" s="142"/>
      <c r="AC749" s="142"/>
      <c r="AD749" s="142"/>
      <c r="AE749" s="142"/>
      <c r="AF749" s="142"/>
      <c r="AG749" s="142"/>
      <c r="AH749" s="142"/>
      <c r="AI749" s="142"/>
      <c r="AJ749" s="142"/>
      <c r="AK749" s="142"/>
      <c r="AL749" s="142"/>
      <c r="AM749" s="143"/>
    </row>
    <row r="750">
      <c r="A750" s="144"/>
      <c r="B750" s="142"/>
      <c r="C750" s="142"/>
      <c r="D750" s="142"/>
      <c r="E750" s="142"/>
      <c r="F750" s="142"/>
      <c r="G750" s="142"/>
      <c r="H750" s="142"/>
      <c r="I750" s="142"/>
      <c r="J750" s="142"/>
      <c r="K750" s="142"/>
      <c r="L750" s="142"/>
      <c r="M750" s="142"/>
      <c r="N750" s="142"/>
      <c r="O750" s="142"/>
      <c r="P750" s="142"/>
      <c r="Q750" s="142"/>
      <c r="R750" s="142"/>
      <c r="S750" s="142"/>
      <c r="T750" s="142"/>
      <c r="U750" s="142"/>
      <c r="V750" s="142"/>
      <c r="W750" s="142"/>
      <c r="X750" s="142"/>
      <c r="Y750" s="142"/>
      <c r="Z750" s="142"/>
      <c r="AA750" s="142"/>
      <c r="AB750" s="142"/>
      <c r="AC750" s="142"/>
      <c r="AD750" s="142"/>
      <c r="AE750" s="142"/>
      <c r="AF750" s="142"/>
      <c r="AG750" s="142"/>
      <c r="AH750" s="142"/>
      <c r="AI750" s="142"/>
      <c r="AJ750" s="142"/>
      <c r="AK750" s="142"/>
      <c r="AL750" s="142"/>
      <c r="AM750" s="143"/>
    </row>
    <row r="751">
      <c r="A751" s="144"/>
      <c r="B751" s="142"/>
      <c r="C751" s="142"/>
      <c r="D751" s="142"/>
      <c r="E751" s="142"/>
      <c r="F751" s="142"/>
      <c r="G751" s="142"/>
      <c r="H751" s="142"/>
      <c r="I751" s="142"/>
      <c r="J751" s="142"/>
      <c r="K751" s="142"/>
      <c r="L751" s="142"/>
      <c r="M751" s="142"/>
      <c r="N751" s="142"/>
      <c r="O751" s="142"/>
      <c r="P751" s="142"/>
      <c r="Q751" s="142"/>
      <c r="R751" s="142"/>
      <c r="S751" s="142"/>
      <c r="T751" s="142"/>
      <c r="U751" s="142"/>
      <c r="V751" s="142"/>
      <c r="W751" s="142"/>
      <c r="X751" s="142"/>
      <c r="Y751" s="142"/>
      <c r="Z751" s="142"/>
      <c r="AA751" s="142"/>
      <c r="AB751" s="142"/>
      <c r="AC751" s="142"/>
      <c r="AD751" s="142"/>
      <c r="AE751" s="142"/>
      <c r="AF751" s="142"/>
      <c r="AG751" s="142"/>
      <c r="AH751" s="142"/>
      <c r="AI751" s="142"/>
      <c r="AJ751" s="142"/>
      <c r="AK751" s="142"/>
      <c r="AL751" s="142"/>
      <c r="AM751" s="143"/>
    </row>
    <row r="752">
      <c r="A752" s="144"/>
      <c r="B752" s="142"/>
      <c r="C752" s="142"/>
      <c r="D752" s="142"/>
      <c r="E752" s="142"/>
      <c r="F752" s="142"/>
      <c r="G752" s="142"/>
      <c r="H752" s="142"/>
      <c r="I752" s="142"/>
      <c r="J752" s="142"/>
      <c r="K752" s="142"/>
      <c r="L752" s="142"/>
      <c r="M752" s="142"/>
      <c r="N752" s="142"/>
      <c r="O752" s="142"/>
      <c r="P752" s="142"/>
      <c r="Q752" s="142"/>
      <c r="R752" s="142"/>
      <c r="S752" s="142"/>
      <c r="T752" s="142"/>
      <c r="U752" s="142"/>
      <c r="V752" s="142"/>
      <c r="W752" s="142"/>
      <c r="X752" s="142"/>
      <c r="Y752" s="142"/>
      <c r="Z752" s="142"/>
      <c r="AA752" s="142"/>
      <c r="AB752" s="142"/>
      <c r="AC752" s="142"/>
      <c r="AD752" s="142"/>
      <c r="AE752" s="142"/>
      <c r="AF752" s="142"/>
      <c r="AG752" s="142"/>
      <c r="AH752" s="142"/>
      <c r="AI752" s="142"/>
      <c r="AJ752" s="142"/>
      <c r="AK752" s="142"/>
      <c r="AL752" s="142"/>
      <c r="AM752" s="143"/>
    </row>
    <row r="753">
      <c r="A753" s="144"/>
      <c r="B753" s="142"/>
      <c r="C753" s="142"/>
      <c r="D753" s="142"/>
      <c r="E753" s="142"/>
      <c r="F753" s="142"/>
      <c r="G753" s="142"/>
      <c r="H753" s="142"/>
      <c r="I753" s="142"/>
      <c r="J753" s="142"/>
      <c r="K753" s="142"/>
      <c r="L753" s="142"/>
      <c r="M753" s="142"/>
      <c r="N753" s="142"/>
      <c r="O753" s="142"/>
      <c r="P753" s="142"/>
      <c r="Q753" s="142"/>
      <c r="R753" s="142"/>
      <c r="S753" s="142"/>
      <c r="T753" s="142"/>
      <c r="U753" s="142"/>
      <c r="V753" s="142"/>
      <c r="W753" s="142"/>
      <c r="X753" s="142"/>
      <c r="Y753" s="142"/>
      <c r="Z753" s="142"/>
      <c r="AA753" s="142"/>
      <c r="AB753" s="142"/>
      <c r="AC753" s="142"/>
      <c r="AD753" s="142"/>
      <c r="AE753" s="142"/>
      <c r="AF753" s="142"/>
      <c r="AG753" s="142"/>
      <c r="AH753" s="142"/>
      <c r="AI753" s="142"/>
      <c r="AJ753" s="142"/>
      <c r="AK753" s="142"/>
      <c r="AL753" s="142"/>
      <c r="AM753" s="143"/>
    </row>
    <row r="754">
      <c r="A754" s="144"/>
      <c r="B754" s="142"/>
      <c r="C754" s="142"/>
      <c r="D754" s="142"/>
      <c r="E754" s="142"/>
      <c r="F754" s="142"/>
      <c r="G754" s="142"/>
      <c r="H754" s="142"/>
      <c r="I754" s="142"/>
      <c r="J754" s="142"/>
      <c r="K754" s="142"/>
      <c r="L754" s="142"/>
      <c r="M754" s="142"/>
      <c r="N754" s="142"/>
      <c r="O754" s="142"/>
      <c r="P754" s="142"/>
      <c r="Q754" s="142"/>
      <c r="R754" s="142"/>
      <c r="S754" s="142"/>
      <c r="T754" s="142"/>
      <c r="U754" s="142"/>
      <c r="V754" s="142"/>
      <c r="W754" s="142"/>
      <c r="X754" s="142"/>
      <c r="Y754" s="142"/>
      <c r="Z754" s="142"/>
      <c r="AA754" s="142"/>
      <c r="AB754" s="142"/>
      <c r="AC754" s="142"/>
      <c r="AD754" s="142"/>
      <c r="AE754" s="142"/>
      <c r="AF754" s="142"/>
      <c r="AG754" s="142"/>
      <c r="AH754" s="142"/>
      <c r="AI754" s="142"/>
      <c r="AJ754" s="142"/>
      <c r="AK754" s="142"/>
      <c r="AL754" s="142"/>
      <c r="AM754" s="143"/>
    </row>
    <row r="755">
      <c r="A755" s="144"/>
      <c r="B755" s="142"/>
      <c r="C755" s="142"/>
      <c r="D755" s="142"/>
      <c r="E755" s="142"/>
      <c r="F755" s="142"/>
      <c r="G755" s="142"/>
      <c r="H755" s="142"/>
      <c r="I755" s="142"/>
      <c r="J755" s="142"/>
      <c r="K755" s="142"/>
      <c r="L755" s="142"/>
      <c r="M755" s="142"/>
      <c r="N755" s="142"/>
      <c r="O755" s="142"/>
      <c r="P755" s="142"/>
      <c r="Q755" s="142"/>
      <c r="R755" s="142"/>
      <c r="S755" s="142"/>
      <c r="T755" s="142"/>
      <c r="U755" s="142"/>
      <c r="V755" s="142"/>
      <c r="W755" s="142"/>
      <c r="X755" s="142"/>
      <c r="Y755" s="142"/>
      <c r="Z755" s="142"/>
      <c r="AA755" s="142"/>
      <c r="AB755" s="142"/>
      <c r="AC755" s="142"/>
      <c r="AD755" s="142"/>
      <c r="AE755" s="142"/>
      <c r="AF755" s="142"/>
      <c r="AG755" s="142"/>
      <c r="AH755" s="142"/>
      <c r="AI755" s="142"/>
      <c r="AJ755" s="142"/>
      <c r="AK755" s="142"/>
      <c r="AL755" s="142"/>
      <c r="AM755" s="143"/>
    </row>
    <row r="756">
      <c r="A756" s="144"/>
      <c r="B756" s="142"/>
      <c r="C756" s="142"/>
      <c r="D756" s="142"/>
      <c r="E756" s="142"/>
      <c r="F756" s="142"/>
      <c r="G756" s="142"/>
      <c r="H756" s="142"/>
      <c r="I756" s="142"/>
      <c r="J756" s="142"/>
      <c r="K756" s="142"/>
      <c r="L756" s="142"/>
      <c r="M756" s="142"/>
      <c r="N756" s="142"/>
      <c r="O756" s="142"/>
      <c r="P756" s="142"/>
      <c r="Q756" s="142"/>
      <c r="R756" s="142"/>
      <c r="S756" s="142"/>
      <c r="T756" s="142"/>
      <c r="U756" s="142"/>
      <c r="V756" s="142"/>
      <c r="W756" s="142"/>
      <c r="X756" s="142"/>
      <c r="Y756" s="142"/>
      <c r="Z756" s="142"/>
      <c r="AA756" s="142"/>
      <c r="AB756" s="142"/>
      <c r="AC756" s="142"/>
      <c r="AD756" s="142"/>
      <c r="AE756" s="142"/>
      <c r="AF756" s="142"/>
      <c r="AG756" s="142"/>
      <c r="AH756" s="142"/>
      <c r="AI756" s="142"/>
      <c r="AJ756" s="142"/>
      <c r="AK756" s="142"/>
      <c r="AL756" s="142"/>
      <c r="AM756" s="143"/>
    </row>
    <row r="757">
      <c r="A757" s="144"/>
      <c r="B757" s="142"/>
      <c r="C757" s="142"/>
      <c r="D757" s="142"/>
      <c r="E757" s="142"/>
      <c r="F757" s="142"/>
      <c r="G757" s="142"/>
      <c r="H757" s="142"/>
      <c r="I757" s="142"/>
      <c r="J757" s="142"/>
      <c r="K757" s="142"/>
      <c r="L757" s="142"/>
      <c r="M757" s="142"/>
      <c r="N757" s="142"/>
      <c r="O757" s="142"/>
      <c r="P757" s="142"/>
      <c r="Q757" s="142"/>
      <c r="R757" s="142"/>
      <c r="S757" s="142"/>
      <c r="T757" s="142"/>
      <c r="U757" s="142"/>
      <c r="V757" s="142"/>
      <c r="W757" s="142"/>
      <c r="X757" s="142"/>
      <c r="Y757" s="142"/>
      <c r="Z757" s="142"/>
      <c r="AA757" s="142"/>
      <c r="AB757" s="142"/>
      <c r="AC757" s="142"/>
      <c r="AD757" s="142"/>
      <c r="AE757" s="142"/>
      <c r="AF757" s="142"/>
      <c r="AG757" s="142"/>
      <c r="AH757" s="142"/>
      <c r="AI757" s="142"/>
      <c r="AJ757" s="142"/>
      <c r="AK757" s="142"/>
      <c r="AL757" s="142"/>
      <c r="AM757" s="143"/>
    </row>
    <row r="758">
      <c r="A758" s="144"/>
      <c r="B758" s="142"/>
      <c r="C758" s="142"/>
      <c r="D758" s="142"/>
      <c r="E758" s="142"/>
      <c r="F758" s="142"/>
      <c r="G758" s="142"/>
      <c r="H758" s="142"/>
      <c r="I758" s="142"/>
      <c r="J758" s="142"/>
      <c r="K758" s="142"/>
      <c r="L758" s="142"/>
      <c r="M758" s="142"/>
      <c r="N758" s="142"/>
      <c r="O758" s="142"/>
      <c r="P758" s="142"/>
      <c r="Q758" s="142"/>
      <c r="R758" s="142"/>
      <c r="S758" s="142"/>
      <c r="T758" s="142"/>
      <c r="U758" s="142"/>
      <c r="V758" s="142"/>
      <c r="W758" s="142"/>
      <c r="X758" s="142"/>
      <c r="Y758" s="142"/>
      <c r="Z758" s="142"/>
      <c r="AA758" s="142"/>
      <c r="AB758" s="142"/>
      <c r="AC758" s="142"/>
      <c r="AD758" s="142"/>
      <c r="AE758" s="142"/>
      <c r="AF758" s="142"/>
      <c r="AG758" s="142"/>
      <c r="AH758" s="142"/>
      <c r="AI758" s="142"/>
      <c r="AJ758" s="142"/>
      <c r="AK758" s="142"/>
      <c r="AL758" s="142"/>
      <c r="AM758" s="143"/>
    </row>
    <row r="759">
      <c r="A759" s="144"/>
      <c r="B759" s="142"/>
      <c r="C759" s="142"/>
      <c r="D759" s="142"/>
      <c r="E759" s="142"/>
      <c r="F759" s="142"/>
      <c r="G759" s="142"/>
      <c r="H759" s="142"/>
      <c r="I759" s="142"/>
      <c r="J759" s="142"/>
      <c r="K759" s="142"/>
      <c r="L759" s="142"/>
      <c r="M759" s="142"/>
      <c r="N759" s="142"/>
      <c r="O759" s="142"/>
      <c r="P759" s="142"/>
      <c r="Q759" s="142"/>
      <c r="R759" s="142"/>
      <c r="S759" s="142"/>
      <c r="T759" s="142"/>
      <c r="U759" s="142"/>
      <c r="V759" s="142"/>
      <c r="W759" s="142"/>
      <c r="X759" s="142"/>
      <c r="Y759" s="142"/>
      <c r="Z759" s="142"/>
      <c r="AA759" s="142"/>
      <c r="AB759" s="142"/>
      <c r="AC759" s="142"/>
      <c r="AD759" s="142"/>
      <c r="AE759" s="142"/>
      <c r="AF759" s="142"/>
      <c r="AG759" s="142"/>
      <c r="AH759" s="142"/>
      <c r="AI759" s="142"/>
      <c r="AJ759" s="142"/>
      <c r="AK759" s="142"/>
      <c r="AL759" s="142"/>
      <c r="AM759" s="143"/>
    </row>
    <row r="760">
      <c r="A760" s="144"/>
      <c r="B760" s="142"/>
      <c r="C760" s="142"/>
      <c r="D760" s="142"/>
      <c r="E760" s="142"/>
      <c r="F760" s="142"/>
      <c r="G760" s="142"/>
      <c r="H760" s="142"/>
      <c r="I760" s="142"/>
      <c r="J760" s="142"/>
      <c r="K760" s="142"/>
      <c r="L760" s="142"/>
      <c r="M760" s="142"/>
      <c r="N760" s="142"/>
      <c r="O760" s="142"/>
      <c r="P760" s="142"/>
      <c r="Q760" s="142"/>
      <c r="R760" s="142"/>
      <c r="S760" s="142"/>
      <c r="T760" s="142"/>
      <c r="U760" s="142"/>
      <c r="V760" s="142"/>
      <c r="W760" s="142"/>
      <c r="X760" s="142"/>
      <c r="Y760" s="142"/>
      <c r="Z760" s="142"/>
      <c r="AA760" s="142"/>
      <c r="AB760" s="142"/>
      <c r="AC760" s="142"/>
      <c r="AD760" s="142"/>
      <c r="AE760" s="142"/>
      <c r="AF760" s="142"/>
      <c r="AG760" s="142"/>
      <c r="AH760" s="142"/>
      <c r="AI760" s="142"/>
      <c r="AJ760" s="142"/>
      <c r="AK760" s="142"/>
      <c r="AL760" s="142"/>
      <c r="AM760" s="143"/>
    </row>
    <row r="761">
      <c r="A761" s="144"/>
      <c r="B761" s="142"/>
      <c r="C761" s="142"/>
      <c r="D761" s="142"/>
      <c r="E761" s="142"/>
      <c r="F761" s="142"/>
      <c r="G761" s="142"/>
      <c r="H761" s="142"/>
      <c r="I761" s="142"/>
      <c r="J761" s="142"/>
      <c r="K761" s="142"/>
      <c r="L761" s="142"/>
      <c r="M761" s="142"/>
      <c r="N761" s="142"/>
      <c r="O761" s="142"/>
      <c r="P761" s="142"/>
      <c r="Q761" s="142"/>
      <c r="R761" s="142"/>
      <c r="S761" s="142"/>
      <c r="T761" s="142"/>
      <c r="U761" s="142"/>
      <c r="V761" s="142"/>
      <c r="W761" s="142"/>
      <c r="X761" s="142"/>
      <c r="Y761" s="142"/>
      <c r="Z761" s="142"/>
      <c r="AA761" s="142"/>
      <c r="AB761" s="142"/>
      <c r="AC761" s="142"/>
      <c r="AD761" s="142"/>
      <c r="AE761" s="142"/>
      <c r="AF761" s="142"/>
      <c r="AG761" s="142"/>
      <c r="AH761" s="142"/>
      <c r="AI761" s="142"/>
      <c r="AJ761" s="142"/>
      <c r="AK761" s="142"/>
      <c r="AL761" s="142"/>
      <c r="AM761" s="143"/>
    </row>
    <row r="762">
      <c r="A762" s="144"/>
      <c r="B762" s="142"/>
      <c r="C762" s="142"/>
      <c r="D762" s="142"/>
      <c r="E762" s="142"/>
      <c r="F762" s="142"/>
      <c r="G762" s="142"/>
      <c r="H762" s="142"/>
      <c r="I762" s="142"/>
      <c r="J762" s="142"/>
      <c r="K762" s="142"/>
      <c r="L762" s="142"/>
      <c r="M762" s="142"/>
      <c r="N762" s="142"/>
      <c r="O762" s="142"/>
      <c r="P762" s="142"/>
      <c r="Q762" s="142"/>
      <c r="R762" s="142"/>
      <c r="S762" s="142"/>
      <c r="T762" s="142"/>
      <c r="U762" s="142"/>
      <c r="V762" s="142"/>
      <c r="W762" s="142"/>
      <c r="X762" s="142"/>
      <c r="Y762" s="142"/>
      <c r="Z762" s="142"/>
      <c r="AA762" s="142"/>
      <c r="AB762" s="142"/>
      <c r="AC762" s="142"/>
      <c r="AD762" s="142"/>
      <c r="AE762" s="142"/>
      <c r="AF762" s="142"/>
      <c r="AG762" s="142"/>
      <c r="AH762" s="142"/>
      <c r="AI762" s="142"/>
      <c r="AJ762" s="142"/>
      <c r="AK762" s="142"/>
      <c r="AL762" s="142"/>
      <c r="AM762" s="143"/>
    </row>
    <row r="763">
      <c r="A763" s="144"/>
      <c r="B763" s="142"/>
      <c r="C763" s="142"/>
      <c r="D763" s="142"/>
      <c r="E763" s="142"/>
      <c r="F763" s="142"/>
      <c r="G763" s="142"/>
      <c r="H763" s="142"/>
      <c r="I763" s="142"/>
      <c r="J763" s="142"/>
      <c r="K763" s="142"/>
      <c r="L763" s="142"/>
      <c r="M763" s="142"/>
      <c r="N763" s="142"/>
      <c r="O763" s="142"/>
      <c r="P763" s="142"/>
      <c r="Q763" s="142"/>
      <c r="R763" s="142"/>
      <c r="S763" s="142"/>
      <c r="T763" s="142"/>
      <c r="U763" s="142"/>
      <c r="V763" s="142"/>
      <c r="W763" s="142"/>
      <c r="X763" s="142"/>
      <c r="Y763" s="142"/>
      <c r="Z763" s="142"/>
      <c r="AA763" s="142"/>
      <c r="AB763" s="142"/>
      <c r="AC763" s="142"/>
      <c r="AD763" s="142"/>
      <c r="AE763" s="142"/>
      <c r="AF763" s="142"/>
      <c r="AG763" s="142"/>
      <c r="AH763" s="142"/>
      <c r="AI763" s="142"/>
      <c r="AJ763" s="142"/>
      <c r="AK763" s="142"/>
      <c r="AL763" s="142"/>
      <c r="AM763" s="143"/>
    </row>
    <row r="764">
      <c r="A764" s="144"/>
      <c r="B764" s="142"/>
      <c r="C764" s="142"/>
      <c r="D764" s="142"/>
      <c r="E764" s="142"/>
      <c r="F764" s="142"/>
      <c r="G764" s="142"/>
      <c r="H764" s="142"/>
      <c r="I764" s="142"/>
      <c r="J764" s="142"/>
      <c r="K764" s="142"/>
      <c r="L764" s="142"/>
      <c r="M764" s="142"/>
      <c r="N764" s="142"/>
      <c r="O764" s="142"/>
      <c r="P764" s="142"/>
      <c r="Q764" s="142"/>
      <c r="R764" s="142"/>
      <c r="S764" s="142"/>
      <c r="T764" s="142"/>
      <c r="U764" s="142"/>
      <c r="V764" s="142"/>
      <c r="W764" s="142"/>
      <c r="X764" s="142"/>
      <c r="Y764" s="142"/>
      <c r="Z764" s="142"/>
      <c r="AA764" s="142"/>
      <c r="AB764" s="142"/>
      <c r="AC764" s="142"/>
      <c r="AD764" s="142"/>
      <c r="AE764" s="142"/>
      <c r="AF764" s="142"/>
      <c r="AG764" s="142"/>
      <c r="AH764" s="142"/>
      <c r="AI764" s="142"/>
      <c r="AJ764" s="142"/>
      <c r="AK764" s="142"/>
      <c r="AL764" s="142"/>
      <c r="AM764" s="143"/>
    </row>
    <row r="765">
      <c r="A765" s="144"/>
      <c r="B765" s="142"/>
      <c r="C765" s="142"/>
      <c r="D765" s="142"/>
      <c r="E765" s="142"/>
      <c r="F765" s="142"/>
      <c r="G765" s="142"/>
      <c r="H765" s="142"/>
      <c r="I765" s="142"/>
      <c r="J765" s="142"/>
      <c r="K765" s="142"/>
      <c r="L765" s="142"/>
      <c r="M765" s="142"/>
      <c r="N765" s="142"/>
      <c r="O765" s="142"/>
      <c r="P765" s="142"/>
      <c r="Q765" s="142"/>
      <c r="R765" s="142"/>
      <c r="S765" s="142"/>
      <c r="T765" s="142"/>
      <c r="U765" s="142"/>
      <c r="V765" s="142"/>
      <c r="W765" s="142"/>
      <c r="X765" s="142"/>
      <c r="Y765" s="142"/>
      <c r="Z765" s="142"/>
      <c r="AA765" s="142"/>
      <c r="AB765" s="142"/>
      <c r="AC765" s="142"/>
      <c r="AD765" s="142"/>
      <c r="AE765" s="142"/>
      <c r="AF765" s="142"/>
      <c r="AG765" s="142"/>
      <c r="AH765" s="142"/>
      <c r="AI765" s="142"/>
      <c r="AJ765" s="142"/>
      <c r="AK765" s="142"/>
      <c r="AL765" s="142"/>
      <c r="AM765" s="143"/>
    </row>
    <row r="766">
      <c r="A766" s="144"/>
      <c r="B766" s="142"/>
      <c r="C766" s="142"/>
      <c r="D766" s="142"/>
      <c r="E766" s="142"/>
      <c r="F766" s="142"/>
      <c r="G766" s="142"/>
      <c r="H766" s="142"/>
      <c r="I766" s="142"/>
      <c r="J766" s="142"/>
      <c r="K766" s="142"/>
      <c r="L766" s="142"/>
      <c r="M766" s="142"/>
      <c r="N766" s="142"/>
      <c r="O766" s="142"/>
      <c r="P766" s="142"/>
      <c r="Q766" s="142"/>
      <c r="R766" s="142"/>
      <c r="S766" s="142"/>
      <c r="T766" s="142"/>
      <c r="U766" s="142"/>
      <c r="V766" s="142"/>
      <c r="W766" s="142"/>
      <c r="X766" s="142"/>
      <c r="Y766" s="142"/>
      <c r="Z766" s="142"/>
      <c r="AA766" s="142"/>
      <c r="AB766" s="142"/>
      <c r="AC766" s="142"/>
      <c r="AD766" s="142"/>
      <c r="AE766" s="142"/>
      <c r="AF766" s="142"/>
      <c r="AG766" s="142"/>
      <c r="AH766" s="142"/>
      <c r="AI766" s="142"/>
      <c r="AJ766" s="142"/>
      <c r="AK766" s="142"/>
      <c r="AL766" s="142"/>
      <c r="AM766" s="143"/>
    </row>
    <row r="767">
      <c r="A767" s="144"/>
      <c r="B767" s="142"/>
      <c r="C767" s="142"/>
      <c r="D767" s="142"/>
      <c r="E767" s="142"/>
      <c r="F767" s="142"/>
      <c r="G767" s="142"/>
      <c r="H767" s="142"/>
      <c r="I767" s="142"/>
      <c r="J767" s="142"/>
      <c r="K767" s="142"/>
      <c r="L767" s="142"/>
      <c r="M767" s="142"/>
      <c r="N767" s="142"/>
      <c r="O767" s="142"/>
      <c r="P767" s="142"/>
      <c r="Q767" s="142"/>
      <c r="R767" s="142"/>
      <c r="S767" s="142"/>
      <c r="T767" s="142"/>
      <c r="U767" s="142"/>
      <c r="V767" s="142"/>
      <c r="W767" s="142"/>
      <c r="X767" s="142"/>
      <c r="Y767" s="142"/>
      <c r="Z767" s="142"/>
      <c r="AA767" s="142"/>
      <c r="AB767" s="142"/>
      <c r="AC767" s="142"/>
      <c r="AD767" s="142"/>
      <c r="AE767" s="142"/>
      <c r="AF767" s="142"/>
      <c r="AG767" s="142"/>
      <c r="AH767" s="142"/>
      <c r="AI767" s="142"/>
      <c r="AJ767" s="142"/>
      <c r="AK767" s="142"/>
      <c r="AL767" s="142"/>
      <c r="AM767" s="143"/>
    </row>
    <row r="768">
      <c r="A768" s="144"/>
      <c r="B768" s="142"/>
      <c r="C768" s="142"/>
      <c r="D768" s="142"/>
      <c r="E768" s="142"/>
      <c r="F768" s="142"/>
      <c r="G768" s="142"/>
      <c r="H768" s="142"/>
      <c r="I768" s="142"/>
      <c r="J768" s="142"/>
      <c r="K768" s="142"/>
      <c r="L768" s="142"/>
      <c r="M768" s="142"/>
      <c r="N768" s="142"/>
      <c r="O768" s="142"/>
      <c r="P768" s="142"/>
      <c r="Q768" s="142"/>
      <c r="R768" s="142"/>
      <c r="S768" s="142"/>
      <c r="T768" s="142"/>
      <c r="U768" s="142"/>
      <c r="V768" s="142"/>
      <c r="W768" s="142"/>
      <c r="X768" s="142"/>
      <c r="Y768" s="142"/>
      <c r="Z768" s="142"/>
      <c r="AA768" s="142"/>
      <c r="AB768" s="142"/>
      <c r="AC768" s="142"/>
      <c r="AD768" s="142"/>
      <c r="AE768" s="142"/>
      <c r="AF768" s="142"/>
      <c r="AG768" s="142"/>
      <c r="AH768" s="142"/>
      <c r="AI768" s="142"/>
      <c r="AJ768" s="142"/>
      <c r="AK768" s="142"/>
      <c r="AL768" s="142"/>
      <c r="AM768" s="143"/>
    </row>
    <row r="769">
      <c r="A769" s="144"/>
      <c r="B769" s="142"/>
      <c r="C769" s="142"/>
      <c r="D769" s="142"/>
      <c r="E769" s="142"/>
      <c r="F769" s="142"/>
      <c r="G769" s="142"/>
      <c r="H769" s="142"/>
      <c r="I769" s="142"/>
      <c r="J769" s="142"/>
      <c r="K769" s="142"/>
      <c r="L769" s="142"/>
      <c r="M769" s="142"/>
      <c r="N769" s="142"/>
      <c r="O769" s="142"/>
      <c r="P769" s="142"/>
      <c r="Q769" s="142"/>
      <c r="R769" s="142"/>
      <c r="S769" s="142"/>
      <c r="T769" s="142"/>
      <c r="U769" s="142"/>
      <c r="V769" s="142"/>
      <c r="W769" s="142"/>
      <c r="X769" s="142"/>
      <c r="Y769" s="142"/>
      <c r="Z769" s="142"/>
      <c r="AA769" s="142"/>
      <c r="AB769" s="142"/>
      <c r="AC769" s="142"/>
      <c r="AD769" s="142"/>
      <c r="AE769" s="142"/>
      <c r="AF769" s="142"/>
      <c r="AG769" s="142"/>
      <c r="AH769" s="142"/>
      <c r="AI769" s="142"/>
      <c r="AJ769" s="142"/>
      <c r="AK769" s="142"/>
      <c r="AL769" s="142"/>
      <c r="AM769" s="143"/>
    </row>
    <row r="770">
      <c r="A770" s="144"/>
      <c r="B770" s="142"/>
      <c r="C770" s="142"/>
      <c r="D770" s="142"/>
      <c r="E770" s="142"/>
      <c r="F770" s="142"/>
      <c r="G770" s="142"/>
      <c r="H770" s="142"/>
      <c r="I770" s="142"/>
      <c r="J770" s="142"/>
      <c r="K770" s="142"/>
      <c r="L770" s="142"/>
      <c r="M770" s="142"/>
      <c r="N770" s="142"/>
      <c r="O770" s="142"/>
      <c r="P770" s="142"/>
      <c r="Q770" s="142"/>
      <c r="R770" s="142"/>
      <c r="S770" s="142"/>
      <c r="T770" s="142"/>
      <c r="U770" s="142"/>
      <c r="V770" s="142"/>
      <c r="W770" s="142"/>
      <c r="X770" s="142"/>
      <c r="Y770" s="142"/>
      <c r="Z770" s="142"/>
      <c r="AA770" s="142"/>
      <c r="AB770" s="142"/>
      <c r="AC770" s="142"/>
      <c r="AD770" s="142"/>
      <c r="AE770" s="142"/>
      <c r="AF770" s="142"/>
      <c r="AG770" s="142"/>
      <c r="AH770" s="142"/>
      <c r="AI770" s="142"/>
      <c r="AJ770" s="142"/>
      <c r="AK770" s="142"/>
      <c r="AL770" s="142"/>
      <c r="AM770" s="143"/>
    </row>
    <row r="771">
      <c r="A771" s="144"/>
      <c r="B771" s="142"/>
      <c r="C771" s="142"/>
      <c r="D771" s="142"/>
      <c r="E771" s="142"/>
      <c r="F771" s="142"/>
      <c r="G771" s="142"/>
      <c r="H771" s="142"/>
      <c r="I771" s="142"/>
      <c r="J771" s="142"/>
      <c r="K771" s="142"/>
      <c r="L771" s="142"/>
      <c r="M771" s="142"/>
      <c r="N771" s="142"/>
      <c r="O771" s="142"/>
      <c r="P771" s="142"/>
      <c r="Q771" s="142"/>
      <c r="R771" s="142"/>
      <c r="S771" s="142"/>
      <c r="T771" s="142"/>
      <c r="U771" s="142"/>
      <c r="V771" s="142"/>
      <c r="W771" s="142"/>
      <c r="X771" s="142"/>
      <c r="Y771" s="142"/>
      <c r="Z771" s="142"/>
      <c r="AA771" s="142"/>
      <c r="AB771" s="142"/>
      <c r="AC771" s="142"/>
      <c r="AD771" s="142"/>
      <c r="AE771" s="142"/>
      <c r="AF771" s="142"/>
      <c r="AG771" s="142"/>
      <c r="AH771" s="142"/>
      <c r="AI771" s="142"/>
      <c r="AJ771" s="142"/>
      <c r="AK771" s="142"/>
      <c r="AL771" s="142"/>
      <c r="AM771" s="143"/>
    </row>
    <row r="772">
      <c r="A772" s="144"/>
      <c r="B772" s="142"/>
      <c r="C772" s="142"/>
      <c r="D772" s="142"/>
      <c r="E772" s="142"/>
      <c r="F772" s="142"/>
      <c r="G772" s="142"/>
      <c r="H772" s="142"/>
      <c r="I772" s="142"/>
      <c r="J772" s="142"/>
      <c r="K772" s="142"/>
      <c r="L772" s="142"/>
      <c r="M772" s="142"/>
      <c r="N772" s="142"/>
      <c r="O772" s="142"/>
      <c r="P772" s="142"/>
      <c r="Q772" s="142"/>
      <c r="R772" s="142"/>
      <c r="S772" s="142"/>
      <c r="T772" s="142"/>
      <c r="U772" s="142"/>
      <c r="V772" s="142"/>
      <c r="W772" s="142"/>
      <c r="X772" s="142"/>
      <c r="Y772" s="142"/>
      <c r="Z772" s="142"/>
      <c r="AA772" s="142"/>
      <c r="AB772" s="142"/>
      <c r="AC772" s="142"/>
      <c r="AD772" s="142"/>
      <c r="AE772" s="142"/>
      <c r="AF772" s="142"/>
      <c r="AG772" s="142"/>
      <c r="AH772" s="142"/>
      <c r="AI772" s="142"/>
      <c r="AJ772" s="142"/>
      <c r="AK772" s="142"/>
      <c r="AL772" s="142"/>
      <c r="AM772" s="143"/>
    </row>
    <row r="773">
      <c r="A773" s="144"/>
      <c r="B773" s="142"/>
      <c r="C773" s="142"/>
      <c r="D773" s="142"/>
      <c r="E773" s="142"/>
      <c r="F773" s="142"/>
      <c r="G773" s="142"/>
      <c r="H773" s="142"/>
      <c r="I773" s="142"/>
      <c r="J773" s="142"/>
      <c r="K773" s="142"/>
      <c r="L773" s="142"/>
      <c r="M773" s="142"/>
      <c r="N773" s="142"/>
      <c r="O773" s="142"/>
      <c r="P773" s="142"/>
      <c r="Q773" s="142"/>
      <c r="R773" s="142"/>
      <c r="S773" s="142"/>
      <c r="T773" s="142"/>
      <c r="U773" s="142"/>
      <c r="V773" s="142"/>
      <c r="W773" s="142"/>
      <c r="X773" s="142"/>
      <c r="Y773" s="142"/>
      <c r="Z773" s="142"/>
      <c r="AA773" s="142"/>
      <c r="AB773" s="142"/>
      <c r="AC773" s="142"/>
      <c r="AD773" s="142"/>
      <c r="AE773" s="142"/>
      <c r="AF773" s="142"/>
      <c r="AG773" s="142"/>
      <c r="AH773" s="142"/>
      <c r="AI773" s="142"/>
      <c r="AJ773" s="142"/>
      <c r="AK773" s="142"/>
      <c r="AL773" s="142"/>
      <c r="AM773" s="143"/>
    </row>
    <row r="774">
      <c r="A774" s="144"/>
      <c r="B774" s="142"/>
      <c r="C774" s="142"/>
      <c r="D774" s="142"/>
      <c r="E774" s="142"/>
      <c r="F774" s="142"/>
      <c r="G774" s="142"/>
      <c r="H774" s="142"/>
      <c r="I774" s="142"/>
      <c r="J774" s="142"/>
      <c r="K774" s="142"/>
      <c r="L774" s="142"/>
      <c r="M774" s="142"/>
      <c r="N774" s="142"/>
      <c r="O774" s="142"/>
      <c r="P774" s="142"/>
      <c r="Q774" s="142"/>
      <c r="R774" s="142"/>
      <c r="S774" s="142"/>
      <c r="T774" s="142"/>
      <c r="U774" s="142"/>
      <c r="V774" s="142"/>
      <c r="W774" s="142"/>
      <c r="X774" s="142"/>
      <c r="Y774" s="142"/>
      <c r="Z774" s="142"/>
      <c r="AA774" s="142"/>
      <c r="AB774" s="142"/>
      <c r="AC774" s="142"/>
      <c r="AD774" s="142"/>
      <c r="AE774" s="142"/>
      <c r="AF774" s="142"/>
      <c r="AG774" s="142"/>
      <c r="AH774" s="142"/>
      <c r="AI774" s="142"/>
      <c r="AJ774" s="142"/>
      <c r="AK774" s="142"/>
      <c r="AL774" s="142"/>
      <c r="AM774" s="143"/>
    </row>
    <row r="775">
      <c r="A775" s="144"/>
      <c r="B775" s="142"/>
      <c r="C775" s="142"/>
      <c r="D775" s="142"/>
      <c r="E775" s="142"/>
      <c r="F775" s="142"/>
      <c r="G775" s="142"/>
      <c r="H775" s="142"/>
      <c r="I775" s="142"/>
      <c r="J775" s="142"/>
      <c r="K775" s="142"/>
      <c r="L775" s="142"/>
      <c r="M775" s="142"/>
      <c r="N775" s="142"/>
      <c r="O775" s="142"/>
      <c r="P775" s="142"/>
      <c r="Q775" s="142"/>
      <c r="R775" s="142"/>
      <c r="S775" s="142"/>
      <c r="T775" s="142"/>
      <c r="U775" s="142"/>
      <c r="V775" s="142"/>
      <c r="W775" s="142"/>
      <c r="X775" s="142"/>
      <c r="Y775" s="142"/>
      <c r="Z775" s="142"/>
      <c r="AA775" s="142"/>
      <c r="AB775" s="142"/>
      <c r="AC775" s="142"/>
      <c r="AD775" s="142"/>
      <c r="AE775" s="142"/>
      <c r="AF775" s="142"/>
      <c r="AG775" s="142"/>
      <c r="AH775" s="142"/>
      <c r="AI775" s="142"/>
      <c r="AJ775" s="142"/>
      <c r="AK775" s="142"/>
      <c r="AL775" s="142"/>
      <c r="AM775" s="143"/>
    </row>
    <row r="776">
      <c r="A776" s="144"/>
      <c r="B776" s="142"/>
      <c r="C776" s="142"/>
      <c r="D776" s="142"/>
      <c r="E776" s="142"/>
      <c r="F776" s="142"/>
      <c r="G776" s="142"/>
      <c r="H776" s="142"/>
      <c r="I776" s="142"/>
      <c r="J776" s="142"/>
      <c r="K776" s="142"/>
      <c r="L776" s="142"/>
      <c r="M776" s="142"/>
      <c r="N776" s="142"/>
      <c r="O776" s="142"/>
      <c r="P776" s="142"/>
      <c r="Q776" s="142"/>
      <c r="R776" s="142"/>
      <c r="S776" s="142"/>
      <c r="T776" s="142"/>
      <c r="U776" s="142"/>
      <c r="V776" s="142"/>
      <c r="W776" s="142"/>
      <c r="X776" s="142"/>
      <c r="Y776" s="142"/>
      <c r="Z776" s="142"/>
      <c r="AA776" s="142"/>
      <c r="AB776" s="142"/>
      <c r="AC776" s="142"/>
      <c r="AD776" s="142"/>
      <c r="AE776" s="142"/>
      <c r="AF776" s="142"/>
      <c r="AG776" s="142"/>
      <c r="AH776" s="142"/>
      <c r="AI776" s="142"/>
      <c r="AJ776" s="142"/>
      <c r="AK776" s="142"/>
      <c r="AL776" s="142"/>
      <c r="AM776" s="143"/>
    </row>
    <row r="777">
      <c r="A777" s="144"/>
      <c r="B777" s="142"/>
      <c r="C777" s="142"/>
      <c r="D777" s="142"/>
      <c r="E777" s="142"/>
      <c r="F777" s="142"/>
      <c r="G777" s="142"/>
      <c r="H777" s="142"/>
      <c r="I777" s="142"/>
      <c r="J777" s="142"/>
      <c r="K777" s="142"/>
      <c r="L777" s="142"/>
      <c r="M777" s="142"/>
      <c r="N777" s="142"/>
      <c r="O777" s="142"/>
      <c r="P777" s="142"/>
      <c r="Q777" s="142"/>
      <c r="R777" s="142"/>
      <c r="S777" s="142"/>
      <c r="T777" s="142"/>
      <c r="U777" s="142"/>
      <c r="V777" s="142"/>
      <c r="W777" s="142"/>
      <c r="X777" s="142"/>
      <c r="Y777" s="142"/>
      <c r="Z777" s="142"/>
      <c r="AA777" s="142"/>
      <c r="AB777" s="142"/>
      <c r="AC777" s="142"/>
      <c r="AD777" s="142"/>
      <c r="AE777" s="142"/>
      <c r="AF777" s="142"/>
      <c r="AG777" s="142"/>
      <c r="AH777" s="142"/>
      <c r="AI777" s="142"/>
      <c r="AJ777" s="142"/>
      <c r="AK777" s="142"/>
      <c r="AL777" s="142"/>
      <c r="AM777" s="143"/>
    </row>
    <row r="778">
      <c r="A778" s="144"/>
      <c r="B778" s="142"/>
      <c r="C778" s="142"/>
      <c r="D778" s="142"/>
      <c r="E778" s="142"/>
      <c r="F778" s="142"/>
      <c r="G778" s="142"/>
      <c r="H778" s="142"/>
      <c r="I778" s="142"/>
      <c r="J778" s="142"/>
      <c r="K778" s="142"/>
      <c r="L778" s="142"/>
      <c r="M778" s="142"/>
      <c r="N778" s="142"/>
      <c r="O778" s="142"/>
      <c r="P778" s="142"/>
      <c r="Q778" s="142"/>
      <c r="R778" s="142"/>
      <c r="S778" s="142"/>
      <c r="T778" s="142"/>
      <c r="U778" s="142"/>
      <c r="V778" s="142"/>
      <c r="W778" s="142"/>
      <c r="X778" s="142"/>
      <c r="Y778" s="142"/>
      <c r="Z778" s="142"/>
      <c r="AA778" s="142"/>
      <c r="AB778" s="142"/>
      <c r="AC778" s="142"/>
      <c r="AD778" s="142"/>
      <c r="AE778" s="142"/>
      <c r="AF778" s="142"/>
      <c r="AG778" s="142"/>
      <c r="AH778" s="142"/>
      <c r="AI778" s="142"/>
      <c r="AJ778" s="142"/>
      <c r="AK778" s="142"/>
      <c r="AL778" s="142"/>
      <c r="AM778" s="143"/>
    </row>
    <row r="779">
      <c r="A779" s="144"/>
      <c r="B779" s="142"/>
      <c r="C779" s="142"/>
      <c r="D779" s="142"/>
      <c r="E779" s="142"/>
      <c r="F779" s="142"/>
      <c r="G779" s="142"/>
      <c r="H779" s="142"/>
      <c r="I779" s="142"/>
      <c r="J779" s="142"/>
      <c r="K779" s="142"/>
      <c r="L779" s="142"/>
      <c r="M779" s="142"/>
      <c r="N779" s="142"/>
      <c r="O779" s="142"/>
      <c r="P779" s="142"/>
      <c r="Q779" s="142"/>
      <c r="R779" s="142"/>
      <c r="S779" s="142"/>
      <c r="T779" s="142"/>
      <c r="U779" s="142"/>
      <c r="V779" s="142"/>
      <c r="W779" s="142"/>
      <c r="X779" s="142"/>
      <c r="Y779" s="142"/>
      <c r="Z779" s="142"/>
      <c r="AA779" s="142"/>
      <c r="AB779" s="142"/>
      <c r="AC779" s="142"/>
      <c r="AD779" s="142"/>
      <c r="AE779" s="142"/>
      <c r="AF779" s="142"/>
      <c r="AG779" s="142"/>
      <c r="AH779" s="142"/>
      <c r="AI779" s="142"/>
      <c r="AJ779" s="142"/>
      <c r="AK779" s="142"/>
      <c r="AL779" s="142"/>
      <c r="AM779" s="143"/>
    </row>
    <row r="780">
      <c r="A780" s="144"/>
      <c r="B780" s="142"/>
      <c r="C780" s="142"/>
      <c r="D780" s="142"/>
      <c r="E780" s="142"/>
      <c r="F780" s="142"/>
      <c r="G780" s="142"/>
      <c r="H780" s="142"/>
      <c r="I780" s="142"/>
      <c r="J780" s="142"/>
      <c r="K780" s="142"/>
      <c r="L780" s="142"/>
      <c r="M780" s="142"/>
      <c r="N780" s="142"/>
      <c r="O780" s="142"/>
      <c r="P780" s="142"/>
      <c r="Q780" s="142"/>
      <c r="R780" s="142"/>
      <c r="S780" s="142"/>
      <c r="T780" s="142"/>
      <c r="U780" s="142"/>
      <c r="V780" s="142"/>
      <c r="W780" s="142"/>
      <c r="X780" s="142"/>
      <c r="Y780" s="142"/>
      <c r="Z780" s="142"/>
      <c r="AA780" s="142"/>
      <c r="AB780" s="142"/>
      <c r="AC780" s="142"/>
      <c r="AD780" s="142"/>
      <c r="AE780" s="142"/>
      <c r="AF780" s="142"/>
      <c r="AG780" s="142"/>
      <c r="AH780" s="142"/>
      <c r="AI780" s="142"/>
      <c r="AJ780" s="142"/>
      <c r="AK780" s="142"/>
      <c r="AL780" s="142"/>
      <c r="AM780" s="143"/>
    </row>
    <row r="781">
      <c r="A781" s="144"/>
      <c r="B781" s="142"/>
      <c r="C781" s="142"/>
      <c r="D781" s="142"/>
      <c r="E781" s="142"/>
      <c r="F781" s="142"/>
      <c r="G781" s="142"/>
      <c r="H781" s="142"/>
      <c r="I781" s="142"/>
      <c r="J781" s="142"/>
      <c r="K781" s="142"/>
      <c r="L781" s="142"/>
      <c r="M781" s="142"/>
      <c r="N781" s="142"/>
      <c r="O781" s="142"/>
      <c r="P781" s="142"/>
      <c r="Q781" s="142"/>
      <c r="R781" s="142"/>
      <c r="S781" s="142"/>
      <c r="T781" s="142"/>
      <c r="U781" s="142"/>
      <c r="V781" s="142"/>
      <c r="W781" s="142"/>
      <c r="X781" s="142"/>
      <c r="Y781" s="142"/>
      <c r="Z781" s="142"/>
      <c r="AA781" s="142"/>
      <c r="AB781" s="142"/>
      <c r="AC781" s="142"/>
      <c r="AD781" s="142"/>
      <c r="AE781" s="142"/>
      <c r="AF781" s="142"/>
      <c r="AG781" s="142"/>
      <c r="AH781" s="142"/>
      <c r="AI781" s="142"/>
      <c r="AJ781" s="142"/>
      <c r="AK781" s="142"/>
      <c r="AL781" s="142"/>
      <c r="AM781" s="143"/>
    </row>
    <row r="782">
      <c r="A782" s="144"/>
      <c r="B782" s="142"/>
      <c r="C782" s="142"/>
      <c r="D782" s="142"/>
      <c r="E782" s="142"/>
      <c r="F782" s="142"/>
      <c r="G782" s="142"/>
      <c r="H782" s="142"/>
      <c r="I782" s="142"/>
      <c r="J782" s="142"/>
      <c r="K782" s="142"/>
      <c r="L782" s="142"/>
      <c r="M782" s="142"/>
      <c r="N782" s="142"/>
      <c r="O782" s="142"/>
      <c r="P782" s="142"/>
      <c r="Q782" s="142"/>
      <c r="R782" s="142"/>
      <c r="S782" s="142"/>
      <c r="T782" s="142"/>
      <c r="U782" s="142"/>
      <c r="V782" s="142"/>
      <c r="W782" s="142"/>
      <c r="X782" s="142"/>
      <c r="Y782" s="142"/>
      <c r="Z782" s="142"/>
      <c r="AA782" s="142"/>
      <c r="AB782" s="142"/>
      <c r="AC782" s="142"/>
      <c r="AD782" s="142"/>
      <c r="AE782" s="142"/>
      <c r="AF782" s="142"/>
      <c r="AG782" s="142"/>
      <c r="AH782" s="142"/>
      <c r="AI782" s="142"/>
      <c r="AJ782" s="142"/>
      <c r="AK782" s="142"/>
      <c r="AL782" s="142"/>
      <c r="AM782" s="143"/>
    </row>
    <row r="783">
      <c r="A783" s="144"/>
      <c r="B783" s="142"/>
      <c r="C783" s="142"/>
      <c r="D783" s="142"/>
      <c r="E783" s="142"/>
      <c r="F783" s="142"/>
      <c r="G783" s="142"/>
      <c r="H783" s="142"/>
      <c r="I783" s="142"/>
      <c r="J783" s="142"/>
      <c r="K783" s="142"/>
      <c r="L783" s="142"/>
      <c r="M783" s="142"/>
      <c r="N783" s="142"/>
      <c r="O783" s="142"/>
      <c r="P783" s="142"/>
      <c r="Q783" s="142"/>
      <c r="R783" s="142"/>
      <c r="S783" s="142"/>
      <c r="T783" s="142"/>
      <c r="U783" s="142"/>
      <c r="V783" s="142"/>
      <c r="W783" s="142"/>
      <c r="X783" s="142"/>
      <c r="Y783" s="142"/>
      <c r="Z783" s="142"/>
      <c r="AA783" s="142"/>
      <c r="AB783" s="142"/>
      <c r="AC783" s="142"/>
      <c r="AD783" s="142"/>
      <c r="AE783" s="142"/>
      <c r="AF783" s="142"/>
      <c r="AG783" s="142"/>
      <c r="AH783" s="142"/>
      <c r="AI783" s="142"/>
      <c r="AJ783" s="142"/>
      <c r="AK783" s="142"/>
      <c r="AL783" s="142"/>
      <c r="AM783" s="143"/>
    </row>
    <row r="784">
      <c r="A784" s="144"/>
      <c r="B784" s="142"/>
      <c r="C784" s="142"/>
      <c r="D784" s="142"/>
      <c r="E784" s="142"/>
      <c r="F784" s="142"/>
      <c r="G784" s="142"/>
      <c r="H784" s="142"/>
      <c r="I784" s="142"/>
      <c r="J784" s="142"/>
      <c r="K784" s="142"/>
      <c r="L784" s="142"/>
      <c r="M784" s="142"/>
      <c r="N784" s="142"/>
      <c r="O784" s="142"/>
      <c r="P784" s="142"/>
      <c r="Q784" s="142"/>
      <c r="R784" s="142"/>
      <c r="S784" s="142"/>
      <c r="T784" s="142"/>
      <c r="U784" s="142"/>
      <c r="V784" s="142"/>
      <c r="W784" s="142"/>
      <c r="X784" s="142"/>
      <c r="Y784" s="142"/>
      <c r="Z784" s="142"/>
      <c r="AA784" s="142"/>
      <c r="AB784" s="142"/>
      <c r="AC784" s="142"/>
      <c r="AD784" s="142"/>
      <c r="AE784" s="142"/>
      <c r="AF784" s="142"/>
      <c r="AG784" s="142"/>
      <c r="AH784" s="142"/>
      <c r="AI784" s="142"/>
      <c r="AJ784" s="142"/>
      <c r="AK784" s="142"/>
      <c r="AL784" s="142"/>
      <c r="AM784" s="143"/>
    </row>
    <row r="785">
      <c r="A785" s="144"/>
      <c r="B785" s="142"/>
      <c r="C785" s="142"/>
      <c r="D785" s="142"/>
      <c r="E785" s="142"/>
      <c r="F785" s="142"/>
      <c r="G785" s="142"/>
      <c r="H785" s="142"/>
      <c r="I785" s="142"/>
      <c r="J785" s="142"/>
      <c r="K785" s="142"/>
      <c r="L785" s="142"/>
      <c r="M785" s="142"/>
      <c r="N785" s="142"/>
      <c r="O785" s="142"/>
      <c r="P785" s="142"/>
      <c r="Q785" s="142"/>
      <c r="R785" s="142"/>
      <c r="S785" s="142"/>
      <c r="T785" s="142"/>
      <c r="U785" s="142"/>
      <c r="V785" s="142"/>
      <c r="W785" s="142"/>
      <c r="X785" s="142"/>
      <c r="Y785" s="142"/>
      <c r="Z785" s="142"/>
      <c r="AA785" s="142"/>
      <c r="AB785" s="142"/>
      <c r="AC785" s="142"/>
      <c r="AD785" s="142"/>
      <c r="AE785" s="142"/>
      <c r="AF785" s="142"/>
      <c r="AG785" s="142"/>
      <c r="AH785" s="142"/>
      <c r="AI785" s="142"/>
      <c r="AJ785" s="142"/>
      <c r="AK785" s="142"/>
      <c r="AL785" s="142"/>
      <c r="AM785" s="143"/>
    </row>
    <row r="786">
      <c r="A786" s="144"/>
      <c r="B786" s="142"/>
      <c r="C786" s="142"/>
      <c r="D786" s="142"/>
      <c r="E786" s="142"/>
      <c r="F786" s="142"/>
      <c r="G786" s="142"/>
      <c r="H786" s="142"/>
      <c r="I786" s="142"/>
      <c r="J786" s="142"/>
      <c r="K786" s="142"/>
      <c r="L786" s="142"/>
      <c r="M786" s="142"/>
      <c r="N786" s="142"/>
      <c r="O786" s="142"/>
      <c r="P786" s="142"/>
      <c r="Q786" s="142"/>
      <c r="R786" s="142"/>
      <c r="S786" s="142"/>
      <c r="T786" s="142"/>
      <c r="U786" s="142"/>
      <c r="V786" s="142"/>
      <c r="W786" s="142"/>
      <c r="X786" s="142"/>
      <c r="Y786" s="142"/>
      <c r="Z786" s="142"/>
      <c r="AA786" s="142"/>
      <c r="AB786" s="142"/>
      <c r="AC786" s="142"/>
      <c r="AD786" s="142"/>
      <c r="AE786" s="142"/>
      <c r="AF786" s="142"/>
      <c r="AG786" s="142"/>
      <c r="AH786" s="142"/>
      <c r="AI786" s="142"/>
      <c r="AJ786" s="142"/>
      <c r="AK786" s="142"/>
      <c r="AL786" s="142"/>
      <c r="AM786" s="143"/>
    </row>
    <row r="787">
      <c r="A787" s="144"/>
      <c r="B787" s="142"/>
      <c r="C787" s="142"/>
      <c r="D787" s="142"/>
      <c r="E787" s="142"/>
      <c r="F787" s="142"/>
      <c r="G787" s="142"/>
      <c r="H787" s="142"/>
      <c r="I787" s="142"/>
      <c r="J787" s="142"/>
      <c r="K787" s="142"/>
      <c r="L787" s="142"/>
      <c r="M787" s="142"/>
      <c r="N787" s="142"/>
      <c r="O787" s="142"/>
      <c r="P787" s="142"/>
      <c r="Q787" s="142"/>
      <c r="R787" s="142"/>
      <c r="S787" s="142"/>
      <c r="T787" s="142"/>
      <c r="U787" s="142"/>
      <c r="V787" s="142"/>
      <c r="W787" s="142"/>
      <c r="X787" s="142"/>
      <c r="Y787" s="142"/>
      <c r="Z787" s="142"/>
      <c r="AA787" s="142"/>
      <c r="AB787" s="142"/>
      <c r="AC787" s="142"/>
      <c r="AD787" s="142"/>
      <c r="AE787" s="142"/>
      <c r="AF787" s="142"/>
      <c r="AG787" s="142"/>
      <c r="AH787" s="142"/>
      <c r="AI787" s="142"/>
      <c r="AJ787" s="142"/>
      <c r="AK787" s="142"/>
      <c r="AL787" s="142"/>
      <c r="AM787" s="143"/>
    </row>
    <row r="788">
      <c r="A788" s="144"/>
      <c r="B788" s="142"/>
      <c r="C788" s="142"/>
      <c r="D788" s="142"/>
      <c r="E788" s="142"/>
      <c r="F788" s="142"/>
      <c r="G788" s="142"/>
      <c r="H788" s="142"/>
      <c r="I788" s="142"/>
      <c r="J788" s="142"/>
      <c r="K788" s="142"/>
      <c r="L788" s="142"/>
      <c r="M788" s="142"/>
      <c r="N788" s="142"/>
      <c r="O788" s="142"/>
      <c r="P788" s="142"/>
      <c r="Q788" s="142"/>
      <c r="R788" s="142"/>
      <c r="S788" s="142"/>
      <c r="T788" s="142"/>
      <c r="U788" s="142"/>
      <c r="V788" s="142"/>
      <c r="W788" s="142"/>
      <c r="X788" s="142"/>
      <c r="Y788" s="142"/>
      <c r="Z788" s="142"/>
      <c r="AA788" s="142"/>
      <c r="AB788" s="142"/>
      <c r="AC788" s="142"/>
      <c r="AD788" s="142"/>
      <c r="AE788" s="142"/>
      <c r="AF788" s="142"/>
      <c r="AG788" s="142"/>
      <c r="AH788" s="142"/>
      <c r="AI788" s="142"/>
      <c r="AJ788" s="142"/>
      <c r="AK788" s="142"/>
      <c r="AL788" s="142"/>
      <c r="AM788" s="143"/>
    </row>
    <row r="789">
      <c r="A789" s="144"/>
      <c r="B789" s="142"/>
      <c r="C789" s="142"/>
      <c r="D789" s="142"/>
      <c r="E789" s="142"/>
      <c r="F789" s="142"/>
      <c r="G789" s="142"/>
      <c r="H789" s="142"/>
      <c r="I789" s="142"/>
      <c r="J789" s="142"/>
      <c r="K789" s="142"/>
      <c r="L789" s="142"/>
      <c r="M789" s="142"/>
      <c r="N789" s="142"/>
      <c r="O789" s="142"/>
      <c r="P789" s="142"/>
      <c r="Q789" s="142"/>
      <c r="R789" s="142"/>
      <c r="S789" s="142"/>
      <c r="T789" s="142"/>
      <c r="U789" s="142"/>
      <c r="V789" s="142"/>
      <c r="W789" s="142"/>
      <c r="X789" s="142"/>
      <c r="Y789" s="142"/>
      <c r="Z789" s="142"/>
      <c r="AA789" s="142"/>
      <c r="AB789" s="142"/>
      <c r="AC789" s="142"/>
      <c r="AD789" s="142"/>
      <c r="AE789" s="142"/>
      <c r="AF789" s="142"/>
      <c r="AG789" s="142"/>
      <c r="AH789" s="142"/>
      <c r="AI789" s="142"/>
      <c r="AJ789" s="142"/>
      <c r="AK789" s="142"/>
      <c r="AL789" s="142"/>
      <c r="AM789" s="143"/>
    </row>
    <row r="790">
      <c r="A790" s="144"/>
      <c r="B790" s="142"/>
      <c r="C790" s="142"/>
      <c r="D790" s="142"/>
      <c r="E790" s="142"/>
      <c r="F790" s="142"/>
      <c r="G790" s="142"/>
      <c r="H790" s="142"/>
      <c r="I790" s="142"/>
      <c r="J790" s="142"/>
      <c r="K790" s="142"/>
      <c r="L790" s="142"/>
      <c r="M790" s="142"/>
      <c r="N790" s="142"/>
      <c r="O790" s="142"/>
      <c r="P790" s="142"/>
      <c r="Q790" s="142"/>
      <c r="R790" s="142"/>
      <c r="S790" s="142"/>
      <c r="T790" s="142"/>
      <c r="U790" s="142"/>
      <c r="V790" s="142"/>
      <c r="W790" s="142"/>
      <c r="X790" s="142"/>
      <c r="Y790" s="142"/>
      <c r="Z790" s="142"/>
      <c r="AA790" s="142"/>
      <c r="AB790" s="142"/>
      <c r="AC790" s="142"/>
      <c r="AD790" s="142"/>
      <c r="AE790" s="142"/>
      <c r="AF790" s="142"/>
      <c r="AG790" s="142"/>
      <c r="AH790" s="142"/>
      <c r="AI790" s="142"/>
      <c r="AJ790" s="142"/>
      <c r="AK790" s="142"/>
      <c r="AL790" s="142"/>
      <c r="AM790" s="143"/>
    </row>
    <row r="791">
      <c r="A791" s="144"/>
      <c r="B791" s="142"/>
      <c r="C791" s="142"/>
      <c r="D791" s="142"/>
      <c r="E791" s="142"/>
      <c r="F791" s="142"/>
      <c r="G791" s="142"/>
      <c r="H791" s="142"/>
      <c r="I791" s="142"/>
      <c r="J791" s="142"/>
      <c r="K791" s="142"/>
      <c r="L791" s="142"/>
      <c r="M791" s="142"/>
      <c r="N791" s="142"/>
      <c r="O791" s="142"/>
      <c r="P791" s="142"/>
      <c r="Q791" s="142"/>
      <c r="R791" s="142"/>
      <c r="S791" s="142"/>
      <c r="T791" s="142"/>
      <c r="U791" s="142"/>
      <c r="V791" s="142"/>
      <c r="W791" s="142"/>
      <c r="X791" s="142"/>
      <c r="Y791" s="142"/>
      <c r="Z791" s="142"/>
      <c r="AA791" s="142"/>
      <c r="AB791" s="142"/>
      <c r="AC791" s="142"/>
      <c r="AD791" s="142"/>
      <c r="AE791" s="142"/>
      <c r="AF791" s="142"/>
      <c r="AG791" s="142"/>
      <c r="AH791" s="142"/>
      <c r="AI791" s="142"/>
      <c r="AJ791" s="142"/>
      <c r="AK791" s="142"/>
      <c r="AL791" s="142"/>
      <c r="AM791" s="143"/>
    </row>
    <row r="792">
      <c r="A792" s="144"/>
      <c r="B792" s="142"/>
      <c r="C792" s="142"/>
      <c r="D792" s="142"/>
      <c r="E792" s="142"/>
      <c r="F792" s="142"/>
      <c r="G792" s="142"/>
      <c r="H792" s="142"/>
      <c r="I792" s="142"/>
      <c r="J792" s="142"/>
      <c r="K792" s="142"/>
      <c r="L792" s="142"/>
      <c r="M792" s="142"/>
      <c r="N792" s="142"/>
      <c r="O792" s="142"/>
      <c r="P792" s="142"/>
      <c r="Q792" s="142"/>
      <c r="R792" s="142"/>
      <c r="S792" s="142"/>
      <c r="T792" s="142"/>
      <c r="U792" s="142"/>
      <c r="V792" s="142"/>
      <c r="W792" s="142"/>
      <c r="X792" s="142"/>
      <c r="Y792" s="142"/>
      <c r="Z792" s="142"/>
      <c r="AA792" s="142"/>
      <c r="AB792" s="142"/>
      <c r="AC792" s="142"/>
      <c r="AD792" s="142"/>
      <c r="AE792" s="142"/>
      <c r="AF792" s="142"/>
      <c r="AG792" s="142"/>
      <c r="AH792" s="142"/>
      <c r="AI792" s="142"/>
      <c r="AJ792" s="142"/>
      <c r="AK792" s="142"/>
      <c r="AL792" s="142"/>
      <c r="AM792" s="143"/>
    </row>
    <row r="793">
      <c r="A793" s="144"/>
      <c r="B793" s="142"/>
      <c r="C793" s="142"/>
      <c r="D793" s="142"/>
      <c r="E793" s="142"/>
      <c r="F793" s="142"/>
      <c r="G793" s="142"/>
      <c r="H793" s="142"/>
      <c r="I793" s="142"/>
      <c r="J793" s="142"/>
      <c r="K793" s="142"/>
      <c r="L793" s="142"/>
      <c r="M793" s="142"/>
      <c r="N793" s="142"/>
      <c r="O793" s="142"/>
      <c r="P793" s="142"/>
      <c r="Q793" s="142"/>
      <c r="R793" s="142"/>
      <c r="S793" s="142"/>
      <c r="T793" s="142"/>
      <c r="U793" s="142"/>
      <c r="V793" s="142"/>
      <c r="W793" s="142"/>
      <c r="X793" s="142"/>
      <c r="Y793" s="142"/>
      <c r="Z793" s="142"/>
      <c r="AA793" s="142"/>
      <c r="AB793" s="142"/>
      <c r="AC793" s="142"/>
      <c r="AD793" s="142"/>
      <c r="AE793" s="142"/>
      <c r="AF793" s="142"/>
      <c r="AG793" s="142"/>
      <c r="AH793" s="142"/>
      <c r="AI793" s="142"/>
      <c r="AJ793" s="142"/>
      <c r="AK793" s="142"/>
      <c r="AL793" s="142"/>
      <c r="AM793" s="143"/>
    </row>
    <row r="794">
      <c r="A794" s="144"/>
      <c r="B794" s="142"/>
      <c r="C794" s="142"/>
      <c r="D794" s="142"/>
      <c r="E794" s="142"/>
      <c r="F794" s="142"/>
      <c r="G794" s="142"/>
      <c r="H794" s="142"/>
      <c r="I794" s="142"/>
      <c r="J794" s="142"/>
      <c r="K794" s="142"/>
      <c r="L794" s="142"/>
      <c r="M794" s="142"/>
      <c r="N794" s="142"/>
      <c r="O794" s="142"/>
      <c r="P794" s="142"/>
      <c r="Q794" s="142"/>
      <c r="R794" s="142"/>
      <c r="S794" s="142"/>
      <c r="T794" s="142"/>
      <c r="U794" s="142"/>
      <c r="V794" s="142"/>
      <c r="W794" s="142"/>
      <c r="X794" s="142"/>
      <c r="Y794" s="142"/>
      <c r="Z794" s="142"/>
      <c r="AA794" s="142"/>
      <c r="AB794" s="142"/>
      <c r="AC794" s="142"/>
      <c r="AD794" s="142"/>
      <c r="AE794" s="142"/>
      <c r="AF794" s="142"/>
      <c r="AG794" s="142"/>
      <c r="AH794" s="142"/>
      <c r="AI794" s="142"/>
      <c r="AJ794" s="142"/>
      <c r="AK794" s="142"/>
      <c r="AL794" s="142"/>
      <c r="AM794" s="143"/>
    </row>
    <row r="795">
      <c r="A795" s="144"/>
      <c r="B795" s="142"/>
      <c r="C795" s="142"/>
      <c r="D795" s="142"/>
      <c r="E795" s="142"/>
      <c r="F795" s="142"/>
      <c r="G795" s="142"/>
      <c r="H795" s="142"/>
      <c r="I795" s="142"/>
      <c r="J795" s="142"/>
      <c r="K795" s="142"/>
      <c r="L795" s="142"/>
      <c r="M795" s="142"/>
      <c r="N795" s="142"/>
      <c r="O795" s="142"/>
      <c r="P795" s="142"/>
      <c r="Q795" s="142"/>
      <c r="R795" s="142"/>
      <c r="S795" s="142"/>
      <c r="T795" s="142"/>
      <c r="U795" s="142"/>
      <c r="V795" s="142"/>
      <c r="W795" s="142"/>
      <c r="X795" s="142"/>
      <c r="Y795" s="142"/>
      <c r="Z795" s="142"/>
      <c r="AA795" s="142"/>
      <c r="AB795" s="142"/>
      <c r="AC795" s="142"/>
      <c r="AD795" s="142"/>
      <c r="AE795" s="142"/>
      <c r="AF795" s="142"/>
      <c r="AG795" s="142"/>
      <c r="AH795" s="142"/>
      <c r="AI795" s="142"/>
      <c r="AJ795" s="142"/>
      <c r="AK795" s="142"/>
      <c r="AL795" s="142"/>
      <c r="AM795" s="143"/>
    </row>
    <row r="796">
      <c r="A796" s="144"/>
      <c r="B796" s="142"/>
      <c r="C796" s="142"/>
      <c r="D796" s="142"/>
      <c r="E796" s="142"/>
      <c r="F796" s="142"/>
      <c r="G796" s="142"/>
      <c r="H796" s="142"/>
      <c r="I796" s="142"/>
      <c r="J796" s="142"/>
      <c r="K796" s="142"/>
      <c r="L796" s="142"/>
      <c r="M796" s="142"/>
      <c r="N796" s="142"/>
      <c r="O796" s="142"/>
      <c r="P796" s="142"/>
      <c r="Q796" s="142"/>
      <c r="R796" s="142"/>
      <c r="S796" s="142"/>
      <c r="T796" s="142"/>
      <c r="U796" s="142"/>
      <c r="V796" s="142"/>
      <c r="W796" s="142"/>
      <c r="X796" s="142"/>
      <c r="Y796" s="142"/>
      <c r="Z796" s="142"/>
      <c r="AA796" s="142"/>
      <c r="AB796" s="142"/>
      <c r="AC796" s="142"/>
      <c r="AD796" s="142"/>
      <c r="AE796" s="142"/>
      <c r="AF796" s="142"/>
      <c r="AG796" s="142"/>
      <c r="AH796" s="142"/>
      <c r="AI796" s="142"/>
      <c r="AJ796" s="142"/>
      <c r="AK796" s="142"/>
      <c r="AL796" s="142"/>
      <c r="AM796" s="143"/>
    </row>
    <row r="797">
      <c r="A797" s="144"/>
      <c r="B797" s="142"/>
      <c r="C797" s="142"/>
      <c r="D797" s="142"/>
      <c r="E797" s="142"/>
      <c r="F797" s="142"/>
      <c r="G797" s="142"/>
      <c r="H797" s="142"/>
      <c r="I797" s="142"/>
      <c r="J797" s="142"/>
      <c r="K797" s="142"/>
      <c r="L797" s="142"/>
      <c r="M797" s="142"/>
      <c r="N797" s="142"/>
      <c r="O797" s="142"/>
      <c r="P797" s="142"/>
      <c r="Q797" s="142"/>
      <c r="R797" s="142"/>
      <c r="S797" s="142"/>
      <c r="T797" s="142"/>
      <c r="U797" s="142"/>
      <c r="V797" s="142"/>
      <c r="W797" s="142"/>
      <c r="X797" s="142"/>
      <c r="Y797" s="142"/>
      <c r="Z797" s="142"/>
      <c r="AA797" s="142"/>
      <c r="AB797" s="142"/>
      <c r="AC797" s="142"/>
      <c r="AD797" s="142"/>
      <c r="AE797" s="142"/>
      <c r="AF797" s="142"/>
      <c r="AG797" s="142"/>
      <c r="AH797" s="142"/>
      <c r="AI797" s="142"/>
      <c r="AJ797" s="142"/>
      <c r="AK797" s="142"/>
      <c r="AL797" s="142"/>
      <c r="AM797" s="143"/>
    </row>
    <row r="798">
      <c r="A798" s="144"/>
      <c r="B798" s="142"/>
      <c r="C798" s="142"/>
      <c r="D798" s="142"/>
      <c r="E798" s="142"/>
      <c r="F798" s="142"/>
      <c r="G798" s="142"/>
      <c r="H798" s="142"/>
      <c r="I798" s="142"/>
      <c r="J798" s="142"/>
      <c r="K798" s="142"/>
      <c r="L798" s="142"/>
      <c r="M798" s="142"/>
      <c r="N798" s="142"/>
      <c r="O798" s="142"/>
      <c r="P798" s="142"/>
      <c r="Q798" s="142"/>
      <c r="R798" s="142"/>
      <c r="S798" s="142"/>
      <c r="T798" s="142"/>
      <c r="U798" s="142"/>
      <c r="V798" s="142"/>
      <c r="W798" s="142"/>
      <c r="X798" s="142"/>
      <c r="Y798" s="142"/>
      <c r="Z798" s="142"/>
      <c r="AA798" s="142"/>
      <c r="AB798" s="142"/>
      <c r="AC798" s="142"/>
      <c r="AD798" s="142"/>
      <c r="AE798" s="142"/>
      <c r="AF798" s="142"/>
      <c r="AG798" s="142"/>
      <c r="AH798" s="142"/>
      <c r="AI798" s="142"/>
      <c r="AJ798" s="142"/>
      <c r="AK798" s="142"/>
      <c r="AL798" s="142"/>
      <c r="AM798" s="143"/>
    </row>
    <row r="799">
      <c r="A799" s="144"/>
      <c r="B799" s="142"/>
      <c r="C799" s="142"/>
      <c r="D799" s="142"/>
      <c r="E799" s="142"/>
      <c r="F799" s="142"/>
      <c r="G799" s="142"/>
      <c r="H799" s="142"/>
      <c r="I799" s="142"/>
      <c r="J799" s="142"/>
      <c r="K799" s="142"/>
      <c r="L799" s="142"/>
      <c r="M799" s="142"/>
      <c r="N799" s="142"/>
      <c r="O799" s="142"/>
      <c r="P799" s="142"/>
      <c r="Q799" s="142"/>
      <c r="R799" s="142"/>
      <c r="S799" s="142"/>
      <c r="T799" s="142"/>
      <c r="U799" s="142"/>
      <c r="V799" s="142"/>
      <c r="W799" s="142"/>
      <c r="X799" s="142"/>
      <c r="Y799" s="142"/>
      <c r="Z799" s="142"/>
      <c r="AA799" s="142"/>
      <c r="AB799" s="142"/>
      <c r="AC799" s="142"/>
      <c r="AD799" s="142"/>
      <c r="AE799" s="142"/>
      <c r="AF799" s="142"/>
      <c r="AG799" s="142"/>
      <c r="AH799" s="142"/>
      <c r="AI799" s="142"/>
      <c r="AJ799" s="142"/>
      <c r="AK799" s="142"/>
      <c r="AL799" s="142"/>
      <c r="AM799" s="143"/>
    </row>
    <row r="800">
      <c r="A800" s="144"/>
      <c r="B800" s="142"/>
      <c r="C800" s="142"/>
      <c r="D800" s="142"/>
      <c r="E800" s="142"/>
      <c r="F800" s="142"/>
      <c r="G800" s="142"/>
      <c r="H800" s="142"/>
      <c r="I800" s="142"/>
      <c r="J800" s="142"/>
      <c r="K800" s="142"/>
      <c r="L800" s="142"/>
      <c r="M800" s="142"/>
      <c r="N800" s="142"/>
      <c r="O800" s="142"/>
      <c r="P800" s="142"/>
      <c r="Q800" s="142"/>
      <c r="R800" s="142"/>
      <c r="S800" s="142"/>
      <c r="T800" s="142"/>
      <c r="U800" s="142"/>
      <c r="V800" s="142"/>
      <c r="W800" s="142"/>
      <c r="X800" s="142"/>
      <c r="Y800" s="142"/>
      <c r="Z800" s="142"/>
      <c r="AA800" s="142"/>
      <c r="AB800" s="142"/>
      <c r="AC800" s="142"/>
      <c r="AD800" s="142"/>
      <c r="AE800" s="142"/>
      <c r="AF800" s="142"/>
      <c r="AG800" s="142"/>
      <c r="AH800" s="142"/>
      <c r="AI800" s="142"/>
      <c r="AJ800" s="142"/>
      <c r="AK800" s="142"/>
      <c r="AL800" s="142"/>
      <c r="AM800" s="143"/>
    </row>
    <row r="801">
      <c r="A801" s="144"/>
      <c r="B801" s="142"/>
      <c r="C801" s="142"/>
      <c r="D801" s="142"/>
      <c r="E801" s="142"/>
      <c r="F801" s="142"/>
      <c r="G801" s="142"/>
      <c r="H801" s="142"/>
      <c r="I801" s="142"/>
      <c r="J801" s="142"/>
      <c r="K801" s="142"/>
      <c r="L801" s="142"/>
      <c r="M801" s="142"/>
      <c r="N801" s="142"/>
      <c r="O801" s="142"/>
      <c r="P801" s="142"/>
      <c r="Q801" s="142"/>
      <c r="R801" s="142"/>
      <c r="S801" s="142"/>
      <c r="T801" s="142"/>
      <c r="U801" s="142"/>
      <c r="V801" s="142"/>
      <c r="W801" s="142"/>
      <c r="X801" s="142"/>
      <c r="Y801" s="142"/>
      <c r="Z801" s="142"/>
      <c r="AA801" s="142"/>
      <c r="AB801" s="142"/>
      <c r="AC801" s="142"/>
      <c r="AD801" s="142"/>
      <c r="AE801" s="142"/>
      <c r="AF801" s="142"/>
      <c r="AG801" s="142"/>
      <c r="AH801" s="142"/>
      <c r="AI801" s="142"/>
      <c r="AJ801" s="142"/>
      <c r="AK801" s="142"/>
      <c r="AL801" s="142"/>
      <c r="AM801" s="143"/>
    </row>
    <row r="802">
      <c r="A802" s="144"/>
      <c r="B802" s="142"/>
      <c r="C802" s="142"/>
      <c r="D802" s="142"/>
      <c r="E802" s="142"/>
      <c r="F802" s="142"/>
      <c r="G802" s="142"/>
      <c r="H802" s="142"/>
      <c r="I802" s="142"/>
      <c r="J802" s="142"/>
      <c r="K802" s="142"/>
      <c r="L802" s="142"/>
      <c r="M802" s="142"/>
      <c r="N802" s="142"/>
      <c r="O802" s="142"/>
      <c r="P802" s="142"/>
      <c r="Q802" s="142"/>
      <c r="R802" s="142"/>
      <c r="S802" s="142"/>
      <c r="T802" s="142"/>
      <c r="U802" s="142"/>
      <c r="V802" s="142"/>
      <c r="W802" s="142"/>
      <c r="X802" s="142"/>
      <c r="Y802" s="142"/>
      <c r="Z802" s="142"/>
      <c r="AA802" s="142"/>
      <c r="AB802" s="142"/>
      <c r="AC802" s="142"/>
      <c r="AD802" s="142"/>
      <c r="AE802" s="142"/>
      <c r="AF802" s="142"/>
      <c r="AG802" s="142"/>
      <c r="AH802" s="142"/>
      <c r="AI802" s="142"/>
      <c r="AJ802" s="142"/>
      <c r="AK802" s="142"/>
      <c r="AL802" s="142"/>
      <c r="AM802" s="143"/>
    </row>
    <row r="803">
      <c r="A803" s="144"/>
      <c r="B803" s="142"/>
      <c r="C803" s="142"/>
      <c r="D803" s="142"/>
      <c r="E803" s="142"/>
      <c r="F803" s="142"/>
      <c r="G803" s="142"/>
      <c r="H803" s="142"/>
      <c r="I803" s="142"/>
      <c r="J803" s="142"/>
      <c r="K803" s="142"/>
      <c r="L803" s="142"/>
      <c r="M803" s="142"/>
      <c r="N803" s="142"/>
      <c r="O803" s="142"/>
      <c r="P803" s="142"/>
      <c r="Q803" s="142"/>
      <c r="R803" s="142"/>
      <c r="S803" s="142"/>
      <c r="T803" s="142"/>
      <c r="U803" s="142"/>
      <c r="V803" s="142"/>
      <c r="W803" s="142"/>
      <c r="X803" s="142"/>
      <c r="Y803" s="142"/>
      <c r="Z803" s="142"/>
      <c r="AA803" s="142"/>
      <c r="AB803" s="142"/>
      <c r="AC803" s="142"/>
      <c r="AD803" s="142"/>
      <c r="AE803" s="142"/>
      <c r="AF803" s="142"/>
      <c r="AG803" s="142"/>
      <c r="AH803" s="142"/>
      <c r="AI803" s="142"/>
      <c r="AJ803" s="142"/>
      <c r="AK803" s="142"/>
      <c r="AL803" s="142"/>
      <c r="AM803" s="143"/>
    </row>
    <row r="804">
      <c r="A804" s="144"/>
      <c r="B804" s="142"/>
      <c r="C804" s="142"/>
      <c r="D804" s="142"/>
      <c r="E804" s="142"/>
      <c r="F804" s="142"/>
      <c r="G804" s="142"/>
      <c r="H804" s="142"/>
      <c r="I804" s="142"/>
      <c r="J804" s="142"/>
      <c r="K804" s="142"/>
      <c r="L804" s="142"/>
      <c r="M804" s="142"/>
      <c r="N804" s="142"/>
      <c r="O804" s="142"/>
      <c r="P804" s="142"/>
      <c r="Q804" s="142"/>
      <c r="R804" s="142"/>
      <c r="S804" s="142"/>
      <c r="T804" s="142"/>
      <c r="U804" s="142"/>
      <c r="V804" s="142"/>
      <c r="W804" s="142"/>
      <c r="X804" s="142"/>
      <c r="Y804" s="142"/>
      <c r="Z804" s="142"/>
      <c r="AA804" s="142"/>
      <c r="AB804" s="142"/>
      <c r="AC804" s="142"/>
      <c r="AD804" s="142"/>
      <c r="AE804" s="142"/>
      <c r="AF804" s="142"/>
      <c r="AG804" s="142"/>
      <c r="AH804" s="142"/>
      <c r="AI804" s="142"/>
      <c r="AJ804" s="142"/>
      <c r="AK804" s="142"/>
      <c r="AL804" s="142"/>
      <c r="AM804" s="143"/>
    </row>
    <row r="805">
      <c r="A805" s="144"/>
      <c r="B805" s="142"/>
      <c r="C805" s="142"/>
      <c r="D805" s="142"/>
      <c r="E805" s="142"/>
      <c r="F805" s="142"/>
      <c r="G805" s="142"/>
      <c r="H805" s="142"/>
      <c r="I805" s="142"/>
      <c r="J805" s="142"/>
      <c r="K805" s="142"/>
      <c r="L805" s="142"/>
      <c r="M805" s="142"/>
      <c r="N805" s="142"/>
      <c r="O805" s="142"/>
      <c r="P805" s="142"/>
      <c r="Q805" s="142"/>
      <c r="R805" s="142"/>
      <c r="S805" s="142"/>
      <c r="T805" s="142"/>
      <c r="U805" s="142"/>
      <c r="V805" s="142"/>
      <c r="W805" s="142"/>
      <c r="X805" s="142"/>
      <c r="Y805" s="142"/>
      <c r="Z805" s="142"/>
      <c r="AA805" s="142"/>
      <c r="AB805" s="142"/>
      <c r="AC805" s="142"/>
      <c r="AD805" s="142"/>
      <c r="AE805" s="142"/>
      <c r="AF805" s="142"/>
      <c r="AG805" s="142"/>
      <c r="AH805" s="142"/>
      <c r="AI805" s="142"/>
      <c r="AJ805" s="142"/>
      <c r="AK805" s="142"/>
      <c r="AL805" s="142"/>
      <c r="AM805" s="143"/>
    </row>
    <row r="806">
      <c r="A806" s="144"/>
      <c r="B806" s="142"/>
      <c r="C806" s="142"/>
      <c r="D806" s="142"/>
      <c r="E806" s="142"/>
      <c r="F806" s="142"/>
      <c r="G806" s="142"/>
      <c r="H806" s="142"/>
      <c r="I806" s="142"/>
      <c r="J806" s="142"/>
      <c r="K806" s="142"/>
      <c r="L806" s="142"/>
      <c r="M806" s="142"/>
      <c r="N806" s="142"/>
      <c r="O806" s="142"/>
      <c r="P806" s="142"/>
      <c r="Q806" s="142"/>
      <c r="R806" s="142"/>
      <c r="S806" s="142"/>
      <c r="T806" s="142"/>
      <c r="U806" s="142"/>
      <c r="V806" s="142"/>
      <c r="W806" s="142"/>
      <c r="X806" s="142"/>
      <c r="Y806" s="142"/>
      <c r="Z806" s="142"/>
      <c r="AA806" s="142"/>
      <c r="AB806" s="142"/>
      <c r="AC806" s="142"/>
      <c r="AD806" s="142"/>
      <c r="AE806" s="142"/>
      <c r="AF806" s="142"/>
      <c r="AG806" s="142"/>
      <c r="AH806" s="142"/>
      <c r="AI806" s="142"/>
      <c r="AJ806" s="142"/>
      <c r="AK806" s="142"/>
      <c r="AL806" s="142"/>
      <c r="AM806" s="143"/>
    </row>
    <row r="807">
      <c r="A807" s="144"/>
      <c r="B807" s="142"/>
      <c r="C807" s="142"/>
      <c r="D807" s="142"/>
      <c r="E807" s="142"/>
      <c r="F807" s="142"/>
      <c r="G807" s="142"/>
      <c r="H807" s="142"/>
      <c r="I807" s="142"/>
      <c r="J807" s="142"/>
      <c r="K807" s="142"/>
      <c r="L807" s="142"/>
      <c r="M807" s="142"/>
      <c r="N807" s="142"/>
      <c r="O807" s="142"/>
      <c r="P807" s="142"/>
      <c r="Q807" s="142"/>
      <c r="R807" s="142"/>
      <c r="S807" s="142"/>
      <c r="T807" s="142"/>
      <c r="U807" s="142"/>
      <c r="V807" s="142"/>
      <c r="W807" s="142"/>
      <c r="X807" s="142"/>
      <c r="Y807" s="142"/>
      <c r="Z807" s="142"/>
      <c r="AA807" s="142"/>
      <c r="AB807" s="142"/>
      <c r="AC807" s="142"/>
      <c r="AD807" s="142"/>
      <c r="AE807" s="142"/>
      <c r="AF807" s="142"/>
      <c r="AG807" s="142"/>
      <c r="AH807" s="142"/>
      <c r="AI807" s="142"/>
      <c r="AJ807" s="142"/>
      <c r="AK807" s="142"/>
      <c r="AL807" s="142"/>
      <c r="AM807" s="143"/>
    </row>
    <row r="808">
      <c r="A808" s="144"/>
      <c r="B808" s="142"/>
      <c r="C808" s="142"/>
      <c r="D808" s="142"/>
      <c r="E808" s="142"/>
      <c r="F808" s="142"/>
      <c r="G808" s="142"/>
      <c r="H808" s="142"/>
      <c r="I808" s="142"/>
      <c r="J808" s="142"/>
      <c r="K808" s="142"/>
      <c r="L808" s="142"/>
      <c r="M808" s="142"/>
      <c r="N808" s="142"/>
      <c r="O808" s="142"/>
      <c r="P808" s="142"/>
      <c r="Q808" s="142"/>
      <c r="R808" s="142"/>
      <c r="S808" s="142"/>
      <c r="T808" s="142"/>
      <c r="U808" s="142"/>
      <c r="V808" s="142"/>
      <c r="W808" s="142"/>
      <c r="X808" s="142"/>
      <c r="Y808" s="142"/>
      <c r="Z808" s="142"/>
      <c r="AA808" s="142"/>
      <c r="AB808" s="142"/>
      <c r="AC808" s="142"/>
      <c r="AD808" s="142"/>
      <c r="AE808" s="142"/>
      <c r="AF808" s="142"/>
      <c r="AG808" s="142"/>
      <c r="AH808" s="142"/>
      <c r="AI808" s="142"/>
      <c r="AJ808" s="142"/>
      <c r="AK808" s="142"/>
      <c r="AL808" s="142"/>
      <c r="AM808" s="143"/>
    </row>
    <row r="809">
      <c r="A809" s="144"/>
      <c r="B809" s="142"/>
      <c r="C809" s="142"/>
      <c r="D809" s="142"/>
      <c r="E809" s="142"/>
      <c r="F809" s="142"/>
      <c r="G809" s="142"/>
      <c r="H809" s="142"/>
      <c r="I809" s="142"/>
      <c r="J809" s="142"/>
      <c r="K809" s="142"/>
      <c r="L809" s="142"/>
      <c r="M809" s="142"/>
      <c r="N809" s="142"/>
      <c r="O809" s="142"/>
      <c r="P809" s="142"/>
      <c r="Q809" s="142"/>
      <c r="R809" s="142"/>
      <c r="S809" s="142"/>
      <c r="T809" s="142"/>
      <c r="U809" s="142"/>
      <c r="V809" s="142"/>
      <c r="W809" s="142"/>
      <c r="X809" s="142"/>
      <c r="Y809" s="142"/>
      <c r="Z809" s="142"/>
      <c r="AA809" s="142"/>
      <c r="AB809" s="142"/>
      <c r="AC809" s="142"/>
      <c r="AD809" s="142"/>
      <c r="AE809" s="142"/>
      <c r="AF809" s="142"/>
      <c r="AG809" s="142"/>
      <c r="AH809" s="142"/>
      <c r="AI809" s="142"/>
      <c r="AJ809" s="142"/>
      <c r="AK809" s="142"/>
      <c r="AL809" s="142"/>
      <c r="AM809" s="143"/>
    </row>
    <row r="810">
      <c r="A810" s="144"/>
      <c r="B810" s="142"/>
      <c r="C810" s="142"/>
      <c r="D810" s="142"/>
      <c r="E810" s="142"/>
      <c r="F810" s="142"/>
      <c r="G810" s="142"/>
      <c r="H810" s="142"/>
      <c r="I810" s="142"/>
      <c r="J810" s="142"/>
      <c r="K810" s="142"/>
      <c r="L810" s="142"/>
      <c r="M810" s="142"/>
      <c r="N810" s="142"/>
      <c r="O810" s="142"/>
      <c r="P810" s="142"/>
      <c r="Q810" s="142"/>
      <c r="R810" s="142"/>
      <c r="S810" s="142"/>
      <c r="T810" s="142"/>
      <c r="U810" s="142"/>
      <c r="V810" s="142"/>
      <c r="W810" s="142"/>
      <c r="X810" s="142"/>
      <c r="Y810" s="142"/>
      <c r="Z810" s="142"/>
      <c r="AA810" s="142"/>
      <c r="AB810" s="142"/>
      <c r="AC810" s="142"/>
      <c r="AD810" s="142"/>
      <c r="AE810" s="142"/>
      <c r="AF810" s="142"/>
      <c r="AG810" s="142"/>
      <c r="AH810" s="142"/>
      <c r="AI810" s="142"/>
      <c r="AJ810" s="142"/>
      <c r="AK810" s="142"/>
      <c r="AL810" s="142"/>
      <c r="AM810" s="143"/>
    </row>
    <row r="811">
      <c r="A811" s="144"/>
      <c r="B811" s="142"/>
      <c r="C811" s="142"/>
      <c r="D811" s="142"/>
      <c r="E811" s="142"/>
      <c r="F811" s="142"/>
      <c r="G811" s="142"/>
      <c r="H811" s="142"/>
      <c r="I811" s="142"/>
      <c r="J811" s="142"/>
      <c r="K811" s="142"/>
      <c r="L811" s="142"/>
      <c r="M811" s="142"/>
      <c r="N811" s="142"/>
      <c r="O811" s="142"/>
      <c r="P811" s="142"/>
      <c r="Q811" s="142"/>
      <c r="R811" s="142"/>
      <c r="S811" s="142"/>
      <c r="T811" s="142"/>
      <c r="U811" s="142"/>
      <c r="V811" s="142"/>
      <c r="W811" s="142"/>
      <c r="X811" s="142"/>
      <c r="Y811" s="142"/>
      <c r="Z811" s="142"/>
      <c r="AA811" s="142"/>
      <c r="AB811" s="142"/>
      <c r="AC811" s="142"/>
      <c r="AD811" s="142"/>
      <c r="AE811" s="142"/>
      <c r="AF811" s="142"/>
      <c r="AG811" s="142"/>
      <c r="AH811" s="142"/>
      <c r="AI811" s="142"/>
      <c r="AJ811" s="142"/>
      <c r="AK811" s="142"/>
      <c r="AL811" s="142"/>
      <c r="AM811" s="143"/>
    </row>
    <row r="812">
      <c r="A812" s="144"/>
      <c r="B812" s="142"/>
      <c r="C812" s="142"/>
      <c r="D812" s="142"/>
      <c r="E812" s="142"/>
      <c r="F812" s="142"/>
      <c r="G812" s="142"/>
      <c r="H812" s="142"/>
      <c r="I812" s="142"/>
      <c r="J812" s="142"/>
      <c r="K812" s="142"/>
      <c r="L812" s="142"/>
      <c r="M812" s="142"/>
      <c r="N812" s="142"/>
      <c r="O812" s="142"/>
      <c r="P812" s="142"/>
      <c r="Q812" s="142"/>
      <c r="R812" s="142"/>
      <c r="S812" s="142"/>
      <c r="T812" s="142"/>
      <c r="U812" s="142"/>
      <c r="V812" s="142"/>
      <c r="W812" s="142"/>
      <c r="X812" s="142"/>
      <c r="Y812" s="142"/>
      <c r="Z812" s="142"/>
      <c r="AA812" s="142"/>
      <c r="AB812" s="142"/>
      <c r="AC812" s="142"/>
      <c r="AD812" s="142"/>
      <c r="AE812" s="142"/>
      <c r="AF812" s="142"/>
      <c r="AG812" s="142"/>
      <c r="AH812" s="142"/>
      <c r="AI812" s="142"/>
      <c r="AJ812" s="142"/>
      <c r="AK812" s="142"/>
      <c r="AL812" s="142"/>
      <c r="AM812" s="143"/>
    </row>
    <row r="813">
      <c r="A813" s="144"/>
      <c r="B813" s="142"/>
      <c r="C813" s="142"/>
      <c r="D813" s="142"/>
      <c r="E813" s="142"/>
      <c r="F813" s="142"/>
      <c r="G813" s="142"/>
      <c r="H813" s="142"/>
      <c r="I813" s="142"/>
      <c r="J813" s="142"/>
      <c r="K813" s="142"/>
      <c r="L813" s="142"/>
      <c r="M813" s="142"/>
      <c r="N813" s="142"/>
      <c r="O813" s="142"/>
      <c r="P813" s="142"/>
      <c r="Q813" s="142"/>
      <c r="R813" s="142"/>
      <c r="S813" s="142"/>
      <c r="T813" s="142"/>
      <c r="U813" s="142"/>
      <c r="V813" s="142"/>
      <c r="W813" s="142"/>
      <c r="X813" s="142"/>
      <c r="Y813" s="142"/>
      <c r="Z813" s="142"/>
      <c r="AA813" s="142"/>
      <c r="AB813" s="142"/>
      <c r="AC813" s="142"/>
      <c r="AD813" s="142"/>
      <c r="AE813" s="142"/>
      <c r="AF813" s="142"/>
      <c r="AG813" s="142"/>
      <c r="AH813" s="142"/>
      <c r="AI813" s="142"/>
      <c r="AJ813" s="142"/>
      <c r="AK813" s="142"/>
      <c r="AL813" s="142"/>
      <c r="AM813" s="143"/>
    </row>
    <row r="814">
      <c r="A814" s="144"/>
      <c r="B814" s="142"/>
      <c r="C814" s="142"/>
      <c r="D814" s="142"/>
      <c r="E814" s="142"/>
      <c r="F814" s="142"/>
      <c r="G814" s="142"/>
      <c r="H814" s="142"/>
      <c r="I814" s="142"/>
      <c r="J814" s="142"/>
      <c r="K814" s="142"/>
      <c r="L814" s="142"/>
      <c r="M814" s="142"/>
      <c r="N814" s="142"/>
      <c r="O814" s="142"/>
      <c r="P814" s="142"/>
      <c r="Q814" s="142"/>
      <c r="R814" s="142"/>
      <c r="S814" s="142"/>
      <c r="T814" s="142"/>
      <c r="U814" s="142"/>
      <c r="V814" s="142"/>
      <c r="W814" s="142"/>
      <c r="X814" s="142"/>
      <c r="Y814" s="142"/>
      <c r="Z814" s="142"/>
      <c r="AA814" s="142"/>
      <c r="AB814" s="142"/>
      <c r="AC814" s="142"/>
      <c r="AD814" s="142"/>
      <c r="AE814" s="142"/>
      <c r="AF814" s="142"/>
      <c r="AG814" s="142"/>
      <c r="AH814" s="142"/>
      <c r="AI814" s="142"/>
      <c r="AJ814" s="142"/>
      <c r="AK814" s="142"/>
      <c r="AL814" s="142"/>
      <c r="AM814" s="143"/>
    </row>
    <row r="815">
      <c r="A815" s="144"/>
      <c r="B815" s="142"/>
      <c r="C815" s="142"/>
      <c r="D815" s="142"/>
      <c r="E815" s="142"/>
      <c r="F815" s="142"/>
      <c r="G815" s="142"/>
      <c r="H815" s="142"/>
      <c r="I815" s="142"/>
      <c r="J815" s="142"/>
      <c r="K815" s="142"/>
      <c r="L815" s="142"/>
      <c r="M815" s="142"/>
      <c r="N815" s="142"/>
      <c r="O815" s="142"/>
      <c r="P815" s="142"/>
      <c r="Q815" s="142"/>
      <c r="R815" s="142"/>
      <c r="S815" s="142"/>
      <c r="T815" s="142"/>
      <c r="U815" s="142"/>
      <c r="V815" s="142"/>
      <c r="W815" s="142"/>
      <c r="X815" s="142"/>
      <c r="Y815" s="142"/>
      <c r="Z815" s="142"/>
      <c r="AA815" s="142"/>
      <c r="AB815" s="142"/>
      <c r="AC815" s="142"/>
      <c r="AD815" s="142"/>
      <c r="AE815" s="142"/>
      <c r="AF815" s="142"/>
      <c r="AG815" s="142"/>
      <c r="AH815" s="142"/>
      <c r="AI815" s="142"/>
      <c r="AJ815" s="142"/>
      <c r="AK815" s="142"/>
      <c r="AL815" s="142"/>
      <c r="AM815" s="143"/>
    </row>
    <row r="816">
      <c r="A816" s="144"/>
      <c r="B816" s="142"/>
      <c r="C816" s="142"/>
      <c r="D816" s="142"/>
      <c r="E816" s="142"/>
      <c r="F816" s="142"/>
      <c r="G816" s="142"/>
      <c r="H816" s="142"/>
      <c r="I816" s="142"/>
      <c r="J816" s="142"/>
      <c r="K816" s="142"/>
      <c r="L816" s="142"/>
      <c r="M816" s="142"/>
      <c r="N816" s="142"/>
      <c r="O816" s="142"/>
      <c r="P816" s="142"/>
      <c r="Q816" s="142"/>
      <c r="R816" s="142"/>
      <c r="S816" s="142"/>
      <c r="T816" s="142"/>
      <c r="U816" s="142"/>
      <c r="V816" s="142"/>
      <c r="W816" s="142"/>
      <c r="X816" s="142"/>
      <c r="Y816" s="142"/>
      <c r="Z816" s="142"/>
      <c r="AA816" s="142"/>
      <c r="AB816" s="142"/>
      <c r="AC816" s="142"/>
      <c r="AD816" s="142"/>
      <c r="AE816" s="142"/>
      <c r="AF816" s="142"/>
      <c r="AG816" s="142"/>
      <c r="AH816" s="142"/>
      <c r="AI816" s="142"/>
      <c r="AJ816" s="142"/>
      <c r="AK816" s="142"/>
      <c r="AL816" s="142"/>
      <c r="AM816" s="143"/>
    </row>
    <row r="817">
      <c r="A817" s="144"/>
      <c r="B817" s="142"/>
      <c r="C817" s="142"/>
      <c r="D817" s="142"/>
      <c r="E817" s="142"/>
      <c r="F817" s="142"/>
      <c r="G817" s="142"/>
      <c r="H817" s="142"/>
      <c r="I817" s="142"/>
      <c r="J817" s="142"/>
      <c r="K817" s="142"/>
      <c r="L817" s="142"/>
      <c r="M817" s="142"/>
      <c r="N817" s="142"/>
      <c r="O817" s="142"/>
      <c r="P817" s="142"/>
      <c r="Q817" s="142"/>
      <c r="R817" s="142"/>
      <c r="S817" s="142"/>
      <c r="T817" s="142"/>
      <c r="U817" s="142"/>
      <c r="V817" s="142"/>
      <c r="W817" s="142"/>
      <c r="X817" s="142"/>
      <c r="Y817" s="142"/>
      <c r="Z817" s="142"/>
      <c r="AA817" s="142"/>
      <c r="AB817" s="142"/>
      <c r="AC817" s="142"/>
      <c r="AD817" s="142"/>
      <c r="AE817" s="142"/>
      <c r="AF817" s="142"/>
      <c r="AG817" s="142"/>
      <c r="AH817" s="142"/>
      <c r="AI817" s="142"/>
      <c r="AJ817" s="142"/>
      <c r="AK817" s="142"/>
      <c r="AL817" s="142"/>
      <c r="AM817" s="143"/>
    </row>
    <row r="818">
      <c r="A818" s="144"/>
      <c r="B818" s="142"/>
      <c r="C818" s="142"/>
      <c r="D818" s="142"/>
      <c r="E818" s="142"/>
      <c r="F818" s="142"/>
      <c r="G818" s="142"/>
      <c r="H818" s="142"/>
      <c r="I818" s="142"/>
      <c r="J818" s="142"/>
      <c r="K818" s="142"/>
      <c r="L818" s="142"/>
      <c r="M818" s="142"/>
      <c r="N818" s="142"/>
      <c r="O818" s="142"/>
      <c r="P818" s="142"/>
      <c r="Q818" s="142"/>
      <c r="R818" s="142"/>
      <c r="S818" s="142"/>
      <c r="T818" s="142"/>
      <c r="U818" s="142"/>
      <c r="V818" s="142"/>
      <c r="W818" s="142"/>
      <c r="X818" s="142"/>
      <c r="Y818" s="142"/>
      <c r="Z818" s="142"/>
      <c r="AA818" s="142"/>
      <c r="AB818" s="142"/>
      <c r="AC818" s="142"/>
      <c r="AD818" s="142"/>
      <c r="AE818" s="142"/>
      <c r="AF818" s="142"/>
      <c r="AG818" s="142"/>
      <c r="AH818" s="142"/>
      <c r="AI818" s="142"/>
      <c r="AJ818" s="142"/>
      <c r="AK818" s="142"/>
      <c r="AL818" s="142"/>
      <c r="AM818" s="143"/>
    </row>
    <row r="819">
      <c r="A819" s="144"/>
      <c r="B819" s="142"/>
      <c r="C819" s="142"/>
      <c r="D819" s="142"/>
      <c r="E819" s="142"/>
      <c r="F819" s="142"/>
      <c r="G819" s="142"/>
      <c r="H819" s="142"/>
      <c r="I819" s="142"/>
      <c r="J819" s="142"/>
      <c r="K819" s="142"/>
      <c r="L819" s="142"/>
      <c r="M819" s="142"/>
      <c r="N819" s="142"/>
      <c r="O819" s="142"/>
      <c r="P819" s="142"/>
      <c r="Q819" s="142"/>
      <c r="R819" s="142"/>
      <c r="S819" s="142"/>
      <c r="T819" s="142"/>
      <c r="U819" s="142"/>
      <c r="V819" s="142"/>
      <c r="W819" s="142"/>
      <c r="X819" s="142"/>
      <c r="Y819" s="142"/>
      <c r="Z819" s="142"/>
      <c r="AA819" s="142"/>
      <c r="AB819" s="142"/>
      <c r="AC819" s="142"/>
      <c r="AD819" s="142"/>
      <c r="AE819" s="142"/>
      <c r="AF819" s="142"/>
      <c r="AG819" s="142"/>
      <c r="AH819" s="142"/>
      <c r="AI819" s="142"/>
      <c r="AJ819" s="142"/>
      <c r="AK819" s="142"/>
      <c r="AL819" s="142"/>
      <c r="AM819" s="143"/>
    </row>
    <row r="820">
      <c r="A820" s="144"/>
      <c r="B820" s="142"/>
      <c r="C820" s="142"/>
      <c r="D820" s="142"/>
      <c r="E820" s="142"/>
      <c r="F820" s="142"/>
      <c r="G820" s="142"/>
      <c r="H820" s="142"/>
      <c r="I820" s="142"/>
      <c r="J820" s="142"/>
      <c r="K820" s="142"/>
      <c r="L820" s="142"/>
      <c r="M820" s="142"/>
      <c r="N820" s="142"/>
      <c r="O820" s="142"/>
      <c r="P820" s="142"/>
      <c r="Q820" s="142"/>
      <c r="R820" s="142"/>
      <c r="S820" s="142"/>
      <c r="T820" s="142"/>
      <c r="U820" s="142"/>
      <c r="V820" s="142"/>
      <c r="W820" s="142"/>
      <c r="X820" s="142"/>
      <c r="Y820" s="142"/>
      <c r="Z820" s="142"/>
      <c r="AA820" s="142"/>
      <c r="AB820" s="142"/>
      <c r="AC820" s="142"/>
      <c r="AD820" s="142"/>
      <c r="AE820" s="142"/>
      <c r="AF820" s="142"/>
      <c r="AG820" s="142"/>
      <c r="AH820" s="142"/>
      <c r="AI820" s="142"/>
      <c r="AJ820" s="142"/>
      <c r="AK820" s="142"/>
      <c r="AL820" s="142"/>
      <c r="AM820" s="143"/>
    </row>
    <row r="821">
      <c r="A821" s="144"/>
      <c r="B821" s="142"/>
      <c r="C821" s="142"/>
      <c r="D821" s="142"/>
      <c r="E821" s="142"/>
      <c r="F821" s="142"/>
      <c r="G821" s="142"/>
      <c r="H821" s="142"/>
      <c r="I821" s="142"/>
      <c r="J821" s="142"/>
      <c r="K821" s="142"/>
      <c r="L821" s="142"/>
      <c r="M821" s="142"/>
      <c r="N821" s="142"/>
      <c r="O821" s="142"/>
      <c r="P821" s="142"/>
      <c r="Q821" s="142"/>
      <c r="R821" s="142"/>
      <c r="S821" s="142"/>
      <c r="T821" s="142"/>
      <c r="U821" s="142"/>
      <c r="V821" s="142"/>
      <c r="W821" s="142"/>
      <c r="X821" s="142"/>
      <c r="Y821" s="142"/>
      <c r="Z821" s="142"/>
      <c r="AA821" s="142"/>
      <c r="AB821" s="142"/>
      <c r="AC821" s="142"/>
      <c r="AD821" s="142"/>
      <c r="AE821" s="142"/>
      <c r="AF821" s="142"/>
      <c r="AG821" s="142"/>
      <c r="AH821" s="142"/>
      <c r="AI821" s="142"/>
      <c r="AJ821" s="142"/>
      <c r="AK821" s="142"/>
      <c r="AL821" s="142"/>
      <c r="AM821" s="143"/>
    </row>
    <row r="822">
      <c r="A822" s="144"/>
      <c r="B822" s="142"/>
      <c r="C822" s="142"/>
      <c r="D822" s="142"/>
      <c r="E822" s="142"/>
      <c r="F822" s="142"/>
      <c r="G822" s="142"/>
      <c r="H822" s="142"/>
      <c r="I822" s="142"/>
      <c r="J822" s="142"/>
      <c r="K822" s="142"/>
      <c r="L822" s="142"/>
      <c r="M822" s="142"/>
      <c r="N822" s="142"/>
      <c r="O822" s="142"/>
      <c r="P822" s="142"/>
      <c r="Q822" s="142"/>
      <c r="R822" s="142"/>
      <c r="S822" s="142"/>
      <c r="T822" s="142"/>
      <c r="U822" s="142"/>
      <c r="V822" s="142"/>
      <c r="W822" s="142"/>
      <c r="X822" s="142"/>
      <c r="Y822" s="142"/>
      <c r="Z822" s="142"/>
      <c r="AA822" s="142"/>
      <c r="AB822" s="142"/>
      <c r="AC822" s="142"/>
      <c r="AD822" s="142"/>
      <c r="AE822" s="142"/>
      <c r="AF822" s="142"/>
      <c r="AG822" s="142"/>
      <c r="AH822" s="142"/>
      <c r="AI822" s="142"/>
      <c r="AJ822" s="142"/>
      <c r="AK822" s="142"/>
      <c r="AL822" s="142"/>
      <c r="AM822" s="143"/>
    </row>
    <row r="823">
      <c r="A823" s="144"/>
      <c r="B823" s="142"/>
      <c r="C823" s="142"/>
      <c r="D823" s="142"/>
      <c r="E823" s="142"/>
      <c r="F823" s="142"/>
      <c r="G823" s="142"/>
      <c r="H823" s="142"/>
      <c r="I823" s="142"/>
      <c r="J823" s="142"/>
      <c r="K823" s="142"/>
      <c r="L823" s="142"/>
      <c r="M823" s="142"/>
      <c r="N823" s="142"/>
      <c r="O823" s="142"/>
      <c r="P823" s="142"/>
      <c r="Q823" s="142"/>
      <c r="R823" s="142"/>
      <c r="S823" s="142"/>
      <c r="T823" s="142"/>
      <c r="U823" s="142"/>
      <c r="V823" s="142"/>
      <c r="W823" s="142"/>
      <c r="X823" s="142"/>
      <c r="Y823" s="142"/>
      <c r="Z823" s="142"/>
      <c r="AA823" s="142"/>
      <c r="AB823" s="142"/>
      <c r="AC823" s="142"/>
      <c r="AD823" s="142"/>
      <c r="AE823" s="142"/>
      <c r="AF823" s="142"/>
      <c r="AG823" s="142"/>
      <c r="AH823" s="142"/>
      <c r="AI823" s="142"/>
      <c r="AJ823" s="142"/>
      <c r="AK823" s="142"/>
      <c r="AL823" s="142"/>
      <c r="AM823" s="143"/>
    </row>
    <row r="824">
      <c r="A824" s="144"/>
      <c r="B824" s="142"/>
      <c r="C824" s="142"/>
      <c r="D824" s="142"/>
      <c r="E824" s="142"/>
      <c r="F824" s="142"/>
      <c r="G824" s="142"/>
      <c r="H824" s="142"/>
      <c r="I824" s="142"/>
      <c r="J824" s="142"/>
      <c r="K824" s="142"/>
      <c r="L824" s="142"/>
      <c r="M824" s="142"/>
      <c r="N824" s="142"/>
      <c r="O824" s="142"/>
      <c r="P824" s="142"/>
      <c r="Q824" s="142"/>
      <c r="R824" s="142"/>
      <c r="S824" s="142"/>
      <c r="T824" s="142"/>
      <c r="U824" s="142"/>
      <c r="V824" s="142"/>
      <c r="W824" s="142"/>
      <c r="X824" s="142"/>
      <c r="Y824" s="142"/>
      <c r="Z824" s="142"/>
      <c r="AA824" s="142"/>
      <c r="AB824" s="142"/>
      <c r="AC824" s="142"/>
      <c r="AD824" s="142"/>
      <c r="AE824" s="142"/>
      <c r="AF824" s="142"/>
      <c r="AG824" s="142"/>
      <c r="AH824" s="142"/>
      <c r="AI824" s="142"/>
      <c r="AJ824" s="142"/>
      <c r="AK824" s="142"/>
      <c r="AL824" s="142"/>
      <c r="AM824" s="143"/>
    </row>
    <row r="825">
      <c r="A825" s="144"/>
      <c r="B825" s="142"/>
      <c r="C825" s="142"/>
      <c r="D825" s="142"/>
      <c r="E825" s="142"/>
      <c r="F825" s="142"/>
      <c r="G825" s="142"/>
      <c r="H825" s="142"/>
      <c r="I825" s="142"/>
      <c r="J825" s="142"/>
      <c r="K825" s="142"/>
      <c r="L825" s="142"/>
      <c r="M825" s="142"/>
      <c r="N825" s="142"/>
      <c r="O825" s="142"/>
      <c r="P825" s="142"/>
      <c r="Q825" s="142"/>
      <c r="R825" s="142"/>
      <c r="S825" s="142"/>
      <c r="T825" s="142"/>
      <c r="U825" s="142"/>
      <c r="V825" s="142"/>
      <c r="W825" s="142"/>
      <c r="X825" s="142"/>
      <c r="Y825" s="142"/>
      <c r="Z825" s="142"/>
      <c r="AA825" s="142"/>
      <c r="AB825" s="142"/>
      <c r="AC825" s="142"/>
      <c r="AD825" s="142"/>
      <c r="AE825" s="142"/>
      <c r="AF825" s="142"/>
      <c r="AG825" s="142"/>
      <c r="AH825" s="142"/>
      <c r="AI825" s="142"/>
      <c r="AJ825" s="142"/>
      <c r="AK825" s="142"/>
      <c r="AL825" s="142"/>
      <c r="AM825" s="143"/>
    </row>
    <row r="826">
      <c r="A826" s="144"/>
      <c r="B826" s="142"/>
      <c r="C826" s="142"/>
      <c r="D826" s="142"/>
      <c r="E826" s="142"/>
      <c r="F826" s="142"/>
      <c r="G826" s="142"/>
      <c r="H826" s="142"/>
      <c r="I826" s="142"/>
      <c r="J826" s="142"/>
      <c r="K826" s="142"/>
      <c r="L826" s="142"/>
      <c r="M826" s="142"/>
      <c r="N826" s="142"/>
      <c r="O826" s="142"/>
      <c r="P826" s="142"/>
      <c r="Q826" s="142"/>
      <c r="R826" s="142"/>
      <c r="S826" s="142"/>
      <c r="T826" s="142"/>
      <c r="U826" s="142"/>
      <c r="V826" s="142"/>
      <c r="W826" s="142"/>
      <c r="X826" s="142"/>
      <c r="Y826" s="142"/>
      <c r="Z826" s="142"/>
      <c r="AA826" s="142"/>
      <c r="AB826" s="142"/>
      <c r="AC826" s="142"/>
      <c r="AD826" s="142"/>
      <c r="AE826" s="142"/>
      <c r="AF826" s="142"/>
      <c r="AG826" s="142"/>
      <c r="AH826" s="142"/>
      <c r="AI826" s="142"/>
      <c r="AJ826" s="142"/>
      <c r="AK826" s="142"/>
      <c r="AL826" s="142"/>
      <c r="AM826" s="143"/>
    </row>
    <row r="827">
      <c r="A827" s="144"/>
      <c r="B827" s="142"/>
      <c r="C827" s="142"/>
      <c r="D827" s="142"/>
      <c r="E827" s="142"/>
      <c r="F827" s="142"/>
      <c r="G827" s="142"/>
      <c r="H827" s="142"/>
      <c r="I827" s="142"/>
      <c r="J827" s="142"/>
      <c r="K827" s="142"/>
      <c r="L827" s="142"/>
      <c r="M827" s="142"/>
      <c r="N827" s="142"/>
      <c r="O827" s="142"/>
      <c r="P827" s="142"/>
      <c r="Q827" s="142"/>
      <c r="R827" s="142"/>
      <c r="S827" s="142"/>
      <c r="T827" s="142"/>
      <c r="U827" s="142"/>
      <c r="V827" s="142"/>
      <c r="W827" s="142"/>
      <c r="X827" s="142"/>
      <c r="Y827" s="142"/>
      <c r="Z827" s="142"/>
      <c r="AA827" s="142"/>
      <c r="AB827" s="142"/>
      <c r="AC827" s="142"/>
      <c r="AD827" s="142"/>
      <c r="AE827" s="142"/>
      <c r="AF827" s="142"/>
      <c r="AG827" s="142"/>
      <c r="AH827" s="142"/>
      <c r="AI827" s="142"/>
      <c r="AJ827" s="142"/>
      <c r="AK827" s="142"/>
      <c r="AL827" s="142"/>
      <c r="AM827" s="143"/>
    </row>
    <row r="828">
      <c r="A828" s="144"/>
      <c r="B828" s="142"/>
      <c r="C828" s="142"/>
      <c r="D828" s="142"/>
      <c r="E828" s="142"/>
      <c r="F828" s="142"/>
      <c r="G828" s="142"/>
      <c r="H828" s="142"/>
      <c r="I828" s="142"/>
      <c r="J828" s="142"/>
      <c r="K828" s="142"/>
      <c r="L828" s="142"/>
      <c r="M828" s="142"/>
      <c r="N828" s="142"/>
      <c r="O828" s="142"/>
      <c r="P828" s="142"/>
      <c r="Q828" s="142"/>
      <c r="R828" s="142"/>
      <c r="S828" s="142"/>
      <c r="T828" s="142"/>
      <c r="U828" s="142"/>
      <c r="V828" s="142"/>
      <c r="W828" s="142"/>
      <c r="X828" s="142"/>
      <c r="Y828" s="142"/>
      <c r="Z828" s="142"/>
      <c r="AA828" s="142"/>
      <c r="AB828" s="142"/>
      <c r="AC828" s="142"/>
      <c r="AD828" s="142"/>
      <c r="AE828" s="142"/>
      <c r="AF828" s="142"/>
      <c r="AG828" s="142"/>
      <c r="AH828" s="142"/>
      <c r="AI828" s="142"/>
      <c r="AJ828" s="142"/>
      <c r="AK828" s="142"/>
      <c r="AL828" s="142"/>
      <c r="AM828" s="143"/>
    </row>
    <row r="829">
      <c r="A829" s="144"/>
      <c r="B829" s="142"/>
      <c r="C829" s="142"/>
      <c r="D829" s="142"/>
      <c r="E829" s="142"/>
      <c r="F829" s="142"/>
      <c r="G829" s="142"/>
      <c r="H829" s="142"/>
      <c r="I829" s="142"/>
      <c r="J829" s="142"/>
      <c r="K829" s="142"/>
      <c r="L829" s="142"/>
      <c r="M829" s="142"/>
      <c r="N829" s="142"/>
      <c r="O829" s="142"/>
      <c r="P829" s="142"/>
      <c r="Q829" s="142"/>
      <c r="R829" s="142"/>
      <c r="S829" s="142"/>
      <c r="T829" s="142"/>
      <c r="U829" s="142"/>
      <c r="V829" s="142"/>
      <c r="W829" s="142"/>
      <c r="X829" s="142"/>
      <c r="Y829" s="142"/>
      <c r="Z829" s="142"/>
      <c r="AA829" s="142"/>
      <c r="AB829" s="142"/>
      <c r="AC829" s="142"/>
      <c r="AD829" s="142"/>
      <c r="AE829" s="142"/>
      <c r="AF829" s="142"/>
      <c r="AG829" s="142"/>
      <c r="AH829" s="142"/>
      <c r="AI829" s="142"/>
      <c r="AJ829" s="142"/>
      <c r="AK829" s="142"/>
      <c r="AL829" s="142"/>
      <c r="AM829" s="143"/>
    </row>
    <row r="830">
      <c r="A830" s="144"/>
      <c r="B830" s="142"/>
      <c r="C830" s="142"/>
      <c r="D830" s="142"/>
      <c r="E830" s="142"/>
      <c r="F830" s="142"/>
      <c r="G830" s="142"/>
      <c r="H830" s="142"/>
      <c r="I830" s="142"/>
      <c r="J830" s="142"/>
      <c r="K830" s="142"/>
      <c r="L830" s="142"/>
      <c r="M830" s="142"/>
      <c r="N830" s="142"/>
      <c r="O830" s="142"/>
      <c r="P830" s="142"/>
      <c r="Q830" s="142"/>
      <c r="R830" s="142"/>
      <c r="S830" s="142"/>
      <c r="T830" s="142"/>
      <c r="U830" s="142"/>
      <c r="V830" s="142"/>
      <c r="W830" s="142"/>
      <c r="X830" s="142"/>
      <c r="Y830" s="142"/>
      <c r="Z830" s="142"/>
      <c r="AA830" s="142"/>
      <c r="AB830" s="142"/>
      <c r="AC830" s="142"/>
      <c r="AD830" s="142"/>
      <c r="AE830" s="142"/>
      <c r="AF830" s="142"/>
      <c r="AG830" s="142"/>
      <c r="AH830" s="142"/>
      <c r="AI830" s="142"/>
      <c r="AJ830" s="142"/>
      <c r="AK830" s="142"/>
      <c r="AL830" s="142"/>
      <c r="AM830" s="143"/>
    </row>
    <row r="831">
      <c r="A831" s="144"/>
      <c r="B831" s="142"/>
      <c r="C831" s="142"/>
      <c r="D831" s="142"/>
      <c r="E831" s="142"/>
      <c r="F831" s="142"/>
      <c r="G831" s="142"/>
      <c r="H831" s="142"/>
      <c r="I831" s="142"/>
      <c r="J831" s="142"/>
      <c r="K831" s="142"/>
      <c r="L831" s="142"/>
      <c r="M831" s="142"/>
      <c r="N831" s="142"/>
      <c r="O831" s="142"/>
      <c r="P831" s="142"/>
      <c r="Q831" s="142"/>
      <c r="R831" s="142"/>
      <c r="S831" s="142"/>
      <c r="T831" s="142"/>
      <c r="U831" s="142"/>
      <c r="V831" s="142"/>
      <c r="W831" s="142"/>
      <c r="X831" s="142"/>
      <c r="Y831" s="142"/>
      <c r="Z831" s="142"/>
      <c r="AA831" s="142"/>
      <c r="AB831" s="142"/>
      <c r="AC831" s="142"/>
      <c r="AD831" s="142"/>
      <c r="AE831" s="142"/>
      <c r="AF831" s="142"/>
      <c r="AG831" s="142"/>
      <c r="AH831" s="142"/>
      <c r="AI831" s="142"/>
      <c r="AJ831" s="142"/>
      <c r="AK831" s="142"/>
      <c r="AL831" s="142"/>
      <c r="AM831" s="143"/>
    </row>
    <row r="832">
      <c r="A832" s="144"/>
      <c r="B832" s="142"/>
      <c r="C832" s="142"/>
      <c r="D832" s="142"/>
      <c r="E832" s="142"/>
      <c r="F832" s="142"/>
      <c r="G832" s="142"/>
      <c r="H832" s="142"/>
      <c r="I832" s="142"/>
      <c r="J832" s="142"/>
      <c r="K832" s="142"/>
      <c r="L832" s="142"/>
      <c r="M832" s="142"/>
      <c r="N832" s="142"/>
      <c r="O832" s="142"/>
      <c r="P832" s="142"/>
      <c r="Q832" s="142"/>
      <c r="R832" s="142"/>
      <c r="S832" s="142"/>
      <c r="T832" s="142"/>
      <c r="U832" s="142"/>
      <c r="V832" s="142"/>
      <c r="W832" s="142"/>
      <c r="X832" s="142"/>
      <c r="Y832" s="142"/>
      <c r="Z832" s="142"/>
      <c r="AA832" s="142"/>
      <c r="AB832" s="142"/>
      <c r="AC832" s="142"/>
      <c r="AD832" s="142"/>
      <c r="AE832" s="142"/>
      <c r="AF832" s="142"/>
      <c r="AG832" s="142"/>
      <c r="AH832" s="142"/>
      <c r="AI832" s="142"/>
      <c r="AJ832" s="142"/>
      <c r="AK832" s="142"/>
      <c r="AL832" s="142"/>
      <c r="AM832" s="143"/>
    </row>
    <row r="833">
      <c r="A833" s="144"/>
      <c r="B833" s="142"/>
      <c r="C833" s="142"/>
      <c r="D833" s="142"/>
      <c r="E833" s="142"/>
      <c r="F833" s="142"/>
      <c r="G833" s="142"/>
      <c r="H833" s="142"/>
      <c r="I833" s="142"/>
      <c r="J833" s="142"/>
      <c r="K833" s="142"/>
      <c r="L833" s="142"/>
      <c r="M833" s="142"/>
      <c r="N833" s="142"/>
      <c r="O833" s="142"/>
      <c r="P833" s="142"/>
      <c r="Q833" s="142"/>
      <c r="R833" s="142"/>
      <c r="S833" s="142"/>
      <c r="T833" s="142"/>
      <c r="U833" s="142"/>
      <c r="V833" s="142"/>
      <c r="W833" s="142"/>
      <c r="X833" s="142"/>
      <c r="Y833" s="142"/>
      <c r="Z833" s="142"/>
      <c r="AA833" s="142"/>
      <c r="AB833" s="142"/>
      <c r="AC833" s="142"/>
      <c r="AD833" s="142"/>
      <c r="AE833" s="142"/>
      <c r="AF833" s="142"/>
      <c r="AG833" s="142"/>
      <c r="AH833" s="142"/>
      <c r="AI833" s="142"/>
      <c r="AJ833" s="142"/>
      <c r="AK833" s="142"/>
      <c r="AL833" s="142"/>
      <c r="AM833" s="143"/>
    </row>
    <row r="834">
      <c r="A834" s="144"/>
      <c r="B834" s="142"/>
      <c r="C834" s="142"/>
      <c r="D834" s="142"/>
      <c r="E834" s="142"/>
      <c r="F834" s="142"/>
      <c r="G834" s="142"/>
      <c r="H834" s="142"/>
      <c r="I834" s="142"/>
      <c r="J834" s="142"/>
      <c r="K834" s="142"/>
      <c r="L834" s="142"/>
      <c r="M834" s="142"/>
      <c r="N834" s="142"/>
      <c r="O834" s="142"/>
      <c r="P834" s="142"/>
      <c r="Q834" s="142"/>
      <c r="R834" s="142"/>
      <c r="S834" s="142"/>
      <c r="T834" s="142"/>
      <c r="U834" s="142"/>
      <c r="V834" s="142"/>
      <c r="W834" s="142"/>
      <c r="X834" s="142"/>
      <c r="Y834" s="142"/>
      <c r="Z834" s="142"/>
      <c r="AA834" s="142"/>
      <c r="AB834" s="142"/>
      <c r="AC834" s="142"/>
      <c r="AD834" s="142"/>
      <c r="AE834" s="142"/>
      <c r="AF834" s="142"/>
      <c r="AG834" s="142"/>
      <c r="AH834" s="142"/>
      <c r="AI834" s="142"/>
      <c r="AJ834" s="142"/>
      <c r="AK834" s="142"/>
      <c r="AL834" s="142"/>
      <c r="AM834" s="143"/>
    </row>
    <row r="835">
      <c r="A835" s="144"/>
      <c r="B835" s="142"/>
      <c r="C835" s="142"/>
      <c r="D835" s="142"/>
      <c r="E835" s="142"/>
      <c r="F835" s="142"/>
      <c r="G835" s="142"/>
      <c r="H835" s="142"/>
      <c r="I835" s="142"/>
      <c r="J835" s="142"/>
      <c r="K835" s="142"/>
      <c r="L835" s="142"/>
      <c r="M835" s="142"/>
      <c r="N835" s="142"/>
      <c r="O835" s="142"/>
      <c r="P835" s="142"/>
      <c r="Q835" s="142"/>
      <c r="R835" s="142"/>
      <c r="S835" s="142"/>
      <c r="T835" s="142"/>
      <c r="U835" s="142"/>
      <c r="V835" s="142"/>
      <c r="W835" s="142"/>
      <c r="X835" s="142"/>
      <c r="Y835" s="142"/>
      <c r="Z835" s="142"/>
      <c r="AA835" s="142"/>
      <c r="AB835" s="142"/>
      <c r="AC835" s="142"/>
      <c r="AD835" s="142"/>
      <c r="AE835" s="142"/>
      <c r="AF835" s="142"/>
      <c r="AG835" s="142"/>
      <c r="AH835" s="142"/>
      <c r="AI835" s="142"/>
      <c r="AJ835" s="142"/>
      <c r="AK835" s="142"/>
      <c r="AL835" s="142"/>
      <c r="AM835" s="143"/>
    </row>
    <row r="836">
      <c r="A836" s="144"/>
      <c r="B836" s="142"/>
      <c r="C836" s="142"/>
      <c r="D836" s="142"/>
      <c r="E836" s="142"/>
      <c r="F836" s="142"/>
      <c r="G836" s="142"/>
      <c r="H836" s="142"/>
      <c r="I836" s="142"/>
      <c r="J836" s="142"/>
      <c r="K836" s="142"/>
      <c r="L836" s="142"/>
      <c r="M836" s="142"/>
      <c r="N836" s="142"/>
      <c r="O836" s="142"/>
      <c r="P836" s="142"/>
      <c r="Q836" s="142"/>
      <c r="R836" s="142"/>
      <c r="S836" s="142"/>
      <c r="T836" s="142"/>
      <c r="U836" s="142"/>
      <c r="V836" s="142"/>
      <c r="W836" s="142"/>
      <c r="X836" s="142"/>
      <c r="Y836" s="142"/>
      <c r="Z836" s="142"/>
      <c r="AA836" s="142"/>
      <c r="AB836" s="142"/>
      <c r="AC836" s="142"/>
      <c r="AD836" s="142"/>
      <c r="AE836" s="142"/>
      <c r="AF836" s="142"/>
      <c r="AG836" s="142"/>
      <c r="AH836" s="142"/>
      <c r="AI836" s="142"/>
      <c r="AJ836" s="142"/>
      <c r="AK836" s="142"/>
      <c r="AL836" s="142"/>
      <c r="AM836" s="143"/>
    </row>
    <row r="837">
      <c r="A837" s="144"/>
      <c r="B837" s="142"/>
      <c r="C837" s="142"/>
      <c r="D837" s="142"/>
      <c r="E837" s="142"/>
      <c r="F837" s="142"/>
      <c r="G837" s="142"/>
      <c r="H837" s="142"/>
      <c r="I837" s="142"/>
      <c r="J837" s="142"/>
      <c r="K837" s="142"/>
      <c r="L837" s="142"/>
      <c r="M837" s="142"/>
      <c r="N837" s="142"/>
      <c r="O837" s="142"/>
      <c r="P837" s="142"/>
      <c r="Q837" s="142"/>
      <c r="R837" s="142"/>
      <c r="S837" s="142"/>
      <c r="T837" s="142"/>
      <c r="U837" s="142"/>
      <c r="V837" s="142"/>
      <c r="W837" s="142"/>
      <c r="X837" s="142"/>
      <c r="Y837" s="142"/>
      <c r="Z837" s="142"/>
      <c r="AA837" s="142"/>
      <c r="AB837" s="142"/>
      <c r="AC837" s="142"/>
      <c r="AD837" s="142"/>
      <c r="AE837" s="142"/>
      <c r="AF837" s="142"/>
      <c r="AG837" s="142"/>
      <c r="AH837" s="142"/>
      <c r="AI837" s="142"/>
      <c r="AJ837" s="142"/>
      <c r="AK837" s="142"/>
      <c r="AL837" s="142"/>
      <c r="AM837" s="143"/>
    </row>
    <row r="838">
      <c r="A838" s="144"/>
      <c r="B838" s="142"/>
      <c r="C838" s="142"/>
      <c r="D838" s="142"/>
      <c r="E838" s="142"/>
      <c r="F838" s="142"/>
      <c r="G838" s="142"/>
      <c r="H838" s="142"/>
      <c r="I838" s="142"/>
      <c r="J838" s="142"/>
      <c r="K838" s="142"/>
      <c r="L838" s="142"/>
      <c r="M838" s="142"/>
      <c r="N838" s="142"/>
      <c r="O838" s="142"/>
      <c r="P838" s="142"/>
      <c r="Q838" s="142"/>
      <c r="R838" s="142"/>
      <c r="S838" s="142"/>
      <c r="T838" s="142"/>
      <c r="U838" s="142"/>
      <c r="V838" s="142"/>
      <c r="W838" s="142"/>
      <c r="X838" s="142"/>
      <c r="Y838" s="142"/>
      <c r="Z838" s="142"/>
      <c r="AA838" s="142"/>
      <c r="AB838" s="142"/>
      <c r="AC838" s="142"/>
      <c r="AD838" s="142"/>
      <c r="AE838" s="142"/>
      <c r="AF838" s="142"/>
      <c r="AG838" s="142"/>
      <c r="AH838" s="142"/>
      <c r="AI838" s="142"/>
      <c r="AJ838" s="142"/>
      <c r="AK838" s="142"/>
      <c r="AL838" s="142"/>
      <c r="AM838" s="143"/>
    </row>
    <row r="839">
      <c r="A839" s="144"/>
      <c r="B839" s="142"/>
      <c r="C839" s="142"/>
      <c r="D839" s="142"/>
      <c r="E839" s="142"/>
      <c r="F839" s="142"/>
      <c r="G839" s="142"/>
      <c r="H839" s="142"/>
      <c r="I839" s="142"/>
      <c r="J839" s="142"/>
      <c r="K839" s="142"/>
      <c r="L839" s="142"/>
      <c r="M839" s="142"/>
      <c r="N839" s="142"/>
      <c r="O839" s="142"/>
      <c r="P839" s="142"/>
      <c r="Q839" s="142"/>
      <c r="R839" s="142"/>
      <c r="S839" s="142"/>
      <c r="T839" s="142"/>
      <c r="U839" s="142"/>
      <c r="V839" s="142"/>
      <c r="W839" s="142"/>
      <c r="X839" s="142"/>
      <c r="Y839" s="142"/>
      <c r="Z839" s="142"/>
      <c r="AA839" s="142"/>
      <c r="AB839" s="142"/>
      <c r="AC839" s="142"/>
      <c r="AD839" s="142"/>
      <c r="AE839" s="142"/>
      <c r="AF839" s="142"/>
      <c r="AG839" s="142"/>
      <c r="AH839" s="142"/>
      <c r="AI839" s="142"/>
      <c r="AJ839" s="142"/>
      <c r="AK839" s="142"/>
      <c r="AL839" s="142"/>
      <c r="AM839" s="143"/>
    </row>
    <row r="840">
      <c r="A840" s="144"/>
      <c r="B840" s="142"/>
      <c r="C840" s="142"/>
      <c r="D840" s="142"/>
      <c r="E840" s="142"/>
      <c r="F840" s="142"/>
      <c r="G840" s="142"/>
      <c r="H840" s="142"/>
      <c r="I840" s="142"/>
      <c r="J840" s="142"/>
      <c r="K840" s="142"/>
      <c r="L840" s="142"/>
      <c r="M840" s="142"/>
      <c r="N840" s="142"/>
      <c r="O840" s="142"/>
      <c r="P840" s="142"/>
      <c r="Q840" s="142"/>
      <c r="R840" s="142"/>
      <c r="S840" s="142"/>
      <c r="T840" s="142"/>
      <c r="U840" s="142"/>
      <c r="V840" s="142"/>
      <c r="W840" s="142"/>
      <c r="X840" s="142"/>
      <c r="Y840" s="142"/>
      <c r="Z840" s="142"/>
      <c r="AA840" s="142"/>
      <c r="AB840" s="142"/>
      <c r="AC840" s="142"/>
      <c r="AD840" s="142"/>
      <c r="AE840" s="142"/>
      <c r="AF840" s="142"/>
      <c r="AG840" s="142"/>
      <c r="AH840" s="142"/>
      <c r="AI840" s="142"/>
      <c r="AJ840" s="142"/>
      <c r="AK840" s="142"/>
      <c r="AL840" s="142"/>
      <c r="AM840" s="143"/>
    </row>
    <row r="841">
      <c r="A841" s="144"/>
      <c r="B841" s="142"/>
      <c r="C841" s="142"/>
      <c r="D841" s="142"/>
      <c r="E841" s="142"/>
      <c r="F841" s="142"/>
      <c r="G841" s="142"/>
      <c r="H841" s="142"/>
      <c r="I841" s="142"/>
      <c r="J841" s="142"/>
      <c r="K841" s="142"/>
      <c r="L841" s="142"/>
      <c r="M841" s="142"/>
      <c r="N841" s="142"/>
      <c r="O841" s="142"/>
      <c r="P841" s="142"/>
      <c r="Q841" s="142"/>
      <c r="R841" s="142"/>
      <c r="S841" s="142"/>
      <c r="T841" s="142"/>
      <c r="U841" s="142"/>
      <c r="V841" s="142"/>
      <c r="W841" s="142"/>
      <c r="X841" s="142"/>
      <c r="Y841" s="142"/>
      <c r="Z841" s="142"/>
      <c r="AA841" s="142"/>
      <c r="AB841" s="142"/>
      <c r="AC841" s="142"/>
      <c r="AD841" s="142"/>
      <c r="AE841" s="142"/>
      <c r="AF841" s="142"/>
      <c r="AG841" s="142"/>
      <c r="AH841" s="142"/>
      <c r="AI841" s="142"/>
      <c r="AJ841" s="142"/>
      <c r="AK841" s="142"/>
      <c r="AL841" s="142"/>
      <c r="AM841" s="143"/>
    </row>
    <row r="842">
      <c r="A842" s="144"/>
      <c r="B842" s="142"/>
      <c r="C842" s="142"/>
      <c r="D842" s="142"/>
      <c r="E842" s="142"/>
      <c r="F842" s="142"/>
      <c r="G842" s="142"/>
      <c r="H842" s="142"/>
      <c r="I842" s="142"/>
      <c r="J842" s="142"/>
      <c r="K842" s="142"/>
      <c r="L842" s="142"/>
      <c r="M842" s="142"/>
      <c r="N842" s="142"/>
      <c r="O842" s="142"/>
      <c r="P842" s="142"/>
      <c r="Q842" s="142"/>
      <c r="R842" s="142"/>
      <c r="S842" s="142"/>
      <c r="T842" s="142"/>
      <c r="U842" s="142"/>
      <c r="V842" s="142"/>
      <c r="W842" s="142"/>
      <c r="X842" s="142"/>
      <c r="Y842" s="142"/>
      <c r="Z842" s="142"/>
      <c r="AA842" s="142"/>
      <c r="AB842" s="142"/>
      <c r="AC842" s="142"/>
      <c r="AD842" s="142"/>
      <c r="AE842" s="142"/>
      <c r="AF842" s="142"/>
      <c r="AG842" s="142"/>
      <c r="AH842" s="142"/>
      <c r="AI842" s="142"/>
      <c r="AJ842" s="142"/>
      <c r="AK842" s="142"/>
      <c r="AL842" s="142"/>
      <c r="AM842" s="143"/>
    </row>
    <row r="843">
      <c r="A843" s="144"/>
      <c r="B843" s="142"/>
      <c r="C843" s="142"/>
      <c r="D843" s="142"/>
      <c r="E843" s="142"/>
      <c r="F843" s="142"/>
      <c r="G843" s="142"/>
      <c r="H843" s="142"/>
      <c r="I843" s="142"/>
      <c r="J843" s="142"/>
      <c r="K843" s="142"/>
      <c r="L843" s="142"/>
      <c r="M843" s="142"/>
      <c r="N843" s="142"/>
      <c r="O843" s="142"/>
      <c r="P843" s="142"/>
      <c r="Q843" s="142"/>
      <c r="R843" s="142"/>
      <c r="S843" s="142"/>
      <c r="T843" s="142"/>
      <c r="U843" s="142"/>
      <c r="V843" s="142"/>
      <c r="W843" s="142"/>
      <c r="X843" s="142"/>
      <c r="Y843" s="142"/>
      <c r="Z843" s="142"/>
      <c r="AA843" s="142"/>
      <c r="AB843" s="142"/>
      <c r="AC843" s="142"/>
      <c r="AD843" s="142"/>
      <c r="AE843" s="142"/>
      <c r="AF843" s="142"/>
      <c r="AG843" s="142"/>
      <c r="AH843" s="142"/>
      <c r="AI843" s="142"/>
      <c r="AJ843" s="142"/>
      <c r="AK843" s="142"/>
      <c r="AL843" s="142"/>
      <c r="AM843" s="143"/>
    </row>
    <row r="844">
      <c r="A844" s="144"/>
      <c r="B844" s="142"/>
      <c r="C844" s="142"/>
      <c r="D844" s="142"/>
      <c r="E844" s="142"/>
      <c r="F844" s="142"/>
      <c r="G844" s="142"/>
      <c r="H844" s="142"/>
      <c r="I844" s="142"/>
      <c r="J844" s="142"/>
      <c r="K844" s="142"/>
      <c r="L844" s="142"/>
      <c r="M844" s="142"/>
      <c r="N844" s="142"/>
      <c r="O844" s="142"/>
      <c r="P844" s="142"/>
      <c r="Q844" s="142"/>
      <c r="R844" s="142"/>
      <c r="S844" s="142"/>
      <c r="T844" s="142"/>
      <c r="U844" s="142"/>
      <c r="V844" s="142"/>
      <c r="W844" s="142"/>
      <c r="X844" s="142"/>
      <c r="Y844" s="142"/>
      <c r="Z844" s="142"/>
      <c r="AA844" s="142"/>
      <c r="AB844" s="142"/>
      <c r="AC844" s="142"/>
      <c r="AD844" s="142"/>
      <c r="AE844" s="142"/>
      <c r="AF844" s="142"/>
      <c r="AG844" s="142"/>
      <c r="AH844" s="142"/>
      <c r="AI844" s="142"/>
      <c r="AJ844" s="142"/>
      <c r="AK844" s="142"/>
      <c r="AL844" s="142"/>
      <c r="AM844" s="143"/>
    </row>
    <row r="845">
      <c r="A845" s="144"/>
      <c r="B845" s="142"/>
      <c r="C845" s="142"/>
      <c r="D845" s="142"/>
      <c r="E845" s="142"/>
      <c r="F845" s="142"/>
      <c r="G845" s="142"/>
      <c r="H845" s="142"/>
      <c r="I845" s="142"/>
      <c r="J845" s="142"/>
      <c r="K845" s="142"/>
      <c r="L845" s="142"/>
      <c r="M845" s="142"/>
      <c r="N845" s="142"/>
      <c r="O845" s="142"/>
      <c r="P845" s="142"/>
      <c r="Q845" s="142"/>
      <c r="R845" s="142"/>
      <c r="S845" s="142"/>
      <c r="T845" s="142"/>
      <c r="U845" s="142"/>
      <c r="V845" s="142"/>
      <c r="W845" s="142"/>
      <c r="X845" s="142"/>
      <c r="Y845" s="142"/>
      <c r="Z845" s="142"/>
      <c r="AA845" s="142"/>
      <c r="AB845" s="142"/>
      <c r="AC845" s="142"/>
      <c r="AD845" s="142"/>
      <c r="AE845" s="142"/>
      <c r="AF845" s="142"/>
      <c r="AG845" s="142"/>
      <c r="AH845" s="142"/>
      <c r="AI845" s="142"/>
      <c r="AJ845" s="142"/>
      <c r="AK845" s="142"/>
      <c r="AL845" s="142"/>
      <c r="AM845" s="143"/>
    </row>
    <row r="846">
      <c r="A846" s="144"/>
      <c r="B846" s="142"/>
      <c r="C846" s="142"/>
      <c r="D846" s="142"/>
      <c r="E846" s="142"/>
      <c r="F846" s="142"/>
      <c r="G846" s="142"/>
      <c r="H846" s="142"/>
      <c r="I846" s="142"/>
      <c r="J846" s="142"/>
      <c r="K846" s="142"/>
      <c r="L846" s="142"/>
      <c r="M846" s="142"/>
      <c r="N846" s="142"/>
      <c r="O846" s="142"/>
      <c r="P846" s="142"/>
      <c r="Q846" s="142"/>
      <c r="R846" s="142"/>
      <c r="S846" s="142"/>
      <c r="T846" s="142"/>
      <c r="U846" s="142"/>
      <c r="V846" s="142"/>
      <c r="W846" s="142"/>
      <c r="X846" s="142"/>
      <c r="Y846" s="142"/>
      <c r="Z846" s="142"/>
      <c r="AA846" s="142"/>
      <c r="AB846" s="142"/>
      <c r="AC846" s="142"/>
      <c r="AD846" s="142"/>
      <c r="AE846" s="142"/>
      <c r="AF846" s="142"/>
      <c r="AG846" s="142"/>
      <c r="AH846" s="142"/>
      <c r="AI846" s="142"/>
      <c r="AJ846" s="142"/>
      <c r="AK846" s="142"/>
      <c r="AL846" s="142"/>
      <c r="AM846" s="143"/>
    </row>
    <row r="847">
      <c r="A847" s="144"/>
      <c r="B847" s="142"/>
      <c r="C847" s="142"/>
      <c r="D847" s="142"/>
      <c r="E847" s="142"/>
      <c r="F847" s="142"/>
      <c r="G847" s="142"/>
      <c r="H847" s="142"/>
      <c r="I847" s="142"/>
      <c r="J847" s="142"/>
      <c r="K847" s="142"/>
      <c r="L847" s="142"/>
      <c r="M847" s="142"/>
      <c r="N847" s="142"/>
      <c r="O847" s="142"/>
      <c r="P847" s="142"/>
      <c r="Q847" s="142"/>
      <c r="R847" s="142"/>
      <c r="S847" s="142"/>
      <c r="T847" s="142"/>
      <c r="U847" s="142"/>
      <c r="V847" s="142"/>
      <c r="W847" s="142"/>
      <c r="X847" s="142"/>
      <c r="Y847" s="142"/>
      <c r="Z847" s="142"/>
      <c r="AA847" s="142"/>
      <c r="AB847" s="142"/>
      <c r="AC847" s="142"/>
      <c r="AD847" s="142"/>
      <c r="AE847" s="142"/>
      <c r="AF847" s="142"/>
      <c r="AG847" s="142"/>
      <c r="AH847" s="142"/>
      <c r="AI847" s="142"/>
      <c r="AJ847" s="142"/>
      <c r="AK847" s="142"/>
      <c r="AL847" s="142"/>
      <c r="AM847" s="143"/>
    </row>
    <row r="848">
      <c r="A848" s="144"/>
      <c r="B848" s="142"/>
      <c r="C848" s="142"/>
      <c r="D848" s="142"/>
      <c r="E848" s="142"/>
      <c r="F848" s="142"/>
      <c r="G848" s="142"/>
      <c r="H848" s="142"/>
      <c r="I848" s="142"/>
      <c r="J848" s="142"/>
      <c r="K848" s="142"/>
      <c r="L848" s="142"/>
      <c r="M848" s="142"/>
      <c r="N848" s="142"/>
      <c r="O848" s="142"/>
      <c r="P848" s="142"/>
      <c r="Q848" s="142"/>
      <c r="R848" s="142"/>
      <c r="S848" s="142"/>
      <c r="T848" s="142"/>
      <c r="U848" s="142"/>
      <c r="V848" s="142"/>
      <c r="W848" s="142"/>
      <c r="X848" s="142"/>
      <c r="Y848" s="142"/>
      <c r="Z848" s="142"/>
      <c r="AA848" s="142"/>
      <c r="AB848" s="142"/>
      <c r="AC848" s="142"/>
      <c r="AD848" s="142"/>
      <c r="AE848" s="142"/>
      <c r="AF848" s="142"/>
      <c r="AG848" s="142"/>
      <c r="AH848" s="142"/>
      <c r="AI848" s="142"/>
      <c r="AJ848" s="142"/>
      <c r="AK848" s="142"/>
      <c r="AL848" s="142"/>
      <c r="AM848" s="143"/>
    </row>
    <row r="849">
      <c r="A849" s="144"/>
      <c r="B849" s="142"/>
      <c r="C849" s="142"/>
      <c r="D849" s="142"/>
      <c r="E849" s="142"/>
      <c r="F849" s="142"/>
      <c r="G849" s="142"/>
      <c r="H849" s="142"/>
      <c r="I849" s="142"/>
      <c r="J849" s="142"/>
      <c r="K849" s="142"/>
      <c r="L849" s="142"/>
      <c r="M849" s="142"/>
      <c r="N849" s="142"/>
      <c r="O849" s="142"/>
      <c r="P849" s="142"/>
      <c r="Q849" s="142"/>
      <c r="R849" s="142"/>
      <c r="S849" s="142"/>
      <c r="T849" s="142"/>
      <c r="U849" s="142"/>
      <c r="V849" s="142"/>
      <c r="W849" s="142"/>
      <c r="X849" s="142"/>
      <c r="Y849" s="142"/>
      <c r="Z849" s="142"/>
      <c r="AA849" s="142"/>
      <c r="AB849" s="142"/>
      <c r="AC849" s="142"/>
      <c r="AD849" s="142"/>
      <c r="AE849" s="142"/>
      <c r="AF849" s="142"/>
      <c r="AG849" s="142"/>
      <c r="AH849" s="142"/>
      <c r="AI849" s="142"/>
      <c r="AJ849" s="142"/>
      <c r="AK849" s="142"/>
      <c r="AL849" s="142"/>
      <c r="AM849" s="143"/>
    </row>
    <row r="850">
      <c r="A850" s="144"/>
      <c r="B850" s="142"/>
      <c r="C850" s="142"/>
      <c r="D850" s="142"/>
      <c r="E850" s="142"/>
      <c r="F850" s="142"/>
      <c r="G850" s="142"/>
      <c r="H850" s="142"/>
      <c r="I850" s="142"/>
      <c r="J850" s="142"/>
      <c r="K850" s="142"/>
      <c r="L850" s="142"/>
      <c r="M850" s="142"/>
      <c r="N850" s="142"/>
      <c r="O850" s="142"/>
      <c r="P850" s="142"/>
      <c r="Q850" s="142"/>
      <c r="R850" s="142"/>
      <c r="S850" s="142"/>
      <c r="T850" s="142"/>
      <c r="U850" s="142"/>
      <c r="V850" s="142"/>
      <c r="W850" s="142"/>
      <c r="X850" s="142"/>
      <c r="Y850" s="142"/>
      <c r="Z850" s="142"/>
      <c r="AA850" s="142"/>
      <c r="AB850" s="142"/>
      <c r="AC850" s="142"/>
      <c r="AD850" s="142"/>
      <c r="AE850" s="142"/>
      <c r="AF850" s="142"/>
      <c r="AG850" s="142"/>
      <c r="AH850" s="142"/>
      <c r="AI850" s="142"/>
      <c r="AJ850" s="142"/>
      <c r="AK850" s="142"/>
      <c r="AL850" s="142"/>
      <c r="AM850" s="143"/>
    </row>
    <row r="851">
      <c r="A851" s="144"/>
      <c r="B851" s="142"/>
      <c r="C851" s="142"/>
      <c r="D851" s="142"/>
      <c r="E851" s="142"/>
      <c r="F851" s="142"/>
      <c r="G851" s="142"/>
      <c r="H851" s="142"/>
      <c r="I851" s="142"/>
      <c r="J851" s="142"/>
      <c r="K851" s="142"/>
      <c r="L851" s="142"/>
      <c r="M851" s="142"/>
      <c r="N851" s="142"/>
      <c r="O851" s="142"/>
      <c r="P851" s="142"/>
      <c r="Q851" s="142"/>
      <c r="R851" s="142"/>
      <c r="S851" s="142"/>
      <c r="T851" s="142"/>
      <c r="U851" s="142"/>
      <c r="V851" s="142"/>
      <c r="W851" s="142"/>
      <c r="X851" s="142"/>
      <c r="Y851" s="142"/>
      <c r="Z851" s="142"/>
      <c r="AA851" s="142"/>
      <c r="AB851" s="142"/>
      <c r="AC851" s="142"/>
      <c r="AD851" s="142"/>
      <c r="AE851" s="142"/>
      <c r="AF851" s="142"/>
      <c r="AG851" s="142"/>
      <c r="AH851" s="142"/>
      <c r="AI851" s="142"/>
      <c r="AJ851" s="142"/>
      <c r="AK851" s="142"/>
      <c r="AL851" s="142"/>
      <c r="AM851" s="143"/>
    </row>
    <row r="852">
      <c r="A852" s="144"/>
      <c r="B852" s="142"/>
      <c r="C852" s="142"/>
      <c r="D852" s="142"/>
      <c r="E852" s="142"/>
      <c r="F852" s="142"/>
      <c r="G852" s="142"/>
      <c r="H852" s="142"/>
      <c r="I852" s="142"/>
      <c r="J852" s="142"/>
      <c r="K852" s="142"/>
      <c r="L852" s="142"/>
      <c r="M852" s="142"/>
      <c r="N852" s="142"/>
      <c r="O852" s="142"/>
      <c r="P852" s="142"/>
      <c r="Q852" s="142"/>
      <c r="R852" s="142"/>
      <c r="S852" s="142"/>
      <c r="T852" s="142"/>
      <c r="U852" s="142"/>
      <c r="V852" s="142"/>
      <c r="W852" s="142"/>
      <c r="X852" s="142"/>
      <c r="Y852" s="142"/>
      <c r="Z852" s="142"/>
      <c r="AA852" s="142"/>
      <c r="AB852" s="142"/>
      <c r="AC852" s="142"/>
      <c r="AD852" s="142"/>
      <c r="AE852" s="142"/>
      <c r="AF852" s="142"/>
      <c r="AG852" s="142"/>
      <c r="AH852" s="142"/>
      <c r="AI852" s="142"/>
      <c r="AJ852" s="142"/>
      <c r="AK852" s="142"/>
      <c r="AL852" s="142"/>
      <c r="AM852" s="143"/>
    </row>
    <row r="853">
      <c r="A853" s="144"/>
      <c r="B853" s="142"/>
      <c r="C853" s="142"/>
      <c r="D853" s="142"/>
      <c r="E853" s="142"/>
      <c r="F853" s="142"/>
      <c r="G853" s="142"/>
      <c r="H853" s="142"/>
      <c r="I853" s="142"/>
      <c r="J853" s="142"/>
      <c r="K853" s="142"/>
      <c r="L853" s="142"/>
      <c r="M853" s="142"/>
      <c r="N853" s="142"/>
      <c r="O853" s="142"/>
      <c r="P853" s="142"/>
      <c r="Q853" s="142"/>
      <c r="R853" s="142"/>
      <c r="S853" s="142"/>
      <c r="T853" s="142"/>
      <c r="U853" s="142"/>
      <c r="V853" s="142"/>
      <c r="W853" s="142"/>
      <c r="X853" s="142"/>
      <c r="Y853" s="142"/>
      <c r="Z853" s="142"/>
      <c r="AA853" s="142"/>
      <c r="AB853" s="142"/>
      <c r="AC853" s="142"/>
      <c r="AD853" s="142"/>
      <c r="AE853" s="142"/>
      <c r="AF853" s="142"/>
      <c r="AG853" s="142"/>
      <c r="AH853" s="142"/>
      <c r="AI853" s="142"/>
      <c r="AJ853" s="142"/>
      <c r="AK853" s="142"/>
      <c r="AL853" s="142"/>
      <c r="AM853" s="143"/>
    </row>
    <row r="854">
      <c r="A854" s="144"/>
      <c r="B854" s="142"/>
      <c r="C854" s="142"/>
      <c r="D854" s="142"/>
      <c r="E854" s="142"/>
      <c r="F854" s="142"/>
      <c r="G854" s="142"/>
      <c r="H854" s="142"/>
      <c r="I854" s="142"/>
      <c r="J854" s="142"/>
      <c r="K854" s="142"/>
      <c r="L854" s="142"/>
      <c r="M854" s="142"/>
      <c r="N854" s="142"/>
      <c r="O854" s="142"/>
      <c r="P854" s="142"/>
      <c r="Q854" s="142"/>
      <c r="R854" s="142"/>
      <c r="S854" s="142"/>
      <c r="T854" s="142"/>
      <c r="U854" s="142"/>
      <c r="V854" s="142"/>
      <c r="W854" s="142"/>
      <c r="X854" s="142"/>
      <c r="Y854" s="142"/>
      <c r="Z854" s="142"/>
      <c r="AA854" s="142"/>
      <c r="AB854" s="142"/>
      <c r="AC854" s="142"/>
      <c r="AD854" s="142"/>
      <c r="AE854" s="142"/>
      <c r="AF854" s="142"/>
      <c r="AG854" s="142"/>
      <c r="AH854" s="142"/>
      <c r="AI854" s="142"/>
      <c r="AJ854" s="142"/>
      <c r="AK854" s="142"/>
      <c r="AL854" s="142"/>
      <c r="AM854" s="143"/>
    </row>
    <row r="855">
      <c r="A855" s="144"/>
      <c r="B855" s="142"/>
      <c r="C855" s="142"/>
      <c r="D855" s="142"/>
      <c r="E855" s="142"/>
      <c r="F855" s="142"/>
      <c r="G855" s="142"/>
      <c r="H855" s="142"/>
      <c r="I855" s="142"/>
      <c r="J855" s="142"/>
      <c r="K855" s="142"/>
      <c r="L855" s="142"/>
      <c r="M855" s="142"/>
      <c r="N855" s="142"/>
      <c r="O855" s="142"/>
      <c r="P855" s="142"/>
      <c r="Q855" s="142"/>
      <c r="R855" s="142"/>
      <c r="S855" s="142"/>
      <c r="T855" s="142"/>
      <c r="U855" s="142"/>
      <c r="V855" s="142"/>
      <c r="W855" s="142"/>
      <c r="X855" s="142"/>
      <c r="Y855" s="142"/>
      <c r="Z855" s="142"/>
      <c r="AA855" s="142"/>
      <c r="AB855" s="142"/>
      <c r="AC855" s="142"/>
      <c r="AD855" s="142"/>
      <c r="AE855" s="142"/>
      <c r="AF855" s="142"/>
      <c r="AG855" s="142"/>
      <c r="AH855" s="142"/>
      <c r="AI855" s="142"/>
      <c r="AJ855" s="142"/>
      <c r="AK855" s="142"/>
      <c r="AL855" s="142"/>
      <c r="AM855" s="143"/>
    </row>
    <row r="856">
      <c r="A856" s="144"/>
      <c r="B856" s="142"/>
      <c r="C856" s="142"/>
      <c r="D856" s="142"/>
      <c r="E856" s="142"/>
      <c r="F856" s="142"/>
      <c r="G856" s="142"/>
      <c r="H856" s="142"/>
      <c r="I856" s="142"/>
      <c r="J856" s="142"/>
      <c r="K856" s="142"/>
      <c r="L856" s="142"/>
      <c r="M856" s="142"/>
      <c r="N856" s="142"/>
      <c r="O856" s="142"/>
      <c r="P856" s="142"/>
      <c r="Q856" s="142"/>
      <c r="R856" s="142"/>
      <c r="S856" s="142"/>
      <c r="T856" s="142"/>
      <c r="U856" s="142"/>
      <c r="V856" s="142"/>
      <c r="W856" s="142"/>
      <c r="X856" s="142"/>
      <c r="Y856" s="142"/>
      <c r="Z856" s="142"/>
      <c r="AA856" s="142"/>
      <c r="AB856" s="142"/>
      <c r="AC856" s="142"/>
      <c r="AD856" s="142"/>
      <c r="AE856" s="142"/>
      <c r="AF856" s="142"/>
      <c r="AG856" s="142"/>
      <c r="AH856" s="142"/>
      <c r="AI856" s="142"/>
      <c r="AJ856" s="142"/>
      <c r="AK856" s="142"/>
      <c r="AL856" s="142"/>
      <c r="AM856" s="143"/>
    </row>
    <row r="857">
      <c r="A857" s="144"/>
      <c r="B857" s="142"/>
      <c r="C857" s="142"/>
      <c r="D857" s="142"/>
      <c r="E857" s="142"/>
      <c r="F857" s="142"/>
      <c r="G857" s="142"/>
      <c r="H857" s="142"/>
      <c r="I857" s="142"/>
      <c r="J857" s="142"/>
      <c r="K857" s="142"/>
      <c r="L857" s="142"/>
      <c r="M857" s="142"/>
      <c r="N857" s="142"/>
      <c r="O857" s="142"/>
      <c r="P857" s="142"/>
      <c r="Q857" s="142"/>
      <c r="R857" s="142"/>
      <c r="S857" s="142"/>
      <c r="T857" s="142"/>
      <c r="U857" s="142"/>
      <c r="V857" s="142"/>
      <c r="W857" s="142"/>
      <c r="X857" s="142"/>
      <c r="Y857" s="142"/>
      <c r="Z857" s="142"/>
      <c r="AA857" s="142"/>
      <c r="AB857" s="142"/>
      <c r="AC857" s="142"/>
      <c r="AD857" s="142"/>
      <c r="AE857" s="142"/>
      <c r="AF857" s="142"/>
      <c r="AG857" s="142"/>
      <c r="AH857" s="142"/>
      <c r="AI857" s="142"/>
      <c r="AJ857" s="142"/>
      <c r="AK857" s="142"/>
      <c r="AL857" s="142"/>
      <c r="AM857" s="143"/>
    </row>
    <row r="858">
      <c r="A858" s="144"/>
      <c r="B858" s="142"/>
      <c r="C858" s="142"/>
      <c r="D858" s="142"/>
      <c r="E858" s="142"/>
      <c r="F858" s="142"/>
      <c r="G858" s="142"/>
      <c r="H858" s="142"/>
      <c r="I858" s="142"/>
      <c r="J858" s="142"/>
      <c r="K858" s="142"/>
      <c r="L858" s="142"/>
      <c r="M858" s="142"/>
      <c r="N858" s="142"/>
      <c r="O858" s="142"/>
      <c r="P858" s="142"/>
      <c r="Q858" s="142"/>
      <c r="R858" s="142"/>
      <c r="S858" s="142"/>
      <c r="T858" s="142"/>
      <c r="U858" s="142"/>
      <c r="V858" s="142"/>
      <c r="W858" s="142"/>
      <c r="X858" s="142"/>
      <c r="Y858" s="142"/>
      <c r="Z858" s="142"/>
      <c r="AA858" s="142"/>
      <c r="AB858" s="142"/>
      <c r="AC858" s="142"/>
      <c r="AD858" s="142"/>
      <c r="AE858" s="142"/>
      <c r="AF858" s="142"/>
      <c r="AG858" s="142"/>
      <c r="AH858" s="142"/>
      <c r="AI858" s="142"/>
      <c r="AJ858" s="142"/>
      <c r="AK858" s="142"/>
      <c r="AL858" s="142"/>
      <c r="AM858" s="143"/>
    </row>
    <row r="859">
      <c r="A859" s="144"/>
      <c r="B859" s="142"/>
      <c r="C859" s="142"/>
      <c r="D859" s="142"/>
      <c r="E859" s="142"/>
      <c r="F859" s="142"/>
      <c r="G859" s="142"/>
      <c r="H859" s="142"/>
      <c r="I859" s="142"/>
      <c r="J859" s="142"/>
      <c r="K859" s="142"/>
      <c r="L859" s="142"/>
      <c r="M859" s="142"/>
      <c r="N859" s="142"/>
      <c r="O859" s="142"/>
      <c r="P859" s="142"/>
      <c r="Q859" s="142"/>
      <c r="R859" s="142"/>
      <c r="S859" s="142"/>
      <c r="T859" s="142"/>
      <c r="U859" s="142"/>
      <c r="V859" s="142"/>
      <c r="W859" s="142"/>
      <c r="X859" s="142"/>
      <c r="Y859" s="142"/>
      <c r="Z859" s="142"/>
      <c r="AA859" s="142"/>
      <c r="AB859" s="142"/>
      <c r="AC859" s="142"/>
      <c r="AD859" s="142"/>
      <c r="AE859" s="142"/>
      <c r="AF859" s="142"/>
      <c r="AG859" s="142"/>
      <c r="AH859" s="142"/>
      <c r="AI859" s="142"/>
      <c r="AJ859" s="142"/>
      <c r="AK859" s="142"/>
      <c r="AL859" s="142"/>
      <c r="AM859" s="143"/>
    </row>
    <row r="860">
      <c r="A860" s="144"/>
      <c r="B860" s="142"/>
      <c r="C860" s="142"/>
      <c r="D860" s="142"/>
      <c r="E860" s="142"/>
      <c r="F860" s="142"/>
      <c r="G860" s="142"/>
      <c r="H860" s="142"/>
      <c r="I860" s="142"/>
      <c r="J860" s="142"/>
      <c r="K860" s="142"/>
      <c r="L860" s="142"/>
      <c r="M860" s="142"/>
      <c r="N860" s="142"/>
      <c r="O860" s="142"/>
      <c r="P860" s="142"/>
      <c r="Q860" s="142"/>
      <c r="R860" s="142"/>
      <c r="S860" s="142"/>
      <c r="T860" s="142"/>
      <c r="U860" s="142"/>
      <c r="V860" s="142"/>
      <c r="W860" s="142"/>
      <c r="X860" s="142"/>
      <c r="Y860" s="142"/>
      <c r="Z860" s="142"/>
      <c r="AA860" s="142"/>
      <c r="AB860" s="142"/>
      <c r="AC860" s="142"/>
      <c r="AD860" s="142"/>
      <c r="AE860" s="142"/>
      <c r="AF860" s="142"/>
      <c r="AG860" s="142"/>
      <c r="AH860" s="142"/>
      <c r="AI860" s="142"/>
      <c r="AJ860" s="142"/>
      <c r="AK860" s="142"/>
      <c r="AL860" s="142"/>
      <c r="AM860" s="143"/>
    </row>
    <row r="861">
      <c r="A861" s="144"/>
      <c r="B861" s="142"/>
      <c r="C861" s="142"/>
      <c r="D861" s="142"/>
      <c r="E861" s="142"/>
      <c r="F861" s="142"/>
      <c r="G861" s="142"/>
      <c r="H861" s="142"/>
      <c r="I861" s="142"/>
      <c r="J861" s="142"/>
      <c r="K861" s="142"/>
      <c r="L861" s="142"/>
      <c r="M861" s="142"/>
      <c r="N861" s="142"/>
      <c r="O861" s="142"/>
      <c r="P861" s="142"/>
      <c r="Q861" s="142"/>
      <c r="R861" s="142"/>
      <c r="S861" s="142"/>
      <c r="T861" s="142"/>
      <c r="U861" s="142"/>
      <c r="V861" s="142"/>
      <c r="W861" s="142"/>
      <c r="X861" s="142"/>
      <c r="Y861" s="142"/>
      <c r="Z861" s="142"/>
      <c r="AA861" s="142"/>
      <c r="AB861" s="142"/>
      <c r="AC861" s="142"/>
      <c r="AD861" s="142"/>
      <c r="AE861" s="142"/>
      <c r="AF861" s="142"/>
      <c r="AG861" s="142"/>
      <c r="AH861" s="142"/>
      <c r="AI861" s="142"/>
      <c r="AJ861" s="142"/>
      <c r="AK861" s="142"/>
      <c r="AL861" s="142"/>
      <c r="AM861" s="143"/>
    </row>
    <row r="862">
      <c r="A862" s="144"/>
      <c r="B862" s="142"/>
      <c r="C862" s="142"/>
      <c r="D862" s="142"/>
      <c r="E862" s="142"/>
      <c r="F862" s="142"/>
      <c r="G862" s="142"/>
      <c r="H862" s="142"/>
      <c r="I862" s="142"/>
      <c r="J862" s="142"/>
      <c r="K862" s="142"/>
      <c r="L862" s="142"/>
      <c r="M862" s="142"/>
      <c r="N862" s="142"/>
      <c r="O862" s="142"/>
      <c r="P862" s="142"/>
      <c r="Q862" s="142"/>
      <c r="R862" s="142"/>
      <c r="S862" s="142"/>
      <c r="T862" s="142"/>
      <c r="U862" s="142"/>
      <c r="V862" s="142"/>
      <c r="W862" s="142"/>
      <c r="X862" s="142"/>
      <c r="Y862" s="142"/>
      <c r="Z862" s="142"/>
      <c r="AA862" s="142"/>
      <c r="AB862" s="142"/>
      <c r="AC862" s="142"/>
      <c r="AD862" s="142"/>
      <c r="AE862" s="142"/>
      <c r="AF862" s="142"/>
      <c r="AG862" s="142"/>
      <c r="AH862" s="142"/>
      <c r="AI862" s="142"/>
      <c r="AJ862" s="142"/>
      <c r="AK862" s="142"/>
      <c r="AL862" s="142"/>
      <c r="AM862" s="143"/>
    </row>
    <row r="863">
      <c r="A863" s="144"/>
      <c r="B863" s="142"/>
      <c r="C863" s="142"/>
      <c r="D863" s="142"/>
      <c r="E863" s="142"/>
      <c r="F863" s="142"/>
      <c r="G863" s="142"/>
      <c r="H863" s="142"/>
      <c r="I863" s="142"/>
      <c r="J863" s="142"/>
      <c r="K863" s="142"/>
      <c r="L863" s="142"/>
      <c r="M863" s="142"/>
      <c r="N863" s="142"/>
      <c r="O863" s="142"/>
      <c r="P863" s="142"/>
      <c r="Q863" s="142"/>
      <c r="R863" s="142"/>
      <c r="S863" s="142"/>
      <c r="T863" s="142"/>
      <c r="U863" s="142"/>
      <c r="V863" s="142"/>
      <c r="W863" s="142"/>
      <c r="X863" s="142"/>
      <c r="Y863" s="142"/>
      <c r="Z863" s="142"/>
      <c r="AA863" s="142"/>
      <c r="AB863" s="142"/>
      <c r="AC863" s="142"/>
      <c r="AD863" s="142"/>
      <c r="AE863" s="142"/>
      <c r="AF863" s="142"/>
      <c r="AG863" s="142"/>
      <c r="AH863" s="142"/>
      <c r="AI863" s="142"/>
      <c r="AJ863" s="142"/>
      <c r="AK863" s="142"/>
      <c r="AL863" s="142"/>
      <c r="AM863" s="143"/>
    </row>
    <row r="864">
      <c r="A864" s="144"/>
      <c r="B864" s="142"/>
      <c r="C864" s="142"/>
      <c r="D864" s="142"/>
      <c r="E864" s="142"/>
      <c r="F864" s="142"/>
      <c r="G864" s="142"/>
      <c r="H864" s="142"/>
      <c r="I864" s="142"/>
      <c r="J864" s="142"/>
      <c r="K864" s="142"/>
      <c r="L864" s="142"/>
      <c r="M864" s="142"/>
      <c r="N864" s="142"/>
      <c r="O864" s="142"/>
      <c r="P864" s="142"/>
      <c r="Q864" s="142"/>
      <c r="R864" s="142"/>
      <c r="S864" s="142"/>
      <c r="T864" s="142"/>
      <c r="U864" s="142"/>
      <c r="V864" s="142"/>
      <c r="W864" s="142"/>
      <c r="X864" s="142"/>
      <c r="Y864" s="142"/>
      <c r="Z864" s="142"/>
      <c r="AA864" s="142"/>
      <c r="AB864" s="142"/>
      <c r="AC864" s="142"/>
      <c r="AD864" s="142"/>
      <c r="AE864" s="142"/>
      <c r="AF864" s="142"/>
      <c r="AG864" s="142"/>
      <c r="AH864" s="142"/>
      <c r="AI864" s="142"/>
      <c r="AJ864" s="142"/>
      <c r="AK864" s="142"/>
      <c r="AL864" s="142"/>
      <c r="AM864" s="143"/>
    </row>
    <row r="865">
      <c r="A865" s="144"/>
      <c r="B865" s="142"/>
      <c r="C865" s="142"/>
      <c r="D865" s="142"/>
      <c r="E865" s="142"/>
      <c r="F865" s="142"/>
      <c r="G865" s="142"/>
      <c r="H865" s="142"/>
      <c r="I865" s="142"/>
      <c r="J865" s="142"/>
      <c r="K865" s="142"/>
      <c r="L865" s="142"/>
      <c r="M865" s="142"/>
      <c r="N865" s="142"/>
      <c r="O865" s="142"/>
      <c r="P865" s="142"/>
      <c r="Q865" s="142"/>
      <c r="R865" s="142"/>
      <c r="S865" s="142"/>
      <c r="T865" s="142"/>
      <c r="U865" s="142"/>
      <c r="V865" s="142"/>
      <c r="W865" s="142"/>
      <c r="X865" s="142"/>
      <c r="Y865" s="142"/>
      <c r="Z865" s="142"/>
      <c r="AA865" s="142"/>
      <c r="AB865" s="142"/>
      <c r="AC865" s="142"/>
      <c r="AD865" s="142"/>
      <c r="AE865" s="142"/>
      <c r="AF865" s="142"/>
      <c r="AG865" s="142"/>
      <c r="AH865" s="142"/>
      <c r="AI865" s="142"/>
      <c r="AJ865" s="142"/>
      <c r="AK865" s="142"/>
      <c r="AL865" s="142"/>
      <c r="AM865" s="143"/>
    </row>
    <row r="866">
      <c r="A866" s="144"/>
      <c r="B866" s="142"/>
      <c r="C866" s="142"/>
      <c r="D866" s="142"/>
      <c r="E866" s="142"/>
      <c r="F866" s="142"/>
      <c r="G866" s="142"/>
      <c r="H866" s="142"/>
      <c r="I866" s="142"/>
      <c r="J866" s="142"/>
      <c r="K866" s="142"/>
      <c r="L866" s="142"/>
      <c r="M866" s="142"/>
      <c r="N866" s="142"/>
      <c r="O866" s="142"/>
      <c r="P866" s="142"/>
      <c r="Q866" s="142"/>
      <c r="R866" s="142"/>
      <c r="S866" s="142"/>
      <c r="T866" s="142"/>
      <c r="U866" s="142"/>
      <c r="V866" s="142"/>
      <c r="W866" s="142"/>
      <c r="X866" s="142"/>
      <c r="Y866" s="142"/>
      <c r="Z866" s="142"/>
      <c r="AA866" s="142"/>
      <c r="AB866" s="142"/>
      <c r="AC866" s="142"/>
      <c r="AD866" s="142"/>
      <c r="AE866" s="142"/>
      <c r="AF866" s="142"/>
      <c r="AG866" s="142"/>
      <c r="AH866" s="142"/>
      <c r="AI866" s="142"/>
      <c r="AJ866" s="142"/>
      <c r="AK866" s="142"/>
      <c r="AL866" s="142"/>
      <c r="AM866" s="143"/>
    </row>
    <row r="867">
      <c r="A867" s="144"/>
      <c r="B867" s="142"/>
      <c r="C867" s="142"/>
      <c r="D867" s="142"/>
      <c r="E867" s="142"/>
      <c r="F867" s="142"/>
      <c r="G867" s="142"/>
      <c r="H867" s="142"/>
      <c r="I867" s="142"/>
      <c r="J867" s="142"/>
      <c r="K867" s="142"/>
      <c r="L867" s="142"/>
      <c r="M867" s="142"/>
      <c r="N867" s="142"/>
      <c r="O867" s="142"/>
      <c r="P867" s="142"/>
      <c r="Q867" s="142"/>
      <c r="R867" s="142"/>
      <c r="S867" s="142"/>
      <c r="T867" s="142"/>
      <c r="U867" s="142"/>
      <c r="V867" s="142"/>
      <c r="W867" s="142"/>
      <c r="X867" s="142"/>
      <c r="Y867" s="142"/>
      <c r="Z867" s="142"/>
      <c r="AA867" s="142"/>
      <c r="AB867" s="142"/>
      <c r="AC867" s="142"/>
      <c r="AD867" s="142"/>
      <c r="AE867" s="142"/>
      <c r="AF867" s="142"/>
      <c r="AG867" s="142"/>
      <c r="AH867" s="142"/>
      <c r="AI867" s="142"/>
      <c r="AJ867" s="142"/>
      <c r="AK867" s="142"/>
      <c r="AL867" s="142"/>
      <c r="AM867" s="143"/>
    </row>
    <row r="868">
      <c r="A868" s="144"/>
      <c r="B868" s="142"/>
      <c r="C868" s="142"/>
      <c r="D868" s="142"/>
      <c r="E868" s="142"/>
      <c r="F868" s="142"/>
      <c r="G868" s="142"/>
      <c r="H868" s="142"/>
      <c r="I868" s="142"/>
      <c r="J868" s="142"/>
      <c r="K868" s="142"/>
      <c r="L868" s="142"/>
      <c r="M868" s="142"/>
      <c r="N868" s="142"/>
      <c r="O868" s="142"/>
      <c r="P868" s="142"/>
      <c r="Q868" s="142"/>
      <c r="R868" s="142"/>
      <c r="S868" s="142"/>
      <c r="T868" s="142"/>
      <c r="U868" s="142"/>
      <c r="V868" s="142"/>
      <c r="W868" s="142"/>
      <c r="X868" s="142"/>
      <c r="Y868" s="142"/>
      <c r="Z868" s="142"/>
      <c r="AA868" s="142"/>
      <c r="AB868" s="142"/>
      <c r="AC868" s="142"/>
      <c r="AD868" s="142"/>
      <c r="AE868" s="142"/>
      <c r="AF868" s="142"/>
      <c r="AG868" s="142"/>
      <c r="AH868" s="142"/>
      <c r="AI868" s="142"/>
      <c r="AJ868" s="142"/>
      <c r="AK868" s="142"/>
      <c r="AL868" s="142"/>
      <c r="AM868" s="143"/>
    </row>
    <row r="869">
      <c r="A869" s="144"/>
      <c r="B869" s="142"/>
      <c r="C869" s="142"/>
      <c r="D869" s="142"/>
      <c r="E869" s="142"/>
      <c r="F869" s="142"/>
      <c r="G869" s="142"/>
      <c r="H869" s="142"/>
      <c r="I869" s="142"/>
      <c r="J869" s="142"/>
      <c r="K869" s="142"/>
      <c r="L869" s="142"/>
      <c r="M869" s="142"/>
      <c r="N869" s="142"/>
      <c r="O869" s="142"/>
      <c r="P869" s="142"/>
      <c r="Q869" s="142"/>
      <c r="R869" s="142"/>
      <c r="S869" s="142"/>
      <c r="T869" s="142"/>
      <c r="U869" s="142"/>
      <c r="V869" s="142"/>
      <c r="W869" s="142"/>
      <c r="X869" s="142"/>
      <c r="Y869" s="142"/>
      <c r="Z869" s="142"/>
      <c r="AA869" s="142"/>
      <c r="AB869" s="142"/>
      <c r="AC869" s="142"/>
      <c r="AD869" s="142"/>
      <c r="AE869" s="142"/>
      <c r="AF869" s="142"/>
      <c r="AG869" s="142"/>
      <c r="AH869" s="142"/>
      <c r="AI869" s="142"/>
      <c r="AJ869" s="142"/>
      <c r="AK869" s="142"/>
      <c r="AL869" s="142"/>
      <c r="AM869" s="143"/>
    </row>
    <row r="870">
      <c r="A870" s="144"/>
      <c r="B870" s="142"/>
      <c r="C870" s="142"/>
      <c r="D870" s="142"/>
      <c r="E870" s="142"/>
      <c r="F870" s="142"/>
      <c r="G870" s="142"/>
      <c r="H870" s="142"/>
      <c r="I870" s="142"/>
      <c r="J870" s="142"/>
      <c r="K870" s="142"/>
      <c r="L870" s="142"/>
      <c r="M870" s="142"/>
      <c r="N870" s="142"/>
      <c r="O870" s="142"/>
      <c r="P870" s="142"/>
      <c r="Q870" s="142"/>
      <c r="R870" s="142"/>
      <c r="S870" s="142"/>
      <c r="T870" s="142"/>
      <c r="U870" s="142"/>
      <c r="V870" s="142"/>
      <c r="W870" s="142"/>
      <c r="X870" s="142"/>
      <c r="Y870" s="142"/>
      <c r="Z870" s="142"/>
      <c r="AA870" s="142"/>
      <c r="AB870" s="142"/>
      <c r="AC870" s="142"/>
      <c r="AD870" s="142"/>
      <c r="AE870" s="142"/>
      <c r="AF870" s="142"/>
      <c r="AG870" s="142"/>
      <c r="AH870" s="142"/>
      <c r="AI870" s="142"/>
      <c r="AJ870" s="142"/>
      <c r="AK870" s="142"/>
      <c r="AL870" s="142"/>
      <c r="AM870" s="143"/>
    </row>
    <row r="871">
      <c r="A871" s="144"/>
      <c r="B871" s="142"/>
      <c r="C871" s="142"/>
      <c r="D871" s="142"/>
      <c r="E871" s="142"/>
      <c r="F871" s="142"/>
      <c r="G871" s="142"/>
      <c r="H871" s="142"/>
      <c r="I871" s="142"/>
      <c r="J871" s="142"/>
      <c r="K871" s="142"/>
      <c r="L871" s="142"/>
      <c r="M871" s="142"/>
      <c r="N871" s="142"/>
      <c r="O871" s="142"/>
      <c r="P871" s="142"/>
      <c r="Q871" s="142"/>
      <c r="R871" s="142"/>
      <c r="S871" s="142"/>
      <c r="T871" s="142"/>
      <c r="U871" s="142"/>
      <c r="V871" s="142"/>
      <c r="W871" s="142"/>
      <c r="X871" s="142"/>
      <c r="Y871" s="142"/>
      <c r="Z871" s="142"/>
      <c r="AA871" s="142"/>
      <c r="AB871" s="142"/>
      <c r="AC871" s="142"/>
      <c r="AD871" s="142"/>
      <c r="AE871" s="142"/>
      <c r="AF871" s="142"/>
      <c r="AG871" s="142"/>
      <c r="AH871" s="142"/>
      <c r="AI871" s="142"/>
      <c r="AJ871" s="142"/>
      <c r="AK871" s="142"/>
      <c r="AL871" s="142"/>
      <c r="AM871" s="143"/>
    </row>
    <row r="872">
      <c r="A872" s="144"/>
      <c r="B872" s="142"/>
      <c r="C872" s="142"/>
      <c r="D872" s="142"/>
      <c r="E872" s="142"/>
      <c r="F872" s="142"/>
      <c r="G872" s="142"/>
      <c r="H872" s="142"/>
      <c r="I872" s="142"/>
      <c r="J872" s="142"/>
      <c r="K872" s="142"/>
      <c r="L872" s="142"/>
      <c r="M872" s="142"/>
      <c r="N872" s="142"/>
      <c r="O872" s="142"/>
      <c r="P872" s="142"/>
      <c r="Q872" s="142"/>
      <c r="R872" s="142"/>
      <c r="S872" s="142"/>
      <c r="T872" s="142"/>
      <c r="U872" s="142"/>
      <c r="V872" s="142"/>
      <c r="W872" s="142"/>
      <c r="X872" s="142"/>
      <c r="Y872" s="142"/>
      <c r="Z872" s="142"/>
      <c r="AA872" s="142"/>
      <c r="AB872" s="142"/>
      <c r="AC872" s="142"/>
      <c r="AD872" s="142"/>
      <c r="AE872" s="142"/>
      <c r="AF872" s="142"/>
      <c r="AG872" s="142"/>
      <c r="AH872" s="142"/>
      <c r="AI872" s="142"/>
      <c r="AJ872" s="142"/>
      <c r="AK872" s="142"/>
      <c r="AL872" s="142"/>
      <c r="AM872" s="143"/>
    </row>
    <row r="873">
      <c r="A873" s="144"/>
      <c r="B873" s="142"/>
      <c r="C873" s="142"/>
      <c r="D873" s="142"/>
      <c r="E873" s="142"/>
      <c r="F873" s="142"/>
      <c r="G873" s="142"/>
      <c r="H873" s="142"/>
      <c r="I873" s="142"/>
      <c r="J873" s="142"/>
      <c r="K873" s="142"/>
      <c r="L873" s="142"/>
      <c r="M873" s="142"/>
      <c r="N873" s="142"/>
      <c r="O873" s="142"/>
      <c r="P873" s="142"/>
      <c r="Q873" s="142"/>
      <c r="R873" s="142"/>
      <c r="S873" s="142"/>
      <c r="T873" s="142"/>
      <c r="U873" s="142"/>
      <c r="V873" s="142"/>
      <c r="W873" s="142"/>
      <c r="X873" s="142"/>
      <c r="Y873" s="142"/>
      <c r="Z873" s="142"/>
      <c r="AA873" s="142"/>
      <c r="AB873" s="142"/>
      <c r="AC873" s="142"/>
      <c r="AD873" s="142"/>
      <c r="AE873" s="142"/>
      <c r="AF873" s="142"/>
      <c r="AG873" s="142"/>
      <c r="AH873" s="142"/>
      <c r="AI873" s="142"/>
      <c r="AJ873" s="142"/>
      <c r="AK873" s="142"/>
      <c r="AL873" s="142"/>
      <c r="AM873" s="143"/>
    </row>
    <row r="874">
      <c r="A874" s="144"/>
      <c r="B874" s="142"/>
      <c r="C874" s="142"/>
      <c r="D874" s="142"/>
      <c r="E874" s="142"/>
      <c r="F874" s="142"/>
      <c r="G874" s="142"/>
      <c r="H874" s="142"/>
      <c r="I874" s="142"/>
      <c r="J874" s="142"/>
      <c r="K874" s="142"/>
      <c r="L874" s="142"/>
      <c r="M874" s="142"/>
      <c r="N874" s="142"/>
      <c r="O874" s="142"/>
      <c r="P874" s="142"/>
      <c r="Q874" s="142"/>
      <c r="R874" s="142"/>
      <c r="S874" s="142"/>
      <c r="T874" s="142"/>
      <c r="U874" s="142"/>
      <c r="V874" s="142"/>
      <c r="W874" s="142"/>
      <c r="X874" s="142"/>
      <c r="Y874" s="142"/>
      <c r="Z874" s="142"/>
      <c r="AA874" s="142"/>
      <c r="AB874" s="142"/>
      <c r="AC874" s="142"/>
      <c r="AD874" s="142"/>
      <c r="AE874" s="142"/>
      <c r="AF874" s="142"/>
      <c r="AG874" s="142"/>
      <c r="AH874" s="142"/>
      <c r="AI874" s="142"/>
      <c r="AJ874" s="142"/>
      <c r="AK874" s="142"/>
      <c r="AL874" s="142"/>
      <c r="AM874" s="143"/>
    </row>
    <row r="875">
      <c r="A875" s="144"/>
      <c r="B875" s="142"/>
      <c r="C875" s="142"/>
      <c r="D875" s="142"/>
      <c r="E875" s="142"/>
      <c r="F875" s="142"/>
      <c r="G875" s="142"/>
      <c r="H875" s="142"/>
      <c r="I875" s="142"/>
      <c r="J875" s="142"/>
      <c r="K875" s="142"/>
      <c r="L875" s="142"/>
      <c r="M875" s="142"/>
      <c r="N875" s="142"/>
      <c r="O875" s="142"/>
      <c r="P875" s="142"/>
      <c r="Q875" s="142"/>
      <c r="R875" s="142"/>
      <c r="S875" s="142"/>
      <c r="T875" s="142"/>
      <c r="U875" s="142"/>
      <c r="V875" s="142"/>
      <c r="W875" s="142"/>
      <c r="X875" s="142"/>
      <c r="Y875" s="142"/>
      <c r="Z875" s="142"/>
      <c r="AA875" s="142"/>
      <c r="AB875" s="142"/>
      <c r="AC875" s="142"/>
      <c r="AD875" s="142"/>
      <c r="AE875" s="142"/>
      <c r="AF875" s="142"/>
      <c r="AG875" s="142"/>
      <c r="AH875" s="142"/>
      <c r="AI875" s="142"/>
      <c r="AJ875" s="142"/>
      <c r="AK875" s="142"/>
      <c r="AL875" s="142"/>
      <c r="AM875" s="143"/>
    </row>
    <row r="876">
      <c r="A876" s="144"/>
      <c r="B876" s="142"/>
      <c r="C876" s="142"/>
      <c r="D876" s="142"/>
      <c r="E876" s="142"/>
      <c r="F876" s="142"/>
      <c r="G876" s="142"/>
      <c r="H876" s="142"/>
      <c r="I876" s="142"/>
      <c r="J876" s="142"/>
      <c r="K876" s="142"/>
      <c r="L876" s="142"/>
      <c r="M876" s="142"/>
      <c r="N876" s="142"/>
      <c r="O876" s="142"/>
      <c r="P876" s="142"/>
      <c r="Q876" s="142"/>
      <c r="R876" s="142"/>
      <c r="S876" s="142"/>
      <c r="T876" s="142"/>
      <c r="U876" s="142"/>
      <c r="V876" s="142"/>
      <c r="W876" s="142"/>
      <c r="X876" s="142"/>
      <c r="Y876" s="142"/>
      <c r="Z876" s="142"/>
      <c r="AA876" s="142"/>
      <c r="AB876" s="142"/>
      <c r="AC876" s="142"/>
      <c r="AD876" s="142"/>
      <c r="AE876" s="142"/>
      <c r="AF876" s="142"/>
      <c r="AG876" s="142"/>
      <c r="AH876" s="142"/>
      <c r="AI876" s="142"/>
      <c r="AJ876" s="142"/>
      <c r="AK876" s="142"/>
      <c r="AL876" s="142"/>
      <c r="AM876" s="143"/>
    </row>
    <row r="877">
      <c r="A877" s="144"/>
      <c r="B877" s="142"/>
      <c r="C877" s="142"/>
      <c r="D877" s="142"/>
      <c r="E877" s="142"/>
      <c r="F877" s="142"/>
      <c r="G877" s="142"/>
      <c r="H877" s="142"/>
      <c r="I877" s="142"/>
      <c r="J877" s="142"/>
      <c r="K877" s="142"/>
      <c r="L877" s="142"/>
      <c r="M877" s="142"/>
      <c r="N877" s="142"/>
      <c r="O877" s="142"/>
      <c r="P877" s="142"/>
      <c r="Q877" s="142"/>
      <c r="R877" s="142"/>
      <c r="S877" s="142"/>
      <c r="T877" s="142"/>
      <c r="U877" s="142"/>
      <c r="V877" s="142"/>
      <c r="W877" s="142"/>
      <c r="X877" s="142"/>
      <c r="Y877" s="142"/>
      <c r="Z877" s="142"/>
      <c r="AA877" s="142"/>
      <c r="AB877" s="142"/>
      <c r="AC877" s="142"/>
      <c r="AD877" s="142"/>
      <c r="AE877" s="142"/>
      <c r="AF877" s="142"/>
      <c r="AG877" s="142"/>
      <c r="AH877" s="142"/>
      <c r="AI877" s="142"/>
      <c r="AJ877" s="142"/>
      <c r="AK877" s="142"/>
      <c r="AL877" s="142"/>
      <c r="AM877" s="143"/>
    </row>
    <row r="878">
      <c r="A878" s="144"/>
      <c r="B878" s="142"/>
      <c r="C878" s="142"/>
      <c r="D878" s="142"/>
      <c r="E878" s="142"/>
      <c r="F878" s="142"/>
      <c r="G878" s="142"/>
      <c r="H878" s="142"/>
      <c r="I878" s="142"/>
      <c r="J878" s="142"/>
      <c r="K878" s="142"/>
      <c r="L878" s="142"/>
      <c r="M878" s="142"/>
      <c r="N878" s="142"/>
      <c r="O878" s="142"/>
      <c r="P878" s="142"/>
      <c r="Q878" s="142"/>
      <c r="R878" s="142"/>
      <c r="S878" s="142"/>
      <c r="T878" s="142"/>
      <c r="U878" s="142"/>
      <c r="V878" s="142"/>
      <c r="W878" s="142"/>
      <c r="X878" s="142"/>
      <c r="Y878" s="142"/>
      <c r="Z878" s="142"/>
      <c r="AA878" s="142"/>
      <c r="AB878" s="142"/>
      <c r="AC878" s="142"/>
      <c r="AD878" s="142"/>
      <c r="AE878" s="142"/>
      <c r="AF878" s="142"/>
      <c r="AG878" s="142"/>
      <c r="AH878" s="142"/>
      <c r="AI878" s="142"/>
      <c r="AJ878" s="142"/>
      <c r="AK878" s="142"/>
      <c r="AL878" s="142"/>
      <c r="AM878" s="143"/>
    </row>
    <row r="879">
      <c r="A879" s="144"/>
      <c r="B879" s="142"/>
      <c r="C879" s="142"/>
      <c r="D879" s="142"/>
      <c r="E879" s="142"/>
      <c r="F879" s="142"/>
      <c r="G879" s="142"/>
      <c r="H879" s="142"/>
      <c r="I879" s="142"/>
      <c r="J879" s="142"/>
      <c r="K879" s="142"/>
      <c r="L879" s="142"/>
      <c r="M879" s="142"/>
      <c r="N879" s="142"/>
      <c r="O879" s="142"/>
      <c r="P879" s="142"/>
      <c r="Q879" s="142"/>
      <c r="R879" s="142"/>
      <c r="S879" s="142"/>
      <c r="T879" s="142"/>
      <c r="U879" s="142"/>
      <c r="V879" s="142"/>
      <c r="W879" s="142"/>
      <c r="X879" s="142"/>
      <c r="Y879" s="142"/>
      <c r="Z879" s="142"/>
      <c r="AA879" s="142"/>
      <c r="AB879" s="142"/>
      <c r="AC879" s="142"/>
      <c r="AD879" s="142"/>
      <c r="AE879" s="142"/>
      <c r="AF879" s="142"/>
      <c r="AG879" s="142"/>
      <c r="AH879" s="142"/>
      <c r="AI879" s="142"/>
      <c r="AJ879" s="142"/>
      <c r="AK879" s="142"/>
      <c r="AL879" s="142"/>
      <c r="AM879" s="143"/>
    </row>
    <row r="880">
      <c r="A880" s="144"/>
      <c r="B880" s="142"/>
      <c r="C880" s="142"/>
      <c r="D880" s="142"/>
      <c r="E880" s="142"/>
      <c r="F880" s="142"/>
      <c r="G880" s="142"/>
      <c r="H880" s="142"/>
      <c r="I880" s="142"/>
      <c r="J880" s="142"/>
      <c r="K880" s="142"/>
      <c r="L880" s="142"/>
      <c r="M880" s="142"/>
      <c r="N880" s="142"/>
      <c r="O880" s="142"/>
      <c r="P880" s="142"/>
      <c r="Q880" s="142"/>
      <c r="R880" s="142"/>
      <c r="S880" s="142"/>
      <c r="T880" s="142"/>
      <c r="U880" s="142"/>
      <c r="V880" s="142"/>
      <c r="W880" s="142"/>
      <c r="X880" s="142"/>
      <c r="Y880" s="142"/>
      <c r="Z880" s="142"/>
      <c r="AA880" s="142"/>
      <c r="AB880" s="142"/>
      <c r="AC880" s="142"/>
      <c r="AD880" s="142"/>
      <c r="AE880" s="142"/>
      <c r="AF880" s="142"/>
      <c r="AG880" s="142"/>
      <c r="AH880" s="142"/>
      <c r="AI880" s="142"/>
      <c r="AJ880" s="142"/>
      <c r="AK880" s="142"/>
      <c r="AL880" s="142"/>
      <c r="AM880" s="143"/>
    </row>
    <row r="881">
      <c r="A881" s="144"/>
      <c r="B881" s="142"/>
      <c r="C881" s="142"/>
      <c r="D881" s="142"/>
      <c r="E881" s="142"/>
      <c r="F881" s="142"/>
      <c r="G881" s="142"/>
      <c r="H881" s="142"/>
      <c r="I881" s="142"/>
      <c r="J881" s="142"/>
      <c r="K881" s="142"/>
      <c r="L881" s="142"/>
      <c r="M881" s="142"/>
      <c r="N881" s="142"/>
      <c r="O881" s="142"/>
      <c r="P881" s="142"/>
      <c r="Q881" s="142"/>
      <c r="R881" s="142"/>
      <c r="S881" s="142"/>
      <c r="T881" s="142"/>
      <c r="U881" s="142"/>
      <c r="V881" s="142"/>
      <c r="W881" s="142"/>
      <c r="X881" s="142"/>
      <c r="Y881" s="142"/>
      <c r="Z881" s="142"/>
      <c r="AA881" s="142"/>
      <c r="AB881" s="142"/>
      <c r="AC881" s="142"/>
      <c r="AD881" s="142"/>
      <c r="AE881" s="142"/>
      <c r="AF881" s="142"/>
      <c r="AG881" s="142"/>
      <c r="AH881" s="142"/>
      <c r="AI881" s="142"/>
      <c r="AJ881" s="142"/>
      <c r="AK881" s="142"/>
      <c r="AL881" s="142"/>
      <c r="AM881" s="143"/>
    </row>
    <row r="882">
      <c r="A882" s="144"/>
      <c r="B882" s="142"/>
      <c r="C882" s="142"/>
      <c r="D882" s="142"/>
      <c r="E882" s="142"/>
      <c r="F882" s="142"/>
      <c r="G882" s="142"/>
      <c r="H882" s="142"/>
      <c r="I882" s="142"/>
      <c r="J882" s="142"/>
      <c r="K882" s="142"/>
      <c r="L882" s="142"/>
      <c r="M882" s="142"/>
      <c r="N882" s="142"/>
      <c r="O882" s="142"/>
      <c r="P882" s="142"/>
      <c r="Q882" s="142"/>
      <c r="R882" s="142"/>
      <c r="S882" s="142"/>
      <c r="T882" s="142"/>
      <c r="U882" s="142"/>
      <c r="V882" s="142"/>
      <c r="W882" s="142"/>
      <c r="X882" s="142"/>
      <c r="Y882" s="142"/>
      <c r="Z882" s="142"/>
      <c r="AA882" s="142"/>
      <c r="AB882" s="142"/>
      <c r="AC882" s="142"/>
      <c r="AD882" s="142"/>
      <c r="AE882" s="142"/>
      <c r="AF882" s="142"/>
      <c r="AG882" s="142"/>
      <c r="AH882" s="142"/>
      <c r="AI882" s="142"/>
      <c r="AJ882" s="142"/>
      <c r="AK882" s="142"/>
      <c r="AL882" s="142"/>
      <c r="AM882" s="143"/>
    </row>
    <row r="883">
      <c r="A883" s="144"/>
      <c r="B883" s="142"/>
      <c r="C883" s="142"/>
      <c r="D883" s="142"/>
      <c r="E883" s="142"/>
      <c r="F883" s="142"/>
      <c r="G883" s="142"/>
      <c r="H883" s="142"/>
      <c r="I883" s="142"/>
      <c r="J883" s="142"/>
      <c r="K883" s="142"/>
      <c r="L883" s="142"/>
      <c r="M883" s="142"/>
      <c r="N883" s="142"/>
      <c r="O883" s="142"/>
      <c r="P883" s="142"/>
      <c r="Q883" s="142"/>
      <c r="R883" s="142"/>
      <c r="S883" s="142"/>
      <c r="T883" s="142"/>
      <c r="U883" s="142"/>
      <c r="V883" s="142"/>
      <c r="W883" s="142"/>
      <c r="X883" s="142"/>
      <c r="Y883" s="142"/>
      <c r="Z883" s="142"/>
      <c r="AA883" s="142"/>
      <c r="AB883" s="142"/>
      <c r="AC883" s="142"/>
      <c r="AD883" s="142"/>
      <c r="AE883" s="142"/>
      <c r="AF883" s="142"/>
      <c r="AG883" s="142"/>
      <c r="AH883" s="142"/>
      <c r="AI883" s="142"/>
      <c r="AJ883" s="142"/>
      <c r="AK883" s="142"/>
      <c r="AL883" s="142"/>
      <c r="AM883" s="143"/>
    </row>
    <row r="884">
      <c r="A884" s="144"/>
      <c r="B884" s="142"/>
      <c r="C884" s="142"/>
      <c r="D884" s="142"/>
      <c r="E884" s="142"/>
      <c r="F884" s="142"/>
      <c r="G884" s="142"/>
      <c r="H884" s="142"/>
      <c r="I884" s="142"/>
      <c r="J884" s="142"/>
      <c r="K884" s="142"/>
      <c r="L884" s="142"/>
      <c r="M884" s="142"/>
      <c r="N884" s="142"/>
      <c r="O884" s="142"/>
      <c r="P884" s="142"/>
      <c r="Q884" s="142"/>
      <c r="R884" s="142"/>
      <c r="S884" s="142"/>
      <c r="T884" s="142"/>
      <c r="U884" s="142"/>
      <c r="V884" s="142"/>
      <c r="W884" s="142"/>
      <c r="X884" s="142"/>
      <c r="Y884" s="142"/>
      <c r="Z884" s="142"/>
      <c r="AA884" s="142"/>
      <c r="AB884" s="142"/>
      <c r="AC884" s="142"/>
      <c r="AD884" s="142"/>
      <c r="AE884" s="142"/>
      <c r="AF884" s="142"/>
      <c r="AG884" s="142"/>
      <c r="AH884" s="142"/>
      <c r="AI884" s="142"/>
      <c r="AJ884" s="142"/>
      <c r="AK884" s="142"/>
      <c r="AL884" s="142"/>
      <c r="AM884" s="143"/>
    </row>
    <row r="885">
      <c r="A885" s="144"/>
      <c r="B885" s="142"/>
      <c r="C885" s="142"/>
      <c r="D885" s="142"/>
      <c r="E885" s="142"/>
      <c r="F885" s="142"/>
      <c r="G885" s="142"/>
      <c r="H885" s="142"/>
      <c r="I885" s="142"/>
      <c r="J885" s="142"/>
      <c r="K885" s="142"/>
      <c r="L885" s="142"/>
      <c r="M885" s="142"/>
      <c r="N885" s="142"/>
      <c r="O885" s="142"/>
      <c r="P885" s="142"/>
      <c r="Q885" s="142"/>
      <c r="R885" s="142"/>
      <c r="S885" s="142"/>
      <c r="T885" s="142"/>
      <c r="U885" s="142"/>
      <c r="V885" s="142"/>
      <c r="W885" s="142"/>
      <c r="X885" s="142"/>
      <c r="Y885" s="142"/>
      <c r="Z885" s="142"/>
      <c r="AA885" s="142"/>
      <c r="AB885" s="142"/>
      <c r="AC885" s="142"/>
      <c r="AD885" s="142"/>
      <c r="AE885" s="142"/>
      <c r="AF885" s="142"/>
      <c r="AG885" s="142"/>
      <c r="AH885" s="142"/>
      <c r="AI885" s="142"/>
      <c r="AJ885" s="142"/>
      <c r="AK885" s="142"/>
      <c r="AL885" s="142"/>
      <c r="AM885" s="143"/>
    </row>
    <row r="886">
      <c r="A886" s="144"/>
      <c r="B886" s="142"/>
      <c r="C886" s="142"/>
      <c r="D886" s="142"/>
      <c r="E886" s="142"/>
      <c r="F886" s="142"/>
      <c r="G886" s="142"/>
      <c r="H886" s="142"/>
      <c r="I886" s="142"/>
      <c r="J886" s="142"/>
      <c r="K886" s="142"/>
      <c r="L886" s="142"/>
      <c r="M886" s="142"/>
      <c r="N886" s="142"/>
      <c r="O886" s="142"/>
      <c r="P886" s="142"/>
      <c r="Q886" s="142"/>
      <c r="R886" s="142"/>
      <c r="S886" s="142"/>
      <c r="T886" s="142"/>
      <c r="U886" s="142"/>
      <c r="V886" s="142"/>
      <c r="W886" s="142"/>
      <c r="X886" s="142"/>
      <c r="Y886" s="142"/>
      <c r="Z886" s="142"/>
      <c r="AA886" s="142"/>
      <c r="AB886" s="142"/>
      <c r="AC886" s="142"/>
      <c r="AD886" s="142"/>
      <c r="AE886" s="142"/>
      <c r="AF886" s="142"/>
      <c r="AG886" s="142"/>
      <c r="AH886" s="142"/>
      <c r="AI886" s="142"/>
      <c r="AJ886" s="142"/>
      <c r="AK886" s="142"/>
      <c r="AL886" s="142"/>
      <c r="AM886" s="143"/>
    </row>
    <row r="887">
      <c r="A887" s="144"/>
      <c r="B887" s="142"/>
      <c r="C887" s="142"/>
      <c r="D887" s="142"/>
      <c r="E887" s="142"/>
      <c r="F887" s="142"/>
      <c r="G887" s="142"/>
      <c r="H887" s="142"/>
      <c r="I887" s="142"/>
      <c r="J887" s="142"/>
      <c r="K887" s="142"/>
      <c r="L887" s="142"/>
      <c r="M887" s="142"/>
      <c r="N887" s="142"/>
      <c r="O887" s="142"/>
      <c r="P887" s="142"/>
      <c r="Q887" s="142"/>
      <c r="R887" s="142"/>
      <c r="S887" s="142"/>
      <c r="T887" s="142"/>
      <c r="U887" s="142"/>
      <c r="V887" s="142"/>
      <c r="W887" s="142"/>
      <c r="X887" s="142"/>
      <c r="Y887" s="142"/>
      <c r="Z887" s="142"/>
      <c r="AA887" s="142"/>
      <c r="AB887" s="142"/>
      <c r="AC887" s="142"/>
      <c r="AD887" s="142"/>
      <c r="AE887" s="142"/>
      <c r="AF887" s="142"/>
      <c r="AG887" s="142"/>
      <c r="AH887" s="142"/>
      <c r="AI887" s="142"/>
      <c r="AJ887" s="142"/>
      <c r="AK887" s="142"/>
      <c r="AL887" s="142"/>
      <c r="AM887" s="143"/>
    </row>
    <row r="888">
      <c r="A888" s="144"/>
      <c r="B888" s="142"/>
      <c r="C888" s="142"/>
      <c r="D888" s="142"/>
      <c r="E888" s="142"/>
      <c r="F888" s="142"/>
      <c r="G888" s="142"/>
      <c r="H888" s="142"/>
      <c r="I888" s="142"/>
      <c r="J888" s="142"/>
      <c r="K888" s="142"/>
      <c r="L888" s="142"/>
      <c r="M888" s="142"/>
      <c r="N888" s="142"/>
      <c r="O888" s="142"/>
      <c r="P888" s="142"/>
      <c r="Q888" s="142"/>
      <c r="R888" s="142"/>
      <c r="S888" s="142"/>
      <c r="T888" s="142"/>
      <c r="U888" s="142"/>
      <c r="V888" s="142"/>
      <c r="W888" s="142"/>
      <c r="X888" s="142"/>
      <c r="Y888" s="142"/>
      <c r="Z888" s="142"/>
      <c r="AA888" s="142"/>
      <c r="AB888" s="142"/>
      <c r="AC888" s="142"/>
      <c r="AD888" s="142"/>
      <c r="AE888" s="142"/>
      <c r="AF888" s="142"/>
      <c r="AG888" s="142"/>
      <c r="AH888" s="142"/>
      <c r="AI888" s="142"/>
      <c r="AJ888" s="142"/>
      <c r="AK888" s="142"/>
      <c r="AL888" s="142"/>
      <c r="AM888" s="143"/>
    </row>
    <row r="889">
      <c r="A889" s="144"/>
      <c r="B889" s="142"/>
      <c r="C889" s="142"/>
      <c r="D889" s="142"/>
      <c r="E889" s="142"/>
      <c r="F889" s="142"/>
      <c r="G889" s="142"/>
      <c r="H889" s="142"/>
      <c r="I889" s="142"/>
      <c r="J889" s="142"/>
      <c r="K889" s="142"/>
      <c r="L889" s="142"/>
      <c r="M889" s="142"/>
      <c r="N889" s="142"/>
      <c r="O889" s="142"/>
      <c r="P889" s="142"/>
      <c r="Q889" s="142"/>
      <c r="R889" s="142"/>
      <c r="S889" s="142"/>
      <c r="T889" s="142"/>
      <c r="U889" s="142"/>
      <c r="V889" s="142"/>
      <c r="W889" s="142"/>
      <c r="X889" s="142"/>
      <c r="Y889" s="142"/>
      <c r="Z889" s="142"/>
      <c r="AA889" s="142"/>
      <c r="AB889" s="142"/>
      <c r="AC889" s="142"/>
      <c r="AD889" s="142"/>
      <c r="AE889" s="142"/>
      <c r="AF889" s="142"/>
      <c r="AG889" s="142"/>
      <c r="AH889" s="142"/>
      <c r="AI889" s="142"/>
      <c r="AJ889" s="142"/>
      <c r="AK889" s="142"/>
      <c r="AL889" s="142"/>
      <c r="AM889" s="143"/>
    </row>
    <row r="890">
      <c r="A890" s="144"/>
      <c r="B890" s="142"/>
      <c r="C890" s="142"/>
      <c r="D890" s="142"/>
      <c r="E890" s="142"/>
      <c r="F890" s="142"/>
      <c r="G890" s="142"/>
      <c r="H890" s="142"/>
      <c r="I890" s="142"/>
      <c r="J890" s="142"/>
      <c r="K890" s="142"/>
      <c r="L890" s="142"/>
      <c r="M890" s="142"/>
      <c r="N890" s="142"/>
      <c r="O890" s="142"/>
      <c r="P890" s="142"/>
      <c r="Q890" s="142"/>
      <c r="R890" s="142"/>
      <c r="S890" s="142"/>
      <c r="T890" s="142"/>
      <c r="U890" s="142"/>
      <c r="V890" s="142"/>
      <c r="W890" s="142"/>
      <c r="X890" s="142"/>
      <c r="Y890" s="142"/>
      <c r="Z890" s="142"/>
      <c r="AA890" s="142"/>
      <c r="AB890" s="142"/>
      <c r="AC890" s="142"/>
      <c r="AD890" s="142"/>
      <c r="AE890" s="142"/>
      <c r="AF890" s="142"/>
      <c r="AG890" s="142"/>
      <c r="AH890" s="142"/>
      <c r="AI890" s="142"/>
      <c r="AJ890" s="142"/>
      <c r="AK890" s="142"/>
      <c r="AL890" s="142"/>
      <c r="AM890" s="143"/>
    </row>
    <row r="891">
      <c r="A891" s="144"/>
      <c r="B891" s="142"/>
      <c r="C891" s="142"/>
      <c r="D891" s="142"/>
      <c r="E891" s="142"/>
      <c r="F891" s="142"/>
      <c r="G891" s="142"/>
      <c r="H891" s="142"/>
      <c r="I891" s="142"/>
      <c r="J891" s="142"/>
      <c r="K891" s="142"/>
      <c r="L891" s="142"/>
      <c r="M891" s="142"/>
      <c r="N891" s="142"/>
      <c r="O891" s="142"/>
      <c r="P891" s="142"/>
      <c r="Q891" s="142"/>
      <c r="R891" s="142"/>
      <c r="S891" s="142"/>
      <c r="T891" s="142"/>
      <c r="U891" s="142"/>
      <c r="V891" s="142"/>
      <c r="W891" s="142"/>
      <c r="X891" s="142"/>
      <c r="Y891" s="142"/>
      <c r="Z891" s="142"/>
      <c r="AA891" s="142"/>
      <c r="AB891" s="142"/>
      <c r="AC891" s="142"/>
      <c r="AD891" s="142"/>
      <c r="AE891" s="142"/>
      <c r="AF891" s="142"/>
      <c r="AG891" s="142"/>
      <c r="AH891" s="142"/>
      <c r="AI891" s="142"/>
      <c r="AJ891" s="142"/>
      <c r="AK891" s="142"/>
      <c r="AL891" s="142"/>
      <c r="AM891" s="143"/>
    </row>
    <row r="892">
      <c r="A892" s="144"/>
      <c r="B892" s="142"/>
      <c r="C892" s="142"/>
      <c r="D892" s="142"/>
      <c r="E892" s="142"/>
      <c r="F892" s="142"/>
      <c r="G892" s="142"/>
      <c r="H892" s="142"/>
      <c r="I892" s="142"/>
      <c r="J892" s="142"/>
      <c r="K892" s="142"/>
      <c r="L892" s="142"/>
      <c r="M892" s="142"/>
      <c r="N892" s="142"/>
      <c r="O892" s="142"/>
      <c r="P892" s="142"/>
      <c r="Q892" s="142"/>
      <c r="R892" s="142"/>
      <c r="S892" s="142"/>
      <c r="T892" s="142"/>
      <c r="U892" s="142"/>
      <c r="V892" s="142"/>
      <c r="W892" s="142"/>
      <c r="X892" s="142"/>
      <c r="Y892" s="142"/>
      <c r="Z892" s="142"/>
      <c r="AA892" s="142"/>
      <c r="AB892" s="142"/>
      <c r="AC892" s="142"/>
      <c r="AD892" s="142"/>
      <c r="AE892" s="142"/>
      <c r="AF892" s="142"/>
      <c r="AG892" s="142"/>
      <c r="AH892" s="142"/>
      <c r="AI892" s="142"/>
      <c r="AJ892" s="142"/>
      <c r="AK892" s="142"/>
      <c r="AL892" s="142"/>
      <c r="AM892" s="143"/>
    </row>
    <row r="893">
      <c r="A893" s="144"/>
      <c r="B893" s="142"/>
      <c r="C893" s="142"/>
      <c r="D893" s="142"/>
      <c r="E893" s="142"/>
      <c r="F893" s="142"/>
      <c r="G893" s="142"/>
      <c r="H893" s="142"/>
      <c r="I893" s="142"/>
      <c r="J893" s="142"/>
      <c r="K893" s="142"/>
      <c r="L893" s="142"/>
      <c r="M893" s="142"/>
      <c r="N893" s="142"/>
      <c r="O893" s="142"/>
      <c r="P893" s="142"/>
      <c r="Q893" s="142"/>
      <c r="R893" s="142"/>
      <c r="S893" s="142"/>
      <c r="T893" s="142"/>
      <c r="U893" s="142"/>
      <c r="V893" s="142"/>
      <c r="W893" s="142"/>
      <c r="X893" s="142"/>
      <c r="Y893" s="142"/>
      <c r="Z893" s="142"/>
      <c r="AA893" s="142"/>
      <c r="AB893" s="142"/>
      <c r="AC893" s="142"/>
      <c r="AD893" s="142"/>
      <c r="AE893" s="142"/>
      <c r="AF893" s="142"/>
      <c r="AG893" s="142"/>
      <c r="AH893" s="142"/>
      <c r="AI893" s="142"/>
      <c r="AJ893" s="142"/>
      <c r="AK893" s="142"/>
      <c r="AL893" s="142"/>
      <c r="AM893" s="143"/>
    </row>
    <row r="894">
      <c r="A894" s="144"/>
      <c r="B894" s="142"/>
      <c r="C894" s="142"/>
      <c r="D894" s="142"/>
      <c r="E894" s="142"/>
      <c r="F894" s="142"/>
      <c r="G894" s="142"/>
      <c r="H894" s="142"/>
      <c r="I894" s="142"/>
      <c r="J894" s="142"/>
      <c r="K894" s="142"/>
      <c r="L894" s="142"/>
      <c r="M894" s="142"/>
      <c r="N894" s="142"/>
      <c r="O894" s="142"/>
      <c r="P894" s="142"/>
      <c r="Q894" s="142"/>
      <c r="R894" s="142"/>
      <c r="S894" s="142"/>
      <c r="T894" s="142"/>
      <c r="U894" s="142"/>
      <c r="V894" s="142"/>
      <c r="W894" s="142"/>
      <c r="X894" s="142"/>
      <c r="Y894" s="142"/>
      <c r="Z894" s="142"/>
      <c r="AA894" s="142"/>
      <c r="AB894" s="142"/>
      <c r="AC894" s="142"/>
      <c r="AD894" s="142"/>
      <c r="AE894" s="142"/>
      <c r="AF894" s="142"/>
      <c r="AG894" s="142"/>
      <c r="AH894" s="142"/>
      <c r="AI894" s="142"/>
      <c r="AJ894" s="142"/>
      <c r="AK894" s="142"/>
      <c r="AL894" s="142"/>
      <c r="AM894" s="143"/>
    </row>
    <row r="895">
      <c r="A895" s="144"/>
      <c r="B895" s="142"/>
      <c r="C895" s="142"/>
      <c r="D895" s="142"/>
      <c r="E895" s="142"/>
      <c r="F895" s="142"/>
      <c r="G895" s="142"/>
      <c r="H895" s="142"/>
      <c r="I895" s="142"/>
      <c r="J895" s="142"/>
      <c r="K895" s="142"/>
      <c r="L895" s="142"/>
      <c r="M895" s="142"/>
      <c r="N895" s="142"/>
      <c r="O895" s="142"/>
      <c r="P895" s="142"/>
      <c r="Q895" s="142"/>
      <c r="R895" s="142"/>
      <c r="S895" s="142"/>
      <c r="T895" s="142"/>
      <c r="U895" s="142"/>
      <c r="V895" s="142"/>
      <c r="W895" s="142"/>
      <c r="X895" s="142"/>
      <c r="Y895" s="142"/>
      <c r="Z895" s="142"/>
      <c r="AA895" s="142"/>
      <c r="AB895" s="142"/>
      <c r="AC895" s="142"/>
      <c r="AD895" s="142"/>
      <c r="AE895" s="142"/>
      <c r="AF895" s="142"/>
      <c r="AG895" s="142"/>
      <c r="AH895" s="142"/>
      <c r="AI895" s="142"/>
      <c r="AJ895" s="142"/>
      <c r="AK895" s="142"/>
      <c r="AL895" s="142"/>
      <c r="AM895" s="143"/>
    </row>
    <row r="896">
      <c r="A896" s="144"/>
      <c r="B896" s="142"/>
      <c r="C896" s="142"/>
      <c r="D896" s="142"/>
      <c r="E896" s="142"/>
      <c r="F896" s="142"/>
      <c r="G896" s="142"/>
      <c r="H896" s="142"/>
      <c r="I896" s="142"/>
      <c r="J896" s="142"/>
      <c r="K896" s="142"/>
      <c r="L896" s="142"/>
      <c r="M896" s="142"/>
      <c r="N896" s="142"/>
      <c r="O896" s="142"/>
      <c r="P896" s="142"/>
      <c r="Q896" s="142"/>
      <c r="R896" s="142"/>
      <c r="S896" s="142"/>
      <c r="T896" s="142"/>
      <c r="U896" s="142"/>
      <c r="V896" s="142"/>
      <c r="W896" s="142"/>
      <c r="X896" s="142"/>
      <c r="Y896" s="142"/>
      <c r="Z896" s="142"/>
      <c r="AA896" s="142"/>
      <c r="AB896" s="142"/>
      <c r="AC896" s="142"/>
      <c r="AD896" s="142"/>
      <c r="AE896" s="142"/>
      <c r="AF896" s="142"/>
      <c r="AG896" s="142"/>
      <c r="AH896" s="142"/>
      <c r="AI896" s="142"/>
      <c r="AJ896" s="142"/>
      <c r="AK896" s="142"/>
      <c r="AL896" s="142"/>
      <c r="AM896" s="143"/>
    </row>
    <row r="897">
      <c r="A897" s="144"/>
      <c r="B897" s="142"/>
      <c r="C897" s="142"/>
      <c r="D897" s="142"/>
      <c r="E897" s="142"/>
      <c r="F897" s="142"/>
      <c r="G897" s="142"/>
      <c r="H897" s="142"/>
      <c r="I897" s="142"/>
      <c r="J897" s="142"/>
      <c r="K897" s="142"/>
      <c r="L897" s="142"/>
      <c r="M897" s="142"/>
      <c r="N897" s="142"/>
      <c r="O897" s="142"/>
      <c r="P897" s="142"/>
      <c r="Q897" s="142"/>
      <c r="R897" s="142"/>
      <c r="S897" s="142"/>
      <c r="T897" s="142"/>
      <c r="U897" s="142"/>
      <c r="V897" s="142"/>
      <c r="W897" s="142"/>
      <c r="X897" s="142"/>
      <c r="Y897" s="142"/>
      <c r="Z897" s="142"/>
      <c r="AA897" s="142"/>
      <c r="AB897" s="142"/>
      <c r="AC897" s="142"/>
      <c r="AD897" s="142"/>
      <c r="AE897" s="142"/>
      <c r="AF897" s="142"/>
      <c r="AG897" s="142"/>
      <c r="AH897" s="142"/>
      <c r="AI897" s="142"/>
      <c r="AJ897" s="142"/>
      <c r="AK897" s="142"/>
      <c r="AL897" s="142"/>
      <c r="AM897" s="143"/>
    </row>
    <row r="898">
      <c r="A898" s="144"/>
      <c r="B898" s="142"/>
      <c r="C898" s="142"/>
      <c r="D898" s="142"/>
      <c r="E898" s="142"/>
      <c r="F898" s="142"/>
      <c r="G898" s="142"/>
      <c r="H898" s="142"/>
      <c r="I898" s="142"/>
      <c r="J898" s="142"/>
      <c r="K898" s="142"/>
      <c r="L898" s="142"/>
      <c r="M898" s="142"/>
      <c r="N898" s="142"/>
      <c r="O898" s="142"/>
      <c r="P898" s="142"/>
      <c r="Q898" s="142"/>
      <c r="R898" s="142"/>
      <c r="S898" s="142"/>
      <c r="T898" s="142"/>
      <c r="U898" s="142"/>
      <c r="V898" s="142"/>
      <c r="W898" s="142"/>
      <c r="X898" s="142"/>
      <c r="Y898" s="142"/>
      <c r="Z898" s="142"/>
      <c r="AA898" s="142"/>
      <c r="AB898" s="142"/>
      <c r="AC898" s="142"/>
      <c r="AD898" s="142"/>
      <c r="AE898" s="142"/>
      <c r="AF898" s="142"/>
      <c r="AG898" s="142"/>
      <c r="AH898" s="142"/>
      <c r="AI898" s="142"/>
      <c r="AJ898" s="142"/>
      <c r="AK898" s="142"/>
      <c r="AL898" s="142"/>
      <c r="AM898" s="143"/>
    </row>
    <row r="899">
      <c r="A899" s="144"/>
      <c r="B899" s="142"/>
      <c r="C899" s="142"/>
      <c r="D899" s="142"/>
      <c r="E899" s="142"/>
      <c r="F899" s="142"/>
      <c r="G899" s="142"/>
      <c r="H899" s="142"/>
      <c r="I899" s="142"/>
      <c r="J899" s="142"/>
      <c r="K899" s="142"/>
      <c r="L899" s="142"/>
      <c r="M899" s="142"/>
      <c r="N899" s="142"/>
      <c r="O899" s="142"/>
      <c r="P899" s="142"/>
      <c r="Q899" s="142"/>
      <c r="R899" s="142"/>
      <c r="S899" s="142"/>
      <c r="T899" s="142"/>
      <c r="U899" s="142"/>
      <c r="V899" s="142"/>
      <c r="W899" s="142"/>
      <c r="X899" s="142"/>
      <c r="Y899" s="142"/>
      <c r="Z899" s="142"/>
      <c r="AA899" s="142"/>
      <c r="AB899" s="142"/>
      <c r="AC899" s="142"/>
      <c r="AD899" s="142"/>
      <c r="AE899" s="142"/>
      <c r="AF899" s="142"/>
      <c r="AG899" s="142"/>
      <c r="AH899" s="142"/>
      <c r="AI899" s="142"/>
      <c r="AJ899" s="142"/>
      <c r="AK899" s="142"/>
      <c r="AL899" s="142"/>
      <c r="AM899" s="143"/>
    </row>
    <row r="900">
      <c r="A900" s="144"/>
      <c r="B900" s="142"/>
      <c r="C900" s="142"/>
      <c r="D900" s="142"/>
      <c r="E900" s="142"/>
      <c r="F900" s="142"/>
      <c r="G900" s="142"/>
      <c r="H900" s="142"/>
      <c r="I900" s="142"/>
      <c r="J900" s="142"/>
      <c r="K900" s="142"/>
      <c r="L900" s="142"/>
      <c r="M900" s="142"/>
      <c r="N900" s="142"/>
      <c r="O900" s="142"/>
      <c r="P900" s="142"/>
      <c r="Q900" s="142"/>
      <c r="R900" s="142"/>
      <c r="S900" s="142"/>
      <c r="T900" s="142"/>
      <c r="U900" s="142"/>
      <c r="V900" s="142"/>
      <c r="W900" s="142"/>
      <c r="X900" s="142"/>
      <c r="Y900" s="142"/>
      <c r="Z900" s="142"/>
      <c r="AA900" s="142"/>
      <c r="AB900" s="142"/>
      <c r="AC900" s="142"/>
      <c r="AD900" s="142"/>
      <c r="AE900" s="142"/>
      <c r="AF900" s="142"/>
      <c r="AG900" s="142"/>
      <c r="AH900" s="142"/>
      <c r="AI900" s="142"/>
      <c r="AJ900" s="142"/>
      <c r="AK900" s="142"/>
      <c r="AL900" s="142"/>
      <c r="AM900" s="143"/>
    </row>
    <row r="901">
      <c r="A901" s="144"/>
      <c r="B901" s="142"/>
      <c r="C901" s="142"/>
      <c r="D901" s="142"/>
      <c r="E901" s="142"/>
      <c r="F901" s="142"/>
      <c r="G901" s="142"/>
      <c r="H901" s="142"/>
      <c r="I901" s="142"/>
      <c r="J901" s="142"/>
      <c r="K901" s="142"/>
      <c r="L901" s="142"/>
      <c r="M901" s="142"/>
      <c r="N901" s="142"/>
      <c r="O901" s="142"/>
      <c r="P901" s="142"/>
      <c r="Q901" s="142"/>
      <c r="R901" s="142"/>
      <c r="S901" s="142"/>
      <c r="T901" s="142"/>
      <c r="U901" s="142"/>
      <c r="V901" s="142"/>
      <c r="W901" s="142"/>
      <c r="X901" s="142"/>
      <c r="Y901" s="142"/>
      <c r="Z901" s="142"/>
      <c r="AA901" s="142"/>
      <c r="AB901" s="142"/>
      <c r="AC901" s="142"/>
      <c r="AD901" s="142"/>
      <c r="AE901" s="142"/>
      <c r="AF901" s="142"/>
      <c r="AG901" s="142"/>
      <c r="AH901" s="142"/>
      <c r="AI901" s="142"/>
      <c r="AJ901" s="142"/>
      <c r="AK901" s="142"/>
      <c r="AL901" s="142"/>
      <c r="AM901" s="143"/>
    </row>
    <row r="902">
      <c r="A902" s="144"/>
      <c r="B902" s="142"/>
      <c r="C902" s="142"/>
      <c r="D902" s="142"/>
      <c r="E902" s="142"/>
      <c r="F902" s="142"/>
      <c r="G902" s="142"/>
      <c r="H902" s="142"/>
      <c r="I902" s="142"/>
      <c r="J902" s="142"/>
      <c r="K902" s="142"/>
      <c r="L902" s="142"/>
      <c r="M902" s="142"/>
      <c r="N902" s="142"/>
      <c r="O902" s="142"/>
      <c r="P902" s="142"/>
      <c r="Q902" s="142"/>
      <c r="R902" s="142"/>
      <c r="S902" s="142"/>
      <c r="T902" s="142"/>
      <c r="U902" s="142"/>
      <c r="V902" s="142"/>
      <c r="W902" s="142"/>
      <c r="X902" s="142"/>
      <c r="Y902" s="142"/>
      <c r="Z902" s="142"/>
      <c r="AA902" s="142"/>
      <c r="AB902" s="142"/>
      <c r="AC902" s="142"/>
      <c r="AD902" s="142"/>
      <c r="AE902" s="142"/>
      <c r="AF902" s="142"/>
      <c r="AG902" s="142"/>
      <c r="AH902" s="142"/>
      <c r="AI902" s="142"/>
      <c r="AJ902" s="142"/>
      <c r="AK902" s="142"/>
      <c r="AL902" s="142"/>
      <c r="AM902" s="143"/>
    </row>
    <row r="903">
      <c r="A903" s="144"/>
      <c r="B903" s="142"/>
      <c r="C903" s="142"/>
      <c r="D903" s="142"/>
      <c r="E903" s="142"/>
      <c r="F903" s="142"/>
      <c r="G903" s="142"/>
      <c r="H903" s="142"/>
      <c r="I903" s="142"/>
      <c r="J903" s="142"/>
      <c r="K903" s="142"/>
      <c r="L903" s="142"/>
      <c r="M903" s="142"/>
      <c r="N903" s="142"/>
      <c r="O903" s="142"/>
      <c r="P903" s="142"/>
      <c r="Q903" s="142"/>
      <c r="R903" s="142"/>
      <c r="S903" s="142"/>
      <c r="T903" s="142"/>
      <c r="U903" s="142"/>
      <c r="V903" s="142"/>
      <c r="W903" s="142"/>
      <c r="X903" s="142"/>
      <c r="Y903" s="142"/>
      <c r="Z903" s="142"/>
      <c r="AA903" s="142"/>
      <c r="AB903" s="142"/>
      <c r="AC903" s="142"/>
      <c r="AD903" s="142"/>
      <c r="AE903" s="142"/>
      <c r="AF903" s="142"/>
      <c r="AG903" s="142"/>
      <c r="AH903" s="142"/>
      <c r="AI903" s="142"/>
      <c r="AJ903" s="142"/>
      <c r="AK903" s="142"/>
      <c r="AL903" s="142"/>
      <c r="AM903" s="143"/>
    </row>
    <row r="904">
      <c r="A904" s="144"/>
      <c r="B904" s="142"/>
      <c r="C904" s="142"/>
      <c r="D904" s="142"/>
      <c r="E904" s="142"/>
      <c r="F904" s="142"/>
      <c r="G904" s="142"/>
      <c r="H904" s="142"/>
      <c r="I904" s="142"/>
      <c r="J904" s="142"/>
      <c r="K904" s="142"/>
      <c r="L904" s="142"/>
      <c r="M904" s="142"/>
      <c r="N904" s="142"/>
      <c r="O904" s="142"/>
      <c r="P904" s="142"/>
      <c r="Q904" s="142"/>
      <c r="R904" s="142"/>
      <c r="S904" s="142"/>
      <c r="T904" s="142"/>
      <c r="U904" s="142"/>
      <c r="V904" s="142"/>
      <c r="W904" s="142"/>
      <c r="X904" s="142"/>
      <c r="Y904" s="142"/>
      <c r="Z904" s="142"/>
      <c r="AA904" s="142"/>
      <c r="AB904" s="142"/>
      <c r="AC904" s="142"/>
      <c r="AD904" s="142"/>
      <c r="AE904" s="142"/>
      <c r="AF904" s="142"/>
      <c r="AG904" s="142"/>
      <c r="AH904" s="142"/>
      <c r="AI904" s="142"/>
      <c r="AJ904" s="142"/>
      <c r="AK904" s="142"/>
      <c r="AL904" s="142"/>
      <c r="AM904" s="143"/>
    </row>
    <row r="905">
      <c r="A905" s="144"/>
      <c r="B905" s="142"/>
      <c r="C905" s="142"/>
      <c r="D905" s="142"/>
      <c r="E905" s="142"/>
      <c r="F905" s="142"/>
      <c r="G905" s="142"/>
      <c r="H905" s="142"/>
      <c r="I905" s="142"/>
      <c r="J905" s="142"/>
      <c r="K905" s="142"/>
      <c r="L905" s="142"/>
      <c r="M905" s="142"/>
      <c r="N905" s="142"/>
      <c r="O905" s="142"/>
      <c r="P905" s="142"/>
      <c r="Q905" s="142"/>
      <c r="R905" s="142"/>
      <c r="S905" s="142"/>
      <c r="T905" s="142"/>
      <c r="U905" s="142"/>
      <c r="V905" s="142"/>
      <c r="W905" s="142"/>
      <c r="X905" s="142"/>
      <c r="Y905" s="142"/>
      <c r="Z905" s="142"/>
      <c r="AA905" s="142"/>
      <c r="AB905" s="142"/>
      <c r="AC905" s="142"/>
      <c r="AD905" s="142"/>
      <c r="AE905" s="142"/>
      <c r="AF905" s="142"/>
      <c r="AG905" s="142"/>
      <c r="AH905" s="142"/>
      <c r="AI905" s="142"/>
      <c r="AJ905" s="142"/>
      <c r="AK905" s="142"/>
      <c r="AL905" s="142"/>
      <c r="AM905" s="143"/>
    </row>
    <row r="906">
      <c r="A906" s="144"/>
      <c r="B906" s="142"/>
      <c r="C906" s="142"/>
      <c r="D906" s="142"/>
      <c r="E906" s="142"/>
      <c r="F906" s="142"/>
      <c r="G906" s="142"/>
      <c r="H906" s="142"/>
      <c r="I906" s="142"/>
      <c r="J906" s="142"/>
      <c r="K906" s="142"/>
      <c r="L906" s="142"/>
      <c r="M906" s="142"/>
      <c r="N906" s="142"/>
      <c r="O906" s="142"/>
      <c r="P906" s="142"/>
      <c r="Q906" s="142"/>
      <c r="R906" s="142"/>
      <c r="S906" s="142"/>
      <c r="T906" s="142"/>
      <c r="U906" s="142"/>
      <c r="V906" s="142"/>
      <c r="W906" s="142"/>
      <c r="X906" s="142"/>
      <c r="Y906" s="142"/>
      <c r="Z906" s="142"/>
      <c r="AA906" s="142"/>
      <c r="AB906" s="142"/>
      <c r="AC906" s="142"/>
      <c r="AD906" s="142"/>
      <c r="AE906" s="142"/>
      <c r="AF906" s="142"/>
      <c r="AG906" s="142"/>
      <c r="AH906" s="142"/>
      <c r="AI906" s="142"/>
      <c r="AJ906" s="142"/>
      <c r="AK906" s="142"/>
      <c r="AL906" s="142"/>
      <c r="AM906" s="143"/>
    </row>
    <row r="907">
      <c r="A907" s="144"/>
      <c r="B907" s="142"/>
      <c r="C907" s="142"/>
      <c r="D907" s="142"/>
      <c r="E907" s="142"/>
      <c r="F907" s="142"/>
      <c r="G907" s="142"/>
      <c r="H907" s="142"/>
      <c r="I907" s="142"/>
      <c r="J907" s="142"/>
      <c r="K907" s="142"/>
      <c r="L907" s="142"/>
      <c r="M907" s="142"/>
      <c r="N907" s="142"/>
      <c r="O907" s="142"/>
      <c r="P907" s="142"/>
      <c r="Q907" s="142"/>
      <c r="R907" s="142"/>
      <c r="S907" s="142"/>
      <c r="T907" s="142"/>
      <c r="U907" s="142"/>
      <c r="V907" s="142"/>
      <c r="W907" s="142"/>
      <c r="X907" s="142"/>
      <c r="Y907" s="142"/>
      <c r="Z907" s="142"/>
      <c r="AA907" s="142"/>
      <c r="AB907" s="142"/>
      <c r="AC907" s="142"/>
      <c r="AD907" s="142"/>
      <c r="AE907" s="142"/>
      <c r="AF907" s="142"/>
      <c r="AG907" s="142"/>
      <c r="AH907" s="142"/>
      <c r="AI907" s="142"/>
      <c r="AJ907" s="142"/>
      <c r="AK907" s="142"/>
      <c r="AL907" s="142"/>
      <c r="AM907" s="143"/>
    </row>
    <row r="908">
      <c r="A908" s="144"/>
      <c r="B908" s="142"/>
      <c r="C908" s="142"/>
      <c r="D908" s="142"/>
      <c r="E908" s="142"/>
      <c r="F908" s="142"/>
      <c r="G908" s="142"/>
      <c r="H908" s="142"/>
      <c r="I908" s="142"/>
      <c r="J908" s="142"/>
      <c r="K908" s="142"/>
      <c r="L908" s="142"/>
      <c r="M908" s="142"/>
      <c r="N908" s="142"/>
      <c r="O908" s="142"/>
      <c r="P908" s="142"/>
      <c r="Q908" s="142"/>
      <c r="R908" s="142"/>
      <c r="S908" s="142"/>
      <c r="T908" s="142"/>
      <c r="U908" s="142"/>
      <c r="V908" s="142"/>
      <c r="W908" s="142"/>
      <c r="X908" s="142"/>
      <c r="Y908" s="142"/>
      <c r="Z908" s="142"/>
      <c r="AA908" s="142"/>
      <c r="AB908" s="142"/>
      <c r="AC908" s="142"/>
      <c r="AD908" s="142"/>
      <c r="AE908" s="142"/>
      <c r="AF908" s="142"/>
      <c r="AG908" s="142"/>
      <c r="AH908" s="142"/>
      <c r="AI908" s="142"/>
      <c r="AJ908" s="142"/>
      <c r="AK908" s="142"/>
      <c r="AL908" s="142"/>
      <c r="AM908" s="143"/>
    </row>
    <row r="909">
      <c r="A909" s="144"/>
      <c r="B909" s="142"/>
      <c r="C909" s="142"/>
      <c r="D909" s="142"/>
      <c r="E909" s="142"/>
      <c r="F909" s="142"/>
      <c r="G909" s="142"/>
      <c r="H909" s="142"/>
      <c r="I909" s="142"/>
      <c r="J909" s="142"/>
      <c r="K909" s="142"/>
      <c r="L909" s="142"/>
      <c r="M909" s="142"/>
      <c r="N909" s="142"/>
      <c r="O909" s="142"/>
      <c r="P909" s="142"/>
      <c r="Q909" s="142"/>
      <c r="R909" s="142"/>
      <c r="S909" s="142"/>
      <c r="T909" s="142"/>
      <c r="U909" s="142"/>
      <c r="V909" s="142"/>
      <c r="W909" s="142"/>
      <c r="X909" s="142"/>
      <c r="Y909" s="142"/>
      <c r="Z909" s="142"/>
      <c r="AA909" s="142"/>
      <c r="AB909" s="142"/>
      <c r="AC909" s="142"/>
      <c r="AD909" s="142"/>
      <c r="AE909" s="142"/>
      <c r="AF909" s="142"/>
      <c r="AG909" s="142"/>
      <c r="AH909" s="142"/>
      <c r="AI909" s="142"/>
      <c r="AJ909" s="142"/>
      <c r="AK909" s="142"/>
      <c r="AL909" s="142"/>
      <c r="AM909" s="143"/>
    </row>
    <row r="910">
      <c r="A910" s="144"/>
      <c r="B910" s="142"/>
      <c r="C910" s="142"/>
      <c r="D910" s="142"/>
      <c r="E910" s="142"/>
      <c r="F910" s="142"/>
      <c r="G910" s="142"/>
      <c r="H910" s="142"/>
      <c r="I910" s="142"/>
      <c r="J910" s="142"/>
      <c r="K910" s="142"/>
      <c r="L910" s="142"/>
      <c r="M910" s="142"/>
      <c r="N910" s="142"/>
      <c r="O910" s="142"/>
      <c r="P910" s="142"/>
      <c r="Q910" s="142"/>
      <c r="R910" s="142"/>
      <c r="S910" s="142"/>
      <c r="T910" s="142"/>
      <c r="U910" s="142"/>
      <c r="V910" s="142"/>
      <c r="W910" s="142"/>
      <c r="X910" s="142"/>
      <c r="Y910" s="142"/>
      <c r="Z910" s="142"/>
      <c r="AA910" s="142"/>
      <c r="AB910" s="142"/>
      <c r="AC910" s="142"/>
      <c r="AD910" s="142"/>
      <c r="AE910" s="142"/>
      <c r="AF910" s="142"/>
      <c r="AG910" s="142"/>
      <c r="AH910" s="142"/>
      <c r="AI910" s="142"/>
      <c r="AJ910" s="142"/>
      <c r="AK910" s="142"/>
      <c r="AL910" s="142"/>
      <c r="AM910" s="143"/>
    </row>
    <row r="911">
      <c r="A911" s="144"/>
      <c r="B911" s="142"/>
      <c r="C911" s="142"/>
      <c r="D911" s="142"/>
      <c r="E911" s="142"/>
      <c r="F911" s="142"/>
      <c r="G911" s="142"/>
      <c r="H911" s="142"/>
      <c r="I911" s="142"/>
      <c r="J911" s="142"/>
      <c r="K911" s="142"/>
      <c r="L911" s="142"/>
      <c r="M911" s="142"/>
      <c r="N911" s="142"/>
      <c r="O911" s="142"/>
      <c r="P911" s="142"/>
      <c r="Q911" s="142"/>
      <c r="R911" s="142"/>
      <c r="S911" s="142"/>
      <c r="T911" s="142"/>
      <c r="U911" s="142"/>
      <c r="V911" s="142"/>
      <c r="W911" s="142"/>
      <c r="X911" s="142"/>
      <c r="Y911" s="142"/>
      <c r="Z911" s="142"/>
      <c r="AA911" s="142"/>
      <c r="AB911" s="142"/>
      <c r="AC911" s="142"/>
      <c r="AD911" s="142"/>
      <c r="AE911" s="142"/>
      <c r="AF911" s="142"/>
      <c r="AG911" s="142"/>
      <c r="AH911" s="142"/>
      <c r="AI911" s="142"/>
      <c r="AJ911" s="142"/>
      <c r="AK911" s="142"/>
      <c r="AL911" s="142"/>
      <c r="AM911" s="143"/>
    </row>
    <row r="912">
      <c r="A912" s="144"/>
      <c r="B912" s="142"/>
      <c r="C912" s="142"/>
      <c r="D912" s="142"/>
      <c r="E912" s="142"/>
      <c r="F912" s="142"/>
      <c r="G912" s="142"/>
      <c r="H912" s="142"/>
      <c r="I912" s="142"/>
      <c r="J912" s="142"/>
      <c r="K912" s="142"/>
      <c r="L912" s="142"/>
      <c r="M912" s="142"/>
      <c r="N912" s="142"/>
      <c r="O912" s="142"/>
      <c r="P912" s="142"/>
      <c r="Q912" s="142"/>
      <c r="R912" s="142"/>
      <c r="S912" s="142"/>
      <c r="T912" s="142"/>
      <c r="U912" s="142"/>
      <c r="V912" s="142"/>
      <c r="W912" s="142"/>
      <c r="X912" s="142"/>
      <c r="Y912" s="142"/>
      <c r="Z912" s="142"/>
      <c r="AA912" s="142"/>
      <c r="AB912" s="142"/>
      <c r="AC912" s="142"/>
      <c r="AD912" s="142"/>
      <c r="AE912" s="142"/>
      <c r="AF912" s="142"/>
      <c r="AG912" s="142"/>
      <c r="AH912" s="142"/>
      <c r="AI912" s="142"/>
      <c r="AJ912" s="142"/>
      <c r="AK912" s="142"/>
      <c r="AL912" s="142"/>
      <c r="AM912" s="143"/>
    </row>
    <row r="913">
      <c r="A913" s="144"/>
      <c r="B913" s="142"/>
      <c r="C913" s="142"/>
      <c r="D913" s="142"/>
      <c r="E913" s="142"/>
      <c r="F913" s="142"/>
      <c r="G913" s="142"/>
      <c r="H913" s="142"/>
      <c r="I913" s="142"/>
      <c r="J913" s="142"/>
      <c r="K913" s="142"/>
      <c r="L913" s="142"/>
      <c r="M913" s="142"/>
      <c r="N913" s="142"/>
      <c r="O913" s="142"/>
      <c r="P913" s="142"/>
      <c r="Q913" s="142"/>
      <c r="R913" s="142"/>
      <c r="S913" s="142"/>
      <c r="T913" s="142"/>
      <c r="U913" s="142"/>
      <c r="V913" s="142"/>
      <c r="W913" s="142"/>
      <c r="X913" s="142"/>
      <c r="Y913" s="142"/>
      <c r="Z913" s="142"/>
      <c r="AA913" s="142"/>
      <c r="AB913" s="142"/>
      <c r="AC913" s="142"/>
      <c r="AD913" s="142"/>
      <c r="AE913" s="142"/>
      <c r="AF913" s="142"/>
      <c r="AG913" s="142"/>
      <c r="AH913" s="142"/>
      <c r="AI913" s="142"/>
      <c r="AJ913" s="142"/>
      <c r="AK913" s="142"/>
      <c r="AL913" s="142"/>
      <c r="AM913" s="143"/>
    </row>
    <row r="914">
      <c r="A914" s="144"/>
      <c r="B914" s="142"/>
      <c r="C914" s="142"/>
      <c r="D914" s="142"/>
      <c r="E914" s="142"/>
      <c r="F914" s="142"/>
      <c r="G914" s="142"/>
      <c r="H914" s="142"/>
      <c r="I914" s="142"/>
      <c r="J914" s="142"/>
      <c r="K914" s="142"/>
      <c r="L914" s="142"/>
      <c r="M914" s="142"/>
      <c r="N914" s="142"/>
      <c r="O914" s="142"/>
      <c r="P914" s="142"/>
      <c r="Q914" s="142"/>
      <c r="R914" s="142"/>
      <c r="S914" s="142"/>
      <c r="T914" s="142"/>
      <c r="U914" s="142"/>
      <c r="V914" s="142"/>
      <c r="W914" s="142"/>
      <c r="X914" s="142"/>
      <c r="Y914" s="142"/>
      <c r="Z914" s="142"/>
      <c r="AA914" s="142"/>
      <c r="AB914" s="142"/>
      <c r="AC914" s="142"/>
      <c r="AD914" s="142"/>
      <c r="AE914" s="142"/>
      <c r="AF914" s="142"/>
      <c r="AG914" s="142"/>
      <c r="AH914" s="142"/>
      <c r="AI914" s="142"/>
      <c r="AJ914" s="142"/>
      <c r="AK914" s="142"/>
      <c r="AL914" s="142"/>
      <c r="AM914" s="143"/>
    </row>
    <row r="915">
      <c r="A915" s="144"/>
      <c r="B915" s="142"/>
      <c r="C915" s="142"/>
      <c r="D915" s="142"/>
      <c r="E915" s="142"/>
      <c r="F915" s="142"/>
      <c r="G915" s="142"/>
      <c r="H915" s="142"/>
      <c r="I915" s="142"/>
      <c r="J915" s="142"/>
      <c r="K915" s="142"/>
      <c r="L915" s="142"/>
      <c r="M915" s="142"/>
      <c r="N915" s="142"/>
      <c r="O915" s="142"/>
      <c r="P915" s="142"/>
      <c r="Q915" s="142"/>
      <c r="R915" s="142"/>
      <c r="S915" s="142"/>
      <c r="T915" s="142"/>
      <c r="U915" s="142"/>
      <c r="V915" s="142"/>
      <c r="W915" s="142"/>
      <c r="X915" s="142"/>
      <c r="Y915" s="142"/>
      <c r="Z915" s="142"/>
      <c r="AA915" s="142"/>
      <c r="AB915" s="142"/>
      <c r="AC915" s="142"/>
      <c r="AD915" s="142"/>
      <c r="AE915" s="142"/>
      <c r="AF915" s="142"/>
      <c r="AG915" s="142"/>
      <c r="AH915" s="142"/>
      <c r="AI915" s="142"/>
      <c r="AJ915" s="142"/>
      <c r="AK915" s="142"/>
      <c r="AL915" s="142"/>
      <c r="AM915" s="143"/>
    </row>
    <row r="916">
      <c r="A916" s="144"/>
      <c r="B916" s="142"/>
      <c r="C916" s="142"/>
      <c r="D916" s="142"/>
      <c r="E916" s="142"/>
      <c r="F916" s="142"/>
      <c r="G916" s="142"/>
      <c r="H916" s="142"/>
      <c r="I916" s="142"/>
      <c r="J916" s="142"/>
      <c r="K916" s="142"/>
      <c r="L916" s="142"/>
      <c r="M916" s="142"/>
      <c r="N916" s="142"/>
      <c r="O916" s="142"/>
      <c r="P916" s="142"/>
      <c r="Q916" s="142"/>
      <c r="R916" s="142"/>
      <c r="S916" s="142"/>
      <c r="T916" s="142"/>
      <c r="U916" s="142"/>
      <c r="V916" s="142"/>
      <c r="W916" s="142"/>
      <c r="X916" s="142"/>
      <c r="Y916" s="142"/>
      <c r="Z916" s="142"/>
      <c r="AA916" s="142"/>
      <c r="AB916" s="142"/>
      <c r="AC916" s="142"/>
      <c r="AD916" s="142"/>
      <c r="AE916" s="142"/>
      <c r="AF916" s="142"/>
      <c r="AG916" s="142"/>
      <c r="AH916" s="142"/>
      <c r="AI916" s="142"/>
      <c r="AJ916" s="142"/>
      <c r="AK916" s="142"/>
      <c r="AL916" s="142"/>
      <c r="AM916" s="143"/>
    </row>
    <row r="917">
      <c r="A917" s="144"/>
      <c r="B917" s="142"/>
      <c r="C917" s="142"/>
      <c r="D917" s="142"/>
      <c r="E917" s="142"/>
      <c r="F917" s="142"/>
      <c r="G917" s="142"/>
      <c r="H917" s="142"/>
      <c r="I917" s="142"/>
      <c r="J917" s="142"/>
      <c r="K917" s="142"/>
      <c r="L917" s="142"/>
      <c r="M917" s="142"/>
      <c r="N917" s="142"/>
      <c r="O917" s="142"/>
      <c r="P917" s="142"/>
      <c r="Q917" s="142"/>
      <c r="R917" s="142"/>
      <c r="S917" s="142"/>
      <c r="T917" s="142"/>
      <c r="U917" s="142"/>
      <c r="V917" s="142"/>
      <c r="W917" s="142"/>
      <c r="X917" s="142"/>
      <c r="Y917" s="142"/>
      <c r="Z917" s="142"/>
      <c r="AA917" s="142"/>
      <c r="AB917" s="142"/>
      <c r="AC917" s="142"/>
      <c r="AD917" s="142"/>
      <c r="AE917" s="142"/>
      <c r="AF917" s="142"/>
      <c r="AG917" s="142"/>
      <c r="AH917" s="142"/>
      <c r="AI917" s="142"/>
      <c r="AJ917" s="142"/>
      <c r="AK917" s="142"/>
      <c r="AL917" s="142"/>
      <c r="AM917" s="143"/>
    </row>
    <row r="918">
      <c r="A918" s="144"/>
      <c r="B918" s="142"/>
      <c r="C918" s="142"/>
      <c r="D918" s="142"/>
      <c r="E918" s="142"/>
      <c r="F918" s="142"/>
      <c r="G918" s="142"/>
      <c r="H918" s="142"/>
      <c r="I918" s="142"/>
      <c r="J918" s="142"/>
      <c r="K918" s="142"/>
      <c r="L918" s="142"/>
      <c r="M918" s="142"/>
      <c r="N918" s="142"/>
      <c r="O918" s="142"/>
      <c r="P918" s="142"/>
      <c r="Q918" s="142"/>
      <c r="R918" s="142"/>
      <c r="S918" s="142"/>
      <c r="T918" s="142"/>
      <c r="U918" s="142"/>
      <c r="V918" s="142"/>
      <c r="W918" s="142"/>
      <c r="X918" s="142"/>
      <c r="Y918" s="142"/>
      <c r="Z918" s="142"/>
      <c r="AA918" s="142"/>
      <c r="AB918" s="142"/>
      <c r="AC918" s="142"/>
      <c r="AD918" s="142"/>
      <c r="AE918" s="142"/>
      <c r="AF918" s="142"/>
      <c r="AG918" s="142"/>
      <c r="AH918" s="142"/>
      <c r="AI918" s="142"/>
      <c r="AJ918" s="142"/>
      <c r="AK918" s="142"/>
      <c r="AL918" s="142"/>
      <c r="AM918" s="143"/>
    </row>
    <row r="919">
      <c r="A919" s="144"/>
      <c r="B919" s="142"/>
      <c r="C919" s="142"/>
      <c r="D919" s="142"/>
      <c r="E919" s="142"/>
      <c r="F919" s="142"/>
      <c r="G919" s="142"/>
      <c r="H919" s="142"/>
      <c r="I919" s="142"/>
      <c r="J919" s="142"/>
      <c r="K919" s="142"/>
      <c r="L919" s="142"/>
      <c r="M919" s="142"/>
      <c r="N919" s="142"/>
      <c r="O919" s="142"/>
      <c r="P919" s="142"/>
      <c r="Q919" s="142"/>
      <c r="R919" s="142"/>
      <c r="S919" s="142"/>
      <c r="T919" s="142"/>
      <c r="U919" s="142"/>
      <c r="V919" s="142"/>
      <c r="W919" s="142"/>
      <c r="X919" s="142"/>
      <c r="Y919" s="142"/>
      <c r="Z919" s="142"/>
      <c r="AA919" s="142"/>
      <c r="AB919" s="142"/>
      <c r="AC919" s="142"/>
      <c r="AD919" s="142"/>
      <c r="AE919" s="142"/>
      <c r="AF919" s="142"/>
      <c r="AG919" s="142"/>
      <c r="AH919" s="142"/>
      <c r="AI919" s="142"/>
      <c r="AJ919" s="142"/>
      <c r="AK919" s="142"/>
      <c r="AL919" s="142"/>
      <c r="AM919" s="143"/>
    </row>
    <row r="920">
      <c r="A920" s="144"/>
      <c r="B920" s="142"/>
      <c r="C920" s="142"/>
      <c r="D920" s="142"/>
      <c r="E920" s="142"/>
      <c r="F920" s="142"/>
      <c r="G920" s="142"/>
      <c r="H920" s="142"/>
      <c r="I920" s="142"/>
      <c r="J920" s="142"/>
      <c r="K920" s="142"/>
      <c r="L920" s="142"/>
      <c r="M920" s="142"/>
      <c r="N920" s="142"/>
      <c r="O920" s="142"/>
      <c r="P920" s="142"/>
      <c r="Q920" s="142"/>
      <c r="R920" s="142"/>
      <c r="S920" s="142"/>
      <c r="T920" s="142"/>
      <c r="U920" s="142"/>
      <c r="V920" s="142"/>
      <c r="W920" s="142"/>
      <c r="X920" s="142"/>
      <c r="Y920" s="142"/>
      <c r="Z920" s="142"/>
      <c r="AA920" s="142"/>
      <c r="AB920" s="142"/>
      <c r="AC920" s="142"/>
      <c r="AD920" s="142"/>
      <c r="AE920" s="142"/>
      <c r="AF920" s="142"/>
      <c r="AG920" s="142"/>
      <c r="AH920" s="142"/>
      <c r="AI920" s="142"/>
      <c r="AJ920" s="142"/>
      <c r="AK920" s="142"/>
      <c r="AL920" s="142"/>
      <c r="AM920" s="143"/>
    </row>
    <row r="921">
      <c r="A921" s="144"/>
      <c r="B921" s="142"/>
      <c r="C921" s="142"/>
      <c r="D921" s="142"/>
      <c r="E921" s="142"/>
      <c r="F921" s="142"/>
      <c r="G921" s="142"/>
      <c r="H921" s="142"/>
      <c r="I921" s="142"/>
      <c r="J921" s="142"/>
      <c r="K921" s="142"/>
      <c r="L921" s="142"/>
      <c r="M921" s="142"/>
      <c r="N921" s="142"/>
      <c r="O921" s="142"/>
      <c r="P921" s="142"/>
      <c r="Q921" s="142"/>
      <c r="R921" s="142"/>
      <c r="S921" s="142"/>
      <c r="T921" s="142"/>
      <c r="U921" s="142"/>
      <c r="V921" s="142"/>
      <c r="W921" s="142"/>
      <c r="X921" s="142"/>
      <c r="Y921" s="142"/>
      <c r="Z921" s="142"/>
      <c r="AA921" s="142"/>
      <c r="AB921" s="142"/>
      <c r="AC921" s="142"/>
      <c r="AD921" s="142"/>
      <c r="AE921" s="142"/>
      <c r="AF921" s="142"/>
      <c r="AG921" s="142"/>
      <c r="AH921" s="142"/>
      <c r="AI921" s="142"/>
      <c r="AJ921" s="142"/>
      <c r="AK921" s="142"/>
      <c r="AL921" s="142"/>
      <c r="AM921" s="143"/>
    </row>
    <row r="922">
      <c r="A922" s="144"/>
      <c r="B922" s="142"/>
      <c r="C922" s="142"/>
      <c r="D922" s="142"/>
      <c r="E922" s="142"/>
      <c r="F922" s="142"/>
      <c r="G922" s="142"/>
      <c r="H922" s="142"/>
      <c r="I922" s="142"/>
      <c r="J922" s="142"/>
      <c r="K922" s="142"/>
      <c r="L922" s="142"/>
      <c r="M922" s="142"/>
      <c r="N922" s="142"/>
      <c r="O922" s="142"/>
      <c r="P922" s="142"/>
      <c r="Q922" s="142"/>
      <c r="R922" s="142"/>
      <c r="S922" s="142"/>
      <c r="T922" s="142"/>
      <c r="U922" s="142"/>
      <c r="V922" s="142"/>
      <c r="W922" s="142"/>
      <c r="X922" s="142"/>
      <c r="Y922" s="142"/>
      <c r="Z922" s="142"/>
      <c r="AA922" s="142"/>
      <c r="AB922" s="142"/>
      <c r="AC922" s="142"/>
      <c r="AD922" s="142"/>
      <c r="AE922" s="142"/>
      <c r="AF922" s="142"/>
      <c r="AG922" s="142"/>
      <c r="AH922" s="142"/>
      <c r="AI922" s="142"/>
      <c r="AJ922" s="142"/>
      <c r="AK922" s="142"/>
      <c r="AL922" s="142"/>
      <c r="AM922" s="143"/>
    </row>
    <row r="923">
      <c r="A923" s="144"/>
      <c r="B923" s="142"/>
      <c r="C923" s="142"/>
      <c r="D923" s="142"/>
      <c r="E923" s="142"/>
      <c r="F923" s="142"/>
      <c r="G923" s="142"/>
      <c r="H923" s="142"/>
      <c r="I923" s="142"/>
      <c r="J923" s="142"/>
      <c r="K923" s="142"/>
      <c r="L923" s="142"/>
      <c r="M923" s="142"/>
      <c r="N923" s="142"/>
      <c r="O923" s="142"/>
      <c r="P923" s="142"/>
      <c r="Q923" s="142"/>
      <c r="R923" s="142"/>
      <c r="S923" s="142"/>
      <c r="T923" s="142"/>
      <c r="U923" s="142"/>
      <c r="V923" s="142"/>
      <c r="W923" s="142"/>
      <c r="X923" s="142"/>
      <c r="Y923" s="142"/>
      <c r="Z923" s="142"/>
      <c r="AA923" s="142"/>
      <c r="AB923" s="142"/>
      <c r="AC923" s="142"/>
      <c r="AD923" s="142"/>
      <c r="AE923" s="142"/>
      <c r="AF923" s="142"/>
      <c r="AG923" s="142"/>
      <c r="AH923" s="142"/>
      <c r="AI923" s="142"/>
      <c r="AJ923" s="142"/>
      <c r="AK923" s="142"/>
      <c r="AL923" s="142"/>
      <c r="AM923" s="143"/>
    </row>
    <row r="924">
      <c r="A924" s="144"/>
      <c r="B924" s="142"/>
      <c r="C924" s="142"/>
      <c r="D924" s="142"/>
      <c r="E924" s="142"/>
      <c r="F924" s="142"/>
      <c r="G924" s="142"/>
      <c r="H924" s="142"/>
      <c r="I924" s="142"/>
      <c r="J924" s="142"/>
      <c r="K924" s="142"/>
      <c r="L924" s="142"/>
      <c r="M924" s="142"/>
      <c r="N924" s="142"/>
      <c r="O924" s="142"/>
      <c r="P924" s="142"/>
      <c r="Q924" s="142"/>
      <c r="R924" s="142"/>
      <c r="S924" s="142"/>
      <c r="T924" s="142"/>
      <c r="U924" s="142"/>
      <c r="V924" s="142"/>
      <c r="W924" s="142"/>
      <c r="X924" s="142"/>
      <c r="Y924" s="142"/>
      <c r="Z924" s="142"/>
      <c r="AA924" s="142"/>
      <c r="AB924" s="142"/>
      <c r="AC924" s="142"/>
      <c r="AD924" s="142"/>
      <c r="AE924" s="142"/>
      <c r="AF924" s="142"/>
      <c r="AG924" s="142"/>
      <c r="AH924" s="142"/>
      <c r="AI924" s="142"/>
      <c r="AJ924" s="142"/>
      <c r="AK924" s="142"/>
      <c r="AL924" s="142"/>
      <c r="AM924" s="143"/>
    </row>
    <row r="925">
      <c r="A925" s="144"/>
      <c r="B925" s="142"/>
      <c r="C925" s="142"/>
      <c r="D925" s="142"/>
      <c r="E925" s="142"/>
      <c r="F925" s="142"/>
      <c r="G925" s="142"/>
      <c r="H925" s="142"/>
      <c r="I925" s="142"/>
      <c r="J925" s="142"/>
      <c r="K925" s="142"/>
      <c r="L925" s="142"/>
      <c r="M925" s="142"/>
      <c r="N925" s="142"/>
      <c r="O925" s="142"/>
      <c r="P925" s="142"/>
      <c r="Q925" s="142"/>
      <c r="R925" s="142"/>
      <c r="S925" s="142"/>
      <c r="T925" s="142"/>
      <c r="U925" s="142"/>
      <c r="V925" s="142"/>
      <c r="W925" s="142"/>
      <c r="X925" s="142"/>
      <c r="Y925" s="142"/>
      <c r="Z925" s="142"/>
      <c r="AA925" s="142"/>
      <c r="AB925" s="142"/>
      <c r="AC925" s="142"/>
      <c r="AD925" s="142"/>
      <c r="AE925" s="142"/>
      <c r="AF925" s="142"/>
      <c r="AG925" s="142"/>
      <c r="AH925" s="142"/>
      <c r="AI925" s="142"/>
      <c r="AJ925" s="142"/>
      <c r="AK925" s="142"/>
      <c r="AL925" s="142"/>
      <c r="AM925" s="143"/>
    </row>
    <row r="926">
      <c r="A926" s="144"/>
      <c r="B926" s="142"/>
      <c r="C926" s="142"/>
      <c r="D926" s="142"/>
      <c r="E926" s="142"/>
      <c r="F926" s="142"/>
      <c r="G926" s="142"/>
      <c r="H926" s="142"/>
      <c r="I926" s="142"/>
      <c r="J926" s="142"/>
      <c r="K926" s="142"/>
      <c r="L926" s="142"/>
      <c r="M926" s="142"/>
      <c r="N926" s="142"/>
      <c r="O926" s="142"/>
      <c r="P926" s="142"/>
      <c r="Q926" s="142"/>
      <c r="R926" s="142"/>
      <c r="S926" s="142"/>
      <c r="T926" s="142"/>
      <c r="U926" s="142"/>
      <c r="V926" s="142"/>
      <c r="W926" s="142"/>
      <c r="X926" s="142"/>
      <c r="Y926" s="142"/>
      <c r="Z926" s="142"/>
      <c r="AA926" s="142"/>
      <c r="AB926" s="142"/>
      <c r="AC926" s="142"/>
      <c r="AD926" s="142"/>
      <c r="AE926" s="142"/>
      <c r="AF926" s="142"/>
      <c r="AG926" s="142"/>
      <c r="AH926" s="142"/>
      <c r="AI926" s="142"/>
      <c r="AJ926" s="142"/>
      <c r="AK926" s="142"/>
      <c r="AL926" s="142"/>
      <c r="AM926" s="143"/>
    </row>
    <row r="927">
      <c r="A927" s="144"/>
      <c r="B927" s="142"/>
      <c r="C927" s="142"/>
      <c r="D927" s="142"/>
      <c r="E927" s="142"/>
      <c r="F927" s="142"/>
      <c r="G927" s="142"/>
      <c r="H927" s="142"/>
      <c r="I927" s="142"/>
      <c r="J927" s="142"/>
      <c r="K927" s="142"/>
      <c r="L927" s="142"/>
      <c r="M927" s="142"/>
      <c r="N927" s="142"/>
      <c r="O927" s="142"/>
      <c r="P927" s="142"/>
      <c r="Q927" s="142"/>
      <c r="R927" s="142"/>
      <c r="S927" s="142"/>
      <c r="T927" s="142"/>
      <c r="U927" s="142"/>
      <c r="V927" s="142"/>
      <c r="W927" s="142"/>
      <c r="X927" s="142"/>
      <c r="Y927" s="142"/>
      <c r="Z927" s="142"/>
      <c r="AA927" s="142"/>
      <c r="AB927" s="142"/>
      <c r="AC927" s="142"/>
      <c r="AD927" s="142"/>
      <c r="AE927" s="142"/>
      <c r="AF927" s="142"/>
      <c r="AG927" s="142"/>
      <c r="AH927" s="142"/>
      <c r="AI927" s="142"/>
      <c r="AJ927" s="142"/>
      <c r="AK927" s="142"/>
      <c r="AL927" s="142"/>
      <c r="AM927" s="143"/>
    </row>
    <row r="928">
      <c r="A928" s="144"/>
      <c r="B928" s="142"/>
      <c r="C928" s="142"/>
      <c r="D928" s="142"/>
      <c r="E928" s="142"/>
      <c r="F928" s="142"/>
      <c r="G928" s="142"/>
      <c r="H928" s="142"/>
      <c r="I928" s="142"/>
      <c r="J928" s="142"/>
      <c r="K928" s="142"/>
      <c r="L928" s="142"/>
      <c r="M928" s="142"/>
      <c r="N928" s="142"/>
      <c r="O928" s="142"/>
      <c r="P928" s="142"/>
      <c r="Q928" s="142"/>
      <c r="R928" s="142"/>
      <c r="S928" s="142"/>
      <c r="T928" s="142"/>
      <c r="U928" s="142"/>
      <c r="V928" s="142"/>
      <c r="W928" s="142"/>
      <c r="X928" s="142"/>
      <c r="Y928" s="142"/>
      <c r="Z928" s="142"/>
      <c r="AA928" s="142"/>
      <c r="AB928" s="142"/>
      <c r="AC928" s="142"/>
      <c r="AD928" s="142"/>
      <c r="AE928" s="142"/>
      <c r="AF928" s="142"/>
      <c r="AG928" s="142"/>
      <c r="AH928" s="142"/>
      <c r="AI928" s="142"/>
      <c r="AJ928" s="142"/>
      <c r="AK928" s="142"/>
      <c r="AL928" s="142"/>
      <c r="AM928" s="143"/>
    </row>
    <row r="929">
      <c r="A929" s="144"/>
      <c r="B929" s="142"/>
      <c r="C929" s="142"/>
      <c r="D929" s="142"/>
      <c r="E929" s="142"/>
      <c r="F929" s="142"/>
      <c r="G929" s="142"/>
      <c r="H929" s="142"/>
      <c r="I929" s="142"/>
      <c r="J929" s="142"/>
      <c r="K929" s="142"/>
      <c r="L929" s="142"/>
      <c r="M929" s="142"/>
      <c r="N929" s="142"/>
      <c r="O929" s="142"/>
      <c r="P929" s="142"/>
      <c r="Q929" s="142"/>
      <c r="R929" s="142"/>
      <c r="S929" s="142"/>
      <c r="T929" s="142"/>
      <c r="U929" s="142"/>
      <c r="V929" s="142"/>
      <c r="W929" s="142"/>
      <c r="X929" s="142"/>
      <c r="Y929" s="142"/>
      <c r="Z929" s="142"/>
      <c r="AA929" s="142"/>
      <c r="AB929" s="142"/>
      <c r="AC929" s="142"/>
      <c r="AD929" s="142"/>
      <c r="AE929" s="142"/>
      <c r="AF929" s="142"/>
      <c r="AG929" s="142"/>
      <c r="AH929" s="142"/>
      <c r="AI929" s="142"/>
      <c r="AJ929" s="142"/>
      <c r="AK929" s="142"/>
      <c r="AL929" s="142"/>
      <c r="AM929" s="143"/>
    </row>
    <row r="930">
      <c r="A930" s="144"/>
      <c r="B930" s="142"/>
      <c r="C930" s="142"/>
      <c r="D930" s="142"/>
      <c r="E930" s="142"/>
      <c r="F930" s="142"/>
      <c r="G930" s="142"/>
      <c r="H930" s="142"/>
      <c r="I930" s="142"/>
      <c r="J930" s="142"/>
      <c r="K930" s="142"/>
      <c r="L930" s="142"/>
      <c r="M930" s="142"/>
      <c r="N930" s="142"/>
      <c r="O930" s="142"/>
      <c r="P930" s="142"/>
      <c r="Q930" s="142"/>
      <c r="R930" s="142"/>
      <c r="S930" s="142"/>
      <c r="T930" s="142"/>
      <c r="U930" s="142"/>
      <c r="V930" s="142"/>
      <c r="W930" s="142"/>
      <c r="X930" s="142"/>
      <c r="Y930" s="142"/>
      <c r="Z930" s="142"/>
      <c r="AA930" s="142"/>
      <c r="AB930" s="142"/>
      <c r="AC930" s="142"/>
      <c r="AD930" s="142"/>
      <c r="AE930" s="142"/>
      <c r="AF930" s="142"/>
      <c r="AG930" s="142"/>
      <c r="AH930" s="142"/>
      <c r="AI930" s="142"/>
      <c r="AJ930" s="142"/>
      <c r="AK930" s="142"/>
      <c r="AL930" s="142"/>
      <c r="AM930" s="143"/>
    </row>
    <row r="931">
      <c r="A931" s="144"/>
      <c r="B931" s="142"/>
      <c r="C931" s="142"/>
      <c r="D931" s="142"/>
      <c r="E931" s="142"/>
      <c r="F931" s="142"/>
      <c r="G931" s="142"/>
      <c r="H931" s="142"/>
      <c r="I931" s="142"/>
      <c r="J931" s="142"/>
      <c r="K931" s="142"/>
      <c r="L931" s="142"/>
      <c r="M931" s="142"/>
      <c r="N931" s="142"/>
      <c r="O931" s="142"/>
      <c r="P931" s="142"/>
      <c r="Q931" s="142"/>
      <c r="R931" s="142"/>
      <c r="S931" s="142"/>
      <c r="T931" s="142"/>
      <c r="U931" s="142"/>
      <c r="V931" s="142"/>
      <c r="W931" s="142"/>
      <c r="X931" s="142"/>
      <c r="Y931" s="142"/>
      <c r="Z931" s="142"/>
      <c r="AA931" s="142"/>
      <c r="AB931" s="142"/>
      <c r="AC931" s="142"/>
      <c r="AD931" s="142"/>
      <c r="AE931" s="142"/>
      <c r="AF931" s="142"/>
      <c r="AG931" s="142"/>
      <c r="AH931" s="142"/>
      <c r="AI931" s="142"/>
      <c r="AJ931" s="142"/>
      <c r="AK931" s="142"/>
      <c r="AL931" s="142"/>
      <c r="AM931" s="143"/>
    </row>
    <row r="932">
      <c r="A932" s="144"/>
      <c r="B932" s="142"/>
      <c r="C932" s="142"/>
      <c r="D932" s="142"/>
      <c r="E932" s="142"/>
      <c r="F932" s="142"/>
      <c r="G932" s="142"/>
      <c r="H932" s="142"/>
      <c r="I932" s="142"/>
      <c r="J932" s="142"/>
      <c r="K932" s="142"/>
      <c r="L932" s="142"/>
      <c r="M932" s="142"/>
      <c r="N932" s="142"/>
      <c r="O932" s="142"/>
      <c r="P932" s="142"/>
      <c r="Q932" s="142"/>
      <c r="R932" s="142"/>
      <c r="S932" s="142"/>
      <c r="T932" s="142"/>
      <c r="U932" s="142"/>
      <c r="V932" s="142"/>
      <c r="W932" s="142"/>
      <c r="X932" s="142"/>
      <c r="Y932" s="142"/>
      <c r="Z932" s="142"/>
      <c r="AA932" s="142"/>
      <c r="AB932" s="142"/>
      <c r="AC932" s="142"/>
      <c r="AD932" s="142"/>
      <c r="AE932" s="142"/>
      <c r="AF932" s="142"/>
      <c r="AG932" s="142"/>
      <c r="AH932" s="142"/>
      <c r="AI932" s="142"/>
      <c r="AJ932" s="142"/>
      <c r="AK932" s="142"/>
      <c r="AL932" s="142"/>
      <c r="AM932" s="143"/>
    </row>
    <row r="933">
      <c r="A933" s="144"/>
      <c r="B933" s="142"/>
      <c r="C933" s="142"/>
      <c r="D933" s="142"/>
      <c r="E933" s="142"/>
      <c r="F933" s="142"/>
      <c r="G933" s="142"/>
      <c r="H933" s="142"/>
      <c r="I933" s="142"/>
      <c r="J933" s="142"/>
      <c r="K933" s="142"/>
      <c r="L933" s="142"/>
      <c r="M933" s="142"/>
      <c r="N933" s="142"/>
      <c r="O933" s="142"/>
      <c r="P933" s="142"/>
      <c r="Q933" s="142"/>
      <c r="R933" s="142"/>
      <c r="S933" s="142"/>
      <c r="T933" s="142"/>
      <c r="U933" s="142"/>
      <c r="V933" s="142"/>
      <c r="W933" s="142"/>
      <c r="X933" s="142"/>
      <c r="Y933" s="142"/>
      <c r="Z933" s="142"/>
      <c r="AA933" s="142"/>
      <c r="AB933" s="142"/>
      <c r="AC933" s="142"/>
      <c r="AD933" s="142"/>
      <c r="AE933" s="142"/>
      <c r="AF933" s="142"/>
      <c r="AG933" s="142"/>
      <c r="AH933" s="142"/>
      <c r="AI933" s="142"/>
      <c r="AJ933" s="142"/>
      <c r="AK933" s="142"/>
      <c r="AL933" s="142"/>
      <c r="AM933" s="143"/>
    </row>
    <row r="934">
      <c r="A934" s="144"/>
      <c r="B934" s="142"/>
      <c r="C934" s="142"/>
      <c r="D934" s="142"/>
      <c r="E934" s="142"/>
      <c r="F934" s="142"/>
      <c r="G934" s="142"/>
      <c r="H934" s="142"/>
      <c r="I934" s="142"/>
      <c r="J934" s="142"/>
      <c r="K934" s="142"/>
      <c r="L934" s="142"/>
      <c r="M934" s="142"/>
      <c r="N934" s="142"/>
      <c r="O934" s="142"/>
      <c r="P934" s="142"/>
      <c r="Q934" s="142"/>
      <c r="R934" s="142"/>
      <c r="S934" s="142"/>
      <c r="T934" s="142"/>
      <c r="U934" s="142"/>
      <c r="V934" s="142"/>
      <c r="W934" s="142"/>
      <c r="X934" s="142"/>
      <c r="Y934" s="142"/>
      <c r="Z934" s="142"/>
      <c r="AA934" s="142"/>
      <c r="AB934" s="142"/>
      <c r="AC934" s="142"/>
      <c r="AD934" s="142"/>
      <c r="AE934" s="142"/>
      <c r="AF934" s="142"/>
      <c r="AG934" s="142"/>
      <c r="AH934" s="142"/>
      <c r="AI934" s="142"/>
      <c r="AJ934" s="142"/>
      <c r="AK934" s="142"/>
      <c r="AL934" s="142"/>
      <c r="AM934" s="143"/>
    </row>
    <row r="935">
      <c r="A935" s="144"/>
      <c r="B935" s="142"/>
      <c r="C935" s="142"/>
      <c r="D935" s="142"/>
      <c r="E935" s="142"/>
      <c r="F935" s="142"/>
      <c r="G935" s="142"/>
      <c r="H935" s="142"/>
      <c r="I935" s="142"/>
      <c r="J935" s="142"/>
      <c r="K935" s="142"/>
      <c r="L935" s="142"/>
      <c r="M935" s="142"/>
      <c r="N935" s="142"/>
      <c r="O935" s="142"/>
      <c r="P935" s="142"/>
      <c r="Q935" s="142"/>
      <c r="R935" s="142"/>
      <c r="S935" s="142"/>
      <c r="T935" s="142"/>
      <c r="U935" s="142"/>
      <c r="V935" s="142"/>
      <c r="W935" s="142"/>
      <c r="X935" s="142"/>
      <c r="Y935" s="142"/>
      <c r="Z935" s="142"/>
      <c r="AA935" s="142"/>
      <c r="AB935" s="142"/>
      <c r="AC935" s="142"/>
      <c r="AD935" s="142"/>
      <c r="AE935" s="142"/>
      <c r="AF935" s="142"/>
      <c r="AG935" s="142"/>
      <c r="AH935" s="142"/>
      <c r="AI935" s="142"/>
      <c r="AJ935" s="142"/>
      <c r="AK935" s="142"/>
      <c r="AL935" s="142"/>
      <c r="AM935" s="143"/>
    </row>
    <row r="936">
      <c r="A936" s="144"/>
      <c r="B936" s="142"/>
      <c r="C936" s="142"/>
      <c r="D936" s="142"/>
      <c r="E936" s="142"/>
      <c r="F936" s="142"/>
      <c r="G936" s="142"/>
      <c r="H936" s="142"/>
      <c r="I936" s="142"/>
      <c r="J936" s="142"/>
      <c r="K936" s="142"/>
      <c r="L936" s="142"/>
      <c r="M936" s="142"/>
      <c r="N936" s="142"/>
      <c r="O936" s="142"/>
      <c r="P936" s="142"/>
      <c r="Q936" s="142"/>
      <c r="R936" s="142"/>
      <c r="S936" s="142"/>
      <c r="T936" s="142"/>
      <c r="U936" s="142"/>
      <c r="V936" s="142"/>
      <c r="W936" s="142"/>
      <c r="X936" s="142"/>
      <c r="Y936" s="142"/>
      <c r="Z936" s="142"/>
      <c r="AA936" s="142"/>
      <c r="AB936" s="142"/>
      <c r="AC936" s="142"/>
      <c r="AD936" s="142"/>
      <c r="AE936" s="142"/>
      <c r="AF936" s="142"/>
      <c r="AG936" s="142"/>
      <c r="AH936" s="142"/>
      <c r="AI936" s="142"/>
      <c r="AJ936" s="142"/>
      <c r="AK936" s="142"/>
      <c r="AL936" s="142"/>
      <c r="AM936" s="143"/>
    </row>
    <row r="937">
      <c r="A937" s="144"/>
      <c r="B937" s="142"/>
      <c r="C937" s="142"/>
      <c r="D937" s="142"/>
      <c r="E937" s="142"/>
      <c r="F937" s="142"/>
      <c r="G937" s="142"/>
      <c r="H937" s="142"/>
      <c r="I937" s="142"/>
      <c r="J937" s="142"/>
      <c r="K937" s="142"/>
      <c r="L937" s="142"/>
      <c r="M937" s="142"/>
      <c r="N937" s="142"/>
      <c r="O937" s="142"/>
      <c r="P937" s="142"/>
      <c r="Q937" s="142"/>
      <c r="R937" s="142"/>
      <c r="S937" s="142"/>
      <c r="T937" s="142"/>
      <c r="U937" s="142"/>
      <c r="V937" s="142"/>
      <c r="W937" s="142"/>
      <c r="X937" s="142"/>
      <c r="Y937" s="142"/>
      <c r="Z937" s="142"/>
      <c r="AA937" s="142"/>
      <c r="AB937" s="142"/>
      <c r="AC937" s="142"/>
      <c r="AD937" s="142"/>
      <c r="AE937" s="142"/>
      <c r="AF937" s="142"/>
      <c r="AG937" s="142"/>
      <c r="AH937" s="142"/>
      <c r="AI937" s="142"/>
      <c r="AJ937" s="142"/>
      <c r="AK937" s="142"/>
      <c r="AL937" s="142"/>
      <c r="AM937" s="143"/>
    </row>
    <row r="938">
      <c r="A938" s="144"/>
      <c r="B938" s="142"/>
      <c r="C938" s="142"/>
      <c r="D938" s="142"/>
      <c r="E938" s="142"/>
      <c r="F938" s="142"/>
      <c r="G938" s="142"/>
      <c r="H938" s="142"/>
      <c r="I938" s="142"/>
      <c r="J938" s="142"/>
      <c r="K938" s="142"/>
      <c r="L938" s="142"/>
      <c r="M938" s="142"/>
      <c r="N938" s="142"/>
      <c r="O938" s="142"/>
      <c r="P938" s="142"/>
      <c r="Q938" s="142"/>
      <c r="R938" s="142"/>
      <c r="S938" s="142"/>
      <c r="T938" s="142"/>
      <c r="U938" s="142"/>
      <c r="V938" s="142"/>
      <c r="W938" s="142"/>
      <c r="X938" s="142"/>
      <c r="Y938" s="142"/>
      <c r="Z938" s="142"/>
      <c r="AA938" s="142"/>
      <c r="AB938" s="142"/>
      <c r="AC938" s="142"/>
      <c r="AD938" s="142"/>
      <c r="AE938" s="142"/>
      <c r="AF938" s="142"/>
      <c r="AG938" s="142"/>
      <c r="AH938" s="142"/>
      <c r="AI938" s="142"/>
      <c r="AJ938" s="142"/>
      <c r="AK938" s="142"/>
      <c r="AL938" s="142"/>
      <c r="AM938" s="143"/>
    </row>
    <row r="939">
      <c r="A939" s="144"/>
      <c r="B939" s="142"/>
      <c r="C939" s="142"/>
      <c r="D939" s="142"/>
      <c r="E939" s="142"/>
      <c r="F939" s="142"/>
      <c r="G939" s="142"/>
      <c r="H939" s="142"/>
      <c r="I939" s="142"/>
      <c r="J939" s="142"/>
      <c r="K939" s="142"/>
      <c r="L939" s="142"/>
      <c r="M939" s="142"/>
      <c r="N939" s="142"/>
      <c r="O939" s="142"/>
      <c r="P939" s="142"/>
      <c r="Q939" s="142"/>
      <c r="R939" s="142"/>
      <c r="S939" s="142"/>
      <c r="T939" s="142"/>
      <c r="U939" s="142"/>
      <c r="V939" s="142"/>
      <c r="W939" s="142"/>
      <c r="X939" s="142"/>
      <c r="Y939" s="142"/>
      <c r="Z939" s="142"/>
      <c r="AA939" s="142"/>
      <c r="AB939" s="142"/>
      <c r="AC939" s="142"/>
      <c r="AD939" s="142"/>
      <c r="AE939" s="142"/>
      <c r="AF939" s="142"/>
      <c r="AG939" s="142"/>
      <c r="AH939" s="142"/>
      <c r="AI939" s="142"/>
      <c r="AJ939" s="142"/>
      <c r="AK939" s="142"/>
      <c r="AL939" s="142"/>
      <c r="AM939" s="143"/>
    </row>
    <row r="940">
      <c r="A940" s="144"/>
      <c r="B940" s="142"/>
      <c r="C940" s="142"/>
      <c r="D940" s="142"/>
      <c r="E940" s="142"/>
      <c r="F940" s="142"/>
      <c r="G940" s="142"/>
      <c r="H940" s="142"/>
      <c r="I940" s="142"/>
      <c r="J940" s="142"/>
      <c r="K940" s="142"/>
      <c r="L940" s="142"/>
      <c r="M940" s="142"/>
      <c r="N940" s="142"/>
      <c r="O940" s="142"/>
      <c r="P940" s="142"/>
      <c r="Q940" s="142"/>
      <c r="R940" s="142"/>
      <c r="S940" s="142"/>
      <c r="T940" s="142"/>
      <c r="U940" s="142"/>
      <c r="V940" s="142"/>
      <c r="W940" s="142"/>
      <c r="X940" s="142"/>
      <c r="Y940" s="142"/>
      <c r="Z940" s="142"/>
      <c r="AA940" s="142"/>
      <c r="AB940" s="142"/>
      <c r="AC940" s="142"/>
      <c r="AD940" s="142"/>
      <c r="AE940" s="142"/>
      <c r="AF940" s="142"/>
      <c r="AG940" s="142"/>
      <c r="AH940" s="142"/>
      <c r="AI940" s="142"/>
      <c r="AJ940" s="142"/>
      <c r="AK940" s="142"/>
      <c r="AL940" s="142"/>
      <c r="AM940" s="143"/>
    </row>
    <row r="941">
      <c r="A941" s="144"/>
      <c r="B941" s="142"/>
      <c r="C941" s="142"/>
      <c r="D941" s="142"/>
      <c r="E941" s="142"/>
      <c r="F941" s="142"/>
      <c r="G941" s="142"/>
      <c r="H941" s="142"/>
      <c r="I941" s="142"/>
      <c r="J941" s="142"/>
      <c r="K941" s="142"/>
      <c r="L941" s="142"/>
      <c r="M941" s="142"/>
      <c r="N941" s="142"/>
      <c r="O941" s="142"/>
      <c r="P941" s="142"/>
      <c r="Q941" s="142"/>
      <c r="R941" s="142"/>
      <c r="S941" s="142"/>
      <c r="T941" s="142"/>
      <c r="U941" s="142"/>
      <c r="V941" s="142"/>
      <c r="W941" s="142"/>
      <c r="X941" s="142"/>
      <c r="Y941" s="142"/>
      <c r="Z941" s="142"/>
      <c r="AA941" s="142"/>
      <c r="AB941" s="142"/>
      <c r="AC941" s="142"/>
      <c r="AD941" s="142"/>
      <c r="AE941" s="142"/>
      <c r="AF941" s="142"/>
      <c r="AG941" s="142"/>
      <c r="AH941" s="142"/>
      <c r="AI941" s="142"/>
      <c r="AJ941" s="142"/>
      <c r="AK941" s="142"/>
      <c r="AL941" s="142"/>
      <c r="AM941" s="143"/>
    </row>
    <row r="942">
      <c r="A942" s="144"/>
      <c r="B942" s="142"/>
      <c r="C942" s="142"/>
      <c r="D942" s="142"/>
      <c r="E942" s="142"/>
      <c r="F942" s="142"/>
      <c r="G942" s="142"/>
      <c r="H942" s="142"/>
      <c r="I942" s="142"/>
      <c r="J942" s="142"/>
      <c r="K942" s="142"/>
      <c r="L942" s="142"/>
      <c r="M942" s="142"/>
      <c r="N942" s="142"/>
      <c r="O942" s="142"/>
      <c r="P942" s="142"/>
      <c r="Q942" s="142"/>
      <c r="R942" s="142"/>
      <c r="S942" s="142"/>
      <c r="T942" s="142"/>
      <c r="U942" s="142"/>
      <c r="V942" s="142"/>
      <c r="W942" s="142"/>
      <c r="X942" s="142"/>
      <c r="Y942" s="142"/>
      <c r="Z942" s="142"/>
      <c r="AA942" s="142"/>
      <c r="AB942" s="142"/>
      <c r="AC942" s="142"/>
      <c r="AD942" s="142"/>
      <c r="AE942" s="142"/>
      <c r="AF942" s="142"/>
      <c r="AG942" s="142"/>
      <c r="AH942" s="142"/>
      <c r="AI942" s="142"/>
      <c r="AJ942" s="142"/>
      <c r="AK942" s="142"/>
      <c r="AL942" s="142"/>
      <c r="AM942" s="143"/>
    </row>
    <row r="943">
      <c r="A943" s="144"/>
      <c r="B943" s="142"/>
      <c r="C943" s="142"/>
      <c r="D943" s="142"/>
      <c r="E943" s="142"/>
      <c r="F943" s="142"/>
      <c r="G943" s="142"/>
      <c r="H943" s="142"/>
      <c r="I943" s="142"/>
      <c r="J943" s="142"/>
      <c r="K943" s="142"/>
      <c r="L943" s="142"/>
      <c r="M943" s="142"/>
      <c r="N943" s="142"/>
      <c r="O943" s="142"/>
      <c r="P943" s="142"/>
      <c r="Q943" s="142"/>
      <c r="R943" s="142"/>
      <c r="S943" s="142"/>
      <c r="T943" s="142"/>
      <c r="U943" s="142"/>
      <c r="V943" s="142"/>
      <c r="W943" s="142"/>
      <c r="X943" s="142"/>
      <c r="Y943" s="142"/>
      <c r="Z943" s="142"/>
      <c r="AA943" s="142"/>
      <c r="AB943" s="142"/>
      <c r="AC943" s="142"/>
      <c r="AD943" s="142"/>
      <c r="AE943" s="142"/>
      <c r="AF943" s="142"/>
      <c r="AG943" s="142"/>
      <c r="AH943" s="142"/>
      <c r="AI943" s="142"/>
      <c r="AJ943" s="142"/>
      <c r="AK943" s="142"/>
      <c r="AL943" s="142"/>
      <c r="AM943" s="143"/>
    </row>
    <row r="944">
      <c r="A944" s="144"/>
      <c r="B944" s="142"/>
      <c r="C944" s="142"/>
      <c r="D944" s="142"/>
      <c r="E944" s="142"/>
      <c r="F944" s="142"/>
      <c r="G944" s="142"/>
      <c r="H944" s="142"/>
      <c r="I944" s="142"/>
      <c r="J944" s="142"/>
      <c r="K944" s="142"/>
      <c r="L944" s="142"/>
      <c r="M944" s="142"/>
      <c r="N944" s="142"/>
      <c r="O944" s="142"/>
      <c r="P944" s="142"/>
      <c r="Q944" s="142"/>
      <c r="R944" s="142"/>
      <c r="S944" s="142"/>
      <c r="T944" s="142"/>
      <c r="U944" s="142"/>
      <c r="V944" s="142"/>
      <c r="W944" s="142"/>
      <c r="X944" s="142"/>
      <c r="Y944" s="142"/>
      <c r="Z944" s="142"/>
      <c r="AA944" s="142"/>
      <c r="AB944" s="142"/>
      <c r="AC944" s="142"/>
      <c r="AD944" s="142"/>
      <c r="AE944" s="142"/>
      <c r="AF944" s="142"/>
      <c r="AG944" s="142"/>
      <c r="AH944" s="142"/>
      <c r="AI944" s="142"/>
      <c r="AJ944" s="142"/>
      <c r="AK944" s="142"/>
      <c r="AL944" s="142"/>
      <c r="AM944" s="143"/>
    </row>
    <row r="945">
      <c r="A945" s="144"/>
      <c r="B945" s="142"/>
      <c r="C945" s="142"/>
      <c r="D945" s="142"/>
      <c r="E945" s="142"/>
      <c r="F945" s="142"/>
      <c r="G945" s="142"/>
      <c r="H945" s="142"/>
      <c r="I945" s="142"/>
      <c r="J945" s="142"/>
      <c r="K945" s="142"/>
      <c r="L945" s="142"/>
      <c r="M945" s="142"/>
      <c r="N945" s="142"/>
      <c r="O945" s="142"/>
      <c r="P945" s="142"/>
      <c r="Q945" s="142"/>
      <c r="R945" s="142"/>
      <c r="S945" s="142"/>
      <c r="T945" s="142"/>
      <c r="U945" s="142"/>
      <c r="V945" s="142"/>
      <c r="W945" s="142"/>
      <c r="X945" s="142"/>
      <c r="Y945" s="142"/>
      <c r="Z945" s="142"/>
      <c r="AA945" s="142"/>
      <c r="AB945" s="142"/>
      <c r="AC945" s="142"/>
      <c r="AD945" s="142"/>
      <c r="AE945" s="142"/>
      <c r="AF945" s="142"/>
      <c r="AG945" s="142"/>
      <c r="AH945" s="142"/>
      <c r="AI945" s="142"/>
      <c r="AJ945" s="142"/>
      <c r="AK945" s="142"/>
      <c r="AL945" s="142"/>
      <c r="AM945" s="143"/>
    </row>
    <row r="946">
      <c r="A946" s="144"/>
      <c r="B946" s="142"/>
      <c r="C946" s="142"/>
      <c r="D946" s="142"/>
      <c r="E946" s="142"/>
      <c r="F946" s="142"/>
      <c r="G946" s="142"/>
      <c r="H946" s="142"/>
      <c r="I946" s="142"/>
      <c r="J946" s="142"/>
      <c r="K946" s="142"/>
      <c r="L946" s="142"/>
      <c r="M946" s="142"/>
      <c r="N946" s="142"/>
      <c r="O946" s="142"/>
      <c r="P946" s="142"/>
      <c r="Q946" s="142"/>
      <c r="R946" s="142"/>
      <c r="S946" s="142"/>
      <c r="T946" s="142"/>
      <c r="U946" s="142"/>
      <c r="V946" s="142"/>
      <c r="W946" s="142"/>
      <c r="X946" s="142"/>
      <c r="Y946" s="142"/>
      <c r="Z946" s="142"/>
      <c r="AA946" s="142"/>
      <c r="AB946" s="142"/>
      <c r="AC946" s="142"/>
      <c r="AD946" s="142"/>
      <c r="AE946" s="142"/>
      <c r="AF946" s="142"/>
      <c r="AG946" s="142"/>
      <c r="AH946" s="142"/>
      <c r="AI946" s="142"/>
      <c r="AJ946" s="142"/>
      <c r="AK946" s="142"/>
      <c r="AL946" s="142"/>
      <c r="AM946" s="143"/>
    </row>
    <row r="947">
      <c r="A947" s="144"/>
      <c r="B947" s="142"/>
      <c r="C947" s="142"/>
      <c r="D947" s="142"/>
      <c r="E947" s="142"/>
      <c r="F947" s="142"/>
      <c r="G947" s="142"/>
      <c r="H947" s="142"/>
      <c r="I947" s="142"/>
      <c r="J947" s="142"/>
      <c r="K947" s="142"/>
      <c r="L947" s="142"/>
      <c r="M947" s="142"/>
      <c r="N947" s="142"/>
      <c r="O947" s="142"/>
      <c r="P947" s="142"/>
      <c r="Q947" s="142"/>
      <c r="R947" s="142"/>
      <c r="S947" s="142"/>
      <c r="T947" s="142"/>
      <c r="U947" s="142"/>
      <c r="V947" s="142"/>
      <c r="W947" s="142"/>
      <c r="X947" s="142"/>
      <c r="Y947" s="142"/>
      <c r="Z947" s="142"/>
      <c r="AA947" s="142"/>
      <c r="AB947" s="142"/>
      <c r="AC947" s="142"/>
      <c r="AD947" s="142"/>
      <c r="AE947" s="142"/>
      <c r="AF947" s="142"/>
      <c r="AG947" s="142"/>
      <c r="AH947" s="142"/>
      <c r="AI947" s="142"/>
      <c r="AJ947" s="142"/>
      <c r="AK947" s="142"/>
      <c r="AL947" s="142"/>
      <c r="AM947" s="143"/>
    </row>
    <row r="948">
      <c r="A948" s="144"/>
      <c r="B948" s="142"/>
      <c r="C948" s="142"/>
      <c r="D948" s="142"/>
      <c r="E948" s="142"/>
      <c r="F948" s="142"/>
      <c r="G948" s="142"/>
      <c r="H948" s="142"/>
      <c r="I948" s="142"/>
      <c r="J948" s="142"/>
      <c r="K948" s="142"/>
      <c r="L948" s="142"/>
      <c r="M948" s="142"/>
      <c r="N948" s="142"/>
      <c r="O948" s="142"/>
      <c r="P948" s="142"/>
      <c r="Q948" s="142"/>
      <c r="R948" s="142"/>
      <c r="S948" s="142"/>
      <c r="T948" s="142"/>
      <c r="U948" s="142"/>
      <c r="V948" s="142"/>
      <c r="W948" s="142"/>
      <c r="X948" s="142"/>
      <c r="Y948" s="142"/>
      <c r="Z948" s="142"/>
      <c r="AA948" s="142"/>
      <c r="AB948" s="142"/>
      <c r="AC948" s="142"/>
      <c r="AD948" s="142"/>
      <c r="AE948" s="142"/>
      <c r="AF948" s="142"/>
      <c r="AG948" s="142"/>
      <c r="AH948" s="142"/>
      <c r="AI948" s="142"/>
      <c r="AJ948" s="142"/>
      <c r="AK948" s="142"/>
      <c r="AL948" s="142"/>
      <c r="AM948" s="143"/>
    </row>
    <row r="949">
      <c r="A949" s="144"/>
      <c r="B949" s="142"/>
      <c r="C949" s="142"/>
      <c r="D949" s="142"/>
      <c r="E949" s="142"/>
      <c r="F949" s="142"/>
      <c r="G949" s="142"/>
      <c r="H949" s="142"/>
      <c r="I949" s="142"/>
      <c r="J949" s="142"/>
      <c r="K949" s="142"/>
      <c r="L949" s="142"/>
      <c r="M949" s="142"/>
      <c r="N949" s="142"/>
      <c r="O949" s="142"/>
      <c r="P949" s="142"/>
      <c r="Q949" s="142"/>
      <c r="R949" s="142"/>
      <c r="S949" s="142"/>
      <c r="T949" s="142"/>
      <c r="U949" s="142"/>
      <c r="V949" s="142"/>
      <c r="W949" s="142"/>
      <c r="X949" s="142"/>
      <c r="Y949" s="142"/>
      <c r="Z949" s="142"/>
      <c r="AA949" s="142"/>
      <c r="AB949" s="142"/>
      <c r="AC949" s="142"/>
      <c r="AD949" s="142"/>
      <c r="AE949" s="142"/>
      <c r="AF949" s="142"/>
      <c r="AG949" s="142"/>
      <c r="AH949" s="142"/>
      <c r="AI949" s="142"/>
      <c r="AJ949" s="142"/>
      <c r="AK949" s="142"/>
      <c r="AL949" s="142"/>
      <c r="AM949" s="143"/>
    </row>
    <row r="950">
      <c r="A950" s="144"/>
      <c r="B950" s="142"/>
      <c r="C950" s="142"/>
      <c r="D950" s="142"/>
      <c r="E950" s="142"/>
      <c r="F950" s="142"/>
      <c r="G950" s="142"/>
      <c r="H950" s="142"/>
      <c r="I950" s="142"/>
      <c r="J950" s="142"/>
      <c r="K950" s="142"/>
      <c r="L950" s="142"/>
      <c r="M950" s="142"/>
      <c r="N950" s="142"/>
      <c r="O950" s="142"/>
      <c r="P950" s="142"/>
      <c r="Q950" s="142"/>
      <c r="R950" s="142"/>
      <c r="S950" s="142"/>
      <c r="T950" s="142"/>
      <c r="U950" s="142"/>
      <c r="V950" s="142"/>
      <c r="W950" s="142"/>
      <c r="X950" s="142"/>
      <c r="Y950" s="142"/>
      <c r="Z950" s="142"/>
      <c r="AA950" s="142"/>
      <c r="AB950" s="142"/>
      <c r="AC950" s="142"/>
      <c r="AD950" s="142"/>
      <c r="AE950" s="142"/>
      <c r="AF950" s="142"/>
      <c r="AG950" s="142"/>
      <c r="AH950" s="142"/>
      <c r="AI950" s="142"/>
      <c r="AJ950" s="142"/>
      <c r="AK950" s="142"/>
      <c r="AL950" s="142"/>
      <c r="AM950" s="143"/>
    </row>
    <row r="951">
      <c r="A951" s="144"/>
      <c r="B951" s="142"/>
      <c r="C951" s="142"/>
      <c r="D951" s="142"/>
      <c r="E951" s="142"/>
      <c r="F951" s="142"/>
      <c r="G951" s="142"/>
      <c r="H951" s="142"/>
      <c r="I951" s="142"/>
      <c r="J951" s="142"/>
      <c r="K951" s="142"/>
      <c r="L951" s="142"/>
      <c r="M951" s="142"/>
      <c r="N951" s="142"/>
      <c r="O951" s="142"/>
      <c r="P951" s="142"/>
      <c r="Q951" s="142"/>
      <c r="R951" s="142"/>
      <c r="S951" s="142"/>
      <c r="T951" s="142"/>
      <c r="U951" s="142"/>
      <c r="V951" s="142"/>
      <c r="W951" s="142"/>
      <c r="X951" s="142"/>
      <c r="Y951" s="142"/>
      <c r="Z951" s="142"/>
      <c r="AA951" s="142"/>
      <c r="AB951" s="142"/>
      <c r="AC951" s="142"/>
      <c r="AD951" s="142"/>
      <c r="AE951" s="142"/>
      <c r="AF951" s="142"/>
      <c r="AG951" s="142"/>
      <c r="AH951" s="142"/>
      <c r="AI951" s="142"/>
      <c r="AJ951" s="142"/>
      <c r="AK951" s="142"/>
      <c r="AL951" s="142"/>
      <c r="AM951" s="143"/>
    </row>
    <row r="952">
      <c r="A952" s="144"/>
      <c r="B952" s="142"/>
      <c r="C952" s="142"/>
      <c r="D952" s="142"/>
      <c r="E952" s="142"/>
      <c r="F952" s="142"/>
      <c r="G952" s="142"/>
      <c r="H952" s="142"/>
      <c r="I952" s="142"/>
      <c r="J952" s="142"/>
      <c r="K952" s="142"/>
      <c r="L952" s="142"/>
      <c r="M952" s="142"/>
      <c r="N952" s="142"/>
      <c r="O952" s="142"/>
      <c r="P952" s="142"/>
      <c r="Q952" s="142"/>
      <c r="R952" s="142"/>
      <c r="S952" s="142"/>
      <c r="T952" s="142"/>
      <c r="U952" s="142"/>
      <c r="V952" s="142"/>
      <c r="W952" s="142"/>
      <c r="X952" s="142"/>
      <c r="Y952" s="142"/>
      <c r="Z952" s="142"/>
      <c r="AA952" s="142"/>
      <c r="AB952" s="142"/>
      <c r="AC952" s="142"/>
      <c r="AD952" s="142"/>
      <c r="AE952" s="142"/>
      <c r="AF952" s="142"/>
      <c r="AG952" s="142"/>
      <c r="AH952" s="142"/>
      <c r="AI952" s="142"/>
      <c r="AJ952" s="142"/>
      <c r="AK952" s="142"/>
      <c r="AL952" s="142"/>
      <c r="AM952" s="143"/>
    </row>
    <row r="953">
      <c r="A953" s="144"/>
      <c r="B953" s="142"/>
      <c r="C953" s="142"/>
      <c r="D953" s="142"/>
      <c r="E953" s="142"/>
      <c r="F953" s="142"/>
      <c r="G953" s="142"/>
      <c r="H953" s="142"/>
      <c r="I953" s="142"/>
      <c r="J953" s="142"/>
      <c r="K953" s="142"/>
      <c r="L953" s="142"/>
      <c r="M953" s="142"/>
      <c r="N953" s="142"/>
      <c r="O953" s="142"/>
      <c r="P953" s="142"/>
      <c r="Q953" s="142"/>
      <c r="R953" s="142"/>
      <c r="S953" s="142"/>
      <c r="T953" s="142"/>
      <c r="U953" s="142"/>
      <c r="V953" s="142"/>
      <c r="W953" s="142"/>
      <c r="X953" s="142"/>
      <c r="Y953" s="142"/>
      <c r="Z953" s="142"/>
      <c r="AA953" s="142"/>
      <c r="AB953" s="142"/>
      <c r="AC953" s="142"/>
      <c r="AD953" s="142"/>
      <c r="AE953" s="142"/>
      <c r="AF953" s="142"/>
      <c r="AG953" s="142"/>
      <c r="AH953" s="142"/>
      <c r="AI953" s="142"/>
      <c r="AJ953" s="142"/>
      <c r="AK953" s="142"/>
      <c r="AL953" s="142"/>
      <c r="AM953" s="143"/>
    </row>
    <row r="954">
      <c r="A954" s="144"/>
      <c r="B954" s="142"/>
      <c r="C954" s="142"/>
      <c r="D954" s="142"/>
      <c r="E954" s="142"/>
      <c r="F954" s="142"/>
      <c r="G954" s="142"/>
      <c r="H954" s="142"/>
      <c r="I954" s="142"/>
      <c r="J954" s="142"/>
      <c r="K954" s="142"/>
      <c r="L954" s="142"/>
      <c r="M954" s="142"/>
      <c r="N954" s="142"/>
      <c r="O954" s="142"/>
      <c r="P954" s="142"/>
      <c r="Q954" s="142"/>
      <c r="R954" s="142"/>
      <c r="S954" s="142"/>
      <c r="T954" s="142"/>
      <c r="U954" s="142"/>
      <c r="V954" s="142"/>
      <c r="W954" s="142"/>
      <c r="X954" s="142"/>
      <c r="Y954" s="142"/>
      <c r="Z954" s="142"/>
      <c r="AA954" s="142"/>
      <c r="AB954" s="142"/>
      <c r="AC954" s="142"/>
      <c r="AD954" s="142"/>
      <c r="AE954" s="142"/>
      <c r="AF954" s="142"/>
      <c r="AG954" s="142"/>
      <c r="AH954" s="142"/>
      <c r="AI954" s="142"/>
      <c r="AJ954" s="142"/>
      <c r="AK954" s="142"/>
      <c r="AL954" s="142"/>
      <c r="AM954" s="143"/>
    </row>
    <row r="955">
      <c r="A955" s="144"/>
      <c r="B955" s="142"/>
      <c r="C955" s="142"/>
      <c r="D955" s="142"/>
      <c r="E955" s="142"/>
      <c r="F955" s="142"/>
      <c r="G955" s="142"/>
      <c r="H955" s="142"/>
      <c r="I955" s="142"/>
      <c r="J955" s="142"/>
      <c r="K955" s="142"/>
      <c r="L955" s="142"/>
      <c r="M955" s="142"/>
      <c r="N955" s="142"/>
      <c r="O955" s="142"/>
      <c r="P955" s="142"/>
      <c r="Q955" s="142"/>
      <c r="R955" s="142"/>
      <c r="S955" s="142"/>
      <c r="T955" s="142"/>
      <c r="U955" s="142"/>
      <c r="V955" s="142"/>
      <c r="W955" s="142"/>
      <c r="X955" s="142"/>
      <c r="Y955" s="142"/>
      <c r="Z955" s="142"/>
      <c r="AA955" s="142"/>
      <c r="AB955" s="142"/>
      <c r="AC955" s="142"/>
      <c r="AD955" s="142"/>
      <c r="AE955" s="142"/>
      <c r="AF955" s="142"/>
      <c r="AG955" s="142"/>
      <c r="AH955" s="142"/>
      <c r="AI955" s="142"/>
      <c r="AJ955" s="142"/>
      <c r="AK955" s="142"/>
      <c r="AL955" s="142"/>
      <c r="AM955" s="143"/>
    </row>
    <row r="956">
      <c r="A956" s="144"/>
      <c r="B956" s="142"/>
      <c r="C956" s="142"/>
      <c r="D956" s="142"/>
      <c r="E956" s="142"/>
      <c r="F956" s="142"/>
      <c r="G956" s="142"/>
      <c r="H956" s="142"/>
      <c r="I956" s="142"/>
      <c r="J956" s="142"/>
      <c r="K956" s="142"/>
      <c r="L956" s="142"/>
      <c r="M956" s="142"/>
      <c r="N956" s="142"/>
      <c r="O956" s="142"/>
      <c r="P956" s="142"/>
      <c r="Q956" s="142"/>
      <c r="R956" s="142"/>
      <c r="S956" s="142"/>
      <c r="T956" s="142"/>
      <c r="U956" s="142"/>
      <c r="V956" s="142"/>
      <c r="W956" s="142"/>
      <c r="X956" s="142"/>
      <c r="Y956" s="142"/>
      <c r="Z956" s="142"/>
      <c r="AA956" s="142"/>
      <c r="AB956" s="142"/>
      <c r="AC956" s="142"/>
      <c r="AD956" s="142"/>
      <c r="AE956" s="142"/>
      <c r="AF956" s="142"/>
      <c r="AG956" s="142"/>
      <c r="AH956" s="142"/>
      <c r="AI956" s="142"/>
      <c r="AJ956" s="142"/>
      <c r="AK956" s="142"/>
      <c r="AL956" s="142"/>
      <c r="AM956" s="143"/>
    </row>
    <row r="957">
      <c r="A957" s="144"/>
      <c r="B957" s="142"/>
      <c r="C957" s="142"/>
      <c r="D957" s="142"/>
      <c r="E957" s="142"/>
      <c r="F957" s="142"/>
      <c r="G957" s="142"/>
      <c r="H957" s="142"/>
      <c r="I957" s="142"/>
      <c r="J957" s="142"/>
      <c r="K957" s="142"/>
      <c r="L957" s="142"/>
      <c r="M957" s="142"/>
      <c r="N957" s="142"/>
      <c r="O957" s="142"/>
      <c r="P957" s="142"/>
      <c r="Q957" s="142"/>
      <c r="R957" s="142"/>
      <c r="S957" s="142"/>
      <c r="T957" s="142"/>
      <c r="U957" s="142"/>
      <c r="V957" s="142"/>
      <c r="W957" s="142"/>
      <c r="X957" s="142"/>
      <c r="Y957" s="142"/>
      <c r="Z957" s="142"/>
      <c r="AA957" s="142"/>
      <c r="AB957" s="142"/>
      <c r="AC957" s="142"/>
      <c r="AD957" s="142"/>
      <c r="AE957" s="142"/>
      <c r="AF957" s="142"/>
      <c r="AG957" s="142"/>
      <c r="AH957" s="142"/>
      <c r="AI957" s="142"/>
      <c r="AJ957" s="142"/>
      <c r="AK957" s="142"/>
      <c r="AL957" s="142"/>
      <c r="AM957" s="143"/>
    </row>
    <row r="958">
      <c r="A958" s="144"/>
      <c r="B958" s="142"/>
      <c r="C958" s="142"/>
      <c r="D958" s="142"/>
      <c r="E958" s="142"/>
      <c r="F958" s="142"/>
      <c r="G958" s="142"/>
      <c r="H958" s="142"/>
      <c r="I958" s="142"/>
      <c r="J958" s="142"/>
      <c r="K958" s="142"/>
      <c r="L958" s="142"/>
      <c r="M958" s="142"/>
      <c r="N958" s="142"/>
      <c r="O958" s="142"/>
      <c r="P958" s="142"/>
      <c r="Q958" s="142"/>
      <c r="R958" s="142"/>
      <c r="S958" s="142"/>
      <c r="T958" s="142"/>
      <c r="U958" s="142"/>
      <c r="V958" s="142"/>
      <c r="W958" s="142"/>
      <c r="X958" s="142"/>
      <c r="Y958" s="142"/>
      <c r="Z958" s="142"/>
      <c r="AA958" s="142"/>
      <c r="AB958" s="142"/>
      <c r="AC958" s="142"/>
      <c r="AD958" s="142"/>
      <c r="AE958" s="142"/>
      <c r="AF958" s="142"/>
      <c r="AG958" s="142"/>
      <c r="AH958" s="142"/>
      <c r="AI958" s="142"/>
      <c r="AJ958" s="142"/>
      <c r="AK958" s="142"/>
      <c r="AL958" s="142"/>
      <c r="AM958" s="143"/>
    </row>
    <row r="959">
      <c r="A959" s="144"/>
      <c r="B959" s="142"/>
      <c r="C959" s="142"/>
      <c r="D959" s="142"/>
      <c r="E959" s="142"/>
      <c r="F959" s="142"/>
      <c r="G959" s="142"/>
      <c r="H959" s="142"/>
      <c r="I959" s="142"/>
      <c r="J959" s="142"/>
      <c r="K959" s="142"/>
      <c r="L959" s="142"/>
      <c r="M959" s="142"/>
      <c r="N959" s="142"/>
      <c r="O959" s="142"/>
      <c r="P959" s="142"/>
      <c r="Q959" s="142"/>
      <c r="R959" s="142"/>
      <c r="S959" s="142"/>
      <c r="T959" s="142"/>
      <c r="U959" s="142"/>
      <c r="V959" s="142"/>
      <c r="W959" s="142"/>
      <c r="X959" s="142"/>
      <c r="Y959" s="142"/>
      <c r="Z959" s="142"/>
      <c r="AA959" s="142"/>
      <c r="AB959" s="142"/>
      <c r="AC959" s="142"/>
      <c r="AD959" s="142"/>
      <c r="AE959" s="142"/>
      <c r="AF959" s="142"/>
      <c r="AG959" s="142"/>
      <c r="AH959" s="142"/>
      <c r="AI959" s="142"/>
      <c r="AJ959" s="142"/>
      <c r="AK959" s="142"/>
      <c r="AL959" s="142"/>
      <c r="AM959" s="143"/>
    </row>
    <row r="960">
      <c r="A960" s="144"/>
      <c r="B960" s="142"/>
      <c r="C960" s="142"/>
      <c r="D960" s="142"/>
      <c r="E960" s="142"/>
      <c r="F960" s="142"/>
      <c r="G960" s="142"/>
      <c r="H960" s="142"/>
      <c r="I960" s="142"/>
      <c r="J960" s="142"/>
      <c r="K960" s="142"/>
      <c r="L960" s="142"/>
      <c r="M960" s="142"/>
      <c r="N960" s="142"/>
      <c r="O960" s="142"/>
      <c r="P960" s="142"/>
      <c r="Q960" s="142"/>
      <c r="R960" s="142"/>
      <c r="S960" s="142"/>
      <c r="T960" s="142"/>
      <c r="U960" s="142"/>
      <c r="V960" s="142"/>
      <c r="W960" s="142"/>
      <c r="X960" s="142"/>
      <c r="Y960" s="142"/>
      <c r="Z960" s="142"/>
      <c r="AA960" s="142"/>
      <c r="AB960" s="142"/>
      <c r="AC960" s="142"/>
      <c r="AD960" s="142"/>
      <c r="AE960" s="142"/>
      <c r="AF960" s="142"/>
      <c r="AG960" s="142"/>
      <c r="AH960" s="142"/>
      <c r="AI960" s="142"/>
      <c r="AJ960" s="142"/>
      <c r="AK960" s="142"/>
      <c r="AL960" s="142"/>
      <c r="AM960" s="143"/>
    </row>
    <row r="961">
      <c r="A961" s="144"/>
      <c r="B961" s="142"/>
      <c r="C961" s="142"/>
      <c r="D961" s="142"/>
      <c r="E961" s="142"/>
      <c r="F961" s="142"/>
      <c r="G961" s="142"/>
      <c r="H961" s="142"/>
      <c r="I961" s="142"/>
      <c r="J961" s="142"/>
      <c r="K961" s="142"/>
      <c r="L961" s="142"/>
      <c r="M961" s="142"/>
      <c r="N961" s="142"/>
      <c r="O961" s="142"/>
      <c r="P961" s="142"/>
      <c r="Q961" s="142"/>
      <c r="R961" s="142"/>
      <c r="S961" s="142"/>
      <c r="T961" s="142"/>
      <c r="U961" s="142"/>
      <c r="V961" s="142"/>
      <c r="W961" s="142"/>
      <c r="X961" s="142"/>
      <c r="Y961" s="142"/>
      <c r="Z961" s="142"/>
      <c r="AA961" s="142"/>
      <c r="AB961" s="142"/>
      <c r="AC961" s="142"/>
      <c r="AD961" s="142"/>
      <c r="AE961" s="142"/>
      <c r="AF961" s="142"/>
      <c r="AG961" s="142"/>
      <c r="AH961" s="142"/>
      <c r="AI961" s="142"/>
      <c r="AJ961" s="142"/>
      <c r="AK961" s="142"/>
      <c r="AL961" s="142"/>
      <c r="AM961" s="143"/>
    </row>
    <row r="962">
      <c r="A962" s="144"/>
      <c r="B962" s="142"/>
      <c r="C962" s="142"/>
      <c r="D962" s="142"/>
      <c r="E962" s="142"/>
      <c r="F962" s="142"/>
      <c r="G962" s="142"/>
      <c r="H962" s="142"/>
      <c r="I962" s="142"/>
      <c r="J962" s="142"/>
      <c r="K962" s="142"/>
      <c r="L962" s="142"/>
      <c r="M962" s="142"/>
      <c r="N962" s="142"/>
      <c r="O962" s="142"/>
      <c r="P962" s="142"/>
      <c r="Q962" s="142"/>
      <c r="R962" s="142"/>
      <c r="S962" s="142"/>
      <c r="T962" s="142"/>
      <c r="U962" s="142"/>
      <c r="V962" s="142"/>
      <c r="W962" s="142"/>
      <c r="X962" s="142"/>
      <c r="Y962" s="142"/>
      <c r="Z962" s="142"/>
      <c r="AA962" s="142"/>
      <c r="AB962" s="142"/>
      <c r="AC962" s="142"/>
      <c r="AD962" s="142"/>
      <c r="AE962" s="142"/>
      <c r="AF962" s="142"/>
      <c r="AG962" s="142"/>
      <c r="AH962" s="142"/>
      <c r="AI962" s="142"/>
      <c r="AJ962" s="142"/>
      <c r="AK962" s="142"/>
      <c r="AL962" s="142"/>
      <c r="AM962" s="143"/>
    </row>
    <row r="963">
      <c r="A963" s="144"/>
      <c r="B963" s="142"/>
      <c r="C963" s="142"/>
      <c r="D963" s="142"/>
      <c r="E963" s="142"/>
      <c r="F963" s="142"/>
      <c r="G963" s="142"/>
      <c r="H963" s="142"/>
      <c r="I963" s="142"/>
      <c r="J963" s="142"/>
      <c r="K963" s="142"/>
      <c r="L963" s="142"/>
      <c r="M963" s="142"/>
      <c r="N963" s="142"/>
      <c r="O963" s="142"/>
      <c r="P963" s="142"/>
      <c r="Q963" s="142"/>
      <c r="R963" s="142"/>
      <c r="S963" s="142"/>
      <c r="T963" s="142"/>
      <c r="U963" s="142"/>
      <c r="V963" s="142"/>
      <c r="W963" s="142"/>
      <c r="X963" s="142"/>
      <c r="Y963" s="142"/>
      <c r="Z963" s="142"/>
      <c r="AA963" s="142"/>
      <c r="AB963" s="142"/>
      <c r="AC963" s="142"/>
      <c r="AD963" s="142"/>
      <c r="AE963" s="142"/>
      <c r="AF963" s="142"/>
      <c r="AG963" s="142"/>
      <c r="AH963" s="142"/>
      <c r="AI963" s="142"/>
      <c r="AJ963" s="142"/>
      <c r="AK963" s="142"/>
      <c r="AL963" s="142"/>
      <c r="AM963" s="143"/>
    </row>
    <row r="964">
      <c r="A964" s="144"/>
      <c r="B964" s="142"/>
      <c r="C964" s="142"/>
      <c r="D964" s="142"/>
      <c r="E964" s="142"/>
      <c r="F964" s="142"/>
      <c r="G964" s="142"/>
      <c r="H964" s="142"/>
      <c r="I964" s="142"/>
      <c r="J964" s="142"/>
      <c r="K964" s="142"/>
      <c r="L964" s="142"/>
      <c r="M964" s="142"/>
      <c r="N964" s="142"/>
      <c r="O964" s="142"/>
      <c r="P964" s="142"/>
      <c r="Q964" s="142"/>
      <c r="R964" s="142"/>
      <c r="S964" s="142"/>
      <c r="T964" s="142"/>
      <c r="U964" s="142"/>
      <c r="V964" s="142"/>
      <c r="W964" s="142"/>
      <c r="X964" s="142"/>
      <c r="Y964" s="142"/>
      <c r="Z964" s="142"/>
      <c r="AA964" s="142"/>
      <c r="AB964" s="142"/>
      <c r="AC964" s="142"/>
      <c r="AD964" s="142"/>
      <c r="AE964" s="142"/>
      <c r="AF964" s="142"/>
      <c r="AG964" s="142"/>
      <c r="AH964" s="142"/>
      <c r="AI964" s="142"/>
      <c r="AJ964" s="142"/>
      <c r="AK964" s="142"/>
      <c r="AL964" s="142"/>
      <c r="AM964" s="143"/>
    </row>
    <row r="965">
      <c r="A965" s="144"/>
      <c r="B965" s="142"/>
      <c r="C965" s="142"/>
      <c r="D965" s="142"/>
      <c r="E965" s="142"/>
      <c r="F965" s="142"/>
      <c r="G965" s="142"/>
      <c r="H965" s="142"/>
      <c r="I965" s="142"/>
      <c r="J965" s="142"/>
      <c r="K965" s="142"/>
      <c r="L965" s="142"/>
      <c r="M965" s="142"/>
      <c r="N965" s="142"/>
      <c r="O965" s="142"/>
      <c r="P965" s="142"/>
      <c r="Q965" s="142"/>
      <c r="R965" s="142"/>
      <c r="S965" s="142"/>
      <c r="T965" s="142"/>
      <c r="U965" s="142"/>
      <c r="V965" s="142"/>
      <c r="W965" s="142"/>
      <c r="X965" s="142"/>
      <c r="Y965" s="142"/>
      <c r="Z965" s="142"/>
      <c r="AA965" s="142"/>
      <c r="AB965" s="142"/>
      <c r="AC965" s="142"/>
      <c r="AD965" s="142"/>
      <c r="AE965" s="142"/>
      <c r="AF965" s="142"/>
      <c r="AG965" s="142"/>
      <c r="AH965" s="142"/>
      <c r="AI965" s="142"/>
      <c r="AJ965" s="142"/>
      <c r="AK965" s="142"/>
      <c r="AL965" s="142"/>
      <c r="AM965" s="143"/>
    </row>
    <row r="966">
      <c r="A966" s="144"/>
      <c r="B966" s="142"/>
      <c r="C966" s="142"/>
      <c r="D966" s="142"/>
      <c r="E966" s="142"/>
      <c r="F966" s="142"/>
      <c r="G966" s="142"/>
      <c r="H966" s="142"/>
      <c r="I966" s="142"/>
      <c r="J966" s="142"/>
      <c r="K966" s="142"/>
      <c r="L966" s="142"/>
      <c r="M966" s="142"/>
      <c r="N966" s="142"/>
      <c r="O966" s="142"/>
      <c r="P966" s="142"/>
      <c r="Q966" s="142"/>
      <c r="R966" s="142"/>
      <c r="S966" s="142"/>
      <c r="T966" s="142"/>
      <c r="U966" s="142"/>
      <c r="V966" s="142"/>
      <c r="W966" s="142"/>
      <c r="X966" s="142"/>
      <c r="Y966" s="142"/>
      <c r="Z966" s="142"/>
      <c r="AA966" s="142"/>
      <c r="AB966" s="142"/>
      <c r="AC966" s="142"/>
      <c r="AD966" s="142"/>
      <c r="AE966" s="142"/>
      <c r="AF966" s="142"/>
      <c r="AG966" s="142"/>
      <c r="AH966" s="142"/>
      <c r="AI966" s="142"/>
      <c r="AJ966" s="142"/>
      <c r="AK966" s="142"/>
      <c r="AL966" s="142"/>
      <c r="AM966" s="143"/>
    </row>
    <row r="967">
      <c r="A967" s="144"/>
      <c r="B967" s="142"/>
      <c r="C967" s="142"/>
      <c r="D967" s="142"/>
      <c r="E967" s="142"/>
      <c r="F967" s="142"/>
      <c r="G967" s="142"/>
      <c r="H967" s="142"/>
      <c r="I967" s="142"/>
      <c r="J967" s="142"/>
      <c r="K967" s="142"/>
      <c r="L967" s="142"/>
      <c r="M967" s="142"/>
      <c r="N967" s="142"/>
      <c r="O967" s="142"/>
      <c r="P967" s="142"/>
      <c r="Q967" s="142"/>
      <c r="R967" s="142"/>
      <c r="S967" s="142"/>
      <c r="T967" s="142"/>
      <c r="U967" s="142"/>
      <c r="V967" s="142"/>
      <c r="W967" s="142"/>
      <c r="X967" s="142"/>
      <c r="Y967" s="142"/>
      <c r="Z967" s="142"/>
      <c r="AA967" s="142"/>
      <c r="AB967" s="142"/>
      <c r="AC967" s="142"/>
      <c r="AD967" s="142"/>
      <c r="AE967" s="142"/>
      <c r="AF967" s="142"/>
      <c r="AG967" s="142"/>
      <c r="AH967" s="142"/>
      <c r="AI967" s="142"/>
      <c r="AJ967" s="142"/>
      <c r="AK967" s="142"/>
      <c r="AL967" s="142"/>
      <c r="AM967" s="143"/>
    </row>
    <row r="968">
      <c r="A968" s="144"/>
      <c r="B968" s="142"/>
      <c r="C968" s="142"/>
      <c r="D968" s="142"/>
      <c r="E968" s="142"/>
      <c r="F968" s="142"/>
      <c r="G968" s="142"/>
      <c r="H968" s="142"/>
      <c r="I968" s="142"/>
      <c r="J968" s="142"/>
      <c r="K968" s="142"/>
      <c r="L968" s="142"/>
      <c r="M968" s="142"/>
      <c r="N968" s="142"/>
      <c r="O968" s="142"/>
      <c r="P968" s="142"/>
      <c r="Q968" s="142"/>
      <c r="R968" s="142"/>
      <c r="S968" s="142"/>
      <c r="T968" s="142"/>
      <c r="U968" s="142"/>
      <c r="V968" s="142"/>
      <c r="W968" s="142"/>
      <c r="X968" s="142"/>
      <c r="Y968" s="142"/>
      <c r="Z968" s="142"/>
      <c r="AA968" s="142"/>
      <c r="AB968" s="142"/>
      <c r="AC968" s="142"/>
      <c r="AD968" s="142"/>
      <c r="AE968" s="142"/>
      <c r="AF968" s="142"/>
      <c r="AG968" s="142"/>
      <c r="AH968" s="142"/>
      <c r="AI968" s="142"/>
      <c r="AJ968" s="142"/>
      <c r="AK968" s="142"/>
      <c r="AL968" s="142"/>
      <c r="AM968" s="143"/>
    </row>
    <row r="969">
      <c r="A969" s="144"/>
      <c r="B969" s="142"/>
      <c r="C969" s="142"/>
      <c r="D969" s="142"/>
      <c r="E969" s="142"/>
      <c r="F969" s="142"/>
      <c r="G969" s="142"/>
      <c r="H969" s="142"/>
      <c r="I969" s="142"/>
      <c r="J969" s="142"/>
      <c r="K969" s="142"/>
      <c r="L969" s="142"/>
      <c r="M969" s="142"/>
      <c r="N969" s="142"/>
      <c r="O969" s="142"/>
      <c r="P969" s="142"/>
      <c r="Q969" s="142"/>
      <c r="R969" s="142"/>
      <c r="S969" s="142"/>
      <c r="T969" s="142"/>
      <c r="U969" s="142"/>
      <c r="V969" s="142"/>
      <c r="W969" s="142"/>
      <c r="X969" s="142"/>
      <c r="Y969" s="142"/>
      <c r="Z969" s="142"/>
      <c r="AA969" s="142"/>
      <c r="AB969" s="142"/>
      <c r="AC969" s="142"/>
      <c r="AD969" s="142"/>
      <c r="AE969" s="142"/>
      <c r="AF969" s="142"/>
      <c r="AG969" s="142"/>
      <c r="AH969" s="142"/>
      <c r="AI969" s="142"/>
      <c r="AJ969" s="142"/>
      <c r="AK969" s="142"/>
      <c r="AL969" s="142"/>
      <c r="AM969" s="143"/>
    </row>
    <row r="970">
      <c r="A970" s="144"/>
      <c r="B970" s="142"/>
      <c r="C970" s="142"/>
      <c r="D970" s="142"/>
      <c r="E970" s="142"/>
      <c r="F970" s="142"/>
      <c r="G970" s="142"/>
      <c r="H970" s="142"/>
      <c r="I970" s="142"/>
      <c r="J970" s="142"/>
      <c r="K970" s="142"/>
      <c r="L970" s="142"/>
      <c r="M970" s="142"/>
      <c r="N970" s="142"/>
      <c r="O970" s="142"/>
      <c r="P970" s="142"/>
      <c r="Q970" s="142"/>
      <c r="R970" s="142"/>
      <c r="S970" s="142"/>
      <c r="T970" s="142"/>
      <c r="U970" s="142"/>
      <c r="V970" s="142"/>
      <c r="W970" s="142"/>
      <c r="X970" s="142"/>
      <c r="Y970" s="142"/>
      <c r="Z970" s="142"/>
      <c r="AA970" s="142"/>
      <c r="AB970" s="142"/>
      <c r="AC970" s="142"/>
      <c r="AD970" s="142"/>
      <c r="AE970" s="142"/>
      <c r="AF970" s="142"/>
      <c r="AG970" s="142"/>
      <c r="AH970" s="142"/>
      <c r="AI970" s="142"/>
      <c r="AJ970" s="142"/>
      <c r="AK970" s="142"/>
      <c r="AL970" s="142"/>
      <c r="AM970" s="143"/>
    </row>
    <row r="971">
      <c r="A971" s="144"/>
      <c r="B971" s="142"/>
      <c r="C971" s="142"/>
      <c r="D971" s="142"/>
      <c r="E971" s="142"/>
      <c r="F971" s="142"/>
      <c r="G971" s="142"/>
      <c r="H971" s="142"/>
      <c r="I971" s="142"/>
      <c r="J971" s="142"/>
      <c r="K971" s="142"/>
      <c r="L971" s="142"/>
      <c r="M971" s="142"/>
      <c r="N971" s="142"/>
      <c r="O971" s="142"/>
      <c r="P971" s="142"/>
      <c r="Q971" s="142"/>
      <c r="R971" s="142"/>
      <c r="S971" s="142"/>
      <c r="T971" s="142"/>
      <c r="U971" s="142"/>
      <c r="V971" s="142"/>
      <c r="W971" s="142"/>
      <c r="X971" s="142"/>
      <c r="Y971" s="142"/>
      <c r="Z971" s="142"/>
      <c r="AA971" s="142"/>
      <c r="AB971" s="142"/>
      <c r="AC971" s="142"/>
      <c r="AD971" s="142"/>
      <c r="AE971" s="142"/>
      <c r="AF971" s="142"/>
      <c r="AG971" s="142"/>
      <c r="AH971" s="142"/>
      <c r="AI971" s="142"/>
      <c r="AJ971" s="142"/>
      <c r="AK971" s="142"/>
      <c r="AL971" s="142"/>
      <c r="AM971" s="143"/>
    </row>
    <row r="972">
      <c r="A972" s="144"/>
      <c r="B972" s="142"/>
      <c r="C972" s="142"/>
      <c r="D972" s="142"/>
      <c r="E972" s="142"/>
      <c r="F972" s="142"/>
      <c r="G972" s="142"/>
      <c r="H972" s="142"/>
      <c r="I972" s="142"/>
      <c r="J972" s="142"/>
      <c r="K972" s="142"/>
      <c r="L972" s="142"/>
      <c r="M972" s="142"/>
      <c r="N972" s="142"/>
      <c r="O972" s="142"/>
      <c r="P972" s="142"/>
      <c r="Q972" s="142"/>
      <c r="R972" s="142"/>
      <c r="S972" s="142"/>
      <c r="T972" s="142"/>
      <c r="U972" s="142"/>
      <c r="V972" s="142"/>
      <c r="W972" s="142"/>
      <c r="X972" s="142"/>
      <c r="Y972" s="142"/>
      <c r="Z972" s="142"/>
      <c r="AA972" s="142"/>
      <c r="AB972" s="142"/>
      <c r="AC972" s="142"/>
      <c r="AD972" s="142"/>
      <c r="AE972" s="142"/>
      <c r="AF972" s="142"/>
      <c r="AG972" s="142"/>
      <c r="AH972" s="142"/>
      <c r="AI972" s="142"/>
      <c r="AJ972" s="142"/>
      <c r="AK972" s="142"/>
      <c r="AL972" s="142"/>
      <c r="AM972" s="143"/>
    </row>
    <row r="973">
      <c r="A973" s="144"/>
      <c r="B973" s="142"/>
      <c r="C973" s="142"/>
      <c r="D973" s="142"/>
      <c r="E973" s="142"/>
      <c r="F973" s="142"/>
      <c r="G973" s="142"/>
      <c r="H973" s="142"/>
      <c r="I973" s="142"/>
      <c r="J973" s="142"/>
      <c r="K973" s="142"/>
      <c r="L973" s="142"/>
      <c r="M973" s="142"/>
      <c r="N973" s="142"/>
      <c r="O973" s="142"/>
      <c r="P973" s="142"/>
      <c r="Q973" s="142"/>
      <c r="R973" s="142"/>
      <c r="S973" s="142"/>
      <c r="T973" s="142"/>
      <c r="U973" s="142"/>
      <c r="V973" s="142"/>
      <c r="W973" s="142"/>
      <c r="X973" s="142"/>
      <c r="Y973" s="142"/>
      <c r="Z973" s="142"/>
      <c r="AA973" s="142"/>
      <c r="AB973" s="142"/>
      <c r="AC973" s="142"/>
      <c r="AD973" s="142"/>
      <c r="AE973" s="142"/>
      <c r="AF973" s="142"/>
      <c r="AG973" s="142"/>
      <c r="AH973" s="142"/>
      <c r="AI973" s="142"/>
      <c r="AJ973" s="142"/>
      <c r="AK973" s="142"/>
      <c r="AL973" s="142"/>
      <c r="AM973" s="143"/>
    </row>
    <row r="974">
      <c r="A974" s="144"/>
      <c r="B974" s="142"/>
      <c r="C974" s="142"/>
      <c r="D974" s="142"/>
      <c r="E974" s="142"/>
      <c r="F974" s="142"/>
      <c r="G974" s="142"/>
      <c r="H974" s="142"/>
      <c r="I974" s="142"/>
      <c r="J974" s="142"/>
      <c r="K974" s="142"/>
      <c r="L974" s="142"/>
      <c r="M974" s="142"/>
      <c r="N974" s="142"/>
      <c r="O974" s="142"/>
      <c r="P974" s="142"/>
      <c r="Q974" s="142"/>
      <c r="R974" s="142"/>
      <c r="S974" s="142"/>
      <c r="T974" s="142"/>
      <c r="U974" s="142"/>
      <c r="V974" s="142"/>
      <c r="W974" s="142"/>
      <c r="X974" s="142"/>
      <c r="Y974" s="142"/>
      <c r="Z974" s="142"/>
      <c r="AA974" s="142"/>
      <c r="AB974" s="142"/>
      <c r="AC974" s="142"/>
      <c r="AD974" s="142"/>
      <c r="AE974" s="142"/>
      <c r="AF974" s="142"/>
      <c r="AG974" s="142"/>
      <c r="AH974" s="142"/>
      <c r="AI974" s="142"/>
      <c r="AJ974" s="142"/>
      <c r="AK974" s="142"/>
      <c r="AL974" s="142"/>
      <c r="AM974" s="143"/>
    </row>
    <row r="975">
      <c r="A975" s="144"/>
      <c r="B975" s="142"/>
      <c r="C975" s="142"/>
      <c r="D975" s="142"/>
      <c r="E975" s="142"/>
      <c r="F975" s="142"/>
      <c r="G975" s="142"/>
      <c r="H975" s="142"/>
      <c r="I975" s="142"/>
      <c r="J975" s="142"/>
      <c r="K975" s="142"/>
      <c r="L975" s="142"/>
      <c r="M975" s="142"/>
      <c r="N975" s="142"/>
      <c r="O975" s="142"/>
      <c r="P975" s="142"/>
      <c r="Q975" s="142"/>
      <c r="R975" s="142"/>
      <c r="S975" s="142"/>
      <c r="T975" s="142"/>
      <c r="U975" s="142"/>
      <c r="V975" s="142"/>
      <c r="W975" s="142"/>
      <c r="X975" s="142"/>
      <c r="Y975" s="142"/>
      <c r="Z975" s="142"/>
      <c r="AA975" s="142"/>
      <c r="AB975" s="142"/>
      <c r="AC975" s="142"/>
      <c r="AD975" s="142"/>
      <c r="AE975" s="142"/>
      <c r="AF975" s="142"/>
      <c r="AG975" s="142"/>
      <c r="AH975" s="142"/>
      <c r="AI975" s="142"/>
      <c r="AJ975" s="142"/>
      <c r="AK975" s="142"/>
      <c r="AL975" s="142"/>
      <c r="AM975" s="143"/>
    </row>
    <row r="976">
      <c r="A976" s="144"/>
      <c r="B976" s="142"/>
      <c r="C976" s="142"/>
      <c r="D976" s="142"/>
      <c r="E976" s="142"/>
      <c r="F976" s="142"/>
      <c r="G976" s="142"/>
      <c r="H976" s="142"/>
      <c r="I976" s="142"/>
      <c r="J976" s="142"/>
      <c r="K976" s="142"/>
      <c r="L976" s="142"/>
      <c r="M976" s="142"/>
      <c r="N976" s="142"/>
      <c r="O976" s="142"/>
      <c r="P976" s="142"/>
      <c r="Q976" s="142"/>
      <c r="R976" s="142"/>
      <c r="S976" s="142"/>
      <c r="T976" s="142"/>
      <c r="U976" s="142"/>
      <c r="V976" s="142"/>
      <c r="W976" s="142"/>
      <c r="X976" s="142"/>
      <c r="Y976" s="142"/>
      <c r="Z976" s="142"/>
      <c r="AA976" s="142"/>
      <c r="AB976" s="142"/>
      <c r="AC976" s="142"/>
      <c r="AD976" s="142"/>
      <c r="AE976" s="142"/>
      <c r="AF976" s="142"/>
      <c r="AG976" s="142"/>
      <c r="AH976" s="142"/>
      <c r="AI976" s="142"/>
      <c r="AJ976" s="142"/>
      <c r="AK976" s="142"/>
      <c r="AL976" s="142"/>
      <c r="AM976" s="143"/>
    </row>
    <row r="977">
      <c r="A977" s="144"/>
      <c r="B977" s="142"/>
      <c r="C977" s="142"/>
      <c r="D977" s="142"/>
      <c r="E977" s="142"/>
      <c r="F977" s="142"/>
      <c r="G977" s="142"/>
      <c r="H977" s="142"/>
      <c r="I977" s="142"/>
      <c r="J977" s="142"/>
      <c r="K977" s="142"/>
      <c r="L977" s="142"/>
      <c r="M977" s="142"/>
      <c r="N977" s="142"/>
      <c r="O977" s="142"/>
      <c r="P977" s="142"/>
      <c r="Q977" s="142"/>
      <c r="R977" s="142"/>
      <c r="S977" s="142"/>
      <c r="T977" s="142"/>
      <c r="U977" s="142"/>
      <c r="V977" s="142"/>
      <c r="W977" s="142"/>
      <c r="X977" s="142"/>
      <c r="Y977" s="142"/>
      <c r="Z977" s="142"/>
      <c r="AA977" s="142"/>
      <c r="AB977" s="142"/>
      <c r="AC977" s="142"/>
      <c r="AD977" s="142"/>
      <c r="AE977" s="142"/>
      <c r="AF977" s="142"/>
      <c r="AG977" s="142"/>
      <c r="AH977" s="142"/>
      <c r="AI977" s="142"/>
      <c r="AJ977" s="142"/>
      <c r="AK977" s="142"/>
      <c r="AL977" s="142"/>
      <c r="AM977" s="143"/>
    </row>
    <row r="978">
      <c r="A978" s="144"/>
      <c r="B978" s="142"/>
      <c r="C978" s="142"/>
      <c r="D978" s="142"/>
      <c r="E978" s="142"/>
      <c r="F978" s="142"/>
      <c r="G978" s="142"/>
      <c r="H978" s="142"/>
      <c r="I978" s="142"/>
      <c r="J978" s="142"/>
      <c r="K978" s="142"/>
      <c r="L978" s="142"/>
      <c r="M978" s="142"/>
      <c r="N978" s="142"/>
      <c r="O978" s="142"/>
      <c r="P978" s="142"/>
      <c r="Q978" s="142"/>
      <c r="R978" s="142"/>
      <c r="S978" s="142"/>
      <c r="T978" s="142"/>
      <c r="U978" s="142"/>
      <c r="V978" s="142"/>
      <c r="W978" s="142"/>
      <c r="X978" s="142"/>
      <c r="Y978" s="142"/>
      <c r="Z978" s="142"/>
      <c r="AA978" s="142"/>
      <c r="AB978" s="142"/>
      <c r="AC978" s="142"/>
      <c r="AD978" s="142"/>
      <c r="AE978" s="142"/>
      <c r="AF978" s="142"/>
      <c r="AG978" s="142"/>
      <c r="AH978" s="142"/>
      <c r="AI978" s="142"/>
      <c r="AJ978" s="142"/>
      <c r="AK978" s="142"/>
      <c r="AL978" s="142"/>
      <c r="AM978" s="143"/>
    </row>
    <row r="979">
      <c r="A979" s="144"/>
      <c r="B979" s="142"/>
      <c r="C979" s="142"/>
      <c r="D979" s="142"/>
      <c r="E979" s="142"/>
      <c r="F979" s="142"/>
      <c r="G979" s="142"/>
      <c r="H979" s="142"/>
      <c r="I979" s="142"/>
      <c r="J979" s="142"/>
      <c r="K979" s="142"/>
      <c r="L979" s="142"/>
      <c r="M979" s="142"/>
      <c r="N979" s="142"/>
      <c r="O979" s="142"/>
      <c r="P979" s="142"/>
      <c r="Q979" s="142"/>
      <c r="R979" s="142"/>
      <c r="S979" s="142"/>
      <c r="T979" s="142"/>
      <c r="U979" s="142"/>
      <c r="V979" s="142"/>
      <c r="W979" s="142"/>
      <c r="X979" s="142"/>
      <c r="Y979" s="142"/>
      <c r="Z979" s="142"/>
      <c r="AA979" s="142"/>
      <c r="AB979" s="142"/>
      <c r="AC979" s="142"/>
      <c r="AD979" s="142"/>
      <c r="AE979" s="142"/>
      <c r="AF979" s="142"/>
      <c r="AG979" s="142"/>
      <c r="AH979" s="142"/>
      <c r="AI979" s="142"/>
      <c r="AJ979" s="142"/>
      <c r="AK979" s="142"/>
      <c r="AL979" s="142"/>
      <c r="AM979" s="143"/>
    </row>
    <row r="980">
      <c r="A980" s="144"/>
      <c r="B980" s="142"/>
      <c r="C980" s="142"/>
      <c r="D980" s="142"/>
      <c r="E980" s="142"/>
      <c r="F980" s="142"/>
      <c r="G980" s="142"/>
      <c r="H980" s="142"/>
      <c r="I980" s="142"/>
      <c r="J980" s="142"/>
      <c r="K980" s="142"/>
      <c r="L980" s="142"/>
      <c r="M980" s="142"/>
      <c r="N980" s="142"/>
      <c r="O980" s="142"/>
      <c r="P980" s="142"/>
      <c r="Q980" s="142"/>
      <c r="R980" s="142"/>
      <c r="S980" s="142"/>
      <c r="T980" s="142"/>
      <c r="U980" s="142"/>
      <c r="V980" s="142"/>
      <c r="W980" s="142"/>
      <c r="X980" s="142"/>
      <c r="Y980" s="142"/>
      <c r="Z980" s="142"/>
      <c r="AA980" s="142"/>
      <c r="AB980" s="142"/>
      <c r="AC980" s="142"/>
      <c r="AD980" s="142"/>
      <c r="AE980" s="142"/>
      <c r="AF980" s="142"/>
      <c r="AG980" s="142"/>
      <c r="AH980" s="142"/>
      <c r="AI980" s="142"/>
      <c r="AJ980" s="142"/>
      <c r="AK980" s="142"/>
      <c r="AL980" s="142"/>
      <c r="AM980" s="143"/>
    </row>
    <row r="981">
      <c r="A981" s="144"/>
      <c r="B981" s="142"/>
      <c r="C981" s="142"/>
      <c r="D981" s="142"/>
      <c r="E981" s="142"/>
      <c r="F981" s="142"/>
      <c r="G981" s="142"/>
      <c r="H981" s="142"/>
      <c r="I981" s="142"/>
      <c r="J981" s="142"/>
      <c r="K981" s="142"/>
      <c r="L981" s="142"/>
      <c r="M981" s="142"/>
      <c r="N981" s="142"/>
      <c r="O981" s="142"/>
      <c r="P981" s="142"/>
      <c r="Q981" s="142"/>
      <c r="R981" s="142"/>
      <c r="S981" s="142"/>
      <c r="T981" s="142"/>
      <c r="U981" s="142"/>
      <c r="V981" s="142"/>
      <c r="W981" s="142"/>
      <c r="X981" s="142"/>
      <c r="Y981" s="142"/>
      <c r="Z981" s="142"/>
      <c r="AA981" s="142"/>
      <c r="AB981" s="142"/>
      <c r="AC981" s="142"/>
      <c r="AD981" s="142"/>
      <c r="AE981" s="142"/>
      <c r="AF981" s="142"/>
      <c r="AG981" s="142"/>
      <c r="AH981" s="142"/>
      <c r="AI981" s="142"/>
      <c r="AJ981" s="142"/>
      <c r="AK981" s="142"/>
      <c r="AL981" s="142"/>
      <c r="AM981" s="143"/>
    </row>
    <row r="982">
      <c r="A982" s="144"/>
      <c r="B982" s="142"/>
      <c r="C982" s="142"/>
      <c r="D982" s="142"/>
      <c r="E982" s="142"/>
      <c r="F982" s="142"/>
      <c r="G982" s="142"/>
      <c r="H982" s="142"/>
      <c r="I982" s="142"/>
      <c r="J982" s="142"/>
      <c r="K982" s="142"/>
      <c r="L982" s="142"/>
      <c r="M982" s="142"/>
      <c r="N982" s="142"/>
      <c r="O982" s="142"/>
      <c r="P982" s="142"/>
      <c r="Q982" s="142"/>
      <c r="R982" s="142"/>
      <c r="S982" s="142"/>
      <c r="T982" s="142"/>
      <c r="U982" s="142"/>
      <c r="V982" s="142"/>
      <c r="W982" s="142"/>
      <c r="X982" s="142"/>
      <c r="Y982" s="142"/>
      <c r="Z982" s="142"/>
      <c r="AA982" s="142"/>
      <c r="AB982" s="142"/>
      <c r="AC982" s="142"/>
      <c r="AD982" s="142"/>
      <c r="AE982" s="142"/>
      <c r="AF982" s="142"/>
      <c r="AG982" s="142"/>
      <c r="AH982" s="142"/>
      <c r="AI982" s="142"/>
      <c r="AJ982" s="142"/>
      <c r="AK982" s="142"/>
      <c r="AL982" s="142"/>
      <c r="AM982" s="143"/>
    </row>
    <row r="983">
      <c r="A983" s="144"/>
      <c r="B983" s="142"/>
      <c r="C983" s="142"/>
      <c r="D983" s="142"/>
      <c r="E983" s="142"/>
      <c r="F983" s="142"/>
      <c r="G983" s="142"/>
      <c r="H983" s="142"/>
      <c r="I983" s="142"/>
      <c r="J983" s="142"/>
      <c r="K983" s="142"/>
      <c r="L983" s="142"/>
      <c r="M983" s="142"/>
      <c r="N983" s="142"/>
      <c r="O983" s="142"/>
      <c r="P983" s="142"/>
      <c r="Q983" s="142"/>
      <c r="R983" s="142"/>
      <c r="S983" s="142"/>
      <c r="T983" s="142"/>
      <c r="U983" s="142"/>
      <c r="V983" s="142"/>
      <c r="W983" s="142"/>
      <c r="X983" s="142"/>
      <c r="Y983" s="142"/>
      <c r="Z983" s="142"/>
      <c r="AA983" s="142"/>
      <c r="AB983" s="142"/>
      <c r="AC983" s="142"/>
      <c r="AD983" s="142"/>
      <c r="AE983" s="142"/>
      <c r="AF983" s="142"/>
      <c r="AG983" s="142"/>
      <c r="AH983" s="142"/>
      <c r="AI983" s="142"/>
      <c r="AJ983" s="142"/>
      <c r="AK983" s="142"/>
      <c r="AL983" s="142"/>
      <c r="AM983" s="143"/>
    </row>
    <row r="984">
      <c r="A984" s="144"/>
      <c r="B984" s="142"/>
      <c r="C984" s="142"/>
      <c r="D984" s="142"/>
      <c r="E984" s="142"/>
      <c r="F984" s="142"/>
      <c r="G984" s="142"/>
      <c r="H984" s="142"/>
      <c r="I984" s="142"/>
      <c r="J984" s="142"/>
      <c r="K984" s="142"/>
      <c r="L984" s="142"/>
      <c r="M984" s="142"/>
      <c r="N984" s="142"/>
      <c r="O984" s="142"/>
      <c r="P984" s="142"/>
      <c r="Q984" s="142"/>
      <c r="R984" s="142"/>
      <c r="S984" s="142"/>
      <c r="T984" s="142"/>
      <c r="U984" s="142"/>
      <c r="V984" s="142"/>
      <c r="W984" s="142"/>
      <c r="X984" s="142"/>
      <c r="Y984" s="142"/>
      <c r="Z984" s="142"/>
      <c r="AA984" s="142"/>
      <c r="AB984" s="142"/>
      <c r="AC984" s="142"/>
      <c r="AD984" s="142"/>
      <c r="AE984" s="142"/>
      <c r="AF984" s="142"/>
      <c r="AG984" s="142"/>
      <c r="AH984" s="142"/>
      <c r="AI984" s="142"/>
      <c r="AJ984" s="142"/>
      <c r="AK984" s="142"/>
      <c r="AL984" s="142"/>
      <c r="AM984" s="143"/>
    </row>
    <row r="985">
      <c r="A985" s="144"/>
      <c r="B985" s="142"/>
      <c r="C985" s="142"/>
      <c r="D985" s="142"/>
      <c r="E985" s="142"/>
      <c r="F985" s="142"/>
      <c r="G985" s="142"/>
      <c r="H985" s="142"/>
      <c r="I985" s="142"/>
      <c r="J985" s="142"/>
      <c r="K985" s="142"/>
      <c r="L985" s="142"/>
      <c r="M985" s="142"/>
      <c r="N985" s="142"/>
      <c r="O985" s="142"/>
      <c r="P985" s="142"/>
      <c r="Q985" s="142"/>
      <c r="R985" s="142"/>
      <c r="S985" s="142"/>
      <c r="T985" s="142"/>
      <c r="U985" s="142"/>
      <c r="V985" s="142"/>
      <c r="W985" s="142"/>
      <c r="X985" s="142"/>
      <c r="Y985" s="142"/>
      <c r="Z985" s="142"/>
      <c r="AA985" s="142"/>
      <c r="AB985" s="142"/>
      <c r="AC985" s="142"/>
      <c r="AD985" s="142"/>
      <c r="AE985" s="142"/>
      <c r="AF985" s="142"/>
      <c r="AG985" s="142"/>
      <c r="AH985" s="142"/>
      <c r="AI985" s="142"/>
      <c r="AJ985" s="142"/>
      <c r="AK985" s="142"/>
      <c r="AL985" s="142"/>
      <c r="AM985" s="143"/>
    </row>
    <row r="986">
      <c r="A986" s="144"/>
      <c r="B986" s="142"/>
      <c r="C986" s="142"/>
      <c r="D986" s="142"/>
      <c r="E986" s="142"/>
      <c r="F986" s="142"/>
      <c r="G986" s="142"/>
      <c r="H986" s="142"/>
      <c r="I986" s="142"/>
      <c r="J986" s="142"/>
      <c r="K986" s="142"/>
      <c r="L986" s="142"/>
      <c r="M986" s="142"/>
      <c r="N986" s="142"/>
      <c r="O986" s="142"/>
      <c r="P986" s="142"/>
      <c r="Q986" s="142"/>
      <c r="R986" s="142"/>
      <c r="S986" s="142"/>
      <c r="T986" s="142"/>
      <c r="U986" s="142"/>
      <c r="V986" s="142"/>
      <c r="W986" s="142"/>
      <c r="X986" s="142"/>
      <c r="Y986" s="142"/>
      <c r="Z986" s="142"/>
      <c r="AA986" s="142"/>
      <c r="AB986" s="142"/>
      <c r="AC986" s="142"/>
      <c r="AD986" s="142"/>
      <c r="AE986" s="142"/>
      <c r="AF986" s="142"/>
      <c r="AG986" s="142"/>
      <c r="AH986" s="142"/>
      <c r="AI986" s="142"/>
      <c r="AJ986" s="142"/>
      <c r="AK986" s="142"/>
      <c r="AL986" s="142"/>
      <c r="AM986" s="143"/>
    </row>
    <row r="987">
      <c r="A987" s="144"/>
      <c r="B987" s="142"/>
      <c r="C987" s="142"/>
      <c r="D987" s="142"/>
      <c r="E987" s="142"/>
      <c r="F987" s="142"/>
      <c r="G987" s="142"/>
      <c r="H987" s="142"/>
      <c r="I987" s="142"/>
      <c r="J987" s="142"/>
      <c r="K987" s="142"/>
      <c r="L987" s="142"/>
      <c r="M987" s="142"/>
      <c r="N987" s="142"/>
      <c r="O987" s="142"/>
      <c r="P987" s="142"/>
      <c r="Q987" s="142"/>
      <c r="R987" s="142"/>
      <c r="S987" s="142"/>
      <c r="T987" s="142"/>
      <c r="U987" s="142"/>
      <c r="V987" s="142"/>
      <c r="W987" s="142"/>
      <c r="X987" s="142"/>
      <c r="Y987" s="142"/>
      <c r="Z987" s="142"/>
      <c r="AA987" s="142"/>
      <c r="AB987" s="142"/>
      <c r="AC987" s="142"/>
      <c r="AD987" s="142"/>
      <c r="AE987" s="142"/>
      <c r="AF987" s="142"/>
      <c r="AG987" s="142"/>
      <c r="AH987" s="142"/>
      <c r="AI987" s="142"/>
      <c r="AJ987" s="142"/>
      <c r="AK987" s="142"/>
      <c r="AL987" s="142"/>
      <c r="AM987" s="143"/>
    </row>
    <row r="988">
      <c r="A988" s="144"/>
      <c r="B988" s="142"/>
      <c r="C988" s="142"/>
      <c r="D988" s="142"/>
      <c r="E988" s="142"/>
      <c r="F988" s="142"/>
      <c r="G988" s="142"/>
      <c r="H988" s="142"/>
      <c r="I988" s="142"/>
      <c r="J988" s="142"/>
      <c r="K988" s="142"/>
      <c r="L988" s="142"/>
      <c r="M988" s="142"/>
      <c r="N988" s="142"/>
      <c r="O988" s="142"/>
      <c r="P988" s="142"/>
      <c r="Q988" s="142"/>
      <c r="R988" s="142"/>
      <c r="S988" s="142"/>
      <c r="T988" s="142"/>
      <c r="U988" s="142"/>
      <c r="V988" s="142"/>
      <c r="W988" s="142"/>
      <c r="X988" s="142"/>
      <c r="Y988" s="142"/>
      <c r="Z988" s="142"/>
      <c r="AA988" s="142"/>
      <c r="AB988" s="142"/>
      <c r="AC988" s="142"/>
      <c r="AD988" s="142"/>
      <c r="AE988" s="142"/>
      <c r="AF988" s="142"/>
      <c r="AG988" s="142"/>
      <c r="AH988" s="142"/>
      <c r="AI988" s="142"/>
      <c r="AJ988" s="142"/>
      <c r="AK988" s="142"/>
      <c r="AL988" s="142"/>
      <c r="AM988" s="143"/>
    </row>
    <row r="989">
      <c r="A989" s="144"/>
      <c r="B989" s="142"/>
      <c r="C989" s="142"/>
      <c r="D989" s="142"/>
      <c r="E989" s="142"/>
      <c r="F989" s="142"/>
      <c r="G989" s="142"/>
      <c r="H989" s="142"/>
      <c r="I989" s="142"/>
      <c r="J989" s="142"/>
      <c r="K989" s="142"/>
      <c r="L989" s="142"/>
      <c r="M989" s="142"/>
      <c r="N989" s="142"/>
      <c r="O989" s="142"/>
      <c r="P989" s="142"/>
      <c r="Q989" s="142"/>
      <c r="R989" s="142"/>
      <c r="S989" s="142"/>
      <c r="T989" s="142"/>
      <c r="U989" s="142"/>
      <c r="V989" s="142"/>
      <c r="W989" s="142"/>
      <c r="X989" s="142"/>
      <c r="Y989" s="142"/>
      <c r="Z989" s="142"/>
      <c r="AA989" s="142"/>
      <c r="AB989" s="142"/>
      <c r="AC989" s="142"/>
      <c r="AD989" s="142"/>
      <c r="AE989" s="142"/>
      <c r="AF989" s="142"/>
      <c r="AG989" s="142"/>
      <c r="AH989" s="142"/>
      <c r="AI989" s="142"/>
      <c r="AJ989" s="142"/>
      <c r="AK989" s="142"/>
      <c r="AL989" s="142"/>
      <c r="AM989" s="143"/>
    </row>
    <row r="990">
      <c r="A990" s="144"/>
      <c r="B990" s="142"/>
      <c r="C990" s="142"/>
      <c r="D990" s="142"/>
      <c r="E990" s="142"/>
      <c r="F990" s="142"/>
      <c r="G990" s="142"/>
      <c r="H990" s="142"/>
      <c r="I990" s="142"/>
      <c r="J990" s="142"/>
      <c r="K990" s="142"/>
      <c r="L990" s="142"/>
      <c r="M990" s="142"/>
      <c r="N990" s="142"/>
      <c r="O990" s="142"/>
      <c r="P990" s="142"/>
      <c r="Q990" s="142"/>
      <c r="R990" s="142"/>
      <c r="S990" s="142"/>
      <c r="T990" s="142"/>
      <c r="U990" s="142"/>
      <c r="V990" s="142"/>
      <c r="W990" s="142"/>
      <c r="X990" s="142"/>
      <c r="Y990" s="142"/>
      <c r="Z990" s="142"/>
      <c r="AA990" s="142"/>
      <c r="AB990" s="142"/>
      <c r="AC990" s="142"/>
      <c r="AD990" s="142"/>
      <c r="AE990" s="142"/>
      <c r="AF990" s="142"/>
      <c r="AG990" s="142"/>
      <c r="AH990" s="142"/>
      <c r="AI990" s="142"/>
      <c r="AJ990" s="142"/>
      <c r="AK990" s="142"/>
      <c r="AL990" s="142"/>
      <c r="AM990" s="143"/>
    </row>
    <row r="991">
      <c r="A991" s="144"/>
      <c r="B991" s="142"/>
      <c r="C991" s="142"/>
      <c r="D991" s="142"/>
      <c r="E991" s="142"/>
      <c r="F991" s="142"/>
      <c r="G991" s="142"/>
      <c r="H991" s="142"/>
      <c r="I991" s="142"/>
      <c r="J991" s="142"/>
      <c r="K991" s="142"/>
      <c r="L991" s="142"/>
      <c r="M991" s="142"/>
      <c r="N991" s="142"/>
      <c r="O991" s="142"/>
      <c r="P991" s="142"/>
      <c r="Q991" s="142"/>
      <c r="R991" s="142"/>
      <c r="S991" s="142"/>
      <c r="T991" s="142"/>
      <c r="U991" s="142"/>
      <c r="V991" s="142"/>
      <c r="W991" s="142"/>
      <c r="X991" s="142"/>
      <c r="Y991" s="142"/>
      <c r="Z991" s="142"/>
      <c r="AA991" s="142"/>
      <c r="AB991" s="142"/>
      <c r="AC991" s="142"/>
      <c r="AD991" s="142"/>
      <c r="AE991" s="142"/>
      <c r="AF991" s="142"/>
      <c r="AG991" s="142"/>
      <c r="AH991" s="142"/>
      <c r="AI991" s="142"/>
      <c r="AJ991" s="142"/>
      <c r="AK991" s="142"/>
      <c r="AL991" s="142"/>
      <c r="AM991" s="143"/>
    </row>
    <row r="992">
      <c r="A992" s="144"/>
      <c r="B992" s="142"/>
      <c r="C992" s="142"/>
      <c r="D992" s="142"/>
      <c r="E992" s="142"/>
      <c r="F992" s="142"/>
      <c r="G992" s="142"/>
      <c r="H992" s="142"/>
      <c r="I992" s="142"/>
      <c r="J992" s="142"/>
      <c r="K992" s="142"/>
      <c r="L992" s="142"/>
      <c r="M992" s="142"/>
      <c r="N992" s="142"/>
      <c r="O992" s="142"/>
      <c r="P992" s="142"/>
      <c r="Q992" s="142"/>
      <c r="R992" s="142"/>
      <c r="S992" s="142"/>
      <c r="T992" s="142"/>
      <c r="U992" s="142"/>
      <c r="V992" s="142"/>
      <c r="W992" s="142"/>
      <c r="X992" s="142"/>
      <c r="Y992" s="142"/>
      <c r="Z992" s="142"/>
      <c r="AA992" s="142"/>
      <c r="AB992" s="142"/>
      <c r="AC992" s="142"/>
      <c r="AD992" s="142"/>
      <c r="AE992" s="142"/>
      <c r="AF992" s="142"/>
      <c r="AG992" s="142"/>
      <c r="AH992" s="142"/>
      <c r="AI992" s="142"/>
      <c r="AJ992" s="142"/>
      <c r="AK992" s="142"/>
      <c r="AL992" s="142"/>
      <c r="AM992" s="143"/>
    </row>
    <row r="993">
      <c r="A993" s="144"/>
      <c r="B993" s="142"/>
      <c r="C993" s="142"/>
      <c r="D993" s="142"/>
      <c r="E993" s="142"/>
      <c r="F993" s="142"/>
      <c r="G993" s="142"/>
      <c r="H993" s="142"/>
      <c r="I993" s="142"/>
      <c r="J993" s="142"/>
      <c r="K993" s="142"/>
      <c r="L993" s="142"/>
      <c r="M993" s="142"/>
      <c r="N993" s="142"/>
      <c r="O993" s="142"/>
      <c r="P993" s="142"/>
      <c r="Q993" s="142"/>
      <c r="R993" s="142"/>
      <c r="S993" s="142"/>
      <c r="T993" s="142"/>
      <c r="U993" s="142"/>
      <c r="V993" s="142"/>
      <c r="W993" s="142"/>
      <c r="X993" s="142"/>
      <c r="Y993" s="142"/>
      <c r="Z993" s="142"/>
      <c r="AA993" s="142"/>
      <c r="AB993" s="142"/>
      <c r="AC993" s="142"/>
      <c r="AD993" s="142"/>
      <c r="AE993" s="142"/>
      <c r="AF993" s="142"/>
      <c r="AG993" s="142"/>
      <c r="AH993" s="142"/>
      <c r="AI993" s="142"/>
      <c r="AJ993" s="142"/>
      <c r="AK993" s="142"/>
      <c r="AL993" s="142"/>
      <c r="AM993" s="143"/>
    </row>
    <row r="994">
      <c r="A994" s="144"/>
      <c r="B994" s="142"/>
      <c r="C994" s="142"/>
      <c r="D994" s="142"/>
      <c r="E994" s="142"/>
      <c r="F994" s="142"/>
      <c r="G994" s="142"/>
      <c r="H994" s="142"/>
      <c r="I994" s="142"/>
      <c r="J994" s="142"/>
      <c r="K994" s="142"/>
      <c r="L994" s="142"/>
      <c r="M994" s="142"/>
      <c r="N994" s="142"/>
      <c r="O994" s="142"/>
      <c r="P994" s="142"/>
      <c r="Q994" s="142"/>
      <c r="R994" s="142"/>
      <c r="S994" s="142"/>
      <c r="T994" s="142"/>
      <c r="U994" s="142"/>
      <c r="V994" s="142"/>
      <c r="W994" s="142"/>
      <c r="X994" s="142"/>
      <c r="Y994" s="142"/>
      <c r="Z994" s="142"/>
      <c r="AA994" s="142"/>
      <c r="AB994" s="142"/>
      <c r="AC994" s="142"/>
      <c r="AD994" s="142"/>
      <c r="AE994" s="142"/>
      <c r="AF994" s="142"/>
      <c r="AG994" s="142"/>
      <c r="AH994" s="142"/>
      <c r="AI994" s="142"/>
      <c r="AJ994" s="142"/>
      <c r="AK994" s="142"/>
      <c r="AL994" s="142"/>
      <c r="AM994" s="143"/>
    </row>
    <row r="995">
      <c r="A995" s="144"/>
      <c r="B995" s="142"/>
      <c r="C995" s="142"/>
      <c r="D995" s="142"/>
      <c r="E995" s="142"/>
      <c r="F995" s="142"/>
      <c r="G995" s="142"/>
      <c r="H995" s="142"/>
      <c r="I995" s="142"/>
      <c r="J995" s="142"/>
      <c r="K995" s="142"/>
      <c r="L995" s="142"/>
      <c r="M995" s="142"/>
      <c r="N995" s="142"/>
      <c r="O995" s="142"/>
      <c r="P995" s="142"/>
      <c r="Q995" s="142"/>
      <c r="R995" s="142"/>
      <c r="S995" s="142"/>
      <c r="T995" s="142"/>
      <c r="U995" s="142"/>
      <c r="V995" s="142"/>
      <c r="W995" s="142"/>
      <c r="X995" s="142"/>
      <c r="Y995" s="142"/>
      <c r="Z995" s="142"/>
      <c r="AA995" s="142"/>
      <c r="AB995" s="142"/>
      <c r="AC995" s="142"/>
      <c r="AD995" s="142"/>
      <c r="AE995" s="142"/>
      <c r="AF995" s="142"/>
      <c r="AG995" s="142"/>
      <c r="AH995" s="142"/>
      <c r="AI995" s="142"/>
      <c r="AJ995" s="142"/>
      <c r="AK995" s="142"/>
      <c r="AL995" s="142"/>
      <c r="AM995" s="143"/>
    </row>
    <row r="996">
      <c r="A996" s="144"/>
      <c r="B996" s="142"/>
      <c r="C996" s="142"/>
      <c r="D996" s="142"/>
      <c r="E996" s="142"/>
      <c r="F996" s="142"/>
      <c r="G996" s="142"/>
      <c r="H996" s="142"/>
      <c r="I996" s="142"/>
      <c r="J996" s="142"/>
      <c r="K996" s="142"/>
      <c r="L996" s="142"/>
      <c r="M996" s="142"/>
      <c r="N996" s="142"/>
      <c r="O996" s="142"/>
      <c r="P996" s="142"/>
      <c r="Q996" s="142"/>
      <c r="R996" s="142"/>
      <c r="S996" s="142"/>
      <c r="T996" s="142"/>
      <c r="U996" s="142"/>
      <c r="V996" s="142"/>
      <c r="W996" s="142"/>
      <c r="X996" s="142"/>
      <c r="Y996" s="142"/>
      <c r="Z996" s="142"/>
      <c r="AA996" s="142"/>
      <c r="AB996" s="142"/>
      <c r="AC996" s="142"/>
      <c r="AD996" s="142"/>
      <c r="AE996" s="142"/>
      <c r="AF996" s="142"/>
      <c r="AG996" s="142"/>
      <c r="AH996" s="142"/>
      <c r="AI996" s="142"/>
      <c r="AJ996" s="142"/>
      <c r="AK996" s="142"/>
      <c r="AL996" s="142"/>
      <c r="AM996" s="143"/>
    </row>
    <row r="997">
      <c r="A997" s="144"/>
      <c r="B997" s="142"/>
      <c r="C997" s="142"/>
      <c r="D997" s="142"/>
      <c r="E997" s="142"/>
      <c r="F997" s="142"/>
      <c r="G997" s="142"/>
      <c r="H997" s="142"/>
      <c r="I997" s="142"/>
      <c r="J997" s="142"/>
      <c r="K997" s="142"/>
      <c r="L997" s="142"/>
      <c r="M997" s="142"/>
      <c r="N997" s="142"/>
      <c r="O997" s="142"/>
      <c r="P997" s="142"/>
      <c r="Q997" s="142"/>
      <c r="R997" s="142"/>
      <c r="S997" s="142"/>
      <c r="T997" s="142"/>
      <c r="U997" s="142"/>
      <c r="V997" s="142"/>
      <c r="W997" s="142"/>
      <c r="X997" s="142"/>
      <c r="Y997" s="142"/>
      <c r="Z997" s="142"/>
      <c r="AA997" s="142"/>
      <c r="AB997" s="142"/>
      <c r="AC997" s="142"/>
      <c r="AD997" s="142"/>
      <c r="AE997" s="142"/>
      <c r="AF997" s="142"/>
      <c r="AG997" s="142"/>
      <c r="AH997" s="142"/>
      <c r="AI997" s="142"/>
      <c r="AJ997" s="142"/>
      <c r="AK997" s="142"/>
      <c r="AL997" s="142"/>
      <c r="AM997" s="143"/>
    </row>
    <row r="998">
      <c r="A998" s="144"/>
      <c r="B998" s="142"/>
      <c r="C998" s="142"/>
      <c r="D998" s="142"/>
      <c r="E998" s="142"/>
      <c r="F998" s="142"/>
      <c r="G998" s="142"/>
      <c r="H998" s="142"/>
      <c r="I998" s="142"/>
      <c r="J998" s="142"/>
      <c r="K998" s="142"/>
      <c r="L998" s="142"/>
      <c r="M998" s="142"/>
      <c r="N998" s="142"/>
      <c r="O998" s="142"/>
      <c r="P998" s="142"/>
      <c r="Q998" s="142"/>
      <c r="R998" s="142"/>
      <c r="S998" s="142"/>
      <c r="T998" s="142"/>
      <c r="U998" s="142"/>
      <c r="V998" s="142"/>
      <c r="W998" s="142"/>
      <c r="X998" s="142"/>
      <c r="Y998" s="142"/>
      <c r="Z998" s="142"/>
      <c r="AA998" s="142"/>
      <c r="AB998" s="142"/>
      <c r="AC998" s="142"/>
      <c r="AD998" s="142"/>
      <c r="AE998" s="142"/>
      <c r="AF998" s="142"/>
      <c r="AG998" s="142"/>
      <c r="AH998" s="142"/>
      <c r="AI998" s="142"/>
      <c r="AJ998" s="142"/>
      <c r="AK998" s="142"/>
      <c r="AL998" s="142"/>
      <c r="AM998" s="143"/>
    </row>
    <row r="999">
      <c r="A999" s="144"/>
      <c r="B999" s="142"/>
      <c r="C999" s="142"/>
      <c r="D999" s="142"/>
      <c r="E999" s="142"/>
      <c r="F999" s="142"/>
      <c r="G999" s="142"/>
      <c r="H999" s="142"/>
      <c r="I999" s="142"/>
      <c r="J999" s="142"/>
      <c r="K999" s="142"/>
      <c r="L999" s="142"/>
      <c r="M999" s="142"/>
      <c r="N999" s="142"/>
      <c r="O999" s="142"/>
      <c r="P999" s="142"/>
      <c r="Q999" s="142"/>
      <c r="R999" s="142"/>
      <c r="S999" s="142"/>
      <c r="T999" s="142"/>
      <c r="U999" s="142"/>
      <c r="V999" s="142"/>
      <c r="W999" s="142"/>
      <c r="X999" s="142"/>
      <c r="Y999" s="142"/>
      <c r="Z999" s="142"/>
      <c r="AA999" s="142"/>
      <c r="AB999" s="142"/>
      <c r="AC999" s="142"/>
      <c r="AD999" s="142"/>
      <c r="AE999" s="142"/>
      <c r="AF999" s="142"/>
      <c r="AG999" s="142"/>
      <c r="AH999" s="142"/>
      <c r="AI999" s="142"/>
      <c r="AJ999" s="142"/>
      <c r="AK999" s="142"/>
      <c r="AL999" s="142"/>
      <c r="AM999" s="143"/>
    </row>
    <row r="1000">
      <c r="A1000" s="145"/>
      <c r="B1000" s="146"/>
      <c r="C1000" s="146"/>
      <c r="D1000" s="146"/>
      <c r="E1000" s="146"/>
      <c r="F1000" s="146"/>
      <c r="G1000" s="146"/>
      <c r="H1000" s="146"/>
      <c r="I1000" s="146"/>
      <c r="J1000" s="146"/>
      <c r="K1000" s="146"/>
      <c r="L1000" s="146"/>
      <c r="M1000" s="146"/>
      <c r="N1000" s="146"/>
      <c r="O1000" s="146"/>
      <c r="P1000" s="146"/>
      <c r="Q1000" s="146"/>
      <c r="R1000" s="146"/>
      <c r="S1000" s="146"/>
      <c r="T1000" s="146"/>
      <c r="U1000" s="146"/>
      <c r="V1000" s="146"/>
      <c r="W1000" s="146"/>
      <c r="X1000" s="146"/>
      <c r="Y1000" s="146"/>
      <c r="Z1000" s="146"/>
      <c r="AA1000" s="146"/>
      <c r="AB1000" s="146"/>
      <c r="AC1000" s="146"/>
      <c r="AD1000" s="146"/>
      <c r="AE1000" s="146"/>
      <c r="AF1000" s="146"/>
      <c r="AG1000" s="146"/>
      <c r="AH1000" s="146"/>
      <c r="AI1000" s="146"/>
      <c r="AJ1000" s="146"/>
      <c r="AK1000" s="146"/>
      <c r="AL1000" s="146"/>
      <c r="AM1000" s="147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0.63"/>
    <col customWidth="1" min="3" max="3" width="26.88"/>
  </cols>
  <sheetData>
    <row r="1">
      <c r="A1" s="148" t="s">
        <v>196</v>
      </c>
      <c r="B1" s="149" t="s">
        <v>197</v>
      </c>
      <c r="C1" s="149" t="s">
        <v>198</v>
      </c>
      <c r="D1" s="149" t="s">
        <v>199</v>
      </c>
      <c r="E1" s="149" t="s">
        <v>200</v>
      </c>
      <c r="F1" s="149" t="s">
        <v>201</v>
      </c>
      <c r="G1" s="149" t="s">
        <v>202</v>
      </c>
      <c r="H1" s="150" t="s">
        <v>203</v>
      </c>
      <c r="I1" s="4"/>
      <c r="J1" s="4"/>
    </row>
    <row r="2" hidden="1">
      <c r="A2" s="151" t="s">
        <v>204</v>
      </c>
      <c r="B2" s="118" t="s">
        <v>205</v>
      </c>
      <c r="C2" s="118" t="s">
        <v>206</v>
      </c>
      <c r="D2" s="152" t="s">
        <v>207</v>
      </c>
      <c r="E2" s="152" t="s">
        <v>208</v>
      </c>
      <c r="F2" s="118" t="s">
        <v>209</v>
      </c>
      <c r="G2" s="118" t="s">
        <v>209</v>
      </c>
      <c r="H2" s="153" t="s">
        <v>210</v>
      </c>
    </row>
    <row r="3" hidden="1">
      <c r="A3" s="154" t="s">
        <v>204</v>
      </c>
      <c r="B3" s="155" t="s">
        <v>205</v>
      </c>
      <c r="C3" s="155" t="s">
        <v>206</v>
      </c>
      <c r="D3" s="156" t="s">
        <v>207</v>
      </c>
      <c r="E3" s="156" t="s">
        <v>208</v>
      </c>
      <c r="F3" s="155" t="s">
        <v>209</v>
      </c>
      <c r="G3" s="155" t="s">
        <v>209</v>
      </c>
      <c r="H3" s="157" t="s">
        <v>211</v>
      </c>
    </row>
    <row r="4" hidden="1">
      <c r="A4" s="151" t="s">
        <v>204</v>
      </c>
      <c r="B4" s="118" t="s">
        <v>205</v>
      </c>
      <c r="C4" s="118" t="s">
        <v>206</v>
      </c>
      <c r="D4" s="152" t="s">
        <v>207</v>
      </c>
      <c r="E4" s="152" t="s">
        <v>208</v>
      </c>
      <c r="F4" s="118" t="s">
        <v>209</v>
      </c>
      <c r="G4" s="118" t="s">
        <v>209</v>
      </c>
      <c r="H4" s="153" t="s">
        <v>212</v>
      </c>
    </row>
    <row r="5" hidden="1">
      <c r="A5" s="154" t="s">
        <v>204</v>
      </c>
      <c r="B5" s="155" t="s">
        <v>205</v>
      </c>
      <c r="C5" s="155" t="s">
        <v>206</v>
      </c>
      <c r="D5" s="156" t="s">
        <v>207</v>
      </c>
      <c r="E5" s="156" t="s">
        <v>208</v>
      </c>
      <c r="F5" s="155" t="s">
        <v>209</v>
      </c>
      <c r="G5" s="155" t="s">
        <v>209</v>
      </c>
      <c r="H5" s="157" t="s">
        <v>213</v>
      </c>
    </row>
    <row r="6" hidden="1">
      <c r="A6" s="151" t="s">
        <v>204</v>
      </c>
      <c r="B6" s="118" t="s">
        <v>205</v>
      </c>
      <c r="C6" s="118" t="s">
        <v>206</v>
      </c>
      <c r="D6" s="152" t="s">
        <v>207</v>
      </c>
      <c r="E6" s="152" t="s">
        <v>208</v>
      </c>
      <c r="F6" s="118" t="s">
        <v>209</v>
      </c>
      <c r="G6" s="118" t="s">
        <v>209</v>
      </c>
      <c r="H6" s="153" t="s">
        <v>214</v>
      </c>
    </row>
    <row r="7" hidden="1">
      <c r="A7" s="154" t="s">
        <v>204</v>
      </c>
      <c r="B7" s="155" t="s">
        <v>205</v>
      </c>
      <c r="C7" s="155" t="s">
        <v>206</v>
      </c>
      <c r="D7" s="156" t="s">
        <v>207</v>
      </c>
      <c r="E7" s="156" t="s">
        <v>208</v>
      </c>
      <c r="F7" s="155" t="s">
        <v>209</v>
      </c>
      <c r="G7" s="155" t="s">
        <v>209</v>
      </c>
      <c r="H7" s="157" t="s">
        <v>215</v>
      </c>
    </row>
    <row r="8" hidden="1">
      <c r="A8" s="151" t="s">
        <v>204</v>
      </c>
      <c r="B8" s="118" t="s">
        <v>205</v>
      </c>
      <c r="C8" s="118" t="s">
        <v>206</v>
      </c>
      <c r="D8" s="152" t="s">
        <v>207</v>
      </c>
      <c r="E8" s="152" t="s">
        <v>208</v>
      </c>
      <c r="F8" s="118" t="s">
        <v>209</v>
      </c>
      <c r="G8" s="118" t="s">
        <v>209</v>
      </c>
      <c r="H8" s="153" t="s">
        <v>216</v>
      </c>
    </row>
    <row r="9" hidden="1">
      <c r="A9" s="154" t="s">
        <v>217</v>
      </c>
      <c r="B9" s="155" t="s">
        <v>191</v>
      </c>
      <c r="C9" s="155" t="s">
        <v>206</v>
      </c>
      <c r="D9" s="156" t="s">
        <v>207</v>
      </c>
      <c r="E9" s="156" t="s">
        <v>208</v>
      </c>
      <c r="F9" s="155" t="s">
        <v>209</v>
      </c>
      <c r="G9" s="155" t="s">
        <v>209</v>
      </c>
      <c r="H9" s="157" t="s">
        <v>210</v>
      </c>
    </row>
    <row r="10" hidden="1">
      <c r="A10" s="151" t="s">
        <v>217</v>
      </c>
      <c r="B10" s="118" t="s">
        <v>191</v>
      </c>
      <c r="C10" s="118" t="s">
        <v>206</v>
      </c>
      <c r="D10" s="152" t="s">
        <v>207</v>
      </c>
      <c r="E10" s="152" t="s">
        <v>208</v>
      </c>
      <c r="F10" s="118" t="s">
        <v>209</v>
      </c>
      <c r="G10" s="118" t="s">
        <v>209</v>
      </c>
      <c r="H10" s="153" t="s">
        <v>211</v>
      </c>
    </row>
    <row r="11" hidden="1">
      <c r="A11" s="154" t="s">
        <v>217</v>
      </c>
      <c r="B11" s="155" t="s">
        <v>191</v>
      </c>
      <c r="C11" s="155" t="s">
        <v>206</v>
      </c>
      <c r="D11" s="156" t="s">
        <v>207</v>
      </c>
      <c r="E11" s="156" t="s">
        <v>208</v>
      </c>
      <c r="F11" s="155" t="s">
        <v>209</v>
      </c>
      <c r="G11" s="155" t="s">
        <v>209</v>
      </c>
      <c r="H11" s="157" t="s">
        <v>212</v>
      </c>
    </row>
    <row r="12" hidden="1">
      <c r="A12" s="151" t="s">
        <v>217</v>
      </c>
      <c r="B12" s="118" t="s">
        <v>191</v>
      </c>
      <c r="C12" s="118" t="s">
        <v>206</v>
      </c>
      <c r="D12" s="152" t="s">
        <v>207</v>
      </c>
      <c r="E12" s="152" t="s">
        <v>208</v>
      </c>
      <c r="F12" s="118" t="s">
        <v>209</v>
      </c>
      <c r="G12" s="118" t="s">
        <v>209</v>
      </c>
      <c r="H12" s="153" t="s">
        <v>213</v>
      </c>
    </row>
    <row r="13" hidden="1">
      <c r="A13" s="154" t="s">
        <v>217</v>
      </c>
      <c r="B13" s="155" t="s">
        <v>191</v>
      </c>
      <c r="C13" s="155" t="s">
        <v>206</v>
      </c>
      <c r="D13" s="156" t="s">
        <v>207</v>
      </c>
      <c r="E13" s="156" t="s">
        <v>208</v>
      </c>
      <c r="F13" s="155" t="s">
        <v>209</v>
      </c>
      <c r="G13" s="155" t="s">
        <v>209</v>
      </c>
      <c r="H13" s="157" t="s">
        <v>214</v>
      </c>
    </row>
    <row r="14" hidden="1">
      <c r="A14" s="151" t="s">
        <v>217</v>
      </c>
      <c r="B14" s="118" t="s">
        <v>191</v>
      </c>
      <c r="C14" s="118" t="s">
        <v>206</v>
      </c>
      <c r="D14" s="152" t="s">
        <v>207</v>
      </c>
      <c r="E14" s="152" t="s">
        <v>208</v>
      </c>
      <c r="F14" s="118" t="s">
        <v>209</v>
      </c>
      <c r="G14" s="118" t="s">
        <v>209</v>
      </c>
      <c r="H14" s="153" t="s">
        <v>215</v>
      </c>
    </row>
    <row r="15" hidden="1">
      <c r="A15" s="154" t="s">
        <v>217</v>
      </c>
      <c r="B15" s="155" t="s">
        <v>191</v>
      </c>
      <c r="C15" s="155" t="s">
        <v>206</v>
      </c>
      <c r="D15" s="156" t="s">
        <v>207</v>
      </c>
      <c r="E15" s="156" t="s">
        <v>208</v>
      </c>
      <c r="F15" s="155" t="s">
        <v>209</v>
      </c>
      <c r="G15" s="155" t="s">
        <v>209</v>
      </c>
      <c r="H15" s="157" t="s">
        <v>216</v>
      </c>
    </row>
    <row r="16" hidden="1">
      <c r="A16" s="151" t="s">
        <v>218</v>
      </c>
      <c r="B16" s="118" t="s">
        <v>219</v>
      </c>
      <c r="C16" s="118" t="s">
        <v>206</v>
      </c>
      <c r="D16" s="152" t="s">
        <v>207</v>
      </c>
      <c r="E16" s="152" t="s">
        <v>208</v>
      </c>
      <c r="F16" s="118" t="s">
        <v>209</v>
      </c>
      <c r="G16" s="118" t="s">
        <v>209</v>
      </c>
      <c r="H16" s="153" t="s">
        <v>210</v>
      </c>
    </row>
    <row r="17" hidden="1">
      <c r="A17" s="154" t="s">
        <v>218</v>
      </c>
      <c r="B17" s="155" t="s">
        <v>219</v>
      </c>
      <c r="C17" s="155" t="s">
        <v>206</v>
      </c>
      <c r="D17" s="156" t="s">
        <v>207</v>
      </c>
      <c r="E17" s="156" t="s">
        <v>208</v>
      </c>
      <c r="F17" s="155" t="s">
        <v>209</v>
      </c>
      <c r="G17" s="155" t="s">
        <v>209</v>
      </c>
      <c r="H17" s="157" t="s">
        <v>211</v>
      </c>
    </row>
    <row r="18" hidden="1">
      <c r="A18" s="151" t="s">
        <v>218</v>
      </c>
      <c r="B18" s="118" t="s">
        <v>219</v>
      </c>
      <c r="C18" s="118" t="s">
        <v>206</v>
      </c>
      <c r="D18" s="152" t="s">
        <v>207</v>
      </c>
      <c r="E18" s="152" t="s">
        <v>208</v>
      </c>
      <c r="F18" s="118" t="s">
        <v>209</v>
      </c>
      <c r="G18" s="118" t="s">
        <v>209</v>
      </c>
      <c r="H18" s="153" t="s">
        <v>212</v>
      </c>
    </row>
    <row r="19" hidden="1">
      <c r="A19" s="154" t="s">
        <v>218</v>
      </c>
      <c r="B19" s="155" t="s">
        <v>219</v>
      </c>
      <c r="C19" s="155" t="s">
        <v>206</v>
      </c>
      <c r="D19" s="156" t="s">
        <v>207</v>
      </c>
      <c r="E19" s="156" t="s">
        <v>208</v>
      </c>
      <c r="F19" s="155" t="s">
        <v>209</v>
      </c>
      <c r="G19" s="155" t="s">
        <v>209</v>
      </c>
      <c r="H19" s="157" t="s">
        <v>213</v>
      </c>
    </row>
    <row r="20" hidden="1">
      <c r="A20" s="151" t="s">
        <v>218</v>
      </c>
      <c r="B20" s="118" t="s">
        <v>219</v>
      </c>
      <c r="C20" s="118" t="s">
        <v>206</v>
      </c>
      <c r="D20" s="152" t="s">
        <v>207</v>
      </c>
      <c r="E20" s="152" t="s">
        <v>208</v>
      </c>
      <c r="F20" s="118" t="s">
        <v>209</v>
      </c>
      <c r="G20" s="118" t="s">
        <v>209</v>
      </c>
      <c r="H20" s="153" t="s">
        <v>214</v>
      </c>
    </row>
    <row r="21" hidden="1">
      <c r="A21" s="154" t="s">
        <v>218</v>
      </c>
      <c r="B21" s="155" t="s">
        <v>219</v>
      </c>
      <c r="C21" s="155" t="s">
        <v>206</v>
      </c>
      <c r="D21" s="156" t="s">
        <v>207</v>
      </c>
      <c r="E21" s="156" t="s">
        <v>208</v>
      </c>
      <c r="F21" s="155" t="s">
        <v>209</v>
      </c>
      <c r="G21" s="155" t="s">
        <v>209</v>
      </c>
      <c r="H21" s="157" t="s">
        <v>215</v>
      </c>
    </row>
    <row r="22" hidden="1">
      <c r="A22" s="151" t="s">
        <v>218</v>
      </c>
      <c r="B22" s="118" t="s">
        <v>219</v>
      </c>
      <c r="C22" s="118" t="s">
        <v>206</v>
      </c>
      <c r="D22" s="152" t="s">
        <v>207</v>
      </c>
      <c r="E22" s="152" t="s">
        <v>208</v>
      </c>
      <c r="F22" s="118" t="s">
        <v>209</v>
      </c>
      <c r="G22" s="118" t="s">
        <v>209</v>
      </c>
      <c r="H22" s="153" t="s">
        <v>216</v>
      </c>
    </row>
    <row r="23" hidden="1">
      <c r="A23" s="154" t="s">
        <v>220</v>
      </c>
      <c r="B23" s="155" t="s">
        <v>190</v>
      </c>
      <c r="C23" s="155" t="s">
        <v>206</v>
      </c>
      <c r="D23" s="156" t="s">
        <v>207</v>
      </c>
      <c r="E23" s="156" t="s">
        <v>208</v>
      </c>
      <c r="F23" s="155" t="s">
        <v>209</v>
      </c>
      <c r="G23" s="155" t="s">
        <v>209</v>
      </c>
      <c r="H23" s="157" t="s">
        <v>210</v>
      </c>
    </row>
    <row r="24" hidden="1">
      <c r="A24" s="151" t="s">
        <v>220</v>
      </c>
      <c r="B24" s="118" t="s">
        <v>190</v>
      </c>
      <c r="C24" s="118" t="s">
        <v>206</v>
      </c>
      <c r="D24" s="152" t="s">
        <v>207</v>
      </c>
      <c r="E24" s="152" t="s">
        <v>208</v>
      </c>
      <c r="F24" s="118" t="s">
        <v>209</v>
      </c>
      <c r="G24" s="118" t="s">
        <v>209</v>
      </c>
      <c r="H24" s="153" t="s">
        <v>211</v>
      </c>
    </row>
    <row r="25" hidden="1">
      <c r="A25" s="154" t="s">
        <v>220</v>
      </c>
      <c r="B25" s="155" t="s">
        <v>190</v>
      </c>
      <c r="C25" s="155" t="s">
        <v>206</v>
      </c>
      <c r="D25" s="156" t="s">
        <v>207</v>
      </c>
      <c r="E25" s="156" t="s">
        <v>208</v>
      </c>
      <c r="F25" s="155" t="s">
        <v>209</v>
      </c>
      <c r="G25" s="155" t="s">
        <v>209</v>
      </c>
      <c r="H25" s="157" t="s">
        <v>212</v>
      </c>
    </row>
    <row r="26" hidden="1">
      <c r="A26" s="151" t="s">
        <v>220</v>
      </c>
      <c r="B26" s="118" t="s">
        <v>190</v>
      </c>
      <c r="C26" s="118" t="s">
        <v>206</v>
      </c>
      <c r="D26" s="152" t="s">
        <v>207</v>
      </c>
      <c r="E26" s="152" t="s">
        <v>208</v>
      </c>
      <c r="F26" s="118" t="s">
        <v>209</v>
      </c>
      <c r="G26" s="118" t="s">
        <v>209</v>
      </c>
      <c r="H26" s="153" t="s">
        <v>213</v>
      </c>
    </row>
    <row r="27" hidden="1">
      <c r="A27" s="154" t="s">
        <v>220</v>
      </c>
      <c r="B27" s="155" t="s">
        <v>190</v>
      </c>
      <c r="C27" s="155" t="s">
        <v>206</v>
      </c>
      <c r="D27" s="156" t="s">
        <v>207</v>
      </c>
      <c r="E27" s="156" t="s">
        <v>208</v>
      </c>
      <c r="F27" s="155" t="s">
        <v>209</v>
      </c>
      <c r="G27" s="155" t="s">
        <v>209</v>
      </c>
      <c r="H27" s="157" t="s">
        <v>214</v>
      </c>
    </row>
    <row r="28" hidden="1">
      <c r="A28" s="151" t="s">
        <v>220</v>
      </c>
      <c r="B28" s="118" t="s">
        <v>190</v>
      </c>
      <c r="C28" s="118" t="s">
        <v>206</v>
      </c>
      <c r="D28" s="152" t="s">
        <v>207</v>
      </c>
      <c r="E28" s="152" t="s">
        <v>208</v>
      </c>
      <c r="F28" s="118" t="s">
        <v>209</v>
      </c>
      <c r="G28" s="118" t="s">
        <v>209</v>
      </c>
      <c r="H28" s="153" t="s">
        <v>215</v>
      </c>
    </row>
    <row r="29" hidden="1">
      <c r="A29" s="154" t="s">
        <v>220</v>
      </c>
      <c r="B29" s="155" t="s">
        <v>190</v>
      </c>
      <c r="C29" s="155" t="s">
        <v>206</v>
      </c>
      <c r="D29" s="156" t="s">
        <v>207</v>
      </c>
      <c r="E29" s="156" t="s">
        <v>208</v>
      </c>
      <c r="F29" s="155" t="s">
        <v>209</v>
      </c>
      <c r="G29" s="155" t="s">
        <v>209</v>
      </c>
      <c r="H29" s="157" t="s">
        <v>216</v>
      </c>
    </row>
    <row r="30" hidden="1">
      <c r="A30" s="151" t="s">
        <v>221</v>
      </c>
      <c r="B30" s="118" t="s">
        <v>189</v>
      </c>
      <c r="C30" s="118" t="s">
        <v>206</v>
      </c>
      <c r="D30" s="152" t="s">
        <v>207</v>
      </c>
      <c r="E30" s="152" t="s">
        <v>208</v>
      </c>
      <c r="F30" s="118" t="s">
        <v>209</v>
      </c>
      <c r="G30" s="118" t="s">
        <v>209</v>
      </c>
      <c r="H30" s="153" t="s">
        <v>210</v>
      </c>
    </row>
    <row r="31" hidden="1">
      <c r="A31" s="154" t="s">
        <v>221</v>
      </c>
      <c r="B31" s="155" t="s">
        <v>189</v>
      </c>
      <c r="C31" s="155" t="s">
        <v>206</v>
      </c>
      <c r="D31" s="156" t="s">
        <v>207</v>
      </c>
      <c r="E31" s="156" t="s">
        <v>208</v>
      </c>
      <c r="F31" s="155" t="s">
        <v>209</v>
      </c>
      <c r="G31" s="155" t="s">
        <v>209</v>
      </c>
      <c r="H31" s="157" t="s">
        <v>211</v>
      </c>
    </row>
    <row r="32" hidden="1">
      <c r="A32" s="151" t="s">
        <v>221</v>
      </c>
      <c r="B32" s="118" t="s">
        <v>189</v>
      </c>
      <c r="C32" s="118" t="s">
        <v>206</v>
      </c>
      <c r="D32" s="152" t="s">
        <v>207</v>
      </c>
      <c r="E32" s="152" t="s">
        <v>208</v>
      </c>
      <c r="F32" s="118" t="s">
        <v>209</v>
      </c>
      <c r="G32" s="118" t="s">
        <v>209</v>
      </c>
      <c r="H32" s="153" t="s">
        <v>212</v>
      </c>
    </row>
    <row r="33" hidden="1">
      <c r="A33" s="154" t="s">
        <v>221</v>
      </c>
      <c r="B33" s="155" t="s">
        <v>189</v>
      </c>
      <c r="C33" s="155" t="s">
        <v>206</v>
      </c>
      <c r="D33" s="156" t="s">
        <v>207</v>
      </c>
      <c r="E33" s="156" t="s">
        <v>208</v>
      </c>
      <c r="F33" s="155" t="s">
        <v>209</v>
      </c>
      <c r="G33" s="155" t="s">
        <v>209</v>
      </c>
      <c r="H33" s="157" t="s">
        <v>213</v>
      </c>
    </row>
    <row r="34" hidden="1">
      <c r="A34" s="151" t="s">
        <v>221</v>
      </c>
      <c r="B34" s="118" t="s">
        <v>189</v>
      </c>
      <c r="C34" s="118" t="s">
        <v>206</v>
      </c>
      <c r="D34" s="152" t="s">
        <v>207</v>
      </c>
      <c r="E34" s="152" t="s">
        <v>208</v>
      </c>
      <c r="F34" s="118" t="s">
        <v>209</v>
      </c>
      <c r="G34" s="118" t="s">
        <v>209</v>
      </c>
      <c r="H34" s="153" t="s">
        <v>214</v>
      </c>
    </row>
    <row r="35" hidden="1">
      <c r="A35" s="154" t="s">
        <v>221</v>
      </c>
      <c r="B35" s="155" t="s">
        <v>189</v>
      </c>
      <c r="C35" s="155" t="s">
        <v>206</v>
      </c>
      <c r="D35" s="156" t="s">
        <v>207</v>
      </c>
      <c r="E35" s="156" t="s">
        <v>208</v>
      </c>
      <c r="F35" s="155" t="s">
        <v>209</v>
      </c>
      <c r="G35" s="155" t="s">
        <v>209</v>
      </c>
      <c r="H35" s="157" t="s">
        <v>215</v>
      </c>
    </row>
    <row r="36" hidden="1">
      <c r="A36" s="151" t="s">
        <v>221</v>
      </c>
      <c r="B36" s="118" t="s">
        <v>189</v>
      </c>
      <c r="C36" s="118" t="s">
        <v>206</v>
      </c>
      <c r="D36" s="152" t="s">
        <v>207</v>
      </c>
      <c r="E36" s="152" t="s">
        <v>208</v>
      </c>
      <c r="F36" s="118" t="s">
        <v>209</v>
      </c>
      <c r="G36" s="118" t="s">
        <v>209</v>
      </c>
      <c r="H36" s="153" t="s">
        <v>216</v>
      </c>
    </row>
    <row r="37" hidden="1">
      <c r="A37" s="154" t="s">
        <v>222</v>
      </c>
      <c r="B37" s="155" t="s">
        <v>192</v>
      </c>
      <c r="C37" s="155" t="s">
        <v>206</v>
      </c>
      <c r="D37" s="156" t="s">
        <v>207</v>
      </c>
      <c r="E37" s="156" t="s">
        <v>208</v>
      </c>
      <c r="F37" s="155" t="s">
        <v>209</v>
      </c>
      <c r="G37" s="155" t="s">
        <v>209</v>
      </c>
      <c r="H37" s="157" t="s">
        <v>210</v>
      </c>
    </row>
    <row r="38" hidden="1">
      <c r="A38" s="151" t="s">
        <v>222</v>
      </c>
      <c r="B38" s="118" t="s">
        <v>192</v>
      </c>
      <c r="C38" s="118" t="s">
        <v>206</v>
      </c>
      <c r="D38" s="152" t="s">
        <v>207</v>
      </c>
      <c r="E38" s="152" t="s">
        <v>208</v>
      </c>
      <c r="F38" s="118" t="s">
        <v>209</v>
      </c>
      <c r="G38" s="118" t="s">
        <v>209</v>
      </c>
      <c r="H38" s="153" t="s">
        <v>211</v>
      </c>
    </row>
    <row r="39" hidden="1">
      <c r="A39" s="154" t="s">
        <v>222</v>
      </c>
      <c r="B39" s="155" t="s">
        <v>192</v>
      </c>
      <c r="C39" s="155" t="s">
        <v>206</v>
      </c>
      <c r="D39" s="156" t="s">
        <v>207</v>
      </c>
      <c r="E39" s="156" t="s">
        <v>208</v>
      </c>
      <c r="F39" s="155" t="s">
        <v>209</v>
      </c>
      <c r="G39" s="155" t="s">
        <v>209</v>
      </c>
      <c r="H39" s="157" t="s">
        <v>212</v>
      </c>
    </row>
    <row r="40" hidden="1">
      <c r="A40" s="151" t="s">
        <v>222</v>
      </c>
      <c r="B40" s="118" t="s">
        <v>192</v>
      </c>
      <c r="C40" s="118" t="s">
        <v>206</v>
      </c>
      <c r="D40" s="152" t="s">
        <v>207</v>
      </c>
      <c r="E40" s="152" t="s">
        <v>208</v>
      </c>
      <c r="F40" s="118" t="s">
        <v>209</v>
      </c>
      <c r="G40" s="118" t="s">
        <v>209</v>
      </c>
      <c r="H40" s="153" t="s">
        <v>213</v>
      </c>
    </row>
    <row r="41" hidden="1">
      <c r="A41" s="154" t="s">
        <v>222</v>
      </c>
      <c r="B41" s="155" t="s">
        <v>192</v>
      </c>
      <c r="C41" s="155" t="s">
        <v>206</v>
      </c>
      <c r="D41" s="156" t="s">
        <v>207</v>
      </c>
      <c r="E41" s="156" t="s">
        <v>208</v>
      </c>
      <c r="F41" s="155" t="s">
        <v>209</v>
      </c>
      <c r="G41" s="155" t="s">
        <v>209</v>
      </c>
      <c r="H41" s="157" t="s">
        <v>214</v>
      </c>
    </row>
    <row r="42" hidden="1">
      <c r="A42" s="151" t="s">
        <v>222</v>
      </c>
      <c r="B42" s="118" t="s">
        <v>192</v>
      </c>
      <c r="C42" s="118" t="s">
        <v>206</v>
      </c>
      <c r="D42" s="152" t="s">
        <v>207</v>
      </c>
      <c r="E42" s="152" t="s">
        <v>208</v>
      </c>
      <c r="F42" s="118" t="s">
        <v>209</v>
      </c>
      <c r="G42" s="118" t="s">
        <v>209</v>
      </c>
      <c r="H42" s="153" t="s">
        <v>215</v>
      </c>
    </row>
    <row r="43" hidden="1">
      <c r="A43" s="154" t="s">
        <v>222</v>
      </c>
      <c r="B43" s="155" t="s">
        <v>192</v>
      </c>
      <c r="C43" s="155" t="s">
        <v>206</v>
      </c>
      <c r="D43" s="156" t="s">
        <v>207</v>
      </c>
      <c r="E43" s="156" t="s">
        <v>208</v>
      </c>
      <c r="F43" s="155" t="s">
        <v>209</v>
      </c>
      <c r="G43" s="155" t="s">
        <v>209</v>
      </c>
      <c r="H43" s="157" t="s">
        <v>216</v>
      </c>
    </row>
    <row r="44" hidden="1">
      <c r="A44" s="151" t="s">
        <v>223</v>
      </c>
      <c r="B44" s="118" t="s">
        <v>144</v>
      </c>
      <c r="C44" s="118" t="s">
        <v>206</v>
      </c>
      <c r="D44" s="152" t="s">
        <v>207</v>
      </c>
      <c r="E44" s="152" t="s">
        <v>208</v>
      </c>
      <c r="F44" s="118" t="s">
        <v>209</v>
      </c>
      <c r="G44" s="118" t="s">
        <v>209</v>
      </c>
      <c r="H44" s="153" t="s">
        <v>210</v>
      </c>
    </row>
    <row r="45" hidden="1">
      <c r="A45" s="154" t="s">
        <v>223</v>
      </c>
      <c r="B45" s="155" t="s">
        <v>144</v>
      </c>
      <c r="C45" s="155" t="s">
        <v>206</v>
      </c>
      <c r="D45" s="156" t="s">
        <v>207</v>
      </c>
      <c r="E45" s="156" t="s">
        <v>208</v>
      </c>
      <c r="F45" s="155" t="s">
        <v>209</v>
      </c>
      <c r="G45" s="155" t="s">
        <v>209</v>
      </c>
      <c r="H45" s="157" t="s">
        <v>211</v>
      </c>
    </row>
    <row r="46" hidden="1">
      <c r="A46" s="151" t="s">
        <v>223</v>
      </c>
      <c r="B46" s="118" t="s">
        <v>144</v>
      </c>
      <c r="C46" s="118" t="s">
        <v>206</v>
      </c>
      <c r="D46" s="152" t="s">
        <v>207</v>
      </c>
      <c r="E46" s="152" t="s">
        <v>208</v>
      </c>
      <c r="F46" s="118" t="s">
        <v>209</v>
      </c>
      <c r="G46" s="118" t="s">
        <v>209</v>
      </c>
      <c r="H46" s="153" t="s">
        <v>212</v>
      </c>
    </row>
    <row r="47" hidden="1">
      <c r="A47" s="154" t="s">
        <v>223</v>
      </c>
      <c r="B47" s="155" t="s">
        <v>144</v>
      </c>
      <c r="C47" s="155" t="s">
        <v>206</v>
      </c>
      <c r="D47" s="156" t="s">
        <v>207</v>
      </c>
      <c r="E47" s="156" t="s">
        <v>208</v>
      </c>
      <c r="F47" s="155" t="s">
        <v>209</v>
      </c>
      <c r="G47" s="155" t="s">
        <v>209</v>
      </c>
      <c r="H47" s="157" t="s">
        <v>213</v>
      </c>
    </row>
    <row r="48" hidden="1">
      <c r="A48" s="151" t="s">
        <v>223</v>
      </c>
      <c r="B48" s="118" t="s">
        <v>144</v>
      </c>
      <c r="C48" s="118" t="s">
        <v>206</v>
      </c>
      <c r="D48" s="152" t="s">
        <v>207</v>
      </c>
      <c r="E48" s="152" t="s">
        <v>208</v>
      </c>
      <c r="F48" s="118" t="s">
        <v>209</v>
      </c>
      <c r="G48" s="118" t="s">
        <v>209</v>
      </c>
      <c r="H48" s="153" t="s">
        <v>214</v>
      </c>
    </row>
    <row r="49" hidden="1">
      <c r="A49" s="154" t="s">
        <v>223</v>
      </c>
      <c r="B49" s="155" t="s">
        <v>144</v>
      </c>
      <c r="C49" s="155" t="s">
        <v>206</v>
      </c>
      <c r="D49" s="156" t="s">
        <v>207</v>
      </c>
      <c r="E49" s="156" t="s">
        <v>208</v>
      </c>
      <c r="F49" s="155" t="s">
        <v>209</v>
      </c>
      <c r="G49" s="155" t="s">
        <v>209</v>
      </c>
      <c r="H49" s="157" t="s">
        <v>215</v>
      </c>
    </row>
    <row r="50" hidden="1">
      <c r="A50" s="151" t="s">
        <v>223</v>
      </c>
      <c r="B50" s="118" t="s">
        <v>144</v>
      </c>
      <c r="C50" s="118" t="s">
        <v>206</v>
      </c>
      <c r="D50" s="152" t="s">
        <v>207</v>
      </c>
      <c r="E50" s="152" t="s">
        <v>208</v>
      </c>
      <c r="F50" s="118" t="s">
        <v>209</v>
      </c>
      <c r="G50" s="118" t="s">
        <v>209</v>
      </c>
      <c r="H50" s="153" t="s">
        <v>216</v>
      </c>
    </row>
    <row r="51" hidden="1">
      <c r="A51" s="154" t="s">
        <v>224</v>
      </c>
      <c r="B51" s="155" t="s">
        <v>170</v>
      </c>
      <c r="C51" s="155" t="s">
        <v>206</v>
      </c>
      <c r="D51" s="156" t="s">
        <v>207</v>
      </c>
      <c r="E51" s="156" t="s">
        <v>208</v>
      </c>
      <c r="F51" s="155" t="s">
        <v>209</v>
      </c>
      <c r="G51" s="155" t="s">
        <v>209</v>
      </c>
      <c r="H51" s="157" t="s">
        <v>210</v>
      </c>
    </row>
    <row r="52" hidden="1">
      <c r="A52" s="151" t="s">
        <v>224</v>
      </c>
      <c r="B52" s="118" t="s">
        <v>170</v>
      </c>
      <c r="C52" s="118" t="s">
        <v>206</v>
      </c>
      <c r="D52" s="152" t="s">
        <v>207</v>
      </c>
      <c r="E52" s="152" t="s">
        <v>208</v>
      </c>
      <c r="F52" s="118" t="s">
        <v>209</v>
      </c>
      <c r="G52" s="118" t="s">
        <v>209</v>
      </c>
      <c r="H52" s="153" t="s">
        <v>211</v>
      </c>
    </row>
    <row r="53" hidden="1">
      <c r="A53" s="154" t="s">
        <v>224</v>
      </c>
      <c r="B53" s="155" t="s">
        <v>170</v>
      </c>
      <c r="C53" s="155" t="s">
        <v>206</v>
      </c>
      <c r="D53" s="156" t="s">
        <v>207</v>
      </c>
      <c r="E53" s="156" t="s">
        <v>208</v>
      </c>
      <c r="F53" s="155" t="s">
        <v>209</v>
      </c>
      <c r="G53" s="155" t="s">
        <v>209</v>
      </c>
      <c r="H53" s="157" t="s">
        <v>212</v>
      </c>
    </row>
    <row r="54" hidden="1">
      <c r="A54" s="151" t="s">
        <v>224</v>
      </c>
      <c r="B54" s="118" t="s">
        <v>170</v>
      </c>
      <c r="C54" s="118" t="s">
        <v>206</v>
      </c>
      <c r="D54" s="152" t="s">
        <v>207</v>
      </c>
      <c r="E54" s="152" t="s">
        <v>208</v>
      </c>
      <c r="F54" s="118" t="s">
        <v>209</v>
      </c>
      <c r="G54" s="118" t="s">
        <v>209</v>
      </c>
      <c r="H54" s="153" t="s">
        <v>213</v>
      </c>
    </row>
    <row r="55" hidden="1">
      <c r="A55" s="154" t="s">
        <v>224</v>
      </c>
      <c r="B55" s="155" t="s">
        <v>170</v>
      </c>
      <c r="C55" s="155" t="s">
        <v>206</v>
      </c>
      <c r="D55" s="156" t="s">
        <v>207</v>
      </c>
      <c r="E55" s="156" t="s">
        <v>208</v>
      </c>
      <c r="F55" s="155" t="s">
        <v>209</v>
      </c>
      <c r="G55" s="155" t="s">
        <v>209</v>
      </c>
      <c r="H55" s="157" t="s">
        <v>214</v>
      </c>
    </row>
    <row r="56" hidden="1">
      <c r="A56" s="151" t="s">
        <v>224</v>
      </c>
      <c r="B56" s="118" t="s">
        <v>170</v>
      </c>
      <c r="C56" s="118" t="s">
        <v>206</v>
      </c>
      <c r="D56" s="152" t="s">
        <v>207</v>
      </c>
      <c r="E56" s="152" t="s">
        <v>208</v>
      </c>
      <c r="F56" s="118" t="s">
        <v>209</v>
      </c>
      <c r="G56" s="118" t="s">
        <v>209</v>
      </c>
      <c r="H56" s="153" t="s">
        <v>215</v>
      </c>
    </row>
    <row r="57" hidden="1">
      <c r="A57" s="154" t="s">
        <v>224</v>
      </c>
      <c r="B57" s="155" t="s">
        <v>170</v>
      </c>
      <c r="C57" s="155" t="s">
        <v>206</v>
      </c>
      <c r="D57" s="156" t="s">
        <v>207</v>
      </c>
      <c r="E57" s="156" t="s">
        <v>208</v>
      </c>
      <c r="F57" s="155" t="s">
        <v>209</v>
      </c>
      <c r="G57" s="155" t="s">
        <v>209</v>
      </c>
      <c r="H57" s="157" t="s">
        <v>216</v>
      </c>
    </row>
    <row r="58" hidden="1">
      <c r="A58" s="151" t="s">
        <v>225</v>
      </c>
      <c r="B58" s="118" t="s">
        <v>226</v>
      </c>
      <c r="C58" s="118" t="s">
        <v>206</v>
      </c>
      <c r="D58" s="152" t="s">
        <v>207</v>
      </c>
      <c r="E58" s="152" t="s">
        <v>208</v>
      </c>
      <c r="F58" s="118" t="s">
        <v>209</v>
      </c>
      <c r="G58" s="118" t="s">
        <v>209</v>
      </c>
      <c r="H58" s="153" t="s">
        <v>210</v>
      </c>
    </row>
    <row r="59" hidden="1">
      <c r="A59" s="154" t="s">
        <v>225</v>
      </c>
      <c r="B59" s="155" t="s">
        <v>226</v>
      </c>
      <c r="C59" s="155" t="s">
        <v>206</v>
      </c>
      <c r="D59" s="156" t="s">
        <v>207</v>
      </c>
      <c r="E59" s="156" t="s">
        <v>208</v>
      </c>
      <c r="F59" s="155" t="s">
        <v>209</v>
      </c>
      <c r="G59" s="155" t="s">
        <v>209</v>
      </c>
      <c r="H59" s="157" t="s">
        <v>211</v>
      </c>
    </row>
    <row r="60" hidden="1">
      <c r="A60" s="151" t="s">
        <v>225</v>
      </c>
      <c r="B60" s="118" t="s">
        <v>226</v>
      </c>
      <c r="C60" s="118" t="s">
        <v>206</v>
      </c>
      <c r="D60" s="152" t="s">
        <v>207</v>
      </c>
      <c r="E60" s="152" t="s">
        <v>208</v>
      </c>
      <c r="F60" s="118" t="s">
        <v>209</v>
      </c>
      <c r="G60" s="118" t="s">
        <v>209</v>
      </c>
      <c r="H60" s="153" t="s">
        <v>212</v>
      </c>
    </row>
    <row r="61" hidden="1">
      <c r="A61" s="154" t="s">
        <v>225</v>
      </c>
      <c r="B61" s="155" t="s">
        <v>226</v>
      </c>
      <c r="C61" s="155" t="s">
        <v>206</v>
      </c>
      <c r="D61" s="156" t="s">
        <v>207</v>
      </c>
      <c r="E61" s="156" t="s">
        <v>208</v>
      </c>
      <c r="F61" s="155" t="s">
        <v>209</v>
      </c>
      <c r="G61" s="155" t="s">
        <v>209</v>
      </c>
      <c r="H61" s="157" t="s">
        <v>213</v>
      </c>
    </row>
    <row r="62" hidden="1">
      <c r="A62" s="151" t="s">
        <v>225</v>
      </c>
      <c r="B62" s="118" t="s">
        <v>226</v>
      </c>
      <c r="C62" s="118" t="s">
        <v>206</v>
      </c>
      <c r="D62" s="152" t="s">
        <v>207</v>
      </c>
      <c r="E62" s="152" t="s">
        <v>208</v>
      </c>
      <c r="F62" s="118" t="s">
        <v>209</v>
      </c>
      <c r="G62" s="118" t="s">
        <v>209</v>
      </c>
      <c r="H62" s="153" t="s">
        <v>214</v>
      </c>
    </row>
    <row r="63" hidden="1">
      <c r="A63" s="154" t="s">
        <v>225</v>
      </c>
      <c r="B63" s="155" t="s">
        <v>226</v>
      </c>
      <c r="C63" s="155" t="s">
        <v>206</v>
      </c>
      <c r="D63" s="156" t="s">
        <v>207</v>
      </c>
      <c r="E63" s="156" t="s">
        <v>208</v>
      </c>
      <c r="F63" s="155" t="s">
        <v>209</v>
      </c>
      <c r="G63" s="155" t="s">
        <v>209</v>
      </c>
      <c r="H63" s="157" t="s">
        <v>215</v>
      </c>
    </row>
    <row r="64" hidden="1">
      <c r="A64" s="151" t="s">
        <v>225</v>
      </c>
      <c r="B64" s="118" t="s">
        <v>226</v>
      </c>
      <c r="C64" s="118" t="s">
        <v>206</v>
      </c>
      <c r="D64" s="152" t="s">
        <v>207</v>
      </c>
      <c r="E64" s="152" t="s">
        <v>208</v>
      </c>
      <c r="F64" s="118" t="s">
        <v>209</v>
      </c>
      <c r="G64" s="118" t="s">
        <v>209</v>
      </c>
      <c r="H64" s="153" t="s">
        <v>216</v>
      </c>
    </row>
    <row r="65" hidden="1">
      <c r="A65" s="154" t="s">
        <v>227</v>
      </c>
      <c r="B65" s="155" t="s">
        <v>195</v>
      </c>
      <c r="C65" s="155" t="s">
        <v>206</v>
      </c>
      <c r="D65" s="156" t="s">
        <v>207</v>
      </c>
      <c r="E65" s="156" t="s">
        <v>208</v>
      </c>
      <c r="F65" s="155" t="s">
        <v>209</v>
      </c>
      <c r="G65" s="155" t="s">
        <v>209</v>
      </c>
      <c r="H65" s="157" t="s">
        <v>210</v>
      </c>
    </row>
    <row r="66" hidden="1">
      <c r="A66" s="151" t="s">
        <v>227</v>
      </c>
      <c r="B66" s="118" t="s">
        <v>195</v>
      </c>
      <c r="C66" s="118" t="s">
        <v>206</v>
      </c>
      <c r="D66" s="152" t="s">
        <v>207</v>
      </c>
      <c r="E66" s="152" t="s">
        <v>208</v>
      </c>
      <c r="F66" s="118" t="s">
        <v>209</v>
      </c>
      <c r="G66" s="118" t="s">
        <v>209</v>
      </c>
      <c r="H66" s="153" t="s">
        <v>211</v>
      </c>
    </row>
    <row r="67" hidden="1">
      <c r="A67" s="154" t="s">
        <v>227</v>
      </c>
      <c r="B67" s="155" t="s">
        <v>195</v>
      </c>
      <c r="C67" s="155" t="s">
        <v>206</v>
      </c>
      <c r="D67" s="156" t="s">
        <v>207</v>
      </c>
      <c r="E67" s="156" t="s">
        <v>208</v>
      </c>
      <c r="F67" s="155" t="s">
        <v>209</v>
      </c>
      <c r="G67" s="155" t="s">
        <v>209</v>
      </c>
      <c r="H67" s="157" t="s">
        <v>212</v>
      </c>
    </row>
    <row r="68" hidden="1">
      <c r="A68" s="151" t="s">
        <v>227</v>
      </c>
      <c r="B68" s="118" t="s">
        <v>195</v>
      </c>
      <c r="C68" s="118" t="s">
        <v>206</v>
      </c>
      <c r="D68" s="152" t="s">
        <v>207</v>
      </c>
      <c r="E68" s="152" t="s">
        <v>208</v>
      </c>
      <c r="F68" s="118" t="s">
        <v>209</v>
      </c>
      <c r="G68" s="118" t="s">
        <v>209</v>
      </c>
      <c r="H68" s="153" t="s">
        <v>213</v>
      </c>
    </row>
    <row r="69" hidden="1">
      <c r="A69" s="154" t="s">
        <v>227</v>
      </c>
      <c r="B69" s="155" t="s">
        <v>195</v>
      </c>
      <c r="C69" s="155" t="s">
        <v>206</v>
      </c>
      <c r="D69" s="156" t="s">
        <v>207</v>
      </c>
      <c r="E69" s="156" t="s">
        <v>208</v>
      </c>
      <c r="F69" s="155" t="s">
        <v>209</v>
      </c>
      <c r="G69" s="155" t="s">
        <v>209</v>
      </c>
      <c r="H69" s="157" t="s">
        <v>214</v>
      </c>
    </row>
    <row r="70" hidden="1">
      <c r="A70" s="151" t="s">
        <v>227</v>
      </c>
      <c r="B70" s="118" t="s">
        <v>195</v>
      </c>
      <c r="C70" s="118" t="s">
        <v>206</v>
      </c>
      <c r="D70" s="152" t="s">
        <v>207</v>
      </c>
      <c r="E70" s="152" t="s">
        <v>208</v>
      </c>
      <c r="F70" s="118" t="s">
        <v>209</v>
      </c>
      <c r="G70" s="118" t="s">
        <v>209</v>
      </c>
      <c r="H70" s="153" t="s">
        <v>215</v>
      </c>
    </row>
    <row r="71" hidden="1">
      <c r="A71" s="154" t="s">
        <v>227</v>
      </c>
      <c r="B71" s="155" t="s">
        <v>195</v>
      </c>
      <c r="C71" s="155" t="s">
        <v>206</v>
      </c>
      <c r="D71" s="156" t="s">
        <v>207</v>
      </c>
      <c r="E71" s="156" t="s">
        <v>208</v>
      </c>
      <c r="F71" s="155" t="s">
        <v>209</v>
      </c>
      <c r="G71" s="155" t="s">
        <v>209</v>
      </c>
      <c r="H71" s="157" t="s">
        <v>216</v>
      </c>
    </row>
    <row r="72" hidden="1">
      <c r="A72" s="151" t="s">
        <v>228</v>
      </c>
      <c r="B72" s="118" t="s">
        <v>138</v>
      </c>
      <c r="C72" s="118" t="s">
        <v>206</v>
      </c>
      <c r="D72" s="152" t="s">
        <v>207</v>
      </c>
      <c r="E72" s="152" t="s">
        <v>208</v>
      </c>
      <c r="F72" s="118" t="s">
        <v>209</v>
      </c>
      <c r="G72" s="118" t="s">
        <v>209</v>
      </c>
      <c r="H72" s="153" t="s">
        <v>210</v>
      </c>
    </row>
    <row r="73" hidden="1">
      <c r="A73" s="154" t="s">
        <v>228</v>
      </c>
      <c r="B73" s="155" t="s">
        <v>138</v>
      </c>
      <c r="C73" s="155" t="s">
        <v>206</v>
      </c>
      <c r="D73" s="156" t="s">
        <v>207</v>
      </c>
      <c r="E73" s="156" t="s">
        <v>208</v>
      </c>
      <c r="F73" s="155" t="s">
        <v>209</v>
      </c>
      <c r="G73" s="155" t="s">
        <v>209</v>
      </c>
      <c r="H73" s="157" t="s">
        <v>211</v>
      </c>
    </row>
    <row r="74" hidden="1">
      <c r="A74" s="151" t="s">
        <v>228</v>
      </c>
      <c r="B74" s="118" t="s">
        <v>138</v>
      </c>
      <c r="C74" s="118" t="s">
        <v>206</v>
      </c>
      <c r="D74" s="152" t="s">
        <v>207</v>
      </c>
      <c r="E74" s="152" t="s">
        <v>208</v>
      </c>
      <c r="F74" s="118" t="s">
        <v>209</v>
      </c>
      <c r="G74" s="118" t="s">
        <v>209</v>
      </c>
      <c r="H74" s="153" t="s">
        <v>212</v>
      </c>
    </row>
    <row r="75" hidden="1">
      <c r="A75" s="154" t="s">
        <v>228</v>
      </c>
      <c r="B75" s="155" t="s">
        <v>138</v>
      </c>
      <c r="C75" s="155" t="s">
        <v>206</v>
      </c>
      <c r="D75" s="156" t="s">
        <v>207</v>
      </c>
      <c r="E75" s="156" t="s">
        <v>208</v>
      </c>
      <c r="F75" s="155" t="s">
        <v>209</v>
      </c>
      <c r="G75" s="155" t="s">
        <v>209</v>
      </c>
      <c r="H75" s="157" t="s">
        <v>213</v>
      </c>
    </row>
    <row r="76" hidden="1">
      <c r="A76" s="151" t="s">
        <v>228</v>
      </c>
      <c r="B76" s="118" t="s">
        <v>138</v>
      </c>
      <c r="C76" s="118" t="s">
        <v>206</v>
      </c>
      <c r="D76" s="152" t="s">
        <v>207</v>
      </c>
      <c r="E76" s="152" t="s">
        <v>208</v>
      </c>
      <c r="F76" s="118" t="s">
        <v>209</v>
      </c>
      <c r="G76" s="118" t="s">
        <v>209</v>
      </c>
      <c r="H76" s="153" t="s">
        <v>214</v>
      </c>
    </row>
    <row r="77" hidden="1">
      <c r="A77" s="154" t="s">
        <v>228</v>
      </c>
      <c r="B77" s="155" t="s">
        <v>138</v>
      </c>
      <c r="C77" s="155" t="s">
        <v>206</v>
      </c>
      <c r="D77" s="156" t="s">
        <v>207</v>
      </c>
      <c r="E77" s="156" t="s">
        <v>208</v>
      </c>
      <c r="F77" s="155" t="s">
        <v>209</v>
      </c>
      <c r="G77" s="155" t="s">
        <v>209</v>
      </c>
      <c r="H77" s="157" t="s">
        <v>215</v>
      </c>
    </row>
    <row r="78" hidden="1">
      <c r="A78" s="151" t="s">
        <v>228</v>
      </c>
      <c r="B78" s="118" t="s">
        <v>138</v>
      </c>
      <c r="C78" s="118" t="s">
        <v>206</v>
      </c>
      <c r="D78" s="152" t="s">
        <v>207</v>
      </c>
      <c r="E78" s="152" t="s">
        <v>208</v>
      </c>
      <c r="F78" s="118" t="s">
        <v>209</v>
      </c>
      <c r="G78" s="118" t="s">
        <v>209</v>
      </c>
      <c r="H78" s="153" t="s">
        <v>216</v>
      </c>
    </row>
    <row r="79" hidden="1">
      <c r="A79" s="154" t="s">
        <v>229</v>
      </c>
      <c r="B79" s="155" t="s">
        <v>193</v>
      </c>
      <c r="C79" s="155" t="s">
        <v>206</v>
      </c>
      <c r="D79" s="156" t="s">
        <v>207</v>
      </c>
      <c r="E79" s="156" t="s">
        <v>208</v>
      </c>
      <c r="F79" s="155" t="s">
        <v>209</v>
      </c>
      <c r="G79" s="155" t="s">
        <v>209</v>
      </c>
      <c r="H79" s="157" t="s">
        <v>210</v>
      </c>
    </row>
    <row r="80" hidden="1">
      <c r="A80" s="151" t="s">
        <v>229</v>
      </c>
      <c r="B80" s="118" t="s">
        <v>193</v>
      </c>
      <c r="C80" s="118" t="s">
        <v>206</v>
      </c>
      <c r="D80" s="152" t="s">
        <v>207</v>
      </c>
      <c r="E80" s="152" t="s">
        <v>208</v>
      </c>
      <c r="F80" s="118" t="s">
        <v>209</v>
      </c>
      <c r="G80" s="118" t="s">
        <v>209</v>
      </c>
      <c r="H80" s="153" t="s">
        <v>211</v>
      </c>
    </row>
    <row r="81" hidden="1">
      <c r="A81" s="154" t="s">
        <v>229</v>
      </c>
      <c r="B81" s="155" t="s">
        <v>193</v>
      </c>
      <c r="C81" s="155" t="s">
        <v>206</v>
      </c>
      <c r="D81" s="156" t="s">
        <v>207</v>
      </c>
      <c r="E81" s="156" t="s">
        <v>208</v>
      </c>
      <c r="F81" s="155" t="s">
        <v>209</v>
      </c>
      <c r="G81" s="155" t="s">
        <v>209</v>
      </c>
      <c r="H81" s="157" t="s">
        <v>212</v>
      </c>
    </row>
    <row r="82" hidden="1">
      <c r="A82" s="151" t="s">
        <v>229</v>
      </c>
      <c r="B82" s="118" t="s">
        <v>193</v>
      </c>
      <c r="C82" s="118" t="s">
        <v>206</v>
      </c>
      <c r="D82" s="152" t="s">
        <v>207</v>
      </c>
      <c r="E82" s="152" t="s">
        <v>208</v>
      </c>
      <c r="F82" s="118" t="s">
        <v>209</v>
      </c>
      <c r="G82" s="118" t="s">
        <v>209</v>
      </c>
      <c r="H82" s="153" t="s">
        <v>213</v>
      </c>
    </row>
    <row r="83" hidden="1">
      <c r="A83" s="154" t="s">
        <v>229</v>
      </c>
      <c r="B83" s="155" t="s">
        <v>193</v>
      </c>
      <c r="C83" s="155" t="s">
        <v>206</v>
      </c>
      <c r="D83" s="156" t="s">
        <v>207</v>
      </c>
      <c r="E83" s="156" t="s">
        <v>208</v>
      </c>
      <c r="F83" s="155" t="s">
        <v>209</v>
      </c>
      <c r="G83" s="155" t="s">
        <v>209</v>
      </c>
      <c r="H83" s="157" t="s">
        <v>214</v>
      </c>
    </row>
    <row r="84" hidden="1">
      <c r="A84" s="151" t="s">
        <v>229</v>
      </c>
      <c r="B84" s="118" t="s">
        <v>193</v>
      </c>
      <c r="C84" s="118" t="s">
        <v>206</v>
      </c>
      <c r="D84" s="152" t="s">
        <v>207</v>
      </c>
      <c r="E84" s="152" t="s">
        <v>208</v>
      </c>
      <c r="F84" s="118" t="s">
        <v>209</v>
      </c>
      <c r="G84" s="118" t="s">
        <v>209</v>
      </c>
      <c r="H84" s="153" t="s">
        <v>215</v>
      </c>
    </row>
    <row r="85" hidden="1">
      <c r="A85" s="154" t="s">
        <v>229</v>
      </c>
      <c r="B85" s="155" t="s">
        <v>193</v>
      </c>
      <c r="C85" s="155" t="s">
        <v>206</v>
      </c>
      <c r="D85" s="156" t="s">
        <v>207</v>
      </c>
      <c r="E85" s="156" t="s">
        <v>208</v>
      </c>
      <c r="F85" s="155" t="s">
        <v>209</v>
      </c>
      <c r="G85" s="155" t="s">
        <v>209</v>
      </c>
      <c r="H85" s="157" t="s">
        <v>216</v>
      </c>
    </row>
    <row r="86" hidden="1">
      <c r="A86" s="151" t="s">
        <v>230</v>
      </c>
      <c r="B86" s="118" t="s">
        <v>194</v>
      </c>
      <c r="C86" s="118" t="s">
        <v>206</v>
      </c>
      <c r="D86" s="152" t="s">
        <v>207</v>
      </c>
      <c r="E86" s="152" t="s">
        <v>208</v>
      </c>
      <c r="F86" s="118" t="s">
        <v>209</v>
      </c>
      <c r="G86" s="118" t="s">
        <v>209</v>
      </c>
      <c r="H86" s="153" t="s">
        <v>210</v>
      </c>
    </row>
    <row r="87" hidden="1">
      <c r="A87" s="154" t="s">
        <v>230</v>
      </c>
      <c r="B87" s="155" t="s">
        <v>194</v>
      </c>
      <c r="C87" s="155" t="s">
        <v>206</v>
      </c>
      <c r="D87" s="156" t="s">
        <v>207</v>
      </c>
      <c r="E87" s="156" t="s">
        <v>208</v>
      </c>
      <c r="F87" s="155" t="s">
        <v>209</v>
      </c>
      <c r="G87" s="155" t="s">
        <v>209</v>
      </c>
      <c r="H87" s="157" t="s">
        <v>211</v>
      </c>
    </row>
    <row r="88" hidden="1">
      <c r="A88" s="151" t="s">
        <v>230</v>
      </c>
      <c r="B88" s="118" t="s">
        <v>194</v>
      </c>
      <c r="C88" s="118" t="s">
        <v>206</v>
      </c>
      <c r="D88" s="152" t="s">
        <v>207</v>
      </c>
      <c r="E88" s="152" t="s">
        <v>208</v>
      </c>
      <c r="F88" s="118" t="s">
        <v>209</v>
      </c>
      <c r="G88" s="118" t="s">
        <v>209</v>
      </c>
      <c r="H88" s="153" t="s">
        <v>212</v>
      </c>
    </row>
    <row r="89" hidden="1">
      <c r="A89" s="154" t="s">
        <v>230</v>
      </c>
      <c r="B89" s="155" t="s">
        <v>194</v>
      </c>
      <c r="C89" s="155" t="s">
        <v>206</v>
      </c>
      <c r="D89" s="156" t="s">
        <v>207</v>
      </c>
      <c r="E89" s="156" t="s">
        <v>208</v>
      </c>
      <c r="F89" s="155" t="s">
        <v>209</v>
      </c>
      <c r="G89" s="155" t="s">
        <v>209</v>
      </c>
      <c r="H89" s="157" t="s">
        <v>213</v>
      </c>
    </row>
    <row r="90" hidden="1">
      <c r="A90" s="151" t="s">
        <v>230</v>
      </c>
      <c r="B90" s="118" t="s">
        <v>194</v>
      </c>
      <c r="C90" s="118" t="s">
        <v>206</v>
      </c>
      <c r="D90" s="152" t="s">
        <v>207</v>
      </c>
      <c r="E90" s="152" t="s">
        <v>208</v>
      </c>
      <c r="F90" s="118" t="s">
        <v>209</v>
      </c>
      <c r="G90" s="118" t="s">
        <v>209</v>
      </c>
      <c r="H90" s="153" t="s">
        <v>214</v>
      </c>
    </row>
    <row r="91" hidden="1">
      <c r="A91" s="154" t="s">
        <v>230</v>
      </c>
      <c r="B91" s="155" t="s">
        <v>194</v>
      </c>
      <c r="C91" s="155" t="s">
        <v>206</v>
      </c>
      <c r="D91" s="156" t="s">
        <v>207</v>
      </c>
      <c r="E91" s="156" t="s">
        <v>208</v>
      </c>
      <c r="F91" s="155" t="s">
        <v>209</v>
      </c>
      <c r="G91" s="155" t="s">
        <v>209</v>
      </c>
      <c r="H91" s="157" t="s">
        <v>215</v>
      </c>
    </row>
    <row r="92" hidden="1">
      <c r="A92" s="151" t="s">
        <v>230</v>
      </c>
      <c r="B92" s="118" t="s">
        <v>194</v>
      </c>
      <c r="C92" s="118" t="s">
        <v>206</v>
      </c>
      <c r="D92" s="152" t="s">
        <v>207</v>
      </c>
      <c r="E92" s="152" t="s">
        <v>208</v>
      </c>
      <c r="F92" s="118" t="s">
        <v>209</v>
      </c>
      <c r="G92" s="118" t="s">
        <v>209</v>
      </c>
      <c r="H92" s="153" t="s">
        <v>216</v>
      </c>
    </row>
    <row r="93" hidden="1">
      <c r="A93" s="158" t="s">
        <v>231</v>
      </c>
      <c r="B93" s="159"/>
      <c r="C93" s="155" t="s">
        <v>232</v>
      </c>
      <c r="D93" s="156" t="s">
        <v>207</v>
      </c>
      <c r="E93" s="156" t="s">
        <v>208</v>
      </c>
      <c r="F93" s="155" t="s">
        <v>209</v>
      </c>
      <c r="G93" s="155" t="s">
        <v>209</v>
      </c>
      <c r="H93" s="157" t="s">
        <v>210</v>
      </c>
    </row>
    <row r="94" hidden="1">
      <c r="A94" s="160" t="s">
        <v>231</v>
      </c>
      <c r="B94" s="72"/>
      <c r="C94" s="118" t="s">
        <v>232</v>
      </c>
      <c r="D94" s="152" t="s">
        <v>207</v>
      </c>
      <c r="E94" s="152" t="s">
        <v>208</v>
      </c>
      <c r="F94" s="118" t="s">
        <v>209</v>
      </c>
      <c r="G94" s="118" t="s">
        <v>209</v>
      </c>
      <c r="H94" s="153" t="s">
        <v>211</v>
      </c>
    </row>
    <row r="95" hidden="1">
      <c r="A95" s="158" t="s">
        <v>231</v>
      </c>
      <c r="B95" s="159"/>
      <c r="C95" s="155" t="s">
        <v>232</v>
      </c>
      <c r="D95" s="156" t="s">
        <v>207</v>
      </c>
      <c r="E95" s="156" t="s">
        <v>208</v>
      </c>
      <c r="F95" s="155" t="s">
        <v>209</v>
      </c>
      <c r="G95" s="155" t="s">
        <v>209</v>
      </c>
      <c r="H95" s="157" t="s">
        <v>212</v>
      </c>
    </row>
    <row r="96" hidden="1">
      <c r="A96" s="160" t="s">
        <v>231</v>
      </c>
      <c r="B96" s="72"/>
      <c r="C96" s="118" t="s">
        <v>232</v>
      </c>
      <c r="D96" s="152" t="s">
        <v>207</v>
      </c>
      <c r="E96" s="152" t="s">
        <v>208</v>
      </c>
      <c r="F96" s="118" t="s">
        <v>209</v>
      </c>
      <c r="G96" s="118" t="s">
        <v>209</v>
      </c>
      <c r="H96" s="153" t="s">
        <v>213</v>
      </c>
    </row>
    <row r="97" hidden="1">
      <c r="A97" s="158" t="s">
        <v>231</v>
      </c>
      <c r="B97" s="159"/>
      <c r="C97" s="155" t="s">
        <v>232</v>
      </c>
      <c r="D97" s="156" t="s">
        <v>207</v>
      </c>
      <c r="E97" s="156" t="s">
        <v>208</v>
      </c>
      <c r="F97" s="155" t="s">
        <v>209</v>
      </c>
      <c r="G97" s="155" t="s">
        <v>209</v>
      </c>
      <c r="H97" s="157" t="s">
        <v>214</v>
      </c>
    </row>
    <row r="98" hidden="1">
      <c r="A98" s="160" t="s">
        <v>231</v>
      </c>
      <c r="B98" s="72"/>
      <c r="C98" s="118" t="s">
        <v>232</v>
      </c>
      <c r="D98" s="152" t="s">
        <v>207</v>
      </c>
      <c r="E98" s="152" t="s">
        <v>208</v>
      </c>
      <c r="F98" s="118" t="s">
        <v>209</v>
      </c>
      <c r="G98" s="118" t="s">
        <v>209</v>
      </c>
      <c r="H98" s="153" t="s">
        <v>215</v>
      </c>
    </row>
    <row r="99" hidden="1">
      <c r="A99" s="158" t="s">
        <v>231</v>
      </c>
      <c r="B99" s="159"/>
      <c r="C99" s="155" t="s">
        <v>232</v>
      </c>
      <c r="D99" s="156" t="s">
        <v>207</v>
      </c>
      <c r="E99" s="156" t="s">
        <v>208</v>
      </c>
      <c r="F99" s="155" t="s">
        <v>209</v>
      </c>
      <c r="G99" s="155" t="s">
        <v>209</v>
      </c>
      <c r="H99" s="157" t="s">
        <v>216</v>
      </c>
    </row>
    <row r="100" hidden="1">
      <c r="A100" s="160" t="s">
        <v>233</v>
      </c>
      <c r="B100" s="72"/>
      <c r="C100" s="118" t="s">
        <v>232</v>
      </c>
      <c r="D100" s="152" t="s">
        <v>207</v>
      </c>
      <c r="E100" s="152" t="s">
        <v>208</v>
      </c>
      <c r="F100" s="118" t="s">
        <v>209</v>
      </c>
      <c r="G100" s="118" t="s">
        <v>209</v>
      </c>
      <c r="H100" s="153" t="s">
        <v>210</v>
      </c>
    </row>
    <row r="101" hidden="1">
      <c r="A101" s="158" t="s">
        <v>233</v>
      </c>
      <c r="B101" s="159"/>
      <c r="C101" s="155" t="s">
        <v>232</v>
      </c>
      <c r="D101" s="156" t="s">
        <v>207</v>
      </c>
      <c r="E101" s="156" t="s">
        <v>208</v>
      </c>
      <c r="F101" s="155" t="s">
        <v>209</v>
      </c>
      <c r="G101" s="155" t="s">
        <v>209</v>
      </c>
      <c r="H101" s="157" t="s">
        <v>211</v>
      </c>
    </row>
    <row r="102" hidden="1">
      <c r="A102" s="160" t="s">
        <v>233</v>
      </c>
      <c r="B102" s="72"/>
      <c r="C102" s="118" t="s">
        <v>232</v>
      </c>
      <c r="D102" s="152" t="s">
        <v>207</v>
      </c>
      <c r="E102" s="152" t="s">
        <v>208</v>
      </c>
      <c r="F102" s="118" t="s">
        <v>209</v>
      </c>
      <c r="G102" s="118" t="s">
        <v>209</v>
      </c>
      <c r="H102" s="153" t="s">
        <v>212</v>
      </c>
    </row>
    <row r="103" hidden="1">
      <c r="A103" s="158" t="s">
        <v>233</v>
      </c>
      <c r="B103" s="159"/>
      <c r="C103" s="155" t="s">
        <v>232</v>
      </c>
      <c r="D103" s="156" t="s">
        <v>207</v>
      </c>
      <c r="E103" s="156" t="s">
        <v>208</v>
      </c>
      <c r="F103" s="155" t="s">
        <v>209</v>
      </c>
      <c r="G103" s="155" t="s">
        <v>209</v>
      </c>
      <c r="H103" s="157" t="s">
        <v>213</v>
      </c>
    </row>
    <row r="104" hidden="1">
      <c r="A104" s="160" t="s">
        <v>233</v>
      </c>
      <c r="B104" s="72"/>
      <c r="C104" s="118" t="s">
        <v>232</v>
      </c>
      <c r="D104" s="152" t="s">
        <v>207</v>
      </c>
      <c r="E104" s="152" t="s">
        <v>208</v>
      </c>
      <c r="F104" s="118" t="s">
        <v>209</v>
      </c>
      <c r="G104" s="118" t="s">
        <v>209</v>
      </c>
      <c r="H104" s="153" t="s">
        <v>214</v>
      </c>
    </row>
    <row r="105" hidden="1">
      <c r="A105" s="158" t="s">
        <v>233</v>
      </c>
      <c r="B105" s="159"/>
      <c r="C105" s="155" t="s">
        <v>232</v>
      </c>
      <c r="D105" s="156" t="s">
        <v>207</v>
      </c>
      <c r="E105" s="156" t="s">
        <v>208</v>
      </c>
      <c r="F105" s="155" t="s">
        <v>209</v>
      </c>
      <c r="G105" s="155" t="s">
        <v>209</v>
      </c>
      <c r="H105" s="157" t="s">
        <v>215</v>
      </c>
    </row>
    <row r="106" hidden="1">
      <c r="A106" s="160" t="s">
        <v>233</v>
      </c>
      <c r="B106" s="72"/>
      <c r="C106" s="118" t="s">
        <v>232</v>
      </c>
      <c r="D106" s="152" t="s">
        <v>207</v>
      </c>
      <c r="E106" s="152" t="s">
        <v>208</v>
      </c>
      <c r="F106" s="118" t="s">
        <v>209</v>
      </c>
      <c r="G106" s="118" t="s">
        <v>209</v>
      </c>
      <c r="H106" s="153" t="s">
        <v>216</v>
      </c>
    </row>
    <row r="107" hidden="1">
      <c r="A107" s="158" t="s">
        <v>234</v>
      </c>
      <c r="B107" s="159"/>
      <c r="C107" s="155" t="s">
        <v>232</v>
      </c>
      <c r="D107" s="156" t="s">
        <v>207</v>
      </c>
      <c r="E107" s="156" t="s">
        <v>208</v>
      </c>
      <c r="F107" s="155" t="s">
        <v>209</v>
      </c>
      <c r="G107" s="155" t="s">
        <v>209</v>
      </c>
      <c r="H107" s="157" t="s">
        <v>210</v>
      </c>
    </row>
    <row r="108" hidden="1">
      <c r="A108" s="160" t="s">
        <v>234</v>
      </c>
      <c r="B108" s="72"/>
      <c r="C108" s="118" t="s">
        <v>232</v>
      </c>
      <c r="D108" s="152" t="s">
        <v>207</v>
      </c>
      <c r="E108" s="152" t="s">
        <v>208</v>
      </c>
      <c r="F108" s="118" t="s">
        <v>209</v>
      </c>
      <c r="G108" s="118" t="s">
        <v>209</v>
      </c>
      <c r="H108" s="153" t="s">
        <v>211</v>
      </c>
    </row>
    <row r="109" hidden="1">
      <c r="A109" s="158" t="s">
        <v>234</v>
      </c>
      <c r="B109" s="159"/>
      <c r="C109" s="155" t="s">
        <v>232</v>
      </c>
      <c r="D109" s="156" t="s">
        <v>207</v>
      </c>
      <c r="E109" s="156" t="s">
        <v>208</v>
      </c>
      <c r="F109" s="155" t="s">
        <v>209</v>
      </c>
      <c r="G109" s="155" t="s">
        <v>209</v>
      </c>
      <c r="H109" s="157" t="s">
        <v>212</v>
      </c>
    </row>
    <row r="110" hidden="1">
      <c r="A110" s="160" t="s">
        <v>234</v>
      </c>
      <c r="B110" s="72"/>
      <c r="C110" s="118" t="s">
        <v>232</v>
      </c>
      <c r="D110" s="152" t="s">
        <v>207</v>
      </c>
      <c r="E110" s="152" t="s">
        <v>208</v>
      </c>
      <c r="F110" s="118" t="s">
        <v>209</v>
      </c>
      <c r="G110" s="118" t="s">
        <v>209</v>
      </c>
      <c r="H110" s="153" t="s">
        <v>213</v>
      </c>
    </row>
    <row r="111" hidden="1">
      <c r="A111" s="158" t="s">
        <v>234</v>
      </c>
      <c r="B111" s="159"/>
      <c r="C111" s="155" t="s">
        <v>232</v>
      </c>
      <c r="D111" s="156" t="s">
        <v>207</v>
      </c>
      <c r="E111" s="156" t="s">
        <v>208</v>
      </c>
      <c r="F111" s="155" t="s">
        <v>209</v>
      </c>
      <c r="G111" s="155" t="s">
        <v>209</v>
      </c>
      <c r="H111" s="157" t="s">
        <v>214</v>
      </c>
    </row>
    <row r="112" hidden="1">
      <c r="A112" s="160" t="s">
        <v>234</v>
      </c>
      <c r="B112" s="72"/>
      <c r="C112" s="118" t="s">
        <v>232</v>
      </c>
      <c r="D112" s="152" t="s">
        <v>207</v>
      </c>
      <c r="E112" s="152" t="s">
        <v>208</v>
      </c>
      <c r="F112" s="118" t="s">
        <v>209</v>
      </c>
      <c r="G112" s="118" t="s">
        <v>209</v>
      </c>
      <c r="H112" s="153" t="s">
        <v>215</v>
      </c>
    </row>
    <row r="113" hidden="1">
      <c r="A113" s="158" t="s">
        <v>234</v>
      </c>
      <c r="B113" s="159"/>
      <c r="C113" s="155" t="s">
        <v>232</v>
      </c>
      <c r="D113" s="156" t="s">
        <v>207</v>
      </c>
      <c r="E113" s="156" t="s">
        <v>208</v>
      </c>
      <c r="F113" s="155" t="s">
        <v>209</v>
      </c>
      <c r="G113" s="155" t="s">
        <v>209</v>
      </c>
      <c r="H113" s="157" t="s">
        <v>216</v>
      </c>
    </row>
    <row r="114" hidden="1">
      <c r="A114" s="160" t="s">
        <v>235</v>
      </c>
      <c r="B114" s="72"/>
      <c r="C114" s="118" t="s">
        <v>236</v>
      </c>
      <c r="D114" s="152" t="s">
        <v>207</v>
      </c>
      <c r="E114" s="152" t="s">
        <v>208</v>
      </c>
      <c r="F114" s="118" t="s">
        <v>209</v>
      </c>
      <c r="G114" s="118" t="s">
        <v>209</v>
      </c>
      <c r="H114" s="153" t="s">
        <v>210</v>
      </c>
    </row>
    <row r="115" hidden="1">
      <c r="A115" s="158" t="s">
        <v>235</v>
      </c>
      <c r="B115" s="159"/>
      <c r="C115" s="155" t="s">
        <v>236</v>
      </c>
      <c r="D115" s="156" t="s">
        <v>207</v>
      </c>
      <c r="E115" s="156" t="s">
        <v>208</v>
      </c>
      <c r="F115" s="155" t="s">
        <v>209</v>
      </c>
      <c r="G115" s="155" t="s">
        <v>209</v>
      </c>
      <c r="H115" s="157" t="s">
        <v>211</v>
      </c>
    </row>
    <row r="116" hidden="1">
      <c r="A116" s="160" t="s">
        <v>235</v>
      </c>
      <c r="B116" s="72"/>
      <c r="C116" s="118" t="s">
        <v>236</v>
      </c>
      <c r="D116" s="152" t="s">
        <v>207</v>
      </c>
      <c r="E116" s="152" t="s">
        <v>208</v>
      </c>
      <c r="F116" s="118" t="s">
        <v>209</v>
      </c>
      <c r="G116" s="118" t="s">
        <v>209</v>
      </c>
      <c r="H116" s="153" t="s">
        <v>212</v>
      </c>
    </row>
    <row r="117" hidden="1">
      <c r="A117" s="158" t="s">
        <v>235</v>
      </c>
      <c r="B117" s="159"/>
      <c r="C117" s="155" t="s">
        <v>236</v>
      </c>
      <c r="D117" s="156" t="s">
        <v>207</v>
      </c>
      <c r="E117" s="156" t="s">
        <v>208</v>
      </c>
      <c r="F117" s="155" t="s">
        <v>209</v>
      </c>
      <c r="G117" s="155" t="s">
        <v>209</v>
      </c>
      <c r="H117" s="157" t="s">
        <v>213</v>
      </c>
    </row>
    <row r="118" hidden="1">
      <c r="A118" s="160" t="s">
        <v>235</v>
      </c>
      <c r="B118" s="72"/>
      <c r="C118" s="118" t="s">
        <v>236</v>
      </c>
      <c r="D118" s="152" t="s">
        <v>207</v>
      </c>
      <c r="E118" s="152" t="s">
        <v>208</v>
      </c>
      <c r="F118" s="118" t="s">
        <v>209</v>
      </c>
      <c r="G118" s="118" t="s">
        <v>209</v>
      </c>
      <c r="H118" s="153" t="s">
        <v>214</v>
      </c>
    </row>
    <row r="119" hidden="1">
      <c r="A119" s="158" t="s">
        <v>235</v>
      </c>
      <c r="B119" s="159"/>
      <c r="C119" s="155" t="s">
        <v>236</v>
      </c>
      <c r="D119" s="156" t="s">
        <v>207</v>
      </c>
      <c r="E119" s="156" t="s">
        <v>208</v>
      </c>
      <c r="F119" s="155" t="s">
        <v>209</v>
      </c>
      <c r="G119" s="155" t="s">
        <v>209</v>
      </c>
      <c r="H119" s="157" t="s">
        <v>215</v>
      </c>
    </row>
    <row r="120" hidden="1">
      <c r="A120" s="160" t="s">
        <v>235</v>
      </c>
      <c r="B120" s="72"/>
      <c r="C120" s="118" t="s">
        <v>236</v>
      </c>
      <c r="D120" s="152" t="s">
        <v>207</v>
      </c>
      <c r="E120" s="152" t="s">
        <v>208</v>
      </c>
      <c r="F120" s="118" t="s">
        <v>209</v>
      </c>
      <c r="G120" s="118" t="s">
        <v>209</v>
      </c>
      <c r="H120" s="153" t="s">
        <v>216</v>
      </c>
    </row>
    <row r="121" hidden="1">
      <c r="A121" s="158" t="s">
        <v>237</v>
      </c>
      <c r="B121" s="159"/>
      <c r="C121" s="155" t="s">
        <v>236</v>
      </c>
      <c r="D121" s="156" t="s">
        <v>207</v>
      </c>
      <c r="E121" s="156" t="s">
        <v>208</v>
      </c>
      <c r="F121" s="155" t="s">
        <v>209</v>
      </c>
      <c r="G121" s="155" t="s">
        <v>209</v>
      </c>
      <c r="H121" s="157" t="s">
        <v>210</v>
      </c>
    </row>
    <row r="122" hidden="1">
      <c r="A122" s="160" t="s">
        <v>237</v>
      </c>
      <c r="B122" s="72"/>
      <c r="C122" s="118" t="s">
        <v>236</v>
      </c>
      <c r="D122" s="152" t="s">
        <v>207</v>
      </c>
      <c r="E122" s="152" t="s">
        <v>208</v>
      </c>
      <c r="F122" s="118" t="s">
        <v>209</v>
      </c>
      <c r="G122" s="118" t="s">
        <v>209</v>
      </c>
      <c r="H122" s="153" t="s">
        <v>211</v>
      </c>
    </row>
    <row r="123" hidden="1">
      <c r="A123" s="158" t="s">
        <v>237</v>
      </c>
      <c r="B123" s="159"/>
      <c r="C123" s="155" t="s">
        <v>236</v>
      </c>
      <c r="D123" s="156" t="s">
        <v>207</v>
      </c>
      <c r="E123" s="156" t="s">
        <v>208</v>
      </c>
      <c r="F123" s="155" t="s">
        <v>209</v>
      </c>
      <c r="G123" s="155" t="s">
        <v>209</v>
      </c>
      <c r="H123" s="157" t="s">
        <v>212</v>
      </c>
    </row>
    <row r="124" hidden="1">
      <c r="A124" s="160" t="s">
        <v>237</v>
      </c>
      <c r="B124" s="72"/>
      <c r="C124" s="118" t="s">
        <v>236</v>
      </c>
      <c r="D124" s="152" t="s">
        <v>207</v>
      </c>
      <c r="E124" s="152" t="s">
        <v>208</v>
      </c>
      <c r="F124" s="118" t="s">
        <v>209</v>
      </c>
      <c r="G124" s="118" t="s">
        <v>209</v>
      </c>
      <c r="H124" s="153" t="s">
        <v>213</v>
      </c>
    </row>
    <row r="125" hidden="1">
      <c r="A125" s="158" t="s">
        <v>237</v>
      </c>
      <c r="B125" s="159"/>
      <c r="C125" s="155" t="s">
        <v>236</v>
      </c>
      <c r="D125" s="156" t="s">
        <v>207</v>
      </c>
      <c r="E125" s="156" t="s">
        <v>208</v>
      </c>
      <c r="F125" s="155" t="s">
        <v>209</v>
      </c>
      <c r="G125" s="155" t="s">
        <v>209</v>
      </c>
      <c r="H125" s="157" t="s">
        <v>214</v>
      </c>
    </row>
    <row r="126" hidden="1">
      <c r="A126" s="160" t="s">
        <v>237</v>
      </c>
      <c r="B126" s="72"/>
      <c r="C126" s="118" t="s">
        <v>236</v>
      </c>
      <c r="D126" s="152" t="s">
        <v>207</v>
      </c>
      <c r="E126" s="152" t="s">
        <v>208</v>
      </c>
      <c r="F126" s="118" t="s">
        <v>209</v>
      </c>
      <c r="G126" s="118" t="s">
        <v>209</v>
      </c>
      <c r="H126" s="153" t="s">
        <v>215</v>
      </c>
    </row>
    <row r="127" hidden="1">
      <c r="A127" s="158" t="s">
        <v>237</v>
      </c>
      <c r="B127" s="159"/>
      <c r="C127" s="155" t="s">
        <v>236</v>
      </c>
      <c r="D127" s="156" t="s">
        <v>207</v>
      </c>
      <c r="E127" s="156" t="s">
        <v>208</v>
      </c>
      <c r="F127" s="155" t="s">
        <v>209</v>
      </c>
      <c r="G127" s="155" t="s">
        <v>209</v>
      </c>
      <c r="H127" s="157" t="s">
        <v>216</v>
      </c>
    </row>
    <row r="128" hidden="1">
      <c r="A128" s="151" t="s">
        <v>204</v>
      </c>
      <c r="B128" s="118" t="s">
        <v>205</v>
      </c>
      <c r="C128" s="118" t="s">
        <v>206</v>
      </c>
      <c r="D128" s="152" t="s">
        <v>238</v>
      </c>
      <c r="E128" s="152" t="s">
        <v>239</v>
      </c>
      <c r="F128" s="152" t="s">
        <v>240</v>
      </c>
      <c r="G128" s="118" t="s">
        <v>209</v>
      </c>
      <c r="H128" s="153" t="s">
        <v>210</v>
      </c>
    </row>
    <row r="129" hidden="1">
      <c r="A129" s="154" t="s">
        <v>204</v>
      </c>
      <c r="B129" s="155" t="s">
        <v>205</v>
      </c>
      <c r="C129" s="155" t="s">
        <v>206</v>
      </c>
      <c r="D129" s="156" t="s">
        <v>238</v>
      </c>
      <c r="E129" s="156" t="s">
        <v>241</v>
      </c>
      <c r="F129" s="156" t="s">
        <v>242</v>
      </c>
      <c r="G129" s="155" t="s">
        <v>209</v>
      </c>
      <c r="H129" s="157" t="s">
        <v>211</v>
      </c>
    </row>
    <row r="130" hidden="1">
      <c r="A130" s="151" t="s">
        <v>204</v>
      </c>
      <c r="B130" s="118" t="s">
        <v>205</v>
      </c>
      <c r="C130" s="118" t="s">
        <v>206</v>
      </c>
      <c r="D130" s="152" t="s">
        <v>238</v>
      </c>
      <c r="E130" s="152" t="s">
        <v>243</v>
      </c>
      <c r="F130" s="152" t="s">
        <v>244</v>
      </c>
      <c r="G130" s="118" t="s">
        <v>209</v>
      </c>
      <c r="H130" s="153" t="s">
        <v>212</v>
      </c>
    </row>
    <row r="131" hidden="1">
      <c r="A131" s="154" t="s">
        <v>204</v>
      </c>
      <c r="B131" s="155" t="s">
        <v>205</v>
      </c>
      <c r="C131" s="155" t="s">
        <v>206</v>
      </c>
      <c r="D131" s="156" t="s">
        <v>238</v>
      </c>
      <c r="E131" s="156" t="s">
        <v>245</v>
      </c>
      <c r="F131" s="156" t="s">
        <v>246</v>
      </c>
      <c r="G131" s="155" t="s">
        <v>209</v>
      </c>
      <c r="H131" s="157" t="s">
        <v>213</v>
      </c>
    </row>
    <row r="132" hidden="1">
      <c r="A132" s="151" t="s">
        <v>204</v>
      </c>
      <c r="B132" s="118" t="s">
        <v>205</v>
      </c>
      <c r="C132" s="118" t="s">
        <v>206</v>
      </c>
      <c r="D132" s="152" t="s">
        <v>238</v>
      </c>
      <c r="E132" s="152" t="s">
        <v>247</v>
      </c>
      <c r="F132" s="152" t="s">
        <v>244</v>
      </c>
      <c r="G132" s="118" t="s">
        <v>209</v>
      </c>
      <c r="H132" s="153" t="s">
        <v>214</v>
      </c>
    </row>
    <row r="133" hidden="1">
      <c r="A133" s="154" t="s">
        <v>204</v>
      </c>
      <c r="B133" s="155" t="s">
        <v>205</v>
      </c>
      <c r="C133" s="155" t="s">
        <v>206</v>
      </c>
      <c r="D133" s="156" t="s">
        <v>238</v>
      </c>
      <c r="E133" s="156" t="s">
        <v>248</v>
      </c>
      <c r="F133" s="156" t="s">
        <v>249</v>
      </c>
      <c r="G133" s="155" t="s">
        <v>209</v>
      </c>
      <c r="H133" s="157" t="s">
        <v>215</v>
      </c>
    </row>
    <row r="134" hidden="1">
      <c r="A134" s="151" t="s">
        <v>204</v>
      </c>
      <c r="B134" s="118" t="s">
        <v>205</v>
      </c>
      <c r="C134" s="118" t="s">
        <v>206</v>
      </c>
      <c r="D134" s="152" t="s">
        <v>238</v>
      </c>
      <c r="E134" s="152" t="s">
        <v>250</v>
      </c>
      <c r="F134" s="152" t="s">
        <v>246</v>
      </c>
      <c r="G134" s="118" t="s">
        <v>209</v>
      </c>
      <c r="H134" s="153" t="s">
        <v>216</v>
      </c>
    </row>
    <row r="135" hidden="1">
      <c r="A135" s="154" t="s">
        <v>217</v>
      </c>
      <c r="B135" s="155" t="s">
        <v>191</v>
      </c>
      <c r="C135" s="155" t="s">
        <v>206</v>
      </c>
      <c r="D135" s="156" t="s">
        <v>238</v>
      </c>
      <c r="E135" s="156" t="s">
        <v>251</v>
      </c>
      <c r="F135" s="156" t="s">
        <v>240</v>
      </c>
      <c r="G135" s="155" t="s">
        <v>209</v>
      </c>
      <c r="H135" s="157" t="s">
        <v>210</v>
      </c>
    </row>
    <row r="136" hidden="1">
      <c r="A136" s="151" t="s">
        <v>217</v>
      </c>
      <c r="B136" s="118" t="s">
        <v>191</v>
      </c>
      <c r="C136" s="118" t="s">
        <v>206</v>
      </c>
      <c r="D136" s="152" t="s">
        <v>238</v>
      </c>
      <c r="E136" s="152" t="s">
        <v>252</v>
      </c>
      <c r="F136" s="152" t="s">
        <v>240</v>
      </c>
      <c r="G136" s="118" t="s">
        <v>209</v>
      </c>
      <c r="H136" s="153" t="s">
        <v>211</v>
      </c>
    </row>
    <row r="137" hidden="1">
      <c r="A137" s="154" t="s">
        <v>217</v>
      </c>
      <c r="B137" s="155" t="s">
        <v>191</v>
      </c>
      <c r="C137" s="155" t="s">
        <v>206</v>
      </c>
      <c r="D137" s="156" t="s">
        <v>238</v>
      </c>
      <c r="E137" s="156" t="s">
        <v>253</v>
      </c>
      <c r="F137" s="156" t="s">
        <v>244</v>
      </c>
      <c r="G137" s="155" t="s">
        <v>209</v>
      </c>
      <c r="H137" s="157" t="s">
        <v>212</v>
      </c>
    </row>
    <row r="138" hidden="1">
      <c r="A138" s="151" t="s">
        <v>217</v>
      </c>
      <c r="B138" s="118" t="s">
        <v>191</v>
      </c>
      <c r="C138" s="118" t="s">
        <v>206</v>
      </c>
      <c r="D138" s="152" t="s">
        <v>238</v>
      </c>
      <c r="E138" s="152" t="s">
        <v>254</v>
      </c>
      <c r="F138" s="152" t="s">
        <v>255</v>
      </c>
      <c r="G138" s="118" t="s">
        <v>209</v>
      </c>
      <c r="H138" s="153" t="s">
        <v>213</v>
      </c>
    </row>
    <row r="139" hidden="1">
      <c r="A139" s="154" t="s">
        <v>217</v>
      </c>
      <c r="B139" s="155" t="s">
        <v>191</v>
      </c>
      <c r="C139" s="155" t="s">
        <v>206</v>
      </c>
      <c r="D139" s="156" t="s">
        <v>238</v>
      </c>
      <c r="E139" s="156" t="s">
        <v>256</v>
      </c>
      <c r="F139" s="156" t="s">
        <v>257</v>
      </c>
      <c r="G139" s="155" t="s">
        <v>209</v>
      </c>
      <c r="H139" s="157" t="s">
        <v>214</v>
      </c>
    </row>
    <row r="140" hidden="1">
      <c r="A140" s="151" t="s">
        <v>217</v>
      </c>
      <c r="B140" s="118" t="s">
        <v>191</v>
      </c>
      <c r="C140" s="118" t="s">
        <v>206</v>
      </c>
      <c r="D140" s="152" t="s">
        <v>238</v>
      </c>
      <c r="E140" s="152" t="s">
        <v>258</v>
      </c>
      <c r="F140" s="152" t="s">
        <v>259</v>
      </c>
      <c r="G140" s="118" t="s">
        <v>209</v>
      </c>
      <c r="H140" s="153" t="s">
        <v>215</v>
      </c>
    </row>
    <row r="141" hidden="1">
      <c r="A141" s="154" t="s">
        <v>217</v>
      </c>
      <c r="B141" s="155" t="s">
        <v>191</v>
      </c>
      <c r="C141" s="155" t="s">
        <v>206</v>
      </c>
      <c r="D141" s="156" t="s">
        <v>238</v>
      </c>
      <c r="E141" s="156" t="s">
        <v>260</v>
      </c>
      <c r="F141" s="156" t="s">
        <v>240</v>
      </c>
      <c r="G141" s="155" t="s">
        <v>209</v>
      </c>
      <c r="H141" s="157" t="s">
        <v>216</v>
      </c>
    </row>
    <row r="142" hidden="1">
      <c r="A142" s="151" t="s">
        <v>218</v>
      </c>
      <c r="B142" s="118" t="s">
        <v>219</v>
      </c>
      <c r="C142" s="118" t="s">
        <v>206</v>
      </c>
      <c r="D142" s="152" t="s">
        <v>238</v>
      </c>
      <c r="E142" s="152" t="s">
        <v>261</v>
      </c>
      <c r="F142" s="152" t="s">
        <v>262</v>
      </c>
      <c r="G142" s="118" t="s">
        <v>209</v>
      </c>
      <c r="H142" s="153" t="s">
        <v>210</v>
      </c>
    </row>
    <row r="143" hidden="1">
      <c r="A143" s="154" t="s">
        <v>218</v>
      </c>
      <c r="B143" s="155" t="s">
        <v>219</v>
      </c>
      <c r="C143" s="155" t="s">
        <v>206</v>
      </c>
      <c r="D143" s="156" t="s">
        <v>238</v>
      </c>
      <c r="E143" s="156" t="s">
        <v>263</v>
      </c>
      <c r="F143" s="156" t="s">
        <v>240</v>
      </c>
      <c r="G143" s="155" t="s">
        <v>209</v>
      </c>
      <c r="H143" s="157" t="s">
        <v>211</v>
      </c>
    </row>
    <row r="144" hidden="1">
      <c r="A144" s="151" t="s">
        <v>218</v>
      </c>
      <c r="B144" s="118" t="s">
        <v>219</v>
      </c>
      <c r="C144" s="118" t="s">
        <v>206</v>
      </c>
      <c r="D144" s="152" t="s">
        <v>238</v>
      </c>
      <c r="E144" s="152" t="s">
        <v>264</v>
      </c>
      <c r="F144" s="152" t="s">
        <v>265</v>
      </c>
      <c r="G144" s="118" t="s">
        <v>209</v>
      </c>
      <c r="H144" s="153" t="s">
        <v>212</v>
      </c>
    </row>
    <row r="145" hidden="1">
      <c r="A145" s="154" t="s">
        <v>218</v>
      </c>
      <c r="B145" s="155" t="s">
        <v>219</v>
      </c>
      <c r="C145" s="155" t="s">
        <v>206</v>
      </c>
      <c r="D145" s="156" t="s">
        <v>238</v>
      </c>
      <c r="E145" s="156" t="s">
        <v>266</v>
      </c>
      <c r="F145" s="156" t="s">
        <v>240</v>
      </c>
      <c r="G145" s="155" t="s">
        <v>209</v>
      </c>
      <c r="H145" s="157" t="s">
        <v>213</v>
      </c>
    </row>
    <row r="146" hidden="1">
      <c r="A146" s="151" t="s">
        <v>218</v>
      </c>
      <c r="B146" s="118" t="s">
        <v>219</v>
      </c>
      <c r="C146" s="118" t="s">
        <v>206</v>
      </c>
      <c r="D146" s="152" t="s">
        <v>238</v>
      </c>
      <c r="E146" s="152" t="s">
        <v>267</v>
      </c>
      <c r="F146" s="152" t="s">
        <v>240</v>
      </c>
      <c r="G146" s="118" t="s">
        <v>209</v>
      </c>
      <c r="H146" s="153" t="s">
        <v>214</v>
      </c>
    </row>
    <row r="147" hidden="1">
      <c r="A147" s="154" t="s">
        <v>218</v>
      </c>
      <c r="B147" s="155" t="s">
        <v>219</v>
      </c>
      <c r="C147" s="155" t="s">
        <v>206</v>
      </c>
      <c r="D147" s="156" t="s">
        <v>238</v>
      </c>
      <c r="E147" s="156" t="s">
        <v>268</v>
      </c>
      <c r="F147" s="156" t="s">
        <v>269</v>
      </c>
      <c r="G147" s="155" t="s">
        <v>209</v>
      </c>
      <c r="H147" s="157" t="s">
        <v>215</v>
      </c>
    </row>
    <row r="148" hidden="1">
      <c r="A148" s="151" t="s">
        <v>218</v>
      </c>
      <c r="B148" s="118" t="s">
        <v>219</v>
      </c>
      <c r="C148" s="118" t="s">
        <v>206</v>
      </c>
      <c r="D148" s="152" t="s">
        <v>238</v>
      </c>
      <c r="E148" s="152" t="s">
        <v>270</v>
      </c>
      <c r="F148" s="152" t="s">
        <v>259</v>
      </c>
      <c r="G148" s="118" t="s">
        <v>209</v>
      </c>
      <c r="H148" s="153" t="s">
        <v>216</v>
      </c>
    </row>
    <row r="149" hidden="1">
      <c r="A149" s="154" t="s">
        <v>220</v>
      </c>
      <c r="B149" s="155" t="s">
        <v>190</v>
      </c>
      <c r="C149" s="155" t="s">
        <v>206</v>
      </c>
      <c r="D149" s="156" t="s">
        <v>238</v>
      </c>
      <c r="E149" s="156" t="s">
        <v>271</v>
      </c>
      <c r="F149" s="156" t="s">
        <v>272</v>
      </c>
      <c r="G149" s="155" t="s">
        <v>209</v>
      </c>
      <c r="H149" s="157" t="s">
        <v>210</v>
      </c>
    </row>
    <row r="150" hidden="1">
      <c r="A150" s="151" t="s">
        <v>220</v>
      </c>
      <c r="B150" s="118" t="s">
        <v>190</v>
      </c>
      <c r="C150" s="118" t="s">
        <v>206</v>
      </c>
      <c r="D150" s="152" t="s">
        <v>238</v>
      </c>
      <c r="E150" s="152" t="s">
        <v>273</v>
      </c>
      <c r="F150" s="152" t="s">
        <v>274</v>
      </c>
      <c r="G150" s="118" t="s">
        <v>209</v>
      </c>
      <c r="H150" s="153" t="s">
        <v>211</v>
      </c>
    </row>
    <row r="151" hidden="1">
      <c r="A151" s="154" t="s">
        <v>220</v>
      </c>
      <c r="B151" s="155" t="s">
        <v>190</v>
      </c>
      <c r="C151" s="155" t="s">
        <v>206</v>
      </c>
      <c r="D151" s="156" t="s">
        <v>238</v>
      </c>
      <c r="E151" s="156" t="s">
        <v>275</v>
      </c>
      <c r="F151" s="156" t="s">
        <v>276</v>
      </c>
      <c r="G151" s="155" t="s">
        <v>209</v>
      </c>
      <c r="H151" s="157" t="s">
        <v>212</v>
      </c>
    </row>
    <row r="152" hidden="1">
      <c r="A152" s="151" t="s">
        <v>220</v>
      </c>
      <c r="B152" s="118" t="s">
        <v>190</v>
      </c>
      <c r="C152" s="118" t="s">
        <v>206</v>
      </c>
      <c r="D152" s="152" t="s">
        <v>238</v>
      </c>
      <c r="E152" s="152" t="s">
        <v>277</v>
      </c>
      <c r="F152" s="152" t="s">
        <v>262</v>
      </c>
      <c r="G152" s="118" t="s">
        <v>209</v>
      </c>
      <c r="H152" s="153" t="s">
        <v>213</v>
      </c>
    </row>
    <row r="153" hidden="1">
      <c r="A153" s="154" t="s">
        <v>220</v>
      </c>
      <c r="B153" s="155" t="s">
        <v>190</v>
      </c>
      <c r="C153" s="155" t="s">
        <v>206</v>
      </c>
      <c r="D153" s="156" t="s">
        <v>238</v>
      </c>
      <c r="E153" s="156" t="s">
        <v>278</v>
      </c>
      <c r="F153" s="156" t="s">
        <v>279</v>
      </c>
      <c r="G153" s="155" t="s">
        <v>209</v>
      </c>
      <c r="H153" s="157" t="s">
        <v>214</v>
      </c>
    </row>
    <row r="154" hidden="1">
      <c r="A154" s="151" t="s">
        <v>220</v>
      </c>
      <c r="B154" s="118" t="s">
        <v>190</v>
      </c>
      <c r="C154" s="118" t="s">
        <v>206</v>
      </c>
      <c r="D154" s="152" t="s">
        <v>238</v>
      </c>
      <c r="E154" s="152" t="s">
        <v>280</v>
      </c>
      <c r="F154" s="152" t="s">
        <v>259</v>
      </c>
      <c r="G154" s="118" t="s">
        <v>209</v>
      </c>
      <c r="H154" s="153" t="s">
        <v>215</v>
      </c>
    </row>
    <row r="155" hidden="1">
      <c r="A155" s="154" t="s">
        <v>220</v>
      </c>
      <c r="B155" s="155" t="s">
        <v>190</v>
      </c>
      <c r="C155" s="155" t="s">
        <v>206</v>
      </c>
      <c r="D155" s="156" t="s">
        <v>238</v>
      </c>
      <c r="E155" s="156" t="s">
        <v>281</v>
      </c>
      <c r="F155" s="156" t="s">
        <v>282</v>
      </c>
      <c r="G155" s="155" t="s">
        <v>209</v>
      </c>
      <c r="H155" s="157" t="s">
        <v>216</v>
      </c>
    </row>
    <row r="156" hidden="1">
      <c r="A156" s="151" t="s">
        <v>221</v>
      </c>
      <c r="B156" s="118" t="s">
        <v>189</v>
      </c>
      <c r="C156" s="118" t="s">
        <v>206</v>
      </c>
      <c r="D156" s="152" t="s">
        <v>238</v>
      </c>
      <c r="E156" s="152" t="s">
        <v>283</v>
      </c>
      <c r="F156" s="152" t="s">
        <v>204</v>
      </c>
      <c r="G156" s="118" t="s">
        <v>209</v>
      </c>
      <c r="H156" s="153" t="s">
        <v>210</v>
      </c>
    </row>
    <row r="157" hidden="1">
      <c r="A157" s="154" t="s">
        <v>221</v>
      </c>
      <c r="B157" s="155" t="s">
        <v>189</v>
      </c>
      <c r="C157" s="155" t="s">
        <v>206</v>
      </c>
      <c r="D157" s="156" t="s">
        <v>238</v>
      </c>
      <c r="E157" s="156" t="s">
        <v>284</v>
      </c>
      <c r="F157" s="156" t="s">
        <v>285</v>
      </c>
      <c r="G157" s="155" t="s">
        <v>209</v>
      </c>
      <c r="H157" s="157" t="s">
        <v>211</v>
      </c>
    </row>
    <row r="158" hidden="1">
      <c r="A158" s="151" t="s">
        <v>221</v>
      </c>
      <c r="B158" s="118" t="s">
        <v>189</v>
      </c>
      <c r="C158" s="118" t="s">
        <v>206</v>
      </c>
      <c r="D158" s="152" t="s">
        <v>238</v>
      </c>
      <c r="E158" s="152" t="s">
        <v>286</v>
      </c>
      <c r="F158" s="152" t="s">
        <v>287</v>
      </c>
      <c r="G158" s="118" t="s">
        <v>209</v>
      </c>
      <c r="H158" s="153" t="s">
        <v>212</v>
      </c>
    </row>
    <row r="159" hidden="1">
      <c r="A159" s="154" t="s">
        <v>221</v>
      </c>
      <c r="B159" s="155" t="s">
        <v>189</v>
      </c>
      <c r="C159" s="155" t="s">
        <v>206</v>
      </c>
      <c r="D159" s="156" t="s">
        <v>238</v>
      </c>
      <c r="E159" s="156" t="s">
        <v>288</v>
      </c>
      <c r="F159" s="156" t="s">
        <v>246</v>
      </c>
      <c r="G159" s="155" t="s">
        <v>209</v>
      </c>
      <c r="H159" s="157" t="s">
        <v>213</v>
      </c>
    </row>
    <row r="160" hidden="1">
      <c r="A160" s="151" t="s">
        <v>221</v>
      </c>
      <c r="B160" s="118" t="s">
        <v>189</v>
      </c>
      <c r="C160" s="118" t="s">
        <v>206</v>
      </c>
      <c r="D160" s="152" t="s">
        <v>238</v>
      </c>
      <c r="E160" s="152" t="s">
        <v>289</v>
      </c>
      <c r="F160" s="152" t="s">
        <v>290</v>
      </c>
      <c r="G160" s="118" t="s">
        <v>209</v>
      </c>
      <c r="H160" s="153" t="s">
        <v>214</v>
      </c>
    </row>
    <row r="161" hidden="1">
      <c r="A161" s="154" t="s">
        <v>221</v>
      </c>
      <c r="B161" s="155" t="s">
        <v>189</v>
      </c>
      <c r="C161" s="155" t="s">
        <v>206</v>
      </c>
      <c r="D161" s="156" t="s">
        <v>238</v>
      </c>
      <c r="E161" s="156" t="s">
        <v>291</v>
      </c>
      <c r="F161" s="156" t="s">
        <v>292</v>
      </c>
      <c r="G161" s="155" t="s">
        <v>209</v>
      </c>
      <c r="H161" s="157" t="s">
        <v>215</v>
      </c>
    </row>
    <row r="162" hidden="1">
      <c r="A162" s="151" t="s">
        <v>221</v>
      </c>
      <c r="B162" s="118" t="s">
        <v>189</v>
      </c>
      <c r="C162" s="118" t="s">
        <v>206</v>
      </c>
      <c r="D162" s="152" t="s">
        <v>238</v>
      </c>
      <c r="E162" s="152" t="s">
        <v>293</v>
      </c>
      <c r="F162" s="152" t="s">
        <v>257</v>
      </c>
      <c r="G162" s="118" t="s">
        <v>209</v>
      </c>
      <c r="H162" s="153" t="s">
        <v>216</v>
      </c>
    </row>
    <row r="163" hidden="1">
      <c r="A163" s="154" t="s">
        <v>222</v>
      </c>
      <c r="B163" s="155" t="s">
        <v>192</v>
      </c>
      <c r="C163" s="155" t="s">
        <v>206</v>
      </c>
      <c r="D163" s="156" t="s">
        <v>238</v>
      </c>
      <c r="E163" s="156" t="s">
        <v>294</v>
      </c>
      <c r="F163" s="156" t="s">
        <v>259</v>
      </c>
      <c r="G163" s="155" t="s">
        <v>209</v>
      </c>
      <c r="H163" s="157" t="s">
        <v>210</v>
      </c>
    </row>
    <row r="164" hidden="1">
      <c r="A164" s="151" t="s">
        <v>222</v>
      </c>
      <c r="B164" s="118" t="s">
        <v>192</v>
      </c>
      <c r="C164" s="118" t="s">
        <v>206</v>
      </c>
      <c r="D164" s="152" t="s">
        <v>238</v>
      </c>
      <c r="E164" s="152" t="s">
        <v>295</v>
      </c>
      <c r="F164" s="152" t="s">
        <v>265</v>
      </c>
      <c r="G164" s="118" t="s">
        <v>209</v>
      </c>
      <c r="H164" s="153" t="s">
        <v>211</v>
      </c>
    </row>
    <row r="165" hidden="1">
      <c r="A165" s="154" t="s">
        <v>222</v>
      </c>
      <c r="B165" s="155" t="s">
        <v>192</v>
      </c>
      <c r="C165" s="155" t="s">
        <v>206</v>
      </c>
      <c r="D165" s="156" t="s">
        <v>238</v>
      </c>
      <c r="E165" s="156" t="s">
        <v>296</v>
      </c>
      <c r="F165" s="156" t="s">
        <v>287</v>
      </c>
      <c r="G165" s="155" t="s">
        <v>209</v>
      </c>
      <c r="H165" s="157" t="s">
        <v>212</v>
      </c>
    </row>
    <row r="166" hidden="1">
      <c r="A166" s="151" t="s">
        <v>222</v>
      </c>
      <c r="B166" s="118" t="s">
        <v>192</v>
      </c>
      <c r="C166" s="118" t="s">
        <v>206</v>
      </c>
      <c r="D166" s="152" t="s">
        <v>238</v>
      </c>
      <c r="E166" s="152" t="s">
        <v>297</v>
      </c>
      <c r="F166" s="152" t="s">
        <v>298</v>
      </c>
      <c r="G166" s="118" t="s">
        <v>209</v>
      </c>
      <c r="H166" s="153" t="s">
        <v>213</v>
      </c>
    </row>
    <row r="167" hidden="1">
      <c r="A167" s="154" t="s">
        <v>222</v>
      </c>
      <c r="B167" s="155" t="s">
        <v>192</v>
      </c>
      <c r="C167" s="155" t="s">
        <v>206</v>
      </c>
      <c r="D167" s="156" t="s">
        <v>238</v>
      </c>
      <c r="E167" s="156" t="s">
        <v>299</v>
      </c>
      <c r="F167" s="156" t="s">
        <v>269</v>
      </c>
      <c r="G167" s="155" t="s">
        <v>209</v>
      </c>
      <c r="H167" s="157" t="s">
        <v>214</v>
      </c>
    </row>
    <row r="168" hidden="1">
      <c r="A168" s="151" t="s">
        <v>222</v>
      </c>
      <c r="B168" s="118" t="s">
        <v>192</v>
      </c>
      <c r="C168" s="118" t="s">
        <v>206</v>
      </c>
      <c r="D168" s="152" t="s">
        <v>238</v>
      </c>
      <c r="E168" s="152" t="s">
        <v>300</v>
      </c>
      <c r="F168" s="152" t="s">
        <v>301</v>
      </c>
      <c r="G168" s="118" t="s">
        <v>209</v>
      </c>
      <c r="H168" s="153" t="s">
        <v>215</v>
      </c>
    </row>
    <row r="169" hidden="1">
      <c r="A169" s="154" t="s">
        <v>222</v>
      </c>
      <c r="B169" s="155" t="s">
        <v>192</v>
      </c>
      <c r="C169" s="155" t="s">
        <v>206</v>
      </c>
      <c r="D169" s="156" t="s">
        <v>238</v>
      </c>
      <c r="E169" s="156" t="s">
        <v>302</v>
      </c>
      <c r="F169" s="156" t="s">
        <v>259</v>
      </c>
      <c r="G169" s="155" t="s">
        <v>209</v>
      </c>
      <c r="H169" s="157" t="s">
        <v>216</v>
      </c>
    </row>
    <row r="170" hidden="1">
      <c r="A170" s="151" t="s">
        <v>223</v>
      </c>
      <c r="B170" s="118" t="s">
        <v>144</v>
      </c>
      <c r="C170" s="118" t="s">
        <v>206</v>
      </c>
      <c r="D170" s="152" t="s">
        <v>238</v>
      </c>
      <c r="E170" s="152" t="s">
        <v>303</v>
      </c>
      <c r="F170" s="152" t="s">
        <v>287</v>
      </c>
      <c r="G170" s="118" t="s">
        <v>209</v>
      </c>
      <c r="H170" s="153" t="s">
        <v>210</v>
      </c>
    </row>
    <row r="171" hidden="1">
      <c r="A171" s="154" t="s">
        <v>223</v>
      </c>
      <c r="B171" s="155" t="s">
        <v>144</v>
      </c>
      <c r="C171" s="155" t="s">
        <v>206</v>
      </c>
      <c r="D171" s="156" t="s">
        <v>238</v>
      </c>
      <c r="E171" s="156" t="s">
        <v>304</v>
      </c>
      <c r="F171" s="156" t="s">
        <v>305</v>
      </c>
      <c r="G171" s="155" t="s">
        <v>209</v>
      </c>
      <c r="H171" s="157" t="s">
        <v>211</v>
      </c>
    </row>
    <row r="172" hidden="1">
      <c r="A172" s="151" t="s">
        <v>223</v>
      </c>
      <c r="B172" s="118" t="s">
        <v>144</v>
      </c>
      <c r="C172" s="118" t="s">
        <v>206</v>
      </c>
      <c r="D172" s="152" t="s">
        <v>238</v>
      </c>
      <c r="E172" s="152" t="s">
        <v>306</v>
      </c>
      <c r="F172" s="152" t="s">
        <v>249</v>
      </c>
      <c r="G172" s="118" t="s">
        <v>209</v>
      </c>
      <c r="H172" s="153" t="s">
        <v>212</v>
      </c>
    </row>
    <row r="173" hidden="1">
      <c r="A173" s="154" t="s">
        <v>223</v>
      </c>
      <c r="B173" s="155" t="s">
        <v>144</v>
      </c>
      <c r="C173" s="155" t="s">
        <v>206</v>
      </c>
      <c r="D173" s="156" t="s">
        <v>238</v>
      </c>
      <c r="E173" s="156" t="s">
        <v>307</v>
      </c>
      <c r="F173" s="156" t="s">
        <v>308</v>
      </c>
      <c r="G173" s="155" t="s">
        <v>209</v>
      </c>
      <c r="H173" s="157" t="s">
        <v>213</v>
      </c>
    </row>
    <row r="174" hidden="1">
      <c r="A174" s="151" t="s">
        <v>223</v>
      </c>
      <c r="B174" s="118" t="s">
        <v>144</v>
      </c>
      <c r="C174" s="118" t="s">
        <v>206</v>
      </c>
      <c r="D174" s="152" t="s">
        <v>238</v>
      </c>
      <c r="E174" s="152" t="s">
        <v>309</v>
      </c>
      <c r="F174" s="152" t="s">
        <v>310</v>
      </c>
      <c r="G174" s="118" t="s">
        <v>209</v>
      </c>
      <c r="H174" s="153" t="s">
        <v>214</v>
      </c>
    </row>
    <row r="175" hidden="1">
      <c r="A175" s="154" t="s">
        <v>223</v>
      </c>
      <c r="B175" s="155" t="s">
        <v>144</v>
      </c>
      <c r="C175" s="155" t="s">
        <v>206</v>
      </c>
      <c r="D175" s="156" t="s">
        <v>238</v>
      </c>
      <c r="E175" s="156" t="s">
        <v>311</v>
      </c>
      <c r="F175" s="156" t="s">
        <v>312</v>
      </c>
      <c r="G175" s="155" t="s">
        <v>209</v>
      </c>
      <c r="H175" s="157" t="s">
        <v>215</v>
      </c>
    </row>
    <row r="176" hidden="1">
      <c r="A176" s="151" t="s">
        <v>223</v>
      </c>
      <c r="B176" s="118" t="s">
        <v>144</v>
      </c>
      <c r="C176" s="118" t="s">
        <v>206</v>
      </c>
      <c r="D176" s="152" t="s">
        <v>238</v>
      </c>
      <c r="E176" s="152" t="s">
        <v>313</v>
      </c>
      <c r="F176" s="152" t="s">
        <v>314</v>
      </c>
      <c r="G176" s="118" t="s">
        <v>209</v>
      </c>
      <c r="H176" s="153" t="s">
        <v>216</v>
      </c>
    </row>
    <row r="177" hidden="1">
      <c r="A177" s="154" t="s">
        <v>224</v>
      </c>
      <c r="B177" s="155" t="s">
        <v>170</v>
      </c>
      <c r="C177" s="155" t="s">
        <v>206</v>
      </c>
      <c r="D177" s="156" t="s">
        <v>238</v>
      </c>
      <c r="E177" s="156" t="s">
        <v>315</v>
      </c>
      <c r="F177" s="156" t="s">
        <v>242</v>
      </c>
      <c r="G177" s="155" t="s">
        <v>209</v>
      </c>
      <c r="H177" s="157" t="s">
        <v>210</v>
      </c>
    </row>
    <row r="178" hidden="1">
      <c r="A178" s="151" t="s">
        <v>224</v>
      </c>
      <c r="B178" s="118" t="s">
        <v>170</v>
      </c>
      <c r="C178" s="118" t="s">
        <v>206</v>
      </c>
      <c r="D178" s="152" t="s">
        <v>238</v>
      </c>
      <c r="E178" s="152" t="s">
        <v>316</v>
      </c>
      <c r="F178" s="152" t="s">
        <v>314</v>
      </c>
      <c r="G178" s="118" t="s">
        <v>209</v>
      </c>
      <c r="H178" s="153" t="s">
        <v>211</v>
      </c>
    </row>
    <row r="179" hidden="1">
      <c r="A179" s="154" t="s">
        <v>224</v>
      </c>
      <c r="B179" s="155" t="s">
        <v>170</v>
      </c>
      <c r="C179" s="155" t="s">
        <v>206</v>
      </c>
      <c r="D179" s="156" t="s">
        <v>238</v>
      </c>
      <c r="E179" s="156" t="s">
        <v>317</v>
      </c>
      <c r="F179" s="156" t="s">
        <v>276</v>
      </c>
      <c r="G179" s="155" t="s">
        <v>209</v>
      </c>
      <c r="H179" s="157" t="s">
        <v>212</v>
      </c>
    </row>
    <row r="180" hidden="1">
      <c r="A180" s="151" t="s">
        <v>224</v>
      </c>
      <c r="B180" s="118" t="s">
        <v>170</v>
      </c>
      <c r="C180" s="118" t="s">
        <v>206</v>
      </c>
      <c r="D180" s="152" t="s">
        <v>238</v>
      </c>
      <c r="E180" s="152" t="s">
        <v>318</v>
      </c>
      <c r="F180" s="152" t="s">
        <v>290</v>
      </c>
      <c r="G180" s="118" t="s">
        <v>209</v>
      </c>
      <c r="H180" s="153" t="s">
        <v>213</v>
      </c>
    </row>
    <row r="181" hidden="1">
      <c r="A181" s="154" t="s">
        <v>224</v>
      </c>
      <c r="B181" s="155" t="s">
        <v>170</v>
      </c>
      <c r="C181" s="155" t="s">
        <v>206</v>
      </c>
      <c r="D181" s="156" t="s">
        <v>238</v>
      </c>
      <c r="E181" s="156" t="s">
        <v>319</v>
      </c>
      <c r="F181" s="156" t="s">
        <v>249</v>
      </c>
      <c r="G181" s="155" t="s">
        <v>209</v>
      </c>
      <c r="H181" s="157" t="s">
        <v>214</v>
      </c>
    </row>
    <row r="182" hidden="1">
      <c r="A182" s="151" t="s">
        <v>224</v>
      </c>
      <c r="B182" s="118" t="s">
        <v>170</v>
      </c>
      <c r="C182" s="118" t="s">
        <v>206</v>
      </c>
      <c r="D182" s="152" t="s">
        <v>238</v>
      </c>
      <c r="E182" s="152" t="s">
        <v>320</v>
      </c>
      <c r="F182" s="152" t="s">
        <v>321</v>
      </c>
      <c r="G182" s="118" t="s">
        <v>209</v>
      </c>
      <c r="H182" s="153" t="s">
        <v>215</v>
      </c>
    </row>
    <row r="183" hidden="1">
      <c r="A183" s="154" t="s">
        <v>224</v>
      </c>
      <c r="B183" s="155" t="s">
        <v>170</v>
      </c>
      <c r="C183" s="155" t="s">
        <v>206</v>
      </c>
      <c r="D183" s="156" t="s">
        <v>238</v>
      </c>
      <c r="E183" s="156" t="s">
        <v>322</v>
      </c>
      <c r="F183" s="156" t="s">
        <v>323</v>
      </c>
      <c r="G183" s="155" t="s">
        <v>209</v>
      </c>
      <c r="H183" s="157" t="s">
        <v>216</v>
      </c>
    </row>
    <row r="184" hidden="1">
      <c r="A184" s="151" t="s">
        <v>225</v>
      </c>
      <c r="B184" s="118" t="s">
        <v>226</v>
      </c>
      <c r="C184" s="118" t="s">
        <v>206</v>
      </c>
      <c r="D184" s="152" t="s">
        <v>238</v>
      </c>
      <c r="E184" s="152" t="s">
        <v>324</v>
      </c>
      <c r="F184" s="152" t="s">
        <v>325</v>
      </c>
      <c r="G184" s="118" t="s">
        <v>209</v>
      </c>
      <c r="H184" s="153" t="s">
        <v>210</v>
      </c>
    </row>
    <row r="185" hidden="1">
      <c r="A185" s="154" t="s">
        <v>225</v>
      </c>
      <c r="B185" s="155" t="s">
        <v>226</v>
      </c>
      <c r="C185" s="155" t="s">
        <v>206</v>
      </c>
      <c r="D185" s="156" t="s">
        <v>238</v>
      </c>
      <c r="E185" s="156" t="s">
        <v>326</v>
      </c>
      <c r="F185" s="156" t="s">
        <v>323</v>
      </c>
      <c r="G185" s="155" t="s">
        <v>209</v>
      </c>
      <c r="H185" s="157" t="s">
        <v>211</v>
      </c>
    </row>
    <row r="186" hidden="1">
      <c r="A186" s="151" t="s">
        <v>225</v>
      </c>
      <c r="B186" s="118" t="s">
        <v>226</v>
      </c>
      <c r="C186" s="118" t="s">
        <v>206</v>
      </c>
      <c r="D186" s="152" t="s">
        <v>238</v>
      </c>
      <c r="E186" s="152" t="s">
        <v>327</v>
      </c>
      <c r="F186" s="152" t="s">
        <v>308</v>
      </c>
      <c r="G186" s="118" t="s">
        <v>209</v>
      </c>
      <c r="H186" s="153" t="s">
        <v>212</v>
      </c>
    </row>
    <row r="187" hidden="1">
      <c r="A187" s="154" t="s">
        <v>225</v>
      </c>
      <c r="B187" s="155" t="s">
        <v>226</v>
      </c>
      <c r="C187" s="155" t="s">
        <v>206</v>
      </c>
      <c r="D187" s="156" t="s">
        <v>238</v>
      </c>
      <c r="E187" s="156" t="s">
        <v>328</v>
      </c>
      <c r="F187" s="156" t="s">
        <v>329</v>
      </c>
      <c r="G187" s="155" t="s">
        <v>209</v>
      </c>
      <c r="H187" s="157" t="s">
        <v>213</v>
      </c>
    </row>
    <row r="188" hidden="1">
      <c r="A188" s="151" t="s">
        <v>225</v>
      </c>
      <c r="B188" s="118" t="s">
        <v>226</v>
      </c>
      <c r="C188" s="118" t="s">
        <v>206</v>
      </c>
      <c r="D188" s="152" t="s">
        <v>238</v>
      </c>
      <c r="E188" s="152" t="s">
        <v>330</v>
      </c>
      <c r="F188" s="152" t="s">
        <v>331</v>
      </c>
      <c r="G188" s="118" t="s">
        <v>209</v>
      </c>
      <c r="H188" s="153" t="s">
        <v>214</v>
      </c>
    </row>
    <row r="189" hidden="1">
      <c r="A189" s="154" t="s">
        <v>225</v>
      </c>
      <c r="B189" s="155" t="s">
        <v>226</v>
      </c>
      <c r="C189" s="155" t="s">
        <v>206</v>
      </c>
      <c r="D189" s="156" t="s">
        <v>238</v>
      </c>
      <c r="E189" s="156" t="s">
        <v>332</v>
      </c>
      <c r="F189" s="156" t="s">
        <v>244</v>
      </c>
      <c r="G189" s="155" t="s">
        <v>209</v>
      </c>
      <c r="H189" s="157" t="s">
        <v>215</v>
      </c>
    </row>
    <row r="190" hidden="1">
      <c r="A190" s="151" t="s">
        <v>225</v>
      </c>
      <c r="B190" s="118" t="s">
        <v>226</v>
      </c>
      <c r="C190" s="118" t="s">
        <v>206</v>
      </c>
      <c r="D190" s="152" t="s">
        <v>238</v>
      </c>
      <c r="E190" s="152" t="s">
        <v>333</v>
      </c>
      <c r="F190" s="152" t="s">
        <v>310</v>
      </c>
      <c r="G190" s="118" t="s">
        <v>209</v>
      </c>
      <c r="H190" s="153" t="s">
        <v>216</v>
      </c>
    </row>
    <row r="191" hidden="1">
      <c r="A191" s="154" t="s">
        <v>227</v>
      </c>
      <c r="B191" s="155" t="s">
        <v>195</v>
      </c>
      <c r="C191" s="155" t="s">
        <v>206</v>
      </c>
      <c r="D191" s="156" t="s">
        <v>238</v>
      </c>
      <c r="E191" s="156" t="s">
        <v>334</v>
      </c>
      <c r="F191" s="156" t="s">
        <v>305</v>
      </c>
      <c r="G191" s="155" t="s">
        <v>209</v>
      </c>
      <c r="H191" s="157" t="s">
        <v>210</v>
      </c>
    </row>
    <row r="192" hidden="1">
      <c r="A192" s="151" t="s">
        <v>227</v>
      </c>
      <c r="B192" s="118" t="s">
        <v>195</v>
      </c>
      <c r="C192" s="118" t="s">
        <v>206</v>
      </c>
      <c r="D192" s="152" t="s">
        <v>238</v>
      </c>
      <c r="E192" s="152" t="s">
        <v>335</v>
      </c>
      <c r="F192" s="152" t="s">
        <v>336</v>
      </c>
      <c r="G192" s="118" t="s">
        <v>209</v>
      </c>
      <c r="H192" s="153" t="s">
        <v>211</v>
      </c>
    </row>
    <row r="193" hidden="1">
      <c r="A193" s="154" t="s">
        <v>227</v>
      </c>
      <c r="B193" s="155" t="s">
        <v>195</v>
      </c>
      <c r="C193" s="155" t="s">
        <v>206</v>
      </c>
      <c r="D193" s="156" t="s">
        <v>238</v>
      </c>
      <c r="E193" s="156" t="s">
        <v>337</v>
      </c>
      <c r="F193" s="156" t="s">
        <v>336</v>
      </c>
      <c r="G193" s="155" t="s">
        <v>209</v>
      </c>
      <c r="H193" s="157" t="s">
        <v>212</v>
      </c>
    </row>
    <row r="194" hidden="1">
      <c r="A194" s="151" t="s">
        <v>227</v>
      </c>
      <c r="B194" s="118" t="s">
        <v>195</v>
      </c>
      <c r="C194" s="118" t="s">
        <v>206</v>
      </c>
      <c r="D194" s="152" t="s">
        <v>238</v>
      </c>
      <c r="E194" s="152" t="s">
        <v>338</v>
      </c>
      <c r="F194" s="152" t="s">
        <v>339</v>
      </c>
      <c r="G194" s="118" t="s">
        <v>209</v>
      </c>
      <c r="H194" s="153" t="s">
        <v>213</v>
      </c>
    </row>
    <row r="195" hidden="1">
      <c r="A195" s="154" t="s">
        <v>227</v>
      </c>
      <c r="B195" s="155" t="s">
        <v>195</v>
      </c>
      <c r="C195" s="155" t="s">
        <v>206</v>
      </c>
      <c r="D195" s="156" t="s">
        <v>238</v>
      </c>
      <c r="E195" s="156" t="s">
        <v>340</v>
      </c>
      <c r="F195" s="156" t="s">
        <v>257</v>
      </c>
      <c r="G195" s="155" t="s">
        <v>209</v>
      </c>
      <c r="H195" s="157" t="s">
        <v>214</v>
      </c>
    </row>
    <row r="196" hidden="1">
      <c r="A196" s="151" t="s">
        <v>227</v>
      </c>
      <c r="B196" s="118" t="s">
        <v>195</v>
      </c>
      <c r="C196" s="118" t="s">
        <v>206</v>
      </c>
      <c r="D196" s="152" t="s">
        <v>238</v>
      </c>
      <c r="E196" s="152" t="s">
        <v>341</v>
      </c>
      <c r="F196" s="152" t="s">
        <v>255</v>
      </c>
      <c r="G196" s="118" t="s">
        <v>209</v>
      </c>
      <c r="H196" s="153" t="s">
        <v>215</v>
      </c>
    </row>
    <row r="197" hidden="1">
      <c r="A197" s="154" t="s">
        <v>227</v>
      </c>
      <c r="B197" s="155" t="s">
        <v>195</v>
      </c>
      <c r="C197" s="155" t="s">
        <v>206</v>
      </c>
      <c r="D197" s="156" t="s">
        <v>238</v>
      </c>
      <c r="E197" s="156" t="s">
        <v>342</v>
      </c>
      <c r="F197" s="156" t="s">
        <v>305</v>
      </c>
      <c r="G197" s="155" t="s">
        <v>209</v>
      </c>
      <c r="H197" s="157" t="s">
        <v>216</v>
      </c>
    </row>
    <row r="198" hidden="1">
      <c r="A198" s="151" t="s">
        <v>228</v>
      </c>
      <c r="B198" s="118" t="s">
        <v>138</v>
      </c>
      <c r="C198" s="118" t="s">
        <v>206</v>
      </c>
      <c r="D198" s="152" t="s">
        <v>238</v>
      </c>
      <c r="E198" s="152" t="s">
        <v>343</v>
      </c>
      <c r="F198" s="152" t="s">
        <v>262</v>
      </c>
      <c r="G198" s="118" t="s">
        <v>209</v>
      </c>
      <c r="H198" s="153" t="s">
        <v>210</v>
      </c>
    </row>
    <row r="199" hidden="1">
      <c r="A199" s="154" t="s">
        <v>228</v>
      </c>
      <c r="B199" s="155" t="s">
        <v>138</v>
      </c>
      <c r="C199" s="155" t="s">
        <v>206</v>
      </c>
      <c r="D199" s="156" t="s">
        <v>238</v>
      </c>
      <c r="E199" s="156" t="s">
        <v>344</v>
      </c>
      <c r="F199" s="156" t="s">
        <v>298</v>
      </c>
      <c r="G199" s="155" t="s">
        <v>209</v>
      </c>
      <c r="H199" s="157" t="s">
        <v>211</v>
      </c>
    </row>
    <row r="200" hidden="1">
      <c r="A200" s="151" t="s">
        <v>228</v>
      </c>
      <c r="B200" s="118" t="s">
        <v>138</v>
      </c>
      <c r="C200" s="118" t="s">
        <v>206</v>
      </c>
      <c r="D200" s="152" t="s">
        <v>238</v>
      </c>
      <c r="E200" s="152" t="s">
        <v>345</v>
      </c>
      <c r="F200" s="152" t="s">
        <v>244</v>
      </c>
      <c r="G200" s="118" t="s">
        <v>209</v>
      </c>
      <c r="H200" s="153" t="s">
        <v>212</v>
      </c>
    </row>
    <row r="201" hidden="1">
      <c r="A201" s="154" t="s">
        <v>228</v>
      </c>
      <c r="B201" s="155" t="s">
        <v>138</v>
      </c>
      <c r="C201" s="155" t="s">
        <v>206</v>
      </c>
      <c r="D201" s="156" t="s">
        <v>238</v>
      </c>
      <c r="E201" s="156" t="s">
        <v>346</v>
      </c>
      <c r="F201" s="156" t="s">
        <v>262</v>
      </c>
      <c r="G201" s="155" t="s">
        <v>209</v>
      </c>
      <c r="H201" s="157" t="s">
        <v>213</v>
      </c>
    </row>
    <row r="202" hidden="1">
      <c r="A202" s="151" t="s">
        <v>228</v>
      </c>
      <c r="B202" s="118" t="s">
        <v>138</v>
      </c>
      <c r="C202" s="118" t="s">
        <v>206</v>
      </c>
      <c r="D202" s="152" t="s">
        <v>238</v>
      </c>
      <c r="E202" s="152" t="s">
        <v>208</v>
      </c>
      <c r="F202" s="152" t="s">
        <v>204</v>
      </c>
      <c r="G202" s="118" t="s">
        <v>209</v>
      </c>
      <c r="H202" s="153" t="s">
        <v>214</v>
      </c>
    </row>
    <row r="203" hidden="1">
      <c r="A203" s="154" t="s">
        <v>228</v>
      </c>
      <c r="B203" s="155" t="s">
        <v>138</v>
      </c>
      <c r="C203" s="155" t="s">
        <v>206</v>
      </c>
      <c r="D203" s="156" t="s">
        <v>238</v>
      </c>
      <c r="E203" s="156" t="s">
        <v>347</v>
      </c>
      <c r="F203" s="156" t="s">
        <v>348</v>
      </c>
      <c r="G203" s="155" t="s">
        <v>209</v>
      </c>
      <c r="H203" s="157" t="s">
        <v>215</v>
      </c>
    </row>
    <row r="204" hidden="1">
      <c r="A204" s="151" t="s">
        <v>228</v>
      </c>
      <c r="B204" s="118" t="s">
        <v>138</v>
      </c>
      <c r="C204" s="118" t="s">
        <v>206</v>
      </c>
      <c r="D204" s="152" t="s">
        <v>238</v>
      </c>
      <c r="E204" s="152" t="s">
        <v>349</v>
      </c>
      <c r="F204" s="152" t="s">
        <v>265</v>
      </c>
      <c r="G204" s="118" t="s">
        <v>209</v>
      </c>
      <c r="H204" s="153" t="s">
        <v>216</v>
      </c>
    </row>
    <row r="205" hidden="1">
      <c r="A205" s="154" t="s">
        <v>229</v>
      </c>
      <c r="B205" s="155" t="s">
        <v>193</v>
      </c>
      <c r="C205" s="155" t="s">
        <v>206</v>
      </c>
      <c r="D205" s="156" t="s">
        <v>238</v>
      </c>
      <c r="E205" s="156" t="s">
        <v>350</v>
      </c>
      <c r="F205" s="156" t="s">
        <v>351</v>
      </c>
      <c r="G205" s="155" t="s">
        <v>209</v>
      </c>
      <c r="H205" s="157" t="s">
        <v>210</v>
      </c>
    </row>
    <row r="206" hidden="1">
      <c r="A206" s="151" t="s">
        <v>229</v>
      </c>
      <c r="B206" s="118" t="s">
        <v>193</v>
      </c>
      <c r="C206" s="118" t="s">
        <v>206</v>
      </c>
      <c r="D206" s="152" t="s">
        <v>238</v>
      </c>
      <c r="E206" s="152" t="s">
        <v>352</v>
      </c>
      <c r="F206" s="152" t="s">
        <v>310</v>
      </c>
      <c r="G206" s="118" t="s">
        <v>209</v>
      </c>
      <c r="H206" s="153" t="s">
        <v>211</v>
      </c>
    </row>
    <row r="207" hidden="1">
      <c r="A207" s="154" t="s">
        <v>229</v>
      </c>
      <c r="B207" s="155" t="s">
        <v>193</v>
      </c>
      <c r="C207" s="155" t="s">
        <v>206</v>
      </c>
      <c r="D207" s="156" t="s">
        <v>238</v>
      </c>
      <c r="E207" s="156" t="s">
        <v>353</v>
      </c>
      <c r="F207" s="156" t="s">
        <v>354</v>
      </c>
      <c r="G207" s="155" t="s">
        <v>209</v>
      </c>
      <c r="H207" s="157" t="s">
        <v>212</v>
      </c>
    </row>
    <row r="208" hidden="1">
      <c r="A208" s="151" t="s">
        <v>229</v>
      </c>
      <c r="B208" s="118" t="s">
        <v>193</v>
      </c>
      <c r="C208" s="118" t="s">
        <v>206</v>
      </c>
      <c r="D208" s="152" t="s">
        <v>238</v>
      </c>
      <c r="E208" s="152" t="s">
        <v>355</v>
      </c>
      <c r="F208" s="152" t="s">
        <v>321</v>
      </c>
      <c r="G208" s="118" t="s">
        <v>209</v>
      </c>
      <c r="H208" s="153" t="s">
        <v>213</v>
      </c>
    </row>
    <row r="209" hidden="1">
      <c r="A209" s="154" t="s">
        <v>229</v>
      </c>
      <c r="B209" s="155" t="s">
        <v>193</v>
      </c>
      <c r="C209" s="155" t="s">
        <v>206</v>
      </c>
      <c r="D209" s="156" t="s">
        <v>238</v>
      </c>
      <c r="E209" s="156" t="s">
        <v>356</v>
      </c>
      <c r="F209" s="156" t="s">
        <v>357</v>
      </c>
      <c r="G209" s="155" t="s">
        <v>209</v>
      </c>
      <c r="H209" s="157" t="s">
        <v>214</v>
      </c>
    </row>
    <row r="210" hidden="1">
      <c r="A210" s="151" t="s">
        <v>229</v>
      </c>
      <c r="B210" s="118" t="s">
        <v>193</v>
      </c>
      <c r="C210" s="118" t="s">
        <v>206</v>
      </c>
      <c r="D210" s="152" t="s">
        <v>238</v>
      </c>
      <c r="E210" s="152" t="s">
        <v>358</v>
      </c>
      <c r="F210" s="152" t="s">
        <v>359</v>
      </c>
      <c r="G210" s="118" t="s">
        <v>209</v>
      </c>
      <c r="H210" s="153" t="s">
        <v>215</v>
      </c>
    </row>
    <row r="211" hidden="1">
      <c r="A211" s="154" t="s">
        <v>229</v>
      </c>
      <c r="B211" s="155" t="s">
        <v>193</v>
      </c>
      <c r="C211" s="155" t="s">
        <v>206</v>
      </c>
      <c r="D211" s="156" t="s">
        <v>238</v>
      </c>
      <c r="E211" s="156" t="s">
        <v>360</v>
      </c>
      <c r="F211" s="156" t="s">
        <v>310</v>
      </c>
      <c r="G211" s="155" t="s">
        <v>209</v>
      </c>
      <c r="H211" s="157" t="s">
        <v>216</v>
      </c>
    </row>
    <row r="212" hidden="1">
      <c r="A212" s="151" t="s">
        <v>230</v>
      </c>
      <c r="B212" s="118" t="s">
        <v>194</v>
      </c>
      <c r="C212" s="118" t="s">
        <v>206</v>
      </c>
      <c r="D212" s="152" t="s">
        <v>238</v>
      </c>
      <c r="E212" s="152" t="s">
        <v>361</v>
      </c>
      <c r="F212" s="152" t="s">
        <v>323</v>
      </c>
      <c r="G212" s="118" t="s">
        <v>209</v>
      </c>
      <c r="H212" s="153" t="s">
        <v>210</v>
      </c>
    </row>
    <row r="213" hidden="1">
      <c r="A213" s="154" t="s">
        <v>230</v>
      </c>
      <c r="B213" s="155" t="s">
        <v>194</v>
      </c>
      <c r="C213" s="155" t="s">
        <v>206</v>
      </c>
      <c r="D213" s="156" t="s">
        <v>238</v>
      </c>
      <c r="E213" s="156" t="s">
        <v>362</v>
      </c>
      <c r="F213" s="156" t="s">
        <v>246</v>
      </c>
      <c r="G213" s="155" t="s">
        <v>209</v>
      </c>
      <c r="H213" s="157" t="s">
        <v>211</v>
      </c>
    </row>
    <row r="214" hidden="1">
      <c r="A214" s="151" t="s">
        <v>230</v>
      </c>
      <c r="B214" s="118" t="s">
        <v>194</v>
      </c>
      <c r="C214" s="118" t="s">
        <v>206</v>
      </c>
      <c r="D214" s="152" t="s">
        <v>238</v>
      </c>
      <c r="E214" s="152" t="s">
        <v>363</v>
      </c>
      <c r="F214" s="152" t="s">
        <v>323</v>
      </c>
      <c r="G214" s="118" t="s">
        <v>209</v>
      </c>
      <c r="H214" s="153" t="s">
        <v>212</v>
      </c>
    </row>
    <row r="215" hidden="1">
      <c r="A215" s="154" t="s">
        <v>230</v>
      </c>
      <c r="B215" s="155" t="s">
        <v>194</v>
      </c>
      <c r="C215" s="155" t="s">
        <v>206</v>
      </c>
      <c r="D215" s="156" t="s">
        <v>238</v>
      </c>
      <c r="E215" s="156" t="s">
        <v>364</v>
      </c>
      <c r="F215" s="156" t="s">
        <v>365</v>
      </c>
      <c r="G215" s="155" t="s">
        <v>209</v>
      </c>
      <c r="H215" s="157" t="s">
        <v>213</v>
      </c>
    </row>
    <row r="216" hidden="1">
      <c r="A216" s="151" t="s">
        <v>230</v>
      </c>
      <c r="B216" s="118" t="s">
        <v>194</v>
      </c>
      <c r="C216" s="118" t="s">
        <v>206</v>
      </c>
      <c r="D216" s="152" t="s">
        <v>238</v>
      </c>
      <c r="E216" s="152" t="s">
        <v>366</v>
      </c>
      <c r="F216" s="152" t="s">
        <v>365</v>
      </c>
      <c r="G216" s="118" t="s">
        <v>209</v>
      </c>
      <c r="H216" s="153" t="s">
        <v>214</v>
      </c>
    </row>
    <row r="217" hidden="1">
      <c r="A217" s="154" t="s">
        <v>230</v>
      </c>
      <c r="B217" s="155" t="s">
        <v>194</v>
      </c>
      <c r="C217" s="155" t="s">
        <v>206</v>
      </c>
      <c r="D217" s="156" t="s">
        <v>238</v>
      </c>
      <c r="E217" s="156" t="s">
        <v>367</v>
      </c>
      <c r="F217" s="156" t="s">
        <v>321</v>
      </c>
      <c r="G217" s="155" t="s">
        <v>209</v>
      </c>
      <c r="H217" s="157" t="s">
        <v>215</v>
      </c>
    </row>
    <row r="218" hidden="1">
      <c r="A218" s="151" t="s">
        <v>230</v>
      </c>
      <c r="B218" s="118" t="s">
        <v>194</v>
      </c>
      <c r="C218" s="118" t="s">
        <v>206</v>
      </c>
      <c r="D218" s="152" t="s">
        <v>238</v>
      </c>
      <c r="E218" s="152" t="s">
        <v>368</v>
      </c>
      <c r="F218" s="152" t="s">
        <v>357</v>
      </c>
      <c r="G218" s="118" t="s">
        <v>209</v>
      </c>
      <c r="H218" s="153" t="s">
        <v>216</v>
      </c>
    </row>
    <row r="219" hidden="1">
      <c r="A219" s="158" t="s">
        <v>231</v>
      </c>
      <c r="B219" s="159"/>
      <c r="C219" s="155" t="s">
        <v>232</v>
      </c>
      <c r="D219" s="156" t="s">
        <v>238</v>
      </c>
      <c r="E219" s="156" t="s">
        <v>369</v>
      </c>
      <c r="F219" s="156" t="s">
        <v>246</v>
      </c>
      <c r="G219" s="155" t="s">
        <v>209</v>
      </c>
      <c r="H219" s="157" t="s">
        <v>210</v>
      </c>
    </row>
    <row r="220" hidden="1">
      <c r="A220" s="160" t="s">
        <v>231</v>
      </c>
      <c r="B220" s="72"/>
      <c r="C220" s="118" t="s">
        <v>232</v>
      </c>
      <c r="D220" s="152" t="s">
        <v>238</v>
      </c>
      <c r="E220" s="152" t="s">
        <v>370</v>
      </c>
      <c r="F220" s="152" t="s">
        <v>323</v>
      </c>
      <c r="G220" s="118" t="s">
        <v>209</v>
      </c>
      <c r="H220" s="153" t="s">
        <v>211</v>
      </c>
    </row>
    <row r="221" hidden="1">
      <c r="A221" s="158" t="s">
        <v>231</v>
      </c>
      <c r="B221" s="159"/>
      <c r="C221" s="155" t="s">
        <v>232</v>
      </c>
      <c r="D221" s="156" t="s">
        <v>238</v>
      </c>
      <c r="E221" s="156" t="s">
        <v>371</v>
      </c>
      <c r="F221" s="156" t="s">
        <v>321</v>
      </c>
      <c r="G221" s="155" t="s">
        <v>209</v>
      </c>
      <c r="H221" s="157" t="s">
        <v>212</v>
      </c>
    </row>
    <row r="222" hidden="1">
      <c r="A222" s="160" t="s">
        <v>231</v>
      </c>
      <c r="B222" s="72"/>
      <c r="C222" s="118" t="s">
        <v>232</v>
      </c>
      <c r="D222" s="152" t="s">
        <v>238</v>
      </c>
      <c r="E222" s="152" t="s">
        <v>372</v>
      </c>
      <c r="F222" s="152" t="s">
        <v>246</v>
      </c>
      <c r="G222" s="118" t="s">
        <v>209</v>
      </c>
      <c r="H222" s="153" t="s">
        <v>213</v>
      </c>
    </row>
    <row r="223" hidden="1">
      <c r="A223" s="158" t="s">
        <v>231</v>
      </c>
      <c r="B223" s="159"/>
      <c r="C223" s="155" t="s">
        <v>232</v>
      </c>
      <c r="D223" s="156" t="s">
        <v>238</v>
      </c>
      <c r="E223" s="156" t="s">
        <v>373</v>
      </c>
      <c r="F223" s="156" t="s">
        <v>374</v>
      </c>
      <c r="G223" s="155" t="s">
        <v>209</v>
      </c>
      <c r="H223" s="157" t="s">
        <v>214</v>
      </c>
    </row>
    <row r="224" hidden="1">
      <c r="A224" s="160" t="s">
        <v>231</v>
      </c>
      <c r="B224" s="72"/>
      <c r="C224" s="118" t="s">
        <v>232</v>
      </c>
      <c r="D224" s="152" t="s">
        <v>238</v>
      </c>
      <c r="E224" s="152" t="s">
        <v>375</v>
      </c>
      <c r="F224" s="152" t="s">
        <v>374</v>
      </c>
      <c r="G224" s="118" t="s">
        <v>209</v>
      </c>
      <c r="H224" s="153" t="s">
        <v>215</v>
      </c>
    </row>
    <row r="225" hidden="1">
      <c r="A225" s="158" t="s">
        <v>231</v>
      </c>
      <c r="B225" s="159"/>
      <c r="C225" s="155" t="s">
        <v>232</v>
      </c>
      <c r="D225" s="156" t="s">
        <v>238</v>
      </c>
      <c r="E225" s="156" t="s">
        <v>376</v>
      </c>
      <c r="F225" s="156" t="s">
        <v>244</v>
      </c>
      <c r="G225" s="155" t="s">
        <v>209</v>
      </c>
      <c r="H225" s="157" t="s">
        <v>216</v>
      </c>
    </row>
    <row r="226" hidden="1">
      <c r="A226" s="160" t="s">
        <v>233</v>
      </c>
      <c r="B226" s="72"/>
      <c r="C226" s="118" t="s">
        <v>232</v>
      </c>
      <c r="D226" s="152" t="s">
        <v>238</v>
      </c>
      <c r="E226" s="152" t="s">
        <v>377</v>
      </c>
      <c r="F226" s="152" t="s">
        <v>240</v>
      </c>
      <c r="G226" s="118" t="s">
        <v>209</v>
      </c>
      <c r="H226" s="153" t="s">
        <v>210</v>
      </c>
    </row>
    <row r="227" hidden="1">
      <c r="A227" s="158" t="s">
        <v>233</v>
      </c>
      <c r="B227" s="159"/>
      <c r="C227" s="155" t="s">
        <v>232</v>
      </c>
      <c r="D227" s="156" t="s">
        <v>238</v>
      </c>
      <c r="E227" s="156" t="s">
        <v>378</v>
      </c>
      <c r="F227" s="156" t="s">
        <v>246</v>
      </c>
      <c r="G227" s="155" t="s">
        <v>209</v>
      </c>
      <c r="H227" s="157" t="s">
        <v>211</v>
      </c>
    </row>
    <row r="228" hidden="1">
      <c r="A228" s="160" t="s">
        <v>233</v>
      </c>
      <c r="B228" s="72"/>
      <c r="C228" s="118" t="s">
        <v>232</v>
      </c>
      <c r="D228" s="152" t="s">
        <v>238</v>
      </c>
      <c r="E228" s="152" t="s">
        <v>379</v>
      </c>
      <c r="F228" s="152" t="s">
        <v>357</v>
      </c>
      <c r="G228" s="118" t="s">
        <v>209</v>
      </c>
      <c r="H228" s="153" t="s">
        <v>212</v>
      </c>
    </row>
    <row r="229" hidden="1">
      <c r="A229" s="158" t="s">
        <v>233</v>
      </c>
      <c r="B229" s="159"/>
      <c r="C229" s="155" t="s">
        <v>232</v>
      </c>
      <c r="D229" s="156" t="s">
        <v>238</v>
      </c>
      <c r="E229" s="156" t="s">
        <v>380</v>
      </c>
      <c r="F229" s="156" t="s">
        <v>287</v>
      </c>
      <c r="G229" s="155" t="s">
        <v>209</v>
      </c>
      <c r="H229" s="157" t="s">
        <v>213</v>
      </c>
    </row>
    <row r="230" hidden="1">
      <c r="A230" s="160" t="s">
        <v>233</v>
      </c>
      <c r="B230" s="72"/>
      <c r="C230" s="118" t="s">
        <v>232</v>
      </c>
      <c r="D230" s="152" t="s">
        <v>238</v>
      </c>
      <c r="E230" s="152" t="s">
        <v>381</v>
      </c>
      <c r="F230" s="152" t="s">
        <v>244</v>
      </c>
      <c r="G230" s="118" t="s">
        <v>209</v>
      </c>
      <c r="H230" s="153" t="s">
        <v>214</v>
      </c>
    </row>
    <row r="231" hidden="1">
      <c r="A231" s="158" t="s">
        <v>233</v>
      </c>
      <c r="B231" s="159"/>
      <c r="C231" s="155" t="s">
        <v>232</v>
      </c>
      <c r="D231" s="156" t="s">
        <v>238</v>
      </c>
      <c r="E231" s="156" t="s">
        <v>382</v>
      </c>
      <c r="F231" s="156" t="s">
        <v>242</v>
      </c>
      <c r="G231" s="155" t="s">
        <v>209</v>
      </c>
      <c r="H231" s="157" t="s">
        <v>215</v>
      </c>
    </row>
    <row r="232" hidden="1">
      <c r="A232" s="160" t="s">
        <v>233</v>
      </c>
      <c r="B232" s="72"/>
      <c r="C232" s="118" t="s">
        <v>232</v>
      </c>
      <c r="D232" s="152" t="s">
        <v>238</v>
      </c>
      <c r="E232" s="152" t="s">
        <v>383</v>
      </c>
      <c r="F232" s="152" t="s">
        <v>257</v>
      </c>
      <c r="G232" s="118" t="s">
        <v>209</v>
      </c>
      <c r="H232" s="153" t="s">
        <v>216</v>
      </c>
    </row>
    <row r="233" hidden="1">
      <c r="A233" s="158" t="s">
        <v>234</v>
      </c>
      <c r="B233" s="159"/>
      <c r="C233" s="155" t="s">
        <v>232</v>
      </c>
      <c r="D233" s="156" t="s">
        <v>238</v>
      </c>
      <c r="E233" s="156" t="s">
        <v>384</v>
      </c>
      <c r="F233" s="156" t="s">
        <v>301</v>
      </c>
      <c r="G233" s="155" t="s">
        <v>209</v>
      </c>
      <c r="H233" s="157" t="s">
        <v>210</v>
      </c>
    </row>
    <row r="234" hidden="1">
      <c r="A234" s="160" t="s">
        <v>234</v>
      </c>
      <c r="B234" s="72"/>
      <c r="C234" s="118" t="s">
        <v>232</v>
      </c>
      <c r="D234" s="152" t="s">
        <v>238</v>
      </c>
      <c r="E234" s="152" t="s">
        <v>385</v>
      </c>
      <c r="F234" s="152" t="s">
        <v>285</v>
      </c>
      <c r="G234" s="118" t="s">
        <v>209</v>
      </c>
      <c r="H234" s="153" t="s">
        <v>211</v>
      </c>
    </row>
    <row r="235" hidden="1">
      <c r="A235" s="158" t="s">
        <v>234</v>
      </c>
      <c r="B235" s="159"/>
      <c r="C235" s="155" t="s">
        <v>232</v>
      </c>
      <c r="D235" s="156" t="s">
        <v>238</v>
      </c>
      <c r="E235" s="156" t="s">
        <v>386</v>
      </c>
      <c r="F235" s="156" t="s">
        <v>276</v>
      </c>
      <c r="G235" s="155" t="s">
        <v>209</v>
      </c>
      <c r="H235" s="157" t="s">
        <v>212</v>
      </c>
    </row>
    <row r="236" hidden="1">
      <c r="A236" s="160" t="s">
        <v>234</v>
      </c>
      <c r="B236" s="72"/>
      <c r="C236" s="118" t="s">
        <v>232</v>
      </c>
      <c r="D236" s="152" t="s">
        <v>238</v>
      </c>
      <c r="E236" s="152" t="s">
        <v>387</v>
      </c>
      <c r="F236" s="152" t="s">
        <v>359</v>
      </c>
      <c r="G236" s="118" t="s">
        <v>209</v>
      </c>
      <c r="H236" s="153" t="s">
        <v>213</v>
      </c>
    </row>
    <row r="237" hidden="1">
      <c r="A237" s="158" t="s">
        <v>234</v>
      </c>
      <c r="B237" s="159"/>
      <c r="C237" s="155" t="s">
        <v>232</v>
      </c>
      <c r="D237" s="156" t="s">
        <v>238</v>
      </c>
      <c r="E237" s="156" t="s">
        <v>388</v>
      </c>
      <c r="F237" s="156" t="s">
        <v>285</v>
      </c>
      <c r="G237" s="155" t="s">
        <v>209</v>
      </c>
      <c r="H237" s="157" t="s">
        <v>214</v>
      </c>
    </row>
    <row r="238" hidden="1">
      <c r="A238" s="160" t="s">
        <v>234</v>
      </c>
      <c r="B238" s="72"/>
      <c r="C238" s="118" t="s">
        <v>232</v>
      </c>
      <c r="D238" s="152" t="s">
        <v>238</v>
      </c>
      <c r="E238" s="152" t="s">
        <v>389</v>
      </c>
      <c r="F238" s="152" t="s">
        <v>390</v>
      </c>
      <c r="G238" s="118" t="s">
        <v>209</v>
      </c>
      <c r="H238" s="153" t="s">
        <v>215</v>
      </c>
    </row>
    <row r="239" hidden="1">
      <c r="A239" s="158" t="s">
        <v>234</v>
      </c>
      <c r="B239" s="159"/>
      <c r="C239" s="155" t="s">
        <v>232</v>
      </c>
      <c r="D239" s="156" t="s">
        <v>238</v>
      </c>
      <c r="E239" s="156" t="s">
        <v>391</v>
      </c>
      <c r="F239" s="156" t="s">
        <v>242</v>
      </c>
      <c r="G239" s="155" t="s">
        <v>209</v>
      </c>
      <c r="H239" s="157" t="s">
        <v>216</v>
      </c>
    </row>
    <row r="240" hidden="1">
      <c r="A240" s="160" t="s">
        <v>235</v>
      </c>
      <c r="B240" s="72"/>
      <c r="C240" s="118" t="s">
        <v>236</v>
      </c>
      <c r="D240" s="152" t="s">
        <v>238</v>
      </c>
      <c r="E240" s="152" t="s">
        <v>392</v>
      </c>
      <c r="F240" s="152" t="s">
        <v>255</v>
      </c>
      <c r="G240" s="118" t="s">
        <v>209</v>
      </c>
      <c r="H240" s="153" t="s">
        <v>210</v>
      </c>
    </row>
    <row r="241" hidden="1">
      <c r="A241" s="158" t="s">
        <v>235</v>
      </c>
      <c r="B241" s="159"/>
      <c r="C241" s="155" t="s">
        <v>236</v>
      </c>
      <c r="D241" s="156" t="s">
        <v>238</v>
      </c>
      <c r="E241" s="156" t="s">
        <v>393</v>
      </c>
      <c r="F241" s="156" t="s">
        <v>240</v>
      </c>
      <c r="G241" s="155" t="s">
        <v>209</v>
      </c>
      <c r="H241" s="157" t="s">
        <v>211</v>
      </c>
    </row>
    <row r="242" hidden="1">
      <c r="A242" s="160" t="s">
        <v>235</v>
      </c>
      <c r="B242" s="72"/>
      <c r="C242" s="118" t="s">
        <v>236</v>
      </c>
      <c r="D242" s="152" t="s">
        <v>238</v>
      </c>
      <c r="E242" s="152" t="s">
        <v>394</v>
      </c>
      <c r="F242" s="152" t="s">
        <v>287</v>
      </c>
      <c r="G242" s="118" t="s">
        <v>209</v>
      </c>
      <c r="H242" s="153" t="s">
        <v>212</v>
      </c>
    </row>
    <row r="243" hidden="1">
      <c r="A243" s="158" t="s">
        <v>235</v>
      </c>
      <c r="B243" s="159"/>
      <c r="C243" s="155" t="s">
        <v>236</v>
      </c>
      <c r="D243" s="156" t="s">
        <v>238</v>
      </c>
      <c r="E243" s="156" t="s">
        <v>395</v>
      </c>
      <c r="F243" s="156" t="s">
        <v>240</v>
      </c>
      <c r="G243" s="155" t="s">
        <v>209</v>
      </c>
      <c r="H243" s="157" t="s">
        <v>213</v>
      </c>
    </row>
    <row r="244" hidden="1">
      <c r="A244" s="160" t="s">
        <v>235</v>
      </c>
      <c r="B244" s="72"/>
      <c r="C244" s="118" t="s">
        <v>236</v>
      </c>
      <c r="D244" s="152" t="s">
        <v>238</v>
      </c>
      <c r="E244" s="152" t="s">
        <v>396</v>
      </c>
      <c r="F244" s="152" t="s">
        <v>287</v>
      </c>
      <c r="G244" s="118" t="s">
        <v>209</v>
      </c>
      <c r="H244" s="153" t="s">
        <v>214</v>
      </c>
    </row>
    <row r="245" hidden="1">
      <c r="A245" s="158" t="s">
        <v>235</v>
      </c>
      <c r="B245" s="159"/>
      <c r="C245" s="155" t="s">
        <v>236</v>
      </c>
      <c r="D245" s="156" t="s">
        <v>238</v>
      </c>
      <c r="E245" s="156" t="s">
        <v>397</v>
      </c>
      <c r="F245" s="156" t="s">
        <v>240</v>
      </c>
      <c r="G245" s="155" t="s">
        <v>209</v>
      </c>
      <c r="H245" s="157" t="s">
        <v>215</v>
      </c>
    </row>
    <row r="246" hidden="1">
      <c r="A246" s="160" t="s">
        <v>235</v>
      </c>
      <c r="B246" s="72"/>
      <c r="C246" s="118" t="s">
        <v>236</v>
      </c>
      <c r="D246" s="152" t="s">
        <v>238</v>
      </c>
      <c r="E246" s="152" t="s">
        <v>398</v>
      </c>
      <c r="F246" s="152" t="s">
        <v>269</v>
      </c>
      <c r="G246" s="118" t="s">
        <v>209</v>
      </c>
      <c r="H246" s="153" t="s">
        <v>216</v>
      </c>
    </row>
    <row r="247" hidden="1">
      <c r="A247" s="158" t="s">
        <v>237</v>
      </c>
      <c r="B247" s="159"/>
      <c r="C247" s="155" t="s">
        <v>236</v>
      </c>
      <c r="D247" s="156" t="s">
        <v>238</v>
      </c>
      <c r="E247" s="156" t="s">
        <v>399</v>
      </c>
      <c r="F247" s="156" t="s">
        <v>244</v>
      </c>
      <c r="G247" s="155" t="s">
        <v>209</v>
      </c>
      <c r="H247" s="157" t="s">
        <v>210</v>
      </c>
    </row>
    <row r="248" hidden="1">
      <c r="A248" s="160" t="s">
        <v>237</v>
      </c>
      <c r="B248" s="72"/>
      <c r="C248" s="118" t="s">
        <v>236</v>
      </c>
      <c r="D248" s="152" t="s">
        <v>238</v>
      </c>
      <c r="E248" s="152" t="s">
        <v>400</v>
      </c>
      <c r="F248" s="152" t="s">
        <v>290</v>
      </c>
      <c r="G248" s="118" t="s">
        <v>209</v>
      </c>
      <c r="H248" s="153" t="s">
        <v>211</v>
      </c>
    </row>
    <row r="249" hidden="1">
      <c r="A249" s="158" t="s">
        <v>237</v>
      </c>
      <c r="B249" s="159"/>
      <c r="C249" s="155" t="s">
        <v>236</v>
      </c>
      <c r="D249" s="156" t="s">
        <v>238</v>
      </c>
      <c r="E249" s="156" t="s">
        <v>401</v>
      </c>
      <c r="F249" s="156" t="s">
        <v>249</v>
      </c>
      <c r="G249" s="155" t="s">
        <v>209</v>
      </c>
      <c r="H249" s="157" t="s">
        <v>212</v>
      </c>
    </row>
    <row r="250" hidden="1">
      <c r="A250" s="160" t="s">
        <v>237</v>
      </c>
      <c r="B250" s="72"/>
      <c r="C250" s="118" t="s">
        <v>236</v>
      </c>
      <c r="D250" s="152" t="s">
        <v>238</v>
      </c>
      <c r="E250" s="152" t="s">
        <v>402</v>
      </c>
      <c r="F250" s="152" t="s">
        <v>249</v>
      </c>
      <c r="G250" s="118" t="s">
        <v>209</v>
      </c>
      <c r="H250" s="153" t="s">
        <v>213</v>
      </c>
    </row>
    <row r="251" hidden="1">
      <c r="A251" s="158" t="s">
        <v>237</v>
      </c>
      <c r="B251" s="159"/>
      <c r="C251" s="155" t="s">
        <v>236</v>
      </c>
      <c r="D251" s="156" t="s">
        <v>238</v>
      </c>
      <c r="E251" s="156" t="s">
        <v>403</v>
      </c>
      <c r="F251" s="156" t="s">
        <v>321</v>
      </c>
      <c r="G251" s="155" t="s">
        <v>209</v>
      </c>
      <c r="H251" s="157" t="s">
        <v>214</v>
      </c>
    </row>
    <row r="252" hidden="1">
      <c r="A252" s="160" t="s">
        <v>237</v>
      </c>
      <c r="B252" s="72"/>
      <c r="C252" s="118" t="s">
        <v>236</v>
      </c>
      <c r="D252" s="152" t="s">
        <v>238</v>
      </c>
      <c r="E252" s="152" t="s">
        <v>404</v>
      </c>
      <c r="F252" s="152" t="s">
        <v>405</v>
      </c>
      <c r="G252" s="118" t="s">
        <v>209</v>
      </c>
      <c r="H252" s="153" t="s">
        <v>215</v>
      </c>
    </row>
    <row r="253" hidden="1">
      <c r="A253" s="158" t="s">
        <v>237</v>
      </c>
      <c r="B253" s="159"/>
      <c r="C253" s="155" t="s">
        <v>236</v>
      </c>
      <c r="D253" s="156" t="s">
        <v>238</v>
      </c>
      <c r="E253" s="156" t="s">
        <v>406</v>
      </c>
      <c r="F253" s="156" t="s">
        <v>314</v>
      </c>
      <c r="G253" s="155" t="s">
        <v>209</v>
      </c>
      <c r="H253" s="157" t="s">
        <v>216</v>
      </c>
    </row>
    <row r="254" hidden="1">
      <c r="A254" s="151" t="s">
        <v>204</v>
      </c>
      <c r="B254" s="118" t="s">
        <v>205</v>
      </c>
      <c r="C254" s="118" t="s">
        <v>206</v>
      </c>
      <c r="D254" s="152" t="s">
        <v>407</v>
      </c>
      <c r="E254" s="152" t="s">
        <v>408</v>
      </c>
      <c r="F254" s="152" t="s">
        <v>321</v>
      </c>
      <c r="G254" s="118" t="s">
        <v>209</v>
      </c>
      <c r="H254" s="153" t="s">
        <v>210</v>
      </c>
    </row>
    <row r="255" hidden="1">
      <c r="A255" s="154" t="s">
        <v>204</v>
      </c>
      <c r="B255" s="155" t="s">
        <v>205</v>
      </c>
      <c r="C255" s="155" t="s">
        <v>206</v>
      </c>
      <c r="D255" s="156" t="s">
        <v>407</v>
      </c>
      <c r="E255" s="156" t="s">
        <v>409</v>
      </c>
      <c r="F255" s="156" t="s">
        <v>244</v>
      </c>
      <c r="G255" s="155" t="s">
        <v>209</v>
      </c>
      <c r="H255" s="157" t="s">
        <v>211</v>
      </c>
    </row>
    <row r="256" hidden="1">
      <c r="A256" s="151" t="s">
        <v>204</v>
      </c>
      <c r="B256" s="118" t="s">
        <v>205</v>
      </c>
      <c r="C256" s="118" t="s">
        <v>206</v>
      </c>
      <c r="D256" s="152" t="s">
        <v>407</v>
      </c>
      <c r="E256" s="152" t="s">
        <v>410</v>
      </c>
      <c r="F256" s="152" t="s">
        <v>242</v>
      </c>
      <c r="G256" s="118" t="s">
        <v>209</v>
      </c>
      <c r="H256" s="153" t="s">
        <v>212</v>
      </c>
    </row>
    <row r="257" hidden="1">
      <c r="A257" s="154" t="s">
        <v>204</v>
      </c>
      <c r="B257" s="155" t="s">
        <v>205</v>
      </c>
      <c r="C257" s="155" t="s">
        <v>206</v>
      </c>
      <c r="D257" s="156" t="s">
        <v>407</v>
      </c>
      <c r="E257" s="156" t="s">
        <v>411</v>
      </c>
      <c r="F257" s="156" t="s">
        <v>323</v>
      </c>
      <c r="G257" s="155" t="s">
        <v>209</v>
      </c>
      <c r="H257" s="157" t="s">
        <v>213</v>
      </c>
    </row>
    <row r="258" hidden="1">
      <c r="A258" s="151" t="s">
        <v>204</v>
      </c>
      <c r="B258" s="118" t="s">
        <v>205</v>
      </c>
      <c r="C258" s="118" t="s">
        <v>206</v>
      </c>
      <c r="D258" s="152" t="s">
        <v>407</v>
      </c>
      <c r="E258" s="152" t="s">
        <v>412</v>
      </c>
      <c r="F258" s="152" t="s">
        <v>257</v>
      </c>
      <c r="G258" s="118" t="s">
        <v>209</v>
      </c>
      <c r="H258" s="153" t="s">
        <v>214</v>
      </c>
    </row>
    <row r="259" hidden="1">
      <c r="A259" s="154" t="s">
        <v>204</v>
      </c>
      <c r="B259" s="155" t="s">
        <v>205</v>
      </c>
      <c r="C259" s="155" t="s">
        <v>206</v>
      </c>
      <c r="D259" s="156" t="s">
        <v>407</v>
      </c>
      <c r="E259" s="156" t="s">
        <v>413</v>
      </c>
      <c r="F259" s="156" t="s">
        <v>244</v>
      </c>
      <c r="G259" s="155" t="s">
        <v>209</v>
      </c>
      <c r="H259" s="157" t="s">
        <v>215</v>
      </c>
    </row>
    <row r="260" hidden="1">
      <c r="A260" s="151" t="s">
        <v>204</v>
      </c>
      <c r="B260" s="118" t="s">
        <v>205</v>
      </c>
      <c r="C260" s="118" t="s">
        <v>206</v>
      </c>
      <c r="D260" s="152" t="s">
        <v>407</v>
      </c>
      <c r="E260" s="152" t="s">
        <v>414</v>
      </c>
      <c r="F260" s="152" t="s">
        <v>323</v>
      </c>
      <c r="G260" s="118" t="s">
        <v>209</v>
      </c>
      <c r="H260" s="153" t="s">
        <v>216</v>
      </c>
    </row>
    <row r="261" hidden="1">
      <c r="A261" s="154" t="s">
        <v>217</v>
      </c>
      <c r="B261" s="155" t="s">
        <v>191</v>
      </c>
      <c r="C261" s="155" t="s">
        <v>206</v>
      </c>
      <c r="D261" s="156" t="s">
        <v>407</v>
      </c>
      <c r="E261" s="156" t="s">
        <v>415</v>
      </c>
      <c r="F261" s="156" t="s">
        <v>242</v>
      </c>
      <c r="G261" s="155" t="s">
        <v>209</v>
      </c>
      <c r="H261" s="157" t="s">
        <v>210</v>
      </c>
    </row>
    <row r="262" hidden="1">
      <c r="A262" s="151" t="s">
        <v>217</v>
      </c>
      <c r="B262" s="118" t="s">
        <v>191</v>
      </c>
      <c r="C262" s="118" t="s">
        <v>206</v>
      </c>
      <c r="D262" s="152" t="s">
        <v>407</v>
      </c>
      <c r="E262" s="152" t="s">
        <v>416</v>
      </c>
      <c r="F262" s="152" t="s">
        <v>244</v>
      </c>
      <c r="G262" s="118" t="s">
        <v>209</v>
      </c>
      <c r="H262" s="153" t="s">
        <v>211</v>
      </c>
    </row>
    <row r="263" hidden="1">
      <c r="A263" s="154" t="s">
        <v>217</v>
      </c>
      <c r="B263" s="155" t="s">
        <v>191</v>
      </c>
      <c r="C263" s="155" t="s">
        <v>206</v>
      </c>
      <c r="D263" s="156" t="s">
        <v>407</v>
      </c>
      <c r="E263" s="156" t="s">
        <v>417</v>
      </c>
      <c r="F263" s="156" t="s">
        <v>246</v>
      </c>
      <c r="G263" s="155" t="s">
        <v>209</v>
      </c>
      <c r="H263" s="157" t="s">
        <v>212</v>
      </c>
    </row>
    <row r="264" hidden="1">
      <c r="A264" s="151" t="s">
        <v>217</v>
      </c>
      <c r="B264" s="118" t="s">
        <v>191</v>
      </c>
      <c r="C264" s="118" t="s">
        <v>206</v>
      </c>
      <c r="D264" s="152" t="s">
        <v>407</v>
      </c>
      <c r="E264" s="152" t="s">
        <v>418</v>
      </c>
      <c r="F264" s="152" t="s">
        <v>331</v>
      </c>
      <c r="G264" s="118" t="s">
        <v>209</v>
      </c>
      <c r="H264" s="153" t="s">
        <v>213</v>
      </c>
    </row>
    <row r="265" hidden="1">
      <c r="A265" s="154" t="s">
        <v>217</v>
      </c>
      <c r="B265" s="155" t="s">
        <v>191</v>
      </c>
      <c r="C265" s="155" t="s">
        <v>206</v>
      </c>
      <c r="D265" s="156" t="s">
        <v>407</v>
      </c>
      <c r="E265" s="156" t="s">
        <v>419</v>
      </c>
      <c r="F265" s="156" t="s">
        <v>242</v>
      </c>
      <c r="G265" s="155" t="s">
        <v>209</v>
      </c>
      <c r="H265" s="157" t="s">
        <v>214</v>
      </c>
    </row>
    <row r="266" hidden="1">
      <c r="A266" s="151" t="s">
        <v>217</v>
      </c>
      <c r="B266" s="118" t="s">
        <v>191</v>
      </c>
      <c r="C266" s="118" t="s">
        <v>206</v>
      </c>
      <c r="D266" s="152" t="s">
        <v>407</v>
      </c>
      <c r="E266" s="152" t="s">
        <v>420</v>
      </c>
      <c r="F266" s="152" t="s">
        <v>240</v>
      </c>
      <c r="G266" s="118" t="s">
        <v>209</v>
      </c>
      <c r="H266" s="153" t="s">
        <v>215</v>
      </c>
    </row>
    <row r="267" hidden="1">
      <c r="A267" s="154" t="s">
        <v>217</v>
      </c>
      <c r="B267" s="155" t="s">
        <v>191</v>
      </c>
      <c r="C267" s="155" t="s">
        <v>206</v>
      </c>
      <c r="D267" s="156" t="s">
        <v>407</v>
      </c>
      <c r="E267" s="156" t="s">
        <v>421</v>
      </c>
      <c r="F267" s="156" t="s">
        <v>242</v>
      </c>
      <c r="G267" s="155" t="s">
        <v>209</v>
      </c>
      <c r="H267" s="157" t="s">
        <v>216</v>
      </c>
    </row>
    <row r="268" hidden="1">
      <c r="A268" s="151" t="s">
        <v>218</v>
      </c>
      <c r="B268" s="118" t="s">
        <v>219</v>
      </c>
      <c r="C268" s="118" t="s">
        <v>206</v>
      </c>
      <c r="D268" s="152" t="s">
        <v>407</v>
      </c>
      <c r="E268" s="152" t="s">
        <v>422</v>
      </c>
      <c r="F268" s="152" t="s">
        <v>423</v>
      </c>
      <c r="G268" s="118" t="s">
        <v>209</v>
      </c>
      <c r="H268" s="153" t="s">
        <v>210</v>
      </c>
    </row>
    <row r="269" hidden="1">
      <c r="A269" s="154" t="s">
        <v>218</v>
      </c>
      <c r="B269" s="155" t="s">
        <v>219</v>
      </c>
      <c r="C269" s="155" t="s">
        <v>206</v>
      </c>
      <c r="D269" s="156" t="s">
        <v>407</v>
      </c>
      <c r="E269" s="156" t="s">
        <v>424</v>
      </c>
      <c r="F269" s="156" t="s">
        <v>425</v>
      </c>
      <c r="G269" s="155" t="s">
        <v>209</v>
      </c>
      <c r="H269" s="157" t="s">
        <v>211</v>
      </c>
    </row>
    <row r="270" hidden="1">
      <c r="A270" s="151" t="s">
        <v>218</v>
      </c>
      <c r="B270" s="118" t="s">
        <v>219</v>
      </c>
      <c r="C270" s="118" t="s">
        <v>206</v>
      </c>
      <c r="D270" s="152" t="s">
        <v>407</v>
      </c>
      <c r="E270" s="152" t="s">
        <v>426</v>
      </c>
      <c r="F270" s="152" t="s">
        <v>427</v>
      </c>
      <c r="G270" s="118" t="s">
        <v>209</v>
      </c>
      <c r="H270" s="153" t="s">
        <v>212</v>
      </c>
    </row>
    <row r="271" hidden="1">
      <c r="A271" s="154" t="s">
        <v>218</v>
      </c>
      <c r="B271" s="155" t="s">
        <v>219</v>
      </c>
      <c r="C271" s="155" t="s">
        <v>206</v>
      </c>
      <c r="D271" s="156" t="s">
        <v>407</v>
      </c>
      <c r="E271" s="156" t="s">
        <v>428</v>
      </c>
      <c r="F271" s="156" t="s">
        <v>329</v>
      </c>
      <c r="G271" s="155" t="s">
        <v>209</v>
      </c>
      <c r="H271" s="157" t="s">
        <v>213</v>
      </c>
    </row>
    <row r="272" hidden="1">
      <c r="A272" s="151" t="s">
        <v>218</v>
      </c>
      <c r="B272" s="118" t="s">
        <v>219</v>
      </c>
      <c r="C272" s="118" t="s">
        <v>206</v>
      </c>
      <c r="D272" s="152" t="s">
        <v>407</v>
      </c>
      <c r="E272" s="152" t="s">
        <v>429</v>
      </c>
      <c r="F272" s="152" t="s">
        <v>359</v>
      </c>
      <c r="G272" s="118" t="s">
        <v>209</v>
      </c>
      <c r="H272" s="153" t="s">
        <v>214</v>
      </c>
    </row>
    <row r="273" hidden="1">
      <c r="A273" s="154" t="s">
        <v>218</v>
      </c>
      <c r="B273" s="155" t="s">
        <v>219</v>
      </c>
      <c r="C273" s="155" t="s">
        <v>206</v>
      </c>
      <c r="D273" s="156" t="s">
        <v>407</v>
      </c>
      <c r="E273" s="156" t="s">
        <v>430</v>
      </c>
      <c r="F273" s="156" t="s">
        <v>329</v>
      </c>
      <c r="G273" s="155" t="s">
        <v>209</v>
      </c>
      <c r="H273" s="157" t="s">
        <v>215</v>
      </c>
    </row>
    <row r="274" hidden="1">
      <c r="A274" s="151" t="s">
        <v>218</v>
      </c>
      <c r="B274" s="118" t="s">
        <v>219</v>
      </c>
      <c r="C274" s="118" t="s">
        <v>206</v>
      </c>
      <c r="D274" s="152" t="s">
        <v>407</v>
      </c>
      <c r="E274" s="152" t="s">
        <v>431</v>
      </c>
      <c r="F274" s="152" t="s">
        <v>354</v>
      </c>
      <c r="G274" s="118" t="s">
        <v>209</v>
      </c>
      <c r="H274" s="153" t="s">
        <v>216</v>
      </c>
    </row>
    <row r="275" hidden="1">
      <c r="A275" s="154" t="s">
        <v>220</v>
      </c>
      <c r="B275" s="155" t="s">
        <v>190</v>
      </c>
      <c r="C275" s="155" t="s">
        <v>206</v>
      </c>
      <c r="D275" s="156" t="s">
        <v>407</v>
      </c>
      <c r="E275" s="156" t="s">
        <v>432</v>
      </c>
      <c r="F275" s="156" t="s">
        <v>433</v>
      </c>
      <c r="G275" s="155" t="s">
        <v>209</v>
      </c>
      <c r="H275" s="157" t="s">
        <v>210</v>
      </c>
    </row>
    <row r="276" hidden="1">
      <c r="A276" s="151" t="s">
        <v>220</v>
      </c>
      <c r="B276" s="118" t="s">
        <v>190</v>
      </c>
      <c r="C276" s="118" t="s">
        <v>206</v>
      </c>
      <c r="D276" s="152" t="s">
        <v>407</v>
      </c>
      <c r="E276" s="152" t="s">
        <v>434</v>
      </c>
      <c r="F276" s="152" t="s">
        <v>276</v>
      </c>
      <c r="G276" s="118" t="s">
        <v>209</v>
      </c>
      <c r="H276" s="153" t="s">
        <v>211</v>
      </c>
    </row>
    <row r="277" hidden="1">
      <c r="A277" s="154" t="s">
        <v>220</v>
      </c>
      <c r="B277" s="155" t="s">
        <v>190</v>
      </c>
      <c r="C277" s="155" t="s">
        <v>206</v>
      </c>
      <c r="D277" s="156" t="s">
        <v>407</v>
      </c>
      <c r="E277" s="156" t="s">
        <v>435</v>
      </c>
      <c r="F277" s="156" t="s">
        <v>436</v>
      </c>
      <c r="G277" s="155" t="s">
        <v>209</v>
      </c>
      <c r="H277" s="157" t="s">
        <v>212</v>
      </c>
    </row>
    <row r="278" hidden="1">
      <c r="A278" s="151" t="s">
        <v>220</v>
      </c>
      <c r="B278" s="118" t="s">
        <v>190</v>
      </c>
      <c r="C278" s="118" t="s">
        <v>206</v>
      </c>
      <c r="D278" s="152" t="s">
        <v>407</v>
      </c>
      <c r="E278" s="152" t="s">
        <v>437</v>
      </c>
      <c r="F278" s="152" t="s">
        <v>279</v>
      </c>
      <c r="G278" s="118" t="s">
        <v>209</v>
      </c>
      <c r="H278" s="153" t="s">
        <v>213</v>
      </c>
    </row>
    <row r="279" hidden="1">
      <c r="A279" s="154" t="s">
        <v>220</v>
      </c>
      <c r="B279" s="155" t="s">
        <v>190</v>
      </c>
      <c r="C279" s="155" t="s">
        <v>206</v>
      </c>
      <c r="D279" s="156" t="s">
        <v>407</v>
      </c>
      <c r="E279" s="156" t="s">
        <v>438</v>
      </c>
      <c r="F279" s="156" t="s">
        <v>439</v>
      </c>
      <c r="G279" s="155" t="s">
        <v>209</v>
      </c>
      <c r="H279" s="157" t="s">
        <v>214</v>
      </c>
    </row>
    <row r="280" hidden="1">
      <c r="A280" s="151" t="s">
        <v>220</v>
      </c>
      <c r="B280" s="118" t="s">
        <v>190</v>
      </c>
      <c r="C280" s="118" t="s">
        <v>206</v>
      </c>
      <c r="D280" s="152" t="s">
        <v>407</v>
      </c>
      <c r="E280" s="152" t="s">
        <v>440</v>
      </c>
      <c r="F280" s="152" t="s">
        <v>287</v>
      </c>
      <c r="G280" s="118" t="s">
        <v>209</v>
      </c>
      <c r="H280" s="153" t="s">
        <v>215</v>
      </c>
    </row>
    <row r="281" hidden="1">
      <c r="A281" s="154" t="s">
        <v>220</v>
      </c>
      <c r="B281" s="155" t="s">
        <v>190</v>
      </c>
      <c r="C281" s="155" t="s">
        <v>206</v>
      </c>
      <c r="D281" s="156" t="s">
        <v>407</v>
      </c>
      <c r="E281" s="156" t="s">
        <v>441</v>
      </c>
      <c r="F281" s="156" t="s">
        <v>442</v>
      </c>
      <c r="G281" s="155" t="s">
        <v>209</v>
      </c>
      <c r="H281" s="157" t="s">
        <v>216</v>
      </c>
    </row>
    <row r="282" hidden="1">
      <c r="A282" s="151" t="s">
        <v>221</v>
      </c>
      <c r="B282" s="118" t="s">
        <v>189</v>
      </c>
      <c r="C282" s="118" t="s">
        <v>206</v>
      </c>
      <c r="D282" s="152" t="s">
        <v>407</v>
      </c>
      <c r="E282" s="152" t="s">
        <v>443</v>
      </c>
      <c r="F282" s="152" t="s">
        <v>444</v>
      </c>
      <c r="G282" s="118" t="s">
        <v>209</v>
      </c>
      <c r="H282" s="153" t="s">
        <v>210</v>
      </c>
    </row>
    <row r="283" hidden="1">
      <c r="A283" s="154" t="s">
        <v>221</v>
      </c>
      <c r="B283" s="155" t="s">
        <v>189</v>
      </c>
      <c r="C283" s="155" t="s">
        <v>206</v>
      </c>
      <c r="D283" s="156" t="s">
        <v>407</v>
      </c>
      <c r="E283" s="156" t="s">
        <v>445</v>
      </c>
      <c r="F283" s="156" t="s">
        <v>359</v>
      </c>
      <c r="G283" s="155" t="s">
        <v>209</v>
      </c>
      <c r="H283" s="157" t="s">
        <v>211</v>
      </c>
    </row>
    <row r="284" hidden="1">
      <c r="A284" s="151" t="s">
        <v>221</v>
      </c>
      <c r="B284" s="118" t="s">
        <v>189</v>
      </c>
      <c r="C284" s="118" t="s">
        <v>206</v>
      </c>
      <c r="D284" s="152" t="s">
        <v>407</v>
      </c>
      <c r="E284" s="152" t="s">
        <v>446</v>
      </c>
      <c r="F284" s="152" t="s">
        <v>249</v>
      </c>
      <c r="G284" s="118" t="s">
        <v>209</v>
      </c>
      <c r="H284" s="153" t="s">
        <v>212</v>
      </c>
    </row>
    <row r="285" hidden="1">
      <c r="A285" s="154" t="s">
        <v>221</v>
      </c>
      <c r="B285" s="155" t="s">
        <v>189</v>
      </c>
      <c r="C285" s="155" t="s">
        <v>206</v>
      </c>
      <c r="D285" s="156" t="s">
        <v>407</v>
      </c>
      <c r="E285" s="156" t="s">
        <v>447</v>
      </c>
      <c r="F285" s="156" t="s">
        <v>448</v>
      </c>
      <c r="G285" s="155" t="s">
        <v>209</v>
      </c>
      <c r="H285" s="157" t="s">
        <v>213</v>
      </c>
    </row>
    <row r="286" hidden="1">
      <c r="A286" s="151" t="s">
        <v>221</v>
      </c>
      <c r="B286" s="118" t="s">
        <v>189</v>
      </c>
      <c r="C286" s="118" t="s">
        <v>206</v>
      </c>
      <c r="D286" s="152" t="s">
        <v>407</v>
      </c>
      <c r="E286" s="152" t="s">
        <v>449</v>
      </c>
      <c r="F286" s="152" t="s">
        <v>450</v>
      </c>
      <c r="G286" s="118" t="s">
        <v>209</v>
      </c>
      <c r="H286" s="153" t="s">
        <v>214</v>
      </c>
    </row>
    <row r="287" hidden="1">
      <c r="A287" s="154" t="s">
        <v>221</v>
      </c>
      <c r="B287" s="155" t="s">
        <v>189</v>
      </c>
      <c r="C287" s="155" t="s">
        <v>206</v>
      </c>
      <c r="D287" s="156" t="s">
        <v>407</v>
      </c>
      <c r="E287" s="156" t="s">
        <v>451</v>
      </c>
      <c r="F287" s="156" t="s">
        <v>257</v>
      </c>
      <c r="G287" s="155" t="s">
        <v>209</v>
      </c>
      <c r="H287" s="157" t="s">
        <v>215</v>
      </c>
    </row>
    <row r="288" hidden="1">
      <c r="A288" s="151" t="s">
        <v>221</v>
      </c>
      <c r="B288" s="118" t="s">
        <v>189</v>
      </c>
      <c r="C288" s="118" t="s">
        <v>206</v>
      </c>
      <c r="D288" s="152" t="s">
        <v>407</v>
      </c>
      <c r="E288" s="152" t="s">
        <v>452</v>
      </c>
      <c r="F288" s="152" t="s">
        <v>453</v>
      </c>
      <c r="G288" s="118" t="s">
        <v>209</v>
      </c>
      <c r="H288" s="153" t="s">
        <v>216</v>
      </c>
    </row>
    <row r="289" hidden="1">
      <c r="A289" s="154" t="s">
        <v>222</v>
      </c>
      <c r="B289" s="155" t="s">
        <v>192</v>
      </c>
      <c r="C289" s="155" t="s">
        <v>206</v>
      </c>
      <c r="D289" s="156" t="s">
        <v>407</v>
      </c>
      <c r="E289" s="156" t="s">
        <v>454</v>
      </c>
      <c r="F289" s="156" t="s">
        <v>276</v>
      </c>
      <c r="G289" s="155" t="s">
        <v>209</v>
      </c>
      <c r="H289" s="157" t="s">
        <v>210</v>
      </c>
    </row>
    <row r="290" hidden="1">
      <c r="A290" s="151" t="s">
        <v>222</v>
      </c>
      <c r="B290" s="118" t="s">
        <v>192</v>
      </c>
      <c r="C290" s="118" t="s">
        <v>206</v>
      </c>
      <c r="D290" s="152" t="s">
        <v>407</v>
      </c>
      <c r="E290" s="152" t="s">
        <v>455</v>
      </c>
      <c r="F290" s="152" t="s">
        <v>374</v>
      </c>
      <c r="G290" s="118" t="s">
        <v>209</v>
      </c>
      <c r="H290" s="153" t="s">
        <v>211</v>
      </c>
    </row>
    <row r="291" hidden="1">
      <c r="A291" s="154" t="s">
        <v>222</v>
      </c>
      <c r="B291" s="155" t="s">
        <v>192</v>
      </c>
      <c r="C291" s="155" t="s">
        <v>206</v>
      </c>
      <c r="D291" s="156" t="s">
        <v>407</v>
      </c>
      <c r="E291" s="156" t="s">
        <v>456</v>
      </c>
      <c r="F291" s="156" t="s">
        <v>298</v>
      </c>
      <c r="G291" s="155" t="s">
        <v>209</v>
      </c>
      <c r="H291" s="157" t="s">
        <v>212</v>
      </c>
    </row>
    <row r="292" hidden="1">
      <c r="A292" s="151" t="s">
        <v>222</v>
      </c>
      <c r="B292" s="118" t="s">
        <v>192</v>
      </c>
      <c r="C292" s="118" t="s">
        <v>206</v>
      </c>
      <c r="D292" s="152" t="s">
        <v>407</v>
      </c>
      <c r="E292" s="152" t="s">
        <v>457</v>
      </c>
      <c r="F292" s="152" t="s">
        <v>458</v>
      </c>
      <c r="G292" s="118" t="s">
        <v>209</v>
      </c>
      <c r="H292" s="153" t="s">
        <v>213</v>
      </c>
    </row>
    <row r="293" hidden="1">
      <c r="A293" s="154" t="s">
        <v>222</v>
      </c>
      <c r="B293" s="155" t="s">
        <v>192</v>
      </c>
      <c r="C293" s="155" t="s">
        <v>206</v>
      </c>
      <c r="D293" s="156" t="s">
        <v>407</v>
      </c>
      <c r="E293" s="156" t="s">
        <v>459</v>
      </c>
      <c r="F293" s="156" t="s">
        <v>458</v>
      </c>
      <c r="G293" s="155" t="s">
        <v>209</v>
      </c>
      <c r="H293" s="157" t="s">
        <v>214</v>
      </c>
    </row>
    <row r="294" hidden="1">
      <c r="A294" s="151" t="s">
        <v>222</v>
      </c>
      <c r="B294" s="118" t="s">
        <v>192</v>
      </c>
      <c r="C294" s="118" t="s">
        <v>206</v>
      </c>
      <c r="D294" s="152" t="s">
        <v>407</v>
      </c>
      <c r="E294" s="152" t="s">
        <v>460</v>
      </c>
      <c r="F294" s="152" t="s">
        <v>458</v>
      </c>
      <c r="G294" s="118" t="s">
        <v>209</v>
      </c>
      <c r="H294" s="153" t="s">
        <v>215</v>
      </c>
    </row>
    <row r="295" hidden="1">
      <c r="A295" s="154" t="s">
        <v>222</v>
      </c>
      <c r="B295" s="155" t="s">
        <v>192</v>
      </c>
      <c r="C295" s="155" t="s">
        <v>206</v>
      </c>
      <c r="D295" s="156" t="s">
        <v>407</v>
      </c>
      <c r="E295" s="156" t="s">
        <v>461</v>
      </c>
      <c r="F295" s="156" t="s">
        <v>298</v>
      </c>
      <c r="G295" s="155" t="s">
        <v>209</v>
      </c>
      <c r="H295" s="157" t="s">
        <v>216</v>
      </c>
    </row>
    <row r="296" hidden="1">
      <c r="A296" s="151" t="s">
        <v>223</v>
      </c>
      <c r="B296" s="118" t="s">
        <v>144</v>
      </c>
      <c r="C296" s="118" t="s">
        <v>206</v>
      </c>
      <c r="D296" s="152" t="s">
        <v>407</v>
      </c>
      <c r="E296" s="152" t="s">
        <v>462</v>
      </c>
      <c r="F296" s="152" t="s">
        <v>351</v>
      </c>
      <c r="G296" s="118" t="s">
        <v>209</v>
      </c>
      <c r="H296" s="153" t="s">
        <v>210</v>
      </c>
    </row>
    <row r="297" hidden="1">
      <c r="A297" s="154" t="s">
        <v>223</v>
      </c>
      <c r="B297" s="155" t="s">
        <v>144</v>
      </c>
      <c r="C297" s="155" t="s">
        <v>206</v>
      </c>
      <c r="D297" s="156" t="s">
        <v>407</v>
      </c>
      <c r="E297" s="156" t="s">
        <v>463</v>
      </c>
      <c r="F297" s="156" t="s">
        <v>359</v>
      </c>
      <c r="G297" s="155" t="s">
        <v>209</v>
      </c>
      <c r="H297" s="157" t="s">
        <v>211</v>
      </c>
    </row>
    <row r="298" hidden="1">
      <c r="A298" s="151" t="s">
        <v>223</v>
      </c>
      <c r="B298" s="118" t="s">
        <v>144</v>
      </c>
      <c r="C298" s="118" t="s">
        <v>206</v>
      </c>
      <c r="D298" s="152" t="s">
        <v>407</v>
      </c>
      <c r="E298" s="152" t="s">
        <v>464</v>
      </c>
      <c r="F298" s="152" t="s">
        <v>249</v>
      </c>
      <c r="G298" s="118" t="s">
        <v>209</v>
      </c>
      <c r="H298" s="153" t="s">
        <v>212</v>
      </c>
    </row>
    <row r="299" hidden="1">
      <c r="A299" s="154" t="s">
        <v>223</v>
      </c>
      <c r="B299" s="155" t="s">
        <v>144</v>
      </c>
      <c r="C299" s="155" t="s">
        <v>206</v>
      </c>
      <c r="D299" s="156" t="s">
        <v>407</v>
      </c>
      <c r="E299" s="156" t="s">
        <v>465</v>
      </c>
      <c r="F299" s="156" t="s">
        <v>240</v>
      </c>
      <c r="G299" s="155" t="s">
        <v>209</v>
      </c>
      <c r="H299" s="157" t="s">
        <v>213</v>
      </c>
    </row>
    <row r="300" hidden="1">
      <c r="A300" s="151" t="s">
        <v>223</v>
      </c>
      <c r="B300" s="118" t="s">
        <v>144</v>
      </c>
      <c r="C300" s="118" t="s">
        <v>206</v>
      </c>
      <c r="D300" s="152" t="s">
        <v>407</v>
      </c>
      <c r="E300" s="152" t="s">
        <v>466</v>
      </c>
      <c r="F300" s="152" t="s">
        <v>359</v>
      </c>
      <c r="G300" s="118" t="s">
        <v>209</v>
      </c>
      <c r="H300" s="153" t="s">
        <v>214</v>
      </c>
    </row>
    <row r="301" hidden="1">
      <c r="A301" s="154" t="s">
        <v>223</v>
      </c>
      <c r="B301" s="155" t="s">
        <v>144</v>
      </c>
      <c r="C301" s="155" t="s">
        <v>206</v>
      </c>
      <c r="D301" s="156" t="s">
        <v>407</v>
      </c>
      <c r="E301" s="156" t="s">
        <v>467</v>
      </c>
      <c r="F301" s="156" t="s">
        <v>285</v>
      </c>
      <c r="G301" s="155" t="s">
        <v>209</v>
      </c>
      <c r="H301" s="157" t="s">
        <v>215</v>
      </c>
    </row>
    <row r="302" hidden="1">
      <c r="A302" s="151" t="s">
        <v>223</v>
      </c>
      <c r="B302" s="118" t="s">
        <v>144</v>
      </c>
      <c r="C302" s="118" t="s">
        <v>206</v>
      </c>
      <c r="D302" s="152" t="s">
        <v>407</v>
      </c>
      <c r="E302" s="152" t="s">
        <v>468</v>
      </c>
      <c r="F302" s="152" t="s">
        <v>308</v>
      </c>
      <c r="G302" s="118" t="s">
        <v>209</v>
      </c>
      <c r="H302" s="153" t="s">
        <v>216</v>
      </c>
    </row>
    <row r="303" hidden="1">
      <c r="A303" s="154" t="s">
        <v>224</v>
      </c>
      <c r="B303" s="155" t="s">
        <v>170</v>
      </c>
      <c r="C303" s="155" t="s">
        <v>206</v>
      </c>
      <c r="D303" s="156" t="s">
        <v>407</v>
      </c>
      <c r="E303" s="156" t="s">
        <v>469</v>
      </c>
      <c r="F303" s="156" t="s">
        <v>242</v>
      </c>
      <c r="G303" s="155" t="s">
        <v>209</v>
      </c>
      <c r="H303" s="157" t="s">
        <v>210</v>
      </c>
    </row>
    <row r="304" hidden="1">
      <c r="A304" s="151" t="s">
        <v>224</v>
      </c>
      <c r="B304" s="118" t="s">
        <v>170</v>
      </c>
      <c r="C304" s="118" t="s">
        <v>206</v>
      </c>
      <c r="D304" s="152" t="s">
        <v>407</v>
      </c>
      <c r="E304" s="152" t="s">
        <v>470</v>
      </c>
      <c r="F304" s="152" t="s">
        <v>365</v>
      </c>
      <c r="G304" s="118" t="s">
        <v>209</v>
      </c>
      <c r="H304" s="153" t="s">
        <v>211</v>
      </c>
    </row>
    <row r="305" hidden="1">
      <c r="A305" s="154" t="s">
        <v>224</v>
      </c>
      <c r="B305" s="155" t="s">
        <v>170</v>
      </c>
      <c r="C305" s="155" t="s">
        <v>206</v>
      </c>
      <c r="D305" s="156" t="s">
        <v>407</v>
      </c>
      <c r="E305" s="156" t="s">
        <v>471</v>
      </c>
      <c r="F305" s="156" t="s">
        <v>259</v>
      </c>
      <c r="G305" s="155" t="s">
        <v>209</v>
      </c>
      <c r="H305" s="157" t="s">
        <v>212</v>
      </c>
    </row>
    <row r="306" hidden="1">
      <c r="A306" s="151" t="s">
        <v>224</v>
      </c>
      <c r="B306" s="118" t="s">
        <v>170</v>
      </c>
      <c r="C306" s="118" t="s">
        <v>206</v>
      </c>
      <c r="D306" s="152" t="s">
        <v>407</v>
      </c>
      <c r="E306" s="152" t="s">
        <v>472</v>
      </c>
      <c r="F306" s="152" t="s">
        <v>249</v>
      </c>
      <c r="G306" s="118" t="s">
        <v>209</v>
      </c>
      <c r="H306" s="153" t="s">
        <v>213</v>
      </c>
    </row>
    <row r="307" hidden="1">
      <c r="A307" s="154" t="s">
        <v>224</v>
      </c>
      <c r="B307" s="155" t="s">
        <v>170</v>
      </c>
      <c r="C307" s="155" t="s">
        <v>206</v>
      </c>
      <c r="D307" s="156" t="s">
        <v>407</v>
      </c>
      <c r="E307" s="156" t="s">
        <v>473</v>
      </c>
      <c r="F307" s="156" t="s">
        <v>359</v>
      </c>
      <c r="G307" s="155" t="s">
        <v>209</v>
      </c>
      <c r="H307" s="157" t="s">
        <v>214</v>
      </c>
    </row>
    <row r="308" hidden="1">
      <c r="A308" s="151" t="s">
        <v>224</v>
      </c>
      <c r="B308" s="118" t="s">
        <v>170</v>
      </c>
      <c r="C308" s="118" t="s">
        <v>206</v>
      </c>
      <c r="D308" s="152" t="s">
        <v>407</v>
      </c>
      <c r="E308" s="152" t="s">
        <v>474</v>
      </c>
      <c r="F308" s="152" t="s">
        <v>357</v>
      </c>
      <c r="G308" s="118" t="s">
        <v>209</v>
      </c>
      <c r="H308" s="153" t="s">
        <v>215</v>
      </c>
    </row>
    <row r="309" hidden="1">
      <c r="A309" s="154" t="s">
        <v>224</v>
      </c>
      <c r="B309" s="155" t="s">
        <v>170</v>
      </c>
      <c r="C309" s="155" t="s">
        <v>206</v>
      </c>
      <c r="D309" s="156" t="s">
        <v>407</v>
      </c>
      <c r="E309" s="156" t="s">
        <v>475</v>
      </c>
      <c r="F309" s="156" t="s">
        <v>357</v>
      </c>
      <c r="G309" s="155" t="s">
        <v>209</v>
      </c>
      <c r="H309" s="157" t="s">
        <v>216</v>
      </c>
    </row>
    <row r="310" hidden="1">
      <c r="A310" s="151" t="s">
        <v>225</v>
      </c>
      <c r="B310" s="118" t="s">
        <v>226</v>
      </c>
      <c r="C310" s="118" t="s">
        <v>206</v>
      </c>
      <c r="D310" s="152" t="s">
        <v>407</v>
      </c>
      <c r="E310" s="152" t="s">
        <v>476</v>
      </c>
      <c r="F310" s="152" t="s">
        <v>329</v>
      </c>
      <c r="G310" s="118" t="s">
        <v>209</v>
      </c>
      <c r="H310" s="153" t="s">
        <v>210</v>
      </c>
    </row>
    <row r="311" hidden="1">
      <c r="A311" s="154" t="s">
        <v>225</v>
      </c>
      <c r="B311" s="155" t="s">
        <v>226</v>
      </c>
      <c r="C311" s="155" t="s">
        <v>206</v>
      </c>
      <c r="D311" s="156" t="s">
        <v>407</v>
      </c>
      <c r="E311" s="156" t="s">
        <v>477</v>
      </c>
      <c r="F311" s="156" t="s">
        <v>478</v>
      </c>
      <c r="G311" s="155" t="s">
        <v>209</v>
      </c>
      <c r="H311" s="157" t="s">
        <v>211</v>
      </c>
    </row>
    <row r="312" hidden="1">
      <c r="A312" s="151" t="s">
        <v>225</v>
      </c>
      <c r="B312" s="118" t="s">
        <v>226</v>
      </c>
      <c r="C312" s="118" t="s">
        <v>206</v>
      </c>
      <c r="D312" s="152" t="s">
        <v>407</v>
      </c>
      <c r="E312" s="152" t="s">
        <v>479</v>
      </c>
      <c r="F312" s="152" t="s">
        <v>354</v>
      </c>
      <c r="G312" s="118" t="s">
        <v>209</v>
      </c>
      <c r="H312" s="153" t="s">
        <v>212</v>
      </c>
    </row>
    <row r="313" hidden="1">
      <c r="A313" s="154" t="s">
        <v>225</v>
      </c>
      <c r="B313" s="155" t="s">
        <v>226</v>
      </c>
      <c r="C313" s="155" t="s">
        <v>206</v>
      </c>
      <c r="D313" s="156" t="s">
        <v>407</v>
      </c>
      <c r="E313" s="156" t="s">
        <v>480</v>
      </c>
      <c r="F313" s="156" t="s">
        <v>290</v>
      </c>
      <c r="G313" s="155" t="s">
        <v>209</v>
      </c>
      <c r="H313" s="157" t="s">
        <v>213</v>
      </c>
    </row>
    <row r="314" hidden="1">
      <c r="A314" s="151" t="s">
        <v>225</v>
      </c>
      <c r="B314" s="118" t="s">
        <v>226</v>
      </c>
      <c r="C314" s="118" t="s">
        <v>206</v>
      </c>
      <c r="D314" s="152" t="s">
        <v>407</v>
      </c>
      <c r="E314" s="152" t="s">
        <v>481</v>
      </c>
      <c r="F314" s="152" t="s">
        <v>285</v>
      </c>
      <c r="G314" s="118" t="s">
        <v>209</v>
      </c>
      <c r="H314" s="153" t="s">
        <v>214</v>
      </c>
    </row>
    <row r="315" hidden="1">
      <c r="A315" s="154" t="s">
        <v>225</v>
      </c>
      <c r="B315" s="155" t="s">
        <v>226</v>
      </c>
      <c r="C315" s="155" t="s">
        <v>206</v>
      </c>
      <c r="D315" s="156" t="s">
        <v>407</v>
      </c>
      <c r="E315" s="156" t="s">
        <v>482</v>
      </c>
      <c r="F315" s="156" t="s">
        <v>483</v>
      </c>
      <c r="G315" s="155" t="s">
        <v>209</v>
      </c>
      <c r="H315" s="157" t="s">
        <v>215</v>
      </c>
    </row>
    <row r="316" hidden="1">
      <c r="A316" s="151" t="s">
        <v>225</v>
      </c>
      <c r="B316" s="118" t="s">
        <v>226</v>
      </c>
      <c r="C316" s="118" t="s">
        <v>206</v>
      </c>
      <c r="D316" s="152" t="s">
        <v>407</v>
      </c>
      <c r="E316" s="152" t="s">
        <v>484</v>
      </c>
      <c r="F316" s="152" t="s">
        <v>329</v>
      </c>
      <c r="G316" s="118" t="s">
        <v>209</v>
      </c>
      <c r="H316" s="153" t="s">
        <v>216</v>
      </c>
    </row>
    <row r="317" hidden="1">
      <c r="A317" s="154" t="s">
        <v>227</v>
      </c>
      <c r="B317" s="155" t="s">
        <v>195</v>
      </c>
      <c r="C317" s="155" t="s">
        <v>206</v>
      </c>
      <c r="D317" s="156" t="s">
        <v>407</v>
      </c>
      <c r="E317" s="156" t="s">
        <v>485</v>
      </c>
      <c r="F317" s="156" t="s">
        <v>436</v>
      </c>
      <c r="G317" s="155" t="s">
        <v>209</v>
      </c>
      <c r="H317" s="157" t="s">
        <v>210</v>
      </c>
    </row>
    <row r="318" hidden="1">
      <c r="A318" s="151" t="s">
        <v>227</v>
      </c>
      <c r="B318" s="118" t="s">
        <v>195</v>
      </c>
      <c r="C318" s="118" t="s">
        <v>206</v>
      </c>
      <c r="D318" s="152" t="s">
        <v>407</v>
      </c>
      <c r="E318" s="152" t="s">
        <v>486</v>
      </c>
      <c r="F318" s="152" t="s">
        <v>259</v>
      </c>
      <c r="G318" s="118" t="s">
        <v>209</v>
      </c>
      <c r="H318" s="153" t="s">
        <v>211</v>
      </c>
    </row>
    <row r="319" hidden="1">
      <c r="A319" s="154" t="s">
        <v>227</v>
      </c>
      <c r="B319" s="155" t="s">
        <v>195</v>
      </c>
      <c r="C319" s="155" t="s">
        <v>206</v>
      </c>
      <c r="D319" s="156" t="s">
        <v>407</v>
      </c>
      <c r="E319" s="156" t="s">
        <v>487</v>
      </c>
      <c r="F319" s="156" t="s">
        <v>365</v>
      </c>
      <c r="G319" s="155" t="s">
        <v>209</v>
      </c>
      <c r="H319" s="157" t="s">
        <v>212</v>
      </c>
    </row>
    <row r="320" hidden="1">
      <c r="A320" s="151" t="s">
        <v>227</v>
      </c>
      <c r="B320" s="118" t="s">
        <v>195</v>
      </c>
      <c r="C320" s="118" t="s">
        <v>206</v>
      </c>
      <c r="D320" s="152" t="s">
        <v>407</v>
      </c>
      <c r="E320" s="152" t="s">
        <v>488</v>
      </c>
      <c r="F320" s="152" t="s">
        <v>436</v>
      </c>
      <c r="G320" s="118" t="s">
        <v>209</v>
      </c>
      <c r="H320" s="153" t="s">
        <v>213</v>
      </c>
    </row>
    <row r="321" hidden="1">
      <c r="A321" s="154" t="s">
        <v>227</v>
      </c>
      <c r="B321" s="155" t="s">
        <v>195</v>
      </c>
      <c r="C321" s="155" t="s">
        <v>206</v>
      </c>
      <c r="D321" s="156" t="s">
        <v>407</v>
      </c>
      <c r="E321" s="156" t="s">
        <v>489</v>
      </c>
      <c r="F321" s="156" t="s">
        <v>246</v>
      </c>
      <c r="G321" s="155" t="s">
        <v>209</v>
      </c>
      <c r="H321" s="157" t="s">
        <v>214</v>
      </c>
    </row>
    <row r="322" hidden="1">
      <c r="A322" s="151" t="s">
        <v>227</v>
      </c>
      <c r="B322" s="118" t="s">
        <v>195</v>
      </c>
      <c r="C322" s="118" t="s">
        <v>206</v>
      </c>
      <c r="D322" s="152" t="s">
        <v>407</v>
      </c>
      <c r="E322" s="152" t="s">
        <v>490</v>
      </c>
      <c r="F322" s="152" t="s">
        <v>246</v>
      </c>
      <c r="G322" s="118" t="s">
        <v>209</v>
      </c>
      <c r="H322" s="153" t="s">
        <v>215</v>
      </c>
    </row>
    <row r="323" hidden="1">
      <c r="A323" s="154" t="s">
        <v>227</v>
      </c>
      <c r="B323" s="155" t="s">
        <v>195</v>
      </c>
      <c r="C323" s="155" t="s">
        <v>206</v>
      </c>
      <c r="D323" s="156" t="s">
        <v>407</v>
      </c>
      <c r="E323" s="156" t="s">
        <v>491</v>
      </c>
      <c r="F323" s="156" t="s">
        <v>492</v>
      </c>
      <c r="G323" s="155" t="s">
        <v>209</v>
      </c>
      <c r="H323" s="157" t="s">
        <v>216</v>
      </c>
    </row>
    <row r="324" hidden="1">
      <c r="A324" s="151" t="s">
        <v>228</v>
      </c>
      <c r="B324" s="118" t="s">
        <v>138</v>
      </c>
      <c r="C324" s="118" t="s">
        <v>206</v>
      </c>
      <c r="D324" s="152" t="s">
        <v>407</v>
      </c>
      <c r="E324" s="152" t="s">
        <v>493</v>
      </c>
      <c r="F324" s="152" t="s">
        <v>494</v>
      </c>
      <c r="G324" s="118" t="s">
        <v>209</v>
      </c>
      <c r="H324" s="153" t="s">
        <v>210</v>
      </c>
    </row>
    <row r="325" hidden="1">
      <c r="A325" s="154" t="s">
        <v>228</v>
      </c>
      <c r="B325" s="155" t="s">
        <v>138</v>
      </c>
      <c r="C325" s="155" t="s">
        <v>206</v>
      </c>
      <c r="D325" s="156" t="s">
        <v>407</v>
      </c>
      <c r="E325" s="156" t="s">
        <v>495</v>
      </c>
      <c r="F325" s="156" t="s">
        <v>246</v>
      </c>
      <c r="G325" s="155" t="s">
        <v>209</v>
      </c>
      <c r="H325" s="157" t="s">
        <v>211</v>
      </c>
    </row>
    <row r="326" hidden="1">
      <c r="A326" s="151" t="s">
        <v>228</v>
      </c>
      <c r="B326" s="118" t="s">
        <v>138</v>
      </c>
      <c r="C326" s="118" t="s">
        <v>206</v>
      </c>
      <c r="D326" s="152" t="s">
        <v>407</v>
      </c>
      <c r="E326" s="152" t="s">
        <v>496</v>
      </c>
      <c r="F326" s="152" t="s">
        <v>497</v>
      </c>
      <c r="G326" s="118" t="s">
        <v>209</v>
      </c>
      <c r="H326" s="153" t="s">
        <v>212</v>
      </c>
    </row>
    <row r="327" hidden="1">
      <c r="A327" s="154" t="s">
        <v>228</v>
      </c>
      <c r="B327" s="155" t="s">
        <v>138</v>
      </c>
      <c r="C327" s="155" t="s">
        <v>206</v>
      </c>
      <c r="D327" s="156" t="s">
        <v>407</v>
      </c>
      <c r="E327" s="156" t="s">
        <v>498</v>
      </c>
      <c r="F327" s="156" t="s">
        <v>359</v>
      </c>
      <c r="G327" s="155" t="s">
        <v>209</v>
      </c>
      <c r="H327" s="157" t="s">
        <v>213</v>
      </c>
    </row>
    <row r="328" hidden="1">
      <c r="A328" s="151" t="s">
        <v>228</v>
      </c>
      <c r="B328" s="118" t="s">
        <v>138</v>
      </c>
      <c r="C328" s="118" t="s">
        <v>206</v>
      </c>
      <c r="D328" s="152" t="s">
        <v>407</v>
      </c>
      <c r="E328" s="152" t="s">
        <v>499</v>
      </c>
      <c r="F328" s="152" t="s">
        <v>249</v>
      </c>
      <c r="G328" s="118" t="s">
        <v>209</v>
      </c>
      <c r="H328" s="153" t="s">
        <v>214</v>
      </c>
    </row>
    <row r="329" hidden="1">
      <c r="A329" s="154" t="s">
        <v>228</v>
      </c>
      <c r="B329" s="155" t="s">
        <v>138</v>
      </c>
      <c r="C329" s="155" t="s">
        <v>206</v>
      </c>
      <c r="D329" s="156" t="s">
        <v>407</v>
      </c>
      <c r="E329" s="156" t="s">
        <v>500</v>
      </c>
      <c r="F329" s="156" t="s">
        <v>501</v>
      </c>
      <c r="G329" s="155" t="s">
        <v>209</v>
      </c>
      <c r="H329" s="157" t="s">
        <v>215</v>
      </c>
    </row>
    <row r="330" hidden="1">
      <c r="A330" s="151" t="s">
        <v>228</v>
      </c>
      <c r="B330" s="118" t="s">
        <v>138</v>
      </c>
      <c r="C330" s="118" t="s">
        <v>206</v>
      </c>
      <c r="D330" s="152" t="s">
        <v>407</v>
      </c>
      <c r="E330" s="152" t="s">
        <v>502</v>
      </c>
      <c r="F330" s="152" t="s">
        <v>305</v>
      </c>
      <c r="G330" s="118" t="s">
        <v>209</v>
      </c>
      <c r="H330" s="153" t="s">
        <v>216</v>
      </c>
    </row>
    <row r="331" hidden="1">
      <c r="A331" s="154" t="s">
        <v>229</v>
      </c>
      <c r="B331" s="155" t="s">
        <v>193</v>
      </c>
      <c r="C331" s="155" t="s">
        <v>206</v>
      </c>
      <c r="D331" s="156" t="s">
        <v>407</v>
      </c>
      <c r="E331" s="156" t="s">
        <v>503</v>
      </c>
      <c r="F331" s="156" t="s">
        <v>242</v>
      </c>
      <c r="G331" s="155" t="s">
        <v>209</v>
      </c>
      <c r="H331" s="157" t="s">
        <v>210</v>
      </c>
    </row>
    <row r="332" hidden="1">
      <c r="A332" s="151" t="s">
        <v>229</v>
      </c>
      <c r="B332" s="118" t="s">
        <v>193</v>
      </c>
      <c r="C332" s="118" t="s">
        <v>206</v>
      </c>
      <c r="D332" s="152" t="s">
        <v>407</v>
      </c>
      <c r="E332" s="152" t="s">
        <v>504</v>
      </c>
      <c r="F332" s="152" t="s">
        <v>240</v>
      </c>
      <c r="G332" s="118" t="s">
        <v>209</v>
      </c>
      <c r="H332" s="153" t="s">
        <v>211</v>
      </c>
    </row>
    <row r="333" hidden="1">
      <c r="A333" s="154" t="s">
        <v>229</v>
      </c>
      <c r="B333" s="155" t="s">
        <v>193</v>
      </c>
      <c r="C333" s="155" t="s">
        <v>206</v>
      </c>
      <c r="D333" s="156" t="s">
        <v>407</v>
      </c>
      <c r="E333" s="156" t="s">
        <v>505</v>
      </c>
      <c r="F333" s="156" t="s">
        <v>425</v>
      </c>
      <c r="G333" s="155" t="s">
        <v>209</v>
      </c>
      <c r="H333" s="157" t="s">
        <v>212</v>
      </c>
    </row>
    <row r="334" hidden="1">
      <c r="A334" s="151" t="s">
        <v>229</v>
      </c>
      <c r="B334" s="118" t="s">
        <v>193</v>
      </c>
      <c r="C334" s="118" t="s">
        <v>206</v>
      </c>
      <c r="D334" s="152" t="s">
        <v>407</v>
      </c>
      <c r="E334" s="152" t="s">
        <v>506</v>
      </c>
      <c r="F334" s="152" t="s">
        <v>259</v>
      </c>
      <c r="G334" s="118" t="s">
        <v>209</v>
      </c>
      <c r="H334" s="153" t="s">
        <v>213</v>
      </c>
    </row>
    <row r="335" hidden="1">
      <c r="A335" s="154" t="s">
        <v>229</v>
      </c>
      <c r="B335" s="155" t="s">
        <v>193</v>
      </c>
      <c r="C335" s="155" t="s">
        <v>206</v>
      </c>
      <c r="D335" s="156" t="s">
        <v>407</v>
      </c>
      <c r="E335" s="156" t="s">
        <v>507</v>
      </c>
      <c r="F335" s="156" t="s">
        <v>357</v>
      </c>
      <c r="G335" s="155" t="s">
        <v>209</v>
      </c>
      <c r="H335" s="157" t="s">
        <v>214</v>
      </c>
    </row>
    <row r="336" hidden="1">
      <c r="A336" s="151" t="s">
        <v>229</v>
      </c>
      <c r="B336" s="118" t="s">
        <v>193</v>
      </c>
      <c r="C336" s="118" t="s">
        <v>206</v>
      </c>
      <c r="D336" s="152" t="s">
        <v>407</v>
      </c>
      <c r="E336" s="152" t="s">
        <v>508</v>
      </c>
      <c r="F336" s="152" t="s">
        <v>351</v>
      </c>
      <c r="G336" s="118" t="s">
        <v>209</v>
      </c>
      <c r="H336" s="153" t="s">
        <v>215</v>
      </c>
    </row>
    <row r="337" hidden="1">
      <c r="A337" s="154" t="s">
        <v>229</v>
      </c>
      <c r="B337" s="155" t="s">
        <v>193</v>
      </c>
      <c r="C337" s="155" t="s">
        <v>206</v>
      </c>
      <c r="D337" s="156" t="s">
        <v>407</v>
      </c>
      <c r="E337" s="156" t="s">
        <v>509</v>
      </c>
      <c r="F337" s="156" t="s">
        <v>244</v>
      </c>
      <c r="G337" s="155" t="s">
        <v>209</v>
      </c>
      <c r="H337" s="157" t="s">
        <v>216</v>
      </c>
    </row>
    <row r="338" hidden="1">
      <c r="A338" s="151" t="s">
        <v>230</v>
      </c>
      <c r="B338" s="118" t="s">
        <v>194</v>
      </c>
      <c r="C338" s="118" t="s">
        <v>206</v>
      </c>
      <c r="D338" s="152" t="s">
        <v>407</v>
      </c>
      <c r="E338" s="152" t="s">
        <v>510</v>
      </c>
      <c r="F338" s="152" t="s">
        <v>365</v>
      </c>
      <c r="G338" s="118" t="s">
        <v>209</v>
      </c>
      <c r="H338" s="153" t="s">
        <v>210</v>
      </c>
    </row>
    <row r="339" hidden="1">
      <c r="A339" s="154" t="s">
        <v>230</v>
      </c>
      <c r="B339" s="155" t="s">
        <v>194</v>
      </c>
      <c r="C339" s="155" t="s">
        <v>206</v>
      </c>
      <c r="D339" s="156" t="s">
        <v>407</v>
      </c>
      <c r="E339" s="156" t="s">
        <v>511</v>
      </c>
      <c r="F339" s="156" t="s">
        <v>357</v>
      </c>
      <c r="G339" s="155" t="s">
        <v>209</v>
      </c>
      <c r="H339" s="157" t="s">
        <v>211</v>
      </c>
    </row>
    <row r="340" hidden="1">
      <c r="A340" s="151" t="s">
        <v>230</v>
      </c>
      <c r="B340" s="118" t="s">
        <v>194</v>
      </c>
      <c r="C340" s="118" t="s">
        <v>206</v>
      </c>
      <c r="D340" s="152" t="s">
        <v>407</v>
      </c>
      <c r="E340" s="152" t="s">
        <v>512</v>
      </c>
      <c r="F340" s="152" t="s">
        <v>301</v>
      </c>
      <c r="G340" s="118" t="s">
        <v>209</v>
      </c>
      <c r="H340" s="153" t="s">
        <v>212</v>
      </c>
    </row>
    <row r="341" hidden="1">
      <c r="A341" s="154" t="s">
        <v>230</v>
      </c>
      <c r="B341" s="155" t="s">
        <v>194</v>
      </c>
      <c r="C341" s="155" t="s">
        <v>206</v>
      </c>
      <c r="D341" s="156" t="s">
        <v>407</v>
      </c>
      <c r="E341" s="156" t="s">
        <v>513</v>
      </c>
      <c r="F341" s="156" t="s">
        <v>257</v>
      </c>
      <c r="G341" s="155" t="s">
        <v>209</v>
      </c>
      <c r="H341" s="157" t="s">
        <v>213</v>
      </c>
    </row>
    <row r="342" hidden="1">
      <c r="A342" s="151" t="s">
        <v>230</v>
      </c>
      <c r="B342" s="118" t="s">
        <v>194</v>
      </c>
      <c r="C342" s="118" t="s">
        <v>206</v>
      </c>
      <c r="D342" s="152" t="s">
        <v>407</v>
      </c>
      <c r="E342" s="152" t="s">
        <v>514</v>
      </c>
      <c r="F342" s="152" t="s">
        <v>301</v>
      </c>
      <c r="G342" s="118" t="s">
        <v>209</v>
      </c>
      <c r="H342" s="153" t="s">
        <v>214</v>
      </c>
    </row>
    <row r="343" hidden="1">
      <c r="A343" s="154" t="s">
        <v>230</v>
      </c>
      <c r="B343" s="155" t="s">
        <v>194</v>
      </c>
      <c r="C343" s="155" t="s">
        <v>206</v>
      </c>
      <c r="D343" s="156" t="s">
        <v>407</v>
      </c>
      <c r="E343" s="156" t="s">
        <v>515</v>
      </c>
      <c r="F343" s="156" t="s">
        <v>242</v>
      </c>
      <c r="G343" s="155" t="s">
        <v>209</v>
      </c>
      <c r="H343" s="157" t="s">
        <v>215</v>
      </c>
    </row>
    <row r="344" hidden="1">
      <c r="A344" s="151" t="s">
        <v>230</v>
      </c>
      <c r="B344" s="118" t="s">
        <v>194</v>
      </c>
      <c r="C344" s="118" t="s">
        <v>206</v>
      </c>
      <c r="D344" s="152" t="s">
        <v>407</v>
      </c>
      <c r="E344" s="152" t="s">
        <v>516</v>
      </c>
      <c r="F344" s="152" t="s">
        <v>242</v>
      </c>
      <c r="G344" s="118" t="s">
        <v>209</v>
      </c>
      <c r="H344" s="153" t="s">
        <v>216</v>
      </c>
    </row>
    <row r="345" hidden="1">
      <c r="A345" s="158" t="s">
        <v>231</v>
      </c>
      <c r="B345" s="159"/>
      <c r="C345" s="155" t="s">
        <v>232</v>
      </c>
      <c r="D345" s="156" t="s">
        <v>407</v>
      </c>
      <c r="E345" s="156" t="s">
        <v>517</v>
      </c>
      <c r="F345" s="156" t="s">
        <v>262</v>
      </c>
      <c r="G345" s="155" t="s">
        <v>209</v>
      </c>
      <c r="H345" s="157" t="s">
        <v>210</v>
      </c>
    </row>
    <row r="346" hidden="1">
      <c r="A346" s="160" t="s">
        <v>231</v>
      </c>
      <c r="B346" s="72"/>
      <c r="C346" s="118" t="s">
        <v>232</v>
      </c>
      <c r="D346" s="152" t="s">
        <v>407</v>
      </c>
      <c r="E346" s="152" t="s">
        <v>518</v>
      </c>
      <c r="F346" s="152" t="s">
        <v>262</v>
      </c>
      <c r="G346" s="118" t="s">
        <v>209</v>
      </c>
      <c r="H346" s="153" t="s">
        <v>211</v>
      </c>
    </row>
    <row r="347" hidden="1">
      <c r="A347" s="158" t="s">
        <v>231</v>
      </c>
      <c r="B347" s="159"/>
      <c r="C347" s="155" t="s">
        <v>232</v>
      </c>
      <c r="D347" s="156" t="s">
        <v>407</v>
      </c>
      <c r="E347" s="156" t="s">
        <v>519</v>
      </c>
      <c r="F347" s="156" t="s">
        <v>246</v>
      </c>
      <c r="G347" s="155" t="s">
        <v>209</v>
      </c>
      <c r="H347" s="157" t="s">
        <v>212</v>
      </c>
    </row>
    <row r="348" hidden="1">
      <c r="A348" s="160" t="s">
        <v>231</v>
      </c>
      <c r="B348" s="72"/>
      <c r="C348" s="118" t="s">
        <v>232</v>
      </c>
      <c r="D348" s="152" t="s">
        <v>407</v>
      </c>
      <c r="E348" s="152" t="s">
        <v>520</v>
      </c>
      <c r="F348" s="152" t="s">
        <v>365</v>
      </c>
      <c r="G348" s="118" t="s">
        <v>209</v>
      </c>
      <c r="H348" s="153" t="s">
        <v>213</v>
      </c>
    </row>
    <row r="349" hidden="1">
      <c r="A349" s="158" t="s">
        <v>231</v>
      </c>
      <c r="B349" s="159"/>
      <c r="C349" s="155" t="s">
        <v>232</v>
      </c>
      <c r="D349" s="156" t="s">
        <v>407</v>
      </c>
      <c r="E349" s="156" t="s">
        <v>521</v>
      </c>
      <c r="F349" s="156" t="s">
        <v>501</v>
      </c>
      <c r="G349" s="155" t="s">
        <v>209</v>
      </c>
      <c r="H349" s="157" t="s">
        <v>214</v>
      </c>
    </row>
    <row r="350" hidden="1">
      <c r="A350" s="160" t="s">
        <v>231</v>
      </c>
      <c r="B350" s="72"/>
      <c r="C350" s="118" t="s">
        <v>232</v>
      </c>
      <c r="D350" s="152" t="s">
        <v>407</v>
      </c>
      <c r="E350" s="152" t="s">
        <v>522</v>
      </c>
      <c r="F350" s="152" t="s">
        <v>262</v>
      </c>
      <c r="G350" s="118" t="s">
        <v>209</v>
      </c>
      <c r="H350" s="153" t="s">
        <v>215</v>
      </c>
    </row>
    <row r="351" hidden="1">
      <c r="A351" s="158" t="s">
        <v>231</v>
      </c>
      <c r="B351" s="159"/>
      <c r="C351" s="155" t="s">
        <v>232</v>
      </c>
      <c r="D351" s="156" t="s">
        <v>407</v>
      </c>
      <c r="E351" s="156" t="s">
        <v>523</v>
      </c>
      <c r="F351" s="156" t="s">
        <v>492</v>
      </c>
      <c r="G351" s="155" t="s">
        <v>209</v>
      </c>
      <c r="H351" s="157" t="s">
        <v>216</v>
      </c>
    </row>
    <row r="352" hidden="1">
      <c r="A352" s="160" t="s">
        <v>233</v>
      </c>
      <c r="B352" s="72"/>
      <c r="C352" s="118" t="s">
        <v>232</v>
      </c>
      <c r="D352" s="152" t="s">
        <v>407</v>
      </c>
      <c r="E352" s="152" t="s">
        <v>524</v>
      </c>
      <c r="F352" s="152" t="s">
        <v>242</v>
      </c>
      <c r="G352" s="118" t="s">
        <v>209</v>
      </c>
      <c r="H352" s="153" t="s">
        <v>210</v>
      </c>
    </row>
    <row r="353" hidden="1">
      <c r="A353" s="158" t="s">
        <v>233</v>
      </c>
      <c r="B353" s="159"/>
      <c r="C353" s="155" t="s">
        <v>232</v>
      </c>
      <c r="D353" s="156" t="s">
        <v>407</v>
      </c>
      <c r="E353" s="156" t="s">
        <v>525</v>
      </c>
      <c r="F353" s="156" t="s">
        <v>246</v>
      </c>
      <c r="G353" s="155" t="s">
        <v>209</v>
      </c>
      <c r="H353" s="157" t="s">
        <v>211</v>
      </c>
    </row>
    <row r="354" hidden="1">
      <c r="A354" s="160" t="s">
        <v>233</v>
      </c>
      <c r="B354" s="72"/>
      <c r="C354" s="118" t="s">
        <v>232</v>
      </c>
      <c r="D354" s="152" t="s">
        <v>407</v>
      </c>
      <c r="E354" s="152" t="s">
        <v>526</v>
      </c>
      <c r="F354" s="152" t="s">
        <v>246</v>
      </c>
      <c r="G354" s="118" t="s">
        <v>209</v>
      </c>
      <c r="H354" s="153" t="s">
        <v>212</v>
      </c>
    </row>
    <row r="355" hidden="1">
      <c r="A355" s="158" t="s">
        <v>233</v>
      </c>
      <c r="B355" s="159"/>
      <c r="C355" s="155" t="s">
        <v>232</v>
      </c>
      <c r="D355" s="156" t="s">
        <v>407</v>
      </c>
      <c r="E355" s="156" t="s">
        <v>527</v>
      </c>
      <c r="F355" s="156" t="s">
        <v>257</v>
      </c>
      <c r="G355" s="155" t="s">
        <v>209</v>
      </c>
      <c r="H355" s="157" t="s">
        <v>213</v>
      </c>
    </row>
    <row r="356" hidden="1">
      <c r="A356" s="160" t="s">
        <v>233</v>
      </c>
      <c r="B356" s="72"/>
      <c r="C356" s="118" t="s">
        <v>232</v>
      </c>
      <c r="D356" s="152" t="s">
        <v>407</v>
      </c>
      <c r="E356" s="152" t="s">
        <v>528</v>
      </c>
      <c r="F356" s="152" t="s">
        <v>287</v>
      </c>
      <c r="G356" s="118" t="s">
        <v>209</v>
      </c>
      <c r="H356" s="153" t="s">
        <v>214</v>
      </c>
    </row>
    <row r="357" hidden="1">
      <c r="A357" s="158" t="s">
        <v>233</v>
      </c>
      <c r="B357" s="159"/>
      <c r="C357" s="155" t="s">
        <v>232</v>
      </c>
      <c r="D357" s="156" t="s">
        <v>407</v>
      </c>
      <c r="E357" s="156" t="s">
        <v>529</v>
      </c>
      <c r="F357" s="156" t="s">
        <v>244</v>
      </c>
      <c r="G357" s="155" t="s">
        <v>209</v>
      </c>
      <c r="H357" s="157" t="s">
        <v>215</v>
      </c>
    </row>
    <row r="358" hidden="1">
      <c r="A358" s="160" t="s">
        <v>233</v>
      </c>
      <c r="B358" s="72"/>
      <c r="C358" s="118" t="s">
        <v>232</v>
      </c>
      <c r="D358" s="152" t="s">
        <v>407</v>
      </c>
      <c r="E358" s="152" t="s">
        <v>530</v>
      </c>
      <c r="F358" s="152" t="s">
        <v>244</v>
      </c>
      <c r="G358" s="118" t="s">
        <v>209</v>
      </c>
      <c r="H358" s="153" t="s">
        <v>216</v>
      </c>
    </row>
    <row r="359" hidden="1">
      <c r="A359" s="158" t="s">
        <v>234</v>
      </c>
      <c r="B359" s="159"/>
      <c r="C359" s="155" t="s">
        <v>232</v>
      </c>
      <c r="D359" s="156" t="s">
        <v>407</v>
      </c>
      <c r="E359" s="156" t="s">
        <v>531</v>
      </c>
      <c r="F359" s="156" t="s">
        <v>532</v>
      </c>
      <c r="G359" s="155" t="s">
        <v>209</v>
      </c>
      <c r="H359" s="157" t="s">
        <v>210</v>
      </c>
    </row>
    <row r="360" hidden="1">
      <c r="A360" s="160" t="s">
        <v>234</v>
      </c>
      <c r="B360" s="72"/>
      <c r="C360" s="118" t="s">
        <v>232</v>
      </c>
      <c r="D360" s="152" t="s">
        <v>407</v>
      </c>
      <c r="E360" s="152" t="s">
        <v>533</v>
      </c>
      <c r="F360" s="152" t="s">
        <v>534</v>
      </c>
      <c r="G360" s="118" t="s">
        <v>209</v>
      </c>
      <c r="H360" s="153" t="s">
        <v>211</v>
      </c>
    </row>
    <row r="361" hidden="1">
      <c r="A361" s="158" t="s">
        <v>234</v>
      </c>
      <c r="B361" s="159"/>
      <c r="C361" s="155" t="s">
        <v>232</v>
      </c>
      <c r="D361" s="156" t="s">
        <v>407</v>
      </c>
      <c r="E361" s="156" t="s">
        <v>535</v>
      </c>
      <c r="F361" s="156" t="s">
        <v>308</v>
      </c>
      <c r="G361" s="155" t="s">
        <v>209</v>
      </c>
      <c r="H361" s="157" t="s">
        <v>212</v>
      </c>
    </row>
    <row r="362" hidden="1">
      <c r="A362" s="160" t="s">
        <v>234</v>
      </c>
      <c r="B362" s="72"/>
      <c r="C362" s="118" t="s">
        <v>232</v>
      </c>
      <c r="D362" s="152" t="s">
        <v>407</v>
      </c>
      <c r="E362" s="152" t="s">
        <v>536</v>
      </c>
      <c r="F362" s="152" t="s">
        <v>354</v>
      </c>
      <c r="G362" s="118" t="s">
        <v>209</v>
      </c>
      <c r="H362" s="153" t="s">
        <v>213</v>
      </c>
    </row>
    <row r="363" hidden="1">
      <c r="A363" s="158" t="s">
        <v>234</v>
      </c>
      <c r="B363" s="159"/>
      <c r="C363" s="155" t="s">
        <v>232</v>
      </c>
      <c r="D363" s="156" t="s">
        <v>407</v>
      </c>
      <c r="E363" s="156" t="s">
        <v>537</v>
      </c>
      <c r="F363" s="156" t="s">
        <v>534</v>
      </c>
      <c r="G363" s="155" t="s">
        <v>209</v>
      </c>
      <c r="H363" s="157" t="s">
        <v>214</v>
      </c>
    </row>
    <row r="364" hidden="1">
      <c r="A364" s="160" t="s">
        <v>234</v>
      </c>
      <c r="B364" s="72"/>
      <c r="C364" s="118" t="s">
        <v>232</v>
      </c>
      <c r="D364" s="152" t="s">
        <v>407</v>
      </c>
      <c r="E364" s="152" t="s">
        <v>538</v>
      </c>
      <c r="F364" s="152" t="s">
        <v>321</v>
      </c>
      <c r="G364" s="118" t="s">
        <v>209</v>
      </c>
      <c r="H364" s="153" t="s">
        <v>215</v>
      </c>
    </row>
    <row r="365" hidden="1">
      <c r="A365" s="158" t="s">
        <v>234</v>
      </c>
      <c r="B365" s="159"/>
      <c r="C365" s="155" t="s">
        <v>232</v>
      </c>
      <c r="D365" s="156" t="s">
        <v>407</v>
      </c>
      <c r="E365" s="156" t="s">
        <v>539</v>
      </c>
      <c r="F365" s="156" t="s">
        <v>483</v>
      </c>
      <c r="G365" s="155" t="s">
        <v>209</v>
      </c>
      <c r="H365" s="157" t="s">
        <v>216</v>
      </c>
    </row>
    <row r="366" hidden="1">
      <c r="A366" s="160" t="s">
        <v>235</v>
      </c>
      <c r="B366" s="72"/>
      <c r="C366" s="118" t="s">
        <v>236</v>
      </c>
      <c r="D366" s="152" t="s">
        <v>407</v>
      </c>
      <c r="E366" s="152" t="s">
        <v>540</v>
      </c>
      <c r="F366" s="152" t="s">
        <v>287</v>
      </c>
      <c r="G366" s="118" t="s">
        <v>209</v>
      </c>
      <c r="H366" s="153" t="s">
        <v>210</v>
      </c>
    </row>
    <row r="367" hidden="1">
      <c r="A367" s="158" t="s">
        <v>235</v>
      </c>
      <c r="B367" s="159"/>
      <c r="C367" s="155" t="s">
        <v>236</v>
      </c>
      <c r="D367" s="156" t="s">
        <v>407</v>
      </c>
      <c r="E367" s="156" t="s">
        <v>541</v>
      </c>
      <c r="F367" s="156" t="s">
        <v>246</v>
      </c>
      <c r="G367" s="155" t="s">
        <v>209</v>
      </c>
      <c r="H367" s="157" t="s">
        <v>211</v>
      </c>
    </row>
    <row r="368" hidden="1">
      <c r="A368" s="160" t="s">
        <v>235</v>
      </c>
      <c r="B368" s="72"/>
      <c r="C368" s="118" t="s">
        <v>236</v>
      </c>
      <c r="D368" s="152" t="s">
        <v>407</v>
      </c>
      <c r="E368" s="152" t="s">
        <v>542</v>
      </c>
      <c r="F368" s="152" t="s">
        <v>287</v>
      </c>
      <c r="G368" s="118" t="s">
        <v>209</v>
      </c>
      <c r="H368" s="153" t="s">
        <v>212</v>
      </c>
    </row>
    <row r="369" hidden="1">
      <c r="A369" s="158" t="s">
        <v>235</v>
      </c>
      <c r="B369" s="159"/>
      <c r="C369" s="155" t="s">
        <v>236</v>
      </c>
      <c r="D369" s="156" t="s">
        <v>407</v>
      </c>
      <c r="E369" s="156" t="s">
        <v>543</v>
      </c>
      <c r="F369" s="156" t="s">
        <v>242</v>
      </c>
      <c r="G369" s="155" t="s">
        <v>209</v>
      </c>
      <c r="H369" s="157" t="s">
        <v>213</v>
      </c>
    </row>
    <row r="370" hidden="1">
      <c r="A370" s="160" t="s">
        <v>235</v>
      </c>
      <c r="B370" s="72"/>
      <c r="C370" s="118" t="s">
        <v>236</v>
      </c>
      <c r="D370" s="152" t="s">
        <v>407</v>
      </c>
      <c r="E370" s="152" t="s">
        <v>544</v>
      </c>
      <c r="F370" s="152" t="s">
        <v>301</v>
      </c>
      <c r="G370" s="118" t="s">
        <v>209</v>
      </c>
      <c r="H370" s="153" t="s">
        <v>214</v>
      </c>
    </row>
    <row r="371" hidden="1">
      <c r="A371" s="158" t="s">
        <v>235</v>
      </c>
      <c r="B371" s="159"/>
      <c r="C371" s="155" t="s">
        <v>236</v>
      </c>
      <c r="D371" s="156" t="s">
        <v>407</v>
      </c>
      <c r="E371" s="156" t="s">
        <v>545</v>
      </c>
      <c r="F371" s="156" t="s">
        <v>257</v>
      </c>
      <c r="G371" s="155" t="s">
        <v>209</v>
      </c>
      <c r="H371" s="157" t="s">
        <v>215</v>
      </c>
    </row>
    <row r="372" hidden="1">
      <c r="A372" s="160" t="s">
        <v>235</v>
      </c>
      <c r="B372" s="72"/>
      <c r="C372" s="118" t="s">
        <v>236</v>
      </c>
      <c r="D372" s="152" t="s">
        <v>407</v>
      </c>
      <c r="E372" s="152" t="s">
        <v>546</v>
      </c>
      <c r="F372" s="152" t="s">
        <v>257</v>
      </c>
      <c r="G372" s="118" t="s">
        <v>209</v>
      </c>
      <c r="H372" s="153" t="s">
        <v>216</v>
      </c>
    </row>
    <row r="373" hidden="1">
      <c r="A373" s="158" t="s">
        <v>237</v>
      </c>
      <c r="B373" s="159"/>
      <c r="C373" s="155" t="s">
        <v>236</v>
      </c>
      <c r="D373" s="156" t="s">
        <v>407</v>
      </c>
      <c r="E373" s="156" t="s">
        <v>547</v>
      </c>
      <c r="F373" s="156" t="s">
        <v>425</v>
      </c>
      <c r="G373" s="155" t="s">
        <v>209</v>
      </c>
      <c r="H373" s="157" t="s">
        <v>210</v>
      </c>
    </row>
    <row r="374" hidden="1">
      <c r="A374" s="160" t="s">
        <v>237</v>
      </c>
      <c r="B374" s="72"/>
      <c r="C374" s="118" t="s">
        <v>236</v>
      </c>
      <c r="D374" s="152" t="s">
        <v>407</v>
      </c>
      <c r="E374" s="152" t="s">
        <v>548</v>
      </c>
      <c r="F374" s="152" t="s">
        <v>323</v>
      </c>
      <c r="G374" s="118" t="s">
        <v>209</v>
      </c>
      <c r="H374" s="153" t="s">
        <v>211</v>
      </c>
    </row>
    <row r="375" hidden="1">
      <c r="A375" s="158" t="s">
        <v>237</v>
      </c>
      <c r="B375" s="159"/>
      <c r="C375" s="155" t="s">
        <v>236</v>
      </c>
      <c r="D375" s="156" t="s">
        <v>407</v>
      </c>
      <c r="E375" s="156" t="s">
        <v>549</v>
      </c>
      <c r="F375" s="156" t="s">
        <v>331</v>
      </c>
      <c r="G375" s="155" t="s">
        <v>209</v>
      </c>
      <c r="H375" s="157" t="s">
        <v>212</v>
      </c>
    </row>
    <row r="376" hidden="1">
      <c r="A376" s="160" t="s">
        <v>237</v>
      </c>
      <c r="B376" s="72"/>
      <c r="C376" s="118" t="s">
        <v>236</v>
      </c>
      <c r="D376" s="152" t="s">
        <v>407</v>
      </c>
      <c r="E376" s="152" t="s">
        <v>550</v>
      </c>
      <c r="F376" s="152" t="s">
        <v>331</v>
      </c>
      <c r="G376" s="118" t="s">
        <v>209</v>
      </c>
      <c r="H376" s="153" t="s">
        <v>213</v>
      </c>
    </row>
    <row r="377" hidden="1">
      <c r="A377" s="158" t="s">
        <v>237</v>
      </c>
      <c r="B377" s="159"/>
      <c r="C377" s="155" t="s">
        <v>236</v>
      </c>
      <c r="D377" s="156" t="s">
        <v>407</v>
      </c>
      <c r="E377" s="156" t="s">
        <v>551</v>
      </c>
      <c r="F377" s="156" t="s">
        <v>249</v>
      </c>
      <c r="G377" s="155" t="s">
        <v>209</v>
      </c>
      <c r="H377" s="157" t="s">
        <v>214</v>
      </c>
    </row>
    <row r="378" hidden="1">
      <c r="A378" s="160" t="s">
        <v>237</v>
      </c>
      <c r="B378" s="72"/>
      <c r="C378" s="118" t="s">
        <v>236</v>
      </c>
      <c r="D378" s="152" t="s">
        <v>407</v>
      </c>
      <c r="E378" s="152" t="s">
        <v>552</v>
      </c>
      <c r="F378" s="152" t="s">
        <v>285</v>
      </c>
      <c r="G378" s="118" t="s">
        <v>209</v>
      </c>
      <c r="H378" s="153" t="s">
        <v>215</v>
      </c>
    </row>
    <row r="379" hidden="1">
      <c r="A379" s="158" t="s">
        <v>237</v>
      </c>
      <c r="B379" s="159"/>
      <c r="C379" s="155" t="s">
        <v>236</v>
      </c>
      <c r="D379" s="156" t="s">
        <v>407</v>
      </c>
      <c r="E379" s="156" t="s">
        <v>553</v>
      </c>
      <c r="F379" s="156" t="s">
        <v>534</v>
      </c>
      <c r="G379" s="155" t="s">
        <v>209</v>
      </c>
      <c r="H379" s="157" t="s">
        <v>216</v>
      </c>
    </row>
    <row r="380" hidden="1">
      <c r="A380" s="151" t="s">
        <v>204</v>
      </c>
      <c r="B380" s="118" t="s">
        <v>205</v>
      </c>
      <c r="C380" s="118" t="s">
        <v>206</v>
      </c>
      <c r="D380" s="152" t="s">
        <v>554</v>
      </c>
      <c r="E380" s="152" t="s">
        <v>555</v>
      </c>
      <c r="F380" s="152" t="s">
        <v>314</v>
      </c>
      <c r="G380" s="118" t="s">
        <v>209</v>
      </c>
      <c r="H380" s="153" t="s">
        <v>210</v>
      </c>
    </row>
    <row r="381" hidden="1">
      <c r="A381" s="154" t="s">
        <v>204</v>
      </c>
      <c r="B381" s="155" t="s">
        <v>205</v>
      </c>
      <c r="C381" s="155" t="s">
        <v>206</v>
      </c>
      <c r="D381" s="156" t="s">
        <v>554</v>
      </c>
      <c r="E381" s="156" t="s">
        <v>556</v>
      </c>
      <c r="F381" s="156" t="s">
        <v>285</v>
      </c>
      <c r="G381" s="155" t="s">
        <v>209</v>
      </c>
      <c r="H381" s="157" t="s">
        <v>211</v>
      </c>
    </row>
    <row r="382" hidden="1">
      <c r="A382" s="151" t="s">
        <v>204</v>
      </c>
      <c r="B382" s="118" t="s">
        <v>205</v>
      </c>
      <c r="C382" s="118" t="s">
        <v>206</v>
      </c>
      <c r="D382" s="152" t="s">
        <v>554</v>
      </c>
      <c r="E382" s="152" t="s">
        <v>557</v>
      </c>
      <c r="F382" s="152" t="s">
        <v>314</v>
      </c>
      <c r="G382" s="118" t="s">
        <v>209</v>
      </c>
      <c r="H382" s="153" t="s">
        <v>212</v>
      </c>
    </row>
    <row r="383" hidden="1">
      <c r="A383" s="154" t="s">
        <v>204</v>
      </c>
      <c r="B383" s="155" t="s">
        <v>205</v>
      </c>
      <c r="C383" s="155" t="s">
        <v>206</v>
      </c>
      <c r="D383" s="156" t="s">
        <v>554</v>
      </c>
      <c r="E383" s="156" t="s">
        <v>558</v>
      </c>
      <c r="F383" s="156" t="s">
        <v>305</v>
      </c>
      <c r="G383" s="155" t="s">
        <v>209</v>
      </c>
      <c r="H383" s="157" t="s">
        <v>213</v>
      </c>
    </row>
    <row r="384" hidden="1">
      <c r="A384" s="151" t="s">
        <v>204</v>
      </c>
      <c r="B384" s="118" t="s">
        <v>205</v>
      </c>
      <c r="C384" s="118" t="s">
        <v>206</v>
      </c>
      <c r="D384" s="152" t="s">
        <v>554</v>
      </c>
      <c r="E384" s="152" t="s">
        <v>559</v>
      </c>
      <c r="F384" s="152" t="s">
        <v>249</v>
      </c>
      <c r="G384" s="118" t="s">
        <v>209</v>
      </c>
      <c r="H384" s="153" t="s">
        <v>214</v>
      </c>
    </row>
    <row r="385" hidden="1">
      <c r="A385" s="154" t="s">
        <v>204</v>
      </c>
      <c r="B385" s="155" t="s">
        <v>205</v>
      </c>
      <c r="C385" s="155" t="s">
        <v>206</v>
      </c>
      <c r="D385" s="156" t="s">
        <v>554</v>
      </c>
      <c r="E385" s="156" t="s">
        <v>560</v>
      </c>
      <c r="F385" s="156" t="s">
        <v>323</v>
      </c>
      <c r="G385" s="155" t="s">
        <v>209</v>
      </c>
      <c r="H385" s="157" t="s">
        <v>215</v>
      </c>
    </row>
    <row r="386" hidden="1">
      <c r="A386" s="151" t="s">
        <v>204</v>
      </c>
      <c r="B386" s="118" t="s">
        <v>205</v>
      </c>
      <c r="C386" s="118" t="s">
        <v>206</v>
      </c>
      <c r="D386" s="152" t="s">
        <v>554</v>
      </c>
      <c r="E386" s="152" t="s">
        <v>561</v>
      </c>
      <c r="F386" s="152" t="s">
        <v>314</v>
      </c>
      <c r="G386" s="118" t="s">
        <v>209</v>
      </c>
      <c r="H386" s="153" t="s">
        <v>216</v>
      </c>
    </row>
    <row r="387" hidden="1">
      <c r="A387" s="154" t="s">
        <v>217</v>
      </c>
      <c r="B387" s="155" t="s">
        <v>191</v>
      </c>
      <c r="C387" s="155" t="s">
        <v>206</v>
      </c>
      <c r="D387" s="156" t="s">
        <v>554</v>
      </c>
      <c r="E387" s="156" t="s">
        <v>562</v>
      </c>
      <c r="F387" s="156" t="s">
        <v>427</v>
      </c>
      <c r="G387" s="155" t="s">
        <v>209</v>
      </c>
      <c r="H387" s="157" t="s">
        <v>210</v>
      </c>
    </row>
    <row r="388" hidden="1">
      <c r="A388" s="151" t="s">
        <v>217</v>
      </c>
      <c r="B388" s="118" t="s">
        <v>191</v>
      </c>
      <c r="C388" s="118" t="s">
        <v>206</v>
      </c>
      <c r="D388" s="152" t="s">
        <v>554</v>
      </c>
      <c r="E388" s="152" t="s">
        <v>563</v>
      </c>
      <c r="F388" s="152" t="s">
        <v>359</v>
      </c>
      <c r="G388" s="118" t="s">
        <v>209</v>
      </c>
      <c r="H388" s="153" t="s">
        <v>211</v>
      </c>
    </row>
    <row r="389" hidden="1">
      <c r="A389" s="154" t="s">
        <v>217</v>
      </c>
      <c r="B389" s="155" t="s">
        <v>191</v>
      </c>
      <c r="C389" s="155" t="s">
        <v>206</v>
      </c>
      <c r="D389" s="156" t="s">
        <v>554</v>
      </c>
      <c r="E389" s="156" t="s">
        <v>564</v>
      </c>
      <c r="F389" s="156" t="s">
        <v>246</v>
      </c>
      <c r="G389" s="155" t="s">
        <v>209</v>
      </c>
      <c r="H389" s="157" t="s">
        <v>212</v>
      </c>
    </row>
    <row r="390" hidden="1">
      <c r="A390" s="151" t="s">
        <v>217</v>
      </c>
      <c r="B390" s="118" t="s">
        <v>191</v>
      </c>
      <c r="C390" s="118" t="s">
        <v>206</v>
      </c>
      <c r="D390" s="152" t="s">
        <v>554</v>
      </c>
      <c r="E390" s="152" t="s">
        <v>565</v>
      </c>
      <c r="F390" s="152" t="s">
        <v>365</v>
      </c>
      <c r="G390" s="118" t="s">
        <v>209</v>
      </c>
      <c r="H390" s="153" t="s">
        <v>213</v>
      </c>
    </row>
    <row r="391" hidden="1">
      <c r="A391" s="154" t="s">
        <v>217</v>
      </c>
      <c r="B391" s="155" t="s">
        <v>191</v>
      </c>
      <c r="C391" s="155" t="s">
        <v>206</v>
      </c>
      <c r="D391" s="156" t="s">
        <v>554</v>
      </c>
      <c r="E391" s="156" t="s">
        <v>566</v>
      </c>
      <c r="F391" s="156" t="s">
        <v>359</v>
      </c>
      <c r="G391" s="155" t="s">
        <v>209</v>
      </c>
      <c r="H391" s="157" t="s">
        <v>214</v>
      </c>
    </row>
    <row r="392" hidden="1">
      <c r="A392" s="151" t="s">
        <v>217</v>
      </c>
      <c r="B392" s="118" t="s">
        <v>191</v>
      </c>
      <c r="C392" s="118" t="s">
        <v>206</v>
      </c>
      <c r="D392" s="152" t="s">
        <v>554</v>
      </c>
      <c r="E392" s="152" t="s">
        <v>567</v>
      </c>
      <c r="F392" s="152" t="s">
        <v>244</v>
      </c>
      <c r="G392" s="118" t="s">
        <v>209</v>
      </c>
      <c r="H392" s="153" t="s">
        <v>215</v>
      </c>
    </row>
    <row r="393" hidden="1">
      <c r="A393" s="154" t="s">
        <v>217</v>
      </c>
      <c r="B393" s="155" t="s">
        <v>191</v>
      </c>
      <c r="C393" s="155" t="s">
        <v>206</v>
      </c>
      <c r="D393" s="156" t="s">
        <v>554</v>
      </c>
      <c r="E393" s="156" t="s">
        <v>568</v>
      </c>
      <c r="F393" s="156" t="s">
        <v>331</v>
      </c>
      <c r="G393" s="155" t="s">
        <v>209</v>
      </c>
      <c r="H393" s="157" t="s">
        <v>216</v>
      </c>
    </row>
    <row r="394" hidden="1">
      <c r="A394" s="151" t="s">
        <v>218</v>
      </c>
      <c r="B394" s="118" t="s">
        <v>219</v>
      </c>
      <c r="C394" s="118" t="s">
        <v>206</v>
      </c>
      <c r="D394" s="152" t="s">
        <v>554</v>
      </c>
      <c r="E394" s="152" t="s">
        <v>569</v>
      </c>
      <c r="F394" s="152" t="s">
        <v>257</v>
      </c>
      <c r="G394" s="118" t="s">
        <v>209</v>
      </c>
      <c r="H394" s="153" t="s">
        <v>210</v>
      </c>
    </row>
    <row r="395" hidden="1">
      <c r="A395" s="154" t="s">
        <v>218</v>
      </c>
      <c r="B395" s="155" t="s">
        <v>219</v>
      </c>
      <c r="C395" s="155" t="s">
        <v>206</v>
      </c>
      <c r="D395" s="156" t="s">
        <v>554</v>
      </c>
      <c r="E395" s="156" t="s">
        <v>570</v>
      </c>
      <c r="F395" s="156" t="s">
        <v>314</v>
      </c>
      <c r="G395" s="155" t="s">
        <v>209</v>
      </c>
      <c r="H395" s="157" t="s">
        <v>211</v>
      </c>
    </row>
    <row r="396" hidden="1">
      <c r="A396" s="151" t="s">
        <v>218</v>
      </c>
      <c r="B396" s="118" t="s">
        <v>219</v>
      </c>
      <c r="C396" s="118" t="s">
        <v>206</v>
      </c>
      <c r="D396" s="152" t="s">
        <v>554</v>
      </c>
      <c r="E396" s="152" t="s">
        <v>571</v>
      </c>
      <c r="F396" s="152" t="s">
        <v>357</v>
      </c>
      <c r="G396" s="118" t="s">
        <v>209</v>
      </c>
      <c r="H396" s="153" t="s">
        <v>212</v>
      </c>
    </row>
    <row r="397" hidden="1">
      <c r="A397" s="154" t="s">
        <v>218</v>
      </c>
      <c r="B397" s="155" t="s">
        <v>219</v>
      </c>
      <c r="C397" s="155" t="s">
        <v>206</v>
      </c>
      <c r="D397" s="156" t="s">
        <v>554</v>
      </c>
      <c r="E397" s="156" t="s">
        <v>572</v>
      </c>
      <c r="F397" s="156" t="s">
        <v>246</v>
      </c>
      <c r="G397" s="155" t="s">
        <v>209</v>
      </c>
      <c r="H397" s="157" t="s">
        <v>213</v>
      </c>
    </row>
    <row r="398" hidden="1">
      <c r="A398" s="151" t="s">
        <v>218</v>
      </c>
      <c r="B398" s="118" t="s">
        <v>219</v>
      </c>
      <c r="C398" s="118" t="s">
        <v>206</v>
      </c>
      <c r="D398" s="152" t="s">
        <v>554</v>
      </c>
      <c r="E398" s="152" t="s">
        <v>573</v>
      </c>
      <c r="F398" s="152" t="s">
        <v>325</v>
      </c>
      <c r="G398" s="118" t="s">
        <v>209</v>
      </c>
      <c r="H398" s="153" t="s">
        <v>214</v>
      </c>
    </row>
    <row r="399" hidden="1">
      <c r="A399" s="154" t="s">
        <v>218</v>
      </c>
      <c r="B399" s="155" t="s">
        <v>219</v>
      </c>
      <c r="C399" s="155" t="s">
        <v>206</v>
      </c>
      <c r="D399" s="156" t="s">
        <v>554</v>
      </c>
      <c r="E399" s="156" t="s">
        <v>574</v>
      </c>
      <c r="F399" s="156" t="s">
        <v>301</v>
      </c>
      <c r="G399" s="155" t="s">
        <v>209</v>
      </c>
      <c r="H399" s="157" t="s">
        <v>215</v>
      </c>
    </row>
    <row r="400" hidden="1">
      <c r="A400" s="151" t="s">
        <v>218</v>
      </c>
      <c r="B400" s="118" t="s">
        <v>219</v>
      </c>
      <c r="C400" s="118" t="s">
        <v>206</v>
      </c>
      <c r="D400" s="152" t="s">
        <v>554</v>
      </c>
      <c r="E400" s="152" t="s">
        <v>575</v>
      </c>
      <c r="F400" s="152" t="s">
        <v>357</v>
      </c>
      <c r="G400" s="118" t="s">
        <v>209</v>
      </c>
      <c r="H400" s="153" t="s">
        <v>216</v>
      </c>
    </row>
    <row r="401" hidden="1">
      <c r="A401" s="154" t="s">
        <v>220</v>
      </c>
      <c r="B401" s="155" t="s">
        <v>190</v>
      </c>
      <c r="C401" s="155" t="s">
        <v>206</v>
      </c>
      <c r="D401" s="156" t="s">
        <v>554</v>
      </c>
      <c r="E401" s="156" t="s">
        <v>576</v>
      </c>
      <c r="F401" s="156" t="s">
        <v>577</v>
      </c>
      <c r="G401" s="155" t="s">
        <v>209</v>
      </c>
      <c r="H401" s="157" t="s">
        <v>210</v>
      </c>
    </row>
    <row r="402" hidden="1">
      <c r="A402" s="151" t="s">
        <v>220</v>
      </c>
      <c r="B402" s="118" t="s">
        <v>190</v>
      </c>
      <c r="C402" s="118" t="s">
        <v>206</v>
      </c>
      <c r="D402" s="152" t="s">
        <v>554</v>
      </c>
      <c r="E402" s="152" t="s">
        <v>578</v>
      </c>
      <c r="F402" s="152" t="s">
        <v>321</v>
      </c>
      <c r="G402" s="118" t="s">
        <v>209</v>
      </c>
      <c r="H402" s="153" t="s">
        <v>211</v>
      </c>
    </row>
    <row r="403" hidden="1">
      <c r="A403" s="154" t="s">
        <v>220</v>
      </c>
      <c r="B403" s="155" t="s">
        <v>190</v>
      </c>
      <c r="C403" s="155" t="s">
        <v>206</v>
      </c>
      <c r="D403" s="156" t="s">
        <v>554</v>
      </c>
      <c r="E403" s="156" t="s">
        <v>579</v>
      </c>
      <c r="F403" s="156" t="s">
        <v>331</v>
      </c>
      <c r="G403" s="155" t="s">
        <v>209</v>
      </c>
      <c r="H403" s="157" t="s">
        <v>212</v>
      </c>
    </row>
    <row r="404" hidden="1">
      <c r="A404" s="151" t="s">
        <v>220</v>
      </c>
      <c r="B404" s="118" t="s">
        <v>190</v>
      </c>
      <c r="C404" s="118" t="s">
        <v>206</v>
      </c>
      <c r="D404" s="152" t="s">
        <v>554</v>
      </c>
      <c r="E404" s="152" t="s">
        <v>580</v>
      </c>
      <c r="F404" s="152" t="s">
        <v>242</v>
      </c>
      <c r="G404" s="118" t="s">
        <v>209</v>
      </c>
      <c r="H404" s="153" t="s">
        <v>213</v>
      </c>
    </row>
    <row r="405" hidden="1">
      <c r="A405" s="154" t="s">
        <v>220</v>
      </c>
      <c r="B405" s="155" t="s">
        <v>190</v>
      </c>
      <c r="C405" s="155" t="s">
        <v>206</v>
      </c>
      <c r="D405" s="156" t="s">
        <v>554</v>
      </c>
      <c r="E405" s="156" t="s">
        <v>581</v>
      </c>
      <c r="F405" s="156" t="s">
        <v>314</v>
      </c>
      <c r="G405" s="155" t="s">
        <v>209</v>
      </c>
      <c r="H405" s="157" t="s">
        <v>214</v>
      </c>
    </row>
    <row r="406" hidden="1">
      <c r="A406" s="151" t="s">
        <v>220</v>
      </c>
      <c r="B406" s="118" t="s">
        <v>190</v>
      </c>
      <c r="C406" s="118" t="s">
        <v>206</v>
      </c>
      <c r="D406" s="152" t="s">
        <v>554</v>
      </c>
      <c r="E406" s="152" t="s">
        <v>582</v>
      </c>
      <c r="F406" s="152" t="s">
        <v>314</v>
      </c>
      <c r="G406" s="118" t="s">
        <v>209</v>
      </c>
      <c r="H406" s="153" t="s">
        <v>215</v>
      </c>
    </row>
    <row r="407" hidden="1">
      <c r="A407" s="154" t="s">
        <v>220</v>
      </c>
      <c r="B407" s="155" t="s">
        <v>190</v>
      </c>
      <c r="C407" s="155" t="s">
        <v>206</v>
      </c>
      <c r="D407" s="156" t="s">
        <v>554</v>
      </c>
      <c r="E407" s="156" t="s">
        <v>583</v>
      </c>
      <c r="F407" s="156" t="s">
        <v>339</v>
      </c>
      <c r="G407" s="155" t="s">
        <v>209</v>
      </c>
      <c r="H407" s="157" t="s">
        <v>216</v>
      </c>
    </row>
    <row r="408" hidden="1">
      <c r="A408" s="151" t="s">
        <v>221</v>
      </c>
      <c r="B408" s="118" t="s">
        <v>189</v>
      </c>
      <c r="C408" s="118" t="s">
        <v>206</v>
      </c>
      <c r="D408" s="152" t="s">
        <v>554</v>
      </c>
      <c r="E408" s="152" t="s">
        <v>584</v>
      </c>
      <c r="F408" s="152" t="s">
        <v>285</v>
      </c>
      <c r="G408" s="118" t="s">
        <v>209</v>
      </c>
      <c r="H408" s="153" t="s">
        <v>210</v>
      </c>
    </row>
    <row r="409" hidden="1">
      <c r="A409" s="154" t="s">
        <v>221</v>
      </c>
      <c r="B409" s="155" t="s">
        <v>189</v>
      </c>
      <c r="C409" s="155" t="s">
        <v>206</v>
      </c>
      <c r="D409" s="156" t="s">
        <v>554</v>
      </c>
      <c r="E409" s="156" t="s">
        <v>585</v>
      </c>
      <c r="F409" s="156" t="s">
        <v>534</v>
      </c>
      <c r="G409" s="155" t="s">
        <v>209</v>
      </c>
      <c r="H409" s="157" t="s">
        <v>211</v>
      </c>
    </row>
    <row r="410" hidden="1">
      <c r="A410" s="151" t="s">
        <v>221</v>
      </c>
      <c r="B410" s="118" t="s">
        <v>189</v>
      </c>
      <c r="C410" s="118" t="s">
        <v>206</v>
      </c>
      <c r="D410" s="152" t="s">
        <v>554</v>
      </c>
      <c r="E410" s="152" t="s">
        <v>586</v>
      </c>
      <c r="F410" s="152" t="s">
        <v>587</v>
      </c>
      <c r="G410" s="118" t="s">
        <v>209</v>
      </c>
      <c r="H410" s="153" t="s">
        <v>212</v>
      </c>
    </row>
    <row r="411" hidden="1">
      <c r="A411" s="154" t="s">
        <v>221</v>
      </c>
      <c r="B411" s="155" t="s">
        <v>189</v>
      </c>
      <c r="C411" s="155" t="s">
        <v>206</v>
      </c>
      <c r="D411" s="156" t="s">
        <v>554</v>
      </c>
      <c r="E411" s="156" t="s">
        <v>588</v>
      </c>
      <c r="F411" s="156" t="s">
        <v>589</v>
      </c>
      <c r="G411" s="155" t="s">
        <v>209</v>
      </c>
      <c r="H411" s="157" t="s">
        <v>213</v>
      </c>
    </row>
    <row r="412" hidden="1">
      <c r="A412" s="151" t="s">
        <v>221</v>
      </c>
      <c r="B412" s="118" t="s">
        <v>189</v>
      </c>
      <c r="C412" s="118" t="s">
        <v>206</v>
      </c>
      <c r="D412" s="152" t="s">
        <v>554</v>
      </c>
      <c r="E412" s="152" t="s">
        <v>590</v>
      </c>
      <c r="F412" s="152" t="s">
        <v>577</v>
      </c>
      <c r="G412" s="118" t="s">
        <v>209</v>
      </c>
      <c r="H412" s="153" t="s">
        <v>214</v>
      </c>
    </row>
    <row r="413" hidden="1">
      <c r="A413" s="154" t="s">
        <v>221</v>
      </c>
      <c r="B413" s="155" t="s">
        <v>189</v>
      </c>
      <c r="C413" s="155" t="s">
        <v>206</v>
      </c>
      <c r="D413" s="156" t="s">
        <v>554</v>
      </c>
      <c r="E413" s="156" t="s">
        <v>591</v>
      </c>
      <c r="F413" s="156" t="s">
        <v>534</v>
      </c>
      <c r="G413" s="155" t="s">
        <v>209</v>
      </c>
      <c r="H413" s="157" t="s">
        <v>215</v>
      </c>
    </row>
    <row r="414" hidden="1">
      <c r="A414" s="151" t="s">
        <v>221</v>
      </c>
      <c r="B414" s="118" t="s">
        <v>189</v>
      </c>
      <c r="C414" s="118" t="s">
        <v>206</v>
      </c>
      <c r="D414" s="152" t="s">
        <v>554</v>
      </c>
      <c r="E414" s="152" t="s">
        <v>592</v>
      </c>
      <c r="F414" s="152" t="s">
        <v>336</v>
      </c>
      <c r="G414" s="118" t="s">
        <v>209</v>
      </c>
      <c r="H414" s="153" t="s">
        <v>216</v>
      </c>
    </row>
    <row r="415" hidden="1">
      <c r="A415" s="154" t="s">
        <v>222</v>
      </c>
      <c r="B415" s="155" t="s">
        <v>192</v>
      </c>
      <c r="C415" s="155" t="s">
        <v>206</v>
      </c>
      <c r="D415" s="156" t="s">
        <v>554</v>
      </c>
      <c r="E415" s="156" t="s">
        <v>593</v>
      </c>
      <c r="F415" s="156" t="s">
        <v>259</v>
      </c>
      <c r="G415" s="155" t="s">
        <v>209</v>
      </c>
      <c r="H415" s="157" t="s">
        <v>210</v>
      </c>
    </row>
    <row r="416" hidden="1">
      <c r="A416" s="151" t="s">
        <v>222</v>
      </c>
      <c r="B416" s="118" t="s">
        <v>192</v>
      </c>
      <c r="C416" s="118" t="s">
        <v>206</v>
      </c>
      <c r="D416" s="152" t="s">
        <v>554</v>
      </c>
      <c r="E416" s="152" t="s">
        <v>594</v>
      </c>
      <c r="F416" s="152" t="s">
        <v>262</v>
      </c>
      <c r="G416" s="118" t="s">
        <v>209</v>
      </c>
      <c r="H416" s="153" t="s">
        <v>211</v>
      </c>
    </row>
    <row r="417" hidden="1">
      <c r="A417" s="154" t="s">
        <v>222</v>
      </c>
      <c r="B417" s="155" t="s">
        <v>192</v>
      </c>
      <c r="C417" s="155" t="s">
        <v>206</v>
      </c>
      <c r="D417" s="156" t="s">
        <v>554</v>
      </c>
      <c r="E417" s="156" t="s">
        <v>595</v>
      </c>
      <c r="F417" s="156" t="s">
        <v>287</v>
      </c>
      <c r="G417" s="155" t="s">
        <v>209</v>
      </c>
      <c r="H417" s="157" t="s">
        <v>212</v>
      </c>
    </row>
    <row r="418" hidden="1">
      <c r="A418" s="151" t="s">
        <v>222</v>
      </c>
      <c r="B418" s="118" t="s">
        <v>192</v>
      </c>
      <c r="C418" s="118" t="s">
        <v>206</v>
      </c>
      <c r="D418" s="152" t="s">
        <v>554</v>
      </c>
      <c r="E418" s="152" t="s">
        <v>596</v>
      </c>
      <c r="F418" s="152" t="s">
        <v>287</v>
      </c>
      <c r="G418" s="118" t="s">
        <v>209</v>
      </c>
      <c r="H418" s="153" t="s">
        <v>213</v>
      </c>
    </row>
    <row r="419" hidden="1">
      <c r="A419" s="154" t="s">
        <v>222</v>
      </c>
      <c r="B419" s="155" t="s">
        <v>192</v>
      </c>
      <c r="C419" s="155" t="s">
        <v>206</v>
      </c>
      <c r="D419" s="156" t="s">
        <v>554</v>
      </c>
      <c r="E419" s="156" t="s">
        <v>597</v>
      </c>
      <c r="F419" s="156" t="s">
        <v>255</v>
      </c>
      <c r="G419" s="155" t="s">
        <v>209</v>
      </c>
      <c r="H419" s="157" t="s">
        <v>214</v>
      </c>
    </row>
    <row r="420" hidden="1">
      <c r="A420" s="151" t="s">
        <v>222</v>
      </c>
      <c r="B420" s="118" t="s">
        <v>192</v>
      </c>
      <c r="C420" s="118" t="s">
        <v>206</v>
      </c>
      <c r="D420" s="152" t="s">
        <v>554</v>
      </c>
      <c r="E420" s="152" t="s">
        <v>598</v>
      </c>
      <c r="F420" s="152" t="s">
        <v>255</v>
      </c>
      <c r="G420" s="118" t="s">
        <v>209</v>
      </c>
      <c r="H420" s="153" t="s">
        <v>215</v>
      </c>
    </row>
    <row r="421" hidden="1">
      <c r="A421" s="154" t="s">
        <v>222</v>
      </c>
      <c r="B421" s="155" t="s">
        <v>192</v>
      </c>
      <c r="C421" s="155" t="s">
        <v>206</v>
      </c>
      <c r="D421" s="156" t="s">
        <v>554</v>
      </c>
      <c r="E421" s="156" t="s">
        <v>599</v>
      </c>
      <c r="F421" s="156" t="s">
        <v>265</v>
      </c>
      <c r="G421" s="155" t="s">
        <v>209</v>
      </c>
      <c r="H421" s="157" t="s">
        <v>216</v>
      </c>
    </row>
    <row r="422" hidden="1">
      <c r="A422" s="151" t="s">
        <v>223</v>
      </c>
      <c r="B422" s="118" t="s">
        <v>144</v>
      </c>
      <c r="C422" s="118" t="s">
        <v>206</v>
      </c>
      <c r="D422" s="152" t="s">
        <v>554</v>
      </c>
      <c r="E422" s="152" t="s">
        <v>600</v>
      </c>
      <c r="F422" s="152" t="s">
        <v>357</v>
      </c>
      <c r="G422" s="118" t="s">
        <v>209</v>
      </c>
      <c r="H422" s="153" t="s">
        <v>210</v>
      </c>
    </row>
    <row r="423" hidden="1">
      <c r="A423" s="154" t="s">
        <v>223</v>
      </c>
      <c r="B423" s="155" t="s">
        <v>144</v>
      </c>
      <c r="C423" s="155" t="s">
        <v>206</v>
      </c>
      <c r="D423" s="156" t="s">
        <v>554</v>
      </c>
      <c r="E423" s="156" t="s">
        <v>601</v>
      </c>
      <c r="F423" s="156" t="s">
        <v>357</v>
      </c>
      <c r="G423" s="155" t="s">
        <v>209</v>
      </c>
      <c r="H423" s="157" t="s">
        <v>211</v>
      </c>
    </row>
    <row r="424" hidden="1">
      <c r="A424" s="151" t="s">
        <v>223</v>
      </c>
      <c r="B424" s="118" t="s">
        <v>144</v>
      </c>
      <c r="C424" s="118" t="s">
        <v>206</v>
      </c>
      <c r="D424" s="152" t="s">
        <v>554</v>
      </c>
      <c r="E424" s="152" t="s">
        <v>602</v>
      </c>
      <c r="F424" s="152" t="s">
        <v>359</v>
      </c>
      <c r="G424" s="118" t="s">
        <v>209</v>
      </c>
      <c r="H424" s="153" t="s">
        <v>212</v>
      </c>
    </row>
    <row r="425" hidden="1">
      <c r="A425" s="154" t="s">
        <v>223</v>
      </c>
      <c r="B425" s="155" t="s">
        <v>144</v>
      </c>
      <c r="C425" s="155" t="s">
        <v>206</v>
      </c>
      <c r="D425" s="156" t="s">
        <v>554</v>
      </c>
      <c r="E425" s="156" t="s">
        <v>603</v>
      </c>
      <c r="F425" s="156" t="s">
        <v>331</v>
      </c>
      <c r="G425" s="155" t="s">
        <v>209</v>
      </c>
      <c r="H425" s="157" t="s">
        <v>213</v>
      </c>
    </row>
    <row r="426" hidden="1">
      <c r="A426" s="151" t="s">
        <v>223</v>
      </c>
      <c r="B426" s="118" t="s">
        <v>144</v>
      </c>
      <c r="C426" s="118" t="s">
        <v>206</v>
      </c>
      <c r="D426" s="152" t="s">
        <v>554</v>
      </c>
      <c r="E426" s="152" t="s">
        <v>604</v>
      </c>
      <c r="F426" s="152" t="s">
        <v>365</v>
      </c>
      <c r="G426" s="118" t="s">
        <v>209</v>
      </c>
      <c r="H426" s="153" t="s">
        <v>214</v>
      </c>
    </row>
    <row r="427" hidden="1">
      <c r="A427" s="154" t="s">
        <v>223</v>
      </c>
      <c r="B427" s="155" t="s">
        <v>144</v>
      </c>
      <c r="C427" s="155" t="s">
        <v>206</v>
      </c>
      <c r="D427" s="156" t="s">
        <v>554</v>
      </c>
      <c r="E427" s="156" t="s">
        <v>605</v>
      </c>
      <c r="F427" s="156" t="s">
        <v>246</v>
      </c>
      <c r="G427" s="155" t="s">
        <v>209</v>
      </c>
      <c r="H427" s="157" t="s">
        <v>215</v>
      </c>
    </row>
    <row r="428" hidden="1">
      <c r="A428" s="151" t="s">
        <v>223</v>
      </c>
      <c r="B428" s="118" t="s">
        <v>144</v>
      </c>
      <c r="C428" s="118" t="s">
        <v>206</v>
      </c>
      <c r="D428" s="152" t="s">
        <v>554</v>
      </c>
      <c r="E428" s="152" t="s">
        <v>606</v>
      </c>
      <c r="F428" s="152" t="s">
        <v>365</v>
      </c>
      <c r="G428" s="118" t="s">
        <v>209</v>
      </c>
      <c r="H428" s="153" t="s">
        <v>216</v>
      </c>
    </row>
    <row r="429" hidden="1">
      <c r="A429" s="154" t="s">
        <v>224</v>
      </c>
      <c r="B429" s="155" t="s">
        <v>170</v>
      </c>
      <c r="C429" s="155" t="s">
        <v>206</v>
      </c>
      <c r="D429" s="156" t="s">
        <v>554</v>
      </c>
      <c r="E429" s="156" t="s">
        <v>607</v>
      </c>
      <c r="F429" s="156" t="s">
        <v>255</v>
      </c>
      <c r="G429" s="155" t="s">
        <v>209</v>
      </c>
      <c r="H429" s="157" t="s">
        <v>210</v>
      </c>
    </row>
    <row r="430" hidden="1">
      <c r="A430" s="151" t="s">
        <v>224</v>
      </c>
      <c r="B430" s="118" t="s">
        <v>170</v>
      </c>
      <c r="C430" s="118" t="s">
        <v>206</v>
      </c>
      <c r="D430" s="152" t="s">
        <v>554</v>
      </c>
      <c r="E430" s="152" t="s">
        <v>608</v>
      </c>
      <c r="F430" s="152" t="s">
        <v>269</v>
      </c>
      <c r="G430" s="118" t="s">
        <v>209</v>
      </c>
      <c r="H430" s="153" t="s">
        <v>211</v>
      </c>
    </row>
    <row r="431" hidden="1">
      <c r="A431" s="154" t="s">
        <v>224</v>
      </c>
      <c r="B431" s="155" t="s">
        <v>170</v>
      </c>
      <c r="C431" s="155" t="s">
        <v>206</v>
      </c>
      <c r="D431" s="156" t="s">
        <v>554</v>
      </c>
      <c r="E431" s="156" t="s">
        <v>609</v>
      </c>
      <c r="F431" s="156" t="s">
        <v>301</v>
      </c>
      <c r="G431" s="155" t="s">
        <v>209</v>
      </c>
      <c r="H431" s="157" t="s">
        <v>212</v>
      </c>
    </row>
    <row r="432" hidden="1">
      <c r="A432" s="151" t="s">
        <v>224</v>
      </c>
      <c r="B432" s="118" t="s">
        <v>170</v>
      </c>
      <c r="C432" s="118" t="s">
        <v>206</v>
      </c>
      <c r="D432" s="152" t="s">
        <v>554</v>
      </c>
      <c r="E432" s="152" t="s">
        <v>610</v>
      </c>
      <c r="F432" s="152" t="s">
        <v>265</v>
      </c>
      <c r="G432" s="118" t="s">
        <v>209</v>
      </c>
      <c r="H432" s="153" t="s">
        <v>213</v>
      </c>
    </row>
    <row r="433" hidden="1">
      <c r="A433" s="154" t="s">
        <v>224</v>
      </c>
      <c r="B433" s="155" t="s">
        <v>170</v>
      </c>
      <c r="C433" s="155" t="s">
        <v>206</v>
      </c>
      <c r="D433" s="156" t="s">
        <v>554</v>
      </c>
      <c r="E433" s="156" t="s">
        <v>611</v>
      </c>
      <c r="F433" s="156" t="s">
        <v>249</v>
      </c>
      <c r="G433" s="155" t="s">
        <v>209</v>
      </c>
      <c r="H433" s="157" t="s">
        <v>214</v>
      </c>
    </row>
    <row r="434" hidden="1">
      <c r="A434" s="151" t="s">
        <v>224</v>
      </c>
      <c r="B434" s="118" t="s">
        <v>170</v>
      </c>
      <c r="C434" s="118" t="s">
        <v>206</v>
      </c>
      <c r="D434" s="152" t="s">
        <v>554</v>
      </c>
      <c r="E434" s="152" t="s">
        <v>612</v>
      </c>
      <c r="F434" s="152" t="s">
        <v>242</v>
      </c>
      <c r="G434" s="118" t="s">
        <v>209</v>
      </c>
      <c r="H434" s="153" t="s">
        <v>215</v>
      </c>
    </row>
    <row r="435" hidden="1">
      <c r="A435" s="154" t="s">
        <v>224</v>
      </c>
      <c r="B435" s="155" t="s">
        <v>170</v>
      </c>
      <c r="C435" s="155" t="s">
        <v>206</v>
      </c>
      <c r="D435" s="156" t="s">
        <v>554</v>
      </c>
      <c r="E435" s="156" t="s">
        <v>613</v>
      </c>
      <c r="F435" s="156" t="s">
        <v>269</v>
      </c>
      <c r="G435" s="155" t="s">
        <v>209</v>
      </c>
      <c r="H435" s="157" t="s">
        <v>216</v>
      </c>
    </row>
    <row r="436" hidden="1">
      <c r="A436" s="151" t="s">
        <v>225</v>
      </c>
      <c r="B436" s="118" t="s">
        <v>226</v>
      </c>
      <c r="C436" s="118" t="s">
        <v>206</v>
      </c>
      <c r="D436" s="152" t="s">
        <v>554</v>
      </c>
      <c r="E436" s="152" t="s">
        <v>614</v>
      </c>
      <c r="F436" s="152" t="s">
        <v>314</v>
      </c>
      <c r="G436" s="118" t="s">
        <v>209</v>
      </c>
      <c r="H436" s="153" t="s">
        <v>210</v>
      </c>
    </row>
    <row r="437" hidden="1">
      <c r="A437" s="154" t="s">
        <v>225</v>
      </c>
      <c r="B437" s="155" t="s">
        <v>226</v>
      </c>
      <c r="C437" s="155" t="s">
        <v>206</v>
      </c>
      <c r="D437" s="156" t="s">
        <v>554</v>
      </c>
      <c r="E437" s="156" t="s">
        <v>615</v>
      </c>
      <c r="F437" s="156" t="s">
        <v>483</v>
      </c>
      <c r="G437" s="155" t="s">
        <v>209</v>
      </c>
      <c r="H437" s="157" t="s">
        <v>211</v>
      </c>
    </row>
    <row r="438" hidden="1">
      <c r="A438" s="151" t="s">
        <v>225</v>
      </c>
      <c r="B438" s="118" t="s">
        <v>226</v>
      </c>
      <c r="C438" s="118" t="s">
        <v>206</v>
      </c>
      <c r="D438" s="152" t="s">
        <v>554</v>
      </c>
      <c r="E438" s="152" t="s">
        <v>616</v>
      </c>
      <c r="F438" s="152" t="s">
        <v>339</v>
      </c>
      <c r="G438" s="118" t="s">
        <v>209</v>
      </c>
      <c r="H438" s="153" t="s">
        <v>212</v>
      </c>
    </row>
    <row r="439" hidden="1">
      <c r="A439" s="154" t="s">
        <v>225</v>
      </c>
      <c r="B439" s="155" t="s">
        <v>226</v>
      </c>
      <c r="C439" s="155" t="s">
        <v>206</v>
      </c>
      <c r="D439" s="156" t="s">
        <v>554</v>
      </c>
      <c r="E439" s="156" t="s">
        <v>617</v>
      </c>
      <c r="F439" s="156" t="s">
        <v>405</v>
      </c>
      <c r="G439" s="155" t="s">
        <v>209</v>
      </c>
      <c r="H439" s="157" t="s">
        <v>213</v>
      </c>
    </row>
    <row r="440" hidden="1">
      <c r="A440" s="151" t="s">
        <v>225</v>
      </c>
      <c r="B440" s="118" t="s">
        <v>226</v>
      </c>
      <c r="C440" s="118" t="s">
        <v>206</v>
      </c>
      <c r="D440" s="152" t="s">
        <v>554</v>
      </c>
      <c r="E440" s="152" t="s">
        <v>618</v>
      </c>
      <c r="F440" s="152" t="s">
        <v>290</v>
      </c>
      <c r="G440" s="118" t="s">
        <v>209</v>
      </c>
      <c r="H440" s="153" t="s">
        <v>214</v>
      </c>
    </row>
    <row r="441" hidden="1">
      <c r="A441" s="154" t="s">
        <v>225</v>
      </c>
      <c r="B441" s="155" t="s">
        <v>226</v>
      </c>
      <c r="C441" s="155" t="s">
        <v>206</v>
      </c>
      <c r="D441" s="156" t="s">
        <v>554</v>
      </c>
      <c r="E441" s="156" t="s">
        <v>619</v>
      </c>
      <c r="F441" s="156" t="s">
        <v>365</v>
      </c>
      <c r="G441" s="155" t="s">
        <v>209</v>
      </c>
      <c r="H441" s="157" t="s">
        <v>215</v>
      </c>
    </row>
    <row r="442" hidden="1">
      <c r="A442" s="151" t="s">
        <v>225</v>
      </c>
      <c r="B442" s="118" t="s">
        <v>226</v>
      </c>
      <c r="C442" s="118" t="s">
        <v>206</v>
      </c>
      <c r="D442" s="152" t="s">
        <v>554</v>
      </c>
      <c r="E442" s="152" t="s">
        <v>620</v>
      </c>
      <c r="F442" s="152" t="s">
        <v>305</v>
      </c>
      <c r="G442" s="118" t="s">
        <v>209</v>
      </c>
      <c r="H442" s="153" t="s">
        <v>216</v>
      </c>
    </row>
    <row r="443" hidden="1">
      <c r="A443" s="154" t="s">
        <v>227</v>
      </c>
      <c r="B443" s="155" t="s">
        <v>195</v>
      </c>
      <c r="C443" s="155" t="s">
        <v>206</v>
      </c>
      <c r="D443" s="156" t="s">
        <v>554</v>
      </c>
      <c r="E443" s="156" t="s">
        <v>621</v>
      </c>
      <c r="F443" s="156" t="s">
        <v>287</v>
      </c>
      <c r="G443" s="155" t="s">
        <v>209</v>
      </c>
      <c r="H443" s="157" t="s">
        <v>210</v>
      </c>
    </row>
    <row r="444" hidden="1">
      <c r="A444" s="151" t="s">
        <v>227</v>
      </c>
      <c r="B444" s="118" t="s">
        <v>195</v>
      </c>
      <c r="C444" s="118" t="s">
        <v>206</v>
      </c>
      <c r="D444" s="152" t="s">
        <v>554</v>
      </c>
      <c r="E444" s="152" t="s">
        <v>622</v>
      </c>
      <c r="F444" s="152" t="s">
        <v>357</v>
      </c>
      <c r="G444" s="118" t="s">
        <v>209</v>
      </c>
      <c r="H444" s="153" t="s">
        <v>211</v>
      </c>
    </row>
    <row r="445" hidden="1">
      <c r="A445" s="154" t="s">
        <v>227</v>
      </c>
      <c r="B445" s="155" t="s">
        <v>195</v>
      </c>
      <c r="C445" s="155" t="s">
        <v>206</v>
      </c>
      <c r="D445" s="156" t="s">
        <v>554</v>
      </c>
      <c r="E445" s="156" t="s">
        <v>623</v>
      </c>
      <c r="F445" s="156" t="s">
        <v>436</v>
      </c>
      <c r="G445" s="155" t="s">
        <v>209</v>
      </c>
      <c r="H445" s="157" t="s">
        <v>212</v>
      </c>
    </row>
    <row r="446" hidden="1">
      <c r="A446" s="151" t="s">
        <v>227</v>
      </c>
      <c r="B446" s="118" t="s">
        <v>195</v>
      </c>
      <c r="C446" s="118" t="s">
        <v>206</v>
      </c>
      <c r="D446" s="152" t="s">
        <v>554</v>
      </c>
      <c r="E446" s="152" t="s">
        <v>624</v>
      </c>
      <c r="F446" s="152" t="s">
        <v>246</v>
      </c>
      <c r="G446" s="118" t="s">
        <v>209</v>
      </c>
      <c r="H446" s="153" t="s">
        <v>213</v>
      </c>
    </row>
    <row r="447" hidden="1">
      <c r="A447" s="154" t="s">
        <v>227</v>
      </c>
      <c r="B447" s="155" t="s">
        <v>195</v>
      </c>
      <c r="C447" s="155" t="s">
        <v>206</v>
      </c>
      <c r="D447" s="156" t="s">
        <v>554</v>
      </c>
      <c r="E447" s="156" t="s">
        <v>625</v>
      </c>
      <c r="F447" s="156" t="s">
        <v>249</v>
      </c>
      <c r="G447" s="155" t="s">
        <v>209</v>
      </c>
      <c r="H447" s="157" t="s">
        <v>214</v>
      </c>
    </row>
    <row r="448" hidden="1">
      <c r="A448" s="151" t="s">
        <v>227</v>
      </c>
      <c r="B448" s="118" t="s">
        <v>195</v>
      </c>
      <c r="C448" s="118" t="s">
        <v>206</v>
      </c>
      <c r="D448" s="152" t="s">
        <v>554</v>
      </c>
      <c r="E448" s="152" t="s">
        <v>626</v>
      </c>
      <c r="F448" s="152" t="s">
        <v>314</v>
      </c>
      <c r="G448" s="118" t="s">
        <v>209</v>
      </c>
      <c r="H448" s="153" t="s">
        <v>215</v>
      </c>
    </row>
    <row r="449" hidden="1">
      <c r="A449" s="154" t="s">
        <v>227</v>
      </c>
      <c r="B449" s="155" t="s">
        <v>195</v>
      </c>
      <c r="C449" s="155" t="s">
        <v>206</v>
      </c>
      <c r="D449" s="156" t="s">
        <v>554</v>
      </c>
      <c r="E449" s="156" t="s">
        <v>627</v>
      </c>
      <c r="F449" s="156" t="s">
        <v>244</v>
      </c>
      <c r="G449" s="155" t="s">
        <v>209</v>
      </c>
      <c r="H449" s="157" t="s">
        <v>216</v>
      </c>
    </row>
    <row r="450" hidden="1">
      <c r="A450" s="151" t="s">
        <v>228</v>
      </c>
      <c r="B450" s="118" t="s">
        <v>138</v>
      </c>
      <c r="C450" s="118" t="s">
        <v>206</v>
      </c>
      <c r="D450" s="152" t="s">
        <v>554</v>
      </c>
      <c r="E450" s="152" t="s">
        <v>628</v>
      </c>
      <c r="F450" s="152" t="s">
        <v>629</v>
      </c>
      <c r="G450" s="118" t="s">
        <v>209</v>
      </c>
      <c r="H450" s="153" t="s">
        <v>210</v>
      </c>
    </row>
    <row r="451" hidden="1">
      <c r="A451" s="154" t="s">
        <v>228</v>
      </c>
      <c r="B451" s="155" t="s">
        <v>138</v>
      </c>
      <c r="C451" s="155" t="s">
        <v>206</v>
      </c>
      <c r="D451" s="156" t="s">
        <v>554</v>
      </c>
      <c r="E451" s="156" t="s">
        <v>630</v>
      </c>
      <c r="F451" s="156" t="s">
        <v>631</v>
      </c>
      <c r="G451" s="155" t="s">
        <v>209</v>
      </c>
      <c r="H451" s="157" t="s">
        <v>211</v>
      </c>
    </row>
    <row r="452" hidden="1">
      <c r="A452" s="151" t="s">
        <v>228</v>
      </c>
      <c r="B452" s="118" t="s">
        <v>138</v>
      </c>
      <c r="C452" s="118" t="s">
        <v>206</v>
      </c>
      <c r="D452" s="152" t="s">
        <v>554</v>
      </c>
      <c r="E452" s="152" t="s">
        <v>632</v>
      </c>
      <c r="F452" s="152" t="s">
        <v>633</v>
      </c>
      <c r="G452" s="118" t="s">
        <v>209</v>
      </c>
      <c r="H452" s="153" t="s">
        <v>212</v>
      </c>
    </row>
    <row r="453" hidden="1">
      <c r="A453" s="154" t="s">
        <v>228</v>
      </c>
      <c r="B453" s="155" t="s">
        <v>138</v>
      </c>
      <c r="C453" s="155" t="s">
        <v>206</v>
      </c>
      <c r="D453" s="156" t="s">
        <v>554</v>
      </c>
      <c r="E453" s="156" t="s">
        <v>634</v>
      </c>
      <c r="F453" s="156" t="s">
        <v>635</v>
      </c>
      <c r="G453" s="155" t="s">
        <v>209</v>
      </c>
      <c r="H453" s="157" t="s">
        <v>213</v>
      </c>
    </row>
    <row r="454" hidden="1">
      <c r="A454" s="151" t="s">
        <v>228</v>
      </c>
      <c r="B454" s="118" t="s">
        <v>138</v>
      </c>
      <c r="C454" s="118" t="s">
        <v>206</v>
      </c>
      <c r="D454" s="152" t="s">
        <v>554</v>
      </c>
      <c r="E454" s="152" t="s">
        <v>636</v>
      </c>
      <c r="F454" s="152" t="s">
        <v>637</v>
      </c>
      <c r="G454" s="118" t="s">
        <v>209</v>
      </c>
      <c r="H454" s="153" t="s">
        <v>214</v>
      </c>
    </row>
    <row r="455" hidden="1">
      <c r="A455" s="154" t="s">
        <v>228</v>
      </c>
      <c r="B455" s="155" t="s">
        <v>138</v>
      </c>
      <c r="C455" s="155" t="s">
        <v>206</v>
      </c>
      <c r="D455" s="156" t="s">
        <v>554</v>
      </c>
      <c r="E455" s="156" t="s">
        <v>638</v>
      </c>
      <c r="F455" s="156" t="s">
        <v>639</v>
      </c>
      <c r="G455" s="155" t="s">
        <v>209</v>
      </c>
      <c r="H455" s="157" t="s">
        <v>215</v>
      </c>
    </row>
    <row r="456" hidden="1">
      <c r="A456" s="151" t="s">
        <v>228</v>
      </c>
      <c r="B456" s="118" t="s">
        <v>138</v>
      </c>
      <c r="C456" s="118" t="s">
        <v>206</v>
      </c>
      <c r="D456" s="152" t="s">
        <v>554</v>
      </c>
      <c r="E456" s="152" t="s">
        <v>640</v>
      </c>
      <c r="F456" s="152" t="s">
        <v>641</v>
      </c>
      <c r="G456" s="118" t="s">
        <v>209</v>
      </c>
      <c r="H456" s="153" t="s">
        <v>216</v>
      </c>
    </row>
    <row r="457" hidden="1">
      <c r="A457" s="154" t="s">
        <v>229</v>
      </c>
      <c r="B457" s="155" t="s">
        <v>193</v>
      </c>
      <c r="C457" s="155" t="s">
        <v>206</v>
      </c>
      <c r="D457" s="156" t="s">
        <v>554</v>
      </c>
      <c r="E457" s="156" t="s">
        <v>642</v>
      </c>
      <c r="F457" s="156" t="s">
        <v>255</v>
      </c>
      <c r="G457" s="155" t="s">
        <v>209</v>
      </c>
      <c r="H457" s="157" t="s">
        <v>210</v>
      </c>
    </row>
    <row r="458" hidden="1">
      <c r="A458" s="151" t="s">
        <v>229</v>
      </c>
      <c r="B458" s="118" t="s">
        <v>193</v>
      </c>
      <c r="C458" s="118" t="s">
        <v>206</v>
      </c>
      <c r="D458" s="152" t="s">
        <v>554</v>
      </c>
      <c r="E458" s="152" t="s">
        <v>643</v>
      </c>
      <c r="F458" s="152" t="s">
        <v>301</v>
      </c>
      <c r="G458" s="118" t="s">
        <v>209</v>
      </c>
      <c r="H458" s="153" t="s">
        <v>211</v>
      </c>
    </row>
    <row r="459" hidden="1">
      <c r="A459" s="154" t="s">
        <v>229</v>
      </c>
      <c r="B459" s="155" t="s">
        <v>193</v>
      </c>
      <c r="C459" s="155" t="s">
        <v>206</v>
      </c>
      <c r="D459" s="156" t="s">
        <v>554</v>
      </c>
      <c r="E459" s="156" t="s">
        <v>644</v>
      </c>
      <c r="F459" s="156" t="s">
        <v>365</v>
      </c>
      <c r="G459" s="155" t="s">
        <v>209</v>
      </c>
      <c r="H459" s="157" t="s">
        <v>212</v>
      </c>
    </row>
    <row r="460" hidden="1">
      <c r="A460" s="151" t="s">
        <v>229</v>
      </c>
      <c r="B460" s="118" t="s">
        <v>193</v>
      </c>
      <c r="C460" s="118" t="s">
        <v>206</v>
      </c>
      <c r="D460" s="152" t="s">
        <v>554</v>
      </c>
      <c r="E460" s="152" t="s">
        <v>645</v>
      </c>
      <c r="F460" s="152" t="s">
        <v>246</v>
      </c>
      <c r="G460" s="118" t="s">
        <v>209</v>
      </c>
      <c r="H460" s="153" t="s">
        <v>213</v>
      </c>
    </row>
    <row r="461" hidden="1">
      <c r="A461" s="154" t="s">
        <v>229</v>
      </c>
      <c r="B461" s="155" t="s">
        <v>193</v>
      </c>
      <c r="C461" s="155" t="s">
        <v>206</v>
      </c>
      <c r="D461" s="156" t="s">
        <v>554</v>
      </c>
      <c r="E461" s="156" t="s">
        <v>646</v>
      </c>
      <c r="F461" s="156" t="s">
        <v>458</v>
      </c>
      <c r="G461" s="155" t="s">
        <v>209</v>
      </c>
      <c r="H461" s="157" t="s">
        <v>214</v>
      </c>
    </row>
    <row r="462" hidden="1">
      <c r="A462" s="151" t="s">
        <v>229</v>
      </c>
      <c r="B462" s="118" t="s">
        <v>193</v>
      </c>
      <c r="C462" s="118" t="s">
        <v>206</v>
      </c>
      <c r="D462" s="152" t="s">
        <v>554</v>
      </c>
      <c r="E462" s="152" t="s">
        <v>647</v>
      </c>
      <c r="F462" s="152" t="s">
        <v>442</v>
      </c>
      <c r="G462" s="118" t="s">
        <v>209</v>
      </c>
      <c r="H462" s="153" t="s">
        <v>215</v>
      </c>
    </row>
    <row r="463" hidden="1">
      <c r="A463" s="154" t="s">
        <v>229</v>
      </c>
      <c r="B463" s="155" t="s">
        <v>193</v>
      </c>
      <c r="C463" s="155" t="s">
        <v>206</v>
      </c>
      <c r="D463" s="156" t="s">
        <v>554</v>
      </c>
      <c r="E463" s="156" t="s">
        <v>648</v>
      </c>
      <c r="F463" s="156" t="s">
        <v>255</v>
      </c>
      <c r="G463" s="155" t="s">
        <v>209</v>
      </c>
      <c r="H463" s="157" t="s">
        <v>216</v>
      </c>
    </row>
    <row r="464" hidden="1">
      <c r="A464" s="151" t="s">
        <v>230</v>
      </c>
      <c r="B464" s="118" t="s">
        <v>194</v>
      </c>
      <c r="C464" s="118" t="s">
        <v>206</v>
      </c>
      <c r="D464" s="152" t="s">
        <v>554</v>
      </c>
      <c r="E464" s="152" t="s">
        <v>649</v>
      </c>
      <c r="F464" s="152" t="s">
        <v>287</v>
      </c>
      <c r="G464" s="118" t="s">
        <v>209</v>
      </c>
      <c r="H464" s="153" t="s">
        <v>210</v>
      </c>
    </row>
    <row r="465" hidden="1">
      <c r="A465" s="154" t="s">
        <v>230</v>
      </c>
      <c r="B465" s="155" t="s">
        <v>194</v>
      </c>
      <c r="C465" s="155" t="s">
        <v>206</v>
      </c>
      <c r="D465" s="156" t="s">
        <v>554</v>
      </c>
      <c r="E465" s="156" t="s">
        <v>650</v>
      </c>
      <c r="F465" s="156" t="s">
        <v>285</v>
      </c>
      <c r="G465" s="155" t="s">
        <v>209</v>
      </c>
      <c r="H465" s="157" t="s">
        <v>211</v>
      </c>
    </row>
    <row r="466" hidden="1">
      <c r="A466" s="151" t="s">
        <v>230</v>
      </c>
      <c r="B466" s="118" t="s">
        <v>194</v>
      </c>
      <c r="C466" s="118" t="s">
        <v>206</v>
      </c>
      <c r="D466" s="152" t="s">
        <v>554</v>
      </c>
      <c r="E466" s="152" t="s">
        <v>651</v>
      </c>
      <c r="F466" s="152" t="s">
        <v>240</v>
      </c>
      <c r="G466" s="118" t="s">
        <v>209</v>
      </c>
      <c r="H466" s="153" t="s">
        <v>212</v>
      </c>
    </row>
    <row r="467" hidden="1">
      <c r="A467" s="154" t="s">
        <v>230</v>
      </c>
      <c r="B467" s="155" t="s">
        <v>194</v>
      </c>
      <c r="C467" s="155" t="s">
        <v>206</v>
      </c>
      <c r="D467" s="156" t="s">
        <v>554</v>
      </c>
      <c r="E467" s="156" t="s">
        <v>652</v>
      </c>
      <c r="F467" s="156" t="s">
        <v>323</v>
      </c>
      <c r="G467" s="155" t="s">
        <v>209</v>
      </c>
      <c r="H467" s="157" t="s">
        <v>213</v>
      </c>
    </row>
    <row r="468" hidden="1">
      <c r="A468" s="151" t="s">
        <v>230</v>
      </c>
      <c r="B468" s="118" t="s">
        <v>194</v>
      </c>
      <c r="C468" s="118" t="s">
        <v>206</v>
      </c>
      <c r="D468" s="152" t="s">
        <v>554</v>
      </c>
      <c r="E468" s="152" t="s">
        <v>653</v>
      </c>
      <c r="F468" s="152" t="s">
        <v>314</v>
      </c>
      <c r="G468" s="118" t="s">
        <v>209</v>
      </c>
      <c r="H468" s="153" t="s">
        <v>214</v>
      </c>
    </row>
    <row r="469" hidden="1">
      <c r="A469" s="154" t="s">
        <v>230</v>
      </c>
      <c r="B469" s="155" t="s">
        <v>194</v>
      </c>
      <c r="C469" s="155" t="s">
        <v>206</v>
      </c>
      <c r="D469" s="156" t="s">
        <v>554</v>
      </c>
      <c r="E469" s="156" t="s">
        <v>654</v>
      </c>
      <c r="F469" s="156" t="s">
        <v>365</v>
      </c>
      <c r="G469" s="155" t="s">
        <v>209</v>
      </c>
      <c r="H469" s="157" t="s">
        <v>215</v>
      </c>
    </row>
    <row r="470" hidden="1">
      <c r="A470" s="151" t="s">
        <v>230</v>
      </c>
      <c r="B470" s="118" t="s">
        <v>194</v>
      </c>
      <c r="C470" s="118" t="s">
        <v>206</v>
      </c>
      <c r="D470" s="152" t="s">
        <v>554</v>
      </c>
      <c r="E470" s="152" t="s">
        <v>655</v>
      </c>
      <c r="F470" s="152" t="s">
        <v>242</v>
      </c>
      <c r="G470" s="118" t="s">
        <v>209</v>
      </c>
      <c r="H470" s="153" t="s">
        <v>216</v>
      </c>
    </row>
    <row r="471" hidden="1">
      <c r="A471" s="158" t="s">
        <v>231</v>
      </c>
      <c r="B471" s="159"/>
      <c r="C471" s="155" t="s">
        <v>232</v>
      </c>
      <c r="D471" s="156" t="s">
        <v>554</v>
      </c>
      <c r="E471" s="156" t="s">
        <v>656</v>
      </c>
      <c r="F471" s="156" t="s">
        <v>450</v>
      </c>
      <c r="G471" s="155" t="s">
        <v>209</v>
      </c>
      <c r="H471" s="157" t="s">
        <v>210</v>
      </c>
    </row>
    <row r="472" hidden="1">
      <c r="A472" s="160" t="s">
        <v>231</v>
      </c>
      <c r="B472" s="72"/>
      <c r="C472" s="118" t="s">
        <v>232</v>
      </c>
      <c r="D472" s="152" t="s">
        <v>554</v>
      </c>
      <c r="E472" s="152" t="s">
        <v>657</v>
      </c>
      <c r="F472" s="152" t="s">
        <v>257</v>
      </c>
      <c r="G472" s="118" t="s">
        <v>209</v>
      </c>
      <c r="H472" s="153" t="s">
        <v>211</v>
      </c>
    </row>
    <row r="473" hidden="1">
      <c r="A473" s="158" t="s">
        <v>231</v>
      </c>
      <c r="B473" s="159"/>
      <c r="C473" s="155" t="s">
        <v>232</v>
      </c>
      <c r="D473" s="156" t="s">
        <v>554</v>
      </c>
      <c r="E473" s="156" t="s">
        <v>658</v>
      </c>
      <c r="F473" s="156" t="s">
        <v>265</v>
      </c>
      <c r="G473" s="155" t="s">
        <v>209</v>
      </c>
      <c r="H473" s="157" t="s">
        <v>212</v>
      </c>
    </row>
    <row r="474" hidden="1">
      <c r="A474" s="160" t="s">
        <v>231</v>
      </c>
      <c r="B474" s="72"/>
      <c r="C474" s="118" t="s">
        <v>232</v>
      </c>
      <c r="D474" s="152" t="s">
        <v>554</v>
      </c>
      <c r="E474" s="152" t="s">
        <v>659</v>
      </c>
      <c r="F474" s="152" t="s">
        <v>374</v>
      </c>
      <c r="G474" s="118" t="s">
        <v>209</v>
      </c>
      <c r="H474" s="153" t="s">
        <v>213</v>
      </c>
    </row>
    <row r="475" hidden="1">
      <c r="A475" s="158" t="s">
        <v>231</v>
      </c>
      <c r="B475" s="159"/>
      <c r="C475" s="155" t="s">
        <v>232</v>
      </c>
      <c r="D475" s="156" t="s">
        <v>554</v>
      </c>
      <c r="E475" s="156" t="s">
        <v>660</v>
      </c>
      <c r="F475" s="156" t="s">
        <v>244</v>
      </c>
      <c r="G475" s="155" t="s">
        <v>209</v>
      </c>
      <c r="H475" s="157" t="s">
        <v>214</v>
      </c>
    </row>
    <row r="476" hidden="1">
      <c r="A476" s="160" t="s">
        <v>231</v>
      </c>
      <c r="B476" s="72"/>
      <c r="C476" s="118" t="s">
        <v>232</v>
      </c>
      <c r="D476" s="152" t="s">
        <v>554</v>
      </c>
      <c r="E476" s="152" t="s">
        <v>661</v>
      </c>
      <c r="F476" s="152" t="s">
        <v>240</v>
      </c>
      <c r="G476" s="118" t="s">
        <v>209</v>
      </c>
      <c r="H476" s="153" t="s">
        <v>215</v>
      </c>
    </row>
    <row r="477" hidden="1">
      <c r="A477" s="158" t="s">
        <v>231</v>
      </c>
      <c r="B477" s="159"/>
      <c r="C477" s="155" t="s">
        <v>232</v>
      </c>
      <c r="D477" s="156" t="s">
        <v>554</v>
      </c>
      <c r="E477" s="156" t="s">
        <v>662</v>
      </c>
      <c r="F477" s="156" t="s">
        <v>314</v>
      </c>
      <c r="G477" s="155" t="s">
        <v>209</v>
      </c>
      <c r="H477" s="157" t="s">
        <v>216</v>
      </c>
    </row>
    <row r="478" hidden="1">
      <c r="A478" s="160" t="s">
        <v>233</v>
      </c>
      <c r="B478" s="72"/>
      <c r="C478" s="118" t="s">
        <v>232</v>
      </c>
      <c r="D478" s="152" t="s">
        <v>554</v>
      </c>
      <c r="E478" s="152" t="s">
        <v>663</v>
      </c>
      <c r="F478" s="152" t="s">
        <v>242</v>
      </c>
      <c r="G478" s="118" t="s">
        <v>209</v>
      </c>
      <c r="H478" s="153" t="s">
        <v>210</v>
      </c>
    </row>
    <row r="479" hidden="1">
      <c r="A479" s="158" t="s">
        <v>233</v>
      </c>
      <c r="B479" s="159"/>
      <c r="C479" s="155" t="s">
        <v>232</v>
      </c>
      <c r="D479" s="156" t="s">
        <v>554</v>
      </c>
      <c r="E479" s="156" t="s">
        <v>664</v>
      </c>
      <c r="F479" s="156" t="s">
        <v>323</v>
      </c>
      <c r="G479" s="155" t="s">
        <v>209</v>
      </c>
      <c r="H479" s="157" t="s">
        <v>211</v>
      </c>
    </row>
    <row r="480" hidden="1">
      <c r="A480" s="160" t="s">
        <v>233</v>
      </c>
      <c r="B480" s="72"/>
      <c r="C480" s="118" t="s">
        <v>232</v>
      </c>
      <c r="D480" s="152" t="s">
        <v>554</v>
      </c>
      <c r="E480" s="152" t="s">
        <v>665</v>
      </c>
      <c r="F480" s="152" t="s">
        <v>357</v>
      </c>
      <c r="G480" s="118" t="s">
        <v>209</v>
      </c>
      <c r="H480" s="153" t="s">
        <v>212</v>
      </c>
    </row>
    <row r="481" hidden="1">
      <c r="A481" s="158" t="s">
        <v>233</v>
      </c>
      <c r="B481" s="159"/>
      <c r="C481" s="155" t="s">
        <v>232</v>
      </c>
      <c r="D481" s="156" t="s">
        <v>554</v>
      </c>
      <c r="E481" s="156" t="s">
        <v>666</v>
      </c>
      <c r="F481" s="156" t="s">
        <v>285</v>
      </c>
      <c r="G481" s="155" t="s">
        <v>209</v>
      </c>
      <c r="H481" s="157" t="s">
        <v>213</v>
      </c>
    </row>
    <row r="482" hidden="1">
      <c r="A482" s="160" t="s">
        <v>233</v>
      </c>
      <c r="B482" s="72"/>
      <c r="C482" s="118" t="s">
        <v>232</v>
      </c>
      <c r="D482" s="152" t="s">
        <v>554</v>
      </c>
      <c r="E482" s="152" t="s">
        <v>667</v>
      </c>
      <c r="F482" s="152" t="s">
        <v>365</v>
      </c>
      <c r="G482" s="118" t="s">
        <v>209</v>
      </c>
      <c r="H482" s="153" t="s">
        <v>214</v>
      </c>
    </row>
    <row r="483" hidden="1">
      <c r="A483" s="158" t="s">
        <v>233</v>
      </c>
      <c r="B483" s="159"/>
      <c r="C483" s="155" t="s">
        <v>232</v>
      </c>
      <c r="D483" s="156" t="s">
        <v>554</v>
      </c>
      <c r="E483" s="156" t="s">
        <v>668</v>
      </c>
      <c r="F483" s="156" t="s">
        <v>244</v>
      </c>
      <c r="G483" s="155" t="s">
        <v>209</v>
      </c>
      <c r="H483" s="157" t="s">
        <v>215</v>
      </c>
    </row>
    <row r="484" hidden="1">
      <c r="A484" s="160" t="s">
        <v>233</v>
      </c>
      <c r="B484" s="72"/>
      <c r="C484" s="118" t="s">
        <v>232</v>
      </c>
      <c r="D484" s="152" t="s">
        <v>554</v>
      </c>
      <c r="E484" s="152" t="s">
        <v>669</v>
      </c>
      <c r="F484" s="152" t="s">
        <v>357</v>
      </c>
      <c r="G484" s="118" t="s">
        <v>209</v>
      </c>
      <c r="H484" s="153" t="s">
        <v>216</v>
      </c>
    </row>
    <row r="485" hidden="1">
      <c r="A485" s="158" t="s">
        <v>234</v>
      </c>
      <c r="B485" s="159"/>
      <c r="C485" s="155" t="s">
        <v>232</v>
      </c>
      <c r="D485" s="156" t="s">
        <v>554</v>
      </c>
      <c r="E485" s="156" t="s">
        <v>670</v>
      </c>
      <c r="F485" s="156" t="s">
        <v>351</v>
      </c>
      <c r="G485" s="155" t="s">
        <v>209</v>
      </c>
      <c r="H485" s="157" t="s">
        <v>210</v>
      </c>
    </row>
    <row r="486" hidden="1">
      <c r="A486" s="160" t="s">
        <v>234</v>
      </c>
      <c r="B486" s="72"/>
      <c r="C486" s="118" t="s">
        <v>232</v>
      </c>
      <c r="D486" s="152" t="s">
        <v>554</v>
      </c>
      <c r="E486" s="152" t="s">
        <v>671</v>
      </c>
      <c r="F486" s="152" t="s">
        <v>305</v>
      </c>
      <c r="G486" s="118" t="s">
        <v>209</v>
      </c>
      <c r="H486" s="153" t="s">
        <v>211</v>
      </c>
    </row>
    <row r="487" hidden="1">
      <c r="A487" s="158" t="s">
        <v>234</v>
      </c>
      <c r="B487" s="159"/>
      <c r="C487" s="155" t="s">
        <v>232</v>
      </c>
      <c r="D487" s="156" t="s">
        <v>554</v>
      </c>
      <c r="E487" s="156" t="s">
        <v>672</v>
      </c>
      <c r="F487" s="156" t="s">
        <v>673</v>
      </c>
      <c r="G487" s="155" t="s">
        <v>209</v>
      </c>
      <c r="H487" s="157" t="s">
        <v>212</v>
      </c>
    </row>
    <row r="488" hidden="1">
      <c r="A488" s="160" t="s">
        <v>234</v>
      </c>
      <c r="B488" s="72"/>
      <c r="C488" s="118" t="s">
        <v>232</v>
      </c>
      <c r="D488" s="152" t="s">
        <v>554</v>
      </c>
      <c r="E488" s="152" t="s">
        <v>674</v>
      </c>
      <c r="F488" s="152" t="s">
        <v>675</v>
      </c>
      <c r="G488" s="118" t="s">
        <v>209</v>
      </c>
      <c r="H488" s="153" t="s">
        <v>213</v>
      </c>
    </row>
    <row r="489" hidden="1">
      <c r="A489" s="158" t="s">
        <v>234</v>
      </c>
      <c r="B489" s="159"/>
      <c r="C489" s="155" t="s">
        <v>232</v>
      </c>
      <c r="D489" s="156" t="s">
        <v>554</v>
      </c>
      <c r="E489" s="156" t="s">
        <v>676</v>
      </c>
      <c r="F489" s="156" t="s">
        <v>677</v>
      </c>
      <c r="G489" s="155" t="s">
        <v>209</v>
      </c>
      <c r="H489" s="157" t="s">
        <v>214</v>
      </c>
    </row>
    <row r="490" hidden="1">
      <c r="A490" s="160" t="s">
        <v>234</v>
      </c>
      <c r="B490" s="72"/>
      <c r="C490" s="118" t="s">
        <v>232</v>
      </c>
      <c r="D490" s="152" t="s">
        <v>554</v>
      </c>
      <c r="E490" s="152" t="s">
        <v>678</v>
      </c>
      <c r="F490" s="152" t="s">
        <v>329</v>
      </c>
      <c r="G490" s="118" t="s">
        <v>209</v>
      </c>
      <c r="H490" s="153" t="s">
        <v>215</v>
      </c>
    </row>
    <row r="491" hidden="1">
      <c r="A491" s="158" t="s">
        <v>234</v>
      </c>
      <c r="B491" s="159"/>
      <c r="C491" s="155" t="s">
        <v>232</v>
      </c>
      <c r="D491" s="156" t="s">
        <v>554</v>
      </c>
      <c r="E491" s="156" t="s">
        <v>679</v>
      </c>
      <c r="F491" s="156" t="s">
        <v>325</v>
      </c>
      <c r="G491" s="155" t="s">
        <v>209</v>
      </c>
      <c r="H491" s="157" t="s">
        <v>216</v>
      </c>
    </row>
    <row r="492" hidden="1">
      <c r="A492" s="160" t="s">
        <v>235</v>
      </c>
      <c r="B492" s="72"/>
      <c r="C492" s="118" t="s">
        <v>236</v>
      </c>
      <c r="D492" s="152" t="s">
        <v>554</v>
      </c>
      <c r="E492" s="152" t="s">
        <v>680</v>
      </c>
      <c r="F492" s="152" t="s">
        <v>249</v>
      </c>
      <c r="G492" s="118" t="s">
        <v>209</v>
      </c>
      <c r="H492" s="153" t="s">
        <v>210</v>
      </c>
    </row>
    <row r="493" hidden="1">
      <c r="A493" s="158" t="s">
        <v>235</v>
      </c>
      <c r="B493" s="159"/>
      <c r="C493" s="155" t="s">
        <v>236</v>
      </c>
      <c r="D493" s="156" t="s">
        <v>554</v>
      </c>
      <c r="E493" s="156" t="s">
        <v>681</v>
      </c>
      <c r="F493" s="156" t="s">
        <v>357</v>
      </c>
      <c r="G493" s="155" t="s">
        <v>209</v>
      </c>
      <c r="H493" s="157" t="s">
        <v>211</v>
      </c>
    </row>
    <row r="494" hidden="1">
      <c r="A494" s="160" t="s">
        <v>235</v>
      </c>
      <c r="B494" s="72"/>
      <c r="C494" s="118" t="s">
        <v>236</v>
      </c>
      <c r="D494" s="152" t="s">
        <v>554</v>
      </c>
      <c r="E494" s="152" t="s">
        <v>682</v>
      </c>
      <c r="F494" s="152" t="s">
        <v>242</v>
      </c>
      <c r="G494" s="118" t="s">
        <v>209</v>
      </c>
      <c r="H494" s="153" t="s">
        <v>212</v>
      </c>
    </row>
    <row r="495" hidden="1">
      <c r="A495" s="158" t="s">
        <v>235</v>
      </c>
      <c r="B495" s="159"/>
      <c r="C495" s="155" t="s">
        <v>236</v>
      </c>
      <c r="D495" s="156" t="s">
        <v>554</v>
      </c>
      <c r="E495" s="156" t="s">
        <v>683</v>
      </c>
      <c r="F495" s="156" t="s">
        <v>242</v>
      </c>
      <c r="G495" s="155" t="s">
        <v>209</v>
      </c>
      <c r="H495" s="157" t="s">
        <v>213</v>
      </c>
    </row>
    <row r="496" hidden="1">
      <c r="A496" s="160" t="s">
        <v>235</v>
      </c>
      <c r="B496" s="72"/>
      <c r="C496" s="118" t="s">
        <v>236</v>
      </c>
      <c r="D496" s="152" t="s">
        <v>554</v>
      </c>
      <c r="E496" s="152" t="s">
        <v>684</v>
      </c>
      <c r="F496" s="152" t="s">
        <v>323</v>
      </c>
      <c r="G496" s="118" t="s">
        <v>209</v>
      </c>
      <c r="H496" s="153" t="s">
        <v>214</v>
      </c>
    </row>
    <row r="497" hidden="1">
      <c r="A497" s="158" t="s">
        <v>235</v>
      </c>
      <c r="B497" s="159"/>
      <c r="C497" s="155" t="s">
        <v>236</v>
      </c>
      <c r="D497" s="156" t="s">
        <v>554</v>
      </c>
      <c r="E497" s="156" t="s">
        <v>685</v>
      </c>
      <c r="F497" s="156" t="s">
        <v>257</v>
      </c>
      <c r="G497" s="155" t="s">
        <v>209</v>
      </c>
      <c r="H497" s="157" t="s">
        <v>215</v>
      </c>
    </row>
    <row r="498" hidden="1">
      <c r="A498" s="160" t="s">
        <v>235</v>
      </c>
      <c r="B498" s="72"/>
      <c r="C498" s="118" t="s">
        <v>236</v>
      </c>
      <c r="D498" s="152" t="s">
        <v>554</v>
      </c>
      <c r="E498" s="152" t="s">
        <v>686</v>
      </c>
      <c r="F498" s="152" t="s">
        <v>285</v>
      </c>
      <c r="G498" s="118" t="s">
        <v>209</v>
      </c>
      <c r="H498" s="153" t="s">
        <v>216</v>
      </c>
    </row>
    <row r="499" hidden="1">
      <c r="A499" s="158" t="s">
        <v>237</v>
      </c>
      <c r="B499" s="159"/>
      <c r="C499" s="155" t="s">
        <v>236</v>
      </c>
      <c r="D499" s="156" t="s">
        <v>554</v>
      </c>
      <c r="E499" s="156" t="s">
        <v>687</v>
      </c>
      <c r="F499" s="156" t="s">
        <v>365</v>
      </c>
      <c r="G499" s="155" t="s">
        <v>209</v>
      </c>
      <c r="H499" s="157" t="s">
        <v>210</v>
      </c>
    </row>
    <row r="500" hidden="1">
      <c r="A500" s="160" t="s">
        <v>237</v>
      </c>
      <c r="B500" s="72"/>
      <c r="C500" s="118" t="s">
        <v>236</v>
      </c>
      <c r="D500" s="152" t="s">
        <v>554</v>
      </c>
      <c r="E500" s="152" t="s">
        <v>688</v>
      </c>
      <c r="F500" s="152" t="s">
        <v>331</v>
      </c>
      <c r="G500" s="118" t="s">
        <v>209</v>
      </c>
      <c r="H500" s="153" t="s">
        <v>211</v>
      </c>
    </row>
    <row r="501" hidden="1">
      <c r="A501" s="158" t="s">
        <v>237</v>
      </c>
      <c r="B501" s="159"/>
      <c r="C501" s="155" t="s">
        <v>236</v>
      </c>
      <c r="D501" s="156" t="s">
        <v>554</v>
      </c>
      <c r="E501" s="156" t="s">
        <v>689</v>
      </c>
      <c r="F501" s="156" t="s">
        <v>478</v>
      </c>
      <c r="G501" s="155" t="s">
        <v>209</v>
      </c>
      <c r="H501" s="157" t="s">
        <v>212</v>
      </c>
    </row>
    <row r="502" hidden="1">
      <c r="A502" s="160" t="s">
        <v>237</v>
      </c>
      <c r="B502" s="72"/>
      <c r="C502" s="118" t="s">
        <v>236</v>
      </c>
      <c r="D502" s="152" t="s">
        <v>554</v>
      </c>
      <c r="E502" s="152" t="s">
        <v>690</v>
      </c>
      <c r="F502" s="152" t="s">
        <v>691</v>
      </c>
      <c r="G502" s="118" t="s">
        <v>209</v>
      </c>
      <c r="H502" s="153" t="s">
        <v>213</v>
      </c>
    </row>
    <row r="503" hidden="1">
      <c r="A503" s="158" t="s">
        <v>237</v>
      </c>
      <c r="B503" s="159"/>
      <c r="C503" s="155" t="s">
        <v>236</v>
      </c>
      <c r="D503" s="156" t="s">
        <v>554</v>
      </c>
      <c r="E503" s="156" t="s">
        <v>692</v>
      </c>
      <c r="F503" s="156" t="s">
        <v>336</v>
      </c>
      <c r="G503" s="155" t="s">
        <v>209</v>
      </c>
      <c r="H503" s="157" t="s">
        <v>214</v>
      </c>
    </row>
    <row r="504" hidden="1">
      <c r="A504" s="160" t="s">
        <v>237</v>
      </c>
      <c r="B504" s="72"/>
      <c r="C504" s="118" t="s">
        <v>236</v>
      </c>
      <c r="D504" s="152" t="s">
        <v>554</v>
      </c>
      <c r="E504" s="152" t="s">
        <v>693</v>
      </c>
      <c r="F504" s="152" t="s">
        <v>336</v>
      </c>
      <c r="G504" s="118" t="s">
        <v>209</v>
      </c>
      <c r="H504" s="153" t="s">
        <v>215</v>
      </c>
    </row>
    <row r="505" hidden="1">
      <c r="A505" s="158" t="s">
        <v>237</v>
      </c>
      <c r="B505" s="159"/>
      <c r="C505" s="155" t="s">
        <v>236</v>
      </c>
      <c r="D505" s="156" t="s">
        <v>554</v>
      </c>
      <c r="E505" s="156" t="s">
        <v>694</v>
      </c>
      <c r="F505" s="156" t="s">
        <v>290</v>
      </c>
      <c r="G505" s="155" t="s">
        <v>209</v>
      </c>
      <c r="H505" s="157" t="s">
        <v>216</v>
      </c>
    </row>
    <row r="506" hidden="1">
      <c r="A506" s="151" t="s">
        <v>204</v>
      </c>
      <c r="B506" s="118" t="s">
        <v>205</v>
      </c>
      <c r="C506" s="118" t="s">
        <v>206</v>
      </c>
      <c r="D506" s="152" t="s">
        <v>695</v>
      </c>
      <c r="E506" s="152" t="s">
        <v>696</v>
      </c>
      <c r="F506" s="152" t="s">
        <v>249</v>
      </c>
      <c r="G506" s="118" t="s">
        <v>209</v>
      </c>
      <c r="H506" s="153" t="s">
        <v>210</v>
      </c>
    </row>
    <row r="507" hidden="1">
      <c r="A507" s="154" t="s">
        <v>204</v>
      </c>
      <c r="B507" s="155" t="s">
        <v>205</v>
      </c>
      <c r="C507" s="155" t="s">
        <v>206</v>
      </c>
      <c r="D507" s="156" t="s">
        <v>695</v>
      </c>
      <c r="E507" s="156" t="s">
        <v>697</v>
      </c>
      <c r="F507" s="156" t="s">
        <v>308</v>
      </c>
      <c r="G507" s="155" t="s">
        <v>209</v>
      </c>
      <c r="H507" s="157" t="s">
        <v>211</v>
      </c>
    </row>
    <row r="508" hidden="1">
      <c r="A508" s="151" t="s">
        <v>204</v>
      </c>
      <c r="B508" s="118" t="s">
        <v>205</v>
      </c>
      <c r="C508" s="118" t="s">
        <v>206</v>
      </c>
      <c r="D508" s="152" t="s">
        <v>695</v>
      </c>
      <c r="E508" s="152" t="s">
        <v>698</v>
      </c>
      <c r="F508" s="152" t="s">
        <v>285</v>
      </c>
      <c r="G508" s="118" t="s">
        <v>209</v>
      </c>
      <c r="H508" s="153" t="s">
        <v>212</v>
      </c>
    </row>
    <row r="509" hidden="1">
      <c r="A509" s="154" t="s">
        <v>204</v>
      </c>
      <c r="B509" s="155" t="s">
        <v>205</v>
      </c>
      <c r="C509" s="155" t="s">
        <v>206</v>
      </c>
      <c r="D509" s="156" t="s">
        <v>695</v>
      </c>
      <c r="E509" s="156" t="s">
        <v>699</v>
      </c>
      <c r="F509" s="156" t="s">
        <v>308</v>
      </c>
      <c r="G509" s="155" t="s">
        <v>209</v>
      </c>
      <c r="H509" s="157" t="s">
        <v>213</v>
      </c>
    </row>
    <row r="510" hidden="1">
      <c r="A510" s="151" t="s">
        <v>204</v>
      </c>
      <c r="B510" s="118" t="s">
        <v>205</v>
      </c>
      <c r="C510" s="118" t="s">
        <v>206</v>
      </c>
      <c r="D510" s="152" t="s">
        <v>695</v>
      </c>
      <c r="E510" s="152" t="s">
        <v>700</v>
      </c>
      <c r="F510" s="152" t="s">
        <v>351</v>
      </c>
      <c r="G510" s="118" t="s">
        <v>209</v>
      </c>
      <c r="H510" s="153" t="s">
        <v>214</v>
      </c>
    </row>
    <row r="511" hidden="1">
      <c r="A511" s="154" t="s">
        <v>204</v>
      </c>
      <c r="B511" s="155" t="s">
        <v>205</v>
      </c>
      <c r="C511" s="155" t="s">
        <v>206</v>
      </c>
      <c r="D511" s="156" t="s">
        <v>695</v>
      </c>
      <c r="E511" s="156" t="s">
        <v>701</v>
      </c>
      <c r="F511" s="156" t="s">
        <v>365</v>
      </c>
      <c r="G511" s="155" t="s">
        <v>209</v>
      </c>
      <c r="H511" s="157" t="s">
        <v>215</v>
      </c>
    </row>
    <row r="512" hidden="1">
      <c r="A512" s="151" t="s">
        <v>204</v>
      </c>
      <c r="B512" s="118" t="s">
        <v>205</v>
      </c>
      <c r="C512" s="118" t="s">
        <v>206</v>
      </c>
      <c r="D512" s="152" t="s">
        <v>695</v>
      </c>
      <c r="E512" s="152" t="s">
        <v>702</v>
      </c>
      <c r="F512" s="152" t="s">
        <v>308</v>
      </c>
      <c r="G512" s="118" t="s">
        <v>209</v>
      </c>
      <c r="H512" s="153" t="s">
        <v>216</v>
      </c>
    </row>
    <row r="513" hidden="1">
      <c r="A513" s="154" t="s">
        <v>217</v>
      </c>
      <c r="B513" s="155" t="s">
        <v>191</v>
      </c>
      <c r="C513" s="155" t="s">
        <v>206</v>
      </c>
      <c r="D513" s="156" t="s">
        <v>695</v>
      </c>
      <c r="E513" s="156" t="s">
        <v>703</v>
      </c>
      <c r="F513" s="156" t="s">
        <v>359</v>
      </c>
      <c r="G513" s="155" t="s">
        <v>209</v>
      </c>
      <c r="H513" s="157" t="s">
        <v>210</v>
      </c>
    </row>
    <row r="514" hidden="1">
      <c r="A514" s="151" t="s">
        <v>217</v>
      </c>
      <c r="B514" s="118" t="s">
        <v>191</v>
      </c>
      <c r="C514" s="118" t="s">
        <v>206</v>
      </c>
      <c r="D514" s="152" t="s">
        <v>695</v>
      </c>
      <c r="E514" s="152" t="s">
        <v>704</v>
      </c>
      <c r="F514" s="152" t="s">
        <v>365</v>
      </c>
      <c r="G514" s="118" t="s">
        <v>209</v>
      </c>
      <c r="H514" s="153" t="s">
        <v>211</v>
      </c>
    </row>
    <row r="515" hidden="1">
      <c r="A515" s="154" t="s">
        <v>217</v>
      </c>
      <c r="B515" s="155" t="s">
        <v>191</v>
      </c>
      <c r="C515" s="155" t="s">
        <v>206</v>
      </c>
      <c r="D515" s="156" t="s">
        <v>695</v>
      </c>
      <c r="E515" s="156" t="s">
        <v>705</v>
      </c>
      <c r="F515" s="156" t="s">
        <v>331</v>
      </c>
      <c r="G515" s="155" t="s">
        <v>209</v>
      </c>
      <c r="H515" s="157" t="s">
        <v>212</v>
      </c>
    </row>
    <row r="516" hidden="1">
      <c r="A516" s="151" t="s">
        <v>217</v>
      </c>
      <c r="B516" s="118" t="s">
        <v>191</v>
      </c>
      <c r="C516" s="118" t="s">
        <v>206</v>
      </c>
      <c r="D516" s="152" t="s">
        <v>695</v>
      </c>
      <c r="E516" s="152" t="s">
        <v>706</v>
      </c>
      <c r="F516" s="152" t="s">
        <v>285</v>
      </c>
      <c r="G516" s="118" t="s">
        <v>209</v>
      </c>
      <c r="H516" s="153" t="s">
        <v>213</v>
      </c>
    </row>
    <row r="517" hidden="1">
      <c r="A517" s="154" t="s">
        <v>217</v>
      </c>
      <c r="B517" s="155" t="s">
        <v>191</v>
      </c>
      <c r="C517" s="155" t="s">
        <v>206</v>
      </c>
      <c r="D517" s="156" t="s">
        <v>695</v>
      </c>
      <c r="E517" s="156" t="s">
        <v>707</v>
      </c>
      <c r="F517" s="156" t="s">
        <v>290</v>
      </c>
      <c r="G517" s="155" t="s">
        <v>209</v>
      </c>
      <c r="H517" s="157" t="s">
        <v>214</v>
      </c>
    </row>
    <row r="518" hidden="1">
      <c r="A518" s="151" t="s">
        <v>217</v>
      </c>
      <c r="B518" s="118" t="s">
        <v>191</v>
      </c>
      <c r="C518" s="118" t="s">
        <v>206</v>
      </c>
      <c r="D518" s="152" t="s">
        <v>695</v>
      </c>
      <c r="E518" s="152" t="s">
        <v>708</v>
      </c>
      <c r="F518" s="152" t="s">
        <v>287</v>
      </c>
      <c r="G518" s="118" t="s">
        <v>209</v>
      </c>
      <c r="H518" s="153" t="s">
        <v>215</v>
      </c>
    </row>
    <row r="519" hidden="1">
      <c r="A519" s="154" t="s">
        <v>217</v>
      </c>
      <c r="B519" s="155" t="s">
        <v>191</v>
      </c>
      <c r="C519" s="155" t="s">
        <v>206</v>
      </c>
      <c r="D519" s="156" t="s">
        <v>695</v>
      </c>
      <c r="E519" s="156" t="s">
        <v>709</v>
      </c>
      <c r="F519" s="156" t="s">
        <v>285</v>
      </c>
      <c r="G519" s="155" t="s">
        <v>209</v>
      </c>
      <c r="H519" s="157" t="s">
        <v>216</v>
      </c>
    </row>
    <row r="520" hidden="1">
      <c r="A520" s="151" t="s">
        <v>218</v>
      </c>
      <c r="B520" s="118" t="s">
        <v>219</v>
      </c>
      <c r="C520" s="118" t="s">
        <v>206</v>
      </c>
      <c r="D520" s="152" t="s">
        <v>695</v>
      </c>
      <c r="E520" s="152" t="s">
        <v>710</v>
      </c>
      <c r="F520" s="152" t="s">
        <v>359</v>
      </c>
      <c r="G520" s="118" t="s">
        <v>209</v>
      </c>
      <c r="H520" s="153" t="s">
        <v>210</v>
      </c>
    </row>
    <row r="521" hidden="1">
      <c r="A521" s="154" t="s">
        <v>218</v>
      </c>
      <c r="B521" s="155" t="s">
        <v>219</v>
      </c>
      <c r="C521" s="155" t="s">
        <v>206</v>
      </c>
      <c r="D521" s="156" t="s">
        <v>695</v>
      </c>
      <c r="E521" s="156" t="s">
        <v>711</v>
      </c>
      <c r="F521" s="156" t="s">
        <v>314</v>
      </c>
      <c r="G521" s="155" t="s">
        <v>209</v>
      </c>
      <c r="H521" s="157" t="s">
        <v>211</v>
      </c>
    </row>
    <row r="522" hidden="1">
      <c r="A522" s="151" t="s">
        <v>218</v>
      </c>
      <c r="B522" s="118" t="s">
        <v>219</v>
      </c>
      <c r="C522" s="118" t="s">
        <v>206</v>
      </c>
      <c r="D522" s="152" t="s">
        <v>695</v>
      </c>
      <c r="E522" s="152" t="s">
        <v>712</v>
      </c>
      <c r="F522" s="152" t="s">
        <v>290</v>
      </c>
      <c r="G522" s="118" t="s">
        <v>209</v>
      </c>
      <c r="H522" s="153" t="s">
        <v>212</v>
      </c>
    </row>
    <row r="523" hidden="1">
      <c r="A523" s="154" t="s">
        <v>218</v>
      </c>
      <c r="B523" s="155" t="s">
        <v>219</v>
      </c>
      <c r="C523" s="155" t="s">
        <v>206</v>
      </c>
      <c r="D523" s="156" t="s">
        <v>695</v>
      </c>
      <c r="E523" s="156" t="s">
        <v>713</v>
      </c>
      <c r="F523" s="156" t="s">
        <v>365</v>
      </c>
      <c r="G523" s="155" t="s">
        <v>209</v>
      </c>
      <c r="H523" s="157" t="s">
        <v>213</v>
      </c>
    </row>
    <row r="524" hidden="1">
      <c r="A524" s="151" t="s">
        <v>218</v>
      </c>
      <c r="B524" s="118" t="s">
        <v>219</v>
      </c>
      <c r="C524" s="118" t="s">
        <v>206</v>
      </c>
      <c r="D524" s="152" t="s">
        <v>695</v>
      </c>
      <c r="E524" s="152" t="s">
        <v>714</v>
      </c>
      <c r="F524" s="152" t="s">
        <v>249</v>
      </c>
      <c r="G524" s="118" t="s">
        <v>209</v>
      </c>
      <c r="H524" s="153" t="s">
        <v>214</v>
      </c>
    </row>
    <row r="525" hidden="1">
      <c r="A525" s="154" t="s">
        <v>218</v>
      </c>
      <c r="B525" s="155" t="s">
        <v>219</v>
      </c>
      <c r="C525" s="155" t="s">
        <v>206</v>
      </c>
      <c r="D525" s="156" t="s">
        <v>695</v>
      </c>
      <c r="E525" s="156" t="s">
        <v>715</v>
      </c>
      <c r="F525" s="156" t="s">
        <v>290</v>
      </c>
      <c r="G525" s="155" t="s">
        <v>209</v>
      </c>
      <c r="H525" s="157" t="s">
        <v>215</v>
      </c>
    </row>
    <row r="526" hidden="1">
      <c r="A526" s="151" t="s">
        <v>218</v>
      </c>
      <c r="B526" s="118" t="s">
        <v>219</v>
      </c>
      <c r="C526" s="118" t="s">
        <v>206</v>
      </c>
      <c r="D526" s="152" t="s">
        <v>695</v>
      </c>
      <c r="E526" s="152" t="s">
        <v>716</v>
      </c>
      <c r="F526" s="152" t="s">
        <v>314</v>
      </c>
      <c r="G526" s="118" t="s">
        <v>209</v>
      </c>
      <c r="H526" s="153" t="s">
        <v>216</v>
      </c>
    </row>
    <row r="527" hidden="1">
      <c r="A527" s="154" t="s">
        <v>220</v>
      </c>
      <c r="B527" s="155" t="s">
        <v>190</v>
      </c>
      <c r="C527" s="155" t="s">
        <v>206</v>
      </c>
      <c r="D527" s="156" t="s">
        <v>695</v>
      </c>
      <c r="E527" s="156" t="s">
        <v>717</v>
      </c>
      <c r="F527" s="156" t="s">
        <v>718</v>
      </c>
      <c r="G527" s="155" t="s">
        <v>209</v>
      </c>
      <c r="H527" s="157" t="s">
        <v>210</v>
      </c>
    </row>
    <row r="528" hidden="1">
      <c r="A528" s="151" t="s">
        <v>220</v>
      </c>
      <c r="B528" s="118" t="s">
        <v>190</v>
      </c>
      <c r="C528" s="118" t="s">
        <v>206</v>
      </c>
      <c r="D528" s="152" t="s">
        <v>695</v>
      </c>
      <c r="E528" s="152" t="s">
        <v>719</v>
      </c>
      <c r="F528" s="152" t="s">
        <v>532</v>
      </c>
      <c r="G528" s="118" t="s">
        <v>209</v>
      </c>
      <c r="H528" s="153" t="s">
        <v>211</v>
      </c>
    </row>
    <row r="529" hidden="1">
      <c r="A529" s="154" t="s">
        <v>220</v>
      </c>
      <c r="B529" s="155" t="s">
        <v>190</v>
      </c>
      <c r="C529" s="155" t="s">
        <v>206</v>
      </c>
      <c r="D529" s="156" t="s">
        <v>695</v>
      </c>
      <c r="E529" s="156" t="s">
        <v>720</v>
      </c>
      <c r="F529" s="156" t="s">
        <v>204</v>
      </c>
      <c r="G529" s="155" t="s">
        <v>209</v>
      </c>
      <c r="H529" s="157" t="s">
        <v>212</v>
      </c>
    </row>
    <row r="530" hidden="1">
      <c r="A530" s="151" t="s">
        <v>220</v>
      </c>
      <c r="B530" s="118" t="s">
        <v>190</v>
      </c>
      <c r="C530" s="118" t="s">
        <v>206</v>
      </c>
      <c r="D530" s="152" t="s">
        <v>695</v>
      </c>
      <c r="E530" s="152" t="s">
        <v>721</v>
      </c>
      <c r="F530" s="152" t="s">
        <v>336</v>
      </c>
      <c r="G530" s="118" t="s">
        <v>209</v>
      </c>
      <c r="H530" s="153" t="s">
        <v>213</v>
      </c>
    </row>
    <row r="531" hidden="1">
      <c r="A531" s="154" t="s">
        <v>220</v>
      </c>
      <c r="B531" s="155" t="s">
        <v>190</v>
      </c>
      <c r="C531" s="155" t="s">
        <v>206</v>
      </c>
      <c r="D531" s="156" t="s">
        <v>695</v>
      </c>
      <c r="E531" s="156" t="s">
        <v>722</v>
      </c>
      <c r="F531" s="156" t="s">
        <v>450</v>
      </c>
      <c r="G531" s="155" t="s">
        <v>209</v>
      </c>
      <c r="H531" s="157" t="s">
        <v>214</v>
      </c>
    </row>
    <row r="532" hidden="1">
      <c r="A532" s="151" t="s">
        <v>220</v>
      </c>
      <c r="B532" s="118" t="s">
        <v>190</v>
      </c>
      <c r="C532" s="118" t="s">
        <v>206</v>
      </c>
      <c r="D532" s="152" t="s">
        <v>695</v>
      </c>
      <c r="E532" s="152" t="s">
        <v>723</v>
      </c>
      <c r="F532" s="152" t="s">
        <v>259</v>
      </c>
      <c r="G532" s="118" t="s">
        <v>209</v>
      </c>
      <c r="H532" s="153" t="s">
        <v>215</v>
      </c>
    </row>
    <row r="533" hidden="1">
      <c r="A533" s="154" t="s">
        <v>220</v>
      </c>
      <c r="B533" s="155" t="s">
        <v>190</v>
      </c>
      <c r="C533" s="155" t="s">
        <v>206</v>
      </c>
      <c r="D533" s="156" t="s">
        <v>695</v>
      </c>
      <c r="E533" s="156" t="s">
        <v>724</v>
      </c>
      <c r="F533" s="156" t="s">
        <v>725</v>
      </c>
      <c r="G533" s="155" t="s">
        <v>209</v>
      </c>
      <c r="H533" s="157" t="s">
        <v>216</v>
      </c>
    </row>
    <row r="534" hidden="1">
      <c r="A534" s="151" t="s">
        <v>221</v>
      </c>
      <c r="B534" s="118" t="s">
        <v>189</v>
      </c>
      <c r="C534" s="118" t="s">
        <v>206</v>
      </c>
      <c r="D534" s="152" t="s">
        <v>695</v>
      </c>
      <c r="E534" s="152" t="s">
        <v>726</v>
      </c>
      <c r="F534" s="152" t="s">
        <v>478</v>
      </c>
      <c r="G534" s="118" t="s">
        <v>209</v>
      </c>
      <c r="H534" s="153" t="s">
        <v>210</v>
      </c>
    </row>
    <row r="535" hidden="1">
      <c r="A535" s="154" t="s">
        <v>221</v>
      </c>
      <c r="B535" s="155" t="s">
        <v>189</v>
      </c>
      <c r="C535" s="155" t="s">
        <v>206</v>
      </c>
      <c r="D535" s="156" t="s">
        <v>695</v>
      </c>
      <c r="E535" s="156" t="s">
        <v>727</v>
      </c>
      <c r="F535" s="156" t="s">
        <v>691</v>
      </c>
      <c r="G535" s="155" t="s">
        <v>209</v>
      </c>
      <c r="H535" s="157" t="s">
        <v>211</v>
      </c>
    </row>
    <row r="536" hidden="1">
      <c r="A536" s="151" t="s">
        <v>221</v>
      </c>
      <c r="B536" s="118" t="s">
        <v>189</v>
      </c>
      <c r="C536" s="118" t="s">
        <v>206</v>
      </c>
      <c r="D536" s="152" t="s">
        <v>695</v>
      </c>
      <c r="E536" s="152" t="s">
        <v>728</v>
      </c>
      <c r="F536" s="152" t="s">
        <v>290</v>
      </c>
      <c r="G536" s="118" t="s">
        <v>209</v>
      </c>
      <c r="H536" s="153" t="s">
        <v>212</v>
      </c>
    </row>
    <row r="537" hidden="1">
      <c r="A537" s="154" t="s">
        <v>221</v>
      </c>
      <c r="B537" s="155" t="s">
        <v>189</v>
      </c>
      <c r="C537" s="155" t="s">
        <v>206</v>
      </c>
      <c r="D537" s="156" t="s">
        <v>695</v>
      </c>
      <c r="E537" s="156" t="s">
        <v>729</v>
      </c>
      <c r="F537" s="156" t="s">
        <v>730</v>
      </c>
      <c r="G537" s="155" t="s">
        <v>209</v>
      </c>
      <c r="H537" s="157" t="s">
        <v>213</v>
      </c>
    </row>
    <row r="538" hidden="1">
      <c r="A538" s="151" t="s">
        <v>221</v>
      </c>
      <c r="B538" s="118" t="s">
        <v>189</v>
      </c>
      <c r="C538" s="118" t="s">
        <v>206</v>
      </c>
      <c r="D538" s="152" t="s">
        <v>695</v>
      </c>
      <c r="E538" s="152" t="s">
        <v>731</v>
      </c>
      <c r="F538" s="152" t="s">
        <v>732</v>
      </c>
      <c r="G538" s="118" t="s">
        <v>209</v>
      </c>
      <c r="H538" s="153" t="s">
        <v>214</v>
      </c>
    </row>
    <row r="539" hidden="1">
      <c r="A539" s="154" t="s">
        <v>221</v>
      </c>
      <c r="B539" s="155" t="s">
        <v>189</v>
      </c>
      <c r="C539" s="155" t="s">
        <v>206</v>
      </c>
      <c r="D539" s="156" t="s">
        <v>695</v>
      </c>
      <c r="E539" s="156" t="s">
        <v>733</v>
      </c>
      <c r="F539" s="156" t="s">
        <v>339</v>
      </c>
      <c r="G539" s="155" t="s">
        <v>209</v>
      </c>
      <c r="H539" s="157" t="s">
        <v>215</v>
      </c>
    </row>
    <row r="540" hidden="1">
      <c r="A540" s="151" t="s">
        <v>221</v>
      </c>
      <c r="B540" s="118" t="s">
        <v>189</v>
      </c>
      <c r="C540" s="118" t="s">
        <v>206</v>
      </c>
      <c r="D540" s="152" t="s">
        <v>695</v>
      </c>
      <c r="E540" s="152" t="s">
        <v>734</v>
      </c>
      <c r="F540" s="152" t="s">
        <v>735</v>
      </c>
      <c r="G540" s="118" t="s">
        <v>209</v>
      </c>
      <c r="H540" s="153" t="s">
        <v>216</v>
      </c>
    </row>
    <row r="541" hidden="1">
      <c r="A541" s="154" t="s">
        <v>222</v>
      </c>
      <c r="B541" s="155" t="s">
        <v>192</v>
      </c>
      <c r="C541" s="155" t="s">
        <v>206</v>
      </c>
      <c r="D541" s="156" t="s">
        <v>695</v>
      </c>
      <c r="E541" s="156" t="s">
        <v>736</v>
      </c>
      <c r="F541" s="156" t="s">
        <v>255</v>
      </c>
      <c r="G541" s="155" t="s">
        <v>209</v>
      </c>
      <c r="H541" s="157" t="s">
        <v>210</v>
      </c>
    </row>
    <row r="542" hidden="1">
      <c r="A542" s="151" t="s">
        <v>222</v>
      </c>
      <c r="B542" s="118" t="s">
        <v>192</v>
      </c>
      <c r="C542" s="118" t="s">
        <v>206</v>
      </c>
      <c r="D542" s="152" t="s">
        <v>695</v>
      </c>
      <c r="E542" s="152" t="s">
        <v>737</v>
      </c>
      <c r="F542" s="152" t="s">
        <v>301</v>
      </c>
      <c r="G542" s="118" t="s">
        <v>209</v>
      </c>
      <c r="H542" s="153" t="s">
        <v>211</v>
      </c>
    </row>
    <row r="543" hidden="1">
      <c r="A543" s="154" t="s">
        <v>222</v>
      </c>
      <c r="B543" s="155" t="s">
        <v>192</v>
      </c>
      <c r="C543" s="155" t="s">
        <v>206</v>
      </c>
      <c r="D543" s="156" t="s">
        <v>695</v>
      </c>
      <c r="E543" s="156" t="s">
        <v>738</v>
      </c>
      <c r="F543" s="156" t="s">
        <v>244</v>
      </c>
      <c r="G543" s="155" t="s">
        <v>209</v>
      </c>
      <c r="H543" s="157" t="s">
        <v>212</v>
      </c>
    </row>
    <row r="544" hidden="1">
      <c r="A544" s="151" t="s">
        <v>222</v>
      </c>
      <c r="B544" s="118" t="s">
        <v>192</v>
      </c>
      <c r="C544" s="118" t="s">
        <v>206</v>
      </c>
      <c r="D544" s="152" t="s">
        <v>695</v>
      </c>
      <c r="E544" s="152" t="s">
        <v>739</v>
      </c>
      <c r="F544" s="152" t="s">
        <v>301</v>
      </c>
      <c r="G544" s="118" t="s">
        <v>209</v>
      </c>
      <c r="H544" s="153" t="s">
        <v>213</v>
      </c>
    </row>
    <row r="545" hidden="1">
      <c r="A545" s="154" t="s">
        <v>222</v>
      </c>
      <c r="B545" s="155" t="s">
        <v>192</v>
      </c>
      <c r="C545" s="155" t="s">
        <v>206</v>
      </c>
      <c r="D545" s="156" t="s">
        <v>695</v>
      </c>
      <c r="E545" s="156" t="s">
        <v>740</v>
      </c>
      <c r="F545" s="156" t="s">
        <v>255</v>
      </c>
      <c r="G545" s="155" t="s">
        <v>209</v>
      </c>
      <c r="H545" s="157" t="s">
        <v>214</v>
      </c>
    </row>
    <row r="546" hidden="1">
      <c r="A546" s="151" t="s">
        <v>222</v>
      </c>
      <c r="B546" s="118" t="s">
        <v>192</v>
      </c>
      <c r="C546" s="118" t="s">
        <v>206</v>
      </c>
      <c r="D546" s="152" t="s">
        <v>695</v>
      </c>
      <c r="E546" s="152" t="s">
        <v>741</v>
      </c>
      <c r="F546" s="152" t="s">
        <v>240</v>
      </c>
      <c r="G546" s="118" t="s">
        <v>209</v>
      </c>
      <c r="H546" s="153" t="s">
        <v>215</v>
      </c>
    </row>
    <row r="547" hidden="1">
      <c r="A547" s="154" t="s">
        <v>222</v>
      </c>
      <c r="B547" s="155" t="s">
        <v>192</v>
      </c>
      <c r="C547" s="155" t="s">
        <v>206</v>
      </c>
      <c r="D547" s="156" t="s">
        <v>695</v>
      </c>
      <c r="E547" s="156" t="s">
        <v>742</v>
      </c>
      <c r="F547" s="156" t="s">
        <v>301</v>
      </c>
      <c r="G547" s="155" t="s">
        <v>209</v>
      </c>
      <c r="H547" s="157" t="s">
        <v>216</v>
      </c>
    </row>
    <row r="548" hidden="1">
      <c r="A548" s="151" t="s">
        <v>223</v>
      </c>
      <c r="B548" s="118" t="s">
        <v>144</v>
      </c>
      <c r="C548" s="118" t="s">
        <v>206</v>
      </c>
      <c r="D548" s="152" t="s">
        <v>695</v>
      </c>
      <c r="E548" s="152" t="s">
        <v>743</v>
      </c>
      <c r="F548" s="152" t="s">
        <v>287</v>
      </c>
      <c r="G548" s="118" t="s">
        <v>209</v>
      </c>
      <c r="H548" s="153" t="s">
        <v>210</v>
      </c>
    </row>
    <row r="549" hidden="1">
      <c r="A549" s="154" t="s">
        <v>223</v>
      </c>
      <c r="B549" s="155" t="s">
        <v>144</v>
      </c>
      <c r="C549" s="155" t="s">
        <v>206</v>
      </c>
      <c r="D549" s="156" t="s">
        <v>695</v>
      </c>
      <c r="E549" s="156" t="s">
        <v>744</v>
      </c>
      <c r="F549" s="156" t="s">
        <v>365</v>
      </c>
      <c r="G549" s="155" t="s">
        <v>209</v>
      </c>
      <c r="H549" s="157" t="s">
        <v>211</v>
      </c>
    </row>
    <row r="550" hidden="1">
      <c r="A550" s="151" t="s">
        <v>223</v>
      </c>
      <c r="B550" s="118" t="s">
        <v>144</v>
      </c>
      <c r="C550" s="118" t="s">
        <v>206</v>
      </c>
      <c r="D550" s="152" t="s">
        <v>695</v>
      </c>
      <c r="E550" s="152" t="s">
        <v>745</v>
      </c>
      <c r="F550" s="152" t="s">
        <v>321</v>
      </c>
      <c r="G550" s="118" t="s">
        <v>209</v>
      </c>
      <c r="H550" s="153" t="s">
        <v>212</v>
      </c>
    </row>
    <row r="551" hidden="1">
      <c r="A551" s="154" t="s">
        <v>223</v>
      </c>
      <c r="B551" s="155" t="s">
        <v>144</v>
      </c>
      <c r="C551" s="155" t="s">
        <v>206</v>
      </c>
      <c r="D551" s="156" t="s">
        <v>695</v>
      </c>
      <c r="E551" s="156" t="s">
        <v>746</v>
      </c>
      <c r="F551" s="156" t="s">
        <v>365</v>
      </c>
      <c r="G551" s="155" t="s">
        <v>209</v>
      </c>
      <c r="H551" s="157" t="s">
        <v>213</v>
      </c>
    </row>
    <row r="552" hidden="1">
      <c r="A552" s="151" t="s">
        <v>223</v>
      </c>
      <c r="B552" s="118" t="s">
        <v>144</v>
      </c>
      <c r="C552" s="118" t="s">
        <v>206</v>
      </c>
      <c r="D552" s="152" t="s">
        <v>695</v>
      </c>
      <c r="E552" s="152" t="s">
        <v>747</v>
      </c>
      <c r="F552" s="152" t="s">
        <v>285</v>
      </c>
      <c r="G552" s="118" t="s">
        <v>209</v>
      </c>
      <c r="H552" s="153" t="s">
        <v>214</v>
      </c>
    </row>
    <row r="553" hidden="1">
      <c r="A553" s="154" t="s">
        <v>223</v>
      </c>
      <c r="B553" s="155" t="s">
        <v>144</v>
      </c>
      <c r="C553" s="155" t="s">
        <v>206</v>
      </c>
      <c r="D553" s="156" t="s">
        <v>695</v>
      </c>
      <c r="E553" s="156" t="s">
        <v>748</v>
      </c>
      <c r="F553" s="156" t="s">
        <v>242</v>
      </c>
      <c r="G553" s="155" t="s">
        <v>209</v>
      </c>
      <c r="H553" s="157" t="s">
        <v>215</v>
      </c>
    </row>
    <row r="554" hidden="1">
      <c r="A554" s="151" t="s">
        <v>223</v>
      </c>
      <c r="B554" s="118" t="s">
        <v>144</v>
      </c>
      <c r="C554" s="118" t="s">
        <v>206</v>
      </c>
      <c r="D554" s="152" t="s">
        <v>695</v>
      </c>
      <c r="E554" s="152" t="s">
        <v>749</v>
      </c>
      <c r="F554" s="152" t="s">
        <v>242</v>
      </c>
      <c r="G554" s="118" t="s">
        <v>209</v>
      </c>
      <c r="H554" s="153" t="s">
        <v>216</v>
      </c>
    </row>
    <row r="555" hidden="1">
      <c r="A555" s="154" t="s">
        <v>224</v>
      </c>
      <c r="B555" s="155" t="s">
        <v>170</v>
      </c>
      <c r="C555" s="155" t="s">
        <v>206</v>
      </c>
      <c r="D555" s="156" t="s">
        <v>695</v>
      </c>
      <c r="E555" s="156" t="s">
        <v>750</v>
      </c>
      <c r="F555" s="156" t="s">
        <v>262</v>
      </c>
      <c r="G555" s="155" t="s">
        <v>209</v>
      </c>
      <c r="H555" s="157" t="s">
        <v>210</v>
      </c>
    </row>
    <row r="556" hidden="1">
      <c r="A556" s="151" t="s">
        <v>224</v>
      </c>
      <c r="B556" s="118" t="s">
        <v>170</v>
      </c>
      <c r="C556" s="118" t="s">
        <v>206</v>
      </c>
      <c r="D556" s="152" t="s">
        <v>695</v>
      </c>
      <c r="E556" s="152" t="s">
        <v>751</v>
      </c>
      <c r="F556" s="152" t="s">
        <v>374</v>
      </c>
      <c r="G556" s="118" t="s">
        <v>209</v>
      </c>
      <c r="H556" s="153" t="s">
        <v>211</v>
      </c>
    </row>
    <row r="557" hidden="1">
      <c r="A557" s="154" t="s">
        <v>224</v>
      </c>
      <c r="B557" s="155" t="s">
        <v>170</v>
      </c>
      <c r="C557" s="155" t="s">
        <v>206</v>
      </c>
      <c r="D557" s="156" t="s">
        <v>695</v>
      </c>
      <c r="E557" s="156" t="s">
        <v>752</v>
      </c>
      <c r="F557" s="156" t="s">
        <v>262</v>
      </c>
      <c r="G557" s="155" t="s">
        <v>209</v>
      </c>
      <c r="H557" s="157" t="s">
        <v>212</v>
      </c>
    </row>
    <row r="558" hidden="1">
      <c r="A558" s="151" t="s">
        <v>224</v>
      </c>
      <c r="B558" s="118" t="s">
        <v>170</v>
      </c>
      <c r="C558" s="118" t="s">
        <v>206</v>
      </c>
      <c r="D558" s="152" t="s">
        <v>695</v>
      </c>
      <c r="E558" s="152" t="s">
        <v>753</v>
      </c>
      <c r="F558" s="152" t="s">
        <v>262</v>
      </c>
      <c r="G558" s="118" t="s">
        <v>209</v>
      </c>
      <c r="H558" s="153" t="s">
        <v>213</v>
      </c>
    </row>
    <row r="559" hidden="1">
      <c r="A559" s="154" t="s">
        <v>224</v>
      </c>
      <c r="B559" s="155" t="s">
        <v>170</v>
      </c>
      <c r="C559" s="155" t="s">
        <v>206</v>
      </c>
      <c r="D559" s="156" t="s">
        <v>695</v>
      </c>
      <c r="E559" s="156" t="s">
        <v>754</v>
      </c>
      <c r="F559" s="156" t="s">
        <v>265</v>
      </c>
      <c r="G559" s="155" t="s">
        <v>209</v>
      </c>
      <c r="H559" s="157" t="s">
        <v>214</v>
      </c>
    </row>
    <row r="560" hidden="1">
      <c r="A560" s="151" t="s">
        <v>224</v>
      </c>
      <c r="B560" s="118" t="s">
        <v>170</v>
      </c>
      <c r="C560" s="118" t="s">
        <v>206</v>
      </c>
      <c r="D560" s="152" t="s">
        <v>695</v>
      </c>
      <c r="E560" s="152" t="s">
        <v>755</v>
      </c>
      <c r="F560" s="152" t="s">
        <v>269</v>
      </c>
      <c r="G560" s="118" t="s">
        <v>209</v>
      </c>
      <c r="H560" s="153" t="s">
        <v>215</v>
      </c>
    </row>
    <row r="561" hidden="1">
      <c r="A561" s="154" t="s">
        <v>224</v>
      </c>
      <c r="B561" s="155" t="s">
        <v>170</v>
      </c>
      <c r="C561" s="155" t="s">
        <v>206</v>
      </c>
      <c r="D561" s="156" t="s">
        <v>695</v>
      </c>
      <c r="E561" s="156" t="s">
        <v>756</v>
      </c>
      <c r="F561" s="156" t="s">
        <v>492</v>
      </c>
      <c r="G561" s="155" t="s">
        <v>209</v>
      </c>
      <c r="H561" s="157" t="s">
        <v>216</v>
      </c>
    </row>
    <row r="562" hidden="1">
      <c r="A562" s="151" t="s">
        <v>225</v>
      </c>
      <c r="B562" s="118" t="s">
        <v>226</v>
      </c>
      <c r="C562" s="118" t="s">
        <v>206</v>
      </c>
      <c r="D562" s="152" t="s">
        <v>695</v>
      </c>
      <c r="E562" s="152" t="s">
        <v>757</v>
      </c>
      <c r="F562" s="152" t="s">
        <v>758</v>
      </c>
      <c r="G562" s="118" t="s">
        <v>209</v>
      </c>
      <c r="H562" s="153" t="s">
        <v>210</v>
      </c>
    </row>
    <row r="563" hidden="1">
      <c r="A563" s="154" t="s">
        <v>225</v>
      </c>
      <c r="B563" s="155" t="s">
        <v>226</v>
      </c>
      <c r="C563" s="155" t="s">
        <v>206</v>
      </c>
      <c r="D563" s="156" t="s">
        <v>695</v>
      </c>
      <c r="E563" s="156" t="s">
        <v>759</v>
      </c>
      <c r="F563" s="156" t="s">
        <v>760</v>
      </c>
      <c r="G563" s="155" t="s">
        <v>209</v>
      </c>
      <c r="H563" s="157" t="s">
        <v>211</v>
      </c>
    </row>
    <row r="564" hidden="1">
      <c r="A564" s="151" t="s">
        <v>225</v>
      </c>
      <c r="B564" s="118" t="s">
        <v>226</v>
      </c>
      <c r="C564" s="118" t="s">
        <v>206</v>
      </c>
      <c r="D564" s="152" t="s">
        <v>695</v>
      </c>
      <c r="E564" s="152" t="s">
        <v>761</v>
      </c>
      <c r="F564" s="152" t="s">
        <v>444</v>
      </c>
      <c r="G564" s="118" t="s">
        <v>209</v>
      </c>
      <c r="H564" s="153" t="s">
        <v>212</v>
      </c>
    </row>
    <row r="565" hidden="1">
      <c r="A565" s="154" t="s">
        <v>225</v>
      </c>
      <c r="B565" s="155" t="s">
        <v>226</v>
      </c>
      <c r="C565" s="155" t="s">
        <v>206</v>
      </c>
      <c r="D565" s="156" t="s">
        <v>695</v>
      </c>
      <c r="E565" s="156" t="s">
        <v>762</v>
      </c>
      <c r="F565" s="156" t="s">
        <v>763</v>
      </c>
      <c r="G565" s="155" t="s">
        <v>209</v>
      </c>
      <c r="H565" s="157" t="s">
        <v>213</v>
      </c>
    </row>
    <row r="566" hidden="1">
      <c r="A566" s="151" t="s">
        <v>225</v>
      </c>
      <c r="B566" s="118" t="s">
        <v>226</v>
      </c>
      <c r="C566" s="118" t="s">
        <v>206</v>
      </c>
      <c r="D566" s="152" t="s">
        <v>695</v>
      </c>
      <c r="E566" s="152" t="s">
        <v>764</v>
      </c>
      <c r="F566" s="152" t="s">
        <v>730</v>
      </c>
      <c r="G566" s="118" t="s">
        <v>209</v>
      </c>
      <c r="H566" s="153" t="s">
        <v>214</v>
      </c>
    </row>
    <row r="567" hidden="1">
      <c r="A567" s="154" t="s">
        <v>225</v>
      </c>
      <c r="B567" s="155" t="s">
        <v>226</v>
      </c>
      <c r="C567" s="155" t="s">
        <v>206</v>
      </c>
      <c r="D567" s="156" t="s">
        <v>695</v>
      </c>
      <c r="E567" s="156" t="s">
        <v>765</v>
      </c>
      <c r="F567" s="156" t="s">
        <v>766</v>
      </c>
      <c r="G567" s="155" t="s">
        <v>209</v>
      </c>
      <c r="H567" s="157" t="s">
        <v>215</v>
      </c>
    </row>
    <row r="568" hidden="1">
      <c r="A568" s="151" t="s">
        <v>225</v>
      </c>
      <c r="B568" s="118" t="s">
        <v>226</v>
      </c>
      <c r="C568" s="118" t="s">
        <v>206</v>
      </c>
      <c r="D568" s="152" t="s">
        <v>695</v>
      </c>
      <c r="E568" s="152" t="s">
        <v>767</v>
      </c>
      <c r="F568" s="152" t="s">
        <v>758</v>
      </c>
      <c r="G568" s="118" t="s">
        <v>209</v>
      </c>
      <c r="H568" s="153" t="s">
        <v>216</v>
      </c>
    </row>
    <row r="569" hidden="1">
      <c r="A569" s="154" t="s">
        <v>227</v>
      </c>
      <c r="B569" s="155" t="s">
        <v>195</v>
      </c>
      <c r="C569" s="155" t="s">
        <v>206</v>
      </c>
      <c r="D569" s="156" t="s">
        <v>695</v>
      </c>
      <c r="E569" s="156" t="s">
        <v>768</v>
      </c>
      <c r="F569" s="156" t="s">
        <v>339</v>
      </c>
      <c r="G569" s="155" t="s">
        <v>209</v>
      </c>
      <c r="H569" s="157" t="s">
        <v>210</v>
      </c>
    </row>
    <row r="570" hidden="1">
      <c r="A570" s="151" t="s">
        <v>227</v>
      </c>
      <c r="B570" s="118" t="s">
        <v>195</v>
      </c>
      <c r="C570" s="118" t="s">
        <v>206</v>
      </c>
      <c r="D570" s="152" t="s">
        <v>695</v>
      </c>
      <c r="E570" s="152" t="s">
        <v>769</v>
      </c>
      <c r="F570" s="152" t="s">
        <v>246</v>
      </c>
      <c r="G570" s="118" t="s">
        <v>209</v>
      </c>
      <c r="H570" s="153" t="s">
        <v>211</v>
      </c>
    </row>
    <row r="571" hidden="1">
      <c r="A571" s="154" t="s">
        <v>227</v>
      </c>
      <c r="B571" s="155" t="s">
        <v>195</v>
      </c>
      <c r="C571" s="155" t="s">
        <v>206</v>
      </c>
      <c r="D571" s="156" t="s">
        <v>695</v>
      </c>
      <c r="E571" s="156" t="s">
        <v>770</v>
      </c>
      <c r="F571" s="156" t="s">
        <v>305</v>
      </c>
      <c r="G571" s="155" t="s">
        <v>209</v>
      </c>
      <c r="H571" s="157" t="s">
        <v>212</v>
      </c>
    </row>
    <row r="572" hidden="1">
      <c r="A572" s="151" t="s">
        <v>227</v>
      </c>
      <c r="B572" s="118" t="s">
        <v>195</v>
      </c>
      <c r="C572" s="118" t="s">
        <v>206</v>
      </c>
      <c r="D572" s="152" t="s">
        <v>695</v>
      </c>
      <c r="E572" s="152" t="s">
        <v>771</v>
      </c>
      <c r="F572" s="152" t="s">
        <v>314</v>
      </c>
      <c r="G572" s="118" t="s">
        <v>209</v>
      </c>
      <c r="H572" s="153" t="s">
        <v>213</v>
      </c>
    </row>
    <row r="573" hidden="1">
      <c r="A573" s="154" t="s">
        <v>227</v>
      </c>
      <c r="B573" s="155" t="s">
        <v>195</v>
      </c>
      <c r="C573" s="155" t="s">
        <v>206</v>
      </c>
      <c r="D573" s="156" t="s">
        <v>695</v>
      </c>
      <c r="E573" s="156" t="s">
        <v>772</v>
      </c>
      <c r="F573" s="156" t="s">
        <v>323</v>
      </c>
      <c r="G573" s="155" t="s">
        <v>209</v>
      </c>
      <c r="H573" s="157" t="s">
        <v>214</v>
      </c>
    </row>
    <row r="574" hidden="1">
      <c r="A574" s="151" t="s">
        <v>227</v>
      </c>
      <c r="B574" s="118" t="s">
        <v>195</v>
      </c>
      <c r="C574" s="118" t="s">
        <v>206</v>
      </c>
      <c r="D574" s="152" t="s">
        <v>695</v>
      </c>
      <c r="E574" s="152" t="s">
        <v>773</v>
      </c>
      <c r="F574" s="152" t="s">
        <v>450</v>
      </c>
      <c r="G574" s="118" t="s">
        <v>209</v>
      </c>
      <c r="H574" s="153" t="s">
        <v>215</v>
      </c>
    </row>
    <row r="575" hidden="1">
      <c r="A575" s="154" t="s">
        <v>227</v>
      </c>
      <c r="B575" s="155" t="s">
        <v>195</v>
      </c>
      <c r="C575" s="155" t="s">
        <v>206</v>
      </c>
      <c r="D575" s="156" t="s">
        <v>695</v>
      </c>
      <c r="E575" s="156" t="s">
        <v>774</v>
      </c>
      <c r="F575" s="156" t="s">
        <v>249</v>
      </c>
      <c r="G575" s="155" t="s">
        <v>209</v>
      </c>
      <c r="H575" s="157" t="s">
        <v>216</v>
      </c>
    </row>
    <row r="576" hidden="1">
      <c r="A576" s="151" t="s">
        <v>228</v>
      </c>
      <c r="B576" s="118" t="s">
        <v>138</v>
      </c>
      <c r="C576" s="118" t="s">
        <v>206</v>
      </c>
      <c r="D576" s="152" t="s">
        <v>695</v>
      </c>
      <c r="E576" s="152" t="s">
        <v>775</v>
      </c>
      <c r="F576" s="152" t="s">
        <v>425</v>
      </c>
      <c r="G576" s="118" t="s">
        <v>209</v>
      </c>
      <c r="H576" s="153" t="s">
        <v>210</v>
      </c>
    </row>
    <row r="577" hidden="1">
      <c r="A577" s="154" t="s">
        <v>228</v>
      </c>
      <c r="B577" s="155" t="s">
        <v>138</v>
      </c>
      <c r="C577" s="155" t="s">
        <v>206</v>
      </c>
      <c r="D577" s="156" t="s">
        <v>695</v>
      </c>
      <c r="E577" s="156" t="s">
        <v>776</v>
      </c>
      <c r="F577" s="156" t="s">
        <v>242</v>
      </c>
      <c r="G577" s="155" t="s">
        <v>209</v>
      </c>
      <c r="H577" s="157" t="s">
        <v>211</v>
      </c>
    </row>
    <row r="578" hidden="1">
      <c r="A578" s="151" t="s">
        <v>228</v>
      </c>
      <c r="B578" s="118" t="s">
        <v>138</v>
      </c>
      <c r="C578" s="118" t="s">
        <v>206</v>
      </c>
      <c r="D578" s="152" t="s">
        <v>695</v>
      </c>
      <c r="E578" s="152" t="s">
        <v>777</v>
      </c>
      <c r="F578" s="152" t="s">
        <v>255</v>
      </c>
      <c r="G578" s="118" t="s">
        <v>209</v>
      </c>
      <c r="H578" s="153" t="s">
        <v>212</v>
      </c>
    </row>
    <row r="579" hidden="1">
      <c r="A579" s="154" t="s">
        <v>228</v>
      </c>
      <c r="B579" s="155" t="s">
        <v>138</v>
      </c>
      <c r="C579" s="155" t="s">
        <v>206</v>
      </c>
      <c r="D579" s="156" t="s">
        <v>695</v>
      </c>
      <c r="E579" s="156" t="s">
        <v>778</v>
      </c>
      <c r="F579" s="156" t="s">
        <v>265</v>
      </c>
      <c r="G579" s="155" t="s">
        <v>209</v>
      </c>
      <c r="H579" s="157" t="s">
        <v>213</v>
      </c>
    </row>
    <row r="580" hidden="1">
      <c r="A580" s="151" t="s">
        <v>228</v>
      </c>
      <c r="B580" s="118" t="s">
        <v>138</v>
      </c>
      <c r="C580" s="118" t="s">
        <v>206</v>
      </c>
      <c r="D580" s="152" t="s">
        <v>695</v>
      </c>
      <c r="E580" s="152" t="s">
        <v>779</v>
      </c>
      <c r="F580" s="152" t="s">
        <v>780</v>
      </c>
      <c r="G580" s="118" t="s">
        <v>209</v>
      </c>
      <c r="H580" s="153" t="s">
        <v>214</v>
      </c>
    </row>
    <row r="581" hidden="1">
      <c r="A581" s="154" t="s">
        <v>228</v>
      </c>
      <c r="B581" s="155" t="s">
        <v>138</v>
      </c>
      <c r="C581" s="155" t="s">
        <v>206</v>
      </c>
      <c r="D581" s="156" t="s">
        <v>695</v>
      </c>
      <c r="E581" s="156" t="s">
        <v>781</v>
      </c>
      <c r="F581" s="156" t="s">
        <v>276</v>
      </c>
      <c r="G581" s="155" t="s">
        <v>209</v>
      </c>
      <c r="H581" s="157" t="s">
        <v>215</v>
      </c>
    </row>
    <row r="582" hidden="1">
      <c r="A582" s="151" t="s">
        <v>228</v>
      </c>
      <c r="B582" s="118" t="s">
        <v>138</v>
      </c>
      <c r="C582" s="118" t="s">
        <v>206</v>
      </c>
      <c r="D582" s="152" t="s">
        <v>695</v>
      </c>
      <c r="E582" s="152" t="s">
        <v>782</v>
      </c>
      <c r="F582" s="152" t="s">
        <v>290</v>
      </c>
      <c r="G582" s="118" t="s">
        <v>209</v>
      </c>
      <c r="H582" s="153" t="s">
        <v>216</v>
      </c>
    </row>
    <row r="583" hidden="1">
      <c r="A583" s="154" t="s">
        <v>229</v>
      </c>
      <c r="B583" s="155" t="s">
        <v>193</v>
      </c>
      <c r="C583" s="155" t="s">
        <v>206</v>
      </c>
      <c r="D583" s="156" t="s">
        <v>695</v>
      </c>
      <c r="E583" s="156" t="s">
        <v>783</v>
      </c>
      <c r="F583" s="156" t="s">
        <v>365</v>
      </c>
      <c r="G583" s="155" t="s">
        <v>209</v>
      </c>
      <c r="H583" s="157" t="s">
        <v>210</v>
      </c>
    </row>
    <row r="584" hidden="1">
      <c r="A584" s="151" t="s">
        <v>229</v>
      </c>
      <c r="B584" s="118" t="s">
        <v>193</v>
      </c>
      <c r="C584" s="118" t="s">
        <v>206</v>
      </c>
      <c r="D584" s="152" t="s">
        <v>695</v>
      </c>
      <c r="E584" s="152" t="s">
        <v>784</v>
      </c>
      <c r="F584" s="152" t="s">
        <v>242</v>
      </c>
      <c r="G584" s="118" t="s">
        <v>209</v>
      </c>
      <c r="H584" s="153" t="s">
        <v>211</v>
      </c>
    </row>
    <row r="585" hidden="1">
      <c r="A585" s="154" t="s">
        <v>229</v>
      </c>
      <c r="B585" s="155" t="s">
        <v>193</v>
      </c>
      <c r="C585" s="155" t="s">
        <v>206</v>
      </c>
      <c r="D585" s="156" t="s">
        <v>695</v>
      </c>
      <c r="E585" s="156" t="s">
        <v>785</v>
      </c>
      <c r="F585" s="156" t="s">
        <v>298</v>
      </c>
      <c r="G585" s="155" t="s">
        <v>209</v>
      </c>
      <c r="H585" s="157" t="s">
        <v>212</v>
      </c>
    </row>
    <row r="586" hidden="1">
      <c r="A586" s="151" t="s">
        <v>229</v>
      </c>
      <c r="B586" s="118" t="s">
        <v>193</v>
      </c>
      <c r="C586" s="118" t="s">
        <v>206</v>
      </c>
      <c r="D586" s="152" t="s">
        <v>695</v>
      </c>
      <c r="E586" s="152" t="s">
        <v>786</v>
      </c>
      <c r="F586" s="152" t="s">
        <v>365</v>
      </c>
      <c r="G586" s="118" t="s">
        <v>209</v>
      </c>
      <c r="H586" s="153" t="s">
        <v>213</v>
      </c>
    </row>
    <row r="587" hidden="1">
      <c r="A587" s="154" t="s">
        <v>229</v>
      </c>
      <c r="B587" s="155" t="s">
        <v>193</v>
      </c>
      <c r="C587" s="155" t="s">
        <v>206</v>
      </c>
      <c r="D587" s="156" t="s">
        <v>695</v>
      </c>
      <c r="E587" s="156" t="s">
        <v>787</v>
      </c>
      <c r="F587" s="156" t="s">
        <v>249</v>
      </c>
      <c r="G587" s="155" t="s">
        <v>209</v>
      </c>
      <c r="H587" s="157" t="s">
        <v>214</v>
      </c>
    </row>
    <row r="588" hidden="1">
      <c r="A588" s="151" t="s">
        <v>229</v>
      </c>
      <c r="B588" s="118" t="s">
        <v>193</v>
      </c>
      <c r="C588" s="118" t="s">
        <v>206</v>
      </c>
      <c r="D588" s="152" t="s">
        <v>695</v>
      </c>
      <c r="E588" s="152" t="s">
        <v>788</v>
      </c>
      <c r="F588" s="152" t="s">
        <v>323</v>
      </c>
      <c r="G588" s="118" t="s">
        <v>209</v>
      </c>
      <c r="H588" s="153" t="s">
        <v>215</v>
      </c>
    </row>
    <row r="589" hidden="1">
      <c r="A589" s="154" t="s">
        <v>229</v>
      </c>
      <c r="B589" s="155" t="s">
        <v>193</v>
      </c>
      <c r="C589" s="155" t="s">
        <v>206</v>
      </c>
      <c r="D589" s="156" t="s">
        <v>695</v>
      </c>
      <c r="E589" s="156" t="s">
        <v>789</v>
      </c>
      <c r="F589" s="156" t="s">
        <v>357</v>
      </c>
      <c r="G589" s="155" t="s">
        <v>209</v>
      </c>
      <c r="H589" s="157" t="s">
        <v>216</v>
      </c>
    </row>
    <row r="590" hidden="1">
      <c r="A590" s="151" t="s">
        <v>230</v>
      </c>
      <c r="B590" s="118" t="s">
        <v>194</v>
      </c>
      <c r="C590" s="118" t="s">
        <v>206</v>
      </c>
      <c r="D590" s="152" t="s">
        <v>695</v>
      </c>
      <c r="E590" s="152" t="s">
        <v>790</v>
      </c>
      <c r="F590" s="152" t="s">
        <v>357</v>
      </c>
      <c r="G590" s="118" t="s">
        <v>209</v>
      </c>
      <c r="H590" s="153" t="s">
        <v>210</v>
      </c>
    </row>
    <row r="591" hidden="1">
      <c r="A591" s="154" t="s">
        <v>230</v>
      </c>
      <c r="B591" s="155" t="s">
        <v>194</v>
      </c>
      <c r="C591" s="155" t="s">
        <v>206</v>
      </c>
      <c r="D591" s="156" t="s">
        <v>695</v>
      </c>
      <c r="E591" s="156" t="s">
        <v>791</v>
      </c>
      <c r="F591" s="156" t="s">
        <v>246</v>
      </c>
      <c r="G591" s="155" t="s">
        <v>209</v>
      </c>
      <c r="H591" s="157" t="s">
        <v>211</v>
      </c>
    </row>
    <row r="592" hidden="1">
      <c r="A592" s="151" t="s">
        <v>230</v>
      </c>
      <c r="B592" s="118" t="s">
        <v>194</v>
      </c>
      <c r="C592" s="118" t="s">
        <v>206</v>
      </c>
      <c r="D592" s="152" t="s">
        <v>695</v>
      </c>
      <c r="E592" s="152" t="s">
        <v>792</v>
      </c>
      <c r="F592" s="152" t="s">
        <v>310</v>
      </c>
      <c r="G592" s="118" t="s">
        <v>209</v>
      </c>
      <c r="H592" s="153" t="s">
        <v>212</v>
      </c>
    </row>
    <row r="593" hidden="1">
      <c r="A593" s="154" t="s">
        <v>230</v>
      </c>
      <c r="B593" s="155" t="s">
        <v>194</v>
      </c>
      <c r="C593" s="155" t="s">
        <v>206</v>
      </c>
      <c r="D593" s="156" t="s">
        <v>695</v>
      </c>
      <c r="E593" s="156" t="s">
        <v>793</v>
      </c>
      <c r="F593" s="156" t="s">
        <v>269</v>
      </c>
      <c r="G593" s="155" t="s">
        <v>209</v>
      </c>
      <c r="H593" s="157" t="s">
        <v>213</v>
      </c>
    </row>
    <row r="594" hidden="1">
      <c r="A594" s="151" t="s">
        <v>230</v>
      </c>
      <c r="B594" s="118" t="s">
        <v>194</v>
      </c>
      <c r="C594" s="118" t="s">
        <v>206</v>
      </c>
      <c r="D594" s="152" t="s">
        <v>695</v>
      </c>
      <c r="E594" s="152" t="s">
        <v>794</v>
      </c>
      <c r="F594" s="152" t="s">
        <v>240</v>
      </c>
      <c r="G594" s="118" t="s">
        <v>209</v>
      </c>
      <c r="H594" s="153" t="s">
        <v>214</v>
      </c>
    </row>
    <row r="595" hidden="1">
      <c r="A595" s="154" t="s">
        <v>230</v>
      </c>
      <c r="B595" s="155" t="s">
        <v>194</v>
      </c>
      <c r="C595" s="155" t="s">
        <v>206</v>
      </c>
      <c r="D595" s="156" t="s">
        <v>695</v>
      </c>
      <c r="E595" s="156" t="s">
        <v>795</v>
      </c>
      <c r="F595" s="156" t="s">
        <v>359</v>
      </c>
      <c r="G595" s="155" t="s">
        <v>209</v>
      </c>
      <c r="H595" s="157" t="s">
        <v>215</v>
      </c>
    </row>
    <row r="596" hidden="1">
      <c r="A596" s="151" t="s">
        <v>230</v>
      </c>
      <c r="B596" s="118" t="s">
        <v>194</v>
      </c>
      <c r="C596" s="118" t="s">
        <v>206</v>
      </c>
      <c r="D596" s="152" t="s">
        <v>695</v>
      </c>
      <c r="E596" s="152" t="s">
        <v>796</v>
      </c>
      <c r="F596" s="152" t="s">
        <v>242</v>
      </c>
      <c r="G596" s="118" t="s">
        <v>209</v>
      </c>
      <c r="H596" s="153" t="s">
        <v>216</v>
      </c>
    </row>
    <row r="597" hidden="1">
      <c r="A597" s="158" t="s">
        <v>231</v>
      </c>
      <c r="B597" s="159"/>
      <c r="C597" s="155" t="s">
        <v>232</v>
      </c>
      <c r="D597" s="156" t="s">
        <v>695</v>
      </c>
      <c r="E597" s="156" t="s">
        <v>797</v>
      </c>
      <c r="F597" s="156" t="s">
        <v>321</v>
      </c>
      <c r="G597" s="155" t="s">
        <v>209</v>
      </c>
      <c r="H597" s="157" t="s">
        <v>210</v>
      </c>
    </row>
    <row r="598" hidden="1">
      <c r="A598" s="160" t="s">
        <v>231</v>
      </c>
      <c r="B598" s="72"/>
      <c r="C598" s="118" t="s">
        <v>232</v>
      </c>
      <c r="D598" s="152" t="s">
        <v>695</v>
      </c>
      <c r="E598" s="152" t="s">
        <v>798</v>
      </c>
      <c r="F598" s="152" t="s">
        <v>799</v>
      </c>
      <c r="G598" s="118" t="s">
        <v>209</v>
      </c>
      <c r="H598" s="153" t="s">
        <v>211</v>
      </c>
    </row>
    <row r="599" hidden="1">
      <c r="A599" s="158" t="s">
        <v>231</v>
      </c>
      <c r="B599" s="159"/>
      <c r="C599" s="155" t="s">
        <v>232</v>
      </c>
      <c r="D599" s="156" t="s">
        <v>695</v>
      </c>
      <c r="E599" s="156" t="s">
        <v>800</v>
      </c>
      <c r="F599" s="156" t="s">
        <v>323</v>
      </c>
      <c r="G599" s="155" t="s">
        <v>209</v>
      </c>
      <c r="H599" s="157" t="s">
        <v>212</v>
      </c>
    </row>
    <row r="600" hidden="1">
      <c r="A600" s="160" t="s">
        <v>231</v>
      </c>
      <c r="B600" s="72"/>
      <c r="C600" s="118" t="s">
        <v>232</v>
      </c>
      <c r="D600" s="152" t="s">
        <v>695</v>
      </c>
      <c r="E600" s="152" t="s">
        <v>801</v>
      </c>
      <c r="F600" s="152" t="s">
        <v>351</v>
      </c>
      <c r="G600" s="118" t="s">
        <v>209</v>
      </c>
      <c r="H600" s="153" t="s">
        <v>213</v>
      </c>
    </row>
    <row r="601" hidden="1">
      <c r="A601" s="158" t="s">
        <v>231</v>
      </c>
      <c r="B601" s="159"/>
      <c r="C601" s="155" t="s">
        <v>232</v>
      </c>
      <c r="D601" s="156" t="s">
        <v>695</v>
      </c>
      <c r="E601" s="156" t="s">
        <v>802</v>
      </c>
      <c r="F601" s="156" t="s">
        <v>725</v>
      </c>
      <c r="G601" s="155" t="s">
        <v>209</v>
      </c>
      <c r="H601" s="157" t="s">
        <v>214</v>
      </c>
    </row>
    <row r="602" hidden="1">
      <c r="A602" s="160" t="s">
        <v>231</v>
      </c>
      <c r="B602" s="72"/>
      <c r="C602" s="118" t="s">
        <v>232</v>
      </c>
      <c r="D602" s="152" t="s">
        <v>695</v>
      </c>
      <c r="E602" s="152" t="s">
        <v>803</v>
      </c>
      <c r="F602" s="152" t="s">
        <v>249</v>
      </c>
      <c r="G602" s="118" t="s">
        <v>209</v>
      </c>
      <c r="H602" s="153" t="s">
        <v>215</v>
      </c>
    </row>
    <row r="603" hidden="1">
      <c r="A603" s="158" t="s">
        <v>231</v>
      </c>
      <c r="B603" s="159"/>
      <c r="C603" s="155" t="s">
        <v>232</v>
      </c>
      <c r="D603" s="156" t="s">
        <v>695</v>
      </c>
      <c r="E603" s="156" t="s">
        <v>804</v>
      </c>
      <c r="F603" s="156" t="s">
        <v>305</v>
      </c>
      <c r="G603" s="155" t="s">
        <v>209</v>
      </c>
      <c r="H603" s="157" t="s">
        <v>216</v>
      </c>
    </row>
    <row r="604" hidden="1">
      <c r="A604" s="160" t="s">
        <v>233</v>
      </c>
      <c r="B604" s="72"/>
      <c r="C604" s="118" t="s">
        <v>232</v>
      </c>
      <c r="D604" s="152" t="s">
        <v>695</v>
      </c>
      <c r="E604" s="152" t="s">
        <v>805</v>
      </c>
      <c r="F604" s="152" t="s">
        <v>359</v>
      </c>
      <c r="G604" s="118" t="s">
        <v>209</v>
      </c>
      <c r="H604" s="153" t="s">
        <v>210</v>
      </c>
    </row>
    <row r="605" hidden="1">
      <c r="A605" s="158" t="s">
        <v>233</v>
      </c>
      <c r="B605" s="159"/>
      <c r="C605" s="155" t="s">
        <v>232</v>
      </c>
      <c r="D605" s="156" t="s">
        <v>695</v>
      </c>
      <c r="E605" s="156" t="s">
        <v>806</v>
      </c>
      <c r="F605" s="156" t="s">
        <v>357</v>
      </c>
      <c r="G605" s="155" t="s">
        <v>209</v>
      </c>
      <c r="H605" s="157" t="s">
        <v>211</v>
      </c>
    </row>
    <row r="606" hidden="1">
      <c r="A606" s="160" t="s">
        <v>233</v>
      </c>
      <c r="B606" s="72"/>
      <c r="C606" s="118" t="s">
        <v>232</v>
      </c>
      <c r="D606" s="152" t="s">
        <v>695</v>
      </c>
      <c r="E606" s="152" t="s">
        <v>807</v>
      </c>
      <c r="F606" s="152" t="s">
        <v>323</v>
      </c>
      <c r="G606" s="118" t="s">
        <v>209</v>
      </c>
      <c r="H606" s="153" t="s">
        <v>212</v>
      </c>
    </row>
    <row r="607" hidden="1">
      <c r="A607" s="158" t="s">
        <v>233</v>
      </c>
      <c r="B607" s="159"/>
      <c r="C607" s="155" t="s">
        <v>232</v>
      </c>
      <c r="D607" s="156" t="s">
        <v>695</v>
      </c>
      <c r="E607" s="156" t="s">
        <v>808</v>
      </c>
      <c r="F607" s="156" t="s">
        <v>323</v>
      </c>
      <c r="G607" s="155" t="s">
        <v>209</v>
      </c>
      <c r="H607" s="157" t="s">
        <v>213</v>
      </c>
    </row>
    <row r="608" hidden="1">
      <c r="A608" s="160" t="s">
        <v>233</v>
      </c>
      <c r="B608" s="72"/>
      <c r="C608" s="118" t="s">
        <v>232</v>
      </c>
      <c r="D608" s="152" t="s">
        <v>695</v>
      </c>
      <c r="E608" s="152" t="s">
        <v>809</v>
      </c>
      <c r="F608" s="152" t="s">
        <v>359</v>
      </c>
      <c r="G608" s="118" t="s">
        <v>209</v>
      </c>
      <c r="H608" s="153" t="s">
        <v>214</v>
      </c>
    </row>
    <row r="609" hidden="1">
      <c r="A609" s="158" t="s">
        <v>233</v>
      </c>
      <c r="B609" s="159"/>
      <c r="C609" s="155" t="s">
        <v>232</v>
      </c>
      <c r="D609" s="156" t="s">
        <v>695</v>
      </c>
      <c r="E609" s="156" t="s">
        <v>810</v>
      </c>
      <c r="F609" s="156" t="s">
        <v>244</v>
      </c>
      <c r="G609" s="155" t="s">
        <v>209</v>
      </c>
      <c r="H609" s="157" t="s">
        <v>215</v>
      </c>
    </row>
    <row r="610" hidden="1">
      <c r="A610" s="160" t="s">
        <v>233</v>
      </c>
      <c r="B610" s="72"/>
      <c r="C610" s="118" t="s">
        <v>232</v>
      </c>
      <c r="D610" s="152" t="s">
        <v>695</v>
      </c>
      <c r="E610" s="152" t="s">
        <v>811</v>
      </c>
      <c r="F610" s="152" t="s">
        <v>323</v>
      </c>
      <c r="G610" s="118" t="s">
        <v>209</v>
      </c>
      <c r="H610" s="153" t="s">
        <v>216</v>
      </c>
    </row>
    <row r="611" hidden="1">
      <c r="A611" s="158" t="s">
        <v>234</v>
      </c>
      <c r="B611" s="159"/>
      <c r="C611" s="155" t="s">
        <v>232</v>
      </c>
      <c r="D611" s="156" t="s">
        <v>695</v>
      </c>
      <c r="E611" s="156" t="s">
        <v>812</v>
      </c>
      <c r="F611" s="156" t="s">
        <v>450</v>
      </c>
      <c r="G611" s="155" t="s">
        <v>209</v>
      </c>
      <c r="H611" s="157" t="s">
        <v>210</v>
      </c>
    </row>
    <row r="612" hidden="1">
      <c r="A612" s="160" t="s">
        <v>234</v>
      </c>
      <c r="B612" s="72"/>
      <c r="C612" s="118" t="s">
        <v>232</v>
      </c>
      <c r="D612" s="152" t="s">
        <v>695</v>
      </c>
      <c r="E612" s="152" t="s">
        <v>813</v>
      </c>
      <c r="F612" s="152" t="s">
        <v>478</v>
      </c>
      <c r="G612" s="118" t="s">
        <v>209</v>
      </c>
      <c r="H612" s="153" t="s">
        <v>211</v>
      </c>
    </row>
    <row r="613" hidden="1">
      <c r="A613" s="158" t="s">
        <v>234</v>
      </c>
      <c r="B613" s="159"/>
      <c r="C613" s="155" t="s">
        <v>232</v>
      </c>
      <c r="D613" s="156" t="s">
        <v>695</v>
      </c>
      <c r="E613" s="156" t="s">
        <v>814</v>
      </c>
      <c r="F613" s="156" t="s">
        <v>290</v>
      </c>
      <c r="G613" s="155" t="s">
        <v>209</v>
      </c>
      <c r="H613" s="157" t="s">
        <v>212</v>
      </c>
    </row>
    <row r="614" hidden="1">
      <c r="A614" s="160" t="s">
        <v>234</v>
      </c>
      <c r="B614" s="72"/>
      <c r="C614" s="118" t="s">
        <v>232</v>
      </c>
      <c r="D614" s="152" t="s">
        <v>695</v>
      </c>
      <c r="E614" s="152" t="s">
        <v>815</v>
      </c>
      <c r="F614" s="152" t="s">
        <v>725</v>
      </c>
      <c r="G614" s="118" t="s">
        <v>209</v>
      </c>
      <c r="H614" s="153" t="s">
        <v>213</v>
      </c>
    </row>
    <row r="615" hidden="1">
      <c r="A615" s="158" t="s">
        <v>234</v>
      </c>
      <c r="B615" s="159"/>
      <c r="C615" s="155" t="s">
        <v>232</v>
      </c>
      <c r="D615" s="156" t="s">
        <v>695</v>
      </c>
      <c r="E615" s="156" t="s">
        <v>816</v>
      </c>
      <c r="F615" s="156" t="s">
        <v>673</v>
      </c>
      <c r="G615" s="155" t="s">
        <v>209</v>
      </c>
      <c r="H615" s="157" t="s">
        <v>214</v>
      </c>
    </row>
    <row r="616" hidden="1">
      <c r="A616" s="160" t="s">
        <v>234</v>
      </c>
      <c r="B616" s="72"/>
      <c r="C616" s="118" t="s">
        <v>232</v>
      </c>
      <c r="D616" s="152" t="s">
        <v>695</v>
      </c>
      <c r="E616" s="152" t="s">
        <v>817</v>
      </c>
      <c r="F616" s="152" t="s">
        <v>308</v>
      </c>
      <c r="G616" s="118" t="s">
        <v>209</v>
      </c>
      <c r="H616" s="153" t="s">
        <v>215</v>
      </c>
    </row>
    <row r="617" hidden="1">
      <c r="A617" s="158" t="s">
        <v>234</v>
      </c>
      <c r="B617" s="159"/>
      <c r="C617" s="155" t="s">
        <v>232</v>
      </c>
      <c r="D617" s="156" t="s">
        <v>695</v>
      </c>
      <c r="E617" s="156" t="s">
        <v>818</v>
      </c>
      <c r="F617" s="156" t="s">
        <v>329</v>
      </c>
      <c r="G617" s="155" t="s">
        <v>209</v>
      </c>
      <c r="H617" s="157" t="s">
        <v>216</v>
      </c>
    </row>
    <row r="618" hidden="1">
      <c r="A618" s="160" t="s">
        <v>235</v>
      </c>
      <c r="B618" s="72"/>
      <c r="C618" s="118" t="s">
        <v>236</v>
      </c>
      <c r="D618" s="152" t="s">
        <v>695</v>
      </c>
      <c r="E618" s="152" t="s">
        <v>819</v>
      </c>
      <c r="F618" s="152" t="s">
        <v>314</v>
      </c>
      <c r="G618" s="118" t="s">
        <v>209</v>
      </c>
      <c r="H618" s="153" t="s">
        <v>210</v>
      </c>
    </row>
    <row r="619" hidden="1">
      <c r="A619" s="158" t="s">
        <v>235</v>
      </c>
      <c r="B619" s="159"/>
      <c r="C619" s="155" t="s">
        <v>236</v>
      </c>
      <c r="D619" s="156" t="s">
        <v>695</v>
      </c>
      <c r="E619" s="156" t="s">
        <v>820</v>
      </c>
      <c r="F619" s="156" t="s">
        <v>314</v>
      </c>
      <c r="G619" s="155" t="s">
        <v>209</v>
      </c>
      <c r="H619" s="157" t="s">
        <v>211</v>
      </c>
    </row>
    <row r="620" hidden="1">
      <c r="A620" s="160" t="s">
        <v>235</v>
      </c>
      <c r="B620" s="72"/>
      <c r="C620" s="118" t="s">
        <v>236</v>
      </c>
      <c r="D620" s="152" t="s">
        <v>695</v>
      </c>
      <c r="E620" s="152" t="s">
        <v>821</v>
      </c>
      <c r="F620" s="152" t="s">
        <v>359</v>
      </c>
      <c r="G620" s="118" t="s">
        <v>209</v>
      </c>
      <c r="H620" s="153" t="s">
        <v>212</v>
      </c>
    </row>
    <row r="621" hidden="1">
      <c r="A621" s="158" t="s">
        <v>235</v>
      </c>
      <c r="B621" s="159"/>
      <c r="C621" s="155" t="s">
        <v>236</v>
      </c>
      <c r="D621" s="156" t="s">
        <v>695</v>
      </c>
      <c r="E621" s="156" t="s">
        <v>822</v>
      </c>
      <c r="F621" s="156" t="s">
        <v>314</v>
      </c>
      <c r="G621" s="155" t="s">
        <v>209</v>
      </c>
      <c r="H621" s="157" t="s">
        <v>213</v>
      </c>
    </row>
    <row r="622" hidden="1">
      <c r="A622" s="160" t="s">
        <v>235</v>
      </c>
      <c r="B622" s="72"/>
      <c r="C622" s="118" t="s">
        <v>236</v>
      </c>
      <c r="D622" s="152" t="s">
        <v>695</v>
      </c>
      <c r="E622" s="152" t="s">
        <v>823</v>
      </c>
      <c r="F622" s="152" t="s">
        <v>249</v>
      </c>
      <c r="G622" s="118" t="s">
        <v>209</v>
      </c>
      <c r="H622" s="153" t="s">
        <v>214</v>
      </c>
    </row>
    <row r="623" hidden="1">
      <c r="A623" s="158" t="s">
        <v>235</v>
      </c>
      <c r="B623" s="159"/>
      <c r="C623" s="155" t="s">
        <v>236</v>
      </c>
      <c r="D623" s="156" t="s">
        <v>695</v>
      </c>
      <c r="E623" s="156" t="s">
        <v>824</v>
      </c>
      <c r="F623" s="156" t="s">
        <v>244</v>
      </c>
      <c r="G623" s="155" t="s">
        <v>209</v>
      </c>
      <c r="H623" s="157" t="s">
        <v>215</v>
      </c>
    </row>
    <row r="624" hidden="1">
      <c r="A624" s="160" t="s">
        <v>235</v>
      </c>
      <c r="B624" s="72"/>
      <c r="C624" s="118" t="s">
        <v>236</v>
      </c>
      <c r="D624" s="152" t="s">
        <v>695</v>
      </c>
      <c r="E624" s="152" t="s">
        <v>825</v>
      </c>
      <c r="F624" s="152" t="s">
        <v>314</v>
      </c>
      <c r="G624" s="118" t="s">
        <v>209</v>
      </c>
      <c r="H624" s="153" t="s">
        <v>216</v>
      </c>
    </row>
    <row r="625" hidden="1">
      <c r="A625" s="158" t="s">
        <v>237</v>
      </c>
      <c r="B625" s="159"/>
      <c r="C625" s="155" t="s">
        <v>236</v>
      </c>
      <c r="D625" s="156" t="s">
        <v>695</v>
      </c>
      <c r="E625" s="156" t="s">
        <v>826</v>
      </c>
      <c r="F625" s="156" t="s">
        <v>290</v>
      </c>
      <c r="G625" s="155" t="s">
        <v>209</v>
      </c>
      <c r="H625" s="157" t="s">
        <v>210</v>
      </c>
    </row>
    <row r="626" hidden="1">
      <c r="A626" s="160" t="s">
        <v>237</v>
      </c>
      <c r="B626" s="72"/>
      <c r="C626" s="118" t="s">
        <v>236</v>
      </c>
      <c r="D626" s="152" t="s">
        <v>695</v>
      </c>
      <c r="E626" s="152" t="s">
        <v>827</v>
      </c>
      <c r="F626" s="152" t="s">
        <v>339</v>
      </c>
      <c r="G626" s="118" t="s">
        <v>209</v>
      </c>
      <c r="H626" s="153" t="s">
        <v>211</v>
      </c>
    </row>
    <row r="627" hidden="1">
      <c r="A627" s="158" t="s">
        <v>237</v>
      </c>
      <c r="B627" s="159"/>
      <c r="C627" s="155" t="s">
        <v>236</v>
      </c>
      <c r="D627" s="156" t="s">
        <v>695</v>
      </c>
      <c r="E627" s="156" t="s">
        <v>828</v>
      </c>
      <c r="F627" s="156" t="s">
        <v>323</v>
      </c>
      <c r="G627" s="155" t="s">
        <v>209</v>
      </c>
      <c r="H627" s="157" t="s">
        <v>212</v>
      </c>
    </row>
    <row r="628" hidden="1">
      <c r="A628" s="160" t="s">
        <v>237</v>
      </c>
      <c r="B628" s="72"/>
      <c r="C628" s="118" t="s">
        <v>236</v>
      </c>
      <c r="D628" s="152" t="s">
        <v>695</v>
      </c>
      <c r="E628" s="152" t="s">
        <v>829</v>
      </c>
      <c r="F628" s="152" t="s">
        <v>336</v>
      </c>
      <c r="G628" s="118" t="s">
        <v>209</v>
      </c>
      <c r="H628" s="153" t="s">
        <v>213</v>
      </c>
    </row>
    <row r="629" hidden="1">
      <c r="A629" s="158" t="s">
        <v>237</v>
      </c>
      <c r="B629" s="159"/>
      <c r="C629" s="155" t="s">
        <v>236</v>
      </c>
      <c r="D629" s="156" t="s">
        <v>695</v>
      </c>
      <c r="E629" s="156" t="s">
        <v>830</v>
      </c>
      <c r="F629" s="156" t="s">
        <v>532</v>
      </c>
      <c r="G629" s="155" t="s">
        <v>209</v>
      </c>
      <c r="H629" s="157" t="s">
        <v>214</v>
      </c>
    </row>
    <row r="630" hidden="1">
      <c r="A630" s="160" t="s">
        <v>237</v>
      </c>
      <c r="B630" s="72"/>
      <c r="C630" s="118" t="s">
        <v>236</v>
      </c>
      <c r="D630" s="152" t="s">
        <v>695</v>
      </c>
      <c r="E630" s="152" t="s">
        <v>831</v>
      </c>
      <c r="F630" s="152" t="s">
        <v>308</v>
      </c>
      <c r="G630" s="118" t="s">
        <v>209</v>
      </c>
      <c r="H630" s="153" t="s">
        <v>215</v>
      </c>
    </row>
    <row r="631" hidden="1">
      <c r="A631" s="158" t="s">
        <v>237</v>
      </c>
      <c r="B631" s="159"/>
      <c r="C631" s="155" t="s">
        <v>236</v>
      </c>
      <c r="D631" s="156" t="s">
        <v>695</v>
      </c>
      <c r="E631" s="156" t="s">
        <v>832</v>
      </c>
      <c r="F631" s="156" t="s">
        <v>305</v>
      </c>
      <c r="G631" s="155" t="s">
        <v>209</v>
      </c>
      <c r="H631" s="157" t="s">
        <v>216</v>
      </c>
    </row>
    <row r="632" hidden="1">
      <c r="A632" s="151" t="s">
        <v>204</v>
      </c>
      <c r="B632" s="118" t="s">
        <v>205</v>
      </c>
      <c r="C632" s="118" t="s">
        <v>206</v>
      </c>
      <c r="D632" s="152" t="s">
        <v>833</v>
      </c>
      <c r="E632" s="152" t="s">
        <v>834</v>
      </c>
      <c r="F632" s="152" t="s">
        <v>240</v>
      </c>
      <c r="G632" s="118" t="s">
        <v>209</v>
      </c>
      <c r="H632" s="153" t="s">
        <v>210</v>
      </c>
    </row>
    <row r="633" hidden="1">
      <c r="A633" s="154" t="s">
        <v>204</v>
      </c>
      <c r="B633" s="155" t="s">
        <v>205</v>
      </c>
      <c r="C633" s="155" t="s">
        <v>206</v>
      </c>
      <c r="D633" s="156" t="s">
        <v>833</v>
      </c>
      <c r="E633" s="156" t="s">
        <v>835</v>
      </c>
      <c r="F633" s="156" t="s">
        <v>257</v>
      </c>
      <c r="G633" s="155" t="s">
        <v>209</v>
      </c>
      <c r="H633" s="157" t="s">
        <v>211</v>
      </c>
    </row>
    <row r="634" hidden="1">
      <c r="A634" s="151" t="s">
        <v>204</v>
      </c>
      <c r="B634" s="118" t="s">
        <v>205</v>
      </c>
      <c r="C634" s="118" t="s">
        <v>206</v>
      </c>
      <c r="D634" s="152" t="s">
        <v>833</v>
      </c>
      <c r="E634" s="152" t="s">
        <v>836</v>
      </c>
      <c r="F634" s="152" t="s">
        <v>357</v>
      </c>
      <c r="G634" s="118" t="s">
        <v>209</v>
      </c>
      <c r="H634" s="153" t="s">
        <v>212</v>
      </c>
    </row>
    <row r="635" hidden="1">
      <c r="A635" s="154" t="s">
        <v>204</v>
      </c>
      <c r="B635" s="155" t="s">
        <v>205</v>
      </c>
      <c r="C635" s="155" t="s">
        <v>206</v>
      </c>
      <c r="D635" s="156" t="s">
        <v>833</v>
      </c>
      <c r="E635" s="156" t="s">
        <v>837</v>
      </c>
      <c r="F635" s="156" t="s">
        <v>257</v>
      </c>
      <c r="G635" s="155" t="s">
        <v>209</v>
      </c>
      <c r="H635" s="157" t="s">
        <v>213</v>
      </c>
    </row>
    <row r="636" hidden="1">
      <c r="A636" s="151" t="s">
        <v>204</v>
      </c>
      <c r="B636" s="118" t="s">
        <v>205</v>
      </c>
      <c r="C636" s="118" t="s">
        <v>206</v>
      </c>
      <c r="D636" s="152" t="s">
        <v>833</v>
      </c>
      <c r="E636" s="152" t="s">
        <v>838</v>
      </c>
      <c r="F636" s="152" t="s">
        <v>244</v>
      </c>
      <c r="G636" s="118" t="s">
        <v>209</v>
      </c>
      <c r="H636" s="153" t="s">
        <v>214</v>
      </c>
    </row>
    <row r="637" hidden="1">
      <c r="A637" s="154" t="s">
        <v>204</v>
      </c>
      <c r="B637" s="155" t="s">
        <v>205</v>
      </c>
      <c r="C637" s="155" t="s">
        <v>206</v>
      </c>
      <c r="D637" s="156" t="s">
        <v>833</v>
      </c>
      <c r="E637" s="156" t="s">
        <v>839</v>
      </c>
      <c r="F637" s="156" t="s">
        <v>244</v>
      </c>
      <c r="G637" s="155" t="s">
        <v>209</v>
      </c>
      <c r="H637" s="157" t="s">
        <v>215</v>
      </c>
    </row>
    <row r="638" hidden="1">
      <c r="A638" s="151" t="s">
        <v>204</v>
      </c>
      <c r="B638" s="118" t="s">
        <v>205</v>
      </c>
      <c r="C638" s="118" t="s">
        <v>206</v>
      </c>
      <c r="D638" s="152" t="s">
        <v>833</v>
      </c>
      <c r="E638" s="152" t="s">
        <v>840</v>
      </c>
      <c r="F638" s="152" t="s">
        <v>287</v>
      </c>
      <c r="G638" s="118" t="s">
        <v>209</v>
      </c>
      <c r="H638" s="153" t="s">
        <v>216</v>
      </c>
    </row>
    <row r="639" hidden="1">
      <c r="A639" s="154" t="s">
        <v>217</v>
      </c>
      <c r="B639" s="155" t="s">
        <v>191</v>
      </c>
      <c r="C639" s="155" t="s">
        <v>206</v>
      </c>
      <c r="D639" s="156" t="s">
        <v>833</v>
      </c>
      <c r="E639" s="156" t="s">
        <v>841</v>
      </c>
      <c r="F639" s="156" t="s">
        <v>301</v>
      </c>
      <c r="G639" s="155" t="s">
        <v>209</v>
      </c>
      <c r="H639" s="157" t="s">
        <v>210</v>
      </c>
    </row>
    <row r="640" hidden="1">
      <c r="A640" s="151" t="s">
        <v>217</v>
      </c>
      <c r="B640" s="118" t="s">
        <v>191</v>
      </c>
      <c r="C640" s="118" t="s">
        <v>206</v>
      </c>
      <c r="D640" s="152" t="s">
        <v>833</v>
      </c>
      <c r="E640" s="152" t="s">
        <v>842</v>
      </c>
      <c r="F640" s="152" t="s">
        <v>287</v>
      </c>
      <c r="G640" s="118" t="s">
        <v>209</v>
      </c>
      <c r="H640" s="153" t="s">
        <v>211</v>
      </c>
    </row>
    <row r="641" hidden="1">
      <c r="A641" s="154" t="s">
        <v>217</v>
      </c>
      <c r="B641" s="155" t="s">
        <v>191</v>
      </c>
      <c r="C641" s="155" t="s">
        <v>206</v>
      </c>
      <c r="D641" s="156" t="s">
        <v>833</v>
      </c>
      <c r="E641" s="156" t="s">
        <v>843</v>
      </c>
      <c r="F641" s="156" t="s">
        <v>242</v>
      </c>
      <c r="G641" s="155" t="s">
        <v>209</v>
      </c>
      <c r="H641" s="157" t="s">
        <v>212</v>
      </c>
    </row>
    <row r="642" hidden="1">
      <c r="A642" s="151" t="s">
        <v>217</v>
      </c>
      <c r="B642" s="118" t="s">
        <v>191</v>
      </c>
      <c r="C642" s="118" t="s">
        <v>206</v>
      </c>
      <c r="D642" s="152" t="s">
        <v>833</v>
      </c>
      <c r="E642" s="152" t="s">
        <v>844</v>
      </c>
      <c r="F642" s="152" t="s">
        <v>301</v>
      </c>
      <c r="G642" s="118" t="s">
        <v>209</v>
      </c>
      <c r="H642" s="153" t="s">
        <v>213</v>
      </c>
    </row>
    <row r="643" hidden="1">
      <c r="A643" s="154" t="s">
        <v>217</v>
      </c>
      <c r="B643" s="155" t="s">
        <v>191</v>
      </c>
      <c r="C643" s="155" t="s">
        <v>206</v>
      </c>
      <c r="D643" s="156" t="s">
        <v>833</v>
      </c>
      <c r="E643" s="156" t="s">
        <v>845</v>
      </c>
      <c r="F643" s="156" t="s">
        <v>244</v>
      </c>
      <c r="G643" s="155" t="s">
        <v>209</v>
      </c>
      <c r="H643" s="157" t="s">
        <v>214</v>
      </c>
    </row>
    <row r="644" hidden="1">
      <c r="A644" s="151" t="s">
        <v>217</v>
      </c>
      <c r="B644" s="118" t="s">
        <v>191</v>
      </c>
      <c r="C644" s="118" t="s">
        <v>206</v>
      </c>
      <c r="D644" s="152" t="s">
        <v>833</v>
      </c>
      <c r="E644" s="152" t="s">
        <v>846</v>
      </c>
      <c r="F644" s="152" t="s">
        <v>365</v>
      </c>
      <c r="G644" s="118" t="s">
        <v>209</v>
      </c>
      <c r="H644" s="153" t="s">
        <v>215</v>
      </c>
    </row>
    <row r="645" hidden="1">
      <c r="A645" s="154" t="s">
        <v>217</v>
      </c>
      <c r="B645" s="155" t="s">
        <v>191</v>
      </c>
      <c r="C645" s="155" t="s">
        <v>206</v>
      </c>
      <c r="D645" s="156" t="s">
        <v>833</v>
      </c>
      <c r="E645" s="156" t="s">
        <v>847</v>
      </c>
      <c r="F645" s="156" t="s">
        <v>240</v>
      </c>
      <c r="G645" s="155" t="s">
        <v>209</v>
      </c>
      <c r="H645" s="157" t="s">
        <v>216</v>
      </c>
    </row>
    <row r="646" hidden="1">
      <c r="A646" s="151" t="s">
        <v>218</v>
      </c>
      <c r="B646" s="118" t="s">
        <v>219</v>
      </c>
      <c r="C646" s="118" t="s">
        <v>206</v>
      </c>
      <c r="D646" s="152" t="s">
        <v>833</v>
      </c>
      <c r="E646" s="152" t="s">
        <v>848</v>
      </c>
      <c r="F646" s="152" t="s">
        <v>357</v>
      </c>
      <c r="G646" s="118" t="s">
        <v>209</v>
      </c>
      <c r="H646" s="153" t="s">
        <v>210</v>
      </c>
    </row>
    <row r="647" hidden="1">
      <c r="A647" s="154" t="s">
        <v>218</v>
      </c>
      <c r="B647" s="155" t="s">
        <v>219</v>
      </c>
      <c r="C647" s="155" t="s">
        <v>206</v>
      </c>
      <c r="D647" s="156" t="s">
        <v>833</v>
      </c>
      <c r="E647" s="156" t="s">
        <v>849</v>
      </c>
      <c r="F647" s="156" t="s">
        <v>257</v>
      </c>
      <c r="G647" s="155" t="s">
        <v>209</v>
      </c>
      <c r="H647" s="157" t="s">
        <v>211</v>
      </c>
    </row>
    <row r="648" hidden="1">
      <c r="A648" s="151" t="s">
        <v>218</v>
      </c>
      <c r="B648" s="118" t="s">
        <v>219</v>
      </c>
      <c r="C648" s="118" t="s">
        <v>206</v>
      </c>
      <c r="D648" s="152" t="s">
        <v>833</v>
      </c>
      <c r="E648" s="152" t="s">
        <v>850</v>
      </c>
      <c r="F648" s="152" t="s">
        <v>357</v>
      </c>
      <c r="G648" s="118" t="s">
        <v>209</v>
      </c>
      <c r="H648" s="153" t="s">
        <v>212</v>
      </c>
    </row>
    <row r="649" hidden="1">
      <c r="A649" s="154" t="s">
        <v>218</v>
      </c>
      <c r="B649" s="155" t="s">
        <v>219</v>
      </c>
      <c r="C649" s="155" t="s">
        <v>206</v>
      </c>
      <c r="D649" s="156" t="s">
        <v>833</v>
      </c>
      <c r="E649" s="156" t="s">
        <v>851</v>
      </c>
      <c r="F649" s="156" t="s">
        <v>242</v>
      </c>
      <c r="G649" s="155" t="s">
        <v>209</v>
      </c>
      <c r="H649" s="157" t="s">
        <v>213</v>
      </c>
    </row>
    <row r="650" hidden="1">
      <c r="A650" s="151" t="s">
        <v>218</v>
      </c>
      <c r="B650" s="118" t="s">
        <v>219</v>
      </c>
      <c r="C650" s="118" t="s">
        <v>206</v>
      </c>
      <c r="D650" s="152" t="s">
        <v>833</v>
      </c>
      <c r="E650" s="152" t="s">
        <v>852</v>
      </c>
      <c r="F650" s="152" t="s">
        <v>269</v>
      </c>
      <c r="G650" s="118" t="s">
        <v>209</v>
      </c>
      <c r="H650" s="153" t="s">
        <v>214</v>
      </c>
    </row>
    <row r="651" hidden="1">
      <c r="A651" s="154" t="s">
        <v>218</v>
      </c>
      <c r="B651" s="155" t="s">
        <v>219</v>
      </c>
      <c r="C651" s="155" t="s">
        <v>206</v>
      </c>
      <c r="D651" s="156" t="s">
        <v>833</v>
      </c>
      <c r="E651" s="156" t="s">
        <v>853</v>
      </c>
      <c r="F651" s="156" t="s">
        <v>357</v>
      </c>
      <c r="G651" s="155" t="s">
        <v>209</v>
      </c>
      <c r="H651" s="157" t="s">
        <v>215</v>
      </c>
    </row>
    <row r="652" hidden="1">
      <c r="A652" s="151" t="s">
        <v>218</v>
      </c>
      <c r="B652" s="118" t="s">
        <v>219</v>
      </c>
      <c r="C652" s="118" t="s">
        <v>206</v>
      </c>
      <c r="D652" s="152" t="s">
        <v>833</v>
      </c>
      <c r="E652" s="152" t="s">
        <v>854</v>
      </c>
      <c r="F652" s="152" t="s">
        <v>244</v>
      </c>
      <c r="G652" s="118" t="s">
        <v>209</v>
      </c>
      <c r="H652" s="153" t="s">
        <v>216</v>
      </c>
    </row>
    <row r="653" hidden="1">
      <c r="A653" s="154" t="s">
        <v>220</v>
      </c>
      <c r="B653" s="155" t="s">
        <v>190</v>
      </c>
      <c r="C653" s="155" t="s">
        <v>206</v>
      </c>
      <c r="D653" s="156" t="s">
        <v>833</v>
      </c>
      <c r="E653" s="156" t="s">
        <v>855</v>
      </c>
      <c r="F653" s="156" t="s">
        <v>492</v>
      </c>
      <c r="G653" s="155" t="s">
        <v>209</v>
      </c>
      <c r="H653" s="157" t="s">
        <v>210</v>
      </c>
    </row>
    <row r="654" hidden="1">
      <c r="A654" s="151" t="s">
        <v>220</v>
      </c>
      <c r="B654" s="118" t="s">
        <v>190</v>
      </c>
      <c r="C654" s="118" t="s">
        <v>206</v>
      </c>
      <c r="D654" s="152" t="s">
        <v>833</v>
      </c>
      <c r="E654" s="152" t="s">
        <v>856</v>
      </c>
      <c r="F654" s="152" t="s">
        <v>290</v>
      </c>
      <c r="G654" s="118" t="s">
        <v>209</v>
      </c>
      <c r="H654" s="153" t="s">
        <v>211</v>
      </c>
    </row>
    <row r="655" hidden="1">
      <c r="A655" s="154" t="s">
        <v>220</v>
      </c>
      <c r="B655" s="155" t="s">
        <v>190</v>
      </c>
      <c r="C655" s="155" t="s">
        <v>206</v>
      </c>
      <c r="D655" s="156" t="s">
        <v>833</v>
      </c>
      <c r="E655" s="156" t="s">
        <v>857</v>
      </c>
      <c r="F655" s="156" t="s">
        <v>483</v>
      </c>
      <c r="G655" s="155" t="s">
        <v>209</v>
      </c>
      <c r="H655" s="157" t="s">
        <v>212</v>
      </c>
    </row>
    <row r="656" hidden="1">
      <c r="A656" s="151" t="s">
        <v>220</v>
      </c>
      <c r="B656" s="118" t="s">
        <v>190</v>
      </c>
      <c r="C656" s="118" t="s">
        <v>206</v>
      </c>
      <c r="D656" s="152" t="s">
        <v>833</v>
      </c>
      <c r="E656" s="152" t="s">
        <v>858</v>
      </c>
      <c r="F656" s="152" t="s">
        <v>357</v>
      </c>
      <c r="G656" s="118" t="s">
        <v>209</v>
      </c>
      <c r="H656" s="153" t="s">
        <v>213</v>
      </c>
    </row>
    <row r="657" hidden="1">
      <c r="A657" s="154" t="s">
        <v>220</v>
      </c>
      <c r="B657" s="155" t="s">
        <v>190</v>
      </c>
      <c r="C657" s="155" t="s">
        <v>206</v>
      </c>
      <c r="D657" s="156" t="s">
        <v>833</v>
      </c>
      <c r="E657" s="156" t="s">
        <v>859</v>
      </c>
      <c r="F657" s="156" t="s">
        <v>323</v>
      </c>
      <c r="G657" s="155" t="s">
        <v>209</v>
      </c>
      <c r="H657" s="157" t="s">
        <v>214</v>
      </c>
    </row>
    <row r="658" hidden="1">
      <c r="A658" s="151" t="s">
        <v>220</v>
      </c>
      <c r="B658" s="118" t="s">
        <v>190</v>
      </c>
      <c r="C658" s="118" t="s">
        <v>206</v>
      </c>
      <c r="D658" s="152" t="s">
        <v>833</v>
      </c>
      <c r="E658" s="152" t="s">
        <v>860</v>
      </c>
      <c r="F658" s="152" t="s">
        <v>301</v>
      </c>
      <c r="G658" s="118" t="s">
        <v>209</v>
      </c>
      <c r="H658" s="153" t="s">
        <v>215</v>
      </c>
    </row>
    <row r="659" hidden="1">
      <c r="A659" s="154" t="s">
        <v>220</v>
      </c>
      <c r="B659" s="155" t="s">
        <v>190</v>
      </c>
      <c r="C659" s="155" t="s">
        <v>206</v>
      </c>
      <c r="D659" s="156" t="s">
        <v>833</v>
      </c>
      <c r="E659" s="156" t="s">
        <v>861</v>
      </c>
      <c r="F659" s="156" t="s">
        <v>244</v>
      </c>
      <c r="G659" s="155" t="s">
        <v>209</v>
      </c>
      <c r="H659" s="157" t="s">
        <v>216</v>
      </c>
    </row>
    <row r="660" hidden="1">
      <c r="A660" s="151" t="s">
        <v>221</v>
      </c>
      <c r="B660" s="118" t="s">
        <v>189</v>
      </c>
      <c r="C660" s="118" t="s">
        <v>206</v>
      </c>
      <c r="D660" s="152" t="s">
        <v>833</v>
      </c>
      <c r="E660" s="152" t="s">
        <v>862</v>
      </c>
      <c r="F660" s="152" t="s">
        <v>357</v>
      </c>
      <c r="G660" s="118" t="s">
        <v>209</v>
      </c>
      <c r="H660" s="153" t="s">
        <v>210</v>
      </c>
    </row>
    <row r="661" hidden="1">
      <c r="A661" s="154" t="s">
        <v>221</v>
      </c>
      <c r="B661" s="155" t="s">
        <v>189</v>
      </c>
      <c r="C661" s="155" t="s">
        <v>206</v>
      </c>
      <c r="D661" s="156" t="s">
        <v>833</v>
      </c>
      <c r="E661" s="156" t="s">
        <v>863</v>
      </c>
      <c r="F661" s="156" t="s">
        <v>269</v>
      </c>
      <c r="G661" s="155" t="s">
        <v>209</v>
      </c>
      <c r="H661" s="157" t="s">
        <v>211</v>
      </c>
    </row>
    <row r="662" hidden="1">
      <c r="A662" s="151" t="s">
        <v>221</v>
      </c>
      <c r="B662" s="118" t="s">
        <v>189</v>
      </c>
      <c r="C662" s="118" t="s">
        <v>206</v>
      </c>
      <c r="D662" s="152" t="s">
        <v>833</v>
      </c>
      <c r="E662" s="152" t="s">
        <v>864</v>
      </c>
      <c r="F662" s="152" t="s">
        <v>255</v>
      </c>
      <c r="G662" s="118" t="s">
        <v>209</v>
      </c>
      <c r="H662" s="153" t="s">
        <v>212</v>
      </c>
    </row>
    <row r="663" hidden="1">
      <c r="A663" s="154" t="s">
        <v>221</v>
      </c>
      <c r="B663" s="155" t="s">
        <v>189</v>
      </c>
      <c r="C663" s="155" t="s">
        <v>206</v>
      </c>
      <c r="D663" s="156" t="s">
        <v>833</v>
      </c>
      <c r="E663" s="156" t="s">
        <v>865</v>
      </c>
      <c r="F663" s="156" t="s">
        <v>290</v>
      </c>
      <c r="G663" s="155" t="s">
        <v>209</v>
      </c>
      <c r="H663" s="157" t="s">
        <v>213</v>
      </c>
    </row>
    <row r="664" hidden="1">
      <c r="A664" s="151" t="s">
        <v>221</v>
      </c>
      <c r="B664" s="118" t="s">
        <v>189</v>
      </c>
      <c r="C664" s="118" t="s">
        <v>206</v>
      </c>
      <c r="D664" s="152" t="s">
        <v>833</v>
      </c>
      <c r="E664" s="152" t="s">
        <v>866</v>
      </c>
      <c r="F664" s="152" t="s">
        <v>331</v>
      </c>
      <c r="G664" s="118" t="s">
        <v>209</v>
      </c>
      <c r="H664" s="153" t="s">
        <v>214</v>
      </c>
    </row>
    <row r="665" hidden="1">
      <c r="A665" s="154" t="s">
        <v>221</v>
      </c>
      <c r="B665" s="155" t="s">
        <v>189</v>
      </c>
      <c r="C665" s="155" t="s">
        <v>206</v>
      </c>
      <c r="D665" s="156" t="s">
        <v>833</v>
      </c>
      <c r="E665" s="156" t="s">
        <v>867</v>
      </c>
      <c r="F665" s="156" t="s">
        <v>305</v>
      </c>
      <c r="G665" s="155" t="s">
        <v>209</v>
      </c>
      <c r="H665" s="157" t="s">
        <v>215</v>
      </c>
    </row>
    <row r="666" hidden="1">
      <c r="A666" s="151" t="s">
        <v>221</v>
      </c>
      <c r="B666" s="118" t="s">
        <v>189</v>
      </c>
      <c r="C666" s="118" t="s">
        <v>206</v>
      </c>
      <c r="D666" s="152" t="s">
        <v>833</v>
      </c>
      <c r="E666" s="152" t="s">
        <v>868</v>
      </c>
      <c r="F666" s="152" t="s">
        <v>242</v>
      </c>
      <c r="G666" s="118" t="s">
        <v>209</v>
      </c>
      <c r="H666" s="153" t="s">
        <v>216</v>
      </c>
    </row>
    <row r="667" hidden="1">
      <c r="A667" s="154" t="s">
        <v>222</v>
      </c>
      <c r="B667" s="155" t="s">
        <v>192</v>
      </c>
      <c r="C667" s="155" t="s">
        <v>206</v>
      </c>
      <c r="D667" s="156" t="s">
        <v>833</v>
      </c>
      <c r="E667" s="156" t="s">
        <v>869</v>
      </c>
      <c r="F667" s="156" t="s">
        <v>534</v>
      </c>
      <c r="G667" s="155" t="s">
        <v>209</v>
      </c>
      <c r="H667" s="157" t="s">
        <v>210</v>
      </c>
    </row>
    <row r="668" hidden="1">
      <c r="A668" s="151" t="s">
        <v>222</v>
      </c>
      <c r="B668" s="118" t="s">
        <v>192</v>
      </c>
      <c r="C668" s="118" t="s">
        <v>206</v>
      </c>
      <c r="D668" s="152" t="s">
        <v>833</v>
      </c>
      <c r="E668" s="152" t="s">
        <v>870</v>
      </c>
      <c r="F668" s="152" t="s">
        <v>308</v>
      </c>
      <c r="G668" s="118" t="s">
        <v>209</v>
      </c>
      <c r="H668" s="153" t="s">
        <v>211</v>
      </c>
    </row>
    <row r="669" hidden="1">
      <c r="A669" s="154" t="s">
        <v>222</v>
      </c>
      <c r="B669" s="155" t="s">
        <v>192</v>
      </c>
      <c r="C669" s="155" t="s">
        <v>206</v>
      </c>
      <c r="D669" s="156" t="s">
        <v>833</v>
      </c>
      <c r="E669" s="156" t="s">
        <v>871</v>
      </c>
      <c r="F669" s="156" t="s">
        <v>242</v>
      </c>
      <c r="G669" s="155" t="s">
        <v>209</v>
      </c>
      <c r="H669" s="157" t="s">
        <v>212</v>
      </c>
    </row>
    <row r="670" hidden="1">
      <c r="A670" s="151" t="s">
        <v>222</v>
      </c>
      <c r="B670" s="118" t="s">
        <v>192</v>
      </c>
      <c r="C670" s="118" t="s">
        <v>206</v>
      </c>
      <c r="D670" s="152" t="s">
        <v>833</v>
      </c>
      <c r="E670" s="152" t="s">
        <v>872</v>
      </c>
      <c r="F670" s="152" t="s">
        <v>331</v>
      </c>
      <c r="G670" s="118" t="s">
        <v>209</v>
      </c>
      <c r="H670" s="153" t="s">
        <v>213</v>
      </c>
    </row>
    <row r="671" hidden="1">
      <c r="A671" s="154" t="s">
        <v>222</v>
      </c>
      <c r="B671" s="155" t="s">
        <v>192</v>
      </c>
      <c r="C671" s="155" t="s">
        <v>206</v>
      </c>
      <c r="D671" s="156" t="s">
        <v>833</v>
      </c>
      <c r="E671" s="156" t="s">
        <v>873</v>
      </c>
      <c r="F671" s="156" t="s">
        <v>314</v>
      </c>
      <c r="G671" s="155" t="s">
        <v>209</v>
      </c>
      <c r="H671" s="157" t="s">
        <v>214</v>
      </c>
    </row>
    <row r="672" hidden="1">
      <c r="A672" s="151" t="s">
        <v>222</v>
      </c>
      <c r="B672" s="118" t="s">
        <v>192</v>
      </c>
      <c r="C672" s="118" t="s">
        <v>206</v>
      </c>
      <c r="D672" s="152" t="s">
        <v>833</v>
      </c>
      <c r="E672" s="152" t="s">
        <v>874</v>
      </c>
      <c r="F672" s="152" t="s">
        <v>323</v>
      </c>
      <c r="G672" s="118" t="s">
        <v>209</v>
      </c>
      <c r="H672" s="153" t="s">
        <v>215</v>
      </c>
    </row>
    <row r="673" hidden="1">
      <c r="A673" s="154" t="s">
        <v>222</v>
      </c>
      <c r="B673" s="155" t="s">
        <v>192</v>
      </c>
      <c r="C673" s="155" t="s">
        <v>206</v>
      </c>
      <c r="D673" s="156" t="s">
        <v>833</v>
      </c>
      <c r="E673" s="156" t="s">
        <v>875</v>
      </c>
      <c r="F673" s="156" t="s">
        <v>331</v>
      </c>
      <c r="G673" s="155" t="s">
        <v>209</v>
      </c>
      <c r="H673" s="157" t="s">
        <v>216</v>
      </c>
    </row>
    <row r="674" hidden="1">
      <c r="A674" s="151" t="s">
        <v>223</v>
      </c>
      <c r="B674" s="118" t="s">
        <v>144</v>
      </c>
      <c r="C674" s="118" t="s">
        <v>206</v>
      </c>
      <c r="D674" s="152" t="s">
        <v>833</v>
      </c>
      <c r="E674" s="152" t="s">
        <v>876</v>
      </c>
      <c r="F674" s="152" t="s">
        <v>257</v>
      </c>
      <c r="G674" s="118" t="s">
        <v>209</v>
      </c>
      <c r="H674" s="153" t="s">
        <v>210</v>
      </c>
    </row>
    <row r="675" hidden="1">
      <c r="A675" s="154" t="s">
        <v>223</v>
      </c>
      <c r="B675" s="155" t="s">
        <v>144</v>
      </c>
      <c r="C675" s="155" t="s">
        <v>206</v>
      </c>
      <c r="D675" s="156" t="s">
        <v>833</v>
      </c>
      <c r="E675" s="156" t="s">
        <v>877</v>
      </c>
      <c r="F675" s="156" t="s">
        <v>257</v>
      </c>
      <c r="G675" s="155" t="s">
        <v>209</v>
      </c>
      <c r="H675" s="157" t="s">
        <v>211</v>
      </c>
    </row>
    <row r="676" hidden="1">
      <c r="A676" s="151" t="s">
        <v>223</v>
      </c>
      <c r="B676" s="118" t="s">
        <v>144</v>
      </c>
      <c r="C676" s="118" t="s">
        <v>206</v>
      </c>
      <c r="D676" s="152" t="s">
        <v>833</v>
      </c>
      <c r="E676" s="152" t="s">
        <v>878</v>
      </c>
      <c r="F676" s="152" t="s">
        <v>323</v>
      </c>
      <c r="G676" s="118" t="s">
        <v>209</v>
      </c>
      <c r="H676" s="153" t="s">
        <v>212</v>
      </c>
    </row>
    <row r="677" hidden="1">
      <c r="A677" s="154" t="s">
        <v>223</v>
      </c>
      <c r="B677" s="155" t="s">
        <v>144</v>
      </c>
      <c r="C677" s="155" t="s">
        <v>206</v>
      </c>
      <c r="D677" s="156" t="s">
        <v>833</v>
      </c>
      <c r="E677" s="156" t="s">
        <v>879</v>
      </c>
      <c r="F677" s="156" t="s">
        <v>246</v>
      </c>
      <c r="G677" s="155" t="s">
        <v>209</v>
      </c>
      <c r="H677" s="157" t="s">
        <v>213</v>
      </c>
    </row>
    <row r="678" hidden="1">
      <c r="A678" s="151" t="s">
        <v>223</v>
      </c>
      <c r="B678" s="118" t="s">
        <v>144</v>
      </c>
      <c r="C678" s="118" t="s">
        <v>206</v>
      </c>
      <c r="D678" s="152" t="s">
        <v>833</v>
      </c>
      <c r="E678" s="152" t="s">
        <v>880</v>
      </c>
      <c r="F678" s="152" t="s">
        <v>287</v>
      </c>
      <c r="G678" s="118" t="s">
        <v>209</v>
      </c>
      <c r="H678" s="153" t="s">
        <v>214</v>
      </c>
    </row>
    <row r="679" hidden="1">
      <c r="A679" s="154" t="s">
        <v>223</v>
      </c>
      <c r="B679" s="155" t="s">
        <v>144</v>
      </c>
      <c r="C679" s="155" t="s">
        <v>206</v>
      </c>
      <c r="D679" s="156" t="s">
        <v>833</v>
      </c>
      <c r="E679" s="156" t="s">
        <v>881</v>
      </c>
      <c r="F679" s="156" t="s">
        <v>244</v>
      </c>
      <c r="G679" s="155" t="s">
        <v>209</v>
      </c>
      <c r="H679" s="157" t="s">
        <v>215</v>
      </c>
    </row>
    <row r="680" hidden="1">
      <c r="A680" s="151" t="s">
        <v>223</v>
      </c>
      <c r="B680" s="118" t="s">
        <v>144</v>
      </c>
      <c r="C680" s="118" t="s">
        <v>206</v>
      </c>
      <c r="D680" s="152" t="s">
        <v>833</v>
      </c>
      <c r="E680" s="152" t="s">
        <v>882</v>
      </c>
      <c r="F680" s="152" t="s">
        <v>257</v>
      </c>
      <c r="G680" s="118" t="s">
        <v>209</v>
      </c>
      <c r="H680" s="153" t="s">
        <v>216</v>
      </c>
    </row>
    <row r="681" hidden="1">
      <c r="A681" s="154" t="s">
        <v>224</v>
      </c>
      <c r="B681" s="155" t="s">
        <v>170</v>
      </c>
      <c r="C681" s="155" t="s">
        <v>206</v>
      </c>
      <c r="D681" s="156" t="s">
        <v>833</v>
      </c>
      <c r="E681" s="156" t="s">
        <v>883</v>
      </c>
      <c r="F681" s="156" t="s">
        <v>301</v>
      </c>
      <c r="G681" s="155" t="s">
        <v>209</v>
      </c>
      <c r="H681" s="157" t="s">
        <v>210</v>
      </c>
    </row>
    <row r="682" hidden="1">
      <c r="A682" s="151" t="s">
        <v>224</v>
      </c>
      <c r="B682" s="118" t="s">
        <v>170</v>
      </c>
      <c r="C682" s="118" t="s">
        <v>206</v>
      </c>
      <c r="D682" s="152" t="s">
        <v>833</v>
      </c>
      <c r="E682" s="152" t="s">
        <v>884</v>
      </c>
      <c r="F682" s="152" t="s">
        <v>374</v>
      </c>
      <c r="G682" s="118" t="s">
        <v>209</v>
      </c>
      <c r="H682" s="153" t="s">
        <v>211</v>
      </c>
    </row>
    <row r="683" hidden="1">
      <c r="A683" s="154" t="s">
        <v>224</v>
      </c>
      <c r="B683" s="155" t="s">
        <v>170</v>
      </c>
      <c r="C683" s="155" t="s">
        <v>206</v>
      </c>
      <c r="D683" s="156" t="s">
        <v>833</v>
      </c>
      <c r="E683" s="156" t="s">
        <v>885</v>
      </c>
      <c r="F683" s="156" t="s">
        <v>357</v>
      </c>
      <c r="G683" s="155" t="s">
        <v>209</v>
      </c>
      <c r="H683" s="157" t="s">
        <v>212</v>
      </c>
    </row>
    <row r="684" hidden="1">
      <c r="A684" s="151" t="s">
        <v>224</v>
      </c>
      <c r="B684" s="118" t="s">
        <v>170</v>
      </c>
      <c r="C684" s="118" t="s">
        <v>206</v>
      </c>
      <c r="D684" s="152" t="s">
        <v>833</v>
      </c>
      <c r="E684" s="152" t="s">
        <v>886</v>
      </c>
      <c r="F684" s="152" t="s">
        <v>269</v>
      </c>
      <c r="G684" s="118" t="s">
        <v>209</v>
      </c>
      <c r="H684" s="153" t="s">
        <v>213</v>
      </c>
    </row>
    <row r="685" hidden="1">
      <c r="A685" s="154" t="s">
        <v>224</v>
      </c>
      <c r="B685" s="155" t="s">
        <v>170</v>
      </c>
      <c r="C685" s="155" t="s">
        <v>206</v>
      </c>
      <c r="D685" s="156" t="s">
        <v>833</v>
      </c>
      <c r="E685" s="156" t="s">
        <v>887</v>
      </c>
      <c r="F685" s="156" t="s">
        <v>298</v>
      </c>
      <c r="G685" s="155" t="s">
        <v>209</v>
      </c>
      <c r="H685" s="157" t="s">
        <v>214</v>
      </c>
    </row>
    <row r="686" hidden="1">
      <c r="A686" s="151" t="s">
        <v>224</v>
      </c>
      <c r="B686" s="118" t="s">
        <v>170</v>
      </c>
      <c r="C686" s="118" t="s">
        <v>206</v>
      </c>
      <c r="D686" s="152" t="s">
        <v>833</v>
      </c>
      <c r="E686" s="152" t="s">
        <v>888</v>
      </c>
      <c r="F686" s="152" t="s">
        <v>262</v>
      </c>
      <c r="G686" s="118" t="s">
        <v>209</v>
      </c>
      <c r="H686" s="153" t="s">
        <v>215</v>
      </c>
    </row>
    <row r="687" hidden="1">
      <c r="A687" s="154" t="s">
        <v>224</v>
      </c>
      <c r="B687" s="155" t="s">
        <v>170</v>
      </c>
      <c r="C687" s="155" t="s">
        <v>206</v>
      </c>
      <c r="D687" s="156" t="s">
        <v>833</v>
      </c>
      <c r="E687" s="156" t="s">
        <v>889</v>
      </c>
      <c r="F687" s="156" t="s">
        <v>259</v>
      </c>
      <c r="G687" s="155" t="s">
        <v>209</v>
      </c>
      <c r="H687" s="157" t="s">
        <v>216</v>
      </c>
    </row>
    <row r="688" hidden="1">
      <c r="A688" s="151" t="s">
        <v>225</v>
      </c>
      <c r="B688" s="118" t="s">
        <v>226</v>
      </c>
      <c r="C688" s="118" t="s">
        <v>206</v>
      </c>
      <c r="D688" s="152" t="s">
        <v>833</v>
      </c>
      <c r="E688" s="152" t="s">
        <v>890</v>
      </c>
      <c r="F688" s="152" t="s">
        <v>204</v>
      </c>
      <c r="G688" s="118" t="s">
        <v>209</v>
      </c>
      <c r="H688" s="153" t="s">
        <v>210</v>
      </c>
    </row>
    <row r="689" hidden="1">
      <c r="A689" s="154" t="s">
        <v>225</v>
      </c>
      <c r="B689" s="155" t="s">
        <v>226</v>
      </c>
      <c r="C689" s="155" t="s">
        <v>206</v>
      </c>
      <c r="D689" s="156" t="s">
        <v>833</v>
      </c>
      <c r="E689" s="156" t="s">
        <v>891</v>
      </c>
      <c r="F689" s="156" t="s">
        <v>259</v>
      </c>
      <c r="G689" s="155" t="s">
        <v>209</v>
      </c>
      <c r="H689" s="157" t="s">
        <v>211</v>
      </c>
    </row>
    <row r="690" hidden="1">
      <c r="A690" s="151" t="s">
        <v>225</v>
      </c>
      <c r="B690" s="118" t="s">
        <v>226</v>
      </c>
      <c r="C690" s="118" t="s">
        <v>206</v>
      </c>
      <c r="D690" s="152" t="s">
        <v>833</v>
      </c>
      <c r="E690" s="152" t="s">
        <v>892</v>
      </c>
      <c r="F690" s="152" t="s">
        <v>298</v>
      </c>
      <c r="G690" s="118" t="s">
        <v>209</v>
      </c>
      <c r="H690" s="153" t="s">
        <v>212</v>
      </c>
    </row>
    <row r="691" hidden="1">
      <c r="A691" s="154" t="s">
        <v>225</v>
      </c>
      <c r="B691" s="155" t="s">
        <v>226</v>
      </c>
      <c r="C691" s="155" t="s">
        <v>206</v>
      </c>
      <c r="D691" s="156" t="s">
        <v>833</v>
      </c>
      <c r="E691" s="156" t="s">
        <v>893</v>
      </c>
      <c r="F691" s="156" t="s">
        <v>458</v>
      </c>
      <c r="G691" s="155" t="s">
        <v>209</v>
      </c>
      <c r="H691" s="157" t="s">
        <v>213</v>
      </c>
    </row>
    <row r="692" hidden="1">
      <c r="A692" s="151" t="s">
        <v>225</v>
      </c>
      <c r="B692" s="118" t="s">
        <v>226</v>
      </c>
      <c r="C692" s="118" t="s">
        <v>206</v>
      </c>
      <c r="D692" s="152" t="s">
        <v>833</v>
      </c>
      <c r="E692" s="152" t="s">
        <v>894</v>
      </c>
      <c r="F692" s="152" t="s">
        <v>204</v>
      </c>
      <c r="G692" s="118" t="s">
        <v>209</v>
      </c>
      <c r="H692" s="153" t="s">
        <v>214</v>
      </c>
    </row>
    <row r="693" hidden="1">
      <c r="A693" s="154" t="s">
        <v>225</v>
      </c>
      <c r="B693" s="155" t="s">
        <v>226</v>
      </c>
      <c r="C693" s="155" t="s">
        <v>206</v>
      </c>
      <c r="D693" s="156" t="s">
        <v>833</v>
      </c>
      <c r="E693" s="156" t="s">
        <v>895</v>
      </c>
      <c r="F693" s="156" t="s">
        <v>436</v>
      </c>
      <c r="G693" s="155" t="s">
        <v>209</v>
      </c>
      <c r="H693" s="157" t="s">
        <v>215</v>
      </c>
    </row>
    <row r="694" hidden="1">
      <c r="A694" s="151" t="s">
        <v>225</v>
      </c>
      <c r="B694" s="118" t="s">
        <v>226</v>
      </c>
      <c r="C694" s="118" t="s">
        <v>206</v>
      </c>
      <c r="D694" s="152" t="s">
        <v>833</v>
      </c>
      <c r="E694" s="152" t="s">
        <v>896</v>
      </c>
      <c r="F694" s="152" t="s">
        <v>276</v>
      </c>
      <c r="G694" s="118" t="s">
        <v>209</v>
      </c>
      <c r="H694" s="153" t="s">
        <v>216</v>
      </c>
    </row>
    <row r="695" hidden="1">
      <c r="A695" s="154" t="s">
        <v>227</v>
      </c>
      <c r="B695" s="155" t="s">
        <v>195</v>
      </c>
      <c r="C695" s="155" t="s">
        <v>206</v>
      </c>
      <c r="D695" s="156" t="s">
        <v>833</v>
      </c>
      <c r="E695" s="156" t="s">
        <v>897</v>
      </c>
      <c r="F695" s="156" t="s">
        <v>259</v>
      </c>
      <c r="G695" s="155" t="s">
        <v>209</v>
      </c>
      <c r="H695" s="157" t="s">
        <v>210</v>
      </c>
    </row>
    <row r="696" hidden="1">
      <c r="A696" s="151" t="s">
        <v>227</v>
      </c>
      <c r="B696" s="118" t="s">
        <v>195</v>
      </c>
      <c r="C696" s="118" t="s">
        <v>206</v>
      </c>
      <c r="D696" s="152" t="s">
        <v>833</v>
      </c>
      <c r="E696" s="152" t="s">
        <v>898</v>
      </c>
      <c r="F696" s="152" t="s">
        <v>442</v>
      </c>
      <c r="G696" s="118" t="s">
        <v>209</v>
      </c>
      <c r="H696" s="153" t="s">
        <v>211</v>
      </c>
    </row>
    <row r="697" hidden="1">
      <c r="A697" s="154" t="s">
        <v>227</v>
      </c>
      <c r="B697" s="155" t="s">
        <v>195</v>
      </c>
      <c r="C697" s="155" t="s">
        <v>206</v>
      </c>
      <c r="D697" s="156" t="s">
        <v>833</v>
      </c>
      <c r="E697" s="156" t="s">
        <v>899</v>
      </c>
      <c r="F697" s="156" t="s">
        <v>262</v>
      </c>
      <c r="G697" s="155" t="s">
        <v>209</v>
      </c>
      <c r="H697" s="157" t="s">
        <v>212</v>
      </c>
    </row>
    <row r="698" hidden="1">
      <c r="A698" s="151" t="s">
        <v>227</v>
      </c>
      <c r="B698" s="118" t="s">
        <v>195</v>
      </c>
      <c r="C698" s="118" t="s">
        <v>206</v>
      </c>
      <c r="D698" s="152" t="s">
        <v>833</v>
      </c>
      <c r="E698" s="152" t="s">
        <v>900</v>
      </c>
      <c r="F698" s="152" t="s">
        <v>301</v>
      </c>
      <c r="G698" s="118" t="s">
        <v>209</v>
      </c>
      <c r="H698" s="153" t="s">
        <v>213</v>
      </c>
    </row>
    <row r="699" hidden="1">
      <c r="A699" s="154" t="s">
        <v>227</v>
      </c>
      <c r="B699" s="155" t="s">
        <v>195</v>
      </c>
      <c r="C699" s="155" t="s">
        <v>206</v>
      </c>
      <c r="D699" s="156" t="s">
        <v>833</v>
      </c>
      <c r="E699" s="156" t="s">
        <v>901</v>
      </c>
      <c r="F699" s="156" t="s">
        <v>308</v>
      </c>
      <c r="G699" s="155" t="s">
        <v>209</v>
      </c>
      <c r="H699" s="157" t="s">
        <v>214</v>
      </c>
    </row>
    <row r="700" hidden="1">
      <c r="A700" s="151" t="s">
        <v>227</v>
      </c>
      <c r="B700" s="118" t="s">
        <v>195</v>
      </c>
      <c r="C700" s="118" t="s">
        <v>206</v>
      </c>
      <c r="D700" s="152" t="s">
        <v>833</v>
      </c>
      <c r="E700" s="152" t="s">
        <v>902</v>
      </c>
      <c r="F700" s="152" t="s">
        <v>351</v>
      </c>
      <c r="G700" s="118" t="s">
        <v>209</v>
      </c>
      <c r="H700" s="153" t="s">
        <v>215</v>
      </c>
    </row>
    <row r="701" hidden="1">
      <c r="A701" s="154" t="s">
        <v>227</v>
      </c>
      <c r="B701" s="155" t="s">
        <v>195</v>
      </c>
      <c r="C701" s="155" t="s">
        <v>206</v>
      </c>
      <c r="D701" s="156" t="s">
        <v>833</v>
      </c>
      <c r="E701" s="156" t="s">
        <v>903</v>
      </c>
      <c r="F701" s="156" t="s">
        <v>374</v>
      </c>
      <c r="G701" s="155" t="s">
        <v>209</v>
      </c>
      <c r="H701" s="157" t="s">
        <v>216</v>
      </c>
    </row>
    <row r="702" hidden="1">
      <c r="A702" s="151" t="s">
        <v>228</v>
      </c>
      <c r="B702" s="118" t="s">
        <v>138</v>
      </c>
      <c r="C702" s="118" t="s">
        <v>206</v>
      </c>
      <c r="D702" s="152" t="s">
        <v>833</v>
      </c>
      <c r="E702" s="152" t="s">
        <v>904</v>
      </c>
      <c r="F702" s="152" t="s">
        <v>357</v>
      </c>
      <c r="G702" s="118" t="s">
        <v>209</v>
      </c>
      <c r="H702" s="153" t="s">
        <v>210</v>
      </c>
    </row>
    <row r="703" hidden="1">
      <c r="A703" s="154" t="s">
        <v>228</v>
      </c>
      <c r="B703" s="155" t="s">
        <v>138</v>
      </c>
      <c r="C703" s="155" t="s">
        <v>206</v>
      </c>
      <c r="D703" s="156" t="s">
        <v>833</v>
      </c>
      <c r="E703" s="156" t="s">
        <v>905</v>
      </c>
      <c r="F703" s="156" t="s">
        <v>357</v>
      </c>
      <c r="G703" s="155" t="s">
        <v>209</v>
      </c>
      <c r="H703" s="157" t="s">
        <v>211</v>
      </c>
    </row>
    <row r="704" hidden="1">
      <c r="A704" s="151" t="s">
        <v>228</v>
      </c>
      <c r="B704" s="118" t="s">
        <v>138</v>
      </c>
      <c r="C704" s="118" t="s">
        <v>206</v>
      </c>
      <c r="D704" s="152" t="s">
        <v>833</v>
      </c>
      <c r="E704" s="152" t="s">
        <v>777</v>
      </c>
      <c r="F704" s="152" t="s">
        <v>204</v>
      </c>
      <c r="G704" s="118" t="s">
        <v>209</v>
      </c>
      <c r="H704" s="153" t="s">
        <v>212</v>
      </c>
    </row>
    <row r="705" hidden="1">
      <c r="A705" s="154" t="s">
        <v>228</v>
      </c>
      <c r="B705" s="155" t="s">
        <v>138</v>
      </c>
      <c r="C705" s="155" t="s">
        <v>206</v>
      </c>
      <c r="D705" s="156" t="s">
        <v>833</v>
      </c>
      <c r="E705" s="156" t="s">
        <v>906</v>
      </c>
      <c r="F705" s="156" t="s">
        <v>259</v>
      </c>
      <c r="G705" s="155" t="s">
        <v>209</v>
      </c>
      <c r="H705" s="157" t="s">
        <v>213</v>
      </c>
    </row>
    <row r="706" hidden="1">
      <c r="A706" s="151" t="s">
        <v>228</v>
      </c>
      <c r="B706" s="118" t="s">
        <v>138</v>
      </c>
      <c r="C706" s="118" t="s">
        <v>206</v>
      </c>
      <c r="D706" s="152" t="s">
        <v>833</v>
      </c>
      <c r="E706" s="152" t="s">
        <v>907</v>
      </c>
      <c r="F706" s="152" t="s">
        <v>359</v>
      </c>
      <c r="G706" s="118" t="s">
        <v>209</v>
      </c>
      <c r="H706" s="153" t="s">
        <v>214</v>
      </c>
    </row>
    <row r="707" hidden="1">
      <c r="A707" s="154" t="s">
        <v>228</v>
      </c>
      <c r="B707" s="155" t="s">
        <v>138</v>
      </c>
      <c r="C707" s="155" t="s">
        <v>206</v>
      </c>
      <c r="D707" s="156" t="s">
        <v>833</v>
      </c>
      <c r="E707" s="156" t="s">
        <v>908</v>
      </c>
      <c r="F707" s="156" t="s">
        <v>458</v>
      </c>
      <c r="G707" s="155" t="s">
        <v>209</v>
      </c>
      <c r="H707" s="157" t="s">
        <v>215</v>
      </c>
    </row>
    <row r="708" hidden="1">
      <c r="A708" s="151" t="s">
        <v>228</v>
      </c>
      <c r="B708" s="118" t="s">
        <v>138</v>
      </c>
      <c r="C708" s="118" t="s">
        <v>206</v>
      </c>
      <c r="D708" s="152" t="s">
        <v>833</v>
      </c>
      <c r="E708" s="152" t="s">
        <v>909</v>
      </c>
      <c r="F708" s="152" t="s">
        <v>244</v>
      </c>
      <c r="G708" s="118" t="s">
        <v>209</v>
      </c>
      <c r="H708" s="153" t="s">
        <v>216</v>
      </c>
    </row>
    <row r="709" hidden="1">
      <c r="A709" s="154" t="s">
        <v>229</v>
      </c>
      <c r="B709" s="155" t="s">
        <v>193</v>
      </c>
      <c r="C709" s="155" t="s">
        <v>206</v>
      </c>
      <c r="D709" s="156" t="s">
        <v>833</v>
      </c>
      <c r="E709" s="156" t="s">
        <v>910</v>
      </c>
      <c r="F709" s="156" t="s">
        <v>255</v>
      </c>
      <c r="G709" s="155" t="s">
        <v>209</v>
      </c>
      <c r="H709" s="157" t="s">
        <v>210</v>
      </c>
    </row>
    <row r="710" hidden="1">
      <c r="A710" s="151" t="s">
        <v>229</v>
      </c>
      <c r="B710" s="118" t="s">
        <v>193</v>
      </c>
      <c r="C710" s="118" t="s">
        <v>206</v>
      </c>
      <c r="D710" s="152" t="s">
        <v>833</v>
      </c>
      <c r="E710" s="152" t="s">
        <v>911</v>
      </c>
      <c r="F710" s="152" t="s">
        <v>365</v>
      </c>
      <c r="G710" s="118" t="s">
        <v>209</v>
      </c>
      <c r="H710" s="153" t="s">
        <v>211</v>
      </c>
    </row>
    <row r="711" hidden="1">
      <c r="A711" s="154" t="s">
        <v>229</v>
      </c>
      <c r="B711" s="155" t="s">
        <v>193</v>
      </c>
      <c r="C711" s="155" t="s">
        <v>206</v>
      </c>
      <c r="D711" s="156" t="s">
        <v>833</v>
      </c>
      <c r="E711" s="156" t="s">
        <v>912</v>
      </c>
      <c r="F711" s="156" t="s">
        <v>290</v>
      </c>
      <c r="G711" s="155" t="s">
        <v>209</v>
      </c>
      <c r="H711" s="157" t="s">
        <v>212</v>
      </c>
    </row>
    <row r="712" hidden="1">
      <c r="A712" s="151" t="s">
        <v>229</v>
      </c>
      <c r="B712" s="118" t="s">
        <v>193</v>
      </c>
      <c r="C712" s="118" t="s">
        <v>206</v>
      </c>
      <c r="D712" s="152" t="s">
        <v>833</v>
      </c>
      <c r="E712" s="152" t="s">
        <v>913</v>
      </c>
      <c r="F712" s="152" t="s">
        <v>244</v>
      </c>
      <c r="G712" s="118" t="s">
        <v>209</v>
      </c>
      <c r="H712" s="153" t="s">
        <v>213</v>
      </c>
    </row>
    <row r="713" hidden="1">
      <c r="A713" s="154" t="s">
        <v>229</v>
      </c>
      <c r="B713" s="155" t="s">
        <v>193</v>
      </c>
      <c r="C713" s="155" t="s">
        <v>206</v>
      </c>
      <c r="D713" s="156" t="s">
        <v>833</v>
      </c>
      <c r="E713" s="156" t="s">
        <v>914</v>
      </c>
      <c r="F713" s="156" t="s">
        <v>265</v>
      </c>
      <c r="G713" s="155" t="s">
        <v>209</v>
      </c>
      <c r="H713" s="157" t="s">
        <v>214</v>
      </c>
    </row>
    <row r="714" hidden="1">
      <c r="A714" s="151" t="s">
        <v>229</v>
      </c>
      <c r="B714" s="118" t="s">
        <v>193</v>
      </c>
      <c r="C714" s="118" t="s">
        <v>206</v>
      </c>
      <c r="D714" s="152" t="s">
        <v>833</v>
      </c>
      <c r="E714" s="152" t="s">
        <v>915</v>
      </c>
      <c r="F714" s="152" t="s">
        <v>276</v>
      </c>
      <c r="G714" s="118" t="s">
        <v>209</v>
      </c>
      <c r="H714" s="153" t="s">
        <v>215</v>
      </c>
    </row>
    <row r="715" hidden="1">
      <c r="A715" s="154" t="s">
        <v>229</v>
      </c>
      <c r="B715" s="155" t="s">
        <v>193</v>
      </c>
      <c r="C715" s="155" t="s">
        <v>206</v>
      </c>
      <c r="D715" s="156" t="s">
        <v>833</v>
      </c>
      <c r="E715" s="156" t="s">
        <v>916</v>
      </c>
      <c r="F715" s="156" t="s">
        <v>257</v>
      </c>
      <c r="G715" s="155" t="s">
        <v>209</v>
      </c>
      <c r="H715" s="157" t="s">
        <v>216</v>
      </c>
    </row>
    <row r="716" hidden="1">
      <c r="A716" s="151" t="s">
        <v>230</v>
      </c>
      <c r="B716" s="118" t="s">
        <v>194</v>
      </c>
      <c r="C716" s="118" t="s">
        <v>206</v>
      </c>
      <c r="D716" s="152" t="s">
        <v>833</v>
      </c>
      <c r="E716" s="152" t="s">
        <v>903</v>
      </c>
      <c r="F716" s="152" t="s">
        <v>287</v>
      </c>
      <c r="G716" s="118" t="s">
        <v>209</v>
      </c>
      <c r="H716" s="153" t="s">
        <v>210</v>
      </c>
    </row>
    <row r="717" hidden="1">
      <c r="A717" s="154" t="s">
        <v>230</v>
      </c>
      <c r="B717" s="155" t="s">
        <v>194</v>
      </c>
      <c r="C717" s="155" t="s">
        <v>206</v>
      </c>
      <c r="D717" s="156" t="s">
        <v>833</v>
      </c>
      <c r="E717" s="156" t="s">
        <v>754</v>
      </c>
      <c r="F717" s="156" t="s">
        <v>255</v>
      </c>
      <c r="G717" s="155" t="s">
        <v>209</v>
      </c>
      <c r="H717" s="157" t="s">
        <v>211</v>
      </c>
    </row>
    <row r="718" hidden="1">
      <c r="A718" s="151" t="s">
        <v>230</v>
      </c>
      <c r="B718" s="118" t="s">
        <v>194</v>
      </c>
      <c r="C718" s="118" t="s">
        <v>206</v>
      </c>
      <c r="D718" s="152" t="s">
        <v>833</v>
      </c>
      <c r="E718" s="152" t="s">
        <v>917</v>
      </c>
      <c r="F718" s="152" t="s">
        <v>285</v>
      </c>
      <c r="G718" s="118" t="s">
        <v>209</v>
      </c>
      <c r="H718" s="153" t="s">
        <v>212</v>
      </c>
    </row>
    <row r="719" hidden="1">
      <c r="A719" s="154" t="s">
        <v>230</v>
      </c>
      <c r="B719" s="155" t="s">
        <v>194</v>
      </c>
      <c r="C719" s="155" t="s">
        <v>206</v>
      </c>
      <c r="D719" s="156" t="s">
        <v>833</v>
      </c>
      <c r="E719" s="156" t="s">
        <v>918</v>
      </c>
      <c r="F719" s="156" t="s">
        <v>269</v>
      </c>
      <c r="G719" s="155" t="s">
        <v>209</v>
      </c>
      <c r="H719" s="157" t="s">
        <v>213</v>
      </c>
    </row>
    <row r="720" hidden="1">
      <c r="A720" s="151" t="s">
        <v>230</v>
      </c>
      <c r="B720" s="118" t="s">
        <v>194</v>
      </c>
      <c r="C720" s="118" t="s">
        <v>206</v>
      </c>
      <c r="D720" s="152" t="s">
        <v>833</v>
      </c>
      <c r="E720" s="152" t="s">
        <v>919</v>
      </c>
      <c r="F720" s="152" t="s">
        <v>365</v>
      </c>
      <c r="G720" s="118" t="s">
        <v>209</v>
      </c>
      <c r="H720" s="153" t="s">
        <v>214</v>
      </c>
    </row>
    <row r="721" hidden="1">
      <c r="A721" s="154" t="s">
        <v>230</v>
      </c>
      <c r="B721" s="155" t="s">
        <v>194</v>
      </c>
      <c r="C721" s="155" t="s">
        <v>206</v>
      </c>
      <c r="D721" s="156" t="s">
        <v>833</v>
      </c>
      <c r="E721" s="156" t="s">
        <v>920</v>
      </c>
      <c r="F721" s="156" t="s">
        <v>259</v>
      </c>
      <c r="G721" s="155" t="s">
        <v>209</v>
      </c>
      <c r="H721" s="157" t="s">
        <v>215</v>
      </c>
    </row>
    <row r="722" hidden="1">
      <c r="A722" s="151" t="s">
        <v>230</v>
      </c>
      <c r="B722" s="118" t="s">
        <v>194</v>
      </c>
      <c r="C722" s="118" t="s">
        <v>206</v>
      </c>
      <c r="D722" s="152" t="s">
        <v>833</v>
      </c>
      <c r="E722" s="152" t="s">
        <v>921</v>
      </c>
      <c r="F722" s="152" t="s">
        <v>240</v>
      </c>
      <c r="G722" s="118" t="s">
        <v>209</v>
      </c>
      <c r="H722" s="153" t="s">
        <v>216</v>
      </c>
    </row>
    <row r="723" hidden="1">
      <c r="A723" s="158" t="s">
        <v>231</v>
      </c>
      <c r="B723" s="159"/>
      <c r="C723" s="155" t="s">
        <v>232</v>
      </c>
      <c r="D723" s="156" t="s">
        <v>833</v>
      </c>
      <c r="E723" s="156" t="s">
        <v>922</v>
      </c>
      <c r="F723" s="156" t="s">
        <v>433</v>
      </c>
      <c r="G723" s="155" t="s">
        <v>209</v>
      </c>
      <c r="H723" s="157" t="s">
        <v>210</v>
      </c>
    </row>
    <row r="724" hidden="1">
      <c r="A724" s="160" t="s">
        <v>231</v>
      </c>
      <c r="B724" s="72"/>
      <c r="C724" s="118" t="s">
        <v>232</v>
      </c>
      <c r="D724" s="152" t="s">
        <v>833</v>
      </c>
      <c r="E724" s="152" t="s">
        <v>923</v>
      </c>
      <c r="F724" s="152" t="s">
        <v>244</v>
      </c>
      <c r="G724" s="118" t="s">
        <v>209</v>
      </c>
      <c r="H724" s="153" t="s">
        <v>211</v>
      </c>
    </row>
    <row r="725" hidden="1">
      <c r="A725" s="158" t="s">
        <v>231</v>
      </c>
      <c r="B725" s="159"/>
      <c r="C725" s="155" t="s">
        <v>232</v>
      </c>
      <c r="D725" s="156" t="s">
        <v>833</v>
      </c>
      <c r="E725" s="156" t="s">
        <v>924</v>
      </c>
      <c r="F725" s="156" t="s">
        <v>365</v>
      </c>
      <c r="G725" s="155" t="s">
        <v>209</v>
      </c>
      <c r="H725" s="157" t="s">
        <v>212</v>
      </c>
    </row>
    <row r="726" hidden="1">
      <c r="A726" s="160" t="s">
        <v>231</v>
      </c>
      <c r="B726" s="72"/>
      <c r="C726" s="118" t="s">
        <v>232</v>
      </c>
      <c r="D726" s="152" t="s">
        <v>833</v>
      </c>
      <c r="E726" s="152" t="s">
        <v>925</v>
      </c>
      <c r="F726" s="152" t="s">
        <v>240</v>
      </c>
      <c r="G726" s="118" t="s">
        <v>209</v>
      </c>
      <c r="H726" s="153" t="s">
        <v>213</v>
      </c>
    </row>
    <row r="727" hidden="1">
      <c r="A727" s="158" t="s">
        <v>231</v>
      </c>
      <c r="B727" s="159"/>
      <c r="C727" s="155" t="s">
        <v>232</v>
      </c>
      <c r="D727" s="156" t="s">
        <v>833</v>
      </c>
      <c r="E727" s="156" t="s">
        <v>926</v>
      </c>
      <c r="F727" s="156" t="s">
        <v>534</v>
      </c>
      <c r="G727" s="155" t="s">
        <v>209</v>
      </c>
      <c r="H727" s="157" t="s">
        <v>214</v>
      </c>
    </row>
    <row r="728" hidden="1">
      <c r="A728" s="160" t="s">
        <v>231</v>
      </c>
      <c r="B728" s="72"/>
      <c r="C728" s="118" t="s">
        <v>232</v>
      </c>
      <c r="D728" s="152" t="s">
        <v>833</v>
      </c>
      <c r="E728" s="152" t="s">
        <v>927</v>
      </c>
      <c r="F728" s="152" t="s">
        <v>365</v>
      </c>
      <c r="G728" s="118" t="s">
        <v>209</v>
      </c>
      <c r="H728" s="153" t="s">
        <v>215</v>
      </c>
    </row>
    <row r="729" hidden="1">
      <c r="A729" s="158" t="s">
        <v>231</v>
      </c>
      <c r="B729" s="159"/>
      <c r="C729" s="155" t="s">
        <v>232</v>
      </c>
      <c r="D729" s="156" t="s">
        <v>833</v>
      </c>
      <c r="E729" s="156" t="s">
        <v>928</v>
      </c>
      <c r="F729" s="156" t="s">
        <v>265</v>
      </c>
      <c r="G729" s="155" t="s">
        <v>209</v>
      </c>
      <c r="H729" s="157" t="s">
        <v>216</v>
      </c>
    </row>
    <row r="730" hidden="1">
      <c r="A730" s="160" t="s">
        <v>233</v>
      </c>
      <c r="B730" s="72"/>
      <c r="C730" s="118" t="s">
        <v>232</v>
      </c>
      <c r="D730" s="152" t="s">
        <v>833</v>
      </c>
      <c r="E730" s="152" t="s">
        <v>929</v>
      </c>
      <c r="F730" s="152" t="s">
        <v>246</v>
      </c>
      <c r="G730" s="118" t="s">
        <v>209</v>
      </c>
      <c r="H730" s="153" t="s">
        <v>210</v>
      </c>
    </row>
    <row r="731" hidden="1">
      <c r="A731" s="158" t="s">
        <v>233</v>
      </c>
      <c r="B731" s="159"/>
      <c r="C731" s="155" t="s">
        <v>232</v>
      </c>
      <c r="D731" s="156" t="s">
        <v>833</v>
      </c>
      <c r="E731" s="156" t="s">
        <v>930</v>
      </c>
      <c r="F731" s="156" t="s">
        <v>246</v>
      </c>
      <c r="G731" s="155" t="s">
        <v>209</v>
      </c>
      <c r="H731" s="157" t="s">
        <v>211</v>
      </c>
    </row>
    <row r="732" hidden="1">
      <c r="A732" s="160" t="s">
        <v>233</v>
      </c>
      <c r="B732" s="72"/>
      <c r="C732" s="118" t="s">
        <v>232</v>
      </c>
      <c r="D732" s="152" t="s">
        <v>833</v>
      </c>
      <c r="E732" s="152" t="s">
        <v>931</v>
      </c>
      <c r="F732" s="152" t="s">
        <v>323</v>
      </c>
      <c r="G732" s="118" t="s">
        <v>209</v>
      </c>
      <c r="H732" s="153" t="s">
        <v>212</v>
      </c>
    </row>
    <row r="733" hidden="1">
      <c r="A733" s="158" t="s">
        <v>233</v>
      </c>
      <c r="B733" s="159"/>
      <c r="C733" s="155" t="s">
        <v>232</v>
      </c>
      <c r="D733" s="156" t="s">
        <v>833</v>
      </c>
      <c r="E733" s="156" t="s">
        <v>932</v>
      </c>
      <c r="F733" s="156" t="s">
        <v>257</v>
      </c>
      <c r="G733" s="155" t="s">
        <v>209</v>
      </c>
      <c r="H733" s="157" t="s">
        <v>213</v>
      </c>
    </row>
    <row r="734" hidden="1">
      <c r="A734" s="160" t="s">
        <v>233</v>
      </c>
      <c r="B734" s="72"/>
      <c r="C734" s="118" t="s">
        <v>232</v>
      </c>
      <c r="D734" s="152" t="s">
        <v>833</v>
      </c>
      <c r="E734" s="152" t="s">
        <v>933</v>
      </c>
      <c r="F734" s="152" t="s">
        <v>242</v>
      </c>
      <c r="G734" s="118" t="s">
        <v>209</v>
      </c>
      <c r="H734" s="153" t="s">
        <v>214</v>
      </c>
    </row>
    <row r="735" hidden="1">
      <c r="A735" s="158" t="s">
        <v>233</v>
      </c>
      <c r="B735" s="159"/>
      <c r="C735" s="155" t="s">
        <v>232</v>
      </c>
      <c r="D735" s="156" t="s">
        <v>833</v>
      </c>
      <c r="E735" s="156" t="s">
        <v>934</v>
      </c>
      <c r="F735" s="156" t="s">
        <v>365</v>
      </c>
      <c r="G735" s="155" t="s">
        <v>209</v>
      </c>
      <c r="H735" s="157" t="s">
        <v>215</v>
      </c>
    </row>
    <row r="736" hidden="1">
      <c r="A736" s="160" t="s">
        <v>233</v>
      </c>
      <c r="B736" s="72"/>
      <c r="C736" s="118" t="s">
        <v>232</v>
      </c>
      <c r="D736" s="152" t="s">
        <v>833</v>
      </c>
      <c r="E736" s="152" t="s">
        <v>935</v>
      </c>
      <c r="F736" s="152" t="s">
        <v>244</v>
      </c>
      <c r="G736" s="118" t="s">
        <v>209</v>
      </c>
      <c r="H736" s="153" t="s">
        <v>216</v>
      </c>
    </row>
    <row r="737" hidden="1">
      <c r="A737" s="158" t="s">
        <v>234</v>
      </c>
      <c r="B737" s="159"/>
      <c r="C737" s="155" t="s">
        <v>232</v>
      </c>
      <c r="D737" s="156" t="s">
        <v>833</v>
      </c>
      <c r="E737" s="156" t="s">
        <v>936</v>
      </c>
      <c r="F737" s="156" t="s">
        <v>269</v>
      </c>
      <c r="G737" s="155" t="s">
        <v>209</v>
      </c>
      <c r="H737" s="157" t="s">
        <v>210</v>
      </c>
    </row>
    <row r="738" hidden="1">
      <c r="A738" s="160" t="s">
        <v>234</v>
      </c>
      <c r="B738" s="72"/>
      <c r="C738" s="118" t="s">
        <v>232</v>
      </c>
      <c r="D738" s="152" t="s">
        <v>833</v>
      </c>
      <c r="E738" s="152" t="s">
        <v>937</v>
      </c>
      <c r="F738" s="152" t="s">
        <v>265</v>
      </c>
      <c r="G738" s="118" t="s">
        <v>209</v>
      </c>
      <c r="H738" s="153" t="s">
        <v>211</v>
      </c>
    </row>
    <row r="739" hidden="1">
      <c r="A739" s="158" t="s">
        <v>234</v>
      </c>
      <c r="B739" s="159"/>
      <c r="C739" s="155" t="s">
        <v>232</v>
      </c>
      <c r="D739" s="156" t="s">
        <v>833</v>
      </c>
      <c r="E739" s="156" t="s">
        <v>938</v>
      </c>
      <c r="F739" s="156" t="s">
        <v>269</v>
      </c>
      <c r="G739" s="155" t="s">
        <v>209</v>
      </c>
      <c r="H739" s="157" t="s">
        <v>212</v>
      </c>
    </row>
    <row r="740" hidden="1">
      <c r="A740" s="160" t="s">
        <v>234</v>
      </c>
      <c r="B740" s="72"/>
      <c r="C740" s="118" t="s">
        <v>232</v>
      </c>
      <c r="D740" s="152" t="s">
        <v>833</v>
      </c>
      <c r="E740" s="152" t="s">
        <v>939</v>
      </c>
      <c r="F740" s="152" t="s">
        <v>246</v>
      </c>
      <c r="G740" s="118" t="s">
        <v>209</v>
      </c>
      <c r="H740" s="153" t="s">
        <v>213</v>
      </c>
    </row>
    <row r="741" hidden="1">
      <c r="A741" s="158" t="s">
        <v>234</v>
      </c>
      <c r="B741" s="159"/>
      <c r="C741" s="155" t="s">
        <v>232</v>
      </c>
      <c r="D741" s="156" t="s">
        <v>833</v>
      </c>
      <c r="E741" s="156" t="s">
        <v>940</v>
      </c>
      <c r="F741" s="156" t="s">
        <v>265</v>
      </c>
      <c r="G741" s="155" t="s">
        <v>209</v>
      </c>
      <c r="H741" s="157" t="s">
        <v>214</v>
      </c>
    </row>
    <row r="742" hidden="1">
      <c r="A742" s="160" t="s">
        <v>234</v>
      </c>
      <c r="B742" s="72"/>
      <c r="C742" s="118" t="s">
        <v>232</v>
      </c>
      <c r="D742" s="152" t="s">
        <v>833</v>
      </c>
      <c r="E742" s="152" t="s">
        <v>941</v>
      </c>
      <c r="F742" s="152" t="s">
        <v>262</v>
      </c>
      <c r="G742" s="118" t="s">
        <v>209</v>
      </c>
      <c r="H742" s="153" t="s">
        <v>215</v>
      </c>
    </row>
    <row r="743" hidden="1">
      <c r="A743" s="158" t="s">
        <v>234</v>
      </c>
      <c r="B743" s="159"/>
      <c r="C743" s="155" t="s">
        <v>232</v>
      </c>
      <c r="D743" s="156" t="s">
        <v>833</v>
      </c>
      <c r="E743" s="156" t="s">
        <v>942</v>
      </c>
      <c r="F743" s="156" t="s">
        <v>255</v>
      </c>
      <c r="G743" s="155" t="s">
        <v>209</v>
      </c>
      <c r="H743" s="157" t="s">
        <v>216</v>
      </c>
    </row>
    <row r="744" hidden="1">
      <c r="A744" s="160" t="s">
        <v>235</v>
      </c>
      <c r="B744" s="72"/>
      <c r="C744" s="118" t="s">
        <v>236</v>
      </c>
      <c r="D744" s="152" t="s">
        <v>833</v>
      </c>
      <c r="E744" s="152" t="s">
        <v>943</v>
      </c>
      <c r="F744" s="152" t="s">
        <v>269</v>
      </c>
      <c r="G744" s="118" t="s">
        <v>209</v>
      </c>
      <c r="H744" s="153" t="s">
        <v>210</v>
      </c>
    </row>
    <row r="745" hidden="1">
      <c r="A745" s="158" t="s">
        <v>235</v>
      </c>
      <c r="B745" s="159"/>
      <c r="C745" s="155" t="s">
        <v>236</v>
      </c>
      <c r="D745" s="156" t="s">
        <v>833</v>
      </c>
      <c r="E745" s="156" t="s">
        <v>944</v>
      </c>
      <c r="F745" s="156" t="s">
        <v>246</v>
      </c>
      <c r="G745" s="155" t="s">
        <v>209</v>
      </c>
      <c r="H745" s="157" t="s">
        <v>211</v>
      </c>
    </row>
    <row r="746" hidden="1">
      <c r="A746" s="160" t="s">
        <v>235</v>
      </c>
      <c r="B746" s="72"/>
      <c r="C746" s="118" t="s">
        <v>236</v>
      </c>
      <c r="D746" s="152" t="s">
        <v>833</v>
      </c>
      <c r="E746" s="152" t="s">
        <v>945</v>
      </c>
      <c r="F746" s="152" t="s">
        <v>365</v>
      </c>
      <c r="G746" s="118" t="s">
        <v>209</v>
      </c>
      <c r="H746" s="153" t="s">
        <v>212</v>
      </c>
    </row>
    <row r="747" hidden="1">
      <c r="A747" s="158" t="s">
        <v>235</v>
      </c>
      <c r="B747" s="159"/>
      <c r="C747" s="155" t="s">
        <v>236</v>
      </c>
      <c r="D747" s="156" t="s">
        <v>833</v>
      </c>
      <c r="E747" s="156" t="s">
        <v>946</v>
      </c>
      <c r="F747" s="156" t="s">
        <v>240</v>
      </c>
      <c r="G747" s="155" t="s">
        <v>209</v>
      </c>
      <c r="H747" s="157" t="s">
        <v>213</v>
      </c>
    </row>
    <row r="748" hidden="1">
      <c r="A748" s="160" t="s">
        <v>235</v>
      </c>
      <c r="B748" s="72"/>
      <c r="C748" s="118" t="s">
        <v>236</v>
      </c>
      <c r="D748" s="152" t="s">
        <v>833</v>
      </c>
      <c r="E748" s="152" t="s">
        <v>947</v>
      </c>
      <c r="F748" s="152" t="s">
        <v>246</v>
      </c>
      <c r="G748" s="118" t="s">
        <v>209</v>
      </c>
      <c r="H748" s="153" t="s">
        <v>214</v>
      </c>
    </row>
    <row r="749" hidden="1">
      <c r="A749" s="158" t="s">
        <v>235</v>
      </c>
      <c r="B749" s="159"/>
      <c r="C749" s="155" t="s">
        <v>236</v>
      </c>
      <c r="D749" s="156" t="s">
        <v>833</v>
      </c>
      <c r="E749" s="156" t="s">
        <v>948</v>
      </c>
      <c r="F749" s="156" t="s">
        <v>244</v>
      </c>
      <c r="G749" s="155" t="s">
        <v>209</v>
      </c>
      <c r="H749" s="157" t="s">
        <v>215</v>
      </c>
    </row>
    <row r="750" hidden="1">
      <c r="A750" s="160" t="s">
        <v>235</v>
      </c>
      <c r="B750" s="72"/>
      <c r="C750" s="118" t="s">
        <v>236</v>
      </c>
      <c r="D750" s="152" t="s">
        <v>833</v>
      </c>
      <c r="E750" s="152" t="s">
        <v>949</v>
      </c>
      <c r="F750" s="152" t="s">
        <v>287</v>
      </c>
      <c r="G750" s="118" t="s">
        <v>209</v>
      </c>
      <c r="H750" s="153" t="s">
        <v>216</v>
      </c>
    </row>
    <row r="751" hidden="1">
      <c r="A751" s="158" t="s">
        <v>237</v>
      </c>
      <c r="B751" s="159"/>
      <c r="C751" s="155" t="s">
        <v>236</v>
      </c>
      <c r="D751" s="156" t="s">
        <v>833</v>
      </c>
      <c r="E751" s="156" t="s">
        <v>950</v>
      </c>
      <c r="F751" s="156" t="s">
        <v>287</v>
      </c>
      <c r="G751" s="155" t="s">
        <v>209</v>
      </c>
      <c r="H751" s="157" t="s">
        <v>210</v>
      </c>
    </row>
    <row r="752" hidden="1">
      <c r="A752" s="160" t="s">
        <v>237</v>
      </c>
      <c r="B752" s="72"/>
      <c r="C752" s="118" t="s">
        <v>236</v>
      </c>
      <c r="D752" s="152" t="s">
        <v>833</v>
      </c>
      <c r="E752" s="152" t="s">
        <v>951</v>
      </c>
      <c r="F752" s="152" t="s">
        <v>240</v>
      </c>
      <c r="G752" s="118" t="s">
        <v>209</v>
      </c>
      <c r="H752" s="153" t="s">
        <v>211</v>
      </c>
    </row>
    <row r="753" hidden="1">
      <c r="A753" s="158" t="s">
        <v>237</v>
      </c>
      <c r="B753" s="159"/>
      <c r="C753" s="155" t="s">
        <v>236</v>
      </c>
      <c r="D753" s="156" t="s">
        <v>833</v>
      </c>
      <c r="E753" s="156" t="s">
        <v>952</v>
      </c>
      <c r="F753" s="156" t="s">
        <v>246</v>
      </c>
      <c r="G753" s="155" t="s">
        <v>209</v>
      </c>
      <c r="H753" s="157" t="s">
        <v>212</v>
      </c>
    </row>
    <row r="754" hidden="1">
      <c r="A754" s="160" t="s">
        <v>237</v>
      </c>
      <c r="B754" s="72"/>
      <c r="C754" s="118" t="s">
        <v>236</v>
      </c>
      <c r="D754" s="152" t="s">
        <v>833</v>
      </c>
      <c r="E754" s="152" t="s">
        <v>953</v>
      </c>
      <c r="F754" s="152" t="s">
        <v>365</v>
      </c>
      <c r="G754" s="118" t="s">
        <v>209</v>
      </c>
      <c r="H754" s="153" t="s">
        <v>213</v>
      </c>
    </row>
    <row r="755" hidden="1">
      <c r="A755" s="158" t="s">
        <v>237</v>
      </c>
      <c r="B755" s="159"/>
      <c r="C755" s="155" t="s">
        <v>236</v>
      </c>
      <c r="D755" s="156" t="s">
        <v>833</v>
      </c>
      <c r="E755" s="156" t="s">
        <v>954</v>
      </c>
      <c r="F755" s="156" t="s">
        <v>365</v>
      </c>
      <c r="G755" s="155" t="s">
        <v>209</v>
      </c>
      <c r="H755" s="157" t="s">
        <v>214</v>
      </c>
    </row>
    <row r="756" hidden="1">
      <c r="A756" s="160" t="s">
        <v>237</v>
      </c>
      <c r="B756" s="72"/>
      <c r="C756" s="118" t="s">
        <v>236</v>
      </c>
      <c r="D756" s="152" t="s">
        <v>833</v>
      </c>
      <c r="E756" s="152" t="s">
        <v>955</v>
      </c>
      <c r="F756" s="152" t="s">
        <v>242</v>
      </c>
      <c r="G756" s="118" t="s">
        <v>209</v>
      </c>
      <c r="H756" s="153" t="s">
        <v>215</v>
      </c>
    </row>
    <row r="757" hidden="1">
      <c r="A757" s="158" t="s">
        <v>237</v>
      </c>
      <c r="B757" s="159"/>
      <c r="C757" s="155" t="s">
        <v>236</v>
      </c>
      <c r="D757" s="156" t="s">
        <v>833</v>
      </c>
      <c r="E757" s="156" t="s">
        <v>956</v>
      </c>
      <c r="F757" s="156" t="s">
        <v>257</v>
      </c>
      <c r="G757" s="155" t="s">
        <v>209</v>
      </c>
      <c r="H757" s="157" t="s">
        <v>216</v>
      </c>
    </row>
    <row r="758" hidden="1">
      <c r="A758" s="151" t="s">
        <v>204</v>
      </c>
      <c r="B758" s="118" t="s">
        <v>205</v>
      </c>
      <c r="C758" s="118" t="s">
        <v>206</v>
      </c>
      <c r="D758" s="152" t="s">
        <v>957</v>
      </c>
      <c r="E758" s="152" t="s">
        <v>958</v>
      </c>
      <c r="F758" s="152" t="s">
        <v>287</v>
      </c>
      <c r="G758" s="118" t="s">
        <v>209</v>
      </c>
      <c r="H758" s="153" t="s">
        <v>210</v>
      </c>
    </row>
    <row r="759" hidden="1">
      <c r="A759" s="154" t="s">
        <v>204</v>
      </c>
      <c r="B759" s="155" t="s">
        <v>205</v>
      </c>
      <c r="C759" s="155" t="s">
        <v>206</v>
      </c>
      <c r="D759" s="156" t="s">
        <v>957</v>
      </c>
      <c r="E759" s="156" t="s">
        <v>959</v>
      </c>
      <c r="F759" s="156" t="s">
        <v>255</v>
      </c>
      <c r="G759" s="155" t="s">
        <v>209</v>
      </c>
      <c r="H759" s="157" t="s">
        <v>211</v>
      </c>
    </row>
    <row r="760" hidden="1">
      <c r="A760" s="151" t="s">
        <v>204</v>
      </c>
      <c r="B760" s="118" t="s">
        <v>205</v>
      </c>
      <c r="C760" s="118" t="s">
        <v>206</v>
      </c>
      <c r="D760" s="152" t="s">
        <v>957</v>
      </c>
      <c r="E760" s="152" t="s">
        <v>960</v>
      </c>
      <c r="F760" s="152" t="s">
        <v>287</v>
      </c>
      <c r="G760" s="118" t="s">
        <v>209</v>
      </c>
      <c r="H760" s="153" t="s">
        <v>212</v>
      </c>
    </row>
    <row r="761" hidden="1">
      <c r="A761" s="154" t="s">
        <v>204</v>
      </c>
      <c r="B761" s="155" t="s">
        <v>205</v>
      </c>
      <c r="C761" s="155" t="s">
        <v>206</v>
      </c>
      <c r="D761" s="156" t="s">
        <v>957</v>
      </c>
      <c r="E761" s="156" t="s">
        <v>961</v>
      </c>
      <c r="F761" s="156" t="s">
        <v>259</v>
      </c>
      <c r="G761" s="155" t="s">
        <v>209</v>
      </c>
      <c r="H761" s="157" t="s">
        <v>213</v>
      </c>
    </row>
    <row r="762" hidden="1">
      <c r="A762" s="151" t="s">
        <v>204</v>
      </c>
      <c r="B762" s="118" t="s">
        <v>205</v>
      </c>
      <c r="C762" s="118" t="s">
        <v>206</v>
      </c>
      <c r="D762" s="152" t="s">
        <v>957</v>
      </c>
      <c r="E762" s="152" t="s">
        <v>962</v>
      </c>
      <c r="F762" s="152" t="s">
        <v>255</v>
      </c>
      <c r="G762" s="118" t="s">
        <v>209</v>
      </c>
      <c r="H762" s="153" t="s">
        <v>214</v>
      </c>
    </row>
    <row r="763" hidden="1">
      <c r="A763" s="154" t="s">
        <v>204</v>
      </c>
      <c r="B763" s="155" t="s">
        <v>205</v>
      </c>
      <c r="C763" s="155" t="s">
        <v>206</v>
      </c>
      <c r="D763" s="156" t="s">
        <v>957</v>
      </c>
      <c r="E763" s="156" t="s">
        <v>963</v>
      </c>
      <c r="F763" s="156" t="s">
        <v>301</v>
      </c>
      <c r="G763" s="155" t="s">
        <v>209</v>
      </c>
      <c r="H763" s="157" t="s">
        <v>215</v>
      </c>
    </row>
    <row r="764" hidden="1">
      <c r="A764" s="151" t="s">
        <v>204</v>
      </c>
      <c r="B764" s="118" t="s">
        <v>205</v>
      </c>
      <c r="C764" s="118" t="s">
        <v>206</v>
      </c>
      <c r="D764" s="152" t="s">
        <v>957</v>
      </c>
      <c r="E764" s="152" t="s">
        <v>964</v>
      </c>
      <c r="F764" s="152" t="s">
        <v>269</v>
      </c>
      <c r="G764" s="118" t="s">
        <v>209</v>
      </c>
      <c r="H764" s="153" t="s">
        <v>216</v>
      </c>
    </row>
    <row r="765" hidden="1">
      <c r="A765" s="154" t="s">
        <v>217</v>
      </c>
      <c r="B765" s="155" t="s">
        <v>191</v>
      </c>
      <c r="C765" s="155" t="s">
        <v>206</v>
      </c>
      <c r="D765" s="156" t="s">
        <v>957</v>
      </c>
      <c r="E765" s="156" t="s">
        <v>965</v>
      </c>
      <c r="F765" s="156" t="s">
        <v>240</v>
      </c>
      <c r="G765" s="155" t="s">
        <v>209</v>
      </c>
      <c r="H765" s="157" t="s">
        <v>210</v>
      </c>
    </row>
    <row r="766" hidden="1">
      <c r="A766" s="151" t="s">
        <v>217</v>
      </c>
      <c r="B766" s="118" t="s">
        <v>191</v>
      </c>
      <c r="C766" s="118" t="s">
        <v>206</v>
      </c>
      <c r="D766" s="152" t="s">
        <v>957</v>
      </c>
      <c r="E766" s="152" t="s">
        <v>966</v>
      </c>
      <c r="F766" s="152" t="s">
        <v>262</v>
      </c>
      <c r="G766" s="118" t="s">
        <v>209</v>
      </c>
      <c r="H766" s="153" t="s">
        <v>211</v>
      </c>
    </row>
    <row r="767" hidden="1">
      <c r="A767" s="154" t="s">
        <v>217</v>
      </c>
      <c r="B767" s="155" t="s">
        <v>191</v>
      </c>
      <c r="C767" s="155" t="s">
        <v>206</v>
      </c>
      <c r="D767" s="156" t="s">
        <v>957</v>
      </c>
      <c r="E767" s="156" t="s">
        <v>967</v>
      </c>
      <c r="F767" s="156" t="s">
        <v>240</v>
      </c>
      <c r="G767" s="155" t="s">
        <v>209</v>
      </c>
      <c r="H767" s="157" t="s">
        <v>212</v>
      </c>
    </row>
    <row r="768" hidden="1">
      <c r="A768" s="151" t="s">
        <v>217</v>
      </c>
      <c r="B768" s="118" t="s">
        <v>191</v>
      </c>
      <c r="C768" s="118" t="s">
        <v>206</v>
      </c>
      <c r="D768" s="152" t="s">
        <v>957</v>
      </c>
      <c r="E768" s="152" t="s">
        <v>968</v>
      </c>
      <c r="F768" s="152" t="s">
        <v>492</v>
      </c>
      <c r="G768" s="118" t="s">
        <v>209</v>
      </c>
      <c r="H768" s="153" t="s">
        <v>213</v>
      </c>
    </row>
    <row r="769" hidden="1">
      <c r="A769" s="154" t="s">
        <v>217</v>
      </c>
      <c r="B769" s="155" t="s">
        <v>191</v>
      </c>
      <c r="C769" s="155" t="s">
        <v>206</v>
      </c>
      <c r="D769" s="156" t="s">
        <v>957</v>
      </c>
      <c r="E769" s="156" t="s">
        <v>969</v>
      </c>
      <c r="F769" s="156" t="s">
        <v>492</v>
      </c>
      <c r="G769" s="155" t="s">
        <v>209</v>
      </c>
      <c r="H769" s="157" t="s">
        <v>214</v>
      </c>
    </row>
    <row r="770" hidden="1">
      <c r="A770" s="151" t="s">
        <v>217</v>
      </c>
      <c r="B770" s="118" t="s">
        <v>191</v>
      </c>
      <c r="C770" s="118" t="s">
        <v>206</v>
      </c>
      <c r="D770" s="152" t="s">
        <v>957</v>
      </c>
      <c r="E770" s="152" t="s">
        <v>970</v>
      </c>
      <c r="F770" s="152" t="s">
        <v>276</v>
      </c>
      <c r="G770" s="118" t="s">
        <v>209</v>
      </c>
      <c r="H770" s="153" t="s">
        <v>215</v>
      </c>
    </row>
    <row r="771" hidden="1">
      <c r="A771" s="154" t="s">
        <v>217</v>
      </c>
      <c r="B771" s="155" t="s">
        <v>191</v>
      </c>
      <c r="C771" s="155" t="s">
        <v>206</v>
      </c>
      <c r="D771" s="156" t="s">
        <v>957</v>
      </c>
      <c r="E771" s="156" t="s">
        <v>971</v>
      </c>
      <c r="F771" s="156" t="s">
        <v>259</v>
      </c>
      <c r="G771" s="155" t="s">
        <v>209</v>
      </c>
      <c r="H771" s="157" t="s">
        <v>216</v>
      </c>
    </row>
    <row r="772" hidden="1">
      <c r="A772" s="151" t="s">
        <v>218</v>
      </c>
      <c r="B772" s="118" t="s">
        <v>219</v>
      </c>
      <c r="C772" s="118" t="s">
        <v>206</v>
      </c>
      <c r="D772" s="152" t="s">
        <v>957</v>
      </c>
      <c r="E772" s="152" t="s">
        <v>972</v>
      </c>
      <c r="F772" s="152" t="s">
        <v>262</v>
      </c>
      <c r="G772" s="118" t="s">
        <v>209</v>
      </c>
      <c r="H772" s="153" t="s">
        <v>210</v>
      </c>
    </row>
    <row r="773" hidden="1">
      <c r="A773" s="154" t="s">
        <v>218</v>
      </c>
      <c r="B773" s="155" t="s">
        <v>219</v>
      </c>
      <c r="C773" s="155" t="s">
        <v>206</v>
      </c>
      <c r="D773" s="156" t="s">
        <v>957</v>
      </c>
      <c r="E773" s="156" t="s">
        <v>973</v>
      </c>
      <c r="F773" s="156" t="s">
        <v>265</v>
      </c>
      <c r="G773" s="155" t="s">
        <v>209</v>
      </c>
      <c r="H773" s="157" t="s">
        <v>211</v>
      </c>
    </row>
    <row r="774" hidden="1">
      <c r="A774" s="151" t="s">
        <v>218</v>
      </c>
      <c r="B774" s="118" t="s">
        <v>219</v>
      </c>
      <c r="C774" s="118" t="s">
        <v>206</v>
      </c>
      <c r="D774" s="152" t="s">
        <v>957</v>
      </c>
      <c r="E774" s="152" t="s">
        <v>974</v>
      </c>
      <c r="F774" s="152" t="s">
        <v>321</v>
      </c>
      <c r="G774" s="118" t="s">
        <v>209</v>
      </c>
      <c r="H774" s="153" t="s">
        <v>212</v>
      </c>
    </row>
    <row r="775" hidden="1">
      <c r="A775" s="154" t="s">
        <v>218</v>
      </c>
      <c r="B775" s="155" t="s">
        <v>219</v>
      </c>
      <c r="C775" s="155" t="s">
        <v>206</v>
      </c>
      <c r="D775" s="156" t="s">
        <v>957</v>
      </c>
      <c r="E775" s="156" t="s">
        <v>975</v>
      </c>
      <c r="F775" s="156" t="s">
        <v>276</v>
      </c>
      <c r="G775" s="155" t="s">
        <v>209</v>
      </c>
      <c r="H775" s="157" t="s">
        <v>213</v>
      </c>
    </row>
    <row r="776" hidden="1">
      <c r="A776" s="151" t="s">
        <v>218</v>
      </c>
      <c r="B776" s="118" t="s">
        <v>219</v>
      </c>
      <c r="C776" s="118" t="s">
        <v>206</v>
      </c>
      <c r="D776" s="152" t="s">
        <v>957</v>
      </c>
      <c r="E776" s="152" t="s">
        <v>976</v>
      </c>
      <c r="F776" s="152" t="s">
        <v>276</v>
      </c>
      <c r="G776" s="118" t="s">
        <v>209</v>
      </c>
      <c r="H776" s="153" t="s">
        <v>214</v>
      </c>
    </row>
    <row r="777" hidden="1">
      <c r="A777" s="154" t="s">
        <v>218</v>
      </c>
      <c r="B777" s="155" t="s">
        <v>219</v>
      </c>
      <c r="C777" s="155" t="s">
        <v>206</v>
      </c>
      <c r="D777" s="156" t="s">
        <v>957</v>
      </c>
      <c r="E777" s="156" t="s">
        <v>977</v>
      </c>
      <c r="F777" s="156" t="s">
        <v>301</v>
      </c>
      <c r="G777" s="155" t="s">
        <v>209</v>
      </c>
      <c r="H777" s="157" t="s">
        <v>215</v>
      </c>
    </row>
    <row r="778" hidden="1">
      <c r="A778" s="151" t="s">
        <v>218</v>
      </c>
      <c r="B778" s="118" t="s">
        <v>219</v>
      </c>
      <c r="C778" s="118" t="s">
        <v>206</v>
      </c>
      <c r="D778" s="152" t="s">
        <v>957</v>
      </c>
      <c r="E778" s="152" t="s">
        <v>978</v>
      </c>
      <c r="F778" s="152" t="s">
        <v>374</v>
      </c>
      <c r="G778" s="118" t="s">
        <v>209</v>
      </c>
      <c r="H778" s="153" t="s">
        <v>216</v>
      </c>
    </row>
    <row r="779" hidden="1">
      <c r="A779" s="154" t="s">
        <v>220</v>
      </c>
      <c r="B779" s="155" t="s">
        <v>190</v>
      </c>
      <c r="C779" s="155" t="s">
        <v>206</v>
      </c>
      <c r="D779" s="156" t="s">
        <v>957</v>
      </c>
      <c r="E779" s="156" t="s">
        <v>979</v>
      </c>
      <c r="F779" s="156" t="s">
        <v>492</v>
      </c>
      <c r="G779" s="155" t="s">
        <v>209</v>
      </c>
      <c r="H779" s="157" t="s">
        <v>210</v>
      </c>
    </row>
    <row r="780" hidden="1">
      <c r="A780" s="151" t="s">
        <v>220</v>
      </c>
      <c r="B780" s="118" t="s">
        <v>190</v>
      </c>
      <c r="C780" s="118" t="s">
        <v>206</v>
      </c>
      <c r="D780" s="152" t="s">
        <v>957</v>
      </c>
      <c r="E780" s="152" t="s">
        <v>980</v>
      </c>
      <c r="F780" s="152" t="s">
        <v>255</v>
      </c>
      <c r="G780" s="118" t="s">
        <v>209</v>
      </c>
      <c r="H780" s="153" t="s">
        <v>211</v>
      </c>
    </row>
    <row r="781" hidden="1">
      <c r="A781" s="154" t="s">
        <v>220</v>
      </c>
      <c r="B781" s="155" t="s">
        <v>190</v>
      </c>
      <c r="C781" s="155" t="s">
        <v>206</v>
      </c>
      <c r="D781" s="156" t="s">
        <v>957</v>
      </c>
      <c r="E781" s="156" t="s">
        <v>981</v>
      </c>
      <c r="F781" s="156" t="s">
        <v>276</v>
      </c>
      <c r="G781" s="155" t="s">
        <v>209</v>
      </c>
      <c r="H781" s="157" t="s">
        <v>212</v>
      </c>
    </row>
    <row r="782" hidden="1">
      <c r="A782" s="151" t="s">
        <v>220</v>
      </c>
      <c r="B782" s="118" t="s">
        <v>190</v>
      </c>
      <c r="C782" s="118" t="s">
        <v>206</v>
      </c>
      <c r="D782" s="152" t="s">
        <v>957</v>
      </c>
      <c r="E782" s="152" t="s">
        <v>982</v>
      </c>
      <c r="F782" s="152" t="s">
        <v>290</v>
      </c>
      <c r="G782" s="118" t="s">
        <v>209</v>
      </c>
      <c r="H782" s="153" t="s">
        <v>213</v>
      </c>
    </row>
    <row r="783" hidden="1">
      <c r="A783" s="154" t="s">
        <v>220</v>
      </c>
      <c r="B783" s="155" t="s">
        <v>190</v>
      </c>
      <c r="C783" s="155" t="s">
        <v>206</v>
      </c>
      <c r="D783" s="156" t="s">
        <v>957</v>
      </c>
      <c r="E783" s="156" t="s">
        <v>983</v>
      </c>
      <c r="F783" s="156" t="s">
        <v>204</v>
      </c>
      <c r="G783" s="155" t="s">
        <v>209</v>
      </c>
      <c r="H783" s="157" t="s">
        <v>214</v>
      </c>
    </row>
    <row r="784" hidden="1">
      <c r="A784" s="151" t="s">
        <v>220</v>
      </c>
      <c r="B784" s="118" t="s">
        <v>190</v>
      </c>
      <c r="C784" s="118" t="s">
        <v>206</v>
      </c>
      <c r="D784" s="152" t="s">
        <v>957</v>
      </c>
      <c r="E784" s="152" t="s">
        <v>984</v>
      </c>
      <c r="F784" s="152" t="s">
        <v>240</v>
      </c>
      <c r="G784" s="118" t="s">
        <v>209</v>
      </c>
      <c r="H784" s="153" t="s">
        <v>215</v>
      </c>
    </row>
    <row r="785" hidden="1">
      <c r="A785" s="154" t="s">
        <v>220</v>
      </c>
      <c r="B785" s="155" t="s">
        <v>190</v>
      </c>
      <c r="C785" s="155" t="s">
        <v>206</v>
      </c>
      <c r="D785" s="156" t="s">
        <v>957</v>
      </c>
      <c r="E785" s="156" t="s">
        <v>985</v>
      </c>
      <c r="F785" s="156" t="s">
        <v>259</v>
      </c>
      <c r="G785" s="155" t="s">
        <v>209</v>
      </c>
      <c r="H785" s="157" t="s">
        <v>216</v>
      </c>
    </row>
    <row r="786" hidden="1">
      <c r="A786" s="151" t="s">
        <v>221</v>
      </c>
      <c r="B786" s="118" t="s">
        <v>189</v>
      </c>
      <c r="C786" s="118" t="s">
        <v>206</v>
      </c>
      <c r="D786" s="152" t="s">
        <v>957</v>
      </c>
      <c r="E786" s="152" t="s">
        <v>986</v>
      </c>
      <c r="F786" s="152" t="s">
        <v>314</v>
      </c>
      <c r="G786" s="118" t="s">
        <v>209</v>
      </c>
      <c r="H786" s="153" t="s">
        <v>210</v>
      </c>
    </row>
    <row r="787" hidden="1">
      <c r="A787" s="154" t="s">
        <v>221</v>
      </c>
      <c r="B787" s="155" t="s">
        <v>189</v>
      </c>
      <c r="C787" s="155" t="s">
        <v>206</v>
      </c>
      <c r="D787" s="156" t="s">
        <v>957</v>
      </c>
      <c r="E787" s="156" t="s">
        <v>987</v>
      </c>
      <c r="F787" s="156" t="s">
        <v>269</v>
      </c>
      <c r="G787" s="155" t="s">
        <v>209</v>
      </c>
      <c r="H787" s="157" t="s">
        <v>211</v>
      </c>
    </row>
    <row r="788" hidden="1">
      <c r="A788" s="151" t="s">
        <v>221</v>
      </c>
      <c r="B788" s="118" t="s">
        <v>189</v>
      </c>
      <c r="C788" s="118" t="s">
        <v>206</v>
      </c>
      <c r="D788" s="152" t="s">
        <v>957</v>
      </c>
      <c r="E788" s="152" t="s">
        <v>988</v>
      </c>
      <c r="F788" s="152" t="s">
        <v>249</v>
      </c>
      <c r="G788" s="118" t="s">
        <v>209</v>
      </c>
      <c r="H788" s="153" t="s">
        <v>212</v>
      </c>
    </row>
    <row r="789" hidden="1">
      <c r="A789" s="154" t="s">
        <v>221</v>
      </c>
      <c r="B789" s="155" t="s">
        <v>189</v>
      </c>
      <c r="C789" s="155" t="s">
        <v>206</v>
      </c>
      <c r="D789" s="156" t="s">
        <v>957</v>
      </c>
      <c r="E789" s="156" t="s">
        <v>989</v>
      </c>
      <c r="F789" s="156" t="s">
        <v>492</v>
      </c>
      <c r="G789" s="155" t="s">
        <v>209</v>
      </c>
      <c r="H789" s="157" t="s">
        <v>213</v>
      </c>
    </row>
    <row r="790" hidden="1">
      <c r="A790" s="151" t="s">
        <v>221</v>
      </c>
      <c r="B790" s="118" t="s">
        <v>189</v>
      </c>
      <c r="C790" s="118" t="s">
        <v>206</v>
      </c>
      <c r="D790" s="152" t="s">
        <v>957</v>
      </c>
      <c r="E790" s="152" t="s">
        <v>990</v>
      </c>
      <c r="F790" s="152" t="s">
        <v>259</v>
      </c>
      <c r="G790" s="118" t="s">
        <v>209</v>
      </c>
      <c r="H790" s="153" t="s">
        <v>214</v>
      </c>
    </row>
    <row r="791" hidden="1">
      <c r="A791" s="154" t="s">
        <v>221</v>
      </c>
      <c r="B791" s="155" t="s">
        <v>189</v>
      </c>
      <c r="C791" s="155" t="s">
        <v>206</v>
      </c>
      <c r="D791" s="156" t="s">
        <v>957</v>
      </c>
      <c r="E791" s="156" t="s">
        <v>991</v>
      </c>
      <c r="F791" s="156" t="s">
        <v>240</v>
      </c>
      <c r="G791" s="155" t="s">
        <v>209</v>
      </c>
      <c r="H791" s="157" t="s">
        <v>215</v>
      </c>
    </row>
    <row r="792" hidden="1">
      <c r="A792" s="151" t="s">
        <v>221</v>
      </c>
      <c r="B792" s="118" t="s">
        <v>189</v>
      </c>
      <c r="C792" s="118" t="s">
        <v>206</v>
      </c>
      <c r="D792" s="152" t="s">
        <v>957</v>
      </c>
      <c r="E792" s="152" t="s">
        <v>992</v>
      </c>
      <c r="F792" s="152" t="s">
        <v>242</v>
      </c>
      <c r="G792" s="118" t="s">
        <v>209</v>
      </c>
      <c r="H792" s="153" t="s">
        <v>216</v>
      </c>
    </row>
    <row r="793" hidden="1">
      <c r="A793" s="154" t="s">
        <v>222</v>
      </c>
      <c r="B793" s="155" t="s">
        <v>192</v>
      </c>
      <c r="C793" s="155" t="s">
        <v>206</v>
      </c>
      <c r="D793" s="156" t="s">
        <v>957</v>
      </c>
      <c r="E793" s="156" t="s">
        <v>993</v>
      </c>
      <c r="F793" s="156" t="s">
        <v>287</v>
      </c>
      <c r="G793" s="155" t="s">
        <v>209</v>
      </c>
      <c r="H793" s="157" t="s">
        <v>210</v>
      </c>
    </row>
    <row r="794" hidden="1">
      <c r="A794" s="151" t="s">
        <v>222</v>
      </c>
      <c r="B794" s="118" t="s">
        <v>192</v>
      </c>
      <c r="C794" s="118" t="s">
        <v>206</v>
      </c>
      <c r="D794" s="152" t="s">
        <v>957</v>
      </c>
      <c r="E794" s="152" t="s">
        <v>994</v>
      </c>
      <c r="F794" s="152" t="s">
        <v>240</v>
      </c>
      <c r="G794" s="118" t="s">
        <v>209</v>
      </c>
      <c r="H794" s="153" t="s">
        <v>211</v>
      </c>
    </row>
    <row r="795" hidden="1">
      <c r="A795" s="154" t="s">
        <v>222</v>
      </c>
      <c r="B795" s="155" t="s">
        <v>192</v>
      </c>
      <c r="C795" s="155" t="s">
        <v>206</v>
      </c>
      <c r="D795" s="156" t="s">
        <v>957</v>
      </c>
      <c r="E795" s="156" t="s">
        <v>995</v>
      </c>
      <c r="F795" s="156" t="s">
        <v>492</v>
      </c>
      <c r="G795" s="155" t="s">
        <v>209</v>
      </c>
      <c r="H795" s="157" t="s">
        <v>212</v>
      </c>
    </row>
    <row r="796" hidden="1">
      <c r="A796" s="151" t="s">
        <v>222</v>
      </c>
      <c r="B796" s="118" t="s">
        <v>192</v>
      </c>
      <c r="C796" s="118" t="s">
        <v>206</v>
      </c>
      <c r="D796" s="152" t="s">
        <v>957</v>
      </c>
      <c r="E796" s="152" t="s">
        <v>996</v>
      </c>
      <c r="F796" s="152" t="s">
        <v>262</v>
      </c>
      <c r="G796" s="118" t="s">
        <v>209</v>
      </c>
      <c r="H796" s="153" t="s">
        <v>213</v>
      </c>
    </row>
    <row r="797" hidden="1">
      <c r="A797" s="154" t="s">
        <v>222</v>
      </c>
      <c r="B797" s="155" t="s">
        <v>192</v>
      </c>
      <c r="C797" s="155" t="s">
        <v>206</v>
      </c>
      <c r="D797" s="156" t="s">
        <v>957</v>
      </c>
      <c r="E797" s="156" t="s">
        <v>997</v>
      </c>
      <c r="F797" s="156" t="s">
        <v>240</v>
      </c>
      <c r="G797" s="155" t="s">
        <v>209</v>
      </c>
      <c r="H797" s="157" t="s">
        <v>214</v>
      </c>
    </row>
    <row r="798" hidden="1">
      <c r="A798" s="151" t="s">
        <v>222</v>
      </c>
      <c r="B798" s="118" t="s">
        <v>192</v>
      </c>
      <c r="C798" s="118" t="s">
        <v>206</v>
      </c>
      <c r="D798" s="152" t="s">
        <v>957</v>
      </c>
      <c r="E798" s="152" t="s">
        <v>998</v>
      </c>
      <c r="F798" s="152" t="s">
        <v>357</v>
      </c>
      <c r="G798" s="118" t="s">
        <v>209</v>
      </c>
      <c r="H798" s="153" t="s">
        <v>215</v>
      </c>
    </row>
    <row r="799" hidden="1">
      <c r="A799" s="154" t="s">
        <v>222</v>
      </c>
      <c r="B799" s="155" t="s">
        <v>192</v>
      </c>
      <c r="C799" s="155" t="s">
        <v>206</v>
      </c>
      <c r="D799" s="156" t="s">
        <v>957</v>
      </c>
      <c r="E799" s="156" t="s">
        <v>999</v>
      </c>
      <c r="F799" s="156" t="s">
        <v>240</v>
      </c>
      <c r="G799" s="155" t="s">
        <v>209</v>
      </c>
      <c r="H799" s="157" t="s">
        <v>216</v>
      </c>
    </row>
    <row r="800" hidden="1">
      <c r="A800" s="151" t="s">
        <v>223</v>
      </c>
      <c r="B800" s="118" t="s">
        <v>144</v>
      </c>
      <c r="C800" s="118" t="s">
        <v>206</v>
      </c>
      <c r="D800" s="152" t="s">
        <v>957</v>
      </c>
      <c r="E800" s="152" t="s">
        <v>1000</v>
      </c>
      <c r="F800" s="152" t="s">
        <v>240</v>
      </c>
      <c r="G800" s="118" t="s">
        <v>209</v>
      </c>
      <c r="H800" s="153" t="s">
        <v>210</v>
      </c>
    </row>
    <row r="801" hidden="1">
      <c r="A801" s="154" t="s">
        <v>223</v>
      </c>
      <c r="B801" s="155" t="s">
        <v>144</v>
      </c>
      <c r="C801" s="155" t="s">
        <v>206</v>
      </c>
      <c r="D801" s="156" t="s">
        <v>957</v>
      </c>
      <c r="E801" s="156" t="s">
        <v>1001</v>
      </c>
      <c r="F801" s="156" t="s">
        <v>246</v>
      </c>
      <c r="G801" s="155" t="s">
        <v>209</v>
      </c>
      <c r="H801" s="157" t="s">
        <v>211</v>
      </c>
    </row>
    <row r="802" hidden="1">
      <c r="A802" s="151" t="s">
        <v>223</v>
      </c>
      <c r="B802" s="118" t="s">
        <v>144</v>
      </c>
      <c r="C802" s="118" t="s">
        <v>206</v>
      </c>
      <c r="D802" s="152" t="s">
        <v>957</v>
      </c>
      <c r="E802" s="152" t="s">
        <v>1002</v>
      </c>
      <c r="F802" s="152" t="s">
        <v>246</v>
      </c>
      <c r="G802" s="118" t="s">
        <v>209</v>
      </c>
      <c r="H802" s="153" t="s">
        <v>212</v>
      </c>
    </row>
    <row r="803" hidden="1">
      <c r="A803" s="154" t="s">
        <v>223</v>
      </c>
      <c r="B803" s="155" t="s">
        <v>144</v>
      </c>
      <c r="C803" s="155" t="s">
        <v>206</v>
      </c>
      <c r="D803" s="156" t="s">
        <v>957</v>
      </c>
      <c r="E803" s="156" t="s">
        <v>1003</v>
      </c>
      <c r="F803" s="156" t="s">
        <v>246</v>
      </c>
      <c r="G803" s="155" t="s">
        <v>209</v>
      </c>
      <c r="H803" s="157" t="s">
        <v>213</v>
      </c>
    </row>
    <row r="804" hidden="1">
      <c r="A804" s="151" t="s">
        <v>223</v>
      </c>
      <c r="B804" s="118" t="s">
        <v>144</v>
      </c>
      <c r="C804" s="118" t="s">
        <v>206</v>
      </c>
      <c r="D804" s="152" t="s">
        <v>957</v>
      </c>
      <c r="E804" s="152" t="s">
        <v>1004</v>
      </c>
      <c r="F804" s="152" t="s">
        <v>365</v>
      </c>
      <c r="G804" s="118" t="s">
        <v>209</v>
      </c>
      <c r="H804" s="153" t="s">
        <v>214</v>
      </c>
    </row>
    <row r="805" hidden="1">
      <c r="A805" s="154" t="s">
        <v>223</v>
      </c>
      <c r="B805" s="155" t="s">
        <v>144</v>
      </c>
      <c r="C805" s="155" t="s">
        <v>206</v>
      </c>
      <c r="D805" s="156" t="s">
        <v>957</v>
      </c>
      <c r="E805" s="156" t="s">
        <v>1005</v>
      </c>
      <c r="F805" s="156" t="s">
        <v>244</v>
      </c>
      <c r="G805" s="155" t="s">
        <v>209</v>
      </c>
      <c r="H805" s="157" t="s">
        <v>215</v>
      </c>
    </row>
    <row r="806" hidden="1">
      <c r="A806" s="151" t="s">
        <v>223</v>
      </c>
      <c r="B806" s="118" t="s">
        <v>144</v>
      </c>
      <c r="C806" s="118" t="s">
        <v>206</v>
      </c>
      <c r="D806" s="152" t="s">
        <v>957</v>
      </c>
      <c r="E806" s="152" t="s">
        <v>1006</v>
      </c>
      <c r="F806" s="152" t="s">
        <v>257</v>
      </c>
      <c r="G806" s="118" t="s">
        <v>209</v>
      </c>
      <c r="H806" s="153" t="s">
        <v>216</v>
      </c>
    </row>
    <row r="807" hidden="1">
      <c r="A807" s="154" t="s">
        <v>224</v>
      </c>
      <c r="B807" s="155" t="s">
        <v>170</v>
      </c>
      <c r="C807" s="155" t="s">
        <v>206</v>
      </c>
      <c r="D807" s="156" t="s">
        <v>957</v>
      </c>
      <c r="E807" s="156" t="s">
        <v>1007</v>
      </c>
      <c r="F807" s="156" t="s">
        <v>276</v>
      </c>
      <c r="G807" s="155" t="s">
        <v>209</v>
      </c>
      <c r="H807" s="157" t="s">
        <v>210</v>
      </c>
    </row>
    <row r="808" hidden="1">
      <c r="A808" s="151" t="s">
        <v>224</v>
      </c>
      <c r="B808" s="118" t="s">
        <v>170</v>
      </c>
      <c r="C808" s="118" t="s">
        <v>206</v>
      </c>
      <c r="D808" s="152" t="s">
        <v>957</v>
      </c>
      <c r="E808" s="152" t="s">
        <v>1008</v>
      </c>
      <c r="F808" s="152" t="s">
        <v>374</v>
      </c>
      <c r="G808" s="118" t="s">
        <v>209</v>
      </c>
      <c r="H808" s="153" t="s">
        <v>211</v>
      </c>
    </row>
    <row r="809" hidden="1">
      <c r="A809" s="154" t="s">
        <v>224</v>
      </c>
      <c r="B809" s="155" t="s">
        <v>170</v>
      </c>
      <c r="C809" s="155" t="s">
        <v>206</v>
      </c>
      <c r="D809" s="156" t="s">
        <v>957</v>
      </c>
      <c r="E809" s="156" t="s">
        <v>1009</v>
      </c>
      <c r="F809" s="156" t="s">
        <v>246</v>
      </c>
      <c r="G809" s="155" t="s">
        <v>209</v>
      </c>
      <c r="H809" s="157" t="s">
        <v>212</v>
      </c>
    </row>
    <row r="810" hidden="1">
      <c r="A810" s="151" t="s">
        <v>224</v>
      </c>
      <c r="B810" s="118" t="s">
        <v>170</v>
      </c>
      <c r="C810" s="118" t="s">
        <v>206</v>
      </c>
      <c r="D810" s="152" t="s">
        <v>957</v>
      </c>
      <c r="E810" s="152" t="s">
        <v>1010</v>
      </c>
      <c r="F810" s="152" t="s">
        <v>259</v>
      </c>
      <c r="G810" s="118" t="s">
        <v>209</v>
      </c>
      <c r="H810" s="153" t="s">
        <v>213</v>
      </c>
    </row>
    <row r="811" hidden="1">
      <c r="A811" s="154" t="s">
        <v>224</v>
      </c>
      <c r="B811" s="155" t="s">
        <v>170</v>
      </c>
      <c r="C811" s="155" t="s">
        <v>206</v>
      </c>
      <c r="D811" s="156" t="s">
        <v>957</v>
      </c>
      <c r="E811" s="156" t="s">
        <v>1011</v>
      </c>
      <c r="F811" s="156" t="s">
        <v>249</v>
      </c>
      <c r="G811" s="155" t="s">
        <v>209</v>
      </c>
      <c r="H811" s="157" t="s">
        <v>214</v>
      </c>
    </row>
    <row r="812" hidden="1">
      <c r="A812" s="151" t="s">
        <v>224</v>
      </c>
      <c r="B812" s="118" t="s">
        <v>170</v>
      </c>
      <c r="C812" s="118" t="s">
        <v>206</v>
      </c>
      <c r="D812" s="152" t="s">
        <v>957</v>
      </c>
      <c r="E812" s="152" t="s">
        <v>1012</v>
      </c>
      <c r="F812" s="152" t="s">
        <v>265</v>
      </c>
      <c r="G812" s="118" t="s">
        <v>209</v>
      </c>
      <c r="H812" s="153" t="s">
        <v>215</v>
      </c>
    </row>
    <row r="813" hidden="1">
      <c r="A813" s="154" t="s">
        <v>224</v>
      </c>
      <c r="B813" s="155" t="s">
        <v>170</v>
      </c>
      <c r="C813" s="155" t="s">
        <v>206</v>
      </c>
      <c r="D813" s="156" t="s">
        <v>957</v>
      </c>
      <c r="E813" s="156" t="s">
        <v>1013</v>
      </c>
      <c r="F813" s="156" t="s">
        <v>374</v>
      </c>
      <c r="G813" s="155" t="s">
        <v>209</v>
      </c>
      <c r="H813" s="157" t="s">
        <v>216</v>
      </c>
    </row>
    <row r="814" hidden="1">
      <c r="A814" s="151" t="s">
        <v>225</v>
      </c>
      <c r="B814" s="118" t="s">
        <v>226</v>
      </c>
      <c r="C814" s="118" t="s">
        <v>206</v>
      </c>
      <c r="D814" s="152" t="s">
        <v>957</v>
      </c>
      <c r="E814" s="152" t="s">
        <v>1014</v>
      </c>
      <c r="F814" s="152" t="s">
        <v>357</v>
      </c>
      <c r="G814" s="118" t="s">
        <v>209</v>
      </c>
      <c r="H814" s="153" t="s">
        <v>210</v>
      </c>
    </row>
    <row r="815" hidden="1">
      <c r="A815" s="154" t="s">
        <v>225</v>
      </c>
      <c r="B815" s="155" t="s">
        <v>226</v>
      </c>
      <c r="C815" s="155" t="s">
        <v>206</v>
      </c>
      <c r="D815" s="156" t="s">
        <v>957</v>
      </c>
      <c r="E815" s="156" t="s">
        <v>1015</v>
      </c>
      <c r="F815" s="156" t="s">
        <v>265</v>
      </c>
      <c r="G815" s="155" t="s">
        <v>209</v>
      </c>
      <c r="H815" s="157" t="s">
        <v>211</v>
      </c>
    </row>
    <row r="816" hidden="1">
      <c r="A816" s="151" t="s">
        <v>225</v>
      </c>
      <c r="B816" s="118" t="s">
        <v>226</v>
      </c>
      <c r="C816" s="118" t="s">
        <v>206</v>
      </c>
      <c r="D816" s="152" t="s">
        <v>957</v>
      </c>
      <c r="E816" s="152" t="s">
        <v>1016</v>
      </c>
      <c r="F816" s="152" t="s">
        <v>276</v>
      </c>
      <c r="G816" s="118" t="s">
        <v>209</v>
      </c>
      <c r="H816" s="153" t="s">
        <v>212</v>
      </c>
    </row>
    <row r="817" hidden="1">
      <c r="A817" s="154" t="s">
        <v>225</v>
      </c>
      <c r="B817" s="155" t="s">
        <v>226</v>
      </c>
      <c r="C817" s="155" t="s">
        <v>206</v>
      </c>
      <c r="D817" s="156" t="s">
        <v>957</v>
      </c>
      <c r="E817" s="156" t="s">
        <v>1017</v>
      </c>
      <c r="F817" s="156" t="s">
        <v>265</v>
      </c>
      <c r="G817" s="155" t="s">
        <v>209</v>
      </c>
      <c r="H817" s="157" t="s">
        <v>213</v>
      </c>
    </row>
    <row r="818" hidden="1">
      <c r="A818" s="151" t="s">
        <v>225</v>
      </c>
      <c r="B818" s="118" t="s">
        <v>226</v>
      </c>
      <c r="C818" s="118" t="s">
        <v>206</v>
      </c>
      <c r="D818" s="152" t="s">
        <v>957</v>
      </c>
      <c r="E818" s="152" t="s">
        <v>1018</v>
      </c>
      <c r="F818" s="152" t="s">
        <v>501</v>
      </c>
      <c r="G818" s="118" t="s">
        <v>209</v>
      </c>
      <c r="H818" s="153" t="s">
        <v>214</v>
      </c>
    </row>
    <row r="819" hidden="1">
      <c r="A819" s="154" t="s">
        <v>225</v>
      </c>
      <c r="B819" s="155" t="s">
        <v>226</v>
      </c>
      <c r="C819" s="155" t="s">
        <v>206</v>
      </c>
      <c r="D819" s="156" t="s">
        <v>957</v>
      </c>
      <c r="E819" s="156" t="s">
        <v>1019</v>
      </c>
      <c r="F819" s="156" t="s">
        <v>265</v>
      </c>
      <c r="G819" s="155" t="s">
        <v>209</v>
      </c>
      <c r="H819" s="157" t="s">
        <v>215</v>
      </c>
    </row>
    <row r="820" hidden="1">
      <c r="A820" s="151" t="s">
        <v>225</v>
      </c>
      <c r="B820" s="118" t="s">
        <v>226</v>
      </c>
      <c r="C820" s="118" t="s">
        <v>206</v>
      </c>
      <c r="D820" s="152" t="s">
        <v>957</v>
      </c>
      <c r="E820" s="152" t="s">
        <v>1020</v>
      </c>
      <c r="F820" s="152" t="s">
        <v>269</v>
      </c>
      <c r="G820" s="118" t="s">
        <v>209</v>
      </c>
      <c r="H820" s="153" t="s">
        <v>216</v>
      </c>
    </row>
    <row r="821" hidden="1">
      <c r="A821" s="154" t="s">
        <v>227</v>
      </c>
      <c r="B821" s="155" t="s">
        <v>195</v>
      </c>
      <c r="C821" s="155" t="s">
        <v>206</v>
      </c>
      <c r="D821" s="156" t="s">
        <v>957</v>
      </c>
      <c r="E821" s="156" t="s">
        <v>1021</v>
      </c>
      <c r="F821" s="156" t="s">
        <v>534</v>
      </c>
      <c r="G821" s="155" t="s">
        <v>209</v>
      </c>
      <c r="H821" s="157" t="s">
        <v>210</v>
      </c>
    </row>
    <row r="822" hidden="1">
      <c r="A822" s="151" t="s">
        <v>227</v>
      </c>
      <c r="B822" s="118" t="s">
        <v>195</v>
      </c>
      <c r="C822" s="118" t="s">
        <v>206</v>
      </c>
      <c r="D822" s="152" t="s">
        <v>957</v>
      </c>
      <c r="E822" s="152" t="s">
        <v>1022</v>
      </c>
      <c r="F822" s="152" t="s">
        <v>242</v>
      </c>
      <c r="G822" s="118" t="s">
        <v>209</v>
      </c>
      <c r="H822" s="153" t="s">
        <v>211</v>
      </c>
    </row>
    <row r="823" hidden="1">
      <c r="A823" s="154" t="s">
        <v>227</v>
      </c>
      <c r="B823" s="155" t="s">
        <v>195</v>
      </c>
      <c r="C823" s="155" t="s">
        <v>206</v>
      </c>
      <c r="D823" s="156" t="s">
        <v>957</v>
      </c>
      <c r="E823" s="156" t="s">
        <v>1023</v>
      </c>
      <c r="F823" s="156" t="s">
        <v>314</v>
      </c>
      <c r="G823" s="155" t="s">
        <v>209</v>
      </c>
      <c r="H823" s="157" t="s">
        <v>212</v>
      </c>
    </row>
    <row r="824" hidden="1">
      <c r="A824" s="151" t="s">
        <v>227</v>
      </c>
      <c r="B824" s="118" t="s">
        <v>195</v>
      </c>
      <c r="C824" s="118" t="s">
        <v>206</v>
      </c>
      <c r="D824" s="152" t="s">
        <v>957</v>
      </c>
      <c r="E824" s="152" t="s">
        <v>1024</v>
      </c>
      <c r="F824" s="152" t="s">
        <v>240</v>
      </c>
      <c r="G824" s="118" t="s">
        <v>209</v>
      </c>
      <c r="H824" s="153" t="s">
        <v>213</v>
      </c>
    </row>
    <row r="825" hidden="1">
      <c r="A825" s="154" t="s">
        <v>227</v>
      </c>
      <c r="B825" s="155" t="s">
        <v>195</v>
      </c>
      <c r="C825" s="155" t="s">
        <v>206</v>
      </c>
      <c r="D825" s="156" t="s">
        <v>957</v>
      </c>
      <c r="E825" s="156" t="s">
        <v>1025</v>
      </c>
      <c r="F825" s="156" t="s">
        <v>244</v>
      </c>
      <c r="G825" s="155" t="s">
        <v>209</v>
      </c>
      <c r="H825" s="157" t="s">
        <v>214</v>
      </c>
    </row>
    <row r="826" hidden="1">
      <c r="A826" s="151" t="s">
        <v>227</v>
      </c>
      <c r="B826" s="118" t="s">
        <v>195</v>
      </c>
      <c r="C826" s="118" t="s">
        <v>206</v>
      </c>
      <c r="D826" s="152" t="s">
        <v>957</v>
      </c>
      <c r="E826" s="152" t="s">
        <v>1026</v>
      </c>
      <c r="F826" s="152" t="s">
        <v>314</v>
      </c>
      <c r="G826" s="118" t="s">
        <v>209</v>
      </c>
      <c r="H826" s="153" t="s">
        <v>215</v>
      </c>
    </row>
    <row r="827" hidden="1">
      <c r="A827" s="154" t="s">
        <v>227</v>
      </c>
      <c r="B827" s="155" t="s">
        <v>195</v>
      </c>
      <c r="C827" s="155" t="s">
        <v>206</v>
      </c>
      <c r="D827" s="156" t="s">
        <v>957</v>
      </c>
      <c r="E827" s="156" t="s">
        <v>1027</v>
      </c>
      <c r="F827" s="156" t="s">
        <v>359</v>
      </c>
      <c r="G827" s="155" t="s">
        <v>209</v>
      </c>
      <c r="H827" s="157" t="s">
        <v>216</v>
      </c>
    </row>
    <row r="828" hidden="1">
      <c r="A828" s="151" t="s">
        <v>228</v>
      </c>
      <c r="B828" s="118" t="s">
        <v>138</v>
      </c>
      <c r="C828" s="118" t="s">
        <v>206</v>
      </c>
      <c r="D828" s="152" t="s">
        <v>957</v>
      </c>
      <c r="E828" s="152" t="s">
        <v>1028</v>
      </c>
      <c r="F828" s="152" t="s">
        <v>374</v>
      </c>
      <c r="G828" s="118" t="s">
        <v>209</v>
      </c>
      <c r="H828" s="153" t="s">
        <v>210</v>
      </c>
    </row>
    <row r="829" hidden="1">
      <c r="A829" s="154" t="s">
        <v>228</v>
      </c>
      <c r="B829" s="155" t="s">
        <v>138</v>
      </c>
      <c r="C829" s="155" t="s">
        <v>206</v>
      </c>
      <c r="D829" s="156" t="s">
        <v>957</v>
      </c>
      <c r="E829" s="156" t="s">
        <v>1029</v>
      </c>
      <c r="F829" s="156" t="s">
        <v>357</v>
      </c>
      <c r="G829" s="155" t="s">
        <v>209</v>
      </c>
      <c r="H829" s="157" t="s">
        <v>211</v>
      </c>
    </row>
    <row r="830" hidden="1">
      <c r="A830" s="151" t="s">
        <v>228</v>
      </c>
      <c r="B830" s="118" t="s">
        <v>138</v>
      </c>
      <c r="C830" s="118" t="s">
        <v>206</v>
      </c>
      <c r="D830" s="152" t="s">
        <v>957</v>
      </c>
      <c r="E830" s="152" t="s">
        <v>1030</v>
      </c>
      <c r="F830" s="152" t="s">
        <v>458</v>
      </c>
      <c r="G830" s="118" t="s">
        <v>209</v>
      </c>
      <c r="H830" s="153" t="s">
        <v>212</v>
      </c>
    </row>
    <row r="831" hidden="1">
      <c r="A831" s="154" t="s">
        <v>228</v>
      </c>
      <c r="B831" s="155" t="s">
        <v>138</v>
      </c>
      <c r="C831" s="155" t="s">
        <v>206</v>
      </c>
      <c r="D831" s="156" t="s">
        <v>957</v>
      </c>
      <c r="E831" s="156" t="s">
        <v>1031</v>
      </c>
      <c r="F831" s="156" t="s">
        <v>276</v>
      </c>
      <c r="G831" s="155" t="s">
        <v>209</v>
      </c>
      <c r="H831" s="157" t="s">
        <v>213</v>
      </c>
    </row>
    <row r="832" hidden="1">
      <c r="A832" s="151" t="s">
        <v>228</v>
      </c>
      <c r="B832" s="118" t="s">
        <v>138</v>
      </c>
      <c r="C832" s="118" t="s">
        <v>206</v>
      </c>
      <c r="D832" s="152" t="s">
        <v>957</v>
      </c>
      <c r="E832" s="152" t="s">
        <v>1032</v>
      </c>
      <c r="F832" s="152" t="s">
        <v>204</v>
      </c>
      <c r="G832" s="118" t="s">
        <v>209</v>
      </c>
      <c r="H832" s="153" t="s">
        <v>214</v>
      </c>
    </row>
    <row r="833" hidden="1">
      <c r="A833" s="154" t="s">
        <v>228</v>
      </c>
      <c r="B833" s="155" t="s">
        <v>138</v>
      </c>
      <c r="C833" s="155" t="s">
        <v>206</v>
      </c>
      <c r="D833" s="156" t="s">
        <v>957</v>
      </c>
      <c r="E833" s="156" t="s">
        <v>1033</v>
      </c>
      <c r="F833" s="156" t="s">
        <v>458</v>
      </c>
      <c r="G833" s="155" t="s">
        <v>209</v>
      </c>
      <c r="H833" s="157" t="s">
        <v>215</v>
      </c>
    </row>
    <row r="834" hidden="1">
      <c r="A834" s="151" t="s">
        <v>228</v>
      </c>
      <c r="B834" s="118" t="s">
        <v>138</v>
      </c>
      <c r="C834" s="118" t="s">
        <v>206</v>
      </c>
      <c r="D834" s="152" t="s">
        <v>957</v>
      </c>
      <c r="E834" s="152" t="s">
        <v>1034</v>
      </c>
      <c r="F834" s="152" t="s">
        <v>255</v>
      </c>
      <c r="G834" s="118" t="s">
        <v>209</v>
      </c>
      <c r="H834" s="153" t="s">
        <v>216</v>
      </c>
    </row>
    <row r="835" hidden="1">
      <c r="A835" s="154" t="s">
        <v>229</v>
      </c>
      <c r="B835" s="155" t="s">
        <v>193</v>
      </c>
      <c r="C835" s="155" t="s">
        <v>206</v>
      </c>
      <c r="D835" s="156" t="s">
        <v>957</v>
      </c>
      <c r="E835" s="156" t="s">
        <v>1035</v>
      </c>
      <c r="F835" s="156" t="s">
        <v>244</v>
      </c>
      <c r="G835" s="155" t="s">
        <v>209</v>
      </c>
      <c r="H835" s="157" t="s">
        <v>210</v>
      </c>
    </row>
    <row r="836" hidden="1">
      <c r="A836" s="151" t="s">
        <v>229</v>
      </c>
      <c r="B836" s="118" t="s">
        <v>193</v>
      </c>
      <c r="C836" s="118" t="s">
        <v>206</v>
      </c>
      <c r="D836" s="152" t="s">
        <v>957</v>
      </c>
      <c r="E836" s="152" t="s">
        <v>1036</v>
      </c>
      <c r="F836" s="152" t="s">
        <v>301</v>
      </c>
      <c r="G836" s="118" t="s">
        <v>209</v>
      </c>
      <c r="H836" s="153" t="s">
        <v>211</v>
      </c>
    </row>
    <row r="837" hidden="1">
      <c r="A837" s="154" t="s">
        <v>229</v>
      </c>
      <c r="B837" s="155" t="s">
        <v>193</v>
      </c>
      <c r="C837" s="155" t="s">
        <v>206</v>
      </c>
      <c r="D837" s="156" t="s">
        <v>957</v>
      </c>
      <c r="E837" s="156" t="s">
        <v>1037</v>
      </c>
      <c r="F837" s="156" t="s">
        <v>262</v>
      </c>
      <c r="G837" s="155" t="s">
        <v>209</v>
      </c>
      <c r="H837" s="157" t="s">
        <v>212</v>
      </c>
    </row>
    <row r="838" hidden="1">
      <c r="A838" s="151" t="s">
        <v>229</v>
      </c>
      <c r="B838" s="118" t="s">
        <v>193</v>
      </c>
      <c r="C838" s="118" t="s">
        <v>206</v>
      </c>
      <c r="D838" s="152" t="s">
        <v>957</v>
      </c>
      <c r="E838" s="152" t="s">
        <v>1038</v>
      </c>
      <c r="F838" s="152" t="s">
        <v>276</v>
      </c>
      <c r="G838" s="118" t="s">
        <v>209</v>
      </c>
      <c r="H838" s="153" t="s">
        <v>213</v>
      </c>
    </row>
    <row r="839" hidden="1">
      <c r="A839" s="154" t="s">
        <v>229</v>
      </c>
      <c r="B839" s="155" t="s">
        <v>193</v>
      </c>
      <c r="C839" s="155" t="s">
        <v>206</v>
      </c>
      <c r="D839" s="156" t="s">
        <v>957</v>
      </c>
      <c r="E839" s="156" t="s">
        <v>1039</v>
      </c>
      <c r="F839" s="156" t="s">
        <v>301</v>
      </c>
      <c r="G839" s="155" t="s">
        <v>209</v>
      </c>
      <c r="H839" s="157" t="s">
        <v>214</v>
      </c>
    </row>
    <row r="840" hidden="1">
      <c r="A840" s="151" t="s">
        <v>229</v>
      </c>
      <c r="B840" s="118" t="s">
        <v>193</v>
      </c>
      <c r="C840" s="118" t="s">
        <v>206</v>
      </c>
      <c r="D840" s="152" t="s">
        <v>957</v>
      </c>
      <c r="E840" s="152" t="s">
        <v>1040</v>
      </c>
      <c r="F840" s="152" t="s">
        <v>255</v>
      </c>
      <c r="G840" s="118" t="s">
        <v>209</v>
      </c>
      <c r="H840" s="153" t="s">
        <v>215</v>
      </c>
    </row>
    <row r="841" hidden="1">
      <c r="A841" s="154" t="s">
        <v>229</v>
      </c>
      <c r="B841" s="155" t="s">
        <v>193</v>
      </c>
      <c r="C841" s="155" t="s">
        <v>206</v>
      </c>
      <c r="D841" s="156" t="s">
        <v>957</v>
      </c>
      <c r="E841" s="156" t="s">
        <v>1041</v>
      </c>
      <c r="F841" s="156" t="s">
        <v>240</v>
      </c>
      <c r="G841" s="155" t="s">
        <v>209</v>
      </c>
      <c r="H841" s="157" t="s">
        <v>216</v>
      </c>
    </row>
    <row r="842" hidden="1">
      <c r="A842" s="151" t="s">
        <v>230</v>
      </c>
      <c r="B842" s="118" t="s">
        <v>194</v>
      </c>
      <c r="C842" s="118" t="s">
        <v>206</v>
      </c>
      <c r="D842" s="152" t="s">
        <v>957</v>
      </c>
      <c r="E842" s="152" t="s">
        <v>1042</v>
      </c>
      <c r="F842" s="152" t="s">
        <v>255</v>
      </c>
      <c r="G842" s="118" t="s">
        <v>209</v>
      </c>
      <c r="H842" s="153" t="s">
        <v>210</v>
      </c>
    </row>
    <row r="843" hidden="1">
      <c r="A843" s="154" t="s">
        <v>230</v>
      </c>
      <c r="B843" s="155" t="s">
        <v>194</v>
      </c>
      <c r="C843" s="155" t="s">
        <v>206</v>
      </c>
      <c r="D843" s="156" t="s">
        <v>957</v>
      </c>
      <c r="E843" s="156" t="s">
        <v>1043</v>
      </c>
      <c r="F843" s="156" t="s">
        <v>244</v>
      </c>
      <c r="G843" s="155" t="s">
        <v>209</v>
      </c>
      <c r="H843" s="157" t="s">
        <v>211</v>
      </c>
    </row>
    <row r="844" hidden="1">
      <c r="A844" s="151" t="s">
        <v>230</v>
      </c>
      <c r="B844" s="118" t="s">
        <v>194</v>
      </c>
      <c r="C844" s="118" t="s">
        <v>206</v>
      </c>
      <c r="D844" s="152" t="s">
        <v>957</v>
      </c>
      <c r="E844" s="152" t="s">
        <v>1044</v>
      </c>
      <c r="F844" s="152" t="s">
        <v>321</v>
      </c>
      <c r="G844" s="118" t="s">
        <v>209</v>
      </c>
      <c r="H844" s="153" t="s">
        <v>212</v>
      </c>
    </row>
    <row r="845" hidden="1">
      <c r="A845" s="154" t="s">
        <v>230</v>
      </c>
      <c r="B845" s="155" t="s">
        <v>194</v>
      </c>
      <c r="C845" s="155" t="s">
        <v>206</v>
      </c>
      <c r="D845" s="156" t="s">
        <v>957</v>
      </c>
      <c r="E845" s="156" t="s">
        <v>1045</v>
      </c>
      <c r="F845" s="156" t="s">
        <v>276</v>
      </c>
      <c r="G845" s="155" t="s">
        <v>209</v>
      </c>
      <c r="H845" s="157" t="s">
        <v>213</v>
      </c>
    </row>
    <row r="846" hidden="1">
      <c r="A846" s="151" t="s">
        <v>230</v>
      </c>
      <c r="B846" s="118" t="s">
        <v>194</v>
      </c>
      <c r="C846" s="118" t="s">
        <v>206</v>
      </c>
      <c r="D846" s="152" t="s">
        <v>957</v>
      </c>
      <c r="E846" s="152" t="s">
        <v>1046</v>
      </c>
      <c r="F846" s="152" t="s">
        <v>255</v>
      </c>
      <c r="G846" s="118" t="s">
        <v>209</v>
      </c>
      <c r="H846" s="153" t="s">
        <v>214</v>
      </c>
    </row>
    <row r="847" hidden="1">
      <c r="A847" s="154" t="s">
        <v>230</v>
      </c>
      <c r="B847" s="155" t="s">
        <v>194</v>
      </c>
      <c r="C847" s="155" t="s">
        <v>206</v>
      </c>
      <c r="D847" s="156" t="s">
        <v>957</v>
      </c>
      <c r="E847" s="156" t="s">
        <v>1047</v>
      </c>
      <c r="F847" s="156" t="s">
        <v>357</v>
      </c>
      <c r="G847" s="155" t="s">
        <v>209</v>
      </c>
      <c r="H847" s="157" t="s">
        <v>215</v>
      </c>
    </row>
    <row r="848" hidden="1">
      <c r="A848" s="151" t="s">
        <v>230</v>
      </c>
      <c r="B848" s="118" t="s">
        <v>194</v>
      </c>
      <c r="C848" s="118" t="s">
        <v>206</v>
      </c>
      <c r="D848" s="152" t="s">
        <v>957</v>
      </c>
      <c r="E848" s="152" t="s">
        <v>1048</v>
      </c>
      <c r="F848" s="152" t="s">
        <v>240</v>
      </c>
      <c r="G848" s="118" t="s">
        <v>209</v>
      </c>
      <c r="H848" s="153" t="s">
        <v>216</v>
      </c>
    </row>
    <row r="849" hidden="1">
      <c r="A849" s="158" t="s">
        <v>231</v>
      </c>
      <c r="B849" s="159"/>
      <c r="C849" s="155" t="s">
        <v>232</v>
      </c>
      <c r="D849" s="156" t="s">
        <v>957</v>
      </c>
      <c r="E849" s="156" t="s">
        <v>1049</v>
      </c>
      <c r="F849" s="156" t="s">
        <v>287</v>
      </c>
      <c r="G849" s="155" t="s">
        <v>209</v>
      </c>
      <c r="H849" s="157" t="s">
        <v>210</v>
      </c>
    </row>
    <row r="850" hidden="1">
      <c r="A850" s="160" t="s">
        <v>231</v>
      </c>
      <c r="B850" s="72"/>
      <c r="C850" s="118" t="s">
        <v>232</v>
      </c>
      <c r="D850" s="152" t="s">
        <v>957</v>
      </c>
      <c r="E850" s="152" t="s">
        <v>1050</v>
      </c>
      <c r="F850" s="152" t="s">
        <v>374</v>
      </c>
      <c r="G850" s="118" t="s">
        <v>209</v>
      </c>
      <c r="H850" s="153" t="s">
        <v>211</v>
      </c>
    </row>
    <row r="851" hidden="1">
      <c r="A851" s="158" t="s">
        <v>231</v>
      </c>
      <c r="B851" s="159"/>
      <c r="C851" s="155" t="s">
        <v>232</v>
      </c>
      <c r="D851" s="156" t="s">
        <v>957</v>
      </c>
      <c r="E851" s="156" t="s">
        <v>1051</v>
      </c>
      <c r="F851" s="156" t="s">
        <v>274</v>
      </c>
      <c r="G851" s="155" t="s">
        <v>209</v>
      </c>
      <c r="H851" s="157" t="s">
        <v>212</v>
      </c>
    </row>
    <row r="852" hidden="1">
      <c r="A852" s="160" t="s">
        <v>231</v>
      </c>
      <c r="B852" s="72"/>
      <c r="C852" s="118" t="s">
        <v>232</v>
      </c>
      <c r="D852" s="152" t="s">
        <v>957</v>
      </c>
      <c r="E852" s="152" t="s">
        <v>1052</v>
      </c>
      <c r="F852" s="152" t="s">
        <v>287</v>
      </c>
      <c r="G852" s="118" t="s">
        <v>209</v>
      </c>
      <c r="H852" s="153" t="s">
        <v>213</v>
      </c>
    </row>
    <row r="853" hidden="1">
      <c r="A853" s="158" t="s">
        <v>231</v>
      </c>
      <c r="B853" s="159"/>
      <c r="C853" s="155" t="s">
        <v>232</v>
      </c>
      <c r="D853" s="156" t="s">
        <v>957</v>
      </c>
      <c r="E853" s="156" t="s">
        <v>1053</v>
      </c>
      <c r="F853" s="156" t="s">
        <v>433</v>
      </c>
      <c r="G853" s="155" t="s">
        <v>209</v>
      </c>
      <c r="H853" s="157" t="s">
        <v>214</v>
      </c>
    </row>
    <row r="854" hidden="1">
      <c r="A854" s="160" t="s">
        <v>231</v>
      </c>
      <c r="B854" s="72"/>
      <c r="C854" s="118" t="s">
        <v>232</v>
      </c>
      <c r="D854" s="152" t="s">
        <v>957</v>
      </c>
      <c r="E854" s="152" t="s">
        <v>1054</v>
      </c>
      <c r="F854" s="152" t="s">
        <v>458</v>
      </c>
      <c r="G854" s="118" t="s">
        <v>209</v>
      </c>
      <c r="H854" s="153" t="s">
        <v>215</v>
      </c>
    </row>
    <row r="855" hidden="1">
      <c r="A855" s="158" t="s">
        <v>231</v>
      </c>
      <c r="B855" s="159"/>
      <c r="C855" s="155" t="s">
        <v>232</v>
      </c>
      <c r="D855" s="156" t="s">
        <v>957</v>
      </c>
      <c r="E855" s="156" t="s">
        <v>1055</v>
      </c>
      <c r="F855" s="156" t="s">
        <v>259</v>
      </c>
      <c r="G855" s="155" t="s">
        <v>209</v>
      </c>
      <c r="H855" s="157" t="s">
        <v>216</v>
      </c>
    </row>
    <row r="856" hidden="1">
      <c r="A856" s="160" t="s">
        <v>233</v>
      </c>
      <c r="B856" s="72"/>
      <c r="C856" s="118" t="s">
        <v>232</v>
      </c>
      <c r="D856" s="152" t="s">
        <v>957</v>
      </c>
      <c r="E856" s="152" t="s">
        <v>1056</v>
      </c>
      <c r="F856" s="152" t="s">
        <v>257</v>
      </c>
      <c r="G856" s="118" t="s">
        <v>209</v>
      </c>
      <c r="H856" s="153" t="s">
        <v>210</v>
      </c>
    </row>
    <row r="857" hidden="1">
      <c r="A857" s="158" t="s">
        <v>233</v>
      </c>
      <c r="B857" s="159"/>
      <c r="C857" s="155" t="s">
        <v>232</v>
      </c>
      <c r="D857" s="156" t="s">
        <v>957</v>
      </c>
      <c r="E857" s="156" t="s">
        <v>1057</v>
      </c>
      <c r="F857" s="156" t="s">
        <v>301</v>
      </c>
      <c r="G857" s="155" t="s">
        <v>209</v>
      </c>
      <c r="H857" s="157" t="s">
        <v>211</v>
      </c>
    </row>
    <row r="858" hidden="1">
      <c r="A858" s="160" t="s">
        <v>233</v>
      </c>
      <c r="B858" s="72"/>
      <c r="C858" s="118" t="s">
        <v>232</v>
      </c>
      <c r="D858" s="152" t="s">
        <v>957</v>
      </c>
      <c r="E858" s="152" t="s">
        <v>1058</v>
      </c>
      <c r="F858" s="152" t="s">
        <v>246</v>
      </c>
      <c r="G858" s="118" t="s">
        <v>209</v>
      </c>
      <c r="H858" s="153" t="s">
        <v>212</v>
      </c>
    </row>
    <row r="859" hidden="1">
      <c r="A859" s="158" t="s">
        <v>233</v>
      </c>
      <c r="B859" s="159"/>
      <c r="C859" s="155" t="s">
        <v>232</v>
      </c>
      <c r="D859" s="156" t="s">
        <v>957</v>
      </c>
      <c r="E859" s="156" t="s">
        <v>1059</v>
      </c>
      <c r="F859" s="156" t="s">
        <v>255</v>
      </c>
      <c r="G859" s="155" t="s">
        <v>209</v>
      </c>
      <c r="H859" s="157" t="s">
        <v>213</v>
      </c>
    </row>
    <row r="860" hidden="1">
      <c r="A860" s="160" t="s">
        <v>233</v>
      </c>
      <c r="B860" s="72"/>
      <c r="C860" s="118" t="s">
        <v>232</v>
      </c>
      <c r="D860" s="152" t="s">
        <v>957</v>
      </c>
      <c r="E860" s="152" t="s">
        <v>1060</v>
      </c>
      <c r="F860" s="152" t="s">
        <v>287</v>
      </c>
      <c r="G860" s="118" t="s">
        <v>209</v>
      </c>
      <c r="H860" s="153" t="s">
        <v>214</v>
      </c>
    </row>
    <row r="861" hidden="1">
      <c r="A861" s="158" t="s">
        <v>233</v>
      </c>
      <c r="B861" s="159"/>
      <c r="C861" s="155" t="s">
        <v>232</v>
      </c>
      <c r="D861" s="156" t="s">
        <v>957</v>
      </c>
      <c r="E861" s="156" t="s">
        <v>1061</v>
      </c>
      <c r="F861" s="156" t="s">
        <v>240</v>
      </c>
      <c r="G861" s="155" t="s">
        <v>209</v>
      </c>
      <c r="H861" s="157" t="s">
        <v>215</v>
      </c>
    </row>
    <row r="862" hidden="1">
      <c r="A862" s="160" t="s">
        <v>233</v>
      </c>
      <c r="B862" s="72"/>
      <c r="C862" s="118" t="s">
        <v>232</v>
      </c>
      <c r="D862" s="152" t="s">
        <v>957</v>
      </c>
      <c r="E862" s="152" t="s">
        <v>1062</v>
      </c>
      <c r="F862" s="152" t="s">
        <v>240</v>
      </c>
      <c r="G862" s="118" t="s">
        <v>209</v>
      </c>
      <c r="H862" s="153" t="s">
        <v>216</v>
      </c>
    </row>
    <row r="863" hidden="1">
      <c r="A863" s="158" t="s">
        <v>234</v>
      </c>
      <c r="B863" s="159"/>
      <c r="C863" s="155" t="s">
        <v>232</v>
      </c>
      <c r="D863" s="156" t="s">
        <v>957</v>
      </c>
      <c r="E863" s="156" t="s">
        <v>1063</v>
      </c>
      <c r="F863" s="156" t="s">
        <v>255</v>
      </c>
      <c r="G863" s="155" t="s">
        <v>209</v>
      </c>
      <c r="H863" s="157" t="s">
        <v>210</v>
      </c>
    </row>
    <row r="864" hidden="1">
      <c r="A864" s="160" t="s">
        <v>234</v>
      </c>
      <c r="B864" s="72"/>
      <c r="C864" s="118" t="s">
        <v>232</v>
      </c>
      <c r="D864" s="152" t="s">
        <v>957</v>
      </c>
      <c r="E864" s="152" t="s">
        <v>1064</v>
      </c>
      <c r="F864" s="152" t="s">
        <v>374</v>
      </c>
      <c r="G864" s="118" t="s">
        <v>209</v>
      </c>
      <c r="H864" s="153" t="s">
        <v>211</v>
      </c>
    </row>
    <row r="865" hidden="1">
      <c r="A865" s="158" t="s">
        <v>234</v>
      </c>
      <c r="B865" s="159"/>
      <c r="C865" s="155" t="s">
        <v>232</v>
      </c>
      <c r="D865" s="156" t="s">
        <v>957</v>
      </c>
      <c r="E865" s="156" t="s">
        <v>1065</v>
      </c>
      <c r="F865" s="156" t="s">
        <v>242</v>
      </c>
      <c r="G865" s="155" t="s">
        <v>209</v>
      </c>
      <c r="H865" s="157" t="s">
        <v>212</v>
      </c>
    </row>
    <row r="866" hidden="1">
      <c r="A866" s="160" t="s">
        <v>234</v>
      </c>
      <c r="B866" s="72"/>
      <c r="C866" s="118" t="s">
        <v>232</v>
      </c>
      <c r="D866" s="152" t="s">
        <v>957</v>
      </c>
      <c r="E866" s="152" t="s">
        <v>1066</v>
      </c>
      <c r="F866" s="152" t="s">
        <v>262</v>
      </c>
      <c r="G866" s="118" t="s">
        <v>209</v>
      </c>
      <c r="H866" s="153" t="s">
        <v>213</v>
      </c>
    </row>
    <row r="867" hidden="1">
      <c r="A867" s="158" t="s">
        <v>234</v>
      </c>
      <c r="B867" s="159"/>
      <c r="C867" s="155" t="s">
        <v>232</v>
      </c>
      <c r="D867" s="156" t="s">
        <v>957</v>
      </c>
      <c r="E867" s="156" t="s">
        <v>1067</v>
      </c>
      <c r="F867" s="156" t="s">
        <v>374</v>
      </c>
      <c r="G867" s="155" t="s">
        <v>209</v>
      </c>
      <c r="H867" s="157" t="s">
        <v>214</v>
      </c>
    </row>
    <row r="868" hidden="1">
      <c r="A868" s="160" t="s">
        <v>234</v>
      </c>
      <c r="B868" s="72"/>
      <c r="C868" s="118" t="s">
        <v>232</v>
      </c>
      <c r="D868" s="152" t="s">
        <v>957</v>
      </c>
      <c r="E868" s="152" t="s">
        <v>1068</v>
      </c>
      <c r="F868" s="152" t="s">
        <v>259</v>
      </c>
      <c r="G868" s="118" t="s">
        <v>209</v>
      </c>
      <c r="H868" s="153" t="s">
        <v>215</v>
      </c>
    </row>
    <row r="869" hidden="1">
      <c r="A869" s="158" t="s">
        <v>234</v>
      </c>
      <c r="B869" s="159"/>
      <c r="C869" s="155" t="s">
        <v>232</v>
      </c>
      <c r="D869" s="156" t="s">
        <v>957</v>
      </c>
      <c r="E869" s="156" t="s">
        <v>1069</v>
      </c>
      <c r="F869" s="156" t="s">
        <v>259</v>
      </c>
      <c r="G869" s="155" t="s">
        <v>209</v>
      </c>
      <c r="H869" s="157" t="s">
        <v>216</v>
      </c>
    </row>
    <row r="870" hidden="1">
      <c r="A870" s="160" t="s">
        <v>235</v>
      </c>
      <c r="B870" s="72"/>
      <c r="C870" s="118" t="s">
        <v>236</v>
      </c>
      <c r="D870" s="152" t="s">
        <v>957</v>
      </c>
      <c r="E870" s="152" t="s">
        <v>1070</v>
      </c>
      <c r="F870" s="152" t="s">
        <v>301</v>
      </c>
      <c r="G870" s="118" t="s">
        <v>209</v>
      </c>
      <c r="H870" s="153" t="s">
        <v>210</v>
      </c>
    </row>
    <row r="871" hidden="1">
      <c r="A871" s="158" t="s">
        <v>235</v>
      </c>
      <c r="B871" s="159"/>
      <c r="C871" s="155" t="s">
        <v>236</v>
      </c>
      <c r="D871" s="156" t="s">
        <v>957</v>
      </c>
      <c r="E871" s="156" t="s">
        <v>1071</v>
      </c>
      <c r="F871" s="156" t="s">
        <v>259</v>
      </c>
      <c r="G871" s="155" t="s">
        <v>209</v>
      </c>
      <c r="H871" s="157" t="s">
        <v>211</v>
      </c>
    </row>
    <row r="872" hidden="1">
      <c r="A872" s="160" t="s">
        <v>235</v>
      </c>
      <c r="B872" s="72"/>
      <c r="C872" s="118" t="s">
        <v>236</v>
      </c>
      <c r="D872" s="152" t="s">
        <v>957</v>
      </c>
      <c r="E872" s="152" t="s">
        <v>1072</v>
      </c>
      <c r="F872" s="152" t="s">
        <v>269</v>
      </c>
      <c r="G872" s="118" t="s">
        <v>209</v>
      </c>
      <c r="H872" s="153" t="s">
        <v>212</v>
      </c>
    </row>
    <row r="873" hidden="1">
      <c r="A873" s="158" t="s">
        <v>235</v>
      </c>
      <c r="B873" s="159"/>
      <c r="C873" s="155" t="s">
        <v>236</v>
      </c>
      <c r="D873" s="156" t="s">
        <v>957</v>
      </c>
      <c r="E873" s="156" t="s">
        <v>1073</v>
      </c>
      <c r="F873" s="156" t="s">
        <v>255</v>
      </c>
      <c r="G873" s="155" t="s">
        <v>209</v>
      </c>
      <c r="H873" s="157" t="s">
        <v>213</v>
      </c>
    </row>
    <row r="874" hidden="1">
      <c r="A874" s="160" t="s">
        <v>235</v>
      </c>
      <c r="B874" s="72"/>
      <c r="C874" s="118" t="s">
        <v>236</v>
      </c>
      <c r="D874" s="152" t="s">
        <v>957</v>
      </c>
      <c r="E874" s="152" t="s">
        <v>1074</v>
      </c>
      <c r="F874" s="152" t="s">
        <v>255</v>
      </c>
      <c r="G874" s="118" t="s">
        <v>209</v>
      </c>
      <c r="H874" s="153" t="s">
        <v>214</v>
      </c>
    </row>
    <row r="875" hidden="1">
      <c r="A875" s="158" t="s">
        <v>235</v>
      </c>
      <c r="B875" s="159"/>
      <c r="C875" s="155" t="s">
        <v>236</v>
      </c>
      <c r="D875" s="156" t="s">
        <v>957</v>
      </c>
      <c r="E875" s="156" t="s">
        <v>1075</v>
      </c>
      <c r="F875" s="156" t="s">
        <v>259</v>
      </c>
      <c r="G875" s="155" t="s">
        <v>209</v>
      </c>
      <c r="H875" s="157" t="s">
        <v>215</v>
      </c>
    </row>
    <row r="876" hidden="1">
      <c r="A876" s="160" t="s">
        <v>235</v>
      </c>
      <c r="B876" s="72"/>
      <c r="C876" s="118" t="s">
        <v>236</v>
      </c>
      <c r="D876" s="152" t="s">
        <v>957</v>
      </c>
      <c r="E876" s="152" t="s">
        <v>1076</v>
      </c>
      <c r="F876" s="152" t="s">
        <v>255</v>
      </c>
      <c r="G876" s="118" t="s">
        <v>209</v>
      </c>
      <c r="H876" s="153" t="s">
        <v>216</v>
      </c>
    </row>
    <row r="877" hidden="1">
      <c r="A877" s="158" t="s">
        <v>237</v>
      </c>
      <c r="B877" s="159"/>
      <c r="C877" s="155" t="s">
        <v>236</v>
      </c>
      <c r="D877" s="156" t="s">
        <v>957</v>
      </c>
      <c r="E877" s="156" t="s">
        <v>1077</v>
      </c>
      <c r="F877" s="156" t="s">
        <v>242</v>
      </c>
      <c r="G877" s="155" t="s">
        <v>209</v>
      </c>
      <c r="H877" s="157" t="s">
        <v>210</v>
      </c>
    </row>
    <row r="878" hidden="1">
      <c r="A878" s="160" t="s">
        <v>237</v>
      </c>
      <c r="B878" s="72"/>
      <c r="C878" s="118" t="s">
        <v>236</v>
      </c>
      <c r="D878" s="152" t="s">
        <v>957</v>
      </c>
      <c r="E878" s="152" t="s">
        <v>1078</v>
      </c>
      <c r="F878" s="152" t="s">
        <v>240</v>
      </c>
      <c r="G878" s="118" t="s">
        <v>209</v>
      </c>
      <c r="H878" s="153" t="s">
        <v>211</v>
      </c>
    </row>
    <row r="879" hidden="1">
      <c r="A879" s="158" t="s">
        <v>237</v>
      </c>
      <c r="B879" s="159"/>
      <c r="C879" s="155" t="s">
        <v>236</v>
      </c>
      <c r="D879" s="156" t="s">
        <v>957</v>
      </c>
      <c r="E879" s="156" t="s">
        <v>1079</v>
      </c>
      <c r="F879" s="156" t="s">
        <v>242</v>
      </c>
      <c r="G879" s="155" t="s">
        <v>209</v>
      </c>
      <c r="H879" s="157" t="s">
        <v>212</v>
      </c>
    </row>
    <row r="880" hidden="1">
      <c r="A880" s="160" t="s">
        <v>237</v>
      </c>
      <c r="B880" s="72"/>
      <c r="C880" s="118" t="s">
        <v>236</v>
      </c>
      <c r="D880" s="152" t="s">
        <v>957</v>
      </c>
      <c r="E880" s="152" t="s">
        <v>1080</v>
      </c>
      <c r="F880" s="152" t="s">
        <v>374</v>
      </c>
      <c r="G880" s="118" t="s">
        <v>209</v>
      </c>
      <c r="H880" s="153" t="s">
        <v>213</v>
      </c>
    </row>
    <row r="881" hidden="1">
      <c r="A881" s="158" t="s">
        <v>237</v>
      </c>
      <c r="B881" s="159"/>
      <c r="C881" s="155" t="s">
        <v>236</v>
      </c>
      <c r="D881" s="156" t="s">
        <v>957</v>
      </c>
      <c r="E881" s="156" t="s">
        <v>1081</v>
      </c>
      <c r="F881" s="156" t="s">
        <v>255</v>
      </c>
      <c r="G881" s="155" t="s">
        <v>209</v>
      </c>
      <c r="H881" s="157" t="s">
        <v>214</v>
      </c>
    </row>
    <row r="882" hidden="1">
      <c r="A882" s="160" t="s">
        <v>237</v>
      </c>
      <c r="B882" s="72"/>
      <c r="C882" s="118" t="s">
        <v>236</v>
      </c>
      <c r="D882" s="152" t="s">
        <v>957</v>
      </c>
      <c r="E882" s="152" t="s">
        <v>1082</v>
      </c>
      <c r="F882" s="152" t="s">
        <v>287</v>
      </c>
      <c r="G882" s="118" t="s">
        <v>209</v>
      </c>
      <c r="H882" s="153" t="s">
        <v>215</v>
      </c>
    </row>
    <row r="883" hidden="1">
      <c r="A883" s="158" t="s">
        <v>237</v>
      </c>
      <c r="B883" s="159"/>
      <c r="C883" s="155" t="s">
        <v>236</v>
      </c>
      <c r="D883" s="156" t="s">
        <v>957</v>
      </c>
      <c r="E883" s="156" t="s">
        <v>1083</v>
      </c>
      <c r="F883" s="156" t="s">
        <v>257</v>
      </c>
      <c r="G883" s="155" t="s">
        <v>209</v>
      </c>
      <c r="H883" s="157" t="s">
        <v>216</v>
      </c>
    </row>
    <row r="884" hidden="1">
      <c r="A884" s="151" t="s">
        <v>204</v>
      </c>
      <c r="B884" s="118" t="s">
        <v>205</v>
      </c>
      <c r="C884" s="118" t="s">
        <v>206</v>
      </c>
      <c r="D884" s="152" t="s">
        <v>1084</v>
      </c>
      <c r="E884" s="152" t="s">
        <v>1085</v>
      </c>
      <c r="F884" s="152" t="s">
        <v>244</v>
      </c>
      <c r="G884" s="118" t="s">
        <v>209</v>
      </c>
      <c r="H884" s="153" t="s">
        <v>210</v>
      </c>
    </row>
    <row r="885" hidden="1">
      <c r="A885" s="154" t="s">
        <v>204</v>
      </c>
      <c r="B885" s="155" t="s">
        <v>205</v>
      </c>
      <c r="C885" s="155" t="s">
        <v>206</v>
      </c>
      <c r="D885" s="156" t="s">
        <v>1084</v>
      </c>
      <c r="E885" s="156" t="s">
        <v>1086</v>
      </c>
      <c r="F885" s="156" t="s">
        <v>365</v>
      </c>
      <c r="G885" s="155" t="s">
        <v>209</v>
      </c>
      <c r="H885" s="157" t="s">
        <v>211</v>
      </c>
    </row>
    <row r="886" hidden="1">
      <c r="A886" s="151" t="s">
        <v>204</v>
      </c>
      <c r="B886" s="118" t="s">
        <v>205</v>
      </c>
      <c r="C886" s="118" t="s">
        <v>206</v>
      </c>
      <c r="D886" s="152" t="s">
        <v>1084</v>
      </c>
      <c r="E886" s="152" t="s">
        <v>1087</v>
      </c>
      <c r="F886" s="152" t="s">
        <v>240</v>
      </c>
      <c r="G886" s="118" t="s">
        <v>209</v>
      </c>
      <c r="H886" s="153" t="s">
        <v>212</v>
      </c>
    </row>
    <row r="887" hidden="1">
      <c r="A887" s="154" t="s">
        <v>204</v>
      </c>
      <c r="B887" s="155" t="s">
        <v>205</v>
      </c>
      <c r="C887" s="155" t="s">
        <v>206</v>
      </c>
      <c r="D887" s="156" t="s">
        <v>1084</v>
      </c>
      <c r="E887" s="156" t="s">
        <v>1088</v>
      </c>
      <c r="F887" s="156" t="s">
        <v>287</v>
      </c>
      <c r="G887" s="155" t="s">
        <v>209</v>
      </c>
      <c r="H887" s="157" t="s">
        <v>213</v>
      </c>
    </row>
    <row r="888" hidden="1">
      <c r="A888" s="151" t="s">
        <v>204</v>
      </c>
      <c r="B888" s="118" t="s">
        <v>205</v>
      </c>
      <c r="C888" s="118" t="s">
        <v>206</v>
      </c>
      <c r="D888" s="152" t="s">
        <v>1084</v>
      </c>
      <c r="E888" s="152" t="s">
        <v>1089</v>
      </c>
      <c r="F888" s="152" t="s">
        <v>287</v>
      </c>
      <c r="G888" s="118" t="s">
        <v>209</v>
      </c>
      <c r="H888" s="153" t="s">
        <v>214</v>
      </c>
    </row>
    <row r="889" hidden="1">
      <c r="A889" s="154" t="s">
        <v>204</v>
      </c>
      <c r="B889" s="155" t="s">
        <v>205</v>
      </c>
      <c r="C889" s="155" t="s">
        <v>206</v>
      </c>
      <c r="D889" s="156" t="s">
        <v>1084</v>
      </c>
      <c r="E889" s="156" t="s">
        <v>1090</v>
      </c>
      <c r="F889" s="156" t="s">
        <v>257</v>
      </c>
      <c r="G889" s="155" t="s">
        <v>209</v>
      </c>
      <c r="H889" s="157" t="s">
        <v>215</v>
      </c>
    </row>
    <row r="890" hidden="1">
      <c r="A890" s="151" t="s">
        <v>204</v>
      </c>
      <c r="B890" s="118" t="s">
        <v>205</v>
      </c>
      <c r="C890" s="118" t="s">
        <v>206</v>
      </c>
      <c r="D890" s="152" t="s">
        <v>1084</v>
      </c>
      <c r="E890" s="152" t="s">
        <v>1091</v>
      </c>
      <c r="F890" s="152" t="s">
        <v>244</v>
      </c>
      <c r="G890" s="118" t="s">
        <v>209</v>
      </c>
      <c r="H890" s="153" t="s">
        <v>216</v>
      </c>
    </row>
    <row r="891" hidden="1">
      <c r="A891" s="154" t="s">
        <v>217</v>
      </c>
      <c r="B891" s="155" t="s">
        <v>191</v>
      </c>
      <c r="C891" s="155" t="s">
        <v>206</v>
      </c>
      <c r="D891" s="156" t="s">
        <v>1084</v>
      </c>
      <c r="E891" s="156" t="s">
        <v>1092</v>
      </c>
      <c r="F891" s="156" t="s">
        <v>269</v>
      </c>
      <c r="G891" s="155" t="s">
        <v>209</v>
      </c>
      <c r="H891" s="157" t="s">
        <v>210</v>
      </c>
    </row>
    <row r="892" hidden="1">
      <c r="A892" s="151" t="s">
        <v>217</v>
      </c>
      <c r="B892" s="118" t="s">
        <v>191</v>
      </c>
      <c r="C892" s="118" t="s">
        <v>206</v>
      </c>
      <c r="D892" s="152" t="s">
        <v>1084</v>
      </c>
      <c r="E892" s="152" t="s">
        <v>1093</v>
      </c>
      <c r="F892" s="152" t="s">
        <v>269</v>
      </c>
      <c r="G892" s="118" t="s">
        <v>209</v>
      </c>
      <c r="H892" s="153" t="s">
        <v>211</v>
      </c>
    </row>
    <row r="893" hidden="1">
      <c r="A893" s="154" t="s">
        <v>217</v>
      </c>
      <c r="B893" s="155" t="s">
        <v>191</v>
      </c>
      <c r="C893" s="155" t="s">
        <v>206</v>
      </c>
      <c r="D893" s="156" t="s">
        <v>1084</v>
      </c>
      <c r="E893" s="156" t="s">
        <v>1094</v>
      </c>
      <c r="F893" s="156" t="s">
        <v>374</v>
      </c>
      <c r="G893" s="155" t="s">
        <v>209</v>
      </c>
      <c r="H893" s="157" t="s">
        <v>212</v>
      </c>
    </row>
    <row r="894" hidden="1">
      <c r="A894" s="151" t="s">
        <v>217</v>
      </c>
      <c r="B894" s="118" t="s">
        <v>191</v>
      </c>
      <c r="C894" s="118" t="s">
        <v>206</v>
      </c>
      <c r="D894" s="152" t="s">
        <v>1084</v>
      </c>
      <c r="E894" s="152" t="s">
        <v>1095</v>
      </c>
      <c r="F894" s="152" t="s">
        <v>255</v>
      </c>
      <c r="G894" s="118" t="s">
        <v>209</v>
      </c>
      <c r="H894" s="153" t="s">
        <v>213</v>
      </c>
    </row>
    <row r="895" hidden="1">
      <c r="A895" s="154" t="s">
        <v>217</v>
      </c>
      <c r="B895" s="155" t="s">
        <v>191</v>
      </c>
      <c r="C895" s="155" t="s">
        <v>206</v>
      </c>
      <c r="D895" s="156" t="s">
        <v>1084</v>
      </c>
      <c r="E895" s="156" t="s">
        <v>1096</v>
      </c>
      <c r="F895" s="156" t="s">
        <v>269</v>
      </c>
      <c r="G895" s="155" t="s">
        <v>209</v>
      </c>
      <c r="H895" s="157" t="s">
        <v>214</v>
      </c>
    </row>
    <row r="896" hidden="1">
      <c r="A896" s="151" t="s">
        <v>217</v>
      </c>
      <c r="B896" s="118" t="s">
        <v>191</v>
      </c>
      <c r="C896" s="118" t="s">
        <v>206</v>
      </c>
      <c r="D896" s="152" t="s">
        <v>1084</v>
      </c>
      <c r="E896" s="152" t="s">
        <v>1097</v>
      </c>
      <c r="F896" s="152" t="s">
        <v>374</v>
      </c>
      <c r="G896" s="118" t="s">
        <v>209</v>
      </c>
      <c r="H896" s="153" t="s">
        <v>215</v>
      </c>
    </row>
    <row r="897" hidden="1">
      <c r="A897" s="154" t="s">
        <v>217</v>
      </c>
      <c r="B897" s="155" t="s">
        <v>191</v>
      </c>
      <c r="C897" s="155" t="s">
        <v>206</v>
      </c>
      <c r="D897" s="156" t="s">
        <v>1084</v>
      </c>
      <c r="E897" s="156" t="s">
        <v>1098</v>
      </c>
      <c r="F897" s="156" t="s">
        <v>301</v>
      </c>
      <c r="G897" s="155" t="s">
        <v>209</v>
      </c>
      <c r="H897" s="157" t="s">
        <v>216</v>
      </c>
    </row>
    <row r="898" hidden="1">
      <c r="A898" s="151" t="s">
        <v>218</v>
      </c>
      <c r="B898" s="118" t="s">
        <v>219</v>
      </c>
      <c r="C898" s="118" t="s">
        <v>206</v>
      </c>
      <c r="D898" s="152" t="s">
        <v>1084</v>
      </c>
      <c r="E898" s="152" t="s">
        <v>1099</v>
      </c>
      <c r="F898" s="152" t="s">
        <v>339</v>
      </c>
      <c r="G898" s="118" t="s">
        <v>209</v>
      </c>
      <c r="H898" s="153" t="s">
        <v>210</v>
      </c>
    </row>
    <row r="899" hidden="1">
      <c r="A899" s="154" t="s">
        <v>218</v>
      </c>
      <c r="B899" s="155" t="s">
        <v>219</v>
      </c>
      <c r="C899" s="155" t="s">
        <v>206</v>
      </c>
      <c r="D899" s="156" t="s">
        <v>1084</v>
      </c>
      <c r="E899" s="156" t="s">
        <v>1100</v>
      </c>
      <c r="F899" s="156" t="s">
        <v>331</v>
      </c>
      <c r="G899" s="155" t="s">
        <v>209</v>
      </c>
      <c r="H899" s="157" t="s">
        <v>211</v>
      </c>
    </row>
    <row r="900" hidden="1">
      <c r="A900" s="151" t="s">
        <v>218</v>
      </c>
      <c r="B900" s="118" t="s">
        <v>219</v>
      </c>
      <c r="C900" s="118" t="s">
        <v>206</v>
      </c>
      <c r="D900" s="152" t="s">
        <v>1084</v>
      </c>
      <c r="E900" s="152" t="s">
        <v>1101</v>
      </c>
      <c r="F900" s="152" t="s">
        <v>331</v>
      </c>
      <c r="G900" s="118" t="s">
        <v>209</v>
      </c>
      <c r="H900" s="153" t="s">
        <v>212</v>
      </c>
    </row>
    <row r="901" hidden="1">
      <c r="A901" s="154" t="s">
        <v>218</v>
      </c>
      <c r="B901" s="155" t="s">
        <v>219</v>
      </c>
      <c r="C901" s="155" t="s">
        <v>206</v>
      </c>
      <c r="D901" s="156" t="s">
        <v>1084</v>
      </c>
      <c r="E901" s="156" t="s">
        <v>1102</v>
      </c>
      <c r="F901" s="156" t="s">
        <v>365</v>
      </c>
      <c r="G901" s="155" t="s">
        <v>209</v>
      </c>
      <c r="H901" s="157" t="s">
        <v>213</v>
      </c>
    </row>
    <row r="902" hidden="1">
      <c r="A902" s="151" t="s">
        <v>218</v>
      </c>
      <c r="B902" s="118" t="s">
        <v>219</v>
      </c>
      <c r="C902" s="118" t="s">
        <v>206</v>
      </c>
      <c r="D902" s="152" t="s">
        <v>1084</v>
      </c>
      <c r="E902" s="152" t="s">
        <v>1103</v>
      </c>
      <c r="F902" s="152" t="s">
        <v>359</v>
      </c>
      <c r="G902" s="118" t="s">
        <v>209</v>
      </c>
      <c r="H902" s="153" t="s">
        <v>214</v>
      </c>
    </row>
    <row r="903" hidden="1">
      <c r="A903" s="154" t="s">
        <v>218</v>
      </c>
      <c r="B903" s="155" t="s">
        <v>219</v>
      </c>
      <c r="C903" s="155" t="s">
        <v>206</v>
      </c>
      <c r="D903" s="156" t="s">
        <v>1084</v>
      </c>
      <c r="E903" s="156" t="s">
        <v>1104</v>
      </c>
      <c r="F903" s="156" t="s">
        <v>321</v>
      </c>
      <c r="G903" s="155" t="s">
        <v>209</v>
      </c>
      <c r="H903" s="157" t="s">
        <v>215</v>
      </c>
    </row>
    <row r="904" hidden="1">
      <c r="A904" s="151" t="s">
        <v>218</v>
      </c>
      <c r="B904" s="118" t="s">
        <v>219</v>
      </c>
      <c r="C904" s="118" t="s">
        <v>206</v>
      </c>
      <c r="D904" s="152" t="s">
        <v>1084</v>
      </c>
      <c r="E904" s="152" t="s">
        <v>1105</v>
      </c>
      <c r="F904" s="152" t="s">
        <v>534</v>
      </c>
      <c r="G904" s="118" t="s">
        <v>209</v>
      </c>
      <c r="H904" s="153" t="s">
        <v>216</v>
      </c>
    </row>
    <row r="905" hidden="1">
      <c r="A905" s="154" t="s">
        <v>220</v>
      </c>
      <c r="B905" s="155" t="s">
        <v>190</v>
      </c>
      <c r="C905" s="155" t="s">
        <v>206</v>
      </c>
      <c r="D905" s="156" t="s">
        <v>1084</v>
      </c>
      <c r="E905" s="156" t="s">
        <v>1106</v>
      </c>
      <c r="F905" s="156" t="s">
        <v>1107</v>
      </c>
      <c r="G905" s="155" t="s">
        <v>209</v>
      </c>
      <c r="H905" s="157" t="s">
        <v>210</v>
      </c>
    </row>
    <row r="906" hidden="1">
      <c r="A906" s="151" t="s">
        <v>220</v>
      </c>
      <c r="B906" s="118" t="s">
        <v>190</v>
      </c>
      <c r="C906" s="118" t="s">
        <v>206</v>
      </c>
      <c r="D906" s="152" t="s">
        <v>1084</v>
      </c>
      <c r="E906" s="152" t="s">
        <v>1108</v>
      </c>
      <c r="F906" s="152" t="s">
        <v>282</v>
      </c>
      <c r="G906" s="118" t="s">
        <v>209</v>
      </c>
      <c r="H906" s="153" t="s">
        <v>211</v>
      </c>
    </row>
    <row r="907" hidden="1">
      <c r="A907" s="154" t="s">
        <v>220</v>
      </c>
      <c r="B907" s="155" t="s">
        <v>190</v>
      </c>
      <c r="C907" s="155" t="s">
        <v>206</v>
      </c>
      <c r="D907" s="156" t="s">
        <v>1084</v>
      </c>
      <c r="E907" s="156" t="s">
        <v>1109</v>
      </c>
      <c r="F907" s="156" t="s">
        <v>501</v>
      </c>
      <c r="G907" s="155" t="s">
        <v>209</v>
      </c>
      <c r="H907" s="157" t="s">
        <v>212</v>
      </c>
    </row>
    <row r="908" hidden="1">
      <c r="A908" s="151" t="s">
        <v>220</v>
      </c>
      <c r="B908" s="118" t="s">
        <v>190</v>
      </c>
      <c r="C908" s="118" t="s">
        <v>206</v>
      </c>
      <c r="D908" s="152" t="s">
        <v>1084</v>
      </c>
      <c r="E908" s="152" t="s">
        <v>1110</v>
      </c>
      <c r="F908" s="152" t="s">
        <v>501</v>
      </c>
      <c r="G908" s="118" t="s">
        <v>209</v>
      </c>
      <c r="H908" s="153" t="s">
        <v>213</v>
      </c>
    </row>
    <row r="909" hidden="1">
      <c r="A909" s="154" t="s">
        <v>220</v>
      </c>
      <c r="B909" s="155" t="s">
        <v>190</v>
      </c>
      <c r="C909" s="155" t="s">
        <v>206</v>
      </c>
      <c r="D909" s="156" t="s">
        <v>1084</v>
      </c>
      <c r="E909" s="156" t="s">
        <v>1111</v>
      </c>
      <c r="F909" s="156" t="s">
        <v>204</v>
      </c>
      <c r="G909" s="155" t="s">
        <v>209</v>
      </c>
      <c r="H909" s="157" t="s">
        <v>214</v>
      </c>
    </row>
    <row r="910" hidden="1">
      <c r="A910" s="151" t="s">
        <v>220</v>
      </c>
      <c r="B910" s="118" t="s">
        <v>190</v>
      </c>
      <c r="C910" s="118" t="s">
        <v>206</v>
      </c>
      <c r="D910" s="152" t="s">
        <v>1084</v>
      </c>
      <c r="E910" s="152" t="s">
        <v>1112</v>
      </c>
      <c r="F910" s="152" t="s">
        <v>442</v>
      </c>
      <c r="G910" s="118" t="s">
        <v>209</v>
      </c>
      <c r="H910" s="153" t="s">
        <v>215</v>
      </c>
    </row>
    <row r="911" hidden="1">
      <c r="A911" s="154" t="s">
        <v>220</v>
      </c>
      <c r="B911" s="155" t="s">
        <v>190</v>
      </c>
      <c r="C911" s="155" t="s">
        <v>206</v>
      </c>
      <c r="D911" s="156" t="s">
        <v>1084</v>
      </c>
      <c r="E911" s="156" t="s">
        <v>1113</v>
      </c>
      <c r="F911" s="156" t="s">
        <v>1114</v>
      </c>
      <c r="G911" s="155" t="s">
        <v>209</v>
      </c>
      <c r="H911" s="157" t="s">
        <v>216</v>
      </c>
    </row>
    <row r="912" hidden="1">
      <c r="A912" s="151" t="s">
        <v>221</v>
      </c>
      <c r="B912" s="118" t="s">
        <v>189</v>
      </c>
      <c r="C912" s="118" t="s">
        <v>206</v>
      </c>
      <c r="D912" s="152" t="s">
        <v>1084</v>
      </c>
      <c r="E912" s="152" t="s">
        <v>1115</v>
      </c>
      <c r="F912" s="152" t="s">
        <v>321</v>
      </c>
      <c r="G912" s="118" t="s">
        <v>209</v>
      </c>
      <c r="H912" s="153" t="s">
        <v>210</v>
      </c>
    </row>
    <row r="913" hidden="1">
      <c r="A913" s="154" t="s">
        <v>221</v>
      </c>
      <c r="B913" s="155" t="s">
        <v>189</v>
      </c>
      <c r="C913" s="155" t="s">
        <v>206</v>
      </c>
      <c r="D913" s="156" t="s">
        <v>1084</v>
      </c>
      <c r="E913" s="156" t="s">
        <v>1116</v>
      </c>
      <c r="F913" s="156" t="s">
        <v>246</v>
      </c>
      <c r="G913" s="155" t="s">
        <v>209</v>
      </c>
      <c r="H913" s="157" t="s">
        <v>211</v>
      </c>
    </row>
    <row r="914" hidden="1">
      <c r="A914" s="151" t="s">
        <v>221</v>
      </c>
      <c r="B914" s="118" t="s">
        <v>189</v>
      </c>
      <c r="C914" s="118" t="s">
        <v>206</v>
      </c>
      <c r="D914" s="152" t="s">
        <v>1084</v>
      </c>
      <c r="E914" s="152" t="s">
        <v>1117</v>
      </c>
      <c r="F914" s="152" t="s">
        <v>257</v>
      </c>
      <c r="G914" s="118" t="s">
        <v>209</v>
      </c>
      <c r="H914" s="153" t="s">
        <v>212</v>
      </c>
    </row>
    <row r="915" hidden="1">
      <c r="A915" s="154" t="s">
        <v>221</v>
      </c>
      <c r="B915" s="155" t="s">
        <v>189</v>
      </c>
      <c r="C915" s="155" t="s">
        <v>206</v>
      </c>
      <c r="D915" s="156" t="s">
        <v>1084</v>
      </c>
      <c r="E915" s="156" t="s">
        <v>1118</v>
      </c>
      <c r="F915" s="156" t="s">
        <v>246</v>
      </c>
      <c r="G915" s="155" t="s">
        <v>209</v>
      </c>
      <c r="H915" s="157" t="s">
        <v>213</v>
      </c>
    </row>
    <row r="916" hidden="1">
      <c r="A916" s="151" t="s">
        <v>221</v>
      </c>
      <c r="B916" s="118" t="s">
        <v>189</v>
      </c>
      <c r="C916" s="118" t="s">
        <v>206</v>
      </c>
      <c r="D916" s="152" t="s">
        <v>1084</v>
      </c>
      <c r="E916" s="152" t="s">
        <v>1119</v>
      </c>
      <c r="F916" s="152" t="s">
        <v>255</v>
      </c>
      <c r="G916" s="118" t="s">
        <v>209</v>
      </c>
      <c r="H916" s="153" t="s">
        <v>214</v>
      </c>
    </row>
    <row r="917" hidden="1">
      <c r="A917" s="154" t="s">
        <v>221</v>
      </c>
      <c r="B917" s="155" t="s">
        <v>189</v>
      </c>
      <c r="C917" s="155" t="s">
        <v>206</v>
      </c>
      <c r="D917" s="156" t="s">
        <v>1084</v>
      </c>
      <c r="E917" s="156" t="s">
        <v>1120</v>
      </c>
      <c r="F917" s="156" t="s">
        <v>359</v>
      </c>
      <c r="G917" s="155" t="s">
        <v>209</v>
      </c>
      <c r="H917" s="157" t="s">
        <v>215</v>
      </c>
    </row>
    <row r="918" hidden="1">
      <c r="A918" s="151" t="s">
        <v>221</v>
      </c>
      <c r="B918" s="118" t="s">
        <v>189</v>
      </c>
      <c r="C918" s="118" t="s">
        <v>206</v>
      </c>
      <c r="D918" s="152" t="s">
        <v>1084</v>
      </c>
      <c r="E918" s="152" t="s">
        <v>1121</v>
      </c>
      <c r="F918" s="152" t="s">
        <v>365</v>
      </c>
      <c r="G918" s="118" t="s">
        <v>209</v>
      </c>
      <c r="H918" s="153" t="s">
        <v>216</v>
      </c>
    </row>
    <row r="919" hidden="1">
      <c r="A919" s="154" t="s">
        <v>222</v>
      </c>
      <c r="B919" s="155" t="s">
        <v>192</v>
      </c>
      <c r="C919" s="155" t="s">
        <v>206</v>
      </c>
      <c r="D919" s="156" t="s">
        <v>1084</v>
      </c>
      <c r="E919" s="156" t="s">
        <v>1122</v>
      </c>
      <c r="F919" s="156" t="s">
        <v>321</v>
      </c>
      <c r="G919" s="155" t="s">
        <v>209</v>
      </c>
      <c r="H919" s="157" t="s">
        <v>210</v>
      </c>
    </row>
    <row r="920" hidden="1">
      <c r="A920" s="151" t="s">
        <v>222</v>
      </c>
      <c r="B920" s="118" t="s">
        <v>192</v>
      </c>
      <c r="C920" s="118" t="s">
        <v>206</v>
      </c>
      <c r="D920" s="152" t="s">
        <v>1084</v>
      </c>
      <c r="E920" s="152" t="s">
        <v>1123</v>
      </c>
      <c r="F920" s="152" t="s">
        <v>321</v>
      </c>
      <c r="G920" s="118" t="s">
        <v>209</v>
      </c>
      <c r="H920" s="153" t="s">
        <v>211</v>
      </c>
    </row>
    <row r="921" hidden="1">
      <c r="A921" s="154" t="s">
        <v>222</v>
      </c>
      <c r="B921" s="155" t="s">
        <v>192</v>
      </c>
      <c r="C921" s="155" t="s">
        <v>206</v>
      </c>
      <c r="D921" s="156" t="s">
        <v>1084</v>
      </c>
      <c r="E921" s="156" t="s">
        <v>1124</v>
      </c>
      <c r="F921" s="156" t="s">
        <v>359</v>
      </c>
      <c r="G921" s="155" t="s">
        <v>209</v>
      </c>
      <c r="H921" s="157" t="s">
        <v>212</v>
      </c>
    </row>
    <row r="922" hidden="1">
      <c r="A922" s="151" t="s">
        <v>222</v>
      </c>
      <c r="B922" s="118" t="s">
        <v>192</v>
      </c>
      <c r="C922" s="118" t="s">
        <v>206</v>
      </c>
      <c r="D922" s="152" t="s">
        <v>1084</v>
      </c>
      <c r="E922" s="152" t="s">
        <v>1125</v>
      </c>
      <c r="F922" s="152" t="s">
        <v>308</v>
      </c>
      <c r="G922" s="118" t="s">
        <v>209</v>
      </c>
      <c r="H922" s="153" t="s">
        <v>213</v>
      </c>
    </row>
    <row r="923" hidden="1">
      <c r="A923" s="154" t="s">
        <v>222</v>
      </c>
      <c r="B923" s="155" t="s">
        <v>192</v>
      </c>
      <c r="C923" s="155" t="s">
        <v>206</v>
      </c>
      <c r="D923" s="156" t="s">
        <v>1084</v>
      </c>
      <c r="E923" s="156" t="s">
        <v>1126</v>
      </c>
      <c r="F923" s="156" t="s">
        <v>242</v>
      </c>
      <c r="G923" s="155" t="s">
        <v>209</v>
      </c>
      <c r="H923" s="157" t="s">
        <v>214</v>
      </c>
    </row>
    <row r="924" hidden="1">
      <c r="A924" s="151" t="s">
        <v>222</v>
      </c>
      <c r="B924" s="118" t="s">
        <v>192</v>
      </c>
      <c r="C924" s="118" t="s">
        <v>206</v>
      </c>
      <c r="D924" s="152" t="s">
        <v>1084</v>
      </c>
      <c r="E924" s="152" t="s">
        <v>1127</v>
      </c>
      <c r="F924" s="152" t="s">
        <v>242</v>
      </c>
      <c r="G924" s="118" t="s">
        <v>209</v>
      </c>
      <c r="H924" s="153" t="s">
        <v>215</v>
      </c>
    </row>
    <row r="925" hidden="1">
      <c r="A925" s="154" t="s">
        <v>222</v>
      </c>
      <c r="B925" s="155" t="s">
        <v>192</v>
      </c>
      <c r="C925" s="155" t="s">
        <v>206</v>
      </c>
      <c r="D925" s="156" t="s">
        <v>1084</v>
      </c>
      <c r="E925" s="156" t="s">
        <v>1128</v>
      </c>
      <c r="F925" s="156" t="s">
        <v>314</v>
      </c>
      <c r="G925" s="155" t="s">
        <v>209</v>
      </c>
      <c r="H925" s="157" t="s">
        <v>216</v>
      </c>
    </row>
    <row r="926" hidden="1">
      <c r="A926" s="151" t="s">
        <v>223</v>
      </c>
      <c r="B926" s="118" t="s">
        <v>144</v>
      </c>
      <c r="C926" s="118" t="s">
        <v>206</v>
      </c>
      <c r="D926" s="152" t="s">
        <v>1084</v>
      </c>
      <c r="E926" s="152" t="s">
        <v>1129</v>
      </c>
      <c r="F926" s="152" t="s">
        <v>339</v>
      </c>
      <c r="G926" s="118" t="s">
        <v>209</v>
      </c>
      <c r="H926" s="153" t="s">
        <v>210</v>
      </c>
    </row>
    <row r="927" hidden="1">
      <c r="A927" s="154" t="s">
        <v>223</v>
      </c>
      <c r="B927" s="155" t="s">
        <v>144</v>
      </c>
      <c r="C927" s="155" t="s">
        <v>206</v>
      </c>
      <c r="D927" s="156" t="s">
        <v>1084</v>
      </c>
      <c r="E927" s="156" t="s">
        <v>1130</v>
      </c>
      <c r="F927" s="156" t="s">
        <v>336</v>
      </c>
      <c r="G927" s="155" t="s">
        <v>209</v>
      </c>
      <c r="H927" s="157" t="s">
        <v>211</v>
      </c>
    </row>
    <row r="928" hidden="1">
      <c r="A928" s="151" t="s">
        <v>223</v>
      </c>
      <c r="B928" s="118" t="s">
        <v>144</v>
      </c>
      <c r="C928" s="118" t="s">
        <v>206</v>
      </c>
      <c r="D928" s="152" t="s">
        <v>1084</v>
      </c>
      <c r="E928" s="152" t="s">
        <v>1131</v>
      </c>
      <c r="F928" s="152" t="s">
        <v>246</v>
      </c>
      <c r="G928" s="118" t="s">
        <v>209</v>
      </c>
      <c r="H928" s="153" t="s">
        <v>212</v>
      </c>
    </row>
    <row r="929" hidden="1">
      <c r="A929" s="154" t="s">
        <v>223</v>
      </c>
      <c r="B929" s="155" t="s">
        <v>144</v>
      </c>
      <c r="C929" s="155" t="s">
        <v>206</v>
      </c>
      <c r="D929" s="156" t="s">
        <v>1084</v>
      </c>
      <c r="E929" s="156" t="s">
        <v>1132</v>
      </c>
      <c r="F929" s="156" t="s">
        <v>534</v>
      </c>
      <c r="G929" s="155" t="s">
        <v>209</v>
      </c>
      <c r="H929" s="157" t="s">
        <v>213</v>
      </c>
    </row>
    <row r="930" hidden="1">
      <c r="A930" s="151" t="s">
        <v>223</v>
      </c>
      <c r="B930" s="118" t="s">
        <v>144</v>
      </c>
      <c r="C930" s="118" t="s">
        <v>206</v>
      </c>
      <c r="D930" s="152" t="s">
        <v>1084</v>
      </c>
      <c r="E930" s="152" t="s">
        <v>1133</v>
      </c>
      <c r="F930" s="152" t="s">
        <v>310</v>
      </c>
      <c r="G930" s="118" t="s">
        <v>209</v>
      </c>
      <c r="H930" s="153" t="s">
        <v>214</v>
      </c>
    </row>
    <row r="931" hidden="1">
      <c r="A931" s="154" t="s">
        <v>223</v>
      </c>
      <c r="B931" s="155" t="s">
        <v>144</v>
      </c>
      <c r="C931" s="155" t="s">
        <v>206</v>
      </c>
      <c r="D931" s="156" t="s">
        <v>1084</v>
      </c>
      <c r="E931" s="156" t="s">
        <v>1134</v>
      </c>
      <c r="F931" s="156" t="s">
        <v>314</v>
      </c>
      <c r="G931" s="155" t="s">
        <v>209</v>
      </c>
      <c r="H931" s="157" t="s">
        <v>215</v>
      </c>
    </row>
    <row r="932" hidden="1">
      <c r="A932" s="151" t="s">
        <v>223</v>
      </c>
      <c r="B932" s="118" t="s">
        <v>144</v>
      </c>
      <c r="C932" s="118" t="s">
        <v>206</v>
      </c>
      <c r="D932" s="152" t="s">
        <v>1084</v>
      </c>
      <c r="E932" s="152" t="s">
        <v>1135</v>
      </c>
      <c r="F932" s="152" t="s">
        <v>351</v>
      </c>
      <c r="G932" s="118" t="s">
        <v>209</v>
      </c>
      <c r="H932" s="153" t="s">
        <v>216</v>
      </c>
    </row>
    <row r="933" hidden="1">
      <c r="A933" s="154" t="s">
        <v>224</v>
      </c>
      <c r="B933" s="155" t="s">
        <v>170</v>
      </c>
      <c r="C933" s="155" t="s">
        <v>206</v>
      </c>
      <c r="D933" s="156" t="s">
        <v>1084</v>
      </c>
      <c r="E933" s="156" t="s">
        <v>1136</v>
      </c>
      <c r="F933" s="156" t="s">
        <v>287</v>
      </c>
      <c r="G933" s="155" t="s">
        <v>209</v>
      </c>
      <c r="H933" s="157" t="s">
        <v>210</v>
      </c>
    </row>
    <row r="934" hidden="1">
      <c r="A934" s="151" t="s">
        <v>224</v>
      </c>
      <c r="B934" s="118" t="s">
        <v>170</v>
      </c>
      <c r="C934" s="118" t="s">
        <v>206</v>
      </c>
      <c r="D934" s="152" t="s">
        <v>1084</v>
      </c>
      <c r="E934" s="152" t="s">
        <v>1137</v>
      </c>
      <c r="F934" s="152" t="s">
        <v>290</v>
      </c>
      <c r="G934" s="118" t="s">
        <v>209</v>
      </c>
      <c r="H934" s="153" t="s">
        <v>211</v>
      </c>
    </row>
    <row r="935" hidden="1">
      <c r="A935" s="154" t="s">
        <v>224</v>
      </c>
      <c r="B935" s="155" t="s">
        <v>170</v>
      </c>
      <c r="C935" s="155" t="s">
        <v>206</v>
      </c>
      <c r="D935" s="156" t="s">
        <v>1084</v>
      </c>
      <c r="E935" s="156" t="s">
        <v>1138</v>
      </c>
      <c r="F935" s="156" t="s">
        <v>425</v>
      </c>
      <c r="G935" s="155" t="s">
        <v>209</v>
      </c>
      <c r="H935" s="157" t="s">
        <v>212</v>
      </c>
    </row>
    <row r="936" hidden="1">
      <c r="A936" s="151" t="s">
        <v>224</v>
      </c>
      <c r="B936" s="118" t="s">
        <v>170</v>
      </c>
      <c r="C936" s="118" t="s">
        <v>206</v>
      </c>
      <c r="D936" s="152" t="s">
        <v>1084</v>
      </c>
      <c r="E936" s="152" t="s">
        <v>1139</v>
      </c>
      <c r="F936" s="152" t="s">
        <v>290</v>
      </c>
      <c r="G936" s="118" t="s">
        <v>209</v>
      </c>
      <c r="H936" s="153" t="s">
        <v>213</v>
      </c>
    </row>
    <row r="937" hidden="1">
      <c r="A937" s="154" t="s">
        <v>224</v>
      </c>
      <c r="B937" s="155" t="s">
        <v>170</v>
      </c>
      <c r="C937" s="155" t="s">
        <v>206</v>
      </c>
      <c r="D937" s="156" t="s">
        <v>1084</v>
      </c>
      <c r="E937" s="156" t="s">
        <v>1140</v>
      </c>
      <c r="F937" s="156" t="s">
        <v>255</v>
      </c>
      <c r="G937" s="155" t="s">
        <v>209</v>
      </c>
      <c r="H937" s="157" t="s">
        <v>214</v>
      </c>
    </row>
    <row r="938" hidden="1">
      <c r="A938" s="151" t="s">
        <v>224</v>
      </c>
      <c r="B938" s="118" t="s">
        <v>170</v>
      </c>
      <c r="C938" s="118" t="s">
        <v>206</v>
      </c>
      <c r="D938" s="152" t="s">
        <v>1084</v>
      </c>
      <c r="E938" s="152" t="s">
        <v>1141</v>
      </c>
      <c r="F938" s="152" t="s">
        <v>534</v>
      </c>
      <c r="G938" s="118" t="s">
        <v>209</v>
      </c>
      <c r="H938" s="153" t="s">
        <v>215</v>
      </c>
    </row>
    <row r="939" hidden="1">
      <c r="A939" s="154" t="s">
        <v>224</v>
      </c>
      <c r="B939" s="155" t="s">
        <v>170</v>
      </c>
      <c r="C939" s="155" t="s">
        <v>206</v>
      </c>
      <c r="D939" s="156" t="s">
        <v>1084</v>
      </c>
      <c r="E939" s="156" t="s">
        <v>1142</v>
      </c>
      <c r="F939" s="156" t="s">
        <v>285</v>
      </c>
      <c r="G939" s="155" t="s">
        <v>209</v>
      </c>
      <c r="H939" s="157" t="s">
        <v>216</v>
      </c>
    </row>
    <row r="940" hidden="1">
      <c r="A940" s="151" t="s">
        <v>225</v>
      </c>
      <c r="B940" s="118" t="s">
        <v>226</v>
      </c>
      <c r="C940" s="118" t="s">
        <v>206</v>
      </c>
      <c r="D940" s="152" t="s">
        <v>1084</v>
      </c>
      <c r="E940" s="152" t="s">
        <v>1143</v>
      </c>
      <c r="F940" s="152" t="s">
        <v>262</v>
      </c>
      <c r="G940" s="118" t="s">
        <v>209</v>
      </c>
      <c r="H940" s="153" t="s">
        <v>210</v>
      </c>
    </row>
    <row r="941" hidden="1">
      <c r="A941" s="154" t="s">
        <v>225</v>
      </c>
      <c r="B941" s="155" t="s">
        <v>226</v>
      </c>
      <c r="C941" s="155" t="s">
        <v>206</v>
      </c>
      <c r="D941" s="156" t="s">
        <v>1084</v>
      </c>
      <c r="E941" s="156" t="s">
        <v>1144</v>
      </c>
      <c r="F941" s="156" t="s">
        <v>246</v>
      </c>
      <c r="G941" s="155" t="s">
        <v>209</v>
      </c>
      <c r="H941" s="157" t="s">
        <v>211</v>
      </c>
    </row>
    <row r="942" hidden="1">
      <c r="A942" s="151" t="s">
        <v>225</v>
      </c>
      <c r="B942" s="118" t="s">
        <v>226</v>
      </c>
      <c r="C942" s="118" t="s">
        <v>206</v>
      </c>
      <c r="D942" s="152" t="s">
        <v>1084</v>
      </c>
      <c r="E942" s="152" t="s">
        <v>1145</v>
      </c>
      <c r="F942" s="152" t="s">
        <v>374</v>
      </c>
      <c r="G942" s="118" t="s">
        <v>209</v>
      </c>
      <c r="H942" s="153" t="s">
        <v>212</v>
      </c>
    </row>
    <row r="943" hidden="1">
      <c r="A943" s="154" t="s">
        <v>225</v>
      </c>
      <c r="B943" s="155" t="s">
        <v>226</v>
      </c>
      <c r="C943" s="155" t="s">
        <v>206</v>
      </c>
      <c r="D943" s="156" t="s">
        <v>1084</v>
      </c>
      <c r="E943" s="156" t="s">
        <v>1146</v>
      </c>
      <c r="F943" s="156" t="s">
        <v>279</v>
      </c>
      <c r="G943" s="155" t="s">
        <v>209</v>
      </c>
      <c r="H943" s="157" t="s">
        <v>213</v>
      </c>
    </row>
    <row r="944" hidden="1">
      <c r="A944" s="151" t="s">
        <v>225</v>
      </c>
      <c r="B944" s="118" t="s">
        <v>226</v>
      </c>
      <c r="C944" s="118" t="s">
        <v>206</v>
      </c>
      <c r="D944" s="152" t="s">
        <v>1084</v>
      </c>
      <c r="E944" s="152" t="s">
        <v>1147</v>
      </c>
      <c r="F944" s="152" t="s">
        <v>359</v>
      </c>
      <c r="G944" s="118" t="s">
        <v>209</v>
      </c>
      <c r="H944" s="153" t="s">
        <v>214</v>
      </c>
    </row>
    <row r="945" hidden="1">
      <c r="A945" s="154" t="s">
        <v>225</v>
      </c>
      <c r="B945" s="155" t="s">
        <v>226</v>
      </c>
      <c r="C945" s="155" t="s">
        <v>206</v>
      </c>
      <c r="D945" s="156" t="s">
        <v>1084</v>
      </c>
      <c r="E945" s="156" t="s">
        <v>1148</v>
      </c>
      <c r="F945" s="156" t="s">
        <v>492</v>
      </c>
      <c r="G945" s="155" t="s">
        <v>209</v>
      </c>
      <c r="H945" s="157" t="s">
        <v>215</v>
      </c>
    </row>
    <row r="946" hidden="1">
      <c r="A946" s="151" t="s">
        <v>225</v>
      </c>
      <c r="B946" s="118" t="s">
        <v>226</v>
      </c>
      <c r="C946" s="118" t="s">
        <v>206</v>
      </c>
      <c r="D946" s="152" t="s">
        <v>1084</v>
      </c>
      <c r="E946" s="152" t="s">
        <v>1149</v>
      </c>
      <c r="F946" s="152" t="s">
        <v>259</v>
      </c>
      <c r="G946" s="118" t="s">
        <v>209</v>
      </c>
      <c r="H946" s="153" t="s">
        <v>216</v>
      </c>
    </row>
    <row r="947" hidden="1">
      <c r="A947" s="154" t="s">
        <v>227</v>
      </c>
      <c r="B947" s="155" t="s">
        <v>195</v>
      </c>
      <c r="C947" s="155" t="s">
        <v>206</v>
      </c>
      <c r="D947" s="156" t="s">
        <v>1084</v>
      </c>
      <c r="E947" s="156" t="s">
        <v>1150</v>
      </c>
      <c r="F947" s="156" t="s">
        <v>310</v>
      </c>
      <c r="G947" s="155" t="s">
        <v>209</v>
      </c>
      <c r="H947" s="157" t="s">
        <v>210</v>
      </c>
    </row>
    <row r="948" hidden="1">
      <c r="A948" s="151" t="s">
        <v>227</v>
      </c>
      <c r="B948" s="118" t="s">
        <v>195</v>
      </c>
      <c r="C948" s="118" t="s">
        <v>206</v>
      </c>
      <c r="D948" s="152" t="s">
        <v>1084</v>
      </c>
      <c r="E948" s="152" t="s">
        <v>1151</v>
      </c>
      <c r="F948" s="152" t="s">
        <v>677</v>
      </c>
      <c r="G948" s="118" t="s">
        <v>209</v>
      </c>
      <c r="H948" s="153" t="s">
        <v>211</v>
      </c>
    </row>
    <row r="949" hidden="1">
      <c r="A949" s="154" t="s">
        <v>227</v>
      </c>
      <c r="B949" s="155" t="s">
        <v>195</v>
      </c>
      <c r="C949" s="155" t="s">
        <v>206</v>
      </c>
      <c r="D949" s="156" t="s">
        <v>1084</v>
      </c>
      <c r="E949" s="156" t="s">
        <v>1152</v>
      </c>
      <c r="F949" s="156" t="s">
        <v>285</v>
      </c>
      <c r="G949" s="155" t="s">
        <v>209</v>
      </c>
      <c r="H949" s="157" t="s">
        <v>212</v>
      </c>
    </row>
    <row r="950" hidden="1">
      <c r="A950" s="151" t="s">
        <v>227</v>
      </c>
      <c r="B950" s="118" t="s">
        <v>195</v>
      </c>
      <c r="C950" s="118" t="s">
        <v>206</v>
      </c>
      <c r="D950" s="152" t="s">
        <v>1084</v>
      </c>
      <c r="E950" s="152" t="s">
        <v>1153</v>
      </c>
      <c r="F950" s="152" t="s">
        <v>321</v>
      </c>
      <c r="G950" s="118" t="s">
        <v>209</v>
      </c>
      <c r="H950" s="153" t="s">
        <v>213</v>
      </c>
    </row>
    <row r="951" hidden="1">
      <c r="A951" s="154" t="s">
        <v>227</v>
      </c>
      <c r="B951" s="155" t="s">
        <v>195</v>
      </c>
      <c r="C951" s="155" t="s">
        <v>206</v>
      </c>
      <c r="D951" s="156" t="s">
        <v>1084</v>
      </c>
      <c r="E951" s="156" t="s">
        <v>1154</v>
      </c>
      <c r="F951" s="156" t="s">
        <v>285</v>
      </c>
      <c r="G951" s="155" t="s">
        <v>209</v>
      </c>
      <c r="H951" s="157" t="s">
        <v>214</v>
      </c>
    </row>
    <row r="952" hidden="1">
      <c r="A952" s="151" t="s">
        <v>227</v>
      </c>
      <c r="B952" s="118" t="s">
        <v>195</v>
      </c>
      <c r="C952" s="118" t="s">
        <v>206</v>
      </c>
      <c r="D952" s="152" t="s">
        <v>1084</v>
      </c>
      <c r="E952" s="152" t="s">
        <v>1155</v>
      </c>
      <c r="F952" s="152" t="s">
        <v>321</v>
      </c>
      <c r="G952" s="118" t="s">
        <v>209</v>
      </c>
      <c r="H952" s="153" t="s">
        <v>215</v>
      </c>
    </row>
    <row r="953" hidden="1">
      <c r="A953" s="154" t="s">
        <v>227</v>
      </c>
      <c r="B953" s="155" t="s">
        <v>195</v>
      </c>
      <c r="C953" s="155" t="s">
        <v>206</v>
      </c>
      <c r="D953" s="156" t="s">
        <v>1084</v>
      </c>
      <c r="E953" s="156" t="s">
        <v>1156</v>
      </c>
      <c r="F953" s="156" t="s">
        <v>336</v>
      </c>
      <c r="G953" s="155" t="s">
        <v>209</v>
      </c>
      <c r="H953" s="157" t="s">
        <v>216</v>
      </c>
    </row>
    <row r="954" hidden="1">
      <c r="A954" s="151" t="s">
        <v>228</v>
      </c>
      <c r="B954" s="118" t="s">
        <v>138</v>
      </c>
      <c r="C954" s="118" t="s">
        <v>206</v>
      </c>
      <c r="D954" s="152" t="s">
        <v>1084</v>
      </c>
      <c r="E954" s="152" t="s">
        <v>1157</v>
      </c>
      <c r="F954" s="152" t="s">
        <v>374</v>
      </c>
      <c r="G954" s="118" t="s">
        <v>209</v>
      </c>
      <c r="H954" s="153" t="s">
        <v>210</v>
      </c>
    </row>
    <row r="955" hidden="1">
      <c r="A955" s="154" t="s">
        <v>228</v>
      </c>
      <c r="B955" s="155" t="s">
        <v>138</v>
      </c>
      <c r="C955" s="155" t="s">
        <v>206</v>
      </c>
      <c r="D955" s="156" t="s">
        <v>1084</v>
      </c>
      <c r="E955" s="156" t="s">
        <v>1158</v>
      </c>
      <c r="F955" s="156" t="s">
        <v>265</v>
      </c>
      <c r="G955" s="155" t="s">
        <v>209</v>
      </c>
      <c r="H955" s="157" t="s">
        <v>211</v>
      </c>
    </row>
    <row r="956" hidden="1">
      <c r="A956" s="151" t="s">
        <v>228</v>
      </c>
      <c r="B956" s="118" t="s">
        <v>138</v>
      </c>
      <c r="C956" s="118" t="s">
        <v>206</v>
      </c>
      <c r="D956" s="152" t="s">
        <v>1084</v>
      </c>
      <c r="E956" s="152" t="s">
        <v>1159</v>
      </c>
      <c r="F956" s="152" t="s">
        <v>301</v>
      </c>
      <c r="G956" s="118" t="s">
        <v>209</v>
      </c>
      <c r="H956" s="153" t="s">
        <v>212</v>
      </c>
    </row>
    <row r="957" hidden="1">
      <c r="A957" s="154" t="s">
        <v>228</v>
      </c>
      <c r="B957" s="155" t="s">
        <v>138</v>
      </c>
      <c r="C957" s="155" t="s">
        <v>206</v>
      </c>
      <c r="D957" s="156" t="s">
        <v>1084</v>
      </c>
      <c r="E957" s="156" t="s">
        <v>1160</v>
      </c>
      <c r="F957" s="156" t="s">
        <v>287</v>
      </c>
      <c r="G957" s="155" t="s">
        <v>209</v>
      </c>
      <c r="H957" s="157" t="s">
        <v>213</v>
      </c>
    </row>
    <row r="958" hidden="1">
      <c r="A958" s="151" t="s">
        <v>228</v>
      </c>
      <c r="B958" s="118" t="s">
        <v>138</v>
      </c>
      <c r="C958" s="118" t="s">
        <v>206</v>
      </c>
      <c r="D958" s="152" t="s">
        <v>1084</v>
      </c>
      <c r="E958" s="152" t="s">
        <v>990</v>
      </c>
      <c r="F958" s="152" t="s">
        <v>255</v>
      </c>
      <c r="G958" s="118" t="s">
        <v>209</v>
      </c>
      <c r="H958" s="153" t="s">
        <v>214</v>
      </c>
    </row>
    <row r="959" hidden="1">
      <c r="A959" s="154" t="s">
        <v>228</v>
      </c>
      <c r="B959" s="155" t="s">
        <v>138</v>
      </c>
      <c r="C959" s="155" t="s">
        <v>206</v>
      </c>
      <c r="D959" s="156" t="s">
        <v>1084</v>
      </c>
      <c r="E959" s="156" t="s">
        <v>1161</v>
      </c>
      <c r="F959" s="156" t="s">
        <v>374</v>
      </c>
      <c r="G959" s="155" t="s">
        <v>209</v>
      </c>
      <c r="H959" s="157" t="s">
        <v>215</v>
      </c>
    </row>
    <row r="960" hidden="1">
      <c r="A960" s="151" t="s">
        <v>228</v>
      </c>
      <c r="B960" s="118" t="s">
        <v>138</v>
      </c>
      <c r="C960" s="118" t="s">
        <v>206</v>
      </c>
      <c r="D960" s="152" t="s">
        <v>1084</v>
      </c>
      <c r="E960" s="152" t="s">
        <v>1162</v>
      </c>
      <c r="F960" s="152" t="s">
        <v>265</v>
      </c>
      <c r="G960" s="118" t="s">
        <v>209</v>
      </c>
      <c r="H960" s="153" t="s">
        <v>216</v>
      </c>
    </row>
    <row r="961" hidden="1">
      <c r="A961" s="154" t="s">
        <v>229</v>
      </c>
      <c r="B961" s="155" t="s">
        <v>193</v>
      </c>
      <c r="C961" s="155" t="s">
        <v>206</v>
      </c>
      <c r="D961" s="156" t="s">
        <v>1084</v>
      </c>
      <c r="E961" s="156" t="s">
        <v>1163</v>
      </c>
      <c r="F961" s="156" t="s">
        <v>321</v>
      </c>
      <c r="G961" s="155" t="s">
        <v>209</v>
      </c>
      <c r="H961" s="157" t="s">
        <v>210</v>
      </c>
    </row>
    <row r="962" hidden="1">
      <c r="A962" s="151" t="s">
        <v>229</v>
      </c>
      <c r="B962" s="118" t="s">
        <v>193</v>
      </c>
      <c r="C962" s="118" t="s">
        <v>206</v>
      </c>
      <c r="D962" s="152" t="s">
        <v>1084</v>
      </c>
      <c r="E962" s="152" t="s">
        <v>1164</v>
      </c>
      <c r="F962" s="152" t="s">
        <v>305</v>
      </c>
      <c r="G962" s="118" t="s">
        <v>209</v>
      </c>
      <c r="H962" s="153" t="s">
        <v>211</v>
      </c>
    </row>
    <row r="963" hidden="1">
      <c r="A963" s="154" t="s">
        <v>229</v>
      </c>
      <c r="B963" s="155" t="s">
        <v>193</v>
      </c>
      <c r="C963" s="155" t="s">
        <v>206</v>
      </c>
      <c r="D963" s="156" t="s">
        <v>1084</v>
      </c>
      <c r="E963" s="156" t="s">
        <v>1165</v>
      </c>
      <c r="F963" s="156" t="s">
        <v>458</v>
      </c>
      <c r="G963" s="155" t="s">
        <v>209</v>
      </c>
      <c r="H963" s="157" t="s">
        <v>212</v>
      </c>
    </row>
    <row r="964" hidden="1">
      <c r="A964" s="151" t="s">
        <v>229</v>
      </c>
      <c r="B964" s="118" t="s">
        <v>193</v>
      </c>
      <c r="C964" s="118" t="s">
        <v>206</v>
      </c>
      <c r="D964" s="152" t="s">
        <v>1084</v>
      </c>
      <c r="E964" s="152" t="s">
        <v>1166</v>
      </c>
      <c r="F964" s="152" t="s">
        <v>244</v>
      </c>
      <c r="G964" s="118" t="s">
        <v>209</v>
      </c>
      <c r="H964" s="153" t="s">
        <v>213</v>
      </c>
    </row>
    <row r="965" hidden="1">
      <c r="A965" s="154" t="s">
        <v>229</v>
      </c>
      <c r="B965" s="155" t="s">
        <v>193</v>
      </c>
      <c r="C965" s="155" t="s">
        <v>206</v>
      </c>
      <c r="D965" s="156" t="s">
        <v>1084</v>
      </c>
      <c r="E965" s="156" t="s">
        <v>1167</v>
      </c>
      <c r="F965" s="156" t="s">
        <v>314</v>
      </c>
      <c r="G965" s="155" t="s">
        <v>209</v>
      </c>
      <c r="H965" s="157" t="s">
        <v>214</v>
      </c>
    </row>
    <row r="966" hidden="1">
      <c r="A966" s="151" t="s">
        <v>229</v>
      </c>
      <c r="B966" s="118" t="s">
        <v>193</v>
      </c>
      <c r="C966" s="118" t="s">
        <v>206</v>
      </c>
      <c r="D966" s="152" t="s">
        <v>1084</v>
      </c>
      <c r="E966" s="152" t="s">
        <v>1168</v>
      </c>
      <c r="F966" s="152" t="s">
        <v>308</v>
      </c>
      <c r="G966" s="118" t="s">
        <v>209</v>
      </c>
      <c r="H966" s="153" t="s">
        <v>215</v>
      </c>
    </row>
    <row r="967" hidden="1">
      <c r="A967" s="154" t="s">
        <v>229</v>
      </c>
      <c r="B967" s="155" t="s">
        <v>193</v>
      </c>
      <c r="C967" s="155" t="s">
        <v>206</v>
      </c>
      <c r="D967" s="156" t="s">
        <v>1084</v>
      </c>
      <c r="E967" s="156" t="s">
        <v>1169</v>
      </c>
      <c r="F967" s="156" t="s">
        <v>249</v>
      </c>
      <c r="G967" s="155" t="s">
        <v>209</v>
      </c>
      <c r="H967" s="157" t="s">
        <v>216</v>
      </c>
    </row>
    <row r="968" hidden="1">
      <c r="A968" s="151" t="s">
        <v>230</v>
      </c>
      <c r="B968" s="118" t="s">
        <v>194</v>
      </c>
      <c r="C968" s="118" t="s">
        <v>206</v>
      </c>
      <c r="D968" s="152" t="s">
        <v>1084</v>
      </c>
      <c r="E968" s="152" t="s">
        <v>1170</v>
      </c>
      <c r="F968" s="152" t="s">
        <v>257</v>
      </c>
      <c r="G968" s="118" t="s">
        <v>209</v>
      </c>
      <c r="H968" s="153" t="s">
        <v>210</v>
      </c>
    </row>
    <row r="969" hidden="1">
      <c r="A969" s="154" t="s">
        <v>230</v>
      </c>
      <c r="B969" s="155" t="s">
        <v>194</v>
      </c>
      <c r="C969" s="155" t="s">
        <v>206</v>
      </c>
      <c r="D969" s="156" t="s">
        <v>1084</v>
      </c>
      <c r="E969" s="156" t="s">
        <v>1171</v>
      </c>
      <c r="F969" s="156" t="s">
        <v>287</v>
      </c>
      <c r="G969" s="155" t="s">
        <v>209</v>
      </c>
      <c r="H969" s="157" t="s">
        <v>211</v>
      </c>
    </row>
    <row r="970" hidden="1">
      <c r="A970" s="151" t="s">
        <v>230</v>
      </c>
      <c r="B970" s="118" t="s">
        <v>194</v>
      </c>
      <c r="C970" s="118" t="s">
        <v>206</v>
      </c>
      <c r="D970" s="152" t="s">
        <v>1084</v>
      </c>
      <c r="E970" s="152" t="s">
        <v>1172</v>
      </c>
      <c r="F970" s="152" t="s">
        <v>255</v>
      </c>
      <c r="G970" s="118" t="s">
        <v>209</v>
      </c>
      <c r="H970" s="153" t="s">
        <v>212</v>
      </c>
    </row>
    <row r="971" hidden="1">
      <c r="A971" s="154" t="s">
        <v>230</v>
      </c>
      <c r="B971" s="155" t="s">
        <v>194</v>
      </c>
      <c r="C971" s="155" t="s">
        <v>206</v>
      </c>
      <c r="D971" s="156" t="s">
        <v>1084</v>
      </c>
      <c r="E971" s="156" t="s">
        <v>1173</v>
      </c>
      <c r="F971" s="156" t="s">
        <v>265</v>
      </c>
      <c r="G971" s="155" t="s">
        <v>209</v>
      </c>
      <c r="H971" s="157" t="s">
        <v>213</v>
      </c>
    </row>
    <row r="972" hidden="1">
      <c r="A972" s="151" t="s">
        <v>230</v>
      </c>
      <c r="B972" s="118" t="s">
        <v>194</v>
      </c>
      <c r="C972" s="118" t="s">
        <v>206</v>
      </c>
      <c r="D972" s="152" t="s">
        <v>1084</v>
      </c>
      <c r="E972" s="152" t="s">
        <v>1174</v>
      </c>
      <c r="F972" s="152" t="s">
        <v>301</v>
      </c>
      <c r="G972" s="118" t="s">
        <v>209</v>
      </c>
      <c r="H972" s="153" t="s">
        <v>214</v>
      </c>
    </row>
    <row r="973" hidden="1">
      <c r="A973" s="154" t="s">
        <v>230</v>
      </c>
      <c r="B973" s="155" t="s">
        <v>194</v>
      </c>
      <c r="C973" s="155" t="s">
        <v>206</v>
      </c>
      <c r="D973" s="156" t="s">
        <v>1084</v>
      </c>
      <c r="E973" s="156" t="s">
        <v>1175</v>
      </c>
      <c r="F973" s="156" t="s">
        <v>374</v>
      </c>
      <c r="G973" s="155" t="s">
        <v>209</v>
      </c>
      <c r="H973" s="157" t="s">
        <v>215</v>
      </c>
    </row>
    <row r="974" hidden="1">
      <c r="A974" s="151" t="s">
        <v>230</v>
      </c>
      <c r="B974" s="118" t="s">
        <v>194</v>
      </c>
      <c r="C974" s="118" t="s">
        <v>206</v>
      </c>
      <c r="D974" s="152" t="s">
        <v>1084</v>
      </c>
      <c r="E974" s="152" t="s">
        <v>1176</v>
      </c>
      <c r="F974" s="152" t="s">
        <v>240</v>
      </c>
      <c r="G974" s="118" t="s">
        <v>209</v>
      </c>
      <c r="H974" s="153" t="s">
        <v>216</v>
      </c>
    </row>
    <row r="975" hidden="1">
      <c r="A975" s="158" t="s">
        <v>231</v>
      </c>
      <c r="B975" s="159"/>
      <c r="C975" s="155" t="s">
        <v>232</v>
      </c>
      <c r="D975" s="156" t="s">
        <v>1084</v>
      </c>
      <c r="E975" s="156" t="s">
        <v>1177</v>
      </c>
      <c r="F975" s="156" t="s">
        <v>262</v>
      </c>
      <c r="G975" s="155" t="s">
        <v>209</v>
      </c>
      <c r="H975" s="157" t="s">
        <v>210</v>
      </c>
    </row>
    <row r="976" hidden="1">
      <c r="A976" s="160" t="s">
        <v>231</v>
      </c>
      <c r="B976" s="72"/>
      <c r="C976" s="118" t="s">
        <v>232</v>
      </c>
      <c r="D976" s="152" t="s">
        <v>1084</v>
      </c>
      <c r="E976" s="152" t="s">
        <v>1178</v>
      </c>
      <c r="F976" s="152" t="s">
        <v>255</v>
      </c>
      <c r="G976" s="118" t="s">
        <v>209</v>
      </c>
      <c r="H976" s="153" t="s">
        <v>211</v>
      </c>
    </row>
    <row r="977" hidden="1">
      <c r="A977" s="158" t="s">
        <v>231</v>
      </c>
      <c r="B977" s="159"/>
      <c r="C977" s="155" t="s">
        <v>232</v>
      </c>
      <c r="D977" s="156" t="s">
        <v>1084</v>
      </c>
      <c r="E977" s="156" t="s">
        <v>1179</v>
      </c>
      <c r="F977" s="156" t="s">
        <v>1114</v>
      </c>
      <c r="G977" s="155" t="s">
        <v>209</v>
      </c>
      <c r="H977" s="157" t="s">
        <v>212</v>
      </c>
    </row>
    <row r="978" hidden="1">
      <c r="A978" s="160" t="s">
        <v>231</v>
      </c>
      <c r="B978" s="72"/>
      <c r="C978" s="118" t="s">
        <v>232</v>
      </c>
      <c r="D978" s="152" t="s">
        <v>1084</v>
      </c>
      <c r="E978" s="152" t="s">
        <v>1180</v>
      </c>
      <c r="F978" s="152" t="s">
        <v>1181</v>
      </c>
      <c r="G978" s="118" t="s">
        <v>209</v>
      </c>
      <c r="H978" s="153" t="s">
        <v>213</v>
      </c>
    </row>
    <row r="979" hidden="1">
      <c r="A979" s="158" t="s">
        <v>231</v>
      </c>
      <c r="B979" s="159"/>
      <c r="C979" s="155" t="s">
        <v>232</v>
      </c>
      <c r="D979" s="156" t="s">
        <v>1084</v>
      </c>
      <c r="E979" s="156" t="s">
        <v>1182</v>
      </c>
      <c r="F979" s="156" t="s">
        <v>433</v>
      </c>
      <c r="G979" s="155" t="s">
        <v>209</v>
      </c>
      <c r="H979" s="157" t="s">
        <v>214</v>
      </c>
    </row>
    <row r="980" hidden="1">
      <c r="A980" s="160" t="s">
        <v>231</v>
      </c>
      <c r="B980" s="72"/>
      <c r="C980" s="118" t="s">
        <v>232</v>
      </c>
      <c r="D980" s="152" t="s">
        <v>1084</v>
      </c>
      <c r="E980" s="152" t="s">
        <v>1183</v>
      </c>
      <c r="F980" s="152" t="s">
        <v>298</v>
      </c>
      <c r="G980" s="118" t="s">
        <v>209</v>
      </c>
      <c r="H980" s="153" t="s">
        <v>215</v>
      </c>
    </row>
    <row r="981" hidden="1">
      <c r="A981" s="158" t="s">
        <v>231</v>
      </c>
      <c r="B981" s="159"/>
      <c r="C981" s="155" t="s">
        <v>232</v>
      </c>
      <c r="D981" s="156" t="s">
        <v>1084</v>
      </c>
      <c r="E981" s="156" t="s">
        <v>1184</v>
      </c>
      <c r="F981" s="156" t="s">
        <v>262</v>
      </c>
      <c r="G981" s="155" t="s">
        <v>209</v>
      </c>
      <c r="H981" s="157" t="s">
        <v>216</v>
      </c>
    </row>
    <row r="982" hidden="1">
      <c r="A982" s="160" t="s">
        <v>233</v>
      </c>
      <c r="B982" s="72"/>
      <c r="C982" s="118" t="s">
        <v>232</v>
      </c>
      <c r="D982" s="152" t="s">
        <v>1084</v>
      </c>
      <c r="E982" s="152" t="s">
        <v>1185</v>
      </c>
      <c r="F982" s="152" t="s">
        <v>242</v>
      </c>
      <c r="G982" s="118" t="s">
        <v>209</v>
      </c>
      <c r="H982" s="153" t="s">
        <v>210</v>
      </c>
    </row>
    <row r="983" hidden="1">
      <c r="A983" s="158" t="s">
        <v>233</v>
      </c>
      <c r="B983" s="159"/>
      <c r="C983" s="155" t="s">
        <v>232</v>
      </c>
      <c r="D983" s="156" t="s">
        <v>1084</v>
      </c>
      <c r="E983" s="156" t="s">
        <v>1186</v>
      </c>
      <c r="F983" s="156" t="s">
        <v>357</v>
      </c>
      <c r="G983" s="155" t="s">
        <v>209</v>
      </c>
      <c r="H983" s="157" t="s">
        <v>211</v>
      </c>
    </row>
    <row r="984" hidden="1">
      <c r="A984" s="160" t="s">
        <v>233</v>
      </c>
      <c r="B984" s="72"/>
      <c r="C984" s="118" t="s">
        <v>232</v>
      </c>
      <c r="D984" s="152" t="s">
        <v>1084</v>
      </c>
      <c r="E984" s="152" t="s">
        <v>1187</v>
      </c>
      <c r="F984" s="152" t="s">
        <v>257</v>
      </c>
      <c r="G984" s="118" t="s">
        <v>209</v>
      </c>
      <c r="H984" s="153" t="s">
        <v>212</v>
      </c>
    </row>
    <row r="985" hidden="1">
      <c r="A985" s="158" t="s">
        <v>233</v>
      </c>
      <c r="B985" s="159"/>
      <c r="C985" s="155" t="s">
        <v>232</v>
      </c>
      <c r="D985" s="156" t="s">
        <v>1084</v>
      </c>
      <c r="E985" s="156" t="s">
        <v>1188</v>
      </c>
      <c r="F985" s="156" t="s">
        <v>246</v>
      </c>
      <c r="G985" s="155" t="s">
        <v>209</v>
      </c>
      <c r="H985" s="157" t="s">
        <v>213</v>
      </c>
    </row>
    <row r="986" hidden="1">
      <c r="A986" s="160" t="s">
        <v>233</v>
      </c>
      <c r="B986" s="72"/>
      <c r="C986" s="118" t="s">
        <v>232</v>
      </c>
      <c r="D986" s="152" t="s">
        <v>1084</v>
      </c>
      <c r="E986" s="152" t="s">
        <v>1189</v>
      </c>
      <c r="F986" s="152" t="s">
        <v>257</v>
      </c>
      <c r="G986" s="118" t="s">
        <v>209</v>
      </c>
      <c r="H986" s="153" t="s">
        <v>214</v>
      </c>
    </row>
    <row r="987" hidden="1">
      <c r="A987" s="158" t="s">
        <v>233</v>
      </c>
      <c r="B987" s="159"/>
      <c r="C987" s="155" t="s">
        <v>232</v>
      </c>
      <c r="D987" s="156" t="s">
        <v>1084</v>
      </c>
      <c r="E987" s="156" t="s">
        <v>1190</v>
      </c>
      <c r="F987" s="156" t="s">
        <v>287</v>
      </c>
      <c r="G987" s="155" t="s">
        <v>209</v>
      </c>
      <c r="H987" s="157" t="s">
        <v>215</v>
      </c>
    </row>
    <row r="988" hidden="1">
      <c r="A988" s="160" t="s">
        <v>233</v>
      </c>
      <c r="B988" s="72"/>
      <c r="C988" s="118" t="s">
        <v>232</v>
      </c>
      <c r="D988" s="152" t="s">
        <v>1084</v>
      </c>
      <c r="E988" s="152" t="s">
        <v>1191</v>
      </c>
      <c r="F988" s="152" t="s">
        <v>242</v>
      </c>
      <c r="G988" s="118" t="s">
        <v>209</v>
      </c>
      <c r="H988" s="153" t="s">
        <v>216</v>
      </c>
    </row>
    <row r="989" hidden="1">
      <c r="A989" s="158" t="s">
        <v>234</v>
      </c>
      <c r="B989" s="159"/>
      <c r="C989" s="155" t="s">
        <v>232</v>
      </c>
      <c r="D989" s="156" t="s">
        <v>1084</v>
      </c>
      <c r="E989" s="156" t="s">
        <v>1192</v>
      </c>
      <c r="F989" s="156" t="s">
        <v>323</v>
      </c>
      <c r="G989" s="155" t="s">
        <v>209</v>
      </c>
      <c r="H989" s="157" t="s">
        <v>210</v>
      </c>
    </row>
    <row r="990" hidden="1">
      <c r="A990" s="160" t="s">
        <v>234</v>
      </c>
      <c r="B990" s="72"/>
      <c r="C990" s="118" t="s">
        <v>232</v>
      </c>
      <c r="D990" s="152" t="s">
        <v>1084</v>
      </c>
      <c r="E990" s="152" t="s">
        <v>1193</v>
      </c>
      <c r="F990" s="152" t="s">
        <v>249</v>
      </c>
      <c r="G990" s="118" t="s">
        <v>209</v>
      </c>
      <c r="H990" s="153" t="s">
        <v>211</v>
      </c>
    </row>
    <row r="991" hidden="1">
      <c r="A991" s="158" t="s">
        <v>234</v>
      </c>
      <c r="B991" s="159"/>
      <c r="C991" s="155" t="s">
        <v>232</v>
      </c>
      <c r="D991" s="156" t="s">
        <v>1084</v>
      </c>
      <c r="E991" s="156" t="s">
        <v>1194</v>
      </c>
      <c r="F991" s="156" t="s">
        <v>285</v>
      </c>
      <c r="G991" s="155" t="s">
        <v>209</v>
      </c>
      <c r="H991" s="157" t="s">
        <v>212</v>
      </c>
    </row>
    <row r="992" hidden="1">
      <c r="A992" s="160" t="s">
        <v>234</v>
      </c>
      <c r="B992" s="72"/>
      <c r="C992" s="118" t="s">
        <v>232</v>
      </c>
      <c r="D992" s="152" t="s">
        <v>1084</v>
      </c>
      <c r="E992" s="152" t="s">
        <v>1195</v>
      </c>
      <c r="F992" s="152" t="s">
        <v>323</v>
      </c>
      <c r="G992" s="118" t="s">
        <v>209</v>
      </c>
      <c r="H992" s="153" t="s">
        <v>213</v>
      </c>
    </row>
    <row r="993" hidden="1">
      <c r="A993" s="158" t="s">
        <v>234</v>
      </c>
      <c r="B993" s="159"/>
      <c r="C993" s="155" t="s">
        <v>232</v>
      </c>
      <c r="D993" s="156" t="s">
        <v>1084</v>
      </c>
      <c r="E993" s="156" t="s">
        <v>1196</v>
      </c>
      <c r="F993" s="156" t="s">
        <v>365</v>
      </c>
      <c r="G993" s="155" t="s">
        <v>209</v>
      </c>
      <c r="H993" s="157" t="s">
        <v>214</v>
      </c>
    </row>
    <row r="994" hidden="1">
      <c r="A994" s="160" t="s">
        <v>234</v>
      </c>
      <c r="B994" s="72"/>
      <c r="C994" s="118" t="s">
        <v>232</v>
      </c>
      <c r="D994" s="152" t="s">
        <v>1084</v>
      </c>
      <c r="E994" s="152" t="s">
        <v>1197</v>
      </c>
      <c r="F994" s="152" t="s">
        <v>308</v>
      </c>
      <c r="G994" s="118" t="s">
        <v>209</v>
      </c>
      <c r="H994" s="153" t="s">
        <v>215</v>
      </c>
    </row>
    <row r="995" hidden="1">
      <c r="A995" s="158" t="s">
        <v>234</v>
      </c>
      <c r="B995" s="159"/>
      <c r="C995" s="155" t="s">
        <v>232</v>
      </c>
      <c r="D995" s="156" t="s">
        <v>1084</v>
      </c>
      <c r="E995" s="156" t="s">
        <v>1198</v>
      </c>
      <c r="F995" s="156" t="s">
        <v>359</v>
      </c>
      <c r="G995" s="155" t="s">
        <v>209</v>
      </c>
      <c r="H995" s="157" t="s">
        <v>216</v>
      </c>
    </row>
    <row r="996" hidden="1">
      <c r="A996" s="160" t="s">
        <v>235</v>
      </c>
      <c r="B996" s="72"/>
      <c r="C996" s="118" t="s">
        <v>236</v>
      </c>
      <c r="D996" s="152" t="s">
        <v>1084</v>
      </c>
      <c r="E996" s="152" t="s">
        <v>1199</v>
      </c>
      <c r="F996" s="152" t="s">
        <v>255</v>
      </c>
      <c r="G996" s="118" t="s">
        <v>209</v>
      </c>
      <c r="H996" s="153" t="s">
        <v>210</v>
      </c>
    </row>
    <row r="997" hidden="1">
      <c r="A997" s="158" t="s">
        <v>235</v>
      </c>
      <c r="B997" s="159"/>
      <c r="C997" s="155" t="s">
        <v>236</v>
      </c>
      <c r="D997" s="156" t="s">
        <v>1084</v>
      </c>
      <c r="E997" s="156" t="s">
        <v>1200</v>
      </c>
      <c r="F997" s="156" t="s">
        <v>287</v>
      </c>
      <c r="G997" s="155" t="s">
        <v>209</v>
      </c>
      <c r="H997" s="157" t="s">
        <v>211</v>
      </c>
    </row>
    <row r="998" hidden="1">
      <c r="A998" s="160" t="s">
        <v>235</v>
      </c>
      <c r="B998" s="72"/>
      <c r="C998" s="118" t="s">
        <v>236</v>
      </c>
      <c r="D998" s="152" t="s">
        <v>1084</v>
      </c>
      <c r="E998" s="152" t="s">
        <v>1201</v>
      </c>
      <c r="F998" s="152" t="s">
        <v>269</v>
      </c>
      <c r="G998" s="118" t="s">
        <v>209</v>
      </c>
      <c r="H998" s="153" t="s">
        <v>212</v>
      </c>
    </row>
    <row r="999" hidden="1">
      <c r="A999" s="158" t="s">
        <v>235</v>
      </c>
      <c r="B999" s="159"/>
      <c r="C999" s="155" t="s">
        <v>236</v>
      </c>
      <c r="D999" s="156" t="s">
        <v>1084</v>
      </c>
      <c r="E999" s="156" t="s">
        <v>1202</v>
      </c>
      <c r="F999" s="156" t="s">
        <v>269</v>
      </c>
      <c r="G999" s="155" t="s">
        <v>209</v>
      </c>
      <c r="H999" s="157" t="s">
        <v>213</v>
      </c>
    </row>
    <row r="1000" hidden="1">
      <c r="A1000" s="160" t="s">
        <v>235</v>
      </c>
      <c r="B1000" s="72"/>
      <c r="C1000" s="118" t="s">
        <v>236</v>
      </c>
      <c r="D1000" s="152" t="s">
        <v>1084</v>
      </c>
      <c r="E1000" s="152" t="s">
        <v>1203</v>
      </c>
      <c r="F1000" s="152" t="s">
        <v>301</v>
      </c>
      <c r="G1000" s="118" t="s">
        <v>209</v>
      </c>
      <c r="H1000" s="153" t="s">
        <v>214</v>
      </c>
    </row>
    <row r="1001" hidden="1">
      <c r="A1001" s="158" t="s">
        <v>235</v>
      </c>
      <c r="B1001" s="159"/>
      <c r="C1001" s="155" t="s">
        <v>236</v>
      </c>
      <c r="D1001" s="156" t="s">
        <v>1084</v>
      </c>
      <c r="E1001" s="156" t="s">
        <v>1204</v>
      </c>
      <c r="F1001" s="156" t="s">
        <v>269</v>
      </c>
      <c r="G1001" s="155" t="s">
        <v>209</v>
      </c>
      <c r="H1001" s="157" t="s">
        <v>215</v>
      </c>
    </row>
    <row r="1002" hidden="1">
      <c r="A1002" s="160" t="s">
        <v>235</v>
      </c>
      <c r="B1002" s="72"/>
      <c r="C1002" s="118" t="s">
        <v>236</v>
      </c>
      <c r="D1002" s="152" t="s">
        <v>1084</v>
      </c>
      <c r="E1002" s="152" t="s">
        <v>1205</v>
      </c>
      <c r="F1002" s="152" t="s">
        <v>269</v>
      </c>
      <c r="G1002" s="118" t="s">
        <v>209</v>
      </c>
      <c r="H1002" s="153" t="s">
        <v>216</v>
      </c>
    </row>
    <row r="1003" hidden="1">
      <c r="A1003" s="158" t="s">
        <v>237</v>
      </c>
      <c r="B1003" s="159"/>
      <c r="C1003" s="155" t="s">
        <v>236</v>
      </c>
      <c r="D1003" s="156" t="s">
        <v>1084</v>
      </c>
      <c r="E1003" s="156" t="s">
        <v>1206</v>
      </c>
      <c r="F1003" s="156" t="s">
        <v>308</v>
      </c>
      <c r="G1003" s="155" t="s">
        <v>209</v>
      </c>
      <c r="H1003" s="157" t="s">
        <v>210</v>
      </c>
    </row>
    <row r="1004" hidden="1">
      <c r="A1004" s="160" t="s">
        <v>237</v>
      </c>
      <c r="B1004" s="72"/>
      <c r="C1004" s="118" t="s">
        <v>236</v>
      </c>
      <c r="D1004" s="152" t="s">
        <v>1084</v>
      </c>
      <c r="E1004" s="152" t="s">
        <v>1207</v>
      </c>
      <c r="F1004" s="152" t="s">
        <v>351</v>
      </c>
      <c r="G1004" s="118" t="s">
        <v>209</v>
      </c>
      <c r="H1004" s="153" t="s">
        <v>211</v>
      </c>
    </row>
    <row r="1005" hidden="1">
      <c r="A1005" s="158" t="s">
        <v>237</v>
      </c>
      <c r="B1005" s="159"/>
      <c r="C1005" s="155" t="s">
        <v>236</v>
      </c>
      <c r="D1005" s="156" t="s">
        <v>1084</v>
      </c>
      <c r="E1005" s="156" t="s">
        <v>1208</v>
      </c>
      <c r="F1005" s="156" t="s">
        <v>244</v>
      </c>
      <c r="G1005" s="155" t="s">
        <v>209</v>
      </c>
      <c r="H1005" s="157" t="s">
        <v>212</v>
      </c>
    </row>
    <row r="1006" hidden="1">
      <c r="A1006" s="160" t="s">
        <v>237</v>
      </c>
      <c r="B1006" s="72"/>
      <c r="C1006" s="118" t="s">
        <v>236</v>
      </c>
      <c r="D1006" s="152" t="s">
        <v>1084</v>
      </c>
      <c r="E1006" s="152" t="s">
        <v>1209</v>
      </c>
      <c r="F1006" s="152" t="s">
        <v>323</v>
      </c>
      <c r="G1006" s="118" t="s">
        <v>209</v>
      </c>
      <c r="H1006" s="153" t="s">
        <v>213</v>
      </c>
    </row>
    <row r="1007" hidden="1">
      <c r="A1007" s="158" t="s">
        <v>237</v>
      </c>
      <c r="B1007" s="159"/>
      <c r="C1007" s="155" t="s">
        <v>236</v>
      </c>
      <c r="D1007" s="156" t="s">
        <v>1084</v>
      </c>
      <c r="E1007" s="156" t="s">
        <v>1210</v>
      </c>
      <c r="F1007" s="156" t="s">
        <v>323</v>
      </c>
      <c r="G1007" s="155" t="s">
        <v>209</v>
      </c>
      <c r="H1007" s="157" t="s">
        <v>214</v>
      </c>
    </row>
    <row r="1008" hidden="1">
      <c r="A1008" s="160" t="s">
        <v>237</v>
      </c>
      <c r="B1008" s="72"/>
      <c r="C1008" s="118" t="s">
        <v>236</v>
      </c>
      <c r="D1008" s="152" t="s">
        <v>1084</v>
      </c>
      <c r="E1008" s="152" t="s">
        <v>1211</v>
      </c>
      <c r="F1008" s="152" t="s">
        <v>359</v>
      </c>
      <c r="G1008" s="118" t="s">
        <v>209</v>
      </c>
      <c r="H1008" s="153" t="s">
        <v>215</v>
      </c>
    </row>
    <row r="1009" hidden="1">
      <c r="A1009" s="158" t="s">
        <v>237</v>
      </c>
      <c r="B1009" s="159"/>
      <c r="C1009" s="155" t="s">
        <v>236</v>
      </c>
      <c r="D1009" s="156" t="s">
        <v>1084</v>
      </c>
      <c r="E1009" s="156" t="s">
        <v>1212</v>
      </c>
      <c r="F1009" s="156" t="s">
        <v>308</v>
      </c>
      <c r="G1009" s="155" t="s">
        <v>209</v>
      </c>
      <c r="H1009" s="157" t="s">
        <v>216</v>
      </c>
    </row>
    <row r="1010" hidden="1">
      <c r="A1010" s="151" t="s">
        <v>204</v>
      </c>
      <c r="B1010" s="118" t="s">
        <v>205</v>
      </c>
      <c r="C1010" s="118" t="s">
        <v>206</v>
      </c>
      <c r="D1010" s="152" t="s">
        <v>1213</v>
      </c>
      <c r="E1010" s="152" t="s">
        <v>1214</v>
      </c>
      <c r="F1010" s="152" t="s">
        <v>257</v>
      </c>
      <c r="G1010" s="118" t="s">
        <v>209</v>
      </c>
      <c r="H1010" s="153" t="s">
        <v>210</v>
      </c>
    </row>
    <row r="1011" hidden="1">
      <c r="A1011" s="154" t="s">
        <v>204</v>
      </c>
      <c r="B1011" s="155" t="s">
        <v>205</v>
      </c>
      <c r="C1011" s="155" t="s">
        <v>206</v>
      </c>
      <c r="D1011" s="156" t="s">
        <v>1213</v>
      </c>
      <c r="E1011" s="156" t="s">
        <v>1215</v>
      </c>
      <c r="F1011" s="156" t="s">
        <v>240</v>
      </c>
      <c r="G1011" s="155" t="s">
        <v>209</v>
      </c>
      <c r="H1011" s="157" t="s">
        <v>211</v>
      </c>
    </row>
    <row r="1012" hidden="1">
      <c r="A1012" s="151" t="s">
        <v>204</v>
      </c>
      <c r="B1012" s="118" t="s">
        <v>205</v>
      </c>
      <c r="C1012" s="118" t="s">
        <v>206</v>
      </c>
      <c r="D1012" s="152" t="s">
        <v>1213</v>
      </c>
      <c r="E1012" s="152" t="s">
        <v>1216</v>
      </c>
      <c r="F1012" s="152" t="s">
        <v>269</v>
      </c>
      <c r="G1012" s="118" t="s">
        <v>209</v>
      </c>
      <c r="H1012" s="153" t="s">
        <v>212</v>
      </c>
    </row>
    <row r="1013" hidden="1">
      <c r="A1013" s="154" t="s">
        <v>204</v>
      </c>
      <c r="B1013" s="155" t="s">
        <v>205</v>
      </c>
      <c r="C1013" s="155" t="s">
        <v>206</v>
      </c>
      <c r="D1013" s="156" t="s">
        <v>1213</v>
      </c>
      <c r="E1013" s="156" t="s">
        <v>1217</v>
      </c>
      <c r="F1013" s="156" t="s">
        <v>240</v>
      </c>
      <c r="G1013" s="155" t="s">
        <v>209</v>
      </c>
      <c r="H1013" s="157" t="s">
        <v>213</v>
      </c>
    </row>
    <row r="1014" hidden="1">
      <c r="A1014" s="151" t="s">
        <v>204</v>
      </c>
      <c r="B1014" s="118" t="s">
        <v>205</v>
      </c>
      <c r="C1014" s="118" t="s">
        <v>206</v>
      </c>
      <c r="D1014" s="152" t="s">
        <v>1213</v>
      </c>
      <c r="E1014" s="152" t="s">
        <v>1218</v>
      </c>
      <c r="F1014" s="152" t="s">
        <v>287</v>
      </c>
      <c r="G1014" s="118" t="s">
        <v>209</v>
      </c>
      <c r="H1014" s="153" t="s">
        <v>214</v>
      </c>
    </row>
    <row r="1015" hidden="1">
      <c r="A1015" s="154" t="s">
        <v>204</v>
      </c>
      <c r="B1015" s="155" t="s">
        <v>205</v>
      </c>
      <c r="C1015" s="155" t="s">
        <v>206</v>
      </c>
      <c r="D1015" s="156" t="s">
        <v>1213</v>
      </c>
      <c r="E1015" s="156" t="s">
        <v>1219</v>
      </c>
      <c r="F1015" s="156" t="s">
        <v>244</v>
      </c>
      <c r="G1015" s="155" t="s">
        <v>209</v>
      </c>
      <c r="H1015" s="157" t="s">
        <v>215</v>
      </c>
    </row>
    <row r="1016" hidden="1">
      <c r="A1016" s="151" t="s">
        <v>204</v>
      </c>
      <c r="B1016" s="118" t="s">
        <v>205</v>
      </c>
      <c r="C1016" s="118" t="s">
        <v>206</v>
      </c>
      <c r="D1016" s="152" t="s">
        <v>1213</v>
      </c>
      <c r="E1016" s="152" t="s">
        <v>1220</v>
      </c>
      <c r="F1016" s="152" t="s">
        <v>287</v>
      </c>
      <c r="G1016" s="118" t="s">
        <v>209</v>
      </c>
      <c r="H1016" s="153" t="s">
        <v>216</v>
      </c>
    </row>
    <row r="1017" hidden="1">
      <c r="A1017" s="154" t="s">
        <v>217</v>
      </c>
      <c r="B1017" s="155" t="s">
        <v>191</v>
      </c>
      <c r="C1017" s="155" t="s">
        <v>206</v>
      </c>
      <c r="D1017" s="156" t="s">
        <v>1213</v>
      </c>
      <c r="E1017" s="156" t="s">
        <v>1221</v>
      </c>
      <c r="F1017" s="156" t="s">
        <v>285</v>
      </c>
      <c r="G1017" s="155" t="s">
        <v>209</v>
      </c>
      <c r="H1017" s="157" t="s">
        <v>210</v>
      </c>
    </row>
    <row r="1018" hidden="1">
      <c r="A1018" s="151" t="s">
        <v>217</v>
      </c>
      <c r="B1018" s="118" t="s">
        <v>191</v>
      </c>
      <c r="C1018" s="118" t="s">
        <v>206</v>
      </c>
      <c r="D1018" s="152" t="s">
        <v>1213</v>
      </c>
      <c r="E1018" s="152" t="s">
        <v>1222</v>
      </c>
      <c r="F1018" s="152" t="s">
        <v>285</v>
      </c>
      <c r="G1018" s="118" t="s">
        <v>209</v>
      </c>
      <c r="H1018" s="153" t="s">
        <v>211</v>
      </c>
    </row>
    <row r="1019" hidden="1">
      <c r="A1019" s="154" t="s">
        <v>217</v>
      </c>
      <c r="B1019" s="155" t="s">
        <v>191</v>
      </c>
      <c r="C1019" s="155" t="s">
        <v>206</v>
      </c>
      <c r="D1019" s="156" t="s">
        <v>1213</v>
      </c>
      <c r="E1019" s="156" t="s">
        <v>1223</v>
      </c>
      <c r="F1019" s="156" t="s">
        <v>287</v>
      </c>
      <c r="G1019" s="155" t="s">
        <v>209</v>
      </c>
      <c r="H1019" s="157" t="s">
        <v>212</v>
      </c>
    </row>
    <row r="1020" hidden="1">
      <c r="A1020" s="151" t="s">
        <v>217</v>
      </c>
      <c r="B1020" s="118" t="s">
        <v>191</v>
      </c>
      <c r="C1020" s="118" t="s">
        <v>206</v>
      </c>
      <c r="D1020" s="152" t="s">
        <v>1213</v>
      </c>
      <c r="E1020" s="152" t="s">
        <v>1224</v>
      </c>
      <c r="F1020" s="152" t="s">
        <v>240</v>
      </c>
      <c r="G1020" s="118" t="s">
        <v>209</v>
      </c>
      <c r="H1020" s="153" t="s">
        <v>213</v>
      </c>
    </row>
    <row r="1021" hidden="1">
      <c r="A1021" s="154" t="s">
        <v>217</v>
      </c>
      <c r="B1021" s="155" t="s">
        <v>191</v>
      </c>
      <c r="C1021" s="155" t="s">
        <v>206</v>
      </c>
      <c r="D1021" s="156" t="s">
        <v>1213</v>
      </c>
      <c r="E1021" s="156" t="s">
        <v>1225</v>
      </c>
      <c r="F1021" s="156" t="s">
        <v>285</v>
      </c>
      <c r="G1021" s="155" t="s">
        <v>209</v>
      </c>
      <c r="H1021" s="157" t="s">
        <v>214</v>
      </c>
    </row>
    <row r="1022" hidden="1">
      <c r="A1022" s="151" t="s">
        <v>217</v>
      </c>
      <c r="B1022" s="118" t="s">
        <v>191</v>
      </c>
      <c r="C1022" s="118" t="s">
        <v>206</v>
      </c>
      <c r="D1022" s="152" t="s">
        <v>1213</v>
      </c>
      <c r="E1022" s="152" t="s">
        <v>1226</v>
      </c>
      <c r="F1022" s="152" t="s">
        <v>244</v>
      </c>
      <c r="G1022" s="118" t="s">
        <v>209</v>
      </c>
      <c r="H1022" s="153" t="s">
        <v>215</v>
      </c>
    </row>
    <row r="1023" hidden="1">
      <c r="A1023" s="154" t="s">
        <v>217</v>
      </c>
      <c r="B1023" s="155" t="s">
        <v>191</v>
      </c>
      <c r="C1023" s="155" t="s">
        <v>206</v>
      </c>
      <c r="D1023" s="156" t="s">
        <v>1213</v>
      </c>
      <c r="E1023" s="156" t="s">
        <v>1227</v>
      </c>
      <c r="F1023" s="156" t="s">
        <v>323</v>
      </c>
      <c r="G1023" s="155" t="s">
        <v>209</v>
      </c>
      <c r="H1023" s="157" t="s">
        <v>216</v>
      </c>
    </row>
    <row r="1024" hidden="1">
      <c r="A1024" s="151" t="s">
        <v>218</v>
      </c>
      <c r="B1024" s="118" t="s">
        <v>219</v>
      </c>
      <c r="C1024" s="118" t="s">
        <v>206</v>
      </c>
      <c r="D1024" s="152" t="s">
        <v>1213</v>
      </c>
      <c r="E1024" s="152" t="s">
        <v>1228</v>
      </c>
      <c r="F1024" s="152" t="s">
        <v>240</v>
      </c>
      <c r="G1024" s="118" t="s">
        <v>209</v>
      </c>
      <c r="H1024" s="153" t="s">
        <v>210</v>
      </c>
    </row>
    <row r="1025" hidden="1">
      <c r="A1025" s="154" t="s">
        <v>218</v>
      </c>
      <c r="B1025" s="155" t="s">
        <v>219</v>
      </c>
      <c r="C1025" s="155" t="s">
        <v>206</v>
      </c>
      <c r="D1025" s="156" t="s">
        <v>1213</v>
      </c>
      <c r="E1025" s="156" t="s">
        <v>1229</v>
      </c>
      <c r="F1025" s="156" t="s">
        <v>301</v>
      </c>
      <c r="G1025" s="155" t="s">
        <v>209</v>
      </c>
      <c r="H1025" s="157" t="s">
        <v>211</v>
      </c>
    </row>
    <row r="1026" hidden="1">
      <c r="A1026" s="151" t="s">
        <v>218</v>
      </c>
      <c r="B1026" s="118" t="s">
        <v>219</v>
      </c>
      <c r="C1026" s="118" t="s">
        <v>206</v>
      </c>
      <c r="D1026" s="152" t="s">
        <v>1213</v>
      </c>
      <c r="E1026" s="152" t="s">
        <v>1230</v>
      </c>
      <c r="F1026" s="152" t="s">
        <v>242</v>
      </c>
      <c r="G1026" s="118" t="s">
        <v>209</v>
      </c>
      <c r="H1026" s="153" t="s">
        <v>212</v>
      </c>
    </row>
    <row r="1027" hidden="1">
      <c r="A1027" s="154" t="s">
        <v>218</v>
      </c>
      <c r="B1027" s="155" t="s">
        <v>219</v>
      </c>
      <c r="C1027" s="155" t="s">
        <v>206</v>
      </c>
      <c r="D1027" s="156" t="s">
        <v>1213</v>
      </c>
      <c r="E1027" s="156" t="s">
        <v>1231</v>
      </c>
      <c r="F1027" s="156" t="s">
        <v>357</v>
      </c>
      <c r="G1027" s="155" t="s">
        <v>209</v>
      </c>
      <c r="H1027" s="157" t="s">
        <v>213</v>
      </c>
    </row>
    <row r="1028" hidden="1">
      <c r="A1028" s="151" t="s">
        <v>218</v>
      </c>
      <c r="B1028" s="118" t="s">
        <v>219</v>
      </c>
      <c r="C1028" s="118" t="s">
        <v>206</v>
      </c>
      <c r="D1028" s="152" t="s">
        <v>1213</v>
      </c>
      <c r="E1028" s="152" t="s">
        <v>1232</v>
      </c>
      <c r="F1028" s="152" t="s">
        <v>365</v>
      </c>
      <c r="G1028" s="118" t="s">
        <v>209</v>
      </c>
      <c r="H1028" s="153" t="s">
        <v>214</v>
      </c>
    </row>
    <row r="1029" hidden="1">
      <c r="A1029" s="154" t="s">
        <v>218</v>
      </c>
      <c r="B1029" s="155" t="s">
        <v>219</v>
      </c>
      <c r="C1029" s="155" t="s">
        <v>206</v>
      </c>
      <c r="D1029" s="156" t="s">
        <v>1213</v>
      </c>
      <c r="E1029" s="156" t="s">
        <v>1233</v>
      </c>
      <c r="F1029" s="156" t="s">
        <v>269</v>
      </c>
      <c r="G1029" s="155" t="s">
        <v>209</v>
      </c>
      <c r="H1029" s="157" t="s">
        <v>215</v>
      </c>
    </row>
    <row r="1030" hidden="1">
      <c r="A1030" s="151" t="s">
        <v>218</v>
      </c>
      <c r="B1030" s="118" t="s">
        <v>219</v>
      </c>
      <c r="C1030" s="118" t="s">
        <v>206</v>
      </c>
      <c r="D1030" s="152" t="s">
        <v>1213</v>
      </c>
      <c r="E1030" s="152" t="s">
        <v>1234</v>
      </c>
      <c r="F1030" s="152" t="s">
        <v>240</v>
      </c>
      <c r="G1030" s="118" t="s">
        <v>209</v>
      </c>
      <c r="H1030" s="153" t="s">
        <v>216</v>
      </c>
    </row>
    <row r="1031" hidden="1">
      <c r="A1031" s="154" t="s">
        <v>220</v>
      </c>
      <c r="B1031" s="155" t="s">
        <v>190</v>
      </c>
      <c r="C1031" s="155" t="s">
        <v>206</v>
      </c>
      <c r="D1031" s="156" t="s">
        <v>1213</v>
      </c>
      <c r="E1031" s="156" t="s">
        <v>1235</v>
      </c>
      <c r="F1031" s="156" t="s">
        <v>1236</v>
      </c>
      <c r="G1031" s="155" t="s">
        <v>209</v>
      </c>
      <c r="H1031" s="157" t="s">
        <v>210</v>
      </c>
    </row>
    <row r="1032" hidden="1">
      <c r="A1032" s="151" t="s">
        <v>220</v>
      </c>
      <c r="B1032" s="118" t="s">
        <v>190</v>
      </c>
      <c r="C1032" s="118" t="s">
        <v>206</v>
      </c>
      <c r="D1032" s="152" t="s">
        <v>1213</v>
      </c>
      <c r="E1032" s="152" t="s">
        <v>1237</v>
      </c>
      <c r="F1032" s="152" t="s">
        <v>1181</v>
      </c>
      <c r="G1032" s="118" t="s">
        <v>209</v>
      </c>
      <c r="H1032" s="153" t="s">
        <v>211</v>
      </c>
    </row>
    <row r="1033" hidden="1">
      <c r="A1033" s="154" t="s">
        <v>220</v>
      </c>
      <c r="B1033" s="155" t="s">
        <v>190</v>
      </c>
      <c r="C1033" s="155" t="s">
        <v>206</v>
      </c>
      <c r="D1033" s="156" t="s">
        <v>1213</v>
      </c>
      <c r="E1033" s="156" t="s">
        <v>1238</v>
      </c>
      <c r="F1033" s="156" t="s">
        <v>1114</v>
      </c>
      <c r="G1033" s="155" t="s">
        <v>209</v>
      </c>
      <c r="H1033" s="157" t="s">
        <v>212</v>
      </c>
    </row>
    <row r="1034" hidden="1">
      <c r="A1034" s="151" t="s">
        <v>220</v>
      </c>
      <c r="B1034" s="118" t="s">
        <v>190</v>
      </c>
      <c r="C1034" s="118" t="s">
        <v>206</v>
      </c>
      <c r="D1034" s="152" t="s">
        <v>1213</v>
      </c>
      <c r="E1034" s="152" t="s">
        <v>1239</v>
      </c>
      <c r="F1034" s="152" t="s">
        <v>501</v>
      </c>
      <c r="G1034" s="118" t="s">
        <v>209</v>
      </c>
      <c r="H1034" s="153" t="s">
        <v>213</v>
      </c>
    </row>
    <row r="1035" hidden="1">
      <c r="A1035" s="154" t="s">
        <v>220</v>
      </c>
      <c r="B1035" s="155" t="s">
        <v>190</v>
      </c>
      <c r="C1035" s="155" t="s">
        <v>206</v>
      </c>
      <c r="D1035" s="156" t="s">
        <v>1213</v>
      </c>
      <c r="E1035" s="156" t="s">
        <v>1240</v>
      </c>
      <c r="F1035" s="156" t="s">
        <v>1181</v>
      </c>
      <c r="G1035" s="155" t="s">
        <v>209</v>
      </c>
      <c r="H1035" s="157" t="s">
        <v>214</v>
      </c>
    </row>
    <row r="1036" hidden="1">
      <c r="A1036" s="151" t="s">
        <v>220</v>
      </c>
      <c r="B1036" s="118" t="s">
        <v>190</v>
      </c>
      <c r="C1036" s="118" t="s">
        <v>206</v>
      </c>
      <c r="D1036" s="152" t="s">
        <v>1213</v>
      </c>
      <c r="E1036" s="152" t="s">
        <v>1241</v>
      </c>
      <c r="F1036" s="152" t="s">
        <v>365</v>
      </c>
      <c r="G1036" s="118" t="s">
        <v>209</v>
      </c>
      <c r="H1036" s="153" t="s">
        <v>215</v>
      </c>
    </row>
    <row r="1037" hidden="1">
      <c r="A1037" s="154" t="s">
        <v>220</v>
      </c>
      <c r="B1037" s="155" t="s">
        <v>190</v>
      </c>
      <c r="C1037" s="155" t="s">
        <v>206</v>
      </c>
      <c r="D1037" s="156" t="s">
        <v>1213</v>
      </c>
      <c r="E1037" s="156" t="s">
        <v>1242</v>
      </c>
      <c r="F1037" s="156" t="s">
        <v>1181</v>
      </c>
      <c r="G1037" s="155" t="s">
        <v>209</v>
      </c>
      <c r="H1037" s="157" t="s">
        <v>216</v>
      </c>
    </row>
    <row r="1038" hidden="1">
      <c r="A1038" s="151" t="s">
        <v>221</v>
      </c>
      <c r="B1038" s="118" t="s">
        <v>189</v>
      </c>
      <c r="C1038" s="118" t="s">
        <v>206</v>
      </c>
      <c r="D1038" s="152" t="s">
        <v>1213</v>
      </c>
      <c r="E1038" s="152" t="s">
        <v>1243</v>
      </c>
      <c r="F1038" s="152" t="s">
        <v>249</v>
      </c>
      <c r="G1038" s="118" t="s">
        <v>209</v>
      </c>
      <c r="H1038" s="153" t="s">
        <v>210</v>
      </c>
    </row>
    <row r="1039" hidden="1">
      <c r="A1039" s="154" t="s">
        <v>221</v>
      </c>
      <c r="B1039" s="155" t="s">
        <v>189</v>
      </c>
      <c r="C1039" s="155" t="s">
        <v>206</v>
      </c>
      <c r="D1039" s="156" t="s">
        <v>1213</v>
      </c>
      <c r="E1039" s="156" t="s">
        <v>1244</v>
      </c>
      <c r="F1039" s="156" t="s">
        <v>244</v>
      </c>
      <c r="G1039" s="155" t="s">
        <v>209</v>
      </c>
      <c r="H1039" s="157" t="s">
        <v>211</v>
      </c>
    </row>
    <row r="1040" hidden="1">
      <c r="A1040" s="151" t="s">
        <v>221</v>
      </c>
      <c r="B1040" s="118" t="s">
        <v>189</v>
      </c>
      <c r="C1040" s="118" t="s">
        <v>206</v>
      </c>
      <c r="D1040" s="152" t="s">
        <v>1213</v>
      </c>
      <c r="E1040" s="152" t="s">
        <v>1245</v>
      </c>
      <c r="F1040" s="152" t="s">
        <v>323</v>
      </c>
      <c r="G1040" s="118" t="s">
        <v>209</v>
      </c>
      <c r="H1040" s="153" t="s">
        <v>212</v>
      </c>
    </row>
    <row r="1041" hidden="1">
      <c r="A1041" s="154" t="s">
        <v>221</v>
      </c>
      <c r="B1041" s="155" t="s">
        <v>189</v>
      </c>
      <c r="C1041" s="155" t="s">
        <v>206</v>
      </c>
      <c r="D1041" s="156" t="s">
        <v>1213</v>
      </c>
      <c r="E1041" s="156" t="s">
        <v>1246</v>
      </c>
      <c r="F1041" s="156" t="s">
        <v>265</v>
      </c>
      <c r="G1041" s="155" t="s">
        <v>209</v>
      </c>
      <c r="H1041" s="157" t="s">
        <v>213</v>
      </c>
    </row>
    <row r="1042" hidden="1">
      <c r="A1042" s="151" t="s">
        <v>221</v>
      </c>
      <c r="B1042" s="118" t="s">
        <v>189</v>
      </c>
      <c r="C1042" s="118" t="s">
        <v>206</v>
      </c>
      <c r="D1042" s="152" t="s">
        <v>1213</v>
      </c>
      <c r="E1042" s="152" t="s">
        <v>1247</v>
      </c>
      <c r="F1042" s="152" t="s">
        <v>359</v>
      </c>
      <c r="G1042" s="118" t="s">
        <v>209</v>
      </c>
      <c r="H1042" s="153" t="s">
        <v>214</v>
      </c>
    </row>
    <row r="1043" hidden="1">
      <c r="A1043" s="154" t="s">
        <v>221</v>
      </c>
      <c r="B1043" s="155" t="s">
        <v>189</v>
      </c>
      <c r="C1043" s="155" t="s">
        <v>206</v>
      </c>
      <c r="D1043" s="156" t="s">
        <v>1213</v>
      </c>
      <c r="E1043" s="156" t="s">
        <v>1248</v>
      </c>
      <c r="F1043" s="156" t="s">
        <v>331</v>
      </c>
      <c r="G1043" s="155" t="s">
        <v>209</v>
      </c>
      <c r="H1043" s="157" t="s">
        <v>215</v>
      </c>
    </row>
    <row r="1044" hidden="1">
      <c r="A1044" s="151" t="s">
        <v>221</v>
      </c>
      <c r="B1044" s="118" t="s">
        <v>189</v>
      </c>
      <c r="C1044" s="118" t="s">
        <v>206</v>
      </c>
      <c r="D1044" s="152" t="s">
        <v>1213</v>
      </c>
      <c r="E1044" s="152" t="s">
        <v>1249</v>
      </c>
      <c r="F1044" s="152" t="s">
        <v>285</v>
      </c>
      <c r="G1044" s="118" t="s">
        <v>209</v>
      </c>
      <c r="H1044" s="153" t="s">
        <v>216</v>
      </c>
    </row>
    <row r="1045" hidden="1">
      <c r="A1045" s="154" t="s">
        <v>222</v>
      </c>
      <c r="B1045" s="155" t="s">
        <v>192</v>
      </c>
      <c r="C1045" s="155" t="s">
        <v>206</v>
      </c>
      <c r="D1045" s="156" t="s">
        <v>1213</v>
      </c>
      <c r="E1045" s="156" t="s">
        <v>1250</v>
      </c>
      <c r="F1045" s="156" t="s">
        <v>255</v>
      </c>
      <c r="G1045" s="155" t="s">
        <v>209</v>
      </c>
      <c r="H1045" s="157" t="s">
        <v>210</v>
      </c>
    </row>
    <row r="1046" hidden="1">
      <c r="A1046" s="151" t="s">
        <v>222</v>
      </c>
      <c r="B1046" s="118" t="s">
        <v>192</v>
      </c>
      <c r="C1046" s="118" t="s">
        <v>206</v>
      </c>
      <c r="D1046" s="152" t="s">
        <v>1213</v>
      </c>
      <c r="E1046" s="152" t="s">
        <v>1251</v>
      </c>
      <c r="F1046" s="152" t="s">
        <v>301</v>
      </c>
      <c r="G1046" s="118" t="s">
        <v>209</v>
      </c>
      <c r="H1046" s="153" t="s">
        <v>211</v>
      </c>
    </row>
    <row r="1047" hidden="1">
      <c r="A1047" s="154" t="s">
        <v>222</v>
      </c>
      <c r="B1047" s="155" t="s">
        <v>192</v>
      </c>
      <c r="C1047" s="155" t="s">
        <v>206</v>
      </c>
      <c r="D1047" s="156" t="s">
        <v>1213</v>
      </c>
      <c r="E1047" s="156" t="s">
        <v>1252</v>
      </c>
      <c r="F1047" s="156" t="s">
        <v>276</v>
      </c>
      <c r="G1047" s="155" t="s">
        <v>209</v>
      </c>
      <c r="H1047" s="157" t="s">
        <v>212</v>
      </c>
    </row>
    <row r="1048" hidden="1">
      <c r="A1048" s="151" t="s">
        <v>222</v>
      </c>
      <c r="B1048" s="118" t="s">
        <v>192</v>
      </c>
      <c r="C1048" s="118" t="s">
        <v>206</v>
      </c>
      <c r="D1048" s="152" t="s">
        <v>1213</v>
      </c>
      <c r="E1048" s="152" t="s">
        <v>1253</v>
      </c>
      <c r="F1048" s="152" t="s">
        <v>374</v>
      </c>
      <c r="G1048" s="118" t="s">
        <v>209</v>
      </c>
      <c r="H1048" s="153" t="s">
        <v>213</v>
      </c>
    </row>
    <row r="1049" hidden="1">
      <c r="A1049" s="154" t="s">
        <v>222</v>
      </c>
      <c r="B1049" s="155" t="s">
        <v>192</v>
      </c>
      <c r="C1049" s="155" t="s">
        <v>206</v>
      </c>
      <c r="D1049" s="156" t="s">
        <v>1213</v>
      </c>
      <c r="E1049" s="156" t="s">
        <v>1254</v>
      </c>
      <c r="F1049" s="156" t="s">
        <v>255</v>
      </c>
      <c r="G1049" s="155" t="s">
        <v>209</v>
      </c>
      <c r="H1049" s="157" t="s">
        <v>214</v>
      </c>
    </row>
    <row r="1050" hidden="1">
      <c r="A1050" s="151" t="s">
        <v>222</v>
      </c>
      <c r="B1050" s="118" t="s">
        <v>192</v>
      </c>
      <c r="C1050" s="118" t="s">
        <v>206</v>
      </c>
      <c r="D1050" s="152" t="s">
        <v>1213</v>
      </c>
      <c r="E1050" s="152" t="s">
        <v>1255</v>
      </c>
      <c r="F1050" s="152" t="s">
        <v>259</v>
      </c>
      <c r="G1050" s="118" t="s">
        <v>209</v>
      </c>
      <c r="H1050" s="153" t="s">
        <v>215</v>
      </c>
    </row>
    <row r="1051" hidden="1">
      <c r="A1051" s="154" t="s">
        <v>222</v>
      </c>
      <c r="B1051" s="155" t="s">
        <v>192</v>
      </c>
      <c r="C1051" s="155" t="s">
        <v>206</v>
      </c>
      <c r="D1051" s="156" t="s">
        <v>1213</v>
      </c>
      <c r="E1051" s="156" t="s">
        <v>1256</v>
      </c>
      <c r="F1051" s="156" t="s">
        <v>255</v>
      </c>
      <c r="G1051" s="155" t="s">
        <v>209</v>
      </c>
      <c r="H1051" s="157" t="s">
        <v>216</v>
      </c>
    </row>
    <row r="1052" hidden="1">
      <c r="A1052" s="151" t="s">
        <v>223</v>
      </c>
      <c r="B1052" s="118" t="s">
        <v>144</v>
      </c>
      <c r="C1052" s="118" t="s">
        <v>206</v>
      </c>
      <c r="D1052" s="152" t="s">
        <v>1213</v>
      </c>
      <c r="E1052" s="152" t="s">
        <v>1257</v>
      </c>
      <c r="F1052" s="152" t="s">
        <v>290</v>
      </c>
      <c r="G1052" s="118" t="s">
        <v>209</v>
      </c>
      <c r="H1052" s="153" t="s">
        <v>210</v>
      </c>
    </row>
    <row r="1053" hidden="1">
      <c r="A1053" s="154" t="s">
        <v>223</v>
      </c>
      <c r="B1053" s="155" t="s">
        <v>144</v>
      </c>
      <c r="C1053" s="155" t="s">
        <v>206</v>
      </c>
      <c r="D1053" s="156" t="s">
        <v>1213</v>
      </c>
      <c r="E1053" s="156" t="s">
        <v>1258</v>
      </c>
      <c r="F1053" s="156" t="s">
        <v>359</v>
      </c>
      <c r="G1053" s="155" t="s">
        <v>209</v>
      </c>
      <c r="H1053" s="157" t="s">
        <v>211</v>
      </c>
    </row>
    <row r="1054" hidden="1">
      <c r="A1054" s="151" t="s">
        <v>223</v>
      </c>
      <c r="B1054" s="118" t="s">
        <v>144</v>
      </c>
      <c r="C1054" s="118" t="s">
        <v>206</v>
      </c>
      <c r="D1054" s="152" t="s">
        <v>1213</v>
      </c>
      <c r="E1054" s="152" t="s">
        <v>1259</v>
      </c>
      <c r="F1054" s="152" t="s">
        <v>321</v>
      </c>
      <c r="G1054" s="118" t="s">
        <v>209</v>
      </c>
      <c r="H1054" s="153" t="s">
        <v>212</v>
      </c>
    </row>
    <row r="1055" hidden="1">
      <c r="A1055" s="154" t="s">
        <v>223</v>
      </c>
      <c r="B1055" s="155" t="s">
        <v>144</v>
      </c>
      <c r="C1055" s="155" t="s">
        <v>206</v>
      </c>
      <c r="D1055" s="156" t="s">
        <v>1213</v>
      </c>
      <c r="E1055" s="156" t="s">
        <v>1260</v>
      </c>
      <c r="F1055" s="156" t="s">
        <v>323</v>
      </c>
      <c r="G1055" s="155" t="s">
        <v>209</v>
      </c>
      <c r="H1055" s="157" t="s">
        <v>213</v>
      </c>
    </row>
    <row r="1056" hidden="1">
      <c r="A1056" s="151" t="s">
        <v>223</v>
      </c>
      <c r="B1056" s="118" t="s">
        <v>144</v>
      </c>
      <c r="C1056" s="118" t="s">
        <v>206</v>
      </c>
      <c r="D1056" s="152" t="s">
        <v>1213</v>
      </c>
      <c r="E1056" s="152" t="s">
        <v>1261</v>
      </c>
      <c r="F1056" s="152" t="s">
        <v>357</v>
      </c>
      <c r="G1056" s="118" t="s">
        <v>209</v>
      </c>
      <c r="H1056" s="153" t="s">
        <v>214</v>
      </c>
    </row>
    <row r="1057" hidden="1">
      <c r="A1057" s="154" t="s">
        <v>223</v>
      </c>
      <c r="B1057" s="155" t="s">
        <v>144</v>
      </c>
      <c r="C1057" s="155" t="s">
        <v>206</v>
      </c>
      <c r="D1057" s="156" t="s">
        <v>1213</v>
      </c>
      <c r="E1057" s="156" t="s">
        <v>1262</v>
      </c>
      <c r="F1057" s="156" t="s">
        <v>357</v>
      </c>
      <c r="G1057" s="155" t="s">
        <v>209</v>
      </c>
      <c r="H1057" s="157" t="s">
        <v>215</v>
      </c>
    </row>
    <row r="1058" hidden="1">
      <c r="A1058" s="151" t="s">
        <v>223</v>
      </c>
      <c r="B1058" s="118" t="s">
        <v>144</v>
      </c>
      <c r="C1058" s="118" t="s">
        <v>206</v>
      </c>
      <c r="D1058" s="152" t="s">
        <v>1213</v>
      </c>
      <c r="E1058" s="152" t="s">
        <v>1263</v>
      </c>
      <c r="F1058" s="152" t="s">
        <v>321</v>
      </c>
      <c r="G1058" s="118" t="s">
        <v>209</v>
      </c>
      <c r="H1058" s="153" t="s">
        <v>216</v>
      </c>
    </row>
    <row r="1059" hidden="1">
      <c r="A1059" s="154" t="s">
        <v>224</v>
      </c>
      <c r="B1059" s="155" t="s">
        <v>170</v>
      </c>
      <c r="C1059" s="155" t="s">
        <v>206</v>
      </c>
      <c r="D1059" s="156" t="s">
        <v>1213</v>
      </c>
      <c r="E1059" s="156" t="s">
        <v>1264</v>
      </c>
      <c r="F1059" s="156" t="s">
        <v>301</v>
      </c>
      <c r="G1059" s="155" t="s">
        <v>209</v>
      </c>
      <c r="H1059" s="157" t="s">
        <v>210</v>
      </c>
    </row>
    <row r="1060" hidden="1">
      <c r="A1060" s="151" t="s">
        <v>224</v>
      </c>
      <c r="B1060" s="118" t="s">
        <v>170</v>
      </c>
      <c r="C1060" s="118" t="s">
        <v>206</v>
      </c>
      <c r="D1060" s="152" t="s">
        <v>1213</v>
      </c>
      <c r="E1060" s="152" t="s">
        <v>1265</v>
      </c>
      <c r="F1060" s="152" t="s">
        <v>301</v>
      </c>
      <c r="G1060" s="118" t="s">
        <v>209</v>
      </c>
      <c r="H1060" s="153" t="s">
        <v>211</v>
      </c>
    </row>
    <row r="1061" hidden="1">
      <c r="A1061" s="154" t="s">
        <v>224</v>
      </c>
      <c r="B1061" s="155" t="s">
        <v>170</v>
      </c>
      <c r="C1061" s="155" t="s">
        <v>206</v>
      </c>
      <c r="D1061" s="156" t="s">
        <v>1213</v>
      </c>
      <c r="E1061" s="156" t="s">
        <v>1266</v>
      </c>
      <c r="F1061" s="156" t="s">
        <v>265</v>
      </c>
      <c r="G1061" s="155" t="s">
        <v>209</v>
      </c>
      <c r="H1061" s="157" t="s">
        <v>212</v>
      </c>
    </row>
    <row r="1062" hidden="1">
      <c r="A1062" s="151" t="s">
        <v>224</v>
      </c>
      <c r="B1062" s="118" t="s">
        <v>170</v>
      </c>
      <c r="C1062" s="118" t="s">
        <v>206</v>
      </c>
      <c r="D1062" s="152" t="s">
        <v>1213</v>
      </c>
      <c r="E1062" s="152" t="s">
        <v>1267</v>
      </c>
      <c r="F1062" s="152" t="s">
        <v>269</v>
      </c>
      <c r="G1062" s="118" t="s">
        <v>209</v>
      </c>
      <c r="H1062" s="153" t="s">
        <v>213</v>
      </c>
    </row>
    <row r="1063" hidden="1">
      <c r="A1063" s="154" t="s">
        <v>224</v>
      </c>
      <c r="B1063" s="155" t="s">
        <v>170</v>
      </c>
      <c r="C1063" s="155" t="s">
        <v>206</v>
      </c>
      <c r="D1063" s="156" t="s">
        <v>1213</v>
      </c>
      <c r="E1063" s="156" t="s">
        <v>1268</v>
      </c>
      <c r="F1063" s="156" t="s">
        <v>262</v>
      </c>
      <c r="G1063" s="155" t="s">
        <v>209</v>
      </c>
      <c r="H1063" s="157" t="s">
        <v>214</v>
      </c>
    </row>
    <row r="1064" hidden="1">
      <c r="A1064" s="151" t="s">
        <v>224</v>
      </c>
      <c r="B1064" s="118" t="s">
        <v>170</v>
      </c>
      <c r="C1064" s="118" t="s">
        <v>206</v>
      </c>
      <c r="D1064" s="152" t="s">
        <v>1213</v>
      </c>
      <c r="E1064" s="152" t="s">
        <v>1269</v>
      </c>
      <c r="F1064" s="152" t="s">
        <v>246</v>
      </c>
      <c r="G1064" s="118" t="s">
        <v>209</v>
      </c>
      <c r="H1064" s="153" t="s">
        <v>215</v>
      </c>
    </row>
    <row r="1065" hidden="1">
      <c r="A1065" s="154" t="s">
        <v>224</v>
      </c>
      <c r="B1065" s="155" t="s">
        <v>170</v>
      </c>
      <c r="C1065" s="155" t="s">
        <v>206</v>
      </c>
      <c r="D1065" s="156" t="s">
        <v>1213</v>
      </c>
      <c r="E1065" s="156" t="s">
        <v>1270</v>
      </c>
      <c r="F1065" s="156" t="s">
        <v>301</v>
      </c>
      <c r="G1065" s="155" t="s">
        <v>209</v>
      </c>
      <c r="H1065" s="157" t="s">
        <v>216</v>
      </c>
    </row>
    <row r="1066" hidden="1">
      <c r="A1066" s="151" t="s">
        <v>225</v>
      </c>
      <c r="B1066" s="118" t="s">
        <v>226</v>
      </c>
      <c r="C1066" s="118" t="s">
        <v>206</v>
      </c>
      <c r="D1066" s="152" t="s">
        <v>1213</v>
      </c>
      <c r="E1066" s="152" t="s">
        <v>1271</v>
      </c>
      <c r="F1066" s="152" t="s">
        <v>357</v>
      </c>
      <c r="G1066" s="118" t="s">
        <v>209</v>
      </c>
      <c r="H1066" s="153" t="s">
        <v>210</v>
      </c>
    </row>
    <row r="1067" hidden="1">
      <c r="A1067" s="154" t="s">
        <v>225</v>
      </c>
      <c r="B1067" s="155" t="s">
        <v>226</v>
      </c>
      <c r="C1067" s="155" t="s">
        <v>206</v>
      </c>
      <c r="D1067" s="156" t="s">
        <v>1213</v>
      </c>
      <c r="E1067" s="156" t="s">
        <v>1272</v>
      </c>
      <c r="F1067" s="156" t="s">
        <v>259</v>
      </c>
      <c r="G1067" s="155" t="s">
        <v>209</v>
      </c>
      <c r="H1067" s="157" t="s">
        <v>211</v>
      </c>
    </row>
    <row r="1068" hidden="1">
      <c r="A1068" s="151" t="s">
        <v>225</v>
      </c>
      <c r="B1068" s="118" t="s">
        <v>226</v>
      </c>
      <c r="C1068" s="118" t="s">
        <v>206</v>
      </c>
      <c r="D1068" s="152" t="s">
        <v>1213</v>
      </c>
      <c r="E1068" s="152" t="s">
        <v>1273</v>
      </c>
      <c r="F1068" s="152" t="s">
        <v>265</v>
      </c>
      <c r="G1068" s="118" t="s">
        <v>209</v>
      </c>
      <c r="H1068" s="153" t="s">
        <v>212</v>
      </c>
    </row>
    <row r="1069" hidden="1">
      <c r="A1069" s="154" t="s">
        <v>225</v>
      </c>
      <c r="B1069" s="155" t="s">
        <v>226</v>
      </c>
      <c r="C1069" s="155" t="s">
        <v>206</v>
      </c>
      <c r="D1069" s="156" t="s">
        <v>1213</v>
      </c>
      <c r="E1069" s="156" t="s">
        <v>1274</v>
      </c>
      <c r="F1069" s="156" t="s">
        <v>359</v>
      </c>
      <c r="G1069" s="155" t="s">
        <v>209</v>
      </c>
      <c r="H1069" s="157" t="s">
        <v>213</v>
      </c>
    </row>
    <row r="1070" hidden="1">
      <c r="A1070" s="151" t="s">
        <v>225</v>
      </c>
      <c r="B1070" s="118" t="s">
        <v>226</v>
      </c>
      <c r="C1070" s="118" t="s">
        <v>206</v>
      </c>
      <c r="D1070" s="152" t="s">
        <v>1213</v>
      </c>
      <c r="E1070" s="152" t="s">
        <v>1275</v>
      </c>
      <c r="F1070" s="152" t="s">
        <v>240</v>
      </c>
      <c r="G1070" s="118" t="s">
        <v>209</v>
      </c>
      <c r="H1070" s="153" t="s">
        <v>214</v>
      </c>
    </row>
    <row r="1071" hidden="1">
      <c r="A1071" s="154" t="s">
        <v>225</v>
      </c>
      <c r="B1071" s="155" t="s">
        <v>226</v>
      </c>
      <c r="C1071" s="155" t="s">
        <v>206</v>
      </c>
      <c r="D1071" s="156" t="s">
        <v>1213</v>
      </c>
      <c r="E1071" s="156" t="s">
        <v>1276</v>
      </c>
      <c r="F1071" s="156" t="s">
        <v>244</v>
      </c>
      <c r="G1071" s="155" t="s">
        <v>209</v>
      </c>
      <c r="H1071" s="157" t="s">
        <v>215</v>
      </c>
    </row>
    <row r="1072" hidden="1">
      <c r="A1072" s="151" t="s">
        <v>225</v>
      </c>
      <c r="B1072" s="118" t="s">
        <v>226</v>
      </c>
      <c r="C1072" s="118" t="s">
        <v>206</v>
      </c>
      <c r="D1072" s="152" t="s">
        <v>1213</v>
      </c>
      <c r="E1072" s="152" t="s">
        <v>1277</v>
      </c>
      <c r="F1072" s="152" t="s">
        <v>257</v>
      </c>
      <c r="G1072" s="118" t="s">
        <v>209</v>
      </c>
      <c r="H1072" s="153" t="s">
        <v>216</v>
      </c>
    </row>
    <row r="1073" hidden="1">
      <c r="A1073" s="154" t="s">
        <v>227</v>
      </c>
      <c r="B1073" s="155" t="s">
        <v>195</v>
      </c>
      <c r="C1073" s="155" t="s">
        <v>206</v>
      </c>
      <c r="D1073" s="156" t="s">
        <v>1213</v>
      </c>
      <c r="E1073" s="156" t="s">
        <v>1278</v>
      </c>
      <c r="F1073" s="156" t="s">
        <v>204</v>
      </c>
      <c r="G1073" s="155" t="s">
        <v>209</v>
      </c>
      <c r="H1073" s="157" t="s">
        <v>210</v>
      </c>
    </row>
    <row r="1074" hidden="1">
      <c r="A1074" s="151" t="s">
        <v>227</v>
      </c>
      <c r="B1074" s="118" t="s">
        <v>195</v>
      </c>
      <c r="C1074" s="118" t="s">
        <v>206</v>
      </c>
      <c r="D1074" s="152" t="s">
        <v>1213</v>
      </c>
      <c r="E1074" s="152" t="s">
        <v>1279</v>
      </c>
      <c r="F1074" s="152" t="s">
        <v>492</v>
      </c>
      <c r="G1074" s="118" t="s">
        <v>209</v>
      </c>
      <c r="H1074" s="153" t="s">
        <v>211</v>
      </c>
    </row>
    <row r="1075" hidden="1">
      <c r="A1075" s="154" t="s">
        <v>227</v>
      </c>
      <c r="B1075" s="155" t="s">
        <v>195</v>
      </c>
      <c r="C1075" s="155" t="s">
        <v>206</v>
      </c>
      <c r="D1075" s="156" t="s">
        <v>1213</v>
      </c>
      <c r="E1075" s="156" t="s">
        <v>1280</v>
      </c>
      <c r="F1075" s="156" t="s">
        <v>290</v>
      </c>
      <c r="G1075" s="155" t="s">
        <v>209</v>
      </c>
      <c r="H1075" s="157" t="s">
        <v>212</v>
      </c>
    </row>
    <row r="1076" hidden="1">
      <c r="A1076" s="151" t="s">
        <v>227</v>
      </c>
      <c r="B1076" s="118" t="s">
        <v>195</v>
      </c>
      <c r="C1076" s="118" t="s">
        <v>206</v>
      </c>
      <c r="D1076" s="152" t="s">
        <v>1213</v>
      </c>
      <c r="E1076" s="152" t="s">
        <v>1281</v>
      </c>
      <c r="F1076" s="152" t="s">
        <v>310</v>
      </c>
      <c r="G1076" s="118" t="s">
        <v>209</v>
      </c>
      <c r="H1076" s="153" t="s">
        <v>213</v>
      </c>
    </row>
    <row r="1077" hidden="1">
      <c r="A1077" s="154" t="s">
        <v>227</v>
      </c>
      <c r="B1077" s="155" t="s">
        <v>195</v>
      </c>
      <c r="C1077" s="155" t="s">
        <v>206</v>
      </c>
      <c r="D1077" s="156" t="s">
        <v>1213</v>
      </c>
      <c r="E1077" s="156" t="s">
        <v>1282</v>
      </c>
      <c r="F1077" s="156" t="s">
        <v>301</v>
      </c>
      <c r="G1077" s="155" t="s">
        <v>209</v>
      </c>
      <c r="H1077" s="157" t="s">
        <v>214</v>
      </c>
    </row>
    <row r="1078" hidden="1">
      <c r="A1078" s="151" t="s">
        <v>227</v>
      </c>
      <c r="B1078" s="118" t="s">
        <v>195</v>
      </c>
      <c r="C1078" s="118" t="s">
        <v>206</v>
      </c>
      <c r="D1078" s="152" t="s">
        <v>1213</v>
      </c>
      <c r="E1078" s="152" t="s">
        <v>1283</v>
      </c>
      <c r="F1078" s="152" t="s">
        <v>269</v>
      </c>
      <c r="G1078" s="118" t="s">
        <v>209</v>
      </c>
      <c r="H1078" s="153" t="s">
        <v>215</v>
      </c>
    </row>
    <row r="1079" hidden="1">
      <c r="A1079" s="154" t="s">
        <v>227</v>
      </c>
      <c r="B1079" s="155" t="s">
        <v>195</v>
      </c>
      <c r="C1079" s="155" t="s">
        <v>206</v>
      </c>
      <c r="D1079" s="156" t="s">
        <v>1213</v>
      </c>
      <c r="E1079" s="156" t="s">
        <v>1284</v>
      </c>
      <c r="F1079" s="156" t="s">
        <v>374</v>
      </c>
      <c r="G1079" s="155" t="s">
        <v>209</v>
      </c>
      <c r="H1079" s="157" t="s">
        <v>216</v>
      </c>
    </row>
    <row r="1080" hidden="1">
      <c r="A1080" s="151" t="s">
        <v>228</v>
      </c>
      <c r="B1080" s="118" t="s">
        <v>138</v>
      </c>
      <c r="C1080" s="118" t="s">
        <v>206</v>
      </c>
      <c r="D1080" s="152" t="s">
        <v>1213</v>
      </c>
      <c r="E1080" s="152" t="s">
        <v>1285</v>
      </c>
      <c r="F1080" s="152" t="s">
        <v>257</v>
      </c>
      <c r="G1080" s="118" t="s">
        <v>209</v>
      </c>
      <c r="H1080" s="153" t="s">
        <v>210</v>
      </c>
    </row>
    <row r="1081" hidden="1">
      <c r="A1081" s="154" t="s">
        <v>228</v>
      </c>
      <c r="B1081" s="155" t="s">
        <v>138</v>
      </c>
      <c r="C1081" s="155" t="s">
        <v>206</v>
      </c>
      <c r="D1081" s="156" t="s">
        <v>1213</v>
      </c>
      <c r="E1081" s="156" t="s">
        <v>1286</v>
      </c>
      <c r="F1081" s="156" t="s">
        <v>305</v>
      </c>
      <c r="G1081" s="155" t="s">
        <v>209</v>
      </c>
      <c r="H1081" s="157" t="s">
        <v>211</v>
      </c>
    </row>
    <row r="1082" hidden="1">
      <c r="A1082" s="151" t="s">
        <v>228</v>
      </c>
      <c r="B1082" s="118" t="s">
        <v>138</v>
      </c>
      <c r="C1082" s="118" t="s">
        <v>206</v>
      </c>
      <c r="D1082" s="152" t="s">
        <v>1213</v>
      </c>
      <c r="E1082" s="152" t="s">
        <v>1287</v>
      </c>
      <c r="F1082" s="152" t="s">
        <v>240</v>
      </c>
      <c r="G1082" s="118" t="s">
        <v>209</v>
      </c>
      <c r="H1082" s="153" t="s">
        <v>212</v>
      </c>
    </row>
    <row r="1083" hidden="1">
      <c r="A1083" s="154" t="s">
        <v>228</v>
      </c>
      <c r="B1083" s="155" t="s">
        <v>138</v>
      </c>
      <c r="C1083" s="155" t="s">
        <v>206</v>
      </c>
      <c r="D1083" s="156" t="s">
        <v>1213</v>
      </c>
      <c r="E1083" s="156" t="s">
        <v>1288</v>
      </c>
      <c r="F1083" s="156" t="s">
        <v>257</v>
      </c>
      <c r="G1083" s="155" t="s">
        <v>209</v>
      </c>
      <c r="H1083" s="157" t="s">
        <v>213</v>
      </c>
    </row>
    <row r="1084" hidden="1">
      <c r="A1084" s="151" t="s">
        <v>228</v>
      </c>
      <c r="B1084" s="118" t="s">
        <v>138</v>
      </c>
      <c r="C1084" s="118" t="s">
        <v>206</v>
      </c>
      <c r="D1084" s="152" t="s">
        <v>1213</v>
      </c>
      <c r="E1084" s="152" t="s">
        <v>1289</v>
      </c>
      <c r="F1084" s="152" t="s">
        <v>301</v>
      </c>
      <c r="G1084" s="118" t="s">
        <v>209</v>
      </c>
      <c r="H1084" s="153" t="s">
        <v>214</v>
      </c>
    </row>
    <row r="1085" hidden="1">
      <c r="A1085" s="154" t="s">
        <v>228</v>
      </c>
      <c r="B1085" s="155" t="s">
        <v>138</v>
      </c>
      <c r="C1085" s="155" t="s">
        <v>206</v>
      </c>
      <c r="D1085" s="156" t="s">
        <v>1213</v>
      </c>
      <c r="E1085" s="156" t="s">
        <v>1290</v>
      </c>
      <c r="F1085" s="156" t="s">
        <v>255</v>
      </c>
      <c r="G1085" s="155" t="s">
        <v>209</v>
      </c>
      <c r="H1085" s="157" t="s">
        <v>215</v>
      </c>
    </row>
    <row r="1086" hidden="1">
      <c r="A1086" s="151" t="s">
        <v>228</v>
      </c>
      <c r="B1086" s="118" t="s">
        <v>138</v>
      </c>
      <c r="C1086" s="118" t="s">
        <v>206</v>
      </c>
      <c r="D1086" s="152" t="s">
        <v>1213</v>
      </c>
      <c r="E1086" s="152" t="s">
        <v>1291</v>
      </c>
      <c r="F1086" s="152" t="s">
        <v>365</v>
      </c>
      <c r="G1086" s="118" t="s">
        <v>209</v>
      </c>
      <c r="H1086" s="153" t="s">
        <v>216</v>
      </c>
    </row>
    <row r="1087" hidden="1">
      <c r="A1087" s="154" t="s">
        <v>229</v>
      </c>
      <c r="B1087" s="155" t="s">
        <v>193</v>
      </c>
      <c r="C1087" s="155" t="s">
        <v>206</v>
      </c>
      <c r="D1087" s="156" t="s">
        <v>1213</v>
      </c>
      <c r="E1087" s="156" t="s">
        <v>1292</v>
      </c>
      <c r="F1087" s="156" t="s">
        <v>259</v>
      </c>
      <c r="G1087" s="155" t="s">
        <v>209</v>
      </c>
      <c r="H1087" s="157" t="s">
        <v>210</v>
      </c>
    </row>
    <row r="1088" hidden="1">
      <c r="A1088" s="151" t="s">
        <v>229</v>
      </c>
      <c r="B1088" s="118" t="s">
        <v>193</v>
      </c>
      <c r="C1088" s="118" t="s">
        <v>206</v>
      </c>
      <c r="D1088" s="152" t="s">
        <v>1213</v>
      </c>
      <c r="E1088" s="152" t="s">
        <v>1293</v>
      </c>
      <c r="F1088" s="152" t="s">
        <v>276</v>
      </c>
      <c r="G1088" s="118" t="s">
        <v>209</v>
      </c>
      <c r="H1088" s="153" t="s">
        <v>211</v>
      </c>
    </row>
    <row r="1089" hidden="1">
      <c r="A1089" s="154" t="s">
        <v>229</v>
      </c>
      <c r="B1089" s="155" t="s">
        <v>193</v>
      </c>
      <c r="C1089" s="155" t="s">
        <v>206</v>
      </c>
      <c r="D1089" s="156" t="s">
        <v>1213</v>
      </c>
      <c r="E1089" s="156" t="s">
        <v>1294</v>
      </c>
      <c r="F1089" s="156" t="s">
        <v>279</v>
      </c>
      <c r="G1089" s="155" t="s">
        <v>209</v>
      </c>
      <c r="H1089" s="157" t="s">
        <v>212</v>
      </c>
    </row>
    <row r="1090" hidden="1">
      <c r="A1090" s="151" t="s">
        <v>229</v>
      </c>
      <c r="B1090" s="118" t="s">
        <v>193</v>
      </c>
      <c r="C1090" s="118" t="s">
        <v>206</v>
      </c>
      <c r="D1090" s="152" t="s">
        <v>1213</v>
      </c>
      <c r="E1090" s="152" t="s">
        <v>1295</v>
      </c>
      <c r="F1090" s="152" t="s">
        <v>257</v>
      </c>
      <c r="G1090" s="118" t="s">
        <v>209</v>
      </c>
      <c r="H1090" s="153" t="s">
        <v>213</v>
      </c>
    </row>
    <row r="1091" hidden="1">
      <c r="A1091" s="154" t="s">
        <v>229</v>
      </c>
      <c r="B1091" s="155" t="s">
        <v>193</v>
      </c>
      <c r="C1091" s="155" t="s">
        <v>206</v>
      </c>
      <c r="D1091" s="156" t="s">
        <v>1213</v>
      </c>
      <c r="E1091" s="156" t="s">
        <v>1296</v>
      </c>
      <c r="F1091" s="156" t="s">
        <v>374</v>
      </c>
      <c r="G1091" s="155" t="s">
        <v>209</v>
      </c>
      <c r="H1091" s="157" t="s">
        <v>214</v>
      </c>
    </row>
    <row r="1092" hidden="1">
      <c r="A1092" s="151" t="s">
        <v>229</v>
      </c>
      <c r="B1092" s="118" t="s">
        <v>193</v>
      </c>
      <c r="C1092" s="118" t="s">
        <v>206</v>
      </c>
      <c r="D1092" s="152" t="s">
        <v>1213</v>
      </c>
      <c r="E1092" s="152" t="s">
        <v>1297</v>
      </c>
      <c r="F1092" s="152" t="s">
        <v>240</v>
      </c>
      <c r="G1092" s="118" t="s">
        <v>209</v>
      </c>
      <c r="H1092" s="153" t="s">
        <v>215</v>
      </c>
    </row>
    <row r="1093" hidden="1">
      <c r="A1093" s="154" t="s">
        <v>229</v>
      </c>
      <c r="B1093" s="155" t="s">
        <v>193</v>
      </c>
      <c r="C1093" s="155" t="s">
        <v>206</v>
      </c>
      <c r="D1093" s="156" t="s">
        <v>1213</v>
      </c>
      <c r="E1093" s="156" t="s">
        <v>1298</v>
      </c>
      <c r="F1093" s="156" t="s">
        <v>374</v>
      </c>
      <c r="G1093" s="155" t="s">
        <v>209</v>
      </c>
      <c r="H1093" s="157" t="s">
        <v>216</v>
      </c>
    </row>
    <row r="1094" hidden="1">
      <c r="A1094" s="151" t="s">
        <v>230</v>
      </c>
      <c r="B1094" s="118" t="s">
        <v>194</v>
      </c>
      <c r="C1094" s="118" t="s">
        <v>206</v>
      </c>
      <c r="D1094" s="152" t="s">
        <v>1213</v>
      </c>
      <c r="E1094" s="152" t="s">
        <v>1299</v>
      </c>
      <c r="F1094" s="152" t="s">
        <v>257</v>
      </c>
      <c r="G1094" s="118" t="s">
        <v>209</v>
      </c>
      <c r="H1094" s="153" t="s">
        <v>210</v>
      </c>
    </row>
    <row r="1095" hidden="1">
      <c r="A1095" s="154" t="s">
        <v>230</v>
      </c>
      <c r="B1095" s="155" t="s">
        <v>194</v>
      </c>
      <c r="C1095" s="155" t="s">
        <v>206</v>
      </c>
      <c r="D1095" s="156" t="s">
        <v>1213</v>
      </c>
      <c r="E1095" s="156" t="s">
        <v>1300</v>
      </c>
      <c r="F1095" s="156" t="s">
        <v>287</v>
      </c>
      <c r="G1095" s="155" t="s">
        <v>209</v>
      </c>
      <c r="H1095" s="157" t="s">
        <v>211</v>
      </c>
    </row>
    <row r="1096" hidden="1">
      <c r="A1096" s="151" t="s">
        <v>230</v>
      </c>
      <c r="B1096" s="118" t="s">
        <v>194</v>
      </c>
      <c r="C1096" s="118" t="s">
        <v>206</v>
      </c>
      <c r="D1096" s="152" t="s">
        <v>1213</v>
      </c>
      <c r="E1096" s="152" t="s">
        <v>1301</v>
      </c>
      <c r="F1096" s="152" t="s">
        <v>290</v>
      </c>
      <c r="G1096" s="118" t="s">
        <v>209</v>
      </c>
      <c r="H1096" s="153" t="s">
        <v>212</v>
      </c>
    </row>
    <row r="1097" hidden="1">
      <c r="A1097" s="154" t="s">
        <v>230</v>
      </c>
      <c r="B1097" s="155" t="s">
        <v>194</v>
      </c>
      <c r="C1097" s="155" t="s">
        <v>206</v>
      </c>
      <c r="D1097" s="156" t="s">
        <v>1213</v>
      </c>
      <c r="E1097" s="156" t="s">
        <v>1302</v>
      </c>
      <c r="F1097" s="156" t="s">
        <v>242</v>
      </c>
      <c r="G1097" s="155" t="s">
        <v>209</v>
      </c>
      <c r="H1097" s="157" t="s">
        <v>213</v>
      </c>
    </row>
    <row r="1098" hidden="1">
      <c r="A1098" s="151" t="s">
        <v>230</v>
      </c>
      <c r="B1098" s="118" t="s">
        <v>194</v>
      </c>
      <c r="C1098" s="118" t="s">
        <v>206</v>
      </c>
      <c r="D1098" s="152" t="s">
        <v>1213</v>
      </c>
      <c r="E1098" s="152" t="s">
        <v>1303</v>
      </c>
      <c r="F1098" s="152" t="s">
        <v>244</v>
      </c>
      <c r="G1098" s="118" t="s">
        <v>209</v>
      </c>
      <c r="H1098" s="153" t="s">
        <v>214</v>
      </c>
    </row>
    <row r="1099" hidden="1">
      <c r="A1099" s="154" t="s">
        <v>230</v>
      </c>
      <c r="B1099" s="155" t="s">
        <v>194</v>
      </c>
      <c r="C1099" s="155" t="s">
        <v>206</v>
      </c>
      <c r="D1099" s="156" t="s">
        <v>1213</v>
      </c>
      <c r="E1099" s="156" t="s">
        <v>1304</v>
      </c>
      <c r="F1099" s="156" t="s">
        <v>365</v>
      </c>
      <c r="G1099" s="155" t="s">
        <v>209</v>
      </c>
      <c r="H1099" s="157" t="s">
        <v>215</v>
      </c>
    </row>
    <row r="1100" hidden="1">
      <c r="A1100" s="151" t="s">
        <v>230</v>
      </c>
      <c r="B1100" s="118" t="s">
        <v>194</v>
      </c>
      <c r="C1100" s="118" t="s">
        <v>206</v>
      </c>
      <c r="D1100" s="152" t="s">
        <v>1213</v>
      </c>
      <c r="E1100" s="152" t="s">
        <v>1305</v>
      </c>
      <c r="F1100" s="152" t="s">
        <v>246</v>
      </c>
      <c r="G1100" s="118" t="s">
        <v>209</v>
      </c>
      <c r="H1100" s="153" t="s">
        <v>216</v>
      </c>
    </row>
    <row r="1101" hidden="1">
      <c r="A1101" s="158" t="s">
        <v>231</v>
      </c>
      <c r="B1101" s="159"/>
      <c r="C1101" s="155" t="s">
        <v>232</v>
      </c>
      <c r="D1101" s="156" t="s">
        <v>1213</v>
      </c>
      <c r="E1101" s="156" t="s">
        <v>1306</v>
      </c>
      <c r="F1101" s="156" t="s">
        <v>269</v>
      </c>
      <c r="G1101" s="155" t="s">
        <v>209</v>
      </c>
      <c r="H1101" s="157" t="s">
        <v>210</v>
      </c>
    </row>
    <row r="1102" hidden="1">
      <c r="A1102" s="160" t="s">
        <v>231</v>
      </c>
      <c r="B1102" s="72"/>
      <c r="C1102" s="118" t="s">
        <v>232</v>
      </c>
      <c r="D1102" s="152" t="s">
        <v>1213</v>
      </c>
      <c r="E1102" s="152" t="s">
        <v>1307</v>
      </c>
      <c r="F1102" s="152" t="s">
        <v>259</v>
      </c>
      <c r="G1102" s="118" t="s">
        <v>209</v>
      </c>
      <c r="H1102" s="153" t="s">
        <v>211</v>
      </c>
    </row>
    <row r="1103" hidden="1">
      <c r="A1103" s="158" t="s">
        <v>231</v>
      </c>
      <c r="B1103" s="159"/>
      <c r="C1103" s="155" t="s">
        <v>232</v>
      </c>
      <c r="D1103" s="156" t="s">
        <v>1213</v>
      </c>
      <c r="E1103" s="156" t="s">
        <v>1308</v>
      </c>
      <c r="F1103" s="156" t="s">
        <v>255</v>
      </c>
      <c r="G1103" s="155" t="s">
        <v>209</v>
      </c>
      <c r="H1103" s="157" t="s">
        <v>212</v>
      </c>
    </row>
    <row r="1104" hidden="1">
      <c r="A1104" s="160" t="s">
        <v>231</v>
      </c>
      <c r="B1104" s="72"/>
      <c r="C1104" s="118" t="s">
        <v>232</v>
      </c>
      <c r="D1104" s="152" t="s">
        <v>1213</v>
      </c>
      <c r="E1104" s="152" t="s">
        <v>1309</v>
      </c>
      <c r="F1104" s="152" t="s">
        <v>240</v>
      </c>
      <c r="G1104" s="118" t="s">
        <v>209</v>
      </c>
      <c r="H1104" s="153" t="s">
        <v>213</v>
      </c>
    </row>
    <row r="1105" hidden="1">
      <c r="A1105" s="158" t="s">
        <v>231</v>
      </c>
      <c r="B1105" s="159"/>
      <c r="C1105" s="155" t="s">
        <v>232</v>
      </c>
      <c r="D1105" s="156" t="s">
        <v>1213</v>
      </c>
      <c r="E1105" s="156" t="s">
        <v>1310</v>
      </c>
      <c r="F1105" s="156" t="s">
        <v>265</v>
      </c>
      <c r="G1105" s="155" t="s">
        <v>209</v>
      </c>
      <c r="H1105" s="157" t="s">
        <v>214</v>
      </c>
    </row>
    <row r="1106" hidden="1">
      <c r="A1106" s="160" t="s">
        <v>231</v>
      </c>
      <c r="B1106" s="72"/>
      <c r="C1106" s="118" t="s">
        <v>232</v>
      </c>
      <c r="D1106" s="152" t="s">
        <v>1213</v>
      </c>
      <c r="E1106" s="152" t="s">
        <v>1311</v>
      </c>
      <c r="F1106" s="152" t="s">
        <v>265</v>
      </c>
      <c r="G1106" s="118" t="s">
        <v>209</v>
      </c>
      <c r="H1106" s="153" t="s">
        <v>215</v>
      </c>
    </row>
    <row r="1107" hidden="1">
      <c r="A1107" s="158" t="s">
        <v>231</v>
      </c>
      <c r="B1107" s="159"/>
      <c r="C1107" s="155" t="s">
        <v>232</v>
      </c>
      <c r="D1107" s="156" t="s">
        <v>1213</v>
      </c>
      <c r="E1107" s="156" t="s">
        <v>1312</v>
      </c>
      <c r="F1107" s="156" t="s">
        <v>301</v>
      </c>
      <c r="G1107" s="155" t="s">
        <v>209</v>
      </c>
      <c r="H1107" s="157" t="s">
        <v>216</v>
      </c>
    </row>
    <row r="1108" hidden="1">
      <c r="A1108" s="160" t="s">
        <v>233</v>
      </c>
      <c r="B1108" s="72"/>
      <c r="C1108" s="118" t="s">
        <v>232</v>
      </c>
      <c r="D1108" s="152" t="s">
        <v>1213</v>
      </c>
      <c r="E1108" s="152" t="s">
        <v>1313</v>
      </c>
      <c r="F1108" s="152" t="s">
        <v>257</v>
      </c>
      <c r="G1108" s="118" t="s">
        <v>209</v>
      </c>
      <c r="H1108" s="153" t="s">
        <v>210</v>
      </c>
    </row>
    <row r="1109" hidden="1">
      <c r="A1109" s="158" t="s">
        <v>233</v>
      </c>
      <c r="B1109" s="159"/>
      <c r="C1109" s="155" t="s">
        <v>232</v>
      </c>
      <c r="D1109" s="156" t="s">
        <v>1213</v>
      </c>
      <c r="E1109" s="156" t="s">
        <v>1314</v>
      </c>
      <c r="F1109" s="156" t="s">
        <v>287</v>
      </c>
      <c r="G1109" s="155" t="s">
        <v>209</v>
      </c>
      <c r="H1109" s="157" t="s">
        <v>211</v>
      </c>
    </row>
    <row r="1110" hidden="1">
      <c r="A1110" s="160" t="s">
        <v>233</v>
      </c>
      <c r="B1110" s="72"/>
      <c r="C1110" s="118" t="s">
        <v>232</v>
      </c>
      <c r="D1110" s="152" t="s">
        <v>1213</v>
      </c>
      <c r="E1110" s="152" t="s">
        <v>1315</v>
      </c>
      <c r="F1110" s="152" t="s">
        <v>301</v>
      </c>
      <c r="G1110" s="118" t="s">
        <v>209</v>
      </c>
      <c r="H1110" s="153" t="s">
        <v>212</v>
      </c>
    </row>
    <row r="1111" hidden="1">
      <c r="A1111" s="158" t="s">
        <v>233</v>
      </c>
      <c r="B1111" s="159"/>
      <c r="C1111" s="155" t="s">
        <v>232</v>
      </c>
      <c r="D1111" s="156" t="s">
        <v>1213</v>
      </c>
      <c r="E1111" s="156" t="s">
        <v>1316</v>
      </c>
      <c r="F1111" s="156" t="s">
        <v>269</v>
      </c>
      <c r="G1111" s="155" t="s">
        <v>209</v>
      </c>
      <c r="H1111" s="157" t="s">
        <v>213</v>
      </c>
    </row>
    <row r="1112" hidden="1">
      <c r="A1112" s="160" t="s">
        <v>233</v>
      </c>
      <c r="B1112" s="72"/>
      <c r="C1112" s="118" t="s">
        <v>232</v>
      </c>
      <c r="D1112" s="152" t="s">
        <v>1213</v>
      </c>
      <c r="E1112" s="152" t="s">
        <v>1317</v>
      </c>
      <c r="F1112" s="152" t="s">
        <v>257</v>
      </c>
      <c r="G1112" s="118" t="s">
        <v>209</v>
      </c>
      <c r="H1112" s="153" t="s">
        <v>214</v>
      </c>
    </row>
    <row r="1113" hidden="1">
      <c r="A1113" s="158" t="s">
        <v>233</v>
      </c>
      <c r="B1113" s="159"/>
      <c r="C1113" s="155" t="s">
        <v>232</v>
      </c>
      <c r="D1113" s="156" t="s">
        <v>1213</v>
      </c>
      <c r="E1113" s="156" t="s">
        <v>1318</v>
      </c>
      <c r="F1113" s="156" t="s">
        <v>244</v>
      </c>
      <c r="G1113" s="155" t="s">
        <v>209</v>
      </c>
      <c r="H1113" s="157" t="s">
        <v>215</v>
      </c>
    </row>
    <row r="1114" hidden="1">
      <c r="A1114" s="160" t="s">
        <v>233</v>
      </c>
      <c r="B1114" s="72"/>
      <c r="C1114" s="118" t="s">
        <v>232</v>
      </c>
      <c r="D1114" s="152" t="s">
        <v>1213</v>
      </c>
      <c r="E1114" s="152" t="s">
        <v>1319</v>
      </c>
      <c r="F1114" s="152" t="s">
        <v>287</v>
      </c>
      <c r="G1114" s="118" t="s">
        <v>209</v>
      </c>
      <c r="H1114" s="153" t="s">
        <v>216</v>
      </c>
    </row>
    <row r="1115" hidden="1">
      <c r="A1115" s="158" t="s">
        <v>234</v>
      </c>
      <c r="B1115" s="159"/>
      <c r="C1115" s="155" t="s">
        <v>232</v>
      </c>
      <c r="D1115" s="156" t="s">
        <v>1213</v>
      </c>
      <c r="E1115" s="156" t="s">
        <v>1320</v>
      </c>
      <c r="F1115" s="156" t="s">
        <v>257</v>
      </c>
      <c r="G1115" s="155" t="s">
        <v>209</v>
      </c>
      <c r="H1115" s="157" t="s">
        <v>210</v>
      </c>
    </row>
    <row r="1116" hidden="1">
      <c r="A1116" s="160" t="s">
        <v>234</v>
      </c>
      <c r="B1116" s="72"/>
      <c r="C1116" s="118" t="s">
        <v>232</v>
      </c>
      <c r="D1116" s="152" t="s">
        <v>1213</v>
      </c>
      <c r="E1116" s="152" t="s">
        <v>1321</v>
      </c>
      <c r="F1116" s="152" t="s">
        <v>287</v>
      </c>
      <c r="G1116" s="118" t="s">
        <v>209</v>
      </c>
      <c r="H1116" s="153" t="s">
        <v>211</v>
      </c>
    </row>
    <row r="1117" hidden="1">
      <c r="A1117" s="158" t="s">
        <v>234</v>
      </c>
      <c r="B1117" s="159"/>
      <c r="C1117" s="155" t="s">
        <v>232</v>
      </c>
      <c r="D1117" s="156" t="s">
        <v>1213</v>
      </c>
      <c r="E1117" s="156" t="s">
        <v>1322</v>
      </c>
      <c r="F1117" s="156" t="s">
        <v>257</v>
      </c>
      <c r="G1117" s="155" t="s">
        <v>209</v>
      </c>
      <c r="H1117" s="157" t="s">
        <v>212</v>
      </c>
    </row>
    <row r="1118" hidden="1">
      <c r="A1118" s="160" t="s">
        <v>234</v>
      </c>
      <c r="B1118" s="72"/>
      <c r="C1118" s="118" t="s">
        <v>232</v>
      </c>
      <c r="D1118" s="152" t="s">
        <v>1213</v>
      </c>
      <c r="E1118" s="152" t="s">
        <v>1323</v>
      </c>
      <c r="F1118" s="152" t="s">
        <v>287</v>
      </c>
      <c r="G1118" s="118" t="s">
        <v>209</v>
      </c>
      <c r="H1118" s="153" t="s">
        <v>213</v>
      </c>
    </row>
    <row r="1119" hidden="1">
      <c r="A1119" s="158" t="s">
        <v>234</v>
      </c>
      <c r="B1119" s="159"/>
      <c r="C1119" s="155" t="s">
        <v>232</v>
      </c>
      <c r="D1119" s="156" t="s">
        <v>1213</v>
      </c>
      <c r="E1119" s="156" t="s">
        <v>1324</v>
      </c>
      <c r="F1119" s="156" t="s">
        <v>240</v>
      </c>
      <c r="G1119" s="155" t="s">
        <v>209</v>
      </c>
      <c r="H1119" s="157" t="s">
        <v>214</v>
      </c>
    </row>
    <row r="1120" hidden="1">
      <c r="A1120" s="160" t="s">
        <v>234</v>
      </c>
      <c r="B1120" s="72"/>
      <c r="C1120" s="118" t="s">
        <v>232</v>
      </c>
      <c r="D1120" s="152" t="s">
        <v>1213</v>
      </c>
      <c r="E1120" s="152" t="s">
        <v>1325</v>
      </c>
      <c r="F1120" s="152" t="s">
        <v>359</v>
      </c>
      <c r="G1120" s="118" t="s">
        <v>209</v>
      </c>
      <c r="H1120" s="153" t="s">
        <v>215</v>
      </c>
    </row>
    <row r="1121" hidden="1">
      <c r="A1121" s="158" t="s">
        <v>234</v>
      </c>
      <c r="B1121" s="159"/>
      <c r="C1121" s="155" t="s">
        <v>232</v>
      </c>
      <c r="D1121" s="156" t="s">
        <v>1213</v>
      </c>
      <c r="E1121" s="156" t="s">
        <v>1326</v>
      </c>
      <c r="F1121" s="156" t="s">
        <v>257</v>
      </c>
      <c r="G1121" s="155" t="s">
        <v>209</v>
      </c>
      <c r="H1121" s="157" t="s">
        <v>216</v>
      </c>
    </row>
    <row r="1122" hidden="1">
      <c r="A1122" s="160" t="s">
        <v>235</v>
      </c>
      <c r="B1122" s="72"/>
      <c r="C1122" s="118" t="s">
        <v>236</v>
      </c>
      <c r="D1122" s="152" t="s">
        <v>1213</v>
      </c>
      <c r="E1122" s="152" t="s">
        <v>1327</v>
      </c>
      <c r="F1122" s="152" t="s">
        <v>287</v>
      </c>
      <c r="G1122" s="118" t="s">
        <v>209</v>
      </c>
      <c r="H1122" s="153" t="s">
        <v>210</v>
      </c>
    </row>
    <row r="1123" hidden="1">
      <c r="A1123" s="158" t="s">
        <v>235</v>
      </c>
      <c r="B1123" s="159"/>
      <c r="C1123" s="155" t="s">
        <v>236</v>
      </c>
      <c r="D1123" s="156" t="s">
        <v>1213</v>
      </c>
      <c r="E1123" s="156" t="s">
        <v>1328</v>
      </c>
      <c r="F1123" s="156" t="s">
        <v>240</v>
      </c>
      <c r="G1123" s="155" t="s">
        <v>209</v>
      </c>
      <c r="H1123" s="157" t="s">
        <v>211</v>
      </c>
    </row>
    <row r="1124" hidden="1">
      <c r="A1124" s="160" t="s">
        <v>235</v>
      </c>
      <c r="B1124" s="72"/>
      <c r="C1124" s="118" t="s">
        <v>236</v>
      </c>
      <c r="D1124" s="152" t="s">
        <v>1213</v>
      </c>
      <c r="E1124" s="152" t="s">
        <v>1329</v>
      </c>
      <c r="F1124" s="152" t="s">
        <v>259</v>
      </c>
      <c r="G1124" s="118" t="s">
        <v>209</v>
      </c>
      <c r="H1124" s="153" t="s">
        <v>212</v>
      </c>
    </row>
    <row r="1125" hidden="1">
      <c r="A1125" s="158" t="s">
        <v>235</v>
      </c>
      <c r="B1125" s="159"/>
      <c r="C1125" s="155" t="s">
        <v>236</v>
      </c>
      <c r="D1125" s="156" t="s">
        <v>1213</v>
      </c>
      <c r="E1125" s="156" t="s">
        <v>1330</v>
      </c>
      <c r="F1125" s="156" t="s">
        <v>301</v>
      </c>
      <c r="G1125" s="155" t="s">
        <v>209</v>
      </c>
      <c r="H1125" s="157" t="s">
        <v>213</v>
      </c>
    </row>
    <row r="1126" hidden="1">
      <c r="A1126" s="160" t="s">
        <v>235</v>
      </c>
      <c r="B1126" s="72"/>
      <c r="C1126" s="118" t="s">
        <v>236</v>
      </c>
      <c r="D1126" s="152" t="s">
        <v>1213</v>
      </c>
      <c r="E1126" s="152" t="s">
        <v>1331</v>
      </c>
      <c r="F1126" s="152" t="s">
        <v>240</v>
      </c>
      <c r="G1126" s="118" t="s">
        <v>209</v>
      </c>
      <c r="H1126" s="153" t="s">
        <v>214</v>
      </c>
    </row>
    <row r="1127" hidden="1">
      <c r="A1127" s="158" t="s">
        <v>235</v>
      </c>
      <c r="B1127" s="159"/>
      <c r="C1127" s="155" t="s">
        <v>236</v>
      </c>
      <c r="D1127" s="156" t="s">
        <v>1213</v>
      </c>
      <c r="E1127" s="156" t="s">
        <v>1332</v>
      </c>
      <c r="F1127" s="156" t="s">
        <v>246</v>
      </c>
      <c r="G1127" s="155" t="s">
        <v>209</v>
      </c>
      <c r="H1127" s="157" t="s">
        <v>215</v>
      </c>
    </row>
    <row r="1128" hidden="1">
      <c r="A1128" s="160" t="s">
        <v>235</v>
      </c>
      <c r="B1128" s="72"/>
      <c r="C1128" s="118" t="s">
        <v>236</v>
      </c>
      <c r="D1128" s="152" t="s">
        <v>1213</v>
      </c>
      <c r="E1128" s="152" t="s">
        <v>1333</v>
      </c>
      <c r="F1128" s="152" t="s">
        <v>240</v>
      </c>
      <c r="G1128" s="118" t="s">
        <v>209</v>
      </c>
      <c r="H1128" s="153" t="s">
        <v>216</v>
      </c>
    </row>
    <row r="1129" hidden="1">
      <c r="A1129" s="158" t="s">
        <v>237</v>
      </c>
      <c r="B1129" s="159"/>
      <c r="C1129" s="155" t="s">
        <v>236</v>
      </c>
      <c r="D1129" s="156" t="s">
        <v>1213</v>
      </c>
      <c r="E1129" s="156" t="s">
        <v>1334</v>
      </c>
      <c r="F1129" s="156" t="s">
        <v>246</v>
      </c>
      <c r="G1129" s="155" t="s">
        <v>209</v>
      </c>
      <c r="H1129" s="157" t="s">
        <v>210</v>
      </c>
    </row>
    <row r="1130" hidden="1">
      <c r="A1130" s="160" t="s">
        <v>237</v>
      </c>
      <c r="B1130" s="72"/>
      <c r="C1130" s="118" t="s">
        <v>236</v>
      </c>
      <c r="D1130" s="152" t="s">
        <v>1213</v>
      </c>
      <c r="E1130" s="152" t="s">
        <v>1335</v>
      </c>
      <c r="F1130" s="152" t="s">
        <v>257</v>
      </c>
      <c r="G1130" s="118" t="s">
        <v>209</v>
      </c>
      <c r="H1130" s="153" t="s">
        <v>211</v>
      </c>
    </row>
    <row r="1131" hidden="1">
      <c r="A1131" s="158" t="s">
        <v>237</v>
      </c>
      <c r="B1131" s="159"/>
      <c r="C1131" s="155" t="s">
        <v>236</v>
      </c>
      <c r="D1131" s="156" t="s">
        <v>1213</v>
      </c>
      <c r="E1131" s="156" t="s">
        <v>1336</v>
      </c>
      <c r="F1131" s="156" t="s">
        <v>365</v>
      </c>
      <c r="G1131" s="155" t="s">
        <v>209</v>
      </c>
      <c r="H1131" s="157" t="s">
        <v>212</v>
      </c>
    </row>
    <row r="1132" hidden="1">
      <c r="A1132" s="160" t="s">
        <v>237</v>
      </c>
      <c r="B1132" s="72"/>
      <c r="C1132" s="118" t="s">
        <v>236</v>
      </c>
      <c r="D1132" s="152" t="s">
        <v>1213</v>
      </c>
      <c r="E1132" s="152" t="s">
        <v>1337</v>
      </c>
      <c r="F1132" s="152" t="s">
        <v>244</v>
      </c>
      <c r="G1132" s="118" t="s">
        <v>209</v>
      </c>
      <c r="H1132" s="153" t="s">
        <v>213</v>
      </c>
    </row>
    <row r="1133" hidden="1">
      <c r="A1133" s="158" t="s">
        <v>237</v>
      </c>
      <c r="B1133" s="159"/>
      <c r="C1133" s="155" t="s">
        <v>236</v>
      </c>
      <c r="D1133" s="156" t="s">
        <v>1213</v>
      </c>
      <c r="E1133" s="156" t="s">
        <v>1338</v>
      </c>
      <c r="F1133" s="156" t="s">
        <v>287</v>
      </c>
      <c r="G1133" s="155" t="s">
        <v>209</v>
      </c>
      <c r="H1133" s="157" t="s">
        <v>214</v>
      </c>
    </row>
    <row r="1134" hidden="1">
      <c r="A1134" s="160" t="s">
        <v>237</v>
      </c>
      <c r="B1134" s="72"/>
      <c r="C1134" s="118" t="s">
        <v>236</v>
      </c>
      <c r="D1134" s="152" t="s">
        <v>1213</v>
      </c>
      <c r="E1134" s="152" t="s">
        <v>1339</v>
      </c>
      <c r="F1134" s="152" t="s">
        <v>357</v>
      </c>
      <c r="G1134" s="118" t="s">
        <v>209</v>
      </c>
      <c r="H1134" s="153" t="s">
        <v>215</v>
      </c>
    </row>
    <row r="1135" hidden="1">
      <c r="A1135" s="158" t="s">
        <v>237</v>
      </c>
      <c r="B1135" s="159"/>
      <c r="C1135" s="155" t="s">
        <v>236</v>
      </c>
      <c r="D1135" s="156" t="s">
        <v>1213</v>
      </c>
      <c r="E1135" s="156" t="s">
        <v>1340</v>
      </c>
      <c r="F1135" s="156" t="s">
        <v>246</v>
      </c>
      <c r="G1135" s="155" t="s">
        <v>209</v>
      </c>
      <c r="H1135" s="157" t="s">
        <v>216</v>
      </c>
    </row>
    <row r="1136" hidden="1">
      <c r="A1136" s="151" t="s">
        <v>204</v>
      </c>
      <c r="B1136" s="118" t="s">
        <v>205</v>
      </c>
      <c r="C1136" s="118" t="s">
        <v>206</v>
      </c>
      <c r="D1136" s="152" t="s">
        <v>1341</v>
      </c>
      <c r="E1136" s="152" t="s">
        <v>1342</v>
      </c>
      <c r="F1136" s="152" t="s">
        <v>365</v>
      </c>
      <c r="G1136" s="118" t="s">
        <v>209</v>
      </c>
      <c r="H1136" s="153" t="s">
        <v>210</v>
      </c>
    </row>
    <row r="1137" hidden="1">
      <c r="A1137" s="154" t="s">
        <v>204</v>
      </c>
      <c r="B1137" s="155" t="s">
        <v>205</v>
      </c>
      <c r="C1137" s="155" t="s">
        <v>206</v>
      </c>
      <c r="D1137" s="156" t="s">
        <v>1341</v>
      </c>
      <c r="E1137" s="156" t="s">
        <v>1343</v>
      </c>
      <c r="F1137" s="156" t="s">
        <v>357</v>
      </c>
      <c r="G1137" s="155" t="s">
        <v>209</v>
      </c>
      <c r="H1137" s="157" t="s">
        <v>211</v>
      </c>
    </row>
    <row r="1138" hidden="1">
      <c r="A1138" s="151" t="s">
        <v>204</v>
      </c>
      <c r="B1138" s="118" t="s">
        <v>205</v>
      </c>
      <c r="C1138" s="118" t="s">
        <v>206</v>
      </c>
      <c r="D1138" s="152" t="s">
        <v>1341</v>
      </c>
      <c r="E1138" s="152" t="s">
        <v>1344</v>
      </c>
      <c r="F1138" s="152" t="s">
        <v>240</v>
      </c>
      <c r="G1138" s="118" t="s">
        <v>209</v>
      </c>
      <c r="H1138" s="153" t="s">
        <v>212</v>
      </c>
    </row>
    <row r="1139" hidden="1">
      <c r="A1139" s="154" t="s">
        <v>204</v>
      </c>
      <c r="B1139" s="155" t="s">
        <v>205</v>
      </c>
      <c r="C1139" s="155" t="s">
        <v>206</v>
      </c>
      <c r="D1139" s="156" t="s">
        <v>1341</v>
      </c>
      <c r="E1139" s="156" t="s">
        <v>1345</v>
      </c>
      <c r="F1139" s="156" t="s">
        <v>242</v>
      </c>
      <c r="G1139" s="155" t="s">
        <v>209</v>
      </c>
      <c r="H1139" s="157" t="s">
        <v>213</v>
      </c>
    </row>
    <row r="1140" hidden="1">
      <c r="A1140" s="151" t="s">
        <v>204</v>
      </c>
      <c r="B1140" s="118" t="s">
        <v>205</v>
      </c>
      <c r="C1140" s="118" t="s">
        <v>206</v>
      </c>
      <c r="D1140" s="152" t="s">
        <v>1341</v>
      </c>
      <c r="E1140" s="152" t="s">
        <v>1346</v>
      </c>
      <c r="F1140" s="152" t="s">
        <v>244</v>
      </c>
      <c r="G1140" s="118" t="s">
        <v>209</v>
      </c>
      <c r="H1140" s="153" t="s">
        <v>214</v>
      </c>
    </row>
    <row r="1141" hidden="1">
      <c r="A1141" s="154" t="s">
        <v>204</v>
      </c>
      <c r="B1141" s="155" t="s">
        <v>205</v>
      </c>
      <c r="C1141" s="155" t="s">
        <v>206</v>
      </c>
      <c r="D1141" s="156" t="s">
        <v>1341</v>
      </c>
      <c r="E1141" s="156" t="s">
        <v>1347</v>
      </c>
      <c r="F1141" s="156" t="s">
        <v>240</v>
      </c>
      <c r="G1141" s="155" t="s">
        <v>209</v>
      </c>
      <c r="H1141" s="157" t="s">
        <v>215</v>
      </c>
    </row>
    <row r="1142" hidden="1">
      <c r="A1142" s="151" t="s">
        <v>204</v>
      </c>
      <c r="B1142" s="118" t="s">
        <v>205</v>
      </c>
      <c r="C1142" s="118" t="s">
        <v>206</v>
      </c>
      <c r="D1142" s="152" t="s">
        <v>1341</v>
      </c>
      <c r="E1142" s="152" t="s">
        <v>1348</v>
      </c>
      <c r="F1142" s="152" t="s">
        <v>357</v>
      </c>
      <c r="G1142" s="118" t="s">
        <v>209</v>
      </c>
      <c r="H1142" s="153" t="s">
        <v>216</v>
      </c>
    </row>
    <row r="1143" hidden="1">
      <c r="A1143" s="154" t="s">
        <v>217</v>
      </c>
      <c r="B1143" s="155" t="s">
        <v>191</v>
      </c>
      <c r="C1143" s="155" t="s">
        <v>206</v>
      </c>
      <c r="D1143" s="156" t="s">
        <v>1341</v>
      </c>
      <c r="E1143" s="156" t="s">
        <v>1349</v>
      </c>
      <c r="F1143" s="156" t="s">
        <v>357</v>
      </c>
      <c r="G1143" s="155" t="s">
        <v>209</v>
      </c>
      <c r="H1143" s="157" t="s">
        <v>210</v>
      </c>
    </row>
    <row r="1144" hidden="1">
      <c r="A1144" s="151" t="s">
        <v>217</v>
      </c>
      <c r="B1144" s="118" t="s">
        <v>191</v>
      </c>
      <c r="C1144" s="118" t="s">
        <v>206</v>
      </c>
      <c r="D1144" s="152" t="s">
        <v>1341</v>
      </c>
      <c r="E1144" s="152" t="s">
        <v>1350</v>
      </c>
      <c r="F1144" s="152" t="s">
        <v>257</v>
      </c>
      <c r="G1144" s="118" t="s">
        <v>209</v>
      </c>
      <c r="H1144" s="153" t="s">
        <v>211</v>
      </c>
    </row>
    <row r="1145" hidden="1">
      <c r="A1145" s="154" t="s">
        <v>217</v>
      </c>
      <c r="B1145" s="155" t="s">
        <v>191</v>
      </c>
      <c r="C1145" s="155" t="s">
        <v>206</v>
      </c>
      <c r="D1145" s="156" t="s">
        <v>1341</v>
      </c>
      <c r="E1145" s="156" t="s">
        <v>1351</v>
      </c>
      <c r="F1145" s="156" t="s">
        <v>246</v>
      </c>
      <c r="G1145" s="155" t="s">
        <v>209</v>
      </c>
      <c r="H1145" s="157" t="s">
        <v>212</v>
      </c>
    </row>
    <row r="1146" hidden="1">
      <c r="A1146" s="151" t="s">
        <v>217</v>
      </c>
      <c r="B1146" s="118" t="s">
        <v>191</v>
      </c>
      <c r="C1146" s="118" t="s">
        <v>206</v>
      </c>
      <c r="D1146" s="152" t="s">
        <v>1341</v>
      </c>
      <c r="E1146" s="152" t="s">
        <v>1352</v>
      </c>
      <c r="F1146" s="152" t="s">
        <v>308</v>
      </c>
      <c r="G1146" s="118" t="s">
        <v>209</v>
      </c>
      <c r="H1146" s="153" t="s">
        <v>213</v>
      </c>
    </row>
    <row r="1147" hidden="1">
      <c r="A1147" s="154" t="s">
        <v>217</v>
      </c>
      <c r="B1147" s="155" t="s">
        <v>191</v>
      </c>
      <c r="C1147" s="155" t="s">
        <v>206</v>
      </c>
      <c r="D1147" s="156" t="s">
        <v>1341</v>
      </c>
      <c r="E1147" s="156" t="s">
        <v>1353</v>
      </c>
      <c r="F1147" s="156" t="s">
        <v>357</v>
      </c>
      <c r="G1147" s="155" t="s">
        <v>209</v>
      </c>
      <c r="H1147" s="157" t="s">
        <v>214</v>
      </c>
    </row>
    <row r="1148" hidden="1">
      <c r="A1148" s="151" t="s">
        <v>217</v>
      </c>
      <c r="B1148" s="118" t="s">
        <v>191</v>
      </c>
      <c r="C1148" s="118" t="s">
        <v>206</v>
      </c>
      <c r="D1148" s="152" t="s">
        <v>1341</v>
      </c>
      <c r="E1148" s="152" t="s">
        <v>1354</v>
      </c>
      <c r="F1148" s="152" t="s">
        <v>246</v>
      </c>
      <c r="G1148" s="118" t="s">
        <v>209</v>
      </c>
      <c r="H1148" s="153" t="s">
        <v>215</v>
      </c>
    </row>
    <row r="1149" hidden="1">
      <c r="A1149" s="154" t="s">
        <v>217</v>
      </c>
      <c r="B1149" s="155" t="s">
        <v>191</v>
      </c>
      <c r="C1149" s="155" t="s">
        <v>206</v>
      </c>
      <c r="D1149" s="156" t="s">
        <v>1341</v>
      </c>
      <c r="E1149" s="156" t="s">
        <v>1355</v>
      </c>
      <c r="F1149" s="156" t="s">
        <v>242</v>
      </c>
      <c r="G1149" s="155" t="s">
        <v>209</v>
      </c>
      <c r="H1149" s="157" t="s">
        <v>216</v>
      </c>
    </row>
    <row r="1150" hidden="1">
      <c r="A1150" s="151" t="s">
        <v>218</v>
      </c>
      <c r="B1150" s="118" t="s">
        <v>219</v>
      </c>
      <c r="C1150" s="118" t="s">
        <v>206</v>
      </c>
      <c r="D1150" s="152" t="s">
        <v>1341</v>
      </c>
      <c r="E1150" s="152" t="s">
        <v>1356</v>
      </c>
      <c r="F1150" s="152" t="s">
        <v>374</v>
      </c>
      <c r="G1150" s="118" t="s">
        <v>209</v>
      </c>
      <c r="H1150" s="153" t="s">
        <v>210</v>
      </c>
    </row>
    <row r="1151" hidden="1">
      <c r="A1151" s="154" t="s">
        <v>218</v>
      </c>
      <c r="B1151" s="155" t="s">
        <v>219</v>
      </c>
      <c r="C1151" s="155" t="s">
        <v>206</v>
      </c>
      <c r="D1151" s="156" t="s">
        <v>1341</v>
      </c>
      <c r="E1151" s="156" t="s">
        <v>1357</v>
      </c>
      <c r="F1151" s="156" t="s">
        <v>374</v>
      </c>
      <c r="G1151" s="155" t="s">
        <v>209</v>
      </c>
      <c r="H1151" s="157" t="s">
        <v>211</v>
      </c>
    </row>
    <row r="1152" hidden="1">
      <c r="A1152" s="151" t="s">
        <v>218</v>
      </c>
      <c r="B1152" s="118" t="s">
        <v>219</v>
      </c>
      <c r="C1152" s="118" t="s">
        <v>206</v>
      </c>
      <c r="D1152" s="152" t="s">
        <v>1341</v>
      </c>
      <c r="E1152" s="152" t="s">
        <v>1358</v>
      </c>
      <c r="F1152" s="152" t="s">
        <v>255</v>
      </c>
      <c r="G1152" s="118" t="s">
        <v>209</v>
      </c>
      <c r="H1152" s="153" t="s">
        <v>212</v>
      </c>
    </row>
    <row r="1153" hidden="1">
      <c r="A1153" s="154" t="s">
        <v>218</v>
      </c>
      <c r="B1153" s="155" t="s">
        <v>219</v>
      </c>
      <c r="C1153" s="155" t="s">
        <v>206</v>
      </c>
      <c r="D1153" s="156" t="s">
        <v>1341</v>
      </c>
      <c r="E1153" s="156" t="s">
        <v>1359</v>
      </c>
      <c r="F1153" s="156" t="s">
        <v>374</v>
      </c>
      <c r="G1153" s="155" t="s">
        <v>209</v>
      </c>
      <c r="H1153" s="157" t="s">
        <v>213</v>
      </c>
    </row>
    <row r="1154" hidden="1">
      <c r="A1154" s="151" t="s">
        <v>218</v>
      </c>
      <c r="B1154" s="118" t="s">
        <v>219</v>
      </c>
      <c r="C1154" s="118" t="s">
        <v>206</v>
      </c>
      <c r="D1154" s="152" t="s">
        <v>1341</v>
      </c>
      <c r="E1154" s="152" t="s">
        <v>1360</v>
      </c>
      <c r="F1154" s="152" t="s">
        <v>262</v>
      </c>
      <c r="G1154" s="118" t="s">
        <v>209</v>
      </c>
      <c r="H1154" s="153" t="s">
        <v>214</v>
      </c>
    </row>
    <row r="1155" hidden="1">
      <c r="A1155" s="154" t="s">
        <v>218</v>
      </c>
      <c r="B1155" s="155" t="s">
        <v>219</v>
      </c>
      <c r="C1155" s="155" t="s">
        <v>206</v>
      </c>
      <c r="D1155" s="156" t="s">
        <v>1341</v>
      </c>
      <c r="E1155" s="156" t="s">
        <v>1361</v>
      </c>
      <c r="F1155" s="156" t="s">
        <v>276</v>
      </c>
      <c r="G1155" s="155" t="s">
        <v>209</v>
      </c>
      <c r="H1155" s="157" t="s">
        <v>215</v>
      </c>
    </row>
    <row r="1156" hidden="1">
      <c r="A1156" s="151" t="s">
        <v>218</v>
      </c>
      <c r="B1156" s="118" t="s">
        <v>219</v>
      </c>
      <c r="C1156" s="118" t="s">
        <v>206</v>
      </c>
      <c r="D1156" s="152" t="s">
        <v>1341</v>
      </c>
      <c r="E1156" s="152" t="s">
        <v>1362</v>
      </c>
      <c r="F1156" s="152" t="s">
        <v>374</v>
      </c>
      <c r="G1156" s="118" t="s">
        <v>209</v>
      </c>
      <c r="H1156" s="153" t="s">
        <v>216</v>
      </c>
    </row>
    <row r="1157" hidden="1">
      <c r="A1157" s="154" t="s">
        <v>220</v>
      </c>
      <c r="B1157" s="155" t="s">
        <v>190</v>
      </c>
      <c r="C1157" s="155" t="s">
        <v>206</v>
      </c>
      <c r="D1157" s="156" t="s">
        <v>1341</v>
      </c>
      <c r="E1157" s="156" t="s">
        <v>1363</v>
      </c>
      <c r="F1157" s="156" t="s">
        <v>735</v>
      </c>
      <c r="G1157" s="155" t="s">
        <v>209</v>
      </c>
      <c r="H1157" s="157" t="s">
        <v>210</v>
      </c>
    </row>
    <row r="1158" hidden="1">
      <c r="A1158" s="151" t="s">
        <v>220</v>
      </c>
      <c r="B1158" s="118" t="s">
        <v>190</v>
      </c>
      <c r="C1158" s="118" t="s">
        <v>206</v>
      </c>
      <c r="D1158" s="152" t="s">
        <v>1341</v>
      </c>
      <c r="E1158" s="152" t="s">
        <v>1364</v>
      </c>
      <c r="F1158" s="152" t="s">
        <v>321</v>
      </c>
      <c r="G1158" s="118" t="s">
        <v>209</v>
      </c>
      <c r="H1158" s="153" t="s">
        <v>211</v>
      </c>
    </row>
    <row r="1159" hidden="1">
      <c r="A1159" s="154" t="s">
        <v>220</v>
      </c>
      <c r="B1159" s="155" t="s">
        <v>190</v>
      </c>
      <c r="C1159" s="155" t="s">
        <v>206</v>
      </c>
      <c r="D1159" s="156" t="s">
        <v>1341</v>
      </c>
      <c r="E1159" s="156" t="s">
        <v>1365</v>
      </c>
      <c r="F1159" s="156" t="s">
        <v>285</v>
      </c>
      <c r="G1159" s="155" t="s">
        <v>209</v>
      </c>
      <c r="H1159" s="157" t="s">
        <v>212</v>
      </c>
    </row>
    <row r="1160" hidden="1">
      <c r="A1160" s="151" t="s">
        <v>220</v>
      </c>
      <c r="B1160" s="118" t="s">
        <v>190</v>
      </c>
      <c r="C1160" s="118" t="s">
        <v>206</v>
      </c>
      <c r="D1160" s="152" t="s">
        <v>1341</v>
      </c>
      <c r="E1160" s="152" t="s">
        <v>1366</v>
      </c>
      <c r="F1160" s="152" t="s">
        <v>240</v>
      </c>
      <c r="G1160" s="118" t="s">
        <v>209</v>
      </c>
      <c r="H1160" s="153" t="s">
        <v>213</v>
      </c>
    </row>
    <row r="1161" hidden="1">
      <c r="A1161" s="154" t="s">
        <v>220</v>
      </c>
      <c r="B1161" s="155" t="s">
        <v>190</v>
      </c>
      <c r="C1161" s="155" t="s">
        <v>206</v>
      </c>
      <c r="D1161" s="156" t="s">
        <v>1341</v>
      </c>
      <c r="E1161" s="156" t="s">
        <v>1367</v>
      </c>
      <c r="F1161" s="156" t="s">
        <v>308</v>
      </c>
      <c r="G1161" s="155" t="s">
        <v>209</v>
      </c>
      <c r="H1161" s="157" t="s">
        <v>214</v>
      </c>
    </row>
    <row r="1162" hidden="1">
      <c r="A1162" s="151" t="s">
        <v>220</v>
      </c>
      <c r="B1162" s="118" t="s">
        <v>190</v>
      </c>
      <c r="C1162" s="118" t="s">
        <v>206</v>
      </c>
      <c r="D1162" s="152" t="s">
        <v>1341</v>
      </c>
      <c r="E1162" s="152" t="s">
        <v>1368</v>
      </c>
      <c r="F1162" s="152" t="s">
        <v>204</v>
      </c>
      <c r="G1162" s="118" t="s">
        <v>209</v>
      </c>
      <c r="H1162" s="153" t="s">
        <v>215</v>
      </c>
    </row>
    <row r="1163" hidden="1">
      <c r="A1163" s="154" t="s">
        <v>220</v>
      </c>
      <c r="B1163" s="155" t="s">
        <v>190</v>
      </c>
      <c r="C1163" s="155" t="s">
        <v>206</v>
      </c>
      <c r="D1163" s="156" t="s">
        <v>1341</v>
      </c>
      <c r="E1163" s="156" t="s">
        <v>1369</v>
      </c>
      <c r="F1163" s="156" t="s">
        <v>325</v>
      </c>
      <c r="G1163" s="155" t="s">
        <v>209</v>
      </c>
      <c r="H1163" s="157" t="s">
        <v>216</v>
      </c>
    </row>
    <row r="1164" hidden="1">
      <c r="A1164" s="151" t="s">
        <v>221</v>
      </c>
      <c r="B1164" s="118" t="s">
        <v>189</v>
      </c>
      <c r="C1164" s="118" t="s">
        <v>206</v>
      </c>
      <c r="D1164" s="152" t="s">
        <v>1341</v>
      </c>
      <c r="E1164" s="152" t="s">
        <v>1370</v>
      </c>
      <c r="F1164" s="152" t="s">
        <v>265</v>
      </c>
      <c r="G1164" s="118" t="s">
        <v>209</v>
      </c>
      <c r="H1164" s="153" t="s">
        <v>210</v>
      </c>
    </row>
    <row r="1165" hidden="1">
      <c r="A1165" s="154" t="s">
        <v>221</v>
      </c>
      <c r="B1165" s="155" t="s">
        <v>189</v>
      </c>
      <c r="C1165" s="155" t="s">
        <v>206</v>
      </c>
      <c r="D1165" s="156" t="s">
        <v>1341</v>
      </c>
      <c r="E1165" s="156" t="s">
        <v>1371</v>
      </c>
      <c r="F1165" s="156" t="s">
        <v>799</v>
      </c>
      <c r="G1165" s="155" t="s">
        <v>209</v>
      </c>
      <c r="H1165" s="157" t="s">
        <v>211</v>
      </c>
    </row>
    <row r="1166" hidden="1">
      <c r="A1166" s="151" t="s">
        <v>221</v>
      </c>
      <c r="B1166" s="118" t="s">
        <v>189</v>
      </c>
      <c r="C1166" s="118" t="s">
        <v>206</v>
      </c>
      <c r="D1166" s="152" t="s">
        <v>1341</v>
      </c>
      <c r="E1166" s="152" t="s">
        <v>1372</v>
      </c>
      <c r="F1166" s="152" t="s">
        <v>374</v>
      </c>
      <c r="G1166" s="118" t="s">
        <v>209</v>
      </c>
      <c r="H1166" s="153" t="s">
        <v>212</v>
      </c>
    </row>
    <row r="1167" hidden="1">
      <c r="A1167" s="154" t="s">
        <v>221</v>
      </c>
      <c r="B1167" s="155" t="s">
        <v>189</v>
      </c>
      <c r="C1167" s="155" t="s">
        <v>206</v>
      </c>
      <c r="D1167" s="156" t="s">
        <v>1341</v>
      </c>
      <c r="E1167" s="156" t="s">
        <v>1373</v>
      </c>
      <c r="F1167" s="156" t="s">
        <v>301</v>
      </c>
      <c r="G1167" s="155" t="s">
        <v>209</v>
      </c>
      <c r="H1167" s="157" t="s">
        <v>213</v>
      </c>
    </row>
    <row r="1168" hidden="1">
      <c r="A1168" s="151" t="s">
        <v>221</v>
      </c>
      <c r="B1168" s="118" t="s">
        <v>189</v>
      </c>
      <c r="C1168" s="118" t="s">
        <v>206</v>
      </c>
      <c r="D1168" s="152" t="s">
        <v>1341</v>
      </c>
      <c r="E1168" s="152" t="s">
        <v>1374</v>
      </c>
      <c r="F1168" s="152" t="s">
        <v>269</v>
      </c>
      <c r="G1168" s="118" t="s">
        <v>209</v>
      </c>
      <c r="H1168" s="153" t="s">
        <v>214</v>
      </c>
    </row>
    <row r="1169" hidden="1">
      <c r="A1169" s="154" t="s">
        <v>221</v>
      </c>
      <c r="B1169" s="155" t="s">
        <v>189</v>
      </c>
      <c r="C1169" s="155" t="s">
        <v>206</v>
      </c>
      <c r="D1169" s="156" t="s">
        <v>1341</v>
      </c>
      <c r="E1169" s="156" t="s">
        <v>1375</v>
      </c>
      <c r="F1169" s="156" t="s">
        <v>257</v>
      </c>
      <c r="G1169" s="155" t="s">
        <v>209</v>
      </c>
      <c r="H1169" s="157" t="s">
        <v>215</v>
      </c>
    </row>
    <row r="1170" hidden="1">
      <c r="A1170" s="151" t="s">
        <v>221</v>
      </c>
      <c r="B1170" s="118" t="s">
        <v>189</v>
      </c>
      <c r="C1170" s="118" t="s">
        <v>206</v>
      </c>
      <c r="D1170" s="152" t="s">
        <v>1341</v>
      </c>
      <c r="E1170" s="152" t="s">
        <v>1376</v>
      </c>
      <c r="F1170" s="152" t="s">
        <v>365</v>
      </c>
      <c r="G1170" s="118" t="s">
        <v>209</v>
      </c>
      <c r="H1170" s="153" t="s">
        <v>216</v>
      </c>
    </row>
    <row r="1171" hidden="1">
      <c r="A1171" s="154" t="s">
        <v>222</v>
      </c>
      <c r="B1171" s="155" t="s">
        <v>192</v>
      </c>
      <c r="C1171" s="155" t="s">
        <v>206</v>
      </c>
      <c r="D1171" s="156" t="s">
        <v>1341</v>
      </c>
      <c r="E1171" s="156" t="s">
        <v>1377</v>
      </c>
      <c r="F1171" s="156" t="s">
        <v>259</v>
      </c>
      <c r="G1171" s="155" t="s">
        <v>209</v>
      </c>
      <c r="H1171" s="157" t="s">
        <v>210</v>
      </c>
    </row>
    <row r="1172" hidden="1">
      <c r="A1172" s="151" t="s">
        <v>222</v>
      </c>
      <c r="B1172" s="118" t="s">
        <v>192</v>
      </c>
      <c r="C1172" s="118" t="s">
        <v>206</v>
      </c>
      <c r="D1172" s="152" t="s">
        <v>1341</v>
      </c>
      <c r="E1172" s="152" t="s">
        <v>1378</v>
      </c>
      <c r="F1172" s="152" t="s">
        <v>269</v>
      </c>
      <c r="G1172" s="118" t="s">
        <v>209</v>
      </c>
      <c r="H1172" s="153" t="s">
        <v>211</v>
      </c>
    </row>
    <row r="1173" hidden="1">
      <c r="A1173" s="154" t="s">
        <v>222</v>
      </c>
      <c r="B1173" s="155" t="s">
        <v>192</v>
      </c>
      <c r="C1173" s="155" t="s">
        <v>206</v>
      </c>
      <c r="D1173" s="156" t="s">
        <v>1341</v>
      </c>
      <c r="E1173" s="156" t="s">
        <v>1379</v>
      </c>
      <c r="F1173" s="156" t="s">
        <v>374</v>
      </c>
      <c r="G1173" s="155" t="s">
        <v>209</v>
      </c>
      <c r="H1173" s="157" t="s">
        <v>212</v>
      </c>
    </row>
    <row r="1174" hidden="1">
      <c r="A1174" s="151" t="s">
        <v>222</v>
      </c>
      <c r="B1174" s="118" t="s">
        <v>192</v>
      </c>
      <c r="C1174" s="118" t="s">
        <v>206</v>
      </c>
      <c r="D1174" s="152" t="s">
        <v>1341</v>
      </c>
      <c r="E1174" s="152" t="s">
        <v>1380</v>
      </c>
      <c r="F1174" s="152" t="s">
        <v>301</v>
      </c>
      <c r="G1174" s="118" t="s">
        <v>209</v>
      </c>
      <c r="H1174" s="153" t="s">
        <v>213</v>
      </c>
    </row>
    <row r="1175" hidden="1">
      <c r="A1175" s="154" t="s">
        <v>222</v>
      </c>
      <c r="B1175" s="155" t="s">
        <v>192</v>
      </c>
      <c r="C1175" s="155" t="s">
        <v>206</v>
      </c>
      <c r="D1175" s="156" t="s">
        <v>1341</v>
      </c>
      <c r="E1175" s="156" t="s">
        <v>1381</v>
      </c>
      <c r="F1175" s="156" t="s">
        <v>257</v>
      </c>
      <c r="G1175" s="155" t="s">
        <v>209</v>
      </c>
      <c r="H1175" s="157" t="s">
        <v>214</v>
      </c>
    </row>
    <row r="1176" hidden="1">
      <c r="A1176" s="151" t="s">
        <v>222</v>
      </c>
      <c r="B1176" s="118" t="s">
        <v>192</v>
      </c>
      <c r="C1176" s="118" t="s">
        <v>206</v>
      </c>
      <c r="D1176" s="152" t="s">
        <v>1341</v>
      </c>
      <c r="E1176" s="152" t="s">
        <v>1382</v>
      </c>
      <c r="F1176" s="152" t="s">
        <v>262</v>
      </c>
      <c r="G1176" s="118" t="s">
        <v>209</v>
      </c>
      <c r="H1176" s="153" t="s">
        <v>215</v>
      </c>
    </row>
    <row r="1177" hidden="1">
      <c r="A1177" s="154" t="s">
        <v>222</v>
      </c>
      <c r="B1177" s="155" t="s">
        <v>192</v>
      </c>
      <c r="C1177" s="155" t="s">
        <v>206</v>
      </c>
      <c r="D1177" s="156" t="s">
        <v>1341</v>
      </c>
      <c r="E1177" s="156" t="s">
        <v>1383</v>
      </c>
      <c r="F1177" s="156" t="s">
        <v>255</v>
      </c>
      <c r="G1177" s="155" t="s">
        <v>209</v>
      </c>
      <c r="H1177" s="157" t="s">
        <v>216</v>
      </c>
    </row>
    <row r="1178" hidden="1">
      <c r="A1178" s="151" t="s">
        <v>223</v>
      </c>
      <c r="B1178" s="118" t="s">
        <v>144</v>
      </c>
      <c r="C1178" s="118" t="s">
        <v>206</v>
      </c>
      <c r="D1178" s="152" t="s">
        <v>1341</v>
      </c>
      <c r="E1178" s="152" t="s">
        <v>1384</v>
      </c>
      <c r="F1178" s="152" t="s">
        <v>314</v>
      </c>
      <c r="G1178" s="118" t="s">
        <v>209</v>
      </c>
      <c r="H1178" s="153" t="s">
        <v>210</v>
      </c>
    </row>
    <row r="1179" hidden="1">
      <c r="A1179" s="154" t="s">
        <v>223</v>
      </c>
      <c r="B1179" s="155" t="s">
        <v>144</v>
      </c>
      <c r="C1179" s="155" t="s">
        <v>206</v>
      </c>
      <c r="D1179" s="156" t="s">
        <v>1341</v>
      </c>
      <c r="E1179" s="156" t="s">
        <v>1385</v>
      </c>
      <c r="F1179" s="156" t="s">
        <v>314</v>
      </c>
      <c r="G1179" s="155" t="s">
        <v>209</v>
      </c>
      <c r="H1179" s="157" t="s">
        <v>211</v>
      </c>
    </row>
    <row r="1180" hidden="1">
      <c r="A1180" s="151" t="s">
        <v>223</v>
      </c>
      <c r="B1180" s="118" t="s">
        <v>144</v>
      </c>
      <c r="C1180" s="118" t="s">
        <v>206</v>
      </c>
      <c r="D1180" s="152" t="s">
        <v>1341</v>
      </c>
      <c r="E1180" s="152" t="s">
        <v>1386</v>
      </c>
      <c r="F1180" s="152" t="s">
        <v>244</v>
      </c>
      <c r="G1180" s="118" t="s">
        <v>209</v>
      </c>
      <c r="H1180" s="153" t="s">
        <v>212</v>
      </c>
    </row>
    <row r="1181" hidden="1">
      <c r="A1181" s="154" t="s">
        <v>223</v>
      </c>
      <c r="B1181" s="155" t="s">
        <v>144</v>
      </c>
      <c r="C1181" s="155" t="s">
        <v>206</v>
      </c>
      <c r="D1181" s="156" t="s">
        <v>1341</v>
      </c>
      <c r="E1181" s="156" t="s">
        <v>1387</v>
      </c>
      <c r="F1181" s="156" t="s">
        <v>357</v>
      </c>
      <c r="G1181" s="155" t="s">
        <v>209</v>
      </c>
      <c r="H1181" s="157" t="s">
        <v>213</v>
      </c>
    </row>
    <row r="1182" hidden="1">
      <c r="A1182" s="151" t="s">
        <v>223</v>
      </c>
      <c r="B1182" s="118" t="s">
        <v>144</v>
      </c>
      <c r="C1182" s="118" t="s">
        <v>206</v>
      </c>
      <c r="D1182" s="152" t="s">
        <v>1341</v>
      </c>
      <c r="E1182" s="152" t="s">
        <v>1388</v>
      </c>
      <c r="F1182" s="152" t="s">
        <v>305</v>
      </c>
      <c r="G1182" s="118" t="s">
        <v>209</v>
      </c>
      <c r="H1182" s="153" t="s">
        <v>214</v>
      </c>
    </row>
    <row r="1183" hidden="1">
      <c r="A1183" s="154" t="s">
        <v>223</v>
      </c>
      <c r="B1183" s="155" t="s">
        <v>144</v>
      </c>
      <c r="C1183" s="155" t="s">
        <v>206</v>
      </c>
      <c r="D1183" s="156" t="s">
        <v>1341</v>
      </c>
      <c r="E1183" s="156" t="s">
        <v>1389</v>
      </c>
      <c r="F1183" s="156" t="s">
        <v>351</v>
      </c>
      <c r="G1183" s="155" t="s">
        <v>209</v>
      </c>
      <c r="H1183" s="157" t="s">
        <v>215</v>
      </c>
    </row>
    <row r="1184" hidden="1">
      <c r="A1184" s="151" t="s">
        <v>223</v>
      </c>
      <c r="B1184" s="118" t="s">
        <v>144</v>
      </c>
      <c r="C1184" s="118" t="s">
        <v>206</v>
      </c>
      <c r="D1184" s="152" t="s">
        <v>1341</v>
      </c>
      <c r="E1184" s="152" t="s">
        <v>1390</v>
      </c>
      <c r="F1184" s="152" t="s">
        <v>314</v>
      </c>
      <c r="G1184" s="118" t="s">
        <v>209</v>
      </c>
      <c r="H1184" s="153" t="s">
        <v>216</v>
      </c>
    </row>
    <row r="1185" hidden="1">
      <c r="A1185" s="154" t="s">
        <v>224</v>
      </c>
      <c r="B1185" s="155" t="s">
        <v>170</v>
      </c>
      <c r="C1185" s="155" t="s">
        <v>206</v>
      </c>
      <c r="D1185" s="156" t="s">
        <v>1341</v>
      </c>
      <c r="E1185" s="156" t="s">
        <v>1391</v>
      </c>
      <c r="F1185" s="156" t="s">
        <v>259</v>
      </c>
      <c r="G1185" s="155" t="s">
        <v>209</v>
      </c>
      <c r="H1185" s="157" t="s">
        <v>210</v>
      </c>
    </row>
    <row r="1186" hidden="1">
      <c r="A1186" s="151" t="s">
        <v>224</v>
      </c>
      <c r="B1186" s="118" t="s">
        <v>170</v>
      </c>
      <c r="C1186" s="118" t="s">
        <v>206</v>
      </c>
      <c r="D1186" s="152" t="s">
        <v>1341</v>
      </c>
      <c r="E1186" s="152" t="s">
        <v>1392</v>
      </c>
      <c r="F1186" s="152" t="s">
        <v>492</v>
      </c>
      <c r="G1186" s="118" t="s">
        <v>209</v>
      </c>
      <c r="H1186" s="153" t="s">
        <v>211</v>
      </c>
    </row>
    <row r="1187" hidden="1">
      <c r="A1187" s="154" t="s">
        <v>224</v>
      </c>
      <c r="B1187" s="155" t="s">
        <v>170</v>
      </c>
      <c r="C1187" s="155" t="s">
        <v>206</v>
      </c>
      <c r="D1187" s="156" t="s">
        <v>1341</v>
      </c>
      <c r="E1187" s="156" t="s">
        <v>1393</v>
      </c>
      <c r="F1187" s="156" t="s">
        <v>374</v>
      </c>
      <c r="G1187" s="155" t="s">
        <v>209</v>
      </c>
      <c r="H1187" s="157" t="s">
        <v>212</v>
      </c>
    </row>
    <row r="1188" hidden="1">
      <c r="A1188" s="151" t="s">
        <v>224</v>
      </c>
      <c r="B1188" s="118" t="s">
        <v>170</v>
      </c>
      <c r="C1188" s="118" t="s">
        <v>206</v>
      </c>
      <c r="D1188" s="152" t="s">
        <v>1341</v>
      </c>
      <c r="E1188" s="152" t="s">
        <v>1394</v>
      </c>
      <c r="F1188" s="152" t="s">
        <v>374</v>
      </c>
      <c r="G1188" s="118" t="s">
        <v>209</v>
      </c>
      <c r="H1188" s="153" t="s">
        <v>213</v>
      </c>
    </row>
    <row r="1189" hidden="1">
      <c r="A1189" s="154" t="s">
        <v>224</v>
      </c>
      <c r="B1189" s="155" t="s">
        <v>170</v>
      </c>
      <c r="C1189" s="155" t="s">
        <v>206</v>
      </c>
      <c r="D1189" s="156" t="s">
        <v>1341</v>
      </c>
      <c r="E1189" s="156" t="s">
        <v>1395</v>
      </c>
      <c r="F1189" s="156" t="s">
        <v>255</v>
      </c>
      <c r="G1189" s="155" t="s">
        <v>209</v>
      </c>
      <c r="H1189" s="157" t="s">
        <v>214</v>
      </c>
    </row>
    <row r="1190" hidden="1">
      <c r="A1190" s="151" t="s">
        <v>224</v>
      </c>
      <c r="B1190" s="118" t="s">
        <v>170</v>
      </c>
      <c r="C1190" s="118" t="s">
        <v>206</v>
      </c>
      <c r="D1190" s="152" t="s">
        <v>1341</v>
      </c>
      <c r="E1190" s="152" t="s">
        <v>1396</v>
      </c>
      <c r="F1190" s="152" t="s">
        <v>240</v>
      </c>
      <c r="G1190" s="118" t="s">
        <v>209</v>
      </c>
      <c r="H1190" s="153" t="s">
        <v>215</v>
      </c>
    </row>
    <row r="1191" hidden="1">
      <c r="A1191" s="154" t="s">
        <v>224</v>
      </c>
      <c r="B1191" s="155" t="s">
        <v>170</v>
      </c>
      <c r="C1191" s="155" t="s">
        <v>206</v>
      </c>
      <c r="D1191" s="156" t="s">
        <v>1341</v>
      </c>
      <c r="E1191" s="156" t="s">
        <v>958</v>
      </c>
      <c r="F1191" s="156" t="s">
        <v>265</v>
      </c>
      <c r="G1191" s="155" t="s">
        <v>209</v>
      </c>
      <c r="H1191" s="157" t="s">
        <v>216</v>
      </c>
    </row>
    <row r="1192" hidden="1">
      <c r="A1192" s="151" t="s">
        <v>225</v>
      </c>
      <c r="B1192" s="118" t="s">
        <v>226</v>
      </c>
      <c r="C1192" s="118" t="s">
        <v>206</v>
      </c>
      <c r="D1192" s="152" t="s">
        <v>1341</v>
      </c>
      <c r="E1192" s="152" t="s">
        <v>1397</v>
      </c>
      <c r="F1192" s="152" t="s">
        <v>259</v>
      </c>
      <c r="G1192" s="118" t="s">
        <v>209</v>
      </c>
      <c r="H1192" s="153" t="s">
        <v>210</v>
      </c>
    </row>
    <row r="1193" hidden="1">
      <c r="A1193" s="154" t="s">
        <v>225</v>
      </c>
      <c r="B1193" s="155" t="s">
        <v>226</v>
      </c>
      <c r="C1193" s="155" t="s">
        <v>206</v>
      </c>
      <c r="D1193" s="156" t="s">
        <v>1341</v>
      </c>
      <c r="E1193" s="156" t="s">
        <v>1398</v>
      </c>
      <c r="F1193" s="156" t="s">
        <v>287</v>
      </c>
      <c r="G1193" s="155" t="s">
        <v>209</v>
      </c>
      <c r="H1193" s="157" t="s">
        <v>211</v>
      </c>
    </row>
    <row r="1194" hidden="1">
      <c r="A1194" s="151" t="s">
        <v>225</v>
      </c>
      <c r="B1194" s="118" t="s">
        <v>226</v>
      </c>
      <c r="C1194" s="118" t="s">
        <v>206</v>
      </c>
      <c r="D1194" s="152" t="s">
        <v>1341</v>
      </c>
      <c r="E1194" s="152" t="s">
        <v>1399</v>
      </c>
      <c r="F1194" s="152" t="s">
        <v>374</v>
      </c>
      <c r="G1194" s="118" t="s">
        <v>209</v>
      </c>
      <c r="H1194" s="153" t="s">
        <v>212</v>
      </c>
    </row>
    <row r="1195" hidden="1">
      <c r="A1195" s="154" t="s">
        <v>225</v>
      </c>
      <c r="B1195" s="155" t="s">
        <v>226</v>
      </c>
      <c r="C1195" s="155" t="s">
        <v>206</v>
      </c>
      <c r="D1195" s="156" t="s">
        <v>1341</v>
      </c>
      <c r="E1195" s="156" t="s">
        <v>1400</v>
      </c>
      <c r="F1195" s="156" t="s">
        <v>269</v>
      </c>
      <c r="G1195" s="155" t="s">
        <v>209</v>
      </c>
      <c r="H1195" s="157" t="s">
        <v>213</v>
      </c>
    </row>
    <row r="1196" hidden="1">
      <c r="A1196" s="151" t="s">
        <v>225</v>
      </c>
      <c r="B1196" s="118" t="s">
        <v>226</v>
      </c>
      <c r="C1196" s="118" t="s">
        <v>206</v>
      </c>
      <c r="D1196" s="152" t="s">
        <v>1341</v>
      </c>
      <c r="E1196" s="152" t="s">
        <v>1401</v>
      </c>
      <c r="F1196" s="152" t="s">
        <v>436</v>
      </c>
      <c r="G1196" s="118" t="s">
        <v>209</v>
      </c>
      <c r="H1196" s="153" t="s">
        <v>214</v>
      </c>
    </row>
    <row r="1197" hidden="1">
      <c r="A1197" s="154" t="s">
        <v>225</v>
      </c>
      <c r="B1197" s="155" t="s">
        <v>226</v>
      </c>
      <c r="C1197" s="155" t="s">
        <v>206</v>
      </c>
      <c r="D1197" s="156" t="s">
        <v>1341</v>
      </c>
      <c r="E1197" s="156" t="s">
        <v>1402</v>
      </c>
      <c r="F1197" s="156" t="s">
        <v>265</v>
      </c>
      <c r="G1197" s="155" t="s">
        <v>209</v>
      </c>
      <c r="H1197" s="157" t="s">
        <v>215</v>
      </c>
    </row>
    <row r="1198" hidden="1">
      <c r="A1198" s="151" t="s">
        <v>225</v>
      </c>
      <c r="B1198" s="118" t="s">
        <v>226</v>
      </c>
      <c r="C1198" s="118" t="s">
        <v>206</v>
      </c>
      <c r="D1198" s="152" t="s">
        <v>1341</v>
      </c>
      <c r="E1198" s="152" t="s">
        <v>1403</v>
      </c>
      <c r="F1198" s="152" t="s">
        <v>301</v>
      </c>
      <c r="G1198" s="118" t="s">
        <v>209</v>
      </c>
      <c r="H1198" s="153" t="s">
        <v>216</v>
      </c>
    </row>
    <row r="1199" hidden="1">
      <c r="A1199" s="154" t="s">
        <v>227</v>
      </c>
      <c r="B1199" s="155" t="s">
        <v>195</v>
      </c>
      <c r="C1199" s="155" t="s">
        <v>206</v>
      </c>
      <c r="D1199" s="156" t="s">
        <v>1341</v>
      </c>
      <c r="E1199" s="156" t="s">
        <v>1404</v>
      </c>
      <c r="F1199" s="156" t="s">
        <v>339</v>
      </c>
      <c r="G1199" s="155" t="s">
        <v>209</v>
      </c>
      <c r="H1199" s="157" t="s">
        <v>210</v>
      </c>
    </row>
    <row r="1200" hidden="1">
      <c r="A1200" s="151" t="s">
        <v>227</v>
      </c>
      <c r="B1200" s="118" t="s">
        <v>195</v>
      </c>
      <c r="C1200" s="118" t="s">
        <v>206</v>
      </c>
      <c r="D1200" s="152" t="s">
        <v>1341</v>
      </c>
      <c r="E1200" s="152" t="s">
        <v>1405</v>
      </c>
      <c r="F1200" s="152" t="s">
        <v>321</v>
      </c>
      <c r="G1200" s="118" t="s">
        <v>209</v>
      </c>
      <c r="H1200" s="153" t="s">
        <v>211</v>
      </c>
    </row>
    <row r="1201" hidden="1">
      <c r="A1201" s="154" t="s">
        <v>227</v>
      </c>
      <c r="B1201" s="155" t="s">
        <v>195</v>
      </c>
      <c r="C1201" s="155" t="s">
        <v>206</v>
      </c>
      <c r="D1201" s="156" t="s">
        <v>1341</v>
      </c>
      <c r="E1201" s="156" t="s">
        <v>1406</v>
      </c>
      <c r="F1201" s="156" t="s">
        <v>287</v>
      </c>
      <c r="G1201" s="155" t="s">
        <v>209</v>
      </c>
      <c r="H1201" s="157" t="s">
        <v>212</v>
      </c>
    </row>
    <row r="1202" hidden="1">
      <c r="A1202" s="151" t="s">
        <v>227</v>
      </c>
      <c r="B1202" s="118" t="s">
        <v>195</v>
      </c>
      <c r="C1202" s="118" t="s">
        <v>206</v>
      </c>
      <c r="D1202" s="152" t="s">
        <v>1341</v>
      </c>
      <c r="E1202" s="152" t="s">
        <v>1407</v>
      </c>
      <c r="F1202" s="152" t="s">
        <v>287</v>
      </c>
      <c r="G1202" s="118" t="s">
        <v>209</v>
      </c>
      <c r="H1202" s="153" t="s">
        <v>213</v>
      </c>
    </row>
    <row r="1203" hidden="1">
      <c r="A1203" s="154" t="s">
        <v>227</v>
      </c>
      <c r="B1203" s="155" t="s">
        <v>195</v>
      </c>
      <c r="C1203" s="155" t="s">
        <v>206</v>
      </c>
      <c r="D1203" s="156" t="s">
        <v>1341</v>
      </c>
      <c r="E1203" s="156" t="s">
        <v>1408</v>
      </c>
      <c r="F1203" s="156" t="s">
        <v>249</v>
      </c>
      <c r="G1203" s="155" t="s">
        <v>209</v>
      </c>
      <c r="H1203" s="157" t="s">
        <v>214</v>
      </c>
    </row>
    <row r="1204" hidden="1">
      <c r="A1204" s="151" t="s">
        <v>227</v>
      </c>
      <c r="B1204" s="118" t="s">
        <v>195</v>
      </c>
      <c r="C1204" s="118" t="s">
        <v>206</v>
      </c>
      <c r="D1204" s="152" t="s">
        <v>1341</v>
      </c>
      <c r="E1204" s="152" t="s">
        <v>1409</v>
      </c>
      <c r="F1204" s="152" t="s">
        <v>287</v>
      </c>
      <c r="G1204" s="118" t="s">
        <v>209</v>
      </c>
      <c r="H1204" s="153" t="s">
        <v>215</v>
      </c>
    </row>
    <row r="1205" hidden="1">
      <c r="A1205" s="154" t="s">
        <v>227</v>
      </c>
      <c r="B1205" s="155" t="s">
        <v>195</v>
      </c>
      <c r="C1205" s="155" t="s">
        <v>206</v>
      </c>
      <c r="D1205" s="156" t="s">
        <v>1341</v>
      </c>
      <c r="E1205" s="156" t="s">
        <v>1410</v>
      </c>
      <c r="F1205" s="156" t="s">
        <v>308</v>
      </c>
      <c r="G1205" s="155" t="s">
        <v>209</v>
      </c>
      <c r="H1205" s="157" t="s">
        <v>216</v>
      </c>
    </row>
    <row r="1206" hidden="1">
      <c r="A1206" s="151" t="s">
        <v>228</v>
      </c>
      <c r="B1206" s="118" t="s">
        <v>138</v>
      </c>
      <c r="C1206" s="118" t="s">
        <v>206</v>
      </c>
      <c r="D1206" s="152" t="s">
        <v>1341</v>
      </c>
      <c r="E1206" s="152" t="s">
        <v>1411</v>
      </c>
      <c r="F1206" s="152" t="s">
        <v>532</v>
      </c>
      <c r="G1206" s="118" t="s">
        <v>209</v>
      </c>
      <c r="H1206" s="153" t="s">
        <v>210</v>
      </c>
    </row>
    <row r="1207" hidden="1">
      <c r="A1207" s="154" t="s">
        <v>228</v>
      </c>
      <c r="B1207" s="155" t="s">
        <v>138</v>
      </c>
      <c r="C1207" s="155" t="s">
        <v>206</v>
      </c>
      <c r="D1207" s="156" t="s">
        <v>1341</v>
      </c>
      <c r="E1207" s="156" t="s">
        <v>1412</v>
      </c>
      <c r="F1207" s="156" t="s">
        <v>339</v>
      </c>
      <c r="G1207" s="155" t="s">
        <v>209</v>
      </c>
      <c r="H1207" s="157" t="s">
        <v>211</v>
      </c>
    </row>
    <row r="1208" hidden="1">
      <c r="A1208" s="151" t="s">
        <v>228</v>
      </c>
      <c r="B1208" s="118" t="s">
        <v>138</v>
      </c>
      <c r="C1208" s="118" t="s">
        <v>206</v>
      </c>
      <c r="D1208" s="152" t="s">
        <v>1341</v>
      </c>
      <c r="E1208" s="152" t="s">
        <v>1413</v>
      </c>
      <c r="F1208" s="152" t="s">
        <v>357</v>
      </c>
      <c r="G1208" s="118" t="s">
        <v>209</v>
      </c>
      <c r="H1208" s="153" t="s">
        <v>212</v>
      </c>
    </row>
    <row r="1209" hidden="1">
      <c r="A1209" s="154" t="s">
        <v>228</v>
      </c>
      <c r="B1209" s="155" t="s">
        <v>138</v>
      </c>
      <c r="C1209" s="155" t="s">
        <v>206</v>
      </c>
      <c r="D1209" s="156" t="s">
        <v>1341</v>
      </c>
      <c r="E1209" s="156" t="s">
        <v>1414</v>
      </c>
      <c r="F1209" s="156" t="s">
        <v>240</v>
      </c>
      <c r="G1209" s="155" t="s">
        <v>209</v>
      </c>
      <c r="H1209" s="157" t="s">
        <v>213</v>
      </c>
    </row>
    <row r="1210" hidden="1">
      <c r="A1210" s="151" t="s">
        <v>228</v>
      </c>
      <c r="B1210" s="118" t="s">
        <v>138</v>
      </c>
      <c r="C1210" s="118" t="s">
        <v>206</v>
      </c>
      <c r="D1210" s="152" t="s">
        <v>1341</v>
      </c>
      <c r="E1210" s="152" t="s">
        <v>1415</v>
      </c>
      <c r="F1210" s="152" t="s">
        <v>492</v>
      </c>
      <c r="G1210" s="118" t="s">
        <v>209</v>
      </c>
      <c r="H1210" s="153" t="s">
        <v>214</v>
      </c>
    </row>
    <row r="1211" hidden="1">
      <c r="A1211" s="154" t="s">
        <v>228</v>
      </c>
      <c r="B1211" s="155" t="s">
        <v>138</v>
      </c>
      <c r="C1211" s="155" t="s">
        <v>206</v>
      </c>
      <c r="D1211" s="156" t="s">
        <v>1341</v>
      </c>
      <c r="E1211" s="156" t="s">
        <v>1416</v>
      </c>
      <c r="F1211" s="156" t="s">
        <v>323</v>
      </c>
      <c r="G1211" s="155" t="s">
        <v>209</v>
      </c>
      <c r="H1211" s="157" t="s">
        <v>215</v>
      </c>
    </row>
    <row r="1212" hidden="1">
      <c r="A1212" s="151" t="s">
        <v>228</v>
      </c>
      <c r="B1212" s="118" t="s">
        <v>138</v>
      </c>
      <c r="C1212" s="118" t="s">
        <v>206</v>
      </c>
      <c r="D1212" s="152" t="s">
        <v>1341</v>
      </c>
      <c r="E1212" s="152" t="s">
        <v>1417</v>
      </c>
      <c r="F1212" s="152" t="s">
        <v>450</v>
      </c>
      <c r="G1212" s="118" t="s">
        <v>209</v>
      </c>
      <c r="H1212" s="153" t="s">
        <v>216</v>
      </c>
    </row>
    <row r="1213" hidden="1">
      <c r="A1213" s="154" t="s">
        <v>229</v>
      </c>
      <c r="B1213" s="155" t="s">
        <v>193</v>
      </c>
      <c r="C1213" s="155" t="s">
        <v>206</v>
      </c>
      <c r="D1213" s="156" t="s">
        <v>1341</v>
      </c>
      <c r="E1213" s="156" t="s">
        <v>1418</v>
      </c>
      <c r="F1213" s="156" t="s">
        <v>269</v>
      </c>
      <c r="G1213" s="155" t="s">
        <v>209</v>
      </c>
      <c r="H1213" s="157" t="s">
        <v>210</v>
      </c>
    </row>
    <row r="1214" hidden="1">
      <c r="A1214" s="151" t="s">
        <v>229</v>
      </c>
      <c r="B1214" s="118" t="s">
        <v>193</v>
      </c>
      <c r="C1214" s="118" t="s">
        <v>206</v>
      </c>
      <c r="D1214" s="152" t="s">
        <v>1341</v>
      </c>
      <c r="E1214" s="152" t="s">
        <v>1419</v>
      </c>
      <c r="F1214" s="152" t="s">
        <v>244</v>
      </c>
      <c r="G1214" s="118" t="s">
        <v>209</v>
      </c>
      <c r="H1214" s="153" t="s">
        <v>211</v>
      </c>
    </row>
    <row r="1215" hidden="1">
      <c r="A1215" s="154" t="s">
        <v>229</v>
      </c>
      <c r="B1215" s="155" t="s">
        <v>193</v>
      </c>
      <c r="C1215" s="155" t="s">
        <v>206</v>
      </c>
      <c r="D1215" s="156" t="s">
        <v>1341</v>
      </c>
      <c r="E1215" s="156" t="s">
        <v>1420</v>
      </c>
      <c r="F1215" s="156" t="s">
        <v>276</v>
      </c>
      <c r="G1215" s="155" t="s">
        <v>209</v>
      </c>
      <c r="H1215" s="157" t="s">
        <v>212</v>
      </c>
    </row>
    <row r="1216" hidden="1">
      <c r="A1216" s="151" t="s">
        <v>229</v>
      </c>
      <c r="B1216" s="118" t="s">
        <v>193</v>
      </c>
      <c r="C1216" s="118" t="s">
        <v>206</v>
      </c>
      <c r="D1216" s="152" t="s">
        <v>1341</v>
      </c>
      <c r="E1216" s="152" t="s">
        <v>1421</v>
      </c>
      <c r="F1216" s="152" t="s">
        <v>244</v>
      </c>
      <c r="G1216" s="118" t="s">
        <v>209</v>
      </c>
      <c r="H1216" s="153" t="s">
        <v>213</v>
      </c>
    </row>
    <row r="1217" hidden="1">
      <c r="A1217" s="154" t="s">
        <v>229</v>
      </c>
      <c r="B1217" s="155" t="s">
        <v>193</v>
      </c>
      <c r="C1217" s="155" t="s">
        <v>206</v>
      </c>
      <c r="D1217" s="156" t="s">
        <v>1341</v>
      </c>
      <c r="E1217" s="156" t="s">
        <v>1422</v>
      </c>
      <c r="F1217" s="156" t="s">
        <v>357</v>
      </c>
      <c r="G1217" s="155" t="s">
        <v>209</v>
      </c>
      <c r="H1217" s="157" t="s">
        <v>214</v>
      </c>
    </row>
    <row r="1218" hidden="1">
      <c r="A1218" s="151" t="s">
        <v>229</v>
      </c>
      <c r="B1218" s="118" t="s">
        <v>193</v>
      </c>
      <c r="C1218" s="118" t="s">
        <v>206</v>
      </c>
      <c r="D1218" s="152" t="s">
        <v>1341</v>
      </c>
      <c r="E1218" s="152" t="s">
        <v>1423</v>
      </c>
      <c r="F1218" s="152" t="s">
        <v>301</v>
      </c>
      <c r="G1218" s="118" t="s">
        <v>209</v>
      </c>
      <c r="H1218" s="153" t="s">
        <v>215</v>
      </c>
    </row>
    <row r="1219" hidden="1">
      <c r="A1219" s="154" t="s">
        <v>229</v>
      </c>
      <c r="B1219" s="155" t="s">
        <v>193</v>
      </c>
      <c r="C1219" s="155" t="s">
        <v>206</v>
      </c>
      <c r="D1219" s="156" t="s">
        <v>1341</v>
      </c>
      <c r="E1219" s="156" t="s">
        <v>1424</v>
      </c>
      <c r="F1219" s="156" t="s">
        <v>287</v>
      </c>
      <c r="G1219" s="155" t="s">
        <v>209</v>
      </c>
      <c r="H1219" s="157" t="s">
        <v>216</v>
      </c>
    </row>
    <row r="1220" hidden="1">
      <c r="A1220" s="151" t="s">
        <v>230</v>
      </c>
      <c r="B1220" s="118" t="s">
        <v>194</v>
      </c>
      <c r="C1220" s="118" t="s">
        <v>206</v>
      </c>
      <c r="D1220" s="152" t="s">
        <v>1341</v>
      </c>
      <c r="E1220" s="152" t="s">
        <v>1425</v>
      </c>
      <c r="F1220" s="152" t="s">
        <v>357</v>
      </c>
      <c r="G1220" s="118" t="s">
        <v>209</v>
      </c>
      <c r="H1220" s="153" t="s">
        <v>210</v>
      </c>
    </row>
    <row r="1221" hidden="1">
      <c r="A1221" s="154" t="s">
        <v>230</v>
      </c>
      <c r="B1221" s="155" t="s">
        <v>194</v>
      </c>
      <c r="C1221" s="155" t="s">
        <v>206</v>
      </c>
      <c r="D1221" s="156" t="s">
        <v>1341</v>
      </c>
      <c r="E1221" s="156" t="s">
        <v>1426</v>
      </c>
      <c r="F1221" s="156" t="s">
        <v>244</v>
      </c>
      <c r="G1221" s="155" t="s">
        <v>209</v>
      </c>
      <c r="H1221" s="157" t="s">
        <v>211</v>
      </c>
    </row>
    <row r="1222" hidden="1">
      <c r="A1222" s="151" t="s">
        <v>230</v>
      </c>
      <c r="B1222" s="118" t="s">
        <v>194</v>
      </c>
      <c r="C1222" s="118" t="s">
        <v>206</v>
      </c>
      <c r="D1222" s="152" t="s">
        <v>1341</v>
      </c>
      <c r="E1222" s="152" t="s">
        <v>1427</v>
      </c>
      <c r="F1222" s="152" t="s">
        <v>255</v>
      </c>
      <c r="G1222" s="118" t="s">
        <v>209</v>
      </c>
      <c r="H1222" s="153" t="s">
        <v>212</v>
      </c>
    </row>
    <row r="1223" hidden="1">
      <c r="A1223" s="154" t="s">
        <v>230</v>
      </c>
      <c r="B1223" s="155" t="s">
        <v>194</v>
      </c>
      <c r="C1223" s="155" t="s">
        <v>206</v>
      </c>
      <c r="D1223" s="156" t="s">
        <v>1341</v>
      </c>
      <c r="E1223" s="156" t="s">
        <v>1428</v>
      </c>
      <c r="F1223" s="156" t="s">
        <v>246</v>
      </c>
      <c r="G1223" s="155" t="s">
        <v>209</v>
      </c>
      <c r="H1223" s="157" t="s">
        <v>213</v>
      </c>
    </row>
    <row r="1224" hidden="1">
      <c r="A1224" s="151" t="s">
        <v>230</v>
      </c>
      <c r="B1224" s="118" t="s">
        <v>194</v>
      </c>
      <c r="C1224" s="118" t="s">
        <v>206</v>
      </c>
      <c r="D1224" s="152" t="s">
        <v>1341</v>
      </c>
      <c r="E1224" s="152" t="s">
        <v>1429</v>
      </c>
      <c r="F1224" s="152" t="s">
        <v>276</v>
      </c>
      <c r="G1224" s="118" t="s">
        <v>209</v>
      </c>
      <c r="H1224" s="153" t="s">
        <v>214</v>
      </c>
    </row>
    <row r="1225" hidden="1">
      <c r="A1225" s="154" t="s">
        <v>230</v>
      </c>
      <c r="B1225" s="155" t="s">
        <v>194</v>
      </c>
      <c r="C1225" s="155" t="s">
        <v>206</v>
      </c>
      <c r="D1225" s="156" t="s">
        <v>1341</v>
      </c>
      <c r="E1225" s="156" t="s">
        <v>1430</v>
      </c>
      <c r="F1225" s="156" t="s">
        <v>242</v>
      </c>
      <c r="G1225" s="155" t="s">
        <v>209</v>
      </c>
      <c r="H1225" s="157" t="s">
        <v>215</v>
      </c>
    </row>
    <row r="1226" hidden="1">
      <c r="A1226" s="151" t="s">
        <v>230</v>
      </c>
      <c r="B1226" s="118" t="s">
        <v>194</v>
      </c>
      <c r="C1226" s="118" t="s">
        <v>206</v>
      </c>
      <c r="D1226" s="152" t="s">
        <v>1341</v>
      </c>
      <c r="E1226" s="152" t="s">
        <v>1431</v>
      </c>
      <c r="F1226" s="152" t="s">
        <v>244</v>
      </c>
      <c r="G1226" s="118" t="s">
        <v>209</v>
      </c>
      <c r="H1226" s="153" t="s">
        <v>216</v>
      </c>
    </row>
    <row r="1227" hidden="1">
      <c r="A1227" s="158" t="s">
        <v>231</v>
      </c>
      <c r="B1227" s="159"/>
      <c r="C1227" s="155" t="s">
        <v>232</v>
      </c>
      <c r="D1227" s="156" t="s">
        <v>1341</v>
      </c>
      <c r="E1227" s="156" t="s">
        <v>1432</v>
      </c>
      <c r="F1227" s="156" t="s">
        <v>718</v>
      </c>
      <c r="G1227" s="155" t="s">
        <v>209</v>
      </c>
      <c r="H1227" s="157" t="s">
        <v>210</v>
      </c>
    </row>
    <row r="1228" hidden="1">
      <c r="A1228" s="160" t="s">
        <v>231</v>
      </c>
      <c r="B1228" s="72"/>
      <c r="C1228" s="118" t="s">
        <v>232</v>
      </c>
      <c r="D1228" s="152" t="s">
        <v>1341</v>
      </c>
      <c r="E1228" s="152" t="s">
        <v>1433</v>
      </c>
      <c r="F1228" s="152" t="s">
        <v>534</v>
      </c>
      <c r="G1228" s="118" t="s">
        <v>209</v>
      </c>
      <c r="H1228" s="153" t="s">
        <v>211</v>
      </c>
    </row>
    <row r="1229" hidden="1">
      <c r="A1229" s="158" t="s">
        <v>231</v>
      </c>
      <c r="B1229" s="159"/>
      <c r="C1229" s="155" t="s">
        <v>232</v>
      </c>
      <c r="D1229" s="156" t="s">
        <v>1341</v>
      </c>
      <c r="E1229" s="156" t="s">
        <v>1434</v>
      </c>
      <c r="F1229" s="156" t="s">
        <v>308</v>
      </c>
      <c r="G1229" s="155" t="s">
        <v>209</v>
      </c>
      <c r="H1229" s="157" t="s">
        <v>212</v>
      </c>
    </row>
    <row r="1230" hidden="1">
      <c r="A1230" s="160" t="s">
        <v>231</v>
      </c>
      <c r="B1230" s="72"/>
      <c r="C1230" s="118" t="s">
        <v>232</v>
      </c>
      <c r="D1230" s="152" t="s">
        <v>1341</v>
      </c>
      <c r="E1230" s="152" t="s">
        <v>1435</v>
      </c>
      <c r="F1230" s="152" t="s">
        <v>427</v>
      </c>
      <c r="G1230" s="118" t="s">
        <v>209</v>
      </c>
      <c r="H1230" s="153" t="s">
        <v>213</v>
      </c>
    </row>
    <row r="1231" hidden="1">
      <c r="A1231" s="158" t="s">
        <v>231</v>
      </c>
      <c r="B1231" s="159"/>
      <c r="C1231" s="155" t="s">
        <v>232</v>
      </c>
      <c r="D1231" s="156" t="s">
        <v>1341</v>
      </c>
      <c r="E1231" s="156" t="s">
        <v>1436</v>
      </c>
      <c r="F1231" s="156" t="s">
        <v>532</v>
      </c>
      <c r="G1231" s="155" t="s">
        <v>209</v>
      </c>
      <c r="H1231" s="157" t="s">
        <v>214</v>
      </c>
    </row>
    <row r="1232" hidden="1">
      <c r="A1232" s="160" t="s">
        <v>231</v>
      </c>
      <c r="B1232" s="72"/>
      <c r="C1232" s="118" t="s">
        <v>232</v>
      </c>
      <c r="D1232" s="152" t="s">
        <v>1341</v>
      </c>
      <c r="E1232" s="152" t="s">
        <v>1437</v>
      </c>
      <c r="F1232" s="152" t="s">
        <v>255</v>
      </c>
      <c r="G1232" s="118" t="s">
        <v>209</v>
      </c>
      <c r="H1232" s="153" t="s">
        <v>215</v>
      </c>
    </row>
    <row r="1233" hidden="1">
      <c r="A1233" s="158" t="s">
        <v>231</v>
      </c>
      <c r="B1233" s="159"/>
      <c r="C1233" s="155" t="s">
        <v>232</v>
      </c>
      <c r="D1233" s="156" t="s">
        <v>1341</v>
      </c>
      <c r="E1233" s="156" t="s">
        <v>1438</v>
      </c>
      <c r="F1233" s="156" t="s">
        <v>483</v>
      </c>
      <c r="G1233" s="155" t="s">
        <v>209</v>
      </c>
      <c r="H1233" s="157" t="s">
        <v>216</v>
      </c>
    </row>
    <row r="1234" hidden="1">
      <c r="A1234" s="160" t="s">
        <v>233</v>
      </c>
      <c r="B1234" s="72"/>
      <c r="C1234" s="118" t="s">
        <v>232</v>
      </c>
      <c r="D1234" s="152" t="s">
        <v>1341</v>
      </c>
      <c r="E1234" s="152" t="s">
        <v>1439</v>
      </c>
      <c r="F1234" s="152" t="s">
        <v>242</v>
      </c>
      <c r="G1234" s="118" t="s">
        <v>209</v>
      </c>
      <c r="H1234" s="153" t="s">
        <v>210</v>
      </c>
    </row>
    <row r="1235" hidden="1">
      <c r="A1235" s="158" t="s">
        <v>233</v>
      </c>
      <c r="B1235" s="159"/>
      <c r="C1235" s="155" t="s">
        <v>232</v>
      </c>
      <c r="D1235" s="156" t="s">
        <v>1341</v>
      </c>
      <c r="E1235" s="156" t="s">
        <v>1440</v>
      </c>
      <c r="F1235" s="156" t="s">
        <v>257</v>
      </c>
      <c r="G1235" s="155" t="s">
        <v>209</v>
      </c>
      <c r="H1235" s="157" t="s">
        <v>211</v>
      </c>
    </row>
    <row r="1236" hidden="1">
      <c r="A1236" s="160" t="s">
        <v>233</v>
      </c>
      <c r="B1236" s="72"/>
      <c r="C1236" s="118" t="s">
        <v>232</v>
      </c>
      <c r="D1236" s="152" t="s">
        <v>1341</v>
      </c>
      <c r="E1236" s="152" t="s">
        <v>1441</v>
      </c>
      <c r="F1236" s="152" t="s">
        <v>240</v>
      </c>
      <c r="G1236" s="118" t="s">
        <v>209</v>
      </c>
      <c r="H1236" s="153" t="s">
        <v>212</v>
      </c>
    </row>
    <row r="1237" hidden="1">
      <c r="A1237" s="158" t="s">
        <v>233</v>
      </c>
      <c r="B1237" s="159"/>
      <c r="C1237" s="155" t="s">
        <v>232</v>
      </c>
      <c r="D1237" s="156" t="s">
        <v>1341</v>
      </c>
      <c r="E1237" s="156" t="s">
        <v>1442</v>
      </c>
      <c r="F1237" s="156" t="s">
        <v>244</v>
      </c>
      <c r="G1237" s="155" t="s">
        <v>209</v>
      </c>
      <c r="H1237" s="157" t="s">
        <v>213</v>
      </c>
    </row>
    <row r="1238" hidden="1">
      <c r="A1238" s="160" t="s">
        <v>233</v>
      </c>
      <c r="B1238" s="72"/>
      <c r="C1238" s="118" t="s">
        <v>232</v>
      </c>
      <c r="D1238" s="152" t="s">
        <v>1341</v>
      </c>
      <c r="E1238" s="152" t="s">
        <v>1443</v>
      </c>
      <c r="F1238" s="152" t="s">
        <v>257</v>
      </c>
      <c r="G1238" s="118" t="s">
        <v>209</v>
      </c>
      <c r="H1238" s="153" t="s">
        <v>214</v>
      </c>
    </row>
    <row r="1239" hidden="1">
      <c r="A1239" s="158" t="s">
        <v>233</v>
      </c>
      <c r="B1239" s="159"/>
      <c r="C1239" s="155" t="s">
        <v>232</v>
      </c>
      <c r="D1239" s="156" t="s">
        <v>1341</v>
      </c>
      <c r="E1239" s="156" t="s">
        <v>1444</v>
      </c>
      <c r="F1239" s="156" t="s">
        <v>287</v>
      </c>
      <c r="G1239" s="155" t="s">
        <v>209</v>
      </c>
      <c r="H1239" s="157" t="s">
        <v>215</v>
      </c>
    </row>
    <row r="1240" hidden="1">
      <c r="A1240" s="160" t="s">
        <v>233</v>
      </c>
      <c r="B1240" s="72"/>
      <c r="C1240" s="118" t="s">
        <v>232</v>
      </c>
      <c r="D1240" s="152" t="s">
        <v>1341</v>
      </c>
      <c r="E1240" s="152" t="s">
        <v>1445</v>
      </c>
      <c r="F1240" s="152" t="s">
        <v>246</v>
      </c>
      <c r="G1240" s="118" t="s">
        <v>209</v>
      </c>
      <c r="H1240" s="153" t="s">
        <v>216</v>
      </c>
    </row>
    <row r="1241" hidden="1">
      <c r="A1241" s="158" t="s">
        <v>234</v>
      </c>
      <c r="B1241" s="159"/>
      <c r="C1241" s="155" t="s">
        <v>232</v>
      </c>
      <c r="D1241" s="156" t="s">
        <v>1341</v>
      </c>
      <c r="E1241" s="156" t="s">
        <v>1446</v>
      </c>
      <c r="F1241" s="156" t="s">
        <v>246</v>
      </c>
      <c r="G1241" s="155" t="s">
        <v>209</v>
      </c>
      <c r="H1241" s="157" t="s">
        <v>210</v>
      </c>
    </row>
    <row r="1242" hidden="1">
      <c r="A1242" s="160" t="s">
        <v>234</v>
      </c>
      <c r="B1242" s="72"/>
      <c r="C1242" s="118" t="s">
        <v>232</v>
      </c>
      <c r="D1242" s="152" t="s">
        <v>1341</v>
      </c>
      <c r="E1242" s="152" t="s">
        <v>1447</v>
      </c>
      <c r="F1242" s="152" t="s">
        <v>249</v>
      </c>
      <c r="G1242" s="118" t="s">
        <v>209</v>
      </c>
      <c r="H1242" s="153" t="s">
        <v>211</v>
      </c>
    </row>
    <row r="1243" hidden="1">
      <c r="A1243" s="158" t="s">
        <v>234</v>
      </c>
      <c r="B1243" s="159"/>
      <c r="C1243" s="155" t="s">
        <v>232</v>
      </c>
      <c r="D1243" s="156" t="s">
        <v>1341</v>
      </c>
      <c r="E1243" s="156" t="s">
        <v>1448</v>
      </c>
      <c r="F1243" s="156" t="s">
        <v>298</v>
      </c>
      <c r="G1243" s="155" t="s">
        <v>209</v>
      </c>
      <c r="H1243" s="157" t="s">
        <v>212</v>
      </c>
    </row>
    <row r="1244" hidden="1">
      <c r="A1244" s="160" t="s">
        <v>234</v>
      </c>
      <c r="B1244" s="72"/>
      <c r="C1244" s="118" t="s">
        <v>232</v>
      </c>
      <c r="D1244" s="152" t="s">
        <v>1341</v>
      </c>
      <c r="E1244" s="152" t="s">
        <v>1449</v>
      </c>
      <c r="F1244" s="152" t="s">
        <v>374</v>
      </c>
      <c r="G1244" s="118" t="s">
        <v>209</v>
      </c>
      <c r="H1244" s="153" t="s">
        <v>213</v>
      </c>
    </row>
    <row r="1245" hidden="1">
      <c r="A1245" s="158" t="s">
        <v>234</v>
      </c>
      <c r="B1245" s="159"/>
      <c r="C1245" s="155" t="s">
        <v>232</v>
      </c>
      <c r="D1245" s="156" t="s">
        <v>1341</v>
      </c>
      <c r="E1245" s="156" t="s">
        <v>1450</v>
      </c>
      <c r="F1245" s="156" t="s">
        <v>374</v>
      </c>
      <c r="G1245" s="155" t="s">
        <v>209</v>
      </c>
      <c r="H1245" s="157" t="s">
        <v>214</v>
      </c>
    </row>
    <row r="1246" hidden="1">
      <c r="A1246" s="160" t="s">
        <v>234</v>
      </c>
      <c r="B1246" s="72"/>
      <c r="C1246" s="118" t="s">
        <v>232</v>
      </c>
      <c r="D1246" s="152" t="s">
        <v>1341</v>
      </c>
      <c r="E1246" s="152" t="s">
        <v>1451</v>
      </c>
      <c r="F1246" s="152" t="s">
        <v>301</v>
      </c>
      <c r="G1246" s="118" t="s">
        <v>209</v>
      </c>
      <c r="H1246" s="153" t="s">
        <v>215</v>
      </c>
    </row>
    <row r="1247" hidden="1">
      <c r="A1247" s="158" t="s">
        <v>234</v>
      </c>
      <c r="B1247" s="159"/>
      <c r="C1247" s="155" t="s">
        <v>232</v>
      </c>
      <c r="D1247" s="156" t="s">
        <v>1341</v>
      </c>
      <c r="E1247" s="156" t="s">
        <v>1452</v>
      </c>
      <c r="F1247" s="156" t="s">
        <v>244</v>
      </c>
      <c r="G1247" s="155" t="s">
        <v>209</v>
      </c>
      <c r="H1247" s="157" t="s">
        <v>216</v>
      </c>
    </row>
    <row r="1248" hidden="1">
      <c r="A1248" s="160" t="s">
        <v>235</v>
      </c>
      <c r="B1248" s="72"/>
      <c r="C1248" s="118" t="s">
        <v>236</v>
      </c>
      <c r="D1248" s="152" t="s">
        <v>1341</v>
      </c>
      <c r="E1248" s="152" t="s">
        <v>1453</v>
      </c>
      <c r="F1248" s="152" t="s">
        <v>285</v>
      </c>
      <c r="G1248" s="118" t="s">
        <v>209</v>
      </c>
      <c r="H1248" s="153" t="s">
        <v>210</v>
      </c>
    </row>
    <row r="1249" hidden="1">
      <c r="A1249" s="158" t="s">
        <v>235</v>
      </c>
      <c r="B1249" s="159"/>
      <c r="C1249" s="155" t="s">
        <v>236</v>
      </c>
      <c r="D1249" s="156" t="s">
        <v>1341</v>
      </c>
      <c r="E1249" s="156" t="s">
        <v>1454</v>
      </c>
      <c r="F1249" s="156" t="s">
        <v>244</v>
      </c>
      <c r="G1249" s="155" t="s">
        <v>209</v>
      </c>
      <c r="H1249" s="157" t="s">
        <v>211</v>
      </c>
    </row>
    <row r="1250" hidden="1">
      <c r="A1250" s="160" t="s">
        <v>235</v>
      </c>
      <c r="B1250" s="72"/>
      <c r="C1250" s="118" t="s">
        <v>236</v>
      </c>
      <c r="D1250" s="152" t="s">
        <v>1341</v>
      </c>
      <c r="E1250" s="152" t="s">
        <v>1455</v>
      </c>
      <c r="F1250" s="152" t="s">
        <v>257</v>
      </c>
      <c r="G1250" s="118" t="s">
        <v>209</v>
      </c>
      <c r="H1250" s="153" t="s">
        <v>212</v>
      </c>
    </row>
    <row r="1251" hidden="1">
      <c r="A1251" s="158" t="s">
        <v>235</v>
      </c>
      <c r="B1251" s="159"/>
      <c r="C1251" s="155" t="s">
        <v>236</v>
      </c>
      <c r="D1251" s="156" t="s">
        <v>1341</v>
      </c>
      <c r="E1251" s="156" t="s">
        <v>1456</v>
      </c>
      <c r="F1251" s="156" t="s">
        <v>365</v>
      </c>
      <c r="G1251" s="155" t="s">
        <v>209</v>
      </c>
      <c r="H1251" s="157" t="s">
        <v>213</v>
      </c>
    </row>
    <row r="1252" hidden="1">
      <c r="A1252" s="160" t="s">
        <v>235</v>
      </c>
      <c r="B1252" s="72"/>
      <c r="C1252" s="118" t="s">
        <v>236</v>
      </c>
      <c r="D1252" s="152" t="s">
        <v>1341</v>
      </c>
      <c r="E1252" s="152" t="s">
        <v>1457</v>
      </c>
      <c r="F1252" s="152" t="s">
        <v>242</v>
      </c>
      <c r="G1252" s="118" t="s">
        <v>209</v>
      </c>
      <c r="H1252" s="153" t="s">
        <v>214</v>
      </c>
    </row>
    <row r="1253" hidden="1">
      <c r="A1253" s="158" t="s">
        <v>235</v>
      </c>
      <c r="B1253" s="159"/>
      <c r="C1253" s="155" t="s">
        <v>236</v>
      </c>
      <c r="D1253" s="156" t="s">
        <v>1341</v>
      </c>
      <c r="E1253" s="156" t="s">
        <v>1458</v>
      </c>
      <c r="F1253" s="156" t="s">
        <v>301</v>
      </c>
      <c r="G1253" s="155" t="s">
        <v>209</v>
      </c>
      <c r="H1253" s="157" t="s">
        <v>215</v>
      </c>
    </row>
    <row r="1254" hidden="1">
      <c r="A1254" s="160" t="s">
        <v>235</v>
      </c>
      <c r="B1254" s="72"/>
      <c r="C1254" s="118" t="s">
        <v>236</v>
      </c>
      <c r="D1254" s="152" t="s">
        <v>1341</v>
      </c>
      <c r="E1254" s="152" t="s">
        <v>1459</v>
      </c>
      <c r="F1254" s="152" t="s">
        <v>357</v>
      </c>
      <c r="G1254" s="118" t="s">
        <v>209</v>
      </c>
      <c r="H1254" s="153" t="s">
        <v>216</v>
      </c>
    </row>
    <row r="1255" hidden="1">
      <c r="A1255" s="158" t="s">
        <v>237</v>
      </c>
      <c r="B1255" s="159"/>
      <c r="C1255" s="155" t="s">
        <v>236</v>
      </c>
      <c r="D1255" s="156" t="s">
        <v>1341</v>
      </c>
      <c r="E1255" s="156" t="s">
        <v>1460</v>
      </c>
      <c r="F1255" s="156" t="s">
        <v>357</v>
      </c>
      <c r="G1255" s="155" t="s">
        <v>209</v>
      </c>
      <c r="H1255" s="157" t="s">
        <v>210</v>
      </c>
    </row>
    <row r="1256" hidden="1">
      <c r="A1256" s="160" t="s">
        <v>237</v>
      </c>
      <c r="B1256" s="72"/>
      <c r="C1256" s="118" t="s">
        <v>236</v>
      </c>
      <c r="D1256" s="152" t="s">
        <v>1341</v>
      </c>
      <c r="E1256" s="152" t="s">
        <v>1461</v>
      </c>
      <c r="F1256" s="152" t="s">
        <v>314</v>
      </c>
      <c r="G1256" s="118" t="s">
        <v>209</v>
      </c>
      <c r="H1256" s="153" t="s">
        <v>211</v>
      </c>
    </row>
    <row r="1257" hidden="1">
      <c r="A1257" s="158" t="s">
        <v>237</v>
      </c>
      <c r="B1257" s="159"/>
      <c r="C1257" s="155" t="s">
        <v>236</v>
      </c>
      <c r="D1257" s="156" t="s">
        <v>1341</v>
      </c>
      <c r="E1257" s="156" t="s">
        <v>1462</v>
      </c>
      <c r="F1257" s="156" t="s">
        <v>265</v>
      </c>
      <c r="G1257" s="155" t="s">
        <v>209</v>
      </c>
      <c r="H1257" s="157" t="s">
        <v>212</v>
      </c>
    </row>
    <row r="1258" hidden="1">
      <c r="A1258" s="160" t="s">
        <v>237</v>
      </c>
      <c r="B1258" s="72"/>
      <c r="C1258" s="118" t="s">
        <v>236</v>
      </c>
      <c r="D1258" s="152" t="s">
        <v>1341</v>
      </c>
      <c r="E1258" s="152" t="s">
        <v>1463</v>
      </c>
      <c r="F1258" s="152" t="s">
        <v>301</v>
      </c>
      <c r="G1258" s="118" t="s">
        <v>209</v>
      </c>
      <c r="H1258" s="153" t="s">
        <v>213</v>
      </c>
    </row>
    <row r="1259" hidden="1">
      <c r="A1259" s="158" t="s">
        <v>237</v>
      </c>
      <c r="B1259" s="159"/>
      <c r="C1259" s="155" t="s">
        <v>236</v>
      </c>
      <c r="D1259" s="156" t="s">
        <v>1341</v>
      </c>
      <c r="E1259" s="156" t="s">
        <v>1464</v>
      </c>
      <c r="F1259" s="156" t="s">
        <v>246</v>
      </c>
      <c r="G1259" s="155" t="s">
        <v>209</v>
      </c>
      <c r="H1259" s="157" t="s">
        <v>214</v>
      </c>
    </row>
    <row r="1260" hidden="1">
      <c r="A1260" s="160" t="s">
        <v>237</v>
      </c>
      <c r="B1260" s="72"/>
      <c r="C1260" s="118" t="s">
        <v>236</v>
      </c>
      <c r="D1260" s="152" t="s">
        <v>1341</v>
      </c>
      <c r="E1260" s="152" t="s">
        <v>1465</v>
      </c>
      <c r="F1260" s="152" t="s">
        <v>242</v>
      </c>
      <c r="G1260" s="118" t="s">
        <v>209</v>
      </c>
      <c r="H1260" s="153" t="s">
        <v>215</v>
      </c>
    </row>
    <row r="1261" hidden="1">
      <c r="A1261" s="158" t="s">
        <v>237</v>
      </c>
      <c r="B1261" s="159"/>
      <c r="C1261" s="155" t="s">
        <v>236</v>
      </c>
      <c r="D1261" s="156" t="s">
        <v>1341</v>
      </c>
      <c r="E1261" s="156" t="s">
        <v>1466</v>
      </c>
      <c r="F1261" s="156" t="s">
        <v>357</v>
      </c>
      <c r="G1261" s="155" t="s">
        <v>209</v>
      </c>
      <c r="H1261" s="157" t="s">
        <v>216</v>
      </c>
    </row>
    <row r="1262" hidden="1">
      <c r="A1262" s="151" t="s">
        <v>204</v>
      </c>
      <c r="B1262" s="118" t="s">
        <v>205</v>
      </c>
      <c r="C1262" s="118" t="s">
        <v>206</v>
      </c>
      <c r="D1262" s="152" t="s">
        <v>1467</v>
      </c>
      <c r="E1262" s="152" t="s">
        <v>1468</v>
      </c>
      <c r="F1262" s="152" t="s">
        <v>240</v>
      </c>
      <c r="G1262" s="118" t="s">
        <v>209</v>
      </c>
      <c r="H1262" s="153" t="s">
        <v>210</v>
      </c>
    </row>
    <row r="1263" hidden="1">
      <c r="A1263" s="154" t="s">
        <v>204</v>
      </c>
      <c r="B1263" s="155" t="s">
        <v>205</v>
      </c>
      <c r="C1263" s="155" t="s">
        <v>206</v>
      </c>
      <c r="D1263" s="156" t="s">
        <v>1467</v>
      </c>
      <c r="E1263" s="156" t="s">
        <v>1469</v>
      </c>
      <c r="F1263" s="156" t="s">
        <v>244</v>
      </c>
      <c r="G1263" s="155" t="s">
        <v>209</v>
      </c>
      <c r="H1263" s="157" t="s">
        <v>211</v>
      </c>
    </row>
    <row r="1264" hidden="1">
      <c r="A1264" s="151" t="s">
        <v>204</v>
      </c>
      <c r="B1264" s="118" t="s">
        <v>205</v>
      </c>
      <c r="C1264" s="118" t="s">
        <v>206</v>
      </c>
      <c r="D1264" s="152" t="s">
        <v>1467</v>
      </c>
      <c r="E1264" s="152" t="s">
        <v>1470</v>
      </c>
      <c r="F1264" s="152" t="s">
        <v>257</v>
      </c>
      <c r="G1264" s="118" t="s">
        <v>209</v>
      </c>
      <c r="H1264" s="153" t="s">
        <v>212</v>
      </c>
    </row>
    <row r="1265" hidden="1">
      <c r="A1265" s="154" t="s">
        <v>204</v>
      </c>
      <c r="B1265" s="155" t="s">
        <v>205</v>
      </c>
      <c r="C1265" s="155" t="s">
        <v>206</v>
      </c>
      <c r="D1265" s="156" t="s">
        <v>1467</v>
      </c>
      <c r="E1265" s="156" t="s">
        <v>1471</v>
      </c>
      <c r="F1265" s="156" t="s">
        <v>357</v>
      </c>
      <c r="G1265" s="155" t="s">
        <v>209</v>
      </c>
      <c r="H1265" s="157" t="s">
        <v>213</v>
      </c>
    </row>
    <row r="1266" hidden="1">
      <c r="A1266" s="151" t="s">
        <v>204</v>
      </c>
      <c r="B1266" s="118" t="s">
        <v>205</v>
      </c>
      <c r="C1266" s="118" t="s">
        <v>206</v>
      </c>
      <c r="D1266" s="152" t="s">
        <v>1467</v>
      </c>
      <c r="E1266" s="152" t="s">
        <v>1472</v>
      </c>
      <c r="F1266" s="152" t="s">
        <v>244</v>
      </c>
      <c r="G1266" s="118" t="s">
        <v>209</v>
      </c>
      <c r="H1266" s="153" t="s">
        <v>214</v>
      </c>
    </row>
    <row r="1267" hidden="1">
      <c r="A1267" s="154" t="s">
        <v>204</v>
      </c>
      <c r="B1267" s="155" t="s">
        <v>205</v>
      </c>
      <c r="C1267" s="155" t="s">
        <v>206</v>
      </c>
      <c r="D1267" s="156" t="s">
        <v>1467</v>
      </c>
      <c r="E1267" s="156" t="s">
        <v>1473</v>
      </c>
      <c r="F1267" s="156" t="s">
        <v>246</v>
      </c>
      <c r="G1267" s="155" t="s">
        <v>209</v>
      </c>
      <c r="H1267" s="157" t="s">
        <v>215</v>
      </c>
    </row>
    <row r="1268" hidden="1">
      <c r="A1268" s="151" t="s">
        <v>204</v>
      </c>
      <c r="B1268" s="118" t="s">
        <v>205</v>
      </c>
      <c r="C1268" s="118" t="s">
        <v>206</v>
      </c>
      <c r="D1268" s="152" t="s">
        <v>1467</v>
      </c>
      <c r="E1268" s="152" t="s">
        <v>1474</v>
      </c>
      <c r="F1268" s="152" t="s">
        <v>257</v>
      </c>
      <c r="G1268" s="118" t="s">
        <v>209</v>
      </c>
      <c r="H1268" s="153" t="s">
        <v>216</v>
      </c>
    </row>
    <row r="1269" hidden="1">
      <c r="A1269" s="154" t="s">
        <v>217</v>
      </c>
      <c r="B1269" s="155" t="s">
        <v>191</v>
      </c>
      <c r="C1269" s="155" t="s">
        <v>206</v>
      </c>
      <c r="D1269" s="156" t="s">
        <v>1467</v>
      </c>
      <c r="E1269" s="156" t="s">
        <v>1475</v>
      </c>
      <c r="F1269" s="156" t="s">
        <v>257</v>
      </c>
      <c r="G1269" s="155" t="s">
        <v>209</v>
      </c>
      <c r="H1269" s="157" t="s">
        <v>210</v>
      </c>
    </row>
    <row r="1270" hidden="1">
      <c r="A1270" s="151" t="s">
        <v>217</v>
      </c>
      <c r="B1270" s="118" t="s">
        <v>191</v>
      </c>
      <c r="C1270" s="118" t="s">
        <v>206</v>
      </c>
      <c r="D1270" s="152" t="s">
        <v>1467</v>
      </c>
      <c r="E1270" s="152" t="s">
        <v>1476</v>
      </c>
      <c r="F1270" s="152" t="s">
        <v>240</v>
      </c>
      <c r="G1270" s="118" t="s">
        <v>209</v>
      </c>
      <c r="H1270" s="153" t="s">
        <v>211</v>
      </c>
    </row>
    <row r="1271" hidden="1">
      <c r="A1271" s="154" t="s">
        <v>217</v>
      </c>
      <c r="B1271" s="155" t="s">
        <v>191</v>
      </c>
      <c r="C1271" s="155" t="s">
        <v>206</v>
      </c>
      <c r="D1271" s="156" t="s">
        <v>1467</v>
      </c>
      <c r="E1271" s="156" t="s">
        <v>1477</v>
      </c>
      <c r="F1271" s="156" t="s">
        <v>246</v>
      </c>
      <c r="G1271" s="155" t="s">
        <v>209</v>
      </c>
      <c r="H1271" s="157" t="s">
        <v>212</v>
      </c>
    </row>
    <row r="1272" hidden="1">
      <c r="A1272" s="151" t="s">
        <v>217</v>
      </c>
      <c r="B1272" s="118" t="s">
        <v>191</v>
      </c>
      <c r="C1272" s="118" t="s">
        <v>206</v>
      </c>
      <c r="D1272" s="152" t="s">
        <v>1467</v>
      </c>
      <c r="E1272" s="152" t="s">
        <v>1478</v>
      </c>
      <c r="F1272" s="152" t="s">
        <v>357</v>
      </c>
      <c r="G1272" s="118" t="s">
        <v>209</v>
      </c>
      <c r="H1272" s="153" t="s">
        <v>213</v>
      </c>
    </row>
    <row r="1273" hidden="1">
      <c r="A1273" s="154" t="s">
        <v>217</v>
      </c>
      <c r="B1273" s="155" t="s">
        <v>191</v>
      </c>
      <c r="C1273" s="155" t="s">
        <v>206</v>
      </c>
      <c r="D1273" s="156" t="s">
        <v>1467</v>
      </c>
      <c r="E1273" s="156" t="s">
        <v>1479</v>
      </c>
      <c r="F1273" s="156" t="s">
        <v>244</v>
      </c>
      <c r="G1273" s="155" t="s">
        <v>209</v>
      </c>
      <c r="H1273" s="157" t="s">
        <v>214</v>
      </c>
    </row>
    <row r="1274" hidden="1">
      <c r="A1274" s="151" t="s">
        <v>217</v>
      </c>
      <c r="B1274" s="118" t="s">
        <v>191</v>
      </c>
      <c r="C1274" s="118" t="s">
        <v>206</v>
      </c>
      <c r="D1274" s="152" t="s">
        <v>1467</v>
      </c>
      <c r="E1274" s="152" t="s">
        <v>1480</v>
      </c>
      <c r="F1274" s="152" t="s">
        <v>244</v>
      </c>
      <c r="G1274" s="118" t="s">
        <v>209</v>
      </c>
      <c r="H1274" s="153" t="s">
        <v>215</v>
      </c>
    </row>
    <row r="1275" hidden="1">
      <c r="A1275" s="154" t="s">
        <v>217</v>
      </c>
      <c r="B1275" s="155" t="s">
        <v>191</v>
      </c>
      <c r="C1275" s="155" t="s">
        <v>206</v>
      </c>
      <c r="D1275" s="156" t="s">
        <v>1467</v>
      </c>
      <c r="E1275" s="156" t="s">
        <v>1481</v>
      </c>
      <c r="F1275" s="156" t="s">
        <v>257</v>
      </c>
      <c r="G1275" s="155" t="s">
        <v>209</v>
      </c>
      <c r="H1275" s="157" t="s">
        <v>216</v>
      </c>
    </row>
    <row r="1276" hidden="1">
      <c r="A1276" s="151" t="s">
        <v>218</v>
      </c>
      <c r="B1276" s="118" t="s">
        <v>219</v>
      </c>
      <c r="C1276" s="118" t="s">
        <v>206</v>
      </c>
      <c r="D1276" s="152" t="s">
        <v>1467</v>
      </c>
      <c r="E1276" s="152" t="s">
        <v>1482</v>
      </c>
      <c r="F1276" s="152" t="s">
        <v>305</v>
      </c>
      <c r="G1276" s="118" t="s">
        <v>209</v>
      </c>
      <c r="H1276" s="153" t="s">
        <v>210</v>
      </c>
    </row>
    <row r="1277" hidden="1">
      <c r="A1277" s="154" t="s">
        <v>218</v>
      </c>
      <c r="B1277" s="155" t="s">
        <v>219</v>
      </c>
      <c r="C1277" s="155" t="s">
        <v>206</v>
      </c>
      <c r="D1277" s="156" t="s">
        <v>1467</v>
      </c>
      <c r="E1277" s="156" t="s">
        <v>1483</v>
      </c>
      <c r="F1277" s="156" t="s">
        <v>290</v>
      </c>
      <c r="G1277" s="155" t="s">
        <v>209</v>
      </c>
      <c r="H1277" s="157" t="s">
        <v>211</v>
      </c>
    </row>
    <row r="1278" hidden="1">
      <c r="A1278" s="151" t="s">
        <v>218</v>
      </c>
      <c r="B1278" s="118" t="s">
        <v>219</v>
      </c>
      <c r="C1278" s="118" t="s">
        <v>206</v>
      </c>
      <c r="D1278" s="152" t="s">
        <v>1467</v>
      </c>
      <c r="E1278" s="152" t="s">
        <v>1484</v>
      </c>
      <c r="F1278" s="152" t="s">
        <v>308</v>
      </c>
      <c r="G1278" s="118" t="s">
        <v>209</v>
      </c>
      <c r="H1278" s="153" t="s">
        <v>212</v>
      </c>
    </row>
    <row r="1279" hidden="1">
      <c r="A1279" s="154" t="s">
        <v>218</v>
      </c>
      <c r="B1279" s="155" t="s">
        <v>219</v>
      </c>
      <c r="C1279" s="155" t="s">
        <v>206</v>
      </c>
      <c r="D1279" s="156" t="s">
        <v>1467</v>
      </c>
      <c r="E1279" s="156" t="s">
        <v>1485</v>
      </c>
      <c r="F1279" s="156" t="s">
        <v>308</v>
      </c>
      <c r="G1279" s="155" t="s">
        <v>209</v>
      </c>
      <c r="H1279" s="157" t="s">
        <v>213</v>
      </c>
    </row>
    <row r="1280" hidden="1">
      <c r="A1280" s="151" t="s">
        <v>218</v>
      </c>
      <c r="B1280" s="118" t="s">
        <v>219</v>
      </c>
      <c r="C1280" s="118" t="s">
        <v>206</v>
      </c>
      <c r="D1280" s="152" t="s">
        <v>1467</v>
      </c>
      <c r="E1280" s="152" t="s">
        <v>1486</v>
      </c>
      <c r="F1280" s="152" t="s">
        <v>290</v>
      </c>
      <c r="G1280" s="118" t="s">
        <v>209</v>
      </c>
      <c r="H1280" s="153" t="s">
        <v>214</v>
      </c>
    </row>
    <row r="1281" hidden="1">
      <c r="A1281" s="154" t="s">
        <v>218</v>
      </c>
      <c r="B1281" s="155" t="s">
        <v>219</v>
      </c>
      <c r="C1281" s="155" t="s">
        <v>206</v>
      </c>
      <c r="D1281" s="156" t="s">
        <v>1467</v>
      </c>
      <c r="E1281" s="156" t="s">
        <v>1487</v>
      </c>
      <c r="F1281" s="156" t="s">
        <v>314</v>
      </c>
      <c r="G1281" s="155" t="s">
        <v>209</v>
      </c>
      <c r="H1281" s="157" t="s">
        <v>215</v>
      </c>
    </row>
    <row r="1282" hidden="1">
      <c r="A1282" s="151" t="s">
        <v>218</v>
      </c>
      <c r="B1282" s="118" t="s">
        <v>219</v>
      </c>
      <c r="C1282" s="118" t="s">
        <v>206</v>
      </c>
      <c r="D1282" s="152" t="s">
        <v>1467</v>
      </c>
      <c r="E1282" s="152" t="s">
        <v>1488</v>
      </c>
      <c r="F1282" s="152" t="s">
        <v>534</v>
      </c>
      <c r="G1282" s="118" t="s">
        <v>209</v>
      </c>
      <c r="H1282" s="153" t="s">
        <v>216</v>
      </c>
    </row>
    <row r="1283" hidden="1">
      <c r="A1283" s="154" t="s">
        <v>220</v>
      </c>
      <c r="B1283" s="155" t="s">
        <v>190</v>
      </c>
      <c r="C1283" s="155" t="s">
        <v>206</v>
      </c>
      <c r="D1283" s="156" t="s">
        <v>1467</v>
      </c>
      <c r="E1283" s="156" t="s">
        <v>1489</v>
      </c>
      <c r="F1283" s="156" t="s">
        <v>246</v>
      </c>
      <c r="G1283" s="155" t="s">
        <v>209</v>
      </c>
      <c r="H1283" s="157" t="s">
        <v>210</v>
      </c>
    </row>
    <row r="1284" hidden="1">
      <c r="A1284" s="151" t="s">
        <v>220</v>
      </c>
      <c r="B1284" s="118" t="s">
        <v>190</v>
      </c>
      <c r="C1284" s="118" t="s">
        <v>206</v>
      </c>
      <c r="D1284" s="152" t="s">
        <v>1467</v>
      </c>
      <c r="E1284" s="152" t="s">
        <v>1490</v>
      </c>
      <c r="F1284" s="152" t="s">
        <v>290</v>
      </c>
      <c r="G1284" s="118" t="s">
        <v>209</v>
      </c>
      <c r="H1284" s="153" t="s">
        <v>211</v>
      </c>
    </row>
    <row r="1285" hidden="1">
      <c r="A1285" s="154" t="s">
        <v>220</v>
      </c>
      <c r="B1285" s="155" t="s">
        <v>190</v>
      </c>
      <c r="C1285" s="155" t="s">
        <v>206</v>
      </c>
      <c r="D1285" s="156" t="s">
        <v>1467</v>
      </c>
      <c r="E1285" s="156" t="s">
        <v>1491</v>
      </c>
      <c r="F1285" s="156" t="s">
        <v>265</v>
      </c>
      <c r="G1285" s="155" t="s">
        <v>209</v>
      </c>
      <c r="H1285" s="157" t="s">
        <v>212</v>
      </c>
    </row>
    <row r="1286" hidden="1">
      <c r="A1286" s="151" t="s">
        <v>220</v>
      </c>
      <c r="B1286" s="118" t="s">
        <v>190</v>
      </c>
      <c r="C1286" s="118" t="s">
        <v>206</v>
      </c>
      <c r="D1286" s="152" t="s">
        <v>1467</v>
      </c>
      <c r="E1286" s="152" t="s">
        <v>1492</v>
      </c>
      <c r="F1286" s="152" t="s">
        <v>310</v>
      </c>
      <c r="G1286" s="118" t="s">
        <v>209</v>
      </c>
      <c r="H1286" s="153" t="s">
        <v>213</v>
      </c>
    </row>
    <row r="1287" hidden="1">
      <c r="A1287" s="154" t="s">
        <v>220</v>
      </c>
      <c r="B1287" s="155" t="s">
        <v>190</v>
      </c>
      <c r="C1287" s="155" t="s">
        <v>206</v>
      </c>
      <c r="D1287" s="156" t="s">
        <v>1467</v>
      </c>
      <c r="E1287" s="156" t="s">
        <v>1493</v>
      </c>
      <c r="F1287" s="156" t="s">
        <v>285</v>
      </c>
      <c r="G1287" s="155" t="s">
        <v>209</v>
      </c>
      <c r="H1287" s="157" t="s">
        <v>214</v>
      </c>
    </row>
    <row r="1288" hidden="1">
      <c r="A1288" s="151" t="s">
        <v>220</v>
      </c>
      <c r="B1288" s="118" t="s">
        <v>190</v>
      </c>
      <c r="C1288" s="118" t="s">
        <v>206</v>
      </c>
      <c r="D1288" s="152" t="s">
        <v>1467</v>
      </c>
      <c r="E1288" s="152" t="s">
        <v>1494</v>
      </c>
      <c r="F1288" s="152" t="s">
        <v>301</v>
      </c>
      <c r="G1288" s="118" t="s">
        <v>209</v>
      </c>
      <c r="H1288" s="153" t="s">
        <v>215</v>
      </c>
    </row>
    <row r="1289" hidden="1">
      <c r="A1289" s="154" t="s">
        <v>220</v>
      </c>
      <c r="B1289" s="155" t="s">
        <v>190</v>
      </c>
      <c r="C1289" s="155" t="s">
        <v>206</v>
      </c>
      <c r="D1289" s="156" t="s">
        <v>1467</v>
      </c>
      <c r="E1289" s="156" t="s">
        <v>1495</v>
      </c>
      <c r="F1289" s="156" t="s">
        <v>323</v>
      </c>
      <c r="G1289" s="155" t="s">
        <v>209</v>
      </c>
      <c r="H1289" s="157" t="s">
        <v>216</v>
      </c>
    </row>
    <row r="1290" hidden="1">
      <c r="A1290" s="151" t="s">
        <v>221</v>
      </c>
      <c r="B1290" s="118" t="s">
        <v>189</v>
      </c>
      <c r="C1290" s="118" t="s">
        <v>206</v>
      </c>
      <c r="D1290" s="152" t="s">
        <v>1467</v>
      </c>
      <c r="E1290" s="152" t="s">
        <v>1496</v>
      </c>
      <c r="F1290" s="152" t="s">
        <v>262</v>
      </c>
      <c r="G1290" s="118" t="s">
        <v>209</v>
      </c>
      <c r="H1290" s="153" t="s">
        <v>210</v>
      </c>
    </row>
    <row r="1291" hidden="1">
      <c r="A1291" s="154" t="s">
        <v>221</v>
      </c>
      <c r="B1291" s="155" t="s">
        <v>189</v>
      </c>
      <c r="C1291" s="155" t="s">
        <v>206</v>
      </c>
      <c r="D1291" s="156" t="s">
        <v>1467</v>
      </c>
      <c r="E1291" s="156" t="s">
        <v>1497</v>
      </c>
      <c r="F1291" s="156" t="s">
        <v>301</v>
      </c>
      <c r="G1291" s="155" t="s">
        <v>209</v>
      </c>
      <c r="H1291" s="157" t="s">
        <v>211</v>
      </c>
    </row>
    <row r="1292" hidden="1">
      <c r="A1292" s="151" t="s">
        <v>221</v>
      </c>
      <c r="B1292" s="118" t="s">
        <v>189</v>
      </c>
      <c r="C1292" s="118" t="s">
        <v>206</v>
      </c>
      <c r="D1292" s="152" t="s">
        <v>1467</v>
      </c>
      <c r="E1292" s="152" t="s">
        <v>1498</v>
      </c>
      <c r="F1292" s="152" t="s">
        <v>259</v>
      </c>
      <c r="G1292" s="118" t="s">
        <v>209</v>
      </c>
      <c r="H1292" s="153" t="s">
        <v>212</v>
      </c>
    </row>
    <row r="1293" hidden="1">
      <c r="A1293" s="154" t="s">
        <v>221</v>
      </c>
      <c r="B1293" s="155" t="s">
        <v>189</v>
      </c>
      <c r="C1293" s="155" t="s">
        <v>206</v>
      </c>
      <c r="D1293" s="156" t="s">
        <v>1467</v>
      </c>
      <c r="E1293" s="156" t="s">
        <v>1499</v>
      </c>
      <c r="F1293" s="156" t="s">
        <v>259</v>
      </c>
      <c r="G1293" s="155" t="s">
        <v>209</v>
      </c>
      <c r="H1293" s="157" t="s">
        <v>213</v>
      </c>
    </row>
    <row r="1294" hidden="1">
      <c r="A1294" s="151" t="s">
        <v>221</v>
      </c>
      <c r="B1294" s="118" t="s">
        <v>189</v>
      </c>
      <c r="C1294" s="118" t="s">
        <v>206</v>
      </c>
      <c r="D1294" s="152" t="s">
        <v>1467</v>
      </c>
      <c r="E1294" s="152" t="s">
        <v>1500</v>
      </c>
      <c r="F1294" s="152" t="s">
        <v>240</v>
      </c>
      <c r="G1294" s="118" t="s">
        <v>209</v>
      </c>
      <c r="H1294" s="153" t="s">
        <v>214</v>
      </c>
    </row>
    <row r="1295" hidden="1">
      <c r="A1295" s="154" t="s">
        <v>221</v>
      </c>
      <c r="B1295" s="155" t="s">
        <v>189</v>
      </c>
      <c r="C1295" s="155" t="s">
        <v>206</v>
      </c>
      <c r="D1295" s="156" t="s">
        <v>1467</v>
      </c>
      <c r="E1295" s="156" t="s">
        <v>1501</v>
      </c>
      <c r="F1295" s="156" t="s">
        <v>321</v>
      </c>
      <c r="G1295" s="155" t="s">
        <v>209</v>
      </c>
      <c r="H1295" s="157" t="s">
        <v>215</v>
      </c>
    </row>
    <row r="1296" hidden="1">
      <c r="A1296" s="151" t="s">
        <v>221</v>
      </c>
      <c r="B1296" s="118" t="s">
        <v>189</v>
      </c>
      <c r="C1296" s="118" t="s">
        <v>206</v>
      </c>
      <c r="D1296" s="152" t="s">
        <v>1467</v>
      </c>
      <c r="E1296" s="152" t="s">
        <v>1502</v>
      </c>
      <c r="F1296" s="152" t="s">
        <v>259</v>
      </c>
      <c r="G1296" s="118" t="s">
        <v>209</v>
      </c>
      <c r="H1296" s="153" t="s">
        <v>216</v>
      </c>
    </row>
    <row r="1297" hidden="1">
      <c r="A1297" s="154" t="s">
        <v>222</v>
      </c>
      <c r="B1297" s="155" t="s">
        <v>192</v>
      </c>
      <c r="C1297" s="155" t="s">
        <v>206</v>
      </c>
      <c r="D1297" s="156" t="s">
        <v>1467</v>
      </c>
      <c r="E1297" s="156" t="s">
        <v>1503</v>
      </c>
      <c r="F1297" s="156" t="s">
        <v>265</v>
      </c>
      <c r="G1297" s="155" t="s">
        <v>209</v>
      </c>
      <c r="H1297" s="157" t="s">
        <v>210</v>
      </c>
    </row>
    <row r="1298" hidden="1">
      <c r="A1298" s="151" t="s">
        <v>222</v>
      </c>
      <c r="B1298" s="118" t="s">
        <v>192</v>
      </c>
      <c r="C1298" s="118" t="s">
        <v>206</v>
      </c>
      <c r="D1298" s="152" t="s">
        <v>1467</v>
      </c>
      <c r="E1298" s="152" t="s">
        <v>1504</v>
      </c>
      <c r="F1298" s="152" t="s">
        <v>492</v>
      </c>
      <c r="G1298" s="118" t="s">
        <v>209</v>
      </c>
      <c r="H1298" s="153" t="s">
        <v>211</v>
      </c>
    </row>
    <row r="1299" hidden="1">
      <c r="A1299" s="154" t="s">
        <v>222</v>
      </c>
      <c r="B1299" s="155" t="s">
        <v>192</v>
      </c>
      <c r="C1299" s="155" t="s">
        <v>206</v>
      </c>
      <c r="D1299" s="156" t="s">
        <v>1467</v>
      </c>
      <c r="E1299" s="156" t="s">
        <v>1505</v>
      </c>
      <c r="F1299" s="156" t="s">
        <v>259</v>
      </c>
      <c r="G1299" s="155" t="s">
        <v>209</v>
      </c>
      <c r="H1299" s="157" t="s">
        <v>212</v>
      </c>
    </row>
    <row r="1300" hidden="1">
      <c r="A1300" s="151" t="s">
        <v>222</v>
      </c>
      <c r="B1300" s="118" t="s">
        <v>192</v>
      </c>
      <c r="C1300" s="118" t="s">
        <v>206</v>
      </c>
      <c r="D1300" s="152" t="s">
        <v>1467</v>
      </c>
      <c r="E1300" s="152" t="s">
        <v>1506</v>
      </c>
      <c r="F1300" s="152" t="s">
        <v>255</v>
      </c>
      <c r="G1300" s="118" t="s">
        <v>209</v>
      </c>
      <c r="H1300" s="153" t="s">
        <v>213</v>
      </c>
    </row>
    <row r="1301" hidden="1">
      <c r="A1301" s="154" t="s">
        <v>222</v>
      </c>
      <c r="B1301" s="155" t="s">
        <v>192</v>
      </c>
      <c r="C1301" s="155" t="s">
        <v>206</v>
      </c>
      <c r="D1301" s="156" t="s">
        <v>1467</v>
      </c>
      <c r="E1301" s="156" t="s">
        <v>1507</v>
      </c>
      <c r="F1301" s="156" t="s">
        <v>298</v>
      </c>
      <c r="G1301" s="155" t="s">
        <v>209</v>
      </c>
      <c r="H1301" s="157" t="s">
        <v>214</v>
      </c>
    </row>
    <row r="1302" hidden="1">
      <c r="A1302" s="151" t="s">
        <v>222</v>
      </c>
      <c r="B1302" s="118" t="s">
        <v>192</v>
      </c>
      <c r="C1302" s="118" t="s">
        <v>206</v>
      </c>
      <c r="D1302" s="152" t="s">
        <v>1467</v>
      </c>
      <c r="E1302" s="152" t="s">
        <v>1508</v>
      </c>
      <c r="F1302" s="152" t="s">
        <v>374</v>
      </c>
      <c r="G1302" s="118" t="s">
        <v>209</v>
      </c>
      <c r="H1302" s="153" t="s">
        <v>215</v>
      </c>
    </row>
    <row r="1303" hidden="1">
      <c r="A1303" s="154" t="s">
        <v>222</v>
      </c>
      <c r="B1303" s="155" t="s">
        <v>192</v>
      </c>
      <c r="C1303" s="155" t="s">
        <v>206</v>
      </c>
      <c r="D1303" s="156" t="s">
        <v>1467</v>
      </c>
      <c r="E1303" s="156" t="s">
        <v>1509</v>
      </c>
      <c r="F1303" s="156" t="s">
        <v>374</v>
      </c>
      <c r="G1303" s="155" t="s">
        <v>209</v>
      </c>
      <c r="H1303" s="157" t="s">
        <v>216</v>
      </c>
    </row>
    <row r="1304" hidden="1">
      <c r="A1304" s="151" t="s">
        <v>223</v>
      </c>
      <c r="B1304" s="118" t="s">
        <v>144</v>
      </c>
      <c r="C1304" s="118" t="s">
        <v>206</v>
      </c>
      <c r="D1304" s="152" t="s">
        <v>1467</v>
      </c>
      <c r="E1304" s="152" t="s">
        <v>1510</v>
      </c>
      <c r="F1304" s="152" t="s">
        <v>265</v>
      </c>
      <c r="G1304" s="118" t="s">
        <v>209</v>
      </c>
      <c r="H1304" s="153" t="s">
        <v>210</v>
      </c>
    </row>
    <row r="1305" hidden="1">
      <c r="A1305" s="154" t="s">
        <v>223</v>
      </c>
      <c r="B1305" s="155" t="s">
        <v>144</v>
      </c>
      <c r="C1305" s="155" t="s">
        <v>206</v>
      </c>
      <c r="D1305" s="156" t="s">
        <v>1467</v>
      </c>
      <c r="E1305" s="156" t="s">
        <v>1511</v>
      </c>
      <c r="F1305" s="156" t="s">
        <v>269</v>
      </c>
      <c r="G1305" s="155" t="s">
        <v>209</v>
      </c>
      <c r="H1305" s="157" t="s">
        <v>211</v>
      </c>
    </row>
    <row r="1306" hidden="1">
      <c r="A1306" s="151" t="s">
        <v>223</v>
      </c>
      <c r="B1306" s="118" t="s">
        <v>144</v>
      </c>
      <c r="C1306" s="118" t="s">
        <v>206</v>
      </c>
      <c r="D1306" s="152" t="s">
        <v>1467</v>
      </c>
      <c r="E1306" s="152" t="s">
        <v>1512</v>
      </c>
      <c r="F1306" s="152" t="s">
        <v>287</v>
      </c>
      <c r="G1306" s="118" t="s">
        <v>209</v>
      </c>
      <c r="H1306" s="153" t="s">
        <v>212</v>
      </c>
    </row>
    <row r="1307" hidden="1">
      <c r="A1307" s="154" t="s">
        <v>223</v>
      </c>
      <c r="B1307" s="155" t="s">
        <v>144</v>
      </c>
      <c r="C1307" s="155" t="s">
        <v>206</v>
      </c>
      <c r="D1307" s="156" t="s">
        <v>1467</v>
      </c>
      <c r="E1307" s="156" t="s">
        <v>1513</v>
      </c>
      <c r="F1307" s="156" t="s">
        <v>287</v>
      </c>
      <c r="G1307" s="155" t="s">
        <v>209</v>
      </c>
      <c r="H1307" s="157" t="s">
        <v>213</v>
      </c>
    </row>
    <row r="1308" hidden="1">
      <c r="A1308" s="151" t="s">
        <v>223</v>
      </c>
      <c r="B1308" s="118" t="s">
        <v>144</v>
      </c>
      <c r="C1308" s="118" t="s">
        <v>206</v>
      </c>
      <c r="D1308" s="152" t="s">
        <v>1467</v>
      </c>
      <c r="E1308" s="152" t="s">
        <v>1514</v>
      </c>
      <c r="F1308" s="152" t="s">
        <v>365</v>
      </c>
      <c r="G1308" s="118" t="s">
        <v>209</v>
      </c>
      <c r="H1308" s="153" t="s">
        <v>214</v>
      </c>
    </row>
    <row r="1309" hidden="1">
      <c r="A1309" s="154" t="s">
        <v>223</v>
      </c>
      <c r="B1309" s="155" t="s">
        <v>144</v>
      </c>
      <c r="C1309" s="155" t="s">
        <v>206</v>
      </c>
      <c r="D1309" s="156" t="s">
        <v>1467</v>
      </c>
      <c r="E1309" s="156" t="s">
        <v>1515</v>
      </c>
      <c r="F1309" s="156" t="s">
        <v>259</v>
      </c>
      <c r="G1309" s="155" t="s">
        <v>209</v>
      </c>
      <c r="H1309" s="157" t="s">
        <v>215</v>
      </c>
    </row>
    <row r="1310" hidden="1">
      <c r="A1310" s="151" t="s">
        <v>223</v>
      </c>
      <c r="B1310" s="118" t="s">
        <v>144</v>
      </c>
      <c r="C1310" s="118" t="s">
        <v>206</v>
      </c>
      <c r="D1310" s="152" t="s">
        <v>1467</v>
      </c>
      <c r="E1310" s="152" t="s">
        <v>1516</v>
      </c>
      <c r="F1310" s="152" t="s">
        <v>301</v>
      </c>
      <c r="G1310" s="118" t="s">
        <v>209</v>
      </c>
      <c r="H1310" s="153" t="s">
        <v>216</v>
      </c>
    </row>
    <row r="1311" hidden="1">
      <c r="A1311" s="154" t="s">
        <v>224</v>
      </c>
      <c r="B1311" s="155" t="s">
        <v>170</v>
      </c>
      <c r="C1311" s="155" t="s">
        <v>206</v>
      </c>
      <c r="D1311" s="156" t="s">
        <v>1467</v>
      </c>
      <c r="E1311" s="156" t="s">
        <v>1517</v>
      </c>
      <c r="F1311" s="156" t="s">
        <v>265</v>
      </c>
      <c r="G1311" s="155" t="s">
        <v>209</v>
      </c>
      <c r="H1311" s="157" t="s">
        <v>210</v>
      </c>
    </row>
    <row r="1312" hidden="1">
      <c r="A1312" s="151" t="s">
        <v>224</v>
      </c>
      <c r="B1312" s="118" t="s">
        <v>170</v>
      </c>
      <c r="C1312" s="118" t="s">
        <v>206</v>
      </c>
      <c r="D1312" s="152" t="s">
        <v>1467</v>
      </c>
      <c r="E1312" s="152" t="s">
        <v>1518</v>
      </c>
      <c r="F1312" s="152" t="s">
        <v>244</v>
      </c>
      <c r="G1312" s="118" t="s">
        <v>209</v>
      </c>
      <c r="H1312" s="153" t="s">
        <v>211</v>
      </c>
    </row>
    <row r="1313" hidden="1">
      <c r="A1313" s="154" t="s">
        <v>224</v>
      </c>
      <c r="B1313" s="155" t="s">
        <v>170</v>
      </c>
      <c r="C1313" s="155" t="s">
        <v>206</v>
      </c>
      <c r="D1313" s="156" t="s">
        <v>1467</v>
      </c>
      <c r="E1313" s="156" t="s">
        <v>1519</v>
      </c>
      <c r="F1313" s="156" t="s">
        <v>323</v>
      </c>
      <c r="G1313" s="155" t="s">
        <v>209</v>
      </c>
      <c r="H1313" s="157" t="s">
        <v>212</v>
      </c>
    </row>
    <row r="1314" hidden="1">
      <c r="A1314" s="151" t="s">
        <v>224</v>
      </c>
      <c r="B1314" s="118" t="s">
        <v>170</v>
      </c>
      <c r="C1314" s="118" t="s">
        <v>206</v>
      </c>
      <c r="D1314" s="152" t="s">
        <v>1467</v>
      </c>
      <c r="E1314" s="152" t="s">
        <v>1520</v>
      </c>
      <c r="F1314" s="152" t="s">
        <v>240</v>
      </c>
      <c r="G1314" s="118" t="s">
        <v>209</v>
      </c>
      <c r="H1314" s="153" t="s">
        <v>213</v>
      </c>
    </row>
    <row r="1315" hidden="1">
      <c r="A1315" s="154" t="s">
        <v>224</v>
      </c>
      <c r="B1315" s="155" t="s">
        <v>170</v>
      </c>
      <c r="C1315" s="155" t="s">
        <v>206</v>
      </c>
      <c r="D1315" s="156" t="s">
        <v>1467</v>
      </c>
      <c r="E1315" s="156" t="s">
        <v>1521</v>
      </c>
      <c r="F1315" s="156" t="s">
        <v>357</v>
      </c>
      <c r="G1315" s="155" t="s">
        <v>209</v>
      </c>
      <c r="H1315" s="157" t="s">
        <v>214</v>
      </c>
    </row>
    <row r="1316" hidden="1">
      <c r="A1316" s="151" t="s">
        <v>224</v>
      </c>
      <c r="B1316" s="118" t="s">
        <v>170</v>
      </c>
      <c r="C1316" s="118" t="s">
        <v>206</v>
      </c>
      <c r="D1316" s="152" t="s">
        <v>1467</v>
      </c>
      <c r="E1316" s="152" t="s">
        <v>1522</v>
      </c>
      <c r="F1316" s="152" t="s">
        <v>257</v>
      </c>
      <c r="G1316" s="118" t="s">
        <v>209</v>
      </c>
      <c r="H1316" s="153" t="s">
        <v>215</v>
      </c>
    </row>
    <row r="1317" hidden="1">
      <c r="A1317" s="154" t="s">
        <v>224</v>
      </c>
      <c r="B1317" s="155" t="s">
        <v>170</v>
      </c>
      <c r="C1317" s="155" t="s">
        <v>206</v>
      </c>
      <c r="D1317" s="156" t="s">
        <v>1467</v>
      </c>
      <c r="E1317" s="156" t="s">
        <v>1523</v>
      </c>
      <c r="F1317" s="156" t="s">
        <v>240</v>
      </c>
      <c r="G1317" s="155" t="s">
        <v>209</v>
      </c>
      <c r="H1317" s="157" t="s">
        <v>216</v>
      </c>
    </row>
    <row r="1318" hidden="1">
      <c r="A1318" s="151" t="s">
        <v>225</v>
      </c>
      <c r="B1318" s="118" t="s">
        <v>226</v>
      </c>
      <c r="C1318" s="118" t="s">
        <v>206</v>
      </c>
      <c r="D1318" s="152" t="s">
        <v>1467</v>
      </c>
      <c r="E1318" s="152" t="s">
        <v>1524</v>
      </c>
      <c r="F1318" s="152" t="s">
        <v>577</v>
      </c>
      <c r="G1318" s="118" t="s">
        <v>209</v>
      </c>
      <c r="H1318" s="153" t="s">
        <v>210</v>
      </c>
    </row>
    <row r="1319" hidden="1">
      <c r="A1319" s="154" t="s">
        <v>225</v>
      </c>
      <c r="B1319" s="155" t="s">
        <v>226</v>
      </c>
      <c r="C1319" s="155" t="s">
        <v>206</v>
      </c>
      <c r="D1319" s="156" t="s">
        <v>1467</v>
      </c>
      <c r="E1319" s="156" t="s">
        <v>1525</v>
      </c>
      <c r="F1319" s="156" t="s">
        <v>448</v>
      </c>
      <c r="G1319" s="155" t="s">
        <v>209</v>
      </c>
      <c r="H1319" s="157" t="s">
        <v>211</v>
      </c>
    </row>
    <row r="1320" hidden="1">
      <c r="A1320" s="151" t="s">
        <v>225</v>
      </c>
      <c r="B1320" s="118" t="s">
        <v>226</v>
      </c>
      <c r="C1320" s="118" t="s">
        <v>206</v>
      </c>
      <c r="D1320" s="152" t="s">
        <v>1467</v>
      </c>
      <c r="E1320" s="152" t="s">
        <v>1526</v>
      </c>
      <c r="F1320" s="152" t="s">
        <v>423</v>
      </c>
      <c r="G1320" s="118" t="s">
        <v>209</v>
      </c>
      <c r="H1320" s="153" t="s">
        <v>212</v>
      </c>
    </row>
    <row r="1321" hidden="1">
      <c r="A1321" s="154" t="s">
        <v>225</v>
      </c>
      <c r="B1321" s="155" t="s">
        <v>226</v>
      </c>
      <c r="C1321" s="155" t="s">
        <v>206</v>
      </c>
      <c r="D1321" s="156" t="s">
        <v>1467</v>
      </c>
      <c r="E1321" s="156" t="s">
        <v>1527</v>
      </c>
      <c r="F1321" s="156" t="s">
        <v>532</v>
      </c>
      <c r="G1321" s="155" t="s">
        <v>209</v>
      </c>
      <c r="H1321" s="157" t="s">
        <v>213</v>
      </c>
    </row>
    <row r="1322" hidden="1">
      <c r="A1322" s="151" t="s">
        <v>225</v>
      </c>
      <c r="B1322" s="118" t="s">
        <v>226</v>
      </c>
      <c r="C1322" s="118" t="s">
        <v>206</v>
      </c>
      <c r="D1322" s="152" t="s">
        <v>1467</v>
      </c>
      <c r="E1322" s="152" t="s">
        <v>1528</v>
      </c>
      <c r="F1322" s="152" t="s">
        <v>532</v>
      </c>
      <c r="G1322" s="118" t="s">
        <v>209</v>
      </c>
      <c r="H1322" s="153" t="s">
        <v>214</v>
      </c>
    </row>
    <row r="1323" hidden="1">
      <c r="A1323" s="154" t="s">
        <v>225</v>
      </c>
      <c r="B1323" s="155" t="s">
        <v>226</v>
      </c>
      <c r="C1323" s="155" t="s">
        <v>206</v>
      </c>
      <c r="D1323" s="156" t="s">
        <v>1467</v>
      </c>
      <c r="E1323" s="156" t="s">
        <v>1529</v>
      </c>
      <c r="F1323" s="156" t="s">
        <v>1530</v>
      </c>
      <c r="G1323" s="155" t="s">
        <v>209</v>
      </c>
      <c r="H1323" s="157" t="s">
        <v>215</v>
      </c>
    </row>
    <row r="1324" hidden="1">
      <c r="A1324" s="151" t="s">
        <v>225</v>
      </c>
      <c r="B1324" s="118" t="s">
        <v>226</v>
      </c>
      <c r="C1324" s="118" t="s">
        <v>206</v>
      </c>
      <c r="D1324" s="152" t="s">
        <v>1467</v>
      </c>
      <c r="E1324" s="152" t="s">
        <v>1531</v>
      </c>
      <c r="F1324" s="152" t="s">
        <v>1532</v>
      </c>
      <c r="G1324" s="118" t="s">
        <v>209</v>
      </c>
      <c r="H1324" s="153" t="s">
        <v>216</v>
      </c>
    </row>
    <row r="1325" hidden="1">
      <c r="A1325" s="154" t="s">
        <v>227</v>
      </c>
      <c r="B1325" s="155" t="s">
        <v>195</v>
      </c>
      <c r="C1325" s="155" t="s">
        <v>206</v>
      </c>
      <c r="D1325" s="156" t="s">
        <v>1467</v>
      </c>
      <c r="E1325" s="156" t="s">
        <v>1533</v>
      </c>
      <c r="F1325" s="156" t="s">
        <v>262</v>
      </c>
      <c r="G1325" s="155" t="s">
        <v>209</v>
      </c>
      <c r="H1325" s="157" t="s">
        <v>210</v>
      </c>
    </row>
    <row r="1326" hidden="1">
      <c r="A1326" s="151" t="s">
        <v>227</v>
      </c>
      <c r="B1326" s="118" t="s">
        <v>195</v>
      </c>
      <c r="C1326" s="118" t="s">
        <v>206</v>
      </c>
      <c r="D1326" s="152" t="s">
        <v>1467</v>
      </c>
      <c r="E1326" s="152" t="s">
        <v>1534</v>
      </c>
      <c r="F1326" s="152" t="s">
        <v>357</v>
      </c>
      <c r="G1326" s="118" t="s">
        <v>209</v>
      </c>
      <c r="H1326" s="153" t="s">
        <v>211</v>
      </c>
    </row>
    <row r="1327" hidden="1">
      <c r="A1327" s="154" t="s">
        <v>227</v>
      </c>
      <c r="B1327" s="155" t="s">
        <v>195</v>
      </c>
      <c r="C1327" s="155" t="s">
        <v>206</v>
      </c>
      <c r="D1327" s="156" t="s">
        <v>1467</v>
      </c>
      <c r="E1327" s="156" t="s">
        <v>1535</v>
      </c>
      <c r="F1327" s="156" t="s">
        <v>246</v>
      </c>
      <c r="G1327" s="155" t="s">
        <v>209</v>
      </c>
      <c r="H1327" s="157" t="s">
        <v>212</v>
      </c>
    </row>
    <row r="1328" hidden="1">
      <c r="A1328" s="151" t="s">
        <v>227</v>
      </c>
      <c r="B1328" s="118" t="s">
        <v>195</v>
      </c>
      <c r="C1328" s="118" t="s">
        <v>206</v>
      </c>
      <c r="D1328" s="152" t="s">
        <v>1467</v>
      </c>
      <c r="E1328" s="152" t="s">
        <v>1536</v>
      </c>
      <c r="F1328" s="152" t="s">
        <v>246</v>
      </c>
      <c r="G1328" s="118" t="s">
        <v>209</v>
      </c>
      <c r="H1328" s="153" t="s">
        <v>213</v>
      </c>
    </row>
    <row r="1329" hidden="1">
      <c r="A1329" s="154" t="s">
        <v>227</v>
      </c>
      <c r="B1329" s="155" t="s">
        <v>195</v>
      </c>
      <c r="C1329" s="155" t="s">
        <v>206</v>
      </c>
      <c r="D1329" s="156" t="s">
        <v>1467</v>
      </c>
      <c r="E1329" s="156" t="s">
        <v>1537</v>
      </c>
      <c r="F1329" s="156" t="s">
        <v>249</v>
      </c>
      <c r="G1329" s="155" t="s">
        <v>209</v>
      </c>
      <c r="H1329" s="157" t="s">
        <v>214</v>
      </c>
    </row>
    <row r="1330" hidden="1">
      <c r="A1330" s="151" t="s">
        <v>227</v>
      </c>
      <c r="B1330" s="118" t="s">
        <v>195</v>
      </c>
      <c r="C1330" s="118" t="s">
        <v>206</v>
      </c>
      <c r="D1330" s="152" t="s">
        <v>1467</v>
      </c>
      <c r="E1330" s="152" t="s">
        <v>1538</v>
      </c>
      <c r="F1330" s="152" t="s">
        <v>301</v>
      </c>
      <c r="G1330" s="118" t="s">
        <v>209</v>
      </c>
      <c r="H1330" s="153" t="s">
        <v>215</v>
      </c>
    </row>
    <row r="1331" hidden="1">
      <c r="A1331" s="154" t="s">
        <v>227</v>
      </c>
      <c r="B1331" s="155" t="s">
        <v>195</v>
      </c>
      <c r="C1331" s="155" t="s">
        <v>206</v>
      </c>
      <c r="D1331" s="156" t="s">
        <v>1467</v>
      </c>
      <c r="E1331" s="156" t="s">
        <v>1539</v>
      </c>
      <c r="F1331" s="156" t="s">
        <v>240</v>
      </c>
      <c r="G1331" s="155" t="s">
        <v>209</v>
      </c>
      <c r="H1331" s="157" t="s">
        <v>216</v>
      </c>
    </row>
    <row r="1332" hidden="1">
      <c r="A1332" s="151" t="s">
        <v>228</v>
      </c>
      <c r="B1332" s="118" t="s">
        <v>138</v>
      </c>
      <c r="C1332" s="118" t="s">
        <v>206</v>
      </c>
      <c r="D1332" s="152" t="s">
        <v>1467</v>
      </c>
      <c r="E1332" s="152" t="s">
        <v>1540</v>
      </c>
      <c r="F1332" s="152" t="s">
        <v>374</v>
      </c>
      <c r="G1332" s="118" t="s">
        <v>209</v>
      </c>
      <c r="H1332" s="153" t="s">
        <v>210</v>
      </c>
    </row>
    <row r="1333" hidden="1">
      <c r="A1333" s="154" t="s">
        <v>228</v>
      </c>
      <c r="B1333" s="155" t="s">
        <v>138</v>
      </c>
      <c r="C1333" s="155" t="s">
        <v>206</v>
      </c>
      <c r="D1333" s="156" t="s">
        <v>1467</v>
      </c>
      <c r="E1333" s="156" t="s">
        <v>1541</v>
      </c>
      <c r="F1333" s="156" t="s">
        <v>265</v>
      </c>
      <c r="G1333" s="155" t="s">
        <v>209</v>
      </c>
      <c r="H1333" s="157" t="s">
        <v>211</v>
      </c>
    </row>
    <row r="1334" hidden="1">
      <c r="A1334" s="151" t="s">
        <v>228</v>
      </c>
      <c r="B1334" s="118" t="s">
        <v>138</v>
      </c>
      <c r="C1334" s="118" t="s">
        <v>206</v>
      </c>
      <c r="D1334" s="152" t="s">
        <v>1467</v>
      </c>
      <c r="E1334" s="152" t="s">
        <v>1542</v>
      </c>
      <c r="F1334" s="152" t="s">
        <v>242</v>
      </c>
      <c r="G1334" s="118" t="s">
        <v>209</v>
      </c>
      <c r="H1334" s="153" t="s">
        <v>212</v>
      </c>
    </row>
    <row r="1335" hidden="1">
      <c r="A1335" s="154" t="s">
        <v>228</v>
      </c>
      <c r="B1335" s="155" t="s">
        <v>138</v>
      </c>
      <c r="C1335" s="155" t="s">
        <v>206</v>
      </c>
      <c r="D1335" s="156" t="s">
        <v>1467</v>
      </c>
      <c r="E1335" s="156" t="s">
        <v>1543</v>
      </c>
      <c r="F1335" s="156" t="s">
        <v>276</v>
      </c>
      <c r="G1335" s="155" t="s">
        <v>209</v>
      </c>
      <c r="H1335" s="157" t="s">
        <v>213</v>
      </c>
    </row>
    <row r="1336" hidden="1">
      <c r="A1336" s="151" t="s">
        <v>228</v>
      </c>
      <c r="B1336" s="118" t="s">
        <v>138</v>
      </c>
      <c r="C1336" s="118" t="s">
        <v>206</v>
      </c>
      <c r="D1336" s="152" t="s">
        <v>1467</v>
      </c>
      <c r="E1336" s="152" t="s">
        <v>1544</v>
      </c>
      <c r="F1336" s="152" t="s">
        <v>257</v>
      </c>
      <c r="G1336" s="118" t="s">
        <v>209</v>
      </c>
      <c r="H1336" s="153" t="s">
        <v>214</v>
      </c>
    </row>
    <row r="1337" hidden="1">
      <c r="A1337" s="154" t="s">
        <v>228</v>
      </c>
      <c r="B1337" s="155" t="s">
        <v>138</v>
      </c>
      <c r="C1337" s="155" t="s">
        <v>206</v>
      </c>
      <c r="D1337" s="156" t="s">
        <v>1467</v>
      </c>
      <c r="E1337" s="156" t="s">
        <v>1545</v>
      </c>
      <c r="F1337" s="156" t="s">
        <v>276</v>
      </c>
      <c r="G1337" s="155" t="s">
        <v>209</v>
      </c>
      <c r="H1337" s="157" t="s">
        <v>215</v>
      </c>
    </row>
    <row r="1338" hidden="1">
      <c r="A1338" s="151" t="s">
        <v>228</v>
      </c>
      <c r="B1338" s="118" t="s">
        <v>138</v>
      </c>
      <c r="C1338" s="118" t="s">
        <v>206</v>
      </c>
      <c r="D1338" s="152" t="s">
        <v>1467</v>
      </c>
      <c r="E1338" s="152" t="s">
        <v>1546</v>
      </c>
      <c r="F1338" s="152" t="s">
        <v>265</v>
      </c>
      <c r="G1338" s="118" t="s">
        <v>209</v>
      </c>
      <c r="H1338" s="153" t="s">
        <v>216</v>
      </c>
    </row>
    <row r="1339" hidden="1">
      <c r="A1339" s="154" t="s">
        <v>229</v>
      </c>
      <c r="B1339" s="155" t="s">
        <v>193</v>
      </c>
      <c r="C1339" s="155" t="s">
        <v>206</v>
      </c>
      <c r="D1339" s="156" t="s">
        <v>1467</v>
      </c>
      <c r="E1339" s="156" t="s">
        <v>1260</v>
      </c>
      <c r="F1339" s="156" t="s">
        <v>244</v>
      </c>
      <c r="G1339" s="155" t="s">
        <v>209</v>
      </c>
      <c r="H1339" s="157" t="s">
        <v>210</v>
      </c>
    </row>
    <row r="1340" hidden="1">
      <c r="A1340" s="151" t="s">
        <v>229</v>
      </c>
      <c r="B1340" s="118" t="s">
        <v>193</v>
      </c>
      <c r="C1340" s="118" t="s">
        <v>206</v>
      </c>
      <c r="D1340" s="152" t="s">
        <v>1467</v>
      </c>
      <c r="E1340" s="152" t="s">
        <v>1547</v>
      </c>
      <c r="F1340" s="152" t="s">
        <v>269</v>
      </c>
      <c r="G1340" s="118" t="s">
        <v>209</v>
      </c>
      <c r="H1340" s="153" t="s">
        <v>211</v>
      </c>
    </row>
    <row r="1341" hidden="1">
      <c r="A1341" s="154" t="s">
        <v>229</v>
      </c>
      <c r="B1341" s="155" t="s">
        <v>193</v>
      </c>
      <c r="C1341" s="155" t="s">
        <v>206</v>
      </c>
      <c r="D1341" s="156" t="s">
        <v>1467</v>
      </c>
      <c r="E1341" s="156" t="s">
        <v>1548</v>
      </c>
      <c r="F1341" s="156" t="s">
        <v>298</v>
      </c>
      <c r="G1341" s="155" t="s">
        <v>209</v>
      </c>
      <c r="H1341" s="157" t="s">
        <v>212</v>
      </c>
    </row>
    <row r="1342" hidden="1">
      <c r="A1342" s="151" t="s">
        <v>229</v>
      </c>
      <c r="B1342" s="118" t="s">
        <v>193</v>
      </c>
      <c r="C1342" s="118" t="s">
        <v>206</v>
      </c>
      <c r="D1342" s="152" t="s">
        <v>1467</v>
      </c>
      <c r="E1342" s="152" t="s">
        <v>1549</v>
      </c>
      <c r="F1342" s="152" t="s">
        <v>285</v>
      </c>
      <c r="G1342" s="118" t="s">
        <v>209</v>
      </c>
      <c r="H1342" s="153" t="s">
        <v>213</v>
      </c>
    </row>
    <row r="1343" hidden="1">
      <c r="A1343" s="154" t="s">
        <v>229</v>
      </c>
      <c r="B1343" s="155" t="s">
        <v>193</v>
      </c>
      <c r="C1343" s="155" t="s">
        <v>206</v>
      </c>
      <c r="D1343" s="156" t="s">
        <v>1467</v>
      </c>
      <c r="E1343" s="156" t="s">
        <v>1550</v>
      </c>
      <c r="F1343" s="156" t="s">
        <v>1551</v>
      </c>
      <c r="G1343" s="155" t="s">
        <v>209</v>
      </c>
      <c r="H1343" s="157" t="s">
        <v>214</v>
      </c>
    </row>
    <row r="1344" hidden="1">
      <c r="A1344" s="151" t="s">
        <v>229</v>
      </c>
      <c r="B1344" s="118" t="s">
        <v>193</v>
      </c>
      <c r="C1344" s="118" t="s">
        <v>206</v>
      </c>
      <c r="D1344" s="152" t="s">
        <v>1467</v>
      </c>
      <c r="E1344" s="152" t="s">
        <v>1552</v>
      </c>
      <c r="F1344" s="152" t="s">
        <v>357</v>
      </c>
      <c r="G1344" s="118" t="s">
        <v>209</v>
      </c>
      <c r="H1344" s="153" t="s">
        <v>215</v>
      </c>
    </row>
    <row r="1345" hidden="1">
      <c r="A1345" s="154" t="s">
        <v>229</v>
      </c>
      <c r="B1345" s="155" t="s">
        <v>193</v>
      </c>
      <c r="C1345" s="155" t="s">
        <v>206</v>
      </c>
      <c r="D1345" s="156" t="s">
        <v>1467</v>
      </c>
      <c r="E1345" s="156" t="s">
        <v>1553</v>
      </c>
      <c r="F1345" s="156" t="s">
        <v>287</v>
      </c>
      <c r="G1345" s="155" t="s">
        <v>209</v>
      </c>
      <c r="H1345" s="157" t="s">
        <v>216</v>
      </c>
    </row>
    <row r="1346" hidden="1">
      <c r="A1346" s="151" t="s">
        <v>230</v>
      </c>
      <c r="B1346" s="118" t="s">
        <v>194</v>
      </c>
      <c r="C1346" s="118" t="s">
        <v>206</v>
      </c>
      <c r="D1346" s="152" t="s">
        <v>1467</v>
      </c>
      <c r="E1346" s="152" t="s">
        <v>1554</v>
      </c>
      <c r="F1346" s="152" t="s">
        <v>257</v>
      </c>
      <c r="G1346" s="118" t="s">
        <v>209</v>
      </c>
      <c r="H1346" s="153" t="s">
        <v>210</v>
      </c>
    </row>
    <row r="1347" hidden="1">
      <c r="A1347" s="154" t="s">
        <v>230</v>
      </c>
      <c r="B1347" s="155" t="s">
        <v>194</v>
      </c>
      <c r="C1347" s="155" t="s">
        <v>206</v>
      </c>
      <c r="D1347" s="156" t="s">
        <v>1467</v>
      </c>
      <c r="E1347" s="156" t="s">
        <v>1555</v>
      </c>
      <c r="F1347" s="156" t="s">
        <v>240</v>
      </c>
      <c r="G1347" s="155" t="s">
        <v>209</v>
      </c>
      <c r="H1347" s="157" t="s">
        <v>211</v>
      </c>
    </row>
    <row r="1348" hidden="1">
      <c r="A1348" s="151" t="s">
        <v>230</v>
      </c>
      <c r="B1348" s="118" t="s">
        <v>194</v>
      </c>
      <c r="C1348" s="118" t="s">
        <v>206</v>
      </c>
      <c r="D1348" s="152" t="s">
        <v>1467</v>
      </c>
      <c r="E1348" s="152" t="s">
        <v>1556</v>
      </c>
      <c r="F1348" s="152" t="s">
        <v>255</v>
      </c>
      <c r="G1348" s="118" t="s">
        <v>209</v>
      </c>
      <c r="H1348" s="153" t="s">
        <v>212</v>
      </c>
    </row>
    <row r="1349" hidden="1">
      <c r="A1349" s="154" t="s">
        <v>230</v>
      </c>
      <c r="B1349" s="155" t="s">
        <v>194</v>
      </c>
      <c r="C1349" s="155" t="s">
        <v>206</v>
      </c>
      <c r="D1349" s="156" t="s">
        <v>1467</v>
      </c>
      <c r="E1349" s="156" t="s">
        <v>1557</v>
      </c>
      <c r="F1349" s="156" t="s">
        <v>240</v>
      </c>
      <c r="G1349" s="155" t="s">
        <v>209</v>
      </c>
      <c r="H1349" s="157" t="s">
        <v>213</v>
      </c>
    </row>
    <row r="1350" hidden="1">
      <c r="A1350" s="151" t="s">
        <v>230</v>
      </c>
      <c r="B1350" s="118" t="s">
        <v>194</v>
      </c>
      <c r="C1350" s="118" t="s">
        <v>206</v>
      </c>
      <c r="D1350" s="152" t="s">
        <v>1467</v>
      </c>
      <c r="E1350" s="152" t="s">
        <v>1558</v>
      </c>
      <c r="F1350" s="152" t="s">
        <v>323</v>
      </c>
      <c r="G1350" s="118" t="s">
        <v>209</v>
      </c>
      <c r="H1350" s="153" t="s">
        <v>214</v>
      </c>
    </row>
    <row r="1351" hidden="1">
      <c r="A1351" s="154" t="s">
        <v>230</v>
      </c>
      <c r="B1351" s="155" t="s">
        <v>194</v>
      </c>
      <c r="C1351" s="155" t="s">
        <v>206</v>
      </c>
      <c r="D1351" s="156" t="s">
        <v>1467</v>
      </c>
      <c r="E1351" s="156" t="s">
        <v>1559</v>
      </c>
      <c r="F1351" s="156" t="s">
        <v>298</v>
      </c>
      <c r="G1351" s="155" t="s">
        <v>209</v>
      </c>
      <c r="H1351" s="157" t="s">
        <v>215</v>
      </c>
    </row>
    <row r="1352" hidden="1">
      <c r="A1352" s="151" t="s">
        <v>230</v>
      </c>
      <c r="B1352" s="118" t="s">
        <v>194</v>
      </c>
      <c r="C1352" s="118" t="s">
        <v>206</v>
      </c>
      <c r="D1352" s="152" t="s">
        <v>1467</v>
      </c>
      <c r="E1352" s="152" t="s">
        <v>1560</v>
      </c>
      <c r="F1352" s="152" t="s">
        <v>287</v>
      </c>
      <c r="G1352" s="118" t="s">
        <v>209</v>
      </c>
      <c r="H1352" s="153" t="s">
        <v>216</v>
      </c>
    </row>
    <row r="1353" hidden="1">
      <c r="A1353" s="158" t="s">
        <v>231</v>
      </c>
      <c r="B1353" s="159"/>
      <c r="C1353" s="155" t="s">
        <v>232</v>
      </c>
      <c r="D1353" s="156" t="s">
        <v>1467</v>
      </c>
      <c r="E1353" s="156" t="s">
        <v>1561</v>
      </c>
      <c r="F1353" s="156" t="s">
        <v>359</v>
      </c>
      <c r="G1353" s="155" t="s">
        <v>209</v>
      </c>
      <c r="H1353" s="157" t="s">
        <v>210</v>
      </c>
    </row>
    <row r="1354" hidden="1">
      <c r="A1354" s="160" t="s">
        <v>231</v>
      </c>
      <c r="B1354" s="72"/>
      <c r="C1354" s="118" t="s">
        <v>232</v>
      </c>
      <c r="D1354" s="152" t="s">
        <v>1467</v>
      </c>
      <c r="E1354" s="152" t="s">
        <v>1562</v>
      </c>
      <c r="F1354" s="152" t="s">
        <v>321</v>
      </c>
      <c r="G1354" s="118" t="s">
        <v>209</v>
      </c>
      <c r="H1354" s="153" t="s">
        <v>211</v>
      </c>
    </row>
    <row r="1355" hidden="1">
      <c r="A1355" s="158" t="s">
        <v>231</v>
      </c>
      <c r="B1355" s="159"/>
      <c r="C1355" s="155" t="s">
        <v>232</v>
      </c>
      <c r="D1355" s="156" t="s">
        <v>1467</v>
      </c>
      <c r="E1355" s="156" t="s">
        <v>1563</v>
      </c>
      <c r="F1355" s="156" t="s">
        <v>357</v>
      </c>
      <c r="G1355" s="155" t="s">
        <v>209</v>
      </c>
      <c r="H1355" s="157" t="s">
        <v>212</v>
      </c>
    </row>
    <row r="1356" hidden="1">
      <c r="A1356" s="160" t="s">
        <v>231</v>
      </c>
      <c r="B1356" s="72"/>
      <c r="C1356" s="118" t="s">
        <v>232</v>
      </c>
      <c r="D1356" s="152" t="s">
        <v>1467</v>
      </c>
      <c r="E1356" s="152" t="s">
        <v>1564</v>
      </c>
      <c r="F1356" s="152" t="s">
        <v>325</v>
      </c>
      <c r="G1356" s="118" t="s">
        <v>209</v>
      </c>
      <c r="H1356" s="153" t="s">
        <v>213</v>
      </c>
    </row>
    <row r="1357" hidden="1">
      <c r="A1357" s="158" t="s">
        <v>231</v>
      </c>
      <c r="B1357" s="159"/>
      <c r="C1357" s="155" t="s">
        <v>232</v>
      </c>
      <c r="D1357" s="156" t="s">
        <v>1467</v>
      </c>
      <c r="E1357" s="156" t="s">
        <v>1565</v>
      </c>
      <c r="F1357" s="156" t="s">
        <v>365</v>
      </c>
      <c r="G1357" s="155" t="s">
        <v>209</v>
      </c>
      <c r="H1357" s="157" t="s">
        <v>214</v>
      </c>
    </row>
    <row r="1358" hidden="1">
      <c r="A1358" s="160" t="s">
        <v>231</v>
      </c>
      <c r="B1358" s="72"/>
      <c r="C1358" s="118" t="s">
        <v>232</v>
      </c>
      <c r="D1358" s="152" t="s">
        <v>1467</v>
      </c>
      <c r="E1358" s="152" t="s">
        <v>1566</v>
      </c>
      <c r="F1358" s="152" t="s">
        <v>323</v>
      </c>
      <c r="G1358" s="118" t="s">
        <v>209</v>
      </c>
      <c r="H1358" s="153" t="s">
        <v>215</v>
      </c>
    </row>
    <row r="1359" hidden="1">
      <c r="A1359" s="158" t="s">
        <v>231</v>
      </c>
      <c r="B1359" s="159"/>
      <c r="C1359" s="155" t="s">
        <v>232</v>
      </c>
      <c r="D1359" s="156" t="s">
        <v>1467</v>
      </c>
      <c r="E1359" s="156" t="s">
        <v>1567</v>
      </c>
      <c r="F1359" s="156" t="s">
        <v>314</v>
      </c>
      <c r="G1359" s="155" t="s">
        <v>209</v>
      </c>
      <c r="H1359" s="157" t="s">
        <v>216</v>
      </c>
    </row>
    <row r="1360" hidden="1">
      <c r="A1360" s="160" t="s">
        <v>233</v>
      </c>
      <c r="B1360" s="72"/>
      <c r="C1360" s="118" t="s">
        <v>232</v>
      </c>
      <c r="D1360" s="152" t="s">
        <v>1467</v>
      </c>
      <c r="E1360" s="152" t="s">
        <v>1568</v>
      </c>
      <c r="F1360" s="152" t="s">
        <v>301</v>
      </c>
      <c r="G1360" s="118" t="s">
        <v>209</v>
      </c>
      <c r="H1360" s="153" t="s">
        <v>210</v>
      </c>
    </row>
    <row r="1361" hidden="1">
      <c r="A1361" s="158" t="s">
        <v>233</v>
      </c>
      <c r="B1361" s="159"/>
      <c r="C1361" s="155" t="s">
        <v>232</v>
      </c>
      <c r="D1361" s="156" t="s">
        <v>1467</v>
      </c>
      <c r="E1361" s="156" t="s">
        <v>1569</v>
      </c>
      <c r="F1361" s="156" t="s">
        <v>257</v>
      </c>
      <c r="G1361" s="155" t="s">
        <v>209</v>
      </c>
      <c r="H1361" s="157" t="s">
        <v>211</v>
      </c>
    </row>
    <row r="1362" hidden="1">
      <c r="A1362" s="160" t="s">
        <v>233</v>
      </c>
      <c r="B1362" s="72"/>
      <c r="C1362" s="118" t="s">
        <v>232</v>
      </c>
      <c r="D1362" s="152" t="s">
        <v>1467</v>
      </c>
      <c r="E1362" s="152" t="s">
        <v>1570</v>
      </c>
      <c r="F1362" s="152" t="s">
        <v>269</v>
      </c>
      <c r="G1362" s="118" t="s">
        <v>209</v>
      </c>
      <c r="H1362" s="153" t="s">
        <v>212</v>
      </c>
    </row>
    <row r="1363" hidden="1">
      <c r="A1363" s="158" t="s">
        <v>233</v>
      </c>
      <c r="B1363" s="159"/>
      <c r="C1363" s="155" t="s">
        <v>232</v>
      </c>
      <c r="D1363" s="156" t="s">
        <v>1467</v>
      </c>
      <c r="E1363" s="156" t="s">
        <v>1560</v>
      </c>
      <c r="F1363" s="156" t="s">
        <v>246</v>
      </c>
      <c r="G1363" s="155" t="s">
        <v>209</v>
      </c>
      <c r="H1363" s="157" t="s">
        <v>213</v>
      </c>
    </row>
    <row r="1364" hidden="1">
      <c r="A1364" s="160" t="s">
        <v>233</v>
      </c>
      <c r="B1364" s="72"/>
      <c r="C1364" s="118" t="s">
        <v>232</v>
      </c>
      <c r="D1364" s="152" t="s">
        <v>1467</v>
      </c>
      <c r="E1364" s="152" t="s">
        <v>1571</v>
      </c>
      <c r="F1364" s="152" t="s">
        <v>246</v>
      </c>
      <c r="G1364" s="118" t="s">
        <v>209</v>
      </c>
      <c r="H1364" s="153" t="s">
        <v>214</v>
      </c>
    </row>
    <row r="1365" hidden="1">
      <c r="A1365" s="158" t="s">
        <v>233</v>
      </c>
      <c r="B1365" s="159"/>
      <c r="C1365" s="155" t="s">
        <v>232</v>
      </c>
      <c r="D1365" s="156" t="s">
        <v>1467</v>
      </c>
      <c r="E1365" s="156" t="s">
        <v>1572</v>
      </c>
      <c r="F1365" s="156" t="s">
        <v>269</v>
      </c>
      <c r="G1365" s="155" t="s">
        <v>209</v>
      </c>
      <c r="H1365" s="157" t="s">
        <v>215</v>
      </c>
    </row>
    <row r="1366" hidden="1">
      <c r="A1366" s="160" t="s">
        <v>233</v>
      </c>
      <c r="B1366" s="72"/>
      <c r="C1366" s="118" t="s">
        <v>232</v>
      </c>
      <c r="D1366" s="152" t="s">
        <v>1467</v>
      </c>
      <c r="E1366" s="152" t="s">
        <v>1573</v>
      </c>
      <c r="F1366" s="152" t="s">
        <v>240</v>
      </c>
      <c r="G1366" s="118" t="s">
        <v>209</v>
      </c>
      <c r="H1366" s="153" t="s">
        <v>216</v>
      </c>
    </row>
    <row r="1367" hidden="1">
      <c r="A1367" s="158" t="s">
        <v>234</v>
      </c>
      <c r="B1367" s="159"/>
      <c r="C1367" s="155" t="s">
        <v>232</v>
      </c>
      <c r="D1367" s="156" t="s">
        <v>1467</v>
      </c>
      <c r="E1367" s="156" t="s">
        <v>1574</v>
      </c>
      <c r="F1367" s="156" t="s">
        <v>240</v>
      </c>
      <c r="G1367" s="155" t="s">
        <v>209</v>
      </c>
      <c r="H1367" s="157" t="s">
        <v>210</v>
      </c>
    </row>
    <row r="1368" hidden="1">
      <c r="A1368" s="160" t="s">
        <v>234</v>
      </c>
      <c r="B1368" s="72"/>
      <c r="C1368" s="118" t="s">
        <v>232</v>
      </c>
      <c r="D1368" s="152" t="s">
        <v>1467</v>
      </c>
      <c r="E1368" s="152" t="s">
        <v>1575</v>
      </c>
      <c r="F1368" s="152" t="s">
        <v>357</v>
      </c>
      <c r="G1368" s="118" t="s">
        <v>209</v>
      </c>
      <c r="H1368" s="153" t="s">
        <v>211</v>
      </c>
    </row>
    <row r="1369" hidden="1">
      <c r="A1369" s="158" t="s">
        <v>234</v>
      </c>
      <c r="B1369" s="159"/>
      <c r="C1369" s="155" t="s">
        <v>232</v>
      </c>
      <c r="D1369" s="156" t="s">
        <v>1467</v>
      </c>
      <c r="E1369" s="156" t="s">
        <v>1576</v>
      </c>
      <c r="F1369" s="156" t="s">
        <v>285</v>
      </c>
      <c r="G1369" s="155" t="s">
        <v>209</v>
      </c>
      <c r="H1369" s="157" t="s">
        <v>212</v>
      </c>
    </row>
    <row r="1370" hidden="1">
      <c r="A1370" s="160" t="s">
        <v>234</v>
      </c>
      <c r="B1370" s="72"/>
      <c r="C1370" s="118" t="s">
        <v>232</v>
      </c>
      <c r="D1370" s="152" t="s">
        <v>1467</v>
      </c>
      <c r="E1370" s="152" t="s">
        <v>1577</v>
      </c>
      <c r="F1370" s="152" t="s">
        <v>242</v>
      </c>
      <c r="G1370" s="118" t="s">
        <v>209</v>
      </c>
      <c r="H1370" s="153" t="s">
        <v>213</v>
      </c>
    </row>
    <row r="1371" hidden="1">
      <c r="A1371" s="158" t="s">
        <v>234</v>
      </c>
      <c r="B1371" s="159"/>
      <c r="C1371" s="155" t="s">
        <v>232</v>
      </c>
      <c r="D1371" s="156" t="s">
        <v>1467</v>
      </c>
      <c r="E1371" s="156" t="s">
        <v>1578</v>
      </c>
      <c r="F1371" s="156" t="s">
        <v>357</v>
      </c>
      <c r="G1371" s="155" t="s">
        <v>209</v>
      </c>
      <c r="H1371" s="157" t="s">
        <v>214</v>
      </c>
    </row>
    <row r="1372" hidden="1">
      <c r="A1372" s="160" t="s">
        <v>234</v>
      </c>
      <c r="B1372" s="72"/>
      <c r="C1372" s="118" t="s">
        <v>232</v>
      </c>
      <c r="D1372" s="152" t="s">
        <v>1467</v>
      </c>
      <c r="E1372" s="152" t="s">
        <v>1579</v>
      </c>
      <c r="F1372" s="152" t="s">
        <v>308</v>
      </c>
      <c r="G1372" s="118" t="s">
        <v>209</v>
      </c>
      <c r="H1372" s="153" t="s">
        <v>215</v>
      </c>
    </row>
    <row r="1373" hidden="1">
      <c r="A1373" s="158" t="s">
        <v>234</v>
      </c>
      <c r="B1373" s="159"/>
      <c r="C1373" s="155" t="s">
        <v>232</v>
      </c>
      <c r="D1373" s="156" t="s">
        <v>1467</v>
      </c>
      <c r="E1373" s="156" t="s">
        <v>1580</v>
      </c>
      <c r="F1373" s="156" t="s">
        <v>244</v>
      </c>
      <c r="G1373" s="155" t="s">
        <v>209</v>
      </c>
      <c r="H1373" s="157" t="s">
        <v>216</v>
      </c>
    </row>
    <row r="1374" hidden="1">
      <c r="A1374" s="160" t="s">
        <v>235</v>
      </c>
      <c r="B1374" s="72"/>
      <c r="C1374" s="118" t="s">
        <v>236</v>
      </c>
      <c r="D1374" s="152" t="s">
        <v>1467</v>
      </c>
      <c r="E1374" s="152" t="s">
        <v>1581</v>
      </c>
      <c r="F1374" s="152" t="s">
        <v>257</v>
      </c>
      <c r="G1374" s="118" t="s">
        <v>209</v>
      </c>
      <c r="H1374" s="153" t="s">
        <v>210</v>
      </c>
    </row>
    <row r="1375" hidden="1">
      <c r="A1375" s="158" t="s">
        <v>235</v>
      </c>
      <c r="B1375" s="159"/>
      <c r="C1375" s="155" t="s">
        <v>236</v>
      </c>
      <c r="D1375" s="156" t="s">
        <v>1467</v>
      </c>
      <c r="E1375" s="156" t="s">
        <v>1582</v>
      </c>
      <c r="F1375" s="156" t="s">
        <v>246</v>
      </c>
      <c r="G1375" s="155" t="s">
        <v>209</v>
      </c>
      <c r="H1375" s="157" t="s">
        <v>211</v>
      </c>
    </row>
    <row r="1376" hidden="1">
      <c r="A1376" s="160" t="s">
        <v>235</v>
      </c>
      <c r="B1376" s="72"/>
      <c r="C1376" s="118" t="s">
        <v>236</v>
      </c>
      <c r="D1376" s="152" t="s">
        <v>1467</v>
      </c>
      <c r="E1376" s="152" t="s">
        <v>1583</v>
      </c>
      <c r="F1376" s="152" t="s">
        <v>246</v>
      </c>
      <c r="G1376" s="118" t="s">
        <v>209</v>
      </c>
      <c r="H1376" s="153" t="s">
        <v>212</v>
      </c>
    </row>
    <row r="1377" hidden="1">
      <c r="A1377" s="158" t="s">
        <v>235</v>
      </c>
      <c r="B1377" s="159"/>
      <c r="C1377" s="155" t="s">
        <v>236</v>
      </c>
      <c r="D1377" s="156" t="s">
        <v>1467</v>
      </c>
      <c r="E1377" s="156" t="s">
        <v>1584</v>
      </c>
      <c r="F1377" s="156" t="s">
        <v>323</v>
      </c>
      <c r="G1377" s="155" t="s">
        <v>209</v>
      </c>
      <c r="H1377" s="157" t="s">
        <v>213</v>
      </c>
    </row>
    <row r="1378" hidden="1">
      <c r="A1378" s="160" t="s">
        <v>235</v>
      </c>
      <c r="B1378" s="72"/>
      <c r="C1378" s="118" t="s">
        <v>236</v>
      </c>
      <c r="D1378" s="152" t="s">
        <v>1467</v>
      </c>
      <c r="E1378" s="152" t="s">
        <v>1585</v>
      </c>
      <c r="F1378" s="152" t="s">
        <v>357</v>
      </c>
      <c r="G1378" s="118" t="s">
        <v>209</v>
      </c>
      <c r="H1378" s="153" t="s">
        <v>214</v>
      </c>
    </row>
    <row r="1379" hidden="1">
      <c r="A1379" s="158" t="s">
        <v>235</v>
      </c>
      <c r="B1379" s="159"/>
      <c r="C1379" s="155" t="s">
        <v>236</v>
      </c>
      <c r="D1379" s="156" t="s">
        <v>1467</v>
      </c>
      <c r="E1379" s="156" t="s">
        <v>1586</v>
      </c>
      <c r="F1379" s="156" t="s">
        <v>257</v>
      </c>
      <c r="G1379" s="155" t="s">
        <v>209</v>
      </c>
      <c r="H1379" s="157" t="s">
        <v>215</v>
      </c>
    </row>
    <row r="1380" hidden="1">
      <c r="A1380" s="160" t="s">
        <v>235</v>
      </c>
      <c r="B1380" s="72"/>
      <c r="C1380" s="118" t="s">
        <v>236</v>
      </c>
      <c r="D1380" s="152" t="s">
        <v>1467</v>
      </c>
      <c r="E1380" s="152" t="s">
        <v>1587</v>
      </c>
      <c r="F1380" s="152" t="s">
        <v>246</v>
      </c>
      <c r="G1380" s="118" t="s">
        <v>209</v>
      </c>
      <c r="H1380" s="153" t="s">
        <v>216</v>
      </c>
    </row>
    <row r="1381" hidden="1">
      <c r="A1381" s="158" t="s">
        <v>237</v>
      </c>
      <c r="B1381" s="159"/>
      <c r="C1381" s="155" t="s">
        <v>236</v>
      </c>
      <c r="D1381" s="156" t="s">
        <v>1467</v>
      </c>
      <c r="E1381" s="156" t="s">
        <v>1588</v>
      </c>
      <c r="F1381" s="156" t="s">
        <v>255</v>
      </c>
      <c r="G1381" s="155" t="s">
        <v>209</v>
      </c>
      <c r="H1381" s="157" t="s">
        <v>210</v>
      </c>
    </row>
    <row r="1382" hidden="1">
      <c r="A1382" s="160" t="s">
        <v>237</v>
      </c>
      <c r="B1382" s="72"/>
      <c r="C1382" s="118" t="s">
        <v>236</v>
      </c>
      <c r="D1382" s="152" t="s">
        <v>1467</v>
      </c>
      <c r="E1382" s="152" t="s">
        <v>1589</v>
      </c>
      <c r="F1382" s="152" t="s">
        <v>357</v>
      </c>
      <c r="G1382" s="118" t="s">
        <v>209</v>
      </c>
      <c r="H1382" s="153" t="s">
        <v>211</v>
      </c>
    </row>
    <row r="1383" hidden="1">
      <c r="A1383" s="158" t="s">
        <v>237</v>
      </c>
      <c r="B1383" s="159"/>
      <c r="C1383" s="155" t="s">
        <v>236</v>
      </c>
      <c r="D1383" s="156" t="s">
        <v>1467</v>
      </c>
      <c r="E1383" s="156" t="s">
        <v>1590</v>
      </c>
      <c r="F1383" s="156" t="s">
        <v>269</v>
      </c>
      <c r="G1383" s="155" t="s">
        <v>209</v>
      </c>
      <c r="H1383" s="157" t="s">
        <v>212</v>
      </c>
    </row>
    <row r="1384" hidden="1">
      <c r="A1384" s="160" t="s">
        <v>237</v>
      </c>
      <c r="B1384" s="72"/>
      <c r="C1384" s="118" t="s">
        <v>236</v>
      </c>
      <c r="D1384" s="152" t="s">
        <v>1467</v>
      </c>
      <c r="E1384" s="152" t="s">
        <v>1591</v>
      </c>
      <c r="F1384" s="152" t="s">
        <v>287</v>
      </c>
      <c r="G1384" s="118" t="s">
        <v>209</v>
      </c>
      <c r="H1384" s="153" t="s">
        <v>213</v>
      </c>
    </row>
    <row r="1385" hidden="1">
      <c r="A1385" s="158" t="s">
        <v>237</v>
      </c>
      <c r="B1385" s="159"/>
      <c r="C1385" s="155" t="s">
        <v>236</v>
      </c>
      <c r="D1385" s="156" t="s">
        <v>1467</v>
      </c>
      <c r="E1385" s="156" t="s">
        <v>1592</v>
      </c>
      <c r="F1385" s="156" t="s">
        <v>240</v>
      </c>
      <c r="G1385" s="155" t="s">
        <v>209</v>
      </c>
      <c r="H1385" s="157" t="s">
        <v>214</v>
      </c>
    </row>
    <row r="1386" hidden="1">
      <c r="A1386" s="160" t="s">
        <v>237</v>
      </c>
      <c r="B1386" s="72"/>
      <c r="C1386" s="118" t="s">
        <v>236</v>
      </c>
      <c r="D1386" s="152" t="s">
        <v>1467</v>
      </c>
      <c r="E1386" s="152" t="s">
        <v>1593</v>
      </c>
      <c r="F1386" s="152" t="s">
        <v>365</v>
      </c>
      <c r="G1386" s="118" t="s">
        <v>209</v>
      </c>
      <c r="H1386" s="153" t="s">
        <v>215</v>
      </c>
    </row>
    <row r="1387" hidden="1">
      <c r="A1387" s="158" t="s">
        <v>237</v>
      </c>
      <c r="B1387" s="159"/>
      <c r="C1387" s="155" t="s">
        <v>236</v>
      </c>
      <c r="D1387" s="156" t="s">
        <v>1467</v>
      </c>
      <c r="E1387" s="156" t="s">
        <v>1594</v>
      </c>
      <c r="F1387" s="156" t="s">
        <v>287</v>
      </c>
      <c r="G1387" s="155" t="s">
        <v>209</v>
      </c>
      <c r="H1387" s="157" t="s">
        <v>216</v>
      </c>
    </row>
    <row r="1388" hidden="1">
      <c r="A1388" s="151" t="s">
        <v>204</v>
      </c>
      <c r="B1388" s="118" t="s">
        <v>205</v>
      </c>
      <c r="C1388" s="118" t="s">
        <v>206</v>
      </c>
      <c r="D1388" s="152" t="s">
        <v>1595</v>
      </c>
      <c r="E1388" s="152" t="s">
        <v>1596</v>
      </c>
      <c r="F1388" s="152" t="s">
        <v>269</v>
      </c>
      <c r="G1388" s="118" t="s">
        <v>209</v>
      </c>
      <c r="H1388" s="153" t="s">
        <v>210</v>
      </c>
    </row>
    <row r="1389" hidden="1">
      <c r="A1389" s="154" t="s">
        <v>204</v>
      </c>
      <c r="B1389" s="155" t="s">
        <v>205</v>
      </c>
      <c r="C1389" s="155" t="s">
        <v>206</v>
      </c>
      <c r="D1389" s="156" t="s">
        <v>1595</v>
      </c>
      <c r="E1389" s="156" t="s">
        <v>1597</v>
      </c>
      <c r="F1389" s="156" t="s">
        <v>246</v>
      </c>
      <c r="G1389" s="155" t="s">
        <v>209</v>
      </c>
      <c r="H1389" s="157" t="s">
        <v>211</v>
      </c>
    </row>
    <row r="1390" hidden="1">
      <c r="A1390" s="151" t="s">
        <v>204</v>
      </c>
      <c r="B1390" s="118" t="s">
        <v>205</v>
      </c>
      <c r="C1390" s="118" t="s">
        <v>206</v>
      </c>
      <c r="D1390" s="152" t="s">
        <v>1595</v>
      </c>
      <c r="E1390" s="152" t="s">
        <v>1598</v>
      </c>
      <c r="F1390" s="152" t="s">
        <v>257</v>
      </c>
      <c r="G1390" s="118" t="s">
        <v>209</v>
      </c>
      <c r="H1390" s="153" t="s">
        <v>212</v>
      </c>
    </row>
    <row r="1391" hidden="1">
      <c r="A1391" s="154" t="s">
        <v>204</v>
      </c>
      <c r="B1391" s="155" t="s">
        <v>205</v>
      </c>
      <c r="C1391" s="155" t="s">
        <v>206</v>
      </c>
      <c r="D1391" s="156" t="s">
        <v>1595</v>
      </c>
      <c r="E1391" s="156" t="s">
        <v>1599</v>
      </c>
      <c r="F1391" s="156" t="s">
        <v>240</v>
      </c>
      <c r="G1391" s="155" t="s">
        <v>209</v>
      </c>
      <c r="H1391" s="157" t="s">
        <v>213</v>
      </c>
    </row>
    <row r="1392" hidden="1">
      <c r="A1392" s="151" t="s">
        <v>204</v>
      </c>
      <c r="B1392" s="118" t="s">
        <v>205</v>
      </c>
      <c r="C1392" s="118" t="s">
        <v>206</v>
      </c>
      <c r="D1392" s="152" t="s">
        <v>1595</v>
      </c>
      <c r="E1392" s="152" t="s">
        <v>1600</v>
      </c>
      <c r="F1392" s="152" t="s">
        <v>246</v>
      </c>
      <c r="G1392" s="118" t="s">
        <v>209</v>
      </c>
      <c r="H1392" s="153" t="s">
        <v>214</v>
      </c>
    </row>
    <row r="1393" hidden="1">
      <c r="A1393" s="154" t="s">
        <v>204</v>
      </c>
      <c r="B1393" s="155" t="s">
        <v>205</v>
      </c>
      <c r="C1393" s="155" t="s">
        <v>206</v>
      </c>
      <c r="D1393" s="156" t="s">
        <v>1595</v>
      </c>
      <c r="E1393" s="156" t="s">
        <v>1601</v>
      </c>
      <c r="F1393" s="156" t="s">
        <v>257</v>
      </c>
      <c r="G1393" s="155" t="s">
        <v>209</v>
      </c>
      <c r="H1393" s="157" t="s">
        <v>215</v>
      </c>
    </row>
    <row r="1394" hidden="1">
      <c r="A1394" s="151" t="s">
        <v>204</v>
      </c>
      <c r="B1394" s="118" t="s">
        <v>205</v>
      </c>
      <c r="C1394" s="118" t="s">
        <v>206</v>
      </c>
      <c r="D1394" s="152" t="s">
        <v>1595</v>
      </c>
      <c r="E1394" s="152" t="s">
        <v>1602</v>
      </c>
      <c r="F1394" s="152" t="s">
        <v>287</v>
      </c>
      <c r="G1394" s="118" t="s">
        <v>209</v>
      </c>
      <c r="H1394" s="153" t="s">
        <v>216</v>
      </c>
    </row>
    <row r="1395" hidden="1">
      <c r="A1395" s="154" t="s">
        <v>217</v>
      </c>
      <c r="B1395" s="155" t="s">
        <v>191</v>
      </c>
      <c r="C1395" s="155" t="s">
        <v>206</v>
      </c>
      <c r="D1395" s="156" t="s">
        <v>1595</v>
      </c>
      <c r="E1395" s="156" t="s">
        <v>1603</v>
      </c>
      <c r="F1395" s="156" t="s">
        <v>255</v>
      </c>
      <c r="G1395" s="155" t="s">
        <v>209</v>
      </c>
      <c r="H1395" s="157" t="s">
        <v>210</v>
      </c>
    </row>
    <row r="1396" hidden="1">
      <c r="A1396" s="151" t="s">
        <v>217</v>
      </c>
      <c r="B1396" s="118" t="s">
        <v>191</v>
      </c>
      <c r="C1396" s="118" t="s">
        <v>206</v>
      </c>
      <c r="D1396" s="152" t="s">
        <v>1595</v>
      </c>
      <c r="E1396" s="152" t="s">
        <v>1604</v>
      </c>
      <c r="F1396" s="152" t="s">
        <v>287</v>
      </c>
      <c r="G1396" s="118" t="s">
        <v>209</v>
      </c>
      <c r="H1396" s="153" t="s">
        <v>211</v>
      </c>
    </row>
    <row r="1397" hidden="1">
      <c r="A1397" s="154" t="s">
        <v>217</v>
      </c>
      <c r="B1397" s="155" t="s">
        <v>191</v>
      </c>
      <c r="C1397" s="155" t="s">
        <v>206</v>
      </c>
      <c r="D1397" s="156" t="s">
        <v>1595</v>
      </c>
      <c r="E1397" s="156" t="s">
        <v>1605</v>
      </c>
      <c r="F1397" s="156" t="s">
        <v>257</v>
      </c>
      <c r="G1397" s="155" t="s">
        <v>209</v>
      </c>
      <c r="H1397" s="157" t="s">
        <v>212</v>
      </c>
    </row>
    <row r="1398" hidden="1">
      <c r="A1398" s="151" t="s">
        <v>217</v>
      </c>
      <c r="B1398" s="118" t="s">
        <v>191</v>
      </c>
      <c r="C1398" s="118" t="s">
        <v>206</v>
      </c>
      <c r="D1398" s="152" t="s">
        <v>1595</v>
      </c>
      <c r="E1398" s="152" t="s">
        <v>1606</v>
      </c>
      <c r="F1398" s="152" t="s">
        <v>259</v>
      </c>
      <c r="G1398" s="118" t="s">
        <v>209</v>
      </c>
      <c r="H1398" s="153" t="s">
        <v>213</v>
      </c>
    </row>
    <row r="1399" hidden="1">
      <c r="A1399" s="154" t="s">
        <v>217</v>
      </c>
      <c r="B1399" s="155" t="s">
        <v>191</v>
      </c>
      <c r="C1399" s="155" t="s">
        <v>206</v>
      </c>
      <c r="D1399" s="156" t="s">
        <v>1595</v>
      </c>
      <c r="E1399" s="156" t="s">
        <v>1607</v>
      </c>
      <c r="F1399" s="156" t="s">
        <v>240</v>
      </c>
      <c r="G1399" s="155" t="s">
        <v>209</v>
      </c>
      <c r="H1399" s="157" t="s">
        <v>214</v>
      </c>
    </row>
    <row r="1400" hidden="1">
      <c r="A1400" s="151" t="s">
        <v>217</v>
      </c>
      <c r="B1400" s="118" t="s">
        <v>191</v>
      </c>
      <c r="C1400" s="118" t="s">
        <v>206</v>
      </c>
      <c r="D1400" s="152" t="s">
        <v>1595</v>
      </c>
      <c r="E1400" s="152" t="s">
        <v>1608</v>
      </c>
      <c r="F1400" s="152" t="s">
        <v>287</v>
      </c>
      <c r="G1400" s="118" t="s">
        <v>209</v>
      </c>
      <c r="H1400" s="153" t="s">
        <v>215</v>
      </c>
    </row>
    <row r="1401" hidden="1">
      <c r="A1401" s="154" t="s">
        <v>217</v>
      </c>
      <c r="B1401" s="155" t="s">
        <v>191</v>
      </c>
      <c r="C1401" s="155" t="s">
        <v>206</v>
      </c>
      <c r="D1401" s="156" t="s">
        <v>1595</v>
      </c>
      <c r="E1401" s="156" t="s">
        <v>1609</v>
      </c>
      <c r="F1401" s="156" t="s">
        <v>269</v>
      </c>
      <c r="G1401" s="155" t="s">
        <v>209</v>
      </c>
      <c r="H1401" s="157" t="s">
        <v>216</v>
      </c>
    </row>
    <row r="1402" hidden="1">
      <c r="A1402" s="151" t="s">
        <v>218</v>
      </c>
      <c r="B1402" s="118" t="s">
        <v>219</v>
      </c>
      <c r="C1402" s="118" t="s">
        <v>206</v>
      </c>
      <c r="D1402" s="152" t="s">
        <v>1595</v>
      </c>
      <c r="E1402" s="152" t="s">
        <v>1610</v>
      </c>
      <c r="F1402" s="152" t="s">
        <v>301</v>
      </c>
      <c r="G1402" s="118" t="s">
        <v>209</v>
      </c>
      <c r="H1402" s="153" t="s">
        <v>210</v>
      </c>
    </row>
    <row r="1403" hidden="1">
      <c r="A1403" s="154" t="s">
        <v>218</v>
      </c>
      <c r="B1403" s="155" t="s">
        <v>219</v>
      </c>
      <c r="C1403" s="155" t="s">
        <v>206</v>
      </c>
      <c r="D1403" s="156" t="s">
        <v>1595</v>
      </c>
      <c r="E1403" s="156" t="s">
        <v>1611</v>
      </c>
      <c r="F1403" s="156" t="s">
        <v>269</v>
      </c>
      <c r="G1403" s="155" t="s">
        <v>209</v>
      </c>
      <c r="H1403" s="157" t="s">
        <v>211</v>
      </c>
    </row>
    <row r="1404" hidden="1">
      <c r="A1404" s="151" t="s">
        <v>218</v>
      </c>
      <c r="B1404" s="118" t="s">
        <v>219</v>
      </c>
      <c r="C1404" s="118" t="s">
        <v>206</v>
      </c>
      <c r="D1404" s="152" t="s">
        <v>1595</v>
      </c>
      <c r="E1404" s="152" t="s">
        <v>1612</v>
      </c>
      <c r="F1404" s="152" t="s">
        <v>269</v>
      </c>
      <c r="G1404" s="118" t="s">
        <v>209</v>
      </c>
      <c r="H1404" s="153" t="s">
        <v>212</v>
      </c>
    </row>
    <row r="1405" hidden="1">
      <c r="A1405" s="154" t="s">
        <v>218</v>
      </c>
      <c r="B1405" s="155" t="s">
        <v>219</v>
      </c>
      <c r="C1405" s="155" t="s">
        <v>206</v>
      </c>
      <c r="D1405" s="156" t="s">
        <v>1595</v>
      </c>
      <c r="E1405" s="156" t="s">
        <v>1613</v>
      </c>
      <c r="F1405" s="156" t="s">
        <v>374</v>
      </c>
      <c r="G1405" s="155" t="s">
        <v>209</v>
      </c>
      <c r="H1405" s="157" t="s">
        <v>213</v>
      </c>
    </row>
    <row r="1406" hidden="1">
      <c r="A1406" s="151" t="s">
        <v>218</v>
      </c>
      <c r="B1406" s="118" t="s">
        <v>219</v>
      </c>
      <c r="C1406" s="118" t="s">
        <v>206</v>
      </c>
      <c r="D1406" s="152" t="s">
        <v>1595</v>
      </c>
      <c r="E1406" s="152" t="s">
        <v>1614</v>
      </c>
      <c r="F1406" s="152" t="s">
        <v>269</v>
      </c>
      <c r="G1406" s="118" t="s">
        <v>209</v>
      </c>
      <c r="H1406" s="153" t="s">
        <v>214</v>
      </c>
    </row>
    <row r="1407" hidden="1">
      <c r="A1407" s="154" t="s">
        <v>218</v>
      </c>
      <c r="B1407" s="155" t="s">
        <v>219</v>
      </c>
      <c r="C1407" s="155" t="s">
        <v>206</v>
      </c>
      <c r="D1407" s="156" t="s">
        <v>1595</v>
      </c>
      <c r="E1407" s="156" t="s">
        <v>1615</v>
      </c>
      <c r="F1407" s="156" t="s">
        <v>255</v>
      </c>
      <c r="G1407" s="155" t="s">
        <v>209</v>
      </c>
      <c r="H1407" s="157" t="s">
        <v>215</v>
      </c>
    </row>
    <row r="1408" hidden="1">
      <c r="A1408" s="151" t="s">
        <v>218</v>
      </c>
      <c r="B1408" s="118" t="s">
        <v>219</v>
      </c>
      <c r="C1408" s="118" t="s">
        <v>206</v>
      </c>
      <c r="D1408" s="152" t="s">
        <v>1595</v>
      </c>
      <c r="E1408" s="152" t="s">
        <v>1616</v>
      </c>
      <c r="F1408" s="152" t="s">
        <v>301</v>
      </c>
      <c r="G1408" s="118" t="s">
        <v>209</v>
      </c>
      <c r="H1408" s="153" t="s">
        <v>216</v>
      </c>
    </row>
    <row r="1409" hidden="1">
      <c r="A1409" s="154" t="s">
        <v>220</v>
      </c>
      <c r="B1409" s="155" t="s">
        <v>190</v>
      </c>
      <c r="C1409" s="155" t="s">
        <v>206</v>
      </c>
      <c r="D1409" s="156" t="s">
        <v>1595</v>
      </c>
      <c r="E1409" s="156" t="s">
        <v>1617</v>
      </c>
      <c r="F1409" s="156" t="s">
        <v>301</v>
      </c>
      <c r="G1409" s="155" t="s">
        <v>209</v>
      </c>
      <c r="H1409" s="157" t="s">
        <v>210</v>
      </c>
    </row>
    <row r="1410" hidden="1">
      <c r="A1410" s="151" t="s">
        <v>220</v>
      </c>
      <c r="B1410" s="118" t="s">
        <v>190</v>
      </c>
      <c r="C1410" s="118" t="s">
        <v>206</v>
      </c>
      <c r="D1410" s="152" t="s">
        <v>1595</v>
      </c>
      <c r="E1410" s="152" t="s">
        <v>1618</v>
      </c>
      <c r="F1410" s="152" t="s">
        <v>244</v>
      </c>
      <c r="G1410" s="118" t="s">
        <v>209</v>
      </c>
      <c r="H1410" s="153" t="s">
        <v>211</v>
      </c>
    </row>
    <row r="1411" hidden="1">
      <c r="A1411" s="154" t="s">
        <v>220</v>
      </c>
      <c r="B1411" s="155" t="s">
        <v>190</v>
      </c>
      <c r="C1411" s="155" t="s">
        <v>206</v>
      </c>
      <c r="D1411" s="156" t="s">
        <v>1595</v>
      </c>
      <c r="E1411" s="156" t="s">
        <v>1619</v>
      </c>
      <c r="F1411" s="156" t="s">
        <v>285</v>
      </c>
      <c r="G1411" s="155" t="s">
        <v>209</v>
      </c>
      <c r="H1411" s="157" t="s">
        <v>212</v>
      </c>
    </row>
    <row r="1412" hidden="1">
      <c r="A1412" s="151" t="s">
        <v>220</v>
      </c>
      <c r="B1412" s="118" t="s">
        <v>190</v>
      </c>
      <c r="C1412" s="118" t="s">
        <v>206</v>
      </c>
      <c r="D1412" s="152" t="s">
        <v>1595</v>
      </c>
      <c r="E1412" s="152" t="s">
        <v>1620</v>
      </c>
      <c r="F1412" s="152" t="s">
        <v>257</v>
      </c>
      <c r="G1412" s="118" t="s">
        <v>209</v>
      </c>
      <c r="H1412" s="153" t="s">
        <v>213</v>
      </c>
    </row>
    <row r="1413" hidden="1">
      <c r="A1413" s="154" t="s">
        <v>220</v>
      </c>
      <c r="B1413" s="155" t="s">
        <v>190</v>
      </c>
      <c r="C1413" s="155" t="s">
        <v>206</v>
      </c>
      <c r="D1413" s="156" t="s">
        <v>1595</v>
      </c>
      <c r="E1413" s="156" t="s">
        <v>1621</v>
      </c>
      <c r="F1413" s="156" t="s">
        <v>279</v>
      </c>
      <c r="G1413" s="155" t="s">
        <v>209</v>
      </c>
      <c r="H1413" s="157" t="s">
        <v>214</v>
      </c>
    </row>
    <row r="1414" hidden="1">
      <c r="A1414" s="151" t="s">
        <v>220</v>
      </c>
      <c r="B1414" s="118" t="s">
        <v>190</v>
      </c>
      <c r="C1414" s="118" t="s">
        <v>206</v>
      </c>
      <c r="D1414" s="152" t="s">
        <v>1595</v>
      </c>
      <c r="E1414" s="152" t="s">
        <v>1622</v>
      </c>
      <c r="F1414" s="152" t="s">
        <v>246</v>
      </c>
      <c r="G1414" s="118" t="s">
        <v>209</v>
      </c>
      <c r="H1414" s="153" t="s">
        <v>215</v>
      </c>
    </row>
    <row r="1415" hidden="1">
      <c r="A1415" s="154" t="s">
        <v>220</v>
      </c>
      <c r="B1415" s="155" t="s">
        <v>190</v>
      </c>
      <c r="C1415" s="155" t="s">
        <v>206</v>
      </c>
      <c r="D1415" s="156" t="s">
        <v>1595</v>
      </c>
      <c r="E1415" s="156" t="s">
        <v>1623</v>
      </c>
      <c r="F1415" s="156" t="s">
        <v>240</v>
      </c>
      <c r="G1415" s="155" t="s">
        <v>209</v>
      </c>
      <c r="H1415" s="157" t="s">
        <v>216</v>
      </c>
    </row>
    <row r="1416" hidden="1">
      <c r="A1416" s="151" t="s">
        <v>221</v>
      </c>
      <c r="B1416" s="118" t="s">
        <v>189</v>
      </c>
      <c r="C1416" s="118" t="s">
        <v>206</v>
      </c>
      <c r="D1416" s="152" t="s">
        <v>1595</v>
      </c>
      <c r="E1416" s="152" t="s">
        <v>1624</v>
      </c>
      <c r="F1416" s="152" t="s">
        <v>255</v>
      </c>
      <c r="G1416" s="118" t="s">
        <v>209</v>
      </c>
      <c r="H1416" s="153" t="s">
        <v>210</v>
      </c>
    </row>
    <row r="1417" hidden="1">
      <c r="A1417" s="154" t="s">
        <v>221</v>
      </c>
      <c r="B1417" s="155" t="s">
        <v>189</v>
      </c>
      <c r="C1417" s="155" t="s">
        <v>206</v>
      </c>
      <c r="D1417" s="156" t="s">
        <v>1595</v>
      </c>
      <c r="E1417" s="156" t="s">
        <v>1625</v>
      </c>
      <c r="F1417" s="156" t="s">
        <v>287</v>
      </c>
      <c r="G1417" s="155" t="s">
        <v>209</v>
      </c>
      <c r="H1417" s="157" t="s">
        <v>211</v>
      </c>
    </row>
    <row r="1418" hidden="1">
      <c r="A1418" s="151" t="s">
        <v>221</v>
      </c>
      <c r="B1418" s="118" t="s">
        <v>189</v>
      </c>
      <c r="C1418" s="118" t="s">
        <v>206</v>
      </c>
      <c r="D1418" s="152" t="s">
        <v>1595</v>
      </c>
      <c r="E1418" s="152" t="s">
        <v>1626</v>
      </c>
      <c r="F1418" s="152" t="s">
        <v>242</v>
      </c>
      <c r="G1418" s="118" t="s">
        <v>209</v>
      </c>
      <c r="H1418" s="153" t="s">
        <v>212</v>
      </c>
    </row>
    <row r="1419" hidden="1">
      <c r="A1419" s="154" t="s">
        <v>221</v>
      </c>
      <c r="B1419" s="155" t="s">
        <v>189</v>
      </c>
      <c r="C1419" s="155" t="s">
        <v>206</v>
      </c>
      <c r="D1419" s="156" t="s">
        <v>1595</v>
      </c>
      <c r="E1419" s="156" t="s">
        <v>1627</v>
      </c>
      <c r="F1419" s="156" t="s">
        <v>301</v>
      </c>
      <c r="G1419" s="155" t="s">
        <v>209</v>
      </c>
      <c r="H1419" s="157" t="s">
        <v>213</v>
      </c>
    </row>
    <row r="1420" hidden="1">
      <c r="A1420" s="151" t="s">
        <v>221</v>
      </c>
      <c r="B1420" s="118" t="s">
        <v>189</v>
      </c>
      <c r="C1420" s="118" t="s">
        <v>206</v>
      </c>
      <c r="D1420" s="152" t="s">
        <v>1595</v>
      </c>
      <c r="E1420" s="152" t="s">
        <v>1628</v>
      </c>
      <c r="F1420" s="152" t="s">
        <v>310</v>
      </c>
      <c r="G1420" s="118" t="s">
        <v>209</v>
      </c>
      <c r="H1420" s="153" t="s">
        <v>214</v>
      </c>
    </row>
    <row r="1421" hidden="1">
      <c r="A1421" s="154" t="s">
        <v>221</v>
      </c>
      <c r="B1421" s="155" t="s">
        <v>189</v>
      </c>
      <c r="C1421" s="155" t="s">
        <v>206</v>
      </c>
      <c r="D1421" s="156" t="s">
        <v>1595</v>
      </c>
      <c r="E1421" s="156" t="s">
        <v>1629</v>
      </c>
      <c r="F1421" s="156" t="s">
        <v>265</v>
      </c>
      <c r="G1421" s="155" t="s">
        <v>209</v>
      </c>
      <c r="H1421" s="157" t="s">
        <v>215</v>
      </c>
    </row>
    <row r="1422" hidden="1">
      <c r="A1422" s="151" t="s">
        <v>221</v>
      </c>
      <c r="B1422" s="118" t="s">
        <v>189</v>
      </c>
      <c r="C1422" s="118" t="s">
        <v>206</v>
      </c>
      <c r="D1422" s="152" t="s">
        <v>1595</v>
      </c>
      <c r="E1422" s="152" t="s">
        <v>1630</v>
      </c>
      <c r="F1422" s="152" t="s">
        <v>269</v>
      </c>
      <c r="G1422" s="118" t="s">
        <v>209</v>
      </c>
      <c r="H1422" s="153" t="s">
        <v>216</v>
      </c>
    </row>
    <row r="1423" hidden="1">
      <c r="A1423" s="154" t="s">
        <v>222</v>
      </c>
      <c r="B1423" s="155" t="s">
        <v>192</v>
      </c>
      <c r="C1423" s="155" t="s">
        <v>206</v>
      </c>
      <c r="D1423" s="156" t="s">
        <v>1595</v>
      </c>
      <c r="E1423" s="156" t="s">
        <v>1631</v>
      </c>
      <c r="F1423" s="156" t="s">
        <v>374</v>
      </c>
      <c r="G1423" s="155" t="s">
        <v>209</v>
      </c>
      <c r="H1423" s="157" t="s">
        <v>210</v>
      </c>
    </row>
    <row r="1424" hidden="1">
      <c r="A1424" s="151" t="s">
        <v>222</v>
      </c>
      <c r="B1424" s="118" t="s">
        <v>192</v>
      </c>
      <c r="C1424" s="118" t="s">
        <v>206</v>
      </c>
      <c r="D1424" s="152" t="s">
        <v>1595</v>
      </c>
      <c r="E1424" s="152" t="s">
        <v>1632</v>
      </c>
      <c r="F1424" s="152" t="s">
        <v>269</v>
      </c>
      <c r="G1424" s="118" t="s">
        <v>209</v>
      </c>
      <c r="H1424" s="153" t="s">
        <v>211</v>
      </c>
    </row>
    <row r="1425" hidden="1">
      <c r="A1425" s="154" t="s">
        <v>222</v>
      </c>
      <c r="B1425" s="155" t="s">
        <v>192</v>
      </c>
      <c r="C1425" s="155" t="s">
        <v>206</v>
      </c>
      <c r="D1425" s="156" t="s">
        <v>1595</v>
      </c>
      <c r="E1425" s="156" t="s">
        <v>1633</v>
      </c>
      <c r="F1425" s="156" t="s">
        <v>374</v>
      </c>
      <c r="G1425" s="155" t="s">
        <v>209</v>
      </c>
      <c r="H1425" s="157" t="s">
        <v>212</v>
      </c>
    </row>
    <row r="1426" hidden="1">
      <c r="A1426" s="151" t="s">
        <v>222</v>
      </c>
      <c r="B1426" s="118" t="s">
        <v>192</v>
      </c>
      <c r="C1426" s="118" t="s">
        <v>206</v>
      </c>
      <c r="D1426" s="152" t="s">
        <v>1595</v>
      </c>
      <c r="E1426" s="152" t="s">
        <v>1634</v>
      </c>
      <c r="F1426" s="152" t="s">
        <v>255</v>
      </c>
      <c r="G1426" s="118" t="s">
        <v>209</v>
      </c>
      <c r="H1426" s="153" t="s">
        <v>213</v>
      </c>
    </row>
    <row r="1427" hidden="1">
      <c r="A1427" s="154" t="s">
        <v>222</v>
      </c>
      <c r="B1427" s="155" t="s">
        <v>192</v>
      </c>
      <c r="C1427" s="155" t="s">
        <v>206</v>
      </c>
      <c r="D1427" s="156" t="s">
        <v>1595</v>
      </c>
      <c r="E1427" s="156" t="s">
        <v>1635</v>
      </c>
      <c r="F1427" s="156" t="s">
        <v>301</v>
      </c>
      <c r="G1427" s="155" t="s">
        <v>209</v>
      </c>
      <c r="H1427" s="157" t="s">
        <v>214</v>
      </c>
    </row>
    <row r="1428" hidden="1">
      <c r="A1428" s="151" t="s">
        <v>222</v>
      </c>
      <c r="B1428" s="118" t="s">
        <v>192</v>
      </c>
      <c r="C1428" s="118" t="s">
        <v>206</v>
      </c>
      <c r="D1428" s="152" t="s">
        <v>1595</v>
      </c>
      <c r="E1428" s="152" t="s">
        <v>1636</v>
      </c>
      <c r="F1428" s="152" t="s">
        <v>374</v>
      </c>
      <c r="G1428" s="118" t="s">
        <v>209</v>
      </c>
      <c r="H1428" s="153" t="s">
        <v>215</v>
      </c>
    </row>
    <row r="1429" hidden="1">
      <c r="A1429" s="154" t="s">
        <v>222</v>
      </c>
      <c r="B1429" s="155" t="s">
        <v>192</v>
      </c>
      <c r="C1429" s="155" t="s">
        <v>206</v>
      </c>
      <c r="D1429" s="156" t="s">
        <v>1595</v>
      </c>
      <c r="E1429" s="156" t="s">
        <v>1637</v>
      </c>
      <c r="F1429" s="156" t="s">
        <v>259</v>
      </c>
      <c r="G1429" s="155" t="s">
        <v>209</v>
      </c>
      <c r="H1429" s="157" t="s">
        <v>216</v>
      </c>
    </row>
    <row r="1430" hidden="1">
      <c r="A1430" s="151" t="s">
        <v>223</v>
      </c>
      <c r="B1430" s="118" t="s">
        <v>144</v>
      </c>
      <c r="C1430" s="118" t="s">
        <v>206</v>
      </c>
      <c r="D1430" s="152" t="s">
        <v>1595</v>
      </c>
      <c r="E1430" s="152" t="s">
        <v>1638</v>
      </c>
      <c r="F1430" s="152" t="s">
        <v>269</v>
      </c>
      <c r="G1430" s="118" t="s">
        <v>209</v>
      </c>
      <c r="H1430" s="153" t="s">
        <v>210</v>
      </c>
    </row>
    <row r="1431" hidden="1">
      <c r="A1431" s="154" t="s">
        <v>223</v>
      </c>
      <c r="B1431" s="155" t="s">
        <v>144</v>
      </c>
      <c r="C1431" s="155" t="s">
        <v>206</v>
      </c>
      <c r="D1431" s="156" t="s">
        <v>1595</v>
      </c>
      <c r="E1431" s="156" t="s">
        <v>1639</v>
      </c>
      <c r="F1431" s="156" t="s">
        <v>257</v>
      </c>
      <c r="G1431" s="155" t="s">
        <v>209</v>
      </c>
      <c r="H1431" s="157" t="s">
        <v>211</v>
      </c>
    </row>
    <row r="1432" hidden="1">
      <c r="A1432" s="151" t="s">
        <v>223</v>
      </c>
      <c r="B1432" s="118" t="s">
        <v>144</v>
      </c>
      <c r="C1432" s="118" t="s">
        <v>206</v>
      </c>
      <c r="D1432" s="152" t="s">
        <v>1595</v>
      </c>
      <c r="E1432" s="152" t="s">
        <v>1640</v>
      </c>
      <c r="F1432" s="152" t="s">
        <v>269</v>
      </c>
      <c r="G1432" s="118" t="s">
        <v>209</v>
      </c>
      <c r="H1432" s="153" t="s">
        <v>212</v>
      </c>
    </row>
    <row r="1433" hidden="1">
      <c r="A1433" s="154" t="s">
        <v>223</v>
      </c>
      <c r="B1433" s="155" t="s">
        <v>144</v>
      </c>
      <c r="C1433" s="155" t="s">
        <v>206</v>
      </c>
      <c r="D1433" s="156" t="s">
        <v>1595</v>
      </c>
      <c r="E1433" s="156" t="s">
        <v>1641</v>
      </c>
      <c r="F1433" s="156" t="s">
        <v>269</v>
      </c>
      <c r="G1433" s="155" t="s">
        <v>209</v>
      </c>
      <c r="H1433" s="157" t="s">
        <v>213</v>
      </c>
    </row>
    <row r="1434" hidden="1">
      <c r="A1434" s="151" t="s">
        <v>223</v>
      </c>
      <c r="B1434" s="118" t="s">
        <v>144</v>
      </c>
      <c r="C1434" s="118" t="s">
        <v>206</v>
      </c>
      <c r="D1434" s="152" t="s">
        <v>1595</v>
      </c>
      <c r="E1434" s="152" t="s">
        <v>1642</v>
      </c>
      <c r="F1434" s="152" t="s">
        <v>240</v>
      </c>
      <c r="G1434" s="118" t="s">
        <v>209</v>
      </c>
      <c r="H1434" s="153" t="s">
        <v>214</v>
      </c>
    </row>
    <row r="1435" hidden="1">
      <c r="A1435" s="154" t="s">
        <v>223</v>
      </c>
      <c r="B1435" s="155" t="s">
        <v>144</v>
      </c>
      <c r="C1435" s="155" t="s">
        <v>206</v>
      </c>
      <c r="D1435" s="156" t="s">
        <v>1595</v>
      </c>
      <c r="E1435" s="156" t="s">
        <v>1643</v>
      </c>
      <c r="F1435" s="156" t="s">
        <v>257</v>
      </c>
      <c r="G1435" s="155" t="s">
        <v>209</v>
      </c>
      <c r="H1435" s="157" t="s">
        <v>215</v>
      </c>
    </row>
    <row r="1436" hidden="1">
      <c r="A1436" s="151" t="s">
        <v>223</v>
      </c>
      <c r="B1436" s="118" t="s">
        <v>144</v>
      </c>
      <c r="C1436" s="118" t="s">
        <v>206</v>
      </c>
      <c r="D1436" s="152" t="s">
        <v>1595</v>
      </c>
      <c r="E1436" s="152" t="s">
        <v>1644</v>
      </c>
      <c r="F1436" s="152" t="s">
        <v>240</v>
      </c>
      <c r="G1436" s="118" t="s">
        <v>209</v>
      </c>
      <c r="H1436" s="153" t="s">
        <v>216</v>
      </c>
    </row>
    <row r="1437" hidden="1">
      <c r="A1437" s="154" t="s">
        <v>224</v>
      </c>
      <c r="B1437" s="155" t="s">
        <v>170</v>
      </c>
      <c r="C1437" s="155" t="s">
        <v>206</v>
      </c>
      <c r="D1437" s="156" t="s">
        <v>1595</v>
      </c>
      <c r="E1437" s="156" t="s">
        <v>1645</v>
      </c>
      <c r="F1437" s="156" t="s">
        <v>308</v>
      </c>
      <c r="G1437" s="155" t="s">
        <v>209</v>
      </c>
      <c r="H1437" s="157" t="s">
        <v>210</v>
      </c>
    </row>
    <row r="1438" hidden="1">
      <c r="A1438" s="151" t="s">
        <v>224</v>
      </c>
      <c r="B1438" s="118" t="s">
        <v>170</v>
      </c>
      <c r="C1438" s="118" t="s">
        <v>206</v>
      </c>
      <c r="D1438" s="152" t="s">
        <v>1595</v>
      </c>
      <c r="E1438" s="152" t="s">
        <v>1646</v>
      </c>
      <c r="F1438" s="152" t="s">
        <v>427</v>
      </c>
      <c r="G1438" s="118" t="s">
        <v>209</v>
      </c>
      <c r="H1438" s="153" t="s">
        <v>211</v>
      </c>
    </row>
    <row r="1439" hidden="1">
      <c r="A1439" s="154" t="s">
        <v>224</v>
      </c>
      <c r="B1439" s="155" t="s">
        <v>170</v>
      </c>
      <c r="C1439" s="155" t="s">
        <v>206</v>
      </c>
      <c r="D1439" s="156" t="s">
        <v>1595</v>
      </c>
      <c r="E1439" s="156" t="s">
        <v>1647</v>
      </c>
      <c r="F1439" s="156" t="s">
        <v>310</v>
      </c>
      <c r="G1439" s="155" t="s">
        <v>209</v>
      </c>
      <c r="H1439" s="157" t="s">
        <v>212</v>
      </c>
    </row>
    <row r="1440" hidden="1">
      <c r="A1440" s="151" t="s">
        <v>224</v>
      </c>
      <c r="B1440" s="118" t="s">
        <v>170</v>
      </c>
      <c r="C1440" s="118" t="s">
        <v>206</v>
      </c>
      <c r="D1440" s="152" t="s">
        <v>1595</v>
      </c>
      <c r="E1440" s="152" t="s">
        <v>1648</v>
      </c>
      <c r="F1440" s="152" t="s">
        <v>331</v>
      </c>
      <c r="G1440" s="118" t="s">
        <v>209</v>
      </c>
      <c r="H1440" s="153" t="s">
        <v>213</v>
      </c>
    </row>
    <row r="1441" hidden="1">
      <c r="A1441" s="154" t="s">
        <v>224</v>
      </c>
      <c r="B1441" s="155" t="s">
        <v>170</v>
      </c>
      <c r="C1441" s="155" t="s">
        <v>206</v>
      </c>
      <c r="D1441" s="156" t="s">
        <v>1595</v>
      </c>
      <c r="E1441" s="156" t="s">
        <v>1649</v>
      </c>
      <c r="F1441" s="156" t="s">
        <v>534</v>
      </c>
      <c r="G1441" s="155" t="s">
        <v>209</v>
      </c>
      <c r="H1441" s="157" t="s">
        <v>214</v>
      </c>
    </row>
    <row r="1442" hidden="1">
      <c r="A1442" s="151" t="s">
        <v>224</v>
      </c>
      <c r="B1442" s="118" t="s">
        <v>170</v>
      </c>
      <c r="C1442" s="118" t="s">
        <v>206</v>
      </c>
      <c r="D1442" s="152" t="s">
        <v>1595</v>
      </c>
      <c r="E1442" s="152" t="s">
        <v>1650</v>
      </c>
      <c r="F1442" s="152" t="s">
        <v>427</v>
      </c>
      <c r="G1442" s="118" t="s">
        <v>209</v>
      </c>
      <c r="H1442" s="153" t="s">
        <v>215</v>
      </c>
    </row>
    <row r="1443" hidden="1">
      <c r="A1443" s="154" t="s">
        <v>224</v>
      </c>
      <c r="B1443" s="155" t="s">
        <v>170</v>
      </c>
      <c r="C1443" s="155" t="s">
        <v>206</v>
      </c>
      <c r="D1443" s="156" t="s">
        <v>1595</v>
      </c>
      <c r="E1443" s="156" t="s">
        <v>1651</v>
      </c>
      <c r="F1443" s="156" t="s">
        <v>534</v>
      </c>
      <c r="G1443" s="155" t="s">
        <v>209</v>
      </c>
      <c r="H1443" s="157" t="s">
        <v>216</v>
      </c>
    </row>
    <row r="1444" hidden="1">
      <c r="A1444" s="151" t="s">
        <v>225</v>
      </c>
      <c r="B1444" s="118" t="s">
        <v>226</v>
      </c>
      <c r="C1444" s="118" t="s">
        <v>206</v>
      </c>
      <c r="D1444" s="152" t="s">
        <v>1595</v>
      </c>
      <c r="E1444" s="152" t="s">
        <v>1652</v>
      </c>
      <c r="F1444" s="152" t="s">
        <v>492</v>
      </c>
      <c r="G1444" s="118" t="s">
        <v>209</v>
      </c>
      <c r="H1444" s="153" t="s">
        <v>210</v>
      </c>
    </row>
    <row r="1445" hidden="1">
      <c r="A1445" s="154" t="s">
        <v>225</v>
      </c>
      <c r="B1445" s="155" t="s">
        <v>226</v>
      </c>
      <c r="C1445" s="155" t="s">
        <v>206</v>
      </c>
      <c r="D1445" s="156" t="s">
        <v>1595</v>
      </c>
      <c r="E1445" s="156" t="s">
        <v>1653</v>
      </c>
      <c r="F1445" s="156" t="s">
        <v>374</v>
      </c>
      <c r="G1445" s="155" t="s">
        <v>209</v>
      </c>
      <c r="H1445" s="157" t="s">
        <v>211</v>
      </c>
    </row>
    <row r="1446" hidden="1">
      <c r="A1446" s="151" t="s">
        <v>225</v>
      </c>
      <c r="B1446" s="118" t="s">
        <v>226</v>
      </c>
      <c r="C1446" s="118" t="s">
        <v>206</v>
      </c>
      <c r="D1446" s="152" t="s">
        <v>1595</v>
      </c>
      <c r="E1446" s="152" t="s">
        <v>1654</v>
      </c>
      <c r="F1446" s="152" t="s">
        <v>298</v>
      </c>
      <c r="G1446" s="118" t="s">
        <v>209</v>
      </c>
      <c r="H1446" s="153" t="s">
        <v>212</v>
      </c>
    </row>
    <row r="1447" hidden="1">
      <c r="A1447" s="154" t="s">
        <v>225</v>
      </c>
      <c r="B1447" s="155" t="s">
        <v>226</v>
      </c>
      <c r="C1447" s="155" t="s">
        <v>206</v>
      </c>
      <c r="D1447" s="156" t="s">
        <v>1595</v>
      </c>
      <c r="E1447" s="156" t="s">
        <v>1655</v>
      </c>
      <c r="F1447" s="156" t="s">
        <v>240</v>
      </c>
      <c r="G1447" s="155" t="s">
        <v>209</v>
      </c>
      <c r="H1447" s="157" t="s">
        <v>213</v>
      </c>
    </row>
    <row r="1448" hidden="1">
      <c r="A1448" s="151" t="s">
        <v>225</v>
      </c>
      <c r="B1448" s="118" t="s">
        <v>226</v>
      </c>
      <c r="C1448" s="118" t="s">
        <v>206</v>
      </c>
      <c r="D1448" s="152" t="s">
        <v>1595</v>
      </c>
      <c r="E1448" s="152" t="s">
        <v>1656</v>
      </c>
      <c r="F1448" s="152" t="s">
        <v>287</v>
      </c>
      <c r="G1448" s="118" t="s">
        <v>209</v>
      </c>
      <c r="H1448" s="153" t="s">
        <v>214</v>
      </c>
    </row>
    <row r="1449" hidden="1">
      <c r="A1449" s="154" t="s">
        <v>225</v>
      </c>
      <c r="B1449" s="155" t="s">
        <v>226</v>
      </c>
      <c r="C1449" s="155" t="s">
        <v>206</v>
      </c>
      <c r="D1449" s="156" t="s">
        <v>1595</v>
      </c>
      <c r="E1449" s="156" t="s">
        <v>1657</v>
      </c>
      <c r="F1449" s="156" t="s">
        <v>259</v>
      </c>
      <c r="G1449" s="155" t="s">
        <v>209</v>
      </c>
      <c r="H1449" s="157" t="s">
        <v>215</v>
      </c>
    </row>
    <row r="1450" hidden="1">
      <c r="A1450" s="151" t="s">
        <v>225</v>
      </c>
      <c r="B1450" s="118" t="s">
        <v>226</v>
      </c>
      <c r="C1450" s="118" t="s">
        <v>206</v>
      </c>
      <c r="D1450" s="152" t="s">
        <v>1595</v>
      </c>
      <c r="E1450" s="152" t="s">
        <v>1658</v>
      </c>
      <c r="F1450" s="152" t="s">
        <v>374</v>
      </c>
      <c r="G1450" s="118" t="s">
        <v>209</v>
      </c>
      <c r="H1450" s="153" t="s">
        <v>216</v>
      </c>
    </row>
    <row r="1451" hidden="1">
      <c r="A1451" s="154" t="s">
        <v>227</v>
      </c>
      <c r="B1451" s="155" t="s">
        <v>195</v>
      </c>
      <c r="C1451" s="155" t="s">
        <v>206</v>
      </c>
      <c r="D1451" s="156" t="s">
        <v>1595</v>
      </c>
      <c r="E1451" s="156" t="s">
        <v>1659</v>
      </c>
      <c r="F1451" s="156" t="s">
        <v>436</v>
      </c>
      <c r="G1451" s="155" t="s">
        <v>209</v>
      </c>
      <c r="H1451" s="157" t="s">
        <v>210</v>
      </c>
    </row>
    <row r="1452" hidden="1">
      <c r="A1452" s="151" t="s">
        <v>227</v>
      </c>
      <c r="B1452" s="118" t="s">
        <v>195</v>
      </c>
      <c r="C1452" s="118" t="s">
        <v>206</v>
      </c>
      <c r="D1452" s="152" t="s">
        <v>1595</v>
      </c>
      <c r="E1452" s="152" t="s">
        <v>1660</v>
      </c>
      <c r="F1452" s="152" t="s">
        <v>240</v>
      </c>
      <c r="G1452" s="118" t="s">
        <v>209</v>
      </c>
      <c r="H1452" s="153" t="s">
        <v>211</v>
      </c>
    </row>
    <row r="1453" hidden="1">
      <c r="A1453" s="154" t="s">
        <v>227</v>
      </c>
      <c r="B1453" s="155" t="s">
        <v>195</v>
      </c>
      <c r="C1453" s="155" t="s">
        <v>206</v>
      </c>
      <c r="D1453" s="156" t="s">
        <v>1595</v>
      </c>
      <c r="E1453" s="156" t="s">
        <v>1661</v>
      </c>
      <c r="F1453" s="156" t="s">
        <v>458</v>
      </c>
      <c r="G1453" s="155" t="s">
        <v>209</v>
      </c>
      <c r="H1453" s="157" t="s">
        <v>212</v>
      </c>
    </row>
    <row r="1454" hidden="1">
      <c r="A1454" s="151" t="s">
        <v>227</v>
      </c>
      <c r="B1454" s="118" t="s">
        <v>195</v>
      </c>
      <c r="C1454" s="118" t="s">
        <v>206</v>
      </c>
      <c r="D1454" s="152" t="s">
        <v>1595</v>
      </c>
      <c r="E1454" s="152" t="s">
        <v>1662</v>
      </c>
      <c r="F1454" s="152" t="s">
        <v>314</v>
      </c>
      <c r="G1454" s="118" t="s">
        <v>209</v>
      </c>
      <c r="H1454" s="153" t="s">
        <v>213</v>
      </c>
    </row>
    <row r="1455" hidden="1">
      <c r="A1455" s="154" t="s">
        <v>227</v>
      </c>
      <c r="B1455" s="155" t="s">
        <v>195</v>
      </c>
      <c r="C1455" s="155" t="s">
        <v>206</v>
      </c>
      <c r="D1455" s="156" t="s">
        <v>1595</v>
      </c>
      <c r="E1455" s="156" t="s">
        <v>1663</v>
      </c>
      <c r="F1455" s="156" t="s">
        <v>458</v>
      </c>
      <c r="G1455" s="155" t="s">
        <v>209</v>
      </c>
      <c r="H1455" s="157" t="s">
        <v>214</v>
      </c>
    </row>
    <row r="1456" hidden="1">
      <c r="A1456" s="151" t="s">
        <v>227</v>
      </c>
      <c r="B1456" s="118" t="s">
        <v>195</v>
      </c>
      <c r="C1456" s="118" t="s">
        <v>206</v>
      </c>
      <c r="D1456" s="152" t="s">
        <v>1595</v>
      </c>
      <c r="E1456" s="152" t="s">
        <v>1664</v>
      </c>
      <c r="F1456" s="152" t="s">
        <v>265</v>
      </c>
      <c r="G1456" s="118" t="s">
        <v>209</v>
      </c>
      <c r="H1456" s="153" t="s">
        <v>215</v>
      </c>
    </row>
    <row r="1457" hidden="1">
      <c r="A1457" s="154" t="s">
        <v>227</v>
      </c>
      <c r="B1457" s="155" t="s">
        <v>195</v>
      </c>
      <c r="C1457" s="155" t="s">
        <v>206</v>
      </c>
      <c r="D1457" s="156" t="s">
        <v>1595</v>
      </c>
      <c r="E1457" s="156" t="s">
        <v>1665</v>
      </c>
      <c r="F1457" s="156" t="s">
        <v>374</v>
      </c>
      <c r="G1457" s="155" t="s">
        <v>209</v>
      </c>
      <c r="H1457" s="157" t="s">
        <v>216</v>
      </c>
    </row>
    <row r="1458" hidden="1">
      <c r="A1458" s="151" t="s">
        <v>228</v>
      </c>
      <c r="B1458" s="118" t="s">
        <v>138</v>
      </c>
      <c r="C1458" s="118" t="s">
        <v>206</v>
      </c>
      <c r="D1458" s="152" t="s">
        <v>1595</v>
      </c>
      <c r="E1458" s="152" t="s">
        <v>1666</v>
      </c>
      <c r="F1458" s="152" t="s">
        <v>298</v>
      </c>
      <c r="G1458" s="118" t="s">
        <v>209</v>
      </c>
      <c r="H1458" s="153" t="s">
        <v>210</v>
      </c>
    </row>
    <row r="1459" hidden="1">
      <c r="A1459" s="154" t="s">
        <v>228</v>
      </c>
      <c r="B1459" s="155" t="s">
        <v>138</v>
      </c>
      <c r="C1459" s="155" t="s">
        <v>206</v>
      </c>
      <c r="D1459" s="156" t="s">
        <v>1595</v>
      </c>
      <c r="E1459" s="156" t="s">
        <v>1667</v>
      </c>
      <c r="F1459" s="156" t="s">
        <v>276</v>
      </c>
      <c r="G1459" s="155" t="s">
        <v>209</v>
      </c>
      <c r="H1459" s="157" t="s">
        <v>211</v>
      </c>
    </row>
    <row r="1460" hidden="1">
      <c r="A1460" s="151" t="s">
        <v>228</v>
      </c>
      <c r="B1460" s="118" t="s">
        <v>138</v>
      </c>
      <c r="C1460" s="118" t="s">
        <v>206</v>
      </c>
      <c r="D1460" s="152" t="s">
        <v>1595</v>
      </c>
      <c r="E1460" s="152" t="s">
        <v>1542</v>
      </c>
      <c r="F1460" s="152" t="s">
        <v>204</v>
      </c>
      <c r="G1460" s="118" t="s">
        <v>209</v>
      </c>
      <c r="H1460" s="153" t="s">
        <v>212</v>
      </c>
    </row>
    <row r="1461" hidden="1">
      <c r="A1461" s="154" t="s">
        <v>228</v>
      </c>
      <c r="B1461" s="155" t="s">
        <v>138</v>
      </c>
      <c r="C1461" s="155" t="s">
        <v>206</v>
      </c>
      <c r="D1461" s="156" t="s">
        <v>1595</v>
      </c>
      <c r="E1461" s="156" t="s">
        <v>1668</v>
      </c>
      <c r="F1461" s="156" t="s">
        <v>436</v>
      </c>
      <c r="G1461" s="155" t="s">
        <v>209</v>
      </c>
      <c r="H1461" s="157" t="s">
        <v>213</v>
      </c>
    </row>
    <row r="1462" hidden="1">
      <c r="A1462" s="151" t="s">
        <v>228</v>
      </c>
      <c r="B1462" s="118" t="s">
        <v>138</v>
      </c>
      <c r="C1462" s="118" t="s">
        <v>206</v>
      </c>
      <c r="D1462" s="152" t="s">
        <v>1595</v>
      </c>
      <c r="E1462" s="152" t="s">
        <v>1669</v>
      </c>
      <c r="F1462" s="152" t="s">
        <v>301</v>
      </c>
      <c r="G1462" s="118" t="s">
        <v>209</v>
      </c>
      <c r="H1462" s="153" t="s">
        <v>214</v>
      </c>
    </row>
    <row r="1463" hidden="1">
      <c r="A1463" s="154" t="s">
        <v>228</v>
      </c>
      <c r="B1463" s="155" t="s">
        <v>138</v>
      </c>
      <c r="C1463" s="155" t="s">
        <v>206</v>
      </c>
      <c r="D1463" s="156" t="s">
        <v>1595</v>
      </c>
      <c r="E1463" s="156" t="s">
        <v>1670</v>
      </c>
      <c r="F1463" s="156" t="s">
        <v>204</v>
      </c>
      <c r="G1463" s="155" t="s">
        <v>209</v>
      </c>
      <c r="H1463" s="157" t="s">
        <v>215</v>
      </c>
    </row>
    <row r="1464" hidden="1">
      <c r="A1464" s="151" t="s">
        <v>228</v>
      </c>
      <c r="B1464" s="118" t="s">
        <v>138</v>
      </c>
      <c r="C1464" s="118" t="s">
        <v>206</v>
      </c>
      <c r="D1464" s="152" t="s">
        <v>1595</v>
      </c>
      <c r="E1464" s="152" t="s">
        <v>1671</v>
      </c>
      <c r="F1464" s="152" t="s">
        <v>276</v>
      </c>
      <c r="G1464" s="118" t="s">
        <v>209</v>
      </c>
      <c r="H1464" s="153" t="s">
        <v>216</v>
      </c>
    </row>
    <row r="1465" hidden="1">
      <c r="A1465" s="154" t="s">
        <v>229</v>
      </c>
      <c r="B1465" s="155" t="s">
        <v>193</v>
      </c>
      <c r="C1465" s="155" t="s">
        <v>206</v>
      </c>
      <c r="D1465" s="156" t="s">
        <v>1595</v>
      </c>
      <c r="E1465" s="156" t="s">
        <v>1672</v>
      </c>
      <c r="F1465" s="156" t="s">
        <v>244</v>
      </c>
      <c r="G1465" s="155" t="s">
        <v>209</v>
      </c>
      <c r="H1465" s="157" t="s">
        <v>210</v>
      </c>
    </row>
    <row r="1466" hidden="1">
      <c r="A1466" s="151" t="s">
        <v>229</v>
      </c>
      <c r="B1466" s="118" t="s">
        <v>193</v>
      </c>
      <c r="C1466" s="118" t="s">
        <v>206</v>
      </c>
      <c r="D1466" s="152" t="s">
        <v>1595</v>
      </c>
      <c r="E1466" s="152" t="s">
        <v>1673</v>
      </c>
      <c r="F1466" s="152" t="s">
        <v>323</v>
      </c>
      <c r="G1466" s="118" t="s">
        <v>209</v>
      </c>
      <c r="H1466" s="153" t="s">
        <v>211</v>
      </c>
    </row>
    <row r="1467" hidden="1">
      <c r="A1467" s="154" t="s">
        <v>229</v>
      </c>
      <c r="B1467" s="155" t="s">
        <v>193</v>
      </c>
      <c r="C1467" s="155" t="s">
        <v>206</v>
      </c>
      <c r="D1467" s="156" t="s">
        <v>1595</v>
      </c>
      <c r="E1467" s="156" t="s">
        <v>1674</v>
      </c>
      <c r="F1467" s="156" t="s">
        <v>244</v>
      </c>
      <c r="G1467" s="155" t="s">
        <v>209</v>
      </c>
      <c r="H1467" s="157" t="s">
        <v>212</v>
      </c>
    </row>
    <row r="1468" hidden="1">
      <c r="A1468" s="151" t="s">
        <v>229</v>
      </c>
      <c r="B1468" s="118" t="s">
        <v>193</v>
      </c>
      <c r="C1468" s="118" t="s">
        <v>206</v>
      </c>
      <c r="D1468" s="152" t="s">
        <v>1595</v>
      </c>
      <c r="E1468" s="152" t="s">
        <v>1675</v>
      </c>
      <c r="F1468" s="152" t="s">
        <v>265</v>
      </c>
      <c r="G1468" s="118" t="s">
        <v>209</v>
      </c>
      <c r="H1468" s="153" t="s">
        <v>213</v>
      </c>
    </row>
    <row r="1469" hidden="1">
      <c r="A1469" s="154" t="s">
        <v>229</v>
      </c>
      <c r="B1469" s="155" t="s">
        <v>193</v>
      </c>
      <c r="C1469" s="155" t="s">
        <v>206</v>
      </c>
      <c r="D1469" s="156" t="s">
        <v>1595</v>
      </c>
      <c r="E1469" s="156" t="s">
        <v>1676</v>
      </c>
      <c r="F1469" s="156" t="s">
        <v>339</v>
      </c>
      <c r="G1469" s="155" t="s">
        <v>209</v>
      </c>
      <c r="H1469" s="157" t="s">
        <v>214</v>
      </c>
    </row>
    <row r="1470" hidden="1">
      <c r="A1470" s="151" t="s">
        <v>229</v>
      </c>
      <c r="B1470" s="118" t="s">
        <v>193</v>
      </c>
      <c r="C1470" s="118" t="s">
        <v>206</v>
      </c>
      <c r="D1470" s="152" t="s">
        <v>1595</v>
      </c>
      <c r="E1470" s="152" t="s">
        <v>896</v>
      </c>
      <c r="F1470" s="152" t="s">
        <v>240</v>
      </c>
      <c r="G1470" s="118" t="s">
        <v>209</v>
      </c>
      <c r="H1470" s="153" t="s">
        <v>215</v>
      </c>
    </row>
    <row r="1471" hidden="1">
      <c r="A1471" s="154" t="s">
        <v>229</v>
      </c>
      <c r="B1471" s="155" t="s">
        <v>193</v>
      </c>
      <c r="C1471" s="155" t="s">
        <v>206</v>
      </c>
      <c r="D1471" s="156" t="s">
        <v>1595</v>
      </c>
      <c r="E1471" s="156" t="s">
        <v>1677</v>
      </c>
      <c r="F1471" s="156" t="s">
        <v>242</v>
      </c>
      <c r="G1471" s="155" t="s">
        <v>209</v>
      </c>
      <c r="H1471" s="157" t="s">
        <v>216</v>
      </c>
    </row>
    <row r="1472" hidden="1">
      <c r="A1472" s="151" t="s">
        <v>230</v>
      </c>
      <c r="B1472" s="118" t="s">
        <v>194</v>
      </c>
      <c r="C1472" s="118" t="s">
        <v>206</v>
      </c>
      <c r="D1472" s="152" t="s">
        <v>1595</v>
      </c>
      <c r="E1472" s="152" t="s">
        <v>1678</v>
      </c>
      <c r="F1472" s="152" t="s">
        <v>269</v>
      </c>
      <c r="G1472" s="118" t="s">
        <v>209</v>
      </c>
      <c r="H1472" s="153" t="s">
        <v>210</v>
      </c>
    </row>
    <row r="1473" hidden="1">
      <c r="A1473" s="154" t="s">
        <v>230</v>
      </c>
      <c r="B1473" s="155" t="s">
        <v>194</v>
      </c>
      <c r="C1473" s="155" t="s">
        <v>206</v>
      </c>
      <c r="D1473" s="156" t="s">
        <v>1595</v>
      </c>
      <c r="E1473" s="156" t="s">
        <v>1679</v>
      </c>
      <c r="F1473" s="156" t="s">
        <v>287</v>
      </c>
      <c r="G1473" s="155" t="s">
        <v>209</v>
      </c>
      <c r="H1473" s="157" t="s">
        <v>211</v>
      </c>
    </row>
    <row r="1474" hidden="1">
      <c r="A1474" s="151" t="s">
        <v>230</v>
      </c>
      <c r="B1474" s="118" t="s">
        <v>194</v>
      </c>
      <c r="C1474" s="118" t="s">
        <v>206</v>
      </c>
      <c r="D1474" s="152" t="s">
        <v>1595</v>
      </c>
      <c r="E1474" s="152" t="s">
        <v>1680</v>
      </c>
      <c r="F1474" s="152" t="s">
        <v>265</v>
      </c>
      <c r="G1474" s="118" t="s">
        <v>209</v>
      </c>
      <c r="H1474" s="153" t="s">
        <v>212</v>
      </c>
    </row>
    <row r="1475" hidden="1">
      <c r="A1475" s="154" t="s">
        <v>230</v>
      </c>
      <c r="B1475" s="155" t="s">
        <v>194</v>
      </c>
      <c r="C1475" s="155" t="s">
        <v>206</v>
      </c>
      <c r="D1475" s="156" t="s">
        <v>1595</v>
      </c>
      <c r="E1475" s="156" t="s">
        <v>1681</v>
      </c>
      <c r="F1475" s="156" t="s">
        <v>240</v>
      </c>
      <c r="G1475" s="155" t="s">
        <v>209</v>
      </c>
      <c r="H1475" s="157" t="s">
        <v>213</v>
      </c>
    </row>
    <row r="1476" hidden="1">
      <c r="A1476" s="151" t="s">
        <v>230</v>
      </c>
      <c r="B1476" s="118" t="s">
        <v>194</v>
      </c>
      <c r="C1476" s="118" t="s">
        <v>206</v>
      </c>
      <c r="D1476" s="152" t="s">
        <v>1595</v>
      </c>
      <c r="E1476" s="152" t="s">
        <v>1682</v>
      </c>
      <c r="F1476" s="152" t="s">
        <v>374</v>
      </c>
      <c r="G1476" s="118" t="s">
        <v>209</v>
      </c>
      <c r="H1476" s="153" t="s">
        <v>214</v>
      </c>
    </row>
    <row r="1477" hidden="1">
      <c r="A1477" s="154" t="s">
        <v>230</v>
      </c>
      <c r="B1477" s="155" t="s">
        <v>194</v>
      </c>
      <c r="C1477" s="155" t="s">
        <v>206</v>
      </c>
      <c r="D1477" s="156" t="s">
        <v>1595</v>
      </c>
      <c r="E1477" s="156" t="s">
        <v>1683</v>
      </c>
      <c r="F1477" s="156" t="s">
        <v>301</v>
      </c>
      <c r="G1477" s="155" t="s">
        <v>209</v>
      </c>
      <c r="H1477" s="157" t="s">
        <v>215</v>
      </c>
    </row>
    <row r="1478" hidden="1">
      <c r="A1478" s="151" t="s">
        <v>230</v>
      </c>
      <c r="B1478" s="118" t="s">
        <v>194</v>
      </c>
      <c r="C1478" s="118" t="s">
        <v>206</v>
      </c>
      <c r="D1478" s="152" t="s">
        <v>1595</v>
      </c>
      <c r="E1478" s="152" t="s">
        <v>1684</v>
      </c>
      <c r="F1478" s="152" t="s">
        <v>269</v>
      </c>
      <c r="G1478" s="118" t="s">
        <v>209</v>
      </c>
      <c r="H1478" s="153" t="s">
        <v>216</v>
      </c>
    </row>
    <row r="1479" hidden="1">
      <c r="A1479" s="158" t="s">
        <v>231</v>
      </c>
      <c r="B1479" s="159"/>
      <c r="C1479" s="155" t="s">
        <v>232</v>
      </c>
      <c r="D1479" s="156" t="s">
        <v>1595</v>
      </c>
      <c r="E1479" s="156" t="s">
        <v>1685</v>
      </c>
      <c r="F1479" s="156" t="s">
        <v>255</v>
      </c>
      <c r="G1479" s="155" t="s">
        <v>209</v>
      </c>
      <c r="H1479" s="157" t="s">
        <v>210</v>
      </c>
    </row>
    <row r="1480" hidden="1">
      <c r="A1480" s="160" t="s">
        <v>231</v>
      </c>
      <c r="B1480" s="72"/>
      <c r="C1480" s="118" t="s">
        <v>232</v>
      </c>
      <c r="D1480" s="152" t="s">
        <v>1595</v>
      </c>
      <c r="E1480" s="152" t="s">
        <v>1686</v>
      </c>
      <c r="F1480" s="152" t="s">
        <v>249</v>
      </c>
      <c r="G1480" s="118" t="s">
        <v>209</v>
      </c>
      <c r="H1480" s="153" t="s">
        <v>211</v>
      </c>
    </row>
    <row r="1481" hidden="1">
      <c r="A1481" s="158" t="s">
        <v>231</v>
      </c>
      <c r="B1481" s="159"/>
      <c r="C1481" s="155" t="s">
        <v>232</v>
      </c>
      <c r="D1481" s="156" t="s">
        <v>1595</v>
      </c>
      <c r="E1481" s="156" t="s">
        <v>1687</v>
      </c>
      <c r="F1481" s="156" t="s">
        <v>331</v>
      </c>
      <c r="G1481" s="155" t="s">
        <v>209</v>
      </c>
      <c r="H1481" s="157" t="s">
        <v>212</v>
      </c>
    </row>
    <row r="1482" hidden="1">
      <c r="A1482" s="160" t="s">
        <v>231</v>
      </c>
      <c r="B1482" s="72"/>
      <c r="C1482" s="118" t="s">
        <v>232</v>
      </c>
      <c r="D1482" s="152" t="s">
        <v>1595</v>
      </c>
      <c r="E1482" s="152" t="s">
        <v>1688</v>
      </c>
      <c r="F1482" s="152" t="s">
        <v>240</v>
      </c>
      <c r="G1482" s="118" t="s">
        <v>209</v>
      </c>
      <c r="H1482" s="153" t="s">
        <v>213</v>
      </c>
    </row>
    <row r="1483" hidden="1">
      <c r="A1483" s="158" t="s">
        <v>231</v>
      </c>
      <c r="B1483" s="159"/>
      <c r="C1483" s="155" t="s">
        <v>232</v>
      </c>
      <c r="D1483" s="156" t="s">
        <v>1595</v>
      </c>
      <c r="E1483" s="156" t="s">
        <v>1689</v>
      </c>
      <c r="F1483" s="156" t="s">
        <v>246</v>
      </c>
      <c r="G1483" s="155" t="s">
        <v>209</v>
      </c>
      <c r="H1483" s="157" t="s">
        <v>214</v>
      </c>
    </row>
    <row r="1484" hidden="1">
      <c r="A1484" s="160" t="s">
        <v>231</v>
      </c>
      <c r="B1484" s="72"/>
      <c r="C1484" s="118" t="s">
        <v>232</v>
      </c>
      <c r="D1484" s="152" t="s">
        <v>1595</v>
      </c>
      <c r="E1484" s="152" t="s">
        <v>1690</v>
      </c>
      <c r="F1484" s="152" t="s">
        <v>246</v>
      </c>
      <c r="G1484" s="118" t="s">
        <v>209</v>
      </c>
      <c r="H1484" s="153" t="s">
        <v>215</v>
      </c>
    </row>
    <row r="1485" hidden="1">
      <c r="A1485" s="158" t="s">
        <v>231</v>
      </c>
      <c r="B1485" s="159"/>
      <c r="C1485" s="155" t="s">
        <v>232</v>
      </c>
      <c r="D1485" s="156" t="s">
        <v>1595</v>
      </c>
      <c r="E1485" s="156" t="s">
        <v>1691</v>
      </c>
      <c r="F1485" s="156" t="s">
        <v>244</v>
      </c>
      <c r="G1485" s="155" t="s">
        <v>209</v>
      </c>
      <c r="H1485" s="157" t="s">
        <v>216</v>
      </c>
    </row>
    <row r="1486" hidden="1">
      <c r="A1486" s="160" t="s">
        <v>233</v>
      </c>
      <c r="B1486" s="72"/>
      <c r="C1486" s="118" t="s">
        <v>232</v>
      </c>
      <c r="D1486" s="152" t="s">
        <v>1595</v>
      </c>
      <c r="E1486" s="152" t="s">
        <v>1692</v>
      </c>
      <c r="F1486" s="152" t="s">
        <v>240</v>
      </c>
      <c r="G1486" s="118" t="s">
        <v>209</v>
      </c>
      <c r="H1486" s="153" t="s">
        <v>210</v>
      </c>
    </row>
    <row r="1487" hidden="1">
      <c r="A1487" s="158" t="s">
        <v>233</v>
      </c>
      <c r="B1487" s="159"/>
      <c r="C1487" s="155" t="s">
        <v>232</v>
      </c>
      <c r="D1487" s="156" t="s">
        <v>1595</v>
      </c>
      <c r="E1487" s="156" t="s">
        <v>1693</v>
      </c>
      <c r="F1487" s="156" t="s">
        <v>240</v>
      </c>
      <c r="G1487" s="155" t="s">
        <v>209</v>
      </c>
      <c r="H1487" s="157" t="s">
        <v>211</v>
      </c>
    </row>
    <row r="1488" hidden="1">
      <c r="A1488" s="160" t="s">
        <v>233</v>
      </c>
      <c r="B1488" s="72"/>
      <c r="C1488" s="118" t="s">
        <v>232</v>
      </c>
      <c r="D1488" s="152" t="s">
        <v>1595</v>
      </c>
      <c r="E1488" s="152" t="s">
        <v>1694</v>
      </c>
      <c r="F1488" s="152" t="s">
        <v>301</v>
      </c>
      <c r="G1488" s="118" t="s">
        <v>209</v>
      </c>
      <c r="H1488" s="153" t="s">
        <v>212</v>
      </c>
    </row>
    <row r="1489" hidden="1">
      <c r="A1489" s="158" t="s">
        <v>233</v>
      </c>
      <c r="B1489" s="159"/>
      <c r="C1489" s="155" t="s">
        <v>232</v>
      </c>
      <c r="D1489" s="156" t="s">
        <v>1595</v>
      </c>
      <c r="E1489" s="156" t="s">
        <v>1695</v>
      </c>
      <c r="F1489" s="156" t="s">
        <v>269</v>
      </c>
      <c r="G1489" s="155" t="s">
        <v>209</v>
      </c>
      <c r="H1489" s="157" t="s">
        <v>213</v>
      </c>
    </row>
    <row r="1490" hidden="1">
      <c r="A1490" s="160" t="s">
        <v>233</v>
      </c>
      <c r="B1490" s="72"/>
      <c r="C1490" s="118" t="s">
        <v>232</v>
      </c>
      <c r="D1490" s="152" t="s">
        <v>1595</v>
      </c>
      <c r="E1490" s="152" t="s">
        <v>1696</v>
      </c>
      <c r="F1490" s="152" t="s">
        <v>269</v>
      </c>
      <c r="G1490" s="118" t="s">
        <v>209</v>
      </c>
      <c r="H1490" s="153" t="s">
        <v>214</v>
      </c>
    </row>
    <row r="1491" hidden="1">
      <c r="A1491" s="158" t="s">
        <v>233</v>
      </c>
      <c r="B1491" s="159"/>
      <c r="C1491" s="155" t="s">
        <v>232</v>
      </c>
      <c r="D1491" s="156" t="s">
        <v>1595</v>
      </c>
      <c r="E1491" s="156" t="s">
        <v>1697</v>
      </c>
      <c r="F1491" s="156" t="s">
        <v>240</v>
      </c>
      <c r="G1491" s="155" t="s">
        <v>209</v>
      </c>
      <c r="H1491" s="157" t="s">
        <v>215</v>
      </c>
    </row>
    <row r="1492" hidden="1">
      <c r="A1492" s="160" t="s">
        <v>233</v>
      </c>
      <c r="B1492" s="72"/>
      <c r="C1492" s="118" t="s">
        <v>232</v>
      </c>
      <c r="D1492" s="152" t="s">
        <v>1595</v>
      </c>
      <c r="E1492" s="152" t="s">
        <v>1698</v>
      </c>
      <c r="F1492" s="152" t="s">
        <v>240</v>
      </c>
      <c r="G1492" s="118" t="s">
        <v>209</v>
      </c>
      <c r="H1492" s="153" t="s">
        <v>216</v>
      </c>
    </row>
    <row r="1493" hidden="1">
      <c r="A1493" s="158" t="s">
        <v>234</v>
      </c>
      <c r="B1493" s="159"/>
      <c r="C1493" s="155" t="s">
        <v>232</v>
      </c>
      <c r="D1493" s="156" t="s">
        <v>1595</v>
      </c>
      <c r="E1493" s="156" t="s">
        <v>1699</v>
      </c>
      <c r="F1493" s="156" t="s">
        <v>259</v>
      </c>
      <c r="G1493" s="155" t="s">
        <v>209</v>
      </c>
      <c r="H1493" s="157" t="s">
        <v>210</v>
      </c>
    </row>
    <row r="1494" hidden="1">
      <c r="A1494" s="160" t="s">
        <v>234</v>
      </c>
      <c r="B1494" s="72"/>
      <c r="C1494" s="118" t="s">
        <v>232</v>
      </c>
      <c r="D1494" s="152" t="s">
        <v>1595</v>
      </c>
      <c r="E1494" s="152" t="s">
        <v>1700</v>
      </c>
      <c r="F1494" s="152" t="s">
        <v>365</v>
      </c>
      <c r="G1494" s="118" t="s">
        <v>209</v>
      </c>
      <c r="H1494" s="153" t="s">
        <v>211</v>
      </c>
    </row>
    <row r="1495" hidden="1">
      <c r="A1495" s="158" t="s">
        <v>234</v>
      </c>
      <c r="B1495" s="159"/>
      <c r="C1495" s="155" t="s">
        <v>232</v>
      </c>
      <c r="D1495" s="156" t="s">
        <v>1595</v>
      </c>
      <c r="E1495" s="156" t="s">
        <v>1701</v>
      </c>
      <c r="F1495" s="156" t="s">
        <v>323</v>
      </c>
      <c r="G1495" s="155" t="s">
        <v>209</v>
      </c>
      <c r="H1495" s="157" t="s">
        <v>212</v>
      </c>
    </row>
    <row r="1496" hidden="1">
      <c r="A1496" s="160" t="s">
        <v>234</v>
      </c>
      <c r="B1496" s="72"/>
      <c r="C1496" s="118" t="s">
        <v>232</v>
      </c>
      <c r="D1496" s="152" t="s">
        <v>1595</v>
      </c>
      <c r="E1496" s="152" t="s">
        <v>1702</v>
      </c>
      <c r="F1496" s="152" t="s">
        <v>287</v>
      </c>
      <c r="G1496" s="118" t="s">
        <v>209</v>
      </c>
      <c r="H1496" s="153" t="s">
        <v>213</v>
      </c>
    </row>
    <row r="1497" hidden="1">
      <c r="A1497" s="158" t="s">
        <v>234</v>
      </c>
      <c r="B1497" s="159"/>
      <c r="C1497" s="155" t="s">
        <v>232</v>
      </c>
      <c r="D1497" s="156" t="s">
        <v>1595</v>
      </c>
      <c r="E1497" s="156" t="s">
        <v>1703</v>
      </c>
      <c r="F1497" s="156" t="s">
        <v>249</v>
      </c>
      <c r="G1497" s="155" t="s">
        <v>209</v>
      </c>
      <c r="H1497" s="157" t="s">
        <v>214</v>
      </c>
    </row>
    <row r="1498" hidden="1">
      <c r="A1498" s="160" t="s">
        <v>234</v>
      </c>
      <c r="B1498" s="72"/>
      <c r="C1498" s="118" t="s">
        <v>232</v>
      </c>
      <c r="D1498" s="152" t="s">
        <v>1595</v>
      </c>
      <c r="E1498" s="152" t="s">
        <v>1704</v>
      </c>
      <c r="F1498" s="152" t="s">
        <v>365</v>
      </c>
      <c r="G1498" s="118" t="s">
        <v>209</v>
      </c>
      <c r="H1498" s="153" t="s">
        <v>215</v>
      </c>
    </row>
    <row r="1499" hidden="1">
      <c r="A1499" s="158" t="s">
        <v>234</v>
      </c>
      <c r="B1499" s="159"/>
      <c r="C1499" s="155" t="s">
        <v>232</v>
      </c>
      <c r="D1499" s="156" t="s">
        <v>1595</v>
      </c>
      <c r="E1499" s="156" t="s">
        <v>1705</v>
      </c>
      <c r="F1499" s="156" t="s">
        <v>257</v>
      </c>
      <c r="G1499" s="155" t="s">
        <v>209</v>
      </c>
      <c r="H1499" s="157" t="s">
        <v>216</v>
      </c>
    </row>
    <row r="1500" hidden="1">
      <c r="A1500" s="160" t="s">
        <v>235</v>
      </c>
      <c r="B1500" s="72"/>
      <c r="C1500" s="118" t="s">
        <v>236</v>
      </c>
      <c r="D1500" s="152" t="s">
        <v>1595</v>
      </c>
      <c r="E1500" s="152" t="s">
        <v>1706</v>
      </c>
      <c r="F1500" s="152" t="s">
        <v>287</v>
      </c>
      <c r="G1500" s="118" t="s">
        <v>209</v>
      </c>
      <c r="H1500" s="153" t="s">
        <v>210</v>
      </c>
    </row>
    <row r="1501" hidden="1">
      <c r="A1501" s="158" t="s">
        <v>235</v>
      </c>
      <c r="B1501" s="159"/>
      <c r="C1501" s="155" t="s">
        <v>236</v>
      </c>
      <c r="D1501" s="156" t="s">
        <v>1595</v>
      </c>
      <c r="E1501" s="156" t="s">
        <v>1707</v>
      </c>
      <c r="F1501" s="156" t="s">
        <v>242</v>
      </c>
      <c r="G1501" s="155" t="s">
        <v>209</v>
      </c>
      <c r="H1501" s="157" t="s">
        <v>211</v>
      </c>
    </row>
    <row r="1502" hidden="1">
      <c r="A1502" s="160" t="s">
        <v>235</v>
      </c>
      <c r="B1502" s="72"/>
      <c r="C1502" s="118" t="s">
        <v>236</v>
      </c>
      <c r="D1502" s="152" t="s">
        <v>1595</v>
      </c>
      <c r="E1502" s="152" t="s">
        <v>1708</v>
      </c>
      <c r="F1502" s="152" t="s">
        <v>246</v>
      </c>
      <c r="G1502" s="118" t="s">
        <v>209</v>
      </c>
      <c r="H1502" s="153" t="s">
        <v>212</v>
      </c>
    </row>
    <row r="1503" hidden="1">
      <c r="A1503" s="158" t="s">
        <v>235</v>
      </c>
      <c r="B1503" s="159"/>
      <c r="C1503" s="155" t="s">
        <v>236</v>
      </c>
      <c r="D1503" s="156" t="s">
        <v>1595</v>
      </c>
      <c r="E1503" s="156" t="s">
        <v>1709</v>
      </c>
      <c r="F1503" s="156" t="s">
        <v>269</v>
      </c>
      <c r="G1503" s="155" t="s">
        <v>209</v>
      </c>
      <c r="H1503" s="157" t="s">
        <v>213</v>
      </c>
    </row>
    <row r="1504" hidden="1">
      <c r="A1504" s="160" t="s">
        <v>235</v>
      </c>
      <c r="B1504" s="72"/>
      <c r="C1504" s="118" t="s">
        <v>236</v>
      </c>
      <c r="D1504" s="152" t="s">
        <v>1595</v>
      </c>
      <c r="E1504" s="152" t="s">
        <v>1710</v>
      </c>
      <c r="F1504" s="152" t="s">
        <v>240</v>
      </c>
      <c r="G1504" s="118" t="s">
        <v>209</v>
      </c>
      <c r="H1504" s="153" t="s">
        <v>214</v>
      </c>
    </row>
    <row r="1505" hidden="1">
      <c r="A1505" s="158" t="s">
        <v>235</v>
      </c>
      <c r="B1505" s="159"/>
      <c r="C1505" s="155" t="s">
        <v>236</v>
      </c>
      <c r="D1505" s="156" t="s">
        <v>1595</v>
      </c>
      <c r="E1505" s="156" t="s">
        <v>1711</v>
      </c>
      <c r="F1505" s="156" t="s">
        <v>244</v>
      </c>
      <c r="G1505" s="155" t="s">
        <v>209</v>
      </c>
      <c r="H1505" s="157" t="s">
        <v>215</v>
      </c>
    </row>
    <row r="1506" hidden="1">
      <c r="A1506" s="160" t="s">
        <v>235</v>
      </c>
      <c r="B1506" s="72"/>
      <c r="C1506" s="118" t="s">
        <v>236</v>
      </c>
      <c r="D1506" s="152" t="s">
        <v>1595</v>
      </c>
      <c r="E1506" s="152" t="s">
        <v>1712</v>
      </c>
      <c r="F1506" s="152" t="s">
        <v>257</v>
      </c>
      <c r="G1506" s="118" t="s">
        <v>209</v>
      </c>
      <c r="H1506" s="153" t="s">
        <v>216</v>
      </c>
    </row>
    <row r="1507" hidden="1">
      <c r="A1507" s="158" t="s">
        <v>237</v>
      </c>
      <c r="B1507" s="159"/>
      <c r="C1507" s="155" t="s">
        <v>236</v>
      </c>
      <c r="D1507" s="156" t="s">
        <v>1595</v>
      </c>
      <c r="E1507" s="156" t="s">
        <v>1713</v>
      </c>
      <c r="F1507" s="156" t="s">
        <v>265</v>
      </c>
      <c r="G1507" s="155" t="s">
        <v>209</v>
      </c>
      <c r="H1507" s="157" t="s">
        <v>210</v>
      </c>
    </row>
    <row r="1508" hidden="1">
      <c r="A1508" s="160" t="s">
        <v>237</v>
      </c>
      <c r="B1508" s="72"/>
      <c r="C1508" s="118" t="s">
        <v>236</v>
      </c>
      <c r="D1508" s="152" t="s">
        <v>1595</v>
      </c>
      <c r="E1508" s="152" t="s">
        <v>1714</v>
      </c>
      <c r="F1508" s="152" t="s">
        <v>240</v>
      </c>
      <c r="G1508" s="118" t="s">
        <v>209</v>
      </c>
      <c r="H1508" s="153" t="s">
        <v>211</v>
      </c>
    </row>
    <row r="1509" hidden="1">
      <c r="A1509" s="158" t="s">
        <v>237</v>
      </c>
      <c r="B1509" s="159"/>
      <c r="C1509" s="155" t="s">
        <v>236</v>
      </c>
      <c r="D1509" s="156" t="s">
        <v>1595</v>
      </c>
      <c r="E1509" s="156" t="s">
        <v>1715</v>
      </c>
      <c r="F1509" s="156" t="s">
        <v>301</v>
      </c>
      <c r="G1509" s="155" t="s">
        <v>209</v>
      </c>
      <c r="H1509" s="157" t="s">
        <v>212</v>
      </c>
    </row>
    <row r="1510" hidden="1">
      <c r="A1510" s="160" t="s">
        <v>237</v>
      </c>
      <c r="B1510" s="72"/>
      <c r="C1510" s="118" t="s">
        <v>236</v>
      </c>
      <c r="D1510" s="152" t="s">
        <v>1595</v>
      </c>
      <c r="E1510" s="152" t="s">
        <v>1716</v>
      </c>
      <c r="F1510" s="152" t="s">
        <v>287</v>
      </c>
      <c r="G1510" s="118" t="s">
        <v>209</v>
      </c>
      <c r="H1510" s="153" t="s">
        <v>213</v>
      </c>
    </row>
    <row r="1511" hidden="1">
      <c r="A1511" s="158" t="s">
        <v>237</v>
      </c>
      <c r="B1511" s="159"/>
      <c r="C1511" s="155" t="s">
        <v>236</v>
      </c>
      <c r="D1511" s="156" t="s">
        <v>1595</v>
      </c>
      <c r="E1511" s="156" t="s">
        <v>1717</v>
      </c>
      <c r="F1511" s="156" t="s">
        <v>285</v>
      </c>
      <c r="G1511" s="155" t="s">
        <v>209</v>
      </c>
      <c r="H1511" s="157" t="s">
        <v>214</v>
      </c>
    </row>
    <row r="1512" hidden="1">
      <c r="A1512" s="160" t="s">
        <v>237</v>
      </c>
      <c r="B1512" s="72"/>
      <c r="C1512" s="118" t="s">
        <v>236</v>
      </c>
      <c r="D1512" s="152" t="s">
        <v>1595</v>
      </c>
      <c r="E1512" s="152" t="s">
        <v>1718</v>
      </c>
      <c r="F1512" s="152" t="s">
        <v>255</v>
      </c>
      <c r="G1512" s="118" t="s">
        <v>209</v>
      </c>
      <c r="H1512" s="153" t="s">
        <v>215</v>
      </c>
    </row>
    <row r="1513" hidden="1">
      <c r="A1513" s="158" t="s">
        <v>237</v>
      </c>
      <c r="B1513" s="159"/>
      <c r="C1513" s="155" t="s">
        <v>236</v>
      </c>
      <c r="D1513" s="156" t="s">
        <v>1595</v>
      </c>
      <c r="E1513" s="156" t="s">
        <v>1719</v>
      </c>
      <c r="F1513" s="156" t="s">
        <v>301</v>
      </c>
      <c r="G1513" s="155" t="s">
        <v>209</v>
      </c>
      <c r="H1513" s="157" t="s">
        <v>216</v>
      </c>
    </row>
    <row r="1514" hidden="1">
      <c r="A1514" s="151" t="s">
        <v>204</v>
      </c>
      <c r="B1514" s="118" t="s">
        <v>205</v>
      </c>
      <c r="C1514" s="118" t="s">
        <v>206</v>
      </c>
      <c r="D1514" s="152" t="s">
        <v>1720</v>
      </c>
      <c r="E1514" s="152" t="s">
        <v>1721</v>
      </c>
      <c r="F1514" s="152" t="s">
        <v>339</v>
      </c>
      <c r="G1514" s="152" t="s">
        <v>1722</v>
      </c>
      <c r="H1514" s="153" t="s">
        <v>210</v>
      </c>
    </row>
    <row r="1515" hidden="1">
      <c r="A1515" s="154" t="s">
        <v>204</v>
      </c>
      <c r="B1515" s="155" t="s">
        <v>205</v>
      </c>
      <c r="C1515" s="155" t="s">
        <v>206</v>
      </c>
      <c r="D1515" s="156" t="s">
        <v>1720</v>
      </c>
      <c r="E1515" s="156" t="s">
        <v>1723</v>
      </c>
      <c r="F1515" s="156" t="s">
        <v>310</v>
      </c>
      <c r="G1515" s="156" t="s">
        <v>1722</v>
      </c>
      <c r="H1515" s="157" t="s">
        <v>211</v>
      </c>
    </row>
    <row r="1516" hidden="1">
      <c r="A1516" s="151" t="s">
        <v>204</v>
      </c>
      <c r="B1516" s="118" t="s">
        <v>205</v>
      </c>
      <c r="C1516" s="118" t="s">
        <v>206</v>
      </c>
      <c r="D1516" s="152" t="s">
        <v>1720</v>
      </c>
      <c r="E1516" s="152" t="s">
        <v>1724</v>
      </c>
      <c r="F1516" s="152" t="s">
        <v>285</v>
      </c>
      <c r="G1516" s="152" t="s">
        <v>1725</v>
      </c>
      <c r="H1516" s="153" t="s">
        <v>212</v>
      </c>
    </row>
    <row r="1517" hidden="1">
      <c r="A1517" s="154" t="s">
        <v>204</v>
      </c>
      <c r="B1517" s="155" t="s">
        <v>205</v>
      </c>
      <c r="C1517" s="155" t="s">
        <v>206</v>
      </c>
      <c r="D1517" s="156" t="s">
        <v>1720</v>
      </c>
      <c r="E1517" s="156" t="s">
        <v>1726</v>
      </c>
      <c r="F1517" s="156" t="s">
        <v>359</v>
      </c>
      <c r="G1517" s="156" t="s">
        <v>1727</v>
      </c>
      <c r="H1517" s="157" t="s">
        <v>213</v>
      </c>
    </row>
    <row r="1518" hidden="1">
      <c r="A1518" s="151" t="s">
        <v>204</v>
      </c>
      <c r="B1518" s="118" t="s">
        <v>205</v>
      </c>
      <c r="C1518" s="118" t="s">
        <v>206</v>
      </c>
      <c r="D1518" s="152" t="s">
        <v>1720</v>
      </c>
      <c r="E1518" s="152" t="s">
        <v>1728</v>
      </c>
      <c r="F1518" s="152" t="s">
        <v>351</v>
      </c>
      <c r="G1518" s="152" t="s">
        <v>1729</v>
      </c>
      <c r="H1518" s="153" t="s">
        <v>214</v>
      </c>
    </row>
    <row r="1519" hidden="1">
      <c r="A1519" s="154" t="s">
        <v>204</v>
      </c>
      <c r="B1519" s="155" t="s">
        <v>205</v>
      </c>
      <c r="C1519" s="155" t="s">
        <v>206</v>
      </c>
      <c r="D1519" s="156" t="s">
        <v>1720</v>
      </c>
      <c r="E1519" s="156" t="s">
        <v>1730</v>
      </c>
      <c r="F1519" s="156" t="s">
        <v>321</v>
      </c>
      <c r="G1519" s="156" t="s">
        <v>1731</v>
      </c>
      <c r="H1519" s="157" t="s">
        <v>215</v>
      </c>
    </row>
    <row r="1520" hidden="1">
      <c r="A1520" s="151" t="s">
        <v>204</v>
      </c>
      <c r="B1520" s="118" t="s">
        <v>205</v>
      </c>
      <c r="C1520" s="118" t="s">
        <v>206</v>
      </c>
      <c r="D1520" s="152" t="s">
        <v>1720</v>
      </c>
      <c r="E1520" s="152" t="s">
        <v>1732</v>
      </c>
      <c r="F1520" s="152" t="s">
        <v>310</v>
      </c>
      <c r="G1520" s="152" t="s">
        <v>1733</v>
      </c>
      <c r="H1520" s="153" t="s">
        <v>216</v>
      </c>
    </row>
    <row r="1521" hidden="1">
      <c r="A1521" s="154" t="s">
        <v>217</v>
      </c>
      <c r="B1521" s="155" t="s">
        <v>191</v>
      </c>
      <c r="C1521" s="155" t="s">
        <v>206</v>
      </c>
      <c r="D1521" s="156" t="s">
        <v>1720</v>
      </c>
      <c r="E1521" s="156" t="s">
        <v>1734</v>
      </c>
      <c r="F1521" s="156" t="s">
        <v>262</v>
      </c>
      <c r="G1521" s="156" t="s">
        <v>1735</v>
      </c>
      <c r="H1521" s="157" t="s">
        <v>210</v>
      </c>
    </row>
    <row r="1522" hidden="1">
      <c r="A1522" s="151" t="s">
        <v>217</v>
      </c>
      <c r="B1522" s="118" t="s">
        <v>191</v>
      </c>
      <c r="C1522" s="118" t="s">
        <v>206</v>
      </c>
      <c r="D1522" s="152" t="s">
        <v>1720</v>
      </c>
      <c r="E1522" s="152" t="s">
        <v>1736</v>
      </c>
      <c r="F1522" s="152" t="s">
        <v>492</v>
      </c>
      <c r="G1522" s="152" t="s">
        <v>1737</v>
      </c>
      <c r="H1522" s="153" t="s">
        <v>211</v>
      </c>
    </row>
    <row r="1523" hidden="1">
      <c r="A1523" s="154" t="s">
        <v>217</v>
      </c>
      <c r="B1523" s="155" t="s">
        <v>191</v>
      </c>
      <c r="C1523" s="155" t="s">
        <v>206</v>
      </c>
      <c r="D1523" s="156" t="s">
        <v>1720</v>
      </c>
      <c r="E1523" s="156" t="s">
        <v>1738</v>
      </c>
      <c r="F1523" s="156" t="s">
        <v>301</v>
      </c>
      <c r="G1523" s="156" t="s">
        <v>1739</v>
      </c>
      <c r="H1523" s="157" t="s">
        <v>212</v>
      </c>
    </row>
    <row r="1524" hidden="1">
      <c r="A1524" s="151" t="s">
        <v>217</v>
      </c>
      <c r="B1524" s="118" t="s">
        <v>191</v>
      </c>
      <c r="C1524" s="118" t="s">
        <v>206</v>
      </c>
      <c r="D1524" s="152" t="s">
        <v>1720</v>
      </c>
      <c r="E1524" s="152" t="s">
        <v>1740</v>
      </c>
      <c r="F1524" s="152" t="s">
        <v>269</v>
      </c>
      <c r="G1524" s="152" t="s">
        <v>1741</v>
      </c>
      <c r="H1524" s="153" t="s">
        <v>213</v>
      </c>
    </row>
    <row r="1525" hidden="1">
      <c r="A1525" s="154" t="s">
        <v>217</v>
      </c>
      <c r="B1525" s="155" t="s">
        <v>191</v>
      </c>
      <c r="C1525" s="155" t="s">
        <v>206</v>
      </c>
      <c r="D1525" s="156" t="s">
        <v>1720</v>
      </c>
      <c r="E1525" s="156" t="s">
        <v>1742</v>
      </c>
      <c r="F1525" s="156" t="s">
        <v>492</v>
      </c>
      <c r="G1525" s="156" t="s">
        <v>1743</v>
      </c>
      <c r="H1525" s="157" t="s">
        <v>214</v>
      </c>
    </row>
    <row r="1526" hidden="1">
      <c r="A1526" s="151" t="s">
        <v>217</v>
      </c>
      <c r="B1526" s="118" t="s">
        <v>191</v>
      </c>
      <c r="C1526" s="118" t="s">
        <v>206</v>
      </c>
      <c r="D1526" s="152" t="s">
        <v>1720</v>
      </c>
      <c r="E1526" s="152" t="s">
        <v>1744</v>
      </c>
      <c r="F1526" s="152" t="s">
        <v>255</v>
      </c>
      <c r="G1526" s="152" t="s">
        <v>1745</v>
      </c>
      <c r="H1526" s="153" t="s">
        <v>215</v>
      </c>
    </row>
    <row r="1527" hidden="1">
      <c r="A1527" s="154" t="s">
        <v>217</v>
      </c>
      <c r="B1527" s="155" t="s">
        <v>191</v>
      </c>
      <c r="C1527" s="155" t="s">
        <v>206</v>
      </c>
      <c r="D1527" s="156" t="s">
        <v>1720</v>
      </c>
      <c r="E1527" s="156" t="s">
        <v>1746</v>
      </c>
      <c r="F1527" s="156" t="s">
        <v>374</v>
      </c>
      <c r="G1527" s="156" t="s">
        <v>1747</v>
      </c>
      <c r="H1527" s="157" t="s">
        <v>216</v>
      </c>
    </row>
    <row r="1528" hidden="1">
      <c r="A1528" s="151" t="s">
        <v>218</v>
      </c>
      <c r="B1528" s="118" t="s">
        <v>219</v>
      </c>
      <c r="C1528" s="118" t="s">
        <v>206</v>
      </c>
      <c r="D1528" s="152" t="s">
        <v>1720</v>
      </c>
      <c r="E1528" s="152" t="s">
        <v>1748</v>
      </c>
      <c r="F1528" s="152" t="s">
        <v>492</v>
      </c>
      <c r="G1528" s="152" t="s">
        <v>1749</v>
      </c>
      <c r="H1528" s="153" t="s">
        <v>210</v>
      </c>
    </row>
    <row r="1529" hidden="1">
      <c r="A1529" s="154" t="s">
        <v>218</v>
      </c>
      <c r="B1529" s="155" t="s">
        <v>219</v>
      </c>
      <c r="C1529" s="155" t="s">
        <v>206</v>
      </c>
      <c r="D1529" s="156" t="s">
        <v>1720</v>
      </c>
      <c r="E1529" s="156" t="s">
        <v>1750</v>
      </c>
      <c r="F1529" s="156" t="s">
        <v>492</v>
      </c>
      <c r="G1529" s="156" t="s">
        <v>1751</v>
      </c>
      <c r="H1529" s="157" t="s">
        <v>211</v>
      </c>
    </row>
    <row r="1530" hidden="1">
      <c r="A1530" s="151" t="s">
        <v>218</v>
      </c>
      <c r="B1530" s="118" t="s">
        <v>219</v>
      </c>
      <c r="C1530" s="118" t="s">
        <v>206</v>
      </c>
      <c r="D1530" s="152" t="s">
        <v>1720</v>
      </c>
      <c r="E1530" s="152" t="s">
        <v>1752</v>
      </c>
      <c r="F1530" s="152" t="s">
        <v>298</v>
      </c>
      <c r="G1530" s="152" t="s">
        <v>1753</v>
      </c>
      <c r="H1530" s="153" t="s">
        <v>212</v>
      </c>
    </row>
    <row r="1531" hidden="1">
      <c r="A1531" s="154" t="s">
        <v>218</v>
      </c>
      <c r="B1531" s="155" t="s">
        <v>219</v>
      </c>
      <c r="C1531" s="155" t="s">
        <v>206</v>
      </c>
      <c r="D1531" s="156" t="s">
        <v>1720</v>
      </c>
      <c r="E1531" s="156" t="s">
        <v>1754</v>
      </c>
      <c r="F1531" s="156" t="s">
        <v>262</v>
      </c>
      <c r="G1531" s="156" t="s">
        <v>1755</v>
      </c>
      <c r="H1531" s="157" t="s">
        <v>213</v>
      </c>
    </row>
    <row r="1532" hidden="1">
      <c r="A1532" s="151" t="s">
        <v>218</v>
      </c>
      <c r="B1532" s="118" t="s">
        <v>219</v>
      </c>
      <c r="C1532" s="118" t="s">
        <v>206</v>
      </c>
      <c r="D1532" s="152" t="s">
        <v>1720</v>
      </c>
      <c r="E1532" s="152" t="s">
        <v>1756</v>
      </c>
      <c r="F1532" s="152" t="s">
        <v>298</v>
      </c>
      <c r="G1532" s="152" t="s">
        <v>1757</v>
      </c>
      <c r="H1532" s="153" t="s">
        <v>214</v>
      </c>
    </row>
    <row r="1533" hidden="1">
      <c r="A1533" s="154" t="s">
        <v>218</v>
      </c>
      <c r="B1533" s="155" t="s">
        <v>219</v>
      </c>
      <c r="C1533" s="155" t="s">
        <v>206</v>
      </c>
      <c r="D1533" s="156" t="s">
        <v>1720</v>
      </c>
      <c r="E1533" s="156" t="s">
        <v>1758</v>
      </c>
      <c r="F1533" s="156" t="s">
        <v>492</v>
      </c>
      <c r="G1533" s="156" t="s">
        <v>1759</v>
      </c>
      <c r="H1533" s="157" t="s">
        <v>215</v>
      </c>
    </row>
    <row r="1534" hidden="1">
      <c r="A1534" s="151" t="s">
        <v>218</v>
      </c>
      <c r="B1534" s="118" t="s">
        <v>219</v>
      </c>
      <c r="C1534" s="118" t="s">
        <v>206</v>
      </c>
      <c r="D1534" s="152" t="s">
        <v>1720</v>
      </c>
      <c r="E1534" s="152" t="s">
        <v>1760</v>
      </c>
      <c r="F1534" s="152" t="s">
        <v>262</v>
      </c>
      <c r="G1534" s="152" t="s">
        <v>1751</v>
      </c>
      <c r="H1534" s="153" t="s">
        <v>216</v>
      </c>
    </row>
    <row r="1535" hidden="1">
      <c r="A1535" s="154" t="s">
        <v>220</v>
      </c>
      <c r="B1535" s="155" t="s">
        <v>190</v>
      </c>
      <c r="C1535" s="155" t="s">
        <v>206</v>
      </c>
      <c r="D1535" s="156" t="s">
        <v>1720</v>
      </c>
      <c r="E1535" s="156" t="s">
        <v>1761</v>
      </c>
      <c r="F1535" s="156" t="s">
        <v>374</v>
      </c>
      <c r="G1535" s="156" t="s">
        <v>1762</v>
      </c>
      <c r="H1535" s="157" t="s">
        <v>210</v>
      </c>
    </row>
    <row r="1536" hidden="1">
      <c r="A1536" s="151" t="s">
        <v>220</v>
      </c>
      <c r="B1536" s="118" t="s">
        <v>190</v>
      </c>
      <c r="C1536" s="118" t="s">
        <v>206</v>
      </c>
      <c r="D1536" s="152" t="s">
        <v>1720</v>
      </c>
      <c r="E1536" s="152" t="s">
        <v>1763</v>
      </c>
      <c r="F1536" s="152" t="s">
        <v>265</v>
      </c>
      <c r="G1536" s="152" t="s">
        <v>1737</v>
      </c>
      <c r="H1536" s="153" t="s">
        <v>211</v>
      </c>
    </row>
    <row r="1537" hidden="1">
      <c r="A1537" s="154" t="s">
        <v>220</v>
      </c>
      <c r="B1537" s="155" t="s">
        <v>190</v>
      </c>
      <c r="C1537" s="155" t="s">
        <v>206</v>
      </c>
      <c r="D1537" s="156" t="s">
        <v>1720</v>
      </c>
      <c r="E1537" s="156" t="s">
        <v>1764</v>
      </c>
      <c r="F1537" s="156" t="s">
        <v>287</v>
      </c>
      <c r="G1537" s="156" t="s">
        <v>1765</v>
      </c>
      <c r="H1537" s="157" t="s">
        <v>212</v>
      </c>
    </row>
    <row r="1538" hidden="1">
      <c r="A1538" s="151" t="s">
        <v>220</v>
      </c>
      <c r="B1538" s="118" t="s">
        <v>190</v>
      </c>
      <c r="C1538" s="118" t="s">
        <v>206</v>
      </c>
      <c r="D1538" s="152" t="s">
        <v>1720</v>
      </c>
      <c r="E1538" s="152" t="s">
        <v>1766</v>
      </c>
      <c r="F1538" s="152" t="s">
        <v>374</v>
      </c>
      <c r="G1538" s="152" t="s">
        <v>1767</v>
      </c>
      <c r="H1538" s="153" t="s">
        <v>213</v>
      </c>
    </row>
    <row r="1539" hidden="1">
      <c r="A1539" s="154" t="s">
        <v>220</v>
      </c>
      <c r="B1539" s="155" t="s">
        <v>190</v>
      </c>
      <c r="C1539" s="155" t="s">
        <v>206</v>
      </c>
      <c r="D1539" s="156" t="s">
        <v>1720</v>
      </c>
      <c r="E1539" s="156" t="s">
        <v>1768</v>
      </c>
      <c r="F1539" s="156" t="s">
        <v>240</v>
      </c>
      <c r="G1539" s="156" t="s">
        <v>1769</v>
      </c>
      <c r="H1539" s="157" t="s">
        <v>214</v>
      </c>
    </row>
    <row r="1540" hidden="1">
      <c r="A1540" s="151" t="s">
        <v>220</v>
      </c>
      <c r="B1540" s="118" t="s">
        <v>190</v>
      </c>
      <c r="C1540" s="118" t="s">
        <v>206</v>
      </c>
      <c r="D1540" s="152" t="s">
        <v>1720</v>
      </c>
      <c r="E1540" s="152" t="s">
        <v>1770</v>
      </c>
      <c r="F1540" s="152" t="s">
        <v>240</v>
      </c>
      <c r="G1540" s="152" t="s">
        <v>1771</v>
      </c>
      <c r="H1540" s="153" t="s">
        <v>215</v>
      </c>
    </row>
    <row r="1541" hidden="1">
      <c r="A1541" s="154" t="s">
        <v>220</v>
      </c>
      <c r="B1541" s="155" t="s">
        <v>190</v>
      </c>
      <c r="C1541" s="155" t="s">
        <v>206</v>
      </c>
      <c r="D1541" s="156" t="s">
        <v>1720</v>
      </c>
      <c r="E1541" s="156" t="s">
        <v>1772</v>
      </c>
      <c r="F1541" s="156" t="s">
        <v>265</v>
      </c>
      <c r="G1541" s="156" t="s">
        <v>1773</v>
      </c>
      <c r="H1541" s="157" t="s">
        <v>216</v>
      </c>
    </row>
    <row r="1542" hidden="1">
      <c r="A1542" s="151" t="s">
        <v>221</v>
      </c>
      <c r="B1542" s="118" t="s">
        <v>189</v>
      </c>
      <c r="C1542" s="118" t="s">
        <v>206</v>
      </c>
      <c r="D1542" s="152" t="s">
        <v>1720</v>
      </c>
      <c r="E1542" s="152" t="s">
        <v>1774</v>
      </c>
      <c r="F1542" s="152" t="s">
        <v>1775</v>
      </c>
      <c r="G1542" s="152" t="s">
        <v>1776</v>
      </c>
      <c r="H1542" s="153" t="s">
        <v>210</v>
      </c>
    </row>
    <row r="1543" hidden="1">
      <c r="A1543" s="154" t="s">
        <v>221</v>
      </c>
      <c r="B1543" s="155" t="s">
        <v>189</v>
      </c>
      <c r="C1543" s="155" t="s">
        <v>206</v>
      </c>
      <c r="D1543" s="156" t="s">
        <v>1720</v>
      </c>
      <c r="E1543" s="156" t="s">
        <v>1777</v>
      </c>
      <c r="F1543" s="156" t="s">
        <v>1778</v>
      </c>
      <c r="G1543" s="156" t="s">
        <v>1779</v>
      </c>
      <c r="H1543" s="157" t="s">
        <v>211</v>
      </c>
    </row>
    <row r="1544" hidden="1">
      <c r="A1544" s="151" t="s">
        <v>221</v>
      </c>
      <c r="B1544" s="118" t="s">
        <v>189</v>
      </c>
      <c r="C1544" s="118" t="s">
        <v>206</v>
      </c>
      <c r="D1544" s="152" t="s">
        <v>1720</v>
      </c>
      <c r="E1544" s="152" t="s">
        <v>1780</v>
      </c>
      <c r="F1544" s="152" t="s">
        <v>1781</v>
      </c>
      <c r="G1544" s="152" t="s">
        <v>1782</v>
      </c>
      <c r="H1544" s="153" t="s">
        <v>212</v>
      </c>
    </row>
    <row r="1545" hidden="1">
      <c r="A1545" s="154" t="s">
        <v>221</v>
      </c>
      <c r="B1545" s="155" t="s">
        <v>189</v>
      </c>
      <c r="C1545" s="155" t="s">
        <v>206</v>
      </c>
      <c r="D1545" s="156" t="s">
        <v>1720</v>
      </c>
      <c r="E1545" s="156" t="s">
        <v>1783</v>
      </c>
      <c r="F1545" s="156" t="s">
        <v>1784</v>
      </c>
      <c r="G1545" s="156" t="s">
        <v>1785</v>
      </c>
      <c r="H1545" s="157" t="s">
        <v>213</v>
      </c>
    </row>
    <row r="1546" hidden="1">
      <c r="A1546" s="151" t="s">
        <v>221</v>
      </c>
      <c r="B1546" s="118" t="s">
        <v>189</v>
      </c>
      <c r="C1546" s="118" t="s">
        <v>206</v>
      </c>
      <c r="D1546" s="152" t="s">
        <v>1720</v>
      </c>
      <c r="E1546" s="152" t="s">
        <v>1786</v>
      </c>
      <c r="F1546" s="152" t="s">
        <v>1787</v>
      </c>
      <c r="G1546" s="152" t="s">
        <v>1788</v>
      </c>
      <c r="H1546" s="153" t="s">
        <v>214</v>
      </c>
    </row>
    <row r="1547" hidden="1">
      <c r="A1547" s="154" t="s">
        <v>221</v>
      </c>
      <c r="B1547" s="155" t="s">
        <v>189</v>
      </c>
      <c r="C1547" s="155" t="s">
        <v>206</v>
      </c>
      <c r="D1547" s="156" t="s">
        <v>1720</v>
      </c>
      <c r="E1547" s="156" t="s">
        <v>1789</v>
      </c>
      <c r="F1547" s="156" t="s">
        <v>1790</v>
      </c>
      <c r="G1547" s="156" t="s">
        <v>1791</v>
      </c>
      <c r="H1547" s="157" t="s">
        <v>215</v>
      </c>
    </row>
    <row r="1548" hidden="1">
      <c r="A1548" s="151" t="s">
        <v>221</v>
      </c>
      <c r="B1548" s="118" t="s">
        <v>189</v>
      </c>
      <c r="C1548" s="118" t="s">
        <v>206</v>
      </c>
      <c r="D1548" s="152" t="s">
        <v>1720</v>
      </c>
      <c r="E1548" s="152" t="s">
        <v>1792</v>
      </c>
      <c r="F1548" s="152" t="s">
        <v>1767</v>
      </c>
      <c r="G1548" s="152" t="s">
        <v>1793</v>
      </c>
      <c r="H1548" s="153" t="s">
        <v>216</v>
      </c>
    </row>
    <row r="1549" hidden="1">
      <c r="A1549" s="154" t="s">
        <v>222</v>
      </c>
      <c r="B1549" s="155" t="s">
        <v>192</v>
      </c>
      <c r="C1549" s="155" t="s">
        <v>206</v>
      </c>
      <c r="D1549" s="156" t="s">
        <v>1720</v>
      </c>
      <c r="E1549" s="156" t="s">
        <v>1794</v>
      </c>
      <c r="F1549" s="156" t="s">
        <v>534</v>
      </c>
      <c r="G1549" s="156" t="s">
        <v>1795</v>
      </c>
      <c r="H1549" s="157" t="s">
        <v>210</v>
      </c>
    </row>
    <row r="1550" hidden="1">
      <c r="A1550" s="151" t="s">
        <v>222</v>
      </c>
      <c r="B1550" s="118" t="s">
        <v>192</v>
      </c>
      <c r="C1550" s="118" t="s">
        <v>206</v>
      </c>
      <c r="D1550" s="152" t="s">
        <v>1720</v>
      </c>
      <c r="E1550" s="152" t="s">
        <v>1796</v>
      </c>
      <c r="F1550" s="152" t="s">
        <v>534</v>
      </c>
      <c r="G1550" s="152" t="s">
        <v>1797</v>
      </c>
      <c r="H1550" s="153" t="s">
        <v>211</v>
      </c>
    </row>
    <row r="1551" hidden="1">
      <c r="A1551" s="154" t="s">
        <v>222</v>
      </c>
      <c r="B1551" s="155" t="s">
        <v>192</v>
      </c>
      <c r="C1551" s="155" t="s">
        <v>206</v>
      </c>
      <c r="D1551" s="156" t="s">
        <v>1720</v>
      </c>
      <c r="E1551" s="156" t="s">
        <v>1798</v>
      </c>
      <c r="F1551" s="156" t="s">
        <v>365</v>
      </c>
      <c r="G1551" s="156" t="s">
        <v>1799</v>
      </c>
      <c r="H1551" s="157" t="s">
        <v>212</v>
      </c>
    </row>
    <row r="1552" hidden="1">
      <c r="A1552" s="151" t="s">
        <v>222</v>
      </c>
      <c r="B1552" s="118" t="s">
        <v>192</v>
      </c>
      <c r="C1552" s="118" t="s">
        <v>206</v>
      </c>
      <c r="D1552" s="152" t="s">
        <v>1720</v>
      </c>
      <c r="E1552" s="152" t="s">
        <v>1800</v>
      </c>
      <c r="F1552" s="152" t="s">
        <v>321</v>
      </c>
      <c r="G1552" s="152" t="s">
        <v>1801</v>
      </c>
      <c r="H1552" s="153" t="s">
        <v>213</v>
      </c>
    </row>
    <row r="1553" hidden="1">
      <c r="A1553" s="154" t="s">
        <v>222</v>
      </c>
      <c r="B1553" s="155" t="s">
        <v>192</v>
      </c>
      <c r="C1553" s="155" t="s">
        <v>206</v>
      </c>
      <c r="D1553" s="156" t="s">
        <v>1720</v>
      </c>
      <c r="E1553" s="156" t="s">
        <v>1802</v>
      </c>
      <c r="F1553" s="156" t="s">
        <v>249</v>
      </c>
      <c r="G1553" s="156" t="s">
        <v>1773</v>
      </c>
      <c r="H1553" s="157" t="s">
        <v>214</v>
      </c>
    </row>
    <row r="1554" hidden="1">
      <c r="A1554" s="151" t="s">
        <v>222</v>
      </c>
      <c r="B1554" s="118" t="s">
        <v>192</v>
      </c>
      <c r="C1554" s="118" t="s">
        <v>206</v>
      </c>
      <c r="D1554" s="152" t="s">
        <v>1720</v>
      </c>
      <c r="E1554" s="152" t="s">
        <v>1803</v>
      </c>
      <c r="F1554" s="152" t="s">
        <v>308</v>
      </c>
      <c r="G1554" s="152" t="s">
        <v>1804</v>
      </c>
      <c r="H1554" s="153" t="s">
        <v>215</v>
      </c>
    </row>
    <row r="1555" hidden="1">
      <c r="A1555" s="154" t="s">
        <v>222</v>
      </c>
      <c r="B1555" s="155" t="s">
        <v>192</v>
      </c>
      <c r="C1555" s="155" t="s">
        <v>206</v>
      </c>
      <c r="D1555" s="156" t="s">
        <v>1720</v>
      </c>
      <c r="E1555" s="156" t="s">
        <v>1805</v>
      </c>
      <c r="F1555" s="156" t="s">
        <v>290</v>
      </c>
      <c r="G1555" s="156" t="s">
        <v>1806</v>
      </c>
      <c r="H1555" s="157" t="s">
        <v>216</v>
      </c>
    </row>
    <row r="1556" hidden="1">
      <c r="A1556" s="151" t="s">
        <v>223</v>
      </c>
      <c r="B1556" s="118" t="s">
        <v>144</v>
      </c>
      <c r="C1556" s="118" t="s">
        <v>206</v>
      </c>
      <c r="D1556" s="152" t="s">
        <v>1720</v>
      </c>
      <c r="E1556" s="152" t="s">
        <v>1807</v>
      </c>
      <c r="F1556" s="152" t="s">
        <v>290</v>
      </c>
      <c r="G1556" s="152" t="s">
        <v>1808</v>
      </c>
      <c r="H1556" s="153" t="s">
        <v>210</v>
      </c>
    </row>
    <row r="1557" hidden="1">
      <c r="A1557" s="154" t="s">
        <v>223</v>
      </c>
      <c r="B1557" s="155" t="s">
        <v>144</v>
      </c>
      <c r="C1557" s="155" t="s">
        <v>206</v>
      </c>
      <c r="D1557" s="156" t="s">
        <v>1720</v>
      </c>
      <c r="E1557" s="156" t="s">
        <v>1809</v>
      </c>
      <c r="F1557" s="156" t="s">
        <v>285</v>
      </c>
      <c r="G1557" s="156" t="s">
        <v>1810</v>
      </c>
      <c r="H1557" s="157" t="s">
        <v>211</v>
      </c>
    </row>
    <row r="1558" hidden="1">
      <c r="A1558" s="151" t="s">
        <v>223</v>
      </c>
      <c r="B1558" s="118" t="s">
        <v>144</v>
      </c>
      <c r="C1558" s="118" t="s">
        <v>206</v>
      </c>
      <c r="D1558" s="152" t="s">
        <v>1720</v>
      </c>
      <c r="E1558" s="152" t="s">
        <v>1811</v>
      </c>
      <c r="F1558" s="152" t="s">
        <v>255</v>
      </c>
      <c r="G1558" s="152" t="s">
        <v>1812</v>
      </c>
      <c r="H1558" s="153" t="s">
        <v>212</v>
      </c>
    </row>
    <row r="1559" hidden="1">
      <c r="A1559" s="154" t="s">
        <v>223</v>
      </c>
      <c r="B1559" s="155" t="s">
        <v>144</v>
      </c>
      <c r="C1559" s="155" t="s">
        <v>206</v>
      </c>
      <c r="D1559" s="156" t="s">
        <v>1720</v>
      </c>
      <c r="E1559" s="156" t="s">
        <v>1813</v>
      </c>
      <c r="F1559" s="156" t="s">
        <v>287</v>
      </c>
      <c r="G1559" s="156" t="s">
        <v>1814</v>
      </c>
      <c r="H1559" s="157" t="s">
        <v>213</v>
      </c>
    </row>
    <row r="1560" hidden="1">
      <c r="A1560" s="151" t="s">
        <v>223</v>
      </c>
      <c r="B1560" s="118" t="s">
        <v>144</v>
      </c>
      <c r="C1560" s="118" t="s">
        <v>206</v>
      </c>
      <c r="D1560" s="152" t="s">
        <v>1720</v>
      </c>
      <c r="E1560" s="152" t="s">
        <v>1815</v>
      </c>
      <c r="F1560" s="152" t="s">
        <v>323</v>
      </c>
      <c r="G1560" s="152" t="s">
        <v>1816</v>
      </c>
      <c r="H1560" s="153" t="s">
        <v>214</v>
      </c>
    </row>
    <row r="1561" hidden="1">
      <c r="A1561" s="154" t="s">
        <v>223</v>
      </c>
      <c r="B1561" s="155" t="s">
        <v>144</v>
      </c>
      <c r="C1561" s="155" t="s">
        <v>206</v>
      </c>
      <c r="D1561" s="156" t="s">
        <v>1720</v>
      </c>
      <c r="E1561" s="156" t="s">
        <v>1817</v>
      </c>
      <c r="F1561" s="156" t="s">
        <v>240</v>
      </c>
      <c r="G1561" s="156" t="s">
        <v>1818</v>
      </c>
      <c r="H1561" s="157" t="s">
        <v>215</v>
      </c>
    </row>
    <row r="1562" hidden="1">
      <c r="A1562" s="151" t="s">
        <v>223</v>
      </c>
      <c r="B1562" s="118" t="s">
        <v>144</v>
      </c>
      <c r="C1562" s="118" t="s">
        <v>206</v>
      </c>
      <c r="D1562" s="152" t="s">
        <v>1720</v>
      </c>
      <c r="E1562" s="152" t="s">
        <v>1819</v>
      </c>
      <c r="F1562" s="152" t="s">
        <v>314</v>
      </c>
      <c r="G1562" s="152" t="s">
        <v>1820</v>
      </c>
      <c r="H1562" s="153" t="s">
        <v>216</v>
      </c>
    </row>
    <row r="1563" hidden="1">
      <c r="A1563" s="154" t="s">
        <v>224</v>
      </c>
      <c r="B1563" s="155" t="s">
        <v>170</v>
      </c>
      <c r="C1563" s="155" t="s">
        <v>206</v>
      </c>
      <c r="D1563" s="156" t="s">
        <v>1720</v>
      </c>
      <c r="E1563" s="156" t="s">
        <v>1821</v>
      </c>
      <c r="F1563" s="156" t="s">
        <v>290</v>
      </c>
      <c r="G1563" s="156" t="s">
        <v>1822</v>
      </c>
      <c r="H1563" s="157" t="s">
        <v>210</v>
      </c>
    </row>
    <row r="1564" hidden="1">
      <c r="A1564" s="151" t="s">
        <v>224</v>
      </c>
      <c r="B1564" s="118" t="s">
        <v>170</v>
      </c>
      <c r="C1564" s="118" t="s">
        <v>206</v>
      </c>
      <c r="D1564" s="152" t="s">
        <v>1720</v>
      </c>
      <c r="E1564" s="152" t="s">
        <v>1823</v>
      </c>
      <c r="F1564" s="152" t="s">
        <v>339</v>
      </c>
      <c r="G1564" s="152" t="s">
        <v>1757</v>
      </c>
      <c r="H1564" s="153" t="s">
        <v>211</v>
      </c>
    </row>
    <row r="1565" hidden="1">
      <c r="A1565" s="154" t="s">
        <v>224</v>
      </c>
      <c r="B1565" s="155" t="s">
        <v>170</v>
      </c>
      <c r="C1565" s="155" t="s">
        <v>206</v>
      </c>
      <c r="D1565" s="156" t="s">
        <v>1720</v>
      </c>
      <c r="E1565" s="156" t="s">
        <v>1824</v>
      </c>
      <c r="F1565" s="156" t="s">
        <v>534</v>
      </c>
      <c r="G1565" s="156" t="s">
        <v>1825</v>
      </c>
      <c r="H1565" s="157" t="s">
        <v>212</v>
      </c>
    </row>
    <row r="1566" hidden="1">
      <c r="A1566" s="151" t="s">
        <v>224</v>
      </c>
      <c r="B1566" s="118" t="s">
        <v>170</v>
      </c>
      <c r="C1566" s="118" t="s">
        <v>206</v>
      </c>
      <c r="D1566" s="152" t="s">
        <v>1720</v>
      </c>
      <c r="E1566" s="152" t="s">
        <v>1826</v>
      </c>
      <c r="F1566" s="152" t="s">
        <v>305</v>
      </c>
      <c r="G1566" s="152" t="s">
        <v>1827</v>
      </c>
      <c r="H1566" s="153" t="s">
        <v>213</v>
      </c>
    </row>
    <row r="1567" hidden="1">
      <c r="A1567" s="154" t="s">
        <v>224</v>
      </c>
      <c r="B1567" s="155" t="s">
        <v>170</v>
      </c>
      <c r="C1567" s="155" t="s">
        <v>206</v>
      </c>
      <c r="D1567" s="156" t="s">
        <v>1720</v>
      </c>
      <c r="E1567" s="156" t="s">
        <v>1828</v>
      </c>
      <c r="F1567" s="156" t="s">
        <v>425</v>
      </c>
      <c r="G1567" s="156" t="s">
        <v>1722</v>
      </c>
      <c r="H1567" s="157" t="s">
        <v>214</v>
      </c>
    </row>
    <row r="1568" hidden="1">
      <c r="A1568" s="151" t="s">
        <v>224</v>
      </c>
      <c r="B1568" s="118" t="s">
        <v>170</v>
      </c>
      <c r="C1568" s="118" t="s">
        <v>206</v>
      </c>
      <c r="D1568" s="152" t="s">
        <v>1720</v>
      </c>
      <c r="E1568" s="152" t="s">
        <v>1829</v>
      </c>
      <c r="F1568" s="152" t="s">
        <v>577</v>
      </c>
      <c r="G1568" s="152" t="s">
        <v>635</v>
      </c>
      <c r="H1568" s="153" t="s">
        <v>215</v>
      </c>
    </row>
    <row r="1569" hidden="1">
      <c r="A1569" s="154" t="s">
        <v>224</v>
      </c>
      <c r="B1569" s="155" t="s">
        <v>170</v>
      </c>
      <c r="C1569" s="155" t="s">
        <v>206</v>
      </c>
      <c r="D1569" s="156" t="s">
        <v>1720</v>
      </c>
      <c r="E1569" s="156" t="s">
        <v>1830</v>
      </c>
      <c r="F1569" s="156" t="s">
        <v>305</v>
      </c>
      <c r="G1569" s="156" t="s">
        <v>1741</v>
      </c>
      <c r="H1569" s="157" t="s">
        <v>216</v>
      </c>
    </row>
    <row r="1570" hidden="1">
      <c r="A1570" s="151" t="s">
        <v>225</v>
      </c>
      <c r="B1570" s="118" t="s">
        <v>226</v>
      </c>
      <c r="C1570" s="118" t="s">
        <v>206</v>
      </c>
      <c r="D1570" s="152" t="s">
        <v>1720</v>
      </c>
      <c r="E1570" s="152" t="s">
        <v>1831</v>
      </c>
      <c r="F1570" s="152" t="s">
        <v>359</v>
      </c>
      <c r="G1570" s="152" t="s">
        <v>1832</v>
      </c>
      <c r="H1570" s="153" t="s">
        <v>210</v>
      </c>
    </row>
    <row r="1571" hidden="1">
      <c r="A1571" s="154" t="s">
        <v>225</v>
      </c>
      <c r="B1571" s="155" t="s">
        <v>226</v>
      </c>
      <c r="C1571" s="155" t="s">
        <v>206</v>
      </c>
      <c r="D1571" s="156" t="s">
        <v>1720</v>
      </c>
      <c r="E1571" s="156" t="s">
        <v>1833</v>
      </c>
      <c r="F1571" s="156" t="s">
        <v>257</v>
      </c>
      <c r="G1571" s="156" t="s">
        <v>1834</v>
      </c>
      <c r="H1571" s="157" t="s">
        <v>211</v>
      </c>
    </row>
    <row r="1572" hidden="1">
      <c r="A1572" s="151" t="s">
        <v>225</v>
      </c>
      <c r="B1572" s="118" t="s">
        <v>226</v>
      </c>
      <c r="C1572" s="118" t="s">
        <v>206</v>
      </c>
      <c r="D1572" s="152" t="s">
        <v>1720</v>
      </c>
      <c r="E1572" s="152" t="s">
        <v>1835</v>
      </c>
      <c r="F1572" s="152" t="s">
        <v>492</v>
      </c>
      <c r="G1572" s="152" t="s">
        <v>1836</v>
      </c>
      <c r="H1572" s="153" t="s">
        <v>212</v>
      </c>
    </row>
    <row r="1573" hidden="1">
      <c r="A1573" s="154" t="s">
        <v>225</v>
      </c>
      <c r="B1573" s="155" t="s">
        <v>226</v>
      </c>
      <c r="C1573" s="155" t="s">
        <v>206</v>
      </c>
      <c r="D1573" s="156" t="s">
        <v>1720</v>
      </c>
      <c r="E1573" s="156" t="s">
        <v>1837</v>
      </c>
      <c r="F1573" s="156" t="s">
        <v>374</v>
      </c>
      <c r="G1573" s="156" t="s">
        <v>1834</v>
      </c>
      <c r="H1573" s="157" t="s">
        <v>213</v>
      </c>
    </row>
    <row r="1574" hidden="1">
      <c r="A1574" s="151" t="s">
        <v>225</v>
      </c>
      <c r="B1574" s="118" t="s">
        <v>226</v>
      </c>
      <c r="C1574" s="118" t="s">
        <v>206</v>
      </c>
      <c r="D1574" s="152" t="s">
        <v>1720</v>
      </c>
      <c r="E1574" s="152" t="s">
        <v>1838</v>
      </c>
      <c r="F1574" s="152" t="s">
        <v>357</v>
      </c>
      <c r="G1574" s="152" t="s">
        <v>1839</v>
      </c>
      <c r="H1574" s="153" t="s">
        <v>214</v>
      </c>
    </row>
    <row r="1575" hidden="1">
      <c r="A1575" s="154" t="s">
        <v>225</v>
      </c>
      <c r="B1575" s="155" t="s">
        <v>226</v>
      </c>
      <c r="C1575" s="155" t="s">
        <v>206</v>
      </c>
      <c r="D1575" s="156" t="s">
        <v>1720</v>
      </c>
      <c r="E1575" s="156" t="s">
        <v>1840</v>
      </c>
      <c r="F1575" s="156" t="s">
        <v>458</v>
      </c>
      <c r="G1575" s="156" t="s">
        <v>1841</v>
      </c>
      <c r="H1575" s="157" t="s">
        <v>215</v>
      </c>
    </row>
    <row r="1576" hidden="1">
      <c r="A1576" s="151" t="s">
        <v>225</v>
      </c>
      <c r="B1576" s="118" t="s">
        <v>226</v>
      </c>
      <c r="C1576" s="118" t="s">
        <v>206</v>
      </c>
      <c r="D1576" s="152" t="s">
        <v>1720</v>
      </c>
      <c r="E1576" s="152" t="s">
        <v>1842</v>
      </c>
      <c r="F1576" s="152" t="s">
        <v>244</v>
      </c>
      <c r="G1576" s="152" t="s">
        <v>1843</v>
      </c>
      <c r="H1576" s="153" t="s">
        <v>216</v>
      </c>
    </row>
    <row r="1577" hidden="1">
      <c r="A1577" s="154" t="s">
        <v>227</v>
      </c>
      <c r="B1577" s="155" t="s">
        <v>195</v>
      </c>
      <c r="C1577" s="155" t="s">
        <v>206</v>
      </c>
      <c r="D1577" s="156" t="s">
        <v>1720</v>
      </c>
      <c r="E1577" s="156" t="s">
        <v>1844</v>
      </c>
      <c r="F1577" s="156" t="s">
        <v>374</v>
      </c>
      <c r="G1577" s="156" t="s">
        <v>1755</v>
      </c>
      <c r="H1577" s="157" t="s">
        <v>210</v>
      </c>
    </row>
    <row r="1578" hidden="1">
      <c r="A1578" s="151" t="s">
        <v>227</v>
      </c>
      <c r="B1578" s="118" t="s">
        <v>195</v>
      </c>
      <c r="C1578" s="118" t="s">
        <v>206</v>
      </c>
      <c r="D1578" s="152" t="s">
        <v>1720</v>
      </c>
      <c r="E1578" s="152" t="s">
        <v>1845</v>
      </c>
      <c r="F1578" s="152" t="s">
        <v>374</v>
      </c>
      <c r="G1578" s="152" t="s">
        <v>1846</v>
      </c>
      <c r="H1578" s="153" t="s">
        <v>211</v>
      </c>
    </row>
    <row r="1579" hidden="1">
      <c r="A1579" s="154" t="s">
        <v>227</v>
      </c>
      <c r="B1579" s="155" t="s">
        <v>195</v>
      </c>
      <c r="C1579" s="155" t="s">
        <v>206</v>
      </c>
      <c r="D1579" s="156" t="s">
        <v>1720</v>
      </c>
      <c r="E1579" s="156" t="s">
        <v>1847</v>
      </c>
      <c r="F1579" s="156" t="s">
        <v>255</v>
      </c>
      <c r="G1579" s="156" t="s">
        <v>1827</v>
      </c>
      <c r="H1579" s="157" t="s">
        <v>212</v>
      </c>
    </row>
    <row r="1580" hidden="1">
      <c r="A1580" s="151" t="s">
        <v>227</v>
      </c>
      <c r="B1580" s="118" t="s">
        <v>195</v>
      </c>
      <c r="C1580" s="118" t="s">
        <v>206</v>
      </c>
      <c r="D1580" s="152" t="s">
        <v>1720</v>
      </c>
      <c r="E1580" s="152" t="s">
        <v>1848</v>
      </c>
      <c r="F1580" s="152" t="s">
        <v>287</v>
      </c>
      <c r="G1580" s="152" t="s">
        <v>1849</v>
      </c>
      <c r="H1580" s="153" t="s">
        <v>213</v>
      </c>
    </row>
    <row r="1581" hidden="1">
      <c r="A1581" s="154" t="s">
        <v>227</v>
      </c>
      <c r="B1581" s="155" t="s">
        <v>195</v>
      </c>
      <c r="C1581" s="155" t="s">
        <v>206</v>
      </c>
      <c r="D1581" s="156" t="s">
        <v>1720</v>
      </c>
      <c r="E1581" s="156" t="s">
        <v>1850</v>
      </c>
      <c r="F1581" s="156" t="s">
        <v>492</v>
      </c>
      <c r="G1581" s="156" t="s">
        <v>1751</v>
      </c>
      <c r="H1581" s="157" t="s">
        <v>214</v>
      </c>
    </row>
    <row r="1582" hidden="1">
      <c r="A1582" s="151" t="s">
        <v>227</v>
      </c>
      <c r="B1582" s="118" t="s">
        <v>195</v>
      </c>
      <c r="C1582" s="118" t="s">
        <v>206</v>
      </c>
      <c r="D1582" s="152" t="s">
        <v>1720</v>
      </c>
      <c r="E1582" s="152" t="s">
        <v>1851</v>
      </c>
      <c r="F1582" s="152" t="s">
        <v>492</v>
      </c>
      <c r="G1582" s="152" t="s">
        <v>1852</v>
      </c>
      <c r="H1582" s="153" t="s">
        <v>215</v>
      </c>
    </row>
    <row r="1583" hidden="1">
      <c r="A1583" s="154" t="s">
        <v>227</v>
      </c>
      <c r="B1583" s="155" t="s">
        <v>195</v>
      </c>
      <c r="C1583" s="155" t="s">
        <v>206</v>
      </c>
      <c r="D1583" s="156" t="s">
        <v>1720</v>
      </c>
      <c r="E1583" s="156" t="s">
        <v>1853</v>
      </c>
      <c r="F1583" s="156" t="s">
        <v>374</v>
      </c>
      <c r="G1583" s="156" t="s">
        <v>1854</v>
      </c>
      <c r="H1583" s="157" t="s">
        <v>216</v>
      </c>
    </row>
    <row r="1584" hidden="1">
      <c r="A1584" s="151" t="s">
        <v>228</v>
      </c>
      <c r="B1584" s="118" t="s">
        <v>138</v>
      </c>
      <c r="C1584" s="118" t="s">
        <v>206</v>
      </c>
      <c r="D1584" s="152" t="s">
        <v>1720</v>
      </c>
      <c r="E1584" s="152" t="s">
        <v>1855</v>
      </c>
      <c r="F1584" s="152" t="s">
        <v>204</v>
      </c>
      <c r="G1584" s="152" t="s">
        <v>1856</v>
      </c>
      <c r="H1584" s="153" t="s">
        <v>210</v>
      </c>
    </row>
    <row r="1585" hidden="1">
      <c r="A1585" s="154" t="s">
        <v>228</v>
      </c>
      <c r="B1585" s="155" t="s">
        <v>138</v>
      </c>
      <c r="C1585" s="155" t="s">
        <v>206</v>
      </c>
      <c r="D1585" s="156" t="s">
        <v>1720</v>
      </c>
      <c r="E1585" s="156" t="s">
        <v>1857</v>
      </c>
      <c r="F1585" s="156" t="s">
        <v>204</v>
      </c>
      <c r="G1585" s="156" t="s">
        <v>1858</v>
      </c>
      <c r="H1585" s="157" t="s">
        <v>211</v>
      </c>
    </row>
    <row r="1586" hidden="1">
      <c r="A1586" s="151" t="s">
        <v>228</v>
      </c>
      <c r="B1586" s="118" t="s">
        <v>138</v>
      </c>
      <c r="C1586" s="118" t="s">
        <v>206</v>
      </c>
      <c r="D1586" s="152" t="s">
        <v>1720</v>
      </c>
      <c r="E1586" s="152" t="s">
        <v>1859</v>
      </c>
      <c r="F1586" s="152" t="s">
        <v>436</v>
      </c>
      <c r="G1586" s="152" t="s">
        <v>1860</v>
      </c>
      <c r="H1586" s="153" t="s">
        <v>212</v>
      </c>
    </row>
    <row r="1587" hidden="1">
      <c r="A1587" s="154" t="s">
        <v>228</v>
      </c>
      <c r="B1587" s="155" t="s">
        <v>138</v>
      </c>
      <c r="C1587" s="155" t="s">
        <v>206</v>
      </c>
      <c r="D1587" s="156" t="s">
        <v>1720</v>
      </c>
      <c r="E1587" s="156" t="s">
        <v>1861</v>
      </c>
      <c r="F1587" s="156" t="s">
        <v>204</v>
      </c>
      <c r="G1587" s="156" t="s">
        <v>1862</v>
      </c>
      <c r="H1587" s="157" t="s">
        <v>213</v>
      </c>
    </row>
    <row r="1588" hidden="1">
      <c r="A1588" s="151" t="s">
        <v>228</v>
      </c>
      <c r="B1588" s="118" t="s">
        <v>138</v>
      </c>
      <c r="C1588" s="118" t="s">
        <v>206</v>
      </c>
      <c r="D1588" s="152" t="s">
        <v>1720</v>
      </c>
      <c r="E1588" s="152" t="s">
        <v>1863</v>
      </c>
      <c r="F1588" s="152" t="s">
        <v>204</v>
      </c>
      <c r="G1588" s="152" t="s">
        <v>1864</v>
      </c>
      <c r="H1588" s="153" t="s">
        <v>214</v>
      </c>
    </row>
    <row r="1589" hidden="1">
      <c r="A1589" s="154" t="s">
        <v>228</v>
      </c>
      <c r="B1589" s="155" t="s">
        <v>138</v>
      </c>
      <c r="C1589" s="155" t="s">
        <v>206</v>
      </c>
      <c r="D1589" s="156" t="s">
        <v>1720</v>
      </c>
      <c r="E1589" s="156" t="s">
        <v>1865</v>
      </c>
      <c r="F1589" s="156" t="s">
        <v>204</v>
      </c>
      <c r="G1589" s="156" t="s">
        <v>1866</v>
      </c>
      <c r="H1589" s="157" t="s">
        <v>215</v>
      </c>
    </row>
    <row r="1590" hidden="1">
      <c r="A1590" s="151" t="s">
        <v>228</v>
      </c>
      <c r="B1590" s="118" t="s">
        <v>138</v>
      </c>
      <c r="C1590" s="118" t="s">
        <v>206</v>
      </c>
      <c r="D1590" s="152" t="s">
        <v>1720</v>
      </c>
      <c r="E1590" s="152" t="s">
        <v>1867</v>
      </c>
      <c r="F1590" s="152" t="s">
        <v>204</v>
      </c>
      <c r="G1590" s="152" t="s">
        <v>1868</v>
      </c>
      <c r="H1590" s="153" t="s">
        <v>216</v>
      </c>
    </row>
    <row r="1591" hidden="1">
      <c r="A1591" s="154" t="s">
        <v>229</v>
      </c>
      <c r="B1591" s="155" t="s">
        <v>193</v>
      </c>
      <c r="C1591" s="155" t="s">
        <v>206</v>
      </c>
      <c r="D1591" s="156" t="s">
        <v>1720</v>
      </c>
      <c r="E1591" s="156" t="s">
        <v>1869</v>
      </c>
      <c r="F1591" s="156" t="s">
        <v>242</v>
      </c>
      <c r="G1591" s="156" t="s">
        <v>1870</v>
      </c>
      <c r="H1591" s="157" t="s">
        <v>210</v>
      </c>
    </row>
    <row r="1592" hidden="1">
      <c r="A1592" s="151" t="s">
        <v>229</v>
      </c>
      <c r="B1592" s="118" t="s">
        <v>193</v>
      </c>
      <c r="C1592" s="118" t="s">
        <v>206</v>
      </c>
      <c r="D1592" s="152" t="s">
        <v>1720</v>
      </c>
      <c r="E1592" s="152" t="s">
        <v>1871</v>
      </c>
      <c r="F1592" s="152" t="s">
        <v>357</v>
      </c>
      <c r="G1592" s="152" t="s">
        <v>1757</v>
      </c>
      <c r="H1592" s="153" t="s">
        <v>211</v>
      </c>
    </row>
    <row r="1593" hidden="1">
      <c r="A1593" s="154" t="s">
        <v>229</v>
      </c>
      <c r="B1593" s="155" t="s">
        <v>193</v>
      </c>
      <c r="C1593" s="155" t="s">
        <v>206</v>
      </c>
      <c r="D1593" s="156" t="s">
        <v>1720</v>
      </c>
      <c r="E1593" s="156" t="s">
        <v>1872</v>
      </c>
      <c r="F1593" s="156" t="s">
        <v>357</v>
      </c>
      <c r="G1593" s="156" t="s">
        <v>1873</v>
      </c>
      <c r="H1593" s="157" t="s">
        <v>212</v>
      </c>
    </row>
    <row r="1594" hidden="1">
      <c r="A1594" s="151" t="s">
        <v>229</v>
      </c>
      <c r="B1594" s="118" t="s">
        <v>193</v>
      </c>
      <c r="C1594" s="118" t="s">
        <v>206</v>
      </c>
      <c r="D1594" s="152" t="s">
        <v>1720</v>
      </c>
      <c r="E1594" s="152" t="s">
        <v>1874</v>
      </c>
      <c r="F1594" s="152" t="s">
        <v>298</v>
      </c>
      <c r="G1594" s="152" t="s">
        <v>1875</v>
      </c>
      <c r="H1594" s="153" t="s">
        <v>213</v>
      </c>
    </row>
    <row r="1595" hidden="1">
      <c r="A1595" s="154" t="s">
        <v>229</v>
      </c>
      <c r="B1595" s="155" t="s">
        <v>193</v>
      </c>
      <c r="C1595" s="155" t="s">
        <v>206</v>
      </c>
      <c r="D1595" s="156" t="s">
        <v>1720</v>
      </c>
      <c r="E1595" s="156" t="s">
        <v>1876</v>
      </c>
      <c r="F1595" s="156" t="s">
        <v>285</v>
      </c>
      <c r="G1595" s="156" t="s">
        <v>1877</v>
      </c>
      <c r="H1595" s="157" t="s">
        <v>214</v>
      </c>
    </row>
    <row r="1596" hidden="1">
      <c r="A1596" s="151" t="s">
        <v>229</v>
      </c>
      <c r="B1596" s="118" t="s">
        <v>193</v>
      </c>
      <c r="C1596" s="118" t="s">
        <v>206</v>
      </c>
      <c r="D1596" s="152" t="s">
        <v>1720</v>
      </c>
      <c r="E1596" s="152" t="s">
        <v>1878</v>
      </c>
      <c r="F1596" s="152" t="s">
        <v>249</v>
      </c>
      <c r="G1596" s="152" t="s">
        <v>1879</v>
      </c>
      <c r="H1596" s="153" t="s">
        <v>215</v>
      </c>
    </row>
    <row r="1597" hidden="1">
      <c r="A1597" s="154" t="s">
        <v>229</v>
      </c>
      <c r="B1597" s="155" t="s">
        <v>193</v>
      </c>
      <c r="C1597" s="155" t="s">
        <v>206</v>
      </c>
      <c r="D1597" s="156" t="s">
        <v>1720</v>
      </c>
      <c r="E1597" s="156" t="s">
        <v>1880</v>
      </c>
      <c r="F1597" s="156" t="s">
        <v>242</v>
      </c>
      <c r="G1597" s="156" t="s">
        <v>1881</v>
      </c>
      <c r="H1597" s="157" t="s">
        <v>216</v>
      </c>
    </row>
    <row r="1598" hidden="1">
      <c r="A1598" s="151" t="s">
        <v>230</v>
      </c>
      <c r="B1598" s="118" t="s">
        <v>194</v>
      </c>
      <c r="C1598" s="118" t="s">
        <v>206</v>
      </c>
      <c r="D1598" s="152" t="s">
        <v>1720</v>
      </c>
      <c r="E1598" s="152" t="s">
        <v>1882</v>
      </c>
      <c r="F1598" s="152" t="s">
        <v>265</v>
      </c>
      <c r="G1598" s="152" t="s">
        <v>1883</v>
      </c>
      <c r="H1598" s="153" t="s">
        <v>210</v>
      </c>
    </row>
    <row r="1599" hidden="1">
      <c r="A1599" s="154" t="s">
        <v>230</v>
      </c>
      <c r="B1599" s="155" t="s">
        <v>194</v>
      </c>
      <c r="C1599" s="155" t="s">
        <v>206</v>
      </c>
      <c r="D1599" s="156" t="s">
        <v>1720</v>
      </c>
      <c r="E1599" s="156" t="s">
        <v>1884</v>
      </c>
      <c r="F1599" s="156" t="s">
        <v>240</v>
      </c>
      <c r="G1599" s="156" t="s">
        <v>1885</v>
      </c>
      <c r="H1599" s="157" t="s">
        <v>211</v>
      </c>
    </row>
    <row r="1600" hidden="1">
      <c r="A1600" s="151" t="s">
        <v>230</v>
      </c>
      <c r="B1600" s="118" t="s">
        <v>194</v>
      </c>
      <c r="C1600" s="118" t="s">
        <v>206</v>
      </c>
      <c r="D1600" s="152" t="s">
        <v>1720</v>
      </c>
      <c r="E1600" s="152" t="s">
        <v>1886</v>
      </c>
      <c r="F1600" s="152" t="s">
        <v>374</v>
      </c>
      <c r="G1600" s="152" t="s">
        <v>1743</v>
      </c>
      <c r="H1600" s="153" t="s">
        <v>212</v>
      </c>
    </row>
    <row r="1601" hidden="1">
      <c r="A1601" s="154" t="s">
        <v>230</v>
      </c>
      <c r="B1601" s="155" t="s">
        <v>194</v>
      </c>
      <c r="C1601" s="155" t="s">
        <v>206</v>
      </c>
      <c r="D1601" s="156" t="s">
        <v>1720</v>
      </c>
      <c r="E1601" s="156" t="s">
        <v>1887</v>
      </c>
      <c r="F1601" s="156" t="s">
        <v>301</v>
      </c>
      <c r="G1601" s="156" t="s">
        <v>1806</v>
      </c>
      <c r="H1601" s="157" t="s">
        <v>213</v>
      </c>
    </row>
    <row r="1602" hidden="1">
      <c r="A1602" s="151" t="s">
        <v>230</v>
      </c>
      <c r="B1602" s="118" t="s">
        <v>194</v>
      </c>
      <c r="C1602" s="118" t="s">
        <v>206</v>
      </c>
      <c r="D1602" s="152" t="s">
        <v>1720</v>
      </c>
      <c r="E1602" s="152" t="s">
        <v>1888</v>
      </c>
      <c r="F1602" s="152" t="s">
        <v>314</v>
      </c>
      <c r="G1602" s="152" t="s">
        <v>1889</v>
      </c>
      <c r="H1602" s="153" t="s">
        <v>214</v>
      </c>
    </row>
    <row r="1603" hidden="1">
      <c r="A1603" s="154" t="s">
        <v>230</v>
      </c>
      <c r="B1603" s="155" t="s">
        <v>194</v>
      </c>
      <c r="C1603" s="155" t="s">
        <v>206</v>
      </c>
      <c r="D1603" s="156" t="s">
        <v>1720</v>
      </c>
      <c r="E1603" s="156" t="s">
        <v>1890</v>
      </c>
      <c r="F1603" s="156" t="s">
        <v>242</v>
      </c>
      <c r="G1603" s="156" t="s">
        <v>1891</v>
      </c>
      <c r="H1603" s="157" t="s">
        <v>215</v>
      </c>
    </row>
    <row r="1604" hidden="1">
      <c r="A1604" s="151" t="s">
        <v>230</v>
      </c>
      <c r="B1604" s="118" t="s">
        <v>194</v>
      </c>
      <c r="C1604" s="118" t="s">
        <v>206</v>
      </c>
      <c r="D1604" s="152" t="s">
        <v>1720</v>
      </c>
      <c r="E1604" s="152" t="s">
        <v>1892</v>
      </c>
      <c r="F1604" s="152" t="s">
        <v>301</v>
      </c>
      <c r="G1604" s="152" t="s">
        <v>1873</v>
      </c>
      <c r="H1604" s="153" t="s">
        <v>216</v>
      </c>
    </row>
    <row r="1605" hidden="1">
      <c r="A1605" s="158" t="s">
        <v>231</v>
      </c>
      <c r="B1605" s="159"/>
      <c r="C1605" s="155" t="s">
        <v>232</v>
      </c>
      <c r="D1605" s="156" t="s">
        <v>1720</v>
      </c>
      <c r="E1605" s="156" t="s">
        <v>1893</v>
      </c>
      <c r="F1605" s="156" t="s">
        <v>436</v>
      </c>
      <c r="G1605" s="156" t="s">
        <v>1894</v>
      </c>
      <c r="H1605" s="157" t="s">
        <v>210</v>
      </c>
    </row>
    <row r="1606" hidden="1">
      <c r="A1606" s="160" t="s">
        <v>231</v>
      </c>
      <c r="B1606" s="72"/>
      <c r="C1606" s="118" t="s">
        <v>232</v>
      </c>
      <c r="D1606" s="152" t="s">
        <v>1720</v>
      </c>
      <c r="E1606" s="152" t="s">
        <v>1895</v>
      </c>
      <c r="F1606" s="152" t="s">
        <v>458</v>
      </c>
      <c r="G1606" s="152" t="s">
        <v>1896</v>
      </c>
      <c r="H1606" s="153" t="s">
        <v>211</v>
      </c>
    </row>
    <row r="1607" hidden="1">
      <c r="A1607" s="158" t="s">
        <v>231</v>
      </c>
      <c r="B1607" s="159"/>
      <c r="C1607" s="155" t="s">
        <v>232</v>
      </c>
      <c r="D1607" s="156" t="s">
        <v>1720</v>
      </c>
      <c r="E1607" s="156" t="s">
        <v>1897</v>
      </c>
      <c r="F1607" s="156" t="s">
        <v>492</v>
      </c>
      <c r="G1607" s="156" t="s">
        <v>1822</v>
      </c>
      <c r="H1607" s="157" t="s">
        <v>212</v>
      </c>
    </row>
    <row r="1608" hidden="1">
      <c r="A1608" s="160" t="s">
        <v>231</v>
      </c>
      <c r="B1608" s="72"/>
      <c r="C1608" s="118" t="s">
        <v>232</v>
      </c>
      <c r="D1608" s="152" t="s">
        <v>1720</v>
      </c>
      <c r="E1608" s="152" t="s">
        <v>1898</v>
      </c>
      <c r="F1608" s="152" t="s">
        <v>374</v>
      </c>
      <c r="G1608" s="152" t="s">
        <v>1899</v>
      </c>
      <c r="H1608" s="153" t="s">
        <v>213</v>
      </c>
    </row>
    <row r="1609" hidden="1">
      <c r="A1609" s="158" t="s">
        <v>231</v>
      </c>
      <c r="B1609" s="159"/>
      <c r="C1609" s="155" t="s">
        <v>232</v>
      </c>
      <c r="D1609" s="156" t="s">
        <v>1720</v>
      </c>
      <c r="E1609" s="156" t="s">
        <v>1900</v>
      </c>
      <c r="F1609" s="156" t="s">
        <v>492</v>
      </c>
      <c r="G1609" s="156" t="s">
        <v>1901</v>
      </c>
      <c r="H1609" s="157" t="s">
        <v>214</v>
      </c>
    </row>
    <row r="1610" hidden="1">
      <c r="A1610" s="160" t="s">
        <v>231</v>
      </c>
      <c r="B1610" s="72"/>
      <c r="C1610" s="118" t="s">
        <v>232</v>
      </c>
      <c r="D1610" s="152" t="s">
        <v>1720</v>
      </c>
      <c r="E1610" s="152" t="s">
        <v>1902</v>
      </c>
      <c r="F1610" s="152" t="s">
        <v>365</v>
      </c>
      <c r="G1610" s="152" t="s">
        <v>1903</v>
      </c>
      <c r="H1610" s="153" t="s">
        <v>215</v>
      </c>
    </row>
    <row r="1611" hidden="1">
      <c r="A1611" s="158" t="s">
        <v>231</v>
      </c>
      <c r="B1611" s="159"/>
      <c r="C1611" s="155" t="s">
        <v>232</v>
      </c>
      <c r="D1611" s="156" t="s">
        <v>1720</v>
      </c>
      <c r="E1611" s="156" t="s">
        <v>1904</v>
      </c>
      <c r="F1611" s="156" t="s">
        <v>276</v>
      </c>
      <c r="G1611" s="156" t="s">
        <v>1755</v>
      </c>
      <c r="H1611" s="157" t="s">
        <v>216</v>
      </c>
    </row>
    <row r="1612" hidden="1">
      <c r="A1612" s="160" t="s">
        <v>233</v>
      </c>
      <c r="B1612" s="72"/>
      <c r="C1612" s="118" t="s">
        <v>232</v>
      </c>
      <c r="D1612" s="152" t="s">
        <v>1720</v>
      </c>
      <c r="E1612" s="152" t="s">
        <v>1905</v>
      </c>
      <c r="F1612" s="152" t="s">
        <v>365</v>
      </c>
      <c r="G1612" s="152" t="s">
        <v>1906</v>
      </c>
      <c r="H1612" s="153" t="s">
        <v>210</v>
      </c>
    </row>
    <row r="1613" hidden="1">
      <c r="A1613" s="158" t="s">
        <v>233</v>
      </c>
      <c r="B1613" s="159"/>
      <c r="C1613" s="155" t="s">
        <v>232</v>
      </c>
      <c r="D1613" s="156" t="s">
        <v>1720</v>
      </c>
      <c r="E1613" s="156" t="s">
        <v>1907</v>
      </c>
      <c r="F1613" s="156" t="s">
        <v>257</v>
      </c>
      <c r="G1613" s="156" t="s">
        <v>1908</v>
      </c>
      <c r="H1613" s="157" t="s">
        <v>211</v>
      </c>
    </row>
    <row r="1614" hidden="1">
      <c r="A1614" s="160" t="s">
        <v>233</v>
      </c>
      <c r="B1614" s="72"/>
      <c r="C1614" s="118" t="s">
        <v>232</v>
      </c>
      <c r="D1614" s="152" t="s">
        <v>1720</v>
      </c>
      <c r="E1614" s="152" t="s">
        <v>1909</v>
      </c>
      <c r="F1614" s="152" t="s">
        <v>257</v>
      </c>
      <c r="G1614" s="152" t="s">
        <v>1739</v>
      </c>
      <c r="H1614" s="153" t="s">
        <v>212</v>
      </c>
    </row>
    <row r="1615" hidden="1">
      <c r="A1615" s="158" t="s">
        <v>233</v>
      </c>
      <c r="B1615" s="159"/>
      <c r="C1615" s="155" t="s">
        <v>232</v>
      </c>
      <c r="D1615" s="156" t="s">
        <v>1720</v>
      </c>
      <c r="E1615" s="156" t="s">
        <v>1910</v>
      </c>
      <c r="F1615" s="156" t="s">
        <v>240</v>
      </c>
      <c r="G1615" s="156" t="s">
        <v>1911</v>
      </c>
      <c r="H1615" s="157" t="s">
        <v>213</v>
      </c>
    </row>
    <row r="1616" hidden="1">
      <c r="A1616" s="160" t="s">
        <v>233</v>
      </c>
      <c r="B1616" s="72"/>
      <c r="C1616" s="118" t="s">
        <v>232</v>
      </c>
      <c r="D1616" s="152" t="s">
        <v>1720</v>
      </c>
      <c r="E1616" s="152" t="s">
        <v>1912</v>
      </c>
      <c r="F1616" s="152" t="s">
        <v>240</v>
      </c>
      <c r="G1616" s="152" t="s">
        <v>1913</v>
      </c>
      <c r="H1616" s="153" t="s">
        <v>214</v>
      </c>
    </row>
    <row r="1617" hidden="1">
      <c r="A1617" s="158" t="s">
        <v>233</v>
      </c>
      <c r="B1617" s="159"/>
      <c r="C1617" s="155" t="s">
        <v>232</v>
      </c>
      <c r="D1617" s="156" t="s">
        <v>1720</v>
      </c>
      <c r="E1617" s="156" t="s">
        <v>1914</v>
      </c>
      <c r="F1617" s="156" t="s">
        <v>240</v>
      </c>
      <c r="G1617" s="156" t="s">
        <v>1911</v>
      </c>
      <c r="H1617" s="157" t="s">
        <v>215</v>
      </c>
    </row>
    <row r="1618" hidden="1">
      <c r="A1618" s="160" t="s">
        <v>233</v>
      </c>
      <c r="B1618" s="72"/>
      <c r="C1618" s="118" t="s">
        <v>232</v>
      </c>
      <c r="D1618" s="152" t="s">
        <v>1720</v>
      </c>
      <c r="E1618" s="152" t="s">
        <v>1915</v>
      </c>
      <c r="F1618" s="152" t="s">
        <v>244</v>
      </c>
      <c r="G1618" s="152" t="s">
        <v>1916</v>
      </c>
      <c r="H1618" s="153" t="s">
        <v>216</v>
      </c>
    </row>
    <row r="1619" hidden="1">
      <c r="A1619" s="158" t="s">
        <v>234</v>
      </c>
      <c r="B1619" s="159"/>
      <c r="C1619" s="155" t="s">
        <v>232</v>
      </c>
      <c r="D1619" s="156" t="s">
        <v>1720</v>
      </c>
      <c r="E1619" s="156" t="s">
        <v>1917</v>
      </c>
      <c r="F1619" s="156" t="s">
        <v>587</v>
      </c>
      <c r="G1619" s="156" t="s">
        <v>1918</v>
      </c>
      <c r="H1619" s="157" t="s">
        <v>210</v>
      </c>
    </row>
    <row r="1620" hidden="1">
      <c r="A1620" s="160" t="s">
        <v>234</v>
      </c>
      <c r="B1620" s="72"/>
      <c r="C1620" s="118" t="s">
        <v>232</v>
      </c>
      <c r="D1620" s="152" t="s">
        <v>1720</v>
      </c>
      <c r="E1620" s="152" t="s">
        <v>1919</v>
      </c>
      <c r="F1620" s="152" t="s">
        <v>1920</v>
      </c>
      <c r="G1620" s="152" t="s">
        <v>1921</v>
      </c>
      <c r="H1620" s="153" t="s">
        <v>211</v>
      </c>
    </row>
    <row r="1621" hidden="1">
      <c r="A1621" s="158" t="s">
        <v>234</v>
      </c>
      <c r="B1621" s="159"/>
      <c r="C1621" s="155" t="s">
        <v>232</v>
      </c>
      <c r="D1621" s="156" t="s">
        <v>1720</v>
      </c>
      <c r="E1621" s="156" t="s">
        <v>1922</v>
      </c>
      <c r="F1621" s="156" t="s">
        <v>405</v>
      </c>
      <c r="G1621" s="156" t="s">
        <v>1923</v>
      </c>
      <c r="H1621" s="157" t="s">
        <v>212</v>
      </c>
    </row>
    <row r="1622" hidden="1">
      <c r="A1622" s="160" t="s">
        <v>234</v>
      </c>
      <c r="B1622" s="72"/>
      <c r="C1622" s="118" t="s">
        <v>232</v>
      </c>
      <c r="D1622" s="152" t="s">
        <v>1720</v>
      </c>
      <c r="E1622" s="152" t="s">
        <v>1924</v>
      </c>
      <c r="F1622" s="152" t="s">
        <v>766</v>
      </c>
      <c r="G1622" s="152" t="s">
        <v>1925</v>
      </c>
      <c r="H1622" s="153" t="s">
        <v>213</v>
      </c>
    </row>
    <row r="1623" hidden="1">
      <c r="A1623" s="158" t="s">
        <v>234</v>
      </c>
      <c r="B1623" s="159"/>
      <c r="C1623" s="155" t="s">
        <v>232</v>
      </c>
      <c r="D1623" s="156" t="s">
        <v>1720</v>
      </c>
      <c r="E1623" s="156" t="s">
        <v>1926</v>
      </c>
      <c r="F1623" s="156" t="s">
        <v>641</v>
      </c>
      <c r="G1623" s="156" t="s">
        <v>1927</v>
      </c>
      <c r="H1623" s="157" t="s">
        <v>214</v>
      </c>
    </row>
    <row r="1624" hidden="1">
      <c r="A1624" s="160" t="s">
        <v>234</v>
      </c>
      <c r="B1624" s="72"/>
      <c r="C1624" s="118" t="s">
        <v>232</v>
      </c>
      <c r="D1624" s="152" t="s">
        <v>1720</v>
      </c>
      <c r="E1624" s="152" t="s">
        <v>1928</v>
      </c>
      <c r="F1624" s="152" t="s">
        <v>1929</v>
      </c>
      <c r="G1624" s="152" t="s">
        <v>1862</v>
      </c>
      <c r="H1624" s="153" t="s">
        <v>215</v>
      </c>
    </row>
    <row r="1625" hidden="1">
      <c r="A1625" s="158" t="s">
        <v>234</v>
      </c>
      <c r="B1625" s="159"/>
      <c r="C1625" s="155" t="s">
        <v>232</v>
      </c>
      <c r="D1625" s="156" t="s">
        <v>1720</v>
      </c>
      <c r="E1625" s="156" t="s">
        <v>1930</v>
      </c>
      <c r="F1625" s="156" t="s">
        <v>1931</v>
      </c>
      <c r="G1625" s="156" t="s">
        <v>1932</v>
      </c>
      <c r="H1625" s="157" t="s">
        <v>216</v>
      </c>
    </row>
    <row r="1626" hidden="1">
      <c r="A1626" s="160" t="s">
        <v>235</v>
      </c>
      <c r="B1626" s="72"/>
      <c r="C1626" s="118" t="s">
        <v>236</v>
      </c>
      <c r="D1626" s="152" t="s">
        <v>1720</v>
      </c>
      <c r="E1626" s="152" t="s">
        <v>1933</v>
      </c>
      <c r="F1626" s="152" t="s">
        <v>301</v>
      </c>
      <c r="G1626" s="152" t="s">
        <v>1911</v>
      </c>
      <c r="H1626" s="153" t="s">
        <v>210</v>
      </c>
    </row>
    <row r="1627" hidden="1">
      <c r="A1627" s="158" t="s">
        <v>235</v>
      </c>
      <c r="B1627" s="159"/>
      <c r="C1627" s="155" t="s">
        <v>236</v>
      </c>
      <c r="D1627" s="156" t="s">
        <v>1720</v>
      </c>
      <c r="E1627" s="156" t="s">
        <v>1934</v>
      </c>
      <c r="F1627" s="156" t="s">
        <v>240</v>
      </c>
      <c r="G1627" s="156" t="s">
        <v>1901</v>
      </c>
      <c r="H1627" s="157" t="s">
        <v>211</v>
      </c>
    </row>
    <row r="1628" hidden="1">
      <c r="A1628" s="160" t="s">
        <v>235</v>
      </c>
      <c r="B1628" s="72"/>
      <c r="C1628" s="118" t="s">
        <v>236</v>
      </c>
      <c r="D1628" s="152" t="s">
        <v>1720</v>
      </c>
      <c r="E1628" s="152" t="s">
        <v>1935</v>
      </c>
      <c r="F1628" s="152" t="s">
        <v>246</v>
      </c>
      <c r="G1628" s="152" t="s">
        <v>1936</v>
      </c>
      <c r="H1628" s="153" t="s">
        <v>212</v>
      </c>
    </row>
    <row r="1629" hidden="1">
      <c r="A1629" s="158" t="s">
        <v>235</v>
      </c>
      <c r="B1629" s="159"/>
      <c r="C1629" s="155" t="s">
        <v>236</v>
      </c>
      <c r="D1629" s="156" t="s">
        <v>1720</v>
      </c>
      <c r="E1629" s="156" t="s">
        <v>1937</v>
      </c>
      <c r="F1629" s="156" t="s">
        <v>287</v>
      </c>
      <c r="G1629" s="156" t="s">
        <v>1901</v>
      </c>
      <c r="H1629" s="157" t="s">
        <v>213</v>
      </c>
    </row>
    <row r="1630" hidden="1">
      <c r="A1630" s="160" t="s">
        <v>235</v>
      </c>
      <c r="B1630" s="72"/>
      <c r="C1630" s="118" t="s">
        <v>236</v>
      </c>
      <c r="D1630" s="152" t="s">
        <v>1720</v>
      </c>
      <c r="E1630" s="152" t="s">
        <v>1938</v>
      </c>
      <c r="F1630" s="152" t="s">
        <v>287</v>
      </c>
      <c r="G1630" s="152" t="s">
        <v>1901</v>
      </c>
      <c r="H1630" s="153" t="s">
        <v>214</v>
      </c>
    </row>
    <row r="1631" hidden="1">
      <c r="A1631" s="158" t="s">
        <v>235</v>
      </c>
      <c r="B1631" s="159"/>
      <c r="C1631" s="155" t="s">
        <v>236</v>
      </c>
      <c r="D1631" s="156" t="s">
        <v>1720</v>
      </c>
      <c r="E1631" s="156" t="s">
        <v>1939</v>
      </c>
      <c r="F1631" s="156" t="s">
        <v>257</v>
      </c>
      <c r="G1631" s="156" t="s">
        <v>1875</v>
      </c>
      <c r="H1631" s="157" t="s">
        <v>215</v>
      </c>
    </row>
    <row r="1632" hidden="1">
      <c r="A1632" s="160" t="s">
        <v>235</v>
      </c>
      <c r="B1632" s="72"/>
      <c r="C1632" s="118" t="s">
        <v>236</v>
      </c>
      <c r="D1632" s="152" t="s">
        <v>1720</v>
      </c>
      <c r="E1632" s="152" t="s">
        <v>1940</v>
      </c>
      <c r="F1632" s="152" t="s">
        <v>269</v>
      </c>
      <c r="G1632" s="152" t="s">
        <v>1936</v>
      </c>
      <c r="H1632" s="153" t="s">
        <v>216</v>
      </c>
    </row>
    <row r="1633" hidden="1">
      <c r="A1633" s="158" t="s">
        <v>237</v>
      </c>
      <c r="B1633" s="159"/>
      <c r="C1633" s="155" t="s">
        <v>236</v>
      </c>
      <c r="D1633" s="156" t="s">
        <v>1720</v>
      </c>
      <c r="E1633" s="156" t="s">
        <v>1941</v>
      </c>
      <c r="F1633" s="156" t="s">
        <v>629</v>
      </c>
      <c r="G1633" s="156" t="s">
        <v>1942</v>
      </c>
      <c r="H1633" s="157" t="s">
        <v>210</v>
      </c>
    </row>
    <row r="1634" hidden="1">
      <c r="A1634" s="160" t="s">
        <v>237</v>
      </c>
      <c r="B1634" s="72"/>
      <c r="C1634" s="118" t="s">
        <v>236</v>
      </c>
      <c r="D1634" s="152" t="s">
        <v>1720</v>
      </c>
      <c r="E1634" s="152" t="s">
        <v>1943</v>
      </c>
      <c r="F1634" s="152" t="s">
        <v>348</v>
      </c>
      <c r="G1634" s="152" t="s">
        <v>1944</v>
      </c>
      <c r="H1634" s="153" t="s">
        <v>211</v>
      </c>
    </row>
    <row r="1635" hidden="1">
      <c r="A1635" s="158" t="s">
        <v>237</v>
      </c>
      <c r="B1635" s="159"/>
      <c r="C1635" s="155" t="s">
        <v>236</v>
      </c>
      <c r="D1635" s="156" t="s">
        <v>1720</v>
      </c>
      <c r="E1635" s="156" t="s">
        <v>1945</v>
      </c>
      <c r="F1635" s="156" t="s">
        <v>329</v>
      </c>
      <c r="G1635" s="156" t="s">
        <v>1856</v>
      </c>
      <c r="H1635" s="157" t="s">
        <v>212</v>
      </c>
    </row>
    <row r="1636" hidden="1">
      <c r="A1636" s="160" t="s">
        <v>237</v>
      </c>
      <c r="B1636" s="72"/>
      <c r="C1636" s="118" t="s">
        <v>236</v>
      </c>
      <c r="D1636" s="152" t="s">
        <v>1720</v>
      </c>
      <c r="E1636" s="152" t="s">
        <v>1946</v>
      </c>
      <c r="F1636" s="152" t="s">
        <v>677</v>
      </c>
      <c r="G1636" s="152" t="s">
        <v>1918</v>
      </c>
      <c r="H1636" s="153" t="s">
        <v>213</v>
      </c>
    </row>
    <row r="1637" hidden="1">
      <c r="A1637" s="158" t="s">
        <v>237</v>
      </c>
      <c r="B1637" s="159"/>
      <c r="C1637" s="155" t="s">
        <v>236</v>
      </c>
      <c r="D1637" s="156" t="s">
        <v>1720</v>
      </c>
      <c r="E1637" s="156" t="s">
        <v>1947</v>
      </c>
      <c r="F1637" s="156" t="s">
        <v>1948</v>
      </c>
      <c r="G1637" s="156" t="s">
        <v>1949</v>
      </c>
      <c r="H1637" s="157" t="s">
        <v>214</v>
      </c>
    </row>
    <row r="1638" hidden="1">
      <c r="A1638" s="160" t="s">
        <v>237</v>
      </c>
      <c r="B1638" s="72"/>
      <c r="C1638" s="118" t="s">
        <v>236</v>
      </c>
      <c r="D1638" s="152" t="s">
        <v>1720</v>
      </c>
      <c r="E1638" s="152" t="s">
        <v>1950</v>
      </c>
      <c r="F1638" s="152" t="s">
        <v>577</v>
      </c>
      <c r="G1638" s="152" t="s">
        <v>1951</v>
      </c>
      <c r="H1638" s="153" t="s">
        <v>215</v>
      </c>
    </row>
    <row r="1639" hidden="1">
      <c r="A1639" s="158" t="s">
        <v>237</v>
      </c>
      <c r="B1639" s="159"/>
      <c r="C1639" s="155" t="s">
        <v>236</v>
      </c>
      <c r="D1639" s="156" t="s">
        <v>1720</v>
      </c>
      <c r="E1639" s="156" t="s">
        <v>1952</v>
      </c>
      <c r="F1639" s="156" t="s">
        <v>1929</v>
      </c>
      <c r="G1639" s="156" t="s">
        <v>1832</v>
      </c>
      <c r="H1639" s="157" t="s">
        <v>216</v>
      </c>
    </row>
    <row r="1640" hidden="1">
      <c r="A1640" s="151" t="s">
        <v>204</v>
      </c>
      <c r="B1640" s="118" t="s">
        <v>205</v>
      </c>
      <c r="C1640" s="118" t="s">
        <v>206</v>
      </c>
      <c r="D1640" s="152" t="s">
        <v>1953</v>
      </c>
      <c r="E1640" s="152" t="s">
        <v>1954</v>
      </c>
      <c r="F1640" s="152" t="s">
        <v>246</v>
      </c>
      <c r="G1640" s="152" t="s">
        <v>1955</v>
      </c>
      <c r="H1640" s="153" t="s">
        <v>210</v>
      </c>
    </row>
    <row r="1641" hidden="1">
      <c r="A1641" s="154" t="s">
        <v>204</v>
      </c>
      <c r="B1641" s="155" t="s">
        <v>205</v>
      </c>
      <c r="C1641" s="155" t="s">
        <v>206</v>
      </c>
      <c r="D1641" s="156" t="s">
        <v>1953</v>
      </c>
      <c r="E1641" s="156" t="s">
        <v>1956</v>
      </c>
      <c r="F1641" s="156" t="s">
        <v>357</v>
      </c>
      <c r="G1641" s="156" t="s">
        <v>1957</v>
      </c>
      <c r="H1641" s="157" t="s">
        <v>211</v>
      </c>
    </row>
    <row r="1642" hidden="1">
      <c r="A1642" s="151" t="s">
        <v>204</v>
      </c>
      <c r="B1642" s="118" t="s">
        <v>205</v>
      </c>
      <c r="C1642" s="118" t="s">
        <v>206</v>
      </c>
      <c r="D1642" s="152" t="s">
        <v>1953</v>
      </c>
      <c r="E1642" s="152" t="s">
        <v>1958</v>
      </c>
      <c r="F1642" s="152" t="s">
        <v>365</v>
      </c>
      <c r="G1642" s="152" t="s">
        <v>1870</v>
      </c>
      <c r="H1642" s="153" t="s">
        <v>212</v>
      </c>
    </row>
    <row r="1643" hidden="1">
      <c r="A1643" s="154" t="s">
        <v>204</v>
      </c>
      <c r="B1643" s="155" t="s">
        <v>205</v>
      </c>
      <c r="C1643" s="155" t="s">
        <v>206</v>
      </c>
      <c r="D1643" s="156" t="s">
        <v>1953</v>
      </c>
      <c r="E1643" s="156" t="s">
        <v>1959</v>
      </c>
      <c r="F1643" s="156" t="s">
        <v>357</v>
      </c>
      <c r="G1643" s="156" t="s">
        <v>1849</v>
      </c>
      <c r="H1643" s="157" t="s">
        <v>213</v>
      </c>
    </row>
    <row r="1644" hidden="1">
      <c r="A1644" s="151" t="s">
        <v>204</v>
      </c>
      <c r="B1644" s="118" t="s">
        <v>205</v>
      </c>
      <c r="C1644" s="118" t="s">
        <v>206</v>
      </c>
      <c r="D1644" s="152" t="s">
        <v>1953</v>
      </c>
      <c r="E1644" s="152" t="s">
        <v>1960</v>
      </c>
      <c r="F1644" s="152" t="s">
        <v>257</v>
      </c>
      <c r="G1644" s="152" t="s">
        <v>1961</v>
      </c>
      <c r="H1644" s="153" t="s">
        <v>214</v>
      </c>
    </row>
    <row r="1645" hidden="1">
      <c r="A1645" s="154" t="s">
        <v>204</v>
      </c>
      <c r="B1645" s="155" t="s">
        <v>205</v>
      </c>
      <c r="C1645" s="155" t="s">
        <v>206</v>
      </c>
      <c r="D1645" s="156" t="s">
        <v>1953</v>
      </c>
      <c r="E1645" s="156" t="s">
        <v>1962</v>
      </c>
      <c r="F1645" s="156" t="s">
        <v>249</v>
      </c>
      <c r="G1645" s="156" t="s">
        <v>1731</v>
      </c>
      <c r="H1645" s="157" t="s">
        <v>215</v>
      </c>
    </row>
    <row r="1646" hidden="1">
      <c r="A1646" s="151" t="s">
        <v>204</v>
      </c>
      <c r="B1646" s="118" t="s">
        <v>205</v>
      </c>
      <c r="C1646" s="118" t="s">
        <v>206</v>
      </c>
      <c r="D1646" s="152" t="s">
        <v>1953</v>
      </c>
      <c r="E1646" s="152" t="s">
        <v>1963</v>
      </c>
      <c r="F1646" s="152" t="s">
        <v>242</v>
      </c>
      <c r="G1646" s="152" t="s">
        <v>1722</v>
      </c>
      <c r="H1646" s="153" t="s">
        <v>216</v>
      </c>
    </row>
    <row r="1647" hidden="1">
      <c r="A1647" s="154" t="s">
        <v>217</v>
      </c>
      <c r="B1647" s="155" t="s">
        <v>191</v>
      </c>
      <c r="C1647" s="155" t="s">
        <v>206</v>
      </c>
      <c r="D1647" s="156" t="s">
        <v>1953</v>
      </c>
      <c r="E1647" s="156" t="s">
        <v>1964</v>
      </c>
      <c r="F1647" s="156" t="s">
        <v>249</v>
      </c>
      <c r="G1647" s="156" t="s">
        <v>1896</v>
      </c>
      <c r="H1647" s="157" t="s">
        <v>210</v>
      </c>
    </row>
    <row r="1648" hidden="1">
      <c r="A1648" s="151" t="s">
        <v>217</v>
      </c>
      <c r="B1648" s="118" t="s">
        <v>191</v>
      </c>
      <c r="C1648" s="118" t="s">
        <v>206</v>
      </c>
      <c r="D1648" s="152" t="s">
        <v>1953</v>
      </c>
      <c r="E1648" s="152" t="s">
        <v>1965</v>
      </c>
      <c r="F1648" s="152" t="s">
        <v>357</v>
      </c>
      <c r="G1648" s="152" t="s">
        <v>1873</v>
      </c>
      <c r="H1648" s="153" t="s">
        <v>211</v>
      </c>
    </row>
    <row r="1649" hidden="1">
      <c r="A1649" s="154" t="s">
        <v>217</v>
      </c>
      <c r="B1649" s="155" t="s">
        <v>191</v>
      </c>
      <c r="C1649" s="155" t="s">
        <v>206</v>
      </c>
      <c r="D1649" s="156" t="s">
        <v>1953</v>
      </c>
      <c r="E1649" s="156" t="s">
        <v>1966</v>
      </c>
      <c r="F1649" s="156" t="s">
        <v>257</v>
      </c>
      <c r="G1649" s="156" t="s">
        <v>1885</v>
      </c>
      <c r="H1649" s="157" t="s">
        <v>212</v>
      </c>
    </row>
    <row r="1650" hidden="1">
      <c r="A1650" s="151" t="s">
        <v>217</v>
      </c>
      <c r="B1650" s="118" t="s">
        <v>191</v>
      </c>
      <c r="C1650" s="118" t="s">
        <v>206</v>
      </c>
      <c r="D1650" s="152" t="s">
        <v>1953</v>
      </c>
      <c r="E1650" s="152" t="s">
        <v>1967</v>
      </c>
      <c r="F1650" s="152" t="s">
        <v>257</v>
      </c>
      <c r="G1650" s="152" t="s">
        <v>1894</v>
      </c>
      <c r="H1650" s="153" t="s">
        <v>213</v>
      </c>
    </row>
    <row r="1651" hidden="1">
      <c r="A1651" s="154" t="s">
        <v>217</v>
      </c>
      <c r="B1651" s="155" t="s">
        <v>191</v>
      </c>
      <c r="C1651" s="155" t="s">
        <v>206</v>
      </c>
      <c r="D1651" s="156" t="s">
        <v>1953</v>
      </c>
      <c r="E1651" s="156" t="s">
        <v>1968</v>
      </c>
      <c r="F1651" s="156" t="s">
        <v>492</v>
      </c>
      <c r="G1651" s="156" t="s">
        <v>1747</v>
      </c>
      <c r="H1651" s="157" t="s">
        <v>214</v>
      </c>
    </row>
    <row r="1652" hidden="1">
      <c r="A1652" s="151" t="s">
        <v>217</v>
      </c>
      <c r="B1652" s="118" t="s">
        <v>191</v>
      </c>
      <c r="C1652" s="118" t="s">
        <v>206</v>
      </c>
      <c r="D1652" s="152" t="s">
        <v>1953</v>
      </c>
      <c r="E1652" s="152" t="s">
        <v>1969</v>
      </c>
      <c r="F1652" s="152" t="s">
        <v>287</v>
      </c>
      <c r="G1652" s="152" t="s">
        <v>1806</v>
      </c>
      <c r="H1652" s="153" t="s">
        <v>215</v>
      </c>
    </row>
    <row r="1653" hidden="1">
      <c r="A1653" s="154" t="s">
        <v>217</v>
      </c>
      <c r="B1653" s="155" t="s">
        <v>191</v>
      </c>
      <c r="C1653" s="155" t="s">
        <v>206</v>
      </c>
      <c r="D1653" s="156" t="s">
        <v>1953</v>
      </c>
      <c r="E1653" s="156" t="s">
        <v>1970</v>
      </c>
      <c r="F1653" s="156" t="s">
        <v>323</v>
      </c>
      <c r="G1653" s="156" t="s">
        <v>1971</v>
      </c>
      <c r="H1653" s="157" t="s">
        <v>216</v>
      </c>
    </row>
    <row r="1654" hidden="1">
      <c r="A1654" s="151" t="s">
        <v>218</v>
      </c>
      <c r="B1654" s="118" t="s">
        <v>219</v>
      </c>
      <c r="C1654" s="118" t="s">
        <v>206</v>
      </c>
      <c r="D1654" s="152" t="s">
        <v>1953</v>
      </c>
      <c r="E1654" s="152" t="s">
        <v>1972</v>
      </c>
      <c r="F1654" s="152" t="s">
        <v>323</v>
      </c>
      <c r="G1654" s="152" t="s">
        <v>1753</v>
      </c>
      <c r="H1654" s="153" t="s">
        <v>210</v>
      </c>
    </row>
    <row r="1655" hidden="1">
      <c r="A1655" s="154" t="s">
        <v>218</v>
      </c>
      <c r="B1655" s="155" t="s">
        <v>219</v>
      </c>
      <c r="C1655" s="155" t="s">
        <v>206</v>
      </c>
      <c r="D1655" s="156" t="s">
        <v>1953</v>
      </c>
      <c r="E1655" s="156" t="s">
        <v>1973</v>
      </c>
      <c r="F1655" s="156" t="s">
        <v>249</v>
      </c>
      <c r="G1655" s="156" t="s">
        <v>1974</v>
      </c>
      <c r="H1655" s="157" t="s">
        <v>211</v>
      </c>
    </row>
    <row r="1656" hidden="1">
      <c r="A1656" s="151" t="s">
        <v>218</v>
      </c>
      <c r="B1656" s="118" t="s">
        <v>219</v>
      </c>
      <c r="C1656" s="118" t="s">
        <v>206</v>
      </c>
      <c r="D1656" s="152" t="s">
        <v>1953</v>
      </c>
      <c r="E1656" s="152" t="s">
        <v>1975</v>
      </c>
      <c r="F1656" s="152" t="s">
        <v>365</v>
      </c>
      <c r="G1656" s="152" t="s">
        <v>1976</v>
      </c>
      <c r="H1656" s="153" t="s">
        <v>212</v>
      </c>
    </row>
    <row r="1657" hidden="1">
      <c r="A1657" s="154" t="s">
        <v>218</v>
      </c>
      <c r="B1657" s="155" t="s">
        <v>219</v>
      </c>
      <c r="C1657" s="155" t="s">
        <v>206</v>
      </c>
      <c r="D1657" s="156" t="s">
        <v>1953</v>
      </c>
      <c r="E1657" s="156" t="s">
        <v>1977</v>
      </c>
      <c r="F1657" s="156" t="s">
        <v>314</v>
      </c>
      <c r="G1657" s="156" t="s">
        <v>1870</v>
      </c>
      <c r="H1657" s="157" t="s">
        <v>213</v>
      </c>
    </row>
    <row r="1658" hidden="1">
      <c r="A1658" s="151" t="s">
        <v>218</v>
      </c>
      <c r="B1658" s="118" t="s">
        <v>219</v>
      </c>
      <c r="C1658" s="118" t="s">
        <v>206</v>
      </c>
      <c r="D1658" s="152" t="s">
        <v>1953</v>
      </c>
      <c r="E1658" s="152" t="s">
        <v>1978</v>
      </c>
      <c r="F1658" s="152" t="s">
        <v>323</v>
      </c>
      <c r="G1658" s="152" t="s">
        <v>1979</v>
      </c>
      <c r="H1658" s="153" t="s">
        <v>214</v>
      </c>
    </row>
    <row r="1659" hidden="1">
      <c r="A1659" s="154" t="s">
        <v>218</v>
      </c>
      <c r="B1659" s="155" t="s">
        <v>219</v>
      </c>
      <c r="C1659" s="155" t="s">
        <v>206</v>
      </c>
      <c r="D1659" s="156" t="s">
        <v>1953</v>
      </c>
      <c r="E1659" s="156" t="s">
        <v>1980</v>
      </c>
      <c r="F1659" s="156" t="s">
        <v>285</v>
      </c>
      <c r="G1659" s="156" t="s">
        <v>1751</v>
      </c>
      <c r="H1659" s="157" t="s">
        <v>215</v>
      </c>
    </row>
    <row r="1660" hidden="1">
      <c r="A1660" s="151" t="s">
        <v>218</v>
      </c>
      <c r="B1660" s="118" t="s">
        <v>219</v>
      </c>
      <c r="C1660" s="118" t="s">
        <v>206</v>
      </c>
      <c r="D1660" s="152" t="s">
        <v>1953</v>
      </c>
      <c r="E1660" s="152" t="s">
        <v>1981</v>
      </c>
      <c r="F1660" s="152" t="s">
        <v>359</v>
      </c>
      <c r="G1660" s="152" t="s">
        <v>1955</v>
      </c>
      <c r="H1660" s="153" t="s">
        <v>216</v>
      </c>
    </row>
    <row r="1661" hidden="1">
      <c r="A1661" s="154" t="s">
        <v>220</v>
      </c>
      <c r="B1661" s="155" t="s">
        <v>190</v>
      </c>
      <c r="C1661" s="155" t="s">
        <v>206</v>
      </c>
      <c r="D1661" s="156" t="s">
        <v>1953</v>
      </c>
      <c r="E1661" s="156" t="s">
        <v>1982</v>
      </c>
      <c r="F1661" s="156" t="s">
        <v>1107</v>
      </c>
      <c r="G1661" s="156" t="s">
        <v>1983</v>
      </c>
      <c r="H1661" s="157" t="s">
        <v>210</v>
      </c>
    </row>
    <row r="1662" hidden="1">
      <c r="A1662" s="151" t="s">
        <v>220</v>
      </c>
      <c r="B1662" s="118" t="s">
        <v>190</v>
      </c>
      <c r="C1662" s="118" t="s">
        <v>206</v>
      </c>
      <c r="D1662" s="152" t="s">
        <v>1953</v>
      </c>
      <c r="E1662" s="152" t="s">
        <v>1984</v>
      </c>
      <c r="F1662" s="152" t="s">
        <v>458</v>
      </c>
      <c r="G1662" s="152" t="s">
        <v>1883</v>
      </c>
      <c r="H1662" s="153" t="s">
        <v>211</v>
      </c>
    </row>
    <row r="1663" hidden="1">
      <c r="A1663" s="154" t="s">
        <v>220</v>
      </c>
      <c r="B1663" s="155" t="s">
        <v>190</v>
      </c>
      <c r="C1663" s="155" t="s">
        <v>206</v>
      </c>
      <c r="D1663" s="156" t="s">
        <v>1953</v>
      </c>
      <c r="E1663" s="156" t="s">
        <v>1985</v>
      </c>
      <c r="F1663" s="156" t="s">
        <v>374</v>
      </c>
      <c r="G1663" s="156" t="s">
        <v>1986</v>
      </c>
      <c r="H1663" s="157" t="s">
        <v>212</v>
      </c>
    </row>
    <row r="1664" hidden="1">
      <c r="A1664" s="151" t="s">
        <v>220</v>
      </c>
      <c r="B1664" s="118" t="s">
        <v>190</v>
      </c>
      <c r="C1664" s="118" t="s">
        <v>206</v>
      </c>
      <c r="D1664" s="152" t="s">
        <v>1953</v>
      </c>
      <c r="E1664" s="152" t="s">
        <v>1987</v>
      </c>
      <c r="F1664" s="152" t="s">
        <v>501</v>
      </c>
      <c r="G1664" s="152" t="s">
        <v>1745</v>
      </c>
      <c r="H1664" s="153" t="s">
        <v>213</v>
      </c>
    </row>
    <row r="1665" hidden="1">
      <c r="A1665" s="154" t="s">
        <v>220</v>
      </c>
      <c r="B1665" s="155" t="s">
        <v>190</v>
      </c>
      <c r="C1665" s="155" t="s">
        <v>206</v>
      </c>
      <c r="D1665" s="156" t="s">
        <v>1953</v>
      </c>
      <c r="E1665" s="156" t="s">
        <v>1988</v>
      </c>
      <c r="F1665" s="156" t="s">
        <v>274</v>
      </c>
      <c r="G1665" s="156" t="s">
        <v>1989</v>
      </c>
      <c r="H1665" s="157" t="s">
        <v>214</v>
      </c>
    </row>
    <row r="1666" hidden="1">
      <c r="A1666" s="151" t="s">
        <v>220</v>
      </c>
      <c r="B1666" s="118" t="s">
        <v>190</v>
      </c>
      <c r="C1666" s="118" t="s">
        <v>206</v>
      </c>
      <c r="D1666" s="152" t="s">
        <v>1953</v>
      </c>
      <c r="E1666" s="152" t="s">
        <v>1990</v>
      </c>
      <c r="F1666" s="152" t="s">
        <v>501</v>
      </c>
      <c r="G1666" s="152" t="s">
        <v>1765</v>
      </c>
      <c r="H1666" s="153" t="s">
        <v>215</v>
      </c>
    </row>
    <row r="1667" hidden="1">
      <c r="A1667" s="154" t="s">
        <v>220</v>
      </c>
      <c r="B1667" s="155" t="s">
        <v>190</v>
      </c>
      <c r="C1667" s="155" t="s">
        <v>206</v>
      </c>
      <c r="D1667" s="156" t="s">
        <v>1953</v>
      </c>
      <c r="E1667" s="156" t="s">
        <v>1991</v>
      </c>
      <c r="F1667" s="156" t="s">
        <v>1992</v>
      </c>
      <c r="G1667" s="156" t="s">
        <v>1745</v>
      </c>
      <c r="H1667" s="157" t="s">
        <v>216</v>
      </c>
    </row>
    <row r="1668" hidden="1">
      <c r="A1668" s="151" t="s">
        <v>221</v>
      </c>
      <c r="B1668" s="118" t="s">
        <v>189</v>
      </c>
      <c r="C1668" s="118" t="s">
        <v>206</v>
      </c>
      <c r="D1668" s="152" t="s">
        <v>1953</v>
      </c>
      <c r="E1668" s="152" t="s">
        <v>1993</v>
      </c>
      <c r="F1668" s="152" t="s">
        <v>1994</v>
      </c>
      <c r="G1668" s="152" t="s">
        <v>1995</v>
      </c>
      <c r="H1668" s="153" t="s">
        <v>210</v>
      </c>
    </row>
    <row r="1669" hidden="1">
      <c r="A1669" s="154" t="s">
        <v>221</v>
      </c>
      <c r="B1669" s="155" t="s">
        <v>189</v>
      </c>
      <c r="C1669" s="155" t="s">
        <v>206</v>
      </c>
      <c r="D1669" s="156" t="s">
        <v>1953</v>
      </c>
      <c r="E1669" s="156" t="s">
        <v>1996</v>
      </c>
      <c r="F1669" s="156" t="s">
        <v>359</v>
      </c>
      <c r="G1669" s="156" t="s">
        <v>1997</v>
      </c>
      <c r="H1669" s="157" t="s">
        <v>211</v>
      </c>
    </row>
    <row r="1670" hidden="1">
      <c r="A1670" s="151" t="s">
        <v>221</v>
      </c>
      <c r="B1670" s="118" t="s">
        <v>189</v>
      </c>
      <c r="C1670" s="118" t="s">
        <v>206</v>
      </c>
      <c r="D1670" s="152" t="s">
        <v>1953</v>
      </c>
      <c r="E1670" s="152" t="s">
        <v>1998</v>
      </c>
      <c r="F1670" s="152" t="s">
        <v>1999</v>
      </c>
      <c r="G1670" s="152" t="s">
        <v>1791</v>
      </c>
      <c r="H1670" s="153" t="s">
        <v>212</v>
      </c>
    </row>
    <row r="1671" hidden="1">
      <c r="A1671" s="154" t="s">
        <v>221</v>
      </c>
      <c r="B1671" s="155" t="s">
        <v>189</v>
      </c>
      <c r="C1671" s="155" t="s">
        <v>206</v>
      </c>
      <c r="D1671" s="156" t="s">
        <v>1953</v>
      </c>
      <c r="E1671" s="156" t="s">
        <v>2000</v>
      </c>
      <c r="F1671" s="156" t="s">
        <v>494</v>
      </c>
      <c r="G1671" s="156" t="s">
        <v>2001</v>
      </c>
      <c r="H1671" s="157" t="s">
        <v>213</v>
      </c>
    </row>
    <row r="1672" hidden="1">
      <c r="A1672" s="151" t="s">
        <v>221</v>
      </c>
      <c r="B1672" s="118" t="s">
        <v>189</v>
      </c>
      <c r="C1672" s="118" t="s">
        <v>206</v>
      </c>
      <c r="D1672" s="152" t="s">
        <v>1953</v>
      </c>
      <c r="E1672" s="152" t="s">
        <v>2002</v>
      </c>
      <c r="F1672" s="152" t="s">
        <v>242</v>
      </c>
      <c r="G1672" s="152" t="s">
        <v>2003</v>
      </c>
      <c r="H1672" s="153" t="s">
        <v>214</v>
      </c>
    </row>
    <row r="1673" hidden="1">
      <c r="A1673" s="154" t="s">
        <v>221</v>
      </c>
      <c r="B1673" s="155" t="s">
        <v>189</v>
      </c>
      <c r="C1673" s="155" t="s">
        <v>206</v>
      </c>
      <c r="D1673" s="156" t="s">
        <v>1953</v>
      </c>
      <c r="E1673" s="156" t="s">
        <v>2004</v>
      </c>
      <c r="F1673" s="156" t="s">
        <v>2005</v>
      </c>
      <c r="G1673" s="156" t="s">
        <v>2006</v>
      </c>
      <c r="H1673" s="157" t="s">
        <v>215</v>
      </c>
    </row>
    <row r="1674" hidden="1">
      <c r="A1674" s="151" t="s">
        <v>221</v>
      </c>
      <c r="B1674" s="118" t="s">
        <v>189</v>
      </c>
      <c r="C1674" s="118" t="s">
        <v>206</v>
      </c>
      <c r="D1674" s="152" t="s">
        <v>1953</v>
      </c>
      <c r="E1674" s="152" t="s">
        <v>2007</v>
      </c>
      <c r="F1674" s="152" t="s">
        <v>255</v>
      </c>
      <c r="G1674" s="152" t="s">
        <v>2008</v>
      </c>
      <c r="H1674" s="153" t="s">
        <v>216</v>
      </c>
    </row>
    <row r="1675" hidden="1">
      <c r="A1675" s="154" t="s">
        <v>222</v>
      </c>
      <c r="B1675" s="155" t="s">
        <v>192</v>
      </c>
      <c r="C1675" s="155" t="s">
        <v>206</v>
      </c>
      <c r="D1675" s="156" t="s">
        <v>1953</v>
      </c>
      <c r="E1675" s="156" t="s">
        <v>2009</v>
      </c>
      <c r="F1675" s="156" t="s">
        <v>301</v>
      </c>
      <c r="G1675" s="156" t="s">
        <v>1797</v>
      </c>
      <c r="H1675" s="157" t="s">
        <v>210</v>
      </c>
    </row>
    <row r="1676" hidden="1">
      <c r="A1676" s="151" t="s">
        <v>222</v>
      </c>
      <c r="B1676" s="118" t="s">
        <v>192</v>
      </c>
      <c r="C1676" s="118" t="s">
        <v>206</v>
      </c>
      <c r="D1676" s="152" t="s">
        <v>1953</v>
      </c>
      <c r="E1676" s="152" t="s">
        <v>2010</v>
      </c>
      <c r="F1676" s="152" t="s">
        <v>259</v>
      </c>
      <c r="G1676" s="152" t="s">
        <v>2011</v>
      </c>
      <c r="H1676" s="153" t="s">
        <v>211</v>
      </c>
    </row>
    <row r="1677" hidden="1">
      <c r="A1677" s="154" t="s">
        <v>222</v>
      </c>
      <c r="B1677" s="155" t="s">
        <v>192</v>
      </c>
      <c r="C1677" s="155" t="s">
        <v>206</v>
      </c>
      <c r="D1677" s="156" t="s">
        <v>1953</v>
      </c>
      <c r="E1677" s="156" t="s">
        <v>2012</v>
      </c>
      <c r="F1677" s="156" t="s">
        <v>492</v>
      </c>
      <c r="G1677" s="156" t="s">
        <v>2013</v>
      </c>
      <c r="H1677" s="157" t="s">
        <v>212</v>
      </c>
    </row>
    <row r="1678" hidden="1">
      <c r="A1678" s="151" t="s">
        <v>222</v>
      </c>
      <c r="B1678" s="118" t="s">
        <v>192</v>
      </c>
      <c r="C1678" s="118" t="s">
        <v>206</v>
      </c>
      <c r="D1678" s="152" t="s">
        <v>1953</v>
      </c>
      <c r="E1678" s="152" t="s">
        <v>2014</v>
      </c>
      <c r="F1678" s="152" t="s">
        <v>257</v>
      </c>
      <c r="G1678" s="152" t="s">
        <v>1795</v>
      </c>
      <c r="H1678" s="153" t="s">
        <v>213</v>
      </c>
    </row>
    <row r="1679" hidden="1">
      <c r="A1679" s="154" t="s">
        <v>222</v>
      </c>
      <c r="B1679" s="155" t="s">
        <v>192</v>
      </c>
      <c r="C1679" s="155" t="s">
        <v>206</v>
      </c>
      <c r="D1679" s="156" t="s">
        <v>1953</v>
      </c>
      <c r="E1679" s="156" t="s">
        <v>2015</v>
      </c>
      <c r="F1679" s="156" t="s">
        <v>262</v>
      </c>
      <c r="G1679" s="156" t="s">
        <v>1762</v>
      </c>
      <c r="H1679" s="157" t="s">
        <v>214</v>
      </c>
    </row>
    <row r="1680" hidden="1">
      <c r="A1680" s="151" t="s">
        <v>222</v>
      </c>
      <c r="B1680" s="118" t="s">
        <v>192</v>
      </c>
      <c r="C1680" s="118" t="s">
        <v>206</v>
      </c>
      <c r="D1680" s="152" t="s">
        <v>1953</v>
      </c>
      <c r="E1680" s="152" t="s">
        <v>2016</v>
      </c>
      <c r="F1680" s="152" t="s">
        <v>240</v>
      </c>
      <c r="G1680" s="152" t="s">
        <v>1983</v>
      </c>
      <c r="H1680" s="153" t="s">
        <v>215</v>
      </c>
    </row>
    <row r="1681" hidden="1">
      <c r="A1681" s="154" t="s">
        <v>222</v>
      </c>
      <c r="B1681" s="155" t="s">
        <v>192</v>
      </c>
      <c r="C1681" s="155" t="s">
        <v>206</v>
      </c>
      <c r="D1681" s="156" t="s">
        <v>1953</v>
      </c>
      <c r="E1681" s="156" t="s">
        <v>2017</v>
      </c>
      <c r="F1681" s="156" t="s">
        <v>255</v>
      </c>
      <c r="G1681" s="156" t="s">
        <v>2018</v>
      </c>
      <c r="H1681" s="157" t="s">
        <v>216</v>
      </c>
    </row>
    <row r="1682" hidden="1">
      <c r="A1682" s="151" t="s">
        <v>223</v>
      </c>
      <c r="B1682" s="118" t="s">
        <v>144</v>
      </c>
      <c r="C1682" s="118" t="s">
        <v>206</v>
      </c>
      <c r="D1682" s="152" t="s">
        <v>1953</v>
      </c>
      <c r="E1682" s="152" t="s">
        <v>2019</v>
      </c>
      <c r="F1682" s="152" t="s">
        <v>357</v>
      </c>
      <c r="G1682" s="152" t="s">
        <v>1820</v>
      </c>
      <c r="H1682" s="153" t="s">
        <v>210</v>
      </c>
    </row>
    <row r="1683" hidden="1">
      <c r="A1683" s="154" t="s">
        <v>223</v>
      </c>
      <c r="B1683" s="155" t="s">
        <v>144</v>
      </c>
      <c r="C1683" s="155" t="s">
        <v>206</v>
      </c>
      <c r="D1683" s="156" t="s">
        <v>1953</v>
      </c>
      <c r="E1683" s="156" t="s">
        <v>2020</v>
      </c>
      <c r="F1683" s="156" t="s">
        <v>244</v>
      </c>
      <c r="G1683" s="156" t="s">
        <v>1808</v>
      </c>
      <c r="H1683" s="157" t="s">
        <v>211</v>
      </c>
    </row>
    <row r="1684" hidden="1">
      <c r="A1684" s="151" t="s">
        <v>223</v>
      </c>
      <c r="B1684" s="118" t="s">
        <v>144</v>
      </c>
      <c r="C1684" s="118" t="s">
        <v>206</v>
      </c>
      <c r="D1684" s="152" t="s">
        <v>1953</v>
      </c>
      <c r="E1684" s="152" t="s">
        <v>2021</v>
      </c>
      <c r="F1684" s="152" t="s">
        <v>242</v>
      </c>
      <c r="G1684" s="152" t="s">
        <v>1733</v>
      </c>
      <c r="H1684" s="153" t="s">
        <v>212</v>
      </c>
    </row>
    <row r="1685" hidden="1">
      <c r="A1685" s="154" t="s">
        <v>223</v>
      </c>
      <c r="B1685" s="155" t="s">
        <v>144</v>
      </c>
      <c r="C1685" s="155" t="s">
        <v>206</v>
      </c>
      <c r="D1685" s="156" t="s">
        <v>1953</v>
      </c>
      <c r="E1685" s="156" t="s">
        <v>2022</v>
      </c>
      <c r="F1685" s="156" t="s">
        <v>246</v>
      </c>
      <c r="G1685" s="156" t="s">
        <v>2023</v>
      </c>
      <c r="H1685" s="157" t="s">
        <v>213</v>
      </c>
    </row>
    <row r="1686" hidden="1">
      <c r="A1686" s="151" t="s">
        <v>223</v>
      </c>
      <c r="B1686" s="118" t="s">
        <v>144</v>
      </c>
      <c r="C1686" s="118" t="s">
        <v>206</v>
      </c>
      <c r="D1686" s="152" t="s">
        <v>1953</v>
      </c>
      <c r="E1686" s="152" t="s">
        <v>2024</v>
      </c>
      <c r="F1686" s="152" t="s">
        <v>246</v>
      </c>
      <c r="G1686" s="152" t="s">
        <v>2025</v>
      </c>
      <c r="H1686" s="153" t="s">
        <v>214</v>
      </c>
    </row>
    <row r="1687" hidden="1">
      <c r="A1687" s="154" t="s">
        <v>223</v>
      </c>
      <c r="B1687" s="155" t="s">
        <v>144</v>
      </c>
      <c r="C1687" s="155" t="s">
        <v>206</v>
      </c>
      <c r="D1687" s="156" t="s">
        <v>1953</v>
      </c>
      <c r="E1687" s="156" t="s">
        <v>2026</v>
      </c>
      <c r="F1687" s="156" t="s">
        <v>246</v>
      </c>
      <c r="G1687" s="156" t="s">
        <v>1727</v>
      </c>
      <c r="H1687" s="157" t="s">
        <v>215</v>
      </c>
    </row>
    <row r="1688" hidden="1">
      <c r="A1688" s="151" t="s">
        <v>223</v>
      </c>
      <c r="B1688" s="118" t="s">
        <v>144</v>
      </c>
      <c r="C1688" s="118" t="s">
        <v>206</v>
      </c>
      <c r="D1688" s="152" t="s">
        <v>1953</v>
      </c>
      <c r="E1688" s="152" t="s">
        <v>2027</v>
      </c>
      <c r="F1688" s="152" t="s">
        <v>242</v>
      </c>
      <c r="G1688" s="152" t="s">
        <v>635</v>
      </c>
      <c r="H1688" s="153" t="s">
        <v>216</v>
      </c>
    </row>
    <row r="1689" hidden="1">
      <c r="A1689" s="154" t="s">
        <v>224</v>
      </c>
      <c r="B1689" s="155" t="s">
        <v>170</v>
      </c>
      <c r="C1689" s="155" t="s">
        <v>206</v>
      </c>
      <c r="D1689" s="156" t="s">
        <v>1953</v>
      </c>
      <c r="E1689" s="156" t="s">
        <v>2028</v>
      </c>
      <c r="F1689" s="156" t="s">
        <v>323</v>
      </c>
      <c r="G1689" s="156" t="s">
        <v>2029</v>
      </c>
      <c r="H1689" s="157" t="s">
        <v>210</v>
      </c>
    </row>
    <row r="1690" hidden="1">
      <c r="A1690" s="151" t="s">
        <v>224</v>
      </c>
      <c r="B1690" s="118" t="s">
        <v>170</v>
      </c>
      <c r="C1690" s="118" t="s">
        <v>206</v>
      </c>
      <c r="D1690" s="152" t="s">
        <v>1953</v>
      </c>
      <c r="E1690" s="152" t="s">
        <v>2030</v>
      </c>
      <c r="F1690" s="152" t="s">
        <v>242</v>
      </c>
      <c r="G1690" s="152" t="s">
        <v>1881</v>
      </c>
      <c r="H1690" s="153" t="s">
        <v>211</v>
      </c>
    </row>
    <row r="1691" hidden="1">
      <c r="A1691" s="154" t="s">
        <v>224</v>
      </c>
      <c r="B1691" s="155" t="s">
        <v>170</v>
      </c>
      <c r="C1691" s="155" t="s">
        <v>206</v>
      </c>
      <c r="D1691" s="156" t="s">
        <v>1953</v>
      </c>
      <c r="E1691" s="156" t="s">
        <v>2031</v>
      </c>
      <c r="F1691" s="156" t="s">
        <v>351</v>
      </c>
      <c r="G1691" s="156" t="s">
        <v>1955</v>
      </c>
      <c r="H1691" s="157" t="s">
        <v>212</v>
      </c>
    </row>
    <row r="1692" hidden="1">
      <c r="A1692" s="151" t="s">
        <v>224</v>
      </c>
      <c r="B1692" s="118" t="s">
        <v>170</v>
      </c>
      <c r="C1692" s="118" t="s">
        <v>206</v>
      </c>
      <c r="D1692" s="152" t="s">
        <v>1953</v>
      </c>
      <c r="E1692" s="152" t="s">
        <v>2032</v>
      </c>
      <c r="F1692" s="152" t="s">
        <v>365</v>
      </c>
      <c r="G1692" s="152" t="s">
        <v>1825</v>
      </c>
      <c r="H1692" s="153" t="s">
        <v>213</v>
      </c>
    </row>
    <row r="1693" hidden="1">
      <c r="A1693" s="154" t="s">
        <v>224</v>
      </c>
      <c r="B1693" s="155" t="s">
        <v>170</v>
      </c>
      <c r="C1693" s="155" t="s">
        <v>206</v>
      </c>
      <c r="D1693" s="156" t="s">
        <v>1953</v>
      </c>
      <c r="E1693" s="156" t="s">
        <v>2033</v>
      </c>
      <c r="F1693" s="156" t="s">
        <v>329</v>
      </c>
      <c r="G1693" s="156" t="s">
        <v>2034</v>
      </c>
      <c r="H1693" s="157" t="s">
        <v>214</v>
      </c>
    </row>
    <row r="1694" hidden="1">
      <c r="A1694" s="151" t="s">
        <v>224</v>
      </c>
      <c r="B1694" s="118" t="s">
        <v>170</v>
      </c>
      <c r="C1694" s="118" t="s">
        <v>206</v>
      </c>
      <c r="D1694" s="152" t="s">
        <v>1953</v>
      </c>
      <c r="E1694" s="152" t="s">
        <v>2035</v>
      </c>
      <c r="F1694" s="152" t="s">
        <v>285</v>
      </c>
      <c r="G1694" s="152" t="s">
        <v>2034</v>
      </c>
      <c r="H1694" s="153" t="s">
        <v>215</v>
      </c>
    </row>
    <row r="1695" hidden="1">
      <c r="A1695" s="154" t="s">
        <v>224</v>
      </c>
      <c r="B1695" s="155" t="s">
        <v>170</v>
      </c>
      <c r="C1695" s="155" t="s">
        <v>206</v>
      </c>
      <c r="D1695" s="156" t="s">
        <v>1953</v>
      </c>
      <c r="E1695" s="156" t="s">
        <v>2036</v>
      </c>
      <c r="F1695" s="156" t="s">
        <v>285</v>
      </c>
      <c r="G1695" s="156" t="s">
        <v>2037</v>
      </c>
      <c r="H1695" s="157" t="s">
        <v>216</v>
      </c>
    </row>
    <row r="1696" hidden="1">
      <c r="A1696" s="151" t="s">
        <v>225</v>
      </c>
      <c r="B1696" s="118" t="s">
        <v>226</v>
      </c>
      <c r="C1696" s="118" t="s">
        <v>206</v>
      </c>
      <c r="D1696" s="152" t="s">
        <v>1953</v>
      </c>
      <c r="E1696" s="152" t="s">
        <v>2038</v>
      </c>
      <c r="F1696" s="152" t="s">
        <v>357</v>
      </c>
      <c r="G1696" s="152" t="s">
        <v>2039</v>
      </c>
      <c r="H1696" s="153" t="s">
        <v>210</v>
      </c>
    </row>
    <row r="1697" hidden="1">
      <c r="A1697" s="154" t="s">
        <v>225</v>
      </c>
      <c r="B1697" s="155" t="s">
        <v>226</v>
      </c>
      <c r="C1697" s="155" t="s">
        <v>206</v>
      </c>
      <c r="D1697" s="156" t="s">
        <v>1953</v>
      </c>
      <c r="E1697" s="156" t="s">
        <v>2040</v>
      </c>
      <c r="F1697" s="156" t="s">
        <v>365</v>
      </c>
      <c r="G1697" s="156" t="s">
        <v>2041</v>
      </c>
      <c r="H1697" s="157" t="s">
        <v>211</v>
      </c>
    </row>
    <row r="1698" hidden="1">
      <c r="A1698" s="151" t="s">
        <v>225</v>
      </c>
      <c r="B1698" s="118" t="s">
        <v>226</v>
      </c>
      <c r="C1698" s="118" t="s">
        <v>206</v>
      </c>
      <c r="D1698" s="152" t="s">
        <v>1953</v>
      </c>
      <c r="E1698" s="152" t="s">
        <v>2042</v>
      </c>
      <c r="F1698" s="152" t="s">
        <v>249</v>
      </c>
      <c r="G1698" s="152" t="s">
        <v>2043</v>
      </c>
      <c r="H1698" s="153" t="s">
        <v>212</v>
      </c>
    </row>
    <row r="1699" hidden="1">
      <c r="A1699" s="154" t="s">
        <v>225</v>
      </c>
      <c r="B1699" s="155" t="s">
        <v>226</v>
      </c>
      <c r="C1699" s="155" t="s">
        <v>206</v>
      </c>
      <c r="D1699" s="156" t="s">
        <v>1953</v>
      </c>
      <c r="E1699" s="156" t="s">
        <v>2044</v>
      </c>
      <c r="F1699" s="156" t="s">
        <v>290</v>
      </c>
      <c r="G1699" s="156" t="s">
        <v>2045</v>
      </c>
      <c r="H1699" s="157" t="s">
        <v>213</v>
      </c>
    </row>
    <row r="1700" hidden="1">
      <c r="A1700" s="151" t="s">
        <v>225</v>
      </c>
      <c r="B1700" s="118" t="s">
        <v>226</v>
      </c>
      <c r="C1700" s="118" t="s">
        <v>206</v>
      </c>
      <c r="D1700" s="152" t="s">
        <v>1953</v>
      </c>
      <c r="E1700" s="152" t="s">
        <v>2046</v>
      </c>
      <c r="F1700" s="152" t="s">
        <v>262</v>
      </c>
      <c r="G1700" s="152" t="s">
        <v>1810</v>
      </c>
      <c r="H1700" s="153" t="s">
        <v>214</v>
      </c>
    </row>
    <row r="1701" hidden="1">
      <c r="A1701" s="154" t="s">
        <v>225</v>
      </c>
      <c r="B1701" s="155" t="s">
        <v>226</v>
      </c>
      <c r="C1701" s="155" t="s">
        <v>206</v>
      </c>
      <c r="D1701" s="156" t="s">
        <v>1953</v>
      </c>
      <c r="E1701" s="156" t="s">
        <v>2047</v>
      </c>
      <c r="F1701" s="156" t="s">
        <v>262</v>
      </c>
      <c r="G1701" s="156" t="s">
        <v>1808</v>
      </c>
      <c r="H1701" s="157" t="s">
        <v>215</v>
      </c>
    </row>
    <row r="1702" hidden="1">
      <c r="A1702" s="151" t="s">
        <v>225</v>
      </c>
      <c r="B1702" s="118" t="s">
        <v>226</v>
      </c>
      <c r="C1702" s="118" t="s">
        <v>206</v>
      </c>
      <c r="D1702" s="152" t="s">
        <v>1953</v>
      </c>
      <c r="E1702" s="152" t="s">
        <v>2048</v>
      </c>
      <c r="F1702" s="152" t="s">
        <v>357</v>
      </c>
      <c r="G1702" s="152" t="s">
        <v>1864</v>
      </c>
      <c r="H1702" s="153" t="s">
        <v>216</v>
      </c>
    </row>
    <row r="1703" hidden="1">
      <c r="A1703" s="154" t="s">
        <v>227</v>
      </c>
      <c r="B1703" s="155" t="s">
        <v>195</v>
      </c>
      <c r="C1703" s="155" t="s">
        <v>206</v>
      </c>
      <c r="D1703" s="156" t="s">
        <v>1953</v>
      </c>
      <c r="E1703" s="156" t="s">
        <v>2049</v>
      </c>
      <c r="F1703" s="156" t="s">
        <v>425</v>
      </c>
      <c r="G1703" s="156" t="s">
        <v>1899</v>
      </c>
      <c r="H1703" s="157" t="s">
        <v>210</v>
      </c>
    </row>
    <row r="1704" hidden="1">
      <c r="A1704" s="151" t="s">
        <v>227</v>
      </c>
      <c r="B1704" s="118" t="s">
        <v>195</v>
      </c>
      <c r="C1704" s="118" t="s">
        <v>206</v>
      </c>
      <c r="D1704" s="152" t="s">
        <v>1953</v>
      </c>
      <c r="E1704" s="152" t="s">
        <v>2050</v>
      </c>
      <c r="F1704" s="152" t="s">
        <v>351</v>
      </c>
      <c r="G1704" s="152" t="s">
        <v>2051</v>
      </c>
      <c r="H1704" s="153" t="s">
        <v>211</v>
      </c>
    </row>
    <row r="1705" hidden="1">
      <c r="A1705" s="154" t="s">
        <v>227</v>
      </c>
      <c r="B1705" s="155" t="s">
        <v>195</v>
      </c>
      <c r="C1705" s="155" t="s">
        <v>206</v>
      </c>
      <c r="D1705" s="156" t="s">
        <v>1953</v>
      </c>
      <c r="E1705" s="156" t="s">
        <v>2052</v>
      </c>
      <c r="F1705" s="156" t="s">
        <v>321</v>
      </c>
      <c r="G1705" s="156" t="s">
        <v>1879</v>
      </c>
      <c r="H1705" s="157" t="s">
        <v>212</v>
      </c>
    </row>
    <row r="1706" hidden="1">
      <c r="A1706" s="151" t="s">
        <v>227</v>
      </c>
      <c r="B1706" s="118" t="s">
        <v>195</v>
      </c>
      <c r="C1706" s="118" t="s">
        <v>206</v>
      </c>
      <c r="D1706" s="152" t="s">
        <v>1953</v>
      </c>
      <c r="E1706" s="152" t="s">
        <v>2053</v>
      </c>
      <c r="F1706" s="152" t="s">
        <v>534</v>
      </c>
      <c r="G1706" s="152" t="s">
        <v>2023</v>
      </c>
      <c r="H1706" s="153" t="s">
        <v>213</v>
      </c>
    </row>
    <row r="1707" hidden="1">
      <c r="A1707" s="154" t="s">
        <v>227</v>
      </c>
      <c r="B1707" s="155" t="s">
        <v>195</v>
      </c>
      <c r="C1707" s="155" t="s">
        <v>206</v>
      </c>
      <c r="D1707" s="156" t="s">
        <v>1953</v>
      </c>
      <c r="E1707" s="156" t="s">
        <v>2054</v>
      </c>
      <c r="F1707" s="156" t="s">
        <v>359</v>
      </c>
      <c r="G1707" s="156" t="s">
        <v>2055</v>
      </c>
      <c r="H1707" s="157" t="s">
        <v>214</v>
      </c>
    </row>
    <row r="1708" hidden="1">
      <c r="A1708" s="151" t="s">
        <v>227</v>
      </c>
      <c r="B1708" s="118" t="s">
        <v>195</v>
      </c>
      <c r="C1708" s="118" t="s">
        <v>206</v>
      </c>
      <c r="D1708" s="152" t="s">
        <v>1953</v>
      </c>
      <c r="E1708" s="152" t="s">
        <v>2056</v>
      </c>
      <c r="F1708" s="152" t="s">
        <v>450</v>
      </c>
      <c r="G1708" s="152" t="s">
        <v>2057</v>
      </c>
      <c r="H1708" s="153" t="s">
        <v>215</v>
      </c>
    </row>
    <row r="1709" hidden="1">
      <c r="A1709" s="154" t="s">
        <v>227</v>
      </c>
      <c r="B1709" s="155" t="s">
        <v>195</v>
      </c>
      <c r="C1709" s="155" t="s">
        <v>206</v>
      </c>
      <c r="D1709" s="156" t="s">
        <v>1953</v>
      </c>
      <c r="E1709" s="156" t="s">
        <v>2058</v>
      </c>
      <c r="F1709" s="156" t="s">
        <v>427</v>
      </c>
      <c r="G1709" s="156" t="s">
        <v>1896</v>
      </c>
      <c r="H1709" s="157" t="s">
        <v>216</v>
      </c>
    </row>
    <row r="1710" hidden="1">
      <c r="A1710" s="151" t="s">
        <v>228</v>
      </c>
      <c r="B1710" s="118" t="s">
        <v>138</v>
      </c>
      <c r="C1710" s="118" t="s">
        <v>206</v>
      </c>
      <c r="D1710" s="152" t="s">
        <v>1953</v>
      </c>
      <c r="E1710" s="152" t="s">
        <v>2059</v>
      </c>
      <c r="F1710" s="152" t="s">
        <v>436</v>
      </c>
      <c r="G1710" s="152" t="s">
        <v>2060</v>
      </c>
      <c r="H1710" s="153" t="s">
        <v>210</v>
      </c>
    </row>
    <row r="1711" hidden="1">
      <c r="A1711" s="154" t="s">
        <v>228</v>
      </c>
      <c r="B1711" s="155" t="s">
        <v>138</v>
      </c>
      <c r="C1711" s="155" t="s">
        <v>206</v>
      </c>
      <c r="D1711" s="156" t="s">
        <v>1953</v>
      </c>
      <c r="E1711" s="156" t="s">
        <v>2061</v>
      </c>
      <c r="F1711" s="156" t="s">
        <v>269</v>
      </c>
      <c r="G1711" s="156" t="s">
        <v>2062</v>
      </c>
      <c r="H1711" s="157" t="s">
        <v>211</v>
      </c>
    </row>
    <row r="1712" hidden="1">
      <c r="A1712" s="151" t="s">
        <v>228</v>
      </c>
      <c r="B1712" s="118" t="s">
        <v>138</v>
      </c>
      <c r="C1712" s="118" t="s">
        <v>206</v>
      </c>
      <c r="D1712" s="152" t="s">
        <v>1953</v>
      </c>
      <c r="E1712" s="152" t="s">
        <v>2063</v>
      </c>
      <c r="F1712" s="152" t="s">
        <v>287</v>
      </c>
      <c r="G1712" s="152" t="s">
        <v>2062</v>
      </c>
      <c r="H1712" s="153" t="s">
        <v>212</v>
      </c>
    </row>
    <row r="1713" hidden="1">
      <c r="A1713" s="154" t="s">
        <v>228</v>
      </c>
      <c r="B1713" s="155" t="s">
        <v>138</v>
      </c>
      <c r="C1713" s="155" t="s">
        <v>206</v>
      </c>
      <c r="D1713" s="156" t="s">
        <v>1953</v>
      </c>
      <c r="E1713" s="156" t="s">
        <v>2064</v>
      </c>
      <c r="F1713" s="156" t="s">
        <v>492</v>
      </c>
      <c r="G1713" s="156" t="s">
        <v>2065</v>
      </c>
      <c r="H1713" s="157" t="s">
        <v>213</v>
      </c>
    </row>
    <row r="1714" hidden="1">
      <c r="A1714" s="151" t="s">
        <v>228</v>
      </c>
      <c r="B1714" s="118" t="s">
        <v>138</v>
      </c>
      <c r="C1714" s="118" t="s">
        <v>206</v>
      </c>
      <c r="D1714" s="152" t="s">
        <v>1953</v>
      </c>
      <c r="E1714" s="152" t="s">
        <v>2066</v>
      </c>
      <c r="F1714" s="152" t="s">
        <v>244</v>
      </c>
      <c r="G1714" s="152" t="s">
        <v>2067</v>
      </c>
      <c r="H1714" s="153" t="s">
        <v>214</v>
      </c>
    </row>
    <row r="1715" hidden="1">
      <c r="A1715" s="154" t="s">
        <v>228</v>
      </c>
      <c r="B1715" s="155" t="s">
        <v>138</v>
      </c>
      <c r="C1715" s="155" t="s">
        <v>206</v>
      </c>
      <c r="D1715" s="156" t="s">
        <v>1953</v>
      </c>
      <c r="E1715" s="156" t="s">
        <v>2068</v>
      </c>
      <c r="F1715" s="156" t="s">
        <v>458</v>
      </c>
      <c r="G1715" s="156" t="s">
        <v>1916</v>
      </c>
      <c r="H1715" s="157" t="s">
        <v>215</v>
      </c>
    </row>
    <row r="1716" hidden="1">
      <c r="A1716" s="151" t="s">
        <v>228</v>
      </c>
      <c r="B1716" s="118" t="s">
        <v>138</v>
      </c>
      <c r="C1716" s="118" t="s">
        <v>206</v>
      </c>
      <c r="D1716" s="152" t="s">
        <v>1953</v>
      </c>
      <c r="E1716" s="152" t="s">
        <v>2069</v>
      </c>
      <c r="F1716" s="152" t="s">
        <v>492</v>
      </c>
      <c r="G1716" s="152" t="s">
        <v>2070</v>
      </c>
      <c r="H1716" s="153" t="s">
        <v>216</v>
      </c>
    </row>
    <row r="1717" hidden="1">
      <c r="A1717" s="154" t="s">
        <v>229</v>
      </c>
      <c r="B1717" s="155" t="s">
        <v>193</v>
      </c>
      <c r="C1717" s="155" t="s">
        <v>206</v>
      </c>
      <c r="D1717" s="156" t="s">
        <v>1953</v>
      </c>
      <c r="E1717" s="156" t="s">
        <v>2071</v>
      </c>
      <c r="F1717" s="156" t="s">
        <v>305</v>
      </c>
      <c r="G1717" s="156" t="s">
        <v>2072</v>
      </c>
      <c r="H1717" s="157" t="s">
        <v>210</v>
      </c>
    </row>
    <row r="1718" hidden="1">
      <c r="A1718" s="151" t="s">
        <v>229</v>
      </c>
      <c r="B1718" s="118" t="s">
        <v>193</v>
      </c>
      <c r="C1718" s="118" t="s">
        <v>206</v>
      </c>
      <c r="D1718" s="152" t="s">
        <v>1953</v>
      </c>
      <c r="E1718" s="152" t="s">
        <v>2073</v>
      </c>
      <c r="F1718" s="152" t="s">
        <v>308</v>
      </c>
      <c r="G1718" s="152" t="s">
        <v>1725</v>
      </c>
      <c r="H1718" s="153" t="s">
        <v>211</v>
      </c>
    </row>
    <row r="1719" hidden="1">
      <c r="A1719" s="154" t="s">
        <v>229</v>
      </c>
      <c r="B1719" s="155" t="s">
        <v>193</v>
      </c>
      <c r="C1719" s="155" t="s">
        <v>206</v>
      </c>
      <c r="D1719" s="156" t="s">
        <v>1953</v>
      </c>
      <c r="E1719" s="156" t="s">
        <v>2074</v>
      </c>
      <c r="F1719" s="156" t="s">
        <v>301</v>
      </c>
      <c r="G1719" s="156" t="s">
        <v>2075</v>
      </c>
      <c r="H1719" s="157" t="s">
        <v>212</v>
      </c>
    </row>
    <row r="1720" hidden="1">
      <c r="A1720" s="151" t="s">
        <v>229</v>
      </c>
      <c r="B1720" s="118" t="s">
        <v>193</v>
      </c>
      <c r="C1720" s="118" t="s">
        <v>206</v>
      </c>
      <c r="D1720" s="152" t="s">
        <v>1953</v>
      </c>
      <c r="E1720" s="152" t="s">
        <v>2076</v>
      </c>
      <c r="F1720" s="152" t="s">
        <v>310</v>
      </c>
      <c r="G1720" s="152" t="s">
        <v>2077</v>
      </c>
      <c r="H1720" s="153" t="s">
        <v>213</v>
      </c>
    </row>
    <row r="1721" hidden="1">
      <c r="A1721" s="154" t="s">
        <v>229</v>
      </c>
      <c r="B1721" s="155" t="s">
        <v>193</v>
      </c>
      <c r="C1721" s="155" t="s">
        <v>206</v>
      </c>
      <c r="D1721" s="156" t="s">
        <v>1953</v>
      </c>
      <c r="E1721" s="156" t="s">
        <v>2078</v>
      </c>
      <c r="F1721" s="156" t="s">
        <v>305</v>
      </c>
      <c r="G1721" s="156" t="s">
        <v>1743</v>
      </c>
      <c r="H1721" s="157" t="s">
        <v>214</v>
      </c>
    </row>
    <row r="1722" hidden="1">
      <c r="A1722" s="151" t="s">
        <v>229</v>
      </c>
      <c r="B1722" s="118" t="s">
        <v>193</v>
      </c>
      <c r="C1722" s="118" t="s">
        <v>206</v>
      </c>
      <c r="D1722" s="152" t="s">
        <v>1953</v>
      </c>
      <c r="E1722" s="152" t="s">
        <v>2079</v>
      </c>
      <c r="F1722" s="152" t="s">
        <v>534</v>
      </c>
      <c r="G1722" s="152" t="s">
        <v>2072</v>
      </c>
      <c r="H1722" s="153" t="s">
        <v>215</v>
      </c>
    </row>
    <row r="1723" hidden="1">
      <c r="A1723" s="154" t="s">
        <v>229</v>
      </c>
      <c r="B1723" s="155" t="s">
        <v>193</v>
      </c>
      <c r="C1723" s="155" t="s">
        <v>206</v>
      </c>
      <c r="D1723" s="156" t="s">
        <v>1953</v>
      </c>
      <c r="E1723" s="156" t="s">
        <v>2080</v>
      </c>
      <c r="F1723" s="156" t="s">
        <v>290</v>
      </c>
      <c r="G1723" s="156" t="s">
        <v>1825</v>
      </c>
      <c r="H1723" s="157" t="s">
        <v>216</v>
      </c>
    </row>
    <row r="1724" hidden="1">
      <c r="A1724" s="151" t="s">
        <v>230</v>
      </c>
      <c r="B1724" s="118" t="s">
        <v>194</v>
      </c>
      <c r="C1724" s="118" t="s">
        <v>206</v>
      </c>
      <c r="D1724" s="152" t="s">
        <v>1953</v>
      </c>
      <c r="E1724" s="152" t="s">
        <v>2081</v>
      </c>
      <c r="F1724" s="152" t="s">
        <v>351</v>
      </c>
      <c r="G1724" s="152" t="s">
        <v>1913</v>
      </c>
      <c r="H1724" s="153" t="s">
        <v>210</v>
      </c>
    </row>
    <row r="1725" hidden="1">
      <c r="A1725" s="154" t="s">
        <v>230</v>
      </c>
      <c r="B1725" s="155" t="s">
        <v>194</v>
      </c>
      <c r="C1725" s="155" t="s">
        <v>206</v>
      </c>
      <c r="D1725" s="156" t="s">
        <v>1953</v>
      </c>
      <c r="E1725" s="156" t="s">
        <v>2082</v>
      </c>
      <c r="F1725" s="156" t="s">
        <v>357</v>
      </c>
      <c r="G1725" s="156" t="s">
        <v>1739</v>
      </c>
      <c r="H1725" s="157" t="s">
        <v>211</v>
      </c>
    </row>
    <row r="1726" hidden="1">
      <c r="A1726" s="151" t="s">
        <v>230</v>
      </c>
      <c r="B1726" s="118" t="s">
        <v>194</v>
      </c>
      <c r="C1726" s="118" t="s">
        <v>206</v>
      </c>
      <c r="D1726" s="152" t="s">
        <v>1953</v>
      </c>
      <c r="E1726" s="152" t="s">
        <v>2083</v>
      </c>
      <c r="F1726" s="152" t="s">
        <v>240</v>
      </c>
      <c r="G1726" s="152" t="s">
        <v>1739</v>
      </c>
      <c r="H1726" s="153" t="s">
        <v>212</v>
      </c>
    </row>
    <row r="1727" hidden="1">
      <c r="A1727" s="154" t="s">
        <v>230</v>
      </c>
      <c r="B1727" s="155" t="s">
        <v>194</v>
      </c>
      <c r="C1727" s="155" t="s">
        <v>206</v>
      </c>
      <c r="D1727" s="156" t="s">
        <v>1953</v>
      </c>
      <c r="E1727" s="156" t="s">
        <v>2084</v>
      </c>
      <c r="F1727" s="156" t="s">
        <v>244</v>
      </c>
      <c r="G1727" s="156" t="s">
        <v>2085</v>
      </c>
      <c r="H1727" s="157" t="s">
        <v>213</v>
      </c>
    </row>
    <row r="1728" hidden="1">
      <c r="A1728" s="151" t="s">
        <v>230</v>
      </c>
      <c r="B1728" s="118" t="s">
        <v>194</v>
      </c>
      <c r="C1728" s="118" t="s">
        <v>206</v>
      </c>
      <c r="D1728" s="152" t="s">
        <v>1953</v>
      </c>
      <c r="E1728" s="152" t="s">
        <v>2086</v>
      </c>
      <c r="F1728" s="152" t="s">
        <v>255</v>
      </c>
      <c r="G1728" s="152" t="s">
        <v>2087</v>
      </c>
      <c r="H1728" s="153" t="s">
        <v>214</v>
      </c>
    </row>
    <row r="1729" hidden="1">
      <c r="A1729" s="154" t="s">
        <v>230</v>
      </c>
      <c r="B1729" s="155" t="s">
        <v>194</v>
      </c>
      <c r="C1729" s="155" t="s">
        <v>206</v>
      </c>
      <c r="D1729" s="156" t="s">
        <v>1953</v>
      </c>
      <c r="E1729" s="156" t="s">
        <v>2088</v>
      </c>
      <c r="F1729" s="156" t="s">
        <v>357</v>
      </c>
      <c r="G1729" s="156" t="s">
        <v>1885</v>
      </c>
      <c r="H1729" s="157" t="s">
        <v>215</v>
      </c>
    </row>
    <row r="1730" hidden="1">
      <c r="A1730" s="151" t="s">
        <v>230</v>
      </c>
      <c r="B1730" s="118" t="s">
        <v>194</v>
      </c>
      <c r="C1730" s="118" t="s">
        <v>206</v>
      </c>
      <c r="D1730" s="152" t="s">
        <v>1953</v>
      </c>
      <c r="E1730" s="152" t="s">
        <v>2089</v>
      </c>
      <c r="F1730" s="152" t="s">
        <v>314</v>
      </c>
      <c r="G1730" s="152" t="s">
        <v>1747</v>
      </c>
      <c r="H1730" s="153" t="s">
        <v>216</v>
      </c>
    </row>
    <row r="1731" hidden="1">
      <c r="A1731" s="158" t="s">
        <v>231</v>
      </c>
      <c r="B1731" s="159"/>
      <c r="C1731" s="155" t="s">
        <v>232</v>
      </c>
      <c r="D1731" s="156" t="s">
        <v>1953</v>
      </c>
      <c r="E1731" s="156" t="s">
        <v>2090</v>
      </c>
      <c r="F1731" s="156" t="s">
        <v>351</v>
      </c>
      <c r="G1731" s="156" t="s">
        <v>2091</v>
      </c>
      <c r="H1731" s="157" t="s">
        <v>210</v>
      </c>
    </row>
    <row r="1732" hidden="1">
      <c r="A1732" s="160" t="s">
        <v>231</v>
      </c>
      <c r="B1732" s="72"/>
      <c r="C1732" s="118" t="s">
        <v>232</v>
      </c>
      <c r="D1732" s="152" t="s">
        <v>1953</v>
      </c>
      <c r="E1732" s="152" t="s">
        <v>2092</v>
      </c>
      <c r="F1732" s="152" t="s">
        <v>308</v>
      </c>
      <c r="G1732" s="152" t="s">
        <v>2093</v>
      </c>
      <c r="H1732" s="153" t="s">
        <v>211</v>
      </c>
    </row>
    <row r="1733" hidden="1">
      <c r="A1733" s="158" t="s">
        <v>231</v>
      </c>
      <c r="B1733" s="159"/>
      <c r="C1733" s="155" t="s">
        <v>232</v>
      </c>
      <c r="D1733" s="156" t="s">
        <v>1953</v>
      </c>
      <c r="E1733" s="156" t="s">
        <v>2094</v>
      </c>
      <c r="F1733" s="156" t="s">
        <v>323</v>
      </c>
      <c r="G1733" s="156" t="s">
        <v>2085</v>
      </c>
      <c r="H1733" s="157" t="s">
        <v>212</v>
      </c>
    </row>
    <row r="1734" hidden="1">
      <c r="A1734" s="160" t="s">
        <v>231</v>
      </c>
      <c r="B1734" s="72"/>
      <c r="C1734" s="118" t="s">
        <v>232</v>
      </c>
      <c r="D1734" s="152" t="s">
        <v>1953</v>
      </c>
      <c r="E1734" s="152" t="s">
        <v>2095</v>
      </c>
      <c r="F1734" s="152" t="s">
        <v>240</v>
      </c>
      <c r="G1734" s="152" t="s">
        <v>1825</v>
      </c>
      <c r="H1734" s="153" t="s">
        <v>213</v>
      </c>
    </row>
    <row r="1735" hidden="1">
      <c r="A1735" s="158" t="s">
        <v>231</v>
      </c>
      <c r="B1735" s="159"/>
      <c r="C1735" s="155" t="s">
        <v>232</v>
      </c>
      <c r="D1735" s="156" t="s">
        <v>1953</v>
      </c>
      <c r="E1735" s="156" t="s">
        <v>2096</v>
      </c>
      <c r="F1735" s="156" t="s">
        <v>262</v>
      </c>
      <c r="G1735" s="156" t="s">
        <v>1936</v>
      </c>
      <c r="H1735" s="157" t="s">
        <v>214</v>
      </c>
    </row>
    <row r="1736" hidden="1">
      <c r="A1736" s="160" t="s">
        <v>231</v>
      </c>
      <c r="B1736" s="72"/>
      <c r="C1736" s="118" t="s">
        <v>232</v>
      </c>
      <c r="D1736" s="152" t="s">
        <v>1953</v>
      </c>
      <c r="E1736" s="152" t="s">
        <v>2097</v>
      </c>
      <c r="F1736" s="152" t="s">
        <v>255</v>
      </c>
      <c r="G1736" s="152" t="s">
        <v>1773</v>
      </c>
      <c r="H1736" s="153" t="s">
        <v>215</v>
      </c>
    </row>
    <row r="1737" hidden="1">
      <c r="A1737" s="158" t="s">
        <v>231</v>
      </c>
      <c r="B1737" s="159"/>
      <c r="C1737" s="155" t="s">
        <v>232</v>
      </c>
      <c r="D1737" s="156" t="s">
        <v>1953</v>
      </c>
      <c r="E1737" s="156" t="s">
        <v>2098</v>
      </c>
      <c r="F1737" s="156" t="s">
        <v>308</v>
      </c>
      <c r="G1737" s="156" t="s">
        <v>2072</v>
      </c>
      <c r="H1737" s="157" t="s">
        <v>216</v>
      </c>
    </row>
    <row r="1738" hidden="1">
      <c r="A1738" s="160" t="s">
        <v>233</v>
      </c>
      <c r="B1738" s="72"/>
      <c r="C1738" s="118" t="s">
        <v>232</v>
      </c>
      <c r="D1738" s="152" t="s">
        <v>1953</v>
      </c>
      <c r="E1738" s="152" t="s">
        <v>2099</v>
      </c>
      <c r="F1738" s="152" t="s">
        <v>257</v>
      </c>
      <c r="G1738" s="152" t="s">
        <v>1825</v>
      </c>
      <c r="H1738" s="153" t="s">
        <v>210</v>
      </c>
    </row>
    <row r="1739" hidden="1">
      <c r="A1739" s="158" t="s">
        <v>233</v>
      </c>
      <c r="B1739" s="159"/>
      <c r="C1739" s="155" t="s">
        <v>232</v>
      </c>
      <c r="D1739" s="156" t="s">
        <v>1953</v>
      </c>
      <c r="E1739" s="156" t="s">
        <v>2100</v>
      </c>
      <c r="F1739" s="156" t="s">
        <v>246</v>
      </c>
      <c r="G1739" s="156" t="s">
        <v>2037</v>
      </c>
      <c r="H1739" s="157" t="s">
        <v>211</v>
      </c>
    </row>
    <row r="1740" hidden="1">
      <c r="A1740" s="160" t="s">
        <v>233</v>
      </c>
      <c r="B1740" s="72"/>
      <c r="C1740" s="118" t="s">
        <v>232</v>
      </c>
      <c r="D1740" s="152" t="s">
        <v>1953</v>
      </c>
      <c r="E1740" s="152" t="s">
        <v>2101</v>
      </c>
      <c r="F1740" s="152" t="s">
        <v>240</v>
      </c>
      <c r="G1740" s="152" t="s">
        <v>1873</v>
      </c>
      <c r="H1740" s="153" t="s">
        <v>212</v>
      </c>
    </row>
    <row r="1741" hidden="1">
      <c r="A1741" s="158" t="s">
        <v>233</v>
      </c>
      <c r="B1741" s="159"/>
      <c r="C1741" s="155" t="s">
        <v>232</v>
      </c>
      <c r="D1741" s="156" t="s">
        <v>1953</v>
      </c>
      <c r="E1741" s="156" t="s">
        <v>2102</v>
      </c>
      <c r="F1741" s="156" t="s">
        <v>246</v>
      </c>
      <c r="G1741" s="156" t="s">
        <v>1885</v>
      </c>
      <c r="H1741" s="157" t="s">
        <v>213</v>
      </c>
    </row>
    <row r="1742" hidden="1">
      <c r="A1742" s="160" t="s">
        <v>233</v>
      </c>
      <c r="B1742" s="72"/>
      <c r="C1742" s="118" t="s">
        <v>232</v>
      </c>
      <c r="D1742" s="152" t="s">
        <v>1953</v>
      </c>
      <c r="E1742" s="152" t="s">
        <v>2103</v>
      </c>
      <c r="F1742" s="152" t="s">
        <v>269</v>
      </c>
      <c r="G1742" s="152" t="s">
        <v>1747</v>
      </c>
      <c r="H1742" s="153" t="s">
        <v>214</v>
      </c>
    </row>
    <row r="1743" hidden="1">
      <c r="A1743" s="158" t="s">
        <v>233</v>
      </c>
      <c r="B1743" s="159"/>
      <c r="C1743" s="155" t="s">
        <v>232</v>
      </c>
      <c r="D1743" s="156" t="s">
        <v>1953</v>
      </c>
      <c r="E1743" s="156" t="s">
        <v>2104</v>
      </c>
      <c r="F1743" s="156" t="s">
        <v>242</v>
      </c>
      <c r="G1743" s="156" t="s">
        <v>1911</v>
      </c>
      <c r="H1743" s="157" t="s">
        <v>215</v>
      </c>
    </row>
    <row r="1744" hidden="1">
      <c r="A1744" s="160" t="s">
        <v>233</v>
      </c>
      <c r="B1744" s="72"/>
      <c r="C1744" s="118" t="s">
        <v>232</v>
      </c>
      <c r="D1744" s="152" t="s">
        <v>1953</v>
      </c>
      <c r="E1744" s="152" t="s">
        <v>2105</v>
      </c>
      <c r="F1744" s="152" t="s">
        <v>257</v>
      </c>
      <c r="G1744" s="152" t="s">
        <v>1916</v>
      </c>
      <c r="H1744" s="153" t="s">
        <v>216</v>
      </c>
    </row>
    <row r="1745" hidden="1">
      <c r="A1745" s="158" t="s">
        <v>234</v>
      </c>
      <c r="B1745" s="159"/>
      <c r="C1745" s="155" t="s">
        <v>232</v>
      </c>
      <c r="D1745" s="156" t="s">
        <v>1953</v>
      </c>
      <c r="E1745" s="156" t="s">
        <v>2106</v>
      </c>
      <c r="F1745" s="156" t="s">
        <v>269</v>
      </c>
      <c r="G1745" s="156" t="s">
        <v>2107</v>
      </c>
      <c r="H1745" s="157" t="s">
        <v>210</v>
      </c>
    </row>
    <row r="1746" hidden="1">
      <c r="A1746" s="160" t="s">
        <v>234</v>
      </c>
      <c r="B1746" s="72"/>
      <c r="C1746" s="118" t="s">
        <v>232</v>
      </c>
      <c r="D1746" s="152" t="s">
        <v>1953</v>
      </c>
      <c r="E1746" s="152" t="s">
        <v>2108</v>
      </c>
      <c r="F1746" s="152" t="s">
        <v>359</v>
      </c>
      <c r="G1746" s="152" t="s">
        <v>2109</v>
      </c>
      <c r="H1746" s="153" t="s">
        <v>211</v>
      </c>
    </row>
    <row r="1747" hidden="1">
      <c r="A1747" s="158" t="s">
        <v>234</v>
      </c>
      <c r="B1747" s="159"/>
      <c r="C1747" s="155" t="s">
        <v>232</v>
      </c>
      <c r="D1747" s="156" t="s">
        <v>1953</v>
      </c>
      <c r="E1747" s="156" t="s">
        <v>2110</v>
      </c>
      <c r="F1747" s="156" t="s">
        <v>478</v>
      </c>
      <c r="G1747" s="156" t="s">
        <v>2111</v>
      </c>
      <c r="H1747" s="157" t="s">
        <v>212</v>
      </c>
    </row>
    <row r="1748" hidden="1">
      <c r="A1748" s="160" t="s">
        <v>234</v>
      </c>
      <c r="B1748" s="72"/>
      <c r="C1748" s="118" t="s">
        <v>232</v>
      </c>
      <c r="D1748" s="152" t="s">
        <v>1953</v>
      </c>
      <c r="E1748" s="152" t="s">
        <v>2112</v>
      </c>
      <c r="F1748" s="152" t="s">
        <v>534</v>
      </c>
      <c r="G1748" s="152" t="s">
        <v>2113</v>
      </c>
      <c r="H1748" s="153" t="s">
        <v>213</v>
      </c>
    </row>
    <row r="1749" hidden="1">
      <c r="A1749" s="158" t="s">
        <v>234</v>
      </c>
      <c r="B1749" s="159"/>
      <c r="C1749" s="155" t="s">
        <v>232</v>
      </c>
      <c r="D1749" s="156" t="s">
        <v>1953</v>
      </c>
      <c r="E1749" s="156" t="s">
        <v>2114</v>
      </c>
      <c r="F1749" s="156" t="s">
        <v>331</v>
      </c>
      <c r="G1749" s="156" t="s">
        <v>2115</v>
      </c>
      <c r="H1749" s="157" t="s">
        <v>214</v>
      </c>
    </row>
    <row r="1750" hidden="1">
      <c r="A1750" s="160" t="s">
        <v>234</v>
      </c>
      <c r="B1750" s="72"/>
      <c r="C1750" s="118" t="s">
        <v>232</v>
      </c>
      <c r="D1750" s="152" t="s">
        <v>1953</v>
      </c>
      <c r="E1750" s="152" t="s">
        <v>2116</v>
      </c>
      <c r="F1750" s="152" t="s">
        <v>1999</v>
      </c>
      <c r="G1750" s="152" t="s">
        <v>2117</v>
      </c>
      <c r="H1750" s="153" t="s">
        <v>215</v>
      </c>
    </row>
    <row r="1751" hidden="1">
      <c r="A1751" s="158" t="s">
        <v>234</v>
      </c>
      <c r="B1751" s="159"/>
      <c r="C1751" s="155" t="s">
        <v>232</v>
      </c>
      <c r="D1751" s="156" t="s">
        <v>1953</v>
      </c>
      <c r="E1751" s="156" t="s">
        <v>2118</v>
      </c>
      <c r="F1751" s="156" t="s">
        <v>323</v>
      </c>
      <c r="G1751" s="156" t="s">
        <v>2119</v>
      </c>
      <c r="H1751" s="157" t="s">
        <v>216</v>
      </c>
    </row>
    <row r="1752" hidden="1">
      <c r="A1752" s="160" t="s">
        <v>235</v>
      </c>
      <c r="B1752" s="72"/>
      <c r="C1752" s="118" t="s">
        <v>236</v>
      </c>
      <c r="D1752" s="152" t="s">
        <v>1953</v>
      </c>
      <c r="E1752" s="152" t="s">
        <v>2120</v>
      </c>
      <c r="F1752" s="152" t="s">
        <v>357</v>
      </c>
      <c r="G1752" s="152" t="s">
        <v>1913</v>
      </c>
      <c r="H1752" s="153" t="s">
        <v>210</v>
      </c>
    </row>
    <row r="1753" hidden="1">
      <c r="A1753" s="158" t="s">
        <v>235</v>
      </c>
      <c r="B1753" s="159"/>
      <c r="C1753" s="155" t="s">
        <v>236</v>
      </c>
      <c r="D1753" s="156" t="s">
        <v>1953</v>
      </c>
      <c r="E1753" s="156" t="s">
        <v>2121</v>
      </c>
      <c r="F1753" s="156" t="s">
        <v>257</v>
      </c>
      <c r="G1753" s="156" t="s">
        <v>1739</v>
      </c>
      <c r="H1753" s="157" t="s">
        <v>211</v>
      </c>
    </row>
    <row r="1754" hidden="1">
      <c r="A1754" s="160" t="s">
        <v>235</v>
      </c>
      <c r="B1754" s="72"/>
      <c r="C1754" s="118" t="s">
        <v>236</v>
      </c>
      <c r="D1754" s="152" t="s">
        <v>1953</v>
      </c>
      <c r="E1754" s="152" t="s">
        <v>2122</v>
      </c>
      <c r="F1754" s="152" t="s">
        <v>244</v>
      </c>
      <c r="G1754" s="152" t="s">
        <v>1747</v>
      </c>
      <c r="H1754" s="153" t="s">
        <v>212</v>
      </c>
    </row>
    <row r="1755" hidden="1">
      <c r="A1755" s="158" t="s">
        <v>235</v>
      </c>
      <c r="B1755" s="159"/>
      <c r="C1755" s="155" t="s">
        <v>236</v>
      </c>
      <c r="D1755" s="156" t="s">
        <v>1953</v>
      </c>
      <c r="E1755" s="156" t="s">
        <v>2123</v>
      </c>
      <c r="F1755" s="156" t="s">
        <v>287</v>
      </c>
      <c r="G1755" s="156" t="s">
        <v>1739</v>
      </c>
      <c r="H1755" s="157" t="s">
        <v>213</v>
      </c>
    </row>
    <row r="1756" hidden="1">
      <c r="A1756" s="160" t="s">
        <v>235</v>
      </c>
      <c r="B1756" s="72"/>
      <c r="C1756" s="118" t="s">
        <v>236</v>
      </c>
      <c r="D1756" s="152" t="s">
        <v>1953</v>
      </c>
      <c r="E1756" s="152" t="s">
        <v>2124</v>
      </c>
      <c r="F1756" s="152" t="s">
        <v>259</v>
      </c>
      <c r="G1756" s="152" t="s">
        <v>1873</v>
      </c>
      <c r="H1756" s="153" t="s">
        <v>214</v>
      </c>
    </row>
    <row r="1757" hidden="1">
      <c r="A1757" s="158" t="s">
        <v>235</v>
      </c>
      <c r="B1757" s="159"/>
      <c r="C1757" s="155" t="s">
        <v>236</v>
      </c>
      <c r="D1757" s="156" t="s">
        <v>1953</v>
      </c>
      <c r="E1757" s="156" t="s">
        <v>2125</v>
      </c>
      <c r="F1757" s="156" t="s">
        <v>287</v>
      </c>
      <c r="G1757" s="156" t="s">
        <v>2126</v>
      </c>
      <c r="H1757" s="157" t="s">
        <v>215</v>
      </c>
    </row>
    <row r="1758" hidden="1">
      <c r="A1758" s="160" t="s">
        <v>235</v>
      </c>
      <c r="B1758" s="72"/>
      <c r="C1758" s="118" t="s">
        <v>236</v>
      </c>
      <c r="D1758" s="152" t="s">
        <v>1953</v>
      </c>
      <c r="E1758" s="152" t="s">
        <v>2127</v>
      </c>
      <c r="F1758" s="152" t="s">
        <v>246</v>
      </c>
      <c r="G1758" s="152" t="s">
        <v>1741</v>
      </c>
      <c r="H1758" s="153" t="s">
        <v>216</v>
      </c>
    </row>
    <row r="1759" hidden="1">
      <c r="A1759" s="158" t="s">
        <v>237</v>
      </c>
      <c r="B1759" s="159"/>
      <c r="C1759" s="155" t="s">
        <v>236</v>
      </c>
      <c r="D1759" s="156" t="s">
        <v>1953</v>
      </c>
      <c r="E1759" s="156" t="s">
        <v>2128</v>
      </c>
      <c r="F1759" s="156" t="s">
        <v>269</v>
      </c>
      <c r="G1759" s="156" t="s">
        <v>2129</v>
      </c>
      <c r="H1759" s="157" t="s">
        <v>210</v>
      </c>
    </row>
    <row r="1760" hidden="1">
      <c r="A1760" s="160" t="s">
        <v>237</v>
      </c>
      <c r="B1760" s="72"/>
      <c r="C1760" s="118" t="s">
        <v>236</v>
      </c>
      <c r="D1760" s="152" t="s">
        <v>1953</v>
      </c>
      <c r="E1760" s="152" t="s">
        <v>2130</v>
      </c>
      <c r="F1760" s="152" t="s">
        <v>321</v>
      </c>
      <c r="G1760" s="152" t="s">
        <v>1951</v>
      </c>
      <c r="H1760" s="153" t="s">
        <v>211</v>
      </c>
    </row>
    <row r="1761" hidden="1">
      <c r="A1761" s="158" t="s">
        <v>237</v>
      </c>
      <c r="B1761" s="159"/>
      <c r="C1761" s="155" t="s">
        <v>236</v>
      </c>
      <c r="D1761" s="156" t="s">
        <v>1953</v>
      </c>
      <c r="E1761" s="156" t="s">
        <v>2131</v>
      </c>
      <c r="F1761" s="156" t="s">
        <v>534</v>
      </c>
      <c r="G1761" s="156" t="s">
        <v>2132</v>
      </c>
      <c r="H1761" s="157" t="s">
        <v>212</v>
      </c>
    </row>
    <row r="1762" hidden="1">
      <c r="A1762" s="160" t="s">
        <v>237</v>
      </c>
      <c r="B1762" s="72"/>
      <c r="C1762" s="118" t="s">
        <v>236</v>
      </c>
      <c r="D1762" s="152" t="s">
        <v>1953</v>
      </c>
      <c r="E1762" s="152" t="s">
        <v>2133</v>
      </c>
      <c r="F1762" s="152" t="s">
        <v>310</v>
      </c>
      <c r="G1762" s="152" t="s">
        <v>2134</v>
      </c>
      <c r="H1762" s="153" t="s">
        <v>213</v>
      </c>
    </row>
    <row r="1763" hidden="1">
      <c r="A1763" s="158" t="s">
        <v>237</v>
      </c>
      <c r="B1763" s="159"/>
      <c r="C1763" s="155" t="s">
        <v>236</v>
      </c>
      <c r="D1763" s="156" t="s">
        <v>1953</v>
      </c>
      <c r="E1763" s="156" t="s">
        <v>2135</v>
      </c>
      <c r="F1763" s="156" t="s">
        <v>308</v>
      </c>
      <c r="G1763" s="156" t="s">
        <v>1932</v>
      </c>
      <c r="H1763" s="157" t="s">
        <v>214</v>
      </c>
    </row>
    <row r="1764" hidden="1">
      <c r="A1764" s="160" t="s">
        <v>237</v>
      </c>
      <c r="B1764" s="72"/>
      <c r="C1764" s="118" t="s">
        <v>236</v>
      </c>
      <c r="D1764" s="152" t="s">
        <v>1953</v>
      </c>
      <c r="E1764" s="152" t="s">
        <v>2136</v>
      </c>
      <c r="F1764" s="152" t="s">
        <v>423</v>
      </c>
      <c r="G1764" s="152" t="s">
        <v>2067</v>
      </c>
      <c r="H1764" s="153" t="s">
        <v>215</v>
      </c>
    </row>
    <row r="1765" hidden="1">
      <c r="A1765" s="158" t="s">
        <v>237</v>
      </c>
      <c r="B1765" s="159"/>
      <c r="C1765" s="155" t="s">
        <v>236</v>
      </c>
      <c r="D1765" s="156" t="s">
        <v>1953</v>
      </c>
      <c r="E1765" s="156" t="s">
        <v>2137</v>
      </c>
      <c r="F1765" s="156" t="s">
        <v>323</v>
      </c>
      <c r="G1765" s="156" t="s">
        <v>2138</v>
      </c>
      <c r="H1765" s="157" t="s">
        <v>216</v>
      </c>
    </row>
    <row r="1766" hidden="1">
      <c r="A1766" s="151" t="s">
        <v>204</v>
      </c>
      <c r="B1766" s="118" t="s">
        <v>205</v>
      </c>
      <c r="C1766" s="118" t="s">
        <v>206</v>
      </c>
      <c r="D1766" s="152" t="s">
        <v>2139</v>
      </c>
      <c r="E1766" s="152" t="s">
        <v>2140</v>
      </c>
      <c r="F1766" s="152" t="s">
        <v>249</v>
      </c>
      <c r="G1766" s="152" t="s">
        <v>1729</v>
      </c>
      <c r="H1766" s="153" t="s">
        <v>210</v>
      </c>
    </row>
    <row r="1767" hidden="1">
      <c r="A1767" s="154" t="s">
        <v>204</v>
      </c>
      <c r="B1767" s="155" t="s">
        <v>205</v>
      </c>
      <c r="C1767" s="155" t="s">
        <v>206</v>
      </c>
      <c r="D1767" s="156" t="s">
        <v>2139</v>
      </c>
      <c r="E1767" s="156" t="s">
        <v>2141</v>
      </c>
      <c r="F1767" s="156" t="s">
        <v>359</v>
      </c>
      <c r="G1767" s="156" t="s">
        <v>2142</v>
      </c>
      <c r="H1767" s="157" t="s">
        <v>211</v>
      </c>
    </row>
    <row r="1768" hidden="1">
      <c r="A1768" s="151" t="s">
        <v>204</v>
      </c>
      <c r="B1768" s="118" t="s">
        <v>205</v>
      </c>
      <c r="C1768" s="118" t="s">
        <v>206</v>
      </c>
      <c r="D1768" s="152" t="s">
        <v>2139</v>
      </c>
      <c r="E1768" s="152" t="s">
        <v>2143</v>
      </c>
      <c r="F1768" s="152" t="s">
        <v>323</v>
      </c>
      <c r="G1768" s="152" t="s">
        <v>1827</v>
      </c>
      <c r="H1768" s="153" t="s">
        <v>212</v>
      </c>
    </row>
    <row r="1769" hidden="1">
      <c r="A1769" s="154" t="s">
        <v>204</v>
      </c>
      <c r="B1769" s="155" t="s">
        <v>205</v>
      </c>
      <c r="C1769" s="155" t="s">
        <v>206</v>
      </c>
      <c r="D1769" s="156" t="s">
        <v>2139</v>
      </c>
      <c r="E1769" s="156" t="s">
        <v>2144</v>
      </c>
      <c r="F1769" s="156" t="s">
        <v>365</v>
      </c>
      <c r="G1769" s="156" t="s">
        <v>2055</v>
      </c>
      <c r="H1769" s="157" t="s">
        <v>213</v>
      </c>
    </row>
    <row r="1770" hidden="1">
      <c r="A1770" s="151" t="s">
        <v>204</v>
      </c>
      <c r="B1770" s="118" t="s">
        <v>205</v>
      </c>
      <c r="C1770" s="118" t="s">
        <v>206</v>
      </c>
      <c r="D1770" s="152" t="s">
        <v>2139</v>
      </c>
      <c r="E1770" s="152" t="s">
        <v>2145</v>
      </c>
      <c r="F1770" s="152" t="s">
        <v>249</v>
      </c>
      <c r="G1770" s="152" t="s">
        <v>2146</v>
      </c>
      <c r="H1770" s="153" t="s">
        <v>214</v>
      </c>
    </row>
    <row r="1771" hidden="1">
      <c r="A1771" s="154" t="s">
        <v>204</v>
      </c>
      <c r="B1771" s="155" t="s">
        <v>205</v>
      </c>
      <c r="C1771" s="155" t="s">
        <v>206</v>
      </c>
      <c r="D1771" s="156" t="s">
        <v>2139</v>
      </c>
      <c r="E1771" s="156" t="s">
        <v>2147</v>
      </c>
      <c r="F1771" s="156" t="s">
        <v>365</v>
      </c>
      <c r="G1771" s="156" t="s">
        <v>2093</v>
      </c>
      <c r="H1771" s="157" t="s">
        <v>215</v>
      </c>
    </row>
    <row r="1772" hidden="1">
      <c r="A1772" s="151" t="s">
        <v>204</v>
      </c>
      <c r="B1772" s="118" t="s">
        <v>205</v>
      </c>
      <c r="C1772" s="118" t="s">
        <v>206</v>
      </c>
      <c r="D1772" s="152" t="s">
        <v>2139</v>
      </c>
      <c r="E1772" s="152" t="s">
        <v>2148</v>
      </c>
      <c r="F1772" s="152" t="s">
        <v>314</v>
      </c>
      <c r="G1772" s="152" t="s">
        <v>1955</v>
      </c>
      <c r="H1772" s="153" t="s">
        <v>216</v>
      </c>
    </row>
    <row r="1773" hidden="1">
      <c r="A1773" s="154" t="s">
        <v>217</v>
      </c>
      <c r="B1773" s="155" t="s">
        <v>191</v>
      </c>
      <c r="C1773" s="155" t="s">
        <v>206</v>
      </c>
      <c r="D1773" s="156" t="s">
        <v>2139</v>
      </c>
      <c r="E1773" s="156" t="s">
        <v>2149</v>
      </c>
      <c r="F1773" s="156" t="s">
        <v>314</v>
      </c>
      <c r="G1773" s="156" t="s">
        <v>2093</v>
      </c>
      <c r="H1773" s="157" t="s">
        <v>210</v>
      </c>
    </row>
    <row r="1774" hidden="1">
      <c r="A1774" s="151" t="s">
        <v>217</v>
      </c>
      <c r="B1774" s="118" t="s">
        <v>191</v>
      </c>
      <c r="C1774" s="118" t="s">
        <v>206</v>
      </c>
      <c r="D1774" s="152" t="s">
        <v>2139</v>
      </c>
      <c r="E1774" s="152" t="s">
        <v>2150</v>
      </c>
      <c r="F1774" s="152" t="s">
        <v>357</v>
      </c>
      <c r="G1774" s="152" t="s">
        <v>1911</v>
      </c>
      <c r="H1774" s="153" t="s">
        <v>211</v>
      </c>
    </row>
    <row r="1775" hidden="1">
      <c r="A1775" s="154" t="s">
        <v>217</v>
      </c>
      <c r="B1775" s="155" t="s">
        <v>191</v>
      </c>
      <c r="C1775" s="155" t="s">
        <v>206</v>
      </c>
      <c r="D1775" s="156" t="s">
        <v>2139</v>
      </c>
      <c r="E1775" s="156" t="s">
        <v>2151</v>
      </c>
      <c r="F1775" s="156" t="s">
        <v>323</v>
      </c>
      <c r="G1775" s="156" t="s">
        <v>2037</v>
      </c>
      <c r="H1775" s="157" t="s">
        <v>212</v>
      </c>
    </row>
    <row r="1776" hidden="1">
      <c r="A1776" s="151" t="s">
        <v>217</v>
      </c>
      <c r="B1776" s="118" t="s">
        <v>191</v>
      </c>
      <c r="C1776" s="118" t="s">
        <v>206</v>
      </c>
      <c r="D1776" s="152" t="s">
        <v>2139</v>
      </c>
      <c r="E1776" s="152" t="s">
        <v>2152</v>
      </c>
      <c r="F1776" s="152" t="s">
        <v>242</v>
      </c>
      <c r="G1776" s="152" t="s">
        <v>1911</v>
      </c>
      <c r="H1776" s="153" t="s">
        <v>213</v>
      </c>
    </row>
    <row r="1777" hidden="1">
      <c r="A1777" s="154" t="s">
        <v>217</v>
      </c>
      <c r="B1777" s="155" t="s">
        <v>191</v>
      </c>
      <c r="C1777" s="155" t="s">
        <v>206</v>
      </c>
      <c r="D1777" s="156" t="s">
        <v>2139</v>
      </c>
      <c r="E1777" s="156" t="s">
        <v>2153</v>
      </c>
      <c r="F1777" s="156" t="s">
        <v>285</v>
      </c>
      <c r="G1777" s="156" t="s">
        <v>1891</v>
      </c>
      <c r="H1777" s="157" t="s">
        <v>214</v>
      </c>
    </row>
    <row r="1778" hidden="1">
      <c r="A1778" s="151" t="s">
        <v>217</v>
      </c>
      <c r="B1778" s="118" t="s">
        <v>191</v>
      </c>
      <c r="C1778" s="118" t="s">
        <v>206</v>
      </c>
      <c r="D1778" s="152" t="s">
        <v>2139</v>
      </c>
      <c r="E1778" s="152" t="s">
        <v>2154</v>
      </c>
      <c r="F1778" s="152" t="s">
        <v>365</v>
      </c>
      <c r="G1778" s="152" t="s">
        <v>2155</v>
      </c>
      <c r="H1778" s="153" t="s">
        <v>215</v>
      </c>
    </row>
    <row r="1779" hidden="1">
      <c r="A1779" s="154" t="s">
        <v>217</v>
      </c>
      <c r="B1779" s="155" t="s">
        <v>191</v>
      </c>
      <c r="C1779" s="155" t="s">
        <v>206</v>
      </c>
      <c r="D1779" s="156" t="s">
        <v>2139</v>
      </c>
      <c r="E1779" s="156" t="s">
        <v>2156</v>
      </c>
      <c r="F1779" s="156" t="s">
        <v>285</v>
      </c>
      <c r="G1779" s="156" t="s">
        <v>1879</v>
      </c>
      <c r="H1779" s="157" t="s">
        <v>216</v>
      </c>
    </row>
    <row r="1780" hidden="1">
      <c r="A1780" s="151" t="s">
        <v>218</v>
      </c>
      <c r="B1780" s="118" t="s">
        <v>219</v>
      </c>
      <c r="C1780" s="118" t="s">
        <v>206</v>
      </c>
      <c r="D1780" s="152" t="s">
        <v>2139</v>
      </c>
      <c r="E1780" s="152" t="s">
        <v>2157</v>
      </c>
      <c r="F1780" s="152" t="s">
        <v>244</v>
      </c>
      <c r="G1780" s="152" t="s">
        <v>1899</v>
      </c>
      <c r="H1780" s="153" t="s">
        <v>210</v>
      </c>
    </row>
    <row r="1781" hidden="1">
      <c r="A1781" s="154" t="s">
        <v>218</v>
      </c>
      <c r="B1781" s="155" t="s">
        <v>219</v>
      </c>
      <c r="C1781" s="155" t="s">
        <v>206</v>
      </c>
      <c r="D1781" s="156" t="s">
        <v>2139</v>
      </c>
      <c r="E1781" s="156" t="s">
        <v>2158</v>
      </c>
      <c r="F1781" s="156" t="s">
        <v>244</v>
      </c>
      <c r="G1781" s="156" t="s">
        <v>2072</v>
      </c>
      <c r="H1781" s="157" t="s">
        <v>211</v>
      </c>
    </row>
    <row r="1782" hidden="1">
      <c r="A1782" s="151" t="s">
        <v>218</v>
      </c>
      <c r="B1782" s="118" t="s">
        <v>219</v>
      </c>
      <c r="C1782" s="118" t="s">
        <v>206</v>
      </c>
      <c r="D1782" s="152" t="s">
        <v>2139</v>
      </c>
      <c r="E1782" s="152" t="s">
        <v>2159</v>
      </c>
      <c r="F1782" s="152" t="s">
        <v>242</v>
      </c>
      <c r="G1782" s="152" t="s">
        <v>1814</v>
      </c>
      <c r="H1782" s="153" t="s">
        <v>212</v>
      </c>
    </row>
    <row r="1783" hidden="1">
      <c r="A1783" s="154" t="s">
        <v>218</v>
      </c>
      <c r="B1783" s="155" t="s">
        <v>219</v>
      </c>
      <c r="C1783" s="155" t="s">
        <v>206</v>
      </c>
      <c r="D1783" s="156" t="s">
        <v>2139</v>
      </c>
      <c r="E1783" s="156" t="s">
        <v>2160</v>
      </c>
      <c r="F1783" s="156" t="s">
        <v>323</v>
      </c>
      <c r="G1783" s="156" t="s">
        <v>1747</v>
      </c>
      <c r="H1783" s="157" t="s">
        <v>213</v>
      </c>
    </row>
    <row r="1784" hidden="1">
      <c r="A1784" s="151" t="s">
        <v>218</v>
      </c>
      <c r="B1784" s="118" t="s">
        <v>219</v>
      </c>
      <c r="C1784" s="118" t="s">
        <v>206</v>
      </c>
      <c r="D1784" s="152" t="s">
        <v>2139</v>
      </c>
      <c r="E1784" s="152" t="s">
        <v>2161</v>
      </c>
      <c r="F1784" s="152" t="s">
        <v>242</v>
      </c>
      <c r="G1784" s="152" t="s">
        <v>2051</v>
      </c>
      <c r="H1784" s="153" t="s">
        <v>214</v>
      </c>
    </row>
    <row r="1785" hidden="1">
      <c r="A1785" s="154" t="s">
        <v>218</v>
      </c>
      <c r="B1785" s="155" t="s">
        <v>219</v>
      </c>
      <c r="C1785" s="155" t="s">
        <v>206</v>
      </c>
      <c r="D1785" s="156" t="s">
        <v>2139</v>
      </c>
      <c r="E1785" s="156" t="s">
        <v>2162</v>
      </c>
      <c r="F1785" s="156" t="s">
        <v>246</v>
      </c>
      <c r="G1785" s="156" t="s">
        <v>2037</v>
      </c>
      <c r="H1785" s="157" t="s">
        <v>215</v>
      </c>
    </row>
    <row r="1786" hidden="1">
      <c r="A1786" s="151" t="s">
        <v>218</v>
      </c>
      <c r="B1786" s="118" t="s">
        <v>219</v>
      </c>
      <c r="C1786" s="118" t="s">
        <v>206</v>
      </c>
      <c r="D1786" s="152" t="s">
        <v>2139</v>
      </c>
      <c r="E1786" s="152" t="s">
        <v>2163</v>
      </c>
      <c r="F1786" s="152" t="s">
        <v>244</v>
      </c>
      <c r="G1786" s="152" t="s">
        <v>1725</v>
      </c>
      <c r="H1786" s="153" t="s">
        <v>216</v>
      </c>
    </row>
    <row r="1787" hidden="1">
      <c r="A1787" s="154" t="s">
        <v>220</v>
      </c>
      <c r="B1787" s="155" t="s">
        <v>190</v>
      </c>
      <c r="C1787" s="155" t="s">
        <v>206</v>
      </c>
      <c r="D1787" s="156" t="s">
        <v>2139</v>
      </c>
      <c r="E1787" s="156" t="s">
        <v>2164</v>
      </c>
      <c r="F1787" s="156" t="s">
        <v>1181</v>
      </c>
      <c r="G1787" s="156" t="s">
        <v>1804</v>
      </c>
      <c r="H1787" s="157" t="s">
        <v>210</v>
      </c>
    </row>
    <row r="1788" hidden="1">
      <c r="A1788" s="151" t="s">
        <v>220</v>
      </c>
      <c r="B1788" s="118" t="s">
        <v>190</v>
      </c>
      <c r="C1788" s="118" t="s">
        <v>206</v>
      </c>
      <c r="D1788" s="152" t="s">
        <v>2139</v>
      </c>
      <c r="E1788" s="152" t="s">
        <v>2165</v>
      </c>
      <c r="F1788" s="152" t="s">
        <v>2166</v>
      </c>
      <c r="G1788" s="152" t="s">
        <v>2011</v>
      </c>
      <c r="H1788" s="153" t="s">
        <v>211</v>
      </c>
    </row>
    <row r="1789" hidden="1">
      <c r="A1789" s="154" t="s">
        <v>220</v>
      </c>
      <c r="B1789" s="155" t="s">
        <v>190</v>
      </c>
      <c r="C1789" s="155" t="s">
        <v>206</v>
      </c>
      <c r="D1789" s="156" t="s">
        <v>2139</v>
      </c>
      <c r="E1789" s="156" t="s">
        <v>2167</v>
      </c>
      <c r="F1789" s="156" t="s">
        <v>2168</v>
      </c>
      <c r="G1789" s="156" t="s">
        <v>2169</v>
      </c>
      <c r="H1789" s="157" t="s">
        <v>212</v>
      </c>
    </row>
    <row r="1790" hidden="1">
      <c r="A1790" s="151" t="s">
        <v>220</v>
      </c>
      <c r="B1790" s="118" t="s">
        <v>190</v>
      </c>
      <c r="C1790" s="118" t="s">
        <v>206</v>
      </c>
      <c r="D1790" s="152" t="s">
        <v>2139</v>
      </c>
      <c r="E1790" s="152" t="s">
        <v>2170</v>
      </c>
      <c r="F1790" s="152" t="s">
        <v>1181</v>
      </c>
      <c r="G1790" s="152" t="s">
        <v>1903</v>
      </c>
      <c r="H1790" s="153" t="s">
        <v>213</v>
      </c>
    </row>
    <row r="1791" hidden="1">
      <c r="A1791" s="154" t="s">
        <v>220</v>
      </c>
      <c r="B1791" s="155" t="s">
        <v>190</v>
      </c>
      <c r="C1791" s="155" t="s">
        <v>206</v>
      </c>
      <c r="D1791" s="156" t="s">
        <v>2139</v>
      </c>
      <c r="E1791" s="156" t="s">
        <v>2171</v>
      </c>
      <c r="F1791" s="156" t="s">
        <v>244</v>
      </c>
      <c r="G1791" s="156" t="s">
        <v>1804</v>
      </c>
      <c r="H1791" s="157" t="s">
        <v>214</v>
      </c>
    </row>
    <row r="1792" hidden="1">
      <c r="A1792" s="151" t="s">
        <v>220</v>
      </c>
      <c r="B1792" s="118" t="s">
        <v>190</v>
      </c>
      <c r="C1792" s="118" t="s">
        <v>206</v>
      </c>
      <c r="D1792" s="152" t="s">
        <v>2139</v>
      </c>
      <c r="E1792" s="152" t="s">
        <v>2172</v>
      </c>
      <c r="F1792" s="152" t="s">
        <v>259</v>
      </c>
      <c r="G1792" s="152" t="s">
        <v>2173</v>
      </c>
      <c r="H1792" s="153" t="s">
        <v>215</v>
      </c>
    </row>
    <row r="1793" hidden="1">
      <c r="A1793" s="154" t="s">
        <v>220</v>
      </c>
      <c r="B1793" s="155" t="s">
        <v>190</v>
      </c>
      <c r="C1793" s="155" t="s">
        <v>206</v>
      </c>
      <c r="D1793" s="156" t="s">
        <v>2139</v>
      </c>
      <c r="E1793" s="156" t="s">
        <v>2174</v>
      </c>
      <c r="F1793" s="156" t="s">
        <v>1181</v>
      </c>
      <c r="G1793" s="156" t="s">
        <v>2175</v>
      </c>
      <c r="H1793" s="157" t="s">
        <v>216</v>
      </c>
    </row>
    <row r="1794" hidden="1">
      <c r="A1794" s="151" t="s">
        <v>221</v>
      </c>
      <c r="B1794" s="118" t="s">
        <v>189</v>
      </c>
      <c r="C1794" s="118" t="s">
        <v>206</v>
      </c>
      <c r="D1794" s="152" t="s">
        <v>2139</v>
      </c>
      <c r="E1794" s="152" t="s">
        <v>2176</v>
      </c>
      <c r="F1794" s="152" t="s">
        <v>677</v>
      </c>
      <c r="G1794" s="152" t="s">
        <v>2177</v>
      </c>
      <c r="H1794" s="153" t="s">
        <v>210</v>
      </c>
    </row>
    <row r="1795" hidden="1">
      <c r="A1795" s="154" t="s">
        <v>221</v>
      </c>
      <c r="B1795" s="155" t="s">
        <v>189</v>
      </c>
      <c r="C1795" s="155" t="s">
        <v>206</v>
      </c>
      <c r="D1795" s="156" t="s">
        <v>2139</v>
      </c>
      <c r="E1795" s="156" t="s">
        <v>2178</v>
      </c>
      <c r="F1795" s="156" t="s">
        <v>351</v>
      </c>
      <c r="G1795" s="156" t="s">
        <v>2179</v>
      </c>
      <c r="H1795" s="157" t="s">
        <v>211</v>
      </c>
    </row>
    <row r="1796" hidden="1">
      <c r="A1796" s="151" t="s">
        <v>221</v>
      </c>
      <c r="B1796" s="118" t="s">
        <v>189</v>
      </c>
      <c r="C1796" s="118" t="s">
        <v>206</v>
      </c>
      <c r="D1796" s="152" t="s">
        <v>2139</v>
      </c>
      <c r="E1796" s="152" t="s">
        <v>2180</v>
      </c>
      <c r="F1796" s="152" t="s">
        <v>450</v>
      </c>
      <c r="G1796" s="152" t="s">
        <v>2181</v>
      </c>
      <c r="H1796" s="153" t="s">
        <v>212</v>
      </c>
    </row>
    <row r="1797" hidden="1">
      <c r="A1797" s="154" t="s">
        <v>221</v>
      </c>
      <c r="B1797" s="155" t="s">
        <v>189</v>
      </c>
      <c r="C1797" s="155" t="s">
        <v>206</v>
      </c>
      <c r="D1797" s="156" t="s">
        <v>2139</v>
      </c>
      <c r="E1797" s="156" t="s">
        <v>2182</v>
      </c>
      <c r="F1797" s="156" t="s">
        <v>314</v>
      </c>
      <c r="G1797" s="156" t="s">
        <v>2183</v>
      </c>
      <c r="H1797" s="157" t="s">
        <v>213</v>
      </c>
    </row>
    <row r="1798" hidden="1">
      <c r="A1798" s="151" t="s">
        <v>221</v>
      </c>
      <c r="B1798" s="118" t="s">
        <v>189</v>
      </c>
      <c r="C1798" s="118" t="s">
        <v>206</v>
      </c>
      <c r="D1798" s="152" t="s">
        <v>2139</v>
      </c>
      <c r="E1798" s="152" t="s">
        <v>2184</v>
      </c>
      <c r="F1798" s="152" t="s">
        <v>357</v>
      </c>
      <c r="G1798" s="152" t="s">
        <v>2185</v>
      </c>
      <c r="H1798" s="153" t="s">
        <v>214</v>
      </c>
    </row>
    <row r="1799" hidden="1">
      <c r="A1799" s="154" t="s">
        <v>221</v>
      </c>
      <c r="B1799" s="155" t="s">
        <v>189</v>
      </c>
      <c r="C1799" s="155" t="s">
        <v>206</v>
      </c>
      <c r="D1799" s="156" t="s">
        <v>2139</v>
      </c>
      <c r="E1799" s="156" t="s">
        <v>2186</v>
      </c>
      <c r="F1799" s="156" t="s">
        <v>492</v>
      </c>
      <c r="G1799" s="156" t="s">
        <v>2187</v>
      </c>
      <c r="H1799" s="157" t="s">
        <v>215</v>
      </c>
    </row>
    <row r="1800" hidden="1">
      <c r="A1800" s="151" t="s">
        <v>221</v>
      </c>
      <c r="B1800" s="118" t="s">
        <v>189</v>
      </c>
      <c r="C1800" s="118" t="s">
        <v>206</v>
      </c>
      <c r="D1800" s="152" t="s">
        <v>2139</v>
      </c>
      <c r="E1800" s="152" t="s">
        <v>2188</v>
      </c>
      <c r="F1800" s="152" t="s">
        <v>325</v>
      </c>
      <c r="G1800" s="152" t="s">
        <v>2189</v>
      </c>
      <c r="H1800" s="153" t="s">
        <v>216</v>
      </c>
    </row>
    <row r="1801" hidden="1">
      <c r="A1801" s="154" t="s">
        <v>222</v>
      </c>
      <c r="B1801" s="155" t="s">
        <v>192</v>
      </c>
      <c r="C1801" s="155" t="s">
        <v>206</v>
      </c>
      <c r="D1801" s="156" t="s">
        <v>2139</v>
      </c>
      <c r="E1801" s="156" t="s">
        <v>2190</v>
      </c>
      <c r="F1801" s="156" t="s">
        <v>242</v>
      </c>
      <c r="G1801" s="156" t="s">
        <v>1883</v>
      </c>
      <c r="H1801" s="157" t="s">
        <v>210</v>
      </c>
    </row>
    <row r="1802" hidden="1">
      <c r="A1802" s="151" t="s">
        <v>222</v>
      </c>
      <c r="B1802" s="118" t="s">
        <v>192</v>
      </c>
      <c r="C1802" s="118" t="s">
        <v>206</v>
      </c>
      <c r="D1802" s="152" t="s">
        <v>2139</v>
      </c>
      <c r="E1802" s="152" t="s">
        <v>2191</v>
      </c>
      <c r="F1802" s="152" t="s">
        <v>242</v>
      </c>
      <c r="G1802" s="152" t="s">
        <v>2077</v>
      </c>
      <c r="H1802" s="153" t="s">
        <v>211</v>
      </c>
    </row>
    <row r="1803" hidden="1">
      <c r="A1803" s="154" t="s">
        <v>222</v>
      </c>
      <c r="B1803" s="155" t="s">
        <v>192</v>
      </c>
      <c r="C1803" s="155" t="s">
        <v>206</v>
      </c>
      <c r="D1803" s="156" t="s">
        <v>2139</v>
      </c>
      <c r="E1803" s="156" t="s">
        <v>2192</v>
      </c>
      <c r="F1803" s="156" t="s">
        <v>246</v>
      </c>
      <c r="G1803" s="156" t="s">
        <v>2193</v>
      </c>
      <c r="H1803" s="157" t="s">
        <v>212</v>
      </c>
    </row>
    <row r="1804" hidden="1">
      <c r="A1804" s="151" t="s">
        <v>222</v>
      </c>
      <c r="B1804" s="118" t="s">
        <v>192</v>
      </c>
      <c r="C1804" s="118" t="s">
        <v>206</v>
      </c>
      <c r="D1804" s="152" t="s">
        <v>2139</v>
      </c>
      <c r="E1804" s="152" t="s">
        <v>2194</v>
      </c>
      <c r="F1804" s="152" t="s">
        <v>246</v>
      </c>
      <c r="G1804" s="152" t="s">
        <v>2077</v>
      </c>
      <c r="H1804" s="153" t="s">
        <v>213</v>
      </c>
    </row>
    <row r="1805" hidden="1">
      <c r="A1805" s="154" t="s">
        <v>222</v>
      </c>
      <c r="B1805" s="155" t="s">
        <v>192</v>
      </c>
      <c r="C1805" s="155" t="s">
        <v>206</v>
      </c>
      <c r="D1805" s="156" t="s">
        <v>2139</v>
      </c>
      <c r="E1805" s="156" t="s">
        <v>2195</v>
      </c>
      <c r="F1805" s="156" t="s">
        <v>365</v>
      </c>
      <c r="G1805" s="156" t="s">
        <v>1767</v>
      </c>
      <c r="H1805" s="157" t="s">
        <v>214</v>
      </c>
    </row>
    <row r="1806" hidden="1">
      <c r="A1806" s="151" t="s">
        <v>222</v>
      </c>
      <c r="B1806" s="118" t="s">
        <v>192</v>
      </c>
      <c r="C1806" s="118" t="s">
        <v>206</v>
      </c>
      <c r="D1806" s="152" t="s">
        <v>2139</v>
      </c>
      <c r="E1806" s="152" t="s">
        <v>2196</v>
      </c>
      <c r="F1806" s="152" t="s">
        <v>246</v>
      </c>
      <c r="G1806" s="152" t="s">
        <v>1795</v>
      </c>
      <c r="H1806" s="153" t="s">
        <v>215</v>
      </c>
    </row>
    <row r="1807" hidden="1">
      <c r="A1807" s="154" t="s">
        <v>222</v>
      </c>
      <c r="B1807" s="155" t="s">
        <v>192</v>
      </c>
      <c r="C1807" s="155" t="s">
        <v>206</v>
      </c>
      <c r="D1807" s="156" t="s">
        <v>2139</v>
      </c>
      <c r="E1807" s="156" t="s">
        <v>2197</v>
      </c>
      <c r="F1807" s="156" t="s">
        <v>244</v>
      </c>
      <c r="G1807" s="156" t="s">
        <v>1737</v>
      </c>
      <c r="H1807" s="157" t="s">
        <v>216</v>
      </c>
    </row>
    <row r="1808" hidden="1">
      <c r="A1808" s="151" t="s">
        <v>223</v>
      </c>
      <c r="B1808" s="118" t="s">
        <v>144</v>
      </c>
      <c r="C1808" s="118" t="s">
        <v>206</v>
      </c>
      <c r="D1808" s="152" t="s">
        <v>2139</v>
      </c>
      <c r="E1808" s="152" t="s">
        <v>2198</v>
      </c>
      <c r="F1808" s="152" t="s">
        <v>308</v>
      </c>
      <c r="G1808" s="152" t="s">
        <v>635</v>
      </c>
      <c r="H1808" s="153" t="s">
        <v>210</v>
      </c>
    </row>
    <row r="1809" hidden="1">
      <c r="A1809" s="154" t="s">
        <v>223</v>
      </c>
      <c r="B1809" s="155" t="s">
        <v>144</v>
      </c>
      <c r="C1809" s="155" t="s">
        <v>206</v>
      </c>
      <c r="D1809" s="156" t="s">
        <v>2139</v>
      </c>
      <c r="E1809" s="156" t="s">
        <v>2199</v>
      </c>
      <c r="F1809" s="156" t="s">
        <v>285</v>
      </c>
      <c r="G1809" s="156" t="s">
        <v>635</v>
      </c>
      <c r="H1809" s="157" t="s">
        <v>211</v>
      </c>
    </row>
    <row r="1810" hidden="1">
      <c r="A1810" s="151" t="s">
        <v>223</v>
      </c>
      <c r="B1810" s="118" t="s">
        <v>144</v>
      </c>
      <c r="C1810" s="118" t="s">
        <v>206</v>
      </c>
      <c r="D1810" s="152" t="s">
        <v>2139</v>
      </c>
      <c r="E1810" s="152" t="s">
        <v>2200</v>
      </c>
      <c r="F1810" s="152" t="s">
        <v>285</v>
      </c>
      <c r="G1810" s="152" t="s">
        <v>1727</v>
      </c>
      <c r="H1810" s="153" t="s">
        <v>212</v>
      </c>
    </row>
    <row r="1811" hidden="1">
      <c r="A1811" s="154" t="s">
        <v>223</v>
      </c>
      <c r="B1811" s="155" t="s">
        <v>144</v>
      </c>
      <c r="C1811" s="155" t="s">
        <v>206</v>
      </c>
      <c r="D1811" s="156" t="s">
        <v>2139</v>
      </c>
      <c r="E1811" s="156" t="s">
        <v>2201</v>
      </c>
      <c r="F1811" s="156" t="s">
        <v>244</v>
      </c>
      <c r="G1811" s="156" t="s">
        <v>2055</v>
      </c>
      <c r="H1811" s="157" t="s">
        <v>213</v>
      </c>
    </row>
    <row r="1812" hidden="1">
      <c r="A1812" s="151" t="s">
        <v>223</v>
      </c>
      <c r="B1812" s="118" t="s">
        <v>144</v>
      </c>
      <c r="C1812" s="118" t="s">
        <v>206</v>
      </c>
      <c r="D1812" s="152" t="s">
        <v>2139</v>
      </c>
      <c r="E1812" s="152" t="s">
        <v>2202</v>
      </c>
      <c r="F1812" s="152" t="s">
        <v>246</v>
      </c>
      <c r="G1812" s="152" t="s">
        <v>2203</v>
      </c>
      <c r="H1812" s="153" t="s">
        <v>214</v>
      </c>
    </row>
    <row r="1813" hidden="1">
      <c r="A1813" s="154" t="s">
        <v>223</v>
      </c>
      <c r="B1813" s="155" t="s">
        <v>144</v>
      </c>
      <c r="C1813" s="155" t="s">
        <v>206</v>
      </c>
      <c r="D1813" s="156" t="s">
        <v>2139</v>
      </c>
      <c r="E1813" s="156" t="s">
        <v>2204</v>
      </c>
      <c r="F1813" s="156" t="s">
        <v>244</v>
      </c>
      <c r="G1813" s="156" t="s">
        <v>1979</v>
      </c>
      <c r="H1813" s="157" t="s">
        <v>215</v>
      </c>
    </row>
    <row r="1814" hidden="1">
      <c r="A1814" s="151" t="s">
        <v>223</v>
      </c>
      <c r="B1814" s="118" t="s">
        <v>144</v>
      </c>
      <c r="C1814" s="118" t="s">
        <v>206</v>
      </c>
      <c r="D1814" s="152" t="s">
        <v>2139</v>
      </c>
      <c r="E1814" s="152" t="s">
        <v>2205</v>
      </c>
      <c r="F1814" s="152" t="s">
        <v>359</v>
      </c>
      <c r="G1814" s="152" t="s">
        <v>2146</v>
      </c>
      <c r="H1814" s="153" t="s">
        <v>216</v>
      </c>
    </row>
    <row r="1815" hidden="1">
      <c r="A1815" s="154" t="s">
        <v>224</v>
      </c>
      <c r="B1815" s="155" t="s">
        <v>170</v>
      </c>
      <c r="C1815" s="155" t="s">
        <v>206</v>
      </c>
      <c r="D1815" s="156" t="s">
        <v>2139</v>
      </c>
      <c r="E1815" s="156" t="s">
        <v>2206</v>
      </c>
      <c r="F1815" s="156" t="s">
        <v>725</v>
      </c>
      <c r="G1815" s="156" t="s">
        <v>1916</v>
      </c>
      <c r="H1815" s="157" t="s">
        <v>210</v>
      </c>
    </row>
    <row r="1816" hidden="1">
      <c r="A1816" s="151" t="s">
        <v>224</v>
      </c>
      <c r="B1816" s="118" t="s">
        <v>170</v>
      </c>
      <c r="C1816" s="118" t="s">
        <v>206</v>
      </c>
      <c r="D1816" s="152" t="s">
        <v>2139</v>
      </c>
      <c r="E1816" s="152" t="s">
        <v>2207</v>
      </c>
      <c r="F1816" s="152" t="s">
        <v>478</v>
      </c>
      <c r="G1816" s="152" t="s">
        <v>1961</v>
      </c>
      <c r="H1816" s="153" t="s">
        <v>211</v>
      </c>
    </row>
    <row r="1817" hidden="1">
      <c r="A1817" s="154" t="s">
        <v>224</v>
      </c>
      <c r="B1817" s="155" t="s">
        <v>170</v>
      </c>
      <c r="C1817" s="155" t="s">
        <v>206</v>
      </c>
      <c r="D1817" s="156" t="s">
        <v>2139</v>
      </c>
      <c r="E1817" s="156" t="s">
        <v>2208</v>
      </c>
      <c r="F1817" s="156" t="s">
        <v>331</v>
      </c>
      <c r="G1817" s="156" t="s">
        <v>1976</v>
      </c>
      <c r="H1817" s="157" t="s">
        <v>212</v>
      </c>
    </row>
    <row r="1818" hidden="1">
      <c r="A1818" s="151" t="s">
        <v>224</v>
      </c>
      <c r="B1818" s="118" t="s">
        <v>170</v>
      </c>
      <c r="C1818" s="118" t="s">
        <v>206</v>
      </c>
      <c r="D1818" s="152" t="s">
        <v>2139</v>
      </c>
      <c r="E1818" s="152" t="s">
        <v>2209</v>
      </c>
      <c r="F1818" s="152" t="s">
        <v>577</v>
      </c>
      <c r="G1818" s="152" t="s">
        <v>2055</v>
      </c>
      <c r="H1818" s="153" t="s">
        <v>213</v>
      </c>
    </row>
    <row r="1819" hidden="1">
      <c r="A1819" s="154" t="s">
        <v>224</v>
      </c>
      <c r="B1819" s="155" t="s">
        <v>170</v>
      </c>
      <c r="C1819" s="155" t="s">
        <v>206</v>
      </c>
      <c r="D1819" s="156" t="s">
        <v>2139</v>
      </c>
      <c r="E1819" s="156" t="s">
        <v>2210</v>
      </c>
      <c r="F1819" s="156" t="s">
        <v>423</v>
      </c>
      <c r="G1819" s="156" t="s">
        <v>2211</v>
      </c>
      <c r="H1819" s="157" t="s">
        <v>214</v>
      </c>
    </row>
    <row r="1820" hidden="1">
      <c r="A1820" s="151" t="s">
        <v>224</v>
      </c>
      <c r="B1820" s="118" t="s">
        <v>170</v>
      </c>
      <c r="C1820" s="118" t="s">
        <v>206</v>
      </c>
      <c r="D1820" s="152" t="s">
        <v>2139</v>
      </c>
      <c r="E1820" s="152" t="s">
        <v>2212</v>
      </c>
      <c r="F1820" s="152" t="s">
        <v>450</v>
      </c>
      <c r="G1820" s="152" t="s">
        <v>1810</v>
      </c>
      <c r="H1820" s="153" t="s">
        <v>215</v>
      </c>
    </row>
    <row r="1821" hidden="1">
      <c r="A1821" s="154" t="s">
        <v>224</v>
      </c>
      <c r="B1821" s="155" t="s">
        <v>170</v>
      </c>
      <c r="C1821" s="155" t="s">
        <v>206</v>
      </c>
      <c r="D1821" s="156" t="s">
        <v>2139</v>
      </c>
      <c r="E1821" s="156" t="s">
        <v>2213</v>
      </c>
      <c r="F1821" s="156" t="s">
        <v>725</v>
      </c>
      <c r="G1821" s="156" t="s">
        <v>1979</v>
      </c>
      <c r="H1821" s="157" t="s">
        <v>216</v>
      </c>
    </row>
    <row r="1822" hidden="1">
      <c r="A1822" s="151" t="s">
        <v>225</v>
      </c>
      <c r="B1822" s="118" t="s">
        <v>226</v>
      </c>
      <c r="C1822" s="118" t="s">
        <v>206</v>
      </c>
      <c r="D1822" s="152" t="s">
        <v>2139</v>
      </c>
      <c r="E1822" s="152" t="s">
        <v>2214</v>
      </c>
      <c r="F1822" s="152" t="s">
        <v>2215</v>
      </c>
      <c r="G1822" s="152" t="s">
        <v>2216</v>
      </c>
      <c r="H1822" s="153" t="s">
        <v>210</v>
      </c>
    </row>
    <row r="1823" hidden="1">
      <c r="A1823" s="154" t="s">
        <v>225</v>
      </c>
      <c r="B1823" s="155" t="s">
        <v>226</v>
      </c>
      <c r="C1823" s="155" t="s">
        <v>206</v>
      </c>
      <c r="D1823" s="156" t="s">
        <v>2139</v>
      </c>
      <c r="E1823" s="156" t="s">
        <v>2217</v>
      </c>
      <c r="F1823" s="156" t="s">
        <v>2218</v>
      </c>
      <c r="G1823" s="156" t="s">
        <v>2219</v>
      </c>
      <c r="H1823" s="157" t="s">
        <v>211</v>
      </c>
    </row>
    <row r="1824" hidden="1">
      <c r="A1824" s="151" t="s">
        <v>225</v>
      </c>
      <c r="B1824" s="118" t="s">
        <v>226</v>
      </c>
      <c r="C1824" s="118" t="s">
        <v>206</v>
      </c>
      <c r="D1824" s="152" t="s">
        <v>2139</v>
      </c>
      <c r="E1824" s="152" t="s">
        <v>2220</v>
      </c>
      <c r="F1824" s="152" t="s">
        <v>780</v>
      </c>
      <c r="G1824" s="152" t="s">
        <v>2221</v>
      </c>
      <c r="H1824" s="153" t="s">
        <v>212</v>
      </c>
    </row>
    <row r="1825" hidden="1">
      <c r="A1825" s="154" t="s">
        <v>225</v>
      </c>
      <c r="B1825" s="155" t="s">
        <v>226</v>
      </c>
      <c r="C1825" s="155" t="s">
        <v>206</v>
      </c>
      <c r="D1825" s="156" t="s">
        <v>2139</v>
      </c>
      <c r="E1825" s="156" t="s">
        <v>2222</v>
      </c>
      <c r="F1825" s="156" t="s">
        <v>2223</v>
      </c>
      <c r="G1825" s="156" t="s">
        <v>2224</v>
      </c>
      <c r="H1825" s="157" t="s">
        <v>213</v>
      </c>
    </row>
    <row r="1826" hidden="1">
      <c r="A1826" s="151" t="s">
        <v>225</v>
      </c>
      <c r="B1826" s="118" t="s">
        <v>226</v>
      </c>
      <c r="C1826" s="118" t="s">
        <v>206</v>
      </c>
      <c r="D1826" s="152" t="s">
        <v>2139</v>
      </c>
      <c r="E1826" s="152" t="s">
        <v>2225</v>
      </c>
      <c r="F1826" s="152" t="s">
        <v>2226</v>
      </c>
      <c r="G1826" s="152" t="s">
        <v>2221</v>
      </c>
      <c r="H1826" s="153" t="s">
        <v>214</v>
      </c>
    </row>
    <row r="1827" hidden="1">
      <c r="A1827" s="154" t="s">
        <v>225</v>
      </c>
      <c r="B1827" s="155" t="s">
        <v>226</v>
      </c>
      <c r="C1827" s="155" t="s">
        <v>206</v>
      </c>
      <c r="D1827" s="156" t="s">
        <v>2139</v>
      </c>
      <c r="E1827" s="156" t="s">
        <v>2227</v>
      </c>
      <c r="F1827" s="156" t="s">
        <v>2228</v>
      </c>
      <c r="G1827" s="156" t="s">
        <v>1942</v>
      </c>
      <c r="H1827" s="157" t="s">
        <v>215</v>
      </c>
    </row>
    <row r="1828" hidden="1">
      <c r="A1828" s="151" t="s">
        <v>225</v>
      </c>
      <c r="B1828" s="118" t="s">
        <v>226</v>
      </c>
      <c r="C1828" s="118" t="s">
        <v>206</v>
      </c>
      <c r="D1828" s="152" t="s">
        <v>2139</v>
      </c>
      <c r="E1828" s="152" t="s">
        <v>2229</v>
      </c>
      <c r="F1828" s="152" t="s">
        <v>1931</v>
      </c>
      <c r="G1828" s="152" t="s">
        <v>2230</v>
      </c>
      <c r="H1828" s="153" t="s">
        <v>216</v>
      </c>
    </row>
    <row r="1829" hidden="1">
      <c r="A1829" s="154" t="s">
        <v>227</v>
      </c>
      <c r="B1829" s="155" t="s">
        <v>195</v>
      </c>
      <c r="C1829" s="155" t="s">
        <v>206</v>
      </c>
      <c r="D1829" s="156" t="s">
        <v>2139</v>
      </c>
      <c r="E1829" s="156" t="s">
        <v>2231</v>
      </c>
      <c r="F1829" s="156" t="s">
        <v>276</v>
      </c>
      <c r="G1829" s="156" t="s">
        <v>1759</v>
      </c>
      <c r="H1829" s="157" t="s">
        <v>210</v>
      </c>
    </row>
    <row r="1830" hidden="1">
      <c r="A1830" s="151" t="s">
        <v>227</v>
      </c>
      <c r="B1830" s="118" t="s">
        <v>195</v>
      </c>
      <c r="C1830" s="118" t="s">
        <v>206</v>
      </c>
      <c r="D1830" s="152" t="s">
        <v>2139</v>
      </c>
      <c r="E1830" s="152" t="s">
        <v>2232</v>
      </c>
      <c r="F1830" s="152" t="s">
        <v>244</v>
      </c>
      <c r="G1830" s="152" t="s">
        <v>2023</v>
      </c>
      <c r="H1830" s="153" t="s">
        <v>211</v>
      </c>
    </row>
    <row r="1831" hidden="1">
      <c r="A1831" s="154" t="s">
        <v>227</v>
      </c>
      <c r="B1831" s="155" t="s">
        <v>195</v>
      </c>
      <c r="C1831" s="155" t="s">
        <v>206</v>
      </c>
      <c r="D1831" s="156" t="s">
        <v>2139</v>
      </c>
      <c r="E1831" s="156" t="s">
        <v>2233</v>
      </c>
      <c r="F1831" s="156" t="s">
        <v>259</v>
      </c>
      <c r="G1831" s="156" t="s">
        <v>1747</v>
      </c>
      <c r="H1831" s="157" t="s">
        <v>212</v>
      </c>
    </row>
    <row r="1832" hidden="1">
      <c r="A1832" s="151" t="s">
        <v>227</v>
      </c>
      <c r="B1832" s="118" t="s">
        <v>195</v>
      </c>
      <c r="C1832" s="118" t="s">
        <v>206</v>
      </c>
      <c r="D1832" s="152" t="s">
        <v>2139</v>
      </c>
      <c r="E1832" s="152" t="s">
        <v>2234</v>
      </c>
      <c r="F1832" s="152" t="s">
        <v>301</v>
      </c>
      <c r="G1832" s="152" t="s">
        <v>1729</v>
      </c>
      <c r="H1832" s="153" t="s">
        <v>213</v>
      </c>
    </row>
    <row r="1833" hidden="1">
      <c r="A1833" s="154" t="s">
        <v>227</v>
      </c>
      <c r="B1833" s="155" t="s">
        <v>195</v>
      </c>
      <c r="C1833" s="155" t="s">
        <v>206</v>
      </c>
      <c r="D1833" s="156" t="s">
        <v>2139</v>
      </c>
      <c r="E1833" s="156" t="s">
        <v>2235</v>
      </c>
      <c r="F1833" s="156" t="s">
        <v>242</v>
      </c>
      <c r="G1833" s="156" t="s">
        <v>1722</v>
      </c>
      <c r="H1833" s="157" t="s">
        <v>214</v>
      </c>
    </row>
    <row r="1834" hidden="1">
      <c r="A1834" s="151" t="s">
        <v>227</v>
      </c>
      <c r="B1834" s="118" t="s">
        <v>195</v>
      </c>
      <c r="C1834" s="118" t="s">
        <v>206</v>
      </c>
      <c r="D1834" s="152" t="s">
        <v>2139</v>
      </c>
      <c r="E1834" s="152" t="s">
        <v>2236</v>
      </c>
      <c r="F1834" s="152" t="s">
        <v>257</v>
      </c>
      <c r="G1834" s="152" t="s">
        <v>2057</v>
      </c>
      <c r="H1834" s="153" t="s">
        <v>215</v>
      </c>
    </row>
    <row r="1835" hidden="1">
      <c r="A1835" s="154" t="s">
        <v>227</v>
      </c>
      <c r="B1835" s="155" t="s">
        <v>195</v>
      </c>
      <c r="C1835" s="155" t="s">
        <v>206</v>
      </c>
      <c r="D1835" s="156" t="s">
        <v>2139</v>
      </c>
      <c r="E1835" s="156" t="s">
        <v>2237</v>
      </c>
      <c r="F1835" s="156" t="s">
        <v>255</v>
      </c>
      <c r="G1835" s="156" t="s">
        <v>1846</v>
      </c>
      <c r="H1835" s="157" t="s">
        <v>216</v>
      </c>
    </row>
    <row r="1836" hidden="1">
      <c r="A1836" s="151" t="s">
        <v>228</v>
      </c>
      <c r="B1836" s="118" t="s">
        <v>138</v>
      </c>
      <c r="C1836" s="118" t="s">
        <v>206</v>
      </c>
      <c r="D1836" s="152" t="s">
        <v>2139</v>
      </c>
      <c r="E1836" s="152" t="s">
        <v>2238</v>
      </c>
      <c r="F1836" s="152" t="s">
        <v>257</v>
      </c>
      <c r="G1836" s="152" t="s">
        <v>1814</v>
      </c>
      <c r="H1836" s="153" t="s">
        <v>210</v>
      </c>
    </row>
    <row r="1837" hidden="1">
      <c r="A1837" s="154" t="s">
        <v>228</v>
      </c>
      <c r="B1837" s="155" t="s">
        <v>138</v>
      </c>
      <c r="C1837" s="155" t="s">
        <v>206</v>
      </c>
      <c r="D1837" s="156" t="s">
        <v>2139</v>
      </c>
      <c r="E1837" s="156" t="s">
        <v>2239</v>
      </c>
      <c r="F1837" s="156" t="s">
        <v>534</v>
      </c>
      <c r="G1837" s="156" t="s">
        <v>2067</v>
      </c>
      <c r="H1837" s="157" t="s">
        <v>211</v>
      </c>
    </row>
    <row r="1838" hidden="1">
      <c r="A1838" s="151" t="s">
        <v>228</v>
      </c>
      <c r="B1838" s="118" t="s">
        <v>138</v>
      </c>
      <c r="C1838" s="118" t="s">
        <v>206</v>
      </c>
      <c r="D1838" s="152" t="s">
        <v>2139</v>
      </c>
      <c r="E1838" s="152" t="s">
        <v>2240</v>
      </c>
      <c r="F1838" s="152" t="s">
        <v>285</v>
      </c>
      <c r="G1838" s="152" t="s">
        <v>2142</v>
      </c>
      <c r="H1838" s="153" t="s">
        <v>212</v>
      </c>
    </row>
    <row r="1839" hidden="1">
      <c r="A1839" s="154" t="s">
        <v>228</v>
      </c>
      <c r="B1839" s="155" t="s">
        <v>138</v>
      </c>
      <c r="C1839" s="155" t="s">
        <v>206</v>
      </c>
      <c r="D1839" s="156" t="s">
        <v>2139</v>
      </c>
      <c r="E1839" s="156" t="s">
        <v>2241</v>
      </c>
      <c r="F1839" s="156" t="s">
        <v>276</v>
      </c>
      <c r="G1839" s="156" t="s">
        <v>2242</v>
      </c>
      <c r="H1839" s="157" t="s">
        <v>213</v>
      </c>
    </row>
    <row r="1840" hidden="1">
      <c r="A1840" s="151" t="s">
        <v>228</v>
      </c>
      <c r="B1840" s="118" t="s">
        <v>138</v>
      </c>
      <c r="C1840" s="118" t="s">
        <v>206</v>
      </c>
      <c r="D1840" s="152" t="s">
        <v>2139</v>
      </c>
      <c r="E1840" s="152" t="s">
        <v>2066</v>
      </c>
      <c r="F1840" s="152" t="s">
        <v>204</v>
      </c>
      <c r="G1840" s="152" t="s">
        <v>2243</v>
      </c>
      <c r="H1840" s="153" t="s">
        <v>214</v>
      </c>
    </row>
    <row r="1841" hidden="1">
      <c r="A1841" s="154" t="s">
        <v>228</v>
      </c>
      <c r="B1841" s="155" t="s">
        <v>138</v>
      </c>
      <c r="C1841" s="155" t="s">
        <v>206</v>
      </c>
      <c r="D1841" s="156" t="s">
        <v>2139</v>
      </c>
      <c r="E1841" s="156" t="s">
        <v>2244</v>
      </c>
      <c r="F1841" s="156" t="s">
        <v>314</v>
      </c>
      <c r="G1841" s="156" t="s">
        <v>1727</v>
      </c>
      <c r="H1841" s="157" t="s">
        <v>215</v>
      </c>
    </row>
    <row r="1842" hidden="1">
      <c r="A1842" s="151" t="s">
        <v>228</v>
      </c>
      <c r="B1842" s="118" t="s">
        <v>138</v>
      </c>
      <c r="C1842" s="118" t="s">
        <v>206</v>
      </c>
      <c r="D1842" s="152" t="s">
        <v>2139</v>
      </c>
      <c r="E1842" s="152" t="s">
        <v>2245</v>
      </c>
      <c r="F1842" s="152" t="s">
        <v>357</v>
      </c>
      <c r="G1842" s="152" t="s">
        <v>1856</v>
      </c>
      <c r="H1842" s="153" t="s">
        <v>216</v>
      </c>
    </row>
    <row r="1843" hidden="1">
      <c r="A1843" s="154" t="s">
        <v>229</v>
      </c>
      <c r="B1843" s="155" t="s">
        <v>193</v>
      </c>
      <c r="C1843" s="155" t="s">
        <v>206</v>
      </c>
      <c r="D1843" s="156" t="s">
        <v>2139</v>
      </c>
      <c r="E1843" s="156" t="s">
        <v>2246</v>
      </c>
      <c r="F1843" s="156" t="s">
        <v>242</v>
      </c>
      <c r="G1843" s="156" t="s">
        <v>2072</v>
      </c>
      <c r="H1843" s="157" t="s">
        <v>210</v>
      </c>
    </row>
    <row r="1844" hidden="1">
      <c r="A1844" s="151" t="s">
        <v>229</v>
      </c>
      <c r="B1844" s="118" t="s">
        <v>193</v>
      </c>
      <c r="C1844" s="118" t="s">
        <v>206</v>
      </c>
      <c r="D1844" s="152" t="s">
        <v>2139</v>
      </c>
      <c r="E1844" s="152" t="s">
        <v>2247</v>
      </c>
      <c r="F1844" s="152" t="s">
        <v>357</v>
      </c>
      <c r="G1844" s="152" t="s">
        <v>1827</v>
      </c>
      <c r="H1844" s="153" t="s">
        <v>211</v>
      </c>
    </row>
    <row r="1845" hidden="1">
      <c r="A1845" s="154" t="s">
        <v>229</v>
      </c>
      <c r="B1845" s="155" t="s">
        <v>193</v>
      </c>
      <c r="C1845" s="155" t="s">
        <v>206</v>
      </c>
      <c r="D1845" s="156" t="s">
        <v>2139</v>
      </c>
      <c r="E1845" s="156" t="s">
        <v>2248</v>
      </c>
      <c r="F1845" s="156" t="s">
        <v>331</v>
      </c>
      <c r="G1845" s="156" t="s">
        <v>2249</v>
      </c>
      <c r="H1845" s="157" t="s">
        <v>212</v>
      </c>
    </row>
    <row r="1846" hidden="1">
      <c r="A1846" s="151" t="s">
        <v>229</v>
      </c>
      <c r="B1846" s="118" t="s">
        <v>193</v>
      </c>
      <c r="C1846" s="118" t="s">
        <v>206</v>
      </c>
      <c r="D1846" s="152" t="s">
        <v>2139</v>
      </c>
      <c r="E1846" s="152" t="s">
        <v>2250</v>
      </c>
      <c r="F1846" s="152" t="s">
        <v>314</v>
      </c>
      <c r="G1846" s="152" t="s">
        <v>1913</v>
      </c>
      <c r="H1846" s="153" t="s">
        <v>213</v>
      </c>
    </row>
    <row r="1847" hidden="1">
      <c r="A1847" s="154" t="s">
        <v>229</v>
      </c>
      <c r="B1847" s="155" t="s">
        <v>193</v>
      </c>
      <c r="C1847" s="155" t="s">
        <v>206</v>
      </c>
      <c r="D1847" s="156" t="s">
        <v>2139</v>
      </c>
      <c r="E1847" s="156" t="s">
        <v>2251</v>
      </c>
      <c r="F1847" s="156" t="s">
        <v>718</v>
      </c>
      <c r="G1847" s="156" t="s">
        <v>1974</v>
      </c>
      <c r="H1847" s="157" t="s">
        <v>214</v>
      </c>
    </row>
    <row r="1848" hidden="1">
      <c r="A1848" s="151" t="s">
        <v>229</v>
      </c>
      <c r="B1848" s="118" t="s">
        <v>193</v>
      </c>
      <c r="C1848" s="118" t="s">
        <v>206</v>
      </c>
      <c r="D1848" s="152" t="s">
        <v>2139</v>
      </c>
      <c r="E1848" s="152" t="s">
        <v>2252</v>
      </c>
      <c r="F1848" s="152" t="s">
        <v>285</v>
      </c>
      <c r="G1848" s="152" t="s">
        <v>1971</v>
      </c>
      <c r="H1848" s="153" t="s">
        <v>215</v>
      </c>
    </row>
    <row r="1849" hidden="1">
      <c r="A1849" s="154" t="s">
        <v>229</v>
      </c>
      <c r="B1849" s="155" t="s">
        <v>193</v>
      </c>
      <c r="C1849" s="155" t="s">
        <v>206</v>
      </c>
      <c r="D1849" s="156" t="s">
        <v>2139</v>
      </c>
      <c r="E1849" s="156" t="s">
        <v>2253</v>
      </c>
      <c r="F1849" s="156" t="s">
        <v>323</v>
      </c>
      <c r="G1849" s="156" t="s">
        <v>2254</v>
      </c>
      <c r="H1849" s="157" t="s">
        <v>216</v>
      </c>
    </row>
    <row r="1850" hidden="1">
      <c r="A1850" s="151" t="s">
        <v>230</v>
      </c>
      <c r="B1850" s="118" t="s">
        <v>194</v>
      </c>
      <c r="C1850" s="118" t="s">
        <v>206</v>
      </c>
      <c r="D1850" s="152" t="s">
        <v>2139</v>
      </c>
      <c r="E1850" s="152" t="s">
        <v>2255</v>
      </c>
      <c r="F1850" s="152" t="s">
        <v>287</v>
      </c>
      <c r="G1850" s="152" t="s">
        <v>1747</v>
      </c>
      <c r="H1850" s="153" t="s">
        <v>210</v>
      </c>
    </row>
    <row r="1851" hidden="1">
      <c r="A1851" s="154" t="s">
        <v>230</v>
      </c>
      <c r="B1851" s="155" t="s">
        <v>194</v>
      </c>
      <c r="C1851" s="155" t="s">
        <v>206</v>
      </c>
      <c r="D1851" s="156" t="s">
        <v>2139</v>
      </c>
      <c r="E1851" s="156" t="s">
        <v>2256</v>
      </c>
      <c r="F1851" s="156" t="s">
        <v>285</v>
      </c>
      <c r="G1851" s="156" t="s">
        <v>1891</v>
      </c>
      <c r="H1851" s="157" t="s">
        <v>211</v>
      </c>
    </row>
    <row r="1852" hidden="1">
      <c r="A1852" s="151" t="s">
        <v>230</v>
      </c>
      <c r="B1852" s="118" t="s">
        <v>194</v>
      </c>
      <c r="C1852" s="118" t="s">
        <v>206</v>
      </c>
      <c r="D1852" s="152" t="s">
        <v>2139</v>
      </c>
      <c r="E1852" s="152" t="s">
        <v>2257</v>
      </c>
      <c r="F1852" s="152" t="s">
        <v>357</v>
      </c>
      <c r="G1852" s="152" t="s">
        <v>1743</v>
      </c>
      <c r="H1852" s="153" t="s">
        <v>212</v>
      </c>
    </row>
    <row r="1853" hidden="1">
      <c r="A1853" s="154" t="s">
        <v>230</v>
      </c>
      <c r="B1853" s="155" t="s">
        <v>194</v>
      </c>
      <c r="C1853" s="155" t="s">
        <v>206</v>
      </c>
      <c r="D1853" s="156" t="s">
        <v>2139</v>
      </c>
      <c r="E1853" s="156" t="s">
        <v>2258</v>
      </c>
      <c r="F1853" s="156" t="s">
        <v>246</v>
      </c>
      <c r="G1853" s="156" t="s">
        <v>2259</v>
      </c>
      <c r="H1853" s="157" t="s">
        <v>213</v>
      </c>
    </row>
    <row r="1854" hidden="1">
      <c r="A1854" s="151" t="s">
        <v>230</v>
      </c>
      <c r="B1854" s="118" t="s">
        <v>194</v>
      </c>
      <c r="C1854" s="118" t="s">
        <v>206</v>
      </c>
      <c r="D1854" s="152" t="s">
        <v>2139</v>
      </c>
      <c r="E1854" s="152" t="s">
        <v>2260</v>
      </c>
      <c r="F1854" s="152" t="s">
        <v>287</v>
      </c>
      <c r="G1854" s="152" t="s">
        <v>2126</v>
      </c>
      <c r="H1854" s="153" t="s">
        <v>214</v>
      </c>
    </row>
    <row r="1855" hidden="1">
      <c r="A1855" s="154" t="s">
        <v>230</v>
      </c>
      <c r="B1855" s="155" t="s">
        <v>194</v>
      </c>
      <c r="C1855" s="155" t="s">
        <v>206</v>
      </c>
      <c r="D1855" s="156" t="s">
        <v>2139</v>
      </c>
      <c r="E1855" s="156" t="s">
        <v>2261</v>
      </c>
      <c r="F1855" s="156" t="s">
        <v>244</v>
      </c>
      <c r="G1855" s="156" t="s">
        <v>1885</v>
      </c>
      <c r="H1855" s="157" t="s">
        <v>215</v>
      </c>
    </row>
    <row r="1856" hidden="1">
      <c r="A1856" s="151" t="s">
        <v>230</v>
      </c>
      <c r="B1856" s="118" t="s">
        <v>194</v>
      </c>
      <c r="C1856" s="118" t="s">
        <v>206</v>
      </c>
      <c r="D1856" s="152" t="s">
        <v>2139</v>
      </c>
      <c r="E1856" s="152" t="s">
        <v>2262</v>
      </c>
      <c r="F1856" s="152" t="s">
        <v>242</v>
      </c>
      <c r="G1856" s="152" t="s">
        <v>1901</v>
      </c>
      <c r="H1856" s="153" t="s">
        <v>216</v>
      </c>
    </row>
    <row r="1857" hidden="1">
      <c r="A1857" s="158" t="s">
        <v>231</v>
      </c>
      <c r="B1857" s="159"/>
      <c r="C1857" s="155" t="s">
        <v>232</v>
      </c>
      <c r="D1857" s="156" t="s">
        <v>2139</v>
      </c>
      <c r="E1857" s="156" t="s">
        <v>2263</v>
      </c>
      <c r="F1857" s="156" t="s">
        <v>1236</v>
      </c>
      <c r="G1857" s="156" t="s">
        <v>1755</v>
      </c>
      <c r="H1857" s="157" t="s">
        <v>210</v>
      </c>
    </row>
    <row r="1858" hidden="1">
      <c r="A1858" s="160" t="s">
        <v>231</v>
      </c>
      <c r="B1858" s="72"/>
      <c r="C1858" s="118" t="s">
        <v>232</v>
      </c>
      <c r="D1858" s="152" t="s">
        <v>2139</v>
      </c>
      <c r="E1858" s="152" t="s">
        <v>2264</v>
      </c>
      <c r="F1858" s="152" t="s">
        <v>1236</v>
      </c>
      <c r="G1858" s="152" t="s">
        <v>1881</v>
      </c>
      <c r="H1858" s="153" t="s">
        <v>211</v>
      </c>
    </row>
    <row r="1859" hidden="1">
      <c r="A1859" s="158" t="s">
        <v>231</v>
      </c>
      <c r="B1859" s="159"/>
      <c r="C1859" s="155" t="s">
        <v>232</v>
      </c>
      <c r="D1859" s="156" t="s">
        <v>2139</v>
      </c>
      <c r="E1859" s="156" t="s">
        <v>2265</v>
      </c>
      <c r="F1859" s="156" t="s">
        <v>458</v>
      </c>
      <c r="G1859" s="156" t="s">
        <v>639</v>
      </c>
      <c r="H1859" s="157" t="s">
        <v>212</v>
      </c>
    </row>
    <row r="1860" hidden="1">
      <c r="A1860" s="160" t="s">
        <v>231</v>
      </c>
      <c r="B1860" s="72"/>
      <c r="C1860" s="118" t="s">
        <v>232</v>
      </c>
      <c r="D1860" s="152" t="s">
        <v>2139</v>
      </c>
      <c r="E1860" s="152" t="s">
        <v>2266</v>
      </c>
      <c r="F1860" s="152" t="s">
        <v>279</v>
      </c>
      <c r="G1860" s="152" t="s">
        <v>1778</v>
      </c>
      <c r="H1860" s="153" t="s">
        <v>213</v>
      </c>
    </row>
    <row r="1861" hidden="1">
      <c r="A1861" s="158" t="s">
        <v>231</v>
      </c>
      <c r="B1861" s="159"/>
      <c r="C1861" s="155" t="s">
        <v>232</v>
      </c>
      <c r="D1861" s="156" t="s">
        <v>2139</v>
      </c>
      <c r="E1861" s="156" t="s">
        <v>2267</v>
      </c>
      <c r="F1861" s="156" t="s">
        <v>298</v>
      </c>
      <c r="G1861" s="156" t="s">
        <v>1908</v>
      </c>
      <c r="H1861" s="157" t="s">
        <v>214</v>
      </c>
    </row>
    <row r="1862" hidden="1">
      <c r="A1862" s="160" t="s">
        <v>231</v>
      </c>
      <c r="B1862" s="72"/>
      <c r="C1862" s="118" t="s">
        <v>232</v>
      </c>
      <c r="D1862" s="152" t="s">
        <v>2139</v>
      </c>
      <c r="E1862" s="152" t="s">
        <v>2268</v>
      </c>
      <c r="F1862" s="152" t="s">
        <v>276</v>
      </c>
      <c r="G1862" s="152" t="s">
        <v>2175</v>
      </c>
      <c r="H1862" s="153" t="s">
        <v>215</v>
      </c>
    </row>
    <row r="1863" hidden="1">
      <c r="A1863" s="158" t="s">
        <v>231</v>
      </c>
      <c r="B1863" s="159"/>
      <c r="C1863" s="155" t="s">
        <v>232</v>
      </c>
      <c r="D1863" s="156" t="s">
        <v>2139</v>
      </c>
      <c r="E1863" s="156" t="s">
        <v>2269</v>
      </c>
      <c r="F1863" s="156" t="s">
        <v>1551</v>
      </c>
      <c r="G1863" s="156" t="s">
        <v>1913</v>
      </c>
      <c r="H1863" s="157" t="s">
        <v>216</v>
      </c>
    </row>
    <row r="1864" hidden="1">
      <c r="A1864" s="160" t="s">
        <v>233</v>
      </c>
      <c r="B1864" s="72"/>
      <c r="C1864" s="118" t="s">
        <v>232</v>
      </c>
      <c r="D1864" s="152" t="s">
        <v>2139</v>
      </c>
      <c r="E1864" s="152" t="s">
        <v>2270</v>
      </c>
      <c r="F1864" s="152" t="s">
        <v>285</v>
      </c>
      <c r="G1864" s="152" t="s">
        <v>1725</v>
      </c>
      <c r="H1864" s="153" t="s">
        <v>210</v>
      </c>
    </row>
    <row r="1865" hidden="1">
      <c r="A1865" s="158" t="s">
        <v>233</v>
      </c>
      <c r="B1865" s="159"/>
      <c r="C1865" s="155" t="s">
        <v>232</v>
      </c>
      <c r="D1865" s="156" t="s">
        <v>2139</v>
      </c>
      <c r="E1865" s="156" t="s">
        <v>2271</v>
      </c>
      <c r="F1865" s="156" t="s">
        <v>323</v>
      </c>
      <c r="G1865" s="156" t="s">
        <v>1971</v>
      </c>
      <c r="H1865" s="157" t="s">
        <v>211</v>
      </c>
    </row>
    <row r="1866" hidden="1">
      <c r="A1866" s="160" t="s">
        <v>233</v>
      </c>
      <c r="B1866" s="72"/>
      <c r="C1866" s="118" t="s">
        <v>232</v>
      </c>
      <c r="D1866" s="152" t="s">
        <v>2139</v>
      </c>
      <c r="E1866" s="152" t="s">
        <v>2272</v>
      </c>
      <c r="F1866" s="152" t="s">
        <v>244</v>
      </c>
      <c r="G1866" s="152" t="s">
        <v>1877</v>
      </c>
      <c r="H1866" s="153" t="s">
        <v>212</v>
      </c>
    </row>
    <row r="1867" hidden="1">
      <c r="A1867" s="158" t="s">
        <v>233</v>
      </c>
      <c r="B1867" s="159"/>
      <c r="C1867" s="155" t="s">
        <v>232</v>
      </c>
      <c r="D1867" s="156" t="s">
        <v>2139</v>
      </c>
      <c r="E1867" s="156" t="s">
        <v>2273</v>
      </c>
      <c r="F1867" s="156" t="s">
        <v>244</v>
      </c>
      <c r="G1867" s="156" t="s">
        <v>1747</v>
      </c>
      <c r="H1867" s="157" t="s">
        <v>213</v>
      </c>
    </row>
    <row r="1868" hidden="1">
      <c r="A1868" s="160" t="s">
        <v>233</v>
      </c>
      <c r="B1868" s="72"/>
      <c r="C1868" s="118" t="s">
        <v>232</v>
      </c>
      <c r="D1868" s="152" t="s">
        <v>2139</v>
      </c>
      <c r="E1868" s="152" t="s">
        <v>2274</v>
      </c>
      <c r="F1868" s="152" t="s">
        <v>249</v>
      </c>
      <c r="G1868" s="152" t="s">
        <v>1906</v>
      </c>
      <c r="H1868" s="153" t="s">
        <v>214</v>
      </c>
    </row>
    <row r="1869" hidden="1">
      <c r="A1869" s="158" t="s">
        <v>233</v>
      </c>
      <c r="B1869" s="159"/>
      <c r="C1869" s="155" t="s">
        <v>232</v>
      </c>
      <c r="D1869" s="156" t="s">
        <v>2139</v>
      </c>
      <c r="E1869" s="156" t="s">
        <v>2275</v>
      </c>
      <c r="F1869" s="156" t="s">
        <v>357</v>
      </c>
      <c r="G1869" s="156" t="s">
        <v>1901</v>
      </c>
      <c r="H1869" s="157" t="s">
        <v>215</v>
      </c>
    </row>
    <row r="1870" hidden="1">
      <c r="A1870" s="160" t="s">
        <v>233</v>
      </c>
      <c r="B1870" s="72"/>
      <c r="C1870" s="118" t="s">
        <v>232</v>
      </c>
      <c r="D1870" s="152" t="s">
        <v>2139</v>
      </c>
      <c r="E1870" s="152" t="s">
        <v>2276</v>
      </c>
      <c r="F1870" s="152" t="s">
        <v>323</v>
      </c>
      <c r="G1870" s="152" t="s">
        <v>1735</v>
      </c>
      <c r="H1870" s="153" t="s">
        <v>216</v>
      </c>
    </row>
    <row r="1871" hidden="1">
      <c r="A1871" s="158" t="s">
        <v>234</v>
      </c>
      <c r="B1871" s="159"/>
      <c r="C1871" s="155" t="s">
        <v>232</v>
      </c>
      <c r="D1871" s="156" t="s">
        <v>2139</v>
      </c>
      <c r="E1871" s="156" t="s">
        <v>2277</v>
      </c>
      <c r="F1871" s="156" t="s">
        <v>718</v>
      </c>
      <c r="G1871" s="156" t="s">
        <v>1918</v>
      </c>
      <c r="H1871" s="157" t="s">
        <v>210</v>
      </c>
    </row>
    <row r="1872" hidden="1">
      <c r="A1872" s="160" t="s">
        <v>234</v>
      </c>
      <c r="B1872" s="72"/>
      <c r="C1872" s="118" t="s">
        <v>232</v>
      </c>
      <c r="D1872" s="152" t="s">
        <v>2139</v>
      </c>
      <c r="E1872" s="152" t="s">
        <v>2278</v>
      </c>
      <c r="F1872" s="152" t="s">
        <v>423</v>
      </c>
      <c r="G1872" s="152" t="s">
        <v>2279</v>
      </c>
      <c r="H1872" s="153" t="s">
        <v>211</v>
      </c>
    </row>
    <row r="1873" hidden="1">
      <c r="A1873" s="158" t="s">
        <v>234</v>
      </c>
      <c r="B1873" s="159"/>
      <c r="C1873" s="155" t="s">
        <v>232</v>
      </c>
      <c r="D1873" s="156" t="s">
        <v>2139</v>
      </c>
      <c r="E1873" s="156" t="s">
        <v>2280</v>
      </c>
      <c r="F1873" s="156" t="s">
        <v>494</v>
      </c>
      <c r="G1873" s="156" t="s">
        <v>2281</v>
      </c>
      <c r="H1873" s="157" t="s">
        <v>212</v>
      </c>
    </row>
    <row r="1874" hidden="1">
      <c r="A1874" s="160" t="s">
        <v>234</v>
      </c>
      <c r="B1874" s="72"/>
      <c r="C1874" s="118" t="s">
        <v>232</v>
      </c>
      <c r="D1874" s="152" t="s">
        <v>2139</v>
      </c>
      <c r="E1874" s="152" t="s">
        <v>2282</v>
      </c>
      <c r="F1874" s="152" t="s">
        <v>494</v>
      </c>
      <c r="G1874" s="152" t="s">
        <v>2283</v>
      </c>
      <c r="H1874" s="153" t="s">
        <v>213</v>
      </c>
    </row>
    <row r="1875" hidden="1">
      <c r="A1875" s="158" t="s">
        <v>234</v>
      </c>
      <c r="B1875" s="159"/>
      <c r="C1875" s="155" t="s">
        <v>232</v>
      </c>
      <c r="D1875" s="156" t="s">
        <v>2139</v>
      </c>
      <c r="E1875" s="156" t="s">
        <v>2284</v>
      </c>
      <c r="F1875" s="156" t="s">
        <v>325</v>
      </c>
      <c r="G1875" s="156" t="s">
        <v>2285</v>
      </c>
      <c r="H1875" s="157" t="s">
        <v>214</v>
      </c>
    </row>
    <row r="1876" hidden="1">
      <c r="A1876" s="160" t="s">
        <v>234</v>
      </c>
      <c r="B1876" s="72"/>
      <c r="C1876" s="118" t="s">
        <v>232</v>
      </c>
      <c r="D1876" s="152" t="s">
        <v>2139</v>
      </c>
      <c r="E1876" s="152" t="s">
        <v>2286</v>
      </c>
      <c r="F1876" s="152" t="s">
        <v>351</v>
      </c>
      <c r="G1876" s="152" t="s">
        <v>2287</v>
      </c>
      <c r="H1876" s="153" t="s">
        <v>215</v>
      </c>
    </row>
    <row r="1877" hidden="1">
      <c r="A1877" s="158" t="s">
        <v>234</v>
      </c>
      <c r="B1877" s="159"/>
      <c r="C1877" s="155" t="s">
        <v>232</v>
      </c>
      <c r="D1877" s="156" t="s">
        <v>2139</v>
      </c>
      <c r="E1877" s="156" t="s">
        <v>2288</v>
      </c>
      <c r="F1877" s="156" t="s">
        <v>577</v>
      </c>
      <c r="G1877" s="156" t="s">
        <v>2289</v>
      </c>
      <c r="H1877" s="157" t="s">
        <v>216</v>
      </c>
    </row>
    <row r="1878" hidden="1">
      <c r="A1878" s="160" t="s">
        <v>235</v>
      </c>
      <c r="B1878" s="72"/>
      <c r="C1878" s="118" t="s">
        <v>236</v>
      </c>
      <c r="D1878" s="152" t="s">
        <v>2139</v>
      </c>
      <c r="E1878" s="152" t="s">
        <v>2290</v>
      </c>
      <c r="F1878" s="152" t="s">
        <v>357</v>
      </c>
      <c r="G1878" s="152" t="s">
        <v>1755</v>
      </c>
      <c r="H1878" s="153" t="s">
        <v>210</v>
      </c>
    </row>
    <row r="1879" hidden="1">
      <c r="A1879" s="158" t="s">
        <v>235</v>
      </c>
      <c r="B1879" s="159"/>
      <c r="C1879" s="155" t="s">
        <v>236</v>
      </c>
      <c r="D1879" s="156" t="s">
        <v>2139</v>
      </c>
      <c r="E1879" s="156" t="s">
        <v>2291</v>
      </c>
      <c r="F1879" s="156" t="s">
        <v>246</v>
      </c>
      <c r="G1879" s="156" t="s">
        <v>1741</v>
      </c>
      <c r="H1879" s="157" t="s">
        <v>211</v>
      </c>
    </row>
    <row r="1880" hidden="1">
      <c r="A1880" s="160" t="s">
        <v>235</v>
      </c>
      <c r="B1880" s="72"/>
      <c r="C1880" s="118" t="s">
        <v>236</v>
      </c>
      <c r="D1880" s="152" t="s">
        <v>2139</v>
      </c>
      <c r="E1880" s="152" t="s">
        <v>2292</v>
      </c>
      <c r="F1880" s="152" t="s">
        <v>246</v>
      </c>
      <c r="G1880" s="152" t="s">
        <v>1741</v>
      </c>
      <c r="H1880" s="153" t="s">
        <v>212</v>
      </c>
    </row>
    <row r="1881" hidden="1">
      <c r="A1881" s="158" t="s">
        <v>235</v>
      </c>
      <c r="B1881" s="159"/>
      <c r="C1881" s="155" t="s">
        <v>236</v>
      </c>
      <c r="D1881" s="156" t="s">
        <v>2139</v>
      </c>
      <c r="E1881" s="156" t="s">
        <v>2293</v>
      </c>
      <c r="F1881" s="156" t="s">
        <v>246</v>
      </c>
      <c r="G1881" s="156" t="s">
        <v>1885</v>
      </c>
      <c r="H1881" s="157" t="s">
        <v>213</v>
      </c>
    </row>
    <row r="1882" hidden="1">
      <c r="A1882" s="160" t="s">
        <v>235</v>
      </c>
      <c r="B1882" s="72"/>
      <c r="C1882" s="118" t="s">
        <v>236</v>
      </c>
      <c r="D1882" s="152" t="s">
        <v>2139</v>
      </c>
      <c r="E1882" s="152" t="s">
        <v>2294</v>
      </c>
      <c r="F1882" s="152" t="s">
        <v>285</v>
      </c>
      <c r="G1882" s="152" t="s">
        <v>1916</v>
      </c>
      <c r="H1882" s="153" t="s">
        <v>214</v>
      </c>
    </row>
    <row r="1883" hidden="1">
      <c r="A1883" s="158" t="s">
        <v>235</v>
      </c>
      <c r="B1883" s="159"/>
      <c r="C1883" s="155" t="s">
        <v>236</v>
      </c>
      <c r="D1883" s="156" t="s">
        <v>2139</v>
      </c>
      <c r="E1883" s="156" t="s">
        <v>2295</v>
      </c>
      <c r="F1883" s="156" t="s">
        <v>357</v>
      </c>
      <c r="G1883" s="156" t="s">
        <v>2296</v>
      </c>
      <c r="H1883" s="157" t="s">
        <v>215</v>
      </c>
    </row>
    <row r="1884" hidden="1">
      <c r="A1884" s="160" t="s">
        <v>235</v>
      </c>
      <c r="B1884" s="72"/>
      <c r="C1884" s="118" t="s">
        <v>236</v>
      </c>
      <c r="D1884" s="152" t="s">
        <v>2139</v>
      </c>
      <c r="E1884" s="152" t="s">
        <v>2297</v>
      </c>
      <c r="F1884" s="152" t="s">
        <v>242</v>
      </c>
      <c r="G1884" s="152" t="s">
        <v>1913</v>
      </c>
      <c r="H1884" s="153" t="s">
        <v>216</v>
      </c>
    </row>
    <row r="1885" hidden="1">
      <c r="A1885" s="158" t="s">
        <v>237</v>
      </c>
      <c r="B1885" s="159"/>
      <c r="C1885" s="155" t="s">
        <v>236</v>
      </c>
      <c r="D1885" s="156" t="s">
        <v>2139</v>
      </c>
      <c r="E1885" s="156" t="s">
        <v>2298</v>
      </c>
      <c r="F1885" s="156" t="s">
        <v>427</v>
      </c>
      <c r="G1885" s="156" t="s">
        <v>2299</v>
      </c>
      <c r="H1885" s="157" t="s">
        <v>210</v>
      </c>
    </row>
    <row r="1886" hidden="1">
      <c r="A1886" s="160" t="s">
        <v>237</v>
      </c>
      <c r="B1886" s="72"/>
      <c r="C1886" s="118" t="s">
        <v>236</v>
      </c>
      <c r="D1886" s="152" t="s">
        <v>2139</v>
      </c>
      <c r="E1886" s="152" t="s">
        <v>2300</v>
      </c>
      <c r="F1886" s="152" t="s">
        <v>325</v>
      </c>
      <c r="G1886" s="152" t="s">
        <v>2301</v>
      </c>
      <c r="H1886" s="153" t="s">
        <v>211</v>
      </c>
    </row>
    <row r="1887" hidden="1">
      <c r="A1887" s="158" t="s">
        <v>237</v>
      </c>
      <c r="B1887" s="159"/>
      <c r="C1887" s="155" t="s">
        <v>236</v>
      </c>
      <c r="D1887" s="156" t="s">
        <v>2139</v>
      </c>
      <c r="E1887" s="156" t="s">
        <v>2302</v>
      </c>
      <c r="F1887" s="156" t="s">
        <v>427</v>
      </c>
      <c r="G1887" s="156" t="s">
        <v>2303</v>
      </c>
      <c r="H1887" s="157" t="s">
        <v>212</v>
      </c>
    </row>
    <row r="1888" hidden="1">
      <c r="A1888" s="160" t="s">
        <v>237</v>
      </c>
      <c r="B1888" s="72"/>
      <c r="C1888" s="118" t="s">
        <v>236</v>
      </c>
      <c r="D1888" s="152" t="s">
        <v>2139</v>
      </c>
      <c r="E1888" s="152" t="s">
        <v>2304</v>
      </c>
      <c r="F1888" s="152" t="s">
        <v>305</v>
      </c>
      <c r="G1888" s="152" t="s">
        <v>2305</v>
      </c>
      <c r="H1888" s="153" t="s">
        <v>213</v>
      </c>
    </row>
    <row r="1889" hidden="1">
      <c r="A1889" s="158" t="s">
        <v>237</v>
      </c>
      <c r="B1889" s="159"/>
      <c r="C1889" s="155" t="s">
        <v>236</v>
      </c>
      <c r="D1889" s="156" t="s">
        <v>2139</v>
      </c>
      <c r="E1889" s="156" t="s">
        <v>2306</v>
      </c>
      <c r="F1889" s="156" t="s">
        <v>427</v>
      </c>
      <c r="G1889" s="156" t="s">
        <v>2307</v>
      </c>
      <c r="H1889" s="157" t="s">
        <v>214</v>
      </c>
    </row>
    <row r="1890" hidden="1">
      <c r="A1890" s="160" t="s">
        <v>237</v>
      </c>
      <c r="B1890" s="72"/>
      <c r="C1890" s="118" t="s">
        <v>236</v>
      </c>
      <c r="D1890" s="152" t="s">
        <v>2139</v>
      </c>
      <c r="E1890" s="152" t="s">
        <v>2308</v>
      </c>
      <c r="F1890" s="152" t="s">
        <v>314</v>
      </c>
      <c r="G1890" s="152" t="s">
        <v>2309</v>
      </c>
      <c r="H1890" s="153" t="s">
        <v>215</v>
      </c>
    </row>
    <row r="1891" hidden="1">
      <c r="A1891" s="158" t="s">
        <v>237</v>
      </c>
      <c r="B1891" s="159"/>
      <c r="C1891" s="155" t="s">
        <v>236</v>
      </c>
      <c r="D1891" s="156" t="s">
        <v>2139</v>
      </c>
      <c r="E1891" s="156" t="s">
        <v>2310</v>
      </c>
      <c r="F1891" s="156" t="s">
        <v>427</v>
      </c>
      <c r="G1891" s="156" t="s">
        <v>2311</v>
      </c>
      <c r="H1891" s="157" t="s">
        <v>216</v>
      </c>
    </row>
    <row r="1892" hidden="1">
      <c r="A1892" s="151" t="s">
        <v>204</v>
      </c>
      <c r="B1892" s="118" t="s">
        <v>205</v>
      </c>
      <c r="C1892" s="118" t="s">
        <v>206</v>
      </c>
      <c r="D1892" s="152" t="s">
        <v>2312</v>
      </c>
      <c r="E1892" s="152" t="s">
        <v>2313</v>
      </c>
      <c r="F1892" s="152" t="s">
        <v>321</v>
      </c>
      <c r="G1892" s="152" t="s">
        <v>1814</v>
      </c>
      <c r="H1892" s="153" t="s">
        <v>210</v>
      </c>
    </row>
    <row r="1893" hidden="1">
      <c r="A1893" s="154" t="s">
        <v>204</v>
      </c>
      <c r="B1893" s="155" t="s">
        <v>205</v>
      </c>
      <c r="C1893" s="155" t="s">
        <v>206</v>
      </c>
      <c r="D1893" s="156" t="s">
        <v>2312</v>
      </c>
      <c r="E1893" s="156" t="s">
        <v>2314</v>
      </c>
      <c r="F1893" s="156" t="s">
        <v>357</v>
      </c>
      <c r="G1893" s="156" t="s">
        <v>1729</v>
      </c>
      <c r="H1893" s="157" t="s">
        <v>211</v>
      </c>
    </row>
    <row r="1894" hidden="1">
      <c r="A1894" s="151" t="s">
        <v>204</v>
      </c>
      <c r="B1894" s="118" t="s">
        <v>205</v>
      </c>
      <c r="C1894" s="118" t="s">
        <v>206</v>
      </c>
      <c r="D1894" s="152" t="s">
        <v>2312</v>
      </c>
      <c r="E1894" s="152" t="s">
        <v>2315</v>
      </c>
      <c r="F1894" s="152" t="s">
        <v>314</v>
      </c>
      <c r="G1894" s="152" t="s">
        <v>1827</v>
      </c>
      <c r="H1894" s="153" t="s">
        <v>212</v>
      </c>
    </row>
    <row r="1895" hidden="1">
      <c r="A1895" s="154" t="s">
        <v>204</v>
      </c>
      <c r="B1895" s="155" t="s">
        <v>205</v>
      </c>
      <c r="C1895" s="155" t="s">
        <v>206</v>
      </c>
      <c r="D1895" s="156" t="s">
        <v>2312</v>
      </c>
      <c r="E1895" s="156" t="s">
        <v>2316</v>
      </c>
      <c r="F1895" s="156" t="s">
        <v>310</v>
      </c>
      <c r="G1895" s="156" t="s">
        <v>1852</v>
      </c>
      <c r="H1895" s="157" t="s">
        <v>213</v>
      </c>
    </row>
    <row r="1896" hidden="1">
      <c r="A1896" s="151" t="s">
        <v>204</v>
      </c>
      <c r="B1896" s="118" t="s">
        <v>205</v>
      </c>
      <c r="C1896" s="118" t="s">
        <v>206</v>
      </c>
      <c r="D1896" s="152" t="s">
        <v>2312</v>
      </c>
      <c r="E1896" s="152" t="s">
        <v>2317</v>
      </c>
      <c r="F1896" s="152" t="s">
        <v>323</v>
      </c>
      <c r="G1896" s="152" t="s">
        <v>1753</v>
      </c>
      <c r="H1896" s="153" t="s">
        <v>214</v>
      </c>
    </row>
    <row r="1897" hidden="1">
      <c r="A1897" s="154" t="s">
        <v>204</v>
      </c>
      <c r="B1897" s="155" t="s">
        <v>205</v>
      </c>
      <c r="C1897" s="155" t="s">
        <v>206</v>
      </c>
      <c r="D1897" s="156" t="s">
        <v>2312</v>
      </c>
      <c r="E1897" s="156" t="s">
        <v>2318</v>
      </c>
      <c r="F1897" s="156" t="s">
        <v>310</v>
      </c>
      <c r="G1897" s="156" t="s">
        <v>1957</v>
      </c>
      <c r="H1897" s="157" t="s">
        <v>215</v>
      </c>
    </row>
    <row r="1898" hidden="1">
      <c r="A1898" s="151" t="s">
        <v>204</v>
      </c>
      <c r="B1898" s="118" t="s">
        <v>205</v>
      </c>
      <c r="C1898" s="118" t="s">
        <v>206</v>
      </c>
      <c r="D1898" s="152" t="s">
        <v>2312</v>
      </c>
      <c r="E1898" s="152" t="s">
        <v>2319</v>
      </c>
      <c r="F1898" s="152" t="s">
        <v>359</v>
      </c>
      <c r="G1898" s="152" t="s">
        <v>1955</v>
      </c>
      <c r="H1898" s="153" t="s">
        <v>216</v>
      </c>
    </row>
    <row r="1899" hidden="1">
      <c r="A1899" s="154" t="s">
        <v>217</v>
      </c>
      <c r="B1899" s="155" t="s">
        <v>191</v>
      </c>
      <c r="C1899" s="155" t="s">
        <v>206</v>
      </c>
      <c r="D1899" s="156" t="s">
        <v>2312</v>
      </c>
      <c r="E1899" s="156" t="s">
        <v>2320</v>
      </c>
      <c r="F1899" s="156" t="s">
        <v>365</v>
      </c>
      <c r="G1899" s="156" t="s">
        <v>2321</v>
      </c>
      <c r="H1899" s="157" t="s">
        <v>210</v>
      </c>
    </row>
    <row r="1900" hidden="1">
      <c r="A1900" s="151" t="s">
        <v>217</v>
      </c>
      <c r="B1900" s="118" t="s">
        <v>191</v>
      </c>
      <c r="C1900" s="118" t="s">
        <v>206</v>
      </c>
      <c r="D1900" s="152" t="s">
        <v>2312</v>
      </c>
      <c r="E1900" s="152" t="s">
        <v>2322</v>
      </c>
      <c r="F1900" s="152" t="s">
        <v>249</v>
      </c>
      <c r="G1900" s="152" t="s">
        <v>1901</v>
      </c>
      <c r="H1900" s="153" t="s">
        <v>211</v>
      </c>
    </row>
    <row r="1901" hidden="1">
      <c r="A1901" s="154" t="s">
        <v>217</v>
      </c>
      <c r="B1901" s="155" t="s">
        <v>191</v>
      </c>
      <c r="C1901" s="155" t="s">
        <v>206</v>
      </c>
      <c r="D1901" s="156" t="s">
        <v>2312</v>
      </c>
      <c r="E1901" s="156" t="s">
        <v>2323</v>
      </c>
      <c r="F1901" s="156" t="s">
        <v>321</v>
      </c>
      <c r="G1901" s="156" t="s">
        <v>1879</v>
      </c>
      <c r="H1901" s="157" t="s">
        <v>212</v>
      </c>
    </row>
    <row r="1902" hidden="1">
      <c r="A1902" s="151" t="s">
        <v>217</v>
      </c>
      <c r="B1902" s="118" t="s">
        <v>191</v>
      </c>
      <c r="C1902" s="118" t="s">
        <v>206</v>
      </c>
      <c r="D1902" s="152" t="s">
        <v>2312</v>
      </c>
      <c r="E1902" s="152" t="s">
        <v>2324</v>
      </c>
      <c r="F1902" s="152" t="s">
        <v>310</v>
      </c>
      <c r="G1902" s="152" t="s">
        <v>1894</v>
      </c>
      <c r="H1902" s="153" t="s">
        <v>213</v>
      </c>
    </row>
    <row r="1903" hidden="1">
      <c r="A1903" s="154" t="s">
        <v>217</v>
      </c>
      <c r="B1903" s="155" t="s">
        <v>191</v>
      </c>
      <c r="C1903" s="155" t="s">
        <v>206</v>
      </c>
      <c r="D1903" s="156" t="s">
        <v>2312</v>
      </c>
      <c r="E1903" s="156" t="s">
        <v>2325</v>
      </c>
      <c r="F1903" s="156" t="s">
        <v>331</v>
      </c>
      <c r="G1903" s="156" t="s">
        <v>1735</v>
      </c>
      <c r="H1903" s="157" t="s">
        <v>214</v>
      </c>
    </row>
    <row r="1904" hidden="1">
      <c r="A1904" s="151" t="s">
        <v>217</v>
      </c>
      <c r="B1904" s="118" t="s">
        <v>191</v>
      </c>
      <c r="C1904" s="118" t="s">
        <v>206</v>
      </c>
      <c r="D1904" s="152" t="s">
        <v>2312</v>
      </c>
      <c r="E1904" s="152" t="s">
        <v>2326</v>
      </c>
      <c r="F1904" s="152" t="s">
        <v>323</v>
      </c>
      <c r="G1904" s="152" t="s">
        <v>2126</v>
      </c>
      <c r="H1904" s="153" t="s">
        <v>215</v>
      </c>
    </row>
    <row r="1905" hidden="1">
      <c r="A1905" s="154" t="s">
        <v>217</v>
      </c>
      <c r="B1905" s="155" t="s">
        <v>191</v>
      </c>
      <c r="C1905" s="155" t="s">
        <v>206</v>
      </c>
      <c r="D1905" s="156" t="s">
        <v>2312</v>
      </c>
      <c r="E1905" s="156" t="s">
        <v>2327</v>
      </c>
      <c r="F1905" s="156" t="s">
        <v>359</v>
      </c>
      <c r="G1905" s="156" t="s">
        <v>1894</v>
      </c>
      <c r="H1905" s="157" t="s">
        <v>216</v>
      </c>
    </row>
    <row r="1906" hidden="1">
      <c r="A1906" s="151" t="s">
        <v>218</v>
      </c>
      <c r="B1906" s="118" t="s">
        <v>219</v>
      </c>
      <c r="C1906" s="118" t="s">
        <v>206</v>
      </c>
      <c r="D1906" s="152" t="s">
        <v>2312</v>
      </c>
      <c r="E1906" s="152" t="s">
        <v>2328</v>
      </c>
      <c r="F1906" s="152" t="s">
        <v>374</v>
      </c>
      <c r="G1906" s="152" t="s">
        <v>1916</v>
      </c>
      <c r="H1906" s="153" t="s">
        <v>210</v>
      </c>
    </row>
    <row r="1907" hidden="1">
      <c r="A1907" s="154" t="s">
        <v>218</v>
      </c>
      <c r="B1907" s="155" t="s">
        <v>219</v>
      </c>
      <c r="C1907" s="155" t="s">
        <v>206</v>
      </c>
      <c r="D1907" s="156" t="s">
        <v>2312</v>
      </c>
      <c r="E1907" s="156" t="s">
        <v>2329</v>
      </c>
      <c r="F1907" s="156" t="s">
        <v>374</v>
      </c>
      <c r="G1907" s="156" t="s">
        <v>1741</v>
      </c>
      <c r="H1907" s="157" t="s">
        <v>211</v>
      </c>
    </row>
    <row r="1908" hidden="1">
      <c r="A1908" s="151" t="s">
        <v>218</v>
      </c>
      <c r="B1908" s="118" t="s">
        <v>219</v>
      </c>
      <c r="C1908" s="118" t="s">
        <v>206</v>
      </c>
      <c r="D1908" s="152" t="s">
        <v>2312</v>
      </c>
      <c r="E1908" s="152" t="s">
        <v>2330</v>
      </c>
      <c r="F1908" s="152" t="s">
        <v>374</v>
      </c>
      <c r="G1908" s="152" t="s">
        <v>2331</v>
      </c>
      <c r="H1908" s="153" t="s">
        <v>212</v>
      </c>
    </row>
    <row r="1909" hidden="1">
      <c r="A1909" s="154" t="s">
        <v>218</v>
      </c>
      <c r="B1909" s="155" t="s">
        <v>219</v>
      </c>
      <c r="C1909" s="155" t="s">
        <v>206</v>
      </c>
      <c r="D1909" s="156" t="s">
        <v>2312</v>
      </c>
      <c r="E1909" s="156" t="s">
        <v>2332</v>
      </c>
      <c r="F1909" s="156" t="s">
        <v>262</v>
      </c>
      <c r="G1909" s="156" t="s">
        <v>1737</v>
      </c>
      <c r="H1909" s="157" t="s">
        <v>213</v>
      </c>
    </row>
    <row r="1910" hidden="1">
      <c r="A1910" s="151" t="s">
        <v>218</v>
      </c>
      <c r="B1910" s="118" t="s">
        <v>219</v>
      </c>
      <c r="C1910" s="118" t="s">
        <v>206</v>
      </c>
      <c r="D1910" s="152" t="s">
        <v>2312</v>
      </c>
      <c r="E1910" s="152" t="s">
        <v>2333</v>
      </c>
      <c r="F1910" s="152" t="s">
        <v>259</v>
      </c>
      <c r="G1910" s="152" t="s">
        <v>1873</v>
      </c>
      <c r="H1910" s="153" t="s">
        <v>214</v>
      </c>
    </row>
    <row r="1911" hidden="1">
      <c r="A1911" s="154" t="s">
        <v>218</v>
      </c>
      <c r="B1911" s="155" t="s">
        <v>219</v>
      </c>
      <c r="C1911" s="155" t="s">
        <v>206</v>
      </c>
      <c r="D1911" s="156" t="s">
        <v>2312</v>
      </c>
      <c r="E1911" s="156" t="s">
        <v>2334</v>
      </c>
      <c r="F1911" s="156" t="s">
        <v>265</v>
      </c>
      <c r="G1911" s="156" t="s">
        <v>1901</v>
      </c>
      <c r="H1911" s="157" t="s">
        <v>215</v>
      </c>
    </row>
    <row r="1912" hidden="1">
      <c r="A1912" s="151" t="s">
        <v>218</v>
      </c>
      <c r="B1912" s="118" t="s">
        <v>219</v>
      </c>
      <c r="C1912" s="118" t="s">
        <v>206</v>
      </c>
      <c r="D1912" s="152" t="s">
        <v>2312</v>
      </c>
      <c r="E1912" s="152" t="s">
        <v>2335</v>
      </c>
      <c r="F1912" s="152" t="s">
        <v>374</v>
      </c>
      <c r="G1912" s="152" t="s">
        <v>1908</v>
      </c>
      <c r="H1912" s="153" t="s">
        <v>216</v>
      </c>
    </row>
    <row r="1913" hidden="1">
      <c r="A1913" s="154" t="s">
        <v>220</v>
      </c>
      <c r="B1913" s="155" t="s">
        <v>190</v>
      </c>
      <c r="C1913" s="155" t="s">
        <v>206</v>
      </c>
      <c r="D1913" s="156" t="s">
        <v>2312</v>
      </c>
      <c r="E1913" s="156" t="s">
        <v>2336</v>
      </c>
      <c r="F1913" s="156" t="s">
        <v>758</v>
      </c>
      <c r="G1913" s="156" t="s">
        <v>2155</v>
      </c>
      <c r="H1913" s="157" t="s">
        <v>210</v>
      </c>
    </row>
    <row r="1914" hidden="1">
      <c r="A1914" s="151" t="s">
        <v>220</v>
      </c>
      <c r="B1914" s="118" t="s">
        <v>190</v>
      </c>
      <c r="C1914" s="118" t="s">
        <v>206</v>
      </c>
      <c r="D1914" s="152" t="s">
        <v>2312</v>
      </c>
      <c r="E1914" s="152" t="s">
        <v>2337</v>
      </c>
      <c r="F1914" s="152" t="s">
        <v>290</v>
      </c>
      <c r="G1914" s="152" t="s">
        <v>1875</v>
      </c>
      <c r="H1914" s="153" t="s">
        <v>211</v>
      </c>
    </row>
    <row r="1915" hidden="1">
      <c r="A1915" s="154" t="s">
        <v>220</v>
      </c>
      <c r="B1915" s="155" t="s">
        <v>190</v>
      </c>
      <c r="C1915" s="155" t="s">
        <v>206</v>
      </c>
      <c r="D1915" s="156" t="s">
        <v>2312</v>
      </c>
      <c r="E1915" s="156" t="s">
        <v>2338</v>
      </c>
      <c r="F1915" s="156" t="s">
        <v>374</v>
      </c>
      <c r="G1915" s="156" t="s">
        <v>2339</v>
      </c>
      <c r="H1915" s="157" t="s">
        <v>212</v>
      </c>
    </row>
    <row r="1916" hidden="1">
      <c r="A1916" s="151" t="s">
        <v>220</v>
      </c>
      <c r="B1916" s="118" t="s">
        <v>190</v>
      </c>
      <c r="C1916" s="118" t="s">
        <v>206</v>
      </c>
      <c r="D1916" s="152" t="s">
        <v>2312</v>
      </c>
      <c r="E1916" s="152" t="s">
        <v>2340</v>
      </c>
      <c r="F1916" s="152" t="s">
        <v>269</v>
      </c>
      <c r="G1916" s="152" t="s">
        <v>639</v>
      </c>
      <c r="H1916" s="153" t="s">
        <v>213</v>
      </c>
    </row>
    <row r="1917" hidden="1">
      <c r="A1917" s="154" t="s">
        <v>220</v>
      </c>
      <c r="B1917" s="155" t="s">
        <v>190</v>
      </c>
      <c r="C1917" s="155" t="s">
        <v>206</v>
      </c>
      <c r="D1917" s="156" t="s">
        <v>2312</v>
      </c>
      <c r="E1917" s="156" t="s">
        <v>2341</v>
      </c>
      <c r="F1917" s="156" t="s">
        <v>246</v>
      </c>
      <c r="G1917" s="156" t="s">
        <v>2249</v>
      </c>
      <c r="H1917" s="157" t="s">
        <v>214</v>
      </c>
    </row>
    <row r="1918" hidden="1">
      <c r="A1918" s="151" t="s">
        <v>220</v>
      </c>
      <c r="B1918" s="118" t="s">
        <v>190</v>
      </c>
      <c r="C1918" s="118" t="s">
        <v>206</v>
      </c>
      <c r="D1918" s="152" t="s">
        <v>2312</v>
      </c>
      <c r="E1918" s="152" t="s">
        <v>2342</v>
      </c>
      <c r="F1918" s="152" t="s">
        <v>427</v>
      </c>
      <c r="G1918" s="152" t="s">
        <v>2343</v>
      </c>
      <c r="H1918" s="153" t="s">
        <v>215</v>
      </c>
    </row>
    <row r="1919" hidden="1">
      <c r="A1919" s="154" t="s">
        <v>220</v>
      </c>
      <c r="B1919" s="155" t="s">
        <v>190</v>
      </c>
      <c r="C1919" s="155" t="s">
        <v>206</v>
      </c>
      <c r="D1919" s="156" t="s">
        <v>2312</v>
      </c>
      <c r="E1919" s="156" t="s">
        <v>2344</v>
      </c>
      <c r="F1919" s="156" t="s">
        <v>494</v>
      </c>
      <c r="G1919" s="156" t="s">
        <v>1806</v>
      </c>
      <c r="H1919" s="157" t="s">
        <v>216</v>
      </c>
    </row>
    <row r="1920" hidden="1">
      <c r="A1920" s="151" t="s">
        <v>221</v>
      </c>
      <c r="B1920" s="118" t="s">
        <v>189</v>
      </c>
      <c r="C1920" s="118" t="s">
        <v>206</v>
      </c>
      <c r="D1920" s="152" t="s">
        <v>2312</v>
      </c>
      <c r="E1920" s="152" t="s">
        <v>2345</v>
      </c>
      <c r="F1920" s="152" t="s">
        <v>255</v>
      </c>
      <c r="G1920" s="152" t="s">
        <v>2346</v>
      </c>
      <c r="H1920" s="153" t="s">
        <v>210</v>
      </c>
    </row>
    <row r="1921" hidden="1">
      <c r="A1921" s="154" t="s">
        <v>221</v>
      </c>
      <c r="B1921" s="155" t="s">
        <v>189</v>
      </c>
      <c r="C1921" s="155" t="s">
        <v>206</v>
      </c>
      <c r="D1921" s="156" t="s">
        <v>2312</v>
      </c>
      <c r="E1921" s="156" t="s">
        <v>2347</v>
      </c>
      <c r="F1921" s="156" t="s">
        <v>2166</v>
      </c>
      <c r="G1921" s="156" t="s">
        <v>2348</v>
      </c>
      <c r="H1921" s="157" t="s">
        <v>211</v>
      </c>
    </row>
    <row r="1922" hidden="1">
      <c r="A1922" s="151" t="s">
        <v>221</v>
      </c>
      <c r="B1922" s="118" t="s">
        <v>189</v>
      </c>
      <c r="C1922" s="118" t="s">
        <v>206</v>
      </c>
      <c r="D1922" s="152" t="s">
        <v>2312</v>
      </c>
      <c r="E1922" s="152" t="s">
        <v>2349</v>
      </c>
      <c r="F1922" s="152" t="s">
        <v>269</v>
      </c>
      <c r="G1922" s="152" t="s">
        <v>1862</v>
      </c>
      <c r="H1922" s="153" t="s">
        <v>212</v>
      </c>
    </row>
    <row r="1923" hidden="1">
      <c r="A1923" s="154" t="s">
        <v>221</v>
      </c>
      <c r="B1923" s="155" t="s">
        <v>189</v>
      </c>
      <c r="C1923" s="155" t="s">
        <v>206</v>
      </c>
      <c r="D1923" s="156" t="s">
        <v>2312</v>
      </c>
      <c r="E1923" s="156" t="s">
        <v>2350</v>
      </c>
      <c r="F1923" s="156" t="s">
        <v>285</v>
      </c>
      <c r="G1923" s="156" t="s">
        <v>2177</v>
      </c>
      <c r="H1923" s="157" t="s">
        <v>213</v>
      </c>
    </row>
    <row r="1924" hidden="1">
      <c r="A1924" s="151" t="s">
        <v>221</v>
      </c>
      <c r="B1924" s="118" t="s">
        <v>189</v>
      </c>
      <c r="C1924" s="118" t="s">
        <v>206</v>
      </c>
      <c r="D1924" s="152" t="s">
        <v>2312</v>
      </c>
      <c r="E1924" s="152" t="s">
        <v>2351</v>
      </c>
      <c r="F1924" s="152" t="s">
        <v>374</v>
      </c>
      <c r="G1924" s="152" t="s">
        <v>2352</v>
      </c>
      <c r="H1924" s="153" t="s">
        <v>214</v>
      </c>
    </row>
    <row r="1925" hidden="1">
      <c r="A1925" s="154" t="s">
        <v>221</v>
      </c>
      <c r="B1925" s="155" t="s">
        <v>189</v>
      </c>
      <c r="C1925" s="155" t="s">
        <v>206</v>
      </c>
      <c r="D1925" s="156" t="s">
        <v>2312</v>
      </c>
      <c r="E1925" s="156" t="s">
        <v>2353</v>
      </c>
      <c r="F1925" s="156" t="s">
        <v>577</v>
      </c>
      <c r="G1925" s="156" t="s">
        <v>2354</v>
      </c>
      <c r="H1925" s="157" t="s">
        <v>215</v>
      </c>
    </row>
    <row r="1926" hidden="1">
      <c r="A1926" s="151" t="s">
        <v>221</v>
      </c>
      <c r="B1926" s="118" t="s">
        <v>189</v>
      </c>
      <c r="C1926" s="118" t="s">
        <v>206</v>
      </c>
      <c r="D1926" s="152" t="s">
        <v>2312</v>
      </c>
      <c r="E1926" s="152" t="s">
        <v>2355</v>
      </c>
      <c r="F1926" s="152" t="s">
        <v>492</v>
      </c>
      <c r="G1926" s="152" t="s">
        <v>2006</v>
      </c>
      <c r="H1926" s="153" t="s">
        <v>216</v>
      </c>
    </row>
    <row r="1927" hidden="1">
      <c r="A1927" s="154" t="s">
        <v>222</v>
      </c>
      <c r="B1927" s="155" t="s">
        <v>192</v>
      </c>
      <c r="C1927" s="155" t="s">
        <v>206</v>
      </c>
      <c r="D1927" s="156" t="s">
        <v>2312</v>
      </c>
      <c r="E1927" s="156" t="s">
        <v>2356</v>
      </c>
      <c r="F1927" s="156" t="s">
        <v>577</v>
      </c>
      <c r="G1927" s="156" t="s">
        <v>1727</v>
      </c>
      <c r="H1927" s="157" t="s">
        <v>210</v>
      </c>
    </row>
    <row r="1928" hidden="1">
      <c r="A1928" s="151" t="s">
        <v>222</v>
      </c>
      <c r="B1928" s="118" t="s">
        <v>192</v>
      </c>
      <c r="C1928" s="118" t="s">
        <v>206</v>
      </c>
      <c r="D1928" s="152" t="s">
        <v>2312</v>
      </c>
      <c r="E1928" s="152" t="s">
        <v>2357</v>
      </c>
      <c r="F1928" s="152" t="s">
        <v>725</v>
      </c>
      <c r="G1928" s="152" t="s">
        <v>2331</v>
      </c>
      <c r="H1928" s="153" t="s">
        <v>211</v>
      </c>
    </row>
    <row r="1929" hidden="1">
      <c r="A1929" s="154" t="s">
        <v>222</v>
      </c>
      <c r="B1929" s="155" t="s">
        <v>192</v>
      </c>
      <c r="C1929" s="155" t="s">
        <v>206</v>
      </c>
      <c r="D1929" s="156" t="s">
        <v>2312</v>
      </c>
      <c r="E1929" s="156" t="s">
        <v>2358</v>
      </c>
      <c r="F1929" s="156" t="s">
        <v>427</v>
      </c>
      <c r="G1929" s="156" t="s">
        <v>2029</v>
      </c>
      <c r="H1929" s="157" t="s">
        <v>212</v>
      </c>
    </row>
    <row r="1930" hidden="1">
      <c r="A1930" s="151" t="s">
        <v>222</v>
      </c>
      <c r="B1930" s="118" t="s">
        <v>192</v>
      </c>
      <c r="C1930" s="118" t="s">
        <v>206</v>
      </c>
      <c r="D1930" s="152" t="s">
        <v>2312</v>
      </c>
      <c r="E1930" s="152" t="s">
        <v>2359</v>
      </c>
      <c r="F1930" s="152" t="s">
        <v>425</v>
      </c>
      <c r="G1930" s="152" t="s">
        <v>1899</v>
      </c>
      <c r="H1930" s="153" t="s">
        <v>213</v>
      </c>
    </row>
    <row r="1931" hidden="1">
      <c r="A1931" s="154" t="s">
        <v>222</v>
      </c>
      <c r="B1931" s="155" t="s">
        <v>192</v>
      </c>
      <c r="C1931" s="155" t="s">
        <v>206</v>
      </c>
      <c r="D1931" s="156" t="s">
        <v>2312</v>
      </c>
      <c r="E1931" s="156" t="s">
        <v>2360</v>
      </c>
      <c r="F1931" s="156" t="s">
        <v>354</v>
      </c>
      <c r="G1931" s="156" t="s">
        <v>1735</v>
      </c>
      <c r="H1931" s="157" t="s">
        <v>214</v>
      </c>
    </row>
    <row r="1932" hidden="1">
      <c r="A1932" s="151" t="s">
        <v>222</v>
      </c>
      <c r="B1932" s="118" t="s">
        <v>192</v>
      </c>
      <c r="C1932" s="118" t="s">
        <v>206</v>
      </c>
      <c r="D1932" s="152" t="s">
        <v>2312</v>
      </c>
      <c r="E1932" s="152" t="s">
        <v>2361</v>
      </c>
      <c r="F1932" s="152" t="s">
        <v>725</v>
      </c>
      <c r="G1932" s="152" t="s">
        <v>1879</v>
      </c>
      <c r="H1932" s="153" t="s">
        <v>215</v>
      </c>
    </row>
    <row r="1933" hidden="1">
      <c r="A1933" s="154" t="s">
        <v>222</v>
      </c>
      <c r="B1933" s="155" t="s">
        <v>192</v>
      </c>
      <c r="C1933" s="155" t="s">
        <v>206</v>
      </c>
      <c r="D1933" s="156" t="s">
        <v>2312</v>
      </c>
      <c r="E1933" s="156" t="s">
        <v>2362</v>
      </c>
      <c r="F1933" s="156" t="s">
        <v>725</v>
      </c>
      <c r="G1933" s="156" t="s">
        <v>1731</v>
      </c>
      <c r="H1933" s="157" t="s">
        <v>216</v>
      </c>
    </row>
    <row r="1934" hidden="1">
      <c r="A1934" s="151" t="s">
        <v>223</v>
      </c>
      <c r="B1934" s="118" t="s">
        <v>144</v>
      </c>
      <c r="C1934" s="118" t="s">
        <v>206</v>
      </c>
      <c r="D1934" s="152" t="s">
        <v>2312</v>
      </c>
      <c r="E1934" s="152" t="s">
        <v>2363</v>
      </c>
      <c r="F1934" s="152" t="s">
        <v>255</v>
      </c>
      <c r="G1934" s="152" t="s">
        <v>2364</v>
      </c>
      <c r="H1934" s="153" t="s">
        <v>210</v>
      </c>
    </row>
    <row r="1935" hidden="1">
      <c r="A1935" s="154" t="s">
        <v>223</v>
      </c>
      <c r="B1935" s="155" t="s">
        <v>144</v>
      </c>
      <c r="C1935" s="155" t="s">
        <v>206</v>
      </c>
      <c r="D1935" s="156" t="s">
        <v>2312</v>
      </c>
      <c r="E1935" s="156" t="s">
        <v>2365</v>
      </c>
      <c r="F1935" s="156" t="s">
        <v>240</v>
      </c>
      <c r="G1935" s="156" t="s">
        <v>2366</v>
      </c>
      <c r="H1935" s="157" t="s">
        <v>211</v>
      </c>
    </row>
    <row r="1936" hidden="1">
      <c r="A1936" s="151" t="s">
        <v>223</v>
      </c>
      <c r="B1936" s="118" t="s">
        <v>144</v>
      </c>
      <c r="C1936" s="118" t="s">
        <v>206</v>
      </c>
      <c r="D1936" s="152" t="s">
        <v>2312</v>
      </c>
      <c r="E1936" s="152" t="s">
        <v>2367</v>
      </c>
      <c r="F1936" s="152" t="s">
        <v>357</v>
      </c>
      <c r="G1936" s="152" t="s">
        <v>1979</v>
      </c>
      <c r="H1936" s="153" t="s">
        <v>212</v>
      </c>
    </row>
    <row r="1937" hidden="1">
      <c r="A1937" s="154" t="s">
        <v>223</v>
      </c>
      <c r="B1937" s="155" t="s">
        <v>144</v>
      </c>
      <c r="C1937" s="155" t="s">
        <v>206</v>
      </c>
      <c r="D1937" s="156" t="s">
        <v>2312</v>
      </c>
      <c r="E1937" s="156" t="s">
        <v>2368</v>
      </c>
      <c r="F1937" s="156" t="s">
        <v>244</v>
      </c>
      <c r="G1937" s="156" t="s">
        <v>2051</v>
      </c>
      <c r="H1937" s="157" t="s">
        <v>213</v>
      </c>
    </row>
    <row r="1938" hidden="1">
      <c r="A1938" s="151" t="s">
        <v>223</v>
      </c>
      <c r="B1938" s="118" t="s">
        <v>144</v>
      </c>
      <c r="C1938" s="118" t="s">
        <v>206</v>
      </c>
      <c r="D1938" s="152" t="s">
        <v>2312</v>
      </c>
      <c r="E1938" s="152" t="s">
        <v>2369</v>
      </c>
      <c r="F1938" s="152" t="s">
        <v>242</v>
      </c>
      <c r="G1938" s="152" t="s">
        <v>1808</v>
      </c>
      <c r="H1938" s="153" t="s">
        <v>214</v>
      </c>
    </row>
    <row r="1939" hidden="1">
      <c r="A1939" s="154" t="s">
        <v>223</v>
      </c>
      <c r="B1939" s="155" t="s">
        <v>144</v>
      </c>
      <c r="C1939" s="155" t="s">
        <v>206</v>
      </c>
      <c r="D1939" s="156" t="s">
        <v>2312</v>
      </c>
      <c r="E1939" s="156" t="s">
        <v>2370</v>
      </c>
      <c r="F1939" s="156" t="s">
        <v>359</v>
      </c>
      <c r="G1939" s="156" t="s">
        <v>2055</v>
      </c>
      <c r="H1939" s="157" t="s">
        <v>215</v>
      </c>
    </row>
    <row r="1940" hidden="1">
      <c r="A1940" s="151" t="s">
        <v>223</v>
      </c>
      <c r="B1940" s="118" t="s">
        <v>144</v>
      </c>
      <c r="C1940" s="118" t="s">
        <v>206</v>
      </c>
      <c r="D1940" s="152" t="s">
        <v>2312</v>
      </c>
      <c r="E1940" s="152" t="s">
        <v>2371</v>
      </c>
      <c r="F1940" s="152" t="s">
        <v>240</v>
      </c>
      <c r="G1940" s="152" t="s">
        <v>2142</v>
      </c>
      <c r="H1940" s="153" t="s">
        <v>216</v>
      </c>
    </row>
    <row r="1941" hidden="1">
      <c r="A1941" s="154" t="s">
        <v>224</v>
      </c>
      <c r="B1941" s="155" t="s">
        <v>170</v>
      </c>
      <c r="C1941" s="155" t="s">
        <v>206</v>
      </c>
      <c r="D1941" s="156" t="s">
        <v>2312</v>
      </c>
      <c r="E1941" s="156" t="s">
        <v>2372</v>
      </c>
      <c r="F1941" s="156" t="s">
        <v>240</v>
      </c>
      <c r="G1941" s="156" t="s">
        <v>1755</v>
      </c>
      <c r="H1941" s="157" t="s">
        <v>210</v>
      </c>
    </row>
    <row r="1942" hidden="1">
      <c r="A1942" s="151" t="s">
        <v>224</v>
      </c>
      <c r="B1942" s="118" t="s">
        <v>170</v>
      </c>
      <c r="C1942" s="118" t="s">
        <v>206</v>
      </c>
      <c r="D1942" s="152" t="s">
        <v>2312</v>
      </c>
      <c r="E1942" s="152" t="s">
        <v>2373</v>
      </c>
      <c r="F1942" s="152" t="s">
        <v>357</v>
      </c>
      <c r="G1942" s="152" t="s">
        <v>1753</v>
      </c>
      <c r="H1942" s="153" t="s">
        <v>211</v>
      </c>
    </row>
    <row r="1943" hidden="1">
      <c r="A1943" s="154" t="s">
        <v>224</v>
      </c>
      <c r="B1943" s="155" t="s">
        <v>170</v>
      </c>
      <c r="C1943" s="155" t="s">
        <v>206</v>
      </c>
      <c r="D1943" s="156" t="s">
        <v>2312</v>
      </c>
      <c r="E1943" s="156" t="s">
        <v>2374</v>
      </c>
      <c r="F1943" s="156" t="s">
        <v>425</v>
      </c>
      <c r="G1943" s="156" t="s">
        <v>2070</v>
      </c>
      <c r="H1943" s="157" t="s">
        <v>212</v>
      </c>
    </row>
    <row r="1944" hidden="1">
      <c r="A1944" s="151" t="s">
        <v>224</v>
      </c>
      <c r="B1944" s="118" t="s">
        <v>170</v>
      </c>
      <c r="C1944" s="118" t="s">
        <v>206</v>
      </c>
      <c r="D1944" s="152" t="s">
        <v>2312</v>
      </c>
      <c r="E1944" s="152" t="s">
        <v>2375</v>
      </c>
      <c r="F1944" s="152" t="s">
        <v>425</v>
      </c>
      <c r="G1944" s="152" t="s">
        <v>2376</v>
      </c>
      <c r="H1944" s="153" t="s">
        <v>213</v>
      </c>
    </row>
    <row r="1945" hidden="1">
      <c r="A1945" s="154" t="s">
        <v>224</v>
      </c>
      <c r="B1945" s="155" t="s">
        <v>170</v>
      </c>
      <c r="C1945" s="155" t="s">
        <v>206</v>
      </c>
      <c r="D1945" s="156" t="s">
        <v>2312</v>
      </c>
      <c r="E1945" s="156" t="s">
        <v>2377</v>
      </c>
      <c r="F1945" s="156" t="s">
        <v>259</v>
      </c>
      <c r="G1945" s="156" t="s">
        <v>2057</v>
      </c>
      <c r="H1945" s="157" t="s">
        <v>214</v>
      </c>
    </row>
    <row r="1946" hidden="1">
      <c r="A1946" s="151" t="s">
        <v>224</v>
      </c>
      <c r="B1946" s="118" t="s">
        <v>170</v>
      </c>
      <c r="C1946" s="118" t="s">
        <v>206</v>
      </c>
      <c r="D1946" s="152" t="s">
        <v>2312</v>
      </c>
      <c r="E1946" s="152" t="s">
        <v>2378</v>
      </c>
      <c r="F1946" s="152" t="s">
        <v>257</v>
      </c>
      <c r="G1946" s="152" t="s">
        <v>2379</v>
      </c>
      <c r="H1946" s="153" t="s">
        <v>215</v>
      </c>
    </row>
    <row r="1947" hidden="1">
      <c r="A1947" s="154" t="s">
        <v>224</v>
      </c>
      <c r="B1947" s="155" t="s">
        <v>170</v>
      </c>
      <c r="C1947" s="155" t="s">
        <v>206</v>
      </c>
      <c r="D1947" s="156" t="s">
        <v>2312</v>
      </c>
      <c r="E1947" s="156" t="s">
        <v>2380</v>
      </c>
      <c r="F1947" s="156" t="s">
        <v>242</v>
      </c>
      <c r="G1947" s="156" t="s">
        <v>2055</v>
      </c>
      <c r="H1947" s="157" t="s">
        <v>216</v>
      </c>
    </row>
    <row r="1948" hidden="1">
      <c r="A1948" s="151" t="s">
        <v>225</v>
      </c>
      <c r="B1948" s="118" t="s">
        <v>226</v>
      </c>
      <c r="C1948" s="118" t="s">
        <v>206</v>
      </c>
      <c r="D1948" s="152" t="s">
        <v>2312</v>
      </c>
      <c r="E1948" s="152" t="s">
        <v>2381</v>
      </c>
      <c r="F1948" s="152" t="s">
        <v>359</v>
      </c>
      <c r="G1948" s="152" t="s">
        <v>1944</v>
      </c>
      <c r="H1948" s="153" t="s">
        <v>210</v>
      </c>
    </row>
    <row r="1949" hidden="1">
      <c r="A1949" s="154" t="s">
        <v>225</v>
      </c>
      <c r="B1949" s="155" t="s">
        <v>226</v>
      </c>
      <c r="C1949" s="155" t="s">
        <v>206</v>
      </c>
      <c r="D1949" s="156" t="s">
        <v>2312</v>
      </c>
      <c r="E1949" s="156" t="s">
        <v>2382</v>
      </c>
      <c r="F1949" s="156" t="s">
        <v>305</v>
      </c>
      <c r="G1949" s="156" t="s">
        <v>2383</v>
      </c>
      <c r="H1949" s="157" t="s">
        <v>211</v>
      </c>
    </row>
    <row r="1950" hidden="1">
      <c r="A1950" s="151" t="s">
        <v>225</v>
      </c>
      <c r="B1950" s="118" t="s">
        <v>226</v>
      </c>
      <c r="C1950" s="118" t="s">
        <v>206</v>
      </c>
      <c r="D1950" s="152" t="s">
        <v>2312</v>
      </c>
      <c r="E1950" s="152" t="s">
        <v>2384</v>
      </c>
      <c r="F1950" s="152" t="s">
        <v>308</v>
      </c>
      <c r="G1950" s="152" t="s">
        <v>2385</v>
      </c>
      <c r="H1950" s="153" t="s">
        <v>212</v>
      </c>
    </row>
    <row r="1951" hidden="1">
      <c r="A1951" s="154" t="s">
        <v>225</v>
      </c>
      <c r="B1951" s="155" t="s">
        <v>226</v>
      </c>
      <c r="C1951" s="155" t="s">
        <v>206</v>
      </c>
      <c r="D1951" s="156" t="s">
        <v>2312</v>
      </c>
      <c r="E1951" s="156" t="s">
        <v>2386</v>
      </c>
      <c r="F1951" s="156" t="s">
        <v>351</v>
      </c>
      <c r="G1951" s="156" t="s">
        <v>2387</v>
      </c>
      <c r="H1951" s="157" t="s">
        <v>213</v>
      </c>
    </row>
    <row r="1952" hidden="1">
      <c r="A1952" s="151" t="s">
        <v>225</v>
      </c>
      <c r="B1952" s="118" t="s">
        <v>226</v>
      </c>
      <c r="C1952" s="118" t="s">
        <v>206</v>
      </c>
      <c r="D1952" s="152" t="s">
        <v>2312</v>
      </c>
      <c r="E1952" s="152" t="s">
        <v>2388</v>
      </c>
      <c r="F1952" s="152" t="s">
        <v>351</v>
      </c>
      <c r="G1952" s="152" t="s">
        <v>2389</v>
      </c>
      <c r="H1952" s="153" t="s">
        <v>214</v>
      </c>
    </row>
    <row r="1953" hidden="1">
      <c r="A1953" s="154" t="s">
        <v>225</v>
      </c>
      <c r="B1953" s="155" t="s">
        <v>226</v>
      </c>
      <c r="C1953" s="155" t="s">
        <v>206</v>
      </c>
      <c r="D1953" s="156" t="s">
        <v>2312</v>
      </c>
      <c r="E1953" s="156" t="s">
        <v>2390</v>
      </c>
      <c r="F1953" s="156" t="s">
        <v>249</v>
      </c>
      <c r="G1953" s="156" t="s">
        <v>2391</v>
      </c>
      <c r="H1953" s="157" t="s">
        <v>215</v>
      </c>
    </row>
    <row r="1954" hidden="1">
      <c r="A1954" s="151" t="s">
        <v>225</v>
      </c>
      <c r="B1954" s="118" t="s">
        <v>226</v>
      </c>
      <c r="C1954" s="118" t="s">
        <v>206</v>
      </c>
      <c r="D1954" s="152" t="s">
        <v>2312</v>
      </c>
      <c r="E1954" s="152" t="s">
        <v>2392</v>
      </c>
      <c r="F1954" s="152" t="s">
        <v>308</v>
      </c>
      <c r="G1954" s="152" t="s">
        <v>2393</v>
      </c>
      <c r="H1954" s="153" t="s">
        <v>216</v>
      </c>
    </row>
    <row r="1955" hidden="1">
      <c r="A1955" s="154" t="s">
        <v>227</v>
      </c>
      <c r="B1955" s="155" t="s">
        <v>195</v>
      </c>
      <c r="C1955" s="155" t="s">
        <v>206</v>
      </c>
      <c r="D1955" s="156" t="s">
        <v>2312</v>
      </c>
      <c r="E1955" s="156" t="s">
        <v>2394</v>
      </c>
      <c r="F1955" s="156" t="s">
        <v>269</v>
      </c>
      <c r="G1955" s="156" t="s">
        <v>1899</v>
      </c>
      <c r="H1955" s="157" t="s">
        <v>210</v>
      </c>
    </row>
    <row r="1956" hidden="1">
      <c r="A1956" s="151" t="s">
        <v>227</v>
      </c>
      <c r="B1956" s="118" t="s">
        <v>195</v>
      </c>
      <c r="C1956" s="118" t="s">
        <v>206</v>
      </c>
      <c r="D1956" s="152" t="s">
        <v>2312</v>
      </c>
      <c r="E1956" s="152" t="s">
        <v>2395</v>
      </c>
      <c r="F1956" s="152" t="s">
        <v>262</v>
      </c>
      <c r="G1956" s="152" t="s">
        <v>1759</v>
      </c>
      <c r="H1956" s="153" t="s">
        <v>211</v>
      </c>
    </row>
    <row r="1957" hidden="1">
      <c r="A1957" s="154" t="s">
        <v>227</v>
      </c>
      <c r="B1957" s="155" t="s">
        <v>195</v>
      </c>
      <c r="C1957" s="155" t="s">
        <v>206</v>
      </c>
      <c r="D1957" s="156" t="s">
        <v>2312</v>
      </c>
      <c r="E1957" s="156" t="s">
        <v>2396</v>
      </c>
      <c r="F1957" s="156" t="s">
        <v>365</v>
      </c>
      <c r="G1957" s="156" t="s">
        <v>1854</v>
      </c>
      <c r="H1957" s="157" t="s">
        <v>212</v>
      </c>
    </row>
    <row r="1958" hidden="1">
      <c r="A1958" s="151" t="s">
        <v>227</v>
      </c>
      <c r="B1958" s="118" t="s">
        <v>195</v>
      </c>
      <c r="C1958" s="118" t="s">
        <v>206</v>
      </c>
      <c r="D1958" s="152" t="s">
        <v>2312</v>
      </c>
      <c r="E1958" s="152" t="s">
        <v>2397</v>
      </c>
      <c r="F1958" s="152" t="s">
        <v>494</v>
      </c>
      <c r="G1958" s="152" t="s">
        <v>2398</v>
      </c>
      <c r="H1958" s="153" t="s">
        <v>213</v>
      </c>
    </row>
    <row r="1959" hidden="1">
      <c r="A1959" s="154" t="s">
        <v>227</v>
      </c>
      <c r="B1959" s="155" t="s">
        <v>195</v>
      </c>
      <c r="C1959" s="155" t="s">
        <v>206</v>
      </c>
      <c r="D1959" s="156" t="s">
        <v>2312</v>
      </c>
      <c r="E1959" s="156" t="s">
        <v>2399</v>
      </c>
      <c r="F1959" s="156" t="s">
        <v>279</v>
      </c>
      <c r="G1959" s="156" t="s">
        <v>1879</v>
      </c>
      <c r="H1959" s="157" t="s">
        <v>214</v>
      </c>
    </row>
    <row r="1960" hidden="1">
      <c r="A1960" s="151" t="s">
        <v>227</v>
      </c>
      <c r="B1960" s="118" t="s">
        <v>195</v>
      </c>
      <c r="C1960" s="118" t="s">
        <v>206</v>
      </c>
      <c r="D1960" s="152" t="s">
        <v>2312</v>
      </c>
      <c r="E1960" s="152" t="s">
        <v>2400</v>
      </c>
      <c r="F1960" s="152" t="s">
        <v>323</v>
      </c>
      <c r="G1960" s="152" t="s">
        <v>2401</v>
      </c>
      <c r="H1960" s="153" t="s">
        <v>215</v>
      </c>
    </row>
    <row r="1961" hidden="1">
      <c r="A1961" s="154" t="s">
        <v>227</v>
      </c>
      <c r="B1961" s="155" t="s">
        <v>195</v>
      </c>
      <c r="C1961" s="155" t="s">
        <v>206</v>
      </c>
      <c r="D1961" s="156" t="s">
        <v>2312</v>
      </c>
      <c r="E1961" s="156" t="s">
        <v>2402</v>
      </c>
      <c r="F1961" s="156" t="s">
        <v>269</v>
      </c>
      <c r="G1961" s="156" t="s">
        <v>1827</v>
      </c>
      <c r="H1961" s="157" t="s">
        <v>216</v>
      </c>
    </row>
    <row r="1962" hidden="1">
      <c r="A1962" s="151" t="s">
        <v>228</v>
      </c>
      <c r="B1962" s="118" t="s">
        <v>138</v>
      </c>
      <c r="C1962" s="118" t="s">
        <v>206</v>
      </c>
      <c r="D1962" s="152" t="s">
        <v>2312</v>
      </c>
      <c r="E1962" s="152" t="s">
        <v>2403</v>
      </c>
      <c r="F1962" s="152" t="s">
        <v>2404</v>
      </c>
      <c r="G1962" s="152" t="s">
        <v>2405</v>
      </c>
      <c r="H1962" s="153" t="s">
        <v>210</v>
      </c>
    </row>
    <row r="1963" hidden="1">
      <c r="A1963" s="154" t="s">
        <v>228</v>
      </c>
      <c r="B1963" s="155" t="s">
        <v>138</v>
      </c>
      <c r="C1963" s="155" t="s">
        <v>206</v>
      </c>
      <c r="D1963" s="156" t="s">
        <v>2312</v>
      </c>
      <c r="E1963" s="156" t="s">
        <v>2406</v>
      </c>
      <c r="F1963" s="156" t="s">
        <v>2407</v>
      </c>
      <c r="G1963" s="156" t="s">
        <v>1942</v>
      </c>
      <c r="H1963" s="157" t="s">
        <v>211</v>
      </c>
    </row>
    <row r="1964" hidden="1">
      <c r="A1964" s="151" t="s">
        <v>228</v>
      </c>
      <c r="B1964" s="118" t="s">
        <v>138</v>
      </c>
      <c r="C1964" s="118" t="s">
        <v>206</v>
      </c>
      <c r="D1964" s="152" t="s">
        <v>2312</v>
      </c>
      <c r="E1964" s="152" t="s">
        <v>2408</v>
      </c>
      <c r="F1964" s="152" t="s">
        <v>2409</v>
      </c>
      <c r="G1964" s="152" t="s">
        <v>2410</v>
      </c>
      <c r="H1964" s="153" t="s">
        <v>212</v>
      </c>
    </row>
    <row r="1965" hidden="1">
      <c r="A1965" s="154" t="s">
        <v>228</v>
      </c>
      <c r="B1965" s="155" t="s">
        <v>138</v>
      </c>
      <c r="C1965" s="155" t="s">
        <v>206</v>
      </c>
      <c r="D1965" s="156" t="s">
        <v>2312</v>
      </c>
      <c r="E1965" s="156" t="s">
        <v>2411</v>
      </c>
      <c r="F1965" s="156" t="s">
        <v>1911</v>
      </c>
      <c r="G1965" s="156" t="s">
        <v>2060</v>
      </c>
      <c r="H1965" s="157" t="s">
        <v>213</v>
      </c>
    </row>
    <row r="1966" hidden="1">
      <c r="A1966" s="151" t="s">
        <v>228</v>
      </c>
      <c r="B1966" s="118" t="s">
        <v>138</v>
      </c>
      <c r="C1966" s="118" t="s">
        <v>206</v>
      </c>
      <c r="D1966" s="152" t="s">
        <v>2312</v>
      </c>
      <c r="E1966" s="152" t="s">
        <v>2412</v>
      </c>
      <c r="F1966" s="152" t="s">
        <v>1920</v>
      </c>
      <c r="G1966" s="152" t="s">
        <v>2413</v>
      </c>
      <c r="H1966" s="153" t="s">
        <v>214</v>
      </c>
    </row>
    <row r="1967" hidden="1">
      <c r="A1967" s="154" t="s">
        <v>228</v>
      </c>
      <c r="B1967" s="155" t="s">
        <v>138</v>
      </c>
      <c r="C1967" s="155" t="s">
        <v>206</v>
      </c>
      <c r="D1967" s="156" t="s">
        <v>2312</v>
      </c>
      <c r="E1967" s="156" t="s">
        <v>2414</v>
      </c>
      <c r="F1967" s="156" t="s">
        <v>1775</v>
      </c>
      <c r="G1967" s="156" t="s">
        <v>2057</v>
      </c>
      <c r="H1967" s="157" t="s">
        <v>215</v>
      </c>
    </row>
    <row r="1968" hidden="1">
      <c r="A1968" s="151" t="s">
        <v>228</v>
      </c>
      <c r="B1968" s="118" t="s">
        <v>138</v>
      </c>
      <c r="C1968" s="118" t="s">
        <v>206</v>
      </c>
      <c r="D1968" s="152" t="s">
        <v>2312</v>
      </c>
      <c r="E1968" s="152" t="s">
        <v>2415</v>
      </c>
      <c r="F1968" s="152" t="s">
        <v>2416</v>
      </c>
      <c r="G1968" s="152" t="s">
        <v>2062</v>
      </c>
      <c r="H1968" s="153" t="s">
        <v>216</v>
      </c>
    </row>
    <row r="1969" hidden="1">
      <c r="A1969" s="154" t="s">
        <v>229</v>
      </c>
      <c r="B1969" s="155" t="s">
        <v>193</v>
      </c>
      <c r="C1969" s="155" t="s">
        <v>206</v>
      </c>
      <c r="D1969" s="156" t="s">
        <v>2312</v>
      </c>
      <c r="E1969" s="156" t="s">
        <v>2417</v>
      </c>
      <c r="F1969" s="156" t="s">
        <v>287</v>
      </c>
      <c r="G1969" s="156" t="s">
        <v>1896</v>
      </c>
      <c r="H1969" s="157" t="s">
        <v>210</v>
      </c>
    </row>
    <row r="1970" hidden="1">
      <c r="A1970" s="151" t="s">
        <v>229</v>
      </c>
      <c r="B1970" s="118" t="s">
        <v>193</v>
      </c>
      <c r="C1970" s="118" t="s">
        <v>206</v>
      </c>
      <c r="D1970" s="152" t="s">
        <v>2312</v>
      </c>
      <c r="E1970" s="152" t="s">
        <v>2418</v>
      </c>
      <c r="F1970" s="152" t="s">
        <v>287</v>
      </c>
      <c r="G1970" s="152" t="s">
        <v>1731</v>
      </c>
      <c r="H1970" s="153" t="s">
        <v>211</v>
      </c>
    </row>
    <row r="1971" hidden="1">
      <c r="A1971" s="154" t="s">
        <v>229</v>
      </c>
      <c r="B1971" s="155" t="s">
        <v>193</v>
      </c>
      <c r="C1971" s="155" t="s">
        <v>206</v>
      </c>
      <c r="D1971" s="156" t="s">
        <v>2312</v>
      </c>
      <c r="E1971" s="156" t="s">
        <v>2419</v>
      </c>
      <c r="F1971" s="156" t="s">
        <v>359</v>
      </c>
      <c r="G1971" s="156" t="s">
        <v>2420</v>
      </c>
      <c r="H1971" s="157" t="s">
        <v>212</v>
      </c>
    </row>
    <row r="1972" hidden="1">
      <c r="A1972" s="151" t="s">
        <v>229</v>
      </c>
      <c r="B1972" s="118" t="s">
        <v>193</v>
      </c>
      <c r="C1972" s="118" t="s">
        <v>206</v>
      </c>
      <c r="D1972" s="152" t="s">
        <v>2312</v>
      </c>
      <c r="E1972" s="152" t="s">
        <v>2421</v>
      </c>
      <c r="F1972" s="152" t="s">
        <v>249</v>
      </c>
      <c r="G1972" s="152" t="s">
        <v>1725</v>
      </c>
      <c r="H1972" s="153" t="s">
        <v>213</v>
      </c>
    </row>
    <row r="1973" hidden="1">
      <c r="A1973" s="154" t="s">
        <v>229</v>
      </c>
      <c r="B1973" s="155" t="s">
        <v>193</v>
      </c>
      <c r="C1973" s="155" t="s">
        <v>206</v>
      </c>
      <c r="D1973" s="156" t="s">
        <v>2312</v>
      </c>
      <c r="E1973" s="156" t="s">
        <v>2422</v>
      </c>
      <c r="F1973" s="156" t="s">
        <v>534</v>
      </c>
      <c r="G1973" s="156" t="s">
        <v>1841</v>
      </c>
      <c r="H1973" s="157" t="s">
        <v>214</v>
      </c>
    </row>
    <row r="1974" hidden="1">
      <c r="A1974" s="151" t="s">
        <v>229</v>
      </c>
      <c r="B1974" s="118" t="s">
        <v>193</v>
      </c>
      <c r="C1974" s="118" t="s">
        <v>206</v>
      </c>
      <c r="D1974" s="152" t="s">
        <v>2312</v>
      </c>
      <c r="E1974" s="152" t="s">
        <v>2423</v>
      </c>
      <c r="F1974" s="152" t="s">
        <v>329</v>
      </c>
      <c r="G1974" s="152" t="s">
        <v>2146</v>
      </c>
      <c r="H1974" s="153" t="s">
        <v>215</v>
      </c>
    </row>
    <row r="1975" hidden="1">
      <c r="A1975" s="154" t="s">
        <v>229</v>
      </c>
      <c r="B1975" s="155" t="s">
        <v>193</v>
      </c>
      <c r="C1975" s="155" t="s">
        <v>206</v>
      </c>
      <c r="D1975" s="156" t="s">
        <v>2312</v>
      </c>
      <c r="E1975" s="156" t="s">
        <v>2424</v>
      </c>
      <c r="F1975" s="156" t="s">
        <v>242</v>
      </c>
      <c r="G1975" s="156" t="s">
        <v>2091</v>
      </c>
      <c r="H1975" s="157" t="s">
        <v>216</v>
      </c>
    </row>
    <row r="1976" hidden="1">
      <c r="A1976" s="151" t="s">
        <v>230</v>
      </c>
      <c r="B1976" s="118" t="s">
        <v>194</v>
      </c>
      <c r="C1976" s="118" t="s">
        <v>206</v>
      </c>
      <c r="D1976" s="152" t="s">
        <v>2312</v>
      </c>
      <c r="E1976" s="152" t="s">
        <v>2425</v>
      </c>
      <c r="F1976" s="152" t="s">
        <v>314</v>
      </c>
      <c r="G1976" s="152" t="s">
        <v>1735</v>
      </c>
      <c r="H1976" s="153" t="s">
        <v>210</v>
      </c>
    </row>
    <row r="1977" hidden="1">
      <c r="A1977" s="154" t="s">
        <v>230</v>
      </c>
      <c r="B1977" s="155" t="s">
        <v>194</v>
      </c>
      <c r="C1977" s="155" t="s">
        <v>206</v>
      </c>
      <c r="D1977" s="156" t="s">
        <v>2312</v>
      </c>
      <c r="E1977" s="156" t="s">
        <v>2426</v>
      </c>
      <c r="F1977" s="156" t="s">
        <v>287</v>
      </c>
      <c r="G1977" s="156" t="s">
        <v>1911</v>
      </c>
      <c r="H1977" s="157" t="s">
        <v>211</v>
      </c>
    </row>
    <row r="1978" hidden="1">
      <c r="A1978" s="151" t="s">
        <v>230</v>
      </c>
      <c r="B1978" s="118" t="s">
        <v>194</v>
      </c>
      <c r="C1978" s="118" t="s">
        <v>206</v>
      </c>
      <c r="D1978" s="152" t="s">
        <v>2312</v>
      </c>
      <c r="E1978" s="152" t="s">
        <v>2427</v>
      </c>
      <c r="F1978" s="152" t="s">
        <v>492</v>
      </c>
      <c r="G1978" s="152" t="s">
        <v>1741</v>
      </c>
      <c r="H1978" s="153" t="s">
        <v>212</v>
      </c>
    </row>
    <row r="1979" hidden="1">
      <c r="A1979" s="154" t="s">
        <v>230</v>
      </c>
      <c r="B1979" s="155" t="s">
        <v>194</v>
      </c>
      <c r="C1979" s="155" t="s">
        <v>206</v>
      </c>
      <c r="D1979" s="156" t="s">
        <v>2312</v>
      </c>
      <c r="E1979" s="156" t="s">
        <v>2428</v>
      </c>
      <c r="F1979" s="156" t="s">
        <v>240</v>
      </c>
      <c r="G1979" s="156" t="s">
        <v>2175</v>
      </c>
      <c r="H1979" s="157" t="s">
        <v>213</v>
      </c>
    </row>
    <row r="1980" hidden="1">
      <c r="A1980" s="151" t="s">
        <v>230</v>
      </c>
      <c r="B1980" s="118" t="s">
        <v>194</v>
      </c>
      <c r="C1980" s="118" t="s">
        <v>206</v>
      </c>
      <c r="D1980" s="152" t="s">
        <v>2312</v>
      </c>
      <c r="E1980" s="152" t="s">
        <v>2429</v>
      </c>
      <c r="F1980" s="152" t="s">
        <v>244</v>
      </c>
      <c r="G1980" s="152" t="s">
        <v>1797</v>
      </c>
      <c r="H1980" s="153" t="s">
        <v>214</v>
      </c>
    </row>
    <row r="1981" hidden="1">
      <c r="A1981" s="154" t="s">
        <v>230</v>
      </c>
      <c r="B1981" s="155" t="s">
        <v>194</v>
      </c>
      <c r="C1981" s="155" t="s">
        <v>206</v>
      </c>
      <c r="D1981" s="156" t="s">
        <v>2312</v>
      </c>
      <c r="E1981" s="156" t="s">
        <v>2430</v>
      </c>
      <c r="F1981" s="156" t="s">
        <v>242</v>
      </c>
      <c r="G1981" s="156" t="s">
        <v>1877</v>
      </c>
      <c r="H1981" s="157" t="s">
        <v>215</v>
      </c>
    </row>
    <row r="1982" hidden="1">
      <c r="A1982" s="151" t="s">
        <v>230</v>
      </c>
      <c r="B1982" s="118" t="s">
        <v>194</v>
      </c>
      <c r="C1982" s="118" t="s">
        <v>206</v>
      </c>
      <c r="D1982" s="152" t="s">
        <v>2312</v>
      </c>
      <c r="E1982" s="152" t="s">
        <v>2431</v>
      </c>
      <c r="F1982" s="152" t="s">
        <v>357</v>
      </c>
      <c r="G1982" s="152" t="s">
        <v>1747</v>
      </c>
      <c r="H1982" s="153" t="s">
        <v>216</v>
      </c>
    </row>
    <row r="1983" hidden="1">
      <c r="A1983" s="158" t="s">
        <v>231</v>
      </c>
      <c r="B1983" s="159"/>
      <c r="C1983" s="155" t="s">
        <v>232</v>
      </c>
      <c r="D1983" s="156" t="s">
        <v>2312</v>
      </c>
      <c r="E1983" s="156" t="s">
        <v>2432</v>
      </c>
      <c r="F1983" s="156" t="s">
        <v>249</v>
      </c>
      <c r="G1983" s="156" t="s">
        <v>1885</v>
      </c>
      <c r="H1983" s="157" t="s">
        <v>210</v>
      </c>
    </row>
    <row r="1984" hidden="1">
      <c r="A1984" s="160" t="s">
        <v>231</v>
      </c>
      <c r="B1984" s="72"/>
      <c r="C1984" s="118" t="s">
        <v>232</v>
      </c>
      <c r="D1984" s="152" t="s">
        <v>2312</v>
      </c>
      <c r="E1984" s="152" t="s">
        <v>2433</v>
      </c>
      <c r="F1984" s="152" t="s">
        <v>265</v>
      </c>
      <c r="G1984" s="152" t="s">
        <v>1971</v>
      </c>
      <c r="H1984" s="153" t="s">
        <v>211</v>
      </c>
    </row>
    <row r="1985" hidden="1">
      <c r="A1985" s="158" t="s">
        <v>231</v>
      </c>
      <c r="B1985" s="159"/>
      <c r="C1985" s="155" t="s">
        <v>232</v>
      </c>
      <c r="D1985" s="156" t="s">
        <v>2312</v>
      </c>
      <c r="E1985" s="156" t="s">
        <v>2434</v>
      </c>
      <c r="F1985" s="156" t="s">
        <v>262</v>
      </c>
      <c r="G1985" s="156" t="s">
        <v>2435</v>
      </c>
      <c r="H1985" s="157" t="s">
        <v>212</v>
      </c>
    </row>
    <row r="1986" hidden="1">
      <c r="A1986" s="160" t="s">
        <v>231</v>
      </c>
      <c r="B1986" s="72"/>
      <c r="C1986" s="118" t="s">
        <v>232</v>
      </c>
      <c r="D1986" s="152" t="s">
        <v>2312</v>
      </c>
      <c r="E1986" s="152" t="s">
        <v>2436</v>
      </c>
      <c r="F1986" s="152" t="s">
        <v>492</v>
      </c>
      <c r="G1986" s="152" t="s">
        <v>2437</v>
      </c>
      <c r="H1986" s="153" t="s">
        <v>213</v>
      </c>
    </row>
    <row r="1987" hidden="1">
      <c r="A1987" s="158" t="s">
        <v>231</v>
      </c>
      <c r="B1987" s="159"/>
      <c r="C1987" s="155" t="s">
        <v>232</v>
      </c>
      <c r="D1987" s="156" t="s">
        <v>2312</v>
      </c>
      <c r="E1987" s="156" t="s">
        <v>2438</v>
      </c>
      <c r="F1987" s="156" t="s">
        <v>301</v>
      </c>
      <c r="G1987" s="156" t="s">
        <v>1936</v>
      </c>
      <c r="H1987" s="157" t="s">
        <v>214</v>
      </c>
    </row>
    <row r="1988" hidden="1">
      <c r="A1988" s="160" t="s">
        <v>231</v>
      </c>
      <c r="B1988" s="72"/>
      <c r="C1988" s="118" t="s">
        <v>232</v>
      </c>
      <c r="D1988" s="152" t="s">
        <v>2312</v>
      </c>
      <c r="E1988" s="152" t="s">
        <v>2439</v>
      </c>
      <c r="F1988" s="152" t="s">
        <v>269</v>
      </c>
      <c r="G1988" s="152" t="s">
        <v>2075</v>
      </c>
      <c r="H1988" s="153" t="s">
        <v>215</v>
      </c>
    </row>
    <row r="1989" hidden="1">
      <c r="A1989" s="158" t="s">
        <v>231</v>
      </c>
      <c r="B1989" s="159"/>
      <c r="C1989" s="155" t="s">
        <v>232</v>
      </c>
      <c r="D1989" s="156" t="s">
        <v>2312</v>
      </c>
      <c r="E1989" s="156" t="s">
        <v>2440</v>
      </c>
      <c r="F1989" s="156" t="s">
        <v>246</v>
      </c>
      <c r="G1989" s="156" t="s">
        <v>1936</v>
      </c>
      <c r="H1989" s="157" t="s">
        <v>216</v>
      </c>
    </row>
    <row r="1990" hidden="1">
      <c r="A1990" s="160" t="s">
        <v>233</v>
      </c>
      <c r="B1990" s="72"/>
      <c r="C1990" s="118" t="s">
        <v>232</v>
      </c>
      <c r="D1990" s="152" t="s">
        <v>2312</v>
      </c>
      <c r="E1990" s="152" t="s">
        <v>2441</v>
      </c>
      <c r="F1990" s="152" t="s">
        <v>321</v>
      </c>
      <c r="G1990" s="152" t="s">
        <v>1896</v>
      </c>
      <c r="H1990" s="153" t="s">
        <v>210</v>
      </c>
    </row>
    <row r="1991" hidden="1">
      <c r="A1991" s="158" t="s">
        <v>233</v>
      </c>
      <c r="B1991" s="159"/>
      <c r="C1991" s="155" t="s">
        <v>232</v>
      </c>
      <c r="D1991" s="156" t="s">
        <v>2312</v>
      </c>
      <c r="E1991" s="156" t="s">
        <v>2442</v>
      </c>
      <c r="F1991" s="156" t="s">
        <v>249</v>
      </c>
      <c r="G1991" s="156" t="s">
        <v>1825</v>
      </c>
      <c r="H1991" s="157" t="s">
        <v>211</v>
      </c>
    </row>
    <row r="1992" hidden="1">
      <c r="A1992" s="160" t="s">
        <v>233</v>
      </c>
      <c r="B1992" s="72"/>
      <c r="C1992" s="118" t="s">
        <v>232</v>
      </c>
      <c r="D1992" s="152" t="s">
        <v>2312</v>
      </c>
      <c r="E1992" s="152" t="s">
        <v>2443</v>
      </c>
      <c r="F1992" s="152" t="s">
        <v>321</v>
      </c>
      <c r="G1992" s="152" t="s">
        <v>2037</v>
      </c>
      <c r="H1992" s="153" t="s">
        <v>212</v>
      </c>
    </row>
    <row r="1993" hidden="1">
      <c r="A1993" s="158" t="s">
        <v>233</v>
      </c>
      <c r="B1993" s="159"/>
      <c r="C1993" s="155" t="s">
        <v>232</v>
      </c>
      <c r="D1993" s="156" t="s">
        <v>2312</v>
      </c>
      <c r="E1993" s="156" t="s">
        <v>2444</v>
      </c>
      <c r="F1993" s="156" t="s">
        <v>310</v>
      </c>
      <c r="G1993" s="156" t="s">
        <v>1743</v>
      </c>
      <c r="H1993" s="157" t="s">
        <v>213</v>
      </c>
    </row>
    <row r="1994" hidden="1">
      <c r="A1994" s="160" t="s">
        <v>233</v>
      </c>
      <c r="B1994" s="72"/>
      <c r="C1994" s="118" t="s">
        <v>232</v>
      </c>
      <c r="D1994" s="152" t="s">
        <v>2312</v>
      </c>
      <c r="E1994" s="152" t="s">
        <v>2445</v>
      </c>
      <c r="F1994" s="152" t="s">
        <v>321</v>
      </c>
      <c r="G1994" s="152" t="s">
        <v>1725</v>
      </c>
      <c r="H1994" s="153" t="s">
        <v>214</v>
      </c>
    </row>
    <row r="1995" hidden="1">
      <c r="A1995" s="158" t="s">
        <v>233</v>
      </c>
      <c r="B1995" s="159"/>
      <c r="C1995" s="155" t="s">
        <v>232</v>
      </c>
      <c r="D1995" s="156" t="s">
        <v>2312</v>
      </c>
      <c r="E1995" s="156" t="s">
        <v>2446</v>
      </c>
      <c r="F1995" s="156" t="s">
        <v>305</v>
      </c>
      <c r="G1995" s="156" t="s">
        <v>1881</v>
      </c>
      <c r="H1995" s="157" t="s">
        <v>215</v>
      </c>
    </row>
    <row r="1996" hidden="1">
      <c r="A1996" s="160" t="s">
        <v>233</v>
      </c>
      <c r="B1996" s="72"/>
      <c r="C1996" s="118" t="s">
        <v>232</v>
      </c>
      <c r="D1996" s="152" t="s">
        <v>2312</v>
      </c>
      <c r="E1996" s="152" t="s">
        <v>2447</v>
      </c>
      <c r="F1996" s="152" t="s">
        <v>249</v>
      </c>
      <c r="G1996" s="152" t="s">
        <v>2254</v>
      </c>
      <c r="H1996" s="153" t="s">
        <v>216</v>
      </c>
    </row>
    <row r="1997" hidden="1">
      <c r="A1997" s="158" t="s">
        <v>234</v>
      </c>
      <c r="B1997" s="159"/>
      <c r="C1997" s="155" t="s">
        <v>232</v>
      </c>
      <c r="D1997" s="156" t="s">
        <v>2312</v>
      </c>
      <c r="E1997" s="156" t="s">
        <v>2448</v>
      </c>
      <c r="F1997" s="156" t="s">
        <v>314</v>
      </c>
      <c r="G1997" s="156" t="s">
        <v>2041</v>
      </c>
      <c r="H1997" s="157" t="s">
        <v>210</v>
      </c>
    </row>
    <row r="1998" hidden="1">
      <c r="A1998" s="160" t="s">
        <v>234</v>
      </c>
      <c r="B1998" s="72"/>
      <c r="C1998" s="118" t="s">
        <v>232</v>
      </c>
      <c r="D1998" s="152" t="s">
        <v>2312</v>
      </c>
      <c r="E1998" s="152" t="s">
        <v>2449</v>
      </c>
      <c r="F1998" s="152" t="s">
        <v>374</v>
      </c>
      <c r="G1998" s="152" t="s">
        <v>2450</v>
      </c>
      <c r="H1998" s="153" t="s">
        <v>211</v>
      </c>
    </row>
    <row r="1999" hidden="1">
      <c r="A1999" s="158" t="s">
        <v>234</v>
      </c>
      <c r="B1999" s="159"/>
      <c r="C1999" s="155" t="s">
        <v>232</v>
      </c>
      <c r="D1999" s="156" t="s">
        <v>2312</v>
      </c>
      <c r="E1999" s="156" t="s">
        <v>2451</v>
      </c>
      <c r="F1999" s="156" t="s">
        <v>351</v>
      </c>
      <c r="G1999" s="156" t="s">
        <v>2452</v>
      </c>
      <c r="H1999" s="157" t="s">
        <v>212</v>
      </c>
    </row>
    <row r="2000" hidden="1">
      <c r="A2000" s="160" t="s">
        <v>234</v>
      </c>
      <c r="B2000" s="72"/>
      <c r="C2000" s="118" t="s">
        <v>232</v>
      </c>
      <c r="D2000" s="152" t="s">
        <v>2312</v>
      </c>
      <c r="E2000" s="152" t="s">
        <v>2453</v>
      </c>
      <c r="F2000" s="152" t="s">
        <v>478</v>
      </c>
      <c r="G2000" s="152" t="s">
        <v>2393</v>
      </c>
      <c r="H2000" s="153" t="s">
        <v>213</v>
      </c>
    </row>
    <row r="2001" hidden="1">
      <c r="A2001" s="158" t="s">
        <v>234</v>
      </c>
      <c r="B2001" s="159"/>
      <c r="C2001" s="155" t="s">
        <v>232</v>
      </c>
      <c r="D2001" s="156" t="s">
        <v>2312</v>
      </c>
      <c r="E2001" s="156" t="s">
        <v>2454</v>
      </c>
      <c r="F2001" s="156" t="s">
        <v>246</v>
      </c>
      <c r="G2001" s="156" t="s">
        <v>2455</v>
      </c>
      <c r="H2001" s="157" t="s">
        <v>214</v>
      </c>
    </row>
    <row r="2002" hidden="1">
      <c r="A2002" s="160" t="s">
        <v>234</v>
      </c>
      <c r="B2002" s="72"/>
      <c r="C2002" s="118" t="s">
        <v>232</v>
      </c>
      <c r="D2002" s="152" t="s">
        <v>2312</v>
      </c>
      <c r="E2002" s="152" t="s">
        <v>2456</v>
      </c>
      <c r="F2002" s="152" t="s">
        <v>450</v>
      </c>
      <c r="G2002" s="152" t="s">
        <v>2457</v>
      </c>
      <c r="H2002" s="153" t="s">
        <v>215</v>
      </c>
    </row>
    <row r="2003" hidden="1">
      <c r="A2003" s="158" t="s">
        <v>234</v>
      </c>
      <c r="B2003" s="159"/>
      <c r="C2003" s="155" t="s">
        <v>232</v>
      </c>
      <c r="D2003" s="156" t="s">
        <v>2312</v>
      </c>
      <c r="E2003" s="156" t="s">
        <v>2458</v>
      </c>
      <c r="F2003" s="156" t="s">
        <v>365</v>
      </c>
      <c r="G2003" s="156" t="s">
        <v>2305</v>
      </c>
      <c r="H2003" s="157" t="s">
        <v>216</v>
      </c>
    </row>
    <row r="2004" hidden="1">
      <c r="A2004" s="160" t="s">
        <v>235</v>
      </c>
      <c r="B2004" s="72"/>
      <c r="C2004" s="118" t="s">
        <v>236</v>
      </c>
      <c r="D2004" s="152" t="s">
        <v>2312</v>
      </c>
      <c r="E2004" s="152" t="s">
        <v>2459</v>
      </c>
      <c r="F2004" s="152" t="s">
        <v>285</v>
      </c>
      <c r="G2004" s="152" t="s">
        <v>1913</v>
      </c>
      <c r="H2004" s="153" t="s">
        <v>210</v>
      </c>
    </row>
    <row r="2005" hidden="1">
      <c r="A2005" s="158" t="s">
        <v>235</v>
      </c>
      <c r="B2005" s="159"/>
      <c r="C2005" s="155" t="s">
        <v>236</v>
      </c>
      <c r="D2005" s="156" t="s">
        <v>2312</v>
      </c>
      <c r="E2005" s="156" t="s">
        <v>2460</v>
      </c>
      <c r="F2005" s="156" t="s">
        <v>323</v>
      </c>
      <c r="G2005" s="156" t="s">
        <v>1908</v>
      </c>
      <c r="H2005" s="157" t="s">
        <v>211</v>
      </c>
    </row>
    <row r="2006" hidden="1">
      <c r="A2006" s="160" t="s">
        <v>235</v>
      </c>
      <c r="B2006" s="72"/>
      <c r="C2006" s="118" t="s">
        <v>236</v>
      </c>
      <c r="D2006" s="152" t="s">
        <v>2312</v>
      </c>
      <c r="E2006" s="152" t="s">
        <v>2461</v>
      </c>
      <c r="F2006" s="152" t="s">
        <v>323</v>
      </c>
      <c r="G2006" s="152" t="s">
        <v>1913</v>
      </c>
      <c r="H2006" s="153" t="s">
        <v>212</v>
      </c>
    </row>
    <row r="2007" hidden="1">
      <c r="A2007" s="158" t="s">
        <v>235</v>
      </c>
      <c r="B2007" s="159"/>
      <c r="C2007" s="155" t="s">
        <v>236</v>
      </c>
      <c r="D2007" s="156" t="s">
        <v>2312</v>
      </c>
      <c r="E2007" s="156" t="s">
        <v>2462</v>
      </c>
      <c r="F2007" s="156" t="s">
        <v>285</v>
      </c>
      <c r="G2007" s="156" t="s">
        <v>2037</v>
      </c>
      <c r="H2007" s="157" t="s">
        <v>213</v>
      </c>
    </row>
    <row r="2008" hidden="1">
      <c r="A2008" s="160" t="s">
        <v>235</v>
      </c>
      <c r="B2008" s="72"/>
      <c r="C2008" s="118" t="s">
        <v>236</v>
      </c>
      <c r="D2008" s="152" t="s">
        <v>2312</v>
      </c>
      <c r="E2008" s="152" t="s">
        <v>2463</v>
      </c>
      <c r="F2008" s="152" t="s">
        <v>365</v>
      </c>
      <c r="G2008" s="152" t="s">
        <v>1891</v>
      </c>
      <c r="H2008" s="153" t="s">
        <v>214</v>
      </c>
    </row>
    <row r="2009" hidden="1">
      <c r="A2009" s="158" t="s">
        <v>235</v>
      </c>
      <c r="B2009" s="159"/>
      <c r="C2009" s="155" t="s">
        <v>236</v>
      </c>
      <c r="D2009" s="156" t="s">
        <v>2312</v>
      </c>
      <c r="E2009" s="156" t="s">
        <v>2464</v>
      </c>
      <c r="F2009" s="156" t="s">
        <v>314</v>
      </c>
      <c r="G2009" s="156" t="s">
        <v>1885</v>
      </c>
      <c r="H2009" s="157" t="s">
        <v>215</v>
      </c>
    </row>
    <row r="2010" hidden="1">
      <c r="A2010" s="160" t="s">
        <v>235</v>
      </c>
      <c r="B2010" s="72"/>
      <c r="C2010" s="118" t="s">
        <v>236</v>
      </c>
      <c r="D2010" s="152" t="s">
        <v>2312</v>
      </c>
      <c r="E2010" s="152" t="s">
        <v>2465</v>
      </c>
      <c r="F2010" s="152" t="s">
        <v>285</v>
      </c>
      <c r="G2010" s="152" t="s">
        <v>1891</v>
      </c>
      <c r="H2010" s="153" t="s">
        <v>216</v>
      </c>
    </row>
    <row r="2011" hidden="1">
      <c r="A2011" s="158" t="s">
        <v>237</v>
      </c>
      <c r="B2011" s="159"/>
      <c r="C2011" s="155" t="s">
        <v>236</v>
      </c>
      <c r="D2011" s="156" t="s">
        <v>2312</v>
      </c>
      <c r="E2011" s="156" t="s">
        <v>2466</v>
      </c>
      <c r="F2011" s="156" t="s">
        <v>290</v>
      </c>
      <c r="G2011" s="156" t="s">
        <v>2467</v>
      </c>
      <c r="H2011" s="157" t="s">
        <v>210</v>
      </c>
    </row>
    <row r="2012" hidden="1">
      <c r="A2012" s="160" t="s">
        <v>237</v>
      </c>
      <c r="B2012" s="72"/>
      <c r="C2012" s="118" t="s">
        <v>236</v>
      </c>
      <c r="D2012" s="152" t="s">
        <v>2312</v>
      </c>
      <c r="E2012" s="152" t="s">
        <v>2468</v>
      </c>
      <c r="F2012" s="152" t="s">
        <v>246</v>
      </c>
      <c r="G2012" s="152" t="s">
        <v>2216</v>
      </c>
      <c r="H2012" s="153" t="s">
        <v>211</v>
      </c>
    </row>
    <row r="2013" hidden="1">
      <c r="A2013" s="158" t="s">
        <v>237</v>
      </c>
      <c r="B2013" s="159"/>
      <c r="C2013" s="155" t="s">
        <v>236</v>
      </c>
      <c r="D2013" s="156" t="s">
        <v>2312</v>
      </c>
      <c r="E2013" s="156" t="s">
        <v>2469</v>
      </c>
      <c r="F2013" s="156" t="s">
        <v>351</v>
      </c>
      <c r="G2013" s="156" t="s">
        <v>2470</v>
      </c>
      <c r="H2013" s="157" t="s">
        <v>212</v>
      </c>
    </row>
    <row r="2014" hidden="1">
      <c r="A2014" s="160" t="s">
        <v>237</v>
      </c>
      <c r="B2014" s="72"/>
      <c r="C2014" s="118" t="s">
        <v>236</v>
      </c>
      <c r="D2014" s="152" t="s">
        <v>2312</v>
      </c>
      <c r="E2014" s="152" t="s">
        <v>2471</v>
      </c>
      <c r="F2014" s="152" t="s">
        <v>453</v>
      </c>
      <c r="G2014" s="152" t="s">
        <v>2472</v>
      </c>
      <c r="H2014" s="153" t="s">
        <v>213</v>
      </c>
    </row>
    <row r="2015" hidden="1">
      <c r="A2015" s="158" t="s">
        <v>237</v>
      </c>
      <c r="B2015" s="159"/>
      <c r="C2015" s="155" t="s">
        <v>236</v>
      </c>
      <c r="D2015" s="156" t="s">
        <v>2312</v>
      </c>
      <c r="E2015" s="156" t="s">
        <v>2473</v>
      </c>
      <c r="F2015" s="156" t="s">
        <v>314</v>
      </c>
      <c r="G2015" s="156" t="s">
        <v>2393</v>
      </c>
      <c r="H2015" s="157" t="s">
        <v>214</v>
      </c>
    </row>
    <row r="2016" hidden="1">
      <c r="A2016" s="160" t="s">
        <v>237</v>
      </c>
      <c r="B2016" s="72"/>
      <c r="C2016" s="118" t="s">
        <v>236</v>
      </c>
      <c r="D2016" s="152" t="s">
        <v>2312</v>
      </c>
      <c r="E2016" s="152" t="s">
        <v>2474</v>
      </c>
      <c r="F2016" s="152" t="s">
        <v>312</v>
      </c>
      <c r="G2016" s="152" t="s">
        <v>2107</v>
      </c>
      <c r="H2016" s="153" t="s">
        <v>215</v>
      </c>
    </row>
    <row r="2017" hidden="1">
      <c r="A2017" s="158" t="s">
        <v>237</v>
      </c>
      <c r="B2017" s="159"/>
      <c r="C2017" s="155" t="s">
        <v>236</v>
      </c>
      <c r="D2017" s="156" t="s">
        <v>2312</v>
      </c>
      <c r="E2017" s="156" t="s">
        <v>2475</v>
      </c>
      <c r="F2017" s="156" t="s">
        <v>308</v>
      </c>
      <c r="G2017" s="156" t="s">
        <v>1843</v>
      </c>
      <c r="H2017" s="157" t="s">
        <v>216</v>
      </c>
    </row>
    <row r="2018" hidden="1">
      <c r="A2018" s="151" t="s">
        <v>204</v>
      </c>
      <c r="B2018" s="118" t="s">
        <v>205</v>
      </c>
      <c r="C2018" s="118" t="s">
        <v>206</v>
      </c>
      <c r="D2018" s="152" t="s">
        <v>2476</v>
      </c>
      <c r="E2018" s="152" t="s">
        <v>2477</v>
      </c>
      <c r="F2018" s="152" t="s">
        <v>249</v>
      </c>
      <c r="G2018" s="152" t="s">
        <v>1814</v>
      </c>
      <c r="H2018" s="153" t="s">
        <v>210</v>
      </c>
    </row>
    <row r="2019" hidden="1">
      <c r="A2019" s="154" t="s">
        <v>204</v>
      </c>
      <c r="B2019" s="155" t="s">
        <v>205</v>
      </c>
      <c r="C2019" s="155" t="s">
        <v>206</v>
      </c>
      <c r="D2019" s="156" t="s">
        <v>2476</v>
      </c>
      <c r="E2019" s="156" t="s">
        <v>2478</v>
      </c>
      <c r="F2019" s="156" t="s">
        <v>290</v>
      </c>
      <c r="G2019" s="156" t="s">
        <v>1812</v>
      </c>
      <c r="H2019" s="157" t="s">
        <v>211</v>
      </c>
    </row>
    <row r="2020" hidden="1">
      <c r="A2020" s="151" t="s">
        <v>204</v>
      </c>
      <c r="B2020" s="118" t="s">
        <v>205</v>
      </c>
      <c r="C2020" s="118" t="s">
        <v>206</v>
      </c>
      <c r="D2020" s="152" t="s">
        <v>2476</v>
      </c>
      <c r="E2020" s="152" t="s">
        <v>2479</v>
      </c>
      <c r="F2020" s="152" t="s">
        <v>249</v>
      </c>
      <c r="G2020" s="152" t="s">
        <v>1731</v>
      </c>
      <c r="H2020" s="153" t="s">
        <v>212</v>
      </c>
    </row>
    <row r="2021" hidden="1">
      <c r="A2021" s="154" t="s">
        <v>204</v>
      </c>
      <c r="B2021" s="155" t="s">
        <v>205</v>
      </c>
      <c r="C2021" s="155" t="s">
        <v>206</v>
      </c>
      <c r="D2021" s="156" t="s">
        <v>2476</v>
      </c>
      <c r="E2021" s="156" t="s">
        <v>2480</v>
      </c>
      <c r="F2021" s="156" t="s">
        <v>331</v>
      </c>
      <c r="G2021" s="156" t="s">
        <v>2055</v>
      </c>
      <c r="H2021" s="157" t="s">
        <v>213</v>
      </c>
    </row>
    <row r="2022" hidden="1">
      <c r="A2022" s="151" t="s">
        <v>204</v>
      </c>
      <c r="B2022" s="118" t="s">
        <v>205</v>
      </c>
      <c r="C2022" s="118" t="s">
        <v>206</v>
      </c>
      <c r="D2022" s="152" t="s">
        <v>2476</v>
      </c>
      <c r="E2022" s="152" t="s">
        <v>2481</v>
      </c>
      <c r="F2022" s="152" t="s">
        <v>339</v>
      </c>
      <c r="G2022" s="152" t="s">
        <v>1753</v>
      </c>
      <c r="H2022" s="153" t="s">
        <v>214</v>
      </c>
    </row>
    <row r="2023" hidden="1">
      <c r="A2023" s="154" t="s">
        <v>204</v>
      </c>
      <c r="B2023" s="155" t="s">
        <v>205</v>
      </c>
      <c r="C2023" s="155" t="s">
        <v>206</v>
      </c>
      <c r="D2023" s="156" t="s">
        <v>2476</v>
      </c>
      <c r="E2023" s="156" t="s">
        <v>2482</v>
      </c>
      <c r="F2023" s="156" t="s">
        <v>308</v>
      </c>
      <c r="G2023" s="156" t="s">
        <v>2364</v>
      </c>
      <c r="H2023" s="157" t="s">
        <v>215</v>
      </c>
    </row>
    <row r="2024" hidden="1">
      <c r="A2024" s="151" t="s">
        <v>204</v>
      </c>
      <c r="B2024" s="118" t="s">
        <v>205</v>
      </c>
      <c r="C2024" s="118" t="s">
        <v>206</v>
      </c>
      <c r="D2024" s="152" t="s">
        <v>2476</v>
      </c>
      <c r="E2024" s="152" t="s">
        <v>2483</v>
      </c>
      <c r="F2024" s="152" t="s">
        <v>308</v>
      </c>
      <c r="G2024" s="152" t="s">
        <v>1729</v>
      </c>
      <c r="H2024" s="153" t="s">
        <v>216</v>
      </c>
    </row>
    <row r="2025" hidden="1">
      <c r="A2025" s="154" t="s">
        <v>217</v>
      </c>
      <c r="B2025" s="155" t="s">
        <v>191</v>
      </c>
      <c r="C2025" s="155" t="s">
        <v>206</v>
      </c>
      <c r="D2025" s="156" t="s">
        <v>2476</v>
      </c>
      <c r="E2025" s="156" t="s">
        <v>2484</v>
      </c>
      <c r="F2025" s="156" t="s">
        <v>265</v>
      </c>
      <c r="G2025" s="156" t="s">
        <v>1901</v>
      </c>
      <c r="H2025" s="157" t="s">
        <v>210</v>
      </c>
    </row>
    <row r="2026" hidden="1">
      <c r="A2026" s="151" t="s">
        <v>217</v>
      </c>
      <c r="B2026" s="118" t="s">
        <v>191</v>
      </c>
      <c r="C2026" s="118" t="s">
        <v>206</v>
      </c>
      <c r="D2026" s="152" t="s">
        <v>2476</v>
      </c>
      <c r="E2026" s="152" t="s">
        <v>2485</v>
      </c>
      <c r="F2026" s="152" t="s">
        <v>240</v>
      </c>
      <c r="G2026" s="152" t="s">
        <v>2437</v>
      </c>
      <c r="H2026" s="153" t="s">
        <v>211</v>
      </c>
    </row>
    <row r="2027" hidden="1">
      <c r="A2027" s="154" t="s">
        <v>217</v>
      </c>
      <c r="B2027" s="155" t="s">
        <v>191</v>
      </c>
      <c r="C2027" s="155" t="s">
        <v>206</v>
      </c>
      <c r="D2027" s="156" t="s">
        <v>2476</v>
      </c>
      <c r="E2027" s="156" t="s">
        <v>2486</v>
      </c>
      <c r="F2027" s="156" t="s">
        <v>242</v>
      </c>
      <c r="G2027" s="156" t="s">
        <v>1741</v>
      </c>
      <c r="H2027" s="157" t="s">
        <v>212</v>
      </c>
    </row>
    <row r="2028" hidden="1">
      <c r="A2028" s="151" t="s">
        <v>217</v>
      </c>
      <c r="B2028" s="118" t="s">
        <v>191</v>
      </c>
      <c r="C2028" s="118" t="s">
        <v>206</v>
      </c>
      <c r="D2028" s="152" t="s">
        <v>2476</v>
      </c>
      <c r="E2028" s="152" t="s">
        <v>2487</v>
      </c>
      <c r="F2028" s="152" t="s">
        <v>301</v>
      </c>
      <c r="G2028" s="152" t="s">
        <v>1873</v>
      </c>
      <c r="H2028" s="153" t="s">
        <v>213</v>
      </c>
    </row>
    <row r="2029" hidden="1">
      <c r="A2029" s="154" t="s">
        <v>217</v>
      </c>
      <c r="B2029" s="155" t="s">
        <v>191</v>
      </c>
      <c r="C2029" s="155" t="s">
        <v>206</v>
      </c>
      <c r="D2029" s="156" t="s">
        <v>2476</v>
      </c>
      <c r="E2029" s="156" t="s">
        <v>2488</v>
      </c>
      <c r="F2029" s="156" t="s">
        <v>242</v>
      </c>
      <c r="G2029" s="156" t="s">
        <v>1901</v>
      </c>
      <c r="H2029" s="157" t="s">
        <v>214</v>
      </c>
    </row>
    <row r="2030" hidden="1">
      <c r="A2030" s="151" t="s">
        <v>217</v>
      </c>
      <c r="B2030" s="118" t="s">
        <v>191</v>
      </c>
      <c r="C2030" s="118" t="s">
        <v>206</v>
      </c>
      <c r="D2030" s="152" t="s">
        <v>2476</v>
      </c>
      <c r="E2030" s="152" t="s">
        <v>2489</v>
      </c>
      <c r="F2030" s="152" t="s">
        <v>314</v>
      </c>
      <c r="G2030" s="152" t="s">
        <v>1873</v>
      </c>
      <c r="H2030" s="153" t="s">
        <v>215</v>
      </c>
    </row>
    <row r="2031" hidden="1">
      <c r="A2031" s="154" t="s">
        <v>217</v>
      </c>
      <c r="B2031" s="155" t="s">
        <v>191</v>
      </c>
      <c r="C2031" s="155" t="s">
        <v>206</v>
      </c>
      <c r="D2031" s="156" t="s">
        <v>2476</v>
      </c>
      <c r="E2031" s="156" t="s">
        <v>2490</v>
      </c>
      <c r="F2031" s="156" t="s">
        <v>269</v>
      </c>
      <c r="G2031" s="156" t="s">
        <v>1877</v>
      </c>
      <c r="H2031" s="157" t="s">
        <v>216</v>
      </c>
    </row>
    <row r="2032" hidden="1">
      <c r="A2032" s="151" t="s">
        <v>218</v>
      </c>
      <c r="B2032" s="118" t="s">
        <v>219</v>
      </c>
      <c r="C2032" s="118" t="s">
        <v>206</v>
      </c>
      <c r="D2032" s="152" t="s">
        <v>2476</v>
      </c>
      <c r="E2032" s="152" t="s">
        <v>2491</v>
      </c>
      <c r="F2032" s="152" t="s">
        <v>301</v>
      </c>
      <c r="G2032" s="152" t="s">
        <v>1883</v>
      </c>
      <c r="H2032" s="153" t="s">
        <v>210</v>
      </c>
    </row>
    <row r="2033" hidden="1">
      <c r="A2033" s="154" t="s">
        <v>218</v>
      </c>
      <c r="B2033" s="155" t="s">
        <v>219</v>
      </c>
      <c r="C2033" s="155" t="s">
        <v>206</v>
      </c>
      <c r="D2033" s="156" t="s">
        <v>2476</v>
      </c>
      <c r="E2033" s="156" t="s">
        <v>2492</v>
      </c>
      <c r="F2033" s="156" t="s">
        <v>287</v>
      </c>
      <c r="G2033" s="156" t="s">
        <v>1778</v>
      </c>
      <c r="H2033" s="157" t="s">
        <v>211</v>
      </c>
    </row>
    <row r="2034" hidden="1">
      <c r="A2034" s="151" t="s">
        <v>218</v>
      </c>
      <c r="B2034" s="118" t="s">
        <v>219</v>
      </c>
      <c r="C2034" s="118" t="s">
        <v>206</v>
      </c>
      <c r="D2034" s="152" t="s">
        <v>2476</v>
      </c>
      <c r="E2034" s="152" t="s">
        <v>2493</v>
      </c>
      <c r="F2034" s="152" t="s">
        <v>246</v>
      </c>
      <c r="G2034" s="152" t="s">
        <v>2254</v>
      </c>
      <c r="H2034" s="153" t="s">
        <v>212</v>
      </c>
    </row>
    <row r="2035" hidden="1">
      <c r="A2035" s="154" t="s">
        <v>218</v>
      </c>
      <c r="B2035" s="155" t="s">
        <v>219</v>
      </c>
      <c r="C2035" s="155" t="s">
        <v>206</v>
      </c>
      <c r="D2035" s="156" t="s">
        <v>2476</v>
      </c>
      <c r="E2035" s="156" t="s">
        <v>2494</v>
      </c>
      <c r="F2035" s="156" t="s">
        <v>269</v>
      </c>
      <c r="G2035" s="156" t="s">
        <v>2011</v>
      </c>
      <c r="H2035" s="157" t="s">
        <v>213</v>
      </c>
    </row>
    <row r="2036" hidden="1">
      <c r="A2036" s="151" t="s">
        <v>218</v>
      </c>
      <c r="B2036" s="118" t="s">
        <v>219</v>
      </c>
      <c r="C2036" s="118" t="s">
        <v>206</v>
      </c>
      <c r="D2036" s="152" t="s">
        <v>2476</v>
      </c>
      <c r="E2036" s="152" t="s">
        <v>2495</v>
      </c>
      <c r="F2036" s="152" t="s">
        <v>269</v>
      </c>
      <c r="G2036" s="152" t="s">
        <v>2155</v>
      </c>
      <c r="H2036" s="153" t="s">
        <v>214</v>
      </c>
    </row>
    <row r="2037" hidden="1">
      <c r="A2037" s="154" t="s">
        <v>218</v>
      </c>
      <c r="B2037" s="155" t="s">
        <v>219</v>
      </c>
      <c r="C2037" s="155" t="s">
        <v>206</v>
      </c>
      <c r="D2037" s="156" t="s">
        <v>2476</v>
      </c>
      <c r="E2037" s="156" t="s">
        <v>2496</v>
      </c>
      <c r="F2037" s="156" t="s">
        <v>246</v>
      </c>
      <c r="G2037" s="156" t="s">
        <v>2409</v>
      </c>
      <c r="H2037" s="157" t="s">
        <v>215</v>
      </c>
    </row>
    <row r="2038" hidden="1">
      <c r="A2038" s="151" t="s">
        <v>218</v>
      </c>
      <c r="B2038" s="118" t="s">
        <v>219</v>
      </c>
      <c r="C2038" s="118" t="s">
        <v>206</v>
      </c>
      <c r="D2038" s="152" t="s">
        <v>2476</v>
      </c>
      <c r="E2038" s="152" t="s">
        <v>2497</v>
      </c>
      <c r="F2038" s="152" t="s">
        <v>240</v>
      </c>
      <c r="G2038" s="152" t="s">
        <v>1778</v>
      </c>
      <c r="H2038" s="153" t="s">
        <v>216</v>
      </c>
    </row>
    <row r="2039" hidden="1">
      <c r="A2039" s="154" t="s">
        <v>220</v>
      </c>
      <c r="B2039" s="155" t="s">
        <v>190</v>
      </c>
      <c r="C2039" s="155" t="s">
        <v>206</v>
      </c>
      <c r="D2039" s="156" t="s">
        <v>2476</v>
      </c>
      <c r="E2039" s="156" t="s">
        <v>2498</v>
      </c>
      <c r="F2039" s="156" t="s">
        <v>351</v>
      </c>
      <c r="G2039" s="156" t="s">
        <v>2075</v>
      </c>
      <c r="H2039" s="157" t="s">
        <v>210</v>
      </c>
    </row>
    <row r="2040" hidden="1">
      <c r="A2040" s="151" t="s">
        <v>220</v>
      </c>
      <c r="B2040" s="118" t="s">
        <v>190</v>
      </c>
      <c r="C2040" s="118" t="s">
        <v>206</v>
      </c>
      <c r="D2040" s="152" t="s">
        <v>2476</v>
      </c>
      <c r="E2040" s="152" t="s">
        <v>2499</v>
      </c>
      <c r="F2040" s="152" t="s">
        <v>1532</v>
      </c>
      <c r="G2040" s="152" t="s">
        <v>2126</v>
      </c>
      <c r="H2040" s="153" t="s">
        <v>211</v>
      </c>
    </row>
    <row r="2041" hidden="1">
      <c r="A2041" s="154" t="s">
        <v>220</v>
      </c>
      <c r="B2041" s="155" t="s">
        <v>190</v>
      </c>
      <c r="C2041" s="155" t="s">
        <v>206</v>
      </c>
      <c r="D2041" s="156" t="s">
        <v>2476</v>
      </c>
      <c r="E2041" s="156" t="s">
        <v>2500</v>
      </c>
      <c r="F2041" s="156" t="s">
        <v>323</v>
      </c>
      <c r="G2041" s="156" t="s">
        <v>2169</v>
      </c>
      <c r="H2041" s="157" t="s">
        <v>212</v>
      </c>
    </row>
    <row r="2042" hidden="1">
      <c r="A2042" s="151" t="s">
        <v>220</v>
      </c>
      <c r="B2042" s="118" t="s">
        <v>190</v>
      </c>
      <c r="C2042" s="118" t="s">
        <v>206</v>
      </c>
      <c r="D2042" s="152" t="s">
        <v>2476</v>
      </c>
      <c r="E2042" s="152" t="s">
        <v>2501</v>
      </c>
      <c r="F2042" s="152" t="s">
        <v>354</v>
      </c>
      <c r="G2042" s="152" t="s">
        <v>2175</v>
      </c>
      <c r="H2042" s="153" t="s">
        <v>213</v>
      </c>
    </row>
    <row r="2043" hidden="1">
      <c r="A2043" s="154" t="s">
        <v>220</v>
      </c>
      <c r="B2043" s="155" t="s">
        <v>190</v>
      </c>
      <c r="C2043" s="155" t="s">
        <v>206</v>
      </c>
      <c r="D2043" s="156" t="s">
        <v>2476</v>
      </c>
      <c r="E2043" s="156" t="s">
        <v>2502</v>
      </c>
      <c r="F2043" s="156" t="s">
        <v>425</v>
      </c>
      <c r="G2043" s="156" t="s">
        <v>2435</v>
      </c>
      <c r="H2043" s="157" t="s">
        <v>214</v>
      </c>
    </row>
    <row r="2044" hidden="1">
      <c r="A2044" s="151" t="s">
        <v>220</v>
      </c>
      <c r="B2044" s="118" t="s">
        <v>190</v>
      </c>
      <c r="C2044" s="118" t="s">
        <v>206</v>
      </c>
      <c r="D2044" s="152" t="s">
        <v>2476</v>
      </c>
      <c r="E2044" s="152" t="s">
        <v>2503</v>
      </c>
      <c r="F2044" s="152" t="s">
        <v>799</v>
      </c>
      <c r="G2044" s="152" t="s">
        <v>2018</v>
      </c>
      <c r="H2044" s="153" t="s">
        <v>215</v>
      </c>
    </row>
    <row r="2045" hidden="1">
      <c r="A2045" s="154" t="s">
        <v>220</v>
      </c>
      <c r="B2045" s="155" t="s">
        <v>190</v>
      </c>
      <c r="C2045" s="155" t="s">
        <v>206</v>
      </c>
      <c r="D2045" s="156" t="s">
        <v>2476</v>
      </c>
      <c r="E2045" s="156" t="s">
        <v>2504</v>
      </c>
      <c r="F2045" s="156" t="s">
        <v>483</v>
      </c>
      <c r="G2045" s="156" t="s">
        <v>1745</v>
      </c>
      <c r="H2045" s="157" t="s">
        <v>216</v>
      </c>
    </row>
    <row r="2046" hidden="1">
      <c r="A2046" s="151" t="s">
        <v>221</v>
      </c>
      <c r="B2046" s="118" t="s">
        <v>189</v>
      </c>
      <c r="C2046" s="118" t="s">
        <v>206</v>
      </c>
      <c r="D2046" s="152" t="s">
        <v>2476</v>
      </c>
      <c r="E2046" s="152" t="s">
        <v>2505</v>
      </c>
      <c r="F2046" s="152" t="s">
        <v>629</v>
      </c>
      <c r="G2046" s="152" t="s">
        <v>2506</v>
      </c>
      <c r="H2046" s="153" t="s">
        <v>210</v>
      </c>
    </row>
    <row r="2047" hidden="1">
      <c r="A2047" s="154" t="s">
        <v>221</v>
      </c>
      <c r="B2047" s="155" t="s">
        <v>189</v>
      </c>
      <c r="C2047" s="155" t="s">
        <v>206</v>
      </c>
      <c r="D2047" s="156" t="s">
        <v>2476</v>
      </c>
      <c r="E2047" s="156" t="s">
        <v>2507</v>
      </c>
      <c r="F2047" s="156" t="s">
        <v>730</v>
      </c>
      <c r="G2047" s="156" t="s">
        <v>2508</v>
      </c>
      <c r="H2047" s="157" t="s">
        <v>211</v>
      </c>
    </row>
    <row r="2048" hidden="1">
      <c r="A2048" s="151" t="s">
        <v>221</v>
      </c>
      <c r="B2048" s="118" t="s">
        <v>189</v>
      </c>
      <c r="C2048" s="118" t="s">
        <v>206</v>
      </c>
      <c r="D2048" s="152" t="s">
        <v>2476</v>
      </c>
      <c r="E2048" s="152" t="s">
        <v>2509</v>
      </c>
      <c r="F2048" s="152" t="s">
        <v>292</v>
      </c>
      <c r="G2048" s="152" t="s">
        <v>2510</v>
      </c>
      <c r="H2048" s="153" t="s">
        <v>212</v>
      </c>
    </row>
    <row r="2049" hidden="1">
      <c r="A2049" s="154" t="s">
        <v>221</v>
      </c>
      <c r="B2049" s="155" t="s">
        <v>189</v>
      </c>
      <c r="C2049" s="155" t="s">
        <v>206</v>
      </c>
      <c r="D2049" s="156" t="s">
        <v>2476</v>
      </c>
      <c r="E2049" s="156" t="s">
        <v>2511</v>
      </c>
      <c r="F2049" s="156" t="s">
        <v>2512</v>
      </c>
      <c r="G2049" s="156" t="s">
        <v>2513</v>
      </c>
      <c r="H2049" s="157" t="s">
        <v>213</v>
      </c>
    </row>
    <row r="2050" hidden="1">
      <c r="A2050" s="151" t="s">
        <v>221</v>
      </c>
      <c r="B2050" s="118" t="s">
        <v>189</v>
      </c>
      <c r="C2050" s="118" t="s">
        <v>206</v>
      </c>
      <c r="D2050" s="152" t="s">
        <v>2476</v>
      </c>
      <c r="E2050" s="152" t="s">
        <v>2514</v>
      </c>
      <c r="F2050" s="152" t="s">
        <v>1769</v>
      </c>
      <c r="G2050" s="152" t="s">
        <v>2515</v>
      </c>
      <c r="H2050" s="153" t="s">
        <v>214</v>
      </c>
    </row>
    <row r="2051" hidden="1">
      <c r="A2051" s="154" t="s">
        <v>221</v>
      </c>
      <c r="B2051" s="155" t="s">
        <v>189</v>
      </c>
      <c r="C2051" s="155" t="s">
        <v>206</v>
      </c>
      <c r="D2051" s="156" t="s">
        <v>2476</v>
      </c>
      <c r="E2051" s="156" t="s">
        <v>2516</v>
      </c>
      <c r="F2051" s="156" t="s">
        <v>1999</v>
      </c>
      <c r="G2051" s="156" t="s">
        <v>2517</v>
      </c>
      <c r="H2051" s="157" t="s">
        <v>215</v>
      </c>
    </row>
    <row r="2052" hidden="1">
      <c r="A2052" s="151" t="s">
        <v>221</v>
      </c>
      <c r="B2052" s="118" t="s">
        <v>189</v>
      </c>
      <c r="C2052" s="118" t="s">
        <v>206</v>
      </c>
      <c r="D2052" s="152" t="s">
        <v>2476</v>
      </c>
      <c r="E2052" s="152" t="s">
        <v>2518</v>
      </c>
      <c r="F2052" s="152" t="s">
        <v>497</v>
      </c>
      <c r="G2052" s="152" t="s">
        <v>2519</v>
      </c>
      <c r="H2052" s="153" t="s">
        <v>216</v>
      </c>
    </row>
    <row r="2053" hidden="1">
      <c r="A2053" s="154" t="s">
        <v>222</v>
      </c>
      <c r="B2053" s="155" t="s">
        <v>192</v>
      </c>
      <c r="C2053" s="155" t="s">
        <v>206</v>
      </c>
      <c r="D2053" s="156" t="s">
        <v>2476</v>
      </c>
      <c r="E2053" s="156" t="s">
        <v>2520</v>
      </c>
      <c r="F2053" s="156" t="s">
        <v>301</v>
      </c>
      <c r="G2053" s="156" t="s">
        <v>2521</v>
      </c>
      <c r="H2053" s="157" t="s">
        <v>210</v>
      </c>
    </row>
    <row r="2054" hidden="1">
      <c r="A2054" s="151" t="s">
        <v>222</v>
      </c>
      <c r="B2054" s="118" t="s">
        <v>192</v>
      </c>
      <c r="C2054" s="118" t="s">
        <v>206</v>
      </c>
      <c r="D2054" s="152" t="s">
        <v>2476</v>
      </c>
      <c r="E2054" s="152" t="s">
        <v>2522</v>
      </c>
      <c r="F2054" s="152" t="s">
        <v>240</v>
      </c>
      <c r="G2054" s="152" t="s">
        <v>2023</v>
      </c>
      <c r="H2054" s="153" t="s">
        <v>211</v>
      </c>
    </row>
    <row r="2055" hidden="1">
      <c r="A2055" s="154" t="s">
        <v>222</v>
      </c>
      <c r="B2055" s="155" t="s">
        <v>192</v>
      </c>
      <c r="C2055" s="155" t="s">
        <v>206</v>
      </c>
      <c r="D2055" s="156" t="s">
        <v>2476</v>
      </c>
      <c r="E2055" s="156" t="s">
        <v>2523</v>
      </c>
      <c r="F2055" s="156" t="s">
        <v>240</v>
      </c>
      <c r="G2055" s="156" t="s">
        <v>1806</v>
      </c>
      <c r="H2055" s="157" t="s">
        <v>212</v>
      </c>
    </row>
    <row r="2056" hidden="1">
      <c r="A2056" s="151" t="s">
        <v>222</v>
      </c>
      <c r="B2056" s="118" t="s">
        <v>192</v>
      </c>
      <c r="C2056" s="118" t="s">
        <v>206</v>
      </c>
      <c r="D2056" s="152" t="s">
        <v>2476</v>
      </c>
      <c r="E2056" s="152" t="s">
        <v>2524</v>
      </c>
      <c r="F2056" s="152" t="s">
        <v>301</v>
      </c>
      <c r="G2056" s="152" t="s">
        <v>1725</v>
      </c>
      <c r="H2056" s="153" t="s">
        <v>213</v>
      </c>
    </row>
    <row r="2057" hidden="1">
      <c r="A2057" s="154" t="s">
        <v>222</v>
      </c>
      <c r="B2057" s="155" t="s">
        <v>192</v>
      </c>
      <c r="C2057" s="155" t="s">
        <v>206</v>
      </c>
      <c r="D2057" s="156" t="s">
        <v>2476</v>
      </c>
      <c r="E2057" s="156" t="s">
        <v>2525</v>
      </c>
      <c r="F2057" s="156" t="s">
        <v>269</v>
      </c>
      <c r="G2057" s="156" t="s">
        <v>1906</v>
      </c>
      <c r="H2057" s="157" t="s">
        <v>214</v>
      </c>
    </row>
    <row r="2058" hidden="1">
      <c r="A2058" s="151" t="s">
        <v>222</v>
      </c>
      <c r="B2058" s="118" t="s">
        <v>192</v>
      </c>
      <c r="C2058" s="118" t="s">
        <v>206</v>
      </c>
      <c r="D2058" s="152" t="s">
        <v>2476</v>
      </c>
      <c r="E2058" s="152" t="s">
        <v>2526</v>
      </c>
      <c r="F2058" s="152" t="s">
        <v>321</v>
      </c>
      <c r="G2058" s="152" t="s">
        <v>2051</v>
      </c>
      <c r="H2058" s="153" t="s">
        <v>215</v>
      </c>
    </row>
    <row r="2059" hidden="1">
      <c r="A2059" s="154" t="s">
        <v>222</v>
      </c>
      <c r="B2059" s="155" t="s">
        <v>192</v>
      </c>
      <c r="C2059" s="155" t="s">
        <v>206</v>
      </c>
      <c r="D2059" s="156" t="s">
        <v>2476</v>
      </c>
      <c r="E2059" s="156" t="s">
        <v>2527</v>
      </c>
      <c r="F2059" s="156" t="s">
        <v>269</v>
      </c>
      <c r="G2059" s="156" t="s">
        <v>1751</v>
      </c>
      <c r="H2059" s="157" t="s">
        <v>216</v>
      </c>
    </row>
    <row r="2060" hidden="1">
      <c r="A2060" s="151" t="s">
        <v>223</v>
      </c>
      <c r="B2060" s="118" t="s">
        <v>144</v>
      </c>
      <c r="C2060" s="118" t="s">
        <v>206</v>
      </c>
      <c r="D2060" s="152" t="s">
        <v>2476</v>
      </c>
      <c r="E2060" s="152" t="s">
        <v>2528</v>
      </c>
      <c r="F2060" s="152" t="s">
        <v>257</v>
      </c>
      <c r="G2060" s="152" t="s">
        <v>2364</v>
      </c>
      <c r="H2060" s="153" t="s">
        <v>210</v>
      </c>
    </row>
    <row r="2061" hidden="1">
      <c r="A2061" s="154" t="s">
        <v>223</v>
      </c>
      <c r="B2061" s="155" t="s">
        <v>144</v>
      </c>
      <c r="C2061" s="155" t="s">
        <v>206</v>
      </c>
      <c r="D2061" s="156" t="s">
        <v>2476</v>
      </c>
      <c r="E2061" s="156" t="s">
        <v>2529</v>
      </c>
      <c r="F2061" s="156" t="s">
        <v>365</v>
      </c>
      <c r="G2061" s="156" t="s">
        <v>2530</v>
      </c>
      <c r="H2061" s="157" t="s">
        <v>211</v>
      </c>
    </row>
    <row r="2062" hidden="1">
      <c r="A2062" s="151" t="s">
        <v>223</v>
      </c>
      <c r="B2062" s="118" t="s">
        <v>144</v>
      </c>
      <c r="C2062" s="118" t="s">
        <v>206</v>
      </c>
      <c r="D2062" s="152" t="s">
        <v>2476</v>
      </c>
      <c r="E2062" s="152" t="s">
        <v>2531</v>
      </c>
      <c r="F2062" s="152" t="s">
        <v>357</v>
      </c>
      <c r="G2062" s="152" t="s">
        <v>1896</v>
      </c>
      <c r="H2062" s="153" t="s">
        <v>212</v>
      </c>
    </row>
    <row r="2063" hidden="1">
      <c r="A2063" s="154" t="s">
        <v>223</v>
      </c>
      <c r="B2063" s="155" t="s">
        <v>144</v>
      </c>
      <c r="C2063" s="155" t="s">
        <v>206</v>
      </c>
      <c r="D2063" s="156" t="s">
        <v>2476</v>
      </c>
      <c r="E2063" s="156" t="s">
        <v>2532</v>
      </c>
      <c r="F2063" s="156" t="s">
        <v>242</v>
      </c>
      <c r="G2063" s="156" t="s">
        <v>1827</v>
      </c>
      <c r="H2063" s="157" t="s">
        <v>213</v>
      </c>
    </row>
    <row r="2064" hidden="1">
      <c r="A2064" s="151" t="s">
        <v>223</v>
      </c>
      <c r="B2064" s="118" t="s">
        <v>144</v>
      </c>
      <c r="C2064" s="118" t="s">
        <v>206</v>
      </c>
      <c r="D2064" s="152" t="s">
        <v>2476</v>
      </c>
      <c r="E2064" s="152" t="s">
        <v>2533</v>
      </c>
      <c r="F2064" s="152" t="s">
        <v>314</v>
      </c>
      <c r="G2064" s="152" t="s">
        <v>2534</v>
      </c>
      <c r="H2064" s="153" t="s">
        <v>214</v>
      </c>
    </row>
    <row r="2065" hidden="1">
      <c r="A2065" s="154" t="s">
        <v>223</v>
      </c>
      <c r="B2065" s="155" t="s">
        <v>144</v>
      </c>
      <c r="C2065" s="155" t="s">
        <v>206</v>
      </c>
      <c r="D2065" s="156" t="s">
        <v>2476</v>
      </c>
      <c r="E2065" s="156" t="s">
        <v>2535</v>
      </c>
      <c r="F2065" s="156" t="s">
        <v>314</v>
      </c>
      <c r="G2065" s="156" t="s">
        <v>1974</v>
      </c>
      <c r="H2065" s="157" t="s">
        <v>215</v>
      </c>
    </row>
    <row r="2066" hidden="1">
      <c r="A2066" s="151" t="s">
        <v>223</v>
      </c>
      <c r="B2066" s="118" t="s">
        <v>144</v>
      </c>
      <c r="C2066" s="118" t="s">
        <v>206</v>
      </c>
      <c r="D2066" s="152" t="s">
        <v>2476</v>
      </c>
      <c r="E2066" s="152" t="s">
        <v>2536</v>
      </c>
      <c r="F2066" s="152" t="s">
        <v>242</v>
      </c>
      <c r="G2066" s="152" t="s">
        <v>2142</v>
      </c>
      <c r="H2066" s="153" t="s">
        <v>216</v>
      </c>
    </row>
    <row r="2067" hidden="1">
      <c r="A2067" s="154" t="s">
        <v>224</v>
      </c>
      <c r="B2067" s="155" t="s">
        <v>170</v>
      </c>
      <c r="C2067" s="155" t="s">
        <v>206</v>
      </c>
      <c r="D2067" s="156" t="s">
        <v>2476</v>
      </c>
      <c r="E2067" s="156" t="s">
        <v>2537</v>
      </c>
      <c r="F2067" s="156" t="s">
        <v>1532</v>
      </c>
      <c r="G2067" s="156" t="s">
        <v>2203</v>
      </c>
      <c r="H2067" s="157" t="s">
        <v>210</v>
      </c>
    </row>
    <row r="2068" hidden="1">
      <c r="A2068" s="151" t="s">
        <v>224</v>
      </c>
      <c r="B2068" s="118" t="s">
        <v>170</v>
      </c>
      <c r="C2068" s="118" t="s">
        <v>206</v>
      </c>
      <c r="D2068" s="152" t="s">
        <v>2476</v>
      </c>
      <c r="E2068" s="152" t="s">
        <v>2538</v>
      </c>
      <c r="F2068" s="152" t="s">
        <v>310</v>
      </c>
      <c r="G2068" s="152" t="s">
        <v>2539</v>
      </c>
      <c r="H2068" s="153" t="s">
        <v>211</v>
      </c>
    </row>
    <row r="2069" hidden="1">
      <c r="A2069" s="154" t="s">
        <v>224</v>
      </c>
      <c r="B2069" s="155" t="s">
        <v>170</v>
      </c>
      <c r="C2069" s="155" t="s">
        <v>206</v>
      </c>
      <c r="D2069" s="156" t="s">
        <v>2476</v>
      </c>
      <c r="E2069" s="156" t="s">
        <v>2540</v>
      </c>
      <c r="F2069" s="156" t="s">
        <v>308</v>
      </c>
      <c r="G2069" s="156" t="s">
        <v>1832</v>
      </c>
      <c r="H2069" s="157" t="s">
        <v>212</v>
      </c>
    </row>
    <row r="2070" hidden="1">
      <c r="A2070" s="151" t="s">
        <v>224</v>
      </c>
      <c r="B2070" s="118" t="s">
        <v>170</v>
      </c>
      <c r="C2070" s="118" t="s">
        <v>206</v>
      </c>
      <c r="D2070" s="152" t="s">
        <v>2476</v>
      </c>
      <c r="E2070" s="152" t="s">
        <v>2541</v>
      </c>
      <c r="F2070" s="152" t="s">
        <v>321</v>
      </c>
      <c r="G2070" s="152" t="s">
        <v>2542</v>
      </c>
      <c r="H2070" s="153" t="s">
        <v>213</v>
      </c>
    </row>
    <row r="2071" hidden="1">
      <c r="A2071" s="154" t="s">
        <v>224</v>
      </c>
      <c r="B2071" s="155" t="s">
        <v>170</v>
      </c>
      <c r="C2071" s="155" t="s">
        <v>206</v>
      </c>
      <c r="D2071" s="156" t="s">
        <v>2476</v>
      </c>
      <c r="E2071" s="156" t="s">
        <v>2543</v>
      </c>
      <c r="F2071" s="156" t="s">
        <v>351</v>
      </c>
      <c r="G2071" s="156" t="s">
        <v>2299</v>
      </c>
      <c r="H2071" s="157" t="s">
        <v>214</v>
      </c>
    </row>
    <row r="2072" hidden="1">
      <c r="A2072" s="151" t="s">
        <v>224</v>
      </c>
      <c r="B2072" s="118" t="s">
        <v>170</v>
      </c>
      <c r="C2072" s="118" t="s">
        <v>206</v>
      </c>
      <c r="D2072" s="152" t="s">
        <v>2476</v>
      </c>
      <c r="E2072" s="152" t="s">
        <v>2544</v>
      </c>
      <c r="F2072" s="152" t="s">
        <v>321</v>
      </c>
      <c r="G2072" s="152" t="s">
        <v>2132</v>
      </c>
      <c r="H2072" s="153" t="s">
        <v>215</v>
      </c>
    </row>
    <row r="2073" hidden="1">
      <c r="A2073" s="154" t="s">
        <v>224</v>
      </c>
      <c r="B2073" s="155" t="s">
        <v>170</v>
      </c>
      <c r="C2073" s="155" t="s">
        <v>206</v>
      </c>
      <c r="D2073" s="156" t="s">
        <v>2476</v>
      </c>
      <c r="E2073" s="156" t="s">
        <v>2545</v>
      </c>
      <c r="F2073" s="156" t="s">
        <v>483</v>
      </c>
      <c r="G2073" s="156" t="s">
        <v>2546</v>
      </c>
      <c r="H2073" s="157" t="s">
        <v>216</v>
      </c>
    </row>
    <row r="2074" hidden="1">
      <c r="A2074" s="151" t="s">
        <v>225</v>
      </c>
      <c r="B2074" s="118" t="s">
        <v>226</v>
      </c>
      <c r="C2074" s="118" t="s">
        <v>206</v>
      </c>
      <c r="D2074" s="152" t="s">
        <v>2476</v>
      </c>
      <c r="E2074" s="152" t="s">
        <v>2547</v>
      </c>
      <c r="F2074" s="152" t="s">
        <v>374</v>
      </c>
      <c r="G2074" s="152" t="s">
        <v>2025</v>
      </c>
      <c r="H2074" s="153" t="s">
        <v>210</v>
      </c>
    </row>
    <row r="2075" hidden="1">
      <c r="A2075" s="154" t="s">
        <v>225</v>
      </c>
      <c r="B2075" s="155" t="s">
        <v>226</v>
      </c>
      <c r="C2075" s="155" t="s">
        <v>206</v>
      </c>
      <c r="D2075" s="156" t="s">
        <v>2476</v>
      </c>
      <c r="E2075" s="156" t="s">
        <v>2548</v>
      </c>
      <c r="F2075" s="156" t="s">
        <v>240</v>
      </c>
      <c r="G2075" s="156" t="s">
        <v>2041</v>
      </c>
      <c r="H2075" s="157" t="s">
        <v>211</v>
      </c>
    </row>
    <row r="2076" hidden="1">
      <c r="A2076" s="151" t="s">
        <v>225</v>
      </c>
      <c r="B2076" s="118" t="s">
        <v>226</v>
      </c>
      <c r="C2076" s="118" t="s">
        <v>206</v>
      </c>
      <c r="D2076" s="152" t="s">
        <v>2476</v>
      </c>
      <c r="E2076" s="152" t="s">
        <v>2549</v>
      </c>
      <c r="F2076" s="152" t="s">
        <v>321</v>
      </c>
      <c r="G2076" s="152" t="s">
        <v>2379</v>
      </c>
      <c r="H2076" s="153" t="s">
        <v>212</v>
      </c>
    </row>
    <row r="2077" hidden="1">
      <c r="A2077" s="154" t="s">
        <v>225</v>
      </c>
      <c r="B2077" s="155" t="s">
        <v>226</v>
      </c>
      <c r="C2077" s="155" t="s">
        <v>206</v>
      </c>
      <c r="D2077" s="156" t="s">
        <v>2476</v>
      </c>
      <c r="E2077" s="156" t="s">
        <v>2550</v>
      </c>
      <c r="F2077" s="156" t="s">
        <v>249</v>
      </c>
      <c r="G2077" s="156" t="s">
        <v>2385</v>
      </c>
      <c r="H2077" s="157" t="s">
        <v>213</v>
      </c>
    </row>
    <row r="2078" hidden="1">
      <c r="A2078" s="151" t="s">
        <v>225</v>
      </c>
      <c r="B2078" s="118" t="s">
        <v>226</v>
      </c>
      <c r="C2078" s="118" t="s">
        <v>206</v>
      </c>
      <c r="D2078" s="152" t="s">
        <v>2476</v>
      </c>
      <c r="E2078" s="152" t="s">
        <v>2551</v>
      </c>
      <c r="F2078" s="152" t="s">
        <v>279</v>
      </c>
      <c r="G2078" s="152" t="s">
        <v>2146</v>
      </c>
      <c r="H2078" s="153" t="s">
        <v>214</v>
      </c>
    </row>
    <row r="2079" hidden="1">
      <c r="A2079" s="154" t="s">
        <v>225</v>
      </c>
      <c r="B2079" s="155" t="s">
        <v>226</v>
      </c>
      <c r="C2079" s="155" t="s">
        <v>206</v>
      </c>
      <c r="D2079" s="156" t="s">
        <v>2476</v>
      </c>
      <c r="E2079" s="156" t="s">
        <v>2552</v>
      </c>
      <c r="F2079" s="156" t="s">
        <v>204</v>
      </c>
      <c r="G2079" s="156" t="s">
        <v>2055</v>
      </c>
      <c r="H2079" s="157" t="s">
        <v>215</v>
      </c>
    </row>
    <row r="2080" hidden="1">
      <c r="A2080" s="151" t="s">
        <v>225</v>
      </c>
      <c r="B2080" s="118" t="s">
        <v>226</v>
      </c>
      <c r="C2080" s="118" t="s">
        <v>206</v>
      </c>
      <c r="D2080" s="152" t="s">
        <v>2476</v>
      </c>
      <c r="E2080" s="152" t="s">
        <v>2553</v>
      </c>
      <c r="F2080" s="152" t="s">
        <v>255</v>
      </c>
      <c r="G2080" s="152" t="s">
        <v>2542</v>
      </c>
      <c r="H2080" s="153" t="s">
        <v>216</v>
      </c>
    </row>
    <row r="2081" hidden="1">
      <c r="A2081" s="154" t="s">
        <v>227</v>
      </c>
      <c r="B2081" s="155" t="s">
        <v>195</v>
      </c>
      <c r="C2081" s="155" t="s">
        <v>206</v>
      </c>
      <c r="D2081" s="156" t="s">
        <v>2476</v>
      </c>
      <c r="E2081" s="156" t="s">
        <v>2554</v>
      </c>
      <c r="F2081" s="156" t="s">
        <v>323</v>
      </c>
      <c r="G2081" s="156" t="s">
        <v>1908</v>
      </c>
      <c r="H2081" s="157" t="s">
        <v>210</v>
      </c>
    </row>
    <row r="2082" hidden="1">
      <c r="A2082" s="151" t="s">
        <v>227</v>
      </c>
      <c r="B2082" s="118" t="s">
        <v>195</v>
      </c>
      <c r="C2082" s="118" t="s">
        <v>206</v>
      </c>
      <c r="D2082" s="152" t="s">
        <v>2476</v>
      </c>
      <c r="E2082" s="152" t="s">
        <v>1527</v>
      </c>
      <c r="F2082" s="152" t="s">
        <v>246</v>
      </c>
      <c r="G2082" s="152" t="s">
        <v>2072</v>
      </c>
      <c r="H2082" s="153" t="s">
        <v>211</v>
      </c>
    </row>
    <row r="2083" hidden="1">
      <c r="A2083" s="154" t="s">
        <v>227</v>
      </c>
      <c r="B2083" s="155" t="s">
        <v>195</v>
      </c>
      <c r="C2083" s="155" t="s">
        <v>206</v>
      </c>
      <c r="D2083" s="156" t="s">
        <v>2476</v>
      </c>
      <c r="E2083" s="156" t="s">
        <v>2555</v>
      </c>
      <c r="F2083" s="156" t="s">
        <v>255</v>
      </c>
      <c r="G2083" s="156" t="s">
        <v>1885</v>
      </c>
      <c r="H2083" s="157" t="s">
        <v>212</v>
      </c>
    </row>
    <row r="2084" hidden="1">
      <c r="A2084" s="151" t="s">
        <v>227</v>
      </c>
      <c r="B2084" s="118" t="s">
        <v>195</v>
      </c>
      <c r="C2084" s="118" t="s">
        <v>206</v>
      </c>
      <c r="D2084" s="152" t="s">
        <v>2476</v>
      </c>
      <c r="E2084" s="152" t="s">
        <v>2556</v>
      </c>
      <c r="F2084" s="152" t="s">
        <v>290</v>
      </c>
      <c r="G2084" s="152" t="s">
        <v>2557</v>
      </c>
      <c r="H2084" s="153" t="s">
        <v>213</v>
      </c>
    </row>
    <row r="2085" hidden="1">
      <c r="A2085" s="154" t="s">
        <v>227</v>
      </c>
      <c r="B2085" s="155" t="s">
        <v>195</v>
      </c>
      <c r="C2085" s="155" t="s">
        <v>206</v>
      </c>
      <c r="D2085" s="156" t="s">
        <v>2476</v>
      </c>
      <c r="E2085" s="156" t="s">
        <v>2558</v>
      </c>
      <c r="F2085" s="156" t="s">
        <v>323</v>
      </c>
      <c r="G2085" s="156" t="s">
        <v>1879</v>
      </c>
      <c r="H2085" s="157" t="s">
        <v>214</v>
      </c>
    </row>
    <row r="2086" hidden="1">
      <c r="A2086" s="151" t="s">
        <v>227</v>
      </c>
      <c r="B2086" s="118" t="s">
        <v>195</v>
      </c>
      <c r="C2086" s="118" t="s">
        <v>206</v>
      </c>
      <c r="D2086" s="152" t="s">
        <v>2476</v>
      </c>
      <c r="E2086" s="152" t="s">
        <v>2559</v>
      </c>
      <c r="F2086" s="152" t="s">
        <v>301</v>
      </c>
      <c r="G2086" s="152" t="s">
        <v>1727</v>
      </c>
      <c r="H2086" s="153" t="s">
        <v>215</v>
      </c>
    </row>
    <row r="2087" hidden="1">
      <c r="A2087" s="154" t="s">
        <v>227</v>
      </c>
      <c r="B2087" s="155" t="s">
        <v>195</v>
      </c>
      <c r="C2087" s="155" t="s">
        <v>206</v>
      </c>
      <c r="D2087" s="156" t="s">
        <v>2476</v>
      </c>
      <c r="E2087" s="156" t="s">
        <v>2560</v>
      </c>
      <c r="F2087" s="156" t="s">
        <v>357</v>
      </c>
      <c r="G2087" s="156" t="s">
        <v>1899</v>
      </c>
      <c r="H2087" s="157" t="s">
        <v>216</v>
      </c>
    </row>
    <row r="2088" hidden="1">
      <c r="A2088" s="151" t="s">
        <v>228</v>
      </c>
      <c r="B2088" s="118" t="s">
        <v>138</v>
      </c>
      <c r="C2088" s="118" t="s">
        <v>206</v>
      </c>
      <c r="D2088" s="152" t="s">
        <v>2476</v>
      </c>
      <c r="E2088" s="152" t="s">
        <v>2561</v>
      </c>
      <c r="F2088" s="152" t="s">
        <v>492</v>
      </c>
      <c r="G2088" s="152" t="s">
        <v>2043</v>
      </c>
      <c r="H2088" s="153" t="s">
        <v>210</v>
      </c>
    </row>
    <row r="2089" hidden="1">
      <c r="A2089" s="154" t="s">
        <v>228</v>
      </c>
      <c r="B2089" s="155" t="s">
        <v>138</v>
      </c>
      <c r="C2089" s="155" t="s">
        <v>206</v>
      </c>
      <c r="D2089" s="156" t="s">
        <v>2476</v>
      </c>
      <c r="E2089" s="156" t="s">
        <v>2562</v>
      </c>
      <c r="F2089" s="156" t="s">
        <v>276</v>
      </c>
      <c r="G2089" s="156" t="s">
        <v>2563</v>
      </c>
      <c r="H2089" s="157" t="s">
        <v>211</v>
      </c>
    </row>
    <row r="2090" hidden="1">
      <c r="A2090" s="151" t="s">
        <v>228</v>
      </c>
      <c r="B2090" s="118" t="s">
        <v>138</v>
      </c>
      <c r="C2090" s="118" t="s">
        <v>206</v>
      </c>
      <c r="D2090" s="152" t="s">
        <v>2476</v>
      </c>
      <c r="E2090" s="152" t="s">
        <v>2564</v>
      </c>
      <c r="F2090" s="152" t="s">
        <v>262</v>
      </c>
      <c r="G2090" s="152" t="s">
        <v>2129</v>
      </c>
      <c r="H2090" s="153" t="s">
        <v>212</v>
      </c>
    </row>
    <row r="2091" hidden="1">
      <c r="A2091" s="154" t="s">
        <v>228</v>
      </c>
      <c r="B2091" s="155" t="s">
        <v>138</v>
      </c>
      <c r="C2091" s="155" t="s">
        <v>206</v>
      </c>
      <c r="D2091" s="156" t="s">
        <v>2476</v>
      </c>
      <c r="E2091" s="156" t="s">
        <v>2565</v>
      </c>
      <c r="F2091" s="156" t="s">
        <v>257</v>
      </c>
      <c r="G2091" s="156" t="s">
        <v>1816</v>
      </c>
      <c r="H2091" s="157" t="s">
        <v>213</v>
      </c>
    </row>
    <row r="2092" hidden="1">
      <c r="A2092" s="151" t="s">
        <v>228</v>
      </c>
      <c r="B2092" s="118" t="s">
        <v>138</v>
      </c>
      <c r="C2092" s="118" t="s">
        <v>206</v>
      </c>
      <c r="D2092" s="152" t="s">
        <v>2476</v>
      </c>
      <c r="E2092" s="152" t="s">
        <v>2566</v>
      </c>
      <c r="F2092" s="152" t="s">
        <v>390</v>
      </c>
      <c r="G2092" s="152" t="s">
        <v>2567</v>
      </c>
      <c r="H2092" s="153" t="s">
        <v>214</v>
      </c>
    </row>
    <row r="2093" hidden="1">
      <c r="A2093" s="154" t="s">
        <v>228</v>
      </c>
      <c r="B2093" s="155" t="s">
        <v>138</v>
      </c>
      <c r="C2093" s="155" t="s">
        <v>206</v>
      </c>
      <c r="D2093" s="156" t="s">
        <v>2476</v>
      </c>
      <c r="E2093" s="156" t="s">
        <v>2568</v>
      </c>
      <c r="F2093" s="156" t="s">
        <v>279</v>
      </c>
      <c r="G2093" s="156" t="s">
        <v>2534</v>
      </c>
      <c r="H2093" s="157" t="s">
        <v>215</v>
      </c>
    </row>
    <row r="2094" hidden="1">
      <c r="A2094" s="151" t="s">
        <v>228</v>
      </c>
      <c r="B2094" s="118" t="s">
        <v>138</v>
      </c>
      <c r="C2094" s="118" t="s">
        <v>206</v>
      </c>
      <c r="D2094" s="152" t="s">
        <v>2476</v>
      </c>
      <c r="E2094" s="152" t="s">
        <v>2569</v>
      </c>
      <c r="F2094" s="152" t="s">
        <v>265</v>
      </c>
      <c r="G2094" s="152" t="s">
        <v>2132</v>
      </c>
      <c r="H2094" s="153" t="s">
        <v>216</v>
      </c>
    </row>
    <row r="2095" hidden="1">
      <c r="A2095" s="154" t="s">
        <v>229</v>
      </c>
      <c r="B2095" s="155" t="s">
        <v>193</v>
      </c>
      <c r="C2095" s="155" t="s">
        <v>206</v>
      </c>
      <c r="D2095" s="156" t="s">
        <v>2476</v>
      </c>
      <c r="E2095" s="156" t="s">
        <v>2570</v>
      </c>
      <c r="F2095" s="156" t="s">
        <v>285</v>
      </c>
      <c r="G2095" s="156" t="s">
        <v>2091</v>
      </c>
      <c r="H2095" s="157" t="s">
        <v>210</v>
      </c>
    </row>
    <row r="2096" hidden="1">
      <c r="A2096" s="151" t="s">
        <v>229</v>
      </c>
      <c r="B2096" s="118" t="s">
        <v>193</v>
      </c>
      <c r="C2096" s="118" t="s">
        <v>206</v>
      </c>
      <c r="D2096" s="152" t="s">
        <v>2476</v>
      </c>
      <c r="E2096" s="152" t="s">
        <v>2571</v>
      </c>
      <c r="F2096" s="152" t="s">
        <v>331</v>
      </c>
      <c r="G2096" s="152" t="s">
        <v>1849</v>
      </c>
      <c r="H2096" s="153" t="s">
        <v>211</v>
      </c>
    </row>
    <row r="2097" hidden="1">
      <c r="A2097" s="154" t="s">
        <v>229</v>
      </c>
      <c r="B2097" s="155" t="s">
        <v>193</v>
      </c>
      <c r="C2097" s="155" t="s">
        <v>206</v>
      </c>
      <c r="D2097" s="156" t="s">
        <v>2476</v>
      </c>
      <c r="E2097" s="156" t="s">
        <v>2572</v>
      </c>
      <c r="F2097" s="156" t="s">
        <v>269</v>
      </c>
      <c r="G2097" s="156" t="s">
        <v>2175</v>
      </c>
      <c r="H2097" s="157" t="s">
        <v>212</v>
      </c>
    </row>
    <row r="2098" hidden="1">
      <c r="A2098" s="151" t="s">
        <v>229</v>
      </c>
      <c r="B2098" s="118" t="s">
        <v>193</v>
      </c>
      <c r="C2098" s="118" t="s">
        <v>206</v>
      </c>
      <c r="D2098" s="152" t="s">
        <v>2476</v>
      </c>
      <c r="E2098" s="152" t="s">
        <v>2573</v>
      </c>
      <c r="F2098" s="152" t="s">
        <v>244</v>
      </c>
      <c r="G2098" s="152" t="s">
        <v>1825</v>
      </c>
      <c r="H2098" s="153" t="s">
        <v>213</v>
      </c>
    </row>
    <row r="2099" hidden="1">
      <c r="A2099" s="154" t="s">
        <v>229</v>
      </c>
      <c r="B2099" s="155" t="s">
        <v>193</v>
      </c>
      <c r="C2099" s="155" t="s">
        <v>206</v>
      </c>
      <c r="D2099" s="156" t="s">
        <v>2476</v>
      </c>
      <c r="E2099" s="156" t="s">
        <v>2574</v>
      </c>
      <c r="F2099" s="156" t="s">
        <v>287</v>
      </c>
      <c r="G2099" s="156" t="s">
        <v>1808</v>
      </c>
      <c r="H2099" s="157" t="s">
        <v>214</v>
      </c>
    </row>
    <row r="2100" hidden="1">
      <c r="A2100" s="151" t="s">
        <v>229</v>
      </c>
      <c r="B2100" s="118" t="s">
        <v>193</v>
      </c>
      <c r="C2100" s="118" t="s">
        <v>206</v>
      </c>
      <c r="D2100" s="152" t="s">
        <v>2476</v>
      </c>
      <c r="E2100" s="152" t="s">
        <v>2575</v>
      </c>
      <c r="F2100" s="152" t="s">
        <v>323</v>
      </c>
      <c r="G2100" s="152" t="s">
        <v>2146</v>
      </c>
      <c r="H2100" s="153" t="s">
        <v>215</v>
      </c>
    </row>
    <row r="2101" hidden="1">
      <c r="A2101" s="154" t="s">
        <v>229</v>
      </c>
      <c r="B2101" s="155" t="s">
        <v>193</v>
      </c>
      <c r="C2101" s="155" t="s">
        <v>206</v>
      </c>
      <c r="D2101" s="156" t="s">
        <v>2476</v>
      </c>
      <c r="E2101" s="156" t="s">
        <v>2576</v>
      </c>
      <c r="F2101" s="156" t="s">
        <v>359</v>
      </c>
      <c r="G2101" s="156" t="s">
        <v>1751</v>
      </c>
      <c r="H2101" s="157" t="s">
        <v>216</v>
      </c>
    </row>
    <row r="2102" hidden="1">
      <c r="A2102" s="151" t="s">
        <v>230</v>
      </c>
      <c r="B2102" s="118" t="s">
        <v>194</v>
      </c>
      <c r="C2102" s="118" t="s">
        <v>206</v>
      </c>
      <c r="D2102" s="152" t="s">
        <v>2476</v>
      </c>
      <c r="E2102" s="152" t="s">
        <v>2577</v>
      </c>
      <c r="F2102" s="152" t="s">
        <v>287</v>
      </c>
      <c r="G2102" s="152" t="s">
        <v>1913</v>
      </c>
      <c r="H2102" s="153" t="s">
        <v>210</v>
      </c>
    </row>
    <row r="2103" hidden="1">
      <c r="A2103" s="154" t="s">
        <v>230</v>
      </c>
      <c r="B2103" s="155" t="s">
        <v>194</v>
      </c>
      <c r="C2103" s="155" t="s">
        <v>206</v>
      </c>
      <c r="D2103" s="156" t="s">
        <v>2476</v>
      </c>
      <c r="E2103" s="156" t="s">
        <v>2578</v>
      </c>
      <c r="F2103" s="156" t="s">
        <v>365</v>
      </c>
      <c r="G2103" s="156" t="s">
        <v>1739</v>
      </c>
      <c r="H2103" s="157" t="s">
        <v>211</v>
      </c>
    </row>
    <row r="2104" hidden="1">
      <c r="A2104" s="151" t="s">
        <v>230</v>
      </c>
      <c r="B2104" s="118" t="s">
        <v>194</v>
      </c>
      <c r="C2104" s="118" t="s">
        <v>206</v>
      </c>
      <c r="D2104" s="152" t="s">
        <v>2476</v>
      </c>
      <c r="E2104" s="152" t="s">
        <v>2579</v>
      </c>
      <c r="F2104" s="152" t="s">
        <v>246</v>
      </c>
      <c r="G2104" s="152" t="s">
        <v>1775</v>
      </c>
      <c r="H2104" s="153" t="s">
        <v>212</v>
      </c>
    </row>
    <row r="2105" hidden="1">
      <c r="A2105" s="154" t="s">
        <v>230</v>
      </c>
      <c r="B2105" s="155" t="s">
        <v>194</v>
      </c>
      <c r="C2105" s="155" t="s">
        <v>206</v>
      </c>
      <c r="D2105" s="156" t="s">
        <v>2476</v>
      </c>
      <c r="E2105" s="156" t="s">
        <v>2580</v>
      </c>
      <c r="F2105" s="156" t="s">
        <v>365</v>
      </c>
      <c r="G2105" s="156" t="s">
        <v>2259</v>
      </c>
      <c r="H2105" s="157" t="s">
        <v>213</v>
      </c>
    </row>
    <row r="2106" hidden="1">
      <c r="A2106" s="151" t="s">
        <v>230</v>
      </c>
      <c r="B2106" s="118" t="s">
        <v>194</v>
      </c>
      <c r="C2106" s="118" t="s">
        <v>206</v>
      </c>
      <c r="D2106" s="152" t="s">
        <v>2476</v>
      </c>
      <c r="E2106" s="152" t="s">
        <v>2581</v>
      </c>
      <c r="F2106" s="152" t="s">
        <v>257</v>
      </c>
      <c r="G2106" s="152" t="s">
        <v>2155</v>
      </c>
      <c r="H2106" s="153" t="s">
        <v>214</v>
      </c>
    </row>
    <row r="2107" hidden="1">
      <c r="A2107" s="154" t="s">
        <v>230</v>
      </c>
      <c r="B2107" s="155" t="s">
        <v>194</v>
      </c>
      <c r="C2107" s="155" t="s">
        <v>206</v>
      </c>
      <c r="D2107" s="156" t="s">
        <v>2476</v>
      </c>
      <c r="E2107" s="156" t="s">
        <v>2582</v>
      </c>
      <c r="F2107" s="156" t="s">
        <v>244</v>
      </c>
      <c r="G2107" s="156" t="s">
        <v>2296</v>
      </c>
      <c r="H2107" s="157" t="s">
        <v>215</v>
      </c>
    </row>
    <row r="2108" hidden="1">
      <c r="A2108" s="151" t="s">
        <v>230</v>
      </c>
      <c r="B2108" s="118" t="s">
        <v>194</v>
      </c>
      <c r="C2108" s="118" t="s">
        <v>206</v>
      </c>
      <c r="D2108" s="152" t="s">
        <v>2476</v>
      </c>
      <c r="E2108" s="152" t="s">
        <v>2583</v>
      </c>
      <c r="F2108" s="152" t="s">
        <v>244</v>
      </c>
      <c r="G2108" s="152" t="s">
        <v>1901</v>
      </c>
      <c r="H2108" s="153" t="s">
        <v>216</v>
      </c>
    </row>
    <row r="2109" hidden="1">
      <c r="A2109" s="158" t="s">
        <v>231</v>
      </c>
      <c r="B2109" s="159"/>
      <c r="C2109" s="155" t="s">
        <v>232</v>
      </c>
      <c r="D2109" s="156" t="s">
        <v>2476</v>
      </c>
      <c r="E2109" s="156" t="s">
        <v>2584</v>
      </c>
      <c r="F2109" s="156" t="s">
        <v>501</v>
      </c>
      <c r="G2109" s="156" t="s">
        <v>1745</v>
      </c>
      <c r="H2109" s="157" t="s">
        <v>210</v>
      </c>
    </row>
    <row r="2110" hidden="1">
      <c r="A2110" s="160" t="s">
        <v>231</v>
      </c>
      <c r="B2110" s="72"/>
      <c r="C2110" s="118" t="s">
        <v>232</v>
      </c>
      <c r="D2110" s="152" t="s">
        <v>2476</v>
      </c>
      <c r="E2110" s="152" t="s">
        <v>2585</v>
      </c>
      <c r="F2110" s="152" t="s">
        <v>285</v>
      </c>
      <c r="G2110" s="152" t="s">
        <v>1775</v>
      </c>
      <c r="H2110" s="153" t="s">
        <v>211</v>
      </c>
    </row>
    <row r="2111" hidden="1">
      <c r="A2111" s="158" t="s">
        <v>231</v>
      </c>
      <c r="B2111" s="159"/>
      <c r="C2111" s="155" t="s">
        <v>232</v>
      </c>
      <c r="D2111" s="156" t="s">
        <v>2476</v>
      </c>
      <c r="E2111" s="156" t="s">
        <v>2586</v>
      </c>
      <c r="F2111" s="156" t="s">
        <v>262</v>
      </c>
      <c r="G2111" s="156" t="s">
        <v>2587</v>
      </c>
      <c r="H2111" s="157" t="s">
        <v>212</v>
      </c>
    </row>
    <row r="2112" hidden="1">
      <c r="A2112" s="160" t="s">
        <v>231</v>
      </c>
      <c r="B2112" s="72"/>
      <c r="C2112" s="118" t="s">
        <v>232</v>
      </c>
      <c r="D2112" s="152" t="s">
        <v>2476</v>
      </c>
      <c r="E2112" s="152" t="s">
        <v>2588</v>
      </c>
      <c r="F2112" s="152" t="s">
        <v>287</v>
      </c>
      <c r="G2112" s="152" t="s">
        <v>2085</v>
      </c>
      <c r="H2112" s="153" t="s">
        <v>213</v>
      </c>
    </row>
    <row r="2113" hidden="1">
      <c r="A2113" s="158" t="s">
        <v>231</v>
      </c>
      <c r="B2113" s="159"/>
      <c r="C2113" s="155" t="s">
        <v>232</v>
      </c>
      <c r="D2113" s="156" t="s">
        <v>2476</v>
      </c>
      <c r="E2113" s="156" t="s">
        <v>2589</v>
      </c>
      <c r="F2113" s="156" t="s">
        <v>298</v>
      </c>
      <c r="G2113" s="156" t="s">
        <v>2420</v>
      </c>
      <c r="H2113" s="157" t="s">
        <v>214</v>
      </c>
    </row>
    <row r="2114" hidden="1">
      <c r="A2114" s="160" t="s">
        <v>231</v>
      </c>
      <c r="B2114" s="72"/>
      <c r="C2114" s="118" t="s">
        <v>232</v>
      </c>
      <c r="D2114" s="152" t="s">
        <v>2476</v>
      </c>
      <c r="E2114" s="152" t="s">
        <v>2590</v>
      </c>
      <c r="F2114" s="152" t="s">
        <v>534</v>
      </c>
      <c r="G2114" s="152" t="s">
        <v>1773</v>
      </c>
      <c r="H2114" s="153" t="s">
        <v>215</v>
      </c>
    </row>
    <row r="2115" hidden="1">
      <c r="A2115" s="158" t="s">
        <v>231</v>
      </c>
      <c r="B2115" s="159"/>
      <c r="C2115" s="155" t="s">
        <v>232</v>
      </c>
      <c r="D2115" s="156" t="s">
        <v>2476</v>
      </c>
      <c r="E2115" s="156" t="s">
        <v>2591</v>
      </c>
      <c r="F2115" s="156" t="s">
        <v>259</v>
      </c>
      <c r="G2115" s="156" t="s">
        <v>1806</v>
      </c>
      <c r="H2115" s="157" t="s">
        <v>216</v>
      </c>
    </row>
    <row r="2116" hidden="1">
      <c r="A2116" s="160" t="s">
        <v>233</v>
      </c>
      <c r="B2116" s="72"/>
      <c r="C2116" s="118" t="s">
        <v>232</v>
      </c>
      <c r="D2116" s="152" t="s">
        <v>2476</v>
      </c>
      <c r="E2116" s="152" t="s">
        <v>2592</v>
      </c>
      <c r="F2116" s="152" t="s">
        <v>323</v>
      </c>
      <c r="G2116" s="152" t="s">
        <v>1854</v>
      </c>
      <c r="H2116" s="153" t="s">
        <v>210</v>
      </c>
    </row>
    <row r="2117" hidden="1">
      <c r="A2117" s="158" t="s">
        <v>233</v>
      </c>
      <c r="B2117" s="159"/>
      <c r="C2117" s="155" t="s">
        <v>232</v>
      </c>
      <c r="D2117" s="156" t="s">
        <v>2476</v>
      </c>
      <c r="E2117" s="156" t="s">
        <v>2593</v>
      </c>
      <c r="F2117" s="156" t="s">
        <v>323</v>
      </c>
      <c r="G2117" s="156" t="s">
        <v>1899</v>
      </c>
      <c r="H2117" s="157" t="s">
        <v>211</v>
      </c>
    </row>
    <row r="2118" hidden="1">
      <c r="A2118" s="160" t="s">
        <v>233</v>
      </c>
      <c r="B2118" s="72"/>
      <c r="C2118" s="118" t="s">
        <v>232</v>
      </c>
      <c r="D2118" s="152" t="s">
        <v>2476</v>
      </c>
      <c r="E2118" s="152" t="s">
        <v>2594</v>
      </c>
      <c r="F2118" s="152" t="s">
        <v>365</v>
      </c>
      <c r="G2118" s="152" t="s">
        <v>1741</v>
      </c>
      <c r="H2118" s="153" t="s">
        <v>212</v>
      </c>
    </row>
    <row r="2119" hidden="1">
      <c r="A2119" s="158" t="s">
        <v>233</v>
      </c>
      <c r="B2119" s="159"/>
      <c r="C2119" s="155" t="s">
        <v>232</v>
      </c>
      <c r="D2119" s="156" t="s">
        <v>2476</v>
      </c>
      <c r="E2119" s="156" t="s">
        <v>2595</v>
      </c>
      <c r="F2119" s="156" t="s">
        <v>365</v>
      </c>
      <c r="G2119" s="156" t="s">
        <v>1743</v>
      </c>
      <c r="H2119" s="157" t="s">
        <v>213</v>
      </c>
    </row>
    <row r="2120" hidden="1">
      <c r="A2120" s="160" t="s">
        <v>233</v>
      </c>
      <c r="B2120" s="72"/>
      <c r="C2120" s="118" t="s">
        <v>232</v>
      </c>
      <c r="D2120" s="152" t="s">
        <v>2476</v>
      </c>
      <c r="E2120" s="152" t="s">
        <v>2596</v>
      </c>
      <c r="F2120" s="152" t="s">
        <v>314</v>
      </c>
      <c r="G2120" s="152" t="s">
        <v>1759</v>
      </c>
      <c r="H2120" s="153" t="s">
        <v>214</v>
      </c>
    </row>
    <row r="2121" hidden="1">
      <c r="A2121" s="158" t="s">
        <v>233</v>
      </c>
      <c r="B2121" s="159"/>
      <c r="C2121" s="155" t="s">
        <v>232</v>
      </c>
      <c r="D2121" s="156" t="s">
        <v>2476</v>
      </c>
      <c r="E2121" s="156" t="s">
        <v>2597</v>
      </c>
      <c r="F2121" s="156" t="s">
        <v>359</v>
      </c>
      <c r="G2121" s="156" t="s">
        <v>1854</v>
      </c>
      <c r="H2121" s="157" t="s">
        <v>215</v>
      </c>
    </row>
    <row r="2122" hidden="1">
      <c r="A2122" s="160" t="s">
        <v>233</v>
      </c>
      <c r="B2122" s="72"/>
      <c r="C2122" s="118" t="s">
        <v>232</v>
      </c>
      <c r="D2122" s="152" t="s">
        <v>2476</v>
      </c>
      <c r="E2122" s="152" t="s">
        <v>2598</v>
      </c>
      <c r="F2122" s="152" t="s">
        <v>323</v>
      </c>
      <c r="G2122" s="152" t="s">
        <v>2254</v>
      </c>
      <c r="H2122" s="153" t="s">
        <v>216</v>
      </c>
    </row>
    <row r="2123" hidden="1">
      <c r="A2123" s="158" t="s">
        <v>234</v>
      </c>
      <c r="B2123" s="159"/>
      <c r="C2123" s="155" t="s">
        <v>232</v>
      </c>
      <c r="D2123" s="156" t="s">
        <v>2476</v>
      </c>
      <c r="E2123" s="156" t="s">
        <v>2599</v>
      </c>
      <c r="F2123" s="156" t="s">
        <v>677</v>
      </c>
      <c r="G2123" s="156" t="s">
        <v>2600</v>
      </c>
      <c r="H2123" s="157" t="s">
        <v>210</v>
      </c>
    </row>
    <row r="2124" hidden="1">
      <c r="A2124" s="160" t="s">
        <v>234</v>
      </c>
      <c r="B2124" s="72"/>
      <c r="C2124" s="118" t="s">
        <v>232</v>
      </c>
      <c r="D2124" s="152" t="s">
        <v>2476</v>
      </c>
      <c r="E2124" s="152" t="s">
        <v>2601</v>
      </c>
      <c r="F2124" s="152" t="s">
        <v>453</v>
      </c>
      <c r="G2124" s="152" t="s">
        <v>2602</v>
      </c>
      <c r="H2124" s="153" t="s">
        <v>211</v>
      </c>
    </row>
    <row r="2125" hidden="1">
      <c r="A2125" s="158" t="s">
        <v>234</v>
      </c>
      <c r="B2125" s="159"/>
      <c r="C2125" s="155" t="s">
        <v>232</v>
      </c>
      <c r="D2125" s="156" t="s">
        <v>2476</v>
      </c>
      <c r="E2125" s="156" t="s">
        <v>2603</v>
      </c>
      <c r="F2125" s="156" t="s">
        <v>735</v>
      </c>
      <c r="G2125" s="156" t="s">
        <v>2109</v>
      </c>
      <c r="H2125" s="157" t="s">
        <v>212</v>
      </c>
    </row>
    <row r="2126" hidden="1">
      <c r="A2126" s="160" t="s">
        <v>234</v>
      </c>
      <c r="B2126" s="72"/>
      <c r="C2126" s="118" t="s">
        <v>232</v>
      </c>
      <c r="D2126" s="152" t="s">
        <v>2476</v>
      </c>
      <c r="E2126" s="152" t="s">
        <v>2604</v>
      </c>
      <c r="F2126" s="152" t="s">
        <v>1530</v>
      </c>
      <c r="G2126" s="152" t="s">
        <v>2605</v>
      </c>
      <c r="H2126" s="153" t="s">
        <v>213</v>
      </c>
    </row>
    <row r="2127" hidden="1">
      <c r="A2127" s="158" t="s">
        <v>234</v>
      </c>
      <c r="B2127" s="159"/>
      <c r="C2127" s="155" t="s">
        <v>232</v>
      </c>
      <c r="D2127" s="156" t="s">
        <v>2476</v>
      </c>
      <c r="E2127" s="156" t="s">
        <v>2606</v>
      </c>
      <c r="F2127" s="156" t="s">
        <v>2607</v>
      </c>
      <c r="G2127" s="156" t="s">
        <v>1925</v>
      </c>
      <c r="H2127" s="157" t="s">
        <v>214</v>
      </c>
    </row>
    <row r="2128" hidden="1">
      <c r="A2128" s="160" t="s">
        <v>234</v>
      </c>
      <c r="B2128" s="72"/>
      <c r="C2128" s="118" t="s">
        <v>232</v>
      </c>
      <c r="D2128" s="152" t="s">
        <v>2476</v>
      </c>
      <c r="E2128" s="152" t="s">
        <v>2608</v>
      </c>
      <c r="F2128" s="152" t="s">
        <v>425</v>
      </c>
      <c r="G2128" s="152" t="s">
        <v>2609</v>
      </c>
      <c r="H2128" s="153" t="s">
        <v>215</v>
      </c>
    </row>
    <row r="2129" hidden="1">
      <c r="A2129" s="158" t="s">
        <v>234</v>
      </c>
      <c r="B2129" s="159"/>
      <c r="C2129" s="155" t="s">
        <v>232</v>
      </c>
      <c r="D2129" s="156" t="s">
        <v>2476</v>
      </c>
      <c r="E2129" s="156" t="s">
        <v>2610</v>
      </c>
      <c r="F2129" s="156" t="s">
        <v>1532</v>
      </c>
      <c r="G2129" s="156" t="s">
        <v>2457</v>
      </c>
      <c r="H2129" s="157" t="s">
        <v>216</v>
      </c>
    </row>
    <row r="2130" hidden="1">
      <c r="A2130" s="160" t="s">
        <v>235</v>
      </c>
      <c r="B2130" s="72"/>
      <c r="C2130" s="118" t="s">
        <v>236</v>
      </c>
      <c r="D2130" s="152" t="s">
        <v>2476</v>
      </c>
      <c r="E2130" s="152" t="s">
        <v>2611</v>
      </c>
      <c r="F2130" s="152" t="s">
        <v>365</v>
      </c>
      <c r="G2130" s="152" t="s">
        <v>1739</v>
      </c>
      <c r="H2130" s="153" t="s">
        <v>210</v>
      </c>
    </row>
    <row r="2131" hidden="1">
      <c r="A2131" s="158" t="s">
        <v>235</v>
      </c>
      <c r="B2131" s="159"/>
      <c r="C2131" s="155" t="s">
        <v>236</v>
      </c>
      <c r="D2131" s="156" t="s">
        <v>2476</v>
      </c>
      <c r="E2131" s="156" t="s">
        <v>2612</v>
      </c>
      <c r="F2131" s="156" t="s">
        <v>314</v>
      </c>
      <c r="G2131" s="156" t="s">
        <v>1908</v>
      </c>
      <c r="H2131" s="157" t="s">
        <v>211</v>
      </c>
    </row>
    <row r="2132" hidden="1">
      <c r="A2132" s="160" t="s">
        <v>235</v>
      </c>
      <c r="B2132" s="72"/>
      <c r="C2132" s="118" t="s">
        <v>236</v>
      </c>
      <c r="D2132" s="152" t="s">
        <v>2476</v>
      </c>
      <c r="E2132" s="152" t="s">
        <v>2613</v>
      </c>
      <c r="F2132" s="152" t="s">
        <v>323</v>
      </c>
      <c r="G2132" s="152" t="s">
        <v>1908</v>
      </c>
      <c r="H2132" s="153" t="s">
        <v>212</v>
      </c>
    </row>
    <row r="2133" hidden="1">
      <c r="A2133" s="158" t="s">
        <v>235</v>
      </c>
      <c r="B2133" s="159"/>
      <c r="C2133" s="155" t="s">
        <v>236</v>
      </c>
      <c r="D2133" s="156" t="s">
        <v>2476</v>
      </c>
      <c r="E2133" s="156" t="s">
        <v>2614</v>
      </c>
      <c r="F2133" s="156" t="s">
        <v>365</v>
      </c>
      <c r="G2133" s="156" t="s">
        <v>1885</v>
      </c>
      <c r="H2133" s="157" t="s">
        <v>213</v>
      </c>
    </row>
    <row r="2134" hidden="1">
      <c r="A2134" s="160" t="s">
        <v>235</v>
      </c>
      <c r="B2134" s="72"/>
      <c r="C2134" s="118" t="s">
        <v>236</v>
      </c>
      <c r="D2134" s="152" t="s">
        <v>2476</v>
      </c>
      <c r="E2134" s="152" t="s">
        <v>2615</v>
      </c>
      <c r="F2134" s="152" t="s">
        <v>249</v>
      </c>
      <c r="G2134" s="152" t="s">
        <v>1913</v>
      </c>
      <c r="H2134" s="153" t="s">
        <v>214</v>
      </c>
    </row>
    <row r="2135" hidden="1">
      <c r="A2135" s="158" t="s">
        <v>235</v>
      </c>
      <c r="B2135" s="159"/>
      <c r="C2135" s="155" t="s">
        <v>236</v>
      </c>
      <c r="D2135" s="156" t="s">
        <v>2476</v>
      </c>
      <c r="E2135" s="156" t="s">
        <v>2616</v>
      </c>
      <c r="F2135" s="156" t="s">
        <v>308</v>
      </c>
      <c r="G2135" s="156" t="s">
        <v>1971</v>
      </c>
      <c r="H2135" s="157" t="s">
        <v>215</v>
      </c>
    </row>
    <row r="2136" hidden="1">
      <c r="A2136" s="160" t="s">
        <v>235</v>
      </c>
      <c r="B2136" s="72"/>
      <c r="C2136" s="118" t="s">
        <v>236</v>
      </c>
      <c r="D2136" s="152" t="s">
        <v>2476</v>
      </c>
      <c r="E2136" s="152" t="s">
        <v>2617</v>
      </c>
      <c r="F2136" s="152" t="s">
        <v>285</v>
      </c>
      <c r="G2136" s="152" t="s">
        <v>2037</v>
      </c>
      <c r="H2136" s="153" t="s">
        <v>216</v>
      </c>
    </row>
    <row r="2137" hidden="1">
      <c r="A2137" s="158" t="s">
        <v>237</v>
      </c>
      <c r="B2137" s="159"/>
      <c r="C2137" s="155" t="s">
        <v>236</v>
      </c>
      <c r="D2137" s="156" t="s">
        <v>2476</v>
      </c>
      <c r="E2137" s="156" t="s">
        <v>2618</v>
      </c>
      <c r="F2137" s="156" t="s">
        <v>339</v>
      </c>
      <c r="G2137" s="156" t="s">
        <v>1923</v>
      </c>
      <c r="H2137" s="157" t="s">
        <v>210</v>
      </c>
    </row>
    <row r="2138" hidden="1">
      <c r="A2138" s="160" t="s">
        <v>237</v>
      </c>
      <c r="B2138" s="72"/>
      <c r="C2138" s="118" t="s">
        <v>236</v>
      </c>
      <c r="D2138" s="152" t="s">
        <v>2476</v>
      </c>
      <c r="E2138" s="152" t="s">
        <v>2619</v>
      </c>
      <c r="F2138" s="152" t="s">
        <v>325</v>
      </c>
      <c r="G2138" s="152" t="s">
        <v>2620</v>
      </c>
      <c r="H2138" s="153" t="s">
        <v>211</v>
      </c>
    </row>
    <row r="2139" hidden="1">
      <c r="A2139" s="158" t="s">
        <v>237</v>
      </c>
      <c r="B2139" s="159"/>
      <c r="C2139" s="155" t="s">
        <v>236</v>
      </c>
      <c r="D2139" s="156" t="s">
        <v>2476</v>
      </c>
      <c r="E2139" s="156" t="s">
        <v>2621</v>
      </c>
      <c r="F2139" s="156" t="s">
        <v>799</v>
      </c>
      <c r="G2139" s="156" t="s">
        <v>1942</v>
      </c>
      <c r="H2139" s="157" t="s">
        <v>212</v>
      </c>
    </row>
    <row r="2140" hidden="1">
      <c r="A2140" s="160" t="s">
        <v>237</v>
      </c>
      <c r="B2140" s="72"/>
      <c r="C2140" s="118" t="s">
        <v>236</v>
      </c>
      <c r="D2140" s="152" t="s">
        <v>2476</v>
      </c>
      <c r="E2140" s="152" t="s">
        <v>2622</v>
      </c>
      <c r="F2140" s="152" t="s">
        <v>677</v>
      </c>
      <c r="G2140" s="152" t="s">
        <v>2620</v>
      </c>
      <c r="H2140" s="153" t="s">
        <v>213</v>
      </c>
    </row>
    <row r="2141" hidden="1">
      <c r="A2141" s="158" t="s">
        <v>237</v>
      </c>
      <c r="B2141" s="159"/>
      <c r="C2141" s="155" t="s">
        <v>236</v>
      </c>
      <c r="D2141" s="156" t="s">
        <v>2476</v>
      </c>
      <c r="E2141" s="156" t="s">
        <v>2623</v>
      </c>
      <c r="F2141" s="156" t="s">
        <v>677</v>
      </c>
      <c r="G2141" s="156" t="s">
        <v>2624</v>
      </c>
      <c r="H2141" s="157" t="s">
        <v>214</v>
      </c>
    </row>
    <row r="2142" hidden="1">
      <c r="A2142" s="160" t="s">
        <v>237</v>
      </c>
      <c r="B2142" s="72"/>
      <c r="C2142" s="118" t="s">
        <v>236</v>
      </c>
      <c r="D2142" s="152" t="s">
        <v>2476</v>
      </c>
      <c r="E2142" s="152" t="s">
        <v>2625</v>
      </c>
      <c r="F2142" s="152" t="s">
        <v>331</v>
      </c>
      <c r="G2142" s="152" t="s">
        <v>2620</v>
      </c>
      <c r="H2142" s="153" t="s">
        <v>215</v>
      </c>
    </row>
    <row r="2143" hidden="1">
      <c r="A2143" s="158" t="s">
        <v>237</v>
      </c>
      <c r="B2143" s="159"/>
      <c r="C2143" s="155" t="s">
        <v>236</v>
      </c>
      <c r="D2143" s="156" t="s">
        <v>2476</v>
      </c>
      <c r="E2143" s="156" t="s">
        <v>2626</v>
      </c>
      <c r="F2143" s="156" t="s">
        <v>450</v>
      </c>
      <c r="G2143" s="156" t="s">
        <v>2067</v>
      </c>
      <c r="H2143" s="157" t="s">
        <v>216</v>
      </c>
    </row>
    <row r="2144" hidden="1">
      <c r="A2144" s="151" t="s">
        <v>204</v>
      </c>
      <c r="B2144" s="118" t="s">
        <v>205</v>
      </c>
      <c r="C2144" s="118" t="s">
        <v>206</v>
      </c>
      <c r="D2144" s="152" t="s">
        <v>2627</v>
      </c>
      <c r="E2144" s="152" t="s">
        <v>2628</v>
      </c>
      <c r="F2144" s="152" t="s">
        <v>357</v>
      </c>
      <c r="G2144" s="152" t="s">
        <v>2366</v>
      </c>
      <c r="H2144" s="153" t="s">
        <v>210</v>
      </c>
    </row>
    <row r="2145" hidden="1">
      <c r="A2145" s="154" t="s">
        <v>204</v>
      </c>
      <c r="B2145" s="155" t="s">
        <v>205</v>
      </c>
      <c r="C2145" s="155" t="s">
        <v>206</v>
      </c>
      <c r="D2145" s="156" t="s">
        <v>2627</v>
      </c>
      <c r="E2145" s="156" t="s">
        <v>2629</v>
      </c>
      <c r="F2145" s="156" t="s">
        <v>285</v>
      </c>
      <c r="G2145" s="156" t="s">
        <v>2146</v>
      </c>
      <c r="H2145" s="157" t="s">
        <v>211</v>
      </c>
    </row>
    <row r="2146" hidden="1">
      <c r="A2146" s="151" t="s">
        <v>204</v>
      </c>
      <c r="B2146" s="118" t="s">
        <v>205</v>
      </c>
      <c r="C2146" s="118" t="s">
        <v>206</v>
      </c>
      <c r="D2146" s="152" t="s">
        <v>2627</v>
      </c>
      <c r="E2146" s="152" t="s">
        <v>2630</v>
      </c>
      <c r="F2146" s="152" t="s">
        <v>249</v>
      </c>
      <c r="G2146" s="152" t="s">
        <v>1727</v>
      </c>
      <c r="H2146" s="153" t="s">
        <v>212</v>
      </c>
    </row>
    <row r="2147" hidden="1">
      <c r="A2147" s="154" t="s">
        <v>204</v>
      </c>
      <c r="B2147" s="155" t="s">
        <v>205</v>
      </c>
      <c r="C2147" s="155" t="s">
        <v>206</v>
      </c>
      <c r="D2147" s="156" t="s">
        <v>2627</v>
      </c>
      <c r="E2147" s="156" t="s">
        <v>2631</v>
      </c>
      <c r="F2147" s="156" t="s">
        <v>359</v>
      </c>
      <c r="G2147" s="156" t="s">
        <v>1814</v>
      </c>
      <c r="H2147" s="157" t="s">
        <v>213</v>
      </c>
    </row>
    <row r="2148" hidden="1">
      <c r="A2148" s="151" t="s">
        <v>204</v>
      </c>
      <c r="B2148" s="118" t="s">
        <v>205</v>
      </c>
      <c r="C2148" s="118" t="s">
        <v>206</v>
      </c>
      <c r="D2148" s="152" t="s">
        <v>2627</v>
      </c>
      <c r="E2148" s="152" t="s">
        <v>2632</v>
      </c>
      <c r="F2148" s="152" t="s">
        <v>242</v>
      </c>
      <c r="G2148" s="152" t="s">
        <v>2633</v>
      </c>
      <c r="H2148" s="153" t="s">
        <v>214</v>
      </c>
    </row>
    <row r="2149" hidden="1">
      <c r="A2149" s="154" t="s">
        <v>204</v>
      </c>
      <c r="B2149" s="155" t="s">
        <v>205</v>
      </c>
      <c r="C2149" s="155" t="s">
        <v>206</v>
      </c>
      <c r="D2149" s="156" t="s">
        <v>2627</v>
      </c>
      <c r="E2149" s="156" t="s">
        <v>2634</v>
      </c>
      <c r="F2149" s="156" t="s">
        <v>365</v>
      </c>
      <c r="G2149" s="156" t="s">
        <v>2530</v>
      </c>
      <c r="H2149" s="157" t="s">
        <v>215</v>
      </c>
    </row>
    <row r="2150" hidden="1">
      <c r="A2150" s="151" t="s">
        <v>204</v>
      </c>
      <c r="B2150" s="118" t="s">
        <v>205</v>
      </c>
      <c r="C2150" s="118" t="s">
        <v>206</v>
      </c>
      <c r="D2150" s="152" t="s">
        <v>2627</v>
      </c>
      <c r="E2150" s="152" t="s">
        <v>2635</v>
      </c>
      <c r="F2150" s="152" t="s">
        <v>323</v>
      </c>
      <c r="G2150" s="152" t="s">
        <v>2530</v>
      </c>
      <c r="H2150" s="153" t="s">
        <v>216</v>
      </c>
    </row>
    <row r="2151" hidden="1">
      <c r="A2151" s="154" t="s">
        <v>217</v>
      </c>
      <c r="B2151" s="155" t="s">
        <v>191</v>
      </c>
      <c r="C2151" s="155" t="s">
        <v>206</v>
      </c>
      <c r="D2151" s="156" t="s">
        <v>2627</v>
      </c>
      <c r="E2151" s="156" t="s">
        <v>2636</v>
      </c>
      <c r="F2151" s="156" t="s">
        <v>450</v>
      </c>
      <c r="G2151" s="156" t="s">
        <v>2637</v>
      </c>
      <c r="H2151" s="157" t="s">
        <v>210</v>
      </c>
    </row>
    <row r="2152" hidden="1">
      <c r="A2152" s="151" t="s">
        <v>217</v>
      </c>
      <c r="B2152" s="118" t="s">
        <v>191</v>
      </c>
      <c r="C2152" s="118" t="s">
        <v>206</v>
      </c>
      <c r="D2152" s="152" t="s">
        <v>2627</v>
      </c>
      <c r="E2152" s="152" t="s">
        <v>2638</v>
      </c>
      <c r="F2152" s="152" t="s">
        <v>290</v>
      </c>
      <c r="G2152" s="152" t="s">
        <v>1894</v>
      </c>
      <c r="H2152" s="153" t="s">
        <v>211</v>
      </c>
    </row>
    <row r="2153" hidden="1">
      <c r="A2153" s="154" t="s">
        <v>217</v>
      </c>
      <c r="B2153" s="155" t="s">
        <v>191</v>
      </c>
      <c r="C2153" s="155" t="s">
        <v>206</v>
      </c>
      <c r="D2153" s="156" t="s">
        <v>2627</v>
      </c>
      <c r="E2153" s="156" t="s">
        <v>2639</v>
      </c>
      <c r="F2153" s="156" t="s">
        <v>427</v>
      </c>
      <c r="G2153" s="156" t="s">
        <v>2072</v>
      </c>
      <c r="H2153" s="157" t="s">
        <v>212</v>
      </c>
    </row>
    <row r="2154" hidden="1">
      <c r="A2154" s="151" t="s">
        <v>217</v>
      </c>
      <c r="B2154" s="118" t="s">
        <v>191</v>
      </c>
      <c r="C2154" s="118" t="s">
        <v>206</v>
      </c>
      <c r="D2154" s="152" t="s">
        <v>2627</v>
      </c>
      <c r="E2154" s="152" t="s">
        <v>2640</v>
      </c>
      <c r="F2154" s="152" t="s">
        <v>290</v>
      </c>
      <c r="G2154" s="152" t="s">
        <v>1825</v>
      </c>
      <c r="H2154" s="153" t="s">
        <v>213</v>
      </c>
    </row>
    <row r="2155" hidden="1">
      <c r="A2155" s="154" t="s">
        <v>217</v>
      </c>
      <c r="B2155" s="155" t="s">
        <v>191</v>
      </c>
      <c r="C2155" s="155" t="s">
        <v>206</v>
      </c>
      <c r="D2155" s="156" t="s">
        <v>2627</v>
      </c>
      <c r="E2155" s="156" t="s">
        <v>2641</v>
      </c>
      <c r="F2155" s="156" t="s">
        <v>331</v>
      </c>
      <c r="G2155" s="156" t="s">
        <v>1735</v>
      </c>
      <c r="H2155" s="157" t="s">
        <v>214</v>
      </c>
    </row>
    <row r="2156" hidden="1">
      <c r="A2156" s="151" t="s">
        <v>217</v>
      </c>
      <c r="B2156" s="118" t="s">
        <v>191</v>
      </c>
      <c r="C2156" s="118" t="s">
        <v>206</v>
      </c>
      <c r="D2156" s="152" t="s">
        <v>2627</v>
      </c>
      <c r="E2156" s="152" t="s">
        <v>2642</v>
      </c>
      <c r="F2156" s="152" t="s">
        <v>249</v>
      </c>
      <c r="G2156" s="152" t="s">
        <v>1739</v>
      </c>
      <c r="H2156" s="153" t="s">
        <v>215</v>
      </c>
    </row>
    <row r="2157" hidden="1">
      <c r="A2157" s="154" t="s">
        <v>217</v>
      </c>
      <c r="B2157" s="155" t="s">
        <v>191</v>
      </c>
      <c r="C2157" s="155" t="s">
        <v>206</v>
      </c>
      <c r="D2157" s="156" t="s">
        <v>2627</v>
      </c>
      <c r="E2157" s="156" t="s">
        <v>2643</v>
      </c>
      <c r="F2157" s="156" t="s">
        <v>351</v>
      </c>
      <c r="G2157" s="156" t="s">
        <v>1725</v>
      </c>
      <c r="H2157" s="157" t="s">
        <v>216</v>
      </c>
    </row>
    <row r="2158" hidden="1">
      <c r="A2158" s="151" t="s">
        <v>218</v>
      </c>
      <c r="B2158" s="118" t="s">
        <v>219</v>
      </c>
      <c r="C2158" s="118" t="s">
        <v>206</v>
      </c>
      <c r="D2158" s="152" t="s">
        <v>2627</v>
      </c>
      <c r="E2158" s="152" t="s">
        <v>2644</v>
      </c>
      <c r="F2158" s="152" t="s">
        <v>287</v>
      </c>
      <c r="G2158" s="152" t="s">
        <v>2296</v>
      </c>
      <c r="H2158" s="153" t="s">
        <v>210</v>
      </c>
    </row>
    <row r="2159" hidden="1">
      <c r="A2159" s="154" t="s">
        <v>218</v>
      </c>
      <c r="B2159" s="155" t="s">
        <v>219</v>
      </c>
      <c r="C2159" s="155" t="s">
        <v>206</v>
      </c>
      <c r="D2159" s="156" t="s">
        <v>2627</v>
      </c>
      <c r="E2159" s="156" t="s">
        <v>2645</v>
      </c>
      <c r="F2159" s="156" t="s">
        <v>246</v>
      </c>
      <c r="G2159" s="156" t="s">
        <v>1889</v>
      </c>
      <c r="H2159" s="157" t="s">
        <v>211</v>
      </c>
    </row>
    <row r="2160" hidden="1">
      <c r="A2160" s="151" t="s">
        <v>218</v>
      </c>
      <c r="B2160" s="118" t="s">
        <v>219</v>
      </c>
      <c r="C2160" s="118" t="s">
        <v>206</v>
      </c>
      <c r="D2160" s="152" t="s">
        <v>2627</v>
      </c>
      <c r="E2160" s="152" t="s">
        <v>2646</v>
      </c>
      <c r="F2160" s="152" t="s">
        <v>321</v>
      </c>
      <c r="G2160" s="152" t="s">
        <v>2051</v>
      </c>
      <c r="H2160" s="153" t="s">
        <v>212</v>
      </c>
    </row>
    <row r="2161" hidden="1">
      <c r="A2161" s="154" t="s">
        <v>218</v>
      </c>
      <c r="B2161" s="155" t="s">
        <v>219</v>
      </c>
      <c r="C2161" s="155" t="s">
        <v>206</v>
      </c>
      <c r="D2161" s="156" t="s">
        <v>2627</v>
      </c>
      <c r="E2161" s="156" t="s">
        <v>2647</v>
      </c>
      <c r="F2161" s="156" t="s">
        <v>242</v>
      </c>
      <c r="G2161" s="156" t="s">
        <v>2011</v>
      </c>
      <c r="H2161" s="157" t="s">
        <v>213</v>
      </c>
    </row>
    <row r="2162" hidden="1">
      <c r="A2162" s="151" t="s">
        <v>218</v>
      </c>
      <c r="B2162" s="118" t="s">
        <v>219</v>
      </c>
      <c r="C2162" s="118" t="s">
        <v>206</v>
      </c>
      <c r="D2162" s="152" t="s">
        <v>2627</v>
      </c>
      <c r="E2162" s="152" t="s">
        <v>2648</v>
      </c>
      <c r="F2162" s="152" t="s">
        <v>365</v>
      </c>
      <c r="G2162" s="152" t="s">
        <v>1737</v>
      </c>
      <c r="H2162" s="153" t="s">
        <v>214</v>
      </c>
    </row>
    <row r="2163" hidden="1">
      <c r="A2163" s="154" t="s">
        <v>218</v>
      </c>
      <c r="B2163" s="155" t="s">
        <v>219</v>
      </c>
      <c r="C2163" s="155" t="s">
        <v>206</v>
      </c>
      <c r="D2163" s="156" t="s">
        <v>2627</v>
      </c>
      <c r="E2163" s="156" t="s">
        <v>2649</v>
      </c>
      <c r="F2163" s="156" t="s">
        <v>323</v>
      </c>
      <c r="G2163" s="156" t="s">
        <v>1787</v>
      </c>
      <c r="H2163" s="157" t="s">
        <v>215</v>
      </c>
    </row>
    <row r="2164" hidden="1">
      <c r="A2164" s="151" t="s">
        <v>218</v>
      </c>
      <c r="B2164" s="118" t="s">
        <v>219</v>
      </c>
      <c r="C2164" s="118" t="s">
        <v>206</v>
      </c>
      <c r="D2164" s="152" t="s">
        <v>2627</v>
      </c>
      <c r="E2164" s="152" t="s">
        <v>2650</v>
      </c>
      <c r="F2164" s="152" t="s">
        <v>246</v>
      </c>
      <c r="G2164" s="152" t="s">
        <v>2437</v>
      </c>
      <c r="H2164" s="153" t="s">
        <v>216</v>
      </c>
    </row>
    <row r="2165" hidden="1">
      <c r="A2165" s="154" t="s">
        <v>220</v>
      </c>
      <c r="B2165" s="155" t="s">
        <v>190</v>
      </c>
      <c r="C2165" s="155" t="s">
        <v>206</v>
      </c>
      <c r="D2165" s="156" t="s">
        <v>2627</v>
      </c>
      <c r="E2165" s="156" t="s">
        <v>2651</v>
      </c>
      <c r="F2165" s="156" t="s">
        <v>244</v>
      </c>
      <c r="G2165" s="156" t="s">
        <v>1806</v>
      </c>
      <c r="H2165" s="157" t="s">
        <v>210</v>
      </c>
    </row>
    <row r="2166" hidden="1">
      <c r="A2166" s="151" t="s">
        <v>220</v>
      </c>
      <c r="B2166" s="118" t="s">
        <v>190</v>
      </c>
      <c r="C2166" s="118" t="s">
        <v>206</v>
      </c>
      <c r="D2166" s="152" t="s">
        <v>2627</v>
      </c>
      <c r="E2166" s="152" t="s">
        <v>2652</v>
      </c>
      <c r="F2166" s="152" t="s">
        <v>314</v>
      </c>
      <c r="G2166" s="152" t="s">
        <v>2011</v>
      </c>
      <c r="H2166" s="153" t="s">
        <v>211</v>
      </c>
    </row>
    <row r="2167" hidden="1">
      <c r="A2167" s="154" t="s">
        <v>220</v>
      </c>
      <c r="B2167" s="155" t="s">
        <v>190</v>
      </c>
      <c r="C2167" s="155" t="s">
        <v>206</v>
      </c>
      <c r="D2167" s="156" t="s">
        <v>2627</v>
      </c>
      <c r="E2167" s="156" t="s">
        <v>2653</v>
      </c>
      <c r="F2167" s="156" t="s">
        <v>308</v>
      </c>
      <c r="G2167" s="156" t="s">
        <v>2654</v>
      </c>
      <c r="H2167" s="157" t="s">
        <v>212</v>
      </c>
    </row>
    <row r="2168" hidden="1">
      <c r="A2168" s="151" t="s">
        <v>220</v>
      </c>
      <c r="B2168" s="118" t="s">
        <v>190</v>
      </c>
      <c r="C2168" s="118" t="s">
        <v>206</v>
      </c>
      <c r="D2168" s="152" t="s">
        <v>2627</v>
      </c>
      <c r="E2168" s="152" t="s">
        <v>2655</v>
      </c>
      <c r="F2168" s="152" t="s">
        <v>290</v>
      </c>
      <c r="G2168" s="152" t="s">
        <v>2018</v>
      </c>
      <c r="H2168" s="153" t="s">
        <v>213</v>
      </c>
    </row>
    <row r="2169" hidden="1">
      <c r="A2169" s="154" t="s">
        <v>220</v>
      </c>
      <c r="B2169" s="155" t="s">
        <v>190</v>
      </c>
      <c r="C2169" s="155" t="s">
        <v>206</v>
      </c>
      <c r="D2169" s="156" t="s">
        <v>2627</v>
      </c>
      <c r="E2169" s="156" t="s">
        <v>2656</v>
      </c>
      <c r="F2169" s="156" t="s">
        <v>276</v>
      </c>
      <c r="G2169" s="156" t="s">
        <v>2657</v>
      </c>
      <c r="H2169" s="157" t="s">
        <v>214</v>
      </c>
    </row>
    <row r="2170" hidden="1">
      <c r="A2170" s="151" t="s">
        <v>220</v>
      </c>
      <c r="B2170" s="118" t="s">
        <v>190</v>
      </c>
      <c r="C2170" s="118" t="s">
        <v>206</v>
      </c>
      <c r="D2170" s="152" t="s">
        <v>2627</v>
      </c>
      <c r="E2170" s="152" t="s">
        <v>2658</v>
      </c>
      <c r="F2170" s="152" t="s">
        <v>259</v>
      </c>
      <c r="G2170" s="152" t="s">
        <v>2259</v>
      </c>
      <c r="H2170" s="153" t="s">
        <v>215</v>
      </c>
    </row>
    <row r="2171" hidden="1">
      <c r="A2171" s="154" t="s">
        <v>220</v>
      </c>
      <c r="B2171" s="155" t="s">
        <v>190</v>
      </c>
      <c r="C2171" s="155" t="s">
        <v>206</v>
      </c>
      <c r="D2171" s="156" t="s">
        <v>2627</v>
      </c>
      <c r="E2171" s="156" t="s">
        <v>2659</v>
      </c>
      <c r="F2171" s="156" t="s">
        <v>365</v>
      </c>
      <c r="G2171" s="156" t="s">
        <v>2085</v>
      </c>
      <c r="H2171" s="157" t="s">
        <v>216</v>
      </c>
    </row>
    <row r="2172" hidden="1">
      <c r="A2172" s="151" t="s">
        <v>221</v>
      </c>
      <c r="B2172" s="118" t="s">
        <v>189</v>
      </c>
      <c r="C2172" s="118" t="s">
        <v>206</v>
      </c>
      <c r="D2172" s="152" t="s">
        <v>2627</v>
      </c>
      <c r="E2172" s="152" t="s">
        <v>2660</v>
      </c>
      <c r="F2172" s="152" t="s">
        <v>2168</v>
      </c>
      <c r="G2172" s="152" t="s">
        <v>2661</v>
      </c>
      <c r="H2172" s="153" t="s">
        <v>210</v>
      </c>
    </row>
    <row r="2173" hidden="1">
      <c r="A2173" s="154" t="s">
        <v>221</v>
      </c>
      <c r="B2173" s="155" t="s">
        <v>189</v>
      </c>
      <c r="C2173" s="155" t="s">
        <v>206</v>
      </c>
      <c r="D2173" s="156" t="s">
        <v>2627</v>
      </c>
      <c r="E2173" s="156" t="s">
        <v>2662</v>
      </c>
      <c r="F2173" s="156" t="s">
        <v>1236</v>
      </c>
      <c r="G2173" s="156" t="s">
        <v>2663</v>
      </c>
      <c r="H2173" s="157" t="s">
        <v>211</v>
      </c>
    </row>
    <row r="2174" hidden="1">
      <c r="A2174" s="151" t="s">
        <v>221</v>
      </c>
      <c r="B2174" s="118" t="s">
        <v>189</v>
      </c>
      <c r="C2174" s="118" t="s">
        <v>206</v>
      </c>
      <c r="D2174" s="152" t="s">
        <v>2627</v>
      </c>
      <c r="E2174" s="152" t="s">
        <v>2664</v>
      </c>
      <c r="F2174" s="152" t="s">
        <v>301</v>
      </c>
      <c r="G2174" s="152" t="s">
        <v>2665</v>
      </c>
      <c r="H2174" s="153" t="s">
        <v>212</v>
      </c>
    </row>
    <row r="2175" hidden="1">
      <c r="A2175" s="154" t="s">
        <v>221</v>
      </c>
      <c r="B2175" s="155" t="s">
        <v>189</v>
      </c>
      <c r="C2175" s="155" t="s">
        <v>206</v>
      </c>
      <c r="D2175" s="156" t="s">
        <v>2627</v>
      </c>
      <c r="E2175" s="156" t="s">
        <v>2666</v>
      </c>
      <c r="F2175" s="156" t="s">
        <v>244</v>
      </c>
      <c r="G2175" s="156" t="s">
        <v>2667</v>
      </c>
      <c r="H2175" s="157" t="s">
        <v>213</v>
      </c>
    </row>
    <row r="2176" hidden="1">
      <c r="A2176" s="151" t="s">
        <v>221</v>
      </c>
      <c r="B2176" s="118" t="s">
        <v>189</v>
      </c>
      <c r="C2176" s="118" t="s">
        <v>206</v>
      </c>
      <c r="D2176" s="152" t="s">
        <v>2627</v>
      </c>
      <c r="E2176" s="152" t="s">
        <v>2668</v>
      </c>
      <c r="F2176" s="152" t="s">
        <v>501</v>
      </c>
      <c r="G2176" s="152" t="s">
        <v>2189</v>
      </c>
      <c r="H2176" s="153" t="s">
        <v>214</v>
      </c>
    </row>
    <row r="2177" hidden="1">
      <c r="A2177" s="154" t="s">
        <v>221</v>
      </c>
      <c r="B2177" s="155" t="s">
        <v>189</v>
      </c>
      <c r="C2177" s="155" t="s">
        <v>206</v>
      </c>
      <c r="D2177" s="156" t="s">
        <v>2627</v>
      </c>
      <c r="E2177" s="156" t="s">
        <v>2669</v>
      </c>
      <c r="F2177" s="156" t="s">
        <v>204</v>
      </c>
      <c r="G2177" s="156" t="s">
        <v>2177</v>
      </c>
      <c r="H2177" s="157" t="s">
        <v>215</v>
      </c>
    </row>
    <row r="2178" hidden="1">
      <c r="A2178" s="151" t="s">
        <v>221</v>
      </c>
      <c r="B2178" s="118" t="s">
        <v>189</v>
      </c>
      <c r="C2178" s="118" t="s">
        <v>206</v>
      </c>
      <c r="D2178" s="152" t="s">
        <v>2627</v>
      </c>
      <c r="E2178" s="152" t="s">
        <v>2670</v>
      </c>
      <c r="F2178" s="152" t="s">
        <v>1551</v>
      </c>
      <c r="G2178" s="152" t="s">
        <v>2671</v>
      </c>
      <c r="H2178" s="153" t="s">
        <v>216</v>
      </c>
    </row>
    <row r="2179" hidden="1">
      <c r="A2179" s="154" t="s">
        <v>222</v>
      </c>
      <c r="B2179" s="155" t="s">
        <v>192</v>
      </c>
      <c r="C2179" s="155" t="s">
        <v>206</v>
      </c>
      <c r="D2179" s="156" t="s">
        <v>2627</v>
      </c>
      <c r="E2179" s="156" t="s">
        <v>2672</v>
      </c>
      <c r="F2179" s="156" t="s">
        <v>359</v>
      </c>
      <c r="G2179" s="156" t="s">
        <v>1846</v>
      </c>
      <c r="H2179" s="157" t="s">
        <v>210</v>
      </c>
    </row>
    <row r="2180" hidden="1">
      <c r="A2180" s="151" t="s">
        <v>222</v>
      </c>
      <c r="B2180" s="118" t="s">
        <v>192</v>
      </c>
      <c r="C2180" s="118" t="s">
        <v>206</v>
      </c>
      <c r="D2180" s="152" t="s">
        <v>2627</v>
      </c>
      <c r="E2180" s="152" t="s">
        <v>2673</v>
      </c>
      <c r="F2180" s="152" t="s">
        <v>365</v>
      </c>
      <c r="G2180" s="152" t="s">
        <v>2637</v>
      </c>
      <c r="H2180" s="153" t="s">
        <v>211</v>
      </c>
    </row>
    <row r="2181" hidden="1">
      <c r="A2181" s="154" t="s">
        <v>222</v>
      </c>
      <c r="B2181" s="155" t="s">
        <v>192</v>
      </c>
      <c r="C2181" s="155" t="s">
        <v>206</v>
      </c>
      <c r="D2181" s="156" t="s">
        <v>2627</v>
      </c>
      <c r="E2181" s="156" t="s">
        <v>2674</v>
      </c>
      <c r="F2181" s="156" t="s">
        <v>244</v>
      </c>
      <c r="G2181" s="156" t="s">
        <v>2259</v>
      </c>
      <c r="H2181" s="157" t="s">
        <v>212</v>
      </c>
    </row>
    <row r="2182" hidden="1">
      <c r="A2182" s="151" t="s">
        <v>222</v>
      </c>
      <c r="B2182" s="118" t="s">
        <v>192</v>
      </c>
      <c r="C2182" s="118" t="s">
        <v>206</v>
      </c>
      <c r="D2182" s="152" t="s">
        <v>2627</v>
      </c>
      <c r="E2182" s="152" t="s">
        <v>2675</v>
      </c>
      <c r="F2182" s="152" t="s">
        <v>365</v>
      </c>
      <c r="G2182" s="152" t="s">
        <v>1971</v>
      </c>
      <c r="H2182" s="153" t="s">
        <v>213</v>
      </c>
    </row>
    <row r="2183" hidden="1">
      <c r="A2183" s="154" t="s">
        <v>222</v>
      </c>
      <c r="B2183" s="155" t="s">
        <v>192</v>
      </c>
      <c r="C2183" s="155" t="s">
        <v>206</v>
      </c>
      <c r="D2183" s="156" t="s">
        <v>2627</v>
      </c>
      <c r="E2183" s="156" t="s">
        <v>2676</v>
      </c>
      <c r="F2183" s="156" t="s">
        <v>290</v>
      </c>
      <c r="G2183" s="156" t="s">
        <v>2254</v>
      </c>
      <c r="H2183" s="157" t="s">
        <v>214</v>
      </c>
    </row>
    <row r="2184" hidden="1">
      <c r="A2184" s="151" t="s">
        <v>222</v>
      </c>
      <c r="B2184" s="118" t="s">
        <v>192</v>
      </c>
      <c r="C2184" s="118" t="s">
        <v>206</v>
      </c>
      <c r="D2184" s="152" t="s">
        <v>2627</v>
      </c>
      <c r="E2184" s="152" t="s">
        <v>2677</v>
      </c>
      <c r="F2184" s="152" t="s">
        <v>359</v>
      </c>
      <c r="G2184" s="152" t="s">
        <v>2637</v>
      </c>
      <c r="H2184" s="153" t="s">
        <v>215</v>
      </c>
    </row>
    <row r="2185" hidden="1">
      <c r="A2185" s="154" t="s">
        <v>222</v>
      </c>
      <c r="B2185" s="155" t="s">
        <v>192</v>
      </c>
      <c r="C2185" s="155" t="s">
        <v>206</v>
      </c>
      <c r="D2185" s="156" t="s">
        <v>2627</v>
      </c>
      <c r="E2185" s="156" t="s">
        <v>2678</v>
      </c>
      <c r="F2185" s="156" t="s">
        <v>285</v>
      </c>
      <c r="G2185" s="156" t="s">
        <v>1827</v>
      </c>
      <c r="H2185" s="157" t="s">
        <v>216</v>
      </c>
    </row>
    <row r="2186" hidden="1">
      <c r="A2186" s="151" t="s">
        <v>223</v>
      </c>
      <c r="B2186" s="118" t="s">
        <v>144</v>
      </c>
      <c r="C2186" s="118" t="s">
        <v>206</v>
      </c>
      <c r="D2186" s="152" t="s">
        <v>2627</v>
      </c>
      <c r="E2186" s="152" t="s">
        <v>2679</v>
      </c>
      <c r="F2186" s="152" t="s">
        <v>359</v>
      </c>
      <c r="G2186" s="152" t="s">
        <v>2680</v>
      </c>
      <c r="H2186" s="153" t="s">
        <v>210</v>
      </c>
    </row>
    <row r="2187" hidden="1">
      <c r="A2187" s="154" t="s">
        <v>223</v>
      </c>
      <c r="B2187" s="155" t="s">
        <v>144</v>
      </c>
      <c r="C2187" s="155" t="s">
        <v>206</v>
      </c>
      <c r="D2187" s="156" t="s">
        <v>2627</v>
      </c>
      <c r="E2187" s="156" t="s">
        <v>2681</v>
      </c>
      <c r="F2187" s="156" t="s">
        <v>357</v>
      </c>
      <c r="G2187" s="156" t="s">
        <v>2034</v>
      </c>
      <c r="H2187" s="157" t="s">
        <v>211</v>
      </c>
    </row>
    <row r="2188" hidden="1">
      <c r="A2188" s="151" t="s">
        <v>223</v>
      </c>
      <c r="B2188" s="118" t="s">
        <v>144</v>
      </c>
      <c r="C2188" s="118" t="s">
        <v>206</v>
      </c>
      <c r="D2188" s="152" t="s">
        <v>2627</v>
      </c>
      <c r="E2188" s="152" t="s">
        <v>2682</v>
      </c>
      <c r="F2188" s="152" t="s">
        <v>321</v>
      </c>
      <c r="G2188" s="152" t="s">
        <v>1846</v>
      </c>
      <c r="H2188" s="153" t="s">
        <v>212</v>
      </c>
    </row>
    <row r="2189" hidden="1">
      <c r="A2189" s="154" t="s">
        <v>223</v>
      </c>
      <c r="B2189" s="155" t="s">
        <v>144</v>
      </c>
      <c r="C2189" s="155" t="s">
        <v>206</v>
      </c>
      <c r="D2189" s="156" t="s">
        <v>2627</v>
      </c>
      <c r="E2189" s="156" t="s">
        <v>2683</v>
      </c>
      <c r="F2189" s="156" t="s">
        <v>534</v>
      </c>
      <c r="G2189" s="156" t="s">
        <v>1849</v>
      </c>
      <c r="H2189" s="157" t="s">
        <v>213</v>
      </c>
    </row>
    <row r="2190" hidden="1">
      <c r="A2190" s="151" t="s">
        <v>223</v>
      </c>
      <c r="B2190" s="118" t="s">
        <v>144</v>
      </c>
      <c r="C2190" s="118" t="s">
        <v>206</v>
      </c>
      <c r="D2190" s="152" t="s">
        <v>2627</v>
      </c>
      <c r="E2190" s="152" t="s">
        <v>2684</v>
      </c>
      <c r="F2190" s="152" t="s">
        <v>257</v>
      </c>
      <c r="G2190" s="152" t="s">
        <v>2401</v>
      </c>
      <c r="H2190" s="153" t="s">
        <v>214</v>
      </c>
    </row>
    <row r="2191" hidden="1">
      <c r="A2191" s="154" t="s">
        <v>223</v>
      </c>
      <c r="B2191" s="155" t="s">
        <v>144</v>
      </c>
      <c r="C2191" s="155" t="s">
        <v>206</v>
      </c>
      <c r="D2191" s="156" t="s">
        <v>2627</v>
      </c>
      <c r="E2191" s="156" t="s">
        <v>2685</v>
      </c>
      <c r="F2191" s="156" t="s">
        <v>534</v>
      </c>
      <c r="G2191" s="156" t="s">
        <v>2686</v>
      </c>
      <c r="H2191" s="157" t="s">
        <v>215</v>
      </c>
    </row>
    <row r="2192" hidden="1">
      <c r="A2192" s="151" t="s">
        <v>223</v>
      </c>
      <c r="B2192" s="118" t="s">
        <v>144</v>
      </c>
      <c r="C2192" s="118" t="s">
        <v>206</v>
      </c>
      <c r="D2192" s="152" t="s">
        <v>2627</v>
      </c>
      <c r="E2192" s="152" t="s">
        <v>2687</v>
      </c>
      <c r="F2192" s="152" t="s">
        <v>285</v>
      </c>
      <c r="G2192" s="152" t="s">
        <v>2688</v>
      </c>
      <c r="H2192" s="153" t="s">
        <v>216</v>
      </c>
    </row>
    <row r="2193" hidden="1">
      <c r="A2193" s="154" t="s">
        <v>224</v>
      </c>
      <c r="B2193" s="155" t="s">
        <v>170</v>
      </c>
      <c r="C2193" s="155" t="s">
        <v>206</v>
      </c>
      <c r="D2193" s="156" t="s">
        <v>2627</v>
      </c>
      <c r="E2193" s="156" t="s">
        <v>2689</v>
      </c>
      <c r="F2193" s="156" t="s">
        <v>365</v>
      </c>
      <c r="G2193" s="156" t="s">
        <v>2379</v>
      </c>
      <c r="H2193" s="157" t="s">
        <v>210</v>
      </c>
    </row>
    <row r="2194" hidden="1">
      <c r="A2194" s="151" t="s">
        <v>224</v>
      </c>
      <c r="B2194" s="118" t="s">
        <v>170</v>
      </c>
      <c r="C2194" s="118" t="s">
        <v>206</v>
      </c>
      <c r="D2194" s="152" t="s">
        <v>2627</v>
      </c>
      <c r="E2194" s="152" t="s">
        <v>2690</v>
      </c>
      <c r="F2194" s="152" t="s">
        <v>246</v>
      </c>
      <c r="G2194" s="152" t="s">
        <v>1816</v>
      </c>
      <c r="H2194" s="153" t="s">
        <v>211</v>
      </c>
    </row>
    <row r="2195" hidden="1">
      <c r="A2195" s="154" t="s">
        <v>224</v>
      </c>
      <c r="B2195" s="155" t="s">
        <v>170</v>
      </c>
      <c r="C2195" s="155" t="s">
        <v>206</v>
      </c>
      <c r="D2195" s="156" t="s">
        <v>2627</v>
      </c>
      <c r="E2195" s="156" t="s">
        <v>2691</v>
      </c>
      <c r="F2195" s="156" t="s">
        <v>246</v>
      </c>
      <c r="G2195" s="156" t="s">
        <v>2138</v>
      </c>
      <c r="H2195" s="157" t="s">
        <v>212</v>
      </c>
    </row>
    <row r="2196" hidden="1">
      <c r="A2196" s="151" t="s">
        <v>224</v>
      </c>
      <c r="B2196" s="118" t="s">
        <v>170</v>
      </c>
      <c r="C2196" s="118" t="s">
        <v>206</v>
      </c>
      <c r="D2196" s="152" t="s">
        <v>2627</v>
      </c>
      <c r="E2196" s="152" t="s">
        <v>2692</v>
      </c>
      <c r="F2196" s="152" t="s">
        <v>285</v>
      </c>
      <c r="G2196" s="152" t="s">
        <v>2467</v>
      </c>
      <c r="H2196" s="153" t="s">
        <v>213</v>
      </c>
    </row>
    <row r="2197" hidden="1">
      <c r="A2197" s="154" t="s">
        <v>224</v>
      </c>
      <c r="B2197" s="155" t="s">
        <v>170</v>
      </c>
      <c r="C2197" s="155" t="s">
        <v>206</v>
      </c>
      <c r="D2197" s="156" t="s">
        <v>2627</v>
      </c>
      <c r="E2197" s="156" t="s">
        <v>2693</v>
      </c>
      <c r="F2197" s="156" t="s">
        <v>285</v>
      </c>
      <c r="G2197" s="156" t="s">
        <v>2694</v>
      </c>
      <c r="H2197" s="157" t="s">
        <v>214</v>
      </c>
    </row>
    <row r="2198" hidden="1">
      <c r="A2198" s="151" t="s">
        <v>224</v>
      </c>
      <c r="B2198" s="118" t="s">
        <v>170</v>
      </c>
      <c r="C2198" s="118" t="s">
        <v>206</v>
      </c>
      <c r="D2198" s="152" t="s">
        <v>2627</v>
      </c>
      <c r="E2198" s="152" t="s">
        <v>2695</v>
      </c>
      <c r="F2198" s="152" t="s">
        <v>290</v>
      </c>
      <c r="G2198" s="152" t="s">
        <v>1860</v>
      </c>
      <c r="H2198" s="153" t="s">
        <v>215</v>
      </c>
    </row>
    <row r="2199" hidden="1">
      <c r="A2199" s="154" t="s">
        <v>224</v>
      </c>
      <c r="B2199" s="155" t="s">
        <v>170</v>
      </c>
      <c r="C2199" s="155" t="s">
        <v>206</v>
      </c>
      <c r="D2199" s="156" t="s">
        <v>2627</v>
      </c>
      <c r="E2199" s="156" t="s">
        <v>2696</v>
      </c>
      <c r="F2199" s="156" t="s">
        <v>357</v>
      </c>
      <c r="G2199" s="156" t="s">
        <v>2697</v>
      </c>
      <c r="H2199" s="157" t="s">
        <v>216</v>
      </c>
    </row>
    <row r="2200" hidden="1">
      <c r="A2200" s="151" t="s">
        <v>225</v>
      </c>
      <c r="B2200" s="118" t="s">
        <v>226</v>
      </c>
      <c r="C2200" s="118" t="s">
        <v>206</v>
      </c>
      <c r="D2200" s="152" t="s">
        <v>2627</v>
      </c>
      <c r="E2200" s="152" t="s">
        <v>2698</v>
      </c>
      <c r="F2200" s="152" t="s">
        <v>336</v>
      </c>
      <c r="G2200" s="152" t="s">
        <v>1923</v>
      </c>
      <c r="H2200" s="153" t="s">
        <v>210</v>
      </c>
    </row>
    <row r="2201" hidden="1">
      <c r="A2201" s="154" t="s">
        <v>225</v>
      </c>
      <c r="B2201" s="155" t="s">
        <v>226</v>
      </c>
      <c r="C2201" s="155" t="s">
        <v>206</v>
      </c>
      <c r="D2201" s="156" t="s">
        <v>2627</v>
      </c>
      <c r="E2201" s="156" t="s">
        <v>2699</v>
      </c>
      <c r="F2201" s="156" t="s">
        <v>677</v>
      </c>
      <c r="G2201" s="156" t="s">
        <v>2450</v>
      </c>
      <c r="H2201" s="157" t="s">
        <v>211</v>
      </c>
    </row>
    <row r="2202" hidden="1">
      <c r="A2202" s="151" t="s">
        <v>225</v>
      </c>
      <c r="B2202" s="118" t="s">
        <v>226</v>
      </c>
      <c r="C2202" s="118" t="s">
        <v>206</v>
      </c>
      <c r="D2202" s="152" t="s">
        <v>2627</v>
      </c>
      <c r="E2202" s="152" t="s">
        <v>2700</v>
      </c>
      <c r="F2202" s="152" t="s">
        <v>290</v>
      </c>
      <c r="G2202" s="152" t="s">
        <v>2129</v>
      </c>
      <c r="H2202" s="153" t="s">
        <v>212</v>
      </c>
    </row>
    <row r="2203" hidden="1">
      <c r="A2203" s="154" t="s">
        <v>225</v>
      </c>
      <c r="B2203" s="155" t="s">
        <v>226</v>
      </c>
      <c r="C2203" s="155" t="s">
        <v>206</v>
      </c>
      <c r="D2203" s="156" t="s">
        <v>2627</v>
      </c>
      <c r="E2203" s="156" t="s">
        <v>2701</v>
      </c>
      <c r="F2203" s="156" t="s">
        <v>336</v>
      </c>
      <c r="G2203" s="156" t="s">
        <v>2450</v>
      </c>
      <c r="H2203" s="157" t="s">
        <v>213</v>
      </c>
    </row>
    <row r="2204" hidden="1">
      <c r="A2204" s="151" t="s">
        <v>225</v>
      </c>
      <c r="B2204" s="118" t="s">
        <v>226</v>
      </c>
      <c r="C2204" s="118" t="s">
        <v>206</v>
      </c>
      <c r="D2204" s="152" t="s">
        <v>2627</v>
      </c>
      <c r="E2204" s="152" t="s">
        <v>2702</v>
      </c>
      <c r="F2204" s="152" t="s">
        <v>249</v>
      </c>
      <c r="G2204" s="152" t="s">
        <v>2703</v>
      </c>
      <c r="H2204" s="153" t="s">
        <v>214</v>
      </c>
    </row>
    <row r="2205" hidden="1">
      <c r="A2205" s="154" t="s">
        <v>225</v>
      </c>
      <c r="B2205" s="155" t="s">
        <v>226</v>
      </c>
      <c r="C2205" s="155" t="s">
        <v>206</v>
      </c>
      <c r="D2205" s="156" t="s">
        <v>2627</v>
      </c>
      <c r="E2205" s="156" t="s">
        <v>2704</v>
      </c>
      <c r="F2205" s="156" t="s">
        <v>331</v>
      </c>
      <c r="G2205" s="156" t="s">
        <v>2705</v>
      </c>
      <c r="H2205" s="157" t="s">
        <v>215</v>
      </c>
    </row>
    <row r="2206" hidden="1">
      <c r="A2206" s="151" t="s">
        <v>225</v>
      </c>
      <c r="B2206" s="118" t="s">
        <v>226</v>
      </c>
      <c r="C2206" s="118" t="s">
        <v>206</v>
      </c>
      <c r="D2206" s="152" t="s">
        <v>2627</v>
      </c>
      <c r="E2206" s="152" t="s">
        <v>2706</v>
      </c>
      <c r="F2206" s="152" t="s">
        <v>425</v>
      </c>
      <c r="G2206" s="152" t="s">
        <v>1951</v>
      </c>
      <c r="H2206" s="153" t="s">
        <v>216</v>
      </c>
    </row>
    <row r="2207" hidden="1">
      <c r="A2207" s="154" t="s">
        <v>227</v>
      </c>
      <c r="B2207" s="155" t="s">
        <v>195</v>
      </c>
      <c r="C2207" s="155" t="s">
        <v>206</v>
      </c>
      <c r="D2207" s="156" t="s">
        <v>2627</v>
      </c>
      <c r="E2207" s="156" t="s">
        <v>2707</v>
      </c>
      <c r="F2207" s="156" t="s">
        <v>365</v>
      </c>
      <c r="G2207" s="156" t="s">
        <v>1881</v>
      </c>
      <c r="H2207" s="157" t="s">
        <v>210</v>
      </c>
    </row>
    <row r="2208" hidden="1">
      <c r="A2208" s="151" t="s">
        <v>227</v>
      </c>
      <c r="B2208" s="118" t="s">
        <v>195</v>
      </c>
      <c r="C2208" s="118" t="s">
        <v>206</v>
      </c>
      <c r="D2208" s="152" t="s">
        <v>2627</v>
      </c>
      <c r="E2208" s="152" t="s">
        <v>2708</v>
      </c>
      <c r="F2208" s="152" t="s">
        <v>427</v>
      </c>
      <c r="G2208" s="152" t="s">
        <v>635</v>
      </c>
      <c r="H2208" s="153" t="s">
        <v>211</v>
      </c>
    </row>
    <row r="2209" hidden="1">
      <c r="A2209" s="154" t="s">
        <v>227</v>
      </c>
      <c r="B2209" s="155" t="s">
        <v>195</v>
      </c>
      <c r="C2209" s="155" t="s">
        <v>206</v>
      </c>
      <c r="D2209" s="156" t="s">
        <v>2627</v>
      </c>
      <c r="E2209" s="156" t="s">
        <v>2709</v>
      </c>
      <c r="F2209" s="156" t="s">
        <v>331</v>
      </c>
      <c r="G2209" s="156" t="s">
        <v>1827</v>
      </c>
      <c r="H2209" s="157" t="s">
        <v>212</v>
      </c>
    </row>
    <row r="2210" hidden="1">
      <c r="A2210" s="151" t="s">
        <v>227</v>
      </c>
      <c r="B2210" s="118" t="s">
        <v>195</v>
      </c>
      <c r="C2210" s="118" t="s">
        <v>206</v>
      </c>
      <c r="D2210" s="152" t="s">
        <v>2627</v>
      </c>
      <c r="E2210" s="152" t="s">
        <v>2710</v>
      </c>
      <c r="F2210" s="152" t="s">
        <v>374</v>
      </c>
      <c r="G2210" s="152" t="s">
        <v>1810</v>
      </c>
      <c r="H2210" s="153" t="s">
        <v>213</v>
      </c>
    </row>
    <row r="2211" hidden="1">
      <c r="A2211" s="154" t="s">
        <v>227</v>
      </c>
      <c r="B2211" s="155" t="s">
        <v>195</v>
      </c>
      <c r="C2211" s="155" t="s">
        <v>206</v>
      </c>
      <c r="D2211" s="156" t="s">
        <v>2627</v>
      </c>
      <c r="E2211" s="156" t="s">
        <v>2711</v>
      </c>
      <c r="F2211" s="156" t="s">
        <v>321</v>
      </c>
      <c r="G2211" s="156" t="s">
        <v>1755</v>
      </c>
      <c r="H2211" s="157" t="s">
        <v>214</v>
      </c>
    </row>
    <row r="2212" hidden="1">
      <c r="A2212" s="151" t="s">
        <v>227</v>
      </c>
      <c r="B2212" s="118" t="s">
        <v>195</v>
      </c>
      <c r="C2212" s="118" t="s">
        <v>206</v>
      </c>
      <c r="D2212" s="152" t="s">
        <v>2627</v>
      </c>
      <c r="E2212" s="152" t="s">
        <v>2712</v>
      </c>
      <c r="F2212" s="152" t="s">
        <v>290</v>
      </c>
      <c r="G2212" s="152" t="s">
        <v>1979</v>
      </c>
      <c r="H2212" s="153" t="s">
        <v>215</v>
      </c>
    </row>
    <row r="2213" hidden="1">
      <c r="A2213" s="154" t="s">
        <v>227</v>
      </c>
      <c r="B2213" s="155" t="s">
        <v>195</v>
      </c>
      <c r="C2213" s="155" t="s">
        <v>206</v>
      </c>
      <c r="D2213" s="156" t="s">
        <v>2627</v>
      </c>
      <c r="E2213" s="156" t="s">
        <v>2713</v>
      </c>
      <c r="F2213" s="156" t="s">
        <v>321</v>
      </c>
      <c r="G2213" s="156" t="s">
        <v>1727</v>
      </c>
      <c r="H2213" s="157" t="s">
        <v>216</v>
      </c>
    </row>
    <row r="2214" hidden="1">
      <c r="A2214" s="151" t="s">
        <v>228</v>
      </c>
      <c r="B2214" s="118" t="s">
        <v>138</v>
      </c>
      <c r="C2214" s="118" t="s">
        <v>206</v>
      </c>
      <c r="D2214" s="152" t="s">
        <v>2627</v>
      </c>
      <c r="E2214" s="152" t="s">
        <v>2714</v>
      </c>
      <c r="F2214" s="152" t="s">
        <v>276</v>
      </c>
      <c r="G2214" s="152" t="s">
        <v>1841</v>
      </c>
      <c r="H2214" s="153" t="s">
        <v>210</v>
      </c>
    </row>
    <row r="2215" hidden="1">
      <c r="A2215" s="154" t="s">
        <v>228</v>
      </c>
      <c r="B2215" s="155" t="s">
        <v>138</v>
      </c>
      <c r="C2215" s="155" t="s">
        <v>206</v>
      </c>
      <c r="D2215" s="156" t="s">
        <v>2627</v>
      </c>
      <c r="E2215" s="156" t="s">
        <v>2715</v>
      </c>
      <c r="F2215" s="156" t="s">
        <v>365</v>
      </c>
      <c r="G2215" s="156" t="s">
        <v>2716</v>
      </c>
      <c r="H2215" s="157" t="s">
        <v>211</v>
      </c>
    </row>
    <row r="2216" hidden="1">
      <c r="A2216" s="151" t="s">
        <v>228</v>
      </c>
      <c r="B2216" s="118" t="s">
        <v>138</v>
      </c>
      <c r="C2216" s="118" t="s">
        <v>206</v>
      </c>
      <c r="D2216" s="152" t="s">
        <v>2627</v>
      </c>
      <c r="E2216" s="152" t="s">
        <v>2717</v>
      </c>
      <c r="F2216" s="152" t="s">
        <v>458</v>
      </c>
      <c r="G2216" s="152" t="s">
        <v>2718</v>
      </c>
      <c r="H2216" s="153" t="s">
        <v>212</v>
      </c>
    </row>
    <row r="2217" hidden="1">
      <c r="A2217" s="154" t="s">
        <v>228</v>
      </c>
      <c r="B2217" s="155" t="s">
        <v>138</v>
      </c>
      <c r="C2217" s="155" t="s">
        <v>206</v>
      </c>
      <c r="D2217" s="156" t="s">
        <v>2627</v>
      </c>
      <c r="E2217" s="156" t="s">
        <v>2719</v>
      </c>
      <c r="F2217" s="156" t="s">
        <v>298</v>
      </c>
      <c r="G2217" s="156" t="s">
        <v>2557</v>
      </c>
      <c r="H2217" s="157" t="s">
        <v>213</v>
      </c>
    </row>
    <row r="2218" hidden="1">
      <c r="A2218" s="151" t="s">
        <v>228</v>
      </c>
      <c r="B2218" s="118" t="s">
        <v>138</v>
      </c>
      <c r="C2218" s="118" t="s">
        <v>206</v>
      </c>
      <c r="D2218" s="152" t="s">
        <v>2627</v>
      </c>
      <c r="E2218" s="152" t="s">
        <v>2720</v>
      </c>
      <c r="F2218" s="152" t="s">
        <v>298</v>
      </c>
      <c r="G2218" s="152" t="s">
        <v>2142</v>
      </c>
      <c r="H2218" s="153" t="s">
        <v>214</v>
      </c>
    </row>
    <row r="2219" hidden="1">
      <c r="A2219" s="154" t="s">
        <v>228</v>
      </c>
      <c r="B2219" s="155" t="s">
        <v>138</v>
      </c>
      <c r="C2219" s="155" t="s">
        <v>206</v>
      </c>
      <c r="D2219" s="156" t="s">
        <v>2627</v>
      </c>
      <c r="E2219" s="156" t="s">
        <v>2721</v>
      </c>
      <c r="F2219" s="156" t="s">
        <v>374</v>
      </c>
      <c r="G2219" s="156" t="s">
        <v>1818</v>
      </c>
      <c r="H2219" s="157" t="s">
        <v>215</v>
      </c>
    </row>
    <row r="2220" hidden="1">
      <c r="A2220" s="151" t="s">
        <v>228</v>
      </c>
      <c r="B2220" s="118" t="s">
        <v>138</v>
      </c>
      <c r="C2220" s="118" t="s">
        <v>206</v>
      </c>
      <c r="D2220" s="152" t="s">
        <v>2627</v>
      </c>
      <c r="E2220" s="152" t="s">
        <v>2722</v>
      </c>
      <c r="F2220" s="152" t="s">
        <v>259</v>
      </c>
      <c r="G2220" s="152" t="s">
        <v>2060</v>
      </c>
      <c r="H2220" s="153" t="s">
        <v>216</v>
      </c>
    </row>
    <row r="2221" hidden="1">
      <c r="A2221" s="154" t="s">
        <v>229</v>
      </c>
      <c r="B2221" s="155" t="s">
        <v>193</v>
      </c>
      <c r="C2221" s="155" t="s">
        <v>206</v>
      </c>
      <c r="D2221" s="156" t="s">
        <v>2627</v>
      </c>
      <c r="E2221" s="156" t="s">
        <v>2723</v>
      </c>
      <c r="F2221" s="156" t="s">
        <v>323</v>
      </c>
      <c r="G2221" s="156" t="s">
        <v>1852</v>
      </c>
      <c r="H2221" s="157" t="s">
        <v>210</v>
      </c>
    </row>
    <row r="2222" hidden="1">
      <c r="A2222" s="151" t="s">
        <v>229</v>
      </c>
      <c r="B2222" s="118" t="s">
        <v>193</v>
      </c>
      <c r="C2222" s="118" t="s">
        <v>206</v>
      </c>
      <c r="D2222" s="152" t="s">
        <v>2627</v>
      </c>
      <c r="E2222" s="152" t="s">
        <v>2724</v>
      </c>
      <c r="F2222" s="152" t="s">
        <v>305</v>
      </c>
      <c r="G2222" s="152" t="s">
        <v>2530</v>
      </c>
      <c r="H2222" s="153" t="s">
        <v>211</v>
      </c>
    </row>
    <row r="2223" hidden="1">
      <c r="A2223" s="154" t="s">
        <v>229</v>
      </c>
      <c r="B2223" s="155" t="s">
        <v>193</v>
      </c>
      <c r="C2223" s="155" t="s">
        <v>206</v>
      </c>
      <c r="D2223" s="156" t="s">
        <v>2627</v>
      </c>
      <c r="E2223" s="156" t="s">
        <v>2725</v>
      </c>
      <c r="F2223" s="156" t="s">
        <v>331</v>
      </c>
      <c r="G2223" s="156" t="s">
        <v>2075</v>
      </c>
      <c r="H2223" s="157" t="s">
        <v>212</v>
      </c>
    </row>
    <row r="2224" hidden="1">
      <c r="A2224" s="151" t="s">
        <v>229</v>
      </c>
      <c r="B2224" s="118" t="s">
        <v>193</v>
      </c>
      <c r="C2224" s="118" t="s">
        <v>206</v>
      </c>
      <c r="D2224" s="152" t="s">
        <v>2627</v>
      </c>
      <c r="E2224" s="152" t="s">
        <v>2726</v>
      </c>
      <c r="F2224" s="152" t="s">
        <v>287</v>
      </c>
      <c r="G2224" s="152" t="s">
        <v>1743</v>
      </c>
      <c r="H2224" s="153" t="s">
        <v>213</v>
      </c>
    </row>
    <row r="2225" hidden="1">
      <c r="A2225" s="154" t="s">
        <v>229</v>
      </c>
      <c r="B2225" s="155" t="s">
        <v>193</v>
      </c>
      <c r="C2225" s="155" t="s">
        <v>206</v>
      </c>
      <c r="D2225" s="156" t="s">
        <v>2627</v>
      </c>
      <c r="E2225" s="156" t="s">
        <v>2727</v>
      </c>
      <c r="F2225" s="156" t="s">
        <v>257</v>
      </c>
      <c r="G2225" s="156" t="s">
        <v>1818</v>
      </c>
      <c r="H2225" s="157" t="s">
        <v>214</v>
      </c>
    </row>
    <row r="2226" hidden="1">
      <c r="A2226" s="151" t="s">
        <v>229</v>
      </c>
      <c r="B2226" s="118" t="s">
        <v>193</v>
      </c>
      <c r="C2226" s="118" t="s">
        <v>206</v>
      </c>
      <c r="D2226" s="152" t="s">
        <v>2627</v>
      </c>
      <c r="E2226" s="152" t="s">
        <v>2728</v>
      </c>
      <c r="F2226" s="152" t="s">
        <v>257</v>
      </c>
      <c r="G2226" s="152" t="s">
        <v>1818</v>
      </c>
      <c r="H2226" s="153" t="s">
        <v>215</v>
      </c>
    </row>
    <row r="2227" hidden="1">
      <c r="A2227" s="154" t="s">
        <v>229</v>
      </c>
      <c r="B2227" s="155" t="s">
        <v>193</v>
      </c>
      <c r="C2227" s="155" t="s">
        <v>206</v>
      </c>
      <c r="D2227" s="156" t="s">
        <v>2627</v>
      </c>
      <c r="E2227" s="156" t="s">
        <v>2729</v>
      </c>
      <c r="F2227" s="156" t="s">
        <v>314</v>
      </c>
      <c r="G2227" s="156" t="s">
        <v>2730</v>
      </c>
      <c r="H2227" s="157" t="s">
        <v>216</v>
      </c>
    </row>
    <row r="2228" hidden="1">
      <c r="A2228" s="151" t="s">
        <v>230</v>
      </c>
      <c r="B2228" s="118" t="s">
        <v>194</v>
      </c>
      <c r="C2228" s="118" t="s">
        <v>206</v>
      </c>
      <c r="D2228" s="152" t="s">
        <v>2627</v>
      </c>
      <c r="E2228" s="152" t="s">
        <v>2731</v>
      </c>
      <c r="F2228" s="152" t="s">
        <v>257</v>
      </c>
      <c r="G2228" s="152" t="s">
        <v>1894</v>
      </c>
      <c r="H2228" s="153" t="s">
        <v>210</v>
      </c>
    </row>
    <row r="2229" hidden="1">
      <c r="A2229" s="154" t="s">
        <v>230</v>
      </c>
      <c r="B2229" s="155" t="s">
        <v>194</v>
      </c>
      <c r="C2229" s="155" t="s">
        <v>206</v>
      </c>
      <c r="D2229" s="156" t="s">
        <v>2627</v>
      </c>
      <c r="E2229" s="156" t="s">
        <v>2732</v>
      </c>
      <c r="F2229" s="156" t="s">
        <v>314</v>
      </c>
      <c r="G2229" s="156" t="s">
        <v>1899</v>
      </c>
      <c r="H2229" s="157" t="s">
        <v>211</v>
      </c>
    </row>
    <row r="2230" hidden="1">
      <c r="A2230" s="151" t="s">
        <v>230</v>
      </c>
      <c r="B2230" s="118" t="s">
        <v>194</v>
      </c>
      <c r="C2230" s="118" t="s">
        <v>206</v>
      </c>
      <c r="D2230" s="152" t="s">
        <v>2627</v>
      </c>
      <c r="E2230" s="152" t="s">
        <v>2733</v>
      </c>
      <c r="F2230" s="152" t="s">
        <v>365</v>
      </c>
      <c r="G2230" s="152" t="s">
        <v>1875</v>
      </c>
      <c r="H2230" s="153" t="s">
        <v>212</v>
      </c>
    </row>
    <row r="2231" hidden="1">
      <c r="A2231" s="154" t="s">
        <v>230</v>
      </c>
      <c r="B2231" s="155" t="s">
        <v>194</v>
      </c>
      <c r="C2231" s="155" t="s">
        <v>206</v>
      </c>
      <c r="D2231" s="156" t="s">
        <v>2627</v>
      </c>
      <c r="E2231" s="156" t="s">
        <v>2734</v>
      </c>
      <c r="F2231" s="156" t="s">
        <v>285</v>
      </c>
      <c r="G2231" s="156" t="s">
        <v>2735</v>
      </c>
      <c r="H2231" s="157" t="s">
        <v>213</v>
      </c>
    </row>
    <row r="2232" hidden="1">
      <c r="A2232" s="151" t="s">
        <v>230</v>
      </c>
      <c r="B2232" s="118" t="s">
        <v>194</v>
      </c>
      <c r="C2232" s="118" t="s">
        <v>206</v>
      </c>
      <c r="D2232" s="152" t="s">
        <v>2627</v>
      </c>
      <c r="E2232" s="152" t="s">
        <v>2736</v>
      </c>
      <c r="F2232" s="152" t="s">
        <v>321</v>
      </c>
      <c r="G2232" s="152" t="s">
        <v>2126</v>
      </c>
      <c r="H2232" s="153" t="s">
        <v>214</v>
      </c>
    </row>
    <row r="2233" hidden="1">
      <c r="A2233" s="154" t="s">
        <v>230</v>
      </c>
      <c r="B2233" s="155" t="s">
        <v>194</v>
      </c>
      <c r="C2233" s="155" t="s">
        <v>206</v>
      </c>
      <c r="D2233" s="156" t="s">
        <v>2627</v>
      </c>
      <c r="E2233" s="156" t="s">
        <v>2737</v>
      </c>
      <c r="F2233" s="156" t="s">
        <v>365</v>
      </c>
      <c r="G2233" s="156" t="s">
        <v>1739</v>
      </c>
      <c r="H2233" s="157" t="s">
        <v>215</v>
      </c>
    </row>
    <row r="2234" hidden="1">
      <c r="A2234" s="151" t="s">
        <v>230</v>
      </c>
      <c r="B2234" s="118" t="s">
        <v>194</v>
      </c>
      <c r="C2234" s="118" t="s">
        <v>206</v>
      </c>
      <c r="D2234" s="152" t="s">
        <v>2627</v>
      </c>
      <c r="E2234" s="152" t="s">
        <v>2738</v>
      </c>
      <c r="F2234" s="152" t="s">
        <v>365</v>
      </c>
      <c r="G2234" s="152" t="s">
        <v>1916</v>
      </c>
      <c r="H2234" s="153" t="s">
        <v>216</v>
      </c>
    </row>
    <row r="2235" hidden="1">
      <c r="A2235" s="158" t="s">
        <v>231</v>
      </c>
      <c r="B2235" s="159"/>
      <c r="C2235" s="155" t="s">
        <v>232</v>
      </c>
      <c r="D2235" s="156" t="s">
        <v>2627</v>
      </c>
      <c r="E2235" s="156" t="s">
        <v>2739</v>
      </c>
      <c r="F2235" s="156" t="s">
        <v>310</v>
      </c>
      <c r="G2235" s="156" t="s">
        <v>1916</v>
      </c>
      <c r="H2235" s="157" t="s">
        <v>210</v>
      </c>
    </row>
    <row r="2236" hidden="1">
      <c r="A2236" s="160" t="s">
        <v>231</v>
      </c>
      <c r="B2236" s="72"/>
      <c r="C2236" s="118" t="s">
        <v>232</v>
      </c>
      <c r="D2236" s="152" t="s">
        <v>2627</v>
      </c>
      <c r="E2236" s="152" t="s">
        <v>2740</v>
      </c>
      <c r="F2236" s="152" t="s">
        <v>285</v>
      </c>
      <c r="G2236" s="152" t="s">
        <v>1778</v>
      </c>
      <c r="H2236" s="153" t="s">
        <v>211</v>
      </c>
    </row>
    <row r="2237" hidden="1">
      <c r="A2237" s="158" t="s">
        <v>231</v>
      </c>
      <c r="B2237" s="159"/>
      <c r="C2237" s="155" t="s">
        <v>232</v>
      </c>
      <c r="D2237" s="156" t="s">
        <v>2627</v>
      </c>
      <c r="E2237" s="156" t="s">
        <v>2741</v>
      </c>
      <c r="F2237" s="156" t="s">
        <v>314</v>
      </c>
      <c r="G2237" s="156" t="s">
        <v>2343</v>
      </c>
      <c r="H2237" s="157" t="s">
        <v>212</v>
      </c>
    </row>
    <row r="2238" hidden="1">
      <c r="A2238" s="160" t="s">
        <v>231</v>
      </c>
      <c r="B2238" s="72"/>
      <c r="C2238" s="118" t="s">
        <v>232</v>
      </c>
      <c r="D2238" s="152" t="s">
        <v>2627</v>
      </c>
      <c r="E2238" s="152" t="s">
        <v>2742</v>
      </c>
      <c r="F2238" s="152" t="s">
        <v>285</v>
      </c>
      <c r="G2238" s="152" t="s">
        <v>2011</v>
      </c>
      <c r="H2238" s="153" t="s">
        <v>213</v>
      </c>
    </row>
    <row r="2239" hidden="1">
      <c r="A2239" s="158" t="s">
        <v>231</v>
      </c>
      <c r="B2239" s="159"/>
      <c r="C2239" s="155" t="s">
        <v>232</v>
      </c>
      <c r="D2239" s="156" t="s">
        <v>2627</v>
      </c>
      <c r="E2239" s="156" t="s">
        <v>2743</v>
      </c>
      <c r="F2239" s="156" t="s">
        <v>301</v>
      </c>
      <c r="G2239" s="156" t="s">
        <v>1765</v>
      </c>
      <c r="H2239" s="157" t="s">
        <v>214</v>
      </c>
    </row>
    <row r="2240" hidden="1">
      <c r="A2240" s="160" t="s">
        <v>231</v>
      </c>
      <c r="B2240" s="72"/>
      <c r="C2240" s="118" t="s">
        <v>232</v>
      </c>
      <c r="D2240" s="152" t="s">
        <v>2627</v>
      </c>
      <c r="E2240" s="152" t="s">
        <v>2744</v>
      </c>
      <c r="F2240" s="152" t="s">
        <v>257</v>
      </c>
      <c r="G2240" s="152" t="s">
        <v>2745</v>
      </c>
      <c r="H2240" s="153" t="s">
        <v>215</v>
      </c>
    </row>
    <row r="2241" hidden="1">
      <c r="A2241" s="158" t="s">
        <v>231</v>
      </c>
      <c r="B2241" s="159"/>
      <c r="C2241" s="155" t="s">
        <v>232</v>
      </c>
      <c r="D2241" s="156" t="s">
        <v>2627</v>
      </c>
      <c r="E2241" s="156" t="s">
        <v>2746</v>
      </c>
      <c r="F2241" s="156" t="s">
        <v>321</v>
      </c>
      <c r="G2241" s="156" t="s">
        <v>2437</v>
      </c>
      <c r="H2241" s="157" t="s">
        <v>216</v>
      </c>
    </row>
    <row r="2242" hidden="1">
      <c r="A2242" s="160" t="s">
        <v>233</v>
      </c>
      <c r="B2242" s="72"/>
      <c r="C2242" s="118" t="s">
        <v>232</v>
      </c>
      <c r="D2242" s="152" t="s">
        <v>2627</v>
      </c>
      <c r="E2242" s="152" t="s">
        <v>2747</v>
      </c>
      <c r="F2242" s="152" t="s">
        <v>249</v>
      </c>
      <c r="G2242" s="152" t="s">
        <v>2331</v>
      </c>
      <c r="H2242" s="153" t="s">
        <v>210</v>
      </c>
    </row>
    <row r="2243" hidden="1">
      <c r="A2243" s="158" t="s">
        <v>233</v>
      </c>
      <c r="B2243" s="159"/>
      <c r="C2243" s="155" t="s">
        <v>232</v>
      </c>
      <c r="D2243" s="156" t="s">
        <v>2627</v>
      </c>
      <c r="E2243" s="156" t="s">
        <v>2748</v>
      </c>
      <c r="F2243" s="156" t="s">
        <v>290</v>
      </c>
      <c r="G2243" s="156" t="s">
        <v>1846</v>
      </c>
      <c r="H2243" s="157" t="s">
        <v>211</v>
      </c>
    </row>
    <row r="2244" hidden="1">
      <c r="A2244" s="160" t="s">
        <v>233</v>
      </c>
      <c r="B2244" s="72"/>
      <c r="C2244" s="118" t="s">
        <v>232</v>
      </c>
      <c r="D2244" s="152" t="s">
        <v>2627</v>
      </c>
      <c r="E2244" s="152" t="s">
        <v>2749</v>
      </c>
      <c r="F2244" s="152" t="s">
        <v>310</v>
      </c>
      <c r="G2244" s="152" t="s">
        <v>1906</v>
      </c>
      <c r="H2244" s="153" t="s">
        <v>212</v>
      </c>
    </row>
    <row r="2245" hidden="1">
      <c r="A2245" s="158" t="s">
        <v>233</v>
      </c>
      <c r="B2245" s="159"/>
      <c r="C2245" s="155" t="s">
        <v>232</v>
      </c>
      <c r="D2245" s="156" t="s">
        <v>2627</v>
      </c>
      <c r="E2245" s="156" t="s">
        <v>2750</v>
      </c>
      <c r="F2245" s="156" t="s">
        <v>314</v>
      </c>
      <c r="G2245" s="156" t="s">
        <v>2254</v>
      </c>
      <c r="H2245" s="157" t="s">
        <v>213</v>
      </c>
    </row>
    <row r="2246" hidden="1">
      <c r="A2246" s="160" t="s">
        <v>233</v>
      </c>
      <c r="B2246" s="72"/>
      <c r="C2246" s="118" t="s">
        <v>232</v>
      </c>
      <c r="D2246" s="152" t="s">
        <v>2627</v>
      </c>
      <c r="E2246" s="152" t="s">
        <v>2751</v>
      </c>
      <c r="F2246" s="152" t="s">
        <v>359</v>
      </c>
      <c r="G2246" s="152" t="s">
        <v>2051</v>
      </c>
      <c r="H2246" s="153" t="s">
        <v>214</v>
      </c>
    </row>
    <row r="2247" hidden="1">
      <c r="A2247" s="158" t="s">
        <v>233</v>
      </c>
      <c r="B2247" s="159"/>
      <c r="C2247" s="155" t="s">
        <v>232</v>
      </c>
      <c r="D2247" s="156" t="s">
        <v>2627</v>
      </c>
      <c r="E2247" s="156" t="s">
        <v>2752</v>
      </c>
      <c r="F2247" s="156" t="s">
        <v>314</v>
      </c>
      <c r="G2247" s="156" t="s">
        <v>2091</v>
      </c>
      <c r="H2247" s="157" t="s">
        <v>215</v>
      </c>
    </row>
    <row r="2248" hidden="1">
      <c r="A2248" s="160" t="s">
        <v>233</v>
      </c>
      <c r="B2248" s="72"/>
      <c r="C2248" s="118" t="s">
        <v>232</v>
      </c>
      <c r="D2248" s="152" t="s">
        <v>2627</v>
      </c>
      <c r="E2248" s="152" t="s">
        <v>2753</v>
      </c>
      <c r="F2248" s="152" t="s">
        <v>308</v>
      </c>
      <c r="G2248" s="152" t="s">
        <v>1846</v>
      </c>
      <c r="H2248" s="153" t="s">
        <v>216</v>
      </c>
    </row>
    <row r="2249" hidden="1">
      <c r="A2249" s="158" t="s">
        <v>234</v>
      </c>
      <c r="B2249" s="159"/>
      <c r="C2249" s="155" t="s">
        <v>232</v>
      </c>
      <c r="D2249" s="156" t="s">
        <v>2627</v>
      </c>
      <c r="E2249" s="156" t="s">
        <v>2754</v>
      </c>
      <c r="F2249" s="156" t="s">
        <v>279</v>
      </c>
      <c r="G2249" s="156" t="s">
        <v>2405</v>
      </c>
      <c r="H2249" s="157" t="s">
        <v>210</v>
      </c>
    </row>
    <row r="2250" hidden="1">
      <c r="A2250" s="160" t="s">
        <v>234</v>
      </c>
      <c r="B2250" s="72"/>
      <c r="C2250" s="118" t="s">
        <v>232</v>
      </c>
      <c r="D2250" s="152" t="s">
        <v>2627</v>
      </c>
      <c r="E2250" s="152" t="s">
        <v>2755</v>
      </c>
      <c r="F2250" s="152" t="s">
        <v>298</v>
      </c>
      <c r="G2250" s="152" t="s">
        <v>2609</v>
      </c>
      <c r="H2250" s="153" t="s">
        <v>211</v>
      </c>
    </row>
    <row r="2251" hidden="1">
      <c r="A2251" s="158" t="s">
        <v>234</v>
      </c>
      <c r="B2251" s="159"/>
      <c r="C2251" s="155" t="s">
        <v>232</v>
      </c>
      <c r="D2251" s="156" t="s">
        <v>2627</v>
      </c>
      <c r="E2251" s="156" t="s">
        <v>2756</v>
      </c>
      <c r="F2251" s="156" t="s">
        <v>259</v>
      </c>
      <c r="G2251" s="156" t="s">
        <v>2455</v>
      </c>
      <c r="H2251" s="157" t="s">
        <v>212</v>
      </c>
    </row>
    <row r="2252" hidden="1">
      <c r="A2252" s="160" t="s">
        <v>234</v>
      </c>
      <c r="B2252" s="72"/>
      <c r="C2252" s="118" t="s">
        <v>232</v>
      </c>
      <c r="D2252" s="152" t="s">
        <v>2627</v>
      </c>
      <c r="E2252" s="152" t="s">
        <v>2757</v>
      </c>
      <c r="F2252" s="152" t="s">
        <v>323</v>
      </c>
      <c r="G2252" s="152" t="s">
        <v>2758</v>
      </c>
      <c r="H2252" s="153" t="s">
        <v>213</v>
      </c>
    </row>
    <row r="2253" hidden="1">
      <c r="A2253" s="158" t="s">
        <v>234</v>
      </c>
      <c r="B2253" s="159"/>
      <c r="C2253" s="155" t="s">
        <v>232</v>
      </c>
      <c r="D2253" s="156" t="s">
        <v>2627</v>
      </c>
      <c r="E2253" s="156" t="s">
        <v>2759</v>
      </c>
      <c r="F2253" s="156" t="s">
        <v>374</v>
      </c>
      <c r="G2253" s="156" t="s">
        <v>2760</v>
      </c>
      <c r="H2253" s="157" t="s">
        <v>214</v>
      </c>
    </row>
    <row r="2254" hidden="1">
      <c r="A2254" s="160" t="s">
        <v>234</v>
      </c>
      <c r="B2254" s="72"/>
      <c r="C2254" s="118" t="s">
        <v>232</v>
      </c>
      <c r="D2254" s="152" t="s">
        <v>2627</v>
      </c>
      <c r="E2254" s="152" t="s">
        <v>2761</v>
      </c>
      <c r="F2254" s="152" t="s">
        <v>269</v>
      </c>
      <c r="G2254" s="152" t="s">
        <v>2762</v>
      </c>
      <c r="H2254" s="153" t="s">
        <v>215</v>
      </c>
    </row>
    <row r="2255" hidden="1">
      <c r="A2255" s="158" t="s">
        <v>234</v>
      </c>
      <c r="B2255" s="159"/>
      <c r="C2255" s="155" t="s">
        <v>232</v>
      </c>
      <c r="D2255" s="156" t="s">
        <v>2627</v>
      </c>
      <c r="E2255" s="156" t="s">
        <v>2763</v>
      </c>
      <c r="F2255" s="156" t="s">
        <v>298</v>
      </c>
      <c r="G2255" s="156" t="s">
        <v>2393</v>
      </c>
      <c r="H2255" s="157" t="s">
        <v>216</v>
      </c>
    </row>
    <row r="2256" hidden="1">
      <c r="A2256" s="160" t="s">
        <v>235</v>
      </c>
      <c r="B2256" s="72"/>
      <c r="C2256" s="118" t="s">
        <v>236</v>
      </c>
      <c r="D2256" s="152" t="s">
        <v>2627</v>
      </c>
      <c r="E2256" s="152" t="s">
        <v>2764</v>
      </c>
      <c r="F2256" s="152" t="s">
        <v>290</v>
      </c>
      <c r="G2256" s="152" t="s">
        <v>1759</v>
      </c>
      <c r="H2256" s="153" t="s">
        <v>210</v>
      </c>
    </row>
    <row r="2257" hidden="1">
      <c r="A2257" s="158" t="s">
        <v>235</v>
      </c>
      <c r="B2257" s="159"/>
      <c r="C2257" s="155" t="s">
        <v>236</v>
      </c>
      <c r="D2257" s="156" t="s">
        <v>2627</v>
      </c>
      <c r="E2257" s="156" t="s">
        <v>2765</v>
      </c>
      <c r="F2257" s="156" t="s">
        <v>321</v>
      </c>
      <c r="G2257" s="156" t="s">
        <v>2321</v>
      </c>
      <c r="H2257" s="157" t="s">
        <v>211</v>
      </c>
    </row>
    <row r="2258" hidden="1">
      <c r="A2258" s="160" t="s">
        <v>235</v>
      </c>
      <c r="B2258" s="72"/>
      <c r="C2258" s="118" t="s">
        <v>236</v>
      </c>
      <c r="D2258" s="152" t="s">
        <v>2627</v>
      </c>
      <c r="E2258" s="152" t="s">
        <v>2766</v>
      </c>
      <c r="F2258" s="152" t="s">
        <v>290</v>
      </c>
      <c r="G2258" s="152" t="s">
        <v>1825</v>
      </c>
      <c r="H2258" s="153" t="s">
        <v>212</v>
      </c>
    </row>
    <row r="2259" hidden="1">
      <c r="A2259" s="158" t="s">
        <v>235</v>
      </c>
      <c r="B2259" s="159"/>
      <c r="C2259" s="155" t="s">
        <v>236</v>
      </c>
      <c r="D2259" s="156" t="s">
        <v>2627</v>
      </c>
      <c r="E2259" s="156" t="s">
        <v>2767</v>
      </c>
      <c r="F2259" s="156" t="s">
        <v>308</v>
      </c>
      <c r="G2259" s="156" t="s">
        <v>1906</v>
      </c>
      <c r="H2259" s="157" t="s">
        <v>213</v>
      </c>
    </row>
    <row r="2260" hidden="1">
      <c r="A2260" s="160" t="s">
        <v>235</v>
      </c>
      <c r="B2260" s="72"/>
      <c r="C2260" s="118" t="s">
        <v>236</v>
      </c>
      <c r="D2260" s="152" t="s">
        <v>2627</v>
      </c>
      <c r="E2260" s="152" t="s">
        <v>2768</v>
      </c>
      <c r="F2260" s="152" t="s">
        <v>314</v>
      </c>
      <c r="G2260" s="152" t="s">
        <v>1825</v>
      </c>
      <c r="H2260" s="153" t="s">
        <v>214</v>
      </c>
    </row>
    <row r="2261" hidden="1">
      <c r="A2261" s="158" t="s">
        <v>235</v>
      </c>
      <c r="B2261" s="159"/>
      <c r="C2261" s="155" t="s">
        <v>236</v>
      </c>
      <c r="D2261" s="156" t="s">
        <v>2627</v>
      </c>
      <c r="E2261" s="156" t="s">
        <v>2769</v>
      </c>
      <c r="F2261" s="156" t="s">
        <v>314</v>
      </c>
      <c r="G2261" s="156" t="s">
        <v>1899</v>
      </c>
      <c r="H2261" s="157" t="s">
        <v>215</v>
      </c>
    </row>
    <row r="2262" hidden="1">
      <c r="A2262" s="160" t="s">
        <v>235</v>
      </c>
      <c r="B2262" s="72"/>
      <c r="C2262" s="118" t="s">
        <v>236</v>
      </c>
      <c r="D2262" s="152" t="s">
        <v>2627</v>
      </c>
      <c r="E2262" s="152" t="s">
        <v>2770</v>
      </c>
      <c r="F2262" s="152" t="s">
        <v>308</v>
      </c>
      <c r="G2262" s="152" t="s">
        <v>1899</v>
      </c>
      <c r="H2262" s="153" t="s">
        <v>216</v>
      </c>
    </row>
    <row r="2263" hidden="1">
      <c r="A2263" s="158" t="s">
        <v>237</v>
      </c>
      <c r="B2263" s="159"/>
      <c r="C2263" s="155" t="s">
        <v>236</v>
      </c>
      <c r="D2263" s="156" t="s">
        <v>2627</v>
      </c>
      <c r="E2263" s="156" t="s">
        <v>2771</v>
      </c>
      <c r="F2263" s="156" t="s">
        <v>492</v>
      </c>
      <c r="G2263" s="156" t="s">
        <v>2413</v>
      </c>
      <c r="H2263" s="157" t="s">
        <v>210</v>
      </c>
    </row>
    <row r="2264" hidden="1">
      <c r="A2264" s="160" t="s">
        <v>237</v>
      </c>
      <c r="B2264" s="72"/>
      <c r="C2264" s="118" t="s">
        <v>236</v>
      </c>
      <c r="D2264" s="152" t="s">
        <v>2627</v>
      </c>
      <c r="E2264" s="152" t="s">
        <v>2772</v>
      </c>
      <c r="F2264" s="152" t="s">
        <v>246</v>
      </c>
      <c r="G2264" s="152" t="s">
        <v>2134</v>
      </c>
      <c r="H2264" s="153" t="s">
        <v>211</v>
      </c>
    </row>
    <row r="2265" hidden="1">
      <c r="A2265" s="158" t="s">
        <v>237</v>
      </c>
      <c r="B2265" s="159"/>
      <c r="C2265" s="155" t="s">
        <v>236</v>
      </c>
      <c r="D2265" s="156" t="s">
        <v>2627</v>
      </c>
      <c r="E2265" s="156" t="s">
        <v>2773</v>
      </c>
      <c r="F2265" s="156" t="s">
        <v>257</v>
      </c>
      <c r="G2265" s="156" t="s">
        <v>2467</v>
      </c>
      <c r="H2265" s="157" t="s">
        <v>212</v>
      </c>
    </row>
    <row r="2266" hidden="1">
      <c r="A2266" s="160" t="s">
        <v>237</v>
      </c>
      <c r="B2266" s="72"/>
      <c r="C2266" s="118" t="s">
        <v>236</v>
      </c>
      <c r="D2266" s="152" t="s">
        <v>2627</v>
      </c>
      <c r="E2266" s="152" t="s">
        <v>2774</v>
      </c>
      <c r="F2266" s="152" t="s">
        <v>287</v>
      </c>
      <c r="G2266" s="152" t="s">
        <v>2385</v>
      </c>
      <c r="H2266" s="153" t="s">
        <v>213</v>
      </c>
    </row>
    <row r="2267" hidden="1">
      <c r="A2267" s="158" t="s">
        <v>237</v>
      </c>
      <c r="B2267" s="159"/>
      <c r="C2267" s="155" t="s">
        <v>236</v>
      </c>
      <c r="D2267" s="156" t="s">
        <v>2627</v>
      </c>
      <c r="E2267" s="156" t="s">
        <v>2775</v>
      </c>
      <c r="F2267" s="156" t="s">
        <v>492</v>
      </c>
      <c r="G2267" s="156" t="s">
        <v>2216</v>
      </c>
      <c r="H2267" s="157" t="s">
        <v>214</v>
      </c>
    </row>
    <row r="2268" hidden="1">
      <c r="A2268" s="160" t="s">
        <v>237</v>
      </c>
      <c r="B2268" s="72"/>
      <c r="C2268" s="118" t="s">
        <v>236</v>
      </c>
      <c r="D2268" s="152" t="s">
        <v>2627</v>
      </c>
      <c r="E2268" s="152" t="s">
        <v>2776</v>
      </c>
      <c r="F2268" s="152" t="s">
        <v>301</v>
      </c>
      <c r="G2268" s="152" t="s">
        <v>2777</v>
      </c>
      <c r="H2268" s="153" t="s">
        <v>215</v>
      </c>
    </row>
    <row r="2269" hidden="1">
      <c r="A2269" s="158" t="s">
        <v>237</v>
      </c>
      <c r="B2269" s="159"/>
      <c r="C2269" s="155" t="s">
        <v>236</v>
      </c>
      <c r="D2269" s="156" t="s">
        <v>2627</v>
      </c>
      <c r="E2269" s="156" t="s">
        <v>2778</v>
      </c>
      <c r="F2269" s="156" t="s">
        <v>301</v>
      </c>
      <c r="G2269" s="156" t="s">
        <v>2779</v>
      </c>
      <c r="H2269" s="157" t="s">
        <v>216</v>
      </c>
    </row>
    <row r="2270" hidden="1">
      <c r="A2270" s="151" t="s">
        <v>204</v>
      </c>
      <c r="B2270" s="118" t="s">
        <v>205</v>
      </c>
      <c r="C2270" s="118" t="s">
        <v>206</v>
      </c>
      <c r="D2270" s="152" t="s">
        <v>2780</v>
      </c>
      <c r="E2270" s="152" t="s">
        <v>2781</v>
      </c>
      <c r="F2270" s="152" t="s">
        <v>425</v>
      </c>
      <c r="G2270" s="152" t="s">
        <v>2557</v>
      </c>
      <c r="H2270" s="153" t="s">
        <v>210</v>
      </c>
    </row>
    <row r="2271" hidden="1">
      <c r="A2271" s="154" t="s">
        <v>204</v>
      </c>
      <c r="B2271" s="155" t="s">
        <v>205</v>
      </c>
      <c r="C2271" s="155" t="s">
        <v>206</v>
      </c>
      <c r="D2271" s="156" t="s">
        <v>2780</v>
      </c>
      <c r="E2271" s="156" t="s">
        <v>2782</v>
      </c>
      <c r="F2271" s="156" t="s">
        <v>450</v>
      </c>
      <c r="G2271" s="156" t="s">
        <v>2697</v>
      </c>
      <c r="H2271" s="157" t="s">
        <v>211</v>
      </c>
    </row>
    <row r="2272" hidden="1">
      <c r="A2272" s="151" t="s">
        <v>204</v>
      </c>
      <c r="B2272" s="118" t="s">
        <v>205</v>
      </c>
      <c r="C2272" s="118" t="s">
        <v>206</v>
      </c>
      <c r="D2272" s="152" t="s">
        <v>2780</v>
      </c>
      <c r="E2272" s="152" t="s">
        <v>2783</v>
      </c>
      <c r="F2272" s="152" t="s">
        <v>310</v>
      </c>
      <c r="G2272" s="152" t="s">
        <v>2366</v>
      </c>
      <c r="H2272" s="153" t="s">
        <v>212</v>
      </c>
    </row>
    <row r="2273" hidden="1">
      <c r="A2273" s="154" t="s">
        <v>204</v>
      </c>
      <c r="B2273" s="155" t="s">
        <v>205</v>
      </c>
      <c r="C2273" s="155" t="s">
        <v>206</v>
      </c>
      <c r="D2273" s="156" t="s">
        <v>2780</v>
      </c>
      <c r="E2273" s="156" t="s">
        <v>2784</v>
      </c>
      <c r="F2273" s="156" t="s">
        <v>339</v>
      </c>
      <c r="G2273" s="156" t="s">
        <v>2785</v>
      </c>
      <c r="H2273" s="157" t="s">
        <v>213</v>
      </c>
    </row>
    <row r="2274" hidden="1">
      <c r="A2274" s="151" t="s">
        <v>204</v>
      </c>
      <c r="B2274" s="118" t="s">
        <v>205</v>
      </c>
      <c r="C2274" s="118" t="s">
        <v>206</v>
      </c>
      <c r="D2274" s="152" t="s">
        <v>2780</v>
      </c>
      <c r="E2274" s="152" t="s">
        <v>2786</v>
      </c>
      <c r="F2274" s="152" t="s">
        <v>336</v>
      </c>
      <c r="G2274" s="152" t="s">
        <v>2557</v>
      </c>
      <c r="H2274" s="153" t="s">
        <v>214</v>
      </c>
    </row>
    <row r="2275" hidden="1">
      <c r="A2275" s="154" t="s">
        <v>204</v>
      </c>
      <c r="B2275" s="155" t="s">
        <v>205</v>
      </c>
      <c r="C2275" s="155" t="s">
        <v>206</v>
      </c>
      <c r="D2275" s="156" t="s">
        <v>2780</v>
      </c>
      <c r="E2275" s="156" t="s">
        <v>2787</v>
      </c>
      <c r="F2275" s="156" t="s">
        <v>351</v>
      </c>
      <c r="G2275" s="156" t="s">
        <v>2539</v>
      </c>
      <c r="H2275" s="157" t="s">
        <v>215</v>
      </c>
    </row>
    <row r="2276" hidden="1">
      <c r="A2276" s="151" t="s">
        <v>204</v>
      </c>
      <c r="B2276" s="118" t="s">
        <v>205</v>
      </c>
      <c r="C2276" s="118" t="s">
        <v>206</v>
      </c>
      <c r="D2276" s="152" t="s">
        <v>2780</v>
      </c>
      <c r="E2276" s="152" t="s">
        <v>2788</v>
      </c>
      <c r="F2276" s="152" t="s">
        <v>450</v>
      </c>
      <c r="G2276" s="152" t="s">
        <v>2557</v>
      </c>
      <c r="H2276" s="153" t="s">
        <v>216</v>
      </c>
    </row>
    <row r="2277" hidden="1">
      <c r="A2277" s="154" t="s">
        <v>217</v>
      </c>
      <c r="B2277" s="155" t="s">
        <v>191</v>
      </c>
      <c r="C2277" s="155" t="s">
        <v>206</v>
      </c>
      <c r="D2277" s="156" t="s">
        <v>2780</v>
      </c>
      <c r="E2277" s="156" t="s">
        <v>2789</v>
      </c>
      <c r="F2277" s="156" t="s">
        <v>312</v>
      </c>
      <c r="G2277" s="156" t="s">
        <v>2790</v>
      </c>
      <c r="H2277" s="157" t="s">
        <v>210</v>
      </c>
    </row>
    <row r="2278" hidden="1">
      <c r="A2278" s="151" t="s">
        <v>217</v>
      </c>
      <c r="B2278" s="118" t="s">
        <v>191</v>
      </c>
      <c r="C2278" s="118" t="s">
        <v>206</v>
      </c>
      <c r="D2278" s="152" t="s">
        <v>2780</v>
      </c>
      <c r="E2278" s="152" t="s">
        <v>2791</v>
      </c>
      <c r="F2278" s="152" t="s">
        <v>673</v>
      </c>
      <c r="G2278" s="152" t="s">
        <v>2790</v>
      </c>
      <c r="H2278" s="153" t="s">
        <v>211</v>
      </c>
    </row>
    <row r="2279" hidden="1">
      <c r="A2279" s="154" t="s">
        <v>217</v>
      </c>
      <c r="B2279" s="155" t="s">
        <v>191</v>
      </c>
      <c r="C2279" s="155" t="s">
        <v>206</v>
      </c>
      <c r="D2279" s="156" t="s">
        <v>2780</v>
      </c>
      <c r="E2279" s="156" t="s">
        <v>2792</v>
      </c>
      <c r="F2279" s="156" t="s">
        <v>483</v>
      </c>
      <c r="G2279" s="156" t="s">
        <v>2142</v>
      </c>
      <c r="H2279" s="157" t="s">
        <v>212</v>
      </c>
    </row>
    <row r="2280" hidden="1">
      <c r="A2280" s="151" t="s">
        <v>217</v>
      </c>
      <c r="B2280" s="118" t="s">
        <v>191</v>
      </c>
      <c r="C2280" s="118" t="s">
        <v>206</v>
      </c>
      <c r="D2280" s="152" t="s">
        <v>2780</v>
      </c>
      <c r="E2280" s="152" t="s">
        <v>2793</v>
      </c>
      <c r="F2280" s="152" t="s">
        <v>453</v>
      </c>
      <c r="G2280" s="152" t="s">
        <v>1820</v>
      </c>
      <c r="H2280" s="153" t="s">
        <v>213</v>
      </c>
    </row>
    <row r="2281" hidden="1">
      <c r="A2281" s="154" t="s">
        <v>217</v>
      </c>
      <c r="B2281" s="155" t="s">
        <v>191</v>
      </c>
      <c r="C2281" s="155" t="s">
        <v>206</v>
      </c>
      <c r="D2281" s="156" t="s">
        <v>2780</v>
      </c>
      <c r="E2281" s="156" t="s">
        <v>2794</v>
      </c>
      <c r="F2281" s="156" t="s">
        <v>448</v>
      </c>
      <c r="G2281" s="156" t="s">
        <v>2025</v>
      </c>
      <c r="H2281" s="157" t="s">
        <v>214</v>
      </c>
    </row>
    <row r="2282" hidden="1">
      <c r="A2282" s="151" t="s">
        <v>217</v>
      </c>
      <c r="B2282" s="118" t="s">
        <v>191</v>
      </c>
      <c r="C2282" s="118" t="s">
        <v>206</v>
      </c>
      <c r="D2282" s="152" t="s">
        <v>2780</v>
      </c>
      <c r="E2282" s="152" t="s">
        <v>2795</v>
      </c>
      <c r="F2282" s="152" t="s">
        <v>725</v>
      </c>
      <c r="G2282" s="152" t="s">
        <v>1729</v>
      </c>
      <c r="H2282" s="153" t="s">
        <v>215</v>
      </c>
    </row>
    <row r="2283" hidden="1">
      <c r="A2283" s="154" t="s">
        <v>217</v>
      </c>
      <c r="B2283" s="155" t="s">
        <v>191</v>
      </c>
      <c r="C2283" s="155" t="s">
        <v>206</v>
      </c>
      <c r="D2283" s="156" t="s">
        <v>2780</v>
      </c>
      <c r="E2283" s="156" t="s">
        <v>2796</v>
      </c>
      <c r="F2283" s="156" t="s">
        <v>532</v>
      </c>
      <c r="G2283" s="156" t="s">
        <v>2401</v>
      </c>
      <c r="H2283" s="157" t="s">
        <v>216</v>
      </c>
    </row>
    <row r="2284" hidden="1">
      <c r="A2284" s="151" t="s">
        <v>218</v>
      </c>
      <c r="B2284" s="118" t="s">
        <v>219</v>
      </c>
      <c r="C2284" s="118" t="s">
        <v>206</v>
      </c>
      <c r="D2284" s="152" t="s">
        <v>2780</v>
      </c>
      <c r="E2284" s="152" t="s">
        <v>2797</v>
      </c>
      <c r="F2284" s="152" t="s">
        <v>301</v>
      </c>
      <c r="G2284" s="152" t="s">
        <v>1877</v>
      </c>
      <c r="H2284" s="153" t="s">
        <v>210</v>
      </c>
    </row>
    <row r="2285" hidden="1">
      <c r="A2285" s="154" t="s">
        <v>218</v>
      </c>
      <c r="B2285" s="155" t="s">
        <v>219</v>
      </c>
      <c r="C2285" s="155" t="s">
        <v>206</v>
      </c>
      <c r="D2285" s="156" t="s">
        <v>2780</v>
      </c>
      <c r="E2285" s="156" t="s">
        <v>2798</v>
      </c>
      <c r="F2285" s="156" t="s">
        <v>374</v>
      </c>
      <c r="G2285" s="156" t="s">
        <v>1889</v>
      </c>
      <c r="H2285" s="157" t="s">
        <v>211</v>
      </c>
    </row>
    <row r="2286" hidden="1">
      <c r="A2286" s="151" t="s">
        <v>218</v>
      </c>
      <c r="B2286" s="118" t="s">
        <v>219</v>
      </c>
      <c r="C2286" s="118" t="s">
        <v>206</v>
      </c>
      <c r="D2286" s="152" t="s">
        <v>2780</v>
      </c>
      <c r="E2286" s="152" t="s">
        <v>2799</v>
      </c>
      <c r="F2286" s="152" t="s">
        <v>255</v>
      </c>
      <c r="G2286" s="152" t="s">
        <v>1743</v>
      </c>
      <c r="H2286" s="153" t="s">
        <v>212</v>
      </c>
    </row>
    <row r="2287" hidden="1">
      <c r="A2287" s="154" t="s">
        <v>218</v>
      </c>
      <c r="B2287" s="155" t="s">
        <v>219</v>
      </c>
      <c r="C2287" s="155" t="s">
        <v>206</v>
      </c>
      <c r="D2287" s="156" t="s">
        <v>2780</v>
      </c>
      <c r="E2287" s="156" t="s">
        <v>2800</v>
      </c>
      <c r="F2287" s="156" t="s">
        <v>259</v>
      </c>
      <c r="G2287" s="156" t="s">
        <v>2126</v>
      </c>
      <c r="H2287" s="157" t="s">
        <v>213</v>
      </c>
    </row>
    <row r="2288" hidden="1">
      <c r="A2288" s="151" t="s">
        <v>218</v>
      </c>
      <c r="B2288" s="118" t="s">
        <v>219</v>
      </c>
      <c r="C2288" s="118" t="s">
        <v>206</v>
      </c>
      <c r="D2288" s="152" t="s">
        <v>2780</v>
      </c>
      <c r="E2288" s="152" t="s">
        <v>2801</v>
      </c>
      <c r="F2288" s="152" t="s">
        <v>259</v>
      </c>
      <c r="G2288" s="152" t="s">
        <v>1877</v>
      </c>
      <c r="H2288" s="153" t="s">
        <v>214</v>
      </c>
    </row>
    <row r="2289" hidden="1">
      <c r="A2289" s="154" t="s">
        <v>218</v>
      </c>
      <c r="B2289" s="155" t="s">
        <v>219</v>
      </c>
      <c r="C2289" s="155" t="s">
        <v>206</v>
      </c>
      <c r="D2289" s="156" t="s">
        <v>2780</v>
      </c>
      <c r="E2289" s="156" t="s">
        <v>2802</v>
      </c>
      <c r="F2289" s="156" t="s">
        <v>374</v>
      </c>
      <c r="G2289" s="156" t="s">
        <v>2735</v>
      </c>
      <c r="H2289" s="157" t="s">
        <v>215</v>
      </c>
    </row>
    <row r="2290" hidden="1">
      <c r="A2290" s="151" t="s">
        <v>218</v>
      </c>
      <c r="B2290" s="118" t="s">
        <v>219</v>
      </c>
      <c r="C2290" s="118" t="s">
        <v>206</v>
      </c>
      <c r="D2290" s="152" t="s">
        <v>2780</v>
      </c>
      <c r="E2290" s="152" t="s">
        <v>2803</v>
      </c>
      <c r="F2290" s="152" t="s">
        <v>259</v>
      </c>
      <c r="G2290" s="152" t="s">
        <v>1883</v>
      </c>
      <c r="H2290" s="153" t="s">
        <v>216</v>
      </c>
    </row>
    <row r="2291" hidden="1">
      <c r="A2291" s="154" t="s">
        <v>220</v>
      </c>
      <c r="B2291" s="155" t="s">
        <v>190</v>
      </c>
      <c r="C2291" s="155" t="s">
        <v>206</v>
      </c>
      <c r="D2291" s="156" t="s">
        <v>2780</v>
      </c>
      <c r="E2291" s="156" t="s">
        <v>2804</v>
      </c>
      <c r="F2291" s="156" t="s">
        <v>323</v>
      </c>
      <c r="G2291" s="156" t="s">
        <v>2296</v>
      </c>
      <c r="H2291" s="157" t="s">
        <v>210</v>
      </c>
    </row>
    <row r="2292" hidden="1">
      <c r="A2292" s="151" t="s">
        <v>220</v>
      </c>
      <c r="B2292" s="118" t="s">
        <v>190</v>
      </c>
      <c r="C2292" s="118" t="s">
        <v>206</v>
      </c>
      <c r="D2292" s="152" t="s">
        <v>2780</v>
      </c>
      <c r="E2292" s="152" t="s">
        <v>2805</v>
      </c>
      <c r="F2292" s="152" t="s">
        <v>365</v>
      </c>
      <c r="G2292" s="152" t="s">
        <v>2296</v>
      </c>
      <c r="H2292" s="153" t="s">
        <v>211</v>
      </c>
    </row>
    <row r="2293" hidden="1">
      <c r="A2293" s="154" t="s">
        <v>220</v>
      </c>
      <c r="B2293" s="155" t="s">
        <v>190</v>
      </c>
      <c r="C2293" s="155" t="s">
        <v>206</v>
      </c>
      <c r="D2293" s="156" t="s">
        <v>2780</v>
      </c>
      <c r="E2293" s="156" t="s">
        <v>2806</v>
      </c>
      <c r="F2293" s="156" t="s">
        <v>287</v>
      </c>
      <c r="G2293" s="156" t="s">
        <v>2807</v>
      </c>
      <c r="H2293" s="157" t="s">
        <v>212</v>
      </c>
    </row>
    <row r="2294" hidden="1">
      <c r="A2294" s="151" t="s">
        <v>220</v>
      </c>
      <c r="B2294" s="118" t="s">
        <v>190</v>
      </c>
      <c r="C2294" s="118" t="s">
        <v>206</v>
      </c>
      <c r="D2294" s="152" t="s">
        <v>2780</v>
      </c>
      <c r="E2294" s="152" t="s">
        <v>2808</v>
      </c>
      <c r="F2294" s="152" t="s">
        <v>246</v>
      </c>
      <c r="G2294" s="152" t="s">
        <v>1983</v>
      </c>
      <c r="H2294" s="153" t="s">
        <v>213</v>
      </c>
    </row>
    <row r="2295" hidden="1">
      <c r="A2295" s="154" t="s">
        <v>220</v>
      </c>
      <c r="B2295" s="155" t="s">
        <v>190</v>
      </c>
      <c r="C2295" s="155" t="s">
        <v>206</v>
      </c>
      <c r="D2295" s="156" t="s">
        <v>2780</v>
      </c>
      <c r="E2295" s="156" t="s">
        <v>2809</v>
      </c>
      <c r="F2295" s="156" t="s">
        <v>374</v>
      </c>
      <c r="G2295" s="156" t="s">
        <v>2013</v>
      </c>
      <c r="H2295" s="157" t="s">
        <v>214</v>
      </c>
    </row>
    <row r="2296" hidden="1">
      <c r="A2296" s="151" t="s">
        <v>220</v>
      </c>
      <c r="B2296" s="118" t="s">
        <v>190</v>
      </c>
      <c r="C2296" s="118" t="s">
        <v>206</v>
      </c>
      <c r="D2296" s="152" t="s">
        <v>2780</v>
      </c>
      <c r="E2296" s="152" t="s">
        <v>2810</v>
      </c>
      <c r="F2296" s="152" t="s">
        <v>287</v>
      </c>
      <c r="G2296" s="152" t="s">
        <v>1822</v>
      </c>
      <c r="H2296" s="153" t="s">
        <v>215</v>
      </c>
    </row>
    <row r="2297" hidden="1">
      <c r="A2297" s="154" t="s">
        <v>220</v>
      </c>
      <c r="B2297" s="155" t="s">
        <v>190</v>
      </c>
      <c r="C2297" s="155" t="s">
        <v>206</v>
      </c>
      <c r="D2297" s="156" t="s">
        <v>2780</v>
      </c>
      <c r="E2297" s="156" t="s">
        <v>2811</v>
      </c>
      <c r="F2297" s="156" t="s">
        <v>357</v>
      </c>
      <c r="G2297" s="156" t="s">
        <v>2812</v>
      </c>
      <c r="H2297" s="157" t="s">
        <v>216</v>
      </c>
    </row>
    <row r="2298" hidden="1">
      <c r="A2298" s="151" t="s">
        <v>221</v>
      </c>
      <c r="B2298" s="118" t="s">
        <v>189</v>
      </c>
      <c r="C2298" s="118" t="s">
        <v>206</v>
      </c>
      <c r="D2298" s="152" t="s">
        <v>2780</v>
      </c>
      <c r="E2298" s="152" t="s">
        <v>2813</v>
      </c>
      <c r="F2298" s="152" t="s">
        <v>425</v>
      </c>
      <c r="G2298" s="152" t="s">
        <v>2814</v>
      </c>
      <c r="H2298" s="153" t="s">
        <v>210</v>
      </c>
    </row>
    <row r="2299" hidden="1">
      <c r="A2299" s="154" t="s">
        <v>221</v>
      </c>
      <c r="B2299" s="155" t="s">
        <v>189</v>
      </c>
      <c r="C2299" s="155" t="s">
        <v>206</v>
      </c>
      <c r="D2299" s="156" t="s">
        <v>2780</v>
      </c>
      <c r="E2299" s="156" t="s">
        <v>2815</v>
      </c>
      <c r="F2299" s="156" t="s">
        <v>244</v>
      </c>
      <c r="G2299" s="156" t="s">
        <v>2816</v>
      </c>
      <c r="H2299" s="157" t="s">
        <v>211</v>
      </c>
    </row>
    <row r="2300" hidden="1">
      <c r="A2300" s="151" t="s">
        <v>221</v>
      </c>
      <c r="B2300" s="118" t="s">
        <v>189</v>
      </c>
      <c r="C2300" s="118" t="s">
        <v>206</v>
      </c>
      <c r="D2300" s="152" t="s">
        <v>2780</v>
      </c>
      <c r="E2300" s="152" t="s">
        <v>2817</v>
      </c>
      <c r="F2300" s="152" t="s">
        <v>357</v>
      </c>
      <c r="G2300" s="152" t="s">
        <v>2818</v>
      </c>
      <c r="H2300" s="153" t="s">
        <v>212</v>
      </c>
    </row>
    <row r="2301" hidden="1">
      <c r="A2301" s="154" t="s">
        <v>221</v>
      </c>
      <c r="B2301" s="155" t="s">
        <v>189</v>
      </c>
      <c r="C2301" s="155" t="s">
        <v>206</v>
      </c>
      <c r="D2301" s="156" t="s">
        <v>2780</v>
      </c>
      <c r="E2301" s="156" t="s">
        <v>2819</v>
      </c>
      <c r="F2301" s="156" t="s">
        <v>357</v>
      </c>
      <c r="G2301" s="156" t="s">
        <v>2820</v>
      </c>
      <c r="H2301" s="157" t="s">
        <v>213</v>
      </c>
    </row>
    <row r="2302" hidden="1">
      <c r="A2302" s="151" t="s">
        <v>221</v>
      </c>
      <c r="B2302" s="118" t="s">
        <v>189</v>
      </c>
      <c r="C2302" s="118" t="s">
        <v>206</v>
      </c>
      <c r="D2302" s="152" t="s">
        <v>2780</v>
      </c>
      <c r="E2302" s="152" t="s">
        <v>2821</v>
      </c>
      <c r="F2302" s="152" t="s">
        <v>244</v>
      </c>
      <c r="G2302" s="152" t="s">
        <v>2822</v>
      </c>
      <c r="H2302" s="153" t="s">
        <v>214</v>
      </c>
    </row>
    <row r="2303" hidden="1">
      <c r="A2303" s="154" t="s">
        <v>221</v>
      </c>
      <c r="B2303" s="155" t="s">
        <v>189</v>
      </c>
      <c r="C2303" s="155" t="s">
        <v>206</v>
      </c>
      <c r="D2303" s="156" t="s">
        <v>2780</v>
      </c>
      <c r="E2303" s="156" t="s">
        <v>2823</v>
      </c>
      <c r="F2303" s="156" t="s">
        <v>298</v>
      </c>
      <c r="G2303" s="156" t="s">
        <v>2824</v>
      </c>
      <c r="H2303" s="157" t="s">
        <v>215</v>
      </c>
    </row>
    <row r="2304" hidden="1">
      <c r="A2304" s="151" t="s">
        <v>221</v>
      </c>
      <c r="B2304" s="118" t="s">
        <v>189</v>
      </c>
      <c r="C2304" s="118" t="s">
        <v>206</v>
      </c>
      <c r="D2304" s="152" t="s">
        <v>2780</v>
      </c>
      <c r="E2304" s="152" t="s">
        <v>2825</v>
      </c>
      <c r="F2304" s="152" t="s">
        <v>308</v>
      </c>
      <c r="G2304" s="152" t="s">
        <v>2826</v>
      </c>
      <c r="H2304" s="153" t="s">
        <v>216</v>
      </c>
    </row>
    <row r="2305" hidden="1">
      <c r="A2305" s="154" t="s">
        <v>222</v>
      </c>
      <c r="B2305" s="155" t="s">
        <v>192</v>
      </c>
      <c r="C2305" s="155" t="s">
        <v>206</v>
      </c>
      <c r="D2305" s="156" t="s">
        <v>2780</v>
      </c>
      <c r="E2305" s="156" t="s">
        <v>2827</v>
      </c>
      <c r="F2305" s="156" t="s">
        <v>425</v>
      </c>
      <c r="G2305" s="156" t="s">
        <v>2688</v>
      </c>
      <c r="H2305" s="157" t="s">
        <v>210</v>
      </c>
    </row>
    <row r="2306" hidden="1">
      <c r="A2306" s="151" t="s">
        <v>222</v>
      </c>
      <c r="B2306" s="118" t="s">
        <v>192</v>
      </c>
      <c r="C2306" s="118" t="s">
        <v>206</v>
      </c>
      <c r="D2306" s="152" t="s">
        <v>2780</v>
      </c>
      <c r="E2306" s="152" t="s">
        <v>2828</v>
      </c>
      <c r="F2306" s="152" t="s">
        <v>799</v>
      </c>
      <c r="G2306" s="152" t="s">
        <v>2680</v>
      </c>
      <c r="H2306" s="153" t="s">
        <v>211</v>
      </c>
    </row>
    <row r="2307" hidden="1">
      <c r="A2307" s="154" t="s">
        <v>222</v>
      </c>
      <c r="B2307" s="155" t="s">
        <v>192</v>
      </c>
      <c r="C2307" s="155" t="s">
        <v>206</v>
      </c>
      <c r="D2307" s="156" t="s">
        <v>2780</v>
      </c>
      <c r="E2307" s="156" t="s">
        <v>2829</v>
      </c>
      <c r="F2307" s="156" t="s">
        <v>427</v>
      </c>
      <c r="G2307" s="156" t="s">
        <v>2037</v>
      </c>
      <c r="H2307" s="157" t="s">
        <v>212</v>
      </c>
    </row>
    <row r="2308" hidden="1">
      <c r="A2308" s="151" t="s">
        <v>222</v>
      </c>
      <c r="B2308" s="118" t="s">
        <v>192</v>
      </c>
      <c r="C2308" s="118" t="s">
        <v>206</v>
      </c>
      <c r="D2308" s="152" t="s">
        <v>2780</v>
      </c>
      <c r="E2308" s="152" t="s">
        <v>2830</v>
      </c>
      <c r="F2308" s="152" t="s">
        <v>339</v>
      </c>
      <c r="G2308" s="152" t="s">
        <v>1733</v>
      </c>
      <c r="H2308" s="153" t="s">
        <v>213</v>
      </c>
    </row>
    <row r="2309" hidden="1">
      <c r="A2309" s="154" t="s">
        <v>222</v>
      </c>
      <c r="B2309" s="155" t="s">
        <v>192</v>
      </c>
      <c r="C2309" s="155" t="s">
        <v>206</v>
      </c>
      <c r="D2309" s="156" t="s">
        <v>2780</v>
      </c>
      <c r="E2309" s="156" t="s">
        <v>2831</v>
      </c>
      <c r="F2309" s="156" t="s">
        <v>725</v>
      </c>
      <c r="G2309" s="156" t="s">
        <v>2633</v>
      </c>
      <c r="H2309" s="157" t="s">
        <v>214</v>
      </c>
    </row>
    <row r="2310" hidden="1">
      <c r="A2310" s="151" t="s">
        <v>222</v>
      </c>
      <c r="B2310" s="118" t="s">
        <v>192</v>
      </c>
      <c r="C2310" s="118" t="s">
        <v>206</v>
      </c>
      <c r="D2310" s="152" t="s">
        <v>2780</v>
      </c>
      <c r="E2310" s="152" t="s">
        <v>2832</v>
      </c>
      <c r="F2310" s="152" t="s">
        <v>478</v>
      </c>
      <c r="G2310" s="152" t="s">
        <v>2146</v>
      </c>
      <c r="H2310" s="153" t="s">
        <v>215</v>
      </c>
    </row>
    <row r="2311" hidden="1">
      <c r="A2311" s="154" t="s">
        <v>222</v>
      </c>
      <c r="B2311" s="155" t="s">
        <v>192</v>
      </c>
      <c r="C2311" s="155" t="s">
        <v>206</v>
      </c>
      <c r="D2311" s="156" t="s">
        <v>2780</v>
      </c>
      <c r="E2311" s="156" t="s">
        <v>2833</v>
      </c>
      <c r="F2311" s="156" t="s">
        <v>483</v>
      </c>
      <c r="G2311" s="156" t="s">
        <v>2366</v>
      </c>
      <c r="H2311" s="157" t="s">
        <v>216</v>
      </c>
    </row>
    <row r="2312" hidden="1">
      <c r="A2312" s="151" t="s">
        <v>223</v>
      </c>
      <c r="B2312" s="118" t="s">
        <v>144</v>
      </c>
      <c r="C2312" s="118" t="s">
        <v>206</v>
      </c>
      <c r="D2312" s="152" t="s">
        <v>2780</v>
      </c>
      <c r="E2312" s="152" t="s">
        <v>2834</v>
      </c>
      <c r="F2312" s="152" t="s">
        <v>577</v>
      </c>
      <c r="G2312" s="152" t="s">
        <v>1868</v>
      </c>
      <c r="H2312" s="153" t="s">
        <v>210</v>
      </c>
    </row>
    <row r="2313" hidden="1">
      <c r="A2313" s="154" t="s">
        <v>223</v>
      </c>
      <c r="B2313" s="155" t="s">
        <v>144</v>
      </c>
      <c r="C2313" s="155" t="s">
        <v>206</v>
      </c>
      <c r="D2313" s="156" t="s">
        <v>2780</v>
      </c>
      <c r="E2313" s="156" t="s">
        <v>2835</v>
      </c>
      <c r="F2313" s="156" t="s">
        <v>325</v>
      </c>
      <c r="G2313" s="156" t="s">
        <v>1856</v>
      </c>
      <c r="H2313" s="157" t="s">
        <v>211</v>
      </c>
    </row>
    <row r="2314" hidden="1">
      <c r="A2314" s="151" t="s">
        <v>223</v>
      </c>
      <c r="B2314" s="118" t="s">
        <v>144</v>
      </c>
      <c r="C2314" s="118" t="s">
        <v>206</v>
      </c>
      <c r="D2314" s="152" t="s">
        <v>2780</v>
      </c>
      <c r="E2314" s="152" t="s">
        <v>2836</v>
      </c>
      <c r="F2314" s="152" t="s">
        <v>453</v>
      </c>
      <c r="G2314" s="152" t="s">
        <v>2025</v>
      </c>
      <c r="H2314" s="153" t="s">
        <v>212</v>
      </c>
    </row>
    <row r="2315" hidden="1">
      <c r="A2315" s="154" t="s">
        <v>223</v>
      </c>
      <c r="B2315" s="155" t="s">
        <v>144</v>
      </c>
      <c r="C2315" s="155" t="s">
        <v>206</v>
      </c>
      <c r="D2315" s="156" t="s">
        <v>2780</v>
      </c>
      <c r="E2315" s="156" t="s">
        <v>2837</v>
      </c>
      <c r="F2315" s="156" t="s">
        <v>310</v>
      </c>
      <c r="G2315" s="156" t="s">
        <v>2838</v>
      </c>
      <c r="H2315" s="157" t="s">
        <v>213</v>
      </c>
    </row>
    <row r="2316" hidden="1">
      <c r="A2316" s="151" t="s">
        <v>223</v>
      </c>
      <c r="B2316" s="118" t="s">
        <v>144</v>
      </c>
      <c r="C2316" s="118" t="s">
        <v>206</v>
      </c>
      <c r="D2316" s="152" t="s">
        <v>2780</v>
      </c>
      <c r="E2316" s="152" t="s">
        <v>2839</v>
      </c>
      <c r="F2316" s="152" t="s">
        <v>450</v>
      </c>
      <c r="G2316" s="152" t="s">
        <v>1856</v>
      </c>
      <c r="H2316" s="153" t="s">
        <v>214</v>
      </c>
    </row>
    <row r="2317" hidden="1">
      <c r="A2317" s="154" t="s">
        <v>223</v>
      </c>
      <c r="B2317" s="155" t="s">
        <v>144</v>
      </c>
      <c r="C2317" s="155" t="s">
        <v>206</v>
      </c>
      <c r="D2317" s="156" t="s">
        <v>2780</v>
      </c>
      <c r="E2317" s="156" t="s">
        <v>2840</v>
      </c>
      <c r="F2317" s="156" t="s">
        <v>425</v>
      </c>
      <c r="G2317" s="156" t="s">
        <v>1856</v>
      </c>
      <c r="H2317" s="157" t="s">
        <v>215</v>
      </c>
    </row>
    <row r="2318" hidden="1">
      <c r="A2318" s="151" t="s">
        <v>223</v>
      </c>
      <c r="B2318" s="118" t="s">
        <v>144</v>
      </c>
      <c r="C2318" s="118" t="s">
        <v>206</v>
      </c>
      <c r="D2318" s="152" t="s">
        <v>2780</v>
      </c>
      <c r="E2318" s="152" t="s">
        <v>2841</v>
      </c>
      <c r="F2318" s="152" t="s">
        <v>354</v>
      </c>
      <c r="G2318" s="152" t="s">
        <v>1816</v>
      </c>
      <c r="H2318" s="153" t="s">
        <v>216</v>
      </c>
    </row>
    <row r="2319" hidden="1">
      <c r="A2319" s="154" t="s">
        <v>224</v>
      </c>
      <c r="B2319" s="155" t="s">
        <v>170</v>
      </c>
      <c r="C2319" s="155" t="s">
        <v>206</v>
      </c>
      <c r="D2319" s="156" t="s">
        <v>2780</v>
      </c>
      <c r="E2319" s="156" t="s">
        <v>2842</v>
      </c>
      <c r="F2319" s="156" t="s">
        <v>1929</v>
      </c>
      <c r="G2319" s="156" t="s">
        <v>1918</v>
      </c>
      <c r="H2319" s="157" t="s">
        <v>210</v>
      </c>
    </row>
    <row r="2320" hidden="1">
      <c r="A2320" s="151" t="s">
        <v>224</v>
      </c>
      <c r="B2320" s="118" t="s">
        <v>170</v>
      </c>
      <c r="C2320" s="118" t="s">
        <v>206</v>
      </c>
      <c r="D2320" s="152" t="s">
        <v>2780</v>
      </c>
      <c r="E2320" s="152" t="s">
        <v>2843</v>
      </c>
      <c r="F2320" s="152" t="s">
        <v>735</v>
      </c>
      <c r="G2320" s="152" t="s">
        <v>2221</v>
      </c>
      <c r="H2320" s="153" t="s">
        <v>211</v>
      </c>
    </row>
    <row r="2321" hidden="1">
      <c r="A2321" s="154" t="s">
        <v>224</v>
      </c>
      <c r="B2321" s="155" t="s">
        <v>170</v>
      </c>
      <c r="C2321" s="155" t="s">
        <v>206</v>
      </c>
      <c r="D2321" s="156" t="s">
        <v>2780</v>
      </c>
      <c r="E2321" s="156" t="s">
        <v>2844</v>
      </c>
      <c r="F2321" s="156" t="s">
        <v>725</v>
      </c>
      <c r="G2321" s="156" t="s">
        <v>2845</v>
      </c>
      <c r="H2321" s="157" t="s">
        <v>212</v>
      </c>
    </row>
    <row r="2322" hidden="1">
      <c r="A2322" s="151" t="s">
        <v>224</v>
      </c>
      <c r="B2322" s="118" t="s">
        <v>170</v>
      </c>
      <c r="C2322" s="118" t="s">
        <v>206</v>
      </c>
      <c r="D2322" s="152" t="s">
        <v>2780</v>
      </c>
      <c r="E2322" s="152" t="s">
        <v>2846</v>
      </c>
      <c r="F2322" s="152" t="s">
        <v>312</v>
      </c>
      <c r="G2322" s="152" t="s">
        <v>2847</v>
      </c>
      <c r="H2322" s="153" t="s">
        <v>213</v>
      </c>
    </row>
    <row r="2323" hidden="1">
      <c r="A2323" s="154" t="s">
        <v>224</v>
      </c>
      <c r="B2323" s="155" t="s">
        <v>170</v>
      </c>
      <c r="C2323" s="155" t="s">
        <v>206</v>
      </c>
      <c r="D2323" s="156" t="s">
        <v>2780</v>
      </c>
      <c r="E2323" s="156" t="s">
        <v>2848</v>
      </c>
      <c r="F2323" s="156" t="s">
        <v>494</v>
      </c>
      <c r="G2323" s="156" t="s">
        <v>2777</v>
      </c>
      <c r="H2323" s="157" t="s">
        <v>214</v>
      </c>
    </row>
    <row r="2324" hidden="1">
      <c r="A2324" s="151" t="s">
        <v>224</v>
      </c>
      <c r="B2324" s="118" t="s">
        <v>170</v>
      </c>
      <c r="C2324" s="118" t="s">
        <v>206</v>
      </c>
      <c r="D2324" s="152" t="s">
        <v>2780</v>
      </c>
      <c r="E2324" s="152" t="s">
        <v>2849</v>
      </c>
      <c r="F2324" s="152" t="s">
        <v>405</v>
      </c>
      <c r="G2324" s="152" t="s">
        <v>2287</v>
      </c>
      <c r="H2324" s="153" t="s">
        <v>215</v>
      </c>
    </row>
    <row r="2325" hidden="1">
      <c r="A2325" s="154" t="s">
        <v>224</v>
      </c>
      <c r="B2325" s="155" t="s">
        <v>170</v>
      </c>
      <c r="C2325" s="155" t="s">
        <v>206</v>
      </c>
      <c r="D2325" s="156" t="s">
        <v>2780</v>
      </c>
      <c r="E2325" s="156" t="s">
        <v>2850</v>
      </c>
      <c r="F2325" s="156" t="s">
        <v>735</v>
      </c>
      <c r="G2325" s="156" t="s">
        <v>2600</v>
      </c>
      <c r="H2325" s="157" t="s">
        <v>216</v>
      </c>
    </row>
    <row r="2326" hidden="1">
      <c r="A2326" s="151" t="s">
        <v>225</v>
      </c>
      <c r="B2326" s="118" t="s">
        <v>226</v>
      </c>
      <c r="C2326" s="118" t="s">
        <v>206</v>
      </c>
      <c r="D2326" s="152" t="s">
        <v>2780</v>
      </c>
      <c r="E2326" s="152" t="s">
        <v>2851</v>
      </c>
      <c r="F2326" s="152" t="s">
        <v>458</v>
      </c>
      <c r="G2326" s="152" t="s">
        <v>2852</v>
      </c>
      <c r="H2326" s="153" t="s">
        <v>210</v>
      </c>
    </row>
    <row r="2327" hidden="1">
      <c r="A2327" s="154" t="s">
        <v>225</v>
      </c>
      <c r="B2327" s="155" t="s">
        <v>226</v>
      </c>
      <c r="C2327" s="155" t="s">
        <v>206</v>
      </c>
      <c r="D2327" s="156" t="s">
        <v>2780</v>
      </c>
      <c r="E2327" s="156" t="s">
        <v>2853</v>
      </c>
      <c r="F2327" s="156" t="s">
        <v>298</v>
      </c>
      <c r="G2327" s="156" t="s">
        <v>2307</v>
      </c>
      <c r="H2327" s="157" t="s">
        <v>211</v>
      </c>
    </row>
    <row r="2328" hidden="1">
      <c r="A2328" s="151" t="s">
        <v>225</v>
      </c>
      <c r="B2328" s="118" t="s">
        <v>226</v>
      </c>
      <c r="C2328" s="118" t="s">
        <v>206</v>
      </c>
      <c r="D2328" s="152" t="s">
        <v>2780</v>
      </c>
      <c r="E2328" s="152" t="s">
        <v>2854</v>
      </c>
      <c r="F2328" s="152" t="s">
        <v>374</v>
      </c>
      <c r="G2328" s="152" t="s">
        <v>1942</v>
      </c>
      <c r="H2328" s="153" t="s">
        <v>212</v>
      </c>
    </row>
    <row r="2329" hidden="1">
      <c r="A2329" s="154" t="s">
        <v>225</v>
      </c>
      <c r="B2329" s="155" t="s">
        <v>226</v>
      </c>
      <c r="C2329" s="155" t="s">
        <v>206</v>
      </c>
      <c r="D2329" s="156" t="s">
        <v>2780</v>
      </c>
      <c r="E2329" s="156" t="s">
        <v>2855</v>
      </c>
      <c r="F2329" s="156" t="s">
        <v>262</v>
      </c>
      <c r="G2329" s="156" t="s">
        <v>2289</v>
      </c>
      <c r="H2329" s="157" t="s">
        <v>213</v>
      </c>
    </row>
    <row r="2330" hidden="1">
      <c r="A2330" s="151" t="s">
        <v>225</v>
      </c>
      <c r="B2330" s="118" t="s">
        <v>226</v>
      </c>
      <c r="C2330" s="118" t="s">
        <v>206</v>
      </c>
      <c r="D2330" s="152" t="s">
        <v>2780</v>
      </c>
      <c r="E2330" s="152" t="s">
        <v>2856</v>
      </c>
      <c r="F2330" s="152" t="s">
        <v>262</v>
      </c>
      <c r="G2330" s="152" t="s">
        <v>2043</v>
      </c>
      <c r="H2330" s="153" t="s">
        <v>214</v>
      </c>
    </row>
    <row r="2331" hidden="1">
      <c r="A2331" s="154" t="s">
        <v>225</v>
      </c>
      <c r="B2331" s="155" t="s">
        <v>226</v>
      </c>
      <c r="C2331" s="155" t="s">
        <v>206</v>
      </c>
      <c r="D2331" s="156" t="s">
        <v>2780</v>
      </c>
      <c r="E2331" s="156" t="s">
        <v>2857</v>
      </c>
      <c r="F2331" s="156" t="s">
        <v>255</v>
      </c>
      <c r="G2331" s="156" t="s">
        <v>2567</v>
      </c>
      <c r="H2331" s="157" t="s">
        <v>215</v>
      </c>
    </row>
    <row r="2332" hidden="1">
      <c r="A2332" s="151" t="s">
        <v>225</v>
      </c>
      <c r="B2332" s="118" t="s">
        <v>226</v>
      </c>
      <c r="C2332" s="118" t="s">
        <v>206</v>
      </c>
      <c r="D2332" s="152" t="s">
        <v>2780</v>
      </c>
      <c r="E2332" s="152" t="s">
        <v>2858</v>
      </c>
      <c r="F2332" s="152" t="s">
        <v>298</v>
      </c>
      <c r="G2332" s="152" t="s">
        <v>2859</v>
      </c>
      <c r="H2332" s="153" t="s">
        <v>216</v>
      </c>
    </row>
    <row r="2333" hidden="1">
      <c r="A2333" s="154" t="s">
        <v>227</v>
      </c>
      <c r="B2333" s="155" t="s">
        <v>195</v>
      </c>
      <c r="C2333" s="155" t="s">
        <v>206</v>
      </c>
      <c r="D2333" s="156" t="s">
        <v>2780</v>
      </c>
      <c r="E2333" s="156" t="s">
        <v>2860</v>
      </c>
      <c r="F2333" s="156" t="s">
        <v>425</v>
      </c>
      <c r="G2333" s="156" t="s">
        <v>1896</v>
      </c>
      <c r="H2333" s="157" t="s">
        <v>210</v>
      </c>
    </row>
    <row r="2334" hidden="1">
      <c r="A2334" s="151" t="s">
        <v>227</v>
      </c>
      <c r="B2334" s="118" t="s">
        <v>195</v>
      </c>
      <c r="C2334" s="118" t="s">
        <v>206</v>
      </c>
      <c r="D2334" s="152" t="s">
        <v>2780</v>
      </c>
      <c r="E2334" s="152" t="s">
        <v>2861</v>
      </c>
      <c r="F2334" s="152" t="s">
        <v>534</v>
      </c>
      <c r="G2334" s="152" t="s">
        <v>1841</v>
      </c>
      <c r="H2334" s="153" t="s">
        <v>211</v>
      </c>
    </row>
    <row r="2335" hidden="1">
      <c r="A2335" s="154" t="s">
        <v>227</v>
      </c>
      <c r="B2335" s="155" t="s">
        <v>195</v>
      </c>
      <c r="C2335" s="155" t="s">
        <v>206</v>
      </c>
      <c r="D2335" s="156" t="s">
        <v>2780</v>
      </c>
      <c r="E2335" s="156" t="s">
        <v>2862</v>
      </c>
      <c r="F2335" s="156" t="s">
        <v>244</v>
      </c>
      <c r="G2335" s="156" t="s">
        <v>1881</v>
      </c>
      <c r="H2335" s="157" t="s">
        <v>212</v>
      </c>
    </row>
    <row r="2336" hidden="1">
      <c r="A2336" s="151" t="s">
        <v>227</v>
      </c>
      <c r="B2336" s="118" t="s">
        <v>195</v>
      </c>
      <c r="C2336" s="118" t="s">
        <v>206</v>
      </c>
      <c r="D2336" s="152" t="s">
        <v>2780</v>
      </c>
      <c r="E2336" s="152" t="s">
        <v>2863</v>
      </c>
      <c r="F2336" s="152" t="s">
        <v>244</v>
      </c>
      <c r="G2336" s="152" t="s">
        <v>2864</v>
      </c>
      <c r="H2336" s="153" t="s">
        <v>213</v>
      </c>
    </row>
    <row r="2337" hidden="1">
      <c r="A2337" s="154" t="s">
        <v>227</v>
      </c>
      <c r="B2337" s="155" t="s">
        <v>195</v>
      </c>
      <c r="C2337" s="155" t="s">
        <v>206</v>
      </c>
      <c r="D2337" s="156" t="s">
        <v>2780</v>
      </c>
      <c r="E2337" s="156" t="s">
        <v>2865</v>
      </c>
      <c r="F2337" s="156" t="s">
        <v>425</v>
      </c>
      <c r="G2337" s="156" t="s">
        <v>1749</v>
      </c>
      <c r="H2337" s="157" t="s">
        <v>214</v>
      </c>
    </row>
    <row r="2338" hidden="1">
      <c r="A2338" s="151" t="s">
        <v>227</v>
      </c>
      <c r="B2338" s="118" t="s">
        <v>195</v>
      </c>
      <c r="C2338" s="118" t="s">
        <v>206</v>
      </c>
      <c r="D2338" s="152" t="s">
        <v>2780</v>
      </c>
      <c r="E2338" s="152" t="s">
        <v>2866</v>
      </c>
      <c r="F2338" s="152" t="s">
        <v>494</v>
      </c>
      <c r="G2338" s="152" t="s">
        <v>1753</v>
      </c>
      <c r="H2338" s="153" t="s">
        <v>215</v>
      </c>
    </row>
    <row r="2339" hidden="1">
      <c r="A2339" s="154" t="s">
        <v>227</v>
      </c>
      <c r="B2339" s="155" t="s">
        <v>195</v>
      </c>
      <c r="C2339" s="155" t="s">
        <v>206</v>
      </c>
      <c r="D2339" s="156" t="s">
        <v>2780</v>
      </c>
      <c r="E2339" s="156" t="s">
        <v>2867</v>
      </c>
      <c r="F2339" s="156" t="s">
        <v>339</v>
      </c>
      <c r="G2339" s="156" t="s">
        <v>1814</v>
      </c>
      <c r="H2339" s="157" t="s">
        <v>216</v>
      </c>
    </row>
    <row r="2340" hidden="1">
      <c r="A2340" s="151" t="s">
        <v>228</v>
      </c>
      <c r="B2340" s="118" t="s">
        <v>138</v>
      </c>
      <c r="C2340" s="118" t="s">
        <v>206</v>
      </c>
      <c r="D2340" s="152" t="s">
        <v>2780</v>
      </c>
      <c r="E2340" s="152" t="s">
        <v>2868</v>
      </c>
      <c r="F2340" s="152" t="s">
        <v>257</v>
      </c>
      <c r="G2340" s="152" t="s">
        <v>2470</v>
      </c>
      <c r="H2340" s="153" t="s">
        <v>210</v>
      </c>
    </row>
    <row r="2341" hidden="1">
      <c r="A2341" s="154" t="s">
        <v>228</v>
      </c>
      <c r="B2341" s="155" t="s">
        <v>138</v>
      </c>
      <c r="C2341" s="155" t="s">
        <v>206</v>
      </c>
      <c r="D2341" s="156" t="s">
        <v>2780</v>
      </c>
      <c r="E2341" s="156" t="s">
        <v>2869</v>
      </c>
      <c r="F2341" s="156" t="s">
        <v>287</v>
      </c>
      <c r="G2341" s="156" t="s">
        <v>2697</v>
      </c>
      <c r="H2341" s="157" t="s">
        <v>211</v>
      </c>
    </row>
    <row r="2342" hidden="1">
      <c r="A2342" s="151" t="s">
        <v>228</v>
      </c>
      <c r="B2342" s="118" t="s">
        <v>138</v>
      </c>
      <c r="C2342" s="118" t="s">
        <v>206</v>
      </c>
      <c r="D2342" s="152" t="s">
        <v>2780</v>
      </c>
      <c r="E2342" s="152" t="s">
        <v>2870</v>
      </c>
      <c r="F2342" s="152" t="s">
        <v>262</v>
      </c>
      <c r="G2342" s="152" t="s">
        <v>2410</v>
      </c>
      <c r="H2342" s="153" t="s">
        <v>212</v>
      </c>
    </row>
    <row r="2343" hidden="1">
      <c r="A2343" s="154" t="s">
        <v>228</v>
      </c>
      <c r="B2343" s="155" t="s">
        <v>138</v>
      </c>
      <c r="C2343" s="155" t="s">
        <v>206</v>
      </c>
      <c r="D2343" s="156" t="s">
        <v>2780</v>
      </c>
      <c r="E2343" s="156" t="s">
        <v>2871</v>
      </c>
      <c r="F2343" s="156" t="s">
        <v>492</v>
      </c>
      <c r="G2343" s="156" t="s">
        <v>2703</v>
      </c>
      <c r="H2343" s="157" t="s">
        <v>213</v>
      </c>
    </row>
    <row r="2344" hidden="1">
      <c r="A2344" s="151" t="s">
        <v>228</v>
      </c>
      <c r="B2344" s="118" t="s">
        <v>138</v>
      </c>
      <c r="C2344" s="118" t="s">
        <v>206</v>
      </c>
      <c r="D2344" s="152" t="s">
        <v>2780</v>
      </c>
      <c r="E2344" s="152" t="s">
        <v>2872</v>
      </c>
      <c r="F2344" s="152" t="s">
        <v>492</v>
      </c>
      <c r="G2344" s="152" t="s">
        <v>2146</v>
      </c>
      <c r="H2344" s="153" t="s">
        <v>214</v>
      </c>
    </row>
    <row r="2345" hidden="1">
      <c r="A2345" s="154" t="s">
        <v>228</v>
      </c>
      <c r="B2345" s="155" t="s">
        <v>138</v>
      </c>
      <c r="C2345" s="155" t="s">
        <v>206</v>
      </c>
      <c r="D2345" s="156" t="s">
        <v>2780</v>
      </c>
      <c r="E2345" s="156" t="s">
        <v>2873</v>
      </c>
      <c r="F2345" s="156" t="s">
        <v>436</v>
      </c>
      <c r="G2345" s="156" t="s">
        <v>2057</v>
      </c>
      <c r="H2345" s="157" t="s">
        <v>215</v>
      </c>
    </row>
    <row r="2346" hidden="1">
      <c r="A2346" s="151" t="s">
        <v>228</v>
      </c>
      <c r="B2346" s="118" t="s">
        <v>138</v>
      </c>
      <c r="C2346" s="118" t="s">
        <v>206</v>
      </c>
      <c r="D2346" s="152" t="s">
        <v>2780</v>
      </c>
      <c r="E2346" s="152" t="s">
        <v>2874</v>
      </c>
      <c r="F2346" s="152" t="s">
        <v>269</v>
      </c>
      <c r="G2346" s="152" t="s">
        <v>2470</v>
      </c>
      <c r="H2346" s="153" t="s">
        <v>216</v>
      </c>
    </row>
    <row r="2347" hidden="1">
      <c r="A2347" s="154" t="s">
        <v>229</v>
      </c>
      <c r="B2347" s="155" t="s">
        <v>193</v>
      </c>
      <c r="C2347" s="155" t="s">
        <v>206</v>
      </c>
      <c r="D2347" s="156" t="s">
        <v>2780</v>
      </c>
      <c r="E2347" s="156" t="s">
        <v>2875</v>
      </c>
      <c r="F2347" s="156" t="s">
        <v>310</v>
      </c>
      <c r="G2347" s="156" t="s">
        <v>2530</v>
      </c>
      <c r="H2347" s="157" t="s">
        <v>210</v>
      </c>
    </row>
    <row r="2348" hidden="1">
      <c r="A2348" s="151" t="s">
        <v>229</v>
      </c>
      <c r="B2348" s="118" t="s">
        <v>193</v>
      </c>
      <c r="C2348" s="118" t="s">
        <v>206</v>
      </c>
      <c r="D2348" s="152" t="s">
        <v>2780</v>
      </c>
      <c r="E2348" s="152" t="s">
        <v>2876</v>
      </c>
      <c r="F2348" s="152" t="s">
        <v>323</v>
      </c>
      <c r="G2348" s="152" t="s">
        <v>2401</v>
      </c>
      <c r="H2348" s="153" t="s">
        <v>211</v>
      </c>
    </row>
    <row r="2349" hidden="1">
      <c r="A2349" s="154" t="s">
        <v>229</v>
      </c>
      <c r="B2349" s="155" t="s">
        <v>193</v>
      </c>
      <c r="C2349" s="155" t="s">
        <v>206</v>
      </c>
      <c r="D2349" s="156" t="s">
        <v>2780</v>
      </c>
      <c r="E2349" s="156" t="s">
        <v>2877</v>
      </c>
      <c r="F2349" s="156" t="s">
        <v>308</v>
      </c>
      <c r="G2349" s="156" t="s">
        <v>2126</v>
      </c>
      <c r="H2349" s="157" t="s">
        <v>212</v>
      </c>
    </row>
    <row r="2350" hidden="1">
      <c r="A2350" s="151" t="s">
        <v>229</v>
      </c>
      <c r="B2350" s="118" t="s">
        <v>193</v>
      </c>
      <c r="C2350" s="118" t="s">
        <v>206</v>
      </c>
      <c r="D2350" s="152" t="s">
        <v>2780</v>
      </c>
      <c r="E2350" s="152" t="s">
        <v>2878</v>
      </c>
      <c r="F2350" s="152" t="s">
        <v>321</v>
      </c>
      <c r="G2350" s="152" t="s">
        <v>1749</v>
      </c>
      <c r="H2350" s="153" t="s">
        <v>213</v>
      </c>
    </row>
    <row r="2351" hidden="1">
      <c r="A2351" s="154" t="s">
        <v>229</v>
      </c>
      <c r="B2351" s="155" t="s">
        <v>193</v>
      </c>
      <c r="C2351" s="155" t="s">
        <v>206</v>
      </c>
      <c r="D2351" s="156" t="s">
        <v>2780</v>
      </c>
      <c r="E2351" s="156" t="s">
        <v>2879</v>
      </c>
      <c r="F2351" s="156" t="s">
        <v>310</v>
      </c>
      <c r="G2351" s="156" t="s">
        <v>2880</v>
      </c>
      <c r="H2351" s="157" t="s">
        <v>214</v>
      </c>
    </row>
    <row r="2352" hidden="1">
      <c r="A2352" s="151" t="s">
        <v>229</v>
      </c>
      <c r="B2352" s="118" t="s">
        <v>193</v>
      </c>
      <c r="C2352" s="118" t="s">
        <v>206</v>
      </c>
      <c r="D2352" s="152" t="s">
        <v>2780</v>
      </c>
      <c r="E2352" s="152" t="s">
        <v>2881</v>
      </c>
      <c r="F2352" s="152" t="s">
        <v>285</v>
      </c>
      <c r="G2352" s="152" t="s">
        <v>2557</v>
      </c>
      <c r="H2352" s="153" t="s">
        <v>215</v>
      </c>
    </row>
    <row r="2353" hidden="1">
      <c r="A2353" s="154" t="s">
        <v>229</v>
      </c>
      <c r="B2353" s="155" t="s">
        <v>193</v>
      </c>
      <c r="C2353" s="155" t="s">
        <v>206</v>
      </c>
      <c r="D2353" s="156" t="s">
        <v>2780</v>
      </c>
      <c r="E2353" s="156" t="s">
        <v>2882</v>
      </c>
      <c r="F2353" s="156" t="s">
        <v>308</v>
      </c>
      <c r="G2353" s="156" t="s">
        <v>2146</v>
      </c>
      <c r="H2353" s="157" t="s">
        <v>216</v>
      </c>
    </row>
    <row r="2354" hidden="1">
      <c r="A2354" s="151" t="s">
        <v>230</v>
      </c>
      <c r="B2354" s="118" t="s">
        <v>194</v>
      </c>
      <c r="C2354" s="118" t="s">
        <v>206</v>
      </c>
      <c r="D2354" s="152" t="s">
        <v>2780</v>
      </c>
      <c r="E2354" s="152" t="s">
        <v>2883</v>
      </c>
      <c r="F2354" s="152" t="s">
        <v>331</v>
      </c>
      <c r="G2354" s="152" t="s">
        <v>2637</v>
      </c>
      <c r="H2354" s="153" t="s">
        <v>210</v>
      </c>
    </row>
    <row r="2355" hidden="1">
      <c r="A2355" s="154" t="s">
        <v>230</v>
      </c>
      <c r="B2355" s="155" t="s">
        <v>194</v>
      </c>
      <c r="C2355" s="155" t="s">
        <v>206</v>
      </c>
      <c r="D2355" s="156" t="s">
        <v>2780</v>
      </c>
      <c r="E2355" s="156" t="s">
        <v>2884</v>
      </c>
      <c r="F2355" s="156" t="s">
        <v>351</v>
      </c>
      <c r="G2355" s="156" t="s">
        <v>1749</v>
      </c>
      <c r="H2355" s="157" t="s">
        <v>211</v>
      </c>
    </row>
    <row r="2356" hidden="1">
      <c r="A2356" s="151" t="s">
        <v>230</v>
      </c>
      <c r="B2356" s="118" t="s">
        <v>194</v>
      </c>
      <c r="C2356" s="118" t="s">
        <v>206</v>
      </c>
      <c r="D2356" s="152" t="s">
        <v>2780</v>
      </c>
      <c r="E2356" s="152" t="s">
        <v>2885</v>
      </c>
      <c r="F2356" s="152" t="s">
        <v>427</v>
      </c>
      <c r="G2356" s="152" t="s">
        <v>1883</v>
      </c>
      <c r="H2356" s="153" t="s">
        <v>212</v>
      </c>
    </row>
    <row r="2357" hidden="1">
      <c r="A2357" s="154" t="s">
        <v>230</v>
      </c>
      <c r="B2357" s="155" t="s">
        <v>194</v>
      </c>
      <c r="C2357" s="155" t="s">
        <v>206</v>
      </c>
      <c r="D2357" s="156" t="s">
        <v>2780</v>
      </c>
      <c r="E2357" s="156" t="s">
        <v>2886</v>
      </c>
      <c r="F2357" s="156" t="s">
        <v>351</v>
      </c>
      <c r="G2357" s="156" t="s">
        <v>1881</v>
      </c>
      <c r="H2357" s="157" t="s">
        <v>213</v>
      </c>
    </row>
    <row r="2358" hidden="1">
      <c r="A2358" s="151" t="s">
        <v>230</v>
      </c>
      <c r="B2358" s="118" t="s">
        <v>194</v>
      </c>
      <c r="C2358" s="118" t="s">
        <v>206</v>
      </c>
      <c r="D2358" s="152" t="s">
        <v>2780</v>
      </c>
      <c r="E2358" s="152" t="s">
        <v>2887</v>
      </c>
      <c r="F2358" s="152" t="s">
        <v>425</v>
      </c>
      <c r="G2358" s="152" t="s">
        <v>1881</v>
      </c>
      <c r="H2358" s="153" t="s">
        <v>214</v>
      </c>
    </row>
    <row r="2359" hidden="1">
      <c r="A2359" s="154" t="s">
        <v>230</v>
      </c>
      <c r="B2359" s="155" t="s">
        <v>194</v>
      </c>
      <c r="C2359" s="155" t="s">
        <v>206</v>
      </c>
      <c r="D2359" s="156" t="s">
        <v>2780</v>
      </c>
      <c r="E2359" s="156" t="s">
        <v>2888</v>
      </c>
      <c r="F2359" s="156" t="s">
        <v>329</v>
      </c>
      <c r="G2359" s="156" t="s">
        <v>1827</v>
      </c>
      <c r="H2359" s="157" t="s">
        <v>215</v>
      </c>
    </row>
    <row r="2360" hidden="1">
      <c r="A2360" s="151" t="s">
        <v>230</v>
      </c>
      <c r="B2360" s="118" t="s">
        <v>194</v>
      </c>
      <c r="C2360" s="118" t="s">
        <v>206</v>
      </c>
      <c r="D2360" s="152" t="s">
        <v>2780</v>
      </c>
      <c r="E2360" s="152" t="s">
        <v>2889</v>
      </c>
      <c r="F2360" s="152" t="s">
        <v>305</v>
      </c>
      <c r="G2360" s="152" t="s">
        <v>2091</v>
      </c>
      <c r="H2360" s="153" t="s">
        <v>216</v>
      </c>
    </row>
    <row r="2361" hidden="1">
      <c r="A2361" s="158" t="s">
        <v>231</v>
      </c>
      <c r="B2361" s="159"/>
      <c r="C2361" s="155" t="s">
        <v>232</v>
      </c>
      <c r="D2361" s="156" t="s">
        <v>2780</v>
      </c>
      <c r="E2361" s="156" t="s">
        <v>2890</v>
      </c>
      <c r="F2361" s="156" t="s">
        <v>305</v>
      </c>
      <c r="G2361" s="156" t="s">
        <v>2051</v>
      </c>
      <c r="H2361" s="157" t="s">
        <v>210</v>
      </c>
    </row>
    <row r="2362" hidden="1">
      <c r="A2362" s="160" t="s">
        <v>231</v>
      </c>
      <c r="B2362" s="72"/>
      <c r="C2362" s="118" t="s">
        <v>232</v>
      </c>
      <c r="D2362" s="152" t="s">
        <v>2780</v>
      </c>
      <c r="E2362" s="152" t="s">
        <v>2891</v>
      </c>
      <c r="F2362" s="152" t="s">
        <v>450</v>
      </c>
      <c r="G2362" s="152" t="s">
        <v>1827</v>
      </c>
      <c r="H2362" s="153" t="s">
        <v>211</v>
      </c>
    </row>
    <row r="2363" hidden="1">
      <c r="A2363" s="158" t="s">
        <v>231</v>
      </c>
      <c r="B2363" s="159"/>
      <c r="C2363" s="155" t="s">
        <v>232</v>
      </c>
      <c r="D2363" s="156" t="s">
        <v>2780</v>
      </c>
      <c r="E2363" s="156" t="s">
        <v>2892</v>
      </c>
      <c r="F2363" s="156" t="s">
        <v>357</v>
      </c>
      <c r="G2363" s="156" t="s">
        <v>1801</v>
      </c>
      <c r="H2363" s="157" t="s">
        <v>212</v>
      </c>
    </row>
    <row r="2364" hidden="1">
      <c r="A2364" s="160" t="s">
        <v>231</v>
      </c>
      <c r="B2364" s="72"/>
      <c r="C2364" s="118" t="s">
        <v>232</v>
      </c>
      <c r="D2364" s="152" t="s">
        <v>2780</v>
      </c>
      <c r="E2364" s="152" t="s">
        <v>2893</v>
      </c>
      <c r="F2364" s="152" t="s">
        <v>427</v>
      </c>
      <c r="G2364" s="152" t="s">
        <v>1739</v>
      </c>
      <c r="H2364" s="153" t="s">
        <v>213</v>
      </c>
    </row>
    <row r="2365" hidden="1">
      <c r="A2365" s="158" t="s">
        <v>231</v>
      </c>
      <c r="B2365" s="159"/>
      <c r="C2365" s="155" t="s">
        <v>232</v>
      </c>
      <c r="D2365" s="156" t="s">
        <v>2780</v>
      </c>
      <c r="E2365" s="156" t="s">
        <v>2894</v>
      </c>
      <c r="F2365" s="156" t="s">
        <v>494</v>
      </c>
      <c r="G2365" s="156" t="s">
        <v>2409</v>
      </c>
      <c r="H2365" s="157" t="s">
        <v>214</v>
      </c>
    </row>
    <row r="2366" hidden="1">
      <c r="A2366" s="160" t="s">
        <v>231</v>
      </c>
      <c r="B2366" s="72"/>
      <c r="C2366" s="118" t="s">
        <v>232</v>
      </c>
      <c r="D2366" s="152" t="s">
        <v>2780</v>
      </c>
      <c r="E2366" s="152" t="s">
        <v>2895</v>
      </c>
      <c r="F2366" s="152" t="s">
        <v>290</v>
      </c>
      <c r="G2366" s="152" t="s">
        <v>2296</v>
      </c>
      <c r="H2366" s="153" t="s">
        <v>215</v>
      </c>
    </row>
    <row r="2367" hidden="1">
      <c r="A2367" s="158" t="s">
        <v>231</v>
      </c>
      <c r="B2367" s="159"/>
      <c r="C2367" s="155" t="s">
        <v>232</v>
      </c>
      <c r="D2367" s="156" t="s">
        <v>2780</v>
      </c>
      <c r="E2367" s="156" t="s">
        <v>2896</v>
      </c>
      <c r="F2367" s="156" t="s">
        <v>339</v>
      </c>
      <c r="G2367" s="156" t="s">
        <v>1899</v>
      </c>
      <c r="H2367" s="157" t="s">
        <v>216</v>
      </c>
    </row>
    <row r="2368" hidden="1">
      <c r="A2368" s="160" t="s">
        <v>233</v>
      </c>
      <c r="B2368" s="72"/>
      <c r="C2368" s="118" t="s">
        <v>232</v>
      </c>
      <c r="D2368" s="152" t="s">
        <v>2780</v>
      </c>
      <c r="E2368" s="152" t="s">
        <v>2897</v>
      </c>
      <c r="F2368" s="152" t="s">
        <v>799</v>
      </c>
      <c r="G2368" s="152" t="s">
        <v>2203</v>
      </c>
      <c r="H2368" s="153" t="s">
        <v>210</v>
      </c>
    </row>
    <row r="2369" hidden="1">
      <c r="A2369" s="158" t="s">
        <v>233</v>
      </c>
      <c r="B2369" s="159"/>
      <c r="C2369" s="155" t="s">
        <v>232</v>
      </c>
      <c r="D2369" s="156" t="s">
        <v>2780</v>
      </c>
      <c r="E2369" s="156" t="s">
        <v>2898</v>
      </c>
      <c r="F2369" s="156" t="s">
        <v>483</v>
      </c>
      <c r="G2369" s="156" t="s">
        <v>1808</v>
      </c>
      <c r="H2369" s="157" t="s">
        <v>211</v>
      </c>
    </row>
    <row r="2370" hidden="1">
      <c r="A2370" s="160" t="s">
        <v>233</v>
      </c>
      <c r="B2370" s="72"/>
      <c r="C2370" s="118" t="s">
        <v>232</v>
      </c>
      <c r="D2370" s="152" t="s">
        <v>2780</v>
      </c>
      <c r="E2370" s="152" t="s">
        <v>2899</v>
      </c>
      <c r="F2370" s="152" t="s">
        <v>427</v>
      </c>
      <c r="G2370" s="152" t="s">
        <v>2023</v>
      </c>
      <c r="H2370" s="153" t="s">
        <v>212</v>
      </c>
    </row>
    <row r="2371" hidden="1">
      <c r="A2371" s="158" t="s">
        <v>233</v>
      </c>
      <c r="B2371" s="159"/>
      <c r="C2371" s="155" t="s">
        <v>232</v>
      </c>
      <c r="D2371" s="156" t="s">
        <v>2780</v>
      </c>
      <c r="E2371" s="156" t="s">
        <v>2900</v>
      </c>
      <c r="F2371" s="156" t="s">
        <v>325</v>
      </c>
      <c r="G2371" s="156" t="s">
        <v>2901</v>
      </c>
      <c r="H2371" s="157" t="s">
        <v>213</v>
      </c>
    </row>
    <row r="2372" hidden="1">
      <c r="A2372" s="160" t="s">
        <v>233</v>
      </c>
      <c r="B2372" s="72"/>
      <c r="C2372" s="118" t="s">
        <v>232</v>
      </c>
      <c r="D2372" s="152" t="s">
        <v>2780</v>
      </c>
      <c r="E2372" s="152" t="s">
        <v>2902</v>
      </c>
      <c r="F2372" s="152" t="s">
        <v>799</v>
      </c>
      <c r="G2372" s="152" t="s">
        <v>2146</v>
      </c>
      <c r="H2372" s="153" t="s">
        <v>214</v>
      </c>
    </row>
    <row r="2373" hidden="1">
      <c r="A2373" s="158" t="s">
        <v>233</v>
      </c>
      <c r="B2373" s="159"/>
      <c r="C2373" s="155" t="s">
        <v>232</v>
      </c>
      <c r="D2373" s="156" t="s">
        <v>2780</v>
      </c>
      <c r="E2373" s="156" t="s">
        <v>2903</v>
      </c>
      <c r="F2373" s="156" t="s">
        <v>483</v>
      </c>
      <c r="G2373" s="156" t="s">
        <v>2838</v>
      </c>
      <c r="H2373" s="157" t="s">
        <v>215</v>
      </c>
    </row>
    <row r="2374" hidden="1">
      <c r="A2374" s="160" t="s">
        <v>233</v>
      </c>
      <c r="B2374" s="72"/>
      <c r="C2374" s="118" t="s">
        <v>232</v>
      </c>
      <c r="D2374" s="152" t="s">
        <v>2780</v>
      </c>
      <c r="E2374" s="152" t="s">
        <v>2904</v>
      </c>
      <c r="F2374" s="152" t="s">
        <v>329</v>
      </c>
      <c r="G2374" s="152" t="s">
        <v>2686</v>
      </c>
      <c r="H2374" s="153" t="s">
        <v>216</v>
      </c>
    </row>
    <row r="2375" hidden="1">
      <c r="A2375" s="158" t="s">
        <v>234</v>
      </c>
      <c r="B2375" s="159"/>
      <c r="C2375" s="155" t="s">
        <v>232</v>
      </c>
      <c r="D2375" s="156" t="s">
        <v>2780</v>
      </c>
      <c r="E2375" s="156" t="s">
        <v>2905</v>
      </c>
      <c r="F2375" s="156" t="s">
        <v>427</v>
      </c>
      <c r="G2375" s="156" t="s">
        <v>1949</v>
      </c>
      <c r="H2375" s="157" t="s">
        <v>210</v>
      </c>
    </row>
    <row r="2376" hidden="1">
      <c r="A2376" s="160" t="s">
        <v>234</v>
      </c>
      <c r="B2376" s="72"/>
      <c r="C2376" s="118" t="s">
        <v>232</v>
      </c>
      <c r="D2376" s="152" t="s">
        <v>2780</v>
      </c>
      <c r="E2376" s="152" t="s">
        <v>2906</v>
      </c>
      <c r="F2376" s="152" t="s">
        <v>308</v>
      </c>
      <c r="G2376" s="152" t="s">
        <v>2283</v>
      </c>
      <c r="H2376" s="153" t="s">
        <v>211</v>
      </c>
    </row>
    <row r="2377" hidden="1">
      <c r="A2377" s="158" t="s">
        <v>234</v>
      </c>
      <c r="B2377" s="159"/>
      <c r="C2377" s="155" t="s">
        <v>232</v>
      </c>
      <c r="D2377" s="156" t="s">
        <v>2780</v>
      </c>
      <c r="E2377" s="156" t="s">
        <v>2907</v>
      </c>
      <c r="F2377" s="156" t="s">
        <v>314</v>
      </c>
      <c r="G2377" s="156" t="s">
        <v>2602</v>
      </c>
      <c r="H2377" s="157" t="s">
        <v>212</v>
      </c>
    </row>
    <row r="2378" hidden="1">
      <c r="A2378" s="160" t="s">
        <v>234</v>
      </c>
      <c r="B2378" s="72"/>
      <c r="C2378" s="118" t="s">
        <v>232</v>
      </c>
      <c r="D2378" s="152" t="s">
        <v>2780</v>
      </c>
      <c r="E2378" s="152" t="s">
        <v>2908</v>
      </c>
      <c r="F2378" s="152" t="s">
        <v>323</v>
      </c>
      <c r="G2378" s="152" t="s">
        <v>2219</v>
      </c>
      <c r="H2378" s="153" t="s">
        <v>213</v>
      </c>
    </row>
    <row r="2379" hidden="1">
      <c r="A2379" s="158" t="s">
        <v>234</v>
      </c>
      <c r="B2379" s="159"/>
      <c r="C2379" s="155" t="s">
        <v>232</v>
      </c>
      <c r="D2379" s="156" t="s">
        <v>2780</v>
      </c>
      <c r="E2379" s="156" t="s">
        <v>2909</v>
      </c>
      <c r="F2379" s="156" t="s">
        <v>357</v>
      </c>
      <c r="G2379" s="156" t="s">
        <v>2910</v>
      </c>
      <c r="H2379" s="157" t="s">
        <v>214</v>
      </c>
    </row>
    <row r="2380" hidden="1">
      <c r="A2380" s="160" t="s">
        <v>234</v>
      </c>
      <c r="B2380" s="72"/>
      <c r="C2380" s="118" t="s">
        <v>232</v>
      </c>
      <c r="D2380" s="152" t="s">
        <v>2780</v>
      </c>
      <c r="E2380" s="152" t="s">
        <v>2911</v>
      </c>
      <c r="F2380" s="152" t="s">
        <v>257</v>
      </c>
      <c r="G2380" s="152" t="s">
        <v>2912</v>
      </c>
      <c r="H2380" s="153" t="s">
        <v>215</v>
      </c>
    </row>
    <row r="2381" hidden="1">
      <c r="A2381" s="158" t="s">
        <v>234</v>
      </c>
      <c r="B2381" s="159"/>
      <c r="C2381" s="155" t="s">
        <v>232</v>
      </c>
      <c r="D2381" s="156" t="s">
        <v>2780</v>
      </c>
      <c r="E2381" s="156" t="s">
        <v>2913</v>
      </c>
      <c r="F2381" s="156" t="s">
        <v>290</v>
      </c>
      <c r="G2381" s="156" t="s">
        <v>2109</v>
      </c>
      <c r="H2381" s="157" t="s">
        <v>216</v>
      </c>
    </row>
    <row r="2382" hidden="1">
      <c r="A2382" s="160" t="s">
        <v>235</v>
      </c>
      <c r="B2382" s="72"/>
      <c r="C2382" s="118" t="s">
        <v>236</v>
      </c>
      <c r="D2382" s="152" t="s">
        <v>2780</v>
      </c>
      <c r="E2382" s="152" t="s">
        <v>2914</v>
      </c>
      <c r="F2382" s="152" t="s">
        <v>799</v>
      </c>
      <c r="G2382" s="152" t="s">
        <v>2633</v>
      </c>
      <c r="H2382" s="153" t="s">
        <v>210</v>
      </c>
    </row>
    <row r="2383" hidden="1">
      <c r="A2383" s="158" t="s">
        <v>235</v>
      </c>
      <c r="B2383" s="159"/>
      <c r="C2383" s="155" t="s">
        <v>236</v>
      </c>
      <c r="D2383" s="156" t="s">
        <v>2780</v>
      </c>
      <c r="E2383" s="156" t="s">
        <v>2915</v>
      </c>
      <c r="F2383" s="156" t="s">
        <v>478</v>
      </c>
      <c r="G2383" s="156" t="s">
        <v>2838</v>
      </c>
      <c r="H2383" s="157" t="s">
        <v>211</v>
      </c>
    </row>
    <row r="2384" hidden="1">
      <c r="A2384" s="160" t="s">
        <v>235</v>
      </c>
      <c r="B2384" s="72"/>
      <c r="C2384" s="118" t="s">
        <v>236</v>
      </c>
      <c r="D2384" s="152" t="s">
        <v>2780</v>
      </c>
      <c r="E2384" s="152" t="s">
        <v>2916</v>
      </c>
      <c r="F2384" s="152" t="s">
        <v>339</v>
      </c>
      <c r="G2384" s="152" t="s">
        <v>1852</v>
      </c>
      <c r="H2384" s="153" t="s">
        <v>212</v>
      </c>
    </row>
    <row r="2385" hidden="1">
      <c r="A2385" s="158" t="s">
        <v>235</v>
      </c>
      <c r="B2385" s="159"/>
      <c r="C2385" s="155" t="s">
        <v>236</v>
      </c>
      <c r="D2385" s="156" t="s">
        <v>2780</v>
      </c>
      <c r="E2385" s="156" t="s">
        <v>2917</v>
      </c>
      <c r="F2385" s="156" t="s">
        <v>329</v>
      </c>
      <c r="G2385" s="156" t="s">
        <v>1814</v>
      </c>
      <c r="H2385" s="157" t="s">
        <v>213</v>
      </c>
    </row>
    <row r="2386" hidden="1">
      <c r="A2386" s="160" t="s">
        <v>235</v>
      </c>
      <c r="B2386" s="72"/>
      <c r="C2386" s="118" t="s">
        <v>236</v>
      </c>
      <c r="D2386" s="152" t="s">
        <v>2780</v>
      </c>
      <c r="E2386" s="152" t="s">
        <v>2918</v>
      </c>
      <c r="F2386" s="152" t="s">
        <v>725</v>
      </c>
      <c r="G2386" s="152" t="s">
        <v>2633</v>
      </c>
      <c r="H2386" s="153" t="s">
        <v>214</v>
      </c>
    </row>
    <row r="2387" hidden="1">
      <c r="A2387" s="158" t="s">
        <v>235</v>
      </c>
      <c r="B2387" s="159"/>
      <c r="C2387" s="155" t="s">
        <v>236</v>
      </c>
      <c r="D2387" s="156" t="s">
        <v>2780</v>
      </c>
      <c r="E2387" s="156" t="s">
        <v>2919</v>
      </c>
      <c r="F2387" s="156" t="s">
        <v>354</v>
      </c>
      <c r="G2387" s="156" t="s">
        <v>2530</v>
      </c>
      <c r="H2387" s="157" t="s">
        <v>215</v>
      </c>
    </row>
    <row r="2388" hidden="1">
      <c r="A2388" s="160" t="s">
        <v>235</v>
      </c>
      <c r="B2388" s="72"/>
      <c r="C2388" s="118" t="s">
        <v>236</v>
      </c>
      <c r="D2388" s="152" t="s">
        <v>2780</v>
      </c>
      <c r="E2388" s="152" t="s">
        <v>2920</v>
      </c>
      <c r="F2388" s="152" t="s">
        <v>354</v>
      </c>
      <c r="G2388" s="152" t="s">
        <v>2633</v>
      </c>
      <c r="H2388" s="153" t="s">
        <v>216</v>
      </c>
    </row>
    <row r="2389" hidden="1">
      <c r="A2389" s="158" t="s">
        <v>237</v>
      </c>
      <c r="B2389" s="159"/>
      <c r="C2389" s="155" t="s">
        <v>236</v>
      </c>
      <c r="D2389" s="156" t="s">
        <v>2780</v>
      </c>
      <c r="E2389" s="156" t="s">
        <v>2921</v>
      </c>
      <c r="F2389" s="156" t="s">
        <v>336</v>
      </c>
      <c r="G2389" s="156" t="s">
        <v>1832</v>
      </c>
      <c r="H2389" s="157" t="s">
        <v>210</v>
      </c>
    </row>
    <row r="2390" hidden="1">
      <c r="A2390" s="160" t="s">
        <v>237</v>
      </c>
      <c r="B2390" s="72"/>
      <c r="C2390" s="118" t="s">
        <v>236</v>
      </c>
      <c r="D2390" s="152" t="s">
        <v>2780</v>
      </c>
      <c r="E2390" s="152" t="s">
        <v>2922</v>
      </c>
      <c r="F2390" s="152" t="s">
        <v>357</v>
      </c>
      <c r="G2390" s="152" t="s">
        <v>2923</v>
      </c>
      <c r="H2390" s="153" t="s">
        <v>211</v>
      </c>
    </row>
    <row r="2391" hidden="1">
      <c r="A2391" s="158" t="s">
        <v>237</v>
      </c>
      <c r="B2391" s="159"/>
      <c r="C2391" s="155" t="s">
        <v>236</v>
      </c>
      <c r="D2391" s="156" t="s">
        <v>2780</v>
      </c>
      <c r="E2391" s="156" t="s">
        <v>2924</v>
      </c>
      <c r="F2391" s="156" t="s">
        <v>323</v>
      </c>
      <c r="G2391" s="156" t="s">
        <v>2925</v>
      </c>
      <c r="H2391" s="157" t="s">
        <v>212</v>
      </c>
    </row>
    <row r="2392" hidden="1">
      <c r="A2392" s="160" t="s">
        <v>237</v>
      </c>
      <c r="B2392" s="72"/>
      <c r="C2392" s="118" t="s">
        <v>236</v>
      </c>
      <c r="D2392" s="152" t="s">
        <v>2780</v>
      </c>
      <c r="E2392" s="152" t="s">
        <v>2926</v>
      </c>
      <c r="F2392" s="152" t="s">
        <v>246</v>
      </c>
      <c r="G2392" s="152" t="s">
        <v>2134</v>
      </c>
      <c r="H2392" s="153" t="s">
        <v>213</v>
      </c>
    </row>
    <row r="2393" hidden="1">
      <c r="A2393" s="158" t="s">
        <v>237</v>
      </c>
      <c r="B2393" s="159"/>
      <c r="C2393" s="155" t="s">
        <v>236</v>
      </c>
      <c r="D2393" s="156" t="s">
        <v>2780</v>
      </c>
      <c r="E2393" s="156" t="s">
        <v>2927</v>
      </c>
      <c r="F2393" s="156" t="s">
        <v>242</v>
      </c>
      <c r="G2393" s="156" t="s">
        <v>2452</v>
      </c>
      <c r="H2393" s="157" t="s">
        <v>214</v>
      </c>
    </row>
    <row r="2394" hidden="1">
      <c r="A2394" s="160" t="s">
        <v>237</v>
      </c>
      <c r="B2394" s="72"/>
      <c r="C2394" s="118" t="s">
        <v>236</v>
      </c>
      <c r="D2394" s="152" t="s">
        <v>2780</v>
      </c>
      <c r="E2394" s="152" t="s">
        <v>2928</v>
      </c>
      <c r="F2394" s="152" t="s">
        <v>269</v>
      </c>
      <c r="G2394" s="152" t="s">
        <v>2929</v>
      </c>
      <c r="H2394" s="153" t="s">
        <v>215</v>
      </c>
    </row>
    <row r="2395" hidden="1">
      <c r="A2395" s="158" t="s">
        <v>237</v>
      </c>
      <c r="B2395" s="159"/>
      <c r="C2395" s="155" t="s">
        <v>236</v>
      </c>
      <c r="D2395" s="156" t="s">
        <v>2780</v>
      </c>
      <c r="E2395" s="156" t="s">
        <v>2930</v>
      </c>
      <c r="F2395" s="156" t="s">
        <v>249</v>
      </c>
      <c r="G2395" s="156" t="s">
        <v>2777</v>
      </c>
      <c r="H2395" s="157" t="s">
        <v>216</v>
      </c>
    </row>
    <row r="2396" hidden="1">
      <c r="A2396" s="151" t="s">
        <v>204</v>
      </c>
      <c r="B2396" s="118" t="s">
        <v>205</v>
      </c>
      <c r="C2396" s="118" t="s">
        <v>206</v>
      </c>
      <c r="D2396" s="152" t="s">
        <v>2931</v>
      </c>
      <c r="E2396" s="152" t="s">
        <v>2932</v>
      </c>
      <c r="F2396" s="152" t="s">
        <v>331</v>
      </c>
      <c r="G2396" s="152" t="s">
        <v>2542</v>
      </c>
      <c r="H2396" s="153" t="s">
        <v>210</v>
      </c>
    </row>
    <row r="2397" hidden="1">
      <c r="A2397" s="154" t="s">
        <v>204</v>
      </c>
      <c r="B2397" s="155" t="s">
        <v>205</v>
      </c>
      <c r="C2397" s="155" t="s">
        <v>206</v>
      </c>
      <c r="D2397" s="156" t="s">
        <v>2931</v>
      </c>
      <c r="E2397" s="156" t="s">
        <v>2933</v>
      </c>
      <c r="F2397" s="156" t="s">
        <v>351</v>
      </c>
      <c r="G2397" s="156" t="s">
        <v>2129</v>
      </c>
      <c r="H2397" s="157" t="s">
        <v>211</v>
      </c>
    </row>
    <row r="2398" hidden="1">
      <c r="A2398" s="151" t="s">
        <v>204</v>
      </c>
      <c r="B2398" s="118" t="s">
        <v>205</v>
      </c>
      <c r="C2398" s="118" t="s">
        <v>206</v>
      </c>
      <c r="D2398" s="152" t="s">
        <v>2931</v>
      </c>
      <c r="E2398" s="152" t="s">
        <v>2934</v>
      </c>
      <c r="F2398" s="152" t="s">
        <v>339</v>
      </c>
      <c r="G2398" s="152" t="s">
        <v>2539</v>
      </c>
      <c r="H2398" s="153" t="s">
        <v>212</v>
      </c>
    </row>
    <row r="2399" hidden="1">
      <c r="A2399" s="154" t="s">
        <v>204</v>
      </c>
      <c r="B2399" s="155" t="s">
        <v>205</v>
      </c>
      <c r="C2399" s="155" t="s">
        <v>206</v>
      </c>
      <c r="D2399" s="156" t="s">
        <v>2931</v>
      </c>
      <c r="E2399" s="156" t="s">
        <v>2935</v>
      </c>
      <c r="F2399" s="156" t="s">
        <v>339</v>
      </c>
      <c r="G2399" s="156" t="s">
        <v>2303</v>
      </c>
      <c r="H2399" s="157" t="s">
        <v>213</v>
      </c>
    </row>
    <row r="2400" hidden="1">
      <c r="A2400" s="151" t="s">
        <v>204</v>
      </c>
      <c r="B2400" s="118" t="s">
        <v>205</v>
      </c>
      <c r="C2400" s="118" t="s">
        <v>206</v>
      </c>
      <c r="D2400" s="152" t="s">
        <v>2931</v>
      </c>
      <c r="E2400" s="152" t="s">
        <v>2936</v>
      </c>
      <c r="F2400" s="152" t="s">
        <v>336</v>
      </c>
      <c r="G2400" s="152" t="s">
        <v>2410</v>
      </c>
      <c r="H2400" s="153" t="s">
        <v>214</v>
      </c>
    </row>
    <row r="2401" hidden="1">
      <c r="A2401" s="154" t="s">
        <v>204</v>
      </c>
      <c r="B2401" s="155" t="s">
        <v>205</v>
      </c>
      <c r="C2401" s="155" t="s">
        <v>206</v>
      </c>
      <c r="D2401" s="156" t="s">
        <v>2931</v>
      </c>
      <c r="E2401" s="156" t="s">
        <v>2937</v>
      </c>
      <c r="F2401" s="156" t="s">
        <v>305</v>
      </c>
      <c r="G2401" s="156" t="s">
        <v>2303</v>
      </c>
      <c r="H2401" s="157" t="s">
        <v>215</v>
      </c>
    </row>
    <row r="2402" hidden="1">
      <c r="A2402" s="151" t="s">
        <v>204</v>
      </c>
      <c r="B2402" s="118" t="s">
        <v>205</v>
      </c>
      <c r="C2402" s="118" t="s">
        <v>206</v>
      </c>
      <c r="D2402" s="152" t="s">
        <v>2931</v>
      </c>
      <c r="E2402" s="152" t="s">
        <v>2938</v>
      </c>
      <c r="F2402" s="152" t="s">
        <v>310</v>
      </c>
      <c r="G2402" s="152" t="s">
        <v>2303</v>
      </c>
      <c r="H2402" s="153" t="s">
        <v>216</v>
      </c>
    </row>
    <row r="2403" hidden="1">
      <c r="A2403" s="154" t="s">
        <v>217</v>
      </c>
      <c r="B2403" s="155" t="s">
        <v>191</v>
      </c>
      <c r="C2403" s="155" t="s">
        <v>206</v>
      </c>
      <c r="D2403" s="156" t="s">
        <v>2931</v>
      </c>
      <c r="E2403" s="156" t="s">
        <v>2939</v>
      </c>
      <c r="F2403" s="156" t="s">
        <v>483</v>
      </c>
      <c r="G2403" s="156" t="s">
        <v>1836</v>
      </c>
      <c r="H2403" s="157" t="s">
        <v>210</v>
      </c>
    </row>
    <row r="2404" hidden="1">
      <c r="A2404" s="151" t="s">
        <v>217</v>
      </c>
      <c r="B2404" s="118" t="s">
        <v>191</v>
      </c>
      <c r="C2404" s="118" t="s">
        <v>206</v>
      </c>
      <c r="D2404" s="152" t="s">
        <v>2931</v>
      </c>
      <c r="E2404" s="152" t="s">
        <v>2940</v>
      </c>
      <c r="F2404" s="152" t="s">
        <v>483</v>
      </c>
      <c r="G2404" s="152" t="s">
        <v>2299</v>
      </c>
      <c r="H2404" s="153" t="s">
        <v>211</v>
      </c>
    </row>
    <row r="2405" hidden="1">
      <c r="A2405" s="154" t="s">
        <v>217</v>
      </c>
      <c r="B2405" s="155" t="s">
        <v>191</v>
      </c>
      <c r="C2405" s="155" t="s">
        <v>206</v>
      </c>
      <c r="D2405" s="156" t="s">
        <v>2931</v>
      </c>
      <c r="E2405" s="156" t="s">
        <v>2941</v>
      </c>
      <c r="F2405" s="156" t="s">
        <v>325</v>
      </c>
      <c r="G2405" s="156" t="s">
        <v>2470</v>
      </c>
      <c r="H2405" s="157" t="s">
        <v>212</v>
      </c>
    </row>
    <row r="2406" hidden="1">
      <c r="A2406" s="151" t="s">
        <v>217</v>
      </c>
      <c r="B2406" s="118" t="s">
        <v>191</v>
      </c>
      <c r="C2406" s="118" t="s">
        <v>206</v>
      </c>
      <c r="D2406" s="152" t="s">
        <v>2931</v>
      </c>
      <c r="E2406" s="152" t="s">
        <v>2942</v>
      </c>
      <c r="F2406" s="152" t="s">
        <v>354</v>
      </c>
      <c r="G2406" s="152" t="s">
        <v>1858</v>
      </c>
      <c r="H2406" s="153" t="s">
        <v>213</v>
      </c>
    </row>
    <row r="2407" hidden="1">
      <c r="A2407" s="154" t="s">
        <v>217</v>
      </c>
      <c r="B2407" s="155" t="s">
        <v>191</v>
      </c>
      <c r="C2407" s="155" t="s">
        <v>206</v>
      </c>
      <c r="D2407" s="156" t="s">
        <v>2931</v>
      </c>
      <c r="E2407" s="156" t="s">
        <v>2943</v>
      </c>
      <c r="F2407" s="156" t="s">
        <v>354</v>
      </c>
      <c r="G2407" s="156" t="s">
        <v>2718</v>
      </c>
      <c r="H2407" s="157" t="s">
        <v>214</v>
      </c>
    </row>
    <row r="2408" hidden="1">
      <c r="A2408" s="151" t="s">
        <v>217</v>
      </c>
      <c r="B2408" s="118" t="s">
        <v>191</v>
      </c>
      <c r="C2408" s="118" t="s">
        <v>206</v>
      </c>
      <c r="D2408" s="152" t="s">
        <v>2931</v>
      </c>
      <c r="E2408" s="152" t="s">
        <v>2944</v>
      </c>
      <c r="F2408" s="152" t="s">
        <v>483</v>
      </c>
      <c r="G2408" s="152" t="s">
        <v>2470</v>
      </c>
      <c r="H2408" s="153" t="s">
        <v>215</v>
      </c>
    </row>
    <row r="2409" hidden="1">
      <c r="A2409" s="154" t="s">
        <v>217</v>
      </c>
      <c r="B2409" s="155" t="s">
        <v>191</v>
      </c>
      <c r="C2409" s="155" t="s">
        <v>206</v>
      </c>
      <c r="D2409" s="156" t="s">
        <v>2931</v>
      </c>
      <c r="E2409" s="156" t="s">
        <v>2945</v>
      </c>
      <c r="F2409" s="156" t="s">
        <v>483</v>
      </c>
      <c r="G2409" s="156" t="s">
        <v>1836</v>
      </c>
      <c r="H2409" s="157" t="s">
        <v>216</v>
      </c>
    </row>
    <row r="2410" hidden="1">
      <c r="A2410" s="151" t="s">
        <v>218</v>
      </c>
      <c r="B2410" s="118" t="s">
        <v>219</v>
      </c>
      <c r="C2410" s="118" t="s">
        <v>206</v>
      </c>
      <c r="D2410" s="152" t="s">
        <v>2931</v>
      </c>
      <c r="E2410" s="152" t="s">
        <v>2946</v>
      </c>
      <c r="F2410" s="152" t="s">
        <v>249</v>
      </c>
      <c r="G2410" s="152" t="s">
        <v>1787</v>
      </c>
      <c r="H2410" s="153" t="s">
        <v>210</v>
      </c>
    </row>
    <row r="2411" hidden="1">
      <c r="A2411" s="154" t="s">
        <v>218</v>
      </c>
      <c r="B2411" s="155" t="s">
        <v>219</v>
      </c>
      <c r="C2411" s="155" t="s">
        <v>206</v>
      </c>
      <c r="D2411" s="156" t="s">
        <v>2931</v>
      </c>
      <c r="E2411" s="156" t="s">
        <v>2947</v>
      </c>
      <c r="F2411" s="156" t="s">
        <v>314</v>
      </c>
      <c r="G2411" s="156" t="s">
        <v>1737</v>
      </c>
      <c r="H2411" s="157" t="s">
        <v>211</v>
      </c>
    </row>
    <row r="2412" hidden="1">
      <c r="A2412" s="151" t="s">
        <v>218</v>
      </c>
      <c r="B2412" s="118" t="s">
        <v>219</v>
      </c>
      <c r="C2412" s="118" t="s">
        <v>206</v>
      </c>
      <c r="D2412" s="152" t="s">
        <v>2931</v>
      </c>
      <c r="E2412" s="152" t="s">
        <v>2948</v>
      </c>
      <c r="F2412" s="152" t="s">
        <v>331</v>
      </c>
      <c r="G2412" s="152" t="s">
        <v>1755</v>
      </c>
      <c r="H2412" s="153" t="s">
        <v>212</v>
      </c>
    </row>
    <row r="2413" hidden="1">
      <c r="A2413" s="154" t="s">
        <v>218</v>
      </c>
      <c r="B2413" s="155" t="s">
        <v>219</v>
      </c>
      <c r="C2413" s="155" t="s">
        <v>206</v>
      </c>
      <c r="D2413" s="156" t="s">
        <v>2931</v>
      </c>
      <c r="E2413" s="156" t="s">
        <v>2949</v>
      </c>
      <c r="F2413" s="156" t="s">
        <v>331</v>
      </c>
      <c r="G2413" s="156" t="s">
        <v>1883</v>
      </c>
      <c r="H2413" s="157" t="s">
        <v>213</v>
      </c>
    </row>
    <row r="2414" hidden="1">
      <c r="A2414" s="151" t="s">
        <v>218</v>
      </c>
      <c r="B2414" s="118" t="s">
        <v>219</v>
      </c>
      <c r="C2414" s="118" t="s">
        <v>206</v>
      </c>
      <c r="D2414" s="152" t="s">
        <v>2931</v>
      </c>
      <c r="E2414" s="152" t="s">
        <v>2950</v>
      </c>
      <c r="F2414" s="152" t="s">
        <v>331</v>
      </c>
      <c r="G2414" s="152" t="s">
        <v>1747</v>
      </c>
      <c r="H2414" s="153" t="s">
        <v>214</v>
      </c>
    </row>
    <row r="2415" hidden="1">
      <c r="A2415" s="154" t="s">
        <v>218</v>
      </c>
      <c r="B2415" s="155" t="s">
        <v>219</v>
      </c>
      <c r="C2415" s="155" t="s">
        <v>206</v>
      </c>
      <c r="D2415" s="156" t="s">
        <v>2931</v>
      </c>
      <c r="E2415" s="156" t="s">
        <v>2951</v>
      </c>
      <c r="F2415" s="156" t="s">
        <v>290</v>
      </c>
      <c r="G2415" s="156" t="s">
        <v>2409</v>
      </c>
      <c r="H2415" s="157" t="s">
        <v>215</v>
      </c>
    </row>
    <row r="2416" hidden="1">
      <c r="A2416" s="151" t="s">
        <v>218</v>
      </c>
      <c r="B2416" s="118" t="s">
        <v>219</v>
      </c>
      <c r="C2416" s="118" t="s">
        <v>206</v>
      </c>
      <c r="D2416" s="152" t="s">
        <v>2931</v>
      </c>
      <c r="E2416" s="152" t="s">
        <v>2952</v>
      </c>
      <c r="F2416" s="152" t="s">
        <v>249</v>
      </c>
      <c r="G2416" s="152" t="s">
        <v>2077</v>
      </c>
      <c r="H2416" s="153" t="s">
        <v>216</v>
      </c>
    </row>
    <row r="2417" hidden="1">
      <c r="A2417" s="154" t="s">
        <v>220</v>
      </c>
      <c r="B2417" s="155" t="s">
        <v>190</v>
      </c>
      <c r="C2417" s="155" t="s">
        <v>206</v>
      </c>
      <c r="D2417" s="156" t="s">
        <v>2931</v>
      </c>
      <c r="E2417" s="156" t="s">
        <v>2953</v>
      </c>
      <c r="F2417" s="156" t="s">
        <v>1551</v>
      </c>
      <c r="G2417" s="156" t="s">
        <v>2037</v>
      </c>
      <c r="H2417" s="157" t="s">
        <v>210</v>
      </c>
    </row>
    <row r="2418" hidden="1">
      <c r="A2418" s="151" t="s">
        <v>220</v>
      </c>
      <c r="B2418" s="118" t="s">
        <v>190</v>
      </c>
      <c r="C2418" s="118" t="s">
        <v>206</v>
      </c>
      <c r="D2418" s="152" t="s">
        <v>2931</v>
      </c>
      <c r="E2418" s="152" t="s">
        <v>2954</v>
      </c>
      <c r="F2418" s="152" t="s">
        <v>274</v>
      </c>
      <c r="G2418" s="152" t="s">
        <v>1911</v>
      </c>
      <c r="H2418" s="153" t="s">
        <v>211</v>
      </c>
    </row>
    <row r="2419" hidden="1">
      <c r="A2419" s="154" t="s">
        <v>220</v>
      </c>
      <c r="B2419" s="155" t="s">
        <v>190</v>
      </c>
      <c r="C2419" s="155" t="s">
        <v>206</v>
      </c>
      <c r="D2419" s="156" t="s">
        <v>2931</v>
      </c>
      <c r="E2419" s="156" t="s">
        <v>2955</v>
      </c>
      <c r="F2419" s="156" t="s">
        <v>240</v>
      </c>
      <c r="G2419" s="156" t="s">
        <v>2416</v>
      </c>
      <c r="H2419" s="157" t="s">
        <v>212</v>
      </c>
    </row>
    <row r="2420" hidden="1">
      <c r="A2420" s="151" t="s">
        <v>220</v>
      </c>
      <c r="B2420" s="118" t="s">
        <v>190</v>
      </c>
      <c r="C2420" s="118" t="s">
        <v>206</v>
      </c>
      <c r="D2420" s="152" t="s">
        <v>2931</v>
      </c>
      <c r="E2420" s="152" t="s">
        <v>2956</v>
      </c>
      <c r="F2420" s="152" t="s">
        <v>257</v>
      </c>
      <c r="G2420" s="152" t="s">
        <v>2812</v>
      </c>
      <c r="H2420" s="153" t="s">
        <v>213</v>
      </c>
    </row>
    <row r="2421" hidden="1">
      <c r="A2421" s="154" t="s">
        <v>220</v>
      </c>
      <c r="B2421" s="155" t="s">
        <v>190</v>
      </c>
      <c r="C2421" s="155" t="s">
        <v>206</v>
      </c>
      <c r="D2421" s="156" t="s">
        <v>2931</v>
      </c>
      <c r="E2421" s="156" t="s">
        <v>2957</v>
      </c>
      <c r="F2421" s="156" t="s">
        <v>308</v>
      </c>
      <c r="G2421" s="156" t="s">
        <v>2958</v>
      </c>
      <c r="H2421" s="157" t="s">
        <v>214</v>
      </c>
    </row>
    <row r="2422" hidden="1">
      <c r="A2422" s="151" t="s">
        <v>220</v>
      </c>
      <c r="B2422" s="118" t="s">
        <v>190</v>
      </c>
      <c r="C2422" s="118" t="s">
        <v>206</v>
      </c>
      <c r="D2422" s="152" t="s">
        <v>2931</v>
      </c>
      <c r="E2422" s="152" t="s">
        <v>2959</v>
      </c>
      <c r="F2422" s="152" t="s">
        <v>433</v>
      </c>
      <c r="G2422" s="152" t="s">
        <v>2958</v>
      </c>
      <c r="H2422" s="153" t="s">
        <v>215</v>
      </c>
    </row>
    <row r="2423" hidden="1">
      <c r="A2423" s="154" t="s">
        <v>220</v>
      </c>
      <c r="B2423" s="155" t="s">
        <v>190</v>
      </c>
      <c r="C2423" s="155" t="s">
        <v>206</v>
      </c>
      <c r="D2423" s="156" t="s">
        <v>2931</v>
      </c>
      <c r="E2423" s="156" t="s">
        <v>2960</v>
      </c>
      <c r="F2423" s="156" t="s">
        <v>279</v>
      </c>
      <c r="G2423" s="156" t="s">
        <v>1889</v>
      </c>
      <c r="H2423" s="157" t="s">
        <v>216</v>
      </c>
    </row>
    <row r="2424" hidden="1">
      <c r="A2424" s="151" t="s">
        <v>221</v>
      </c>
      <c r="B2424" s="118" t="s">
        <v>189</v>
      </c>
      <c r="C2424" s="118" t="s">
        <v>206</v>
      </c>
      <c r="D2424" s="152" t="s">
        <v>2931</v>
      </c>
      <c r="E2424" s="152" t="s">
        <v>2961</v>
      </c>
      <c r="F2424" s="152" t="s">
        <v>204</v>
      </c>
      <c r="G2424" s="152" t="s">
        <v>1925</v>
      </c>
      <c r="H2424" s="153" t="s">
        <v>210</v>
      </c>
    </row>
    <row r="2425" hidden="1">
      <c r="A2425" s="154" t="s">
        <v>221</v>
      </c>
      <c r="B2425" s="155" t="s">
        <v>189</v>
      </c>
      <c r="C2425" s="155" t="s">
        <v>206</v>
      </c>
      <c r="D2425" s="156" t="s">
        <v>2931</v>
      </c>
      <c r="E2425" s="156" t="s">
        <v>2962</v>
      </c>
      <c r="F2425" s="156" t="s">
        <v>285</v>
      </c>
      <c r="G2425" s="156" t="s">
        <v>2348</v>
      </c>
      <c r="H2425" s="157" t="s">
        <v>211</v>
      </c>
    </row>
    <row r="2426" hidden="1">
      <c r="A2426" s="151" t="s">
        <v>221</v>
      </c>
      <c r="B2426" s="118" t="s">
        <v>189</v>
      </c>
      <c r="C2426" s="118" t="s">
        <v>206</v>
      </c>
      <c r="D2426" s="152" t="s">
        <v>2931</v>
      </c>
      <c r="E2426" s="152" t="s">
        <v>2963</v>
      </c>
      <c r="F2426" s="152" t="s">
        <v>257</v>
      </c>
      <c r="G2426" s="152" t="s">
        <v>2818</v>
      </c>
      <c r="H2426" s="153" t="s">
        <v>212</v>
      </c>
    </row>
    <row r="2427" hidden="1">
      <c r="A2427" s="154" t="s">
        <v>221</v>
      </c>
      <c r="B2427" s="155" t="s">
        <v>189</v>
      </c>
      <c r="C2427" s="155" t="s">
        <v>206</v>
      </c>
      <c r="D2427" s="156" t="s">
        <v>2931</v>
      </c>
      <c r="E2427" s="156" t="s">
        <v>2964</v>
      </c>
      <c r="F2427" s="156" t="s">
        <v>255</v>
      </c>
      <c r="G2427" s="156" t="s">
        <v>2965</v>
      </c>
      <c r="H2427" s="157" t="s">
        <v>213</v>
      </c>
    </row>
    <row r="2428" hidden="1">
      <c r="A2428" s="151" t="s">
        <v>221</v>
      </c>
      <c r="B2428" s="118" t="s">
        <v>189</v>
      </c>
      <c r="C2428" s="118" t="s">
        <v>206</v>
      </c>
      <c r="D2428" s="152" t="s">
        <v>2931</v>
      </c>
      <c r="E2428" s="152" t="s">
        <v>2966</v>
      </c>
      <c r="F2428" s="152" t="s">
        <v>257</v>
      </c>
      <c r="G2428" s="152" t="s">
        <v>2967</v>
      </c>
      <c r="H2428" s="153" t="s">
        <v>214</v>
      </c>
    </row>
    <row r="2429" hidden="1">
      <c r="A2429" s="154" t="s">
        <v>221</v>
      </c>
      <c r="B2429" s="155" t="s">
        <v>189</v>
      </c>
      <c r="C2429" s="155" t="s">
        <v>206</v>
      </c>
      <c r="D2429" s="156" t="s">
        <v>2931</v>
      </c>
      <c r="E2429" s="156" t="s">
        <v>2968</v>
      </c>
      <c r="F2429" s="156" t="s">
        <v>357</v>
      </c>
      <c r="G2429" s="156" t="s">
        <v>2346</v>
      </c>
      <c r="H2429" s="157" t="s">
        <v>215</v>
      </c>
    </row>
    <row r="2430" hidden="1">
      <c r="A2430" s="151" t="s">
        <v>221</v>
      </c>
      <c r="B2430" s="118" t="s">
        <v>189</v>
      </c>
      <c r="C2430" s="118" t="s">
        <v>206</v>
      </c>
      <c r="D2430" s="152" t="s">
        <v>2931</v>
      </c>
      <c r="E2430" s="152" t="s">
        <v>2969</v>
      </c>
      <c r="F2430" s="152" t="s">
        <v>255</v>
      </c>
      <c r="G2430" s="152" t="s">
        <v>2970</v>
      </c>
      <c r="H2430" s="153" t="s">
        <v>216</v>
      </c>
    </row>
    <row r="2431" hidden="1">
      <c r="A2431" s="154" t="s">
        <v>222</v>
      </c>
      <c r="B2431" s="155" t="s">
        <v>192</v>
      </c>
      <c r="C2431" s="155" t="s">
        <v>206</v>
      </c>
      <c r="D2431" s="156" t="s">
        <v>2931</v>
      </c>
      <c r="E2431" s="156" t="s">
        <v>2971</v>
      </c>
      <c r="F2431" s="156" t="s">
        <v>354</v>
      </c>
      <c r="G2431" s="156" t="s">
        <v>1810</v>
      </c>
      <c r="H2431" s="157" t="s">
        <v>210</v>
      </c>
    </row>
    <row r="2432" hidden="1">
      <c r="A2432" s="151" t="s">
        <v>222</v>
      </c>
      <c r="B2432" s="118" t="s">
        <v>192</v>
      </c>
      <c r="C2432" s="118" t="s">
        <v>206</v>
      </c>
      <c r="D2432" s="152" t="s">
        <v>2931</v>
      </c>
      <c r="E2432" s="152" t="s">
        <v>2972</v>
      </c>
      <c r="F2432" s="152" t="s">
        <v>329</v>
      </c>
      <c r="G2432" s="152" t="s">
        <v>1810</v>
      </c>
      <c r="H2432" s="153" t="s">
        <v>211</v>
      </c>
    </row>
    <row r="2433" hidden="1">
      <c r="A2433" s="154" t="s">
        <v>222</v>
      </c>
      <c r="B2433" s="155" t="s">
        <v>192</v>
      </c>
      <c r="C2433" s="155" t="s">
        <v>206</v>
      </c>
      <c r="D2433" s="156" t="s">
        <v>2931</v>
      </c>
      <c r="E2433" s="156" t="s">
        <v>2973</v>
      </c>
      <c r="F2433" s="156" t="s">
        <v>336</v>
      </c>
      <c r="G2433" s="156" t="s">
        <v>1725</v>
      </c>
      <c r="H2433" s="157" t="s">
        <v>212</v>
      </c>
    </row>
    <row r="2434" hidden="1">
      <c r="A2434" s="151" t="s">
        <v>222</v>
      </c>
      <c r="B2434" s="118" t="s">
        <v>192</v>
      </c>
      <c r="C2434" s="118" t="s">
        <v>206</v>
      </c>
      <c r="D2434" s="152" t="s">
        <v>2931</v>
      </c>
      <c r="E2434" s="152" t="s">
        <v>2974</v>
      </c>
      <c r="F2434" s="152" t="s">
        <v>799</v>
      </c>
      <c r="G2434" s="152" t="s">
        <v>2034</v>
      </c>
      <c r="H2434" s="153" t="s">
        <v>213</v>
      </c>
    </row>
    <row r="2435" hidden="1">
      <c r="A2435" s="154" t="s">
        <v>222</v>
      </c>
      <c r="B2435" s="155" t="s">
        <v>192</v>
      </c>
      <c r="C2435" s="155" t="s">
        <v>206</v>
      </c>
      <c r="D2435" s="156" t="s">
        <v>2931</v>
      </c>
      <c r="E2435" s="156" t="s">
        <v>2975</v>
      </c>
      <c r="F2435" s="156" t="s">
        <v>425</v>
      </c>
      <c r="G2435" s="156" t="s">
        <v>1841</v>
      </c>
      <c r="H2435" s="157" t="s">
        <v>214</v>
      </c>
    </row>
    <row r="2436" hidden="1">
      <c r="A2436" s="151" t="s">
        <v>222</v>
      </c>
      <c r="B2436" s="118" t="s">
        <v>192</v>
      </c>
      <c r="C2436" s="118" t="s">
        <v>206</v>
      </c>
      <c r="D2436" s="152" t="s">
        <v>2931</v>
      </c>
      <c r="E2436" s="152" t="s">
        <v>2976</v>
      </c>
      <c r="F2436" s="152" t="s">
        <v>725</v>
      </c>
      <c r="G2436" s="152" t="s">
        <v>2211</v>
      </c>
      <c r="H2436" s="153" t="s">
        <v>215</v>
      </c>
    </row>
    <row r="2437" hidden="1">
      <c r="A2437" s="154" t="s">
        <v>222</v>
      </c>
      <c r="B2437" s="155" t="s">
        <v>192</v>
      </c>
      <c r="C2437" s="155" t="s">
        <v>206</v>
      </c>
      <c r="D2437" s="156" t="s">
        <v>2931</v>
      </c>
      <c r="E2437" s="156" t="s">
        <v>2977</v>
      </c>
      <c r="F2437" s="156" t="s">
        <v>799</v>
      </c>
      <c r="G2437" s="156" t="s">
        <v>2785</v>
      </c>
      <c r="H2437" s="157" t="s">
        <v>216</v>
      </c>
    </row>
    <row r="2438" hidden="1">
      <c r="A2438" s="151" t="s">
        <v>223</v>
      </c>
      <c r="B2438" s="118" t="s">
        <v>144</v>
      </c>
      <c r="C2438" s="118" t="s">
        <v>206</v>
      </c>
      <c r="D2438" s="152" t="s">
        <v>2931</v>
      </c>
      <c r="E2438" s="152" t="s">
        <v>2978</v>
      </c>
      <c r="F2438" s="152" t="s">
        <v>314</v>
      </c>
      <c r="G2438" s="152" t="s">
        <v>1816</v>
      </c>
      <c r="H2438" s="153" t="s">
        <v>210</v>
      </c>
    </row>
    <row r="2439" hidden="1">
      <c r="A2439" s="154" t="s">
        <v>223</v>
      </c>
      <c r="B2439" s="155" t="s">
        <v>144</v>
      </c>
      <c r="C2439" s="155" t="s">
        <v>206</v>
      </c>
      <c r="D2439" s="156" t="s">
        <v>2931</v>
      </c>
      <c r="E2439" s="156" t="s">
        <v>2979</v>
      </c>
      <c r="F2439" s="156" t="s">
        <v>305</v>
      </c>
      <c r="G2439" s="156" t="s">
        <v>2539</v>
      </c>
      <c r="H2439" s="157" t="s">
        <v>211</v>
      </c>
    </row>
    <row r="2440" hidden="1">
      <c r="A2440" s="151" t="s">
        <v>223</v>
      </c>
      <c r="B2440" s="118" t="s">
        <v>144</v>
      </c>
      <c r="C2440" s="118" t="s">
        <v>206</v>
      </c>
      <c r="D2440" s="152" t="s">
        <v>2931</v>
      </c>
      <c r="E2440" s="152" t="s">
        <v>2980</v>
      </c>
      <c r="F2440" s="152" t="s">
        <v>331</v>
      </c>
      <c r="G2440" s="152" t="s">
        <v>1856</v>
      </c>
      <c r="H2440" s="153" t="s">
        <v>212</v>
      </c>
    </row>
    <row r="2441" hidden="1">
      <c r="A2441" s="154" t="s">
        <v>223</v>
      </c>
      <c r="B2441" s="155" t="s">
        <v>144</v>
      </c>
      <c r="C2441" s="155" t="s">
        <v>206</v>
      </c>
      <c r="D2441" s="156" t="s">
        <v>2931</v>
      </c>
      <c r="E2441" s="156" t="s">
        <v>2981</v>
      </c>
      <c r="F2441" s="156" t="s">
        <v>427</v>
      </c>
      <c r="G2441" s="156" t="s">
        <v>635</v>
      </c>
      <c r="H2441" s="157" t="s">
        <v>213</v>
      </c>
    </row>
    <row r="2442" hidden="1">
      <c r="A2442" s="151" t="s">
        <v>223</v>
      </c>
      <c r="B2442" s="118" t="s">
        <v>144</v>
      </c>
      <c r="C2442" s="118" t="s">
        <v>206</v>
      </c>
      <c r="D2442" s="152" t="s">
        <v>2931</v>
      </c>
      <c r="E2442" s="152" t="s">
        <v>2982</v>
      </c>
      <c r="F2442" s="152" t="s">
        <v>290</v>
      </c>
      <c r="G2442" s="152" t="s">
        <v>2557</v>
      </c>
      <c r="H2442" s="153" t="s">
        <v>214</v>
      </c>
    </row>
    <row r="2443" hidden="1">
      <c r="A2443" s="154" t="s">
        <v>223</v>
      </c>
      <c r="B2443" s="155" t="s">
        <v>144</v>
      </c>
      <c r="C2443" s="155" t="s">
        <v>206</v>
      </c>
      <c r="D2443" s="156" t="s">
        <v>2931</v>
      </c>
      <c r="E2443" s="156" t="s">
        <v>2983</v>
      </c>
      <c r="F2443" s="156" t="s">
        <v>285</v>
      </c>
      <c r="G2443" s="156" t="s">
        <v>2864</v>
      </c>
      <c r="H2443" s="157" t="s">
        <v>215</v>
      </c>
    </row>
    <row r="2444" hidden="1">
      <c r="A2444" s="151" t="s">
        <v>223</v>
      </c>
      <c r="B2444" s="118" t="s">
        <v>144</v>
      </c>
      <c r="C2444" s="118" t="s">
        <v>206</v>
      </c>
      <c r="D2444" s="152" t="s">
        <v>2931</v>
      </c>
      <c r="E2444" s="152" t="s">
        <v>2984</v>
      </c>
      <c r="F2444" s="152" t="s">
        <v>331</v>
      </c>
      <c r="G2444" s="152" t="s">
        <v>2470</v>
      </c>
      <c r="H2444" s="153" t="s">
        <v>216</v>
      </c>
    </row>
    <row r="2445" hidden="1">
      <c r="A2445" s="154" t="s">
        <v>224</v>
      </c>
      <c r="B2445" s="155" t="s">
        <v>170</v>
      </c>
      <c r="C2445" s="155" t="s">
        <v>206</v>
      </c>
      <c r="D2445" s="156" t="s">
        <v>2931</v>
      </c>
      <c r="E2445" s="156" t="s">
        <v>2985</v>
      </c>
      <c r="F2445" s="156" t="s">
        <v>354</v>
      </c>
      <c r="G2445" s="156" t="s">
        <v>2986</v>
      </c>
      <c r="H2445" s="157" t="s">
        <v>210</v>
      </c>
    </row>
    <row r="2446" hidden="1">
      <c r="A2446" s="151" t="s">
        <v>224</v>
      </c>
      <c r="B2446" s="118" t="s">
        <v>170</v>
      </c>
      <c r="C2446" s="118" t="s">
        <v>206</v>
      </c>
      <c r="D2446" s="152" t="s">
        <v>2931</v>
      </c>
      <c r="E2446" s="152" t="s">
        <v>2987</v>
      </c>
      <c r="F2446" s="152" t="s">
        <v>673</v>
      </c>
      <c r="G2446" s="152" t="s">
        <v>2609</v>
      </c>
      <c r="H2446" s="153" t="s">
        <v>211</v>
      </c>
    </row>
    <row r="2447" hidden="1">
      <c r="A2447" s="154" t="s">
        <v>224</v>
      </c>
      <c r="B2447" s="155" t="s">
        <v>170</v>
      </c>
      <c r="C2447" s="155" t="s">
        <v>206</v>
      </c>
      <c r="D2447" s="156" t="s">
        <v>2931</v>
      </c>
      <c r="E2447" s="156" t="s">
        <v>2988</v>
      </c>
      <c r="F2447" s="156" t="s">
        <v>1948</v>
      </c>
      <c r="G2447" s="156" t="s">
        <v>2989</v>
      </c>
      <c r="H2447" s="157" t="s">
        <v>212</v>
      </c>
    </row>
    <row r="2448" hidden="1">
      <c r="A2448" s="151" t="s">
        <v>224</v>
      </c>
      <c r="B2448" s="118" t="s">
        <v>170</v>
      </c>
      <c r="C2448" s="118" t="s">
        <v>206</v>
      </c>
      <c r="D2448" s="152" t="s">
        <v>2931</v>
      </c>
      <c r="E2448" s="152" t="s">
        <v>2990</v>
      </c>
      <c r="F2448" s="152" t="s">
        <v>532</v>
      </c>
      <c r="G2448" s="152" t="s">
        <v>2289</v>
      </c>
      <c r="H2448" s="153" t="s">
        <v>213</v>
      </c>
    </row>
    <row r="2449" hidden="1">
      <c r="A2449" s="154" t="s">
        <v>224</v>
      </c>
      <c r="B2449" s="155" t="s">
        <v>170</v>
      </c>
      <c r="C2449" s="155" t="s">
        <v>206</v>
      </c>
      <c r="D2449" s="156" t="s">
        <v>2931</v>
      </c>
      <c r="E2449" s="156" t="s">
        <v>2991</v>
      </c>
      <c r="F2449" s="156" t="s">
        <v>405</v>
      </c>
      <c r="G2449" s="156" t="s">
        <v>2992</v>
      </c>
      <c r="H2449" s="157" t="s">
        <v>214</v>
      </c>
    </row>
    <row r="2450" hidden="1">
      <c r="A2450" s="151" t="s">
        <v>224</v>
      </c>
      <c r="B2450" s="118" t="s">
        <v>170</v>
      </c>
      <c r="C2450" s="118" t="s">
        <v>206</v>
      </c>
      <c r="D2450" s="152" t="s">
        <v>2931</v>
      </c>
      <c r="E2450" s="152" t="s">
        <v>2993</v>
      </c>
      <c r="F2450" s="152" t="s">
        <v>2994</v>
      </c>
      <c r="G2450" s="152" t="s">
        <v>2995</v>
      </c>
      <c r="H2450" s="153" t="s">
        <v>215</v>
      </c>
    </row>
    <row r="2451" hidden="1">
      <c r="A2451" s="154" t="s">
        <v>224</v>
      </c>
      <c r="B2451" s="155" t="s">
        <v>170</v>
      </c>
      <c r="C2451" s="155" t="s">
        <v>206</v>
      </c>
      <c r="D2451" s="156" t="s">
        <v>2931</v>
      </c>
      <c r="E2451" s="156" t="s">
        <v>2996</v>
      </c>
      <c r="F2451" s="156" t="s">
        <v>532</v>
      </c>
      <c r="G2451" s="156" t="s">
        <v>2609</v>
      </c>
      <c r="H2451" s="157" t="s">
        <v>216</v>
      </c>
    </row>
    <row r="2452" hidden="1">
      <c r="A2452" s="151" t="s">
        <v>225</v>
      </c>
      <c r="B2452" s="118" t="s">
        <v>226</v>
      </c>
      <c r="C2452" s="118" t="s">
        <v>206</v>
      </c>
      <c r="D2452" s="152" t="s">
        <v>2931</v>
      </c>
      <c r="E2452" s="152" t="s">
        <v>2997</v>
      </c>
      <c r="F2452" s="152" t="s">
        <v>298</v>
      </c>
      <c r="G2452" s="152" t="s">
        <v>2716</v>
      </c>
      <c r="H2452" s="153" t="s">
        <v>210</v>
      </c>
    </row>
    <row r="2453" hidden="1">
      <c r="A2453" s="154" t="s">
        <v>225</v>
      </c>
      <c r="B2453" s="155" t="s">
        <v>226</v>
      </c>
      <c r="C2453" s="155" t="s">
        <v>206</v>
      </c>
      <c r="D2453" s="156" t="s">
        <v>2931</v>
      </c>
      <c r="E2453" s="156" t="s">
        <v>2998</v>
      </c>
      <c r="F2453" s="156" t="s">
        <v>492</v>
      </c>
      <c r="G2453" s="156" t="s">
        <v>2999</v>
      </c>
      <c r="H2453" s="157" t="s">
        <v>211</v>
      </c>
    </row>
    <row r="2454" hidden="1">
      <c r="A2454" s="151" t="s">
        <v>225</v>
      </c>
      <c r="B2454" s="118" t="s">
        <v>226</v>
      </c>
      <c r="C2454" s="118" t="s">
        <v>206</v>
      </c>
      <c r="D2454" s="152" t="s">
        <v>2931</v>
      </c>
      <c r="E2454" s="152" t="s">
        <v>3000</v>
      </c>
      <c r="F2454" s="152" t="s">
        <v>301</v>
      </c>
      <c r="G2454" s="152" t="s">
        <v>3001</v>
      </c>
      <c r="H2454" s="153" t="s">
        <v>212</v>
      </c>
    </row>
    <row r="2455" hidden="1">
      <c r="A2455" s="154" t="s">
        <v>225</v>
      </c>
      <c r="B2455" s="155" t="s">
        <v>226</v>
      </c>
      <c r="C2455" s="155" t="s">
        <v>206</v>
      </c>
      <c r="D2455" s="156" t="s">
        <v>2931</v>
      </c>
      <c r="E2455" s="156" t="s">
        <v>3002</v>
      </c>
      <c r="F2455" s="156" t="s">
        <v>255</v>
      </c>
      <c r="G2455" s="156" t="s">
        <v>3003</v>
      </c>
      <c r="H2455" s="157" t="s">
        <v>213</v>
      </c>
    </row>
    <row r="2456" hidden="1">
      <c r="A2456" s="151" t="s">
        <v>225</v>
      </c>
      <c r="B2456" s="118" t="s">
        <v>226</v>
      </c>
      <c r="C2456" s="118" t="s">
        <v>206</v>
      </c>
      <c r="D2456" s="152" t="s">
        <v>2931</v>
      </c>
      <c r="E2456" s="152" t="s">
        <v>3004</v>
      </c>
      <c r="F2456" s="152" t="s">
        <v>240</v>
      </c>
      <c r="G2456" s="152" t="s">
        <v>2557</v>
      </c>
      <c r="H2456" s="153" t="s">
        <v>214</v>
      </c>
    </row>
    <row r="2457" hidden="1">
      <c r="A2457" s="154" t="s">
        <v>225</v>
      </c>
      <c r="B2457" s="155" t="s">
        <v>226</v>
      </c>
      <c r="C2457" s="155" t="s">
        <v>206</v>
      </c>
      <c r="D2457" s="156" t="s">
        <v>2931</v>
      </c>
      <c r="E2457" s="156" t="s">
        <v>3005</v>
      </c>
      <c r="F2457" s="156" t="s">
        <v>259</v>
      </c>
      <c r="G2457" s="156" t="s">
        <v>2785</v>
      </c>
      <c r="H2457" s="157" t="s">
        <v>215</v>
      </c>
    </row>
    <row r="2458" hidden="1">
      <c r="A2458" s="151" t="s">
        <v>225</v>
      </c>
      <c r="B2458" s="118" t="s">
        <v>226</v>
      </c>
      <c r="C2458" s="118" t="s">
        <v>206</v>
      </c>
      <c r="D2458" s="152" t="s">
        <v>2931</v>
      </c>
      <c r="E2458" s="152" t="s">
        <v>3006</v>
      </c>
      <c r="F2458" s="152" t="s">
        <v>492</v>
      </c>
      <c r="G2458" s="152" t="s">
        <v>3007</v>
      </c>
      <c r="H2458" s="153" t="s">
        <v>216</v>
      </c>
    </row>
    <row r="2459" hidden="1">
      <c r="A2459" s="154" t="s">
        <v>227</v>
      </c>
      <c r="B2459" s="155" t="s">
        <v>195</v>
      </c>
      <c r="C2459" s="155" t="s">
        <v>206</v>
      </c>
      <c r="D2459" s="156" t="s">
        <v>2931</v>
      </c>
      <c r="E2459" s="156" t="s">
        <v>3008</v>
      </c>
      <c r="F2459" s="156" t="s">
        <v>577</v>
      </c>
      <c r="G2459" s="156" t="s">
        <v>1957</v>
      </c>
      <c r="H2459" s="157" t="s">
        <v>210</v>
      </c>
    </row>
    <row r="2460" hidden="1">
      <c r="A2460" s="151" t="s">
        <v>227</v>
      </c>
      <c r="B2460" s="118" t="s">
        <v>195</v>
      </c>
      <c r="C2460" s="118" t="s">
        <v>206</v>
      </c>
      <c r="D2460" s="152" t="s">
        <v>2931</v>
      </c>
      <c r="E2460" s="152" t="s">
        <v>3009</v>
      </c>
      <c r="F2460" s="152" t="s">
        <v>735</v>
      </c>
      <c r="G2460" s="152" t="s">
        <v>3010</v>
      </c>
      <c r="H2460" s="153" t="s">
        <v>211</v>
      </c>
    </row>
    <row r="2461" hidden="1">
      <c r="A2461" s="154" t="s">
        <v>227</v>
      </c>
      <c r="B2461" s="155" t="s">
        <v>195</v>
      </c>
      <c r="C2461" s="155" t="s">
        <v>206</v>
      </c>
      <c r="D2461" s="156" t="s">
        <v>2931</v>
      </c>
      <c r="E2461" s="156" t="s">
        <v>3011</v>
      </c>
      <c r="F2461" s="156" t="s">
        <v>427</v>
      </c>
      <c r="G2461" s="156" t="s">
        <v>1846</v>
      </c>
      <c r="H2461" s="157" t="s">
        <v>212</v>
      </c>
    </row>
    <row r="2462" hidden="1">
      <c r="A2462" s="151" t="s">
        <v>227</v>
      </c>
      <c r="B2462" s="118" t="s">
        <v>195</v>
      </c>
      <c r="C2462" s="118" t="s">
        <v>206</v>
      </c>
      <c r="D2462" s="152" t="s">
        <v>2931</v>
      </c>
      <c r="E2462" s="152" t="s">
        <v>3012</v>
      </c>
      <c r="F2462" s="152" t="s">
        <v>336</v>
      </c>
      <c r="G2462" s="152" t="s">
        <v>2542</v>
      </c>
      <c r="H2462" s="153" t="s">
        <v>213</v>
      </c>
    </row>
    <row r="2463" hidden="1">
      <c r="A2463" s="154" t="s">
        <v>227</v>
      </c>
      <c r="B2463" s="155" t="s">
        <v>195</v>
      </c>
      <c r="C2463" s="155" t="s">
        <v>206</v>
      </c>
      <c r="D2463" s="156" t="s">
        <v>2931</v>
      </c>
      <c r="E2463" s="156" t="s">
        <v>3013</v>
      </c>
      <c r="F2463" s="156" t="s">
        <v>532</v>
      </c>
      <c r="G2463" s="156" t="s">
        <v>1976</v>
      </c>
      <c r="H2463" s="157" t="s">
        <v>214</v>
      </c>
    </row>
    <row r="2464" hidden="1">
      <c r="A2464" s="151" t="s">
        <v>227</v>
      </c>
      <c r="B2464" s="118" t="s">
        <v>195</v>
      </c>
      <c r="C2464" s="118" t="s">
        <v>206</v>
      </c>
      <c r="D2464" s="152" t="s">
        <v>2931</v>
      </c>
      <c r="E2464" s="152" t="s">
        <v>3014</v>
      </c>
      <c r="F2464" s="152" t="s">
        <v>677</v>
      </c>
      <c r="G2464" s="152" t="s">
        <v>1810</v>
      </c>
      <c r="H2464" s="153" t="s">
        <v>215</v>
      </c>
    </row>
    <row r="2465" hidden="1">
      <c r="A2465" s="154" t="s">
        <v>227</v>
      </c>
      <c r="B2465" s="155" t="s">
        <v>195</v>
      </c>
      <c r="C2465" s="155" t="s">
        <v>206</v>
      </c>
      <c r="D2465" s="156" t="s">
        <v>2931</v>
      </c>
      <c r="E2465" s="156" t="s">
        <v>3015</v>
      </c>
      <c r="F2465" s="156" t="s">
        <v>718</v>
      </c>
      <c r="G2465" s="156" t="s">
        <v>2534</v>
      </c>
      <c r="H2465" s="157" t="s">
        <v>216</v>
      </c>
    </row>
    <row r="2466" hidden="1">
      <c r="A2466" s="151" t="s">
        <v>228</v>
      </c>
      <c r="B2466" s="118" t="s">
        <v>138</v>
      </c>
      <c r="C2466" s="118" t="s">
        <v>206</v>
      </c>
      <c r="D2466" s="152" t="s">
        <v>2931</v>
      </c>
      <c r="E2466" s="152" t="s">
        <v>3016</v>
      </c>
      <c r="F2466" s="152" t="s">
        <v>285</v>
      </c>
      <c r="G2466" s="152" t="s">
        <v>2039</v>
      </c>
      <c r="H2466" s="153" t="s">
        <v>210</v>
      </c>
    </row>
    <row r="2467" hidden="1">
      <c r="A2467" s="154" t="s">
        <v>228</v>
      </c>
      <c r="B2467" s="155" t="s">
        <v>138</v>
      </c>
      <c r="C2467" s="155" t="s">
        <v>206</v>
      </c>
      <c r="D2467" s="156" t="s">
        <v>2931</v>
      </c>
      <c r="E2467" s="156" t="s">
        <v>3017</v>
      </c>
      <c r="F2467" s="156" t="s">
        <v>257</v>
      </c>
      <c r="G2467" s="156" t="s">
        <v>2043</v>
      </c>
      <c r="H2467" s="157" t="s">
        <v>211</v>
      </c>
    </row>
    <row r="2468" hidden="1">
      <c r="A2468" s="151" t="s">
        <v>228</v>
      </c>
      <c r="B2468" s="118" t="s">
        <v>138</v>
      </c>
      <c r="C2468" s="118" t="s">
        <v>206</v>
      </c>
      <c r="D2468" s="152" t="s">
        <v>2931</v>
      </c>
      <c r="E2468" s="152" t="s">
        <v>3018</v>
      </c>
      <c r="F2468" s="152" t="s">
        <v>265</v>
      </c>
      <c r="G2468" s="152" t="s">
        <v>2718</v>
      </c>
      <c r="H2468" s="153" t="s">
        <v>212</v>
      </c>
    </row>
    <row r="2469" hidden="1">
      <c r="A2469" s="154" t="s">
        <v>228</v>
      </c>
      <c r="B2469" s="155" t="s">
        <v>138</v>
      </c>
      <c r="C2469" s="155" t="s">
        <v>206</v>
      </c>
      <c r="D2469" s="156" t="s">
        <v>2931</v>
      </c>
      <c r="E2469" s="156" t="s">
        <v>3019</v>
      </c>
      <c r="F2469" s="156" t="s">
        <v>357</v>
      </c>
      <c r="G2469" s="156" t="s">
        <v>2563</v>
      </c>
      <c r="H2469" s="157" t="s">
        <v>213</v>
      </c>
    </row>
    <row r="2470" hidden="1">
      <c r="A2470" s="151" t="s">
        <v>228</v>
      </c>
      <c r="B2470" s="118" t="s">
        <v>138</v>
      </c>
      <c r="C2470" s="118" t="s">
        <v>206</v>
      </c>
      <c r="D2470" s="152" t="s">
        <v>2931</v>
      </c>
      <c r="E2470" s="152" t="s">
        <v>3020</v>
      </c>
      <c r="F2470" s="152" t="s">
        <v>255</v>
      </c>
      <c r="G2470" s="152" t="s">
        <v>2688</v>
      </c>
      <c r="H2470" s="153" t="s">
        <v>214</v>
      </c>
    </row>
    <row r="2471" hidden="1">
      <c r="A2471" s="154" t="s">
        <v>228</v>
      </c>
      <c r="B2471" s="155" t="s">
        <v>138</v>
      </c>
      <c r="C2471" s="155" t="s">
        <v>206</v>
      </c>
      <c r="D2471" s="156" t="s">
        <v>2931</v>
      </c>
      <c r="E2471" s="156" t="s">
        <v>3021</v>
      </c>
      <c r="F2471" s="156" t="s">
        <v>240</v>
      </c>
      <c r="G2471" s="156" t="s">
        <v>1841</v>
      </c>
      <c r="H2471" s="157" t="s">
        <v>215</v>
      </c>
    </row>
    <row r="2472" hidden="1">
      <c r="A2472" s="151" t="s">
        <v>228</v>
      </c>
      <c r="B2472" s="118" t="s">
        <v>138</v>
      </c>
      <c r="C2472" s="118" t="s">
        <v>206</v>
      </c>
      <c r="D2472" s="152" t="s">
        <v>2931</v>
      </c>
      <c r="E2472" s="152" t="s">
        <v>3022</v>
      </c>
      <c r="F2472" s="152" t="s">
        <v>242</v>
      </c>
      <c r="G2472" s="152" t="s">
        <v>2043</v>
      </c>
      <c r="H2472" s="153" t="s">
        <v>216</v>
      </c>
    </row>
    <row r="2473" hidden="1">
      <c r="A2473" s="154" t="s">
        <v>229</v>
      </c>
      <c r="B2473" s="155" t="s">
        <v>193</v>
      </c>
      <c r="C2473" s="155" t="s">
        <v>206</v>
      </c>
      <c r="D2473" s="156" t="s">
        <v>2931</v>
      </c>
      <c r="E2473" s="156" t="s">
        <v>3023</v>
      </c>
      <c r="F2473" s="156" t="s">
        <v>534</v>
      </c>
      <c r="G2473" s="156" t="s">
        <v>2686</v>
      </c>
      <c r="H2473" s="157" t="s">
        <v>210</v>
      </c>
    </row>
    <row r="2474" hidden="1">
      <c r="A2474" s="151" t="s">
        <v>229</v>
      </c>
      <c r="B2474" s="118" t="s">
        <v>193</v>
      </c>
      <c r="C2474" s="118" t="s">
        <v>206</v>
      </c>
      <c r="D2474" s="152" t="s">
        <v>2931</v>
      </c>
      <c r="E2474" s="152" t="s">
        <v>3024</v>
      </c>
      <c r="F2474" s="152" t="s">
        <v>314</v>
      </c>
      <c r="G2474" s="152" t="s">
        <v>2146</v>
      </c>
      <c r="H2474" s="153" t="s">
        <v>211</v>
      </c>
    </row>
    <row r="2475" hidden="1">
      <c r="A2475" s="154" t="s">
        <v>229</v>
      </c>
      <c r="B2475" s="155" t="s">
        <v>193</v>
      </c>
      <c r="C2475" s="155" t="s">
        <v>206</v>
      </c>
      <c r="D2475" s="156" t="s">
        <v>2931</v>
      </c>
      <c r="E2475" s="156" t="s">
        <v>3025</v>
      </c>
      <c r="F2475" s="156" t="s">
        <v>314</v>
      </c>
      <c r="G2475" s="156" t="s">
        <v>1743</v>
      </c>
      <c r="H2475" s="157" t="s">
        <v>212</v>
      </c>
    </row>
    <row r="2476" hidden="1">
      <c r="A2476" s="151" t="s">
        <v>229</v>
      </c>
      <c r="B2476" s="118" t="s">
        <v>193</v>
      </c>
      <c r="C2476" s="118" t="s">
        <v>206</v>
      </c>
      <c r="D2476" s="152" t="s">
        <v>2931</v>
      </c>
      <c r="E2476" s="152" t="s">
        <v>3026</v>
      </c>
      <c r="F2476" s="152" t="s">
        <v>354</v>
      </c>
      <c r="G2476" s="152" t="s">
        <v>2203</v>
      </c>
      <c r="H2476" s="153" t="s">
        <v>213</v>
      </c>
    </row>
    <row r="2477" hidden="1">
      <c r="A2477" s="154" t="s">
        <v>229</v>
      </c>
      <c r="B2477" s="155" t="s">
        <v>193</v>
      </c>
      <c r="C2477" s="155" t="s">
        <v>206</v>
      </c>
      <c r="D2477" s="156" t="s">
        <v>2931</v>
      </c>
      <c r="E2477" s="156" t="s">
        <v>3027</v>
      </c>
      <c r="F2477" s="156" t="s">
        <v>799</v>
      </c>
      <c r="G2477" s="156" t="s">
        <v>3028</v>
      </c>
      <c r="H2477" s="157" t="s">
        <v>214</v>
      </c>
    </row>
    <row r="2478" hidden="1">
      <c r="A2478" s="151" t="s">
        <v>229</v>
      </c>
      <c r="B2478" s="118" t="s">
        <v>193</v>
      </c>
      <c r="C2478" s="118" t="s">
        <v>206</v>
      </c>
      <c r="D2478" s="152" t="s">
        <v>2931</v>
      </c>
      <c r="E2478" s="152" t="s">
        <v>3029</v>
      </c>
      <c r="F2478" s="152" t="s">
        <v>357</v>
      </c>
      <c r="G2478" s="152" t="s">
        <v>2376</v>
      </c>
      <c r="H2478" s="153" t="s">
        <v>215</v>
      </c>
    </row>
    <row r="2479" hidden="1">
      <c r="A2479" s="154" t="s">
        <v>229</v>
      </c>
      <c r="B2479" s="155" t="s">
        <v>193</v>
      </c>
      <c r="C2479" s="155" t="s">
        <v>206</v>
      </c>
      <c r="D2479" s="156" t="s">
        <v>2931</v>
      </c>
      <c r="E2479" s="156" t="s">
        <v>3030</v>
      </c>
      <c r="F2479" s="156" t="s">
        <v>290</v>
      </c>
      <c r="G2479" s="156" t="s">
        <v>2686</v>
      </c>
      <c r="H2479" s="157" t="s">
        <v>216</v>
      </c>
    </row>
    <row r="2480" hidden="1">
      <c r="A2480" s="151" t="s">
        <v>230</v>
      </c>
      <c r="B2480" s="118" t="s">
        <v>194</v>
      </c>
      <c r="C2480" s="118" t="s">
        <v>206</v>
      </c>
      <c r="D2480" s="152" t="s">
        <v>2931</v>
      </c>
      <c r="E2480" s="152" t="s">
        <v>3031</v>
      </c>
      <c r="F2480" s="152" t="s">
        <v>354</v>
      </c>
      <c r="G2480" s="152" t="s">
        <v>2034</v>
      </c>
      <c r="H2480" s="153" t="s">
        <v>210</v>
      </c>
    </row>
    <row r="2481" hidden="1">
      <c r="A2481" s="154" t="s">
        <v>230</v>
      </c>
      <c r="B2481" s="155" t="s">
        <v>194</v>
      </c>
      <c r="C2481" s="155" t="s">
        <v>206</v>
      </c>
      <c r="D2481" s="156" t="s">
        <v>2931</v>
      </c>
      <c r="E2481" s="156" t="s">
        <v>3032</v>
      </c>
      <c r="F2481" s="156" t="s">
        <v>325</v>
      </c>
      <c r="G2481" s="156" t="s">
        <v>2680</v>
      </c>
      <c r="H2481" s="157" t="s">
        <v>211</v>
      </c>
    </row>
    <row r="2482" hidden="1">
      <c r="A2482" s="151" t="s">
        <v>230</v>
      </c>
      <c r="B2482" s="118" t="s">
        <v>194</v>
      </c>
      <c r="C2482" s="118" t="s">
        <v>206</v>
      </c>
      <c r="D2482" s="152" t="s">
        <v>2931</v>
      </c>
      <c r="E2482" s="152" t="s">
        <v>3033</v>
      </c>
      <c r="F2482" s="152" t="s">
        <v>799</v>
      </c>
      <c r="G2482" s="152" t="s">
        <v>1731</v>
      </c>
      <c r="H2482" s="153" t="s">
        <v>212</v>
      </c>
    </row>
    <row r="2483" hidden="1">
      <c r="A2483" s="154" t="s">
        <v>230</v>
      </c>
      <c r="B2483" s="155" t="s">
        <v>194</v>
      </c>
      <c r="C2483" s="155" t="s">
        <v>206</v>
      </c>
      <c r="D2483" s="156" t="s">
        <v>2931</v>
      </c>
      <c r="E2483" s="156" t="s">
        <v>3034</v>
      </c>
      <c r="F2483" s="156" t="s">
        <v>450</v>
      </c>
      <c r="G2483" s="156" t="s">
        <v>1729</v>
      </c>
      <c r="H2483" s="157" t="s">
        <v>213</v>
      </c>
    </row>
    <row r="2484" hidden="1">
      <c r="A2484" s="151" t="s">
        <v>230</v>
      </c>
      <c r="B2484" s="118" t="s">
        <v>194</v>
      </c>
      <c r="C2484" s="118" t="s">
        <v>206</v>
      </c>
      <c r="D2484" s="152" t="s">
        <v>2931</v>
      </c>
      <c r="E2484" s="152" t="s">
        <v>3035</v>
      </c>
      <c r="F2484" s="152" t="s">
        <v>290</v>
      </c>
      <c r="G2484" s="152" t="s">
        <v>2023</v>
      </c>
      <c r="H2484" s="153" t="s">
        <v>214</v>
      </c>
    </row>
    <row r="2485" hidden="1">
      <c r="A2485" s="154" t="s">
        <v>230</v>
      </c>
      <c r="B2485" s="155" t="s">
        <v>194</v>
      </c>
      <c r="C2485" s="155" t="s">
        <v>206</v>
      </c>
      <c r="D2485" s="156" t="s">
        <v>2931</v>
      </c>
      <c r="E2485" s="156" t="s">
        <v>3036</v>
      </c>
      <c r="F2485" s="156" t="s">
        <v>290</v>
      </c>
      <c r="G2485" s="156" t="s">
        <v>1812</v>
      </c>
      <c r="H2485" s="157" t="s">
        <v>215</v>
      </c>
    </row>
    <row r="2486" hidden="1">
      <c r="A2486" s="151" t="s">
        <v>230</v>
      </c>
      <c r="B2486" s="118" t="s">
        <v>194</v>
      </c>
      <c r="C2486" s="118" t="s">
        <v>206</v>
      </c>
      <c r="D2486" s="152" t="s">
        <v>2931</v>
      </c>
      <c r="E2486" s="152" t="s">
        <v>3037</v>
      </c>
      <c r="F2486" s="152" t="s">
        <v>425</v>
      </c>
      <c r="G2486" s="152" t="s">
        <v>2838</v>
      </c>
      <c r="H2486" s="153" t="s">
        <v>216</v>
      </c>
    </row>
    <row r="2487" hidden="1">
      <c r="A2487" s="158" t="s">
        <v>231</v>
      </c>
      <c r="B2487" s="159"/>
      <c r="C2487" s="155" t="s">
        <v>232</v>
      </c>
      <c r="D2487" s="156" t="s">
        <v>2931</v>
      </c>
      <c r="E2487" s="156" t="s">
        <v>3038</v>
      </c>
      <c r="F2487" s="156" t="s">
        <v>329</v>
      </c>
      <c r="G2487" s="156" t="s">
        <v>2790</v>
      </c>
      <c r="H2487" s="157" t="s">
        <v>210</v>
      </c>
    </row>
    <row r="2488" hidden="1">
      <c r="A2488" s="160" t="s">
        <v>231</v>
      </c>
      <c r="B2488" s="72"/>
      <c r="C2488" s="118" t="s">
        <v>232</v>
      </c>
      <c r="D2488" s="152" t="s">
        <v>2931</v>
      </c>
      <c r="E2488" s="152" t="s">
        <v>3039</v>
      </c>
      <c r="F2488" s="152" t="s">
        <v>310</v>
      </c>
      <c r="G2488" s="152" t="s">
        <v>1814</v>
      </c>
      <c r="H2488" s="153" t="s">
        <v>211</v>
      </c>
    </row>
    <row r="2489" hidden="1">
      <c r="A2489" s="158" t="s">
        <v>231</v>
      </c>
      <c r="B2489" s="159"/>
      <c r="C2489" s="155" t="s">
        <v>232</v>
      </c>
      <c r="D2489" s="156" t="s">
        <v>2931</v>
      </c>
      <c r="E2489" s="156" t="s">
        <v>3040</v>
      </c>
      <c r="F2489" s="156" t="s">
        <v>314</v>
      </c>
      <c r="G2489" s="156" t="s">
        <v>1741</v>
      </c>
      <c r="H2489" s="157" t="s">
        <v>212</v>
      </c>
    </row>
    <row r="2490" hidden="1">
      <c r="A2490" s="160" t="s">
        <v>231</v>
      </c>
      <c r="B2490" s="72"/>
      <c r="C2490" s="118" t="s">
        <v>232</v>
      </c>
      <c r="D2490" s="152" t="s">
        <v>2931</v>
      </c>
      <c r="E2490" s="152" t="s">
        <v>3041</v>
      </c>
      <c r="F2490" s="152" t="s">
        <v>718</v>
      </c>
      <c r="G2490" s="152" t="s">
        <v>2534</v>
      </c>
      <c r="H2490" s="153" t="s">
        <v>213</v>
      </c>
    </row>
    <row r="2491" hidden="1">
      <c r="A2491" s="158" t="s">
        <v>231</v>
      </c>
      <c r="B2491" s="159"/>
      <c r="C2491" s="155" t="s">
        <v>232</v>
      </c>
      <c r="D2491" s="156" t="s">
        <v>2931</v>
      </c>
      <c r="E2491" s="156" t="s">
        <v>3042</v>
      </c>
      <c r="F2491" s="156" t="s">
        <v>390</v>
      </c>
      <c r="G2491" s="156" t="s">
        <v>2686</v>
      </c>
      <c r="H2491" s="157" t="s">
        <v>214</v>
      </c>
    </row>
    <row r="2492" hidden="1">
      <c r="A2492" s="160" t="s">
        <v>231</v>
      </c>
      <c r="B2492" s="72"/>
      <c r="C2492" s="118" t="s">
        <v>232</v>
      </c>
      <c r="D2492" s="152" t="s">
        <v>2931</v>
      </c>
      <c r="E2492" s="152" t="s">
        <v>3043</v>
      </c>
      <c r="F2492" s="152" t="s">
        <v>321</v>
      </c>
      <c r="G2492" s="152" t="s">
        <v>1735</v>
      </c>
      <c r="H2492" s="153" t="s">
        <v>215</v>
      </c>
    </row>
    <row r="2493" hidden="1">
      <c r="A2493" s="158" t="s">
        <v>231</v>
      </c>
      <c r="B2493" s="159"/>
      <c r="C2493" s="155" t="s">
        <v>232</v>
      </c>
      <c r="D2493" s="156" t="s">
        <v>2931</v>
      </c>
      <c r="E2493" s="156" t="s">
        <v>3044</v>
      </c>
      <c r="F2493" s="156" t="s">
        <v>325</v>
      </c>
      <c r="G2493" s="156" t="s">
        <v>2530</v>
      </c>
      <c r="H2493" s="157" t="s">
        <v>216</v>
      </c>
    </row>
    <row r="2494" hidden="1">
      <c r="A2494" s="160" t="s">
        <v>233</v>
      </c>
      <c r="B2494" s="72"/>
      <c r="C2494" s="118" t="s">
        <v>232</v>
      </c>
      <c r="D2494" s="152" t="s">
        <v>2931</v>
      </c>
      <c r="E2494" s="152" t="s">
        <v>3045</v>
      </c>
      <c r="F2494" s="152" t="s">
        <v>290</v>
      </c>
      <c r="G2494" s="152" t="s">
        <v>1841</v>
      </c>
      <c r="H2494" s="153" t="s">
        <v>210</v>
      </c>
    </row>
    <row r="2495" hidden="1">
      <c r="A2495" s="158" t="s">
        <v>233</v>
      </c>
      <c r="B2495" s="159"/>
      <c r="C2495" s="155" t="s">
        <v>232</v>
      </c>
      <c r="D2495" s="156" t="s">
        <v>2931</v>
      </c>
      <c r="E2495" s="156" t="s">
        <v>3046</v>
      </c>
      <c r="F2495" s="156" t="s">
        <v>339</v>
      </c>
      <c r="G2495" s="156" t="s">
        <v>2539</v>
      </c>
      <c r="H2495" s="157" t="s">
        <v>211</v>
      </c>
    </row>
    <row r="2496" hidden="1">
      <c r="A2496" s="160" t="s">
        <v>233</v>
      </c>
      <c r="B2496" s="72"/>
      <c r="C2496" s="118" t="s">
        <v>232</v>
      </c>
      <c r="D2496" s="152" t="s">
        <v>2931</v>
      </c>
      <c r="E2496" s="152" t="s">
        <v>3047</v>
      </c>
      <c r="F2496" s="152" t="s">
        <v>339</v>
      </c>
      <c r="G2496" s="152" t="s">
        <v>2838</v>
      </c>
      <c r="H2496" s="153" t="s">
        <v>212</v>
      </c>
    </row>
    <row r="2497" hidden="1">
      <c r="A2497" s="158" t="s">
        <v>233</v>
      </c>
      <c r="B2497" s="159"/>
      <c r="C2497" s="155" t="s">
        <v>232</v>
      </c>
      <c r="D2497" s="156" t="s">
        <v>2931</v>
      </c>
      <c r="E2497" s="156" t="s">
        <v>3048</v>
      </c>
      <c r="F2497" s="156" t="s">
        <v>427</v>
      </c>
      <c r="G2497" s="156" t="s">
        <v>2025</v>
      </c>
      <c r="H2497" s="157" t="s">
        <v>213</v>
      </c>
    </row>
    <row r="2498" hidden="1">
      <c r="A2498" s="160" t="s">
        <v>233</v>
      </c>
      <c r="B2498" s="72"/>
      <c r="C2498" s="118" t="s">
        <v>232</v>
      </c>
      <c r="D2498" s="152" t="s">
        <v>2931</v>
      </c>
      <c r="E2498" s="152" t="s">
        <v>3049</v>
      </c>
      <c r="F2498" s="152" t="s">
        <v>336</v>
      </c>
      <c r="G2498" s="152" t="s">
        <v>2539</v>
      </c>
      <c r="H2498" s="153" t="s">
        <v>214</v>
      </c>
    </row>
    <row r="2499" hidden="1">
      <c r="A2499" s="158" t="s">
        <v>233</v>
      </c>
      <c r="B2499" s="159"/>
      <c r="C2499" s="155" t="s">
        <v>232</v>
      </c>
      <c r="D2499" s="156" t="s">
        <v>2931</v>
      </c>
      <c r="E2499" s="156" t="s">
        <v>3050</v>
      </c>
      <c r="F2499" s="156" t="s">
        <v>339</v>
      </c>
      <c r="G2499" s="156" t="s">
        <v>2539</v>
      </c>
      <c r="H2499" s="157" t="s">
        <v>215</v>
      </c>
    </row>
    <row r="2500" hidden="1">
      <c r="A2500" s="160" t="s">
        <v>233</v>
      </c>
      <c r="B2500" s="72"/>
      <c r="C2500" s="118" t="s">
        <v>232</v>
      </c>
      <c r="D2500" s="152" t="s">
        <v>2931</v>
      </c>
      <c r="E2500" s="152" t="s">
        <v>3051</v>
      </c>
      <c r="F2500" s="152" t="s">
        <v>305</v>
      </c>
      <c r="G2500" s="152" t="s">
        <v>1841</v>
      </c>
      <c r="H2500" s="153" t="s">
        <v>216</v>
      </c>
    </row>
    <row r="2501" hidden="1">
      <c r="A2501" s="158" t="s">
        <v>234</v>
      </c>
      <c r="B2501" s="159"/>
      <c r="C2501" s="155" t="s">
        <v>232</v>
      </c>
      <c r="D2501" s="156" t="s">
        <v>2931</v>
      </c>
      <c r="E2501" s="156" t="s">
        <v>3052</v>
      </c>
      <c r="F2501" s="156" t="s">
        <v>323</v>
      </c>
      <c r="G2501" s="156" t="s">
        <v>1949</v>
      </c>
      <c r="H2501" s="157" t="s">
        <v>210</v>
      </c>
    </row>
    <row r="2502" hidden="1">
      <c r="A2502" s="160" t="s">
        <v>234</v>
      </c>
      <c r="B2502" s="72"/>
      <c r="C2502" s="118" t="s">
        <v>232</v>
      </c>
      <c r="D2502" s="152" t="s">
        <v>2931</v>
      </c>
      <c r="E2502" s="152" t="s">
        <v>3053</v>
      </c>
      <c r="F2502" s="152" t="s">
        <v>310</v>
      </c>
      <c r="G2502" s="152" t="s">
        <v>2995</v>
      </c>
      <c r="H2502" s="153" t="s">
        <v>211</v>
      </c>
    </row>
    <row r="2503" hidden="1">
      <c r="A2503" s="158" t="s">
        <v>234</v>
      </c>
      <c r="B2503" s="159"/>
      <c r="C2503" s="155" t="s">
        <v>232</v>
      </c>
      <c r="D2503" s="156" t="s">
        <v>2931</v>
      </c>
      <c r="E2503" s="156" t="s">
        <v>3054</v>
      </c>
      <c r="F2503" s="156" t="s">
        <v>329</v>
      </c>
      <c r="G2503" s="156" t="s">
        <v>2910</v>
      </c>
      <c r="H2503" s="157" t="s">
        <v>212</v>
      </c>
    </row>
    <row r="2504" hidden="1">
      <c r="A2504" s="160" t="s">
        <v>234</v>
      </c>
      <c r="B2504" s="72"/>
      <c r="C2504" s="118" t="s">
        <v>232</v>
      </c>
      <c r="D2504" s="152" t="s">
        <v>2931</v>
      </c>
      <c r="E2504" s="152" t="s">
        <v>3055</v>
      </c>
      <c r="F2504" s="152" t="s">
        <v>314</v>
      </c>
      <c r="G2504" s="152" t="s">
        <v>2113</v>
      </c>
      <c r="H2504" s="153" t="s">
        <v>213</v>
      </c>
    </row>
    <row r="2505" hidden="1">
      <c r="A2505" s="158" t="s">
        <v>234</v>
      </c>
      <c r="B2505" s="159"/>
      <c r="C2505" s="155" t="s">
        <v>232</v>
      </c>
      <c r="D2505" s="156" t="s">
        <v>2931</v>
      </c>
      <c r="E2505" s="156" t="s">
        <v>3056</v>
      </c>
      <c r="F2505" s="156" t="s">
        <v>249</v>
      </c>
      <c r="G2505" s="156" t="s">
        <v>3057</v>
      </c>
      <c r="H2505" s="157" t="s">
        <v>214</v>
      </c>
    </row>
    <row r="2506" hidden="1">
      <c r="A2506" s="160" t="s">
        <v>234</v>
      </c>
      <c r="B2506" s="72"/>
      <c r="C2506" s="118" t="s">
        <v>232</v>
      </c>
      <c r="D2506" s="152" t="s">
        <v>2931</v>
      </c>
      <c r="E2506" s="152" t="s">
        <v>3058</v>
      </c>
      <c r="F2506" s="152" t="s">
        <v>534</v>
      </c>
      <c r="G2506" s="152" t="s">
        <v>3059</v>
      </c>
      <c r="H2506" s="153" t="s">
        <v>215</v>
      </c>
    </row>
    <row r="2507" hidden="1">
      <c r="A2507" s="158" t="s">
        <v>234</v>
      </c>
      <c r="B2507" s="159"/>
      <c r="C2507" s="155" t="s">
        <v>232</v>
      </c>
      <c r="D2507" s="156" t="s">
        <v>2931</v>
      </c>
      <c r="E2507" s="156" t="s">
        <v>3060</v>
      </c>
      <c r="F2507" s="156" t="s">
        <v>249</v>
      </c>
      <c r="G2507" s="156" t="s">
        <v>2602</v>
      </c>
      <c r="H2507" s="157" t="s">
        <v>216</v>
      </c>
    </row>
    <row r="2508" hidden="1">
      <c r="A2508" s="160" t="s">
        <v>235</v>
      </c>
      <c r="B2508" s="72"/>
      <c r="C2508" s="118" t="s">
        <v>236</v>
      </c>
      <c r="D2508" s="152" t="s">
        <v>2931</v>
      </c>
      <c r="E2508" s="152" t="s">
        <v>3061</v>
      </c>
      <c r="F2508" s="152" t="s">
        <v>450</v>
      </c>
      <c r="G2508" s="152" t="s">
        <v>2557</v>
      </c>
      <c r="H2508" s="153" t="s">
        <v>210</v>
      </c>
    </row>
    <row r="2509" hidden="1">
      <c r="A2509" s="158" t="s">
        <v>235</v>
      </c>
      <c r="B2509" s="159"/>
      <c r="C2509" s="155" t="s">
        <v>236</v>
      </c>
      <c r="D2509" s="156" t="s">
        <v>2931</v>
      </c>
      <c r="E2509" s="156" t="s">
        <v>3062</v>
      </c>
      <c r="F2509" s="156" t="s">
        <v>336</v>
      </c>
      <c r="G2509" s="156" t="s">
        <v>2060</v>
      </c>
      <c r="H2509" s="157" t="s">
        <v>211</v>
      </c>
    </row>
    <row r="2510" hidden="1">
      <c r="A2510" s="160" t="s">
        <v>235</v>
      </c>
      <c r="B2510" s="72"/>
      <c r="C2510" s="118" t="s">
        <v>236</v>
      </c>
      <c r="D2510" s="152" t="s">
        <v>2931</v>
      </c>
      <c r="E2510" s="152" t="s">
        <v>3063</v>
      </c>
      <c r="F2510" s="152" t="s">
        <v>325</v>
      </c>
      <c r="G2510" s="152" t="s">
        <v>1820</v>
      </c>
      <c r="H2510" s="153" t="s">
        <v>212</v>
      </c>
    </row>
    <row r="2511" hidden="1">
      <c r="A2511" s="158" t="s">
        <v>235</v>
      </c>
      <c r="B2511" s="159"/>
      <c r="C2511" s="155" t="s">
        <v>236</v>
      </c>
      <c r="D2511" s="156" t="s">
        <v>2931</v>
      </c>
      <c r="E2511" s="156" t="s">
        <v>3064</v>
      </c>
      <c r="F2511" s="156" t="s">
        <v>483</v>
      </c>
      <c r="G2511" s="156" t="s">
        <v>2539</v>
      </c>
      <c r="H2511" s="157" t="s">
        <v>213</v>
      </c>
    </row>
    <row r="2512" hidden="1">
      <c r="A2512" s="160" t="s">
        <v>235</v>
      </c>
      <c r="B2512" s="72"/>
      <c r="C2512" s="118" t="s">
        <v>236</v>
      </c>
      <c r="D2512" s="152" t="s">
        <v>2931</v>
      </c>
      <c r="E2512" s="152" t="s">
        <v>3065</v>
      </c>
      <c r="F2512" s="152" t="s">
        <v>799</v>
      </c>
      <c r="G2512" s="152" t="s">
        <v>2697</v>
      </c>
      <c r="H2512" s="153" t="s">
        <v>214</v>
      </c>
    </row>
    <row r="2513" hidden="1">
      <c r="A2513" s="158" t="s">
        <v>235</v>
      </c>
      <c r="B2513" s="159"/>
      <c r="C2513" s="155" t="s">
        <v>236</v>
      </c>
      <c r="D2513" s="156" t="s">
        <v>2931</v>
      </c>
      <c r="E2513" s="156" t="s">
        <v>3066</v>
      </c>
      <c r="F2513" s="156" t="s">
        <v>483</v>
      </c>
      <c r="G2513" s="156" t="s">
        <v>1856</v>
      </c>
      <c r="H2513" s="157" t="s">
        <v>215</v>
      </c>
    </row>
    <row r="2514" hidden="1">
      <c r="A2514" s="160" t="s">
        <v>235</v>
      </c>
      <c r="B2514" s="72"/>
      <c r="C2514" s="118" t="s">
        <v>236</v>
      </c>
      <c r="D2514" s="152" t="s">
        <v>2931</v>
      </c>
      <c r="E2514" s="152" t="s">
        <v>3067</v>
      </c>
      <c r="F2514" s="152" t="s">
        <v>450</v>
      </c>
      <c r="G2514" s="152" t="s">
        <v>2864</v>
      </c>
      <c r="H2514" s="153" t="s">
        <v>216</v>
      </c>
    </row>
    <row r="2515" hidden="1">
      <c r="A2515" s="158" t="s">
        <v>237</v>
      </c>
      <c r="B2515" s="159"/>
      <c r="C2515" s="155" t="s">
        <v>236</v>
      </c>
      <c r="D2515" s="156" t="s">
        <v>2931</v>
      </c>
      <c r="E2515" s="156" t="s">
        <v>3068</v>
      </c>
      <c r="F2515" s="156" t="s">
        <v>246</v>
      </c>
      <c r="G2515" s="156" t="s">
        <v>1923</v>
      </c>
      <c r="H2515" s="157" t="s">
        <v>210</v>
      </c>
    </row>
    <row r="2516" hidden="1">
      <c r="A2516" s="160" t="s">
        <v>237</v>
      </c>
      <c r="B2516" s="72"/>
      <c r="C2516" s="118" t="s">
        <v>236</v>
      </c>
      <c r="D2516" s="152" t="s">
        <v>2931</v>
      </c>
      <c r="E2516" s="152" t="s">
        <v>3069</v>
      </c>
      <c r="F2516" s="152" t="s">
        <v>308</v>
      </c>
      <c r="G2516" s="152" t="s">
        <v>2134</v>
      </c>
      <c r="H2516" s="153" t="s">
        <v>211</v>
      </c>
    </row>
    <row r="2517" hidden="1">
      <c r="A2517" s="158" t="s">
        <v>237</v>
      </c>
      <c r="B2517" s="159"/>
      <c r="C2517" s="155" t="s">
        <v>236</v>
      </c>
      <c r="D2517" s="156" t="s">
        <v>2931</v>
      </c>
      <c r="E2517" s="156" t="s">
        <v>3070</v>
      </c>
      <c r="F2517" s="156" t="s">
        <v>285</v>
      </c>
      <c r="G2517" s="156" t="s">
        <v>3071</v>
      </c>
      <c r="H2517" s="157" t="s">
        <v>212</v>
      </c>
    </row>
    <row r="2518" hidden="1">
      <c r="A2518" s="160" t="s">
        <v>237</v>
      </c>
      <c r="B2518" s="72"/>
      <c r="C2518" s="118" t="s">
        <v>236</v>
      </c>
      <c r="D2518" s="152" t="s">
        <v>2931</v>
      </c>
      <c r="E2518" s="152" t="s">
        <v>3072</v>
      </c>
      <c r="F2518" s="152" t="s">
        <v>365</v>
      </c>
      <c r="G2518" s="152" t="s">
        <v>2221</v>
      </c>
      <c r="H2518" s="153" t="s">
        <v>213</v>
      </c>
    </row>
    <row r="2519" hidden="1">
      <c r="A2519" s="158" t="s">
        <v>237</v>
      </c>
      <c r="B2519" s="159"/>
      <c r="C2519" s="155" t="s">
        <v>236</v>
      </c>
      <c r="D2519" s="156" t="s">
        <v>2931</v>
      </c>
      <c r="E2519" s="156" t="s">
        <v>3073</v>
      </c>
      <c r="F2519" s="156" t="s">
        <v>314</v>
      </c>
      <c r="G2519" s="156" t="s">
        <v>2301</v>
      </c>
      <c r="H2519" s="157" t="s">
        <v>214</v>
      </c>
    </row>
    <row r="2520" hidden="1">
      <c r="A2520" s="160" t="s">
        <v>237</v>
      </c>
      <c r="B2520" s="72"/>
      <c r="C2520" s="118" t="s">
        <v>236</v>
      </c>
      <c r="D2520" s="152" t="s">
        <v>2931</v>
      </c>
      <c r="E2520" s="152" t="s">
        <v>3074</v>
      </c>
      <c r="F2520" s="152" t="s">
        <v>246</v>
      </c>
      <c r="G2520" s="152" t="s">
        <v>3075</v>
      </c>
      <c r="H2520" s="153" t="s">
        <v>215</v>
      </c>
    </row>
    <row r="2521" hidden="1">
      <c r="A2521" s="158" t="s">
        <v>237</v>
      </c>
      <c r="B2521" s="159"/>
      <c r="C2521" s="155" t="s">
        <v>236</v>
      </c>
      <c r="D2521" s="156" t="s">
        <v>2931</v>
      </c>
      <c r="E2521" s="156" t="s">
        <v>3076</v>
      </c>
      <c r="F2521" s="156" t="s">
        <v>323</v>
      </c>
      <c r="G2521" s="156" t="s">
        <v>2472</v>
      </c>
      <c r="H2521" s="157" t="s">
        <v>216</v>
      </c>
    </row>
    <row r="2522" hidden="1">
      <c r="A2522" s="151" t="s">
        <v>204</v>
      </c>
      <c r="B2522" s="118" t="s">
        <v>205</v>
      </c>
      <c r="C2522" s="118" t="s">
        <v>206</v>
      </c>
      <c r="D2522" s="152" t="s">
        <v>3077</v>
      </c>
      <c r="E2522" s="152" t="s">
        <v>3078</v>
      </c>
      <c r="F2522" s="152" t="s">
        <v>329</v>
      </c>
      <c r="G2522" s="152" t="s">
        <v>1832</v>
      </c>
      <c r="H2522" s="153" t="s">
        <v>210</v>
      </c>
    </row>
    <row r="2523" hidden="1">
      <c r="A2523" s="154" t="s">
        <v>204</v>
      </c>
      <c r="B2523" s="155" t="s">
        <v>205</v>
      </c>
      <c r="C2523" s="155" t="s">
        <v>206</v>
      </c>
      <c r="D2523" s="156" t="s">
        <v>3077</v>
      </c>
      <c r="E2523" s="156" t="s">
        <v>3079</v>
      </c>
      <c r="F2523" s="156" t="s">
        <v>450</v>
      </c>
      <c r="G2523" s="156" t="s">
        <v>2472</v>
      </c>
      <c r="H2523" s="157" t="s">
        <v>211</v>
      </c>
    </row>
    <row r="2524" hidden="1">
      <c r="A2524" s="151" t="s">
        <v>204</v>
      </c>
      <c r="B2524" s="118" t="s">
        <v>205</v>
      </c>
      <c r="C2524" s="118" t="s">
        <v>206</v>
      </c>
      <c r="D2524" s="152" t="s">
        <v>3077</v>
      </c>
      <c r="E2524" s="152" t="s">
        <v>3080</v>
      </c>
      <c r="F2524" s="152" t="s">
        <v>483</v>
      </c>
      <c r="G2524" s="152" t="s">
        <v>3001</v>
      </c>
      <c r="H2524" s="153" t="s">
        <v>212</v>
      </c>
    </row>
    <row r="2525" hidden="1">
      <c r="A2525" s="154" t="s">
        <v>204</v>
      </c>
      <c r="B2525" s="155" t="s">
        <v>205</v>
      </c>
      <c r="C2525" s="155" t="s">
        <v>206</v>
      </c>
      <c r="D2525" s="156" t="s">
        <v>3077</v>
      </c>
      <c r="E2525" s="156" t="s">
        <v>3081</v>
      </c>
      <c r="F2525" s="156" t="s">
        <v>483</v>
      </c>
      <c r="G2525" s="156" t="s">
        <v>3075</v>
      </c>
      <c r="H2525" s="157" t="s">
        <v>213</v>
      </c>
    </row>
    <row r="2526" hidden="1">
      <c r="A2526" s="151" t="s">
        <v>204</v>
      </c>
      <c r="B2526" s="118" t="s">
        <v>205</v>
      </c>
      <c r="C2526" s="118" t="s">
        <v>206</v>
      </c>
      <c r="D2526" s="152" t="s">
        <v>3077</v>
      </c>
      <c r="E2526" s="152" t="s">
        <v>3082</v>
      </c>
      <c r="F2526" s="152" t="s">
        <v>339</v>
      </c>
      <c r="G2526" s="152" t="s">
        <v>2405</v>
      </c>
      <c r="H2526" s="153" t="s">
        <v>214</v>
      </c>
    </row>
    <row r="2527" hidden="1">
      <c r="A2527" s="154" t="s">
        <v>204</v>
      </c>
      <c r="B2527" s="155" t="s">
        <v>205</v>
      </c>
      <c r="C2527" s="155" t="s">
        <v>206</v>
      </c>
      <c r="D2527" s="156" t="s">
        <v>3077</v>
      </c>
      <c r="E2527" s="156" t="s">
        <v>3083</v>
      </c>
      <c r="F2527" s="156" t="s">
        <v>336</v>
      </c>
      <c r="G2527" s="156" t="s">
        <v>2045</v>
      </c>
      <c r="H2527" s="157" t="s">
        <v>215</v>
      </c>
    </row>
    <row r="2528" hidden="1">
      <c r="A2528" s="151" t="s">
        <v>204</v>
      </c>
      <c r="B2528" s="118" t="s">
        <v>205</v>
      </c>
      <c r="C2528" s="118" t="s">
        <v>206</v>
      </c>
      <c r="D2528" s="152" t="s">
        <v>3077</v>
      </c>
      <c r="E2528" s="152" t="s">
        <v>3084</v>
      </c>
      <c r="F2528" s="152" t="s">
        <v>425</v>
      </c>
      <c r="G2528" s="152" t="s">
        <v>2311</v>
      </c>
      <c r="H2528" s="153" t="s">
        <v>216</v>
      </c>
    </row>
    <row r="2529" hidden="1">
      <c r="A2529" s="154" t="s">
        <v>217</v>
      </c>
      <c r="B2529" s="155" t="s">
        <v>191</v>
      </c>
      <c r="C2529" s="155" t="s">
        <v>206</v>
      </c>
      <c r="D2529" s="156" t="s">
        <v>3077</v>
      </c>
      <c r="E2529" s="156" t="s">
        <v>3085</v>
      </c>
      <c r="F2529" s="156" t="s">
        <v>427</v>
      </c>
      <c r="G2529" s="156" t="s">
        <v>3001</v>
      </c>
      <c r="H2529" s="157" t="s">
        <v>210</v>
      </c>
    </row>
    <row r="2530" hidden="1">
      <c r="A2530" s="151" t="s">
        <v>217</v>
      </c>
      <c r="B2530" s="118" t="s">
        <v>191</v>
      </c>
      <c r="C2530" s="118" t="s">
        <v>206</v>
      </c>
      <c r="D2530" s="152" t="s">
        <v>3077</v>
      </c>
      <c r="E2530" s="152" t="s">
        <v>3086</v>
      </c>
      <c r="F2530" s="152" t="s">
        <v>354</v>
      </c>
      <c r="G2530" s="152" t="s">
        <v>2138</v>
      </c>
      <c r="H2530" s="153" t="s">
        <v>211</v>
      </c>
    </row>
    <row r="2531" hidden="1">
      <c r="A2531" s="154" t="s">
        <v>217</v>
      </c>
      <c r="B2531" s="155" t="s">
        <v>191</v>
      </c>
      <c r="C2531" s="155" t="s">
        <v>206</v>
      </c>
      <c r="D2531" s="156" t="s">
        <v>3077</v>
      </c>
      <c r="E2531" s="156" t="s">
        <v>3087</v>
      </c>
      <c r="F2531" s="156" t="s">
        <v>478</v>
      </c>
      <c r="G2531" s="156" t="s">
        <v>2138</v>
      </c>
      <c r="H2531" s="157" t="s">
        <v>212</v>
      </c>
    </row>
    <row r="2532" hidden="1">
      <c r="A2532" s="151" t="s">
        <v>217</v>
      </c>
      <c r="B2532" s="118" t="s">
        <v>191</v>
      </c>
      <c r="C2532" s="118" t="s">
        <v>206</v>
      </c>
      <c r="D2532" s="152" t="s">
        <v>3077</v>
      </c>
      <c r="E2532" s="152" t="s">
        <v>3088</v>
      </c>
      <c r="F2532" s="152" t="s">
        <v>1532</v>
      </c>
      <c r="G2532" s="152" t="s">
        <v>2134</v>
      </c>
      <c r="H2532" s="153" t="s">
        <v>213</v>
      </c>
    </row>
    <row r="2533" hidden="1">
      <c r="A2533" s="154" t="s">
        <v>217</v>
      </c>
      <c r="B2533" s="155" t="s">
        <v>191</v>
      </c>
      <c r="C2533" s="155" t="s">
        <v>206</v>
      </c>
      <c r="D2533" s="156" t="s">
        <v>3077</v>
      </c>
      <c r="E2533" s="156" t="s">
        <v>3089</v>
      </c>
      <c r="F2533" s="156" t="s">
        <v>354</v>
      </c>
      <c r="G2533" s="156" t="s">
        <v>2067</v>
      </c>
      <c r="H2533" s="157" t="s">
        <v>214</v>
      </c>
    </row>
    <row r="2534" hidden="1">
      <c r="A2534" s="151" t="s">
        <v>217</v>
      </c>
      <c r="B2534" s="118" t="s">
        <v>191</v>
      </c>
      <c r="C2534" s="118" t="s">
        <v>206</v>
      </c>
      <c r="D2534" s="152" t="s">
        <v>3077</v>
      </c>
      <c r="E2534" s="152" t="s">
        <v>3090</v>
      </c>
      <c r="F2534" s="152" t="s">
        <v>494</v>
      </c>
      <c r="G2534" s="152" t="s">
        <v>2391</v>
      </c>
      <c r="H2534" s="153" t="s">
        <v>215</v>
      </c>
    </row>
    <row r="2535" hidden="1">
      <c r="A2535" s="154" t="s">
        <v>217</v>
      </c>
      <c r="B2535" s="155" t="s">
        <v>191</v>
      </c>
      <c r="C2535" s="155" t="s">
        <v>206</v>
      </c>
      <c r="D2535" s="156" t="s">
        <v>3077</v>
      </c>
      <c r="E2535" s="156" t="s">
        <v>3091</v>
      </c>
      <c r="F2535" s="156" t="s">
        <v>483</v>
      </c>
      <c r="G2535" s="156" t="s">
        <v>2694</v>
      </c>
      <c r="H2535" s="157" t="s">
        <v>216</v>
      </c>
    </row>
    <row r="2536" hidden="1">
      <c r="A2536" s="151" t="s">
        <v>218</v>
      </c>
      <c r="B2536" s="118" t="s">
        <v>219</v>
      </c>
      <c r="C2536" s="118" t="s">
        <v>206</v>
      </c>
      <c r="D2536" s="152" t="s">
        <v>3077</v>
      </c>
      <c r="E2536" s="152" t="s">
        <v>3092</v>
      </c>
      <c r="F2536" s="152" t="s">
        <v>301</v>
      </c>
      <c r="G2536" s="152" t="s">
        <v>2409</v>
      </c>
      <c r="H2536" s="153" t="s">
        <v>210</v>
      </c>
    </row>
    <row r="2537" hidden="1">
      <c r="A2537" s="154" t="s">
        <v>218</v>
      </c>
      <c r="B2537" s="155" t="s">
        <v>219</v>
      </c>
      <c r="C2537" s="155" t="s">
        <v>206</v>
      </c>
      <c r="D2537" s="156" t="s">
        <v>3077</v>
      </c>
      <c r="E2537" s="156" t="s">
        <v>3093</v>
      </c>
      <c r="F2537" s="156" t="s">
        <v>246</v>
      </c>
      <c r="G2537" s="156" t="s">
        <v>1873</v>
      </c>
      <c r="H2537" s="157" t="s">
        <v>211</v>
      </c>
    </row>
    <row r="2538" hidden="1">
      <c r="A2538" s="151" t="s">
        <v>218</v>
      </c>
      <c r="B2538" s="118" t="s">
        <v>219</v>
      </c>
      <c r="C2538" s="118" t="s">
        <v>206</v>
      </c>
      <c r="D2538" s="152" t="s">
        <v>3077</v>
      </c>
      <c r="E2538" s="152" t="s">
        <v>3094</v>
      </c>
      <c r="F2538" s="152" t="s">
        <v>242</v>
      </c>
      <c r="G2538" s="152" t="s">
        <v>1755</v>
      </c>
      <c r="H2538" s="153" t="s">
        <v>212</v>
      </c>
    </row>
    <row r="2539" hidden="1">
      <c r="A2539" s="154" t="s">
        <v>218</v>
      </c>
      <c r="B2539" s="155" t="s">
        <v>219</v>
      </c>
      <c r="C2539" s="155" t="s">
        <v>206</v>
      </c>
      <c r="D2539" s="156" t="s">
        <v>3077</v>
      </c>
      <c r="E2539" s="156" t="s">
        <v>3095</v>
      </c>
      <c r="F2539" s="156" t="s">
        <v>287</v>
      </c>
      <c r="G2539" s="156" t="s">
        <v>1737</v>
      </c>
      <c r="H2539" s="157" t="s">
        <v>213</v>
      </c>
    </row>
    <row r="2540" hidden="1">
      <c r="A2540" s="151" t="s">
        <v>218</v>
      </c>
      <c r="B2540" s="118" t="s">
        <v>219</v>
      </c>
      <c r="C2540" s="118" t="s">
        <v>206</v>
      </c>
      <c r="D2540" s="152" t="s">
        <v>3077</v>
      </c>
      <c r="E2540" s="152" t="s">
        <v>3096</v>
      </c>
      <c r="F2540" s="152" t="s">
        <v>269</v>
      </c>
      <c r="G2540" s="152" t="s">
        <v>1778</v>
      </c>
      <c r="H2540" s="153" t="s">
        <v>214</v>
      </c>
    </row>
    <row r="2541" hidden="1">
      <c r="A2541" s="154" t="s">
        <v>218</v>
      </c>
      <c r="B2541" s="155" t="s">
        <v>219</v>
      </c>
      <c r="C2541" s="155" t="s">
        <v>206</v>
      </c>
      <c r="D2541" s="156" t="s">
        <v>3077</v>
      </c>
      <c r="E2541" s="156" t="s">
        <v>3097</v>
      </c>
      <c r="F2541" s="156" t="s">
        <v>257</v>
      </c>
      <c r="G2541" s="156" t="s">
        <v>2296</v>
      </c>
      <c r="H2541" s="157" t="s">
        <v>215</v>
      </c>
    </row>
    <row r="2542" hidden="1">
      <c r="A2542" s="151" t="s">
        <v>218</v>
      </c>
      <c r="B2542" s="118" t="s">
        <v>219</v>
      </c>
      <c r="C2542" s="118" t="s">
        <v>206</v>
      </c>
      <c r="D2542" s="152" t="s">
        <v>3077</v>
      </c>
      <c r="E2542" s="152" t="s">
        <v>3098</v>
      </c>
      <c r="F2542" s="152" t="s">
        <v>287</v>
      </c>
      <c r="G2542" s="152" t="s">
        <v>2077</v>
      </c>
      <c r="H2542" s="153" t="s">
        <v>216</v>
      </c>
    </row>
    <row r="2543" hidden="1">
      <c r="A2543" s="154" t="s">
        <v>220</v>
      </c>
      <c r="B2543" s="155" t="s">
        <v>190</v>
      </c>
      <c r="C2543" s="155" t="s">
        <v>206</v>
      </c>
      <c r="D2543" s="156" t="s">
        <v>3077</v>
      </c>
      <c r="E2543" s="156" t="s">
        <v>3099</v>
      </c>
      <c r="F2543" s="156" t="s">
        <v>265</v>
      </c>
      <c r="G2543" s="156" t="s">
        <v>1870</v>
      </c>
      <c r="H2543" s="157" t="s">
        <v>210</v>
      </c>
    </row>
    <row r="2544" hidden="1">
      <c r="A2544" s="151" t="s">
        <v>220</v>
      </c>
      <c r="B2544" s="118" t="s">
        <v>190</v>
      </c>
      <c r="C2544" s="118" t="s">
        <v>206</v>
      </c>
      <c r="D2544" s="152" t="s">
        <v>3077</v>
      </c>
      <c r="E2544" s="152" t="s">
        <v>3100</v>
      </c>
      <c r="F2544" s="152" t="s">
        <v>442</v>
      </c>
      <c r="G2544" s="152" t="s">
        <v>1739</v>
      </c>
      <c r="H2544" s="153" t="s">
        <v>211</v>
      </c>
    </row>
    <row r="2545" hidden="1">
      <c r="A2545" s="154" t="s">
        <v>220</v>
      </c>
      <c r="B2545" s="155" t="s">
        <v>190</v>
      </c>
      <c r="C2545" s="155" t="s">
        <v>206</v>
      </c>
      <c r="D2545" s="156" t="s">
        <v>3077</v>
      </c>
      <c r="E2545" s="156" t="s">
        <v>3101</v>
      </c>
      <c r="F2545" s="156" t="s">
        <v>259</v>
      </c>
      <c r="G2545" s="156" t="s">
        <v>1983</v>
      </c>
      <c r="H2545" s="157" t="s">
        <v>212</v>
      </c>
    </row>
    <row r="2546" hidden="1">
      <c r="A2546" s="151" t="s">
        <v>220</v>
      </c>
      <c r="B2546" s="118" t="s">
        <v>190</v>
      </c>
      <c r="C2546" s="118" t="s">
        <v>206</v>
      </c>
      <c r="D2546" s="152" t="s">
        <v>3077</v>
      </c>
      <c r="E2546" s="152" t="s">
        <v>3102</v>
      </c>
      <c r="F2546" s="152" t="s">
        <v>442</v>
      </c>
      <c r="G2546" s="152" t="s">
        <v>2087</v>
      </c>
      <c r="H2546" s="153" t="s">
        <v>213</v>
      </c>
    </row>
    <row r="2547" hidden="1">
      <c r="A2547" s="154" t="s">
        <v>220</v>
      </c>
      <c r="B2547" s="155" t="s">
        <v>190</v>
      </c>
      <c r="C2547" s="155" t="s">
        <v>206</v>
      </c>
      <c r="D2547" s="156" t="s">
        <v>3077</v>
      </c>
      <c r="E2547" s="156" t="s">
        <v>3103</v>
      </c>
      <c r="F2547" s="156" t="s">
        <v>274</v>
      </c>
      <c r="G2547" s="156" t="s">
        <v>1806</v>
      </c>
      <c r="H2547" s="157" t="s">
        <v>214</v>
      </c>
    </row>
    <row r="2548" hidden="1">
      <c r="A2548" s="151" t="s">
        <v>220</v>
      </c>
      <c r="B2548" s="118" t="s">
        <v>190</v>
      </c>
      <c r="C2548" s="118" t="s">
        <v>206</v>
      </c>
      <c r="D2548" s="152" t="s">
        <v>3077</v>
      </c>
      <c r="E2548" s="152" t="s">
        <v>3104</v>
      </c>
      <c r="F2548" s="152" t="s">
        <v>242</v>
      </c>
      <c r="G2548" s="152" t="s">
        <v>2085</v>
      </c>
      <c r="H2548" s="153" t="s">
        <v>215</v>
      </c>
    </row>
    <row r="2549" hidden="1">
      <c r="A2549" s="154" t="s">
        <v>220</v>
      </c>
      <c r="B2549" s="155" t="s">
        <v>190</v>
      </c>
      <c r="C2549" s="155" t="s">
        <v>206</v>
      </c>
      <c r="D2549" s="156" t="s">
        <v>3077</v>
      </c>
      <c r="E2549" s="156" t="s">
        <v>3105</v>
      </c>
      <c r="F2549" s="156" t="s">
        <v>276</v>
      </c>
      <c r="G2549" s="156" t="s">
        <v>1908</v>
      </c>
      <c r="H2549" s="157" t="s">
        <v>216</v>
      </c>
    </row>
    <row r="2550" hidden="1">
      <c r="A2550" s="151" t="s">
        <v>221</v>
      </c>
      <c r="B2550" s="118" t="s">
        <v>189</v>
      </c>
      <c r="C2550" s="118" t="s">
        <v>206</v>
      </c>
      <c r="D2550" s="152" t="s">
        <v>3077</v>
      </c>
      <c r="E2550" s="152" t="s">
        <v>3106</v>
      </c>
      <c r="F2550" s="152" t="s">
        <v>730</v>
      </c>
      <c r="G2550" s="152" t="s">
        <v>2816</v>
      </c>
      <c r="H2550" s="153" t="s">
        <v>210</v>
      </c>
    </row>
    <row r="2551" hidden="1">
      <c r="A2551" s="154" t="s">
        <v>221</v>
      </c>
      <c r="B2551" s="155" t="s">
        <v>189</v>
      </c>
      <c r="C2551" s="155" t="s">
        <v>206</v>
      </c>
      <c r="D2551" s="156" t="s">
        <v>3077</v>
      </c>
      <c r="E2551" s="156" t="s">
        <v>3107</v>
      </c>
      <c r="F2551" s="156" t="s">
        <v>305</v>
      </c>
      <c r="G2551" s="156" t="s">
        <v>3108</v>
      </c>
      <c r="H2551" s="157" t="s">
        <v>211</v>
      </c>
    </row>
    <row r="2552" hidden="1">
      <c r="A2552" s="151" t="s">
        <v>221</v>
      </c>
      <c r="B2552" s="118" t="s">
        <v>189</v>
      </c>
      <c r="C2552" s="118" t="s">
        <v>206</v>
      </c>
      <c r="D2552" s="152" t="s">
        <v>3077</v>
      </c>
      <c r="E2552" s="152" t="s">
        <v>3109</v>
      </c>
      <c r="F2552" s="152" t="s">
        <v>405</v>
      </c>
      <c r="G2552" s="152" t="s">
        <v>3108</v>
      </c>
      <c r="H2552" s="153" t="s">
        <v>212</v>
      </c>
    </row>
    <row r="2553" hidden="1">
      <c r="A2553" s="154" t="s">
        <v>221</v>
      </c>
      <c r="B2553" s="155" t="s">
        <v>189</v>
      </c>
      <c r="C2553" s="155" t="s">
        <v>206</v>
      </c>
      <c r="D2553" s="156" t="s">
        <v>3077</v>
      </c>
      <c r="E2553" s="156" t="s">
        <v>3110</v>
      </c>
      <c r="F2553" s="156" t="s">
        <v>2994</v>
      </c>
      <c r="G2553" s="156" t="s">
        <v>3111</v>
      </c>
      <c r="H2553" s="157" t="s">
        <v>213</v>
      </c>
    </row>
    <row r="2554" hidden="1">
      <c r="A2554" s="151" t="s">
        <v>221</v>
      </c>
      <c r="B2554" s="118" t="s">
        <v>189</v>
      </c>
      <c r="C2554" s="118" t="s">
        <v>206</v>
      </c>
      <c r="D2554" s="152" t="s">
        <v>3077</v>
      </c>
      <c r="E2554" s="152" t="s">
        <v>3112</v>
      </c>
      <c r="F2554" s="152" t="s">
        <v>1530</v>
      </c>
      <c r="G2554" s="152" t="s">
        <v>3113</v>
      </c>
      <c r="H2554" s="153" t="s">
        <v>214</v>
      </c>
    </row>
    <row r="2555" hidden="1">
      <c r="A2555" s="154" t="s">
        <v>221</v>
      </c>
      <c r="B2555" s="155" t="s">
        <v>189</v>
      </c>
      <c r="C2555" s="155" t="s">
        <v>206</v>
      </c>
      <c r="D2555" s="156" t="s">
        <v>3077</v>
      </c>
      <c r="E2555" s="156" t="s">
        <v>3114</v>
      </c>
      <c r="F2555" s="156" t="s">
        <v>249</v>
      </c>
      <c r="G2555" s="156" t="s">
        <v>3115</v>
      </c>
      <c r="H2555" s="157" t="s">
        <v>215</v>
      </c>
    </row>
    <row r="2556" hidden="1">
      <c r="A2556" s="151" t="s">
        <v>221</v>
      </c>
      <c r="B2556" s="118" t="s">
        <v>189</v>
      </c>
      <c r="C2556" s="118" t="s">
        <v>206</v>
      </c>
      <c r="D2556" s="152" t="s">
        <v>3077</v>
      </c>
      <c r="E2556" s="152" t="s">
        <v>3116</v>
      </c>
      <c r="F2556" s="152" t="s">
        <v>390</v>
      </c>
      <c r="G2556" s="152" t="s">
        <v>3117</v>
      </c>
      <c r="H2556" s="153" t="s">
        <v>216</v>
      </c>
    </row>
    <row r="2557" hidden="1">
      <c r="A2557" s="154" t="s">
        <v>222</v>
      </c>
      <c r="B2557" s="155" t="s">
        <v>192</v>
      </c>
      <c r="C2557" s="155" t="s">
        <v>206</v>
      </c>
      <c r="D2557" s="156" t="s">
        <v>3077</v>
      </c>
      <c r="E2557" s="156" t="s">
        <v>3118</v>
      </c>
      <c r="F2557" s="156" t="s">
        <v>310</v>
      </c>
      <c r="G2557" s="156" t="s">
        <v>2129</v>
      </c>
      <c r="H2557" s="157" t="s">
        <v>210</v>
      </c>
    </row>
    <row r="2558" hidden="1">
      <c r="A2558" s="151" t="s">
        <v>222</v>
      </c>
      <c r="B2558" s="118" t="s">
        <v>192</v>
      </c>
      <c r="C2558" s="118" t="s">
        <v>206</v>
      </c>
      <c r="D2558" s="152" t="s">
        <v>3077</v>
      </c>
      <c r="E2558" s="152" t="s">
        <v>3119</v>
      </c>
      <c r="F2558" s="152" t="s">
        <v>290</v>
      </c>
      <c r="G2558" s="152" t="s">
        <v>2070</v>
      </c>
      <c r="H2558" s="153" t="s">
        <v>211</v>
      </c>
    </row>
    <row r="2559" hidden="1">
      <c r="A2559" s="154" t="s">
        <v>222</v>
      </c>
      <c r="B2559" s="155" t="s">
        <v>192</v>
      </c>
      <c r="C2559" s="155" t="s">
        <v>206</v>
      </c>
      <c r="D2559" s="156" t="s">
        <v>3077</v>
      </c>
      <c r="E2559" s="156" t="s">
        <v>3120</v>
      </c>
      <c r="F2559" s="156" t="s">
        <v>310</v>
      </c>
      <c r="G2559" s="156" t="s">
        <v>2142</v>
      </c>
      <c r="H2559" s="157" t="s">
        <v>212</v>
      </c>
    </row>
    <row r="2560" hidden="1">
      <c r="A2560" s="151" t="s">
        <v>222</v>
      </c>
      <c r="B2560" s="118" t="s">
        <v>192</v>
      </c>
      <c r="C2560" s="118" t="s">
        <v>206</v>
      </c>
      <c r="D2560" s="152" t="s">
        <v>3077</v>
      </c>
      <c r="E2560" s="152" t="s">
        <v>3121</v>
      </c>
      <c r="F2560" s="152" t="s">
        <v>305</v>
      </c>
      <c r="G2560" s="152" t="s">
        <v>3010</v>
      </c>
      <c r="H2560" s="153" t="s">
        <v>213</v>
      </c>
    </row>
    <row r="2561" hidden="1">
      <c r="A2561" s="154" t="s">
        <v>222</v>
      </c>
      <c r="B2561" s="155" t="s">
        <v>192</v>
      </c>
      <c r="C2561" s="155" t="s">
        <v>206</v>
      </c>
      <c r="D2561" s="156" t="s">
        <v>3077</v>
      </c>
      <c r="E2561" s="156" t="s">
        <v>3122</v>
      </c>
      <c r="F2561" s="156" t="s">
        <v>310</v>
      </c>
      <c r="G2561" s="156" t="s">
        <v>2243</v>
      </c>
      <c r="H2561" s="157" t="s">
        <v>214</v>
      </c>
    </row>
    <row r="2562" hidden="1">
      <c r="A2562" s="151" t="s">
        <v>222</v>
      </c>
      <c r="B2562" s="118" t="s">
        <v>192</v>
      </c>
      <c r="C2562" s="118" t="s">
        <v>206</v>
      </c>
      <c r="D2562" s="152" t="s">
        <v>3077</v>
      </c>
      <c r="E2562" s="152" t="s">
        <v>3123</v>
      </c>
      <c r="F2562" s="152" t="s">
        <v>478</v>
      </c>
      <c r="G2562" s="152" t="s">
        <v>2067</v>
      </c>
      <c r="H2562" s="153" t="s">
        <v>215</v>
      </c>
    </row>
    <row r="2563" hidden="1">
      <c r="A2563" s="154" t="s">
        <v>222</v>
      </c>
      <c r="B2563" s="155" t="s">
        <v>192</v>
      </c>
      <c r="C2563" s="155" t="s">
        <v>206</v>
      </c>
      <c r="D2563" s="156" t="s">
        <v>3077</v>
      </c>
      <c r="E2563" s="156" t="s">
        <v>3124</v>
      </c>
      <c r="F2563" s="156" t="s">
        <v>310</v>
      </c>
      <c r="G2563" s="156" t="s">
        <v>2070</v>
      </c>
      <c r="H2563" s="157" t="s">
        <v>216</v>
      </c>
    </row>
    <row r="2564" hidden="1">
      <c r="A2564" s="151" t="s">
        <v>223</v>
      </c>
      <c r="B2564" s="118" t="s">
        <v>144</v>
      </c>
      <c r="C2564" s="118" t="s">
        <v>206</v>
      </c>
      <c r="D2564" s="152" t="s">
        <v>3077</v>
      </c>
      <c r="E2564" s="152" t="s">
        <v>3125</v>
      </c>
      <c r="F2564" s="152" t="s">
        <v>718</v>
      </c>
      <c r="G2564" s="152" t="s">
        <v>2062</v>
      </c>
      <c r="H2564" s="153" t="s">
        <v>210</v>
      </c>
    </row>
    <row r="2565" hidden="1">
      <c r="A2565" s="154" t="s">
        <v>223</v>
      </c>
      <c r="B2565" s="155" t="s">
        <v>144</v>
      </c>
      <c r="C2565" s="155" t="s">
        <v>206</v>
      </c>
      <c r="D2565" s="156" t="s">
        <v>3077</v>
      </c>
      <c r="E2565" s="156" t="s">
        <v>3126</v>
      </c>
      <c r="F2565" s="156" t="s">
        <v>339</v>
      </c>
      <c r="G2565" s="156" t="s">
        <v>2852</v>
      </c>
      <c r="H2565" s="157" t="s">
        <v>211</v>
      </c>
    </row>
    <row r="2566" hidden="1">
      <c r="A2566" s="151" t="s">
        <v>223</v>
      </c>
      <c r="B2566" s="118" t="s">
        <v>144</v>
      </c>
      <c r="C2566" s="118" t="s">
        <v>206</v>
      </c>
      <c r="D2566" s="152" t="s">
        <v>3077</v>
      </c>
      <c r="E2566" s="152" t="s">
        <v>3127</v>
      </c>
      <c r="F2566" s="152" t="s">
        <v>534</v>
      </c>
      <c r="G2566" s="152" t="s">
        <v>2132</v>
      </c>
      <c r="H2566" s="153" t="s">
        <v>212</v>
      </c>
    </row>
    <row r="2567" hidden="1">
      <c r="A2567" s="154" t="s">
        <v>223</v>
      </c>
      <c r="B2567" s="155" t="s">
        <v>144</v>
      </c>
      <c r="C2567" s="155" t="s">
        <v>206</v>
      </c>
      <c r="D2567" s="156" t="s">
        <v>3077</v>
      </c>
      <c r="E2567" s="156" t="s">
        <v>3128</v>
      </c>
      <c r="F2567" s="156" t="s">
        <v>534</v>
      </c>
      <c r="G2567" s="156" t="s">
        <v>2025</v>
      </c>
      <c r="H2567" s="157" t="s">
        <v>213</v>
      </c>
    </row>
    <row r="2568" hidden="1">
      <c r="A2568" s="151" t="s">
        <v>223</v>
      </c>
      <c r="B2568" s="118" t="s">
        <v>144</v>
      </c>
      <c r="C2568" s="118" t="s">
        <v>206</v>
      </c>
      <c r="D2568" s="152" t="s">
        <v>3077</v>
      </c>
      <c r="E2568" s="152" t="s">
        <v>3129</v>
      </c>
      <c r="F2568" s="152" t="s">
        <v>534</v>
      </c>
      <c r="G2568" s="152" t="s">
        <v>2043</v>
      </c>
      <c r="H2568" s="153" t="s">
        <v>214</v>
      </c>
    </row>
    <row r="2569" hidden="1">
      <c r="A2569" s="154" t="s">
        <v>223</v>
      </c>
      <c r="B2569" s="155" t="s">
        <v>144</v>
      </c>
      <c r="C2569" s="155" t="s">
        <v>206</v>
      </c>
      <c r="D2569" s="156" t="s">
        <v>3077</v>
      </c>
      <c r="E2569" s="156" t="s">
        <v>3130</v>
      </c>
      <c r="F2569" s="156" t="s">
        <v>534</v>
      </c>
      <c r="G2569" s="156" t="s">
        <v>2542</v>
      </c>
      <c r="H2569" s="157" t="s">
        <v>215</v>
      </c>
    </row>
    <row r="2570" hidden="1">
      <c r="A2570" s="151" t="s">
        <v>223</v>
      </c>
      <c r="B2570" s="118" t="s">
        <v>144</v>
      </c>
      <c r="C2570" s="118" t="s">
        <v>206</v>
      </c>
      <c r="D2570" s="152" t="s">
        <v>3077</v>
      </c>
      <c r="E2570" s="152" t="s">
        <v>3131</v>
      </c>
      <c r="F2570" s="152" t="s">
        <v>329</v>
      </c>
      <c r="G2570" s="152" t="s">
        <v>1868</v>
      </c>
      <c r="H2570" s="153" t="s">
        <v>216</v>
      </c>
    </row>
    <row r="2571" hidden="1">
      <c r="A2571" s="154" t="s">
        <v>224</v>
      </c>
      <c r="B2571" s="155" t="s">
        <v>170</v>
      </c>
      <c r="C2571" s="155" t="s">
        <v>206</v>
      </c>
      <c r="D2571" s="156" t="s">
        <v>3077</v>
      </c>
      <c r="E2571" s="156" t="s">
        <v>3132</v>
      </c>
      <c r="F2571" s="156" t="s">
        <v>351</v>
      </c>
      <c r="G2571" s="156" t="s">
        <v>1927</v>
      </c>
      <c r="H2571" s="157" t="s">
        <v>210</v>
      </c>
    </row>
    <row r="2572" hidden="1">
      <c r="A2572" s="151" t="s">
        <v>224</v>
      </c>
      <c r="B2572" s="118" t="s">
        <v>170</v>
      </c>
      <c r="C2572" s="118" t="s">
        <v>206</v>
      </c>
      <c r="D2572" s="152" t="s">
        <v>3077</v>
      </c>
      <c r="E2572" s="152" t="s">
        <v>3133</v>
      </c>
      <c r="F2572" s="152" t="s">
        <v>577</v>
      </c>
      <c r="G2572" s="152" t="s">
        <v>2814</v>
      </c>
      <c r="H2572" s="153" t="s">
        <v>211</v>
      </c>
    </row>
    <row r="2573" hidden="1">
      <c r="A2573" s="154" t="s">
        <v>224</v>
      </c>
      <c r="B2573" s="155" t="s">
        <v>170</v>
      </c>
      <c r="C2573" s="155" t="s">
        <v>206</v>
      </c>
      <c r="D2573" s="156" t="s">
        <v>3077</v>
      </c>
      <c r="E2573" s="156" t="s">
        <v>3134</v>
      </c>
      <c r="F2573" s="156" t="s">
        <v>577</v>
      </c>
      <c r="G2573" s="156" t="s">
        <v>2826</v>
      </c>
      <c r="H2573" s="157" t="s">
        <v>212</v>
      </c>
    </row>
    <row r="2574" hidden="1">
      <c r="A2574" s="151" t="s">
        <v>224</v>
      </c>
      <c r="B2574" s="118" t="s">
        <v>170</v>
      </c>
      <c r="C2574" s="118" t="s">
        <v>206</v>
      </c>
      <c r="D2574" s="152" t="s">
        <v>3077</v>
      </c>
      <c r="E2574" s="152" t="s">
        <v>3135</v>
      </c>
      <c r="F2574" s="152" t="s">
        <v>725</v>
      </c>
      <c r="G2574" s="152" t="s">
        <v>3136</v>
      </c>
      <c r="H2574" s="153" t="s">
        <v>213</v>
      </c>
    </row>
    <row r="2575" hidden="1">
      <c r="A2575" s="154" t="s">
        <v>224</v>
      </c>
      <c r="B2575" s="155" t="s">
        <v>170</v>
      </c>
      <c r="C2575" s="155" t="s">
        <v>206</v>
      </c>
      <c r="D2575" s="156" t="s">
        <v>3077</v>
      </c>
      <c r="E2575" s="156" t="s">
        <v>3137</v>
      </c>
      <c r="F2575" s="156" t="s">
        <v>336</v>
      </c>
      <c r="G2575" s="156" t="s">
        <v>3138</v>
      </c>
      <c r="H2575" s="157" t="s">
        <v>214</v>
      </c>
    </row>
    <row r="2576" hidden="1">
      <c r="A2576" s="151" t="s">
        <v>224</v>
      </c>
      <c r="B2576" s="118" t="s">
        <v>170</v>
      </c>
      <c r="C2576" s="118" t="s">
        <v>206</v>
      </c>
      <c r="D2576" s="152" t="s">
        <v>3077</v>
      </c>
      <c r="E2576" s="152" t="s">
        <v>3139</v>
      </c>
      <c r="F2576" s="152" t="s">
        <v>532</v>
      </c>
      <c r="G2576" s="152" t="s">
        <v>2667</v>
      </c>
      <c r="H2576" s="153" t="s">
        <v>215</v>
      </c>
    </row>
    <row r="2577" hidden="1">
      <c r="A2577" s="154" t="s">
        <v>224</v>
      </c>
      <c r="B2577" s="155" t="s">
        <v>170</v>
      </c>
      <c r="C2577" s="155" t="s">
        <v>206</v>
      </c>
      <c r="D2577" s="156" t="s">
        <v>3077</v>
      </c>
      <c r="E2577" s="156" t="s">
        <v>3140</v>
      </c>
      <c r="F2577" s="156" t="s">
        <v>483</v>
      </c>
      <c r="G2577" s="156" t="s">
        <v>3057</v>
      </c>
      <c r="H2577" s="157" t="s">
        <v>216</v>
      </c>
    </row>
    <row r="2578" hidden="1">
      <c r="A2578" s="151" t="s">
        <v>225</v>
      </c>
      <c r="B2578" s="118" t="s">
        <v>226</v>
      </c>
      <c r="C2578" s="118" t="s">
        <v>206</v>
      </c>
      <c r="D2578" s="152" t="s">
        <v>3077</v>
      </c>
      <c r="E2578" s="152" t="s">
        <v>3141</v>
      </c>
      <c r="F2578" s="152" t="s">
        <v>2435</v>
      </c>
      <c r="G2578" s="152" t="s">
        <v>3142</v>
      </c>
      <c r="H2578" s="153" t="s">
        <v>210</v>
      </c>
    </row>
    <row r="2579" hidden="1">
      <c r="A2579" s="154" t="s">
        <v>225</v>
      </c>
      <c r="B2579" s="155" t="s">
        <v>226</v>
      </c>
      <c r="C2579" s="155" t="s">
        <v>206</v>
      </c>
      <c r="D2579" s="156" t="s">
        <v>3077</v>
      </c>
      <c r="E2579" s="156" t="s">
        <v>3143</v>
      </c>
      <c r="F2579" s="156" t="s">
        <v>641</v>
      </c>
      <c r="G2579" s="156" t="s">
        <v>1995</v>
      </c>
      <c r="H2579" s="157" t="s">
        <v>211</v>
      </c>
    </row>
    <row r="2580" hidden="1">
      <c r="A2580" s="151" t="s">
        <v>225</v>
      </c>
      <c r="B2580" s="118" t="s">
        <v>226</v>
      </c>
      <c r="C2580" s="118" t="s">
        <v>206</v>
      </c>
      <c r="D2580" s="152" t="s">
        <v>3077</v>
      </c>
      <c r="E2580" s="152" t="s">
        <v>3144</v>
      </c>
      <c r="F2580" s="152" t="s">
        <v>3145</v>
      </c>
      <c r="G2580" s="152" t="s">
        <v>2219</v>
      </c>
      <c r="H2580" s="153" t="s">
        <v>212</v>
      </c>
    </row>
    <row r="2581" hidden="1">
      <c r="A2581" s="154" t="s">
        <v>225</v>
      </c>
      <c r="B2581" s="155" t="s">
        <v>226</v>
      </c>
      <c r="C2581" s="155" t="s">
        <v>206</v>
      </c>
      <c r="D2581" s="156" t="s">
        <v>3077</v>
      </c>
      <c r="E2581" s="156" t="s">
        <v>3146</v>
      </c>
      <c r="F2581" s="156" t="s">
        <v>675</v>
      </c>
      <c r="G2581" s="156" t="s">
        <v>2965</v>
      </c>
      <c r="H2581" s="157" t="s">
        <v>213</v>
      </c>
    </row>
    <row r="2582" hidden="1">
      <c r="A2582" s="151" t="s">
        <v>225</v>
      </c>
      <c r="B2582" s="118" t="s">
        <v>226</v>
      </c>
      <c r="C2582" s="118" t="s">
        <v>206</v>
      </c>
      <c r="D2582" s="152" t="s">
        <v>3077</v>
      </c>
      <c r="E2582" s="152" t="s">
        <v>3147</v>
      </c>
      <c r="F2582" s="152" t="s">
        <v>3148</v>
      </c>
      <c r="G2582" s="152" t="s">
        <v>2457</v>
      </c>
      <c r="H2582" s="153" t="s">
        <v>214</v>
      </c>
    </row>
    <row r="2583" hidden="1">
      <c r="A2583" s="154" t="s">
        <v>225</v>
      </c>
      <c r="B2583" s="155" t="s">
        <v>226</v>
      </c>
      <c r="C2583" s="155" t="s">
        <v>206</v>
      </c>
      <c r="D2583" s="156" t="s">
        <v>3077</v>
      </c>
      <c r="E2583" s="156" t="s">
        <v>3149</v>
      </c>
      <c r="F2583" s="156" t="s">
        <v>3150</v>
      </c>
      <c r="G2583" s="156" t="s">
        <v>3151</v>
      </c>
      <c r="H2583" s="157" t="s">
        <v>215</v>
      </c>
    </row>
    <row r="2584" hidden="1">
      <c r="A2584" s="151" t="s">
        <v>225</v>
      </c>
      <c r="B2584" s="118" t="s">
        <v>226</v>
      </c>
      <c r="C2584" s="118" t="s">
        <v>206</v>
      </c>
      <c r="D2584" s="152" t="s">
        <v>3077</v>
      </c>
      <c r="E2584" s="152" t="s">
        <v>3152</v>
      </c>
      <c r="F2584" s="152" t="s">
        <v>3153</v>
      </c>
      <c r="G2584" s="152" t="s">
        <v>3154</v>
      </c>
      <c r="H2584" s="153" t="s">
        <v>216</v>
      </c>
    </row>
    <row r="2585" hidden="1">
      <c r="A2585" s="154" t="s">
        <v>227</v>
      </c>
      <c r="B2585" s="155" t="s">
        <v>195</v>
      </c>
      <c r="C2585" s="155" t="s">
        <v>206</v>
      </c>
      <c r="D2585" s="156" t="s">
        <v>3077</v>
      </c>
      <c r="E2585" s="156" t="s">
        <v>3155</v>
      </c>
      <c r="F2585" s="156" t="s">
        <v>287</v>
      </c>
      <c r="G2585" s="156" t="s">
        <v>2034</v>
      </c>
      <c r="H2585" s="157" t="s">
        <v>210</v>
      </c>
    </row>
    <row r="2586" hidden="1">
      <c r="A2586" s="151" t="s">
        <v>227</v>
      </c>
      <c r="B2586" s="118" t="s">
        <v>195</v>
      </c>
      <c r="C2586" s="118" t="s">
        <v>206</v>
      </c>
      <c r="D2586" s="152" t="s">
        <v>3077</v>
      </c>
      <c r="E2586" s="152" t="s">
        <v>3156</v>
      </c>
      <c r="F2586" s="152" t="s">
        <v>2994</v>
      </c>
      <c r="G2586" s="152" t="s">
        <v>2847</v>
      </c>
      <c r="H2586" s="153" t="s">
        <v>211</v>
      </c>
    </row>
    <row r="2587" hidden="1">
      <c r="A2587" s="154" t="s">
        <v>227</v>
      </c>
      <c r="B2587" s="155" t="s">
        <v>195</v>
      </c>
      <c r="C2587" s="155" t="s">
        <v>206</v>
      </c>
      <c r="D2587" s="156" t="s">
        <v>3077</v>
      </c>
      <c r="E2587" s="156" t="s">
        <v>3157</v>
      </c>
      <c r="F2587" s="156" t="s">
        <v>365</v>
      </c>
      <c r="G2587" s="156" t="s">
        <v>2072</v>
      </c>
      <c r="H2587" s="157" t="s">
        <v>212</v>
      </c>
    </row>
    <row r="2588" hidden="1">
      <c r="A2588" s="151" t="s">
        <v>227</v>
      </c>
      <c r="B2588" s="118" t="s">
        <v>195</v>
      </c>
      <c r="C2588" s="118" t="s">
        <v>206</v>
      </c>
      <c r="D2588" s="152" t="s">
        <v>3077</v>
      </c>
      <c r="E2588" s="152" t="s">
        <v>3158</v>
      </c>
      <c r="F2588" s="152" t="s">
        <v>305</v>
      </c>
      <c r="G2588" s="152" t="s">
        <v>1836</v>
      </c>
      <c r="H2588" s="153" t="s">
        <v>213</v>
      </c>
    </row>
    <row r="2589" hidden="1">
      <c r="A2589" s="154" t="s">
        <v>227</v>
      </c>
      <c r="B2589" s="155" t="s">
        <v>195</v>
      </c>
      <c r="C2589" s="155" t="s">
        <v>206</v>
      </c>
      <c r="D2589" s="156" t="s">
        <v>3077</v>
      </c>
      <c r="E2589" s="156" t="s">
        <v>3159</v>
      </c>
      <c r="F2589" s="156" t="s">
        <v>321</v>
      </c>
      <c r="G2589" s="156" t="s">
        <v>2557</v>
      </c>
      <c r="H2589" s="157" t="s">
        <v>214</v>
      </c>
    </row>
    <row r="2590" hidden="1">
      <c r="A2590" s="151" t="s">
        <v>227</v>
      </c>
      <c r="B2590" s="118" t="s">
        <v>195</v>
      </c>
      <c r="C2590" s="118" t="s">
        <v>206</v>
      </c>
      <c r="D2590" s="152" t="s">
        <v>3077</v>
      </c>
      <c r="E2590" s="152" t="s">
        <v>3160</v>
      </c>
      <c r="F2590" s="152" t="s">
        <v>244</v>
      </c>
      <c r="G2590" s="152" t="s">
        <v>2557</v>
      </c>
      <c r="H2590" s="153" t="s">
        <v>215</v>
      </c>
    </row>
    <row r="2591" hidden="1">
      <c r="A2591" s="154" t="s">
        <v>227</v>
      </c>
      <c r="B2591" s="155" t="s">
        <v>195</v>
      </c>
      <c r="C2591" s="155" t="s">
        <v>206</v>
      </c>
      <c r="D2591" s="156" t="s">
        <v>3077</v>
      </c>
      <c r="E2591" s="156" t="s">
        <v>3161</v>
      </c>
      <c r="F2591" s="156" t="s">
        <v>351</v>
      </c>
      <c r="G2591" s="156" t="s">
        <v>2880</v>
      </c>
      <c r="H2591" s="157" t="s">
        <v>216</v>
      </c>
    </row>
    <row r="2592" hidden="1">
      <c r="A2592" s="151" t="s">
        <v>228</v>
      </c>
      <c r="B2592" s="118" t="s">
        <v>138</v>
      </c>
      <c r="C2592" s="118" t="s">
        <v>206</v>
      </c>
      <c r="D2592" s="152" t="s">
        <v>3077</v>
      </c>
      <c r="E2592" s="152" t="s">
        <v>3162</v>
      </c>
      <c r="F2592" s="152" t="s">
        <v>365</v>
      </c>
      <c r="G2592" s="152" t="s">
        <v>1942</v>
      </c>
      <c r="H2592" s="153" t="s">
        <v>210</v>
      </c>
    </row>
    <row r="2593" hidden="1">
      <c r="A2593" s="154" t="s">
        <v>228</v>
      </c>
      <c r="B2593" s="155" t="s">
        <v>138</v>
      </c>
      <c r="C2593" s="155" t="s">
        <v>206</v>
      </c>
      <c r="D2593" s="156" t="s">
        <v>3077</v>
      </c>
      <c r="E2593" s="156" t="s">
        <v>3163</v>
      </c>
      <c r="F2593" s="156" t="s">
        <v>285</v>
      </c>
      <c r="G2593" s="156" t="s">
        <v>2557</v>
      </c>
      <c r="H2593" s="157" t="s">
        <v>211</v>
      </c>
    </row>
    <row r="2594" hidden="1">
      <c r="A2594" s="151" t="s">
        <v>228</v>
      </c>
      <c r="B2594" s="118" t="s">
        <v>138</v>
      </c>
      <c r="C2594" s="118" t="s">
        <v>206</v>
      </c>
      <c r="D2594" s="152" t="s">
        <v>3077</v>
      </c>
      <c r="E2594" s="152" t="s">
        <v>3164</v>
      </c>
      <c r="F2594" s="152" t="s">
        <v>287</v>
      </c>
      <c r="G2594" s="152" t="s">
        <v>1942</v>
      </c>
      <c r="H2594" s="153" t="s">
        <v>212</v>
      </c>
    </row>
    <row r="2595" hidden="1">
      <c r="A2595" s="154" t="s">
        <v>228</v>
      </c>
      <c r="B2595" s="155" t="s">
        <v>138</v>
      </c>
      <c r="C2595" s="155" t="s">
        <v>206</v>
      </c>
      <c r="D2595" s="156" t="s">
        <v>3077</v>
      </c>
      <c r="E2595" s="156" t="s">
        <v>3165</v>
      </c>
      <c r="F2595" s="156" t="s">
        <v>357</v>
      </c>
      <c r="G2595" s="156" t="s">
        <v>2043</v>
      </c>
      <c r="H2595" s="157" t="s">
        <v>213</v>
      </c>
    </row>
    <row r="2596" hidden="1">
      <c r="A2596" s="151" t="s">
        <v>228</v>
      </c>
      <c r="B2596" s="118" t="s">
        <v>138</v>
      </c>
      <c r="C2596" s="118" t="s">
        <v>206</v>
      </c>
      <c r="D2596" s="152" t="s">
        <v>3077</v>
      </c>
      <c r="E2596" s="152" t="s">
        <v>3166</v>
      </c>
      <c r="F2596" s="152" t="s">
        <v>240</v>
      </c>
      <c r="G2596" s="152" t="s">
        <v>2686</v>
      </c>
      <c r="H2596" s="153" t="s">
        <v>214</v>
      </c>
    </row>
    <row r="2597" hidden="1">
      <c r="A2597" s="154" t="s">
        <v>228</v>
      </c>
      <c r="B2597" s="155" t="s">
        <v>138</v>
      </c>
      <c r="C2597" s="155" t="s">
        <v>206</v>
      </c>
      <c r="D2597" s="156" t="s">
        <v>3077</v>
      </c>
      <c r="E2597" s="156" t="s">
        <v>3167</v>
      </c>
      <c r="F2597" s="156" t="s">
        <v>492</v>
      </c>
      <c r="G2597" s="156" t="s">
        <v>2025</v>
      </c>
      <c r="H2597" s="157" t="s">
        <v>215</v>
      </c>
    </row>
    <row r="2598" hidden="1">
      <c r="A2598" s="151" t="s">
        <v>228</v>
      </c>
      <c r="B2598" s="118" t="s">
        <v>138</v>
      </c>
      <c r="C2598" s="118" t="s">
        <v>206</v>
      </c>
      <c r="D2598" s="152" t="s">
        <v>3077</v>
      </c>
      <c r="E2598" s="152" t="s">
        <v>3168</v>
      </c>
      <c r="F2598" s="152" t="s">
        <v>357</v>
      </c>
      <c r="G2598" s="152" t="s">
        <v>2043</v>
      </c>
      <c r="H2598" s="153" t="s">
        <v>216</v>
      </c>
    </row>
    <row r="2599" hidden="1">
      <c r="A2599" s="154" t="s">
        <v>229</v>
      </c>
      <c r="B2599" s="155" t="s">
        <v>193</v>
      </c>
      <c r="C2599" s="155" t="s">
        <v>206</v>
      </c>
      <c r="D2599" s="156" t="s">
        <v>3077</v>
      </c>
      <c r="E2599" s="156" t="s">
        <v>3169</v>
      </c>
      <c r="F2599" s="156" t="s">
        <v>321</v>
      </c>
      <c r="G2599" s="156" t="s">
        <v>2398</v>
      </c>
      <c r="H2599" s="157" t="s">
        <v>210</v>
      </c>
    </row>
    <row r="2600" hidden="1">
      <c r="A2600" s="151" t="s">
        <v>229</v>
      </c>
      <c r="B2600" s="118" t="s">
        <v>193</v>
      </c>
      <c r="C2600" s="118" t="s">
        <v>206</v>
      </c>
      <c r="D2600" s="152" t="s">
        <v>3077</v>
      </c>
      <c r="E2600" s="152" t="s">
        <v>3170</v>
      </c>
      <c r="F2600" s="152" t="s">
        <v>314</v>
      </c>
      <c r="G2600" s="152" t="s">
        <v>2539</v>
      </c>
      <c r="H2600" s="153" t="s">
        <v>211</v>
      </c>
    </row>
    <row r="2601" hidden="1">
      <c r="A2601" s="154" t="s">
        <v>229</v>
      </c>
      <c r="B2601" s="155" t="s">
        <v>193</v>
      </c>
      <c r="C2601" s="155" t="s">
        <v>206</v>
      </c>
      <c r="D2601" s="156" t="s">
        <v>3077</v>
      </c>
      <c r="E2601" s="156" t="s">
        <v>3171</v>
      </c>
      <c r="F2601" s="156" t="s">
        <v>425</v>
      </c>
      <c r="G2601" s="156" t="s">
        <v>2633</v>
      </c>
      <c r="H2601" s="157" t="s">
        <v>212</v>
      </c>
    </row>
    <row r="2602" hidden="1">
      <c r="A2602" s="151" t="s">
        <v>229</v>
      </c>
      <c r="B2602" s="118" t="s">
        <v>193</v>
      </c>
      <c r="C2602" s="118" t="s">
        <v>206</v>
      </c>
      <c r="D2602" s="152" t="s">
        <v>3077</v>
      </c>
      <c r="E2602" s="152" t="s">
        <v>3172</v>
      </c>
      <c r="F2602" s="152" t="s">
        <v>321</v>
      </c>
      <c r="G2602" s="152" t="s">
        <v>2379</v>
      </c>
      <c r="H2602" s="153" t="s">
        <v>213</v>
      </c>
    </row>
    <row r="2603" hidden="1">
      <c r="A2603" s="154" t="s">
        <v>229</v>
      </c>
      <c r="B2603" s="155" t="s">
        <v>193</v>
      </c>
      <c r="C2603" s="155" t="s">
        <v>206</v>
      </c>
      <c r="D2603" s="156" t="s">
        <v>3077</v>
      </c>
      <c r="E2603" s="156" t="s">
        <v>3173</v>
      </c>
      <c r="F2603" s="156" t="s">
        <v>255</v>
      </c>
      <c r="G2603" s="156" t="s">
        <v>3071</v>
      </c>
      <c r="H2603" s="157" t="s">
        <v>214</v>
      </c>
    </row>
    <row r="2604" hidden="1">
      <c r="A2604" s="151" t="s">
        <v>229</v>
      </c>
      <c r="B2604" s="118" t="s">
        <v>193</v>
      </c>
      <c r="C2604" s="118" t="s">
        <v>206</v>
      </c>
      <c r="D2604" s="152" t="s">
        <v>3077</v>
      </c>
      <c r="E2604" s="152" t="s">
        <v>3174</v>
      </c>
      <c r="F2604" s="152" t="s">
        <v>331</v>
      </c>
      <c r="G2604" s="152" t="s">
        <v>2132</v>
      </c>
      <c r="H2604" s="153" t="s">
        <v>215</v>
      </c>
    </row>
    <row r="2605" hidden="1">
      <c r="A2605" s="154" t="s">
        <v>229</v>
      </c>
      <c r="B2605" s="155" t="s">
        <v>193</v>
      </c>
      <c r="C2605" s="155" t="s">
        <v>206</v>
      </c>
      <c r="D2605" s="156" t="s">
        <v>3077</v>
      </c>
      <c r="E2605" s="156" t="s">
        <v>3175</v>
      </c>
      <c r="F2605" s="156" t="s">
        <v>314</v>
      </c>
      <c r="G2605" s="156" t="s">
        <v>2539</v>
      </c>
      <c r="H2605" s="157" t="s">
        <v>216</v>
      </c>
    </row>
    <row r="2606" hidden="1">
      <c r="A2606" s="151" t="s">
        <v>230</v>
      </c>
      <c r="B2606" s="118" t="s">
        <v>194</v>
      </c>
      <c r="C2606" s="118" t="s">
        <v>206</v>
      </c>
      <c r="D2606" s="152" t="s">
        <v>3077</v>
      </c>
      <c r="E2606" s="152" t="s">
        <v>3176</v>
      </c>
      <c r="F2606" s="152" t="s">
        <v>1999</v>
      </c>
      <c r="G2606" s="152" t="s">
        <v>1858</v>
      </c>
      <c r="H2606" s="153" t="s">
        <v>210</v>
      </c>
    </row>
    <row r="2607" hidden="1">
      <c r="A2607" s="154" t="s">
        <v>230</v>
      </c>
      <c r="B2607" s="155" t="s">
        <v>194</v>
      </c>
      <c r="C2607" s="155" t="s">
        <v>206</v>
      </c>
      <c r="D2607" s="156" t="s">
        <v>3077</v>
      </c>
      <c r="E2607" s="156" t="s">
        <v>3177</v>
      </c>
      <c r="F2607" s="156" t="s">
        <v>478</v>
      </c>
      <c r="G2607" s="156" t="s">
        <v>2299</v>
      </c>
      <c r="H2607" s="157" t="s">
        <v>211</v>
      </c>
    </row>
    <row r="2608" hidden="1">
      <c r="A2608" s="151" t="s">
        <v>230</v>
      </c>
      <c r="B2608" s="118" t="s">
        <v>194</v>
      </c>
      <c r="C2608" s="118" t="s">
        <v>206</v>
      </c>
      <c r="D2608" s="152" t="s">
        <v>3077</v>
      </c>
      <c r="E2608" s="152" t="s">
        <v>3178</v>
      </c>
      <c r="F2608" s="152" t="s">
        <v>312</v>
      </c>
      <c r="G2608" s="152" t="s">
        <v>1812</v>
      </c>
      <c r="H2608" s="153" t="s">
        <v>212</v>
      </c>
    </row>
    <row r="2609" hidden="1">
      <c r="A2609" s="154" t="s">
        <v>230</v>
      </c>
      <c r="B2609" s="155" t="s">
        <v>194</v>
      </c>
      <c r="C2609" s="155" t="s">
        <v>206</v>
      </c>
      <c r="D2609" s="156" t="s">
        <v>3077</v>
      </c>
      <c r="E2609" s="156" t="s">
        <v>3179</v>
      </c>
      <c r="F2609" s="156" t="s">
        <v>351</v>
      </c>
      <c r="G2609" s="156" t="s">
        <v>2203</v>
      </c>
      <c r="H2609" s="157" t="s">
        <v>213</v>
      </c>
    </row>
    <row r="2610" hidden="1">
      <c r="A2610" s="151" t="s">
        <v>230</v>
      </c>
      <c r="B2610" s="118" t="s">
        <v>194</v>
      </c>
      <c r="C2610" s="118" t="s">
        <v>206</v>
      </c>
      <c r="D2610" s="152" t="s">
        <v>3077</v>
      </c>
      <c r="E2610" s="152" t="s">
        <v>3180</v>
      </c>
      <c r="F2610" s="152" t="s">
        <v>427</v>
      </c>
      <c r="G2610" s="152" t="s">
        <v>2838</v>
      </c>
      <c r="H2610" s="153" t="s">
        <v>214</v>
      </c>
    </row>
    <row r="2611" hidden="1">
      <c r="A2611" s="154" t="s">
        <v>230</v>
      </c>
      <c r="B2611" s="155" t="s">
        <v>194</v>
      </c>
      <c r="C2611" s="155" t="s">
        <v>206</v>
      </c>
      <c r="D2611" s="156" t="s">
        <v>3077</v>
      </c>
      <c r="E2611" s="156" t="s">
        <v>3181</v>
      </c>
      <c r="F2611" s="156" t="s">
        <v>478</v>
      </c>
      <c r="G2611" s="156" t="s">
        <v>2539</v>
      </c>
      <c r="H2611" s="157" t="s">
        <v>215</v>
      </c>
    </row>
    <row r="2612" hidden="1">
      <c r="A2612" s="151" t="s">
        <v>230</v>
      </c>
      <c r="B2612" s="118" t="s">
        <v>194</v>
      </c>
      <c r="C2612" s="118" t="s">
        <v>206</v>
      </c>
      <c r="D2612" s="152" t="s">
        <v>3077</v>
      </c>
      <c r="E2612" s="152" t="s">
        <v>3182</v>
      </c>
      <c r="F2612" s="152" t="s">
        <v>677</v>
      </c>
      <c r="G2612" s="152" t="s">
        <v>2852</v>
      </c>
      <c r="H2612" s="153" t="s">
        <v>216</v>
      </c>
    </row>
    <row r="2613" hidden="1">
      <c r="A2613" s="158" t="s">
        <v>231</v>
      </c>
      <c r="B2613" s="159"/>
      <c r="C2613" s="155" t="s">
        <v>232</v>
      </c>
      <c r="D2613" s="156" t="s">
        <v>3077</v>
      </c>
      <c r="E2613" s="156" t="s">
        <v>3183</v>
      </c>
      <c r="F2613" s="156" t="s">
        <v>257</v>
      </c>
      <c r="G2613" s="156" t="s">
        <v>2057</v>
      </c>
      <c r="H2613" s="157" t="s">
        <v>210</v>
      </c>
    </row>
    <row r="2614" hidden="1">
      <c r="A2614" s="160" t="s">
        <v>231</v>
      </c>
      <c r="B2614" s="72"/>
      <c r="C2614" s="118" t="s">
        <v>232</v>
      </c>
      <c r="D2614" s="152" t="s">
        <v>3077</v>
      </c>
      <c r="E2614" s="152" t="s">
        <v>3184</v>
      </c>
      <c r="F2614" s="152" t="s">
        <v>246</v>
      </c>
      <c r="G2614" s="152" t="s">
        <v>2146</v>
      </c>
      <c r="H2614" s="153" t="s">
        <v>211</v>
      </c>
    </row>
    <row r="2615" hidden="1">
      <c r="A2615" s="158" t="s">
        <v>231</v>
      </c>
      <c r="B2615" s="159"/>
      <c r="C2615" s="155" t="s">
        <v>232</v>
      </c>
      <c r="D2615" s="156" t="s">
        <v>3077</v>
      </c>
      <c r="E2615" s="156" t="s">
        <v>3185</v>
      </c>
      <c r="F2615" s="156" t="s">
        <v>427</v>
      </c>
      <c r="G2615" s="156" t="s">
        <v>1846</v>
      </c>
      <c r="H2615" s="157" t="s">
        <v>212</v>
      </c>
    </row>
    <row r="2616" hidden="1">
      <c r="A2616" s="160" t="s">
        <v>231</v>
      </c>
      <c r="B2616" s="72"/>
      <c r="C2616" s="118" t="s">
        <v>232</v>
      </c>
      <c r="D2616" s="152" t="s">
        <v>3077</v>
      </c>
      <c r="E2616" s="152" t="s">
        <v>3186</v>
      </c>
      <c r="F2616" s="152" t="s">
        <v>423</v>
      </c>
      <c r="G2616" s="152" t="s">
        <v>2718</v>
      </c>
      <c r="H2616" s="153" t="s">
        <v>213</v>
      </c>
    </row>
    <row r="2617" hidden="1">
      <c r="A2617" s="158" t="s">
        <v>231</v>
      </c>
      <c r="B2617" s="159"/>
      <c r="C2617" s="155" t="s">
        <v>232</v>
      </c>
      <c r="D2617" s="156" t="s">
        <v>3077</v>
      </c>
      <c r="E2617" s="156" t="s">
        <v>3187</v>
      </c>
      <c r="F2617" s="156" t="s">
        <v>244</v>
      </c>
      <c r="G2617" s="156" t="s">
        <v>2057</v>
      </c>
      <c r="H2617" s="157" t="s">
        <v>214</v>
      </c>
    </row>
    <row r="2618" hidden="1">
      <c r="A2618" s="160" t="s">
        <v>231</v>
      </c>
      <c r="B2618" s="72"/>
      <c r="C2618" s="118" t="s">
        <v>232</v>
      </c>
      <c r="D2618" s="152" t="s">
        <v>3077</v>
      </c>
      <c r="E2618" s="152" t="s">
        <v>3188</v>
      </c>
      <c r="F2618" s="152" t="s">
        <v>314</v>
      </c>
      <c r="G2618" s="152" t="s">
        <v>1846</v>
      </c>
      <c r="H2618" s="153" t="s">
        <v>215</v>
      </c>
    </row>
    <row r="2619" hidden="1">
      <c r="A2619" s="158" t="s">
        <v>231</v>
      </c>
      <c r="B2619" s="159"/>
      <c r="C2619" s="155" t="s">
        <v>232</v>
      </c>
      <c r="D2619" s="156" t="s">
        <v>3077</v>
      </c>
      <c r="E2619" s="156" t="s">
        <v>3189</v>
      </c>
      <c r="F2619" s="156" t="s">
        <v>357</v>
      </c>
      <c r="G2619" s="156" t="s">
        <v>2203</v>
      </c>
      <c r="H2619" s="157" t="s">
        <v>216</v>
      </c>
    </row>
    <row r="2620" hidden="1">
      <c r="A2620" s="160" t="s">
        <v>233</v>
      </c>
      <c r="B2620" s="72"/>
      <c r="C2620" s="118" t="s">
        <v>232</v>
      </c>
      <c r="D2620" s="152" t="s">
        <v>3077</v>
      </c>
      <c r="E2620" s="152" t="s">
        <v>3190</v>
      </c>
      <c r="F2620" s="152" t="s">
        <v>305</v>
      </c>
      <c r="G2620" s="152" t="s">
        <v>2542</v>
      </c>
      <c r="H2620" s="153" t="s">
        <v>210</v>
      </c>
    </row>
    <row r="2621" hidden="1">
      <c r="A2621" s="158" t="s">
        <v>233</v>
      </c>
      <c r="B2621" s="159"/>
      <c r="C2621" s="155" t="s">
        <v>232</v>
      </c>
      <c r="D2621" s="156" t="s">
        <v>3077</v>
      </c>
      <c r="E2621" s="156" t="s">
        <v>3191</v>
      </c>
      <c r="F2621" s="156" t="s">
        <v>336</v>
      </c>
      <c r="G2621" s="156" t="s">
        <v>1858</v>
      </c>
      <c r="H2621" s="157" t="s">
        <v>211</v>
      </c>
    </row>
    <row r="2622" hidden="1">
      <c r="A2622" s="160" t="s">
        <v>233</v>
      </c>
      <c r="B2622" s="72"/>
      <c r="C2622" s="118" t="s">
        <v>232</v>
      </c>
      <c r="D2622" s="152" t="s">
        <v>3077</v>
      </c>
      <c r="E2622" s="152" t="s">
        <v>3192</v>
      </c>
      <c r="F2622" s="152" t="s">
        <v>336</v>
      </c>
      <c r="G2622" s="152" t="s">
        <v>2470</v>
      </c>
      <c r="H2622" s="153" t="s">
        <v>212</v>
      </c>
    </row>
    <row r="2623" hidden="1">
      <c r="A2623" s="158" t="s">
        <v>233</v>
      </c>
      <c r="B2623" s="159"/>
      <c r="C2623" s="155" t="s">
        <v>232</v>
      </c>
      <c r="D2623" s="156" t="s">
        <v>3077</v>
      </c>
      <c r="E2623" s="156" t="s">
        <v>3193</v>
      </c>
      <c r="F2623" s="156" t="s">
        <v>305</v>
      </c>
      <c r="G2623" s="156" t="s">
        <v>2880</v>
      </c>
      <c r="H2623" s="157" t="s">
        <v>213</v>
      </c>
    </row>
    <row r="2624" hidden="1">
      <c r="A2624" s="160" t="s">
        <v>233</v>
      </c>
      <c r="B2624" s="72"/>
      <c r="C2624" s="118" t="s">
        <v>232</v>
      </c>
      <c r="D2624" s="152" t="s">
        <v>3077</v>
      </c>
      <c r="E2624" s="152" t="s">
        <v>3194</v>
      </c>
      <c r="F2624" s="152" t="s">
        <v>534</v>
      </c>
      <c r="G2624" s="152" t="s">
        <v>2299</v>
      </c>
      <c r="H2624" s="153" t="s">
        <v>214</v>
      </c>
    </row>
    <row r="2625" hidden="1">
      <c r="A2625" s="158" t="s">
        <v>233</v>
      </c>
      <c r="B2625" s="159"/>
      <c r="C2625" s="155" t="s">
        <v>232</v>
      </c>
      <c r="D2625" s="156" t="s">
        <v>3077</v>
      </c>
      <c r="E2625" s="156" t="s">
        <v>3195</v>
      </c>
      <c r="F2625" s="156" t="s">
        <v>339</v>
      </c>
      <c r="G2625" s="156" t="s">
        <v>2070</v>
      </c>
      <c r="H2625" s="157" t="s">
        <v>215</v>
      </c>
    </row>
    <row r="2626" hidden="1">
      <c r="A2626" s="160" t="s">
        <v>233</v>
      </c>
      <c r="B2626" s="72"/>
      <c r="C2626" s="118" t="s">
        <v>232</v>
      </c>
      <c r="D2626" s="152" t="s">
        <v>3077</v>
      </c>
      <c r="E2626" s="152" t="s">
        <v>3196</v>
      </c>
      <c r="F2626" s="152" t="s">
        <v>339</v>
      </c>
      <c r="G2626" s="152" t="s">
        <v>2303</v>
      </c>
      <c r="H2626" s="153" t="s">
        <v>216</v>
      </c>
    </row>
    <row r="2627" hidden="1">
      <c r="A2627" s="158" t="s">
        <v>234</v>
      </c>
      <c r="B2627" s="159"/>
      <c r="C2627" s="155" t="s">
        <v>232</v>
      </c>
      <c r="D2627" s="156" t="s">
        <v>3077</v>
      </c>
      <c r="E2627" s="156" t="s">
        <v>3197</v>
      </c>
      <c r="F2627" s="156" t="s">
        <v>3198</v>
      </c>
      <c r="G2627" s="156" t="s">
        <v>2824</v>
      </c>
      <c r="H2627" s="157" t="s">
        <v>210</v>
      </c>
    </row>
    <row r="2628" hidden="1">
      <c r="A2628" s="160" t="s">
        <v>234</v>
      </c>
      <c r="B2628" s="72"/>
      <c r="C2628" s="118" t="s">
        <v>232</v>
      </c>
      <c r="D2628" s="152" t="s">
        <v>3077</v>
      </c>
      <c r="E2628" s="152" t="s">
        <v>3199</v>
      </c>
      <c r="F2628" s="152" t="s">
        <v>532</v>
      </c>
      <c r="G2628" s="152" t="s">
        <v>3200</v>
      </c>
      <c r="H2628" s="153" t="s">
        <v>211</v>
      </c>
    </row>
    <row r="2629" hidden="1">
      <c r="A2629" s="158" t="s">
        <v>234</v>
      </c>
      <c r="B2629" s="159"/>
      <c r="C2629" s="155" t="s">
        <v>232</v>
      </c>
      <c r="D2629" s="156" t="s">
        <v>3077</v>
      </c>
      <c r="E2629" s="156" t="s">
        <v>3201</v>
      </c>
      <c r="F2629" s="156" t="s">
        <v>405</v>
      </c>
      <c r="G2629" s="156" t="s">
        <v>2663</v>
      </c>
      <c r="H2629" s="157" t="s">
        <v>212</v>
      </c>
    </row>
    <row r="2630" hidden="1">
      <c r="A2630" s="160" t="s">
        <v>234</v>
      </c>
      <c r="B2630" s="72"/>
      <c r="C2630" s="118" t="s">
        <v>232</v>
      </c>
      <c r="D2630" s="152" t="s">
        <v>3077</v>
      </c>
      <c r="E2630" s="152" t="s">
        <v>3202</v>
      </c>
      <c r="F2630" s="152" t="s">
        <v>735</v>
      </c>
      <c r="G2630" s="152" t="s">
        <v>3203</v>
      </c>
      <c r="H2630" s="153" t="s">
        <v>213</v>
      </c>
    </row>
    <row r="2631" hidden="1">
      <c r="A2631" s="158" t="s">
        <v>234</v>
      </c>
      <c r="B2631" s="159"/>
      <c r="C2631" s="155" t="s">
        <v>232</v>
      </c>
      <c r="D2631" s="156" t="s">
        <v>3077</v>
      </c>
      <c r="E2631" s="156" t="s">
        <v>3204</v>
      </c>
      <c r="F2631" s="156" t="s">
        <v>532</v>
      </c>
      <c r="G2631" s="156" t="s">
        <v>3205</v>
      </c>
      <c r="H2631" s="157" t="s">
        <v>214</v>
      </c>
    </row>
    <row r="2632" hidden="1">
      <c r="A2632" s="160" t="s">
        <v>234</v>
      </c>
      <c r="B2632" s="72"/>
      <c r="C2632" s="118" t="s">
        <v>232</v>
      </c>
      <c r="D2632" s="152" t="s">
        <v>3077</v>
      </c>
      <c r="E2632" s="152" t="s">
        <v>3206</v>
      </c>
      <c r="F2632" s="152" t="s">
        <v>423</v>
      </c>
      <c r="G2632" s="152" t="s">
        <v>3207</v>
      </c>
      <c r="H2632" s="153" t="s">
        <v>215</v>
      </c>
    </row>
    <row r="2633" hidden="1">
      <c r="A2633" s="158" t="s">
        <v>234</v>
      </c>
      <c r="B2633" s="159"/>
      <c r="C2633" s="155" t="s">
        <v>232</v>
      </c>
      <c r="D2633" s="156" t="s">
        <v>3077</v>
      </c>
      <c r="E2633" s="156" t="s">
        <v>3208</v>
      </c>
      <c r="F2633" s="156" t="s">
        <v>390</v>
      </c>
      <c r="G2633" s="156" t="s">
        <v>3209</v>
      </c>
      <c r="H2633" s="157" t="s">
        <v>216</v>
      </c>
    </row>
    <row r="2634" hidden="1">
      <c r="A2634" s="160" t="s">
        <v>235</v>
      </c>
      <c r="B2634" s="72"/>
      <c r="C2634" s="118" t="s">
        <v>236</v>
      </c>
      <c r="D2634" s="152" t="s">
        <v>3077</v>
      </c>
      <c r="E2634" s="152" t="s">
        <v>3210</v>
      </c>
      <c r="F2634" s="152" t="s">
        <v>290</v>
      </c>
      <c r="G2634" s="152" t="s">
        <v>1868</v>
      </c>
      <c r="H2634" s="153" t="s">
        <v>210</v>
      </c>
    </row>
    <row r="2635" hidden="1">
      <c r="A2635" s="158" t="s">
        <v>235</v>
      </c>
      <c r="B2635" s="159"/>
      <c r="C2635" s="155" t="s">
        <v>236</v>
      </c>
      <c r="D2635" s="156" t="s">
        <v>3077</v>
      </c>
      <c r="E2635" s="156" t="s">
        <v>3211</v>
      </c>
      <c r="F2635" s="156" t="s">
        <v>305</v>
      </c>
      <c r="G2635" s="156" t="s">
        <v>2413</v>
      </c>
      <c r="H2635" s="157" t="s">
        <v>211</v>
      </c>
    </row>
    <row r="2636" hidden="1">
      <c r="A2636" s="160" t="s">
        <v>235</v>
      </c>
      <c r="B2636" s="72"/>
      <c r="C2636" s="118" t="s">
        <v>236</v>
      </c>
      <c r="D2636" s="152" t="s">
        <v>3077</v>
      </c>
      <c r="E2636" s="152" t="s">
        <v>3212</v>
      </c>
      <c r="F2636" s="152" t="s">
        <v>325</v>
      </c>
      <c r="G2636" s="152" t="s">
        <v>1868</v>
      </c>
      <c r="H2636" s="153" t="s">
        <v>212</v>
      </c>
    </row>
    <row r="2637" hidden="1">
      <c r="A2637" s="158" t="s">
        <v>235</v>
      </c>
      <c r="B2637" s="159"/>
      <c r="C2637" s="155" t="s">
        <v>236</v>
      </c>
      <c r="D2637" s="156" t="s">
        <v>3077</v>
      </c>
      <c r="E2637" s="156" t="s">
        <v>3213</v>
      </c>
      <c r="F2637" s="156" t="s">
        <v>425</v>
      </c>
      <c r="G2637" s="156" t="s">
        <v>1864</v>
      </c>
      <c r="H2637" s="157" t="s">
        <v>213</v>
      </c>
    </row>
    <row r="2638" hidden="1">
      <c r="A2638" s="160" t="s">
        <v>235</v>
      </c>
      <c r="B2638" s="72"/>
      <c r="C2638" s="118" t="s">
        <v>236</v>
      </c>
      <c r="D2638" s="152" t="s">
        <v>3077</v>
      </c>
      <c r="E2638" s="152" t="s">
        <v>3214</v>
      </c>
      <c r="F2638" s="152" t="s">
        <v>310</v>
      </c>
      <c r="G2638" s="152" t="s">
        <v>1942</v>
      </c>
      <c r="H2638" s="153" t="s">
        <v>214</v>
      </c>
    </row>
    <row r="2639" hidden="1">
      <c r="A2639" s="158" t="s">
        <v>235</v>
      </c>
      <c r="B2639" s="159"/>
      <c r="C2639" s="155" t="s">
        <v>236</v>
      </c>
      <c r="D2639" s="156" t="s">
        <v>3077</v>
      </c>
      <c r="E2639" s="156" t="s">
        <v>3215</v>
      </c>
      <c r="F2639" s="156" t="s">
        <v>325</v>
      </c>
      <c r="G2639" s="156" t="s">
        <v>2410</v>
      </c>
      <c r="H2639" s="157" t="s">
        <v>215</v>
      </c>
    </row>
    <row r="2640" hidden="1">
      <c r="A2640" s="160" t="s">
        <v>235</v>
      </c>
      <c r="B2640" s="72"/>
      <c r="C2640" s="118" t="s">
        <v>236</v>
      </c>
      <c r="D2640" s="152" t="s">
        <v>3077</v>
      </c>
      <c r="E2640" s="152" t="s">
        <v>3216</v>
      </c>
      <c r="F2640" s="152" t="s">
        <v>305</v>
      </c>
      <c r="G2640" s="152" t="s">
        <v>2413</v>
      </c>
      <c r="H2640" s="153" t="s">
        <v>216</v>
      </c>
    </row>
    <row r="2641" hidden="1">
      <c r="A2641" s="158" t="s">
        <v>237</v>
      </c>
      <c r="B2641" s="159"/>
      <c r="C2641" s="155" t="s">
        <v>236</v>
      </c>
      <c r="D2641" s="156" t="s">
        <v>3077</v>
      </c>
      <c r="E2641" s="156" t="s">
        <v>3217</v>
      </c>
      <c r="F2641" s="156" t="s">
        <v>3218</v>
      </c>
      <c r="G2641" s="156" t="s">
        <v>2624</v>
      </c>
      <c r="H2641" s="157" t="s">
        <v>210</v>
      </c>
    </row>
    <row r="2642" hidden="1">
      <c r="A2642" s="160" t="s">
        <v>237</v>
      </c>
      <c r="B2642" s="72"/>
      <c r="C2642" s="118" t="s">
        <v>236</v>
      </c>
      <c r="D2642" s="152" t="s">
        <v>3077</v>
      </c>
      <c r="E2642" s="152" t="s">
        <v>3219</v>
      </c>
      <c r="F2642" s="152" t="s">
        <v>577</v>
      </c>
      <c r="G2642" s="152" t="s">
        <v>2602</v>
      </c>
      <c r="H2642" s="153" t="s">
        <v>211</v>
      </c>
    </row>
    <row r="2643" hidden="1">
      <c r="A2643" s="158" t="s">
        <v>237</v>
      </c>
      <c r="B2643" s="159"/>
      <c r="C2643" s="155" t="s">
        <v>236</v>
      </c>
      <c r="D2643" s="156" t="s">
        <v>3077</v>
      </c>
      <c r="E2643" s="156" t="s">
        <v>3220</v>
      </c>
      <c r="F2643" s="156" t="s">
        <v>478</v>
      </c>
      <c r="G2643" s="156" t="s">
        <v>3221</v>
      </c>
      <c r="H2643" s="157" t="s">
        <v>212</v>
      </c>
    </row>
    <row r="2644" hidden="1">
      <c r="A2644" s="160" t="s">
        <v>237</v>
      </c>
      <c r="B2644" s="72"/>
      <c r="C2644" s="118" t="s">
        <v>236</v>
      </c>
      <c r="D2644" s="152" t="s">
        <v>3077</v>
      </c>
      <c r="E2644" s="152" t="s">
        <v>3222</v>
      </c>
      <c r="F2644" s="152" t="s">
        <v>799</v>
      </c>
      <c r="G2644" s="152" t="s">
        <v>2986</v>
      </c>
      <c r="H2644" s="153" t="s">
        <v>213</v>
      </c>
    </row>
    <row r="2645" hidden="1">
      <c r="A2645" s="158" t="s">
        <v>237</v>
      </c>
      <c r="B2645" s="159"/>
      <c r="C2645" s="155" t="s">
        <v>236</v>
      </c>
      <c r="D2645" s="156" t="s">
        <v>3077</v>
      </c>
      <c r="E2645" s="156" t="s">
        <v>3223</v>
      </c>
      <c r="F2645" s="156" t="s">
        <v>483</v>
      </c>
      <c r="G2645" s="156" t="s">
        <v>2387</v>
      </c>
      <c r="H2645" s="157" t="s">
        <v>214</v>
      </c>
    </row>
    <row r="2646" hidden="1">
      <c r="A2646" s="160" t="s">
        <v>237</v>
      </c>
      <c r="B2646" s="72"/>
      <c r="C2646" s="118" t="s">
        <v>236</v>
      </c>
      <c r="D2646" s="152" t="s">
        <v>3077</v>
      </c>
      <c r="E2646" s="152" t="s">
        <v>3224</v>
      </c>
      <c r="F2646" s="152" t="s">
        <v>339</v>
      </c>
      <c r="G2646" s="152" t="s">
        <v>2620</v>
      </c>
      <c r="H2646" s="153" t="s">
        <v>215</v>
      </c>
    </row>
    <row r="2647" hidden="1">
      <c r="A2647" s="158" t="s">
        <v>237</v>
      </c>
      <c r="B2647" s="159"/>
      <c r="C2647" s="155" t="s">
        <v>236</v>
      </c>
      <c r="D2647" s="156" t="s">
        <v>3077</v>
      </c>
      <c r="E2647" s="156" t="s">
        <v>3225</v>
      </c>
      <c r="F2647" s="156" t="s">
        <v>423</v>
      </c>
      <c r="G2647" s="156" t="s">
        <v>3226</v>
      </c>
      <c r="H2647" s="157" t="s">
        <v>216</v>
      </c>
    </row>
    <row r="2648" hidden="1">
      <c r="A2648" s="151" t="s">
        <v>204</v>
      </c>
      <c r="B2648" s="118" t="s">
        <v>205</v>
      </c>
      <c r="C2648" s="118" t="s">
        <v>206</v>
      </c>
      <c r="D2648" s="152" t="s">
        <v>3227</v>
      </c>
      <c r="E2648" s="152" t="s">
        <v>3228</v>
      </c>
      <c r="F2648" s="152" t="s">
        <v>763</v>
      </c>
      <c r="G2648" s="152" t="s">
        <v>2986</v>
      </c>
      <c r="H2648" s="153" t="s">
        <v>210</v>
      </c>
    </row>
    <row r="2649" hidden="1">
      <c r="A2649" s="154" t="s">
        <v>204</v>
      </c>
      <c r="B2649" s="155" t="s">
        <v>205</v>
      </c>
      <c r="C2649" s="155" t="s">
        <v>206</v>
      </c>
      <c r="D2649" s="156" t="s">
        <v>3227</v>
      </c>
      <c r="E2649" s="156" t="s">
        <v>3229</v>
      </c>
      <c r="F2649" s="156" t="s">
        <v>2994</v>
      </c>
      <c r="G2649" s="156" t="s">
        <v>3230</v>
      </c>
      <c r="H2649" s="157" t="s">
        <v>211</v>
      </c>
    </row>
    <row r="2650" hidden="1">
      <c r="A2650" s="151" t="s">
        <v>204</v>
      </c>
      <c r="B2650" s="118" t="s">
        <v>205</v>
      </c>
      <c r="C2650" s="118" t="s">
        <v>206</v>
      </c>
      <c r="D2650" s="152" t="s">
        <v>3227</v>
      </c>
      <c r="E2650" s="152" t="s">
        <v>3231</v>
      </c>
      <c r="F2650" s="152" t="s">
        <v>3198</v>
      </c>
      <c r="G2650" s="152" t="s">
        <v>2281</v>
      </c>
      <c r="H2650" s="153" t="s">
        <v>212</v>
      </c>
    </row>
    <row r="2651" hidden="1">
      <c r="A2651" s="154" t="s">
        <v>204</v>
      </c>
      <c r="B2651" s="155" t="s">
        <v>205</v>
      </c>
      <c r="C2651" s="155" t="s">
        <v>206</v>
      </c>
      <c r="D2651" s="156" t="s">
        <v>3227</v>
      </c>
      <c r="E2651" s="156" t="s">
        <v>3232</v>
      </c>
      <c r="F2651" s="156" t="s">
        <v>448</v>
      </c>
      <c r="G2651" s="156" t="s">
        <v>2289</v>
      </c>
      <c r="H2651" s="157" t="s">
        <v>213</v>
      </c>
    </row>
    <row r="2652" hidden="1">
      <c r="A2652" s="151" t="s">
        <v>204</v>
      </c>
      <c r="B2652" s="118" t="s">
        <v>205</v>
      </c>
      <c r="C2652" s="118" t="s">
        <v>206</v>
      </c>
      <c r="D2652" s="152" t="s">
        <v>3227</v>
      </c>
      <c r="E2652" s="152" t="s">
        <v>3233</v>
      </c>
      <c r="F2652" s="152" t="s">
        <v>758</v>
      </c>
      <c r="G2652" s="152" t="s">
        <v>2762</v>
      </c>
      <c r="H2652" s="153" t="s">
        <v>214</v>
      </c>
    </row>
    <row r="2653" hidden="1">
      <c r="A2653" s="154" t="s">
        <v>204</v>
      </c>
      <c r="B2653" s="155" t="s">
        <v>205</v>
      </c>
      <c r="C2653" s="155" t="s">
        <v>206</v>
      </c>
      <c r="D2653" s="156" t="s">
        <v>3227</v>
      </c>
      <c r="E2653" s="156" t="s">
        <v>3234</v>
      </c>
      <c r="F2653" s="156" t="s">
        <v>763</v>
      </c>
      <c r="G2653" s="156" t="s">
        <v>3230</v>
      </c>
      <c r="H2653" s="157" t="s">
        <v>215</v>
      </c>
    </row>
    <row r="2654" hidden="1">
      <c r="A2654" s="151" t="s">
        <v>204</v>
      </c>
      <c r="B2654" s="118" t="s">
        <v>205</v>
      </c>
      <c r="C2654" s="118" t="s">
        <v>206</v>
      </c>
      <c r="D2654" s="152" t="s">
        <v>3227</v>
      </c>
      <c r="E2654" s="152" t="s">
        <v>3235</v>
      </c>
      <c r="F2654" s="152" t="s">
        <v>1929</v>
      </c>
      <c r="G2654" s="152" t="s">
        <v>2450</v>
      </c>
      <c r="H2654" s="153" t="s">
        <v>216</v>
      </c>
    </row>
    <row r="2655" hidden="1">
      <c r="A2655" s="154" t="s">
        <v>217</v>
      </c>
      <c r="B2655" s="155" t="s">
        <v>191</v>
      </c>
      <c r="C2655" s="155" t="s">
        <v>206</v>
      </c>
      <c r="D2655" s="156" t="s">
        <v>3227</v>
      </c>
      <c r="E2655" s="156" t="s">
        <v>3236</v>
      </c>
      <c r="F2655" s="156" t="s">
        <v>3198</v>
      </c>
      <c r="G2655" s="156" t="s">
        <v>3237</v>
      </c>
      <c r="H2655" s="157" t="s">
        <v>210</v>
      </c>
    </row>
    <row r="2656" hidden="1">
      <c r="A2656" s="151" t="s">
        <v>217</v>
      </c>
      <c r="B2656" s="118" t="s">
        <v>191</v>
      </c>
      <c r="C2656" s="118" t="s">
        <v>206</v>
      </c>
      <c r="D2656" s="152" t="s">
        <v>3227</v>
      </c>
      <c r="E2656" s="152" t="s">
        <v>3238</v>
      </c>
      <c r="F2656" s="152" t="s">
        <v>629</v>
      </c>
      <c r="G2656" s="152" t="s">
        <v>2281</v>
      </c>
      <c r="H2656" s="153" t="s">
        <v>211</v>
      </c>
    </row>
    <row r="2657" hidden="1">
      <c r="A2657" s="154" t="s">
        <v>217</v>
      </c>
      <c r="B2657" s="155" t="s">
        <v>191</v>
      </c>
      <c r="C2657" s="155" t="s">
        <v>206</v>
      </c>
      <c r="D2657" s="156" t="s">
        <v>3227</v>
      </c>
      <c r="E2657" s="156" t="s">
        <v>3239</v>
      </c>
      <c r="F2657" s="156" t="s">
        <v>3240</v>
      </c>
      <c r="G2657" s="156" t="s">
        <v>2758</v>
      </c>
      <c r="H2657" s="157" t="s">
        <v>212</v>
      </c>
    </row>
    <row r="2658" hidden="1">
      <c r="A2658" s="151" t="s">
        <v>217</v>
      </c>
      <c r="B2658" s="118" t="s">
        <v>191</v>
      </c>
      <c r="C2658" s="118" t="s">
        <v>206</v>
      </c>
      <c r="D2658" s="152" t="s">
        <v>3227</v>
      </c>
      <c r="E2658" s="152" t="s">
        <v>3241</v>
      </c>
      <c r="F2658" s="152" t="s">
        <v>390</v>
      </c>
      <c r="G2658" s="152" t="s">
        <v>2762</v>
      </c>
      <c r="H2658" s="153" t="s">
        <v>213</v>
      </c>
    </row>
    <row r="2659" hidden="1">
      <c r="A2659" s="154" t="s">
        <v>217</v>
      </c>
      <c r="B2659" s="155" t="s">
        <v>191</v>
      </c>
      <c r="C2659" s="155" t="s">
        <v>206</v>
      </c>
      <c r="D2659" s="156" t="s">
        <v>3227</v>
      </c>
      <c r="E2659" s="156" t="s">
        <v>3242</v>
      </c>
      <c r="F2659" s="156" t="s">
        <v>3243</v>
      </c>
      <c r="G2659" s="156" t="s">
        <v>2219</v>
      </c>
      <c r="H2659" s="157" t="s">
        <v>214</v>
      </c>
    </row>
    <row r="2660" hidden="1">
      <c r="A2660" s="151" t="s">
        <v>217</v>
      </c>
      <c r="B2660" s="118" t="s">
        <v>191</v>
      </c>
      <c r="C2660" s="118" t="s">
        <v>206</v>
      </c>
      <c r="D2660" s="152" t="s">
        <v>3227</v>
      </c>
      <c r="E2660" s="152" t="s">
        <v>3244</v>
      </c>
      <c r="F2660" s="152" t="s">
        <v>758</v>
      </c>
      <c r="G2660" s="152" t="s">
        <v>2287</v>
      </c>
      <c r="H2660" s="153" t="s">
        <v>215</v>
      </c>
    </row>
    <row r="2661" hidden="1">
      <c r="A2661" s="154" t="s">
        <v>217</v>
      </c>
      <c r="B2661" s="155" t="s">
        <v>191</v>
      </c>
      <c r="C2661" s="155" t="s">
        <v>206</v>
      </c>
      <c r="D2661" s="156" t="s">
        <v>3227</v>
      </c>
      <c r="E2661" s="156" t="s">
        <v>3245</v>
      </c>
      <c r="F2661" s="156" t="s">
        <v>348</v>
      </c>
      <c r="G2661" s="156" t="s">
        <v>2605</v>
      </c>
      <c r="H2661" s="157" t="s">
        <v>216</v>
      </c>
    </row>
    <row r="2662" hidden="1">
      <c r="A2662" s="151" t="s">
        <v>218</v>
      </c>
      <c r="B2662" s="118" t="s">
        <v>219</v>
      </c>
      <c r="C2662" s="118" t="s">
        <v>206</v>
      </c>
      <c r="D2662" s="152" t="s">
        <v>3227</v>
      </c>
      <c r="E2662" s="152" t="s">
        <v>3246</v>
      </c>
      <c r="F2662" s="152" t="s">
        <v>494</v>
      </c>
      <c r="G2662" s="152" t="s">
        <v>1896</v>
      </c>
      <c r="H2662" s="153" t="s">
        <v>210</v>
      </c>
    </row>
    <row r="2663" hidden="1">
      <c r="A2663" s="154" t="s">
        <v>218</v>
      </c>
      <c r="B2663" s="155" t="s">
        <v>219</v>
      </c>
      <c r="C2663" s="155" t="s">
        <v>206</v>
      </c>
      <c r="D2663" s="156" t="s">
        <v>3227</v>
      </c>
      <c r="E2663" s="156" t="s">
        <v>3247</v>
      </c>
      <c r="F2663" s="156" t="s">
        <v>725</v>
      </c>
      <c r="G2663" s="156" t="s">
        <v>1727</v>
      </c>
      <c r="H2663" s="157" t="s">
        <v>211</v>
      </c>
    </row>
    <row r="2664" hidden="1">
      <c r="A2664" s="151" t="s">
        <v>218</v>
      </c>
      <c r="B2664" s="118" t="s">
        <v>219</v>
      </c>
      <c r="C2664" s="118" t="s">
        <v>206</v>
      </c>
      <c r="D2664" s="152" t="s">
        <v>3227</v>
      </c>
      <c r="E2664" s="152" t="s">
        <v>3248</v>
      </c>
      <c r="F2664" s="152" t="s">
        <v>577</v>
      </c>
      <c r="G2664" s="152" t="s">
        <v>2364</v>
      </c>
      <c r="H2664" s="153" t="s">
        <v>212</v>
      </c>
    </row>
    <row r="2665" hidden="1">
      <c r="A2665" s="154" t="s">
        <v>218</v>
      </c>
      <c r="B2665" s="155" t="s">
        <v>219</v>
      </c>
      <c r="C2665" s="155" t="s">
        <v>206</v>
      </c>
      <c r="D2665" s="156" t="s">
        <v>3227</v>
      </c>
      <c r="E2665" s="156" t="s">
        <v>3249</v>
      </c>
      <c r="F2665" s="156" t="s">
        <v>494</v>
      </c>
      <c r="G2665" s="156" t="s">
        <v>1731</v>
      </c>
      <c r="H2665" s="157" t="s">
        <v>213</v>
      </c>
    </row>
    <row r="2666" hidden="1">
      <c r="A2666" s="151" t="s">
        <v>218</v>
      </c>
      <c r="B2666" s="118" t="s">
        <v>219</v>
      </c>
      <c r="C2666" s="118" t="s">
        <v>206</v>
      </c>
      <c r="D2666" s="152" t="s">
        <v>3227</v>
      </c>
      <c r="E2666" s="152" t="s">
        <v>3250</v>
      </c>
      <c r="F2666" s="152" t="s">
        <v>494</v>
      </c>
      <c r="G2666" s="152" t="s">
        <v>1749</v>
      </c>
      <c r="H2666" s="153" t="s">
        <v>214</v>
      </c>
    </row>
    <row r="2667" hidden="1">
      <c r="A2667" s="154" t="s">
        <v>218</v>
      </c>
      <c r="B2667" s="155" t="s">
        <v>219</v>
      </c>
      <c r="C2667" s="155" t="s">
        <v>206</v>
      </c>
      <c r="D2667" s="156" t="s">
        <v>3227</v>
      </c>
      <c r="E2667" s="156" t="s">
        <v>3251</v>
      </c>
      <c r="F2667" s="156" t="s">
        <v>799</v>
      </c>
      <c r="G2667" s="156" t="s">
        <v>1979</v>
      </c>
      <c r="H2667" s="157" t="s">
        <v>215</v>
      </c>
    </row>
    <row r="2668" hidden="1">
      <c r="A2668" s="151" t="s">
        <v>218</v>
      </c>
      <c r="B2668" s="118" t="s">
        <v>219</v>
      </c>
      <c r="C2668" s="118" t="s">
        <v>206</v>
      </c>
      <c r="D2668" s="152" t="s">
        <v>3227</v>
      </c>
      <c r="E2668" s="152" t="s">
        <v>3252</v>
      </c>
      <c r="F2668" s="152" t="s">
        <v>494</v>
      </c>
      <c r="G2668" s="152" t="s">
        <v>1751</v>
      </c>
      <c r="H2668" s="153" t="s">
        <v>216</v>
      </c>
    </row>
    <row r="2669" hidden="1">
      <c r="A2669" s="154" t="s">
        <v>220</v>
      </c>
      <c r="B2669" s="155" t="s">
        <v>190</v>
      </c>
      <c r="C2669" s="155" t="s">
        <v>206</v>
      </c>
      <c r="D2669" s="156" t="s">
        <v>3227</v>
      </c>
      <c r="E2669" s="156" t="s">
        <v>3253</v>
      </c>
      <c r="F2669" s="156" t="s">
        <v>3254</v>
      </c>
      <c r="G2669" s="156" t="s">
        <v>2299</v>
      </c>
      <c r="H2669" s="157" t="s">
        <v>210</v>
      </c>
    </row>
    <row r="2670" hidden="1">
      <c r="A2670" s="151" t="s">
        <v>220</v>
      </c>
      <c r="B2670" s="118" t="s">
        <v>190</v>
      </c>
      <c r="C2670" s="118" t="s">
        <v>206</v>
      </c>
      <c r="D2670" s="152" t="s">
        <v>3227</v>
      </c>
      <c r="E2670" s="152" t="s">
        <v>3255</v>
      </c>
      <c r="F2670" s="152" t="s">
        <v>2607</v>
      </c>
      <c r="G2670" s="152" t="s">
        <v>2901</v>
      </c>
      <c r="H2670" s="153" t="s">
        <v>211</v>
      </c>
    </row>
    <row r="2671" hidden="1">
      <c r="A2671" s="154" t="s">
        <v>220</v>
      </c>
      <c r="B2671" s="155" t="s">
        <v>190</v>
      </c>
      <c r="C2671" s="155" t="s">
        <v>206</v>
      </c>
      <c r="D2671" s="156" t="s">
        <v>3227</v>
      </c>
      <c r="E2671" s="156" t="s">
        <v>3256</v>
      </c>
      <c r="F2671" s="156" t="s">
        <v>1931</v>
      </c>
      <c r="G2671" s="156" t="s">
        <v>2331</v>
      </c>
      <c r="H2671" s="157" t="s">
        <v>212</v>
      </c>
    </row>
    <row r="2672" hidden="1">
      <c r="A2672" s="151" t="s">
        <v>220</v>
      </c>
      <c r="B2672" s="118" t="s">
        <v>190</v>
      </c>
      <c r="C2672" s="118" t="s">
        <v>206</v>
      </c>
      <c r="D2672" s="152" t="s">
        <v>3227</v>
      </c>
      <c r="E2672" s="152" t="s">
        <v>3257</v>
      </c>
      <c r="F2672" s="152" t="s">
        <v>735</v>
      </c>
      <c r="G2672" s="152" t="s">
        <v>1979</v>
      </c>
      <c r="H2672" s="153" t="s">
        <v>213</v>
      </c>
    </row>
    <row r="2673" hidden="1">
      <c r="A2673" s="154" t="s">
        <v>220</v>
      </c>
      <c r="B2673" s="155" t="s">
        <v>190</v>
      </c>
      <c r="C2673" s="155" t="s">
        <v>206</v>
      </c>
      <c r="D2673" s="156" t="s">
        <v>3227</v>
      </c>
      <c r="E2673" s="156" t="s">
        <v>3258</v>
      </c>
      <c r="F2673" s="156" t="s">
        <v>3243</v>
      </c>
      <c r="G2673" s="156" t="s">
        <v>1979</v>
      </c>
      <c r="H2673" s="157" t="s">
        <v>214</v>
      </c>
    </row>
    <row r="2674" hidden="1">
      <c r="A2674" s="151" t="s">
        <v>220</v>
      </c>
      <c r="B2674" s="118" t="s">
        <v>190</v>
      </c>
      <c r="C2674" s="118" t="s">
        <v>206</v>
      </c>
      <c r="D2674" s="152" t="s">
        <v>3227</v>
      </c>
      <c r="E2674" s="152" t="s">
        <v>3259</v>
      </c>
      <c r="F2674" s="152" t="s">
        <v>725</v>
      </c>
      <c r="G2674" s="152" t="s">
        <v>1725</v>
      </c>
      <c r="H2674" s="153" t="s">
        <v>215</v>
      </c>
    </row>
    <row r="2675" hidden="1">
      <c r="A2675" s="154" t="s">
        <v>220</v>
      </c>
      <c r="B2675" s="155" t="s">
        <v>190</v>
      </c>
      <c r="C2675" s="155" t="s">
        <v>206</v>
      </c>
      <c r="D2675" s="156" t="s">
        <v>3227</v>
      </c>
      <c r="E2675" s="156" t="s">
        <v>3260</v>
      </c>
      <c r="F2675" s="156" t="s">
        <v>637</v>
      </c>
      <c r="G2675" s="156" t="s">
        <v>1976</v>
      </c>
      <c r="H2675" s="157" t="s">
        <v>216</v>
      </c>
    </row>
    <row r="2676" hidden="1">
      <c r="A2676" s="151" t="s">
        <v>221</v>
      </c>
      <c r="B2676" s="118" t="s">
        <v>189</v>
      </c>
      <c r="C2676" s="118" t="s">
        <v>206</v>
      </c>
      <c r="D2676" s="152" t="s">
        <v>3227</v>
      </c>
      <c r="E2676" s="152" t="s">
        <v>3261</v>
      </c>
      <c r="F2676" s="152" t="s">
        <v>374</v>
      </c>
      <c r="G2676" s="152" t="s">
        <v>3262</v>
      </c>
      <c r="H2676" s="153" t="s">
        <v>210</v>
      </c>
    </row>
    <row r="2677" hidden="1">
      <c r="A2677" s="154" t="s">
        <v>221</v>
      </c>
      <c r="B2677" s="155" t="s">
        <v>189</v>
      </c>
      <c r="C2677" s="155" t="s">
        <v>206</v>
      </c>
      <c r="D2677" s="156" t="s">
        <v>3227</v>
      </c>
      <c r="E2677" s="156" t="s">
        <v>3263</v>
      </c>
      <c r="F2677" s="156" t="s">
        <v>339</v>
      </c>
      <c r="G2677" s="156" t="s">
        <v>3117</v>
      </c>
      <c r="H2677" s="157" t="s">
        <v>211</v>
      </c>
    </row>
    <row r="2678" hidden="1">
      <c r="A2678" s="151" t="s">
        <v>221</v>
      </c>
      <c r="B2678" s="118" t="s">
        <v>189</v>
      </c>
      <c r="C2678" s="118" t="s">
        <v>206</v>
      </c>
      <c r="D2678" s="152" t="s">
        <v>3227</v>
      </c>
      <c r="E2678" s="152" t="s">
        <v>3264</v>
      </c>
      <c r="F2678" s="152" t="s">
        <v>448</v>
      </c>
      <c r="G2678" s="152" t="s">
        <v>3265</v>
      </c>
      <c r="H2678" s="153" t="s">
        <v>212</v>
      </c>
    </row>
    <row r="2679" hidden="1">
      <c r="A2679" s="154" t="s">
        <v>221</v>
      </c>
      <c r="B2679" s="155" t="s">
        <v>189</v>
      </c>
      <c r="C2679" s="155" t="s">
        <v>206</v>
      </c>
      <c r="D2679" s="156" t="s">
        <v>3227</v>
      </c>
      <c r="E2679" s="156" t="s">
        <v>3266</v>
      </c>
      <c r="F2679" s="156" t="s">
        <v>308</v>
      </c>
      <c r="G2679" s="156" t="s">
        <v>3267</v>
      </c>
      <c r="H2679" s="157" t="s">
        <v>213</v>
      </c>
    </row>
    <row r="2680" hidden="1">
      <c r="A2680" s="151" t="s">
        <v>221</v>
      </c>
      <c r="B2680" s="118" t="s">
        <v>189</v>
      </c>
      <c r="C2680" s="118" t="s">
        <v>206</v>
      </c>
      <c r="D2680" s="152" t="s">
        <v>3227</v>
      </c>
      <c r="E2680" s="152" t="s">
        <v>3268</v>
      </c>
      <c r="F2680" s="152" t="s">
        <v>321</v>
      </c>
      <c r="G2680" s="152" t="s">
        <v>3265</v>
      </c>
      <c r="H2680" s="153" t="s">
        <v>214</v>
      </c>
    </row>
    <row r="2681" hidden="1">
      <c r="A2681" s="154" t="s">
        <v>221</v>
      </c>
      <c r="B2681" s="155" t="s">
        <v>189</v>
      </c>
      <c r="C2681" s="155" t="s">
        <v>206</v>
      </c>
      <c r="D2681" s="156" t="s">
        <v>3227</v>
      </c>
      <c r="E2681" s="156" t="s">
        <v>3269</v>
      </c>
      <c r="F2681" s="156" t="s">
        <v>1530</v>
      </c>
      <c r="G2681" s="156" t="s">
        <v>3270</v>
      </c>
      <c r="H2681" s="157" t="s">
        <v>215</v>
      </c>
    </row>
    <row r="2682" hidden="1">
      <c r="A2682" s="151" t="s">
        <v>221</v>
      </c>
      <c r="B2682" s="118" t="s">
        <v>189</v>
      </c>
      <c r="C2682" s="118" t="s">
        <v>206</v>
      </c>
      <c r="D2682" s="152" t="s">
        <v>3227</v>
      </c>
      <c r="E2682" s="152" t="s">
        <v>3271</v>
      </c>
      <c r="F2682" s="152" t="s">
        <v>359</v>
      </c>
      <c r="G2682" s="152" t="s">
        <v>3272</v>
      </c>
      <c r="H2682" s="153" t="s">
        <v>216</v>
      </c>
    </row>
    <row r="2683" hidden="1">
      <c r="A2683" s="154" t="s">
        <v>222</v>
      </c>
      <c r="B2683" s="155" t="s">
        <v>192</v>
      </c>
      <c r="C2683" s="155" t="s">
        <v>206</v>
      </c>
      <c r="D2683" s="156" t="s">
        <v>3227</v>
      </c>
      <c r="E2683" s="156" t="s">
        <v>3273</v>
      </c>
      <c r="F2683" s="156" t="s">
        <v>228</v>
      </c>
      <c r="G2683" s="156" t="s">
        <v>2113</v>
      </c>
      <c r="H2683" s="157" t="s">
        <v>210</v>
      </c>
    </row>
    <row r="2684" hidden="1">
      <c r="A2684" s="151" t="s">
        <v>222</v>
      </c>
      <c r="B2684" s="118" t="s">
        <v>192</v>
      </c>
      <c r="C2684" s="118" t="s">
        <v>206</v>
      </c>
      <c r="D2684" s="152" t="s">
        <v>3227</v>
      </c>
      <c r="E2684" s="152" t="s">
        <v>3274</v>
      </c>
      <c r="F2684" s="152" t="s">
        <v>2005</v>
      </c>
      <c r="G2684" s="152" t="s">
        <v>2760</v>
      </c>
      <c r="H2684" s="153" t="s">
        <v>211</v>
      </c>
    </row>
    <row r="2685" hidden="1">
      <c r="A2685" s="154" t="s">
        <v>222</v>
      </c>
      <c r="B2685" s="155" t="s">
        <v>192</v>
      </c>
      <c r="C2685" s="155" t="s">
        <v>206</v>
      </c>
      <c r="D2685" s="156" t="s">
        <v>3227</v>
      </c>
      <c r="E2685" s="156" t="s">
        <v>3275</v>
      </c>
      <c r="F2685" s="156" t="s">
        <v>3150</v>
      </c>
      <c r="G2685" s="156" t="s">
        <v>3221</v>
      </c>
      <c r="H2685" s="157" t="s">
        <v>212</v>
      </c>
    </row>
    <row r="2686" hidden="1">
      <c r="A2686" s="151" t="s">
        <v>222</v>
      </c>
      <c r="B2686" s="118" t="s">
        <v>192</v>
      </c>
      <c r="C2686" s="118" t="s">
        <v>206</v>
      </c>
      <c r="D2686" s="152" t="s">
        <v>3227</v>
      </c>
      <c r="E2686" s="152" t="s">
        <v>3276</v>
      </c>
      <c r="F2686" s="152" t="s">
        <v>732</v>
      </c>
      <c r="G2686" s="152" t="s">
        <v>3230</v>
      </c>
      <c r="H2686" s="153" t="s">
        <v>213</v>
      </c>
    </row>
    <row r="2687" hidden="1">
      <c r="A2687" s="154" t="s">
        <v>222</v>
      </c>
      <c r="B2687" s="155" t="s">
        <v>192</v>
      </c>
      <c r="C2687" s="155" t="s">
        <v>206</v>
      </c>
      <c r="D2687" s="156" t="s">
        <v>3227</v>
      </c>
      <c r="E2687" s="156" t="s">
        <v>3277</v>
      </c>
      <c r="F2687" s="156" t="s">
        <v>732</v>
      </c>
      <c r="G2687" s="156" t="s">
        <v>3278</v>
      </c>
      <c r="H2687" s="157" t="s">
        <v>214</v>
      </c>
    </row>
    <row r="2688" hidden="1">
      <c r="A2688" s="151" t="s">
        <v>222</v>
      </c>
      <c r="B2688" s="118" t="s">
        <v>192</v>
      </c>
      <c r="C2688" s="118" t="s">
        <v>206</v>
      </c>
      <c r="D2688" s="152" t="s">
        <v>3227</v>
      </c>
      <c r="E2688" s="152" t="s">
        <v>3279</v>
      </c>
      <c r="F2688" s="152" t="s">
        <v>1790</v>
      </c>
      <c r="G2688" s="152" t="s">
        <v>3280</v>
      </c>
      <c r="H2688" s="153" t="s">
        <v>215</v>
      </c>
    </row>
    <row r="2689" hidden="1">
      <c r="A2689" s="154" t="s">
        <v>222</v>
      </c>
      <c r="B2689" s="155" t="s">
        <v>192</v>
      </c>
      <c r="C2689" s="155" t="s">
        <v>206</v>
      </c>
      <c r="D2689" s="156" t="s">
        <v>3227</v>
      </c>
      <c r="E2689" s="156" t="s">
        <v>3281</v>
      </c>
      <c r="F2689" s="156" t="s">
        <v>2005</v>
      </c>
      <c r="G2689" s="156" t="s">
        <v>3282</v>
      </c>
      <c r="H2689" s="157" t="s">
        <v>216</v>
      </c>
    </row>
    <row r="2690" hidden="1">
      <c r="A2690" s="151" t="s">
        <v>223</v>
      </c>
      <c r="B2690" s="118" t="s">
        <v>144</v>
      </c>
      <c r="C2690" s="118" t="s">
        <v>206</v>
      </c>
      <c r="D2690" s="152" t="s">
        <v>3227</v>
      </c>
      <c r="E2690" s="152" t="s">
        <v>3283</v>
      </c>
      <c r="F2690" s="152" t="s">
        <v>354</v>
      </c>
      <c r="G2690" s="152" t="s">
        <v>3284</v>
      </c>
      <c r="H2690" s="153" t="s">
        <v>210</v>
      </c>
    </row>
    <row r="2691" hidden="1">
      <c r="A2691" s="154" t="s">
        <v>223</v>
      </c>
      <c r="B2691" s="155" t="s">
        <v>144</v>
      </c>
      <c r="C2691" s="155" t="s">
        <v>206</v>
      </c>
      <c r="D2691" s="156" t="s">
        <v>3227</v>
      </c>
      <c r="E2691" s="156" t="s">
        <v>3285</v>
      </c>
      <c r="F2691" s="156" t="s">
        <v>478</v>
      </c>
      <c r="G2691" s="156" t="s">
        <v>1860</v>
      </c>
      <c r="H2691" s="157" t="s">
        <v>211</v>
      </c>
    </row>
    <row r="2692" hidden="1">
      <c r="A2692" s="151" t="s">
        <v>223</v>
      </c>
      <c r="B2692" s="118" t="s">
        <v>144</v>
      </c>
      <c r="C2692" s="118" t="s">
        <v>206</v>
      </c>
      <c r="D2692" s="152" t="s">
        <v>3227</v>
      </c>
      <c r="E2692" s="152" t="s">
        <v>3286</v>
      </c>
      <c r="F2692" s="152" t="s">
        <v>760</v>
      </c>
      <c r="G2692" s="152" t="s">
        <v>3287</v>
      </c>
      <c r="H2692" s="153" t="s">
        <v>212</v>
      </c>
    </row>
    <row r="2693" hidden="1">
      <c r="A2693" s="154" t="s">
        <v>223</v>
      </c>
      <c r="B2693" s="155" t="s">
        <v>144</v>
      </c>
      <c r="C2693" s="155" t="s">
        <v>206</v>
      </c>
      <c r="D2693" s="156" t="s">
        <v>3227</v>
      </c>
      <c r="E2693" s="156" t="s">
        <v>3288</v>
      </c>
      <c r="F2693" s="156" t="s">
        <v>494</v>
      </c>
      <c r="G2693" s="156" t="s">
        <v>2243</v>
      </c>
      <c r="H2693" s="157" t="s">
        <v>213</v>
      </c>
    </row>
    <row r="2694" hidden="1">
      <c r="A2694" s="151" t="s">
        <v>223</v>
      </c>
      <c r="B2694" s="118" t="s">
        <v>144</v>
      </c>
      <c r="C2694" s="118" t="s">
        <v>206</v>
      </c>
      <c r="D2694" s="152" t="s">
        <v>3227</v>
      </c>
      <c r="E2694" s="152" t="s">
        <v>3289</v>
      </c>
      <c r="F2694" s="152" t="s">
        <v>478</v>
      </c>
      <c r="G2694" s="152" t="s">
        <v>1864</v>
      </c>
      <c r="H2694" s="153" t="s">
        <v>214</v>
      </c>
    </row>
    <row r="2695" hidden="1">
      <c r="A2695" s="154" t="s">
        <v>223</v>
      </c>
      <c r="B2695" s="155" t="s">
        <v>144</v>
      </c>
      <c r="C2695" s="155" t="s">
        <v>206</v>
      </c>
      <c r="D2695" s="156" t="s">
        <v>3227</v>
      </c>
      <c r="E2695" s="156" t="s">
        <v>3290</v>
      </c>
      <c r="F2695" s="156" t="s">
        <v>478</v>
      </c>
      <c r="G2695" s="156" t="s">
        <v>2925</v>
      </c>
      <c r="H2695" s="157" t="s">
        <v>215</v>
      </c>
    </row>
    <row r="2696" hidden="1">
      <c r="A2696" s="151" t="s">
        <v>223</v>
      </c>
      <c r="B2696" s="118" t="s">
        <v>144</v>
      </c>
      <c r="C2696" s="118" t="s">
        <v>206</v>
      </c>
      <c r="D2696" s="152" t="s">
        <v>3227</v>
      </c>
      <c r="E2696" s="152" t="s">
        <v>3291</v>
      </c>
      <c r="F2696" s="152" t="s">
        <v>725</v>
      </c>
      <c r="G2696" s="152" t="s">
        <v>1832</v>
      </c>
      <c r="H2696" s="153" t="s">
        <v>216</v>
      </c>
    </row>
    <row r="2697" hidden="1">
      <c r="A2697" s="154" t="s">
        <v>224</v>
      </c>
      <c r="B2697" s="155" t="s">
        <v>170</v>
      </c>
      <c r="C2697" s="155" t="s">
        <v>206</v>
      </c>
      <c r="D2697" s="156" t="s">
        <v>3227</v>
      </c>
      <c r="E2697" s="156" t="s">
        <v>3292</v>
      </c>
      <c r="F2697" s="156" t="s">
        <v>3293</v>
      </c>
      <c r="G2697" s="156" t="s">
        <v>3294</v>
      </c>
      <c r="H2697" s="157" t="s">
        <v>210</v>
      </c>
    </row>
    <row r="2698" hidden="1">
      <c r="A2698" s="151" t="s">
        <v>224</v>
      </c>
      <c r="B2698" s="118" t="s">
        <v>170</v>
      </c>
      <c r="C2698" s="118" t="s">
        <v>206</v>
      </c>
      <c r="D2698" s="152" t="s">
        <v>3227</v>
      </c>
      <c r="E2698" s="152" t="s">
        <v>3295</v>
      </c>
      <c r="F2698" s="152" t="s">
        <v>3293</v>
      </c>
      <c r="G2698" s="152" t="s">
        <v>3296</v>
      </c>
      <c r="H2698" s="153" t="s">
        <v>211</v>
      </c>
    </row>
    <row r="2699" hidden="1">
      <c r="A2699" s="154" t="s">
        <v>224</v>
      </c>
      <c r="B2699" s="155" t="s">
        <v>170</v>
      </c>
      <c r="C2699" s="155" t="s">
        <v>206</v>
      </c>
      <c r="D2699" s="156" t="s">
        <v>3227</v>
      </c>
      <c r="E2699" s="156" t="s">
        <v>3297</v>
      </c>
      <c r="F2699" s="156" t="s">
        <v>3293</v>
      </c>
      <c r="G2699" s="156" t="s">
        <v>3298</v>
      </c>
      <c r="H2699" s="157" t="s">
        <v>212</v>
      </c>
    </row>
    <row r="2700" hidden="1">
      <c r="A2700" s="151" t="s">
        <v>224</v>
      </c>
      <c r="B2700" s="118" t="s">
        <v>170</v>
      </c>
      <c r="C2700" s="118" t="s">
        <v>206</v>
      </c>
      <c r="D2700" s="152" t="s">
        <v>3227</v>
      </c>
      <c r="E2700" s="152" t="s">
        <v>3299</v>
      </c>
      <c r="F2700" s="152" t="s">
        <v>1948</v>
      </c>
      <c r="G2700" s="152" t="s">
        <v>3300</v>
      </c>
      <c r="H2700" s="153" t="s">
        <v>213</v>
      </c>
    </row>
    <row r="2701" hidden="1">
      <c r="A2701" s="154" t="s">
        <v>224</v>
      </c>
      <c r="B2701" s="155" t="s">
        <v>170</v>
      </c>
      <c r="C2701" s="155" t="s">
        <v>206</v>
      </c>
      <c r="D2701" s="156" t="s">
        <v>3227</v>
      </c>
      <c r="E2701" s="156" t="s">
        <v>3301</v>
      </c>
      <c r="F2701" s="156" t="s">
        <v>3148</v>
      </c>
      <c r="G2701" s="156" t="s">
        <v>3302</v>
      </c>
      <c r="H2701" s="157" t="s">
        <v>214</v>
      </c>
    </row>
    <row r="2702" hidden="1">
      <c r="A2702" s="151" t="s">
        <v>224</v>
      </c>
      <c r="B2702" s="118" t="s">
        <v>170</v>
      </c>
      <c r="C2702" s="118" t="s">
        <v>206</v>
      </c>
      <c r="D2702" s="152" t="s">
        <v>3227</v>
      </c>
      <c r="E2702" s="152" t="s">
        <v>3303</v>
      </c>
      <c r="F2702" s="152" t="s">
        <v>2807</v>
      </c>
      <c r="G2702" s="152" t="s">
        <v>3304</v>
      </c>
      <c r="H2702" s="153" t="s">
        <v>215</v>
      </c>
    </row>
    <row r="2703" hidden="1">
      <c r="A2703" s="154" t="s">
        <v>224</v>
      </c>
      <c r="B2703" s="155" t="s">
        <v>170</v>
      </c>
      <c r="C2703" s="155" t="s">
        <v>206</v>
      </c>
      <c r="D2703" s="156" t="s">
        <v>3227</v>
      </c>
      <c r="E2703" s="156" t="s">
        <v>3305</v>
      </c>
      <c r="F2703" s="156" t="s">
        <v>1781</v>
      </c>
      <c r="G2703" s="156" t="s">
        <v>3111</v>
      </c>
      <c r="H2703" s="157" t="s">
        <v>216</v>
      </c>
    </row>
    <row r="2704" hidden="1">
      <c r="A2704" s="151" t="s">
        <v>225</v>
      </c>
      <c r="B2704" s="118" t="s">
        <v>226</v>
      </c>
      <c r="C2704" s="118" t="s">
        <v>206</v>
      </c>
      <c r="D2704" s="152" t="s">
        <v>3227</v>
      </c>
      <c r="E2704" s="152" t="s">
        <v>3306</v>
      </c>
      <c r="F2704" s="152" t="s">
        <v>287</v>
      </c>
      <c r="G2704" s="152" t="s">
        <v>3307</v>
      </c>
      <c r="H2704" s="153" t="s">
        <v>210</v>
      </c>
    </row>
    <row r="2705" hidden="1">
      <c r="A2705" s="154" t="s">
        <v>225</v>
      </c>
      <c r="B2705" s="155" t="s">
        <v>226</v>
      </c>
      <c r="C2705" s="155" t="s">
        <v>206</v>
      </c>
      <c r="D2705" s="156" t="s">
        <v>3227</v>
      </c>
      <c r="E2705" s="156" t="s">
        <v>3308</v>
      </c>
      <c r="F2705" s="156" t="s">
        <v>310</v>
      </c>
      <c r="G2705" s="156" t="s">
        <v>2008</v>
      </c>
      <c r="H2705" s="157" t="s">
        <v>211</v>
      </c>
    </row>
    <row r="2706" hidden="1">
      <c r="A2706" s="151" t="s">
        <v>225</v>
      </c>
      <c r="B2706" s="118" t="s">
        <v>226</v>
      </c>
      <c r="C2706" s="118" t="s">
        <v>206</v>
      </c>
      <c r="D2706" s="152" t="s">
        <v>3227</v>
      </c>
      <c r="E2706" s="152" t="s">
        <v>3309</v>
      </c>
      <c r="F2706" s="152" t="s">
        <v>359</v>
      </c>
      <c r="G2706" s="152" t="s">
        <v>3115</v>
      </c>
      <c r="H2706" s="153" t="s">
        <v>212</v>
      </c>
    </row>
    <row r="2707" hidden="1">
      <c r="A2707" s="154" t="s">
        <v>225</v>
      </c>
      <c r="B2707" s="155" t="s">
        <v>226</v>
      </c>
      <c r="C2707" s="155" t="s">
        <v>206</v>
      </c>
      <c r="D2707" s="156" t="s">
        <v>3227</v>
      </c>
      <c r="E2707" s="156" t="s">
        <v>3310</v>
      </c>
      <c r="F2707" s="156" t="s">
        <v>534</v>
      </c>
      <c r="G2707" s="156" t="s">
        <v>3272</v>
      </c>
      <c r="H2707" s="157" t="s">
        <v>213</v>
      </c>
    </row>
    <row r="2708" hidden="1">
      <c r="A2708" s="151" t="s">
        <v>225</v>
      </c>
      <c r="B2708" s="118" t="s">
        <v>226</v>
      </c>
      <c r="C2708" s="118" t="s">
        <v>206</v>
      </c>
      <c r="D2708" s="152" t="s">
        <v>3227</v>
      </c>
      <c r="E2708" s="152" t="s">
        <v>3311</v>
      </c>
      <c r="F2708" s="152" t="s">
        <v>246</v>
      </c>
      <c r="G2708" s="152" t="s">
        <v>3312</v>
      </c>
      <c r="H2708" s="153" t="s">
        <v>214</v>
      </c>
    </row>
    <row r="2709" hidden="1">
      <c r="A2709" s="154" t="s">
        <v>225</v>
      </c>
      <c r="B2709" s="155" t="s">
        <v>226</v>
      </c>
      <c r="C2709" s="155" t="s">
        <v>206</v>
      </c>
      <c r="D2709" s="156" t="s">
        <v>3227</v>
      </c>
      <c r="E2709" s="156" t="s">
        <v>3313</v>
      </c>
      <c r="F2709" s="156" t="s">
        <v>262</v>
      </c>
      <c r="G2709" s="156" t="s">
        <v>2305</v>
      </c>
      <c r="H2709" s="157" t="s">
        <v>215</v>
      </c>
    </row>
    <row r="2710" hidden="1">
      <c r="A2710" s="151" t="s">
        <v>225</v>
      </c>
      <c r="B2710" s="118" t="s">
        <v>226</v>
      </c>
      <c r="C2710" s="118" t="s">
        <v>206</v>
      </c>
      <c r="D2710" s="152" t="s">
        <v>3227</v>
      </c>
      <c r="E2710" s="152" t="s">
        <v>3314</v>
      </c>
      <c r="F2710" s="152" t="s">
        <v>323</v>
      </c>
      <c r="G2710" s="152" t="s">
        <v>3203</v>
      </c>
      <c r="H2710" s="153" t="s">
        <v>216</v>
      </c>
    </row>
    <row r="2711" hidden="1">
      <c r="A2711" s="154" t="s">
        <v>227</v>
      </c>
      <c r="B2711" s="155" t="s">
        <v>195</v>
      </c>
      <c r="C2711" s="155" t="s">
        <v>206</v>
      </c>
      <c r="D2711" s="156" t="s">
        <v>3227</v>
      </c>
      <c r="E2711" s="156" t="s">
        <v>3315</v>
      </c>
      <c r="F2711" s="156" t="s">
        <v>2228</v>
      </c>
      <c r="G2711" s="156" t="s">
        <v>1864</v>
      </c>
      <c r="H2711" s="157" t="s">
        <v>210</v>
      </c>
    </row>
    <row r="2712" hidden="1">
      <c r="A2712" s="151" t="s">
        <v>227</v>
      </c>
      <c r="B2712" s="118" t="s">
        <v>195</v>
      </c>
      <c r="C2712" s="118" t="s">
        <v>206</v>
      </c>
      <c r="D2712" s="152" t="s">
        <v>3227</v>
      </c>
      <c r="E2712" s="152" t="s">
        <v>3316</v>
      </c>
      <c r="F2712" s="152" t="s">
        <v>1532</v>
      </c>
      <c r="G2712" s="152" t="s">
        <v>1921</v>
      </c>
      <c r="H2712" s="153" t="s">
        <v>211</v>
      </c>
    </row>
    <row r="2713" hidden="1">
      <c r="A2713" s="154" t="s">
        <v>227</v>
      </c>
      <c r="B2713" s="155" t="s">
        <v>195</v>
      </c>
      <c r="C2713" s="155" t="s">
        <v>206</v>
      </c>
      <c r="D2713" s="156" t="s">
        <v>3227</v>
      </c>
      <c r="E2713" s="156" t="s">
        <v>3317</v>
      </c>
      <c r="F2713" s="156" t="s">
        <v>348</v>
      </c>
      <c r="G2713" s="156" t="s">
        <v>2060</v>
      </c>
      <c r="H2713" s="157" t="s">
        <v>212</v>
      </c>
    </row>
    <row r="2714" hidden="1">
      <c r="A2714" s="151" t="s">
        <v>227</v>
      </c>
      <c r="B2714" s="118" t="s">
        <v>195</v>
      </c>
      <c r="C2714" s="118" t="s">
        <v>206</v>
      </c>
      <c r="D2714" s="152" t="s">
        <v>3227</v>
      </c>
      <c r="E2714" s="152" t="s">
        <v>3318</v>
      </c>
      <c r="F2714" s="152" t="s">
        <v>758</v>
      </c>
      <c r="G2714" s="152" t="s">
        <v>2923</v>
      </c>
      <c r="H2714" s="153" t="s">
        <v>213</v>
      </c>
    </row>
    <row r="2715" hidden="1">
      <c r="A2715" s="154" t="s">
        <v>227</v>
      </c>
      <c r="B2715" s="155" t="s">
        <v>195</v>
      </c>
      <c r="C2715" s="155" t="s">
        <v>206</v>
      </c>
      <c r="D2715" s="156" t="s">
        <v>3227</v>
      </c>
      <c r="E2715" s="156" t="s">
        <v>3319</v>
      </c>
      <c r="F2715" s="156" t="s">
        <v>3198</v>
      </c>
      <c r="G2715" s="156" t="s">
        <v>1834</v>
      </c>
      <c r="H2715" s="157" t="s">
        <v>214</v>
      </c>
    </row>
    <row r="2716" hidden="1">
      <c r="A2716" s="151" t="s">
        <v>227</v>
      </c>
      <c r="B2716" s="118" t="s">
        <v>195</v>
      </c>
      <c r="C2716" s="118" t="s">
        <v>206</v>
      </c>
      <c r="D2716" s="152" t="s">
        <v>3227</v>
      </c>
      <c r="E2716" s="152" t="s">
        <v>3320</v>
      </c>
      <c r="F2716" s="152" t="s">
        <v>1999</v>
      </c>
      <c r="G2716" s="152" t="s">
        <v>2067</v>
      </c>
      <c r="H2716" s="153" t="s">
        <v>215</v>
      </c>
    </row>
    <row r="2717" hidden="1">
      <c r="A2717" s="154" t="s">
        <v>227</v>
      </c>
      <c r="B2717" s="155" t="s">
        <v>195</v>
      </c>
      <c r="C2717" s="155" t="s">
        <v>206</v>
      </c>
      <c r="D2717" s="156" t="s">
        <v>3227</v>
      </c>
      <c r="E2717" s="156" t="s">
        <v>3321</v>
      </c>
      <c r="F2717" s="156" t="s">
        <v>758</v>
      </c>
      <c r="G2717" s="156" t="s">
        <v>2385</v>
      </c>
      <c r="H2717" s="157" t="s">
        <v>216</v>
      </c>
    </row>
    <row r="2718" hidden="1">
      <c r="A2718" s="151" t="s">
        <v>228</v>
      </c>
      <c r="B2718" s="118" t="s">
        <v>138</v>
      </c>
      <c r="C2718" s="118" t="s">
        <v>206</v>
      </c>
      <c r="D2718" s="152" t="s">
        <v>3227</v>
      </c>
      <c r="E2718" s="152" t="s">
        <v>3322</v>
      </c>
      <c r="F2718" s="152" t="s">
        <v>285</v>
      </c>
      <c r="G2718" s="152" t="s">
        <v>2785</v>
      </c>
      <c r="H2718" s="153" t="s">
        <v>210</v>
      </c>
    </row>
    <row r="2719" hidden="1">
      <c r="A2719" s="154" t="s">
        <v>228</v>
      </c>
      <c r="B2719" s="155" t="s">
        <v>138</v>
      </c>
      <c r="C2719" s="155" t="s">
        <v>206</v>
      </c>
      <c r="D2719" s="156" t="s">
        <v>3227</v>
      </c>
      <c r="E2719" s="156" t="s">
        <v>3323</v>
      </c>
      <c r="F2719" s="156" t="s">
        <v>287</v>
      </c>
      <c r="G2719" s="156" t="s">
        <v>635</v>
      </c>
      <c r="H2719" s="157" t="s">
        <v>211</v>
      </c>
    </row>
    <row r="2720" hidden="1">
      <c r="A2720" s="151" t="s">
        <v>228</v>
      </c>
      <c r="B2720" s="118" t="s">
        <v>138</v>
      </c>
      <c r="C2720" s="118" t="s">
        <v>206</v>
      </c>
      <c r="D2720" s="152" t="s">
        <v>3227</v>
      </c>
      <c r="E2720" s="152" t="s">
        <v>3324</v>
      </c>
      <c r="F2720" s="152" t="s">
        <v>298</v>
      </c>
      <c r="G2720" s="152" t="s">
        <v>2132</v>
      </c>
      <c r="H2720" s="153" t="s">
        <v>212</v>
      </c>
    </row>
    <row r="2721" hidden="1">
      <c r="A2721" s="154" t="s">
        <v>228</v>
      </c>
      <c r="B2721" s="155" t="s">
        <v>138</v>
      </c>
      <c r="C2721" s="155" t="s">
        <v>206</v>
      </c>
      <c r="D2721" s="156" t="s">
        <v>3227</v>
      </c>
      <c r="E2721" s="156" t="s">
        <v>3325</v>
      </c>
      <c r="F2721" s="156" t="s">
        <v>259</v>
      </c>
      <c r="G2721" s="156" t="s">
        <v>2132</v>
      </c>
      <c r="H2721" s="157" t="s">
        <v>213</v>
      </c>
    </row>
    <row r="2722" hidden="1">
      <c r="A2722" s="151" t="s">
        <v>228</v>
      </c>
      <c r="B2722" s="118" t="s">
        <v>138</v>
      </c>
      <c r="C2722" s="118" t="s">
        <v>206</v>
      </c>
      <c r="D2722" s="152" t="s">
        <v>3227</v>
      </c>
      <c r="E2722" s="152" t="s">
        <v>3326</v>
      </c>
      <c r="F2722" s="152" t="s">
        <v>458</v>
      </c>
      <c r="G2722" s="152" t="s">
        <v>2838</v>
      </c>
      <c r="H2722" s="153" t="s">
        <v>214</v>
      </c>
    </row>
    <row r="2723" hidden="1">
      <c r="A2723" s="154" t="s">
        <v>228</v>
      </c>
      <c r="B2723" s="155" t="s">
        <v>138</v>
      </c>
      <c r="C2723" s="155" t="s">
        <v>206</v>
      </c>
      <c r="D2723" s="156" t="s">
        <v>3227</v>
      </c>
      <c r="E2723" s="156" t="s">
        <v>3327</v>
      </c>
      <c r="F2723" s="156" t="s">
        <v>301</v>
      </c>
      <c r="G2723" s="156" t="s">
        <v>2686</v>
      </c>
      <c r="H2723" s="157" t="s">
        <v>215</v>
      </c>
    </row>
    <row r="2724" hidden="1">
      <c r="A2724" s="151" t="s">
        <v>228</v>
      </c>
      <c r="B2724" s="118" t="s">
        <v>138</v>
      </c>
      <c r="C2724" s="118" t="s">
        <v>206</v>
      </c>
      <c r="D2724" s="152" t="s">
        <v>3227</v>
      </c>
      <c r="E2724" s="152" t="s">
        <v>3328</v>
      </c>
      <c r="F2724" s="152" t="s">
        <v>246</v>
      </c>
      <c r="G2724" s="152" t="s">
        <v>1818</v>
      </c>
      <c r="H2724" s="153" t="s">
        <v>216</v>
      </c>
    </row>
    <row r="2725" hidden="1">
      <c r="A2725" s="154" t="s">
        <v>229</v>
      </c>
      <c r="B2725" s="155" t="s">
        <v>193</v>
      </c>
      <c r="C2725" s="155" t="s">
        <v>206</v>
      </c>
      <c r="D2725" s="156" t="s">
        <v>3227</v>
      </c>
      <c r="E2725" s="156" t="s">
        <v>3329</v>
      </c>
      <c r="F2725" s="156" t="s">
        <v>2994</v>
      </c>
      <c r="G2725" s="156" t="s">
        <v>1834</v>
      </c>
      <c r="H2725" s="157" t="s">
        <v>210</v>
      </c>
    </row>
    <row r="2726" hidden="1">
      <c r="A2726" s="151" t="s">
        <v>229</v>
      </c>
      <c r="B2726" s="118" t="s">
        <v>193</v>
      </c>
      <c r="C2726" s="118" t="s">
        <v>206</v>
      </c>
      <c r="D2726" s="152" t="s">
        <v>3227</v>
      </c>
      <c r="E2726" s="152" t="s">
        <v>3330</v>
      </c>
      <c r="F2726" s="152" t="s">
        <v>312</v>
      </c>
      <c r="G2726" s="152" t="s">
        <v>1923</v>
      </c>
      <c r="H2726" s="153" t="s">
        <v>211</v>
      </c>
    </row>
    <row r="2727" hidden="1">
      <c r="A2727" s="154" t="s">
        <v>229</v>
      </c>
      <c r="B2727" s="155" t="s">
        <v>193</v>
      </c>
      <c r="C2727" s="155" t="s">
        <v>206</v>
      </c>
      <c r="D2727" s="156" t="s">
        <v>3227</v>
      </c>
      <c r="E2727" s="156" t="s">
        <v>3331</v>
      </c>
      <c r="F2727" s="156" t="s">
        <v>1929</v>
      </c>
      <c r="G2727" s="156" t="s">
        <v>1843</v>
      </c>
      <c r="H2727" s="157" t="s">
        <v>212</v>
      </c>
    </row>
    <row r="2728" hidden="1">
      <c r="A2728" s="151" t="s">
        <v>229</v>
      </c>
      <c r="B2728" s="118" t="s">
        <v>193</v>
      </c>
      <c r="C2728" s="118" t="s">
        <v>206</v>
      </c>
      <c r="D2728" s="152" t="s">
        <v>3227</v>
      </c>
      <c r="E2728" s="152" t="s">
        <v>3332</v>
      </c>
      <c r="F2728" s="152" t="s">
        <v>2607</v>
      </c>
      <c r="G2728" s="152" t="s">
        <v>2929</v>
      </c>
      <c r="H2728" s="153" t="s">
        <v>213</v>
      </c>
    </row>
    <row r="2729" hidden="1">
      <c r="A2729" s="154" t="s">
        <v>229</v>
      </c>
      <c r="B2729" s="155" t="s">
        <v>193</v>
      </c>
      <c r="C2729" s="155" t="s">
        <v>206</v>
      </c>
      <c r="D2729" s="156" t="s">
        <v>3227</v>
      </c>
      <c r="E2729" s="156" t="s">
        <v>3333</v>
      </c>
      <c r="F2729" s="156" t="s">
        <v>758</v>
      </c>
      <c r="G2729" s="156" t="s">
        <v>3237</v>
      </c>
      <c r="H2729" s="157" t="s">
        <v>214</v>
      </c>
    </row>
    <row r="2730" hidden="1">
      <c r="A2730" s="151" t="s">
        <v>229</v>
      </c>
      <c r="B2730" s="118" t="s">
        <v>193</v>
      </c>
      <c r="C2730" s="118" t="s">
        <v>206</v>
      </c>
      <c r="D2730" s="152" t="s">
        <v>3227</v>
      </c>
      <c r="E2730" s="152" t="s">
        <v>3334</v>
      </c>
      <c r="F2730" s="152" t="s">
        <v>725</v>
      </c>
      <c r="G2730" s="152" t="s">
        <v>3335</v>
      </c>
      <c r="H2730" s="153" t="s">
        <v>215</v>
      </c>
    </row>
    <row r="2731" hidden="1">
      <c r="A2731" s="154" t="s">
        <v>229</v>
      </c>
      <c r="B2731" s="155" t="s">
        <v>193</v>
      </c>
      <c r="C2731" s="155" t="s">
        <v>206</v>
      </c>
      <c r="D2731" s="156" t="s">
        <v>3227</v>
      </c>
      <c r="E2731" s="156" t="s">
        <v>3336</v>
      </c>
      <c r="F2731" s="156" t="s">
        <v>405</v>
      </c>
      <c r="G2731" s="156" t="s">
        <v>3335</v>
      </c>
      <c r="H2731" s="157" t="s">
        <v>216</v>
      </c>
    </row>
    <row r="2732" hidden="1">
      <c r="A2732" s="151" t="s">
        <v>230</v>
      </c>
      <c r="B2732" s="118" t="s">
        <v>194</v>
      </c>
      <c r="C2732" s="118" t="s">
        <v>206</v>
      </c>
      <c r="D2732" s="152" t="s">
        <v>3227</v>
      </c>
      <c r="E2732" s="152" t="s">
        <v>3337</v>
      </c>
      <c r="F2732" s="152" t="s">
        <v>691</v>
      </c>
      <c r="G2732" s="152" t="s">
        <v>2119</v>
      </c>
      <c r="H2732" s="153" t="s">
        <v>210</v>
      </c>
    </row>
    <row r="2733" hidden="1">
      <c r="A2733" s="154" t="s">
        <v>230</v>
      </c>
      <c r="B2733" s="155" t="s">
        <v>194</v>
      </c>
      <c r="C2733" s="155" t="s">
        <v>206</v>
      </c>
      <c r="D2733" s="156" t="s">
        <v>3227</v>
      </c>
      <c r="E2733" s="156" t="s">
        <v>3338</v>
      </c>
      <c r="F2733" s="156" t="s">
        <v>444</v>
      </c>
      <c r="G2733" s="156" t="s">
        <v>1862</v>
      </c>
      <c r="H2733" s="157" t="s">
        <v>211</v>
      </c>
    </row>
    <row r="2734" hidden="1">
      <c r="A2734" s="151" t="s">
        <v>230</v>
      </c>
      <c r="B2734" s="118" t="s">
        <v>194</v>
      </c>
      <c r="C2734" s="118" t="s">
        <v>206</v>
      </c>
      <c r="D2734" s="152" t="s">
        <v>3227</v>
      </c>
      <c r="E2734" s="152" t="s">
        <v>3339</v>
      </c>
      <c r="F2734" s="152" t="s">
        <v>3340</v>
      </c>
      <c r="G2734" s="152" t="s">
        <v>3341</v>
      </c>
      <c r="H2734" s="153" t="s">
        <v>212</v>
      </c>
    </row>
    <row r="2735" hidden="1">
      <c r="A2735" s="154" t="s">
        <v>230</v>
      </c>
      <c r="B2735" s="155" t="s">
        <v>194</v>
      </c>
      <c r="C2735" s="155" t="s">
        <v>206</v>
      </c>
      <c r="D2735" s="156" t="s">
        <v>3227</v>
      </c>
      <c r="E2735" s="156" t="s">
        <v>3342</v>
      </c>
      <c r="F2735" s="156" t="s">
        <v>3145</v>
      </c>
      <c r="G2735" s="156" t="s">
        <v>2216</v>
      </c>
      <c r="H2735" s="157" t="s">
        <v>213</v>
      </c>
    </row>
    <row r="2736" hidden="1">
      <c r="A2736" s="151" t="s">
        <v>230</v>
      </c>
      <c r="B2736" s="118" t="s">
        <v>194</v>
      </c>
      <c r="C2736" s="118" t="s">
        <v>206</v>
      </c>
      <c r="D2736" s="152" t="s">
        <v>3227</v>
      </c>
      <c r="E2736" s="152" t="s">
        <v>3343</v>
      </c>
      <c r="F2736" s="152" t="s">
        <v>587</v>
      </c>
      <c r="G2736" s="152" t="s">
        <v>2452</v>
      </c>
      <c r="H2736" s="153" t="s">
        <v>214</v>
      </c>
    </row>
    <row r="2737" hidden="1">
      <c r="A2737" s="154" t="s">
        <v>230</v>
      </c>
      <c r="B2737" s="155" t="s">
        <v>194</v>
      </c>
      <c r="C2737" s="155" t="s">
        <v>206</v>
      </c>
      <c r="D2737" s="156" t="s">
        <v>3227</v>
      </c>
      <c r="E2737" s="156" t="s">
        <v>3344</v>
      </c>
      <c r="F2737" s="156" t="s">
        <v>3240</v>
      </c>
      <c r="G2737" s="156" t="s">
        <v>2777</v>
      </c>
      <c r="H2737" s="157" t="s">
        <v>215</v>
      </c>
    </row>
    <row r="2738" hidden="1">
      <c r="A2738" s="151" t="s">
        <v>230</v>
      </c>
      <c r="B2738" s="118" t="s">
        <v>194</v>
      </c>
      <c r="C2738" s="118" t="s">
        <v>206</v>
      </c>
      <c r="D2738" s="152" t="s">
        <v>3227</v>
      </c>
      <c r="E2738" s="152" t="s">
        <v>3345</v>
      </c>
      <c r="F2738" s="152" t="s">
        <v>3346</v>
      </c>
      <c r="G2738" s="152" t="s">
        <v>2999</v>
      </c>
      <c r="H2738" s="153" t="s">
        <v>216</v>
      </c>
    </row>
    <row r="2739" hidden="1">
      <c r="A2739" s="158" t="s">
        <v>231</v>
      </c>
      <c r="B2739" s="159"/>
      <c r="C2739" s="155" t="s">
        <v>232</v>
      </c>
      <c r="D2739" s="156" t="s">
        <v>3227</v>
      </c>
      <c r="E2739" s="156" t="s">
        <v>3347</v>
      </c>
      <c r="F2739" s="156" t="s">
        <v>673</v>
      </c>
      <c r="G2739" s="156" t="s">
        <v>1841</v>
      </c>
      <c r="H2739" s="157" t="s">
        <v>210</v>
      </c>
    </row>
    <row r="2740" hidden="1">
      <c r="A2740" s="160" t="s">
        <v>231</v>
      </c>
      <c r="B2740" s="72"/>
      <c r="C2740" s="118" t="s">
        <v>232</v>
      </c>
      <c r="D2740" s="152" t="s">
        <v>3227</v>
      </c>
      <c r="E2740" s="152" t="s">
        <v>3348</v>
      </c>
      <c r="F2740" s="152" t="s">
        <v>249</v>
      </c>
      <c r="G2740" s="152" t="s">
        <v>2364</v>
      </c>
      <c r="H2740" s="153" t="s">
        <v>211</v>
      </c>
    </row>
    <row r="2741" hidden="1">
      <c r="A2741" s="158" t="s">
        <v>231</v>
      </c>
      <c r="B2741" s="159"/>
      <c r="C2741" s="155" t="s">
        <v>232</v>
      </c>
      <c r="D2741" s="156" t="s">
        <v>3227</v>
      </c>
      <c r="E2741" s="156" t="s">
        <v>3349</v>
      </c>
      <c r="F2741" s="156" t="s">
        <v>799</v>
      </c>
      <c r="G2741" s="156" t="s">
        <v>1729</v>
      </c>
      <c r="H2741" s="157" t="s">
        <v>212</v>
      </c>
    </row>
    <row r="2742" hidden="1">
      <c r="A2742" s="160" t="s">
        <v>231</v>
      </c>
      <c r="B2742" s="72"/>
      <c r="C2742" s="118" t="s">
        <v>232</v>
      </c>
      <c r="D2742" s="152" t="s">
        <v>3227</v>
      </c>
      <c r="E2742" s="152" t="s">
        <v>3350</v>
      </c>
      <c r="F2742" s="152" t="s">
        <v>298</v>
      </c>
      <c r="G2742" s="152" t="s">
        <v>1818</v>
      </c>
      <c r="H2742" s="153" t="s">
        <v>213</v>
      </c>
    </row>
    <row r="2743" hidden="1">
      <c r="A2743" s="158" t="s">
        <v>231</v>
      </c>
      <c r="B2743" s="159"/>
      <c r="C2743" s="155" t="s">
        <v>232</v>
      </c>
      <c r="D2743" s="156" t="s">
        <v>3227</v>
      </c>
      <c r="E2743" s="156" t="s">
        <v>3351</v>
      </c>
      <c r="F2743" s="156" t="s">
        <v>336</v>
      </c>
      <c r="G2743" s="156" t="s">
        <v>2364</v>
      </c>
      <c r="H2743" s="157" t="s">
        <v>214</v>
      </c>
    </row>
    <row r="2744" hidden="1">
      <c r="A2744" s="160" t="s">
        <v>231</v>
      </c>
      <c r="B2744" s="72"/>
      <c r="C2744" s="118" t="s">
        <v>232</v>
      </c>
      <c r="D2744" s="152" t="s">
        <v>3227</v>
      </c>
      <c r="E2744" s="152" t="s">
        <v>3352</v>
      </c>
      <c r="F2744" s="152" t="s">
        <v>351</v>
      </c>
      <c r="G2744" s="152" t="s">
        <v>2530</v>
      </c>
      <c r="H2744" s="153" t="s">
        <v>215</v>
      </c>
    </row>
    <row r="2745" hidden="1">
      <c r="A2745" s="158" t="s">
        <v>231</v>
      </c>
      <c r="B2745" s="159"/>
      <c r="C2745" s="155" t="s">
        <v>232</v>
      </c>
      <c r="D2745" s="156" t="s">
        <v>3227</v>
      </c>
      <c r="E2745" s="156" t="s">
        <v>3353</v>
      </c>
      <c r="F2745" s="156" t="s">
        <v>483</v>
      </c>
      <c r="G2745" s="156" t="s">
        <v>2203</v>
      </c>
      <c r="H2745" s="157" t="s">
        <v>216</v>
      </c>
    </row>
    <row r="2746" hidden="1">
      <c r="A2746" s="160" t="s">
        <v>233</v>
      </c>
      <c r="B2746" s="72"/>
      <c r="C2746" s="118" t="s">
        <v>232</v>
      </c>
      <c r="D2746" s="152" t="s">
        <v>3227</v>
      </c>
      <c r="E2746" s="152" t="s">
        <v>3354</v>
      </c>
      <c r="F2746" s="152" t="s">
        <v>1948</v>
      </c>
      <c r="G2746" s="152" t="s">
        <v>2999</v>
      </c>
      <c r="H2746" s="153" t="s">
        <v>210</v>
      </c>
    </row>
    <row r="2747" hidden="1">
      <c r="A2747" s="158" t="s">
        <v>233</v>
      </c>
      <c r="B2747" s="159"/>
      <c r="C2747" s="155" t="s">
        <v>232</v>
      </c>
      <c r="D2747" s="156" t="s">
        <v>3227</v>
      </c>
      <c r="E2747" s="156" t="s">
        <v>3355</v>
      </c>
      <c r="F2747" s="156" t="s">
        <v>3340</v>
      </c>
      <c r="G2747" s="156" t="s">
        <v>3356</v>
      </c>
      <c r="H2747" s="157" t="s">
        <v>211</v>
      </c>
    </row>
    <row r="2748" hidden="1">
      <c r="A2748" s="160" t="s">
        <v>233</v>
      </c>
      <c r="B2748" s="72"/>
      <c r="C2748" s="118" t="s">
        <v>232</v>
      </c>
      <c r="D2748" s="152" t="s">
        <v>3227</v>
      </c>
      <c r="E2748" s="152" t="s">
        <v>3357</v>
      </c>
      <c r="F2748" s="152" t="s">
        <v>3346</v>
      </c>
      <c r="G2748" s="152" t="s">
        <v>3151</v>
      </c>
      <c r="H2748" s="153" t="s">
        <v>212</v>
      </c>
    </row>
    <row r="2749" hidden="1">
      <c r="A2749" s="158" t="s">
        <v>233</v>
      </c>
      <c r="B2749" s="159"/>
      <c r="C2749" s="155" t="s">
        <v>232</v>
      </c>
      <c r="D2749" s="156" t="s">
        <v>3227</v>
      </c>
      <c r="E2749" s="156" t="s">
        <v>3358</v>
      </c>
      <c r="F2749" s="156" t="s">
        <v>3359</v>
      </c>
      <c r="G2749" s="156" t="s">
        <v>3360</v>
      </c>
      <c r="H2749" s="157" t="s">
        <v>213</v>
      </c>
    </row>
    <row r="2750" hidden="1">
      <c r="A2750" s="160" t="s">
        <v>233</v>
      </c>
      <c r="B2750" s="72"/>
      <c r="C2750" s="118" t="s">
        <v>232</v>
      </c>
      <c r="D2750" s="152" t="s">
        <v>3227</v>
      </c>
      <c r="E2750" s="152" t="s">
        <v>3361</v>
      </c>
      <c r="F2750" s="152" t="s">
        <v>444</v>
      </c>
      <c r="G2750" s="152" t="s">
        <v>2307</v>
      </c>
      <c r="H2750" s="153" t="s">
        <v>214</v>
      </c>
    </row>
    <row r="2751" hidden="1">
      <c r="A2751" s="158" t="s">
        <v>233</v>
      </c>
      <c r="B2751" s="159"/>
      <c r="C2751" s="155" t="s">
        <v>232</v>
      </c>
      <c r="D2751" s="156" t="s">
        <v>3227</v>
      </c>
      <c r="E2751" s="156" t="s">
        <v>3362</v>
      </c>
      <c r="F2751" s="156" t="s">
        <v>629</v>
      </c>
      <c r="G2751" s="156" t="s">
        <v>3360</v>
      </c>
      <c r="H2751" s="157" t="s">
        <v>215</v>
      </c>
    </row>
    <row r="2752" hidden="1">
      <c r="A2752" s="160" t="s">
        <v>233</v>
      </c>
      <c r="B2752" s="72"/>
      <c r="C2752" s="118" t="s">
        <v>232</v>
      </c>
      <c r="D2752" s="152" t="s">
        <v>3227</v>
      </c>
      <c r="E2752" s="152" t="s">
        <v>3363</v>
      </c>
      <c r="F2752" s="152" t="s">
        <v>3359</v>
      </c>
      <c r="G2752" s="152" t="s">
        <v>3364</v>
      </c>
      <c r="H2752" s="153" t="s">
        <v>216</v>
      </c>
    </row>
    <row r="2753" hidden="1">
      <c r="A2753" s="158" t="s">
        <v>234</v>
      </c>
      <c r="B2753" s="159"/>
      <c r="C2753" s="155" t="s">
        <v>232</v>
      </c>
      <c r="D2753" s="156" t="s">
        <v>3227</v>
      </c>
      <c r="E2753" s="156" t="s">
        <v>3365</v>
      </c>
      <c r="F2753" s="156" t="s">
        <v>329</v>
      </c>
      <c r="G2753" s="156" t="s">
        <v>3200</v>
      </c>
      <c r="H2753" s="157" t="s">
        <v>210</v>
      </c>
    </row>
    <row r="2754" hidden="1">
      <c r="A2754" s="160" t="s">
        <v>234</v>
      </c>
      <c r="B2754" s="72"/>
      <c r="C2754" s="118" t="s">
        <v>232</v>
      </c>
      <c r="D2754" s="152" t="s">
        <v>3227</v>
      </c>
      <c r="E2754" s="152" t="s">
        <v>3366</v>
      </c>
      <c r="F2754" s="152" t="s">
        <v>718</v>
      </c>
      <c r="G2754" s="152" t="s">
        <v>2822</v>
      </c>
      <c r="H2754" s="153" t="s">
        <v>211</v>
      </c>
    </row>
    <row r="2755" hidden="1">
      <c r="A2755" s="158" t="s">
        <v>234</v>
      </c>
      <c r="B2755" s="159"/>
      <c r="C2755" s="155" t="s">
        <v>232</v>
      </c>
      <c r="D2755" s="156" t="s">
        <v>3227</v>
      </c>
      <c r="E2755" s="156" t="s">
        <v>3367</v>
      </c>
      <c r="F2755" s="156" t="s">
        <v>766</v>
      </c>
      <c r="G2755" s="156" t="s">
        <v>3368</v>
      </c>
      <c r="H2755" s="157" t="s">
        <v>212</v>
      </c>
    </row>
    <row r="2756" hidden="1">
      <c r="A2756" s="160" t="s">
        <v>234</v>
      </c>
      <c r="B2756" s="72"/>
      <c r="C2756" s="118" t="s">
        <v>232</v>
      </c>
      <c r="D2756" s="152" t="s">
        <v>3227</v>
      </c>
      <c r="E2756" s="152" t="s">
        <v>3369</v>
      </c>
      <c r="F2756" s="152" t="s">
        <v>799</v>
      </c>
      <c r="G2756" s="152" t="s">
        <v>3300</v>
      </c>
      <c r="H2756" s="153" t="s">
        <v>213</v>
      </c>
    </row>
    <row r="2757" hidden="1">
      <c r="A2757" s="158" t="s">
        <v>234</v>
      </c>
      <c r="B2757" s="159"/>
      <c r="C2757" s="155" t="s">
        <v>232</v>
      </c>
      <c r="D2757" s="156" t="s">
        <v>3227</v>
      </c>
      <c r="E2757" s="156" t="s">
        <v>3370</v>
      </c>
      <c r="F2757" s="156" t="s">
        <v>799</v>
      </c>
      <c r="G2757" s="156" t="s">
        <v>3371</v>
      </c>
      <c r="H2757" s="157" t="s">
        <v>214</v>
      </c>
    </row>
    <row r="2758" hidden="1">
      <c r="A2758" s="160" t="s">
        <v>234</v>
      </c>
      <c r="B2758" s="72"/>
      <c r="C2758" s="118" t="s">
        <v>232</v>
      </c>
      <c r="D2758" s="152" t="s">
        <v>3227</v>
      </c>
      <c r="E2758" s="152" t="s">
        <v>3372</v>
      </c>
      <c r="F2758" s="152" t="s">
        <v>3359</v>
      </c>
      <c r="G2758" s="152" t="s">
        <v>1779</v>
      </c>
      <c r="H2758" s="153" t="s">
        <v>215</v>
      </c>
    </row>
    <row r="2759" hidden="1">
      <c r="A2759" s="158" t="s">
        <v>234</v>
      </c>
      <c r="B2759" s="159"/>
      <c r="C2759" s="155" t="s">
        <v>232</v>
      </c>
      <c r="D2759" s="156" t="s">
        <v>3227</v>
      </c>
      <c r="E2759" s="156" t="s">
        <v>3373</v>
      </c>
      <c r="F2759" s="156" t="s">
        <v>312</v>
      </c>
      <c r="G2759" s="156" t="s">
        <v>2189</v>
      </c>
      <c r="H2759" s="157" t="s">
        <v>216</v>
      </c>
    </row>
    <row r="2760" hidden="1">
      <c r="A2760" s="160" t="s">
        <v>235</v>
      </c>
      <c r="B2760" s="72"/>
      <c r="C2760" s="118" t="s">
        <v>236</v>
      </c>
      <c r="D2760" s="152" t="s">
        <v>3227</v>
      </c>
      <c r="E2760" s="152" t="s">
        <v>3374</v>
      </c>
      <c r="F2760" s="152" t="s">
        <v>732</v>
      </c>
      <c r="G2760" s="152" t="s">
        <v>2609</v>
      </c>
      <c r="H2760" s="153" t="s">
        <v>210</v>
      </c>
    </row>
    <row r="2761" hidden="1">
      <c r="A2761" s="158" t="s">
        <v>235</v>
      </c>
      <c r="B2761" s="159"/>
      <c r="C2761" s="155" t="s">
        <v>236</v>
      </c>
      <c r="D2761" s="156" t="s">
        <v>3227</v>
      </c>
      <c r="E2761" s="156" t="s">
        <v>3375</v>
      </c>
      <c r="F2761" s="156" t="s">
        <v>497</v>
      </c>
      <c r="G2761" s="156" t="s">
        <v>2307</v>
      </c>
      <c r="H2761" s="157" t="s">
        <v>211</v>
      </c>
    </row>
    <row r="2762" hidden="1">
      <c r="A2762" s="160" t="s">
        <v>235</v>
      </c>
      <c r="B2762" s="72"/>
      <c r="C2762" s="118" t="s">
        <v>236</v>
      </c>
      <c r="D2762" s="152" t="s">
        <v>3227</v>
      </c>
      <c r="E2762" s="152" t="s">
        <v>3376</v>
      </c>
      <c r="F2762" s="152" t="s">
        <v>1790</v>
      </c>
      <c r="G2762" s="152" t="s">
        <v>2289</v>
      </c>
      <c r="H2762" s="153" t="s">
        <v>212</v>
      </c>
    </row>
    <row r="2763" hidden="1">
      <c r="A2763" s="158" t="s">
        <v>235</v>
      </c>
      <c r="B2763" s="159"/>
      <c r="C2763" s="155" t="s">
        <v>236</v>
      </c>
      <c r="D2763" s="156" t="s">
        <v>3227</v>
      </c>
      <c r="E2763" s="156" t="s">
        <v>3377</v>
      </c>
      <c r="F2763" s="156" t="s">
        <v>3340</v>
      </c>
      <c r="G2763" s="156" t="s">
        <v>3356</v>
      </c>
      <c r="H2763" s="157" t="s">
        <v>213</v>
      </c>
    </row>
    <row r="2764" hidden="1">
      <c r="A2764" s="160" t="s">
        <v>235</v>
      </c>
      <c r="B2764" s="72"/>
      <c r="C2764" s="118" t="s">
        <v>236</v>
      </c>
      <c r="D2764" s="152" t="s">
        <v>3227</v>
      </c>
      <c r="E2764" s="152" t="s">
        <v>3378</v>
      </c>
      <c r="F2764" s="152" t="s">
        <v>675</v>
      </c>
      <c r="G2764" s="152" t="s">
        <v>2387</v>
      </c>
      <c r="H2764" s="153" t="s">
        <v>214</v>
      </c>
    </row>
    <row r="2765" hidden="1">
      <c r="A2765" s="158" t="s">
        <v>235</v>
      </c>
      <c r="B2765" s="159"/>
      <c r="C2765" s="155" t="s">
        <v>236</v>
      </c>
      <c r="D2765" s="156" t="s">
        <v>3227</v>
      </c>
      <c r="E2765" s="156" t="s">
        <v>3379</v>
      </c>
      <c r="F2765" s="156" t="s">
        <v>3346</v>
      </c>
      <c r="G2765" s="156" t="s">
        <v>3380</v>
      </c>
      <c r="H2765" s="157" t="s">
        <v>215</v>
      </c>
    </row>
    <row r="2766" hidden="1">
      <c r="A2766" s="160" t="s">
        <v>235</v>
      </c>
      <c r="B2766" s="72"/>
      <c r="C2766" s="118" t="s">
        <v>236</v>
      </c>
      <c r="D2766" s="152" t="s">
        <v>3227</v>
      </c>
      <c r="E2766" s="152" t="s">
        <v>3381</v>
      </c>
      <c r="F2766" s="152" t="s">
        <v>675</v>
      </c>
      <c r="G2766" s="152" t="s">
        <v>2450</v>
      </c>
      <c r="H2766" s="153" t="s">
        <v>216</v>
      </c>
    </row>
    <row r="2767" hidden="1">
      <c r="A2767" s="158" t="s">
        <v>237</v>
      </c>
      <c r="B2767" s="159"/>
      <c r="C2767" s="155" t="s">
        <v>236</v>
      </c>
      <c r="D2767" s="156" t="s">
        <v>3227</v>
      </c>
      <c r="E2767" s="156" t="s">
        <v>3382</v>
      </c>
      <c r="F2767" s="156" t="s">
        <v>290</v>
      </c>
      <c r="G2767" s="156" t="s">
        <v>3226</v>
      </c>
      <c r="H2767" s="157" t="s">
        <v>210</v>
      </c>
    </row>
    <row r="2768" hidden="1">
      <c r="A2768" s="160" t="s">
        <v>237</v>
      </c>
      <c r="B2768" s="72"/>
      <c r="C2768" s="118" t="s">
        <v>236</v>
      </c>
      <c r="D2768" s="152" t="s">
        <v>3227</v>
      </c>
      <c r="E2768" s="152" t="s">
        <v>3383</v>
      </c>
      <c r="F2768" s="152" t="s">
        <v>290</v>
      </c>
      <c r="G2768" s="152" t="s">
        <v>3384</v>
      </c>
      <c r="H2768" s="153" t="s">
        <v>211</v>
      </c>
    </row>
    <row r="2769" hidden="1">
      <c r="A2769" s="158" t="s">
        <v>237</v>
      </c>
      <c r="B2769" s="159"/>
      <c r="C2769" s="155" t="s">
        <v>236</v>
      </c>
      <c r="D2769" s="156" t="s">
        <v>3227</v>
      </c>
      <c r="E2769" s="156" t="s">
        <v>3385</v>
      </c>
      <c r="F2769" s="156" t="s">
        <v>478</v>
      </c>
      <c r="G2769" s="156" t="s">
        <v>2762</v>
      </c>
      <c r="H2769" s="157" t="s">
        <v>212</v>
      </c>
    </row>
    <row r="2770" hidden="1">
      <c r="A2770" s="160" t="s">
        <v>237</v>
      </c>
      <c r="B2770" s="72"/>
      <c r="C2770" s="118" t="s">
        <v>236</v>
      </c>
      <c r="D2770" s="152" t="s">
        <v>3227</v>
      </c>
      <c r="E2770" s="152" t="s">
        <v>3386</v>
      </c>
      <c r="F2770" s="152" t="s">
        <v>314</v>
      </c>
      <c r="G2770" s="152" t="s">
        <v>2992</v>
      </c>
      <c r="H2770" s="153" t="s">
        <v>213</v>
      </c>
    </row>
    <row r="2771" hidden="1">
      <c r="A2771" s="158" t="s">
        <v>237</v>
      </c>
      <c r="B2771" s="159"/>
      <c r="C2771" s="155" t="s">
        <v>236</v>
      </c>
      <c r="D2771" s="156" t="s">
        <v>3227</v>
      </c>
      <c r="E2771" s="156" t="s">
        <v>3387</v>
      </c>
      <c r="F2771" s="156" t="s">
        <v>331</v>
      </c>
      <c r="G2771" s="156" t="s">
        <v>1782</v>
      </c>
      <c r="H2771" s="157" t="s">
        <v>214</v>
      </c>
    </row>
    <row r="2772" hidden="1">
      <c r="A2772" s="160" t="s">
        <v>237</v>
      </c>
      <c r="B2772" s="72"/>
      <c r="C2772" s="118" t="s">
        <v>236</v>
      </c>
      <c r="D2772" s="152" t="s">
        <v>3227</v>
      </c>
      <c r="E2772" s="152" t="s">
        <v>3388</v>
      </c>
      <c r="F2772" s="152" t="s">
        <v>336</v>
      </c>
      <c r="G2772" s="152" t="s">
        <v>3389</v>
      </c>
      <c r="H2772" s="153" t="s">
        <v>215</v>
      </c>
    </row>
    <row r="2773" hidden="1">
      <c r="A2773" s="158" t="s">
        <v>237</v>
      </c>
      <c r="B2773" s="159"/>
      <c r="C2773" s="155" t="s">
        <v>236</v>
      </c>
      <c r="D2773" s="156" t="s">
        <v>3227</v>
      </c>
      <c r="E2773" s="156" t="s">
        <v>3390</v>
      </c>
      <c r="F2773" s="156" t="s">
        <v>534</v>
      </c>
      <c r="G2773" s="156" t="s">
        <v>2609</v>
      </c>
      <c r="H2773" s="157" t="s">
        <v>216</v>
      </c>
    </row>
    <row r="2774" hidden="1">
      <c r="A2774" s="151" t="s">
        <v>204</v>
      </c>
      <c r="B2774" s="118" t="s">
        <v>205</v>
      </c>
      <c r="C2774" s="118" t="s">
        <v>206</v>
      </c>
      <c r="D2774" s="152" t="s">
        <v>3391</v>
      </c>
      <c r="E2774" s="152" t="s">
        <v>3392</v>
      </c>
      <c r="F2774" s="152" t="s">
        <v>718</v>
      </c>
      <c r="G2774" s="152" t="s">
        <v>3115</v>
      </c>
      <c r="H2774" s="153" t="s">
        <v>210</v>
      </c>
    </row>
    <row r="2775" hidden="1">
      <c r="A2775" s="154" t="s">
        <v>204</v>
      </c>
      <c r="B2775" s="155" t="s">
        <v>205</v>
      </c>
      <c r="C2775" s="155" t="s">
        <v>206</v>
      </c>
      <c r="D2775" s="156" t="s">
        <v>3391</v>
      </c>
      <c r="E2775" s="156" t="s">
        <v>3393</v>
      </c>
      <c r="F2775" s="156" t="s">
        <v>673</v>
      </c>
      <c r="G2775" s="156" t="s">
        <v>3394</v>
      </c>
      <c r="H2775" s="157" t="s">
        <v>211</v>
      </c>
    </row>
    <row r="2776" hidden="1">
      <c r="A2776" s="151" t="s">
        <v>204</v>
      </c>
      <c r="B2776" s="118" t="s">
        <v>205</v>
      </c>
      <c r="C2776" s="118" t="s">
        <v>206</v>
      </c>
      <c r="D2776" s="152" t="s">
        <v>3391</v>
      </c>
      <c r="E2776" s="152" t="s">
        <v>3395</v>
      </c>
      <c r="F2776" s="152" t="s">
        <v>677</v>
      </c>
      <c r="G2776" s="152" t="s">
        <v>3396</v>
      </c>
      <c r="H2776" s="153" t="s">
        <v>212</v>
      </c>
    </row>
    <row r="2777" hidden="1">
      <c r="A2777" s="154" t="s">
        <v>204</v>
      </c>
      <c r="B2777" s="155" t="s">
        <v>205</v>
      </c>
      <c r="C2777" s="155" t="s">
        <v>206</v>
      </c>
      <c r="D2777" s="156" t="s">
        <v>3391</v>
      </c>
      <c r="E2777" s="156" t="s">
        <v>3397</v>
      </c>
      <c r="F2777" s="156" t="s">
        <v>1532</v>
      </c>
      <c r="G2777" s="156" t="s">
        <v>3057</v>
      </c>
      <c r="H2777" s="157" t="s">
        <v>213</v>
      </c>
    </row>
    <row r="2778" hidden="1">
      <c r="A2778" s="151" t="s">
        <v>204</v>
      </c>
      <c r="B2778" s="118" t="s">
        <v>205</v>
      </c>
      <c r="C2778" s="118" t="s">
        <v>206</v>
      </c>
      <c r="D2778" s="152" t="s">
        <v>3391</v>
      </c>
      <c r="E2778" s="152" t="s">
        <v>3398</v>
      </c>
      <c r="F2778" s="152" t="s">
        <v>735</v>
      </c>
      <c r="G2778" s="152" t="s">
        <v>3142</v>
      </c>
      <c r="H2778" s="153" t="s">
        <v>214</v>
      </c>
    </row>
    <row r="2779" hidden="1">
      <c r="A2779" s="154" t="s">
        <v>204</v>
      </c>
      <c r="B2779" s="155" t="s">
        <v>205</v>
      </c>
      <c r="C2779" s="155" t="s">
        <v>206</v>
      </c>
      <c r="D2779" s="156" t="s">
        <v>3391</v>
      </c>
      <c r="E2779" s="156" t="s">
        <v>3399</v>
      </c>
      <c r="F2779" s="156" t="s">
        <v>673</v>
      </c>
      <c r="G2779" s="156" t="s">
        <v>3400</v>
      </c>
      <c r="H2779" s="157" t="s">
        <v>215</v>
      </c>
    </row>
    <row r="2780" hidden="1">
      <c r="A2780" s="151" t="s">
        <v>204</v>
      </c>
      <c r="B2780" s="118" t="s">
        <v>205</v>
      </c>
      <c r="C2780" s="118" t="s">
        <v>206</v>
      </c>
      <c r="D2780" s="152" t="s">
        <v>3391</v>
      </c>
      <c r="E2780" s="152" t="s">
        <v>3401</v>
      </c>
      <c r="F2780" s="152" t="s">
        <v>453</v>
      </c>
      <c r="G2780" s="152" t="s">
        <v>3402</v>
      </c>
      <c r="H2780" s="153" t="s">
        <v>216</v>
      </c>
    </row>
    <row r="2781" hidden="1">
      <c r="A2781" s="154" t="s">
        <v>217</v>
      </c>
      <c r="B2781" s="155" t="s">
        <v>191</v>
      </c>
      <c r="C2781" s="155" t="s">
        <v>206</v>
      </c>
      <c r="D2781" s="156" t="s">
        <v>3391</v>
      </c>
      <c r="E2781" s="156" t="s">
        <v>3403</v>
      </c>
      <c r="F2781" s="156" t="s">
        <v>1530</v>
      </c>
      <c r="G2781" s="156" t="s">
        <v>3404</v>
      </c>
      <c r="H2781" s="157" t="s">
        <v>210</v>
      </c>
    </row>
    <row r="2782" hidden="1">
      <c r="A2782" s="151" t="s">
        <v>217</v>
      </c>
      <c r="B2782" s="118" t="s">
        <v>191</v>
      </c>
      <c r="C2782" s="118" t="s">
        <v>206</v>
      </c>
      <c r="D2782" s="152" t="s">
        <v>3391</v>
      </c>
      <c r="E2782" s="152" t="s">
        <v>3405</v>
      </c>
      <c r="F2782" s="152" t="s">
        <v>405</v>
      </c>
      <c r="G2782" s="152" t="s">
        <v>2187</v>
      </c>
      <c r="H2782" s="153" t="s">
        <v>211</v>
      </c>
    </row>
    <row r="2783" hidden="1">
      <c r="A2783" s="154" t="s">
        <v>217</v>
      </c>
      <c r="B2783" s="155" t="s">
        <v>191</v>
      </c>
      <c r="C2783" s="155" t="s">
        <v>206</v>
      </c>
      <c r="D2783" s="156" t="s">
        <v>3391</v>
      </c>
      <c r="E2783" s="156" t="s">
        <v>3406</v>
      </c>
      <c r="F2783" s="156" t="s">
        <v>673</v>
      </c>
      <c r="G2783" s="156" t="s">
        <v>3207</v>
      </c>
      <c r="H2783" s="157" t="s">
        <v>212</v>
      </c>
    </row>
    <row r="2784" hidden="1">
      <c r="A2784" s="151" t="s">
        <v>217</v>
      </c>
      <c r="B2784" s="118" t="s">
        <v>191</v>
      </c>
      <c r="C2784" s="118" t="s">
        <v>206</v>
      </c>
      <c r="D2784" s="152" t="s">
        <v>3391</v>
      </c>
      <c r="E2784" s="152" t="s">
        <v>3407</v>
      </c>
      <c r="F2784" s="152" t="s">
        <v>1999</v>
      </c>
      <c r="G2784" s="152" t="s">
        <v>3408</v>
      </c>
      <c r="H2784" s="153" t="s">
        <v>213</v>
      </c>
    </row>
    <row r="2785" hidden="1">
      <c r="A2785" s="154" t="s">
        <v>217</v>
      </c>
      <c r="B2785" s="155" t="s">
        <v>191</v>
      </c>
      <c r="C2785" s="155" t="s">
        <v>206</v>
      </c>
      <c r="D2785" s="156" t="s">
        <v>3391</v>
      </c>
      <c r="E2785" s="156" t="s">
        <v>3409</v>
      </c>
      <c r="F2785" s="156" t="s">
        <v>673</v>
      </c>
      <c r="G2785" s="156" t="s">
        <v>3410</v>
      </c>
      <c r="H2785" s="157" t="s">
        <v>214</v>
      </c>
    </row>
    <row r="2786" hidden="1">
      <c r="A2786" s="151" t="s">
        <v>217</v>
      </c>
      <c r="B2786" s="118" t="s">
        <v>191</v>
      </c>
      <c r="C2786" s="118" t="s">
        <v>206</v>
      </c>
      <c r="D2786" s="152" t="s">
        <v>3391</v>
      </c>
      <c r="E2786" s="152" t="s">
        <v>3411</v>
      </c>
      <c r="F2786" s="152" t="s">
        <v>673</v>
      </c>
      <c r="G2786" s="152" t="s">
        <v>3412</v>
      </c>
      <c r="H2786" s="153" t="s">
        <v>215</v>
      </c>
    </row>
    <row r="2787" hidden="1">
      <c r="A2787" s="154" t="s">
        <v>217</v>
      </c>
      <c r="B2787" s="155" t="s">
        <v>191</v>
      </c>
      <c r="C2787" s="155" t="s">
        <v>206</v>
      </c>
      <c r="D2787" s="156" t="s">
        <v>3391</v>
      </c>
      <c r="E2787" s="156" t="s">
        <v>3413</v>
      </c>
      <c r="F2787" s="156" t="s">
        <v>735</v>
      </c>
      <c r="G2787" s="156" t="s">
        <v>3394</v>
      </c>
      <c r="H2787" s="157" t="s">
        <v>216</v>
      </c>
    </row>
    <row r="2788" hidden="1">
      <c r="A2788" s="151" t="s">
        <v>218</v>
      </c>
      <c r="B2788" s="118" t="s">
        <v>219</v>
      </c>
      <c r="C2788" s="118" t="s">
        <v>206</v>
      </c>
      <c r="D2788" s="152" t="s">
        <v>3391</v>
      </c>
      <c r="E2788" s="152" t="s">
        <v>3414</v>
      </c>
      <c r="F2788" s="152" t="s">
        <v>321</v>
      </c>
      <c r="G2788" s="152" t="s">
        <v>1899</v>
      </c>
      <c r="H2788" s="153" t="s">
        <v>210</v>
      </c>
    </row>
    <row r="2789" hidden="1">
      <c r="A2789" s="154" t="s">
        <v>218</v>
      </c>
      <c r="B2789" s="155" t="s">
        <v>219</v>
      </c>
      <c r="C2789" s="155" t="s">
        <v>206</v>
      </c>
      <c r="D2789" s="156" t="s">
        <v>3391</v>
      </c>
      <c r="E2789" s="156" t="s">
        <v>3415</v>
      </c>
      <c r="F2789" s="156" t="s">
        <v>285</v>
      </c>
      <c r="G2789" s="156" t="s">
        <v>1731</v>
      </c>
      <c r="H2789" s="157" t="s">
        <v>211</v>
      </c>
    </row>
    <row r="2790" hidden="1">
      <c r="A2790" s="151" t="s">
        <v>218</v>
      </c>
      <c r="B2790" s="118" t="s">
        <v>219</v>
      </c>
      <c r="C2790" s="118" t="s">
        <v>206</v>
      </c>
      <c r="D2790" s="152" t="s">
        <v>3391</v>
      </c>
      <c r="E2790" s="152" t="s">
        <v>3416</v>
      </c>
      <c r="F2790" s="152" t="s">
        <v>365</v>
      </c>
      <c r="G2790" s="152" t="s">
        <v>1957</v>
      </c>
      <c r="H2790" s="153" t="s">
        <v>212</v>
      </c>
    </row>
    <row r="2791" hidden="1">
      <c r="A2791" s="154" t="s">
        <v>218</v>
      </c>
      <c r="B2791" s="155" t="s">
        <v>219</v>
      </c>
      <c r="C2791" s="155" t="s">
        <v>206</v>
      </c>
      <c r="D2791" s="156" t="s">
        <v>3391</v>
      </c>
      <c r="E2791" s="156" t="s">
        <v>3417</v>
      </c>
      <c r="F2791" s="156" t="s">
        <v>321</v>
      </c>
      <c r="G2791" s="156" t="s">
        <v>2051</v>
      </c>
      <c r="H2791" s="157" t="s">
        <v>213</v>
      </c>
    </row>
    <row r="2792" hidden="1">
      <c r="A2792" s="151" t="s">
        <v>218</v>
      </c>
      <c r="B2792" s="118" t="s">
        <v>219</v>
      </c>
      <c r="C2792" s="118" t="s">
        <v>206</v>
      </c>
      <c r="D2792" s="152" t="s">
        <v>3391</v>
      </c>
      <c r="E2792" s="152" t="s">
        <v>3418</v>
      </c>
      <c r="F2792" s="152" t="s">
        <v>242</v>
      </c>
      <c r="G2792" s="152" t="s">
        <v>1854</v>
      </c>
      <c r="H2792" s="153" t="s">
        <v>214</v>
      </c>
    </row>
    <row r="2793" hidden="1">
      <c r="A2793" s="154" t="s">
        <v>218</v>
      </c>
      <c r="B2793" s="155" t="s">
        <v>219</v>
      </c>
      <c r="C2793" s="155" t="s">
        <v>206</v>
      </c>
      <c r="D2793" s="156" t="s">
        <v>3391</v>
      </c>
      <c r="E2793" s="156" t="s">
        <v>3419</v>
      </c>
      <c r="F2793" s="156" t="s">
        <v>246</v>
      </c>
      <c r="G2793" s="156" t="s">
        <v>1757</v>
      </c>
      <c r="H2793" s="157" t="s">
        <v>215</v>
      </c>
    </row>
    <row r="2794" hidden="1">
      <c r="A2794" s="151" t="s">
        <v>218</v>
      </c>
      <c r="B2794" s="118" t="s">
        <v>219</v>
      </c>
      <c r="C2794" s="118" t="s">
        <v>206</v>
      </c>
      <c r="D2794" s="152" t="s">
        <v>3391</v>
      </c>
      <c r="E2794" s="152" t="s">
        <v>3420</v>
      </c>
      <c r="F2794" s="152" t="s">
        <v>359</v>
      </c>
      <c r="G2794" s="152" t="s">
        <v>1757</v>
      </c>
      <c r="H2794" s="153" t="s">
        <v>216</v>
      </c>
    </row>
    <row r="2795" hidden="1">
      <c r="A2795" s="154" t="s">
        <v>220</v>
      </c>
      <c r="B2795" s="155" t="s">
        <v>190</v>
      </c>
      <c r="C2795" s="155" t="s">
        <v>206</v>
      </c>
      <c r="D2795" s="156" t="s">
        <v>3391</v>
      </c>
      <c r="E2795" s="156" t="s">
        <v>3421</v>
      </c>
      <c r="F2795" s="156" t="s">
        <v>677</v>
      </c>
      <c r="G2795" s="156" t="s">
        <v>1834</v>
      </c>
      <c r="H2795" s="157" t="s">
        <v>210</v>
      </c>
    </row>
    <row r="2796" hidden="1">
      <c r="A2796" s="151" t="s">
        <v>220</v>
      </c>
      <c r="B2796" s="118" t="s">
        <v>190</v>
      </c>
      <c r="C2796" s="118" t="s">
        <v>206</v>
      </c>
      <c r="D2796" s="152" t="s">
        <v>3391</v>
      </c>
      <c r="E2796" s="152" t="s">
        <v>3422</v>
      </c>
      <c r="F2796" s="152" t="s">
        <v>1532</v>
      </c>
      <c r="G2796" s="152" t="s">
        <v>2398</v>
      </c>
      <c r="H2796" s="153" t="s">
        <v>211</v>
      </c>
    </row>
    <row r="2797" hidden="1">
      <c r="A2797" s="154" t="s">
        <v>220</v>
      </c>
      <c r="B2797" s="155" t="s">
        <v>190</v>
      </c>
      <c r="C2797" s="155" t="s">
        <v>206</v>
      </c>
      <c r="D2797" s="156" t="s">
        <v>3391</v>
      </c>
      <c r="E2797" s="156" t="s">
        <v>3423</v>
      </c>
      <c r="F2797" s="156" t="s">
        <v>494</v>
      </c>
      <c r="G2797" s="156" t="s">
        <v>2376</v>
      </c>
      <c r="H2797" s="157" t="s">
        <v>212</v>
      </c>
    </row>
    <row r="2798" hidden="1">
      <c r="A2798" s="151" t="s">
        <v>220</v>
      </c>
      <c r="B2798" s="118" t="s">
        <v>190</v>
      </c>
      <c r="C2798" s="118" t="s">
        <v>206</v>
      </c>
      <c r="D2798" s="152" t="s">
        <v>3391</v>
      </c>
      <c r="E2798" s="152" t="s">
        <v>3424</v>
      </c>
      <c r="F2798" s="152" t="s">
        <v>673</v>
      </c>
      <c r="G2798" s="152" t="s">
        <v>635</v>
      </c>
      <c r="H2798" s="153" t="s">
        <v>213</v>
      </c>
    </row>
    <row r="2799" hidden="1">
      <c r="A2799" s="154" t="s">
        <v>220</v>
      </c>
      <c r="B2799" s="155" t="s">
        <v>190</v>
      </c>
      <c r="C2799" s="155" t="s">
        <v>206</v>
      </c>
      <c r="D2799" s="156" t="s">
        <v>3391</v>
      </c>
      <c r="E2799" s="156" t="s">
        <v>3425</v>
      </c>
      <c r="F2799" s="156" t="s">
        <v>677</v>
      </c>
      <c r="G2799" s="156" t="s">
        <v>2680</v>
      </c>
      <c r="H2799" s="157" t="s">
        <v>214</v>
      </c>
    </row>
    <row r="2800" hidden="1">
      <c r="A2800" s="151" t="s">
        <v>220</v>
      </c>
      <c r="B2800" s="118" t="s">
        <v>190</v>
      </c>
      <c r="C2800" s="118" t="s">
        <v>206</v>
      </c>
      <c r="D2800" s="152" t="s">
        <v>3391</v>
      </c>
      <c r="E2800" s="152" t="s">
        <v>3426</v>
      </c>
      <c r="F2800" s="152" t="s">
        <v>354</v>
      </c>
      <c r="G2800" s="152" t="s">
        <v>2633</v>
      </c>
      <c r="H2800" s="153" t="s">
        <v>215</v>
      </c>
    </row>
    <row r="2801" hidden="1">
      <c r="A2801" s="154" t="s">
        <v>220</v>
      </c>
      <c r="B2801" s="155" t="s">
        <v>190</v>
      </c>
      <c r="C2801" s="155" t="s">
        <v>206</v>
      </c>
      <c r="D2801" s="156" t="s">
        <v>3391</v>
      </c>
      <c r="E2801" s="156" t="s">
        <v>3427</v>
      </c>
      <c r="F2801" s="156" t="s">
        <v>423</v>
      </c>
      <c r="G2801" s="156" t="s">
        <v>2243</v>
      </c>
      <c r="H2801" s="157" t="s">
        <v>216</v>
      </c>
    </row>
    <row r="2802" hidden="1">
      <c r="A2802" s="151" t="s">
        <v>221</v>
      </c>
      <c r="B2802" s="118" t="s">
        <v>189</v>
      </c>
      <c r="C2802" s="118" t="s">
        <v>206</v>
      </c>
      <c r="D2802" s="152" t="s">
        <v>3391</v>
      </c>
      <c r="E2802" s="152" t="s">
        <v>3428</v>
      </c>
      <c r="F2802" s="152" t="s">
        <v>3240</v>
      </c>
      <c r="G2802" s="152" t="s">
        <v>3296</v>
      </c>
      <c r="H2802" s="153" t="s">
        <v>210</v>
      </c>
    </row>
    <row r="2803" hidden="1">
      <c r="A2803" s="154" t="s">
        <v>221</v>
      </c>
      <c r="B2803" s="155" t="s">
        <v>189</v>
      </c>
      <c r="C2803" s="155" t="s">
        <v>206</v>
      </c>
      <c r="D2803" s="156" t="s">
        <v>3391</v>
      </c>
      <c r="E2803" s="156" t="s">
        <v>3429</v>
      </c>
      <c r="F2803" s="156" t="s">
        <v>1769</v>
      </c>
      <c r="G2803" s="156" t="s">
        <v>3430</v>
      </c>
      <c r="H2803" s="157" t="s">
        <v>211</v>
      </c>
    </row>
    <row r="2804" hidden="1">
      <c r="A2804" s="151" t="s">
        <v>221</v>
      </c>
      <c r="B2804" s="118" t="s">
        <v>189</v>
      </c>
      <c r="C2804" s="118" t="s">
        <v>206</v>
      </c>
      <c r="D2804" s="152" t="s">
        <v>3391</v>
      </c>
      <c r="E2804" s="152" t="s">
        <v>3431</v>
      </c>
      <c r="F2804" s="152" t="s">
        <v>359</v>
      </c>
      <c r="G2804" s="152" t="s">
        <v>3432</v>
      </c>
      <c r="H2804" s="153" t="s">
        <v>212</v>
      </c>
    </row>
    <row r="2805" hidden="1">
      <c r="A2805" s="154" t="s">
        <v>221</v>
      </c>
      <c r="B2805" s="155" t="s">
        <v>189</v>
      </c>
      <c r="C2805" s="155" t="s">
        <v>206</v>
      </c>
      <c r="D2805" s="156" t="s">
        <v>3391</v>
      </c>
      <c r="E2805" s="156" t="s">
        <v>3433</v>
      </c>
      <c r="F2805" s="156" t="s">
        <v>3198</v>
      </c>
      <c r="G2805" s="156" t="s">
        <v>3434</v>
      </c>
      <c r="H2805" s="157" t="s">
        <v>213</v>
      </c>
    </row>
    <row r="2806" hidden="1">
      <c r="A2806" s="151" t="s">
        <v>221</v>
      </c>
      <c r="B2806" s="118" t="s">
        <v>189</v>
      </c>
      <c r="C2806" s="118" t="s">
        <v>206</v>
      </c>
      <c r="D2806" s="152" t="s">
        <v>3391</v>
      </c>
      <c r="E2806" s="152" t="s">
        <v>3435</v>
      </c>
      <c r="F2806" s="152" t="s">
        <v>631</v>
      </c>
      <c r="G2806" s="152" t="s">
        <v>3436</v>
      </c>
      <c r="H2806" s="153" t="s">
        <v>214</v>
      </c>
    </row>
    <row r="2807" hidden="1">
      <c r="A2807" s="154" t="s">
        <v>221</v>
      </c>
      <c r="B2807" s="155" t="s">
        <v>189</v>
      </c>
      <c r="C2807" s="155" t="s">
        <v>206</v>
      </c>
      <c r="D2807" s="156" t="s">
        <v>3391</v>
      </c>
      <c r="E2807" s="156" t="s">
        <v>3437</v>
      </c>
      <c r="F2807" s="156" t="s">
        <v>637</v>
      </c>
      <c r="G2807" s="156" t="s">
        <v>3438</v>
      </c>
      <c r="H2807" s="157" t="s">
        <v>215</v>
      </c>
    </row>
    <row r="2808" hidden="1">
      <c r="A2808" s="151" t="s">
        <v>221</v>
      </c>
      <c r="B2808" s="118" t="s">
        <v>189</v>
      </c>
      <c r="C2808" s="118" t="s">
        <v>206</v>
      </c>
      <c r="D2808" s="152" t="s">
        <v>3391</v>
      </c>
      <c r="E2808" s="152" t="s">
        <v>3439</v>
      </c>
      <c r="F2808" s="152" t="s">
        <v>3145</v>
      </c>
      <c r="G2808" s="152" t="s">
        <v>3440</v>
      </c>
      <c r="H2808" s="153" t="s">
        <v>216</v>
      </c>
    </row>
    <row r="2809" hidden="1">
      <c r="A2809" s="154" t="s">
        <v>222</v>
      </c>
      <c r="B2809" s="155" t="s">
        <v>192</v>
      </c>
      <c r="C2809" s="155" t="s">
        <v>206</v>
      </c>
      <c r="D2809" s="156" t="s">
        <v>3391</v>
      </c>
      <c r="E2809" s="156" t="s">
        <v>3441</v>
      </c>
      <c r="F2809" s="156" t="s">
        <v>425</v>
      </c>
      <c r="G2809" s="156" t="s">
        <v>2006</v>
      </c>
      <c r="H2809" s="157" t="s">
        <v>210</v>
      </c>
    </row>
    <row r="2810" hidden="1">
      <c r="A2810" s="151" t="s">
        <v>222</v>
      </c>
      <c r="B2810" s="118" t="s">
        <v>192</v>
      </c>
      <c r="C2810" s="118" t="s">
        <v>206</v>
      </c>
      <c r="D2810" s="152" t="s">
        <v>3391</v>
      </c>
      <c r="E2810" s="152" t="s">
        <v>3442</v>
      </c>
      <c r="F2810" s="152" t="s">
        <v>354</v>
      </c>
      <c r="G2810" s="152" t="s">
        <v>3443</v>
      </c>
      <c r="H2810" s="153" t="s">
        <v>211</v>
      </c>
    </row>
    <row r="2811" hidden="1">
      <c r="A2811" s="154" t="s">
        <v>222</v>
      </c>
      <c r="B2811" s="155" t="s">
        <v>192</v>
      </c>
      <c r="C2811" s="155" t="s">
        <v>206</v>
      </c>
      <c r="D2811" s="156" t="s">
        <v>3391</v>
      </c>
      <c r="E2811" s="156" t="s">
        <v>3444</v>
      </c>
      <c r="F2811" s="156" t="s">
        <v>758</v>
      </c>
      <c r="G2811" s="156" t="s">
        <v>3445</v>
      </c>
      <c r="H2811" s="157" t="s">
        <v>212</v>
      </c>
    </row>
    <row r="2812" hidden="1">
      <c r="A2812" s="151" t="s">
        <v>222</v>
      </c>
      <c r="B2812" s="118" t="s">
        <v>192</v>
      </c>
      <c r="C2812" s="118" t="s">
        <v>206</v>
      </c>
      <c r="D2812" s="152" t="s">
        <v>3391</v>
      </c>
      <c r="E2812" s="152" t="s">
        <v>3446</v>
      </c>
      <c r="F2812" s="152" t="s">
        <v>577</v>
      </c>
      <c r="G2812" s="152" t="s">
        <v>2814</v>
      </c>
      <c r="H2812" s="153" t="s">
        <v>213</v>
      </c>
    </row>
    <row r="2813" hidden="1">
      <c r="A2813" s="154" t="s">
        <v>222</v>
      </c>
      <c r="B2813" s="155" t="s">
        <v>192</v>
      </c>
      <c r="C2813" s="155" t="s">
        <v>206</v>
      </c>
      <c r="D2813" s="156" t="s">
        <v>3391</v>
      </c>
      <c r="E2813" s="156" t="s">
        <v>3447</v>
      </c>
      <c r="F2813" s="156" t="s">
        <v>677</v>
      </c>
      <c r="G2813" s="156" t="s">
        <v>3307</v>
      </c>
      <c r="H2813" s="157" t="s">
        <v>214</v>
      </c>
    </row>
    <row r="2814" hidden="1">
      <c r="A2814" s="151" t="s">
        <v>222</v>
      </c>
      <c r="B2814" s="118" t="s">
        <v>192</v>
      </c>
      <c r="C2814" s="118" t="s">
        <v>206</v>
      </c>
      <c r="D2814" s="152" t="s">
        <v>3391</v>
      </c>
      <c r="E2814" s="152" t="s">
        <v>3448</v>
      </c>
      <c r="F2814" s="152" t="s">
        <v>478</v>
      </c>
      <c r="G2814" s="152" t="s">
        <v>3449</v>
      </c>
      <c r="H2814" s="153" t="s">
        <v>215</v>
      </c>
    </row>
    <row r="2815" hidden="1">
      <c r="A2815" s="154" t="s">
        <v>222</v>
      </c>
      <c r="B2815" s="155" t="s">
        <v>192</v>
      </c>
      <c r="C2815" s="155" t="s">
        <v>206</v>
      </c>
      <c r="D2815" s="156" t="s">
        <v>3391</v>
      </c>
      <c r="E2815" s="156" t="s">
        <v>3450</v>
      </c>
      <c r="F2815" s="156" t="s">
        <v>354</v>
      </c>
      <c r="G2815" s="156" t="s">
        <v>3142</v>
      </c>
      <c r="H2815" s="157" t="s">
        <v>216</v>
      </c>
    </row>
    <row r="2816" hidden="1">
      <c r="A2816" s="151" t="s">
        <v>223</v>
      </c>
      <c r="B2816" s="118" t="s">
        <v>144</v>
      </c>
      <c r="C2816" s="118" t="s">
        <v>206</v>
      </c>
      <c r="D2816" s="152" t="s">
        <v>3391</v>
      </c>
      <c r="E2816" s="152" t="s">
        <v>3451</v>
      </c>
      <c r="F2816" s="152" t="s">
        <v>673</v>
      </c>
      <c r="G2816" s="152" t="s">
        <v>2992</v>
      </c>
      <c r="H2816" s="153" t="s">
        <v>210</v>
      </c>
    </row>
    <row r="2817" hidden="1">
      <c r="A2817" s="154" t="s">
        <v>223</v>
      </c>
      <c r="B2817" s="155" t="s">
        <v>144</v>
      </c>
      <c r="C2817" s="155" t="s">
        <v>206</v>
      </c>
      <c r="D2817" s="156" t="s">
        <v>3391</v>
      </c>
      <c r="E2817" s="156" t="s">
        <v>3452</v>
      </c>
      <c r="F2817" s="156" t="s">
        <v>1999</v>
      </c>
      <c r="G2817" s="156" t="s">
        <v>2230</v>
      </c>
      <c r="H2817" s="157" t="s">
        <v>211</v>
      </c>
    </row>
    <row r="2818" hidden="1">
      <c r="A2818" s="151" t="s">
        <v>223</v>
      </c>
      <c r="B2818" s="118" t="s">
        <v>144</v>
      </c>
      <c r="C2818" s="118" t="s">
        <v>206</v>
      </c>
      <c r="D2818" s="152" t="s">
        <v>3391</v>
      </c>
      <c r="E2818" s="152" t="s">
        <v>3453</v>
      </c>
      <c r="F2818" s="152" t="s">
        <v>725</v>
      </c>
      <c r="G2818" s="152" t="s">
        <v>2450</v>
      </c>
      <c r="H2818" s="153" t="s">
        <v>212</v>
      </c>
    </row>
    <row r="2819" hidden="1">
      <c r="A2819" s="154" t="s">
        <v>223</v>
      </c>
      <c r="B2819" s="155" t="s">
        <v>144</v>
      </c>
      <c r="C2819" s="155" t="s">
        <v>206</v>
      </c>
      <c r="D2819" s="156" t="s">
        <v>3391</v>
      </c>
      <c r="E2819" s="156" t="s">
        <v>3454</v>
      </c>
      <c r="F2819" s="156" t="s">
        <v>725</v>
      </c>
      <c r="G2819" s="156" t="s">
        <v>2929</v>
      </c>
      <c r="H2819" s="157" t="s">
        <v>213</v>
      </c>
    </row>
    <row r="2820" hidden="1">
      <c r="A2820" s="151" t="s">
        <v>223</v>
      </c>
      <c r="B2820" s="118" t="s">
        <v>144</v>
      </c>
      <c r="C2820" s="118" t="s">
        <v>206</v>
      </c>
      <c r="D2820" s="152" t="s">
        <v>3391</v>
      </c>
      <c r="E2820" s="152" t="s">
        <v>3455</v>
      </c>
      <c r="F2820" s="152" t="s">
        <v>1532</v>
      </c>
      <c r="G2820" s="152" t="s">
        <v>2600</v>
      </c>
      <c r="H2820" s="153" t="s">
        <v>214</v>
      </c>
    </row>
    <row r="2821" hidden="1">
      <c r="A2821" s="154" t="s">
        <v>223</v>
      </c>
      <c r="B2821" s="155" t="s">
        <v>144</v>
      </c>
      <c r="C2821" s="155" t="s">
        <v>206</v>
      </c>
      <c r="D2821" s="156" t="s">
        <v>3391</v>
      </c>
      <c r="E2821" s="156" t="s">
        <v>3456</v>
      </c>
      <c r="F2821" s="156" t="s">
        <v>725</v>
      </c>
      <c r="G2821" s="156" t="s">
        <v>2847</v>
      </c>
      <c r="H2821" s="157" t="s">
        <v>215</v>
      </c>
    </row>
    <row r="2822" hidden="1">
      <c r="A2822" s="151" t="s">
        <v>223</v>
      </c>
      <c r="B2822" s="118" t="s">
        <v>144</v>
      </c>
      <c r="C2822" s="118" t="s">
        <v>206</v>
      </c>
      <c r="D2822" s="152" t="s">
        <v>3391</v>
      </c>
      <c r="E2822" s="152" t="s">
        <v>3457</v>
      </c>
      <c r="F2822" s="152" t="s">
        <v>1999</v>
      </c>
      <c r="G2822" s="152" t="s">
        <v>3458</v>
      </c>
      <c r="H2822" s="153" t="s">
        <v>216</v>
      </c>
    </row>
    <row r="2823" hidden="1">
      <c r="A2823" s="154" t="s">
        <v>224</v>
      </c>
      <c r="B2823" s="155" t="s">
        <v>170</v>
      </c>
      <c r="C2823" s="155" t="s">
        <v>206</v>
      </c>
      <c r="D2823" s="156" t="s">
        <v>3391</v>
      </c>
      <c r="E2823" s="156" t="s">
        <v>3459</v>
      </c>
      <c r="F2823" s="156" t="s">
        <v>3240</v>
      </c>
      <c r="G2823" s="156" t="s">
        <v>3460</v>
      </c>
      <c r="H2823" s="157" t="s">
        <v>210</v>
      </c>
    </row>
    <row r="2824" hidden="1">
      <c r="A2824" s="151" t="s">
        <v>224</v>
      </c>
      <c r="B2824" s="118" t="s">
        <v>170</v>
      </c>
      <c r="C2824" s="118" t="s">
        <v>206</v>
      </c>
      <c r="D2824" s="152" t="s">
        <v>3391</v>
      </c>
      <c r="E2824" s="152" t="s">
        <v>3461</v>
      </c>
      <c r="F2824" s="152" t="s">
        <v>2228</v>
      </c>
      <c r="G2824" s="152" t="s">
        <v>3462</v>
      </c>
      <c r="H2824" s="153" t="s">
        <v>211</v>
      </c>
    </row>
    <row r="2825" hidden="1">
      <c r="A2825" s="154" t="s">
        <v>224</v>
      </c>
      <c r="B2825" s="155" t="s">
        <v>170</v>
      </c>
      <c r="C2825" s="155" t="s">
        <v>206</v>
      </c>
      <c r="D2825" s="156" t="s">
        <v>3391</v>
      </c>
      <c r="E2825" s="156" t="s">
        <v>3463</v>
      </c>
      <c r="F2825" s="156" t="s">
        <v>3240</v>
      </c>
      <c r="G2825" s="156" t="s">
        <v>3464</v>
      </c>
      <c r="H2825" s="157" t="s">
        <v>212</v>
      </c>
    </row>
    <row r="2826" hidden="1">
      <c r="A2826" s="151" t="s">
        <v>224</v>
      </c>
      <c r="B2826" s="118" t="s">
        <v>170</v>
      </c>
      <c r="C2826" s="118" t="s">
        <v>206</v>
      </c>
      <c r="D2826" s="152" t="s">
        <v>3391</v>
      </c>
      <c r="E2826" s="152" t="s">
        <v>3465</v>
      </c>
      <c r="F2826" s="152" t="s">
        <v>2228</v>
      </c>
      <c r="G2826" s="152" t="s">
        <v>3466</v>
      </c>
      <c r="H2826" s="153" t="s">
        <v>213</v>
      </c>
    </row>
    <row r="2827" hidden="1">
      <c r="A2827" s="154" t="s">
        <v>224</v>
      </c>
      <c r="B2827" s="155" t="s">
        <v>170</v>
      </c>
      <c r="C2827" s="155" t="s">
        <v>206</v>
      </c>
      <c r="D2827" s="156" t="s">
        <v>3391</v>
      </c>
      <c r="E2827" s="156" t="s">
        <v>3467</v>
      </c>
      <c r="F2827" s="156" t="s">
        <v>2228</v>
      </c>
      <c r="G2827" s="156" t="s">
        <v>3468</v>
      </c>
      <c r="H2827" s="157" t="s">
        <v>214</v>
      </c>
    </row>
    <row r="2828" hidden="1">
      <c r="A2828" s="151" t="s">
        <v>224</v>
      </c>
      <c r="B2828" s="118" t="s">
        <v>170</v>
      </c>
      <c r="C2828" s="118" t="s">
        <v>206</v>
      </c>
      <c r="D2828" s="152" t="s">
        <v>3391</v>
      </c>
      <c r="E2828" s="152" t="s">
        <v>3469</v>
      </c>
      <c r="F2828" s="152" t="s">
        <v>3346</v>
      </c>
      <c r="G2828" s="152" t="s">
        <v>3470</v>
      </c>
      <c r="H2828" s="153" t="s">
        <v>215</v>
      </c>
    </row>
    <row r="2829" hidden="1">
      <c r="A2829" s="154" t="s">
        <v>224</v>
      </c>
      <c r="B2829" s="155" t="s">
        <v>170</v>
      </c>
      <c r="C2829" s="155" t="s">
        <v>206</v>
      </c>
      <c r="D2829" s="156" t="s">
        <v>3391</v>
      </c>
      <c r="E2829" s="156" t="s">
        <v>3471</v>
      </c>
      <c r="F2829" s="156" t="s">
        <v>3359</v>
      </c>
      <c r="G2829" s="156" t="s">
        <v>3472</v>
      </c>
      <c r="H2829" s="157" t="s">
        <v>216</v>
      </c>
    </row>
    <row r="2830" hidden="1">
      <c r="A2830" s="151" t="s">
        <v>225</v>
      </c>
      <c r="B2830" s="118" t="s">
        <v>226</v>
      </c>
      <c r="C2830" s="118" t="s">
        <v>206</v>
      </c>
      <c r="D2830" s="152" t="s">
        <v>3391</v>
      </c>
      <c r="E2830" s="152" t="s">
        <v>3473</v>
      </c>
      <c r="F2830" s="152" t="s">
        <v>458</v>
      </c>
      <c r="G2830" s="152" t="s">
        <v>3278</v>
      </c>
      <c r="H2830" s="153" t="s">
        <v>210</v>
      </c>
    </row>
    <row r="2831" hidden="1">
      <c r="A2831" s="154" t="s">
        <v>225</v>
      </c>
      <c r="B2831" s="155" t="s">
        <v>226</v>
      </c>
      <c r="C2831" s="155" t="s">
        <v>206</v>
      </c>
      <c r="D2831" s="156" t="s">
        <v>3391</v>
      </c>
      <c r="E2831" s="156" t="s">
        <v>3474</v>
      </c>
      <c r="F2831" s="156" t="s">
        <v>269</v>
      </c>
      <c r="G2831" s="156" t="s">
        <v>3475</v>
      </c>
      <c r="H2831" s="157" t="s">
        <v>211</v>
      </c>
    </row>
    <row r="2832" hidden="1">
      <c r="A2832" s="151" t="s">
        <v>225</v>
      </c>
      <c r="B2832" s="118" t="s">
        <v>226</v>
      </c>
      <c r="C2832" s="118" t="s">
        <v>206</v>
      </c>
      <c r="D2832" s="152" t="s">
        <v>3391</v>
      </c>
      <c r="E2832" s="152" t="s">
        <v>3476</v>
      </c>
      <c r="F2832" s="152" t="s">
        <v>259</v>
      </c>
      <c r="G2832" s="152" t="s">
        <v>2287</v>
      </c>
      <c r="H2832" s="153" t="s">
        <v>212</v>
      </c>
    </row>
    <row r="2833" hidden="1">
      <c r="A2833" s="154" t="s">
        <v>225</v>
      </c>
      <c r="B2833" s="155" t="s">
        <v>226</v>
      </c>
      <c r="C2833" s="155" t="s">
        <v>206</v>
      </c>
      <c r="D2833" s="156" t="s">
        <v>3391</v>
      </c>
      <c r="E2833" s="156" t="s">
        <v>3477</v>
      </c>
      <c r="F2833" s="156" t="s">
        <v>257</v>
      </c>
      <c r="G2833" s="156" t="s">
        <v>3478</v>
      </c>
      <c r="H2833" s="157" t="s">
        <v>213</v>
      </c>
    </row>
    <row r="2834" hidden="1">
      <c r="A2834" s="151" t="s">
        <v>225</v>
      </c>
      <c r="B2834" s="118" t="s">
        <v>226</v>
      </c>
      <c r="C2834" s="118" t="s">
        <v>206</v>
      </c>
      <c r="D2834" s="152" t="s">
        <v>3391</v>
      </c>
      <c r="E2834" s="152" t="s">
        <v>3479</v>
      </c>
      <c r="F2834" s="152" t="s">
        <v>298</v>
      </c>
      <c r="G2834" s="152" t="s">
        <v>2309</v>
      </c>
      <c r="H2834" s="153" t="s">
        <v>214</v>
      </c>
    </row>
    <row r="2835" hidden="1">
      <c r="A2835" s="154" t="s">
        <v>225</v>
      </c>
      <c r="B2835" s="155" t="s">
        <v>226</v>
      </c>
      <c r="C2835" s="155" t="s">
        <v>206</v>
      </c>
      <c r="D2835" s="156" t="s">
        <v>3391</v>
      </c>
      <c r="E2835" s="156" t="s">
        <v>3480</v>
      </c>
      <c r="F2835" s="156" t="s">
        <v>240</v>
      </c>
      <c r="G2835" s="156" t="s">
        <v>2243</v>
      </c>
      <c r="H2835" s="157" t="s">
        <v>215</v>
      </c>
    </row>
    <row r="2836" hidden="1">
      <c r="A2836" s="151" t="s">
        <v>225</v>
      </c>
      <c r="B2836" s="118" t="s">
        <v>226</v>
      </c>
      <c r="C2836" s="118" t="s">
        <v>206</v>
      </c>
      <c r="D2836" s="152" t="s">
        <v>3391</v>
      </c>
      <c r="E2836" s="152" t="s">
        <v>3481</v>
      </c>
      <c r="F2836" s="152" t="s">
        <v>374</v>
      </c>
      <c r="G2836" s="152" t="s">
        <v>3482</v>
      </c>
      <c r="H2836" s="153" t="s">
        <v>216</v>
      </c>
    </row>
    <row r="2837" hidden="1">
      <c r="A2837" s="154" t="s">
        <v>227</v>
      </c>
      <c r="B2837" s="155" t="s">
        <v>195</v>
      </c>
      <c r="C2837" s="155" t="s">
        <v>206</v>
      </c>
      <c r="D2837" s="156" t="s">
        <v>3391</v>
      </c>
      <c r="E2837" s="156" t="s">
        <v>3483</v>
      </c>
      <c r="F2837" s="156" t="s">
        <v>285</v>
      </c>
      <c r="G2837" s="156" t="s">
        <v>2067</v>
      </c>
      <c r="H2837" s="157" t="s">
        <v>210</v>
      </c>
    </row>
    <row r="2838" hidden="1">
      <c r="A2838" s="151" t="s">
        <v>227</v>
      </c>
      <c r="B2838" s="118" t="s">
        <v>195</v>
      </c>
      <c r="C2838" s="118" t="s">
        <v>206</v>
      </c>
      <c r="D2838" s="152" t="s">
        <v>3391</v>
      </c>
      <c r="E2838" s="152" t="s">
        <v>3484</v>
      </c>
      <c r="F2838" s="152" t="s">
        <v>249</v>
      </c>
      <c r="G2838" s="152" t="s">
        <v>3485</v>
      </c>
      <c r="H2838" s="153" t="s">
        <v>211</v>
      </c>
    </row>
    <row r="2839" hidden="1">
      <c r="A2839" s="154" t="s">
        <v>227</v>
      </c>
      <c r="B2839" s="155" t="s">
        <v>195</v>
      </c>
      <c r="C2839" s="155" t="s">
        <v>206</v>
      </c>
      <c r="D2839" s="156" t="s">
        <v>3391</v>
      </c>
      <c r="E2839" s="156" t="s">
        <v>3486</v>
      </c>
      <c r="F2839" s="156" t="s">
        <v>532</v>
      </c>
      <c r="G2839" s="156" t="s">
        <v>3487</v>
      </c>
      <c r="H2839" s="157" t="s">
        <v>212</v>
      </c>
    </row>
    <row r="2840" hidden="1">
      <c r="A2840" s="151" t="s">
        <v>227</v>
      </c>
      <c r="B2840" s="118" t="s">
        <v>195</v>
      </c>
      <c r="C2840" s="118" t="s">
        <v>206</v>
      </c>
      <c r="D2840" s="152" t="s">
        <v>3391</v>
      </c>
      <c r="E2840" s="152" t="s">
        <v>3488</v>
      </c>
      <c r="F2840" s="152" t="s">
        <v>494</v>
      </c>
      <c r="G2840" s="152" t="s">
        <v>3003</v>
      </c>
      <c r="H2840" s="153" t="s">
        <v>213</v>
      </c>
    </row>
    <row r="2841" hidden="1">
      <c r="A2841" s="154" t="s">
        <v>227</v>
      </c>
      <c r="B2841" s="155" t="s">
        <v>195</v>
      </c>
      <c r="C2841" s="155" t="s">
        <v>206</v>
      </c>
      <c r="D2841" s="156" t="s">
        <v>3391</v>
      </c>
      <c r="E2841" s="156" t="s">
        <v>3489</v>
      </c>
      <c r="F2841" s="156" t="s">
        <v>314</v>
      </c>
      <c r="G2841" s="156" t="s">
        <v>2405</v>
      </c>
      <c r="H2841" s="157" t="s">
        <v>214</v>
      </c>
    </row>
    <row r="2842" hidden="1">
      <c r="A2842" s="151" t="s">
        <v>227</v>
      </c>
      <c r="B2842" s="118" t="s">
        <v>195</v>
      </c>
      <c r="C2842" s="118" t="s">
        <v>206</v>
      </c>
      <c r="D2842" s="152" t="s">
        <v>3391</v>
      </c>
      <c r="E2842" s="152" t="s">
        <v>3490</v>
      </c>
      <c r="F2842" s="152" t="s">
        <v>577</v>
      </c>
      <c r="G2842" s="152" t="s">
        <v>1862</v>
      </c>
      <c r="H2842" s="153" t="s">
        <v>215</v>
      </c>
    </row>
    <row r="2843" hidden="1">
      <c r="A2843" s="154" t="s">
        <v>227</v>
      </c>
      <c r="B2843" s="155" t="s">
        <v>195</v>
      </c>
      <c r="C2843" s="155" t="s">
        <v>206</v>
      </c>
      <c r="D2843" s="156" t="s">
        <v>3391</v>
      </c>
      <c r="E2843" s="156" t="s">
        <v>3491</v>
      </c>
      <c r="F2843" s="156" t="s">
        <v>308</v>
      </c>
      <c r="G2843" s="156" t="s">
        <v>2923</v>
      </c>
      <c r="H2843" s="157" t="s">
        <v>216</v>
      </c>
    </row>
    <row r="2844" hidden="1">
      <c r="A2844" s="151" t="s">
        <v>228</v>
      </c>
      <c r="B2844" s="118" t="s">
        <v>138</v>
      </c>
      <c r="C2844" s="118" t="s">
        <v>206</v>
      </c>
      <c r="D2844" s="152" t="s">
        <v>3391</v>
      </c>
      <c r="E2844" s="152" t="s">
        <v>3492</v>
      </c>
      <c r="F2844" s="152" t="s">
        <v>290</v>
      </c>
      <c r="G2844" s="152" t="s">
        <v>2070</v>
      </c>
      <c r="H2844" s="153" t="s">
        <v>210</v>
      </c>
    </row>
    <row r="2845" hidden="1">
      <c r="A2845" s="154" t="s">
        <v>228</v>
      </c>
      <c r="B2845" s="155" t="s">
        <v>138</v>
      </c>
      <c r="C2845" s="155" t="s">
        <v>206</v>
      </c>
      <c r="D2845" s="156" t="s">
        <v>3391</v>
      </c>
      <c r="E2845" s="156" t="s">
        <v>3493</v>
      </c>
      <c r="F2845" s="156" t="s">
        <v>287</v>
      </c>
      <c r="G2845" s="156" t="s">
        <v>2057</v>
      </c>
      <c r="H2845" s="157" t="s">
        <v>211</v>
      </c>
    </row>
    <row r="2846" hidden="1">
      <c r="A2846" s="151" t="s">
        <v>228</v>
      </c>
      <c r="B2846" s="118" t="s">
        <v>138</v>
      </c>
      <c r="C2846" s="118" t="s">
        <v>206</v>
      </c>
      <c r="D2846" s="152" t="s">
        <v>3391</v>
      </c>
      <c r="E2846" s="152" t="s">
        <v>3494</v>
      </c>
      <c r="F2846" s="152" t="s">
        <v>458</v>
      </c>
      <c r="G2846" s="152" t="s">
        <v>2567</v>
      </c>
      <c r="H2846" s="153" t="s">
        <v>212</v>
      </c>
    </row>
    <row r="2847" hidden="1">
      <c r="A2847" s="154" t="s">
        <v>228</v>
      </c>
      <c r="B2847" s="155" t="s">
        <v>138</v>
      </c>
      <c r="C2847" s="155" t="s">
        <v>206</v>
      </c>
      <c r="D2847" s="156" t="s">
        <v>3391</v>
      </c>
      <c r="E2847" s="156" t="s">
        <v>3495</v>
      </c>
      <c r="F2847" s="156" t="s">
        <v>458</v>
      </c>
      <c r="G2847" s="156" t="s">
        <v>2211</v>
      </c>
      <c r="H2847" s="157" t="s">
        <v>213</v>
      </c>
    </row>
    <row r="2848" hidden="1">
      <c r="A2848" s="151" t="s">
        <v>228</v>
      </c>
      <c r="B2848" s="118" t="s">
        <v>138</v>
      </c>
      <c r="C2848" s="118" t="s">
        <v>206</v>
      </c>
      <c r="D2848" s="152" t="s">
        <v>3391</v>
      </c>
      <c r="E2848" s="152" t="s">
        <v>3496</v>
      </c>
      <c r="F2848" s="152" t="s">
        <v>1532</v>
      </c>
      <c r="G2848" s="152" t="s">
        <v>2070</v>
      </c>
      <c r="H2848" s="153" t="s">
        <v>214</v>
      </c>
    </row>
    <row r="2849" hidden="1">
      <c r="A2849" s="154" t="s">
        <v>228</v>
      </c>
      <c r="B2849" s="155" t="s">
        <v>138</v>
      </c>
      <c r="C2849" s="155" t="s">
        <v>206</v>
      </c>
      <c r="D2849" s="156" t="s">
        <v>3391</v>
      </c>
      <c r="E2849" s="156" t="s">
        <v>3497</v>
      </c>
      <c r="F2849" s="156" t="s">
        <v>298</v>
      </c>
      <c r="G2849" s="156" t="s">
        <v>635</v>
      </c>
      <c r="H2849" s="157" t="s">
        <v>215</v>
      </c>
    </row>
    <row r="2850" hidden="1">
      <c r="A2850" s="151" t="s">
        <v>228</v>
      </c>
      <c r="B2850" s="118" t="s">
        <v>138</v>
      </c>
      <c r="C2850" s="118" t="s">
        <v>206</v>
      </c>
      <c r="D2850" s="152" t="s">
        <v>3391</v>
      </c>
      <c r="E2850" s="152" t="s">
        <v>3498</v>
      </c>
      <c r="F2850" s="152" t="s">
        <v>323</v>
      </c>
      <c r="G2850" s="152" t="s">
        <v>1856</v>
      </c>
      <c r="H2850" s="153" t="s">
        <v>216</v>
      </c>
    </row>
    <row r="2851" hidden="1">
      <c r="A2851" s="154" t="s">
        <v>229</v>
      </c>
      <c r="B2851" s="155" t="s">
        <v>193</v>
      </c>
      <c r="C2851" s="155" t="s">
        <v>206</v>
      </c>
      <c r="D2851" s="156" t="s">
        <v>3391</v>
      </c>
      <c r="E2851" s="156" t="s">
        <v>3499</v>
      </c>
      <c r="F2851" s="156" t="s">
        <v>249</v>
      </c>
      <c r="G2851" s="156" t="s">
        <v>2107</v>
      </c>
      <c r="H2851" s="157" t="s">
        <v>210</v>
      </c>
    </row>
    <row r="2852" hidden="1">
      <c r="A2852" s="151" t="s">
        <v>229</v>
      </c>
      <c r="B2852" s="118" t="s">
        <v>193</v>
      </c>
      <c r="C2852" s="118" t="s">
        <v>206</v>
      </c>
      <c r="D2852" s="152" t="s">
        <v>3391</v>
      </c>
      <c r="E2852" s="152" t="s">
        <v>3500</v>
      </c>
      <c r="F2852" s="152" t="s">
        <v>425</v>
      </c>
      <c r="G2852" s="152" t="s">
        <v>3287</v>
      </c>
      <c r="H2852" s="153" t="s">
        <v>211</v>
      </c>
    </row>
    <row r="2853" hidden="1">
      <c r="A2853" s="154" t="s">
        <v>229</v>
      </c>
      <c r="B2853" s="155" t="s">
        <v>193</v>
      </c>
      <c r="C2853" s="155" t="s">
        <v>206</v>
      </c>
      <c r="D2853" s="156" t="s">
        <v>3391</v>
      </c>
      <c r="E2853" s="156" t="s">
        <v>3501</v>
      </c>
      <c r="F2853" s="156" t="s">
        <v>321</v>
      </c>
      <c r="G2853" s="156" t="s">
        <v>2600</v>
      </c>
      <c r="H2853" s="157" t="s">
        <v>212</v>
      </c>
    </row>
    <row r="2854" hidden="1">
      <c r="A2854" s="151" t="s">
        <v>229</v>
      </c>
      <c r="B2854" s="118" t="s">
        <v>193</v>
      </c>
      <c r="C2854" s="118" t="s">
        <v>206</v>
      </c>
      <c r="D2854" s="152" t="s">
        <v>3391</v>
      </c>
      <c r="E2854" s="152" t="s">
        <v>3502</v>
      </c>
      <c r="F2854" s="152" t="s">
        <v>336</v>
      </c>
      <c r="G2854" s="152" t="s">
        <v>3503</v>
      </c>
      <c r="H2854" s="153" t="s">
        <v>213</v>
      </c>
    </row>
    <row r="2855" hidden="1">
      <c r="A2855" s="154" t="s">
        <v>229</v>
      </c>
      <c r="B2855" s="155" t="s">
        <v>193</v>
      </c>
      <c r="C2855" s="155" t="s">
        <v>206</v>
      </c>
      <c r="D2855" s="156" t="s">
        <v>3391</v>
      </c>
      <c r="E2855" s="156" t="s">
        <v>3504</v>
      </c>
      <c r="F2855" s="156" t="s">
        <v>246</v>
      </c>
      <c r="G2855" s="156" t="s">
        <v>2989</v>
      </c>
      <c r="H2855" s="157" t="s">
        <v>214</v>
      </c>
    </row>
    <row r="2856" hidden="1">
      <c r="A2856" s="151" t="s">
        <v>229</v>
      </c>
      <c r="B2856" s="118" t="s">
        <v>193</v>
      </c>
      <c r="C2856" s="118" t="s">
        <v>206</v>
      </c>
      <c r="D2856" s="152" t="s">
        <v>3391</v>
      </c>
      <c r="E2856" s="152" t="s">
        <v>3505</v>
      </c>
      <c r="F2856" s="152" t="s">
        <v>325</v>
      </c>
      <c r="G2856" s="152" t="s">
        <v>2134</v>
      </c>
      <c r="H2856" s="153" t="s">
        <v>215</v>
      </c>
    </row>
    <row r="2857" hidden="1">
      <c r="A2857" s="154" t="s">
        <v>229</v>
      </c>
      <c r="B2857" s="155" t="s">
        <v>193</v>
      </c>
      <c r="C2857" s="155" t="s">
        <v>206</v>
      </c>
      <c r="D2857" s="156" t="s">
        <v>3391</v>
      </c>
      <c r="E2857" s="156" t="s">
        <v>3506</v>
      </c>
      <c r="F2857" s="156" t="s">
        <v>310</v>
      </c>
      <c r="G2857" s="156" t="s">
        <v>2221</v>
      </c>
      <c r="H2857" s="157" t="s">
        <v>216</v>
      </c>
    </row>
    <row r="2858" hidden="1">
      <c r="A2858" s="151" t="s">
        <v>230</v>
      </c>
      <c r="B2858" s="118" t="s">
        <v>194</v>
      </c>
      <c r="C2858" s="118" t="s">
        <v>206</v>
      </c>
      <c r="D2858" s="152" t="s">
        <v>3391</v>
      </c>
      <c r="E2858" s="152" t="s">
        <v>3507</v>
      </c>
      <c r="F2858" s="152" t="s">
        <v>448</v>
      </c>
      <c r="G2858" s="152" t="s">
        <v>2285</v>
      </c>
      <c r="H2858" s="153" t="s">
        <v>210</v>
      </c>
    </row>
    <row r="2859" hidden="1">
      <c r="A2859" s="154" t="s">
        <v>230</v>
      </c>
      <c r="B2859" s="155" t="s">
        <v>194</v>
      </c>
      <c r="C2859" s="155" t="s">
        <v>206</v>
      </c>
      <c r="D2859" s="156" t="s">
        <v>3391</v>
      </c>
      <c r="E2859" s="156" t="s">
        <v>3508</v>
      </c>
      <c r="F2859" s="156" t="s">
        <v>763</v>
      </c>
      <c r="G2859" s="156" t="s">
        <v>2970</v>
      </c>
      <c r="H2859" s="157" t="s">
        <v>211</v>
      </c>
    </row>
    <row r="2860" hidden="1">
      <c r="A2860" s="151" t="s">
        <v>230</v>
      </c>
      <c r="B2860" s="118" t="s">
        <v>194</v>
      </c>
      <c r="C2860" s="118" t="s">
        <v>206</v>
      </c>
      <c r="D2860" s="152" t="s">
        <v>3391</v>
      </c>
      <c r="E2860" s="152" t="s">
        <v>3509</v>
      </c>
      <c r="F2860" s="152" t="s">
        <v>1532</v>
      </c>
      <c r="G2860" s="152" t="s">
        <v>2457</v>
      </c>
      <c r="H2860" s="153" t="s">
        <v>212</v>
      </c>
    </row>
    <row r="2861" hidden="1">
      <c r="A2861" s="154" t="s">
        <v>230</v>
      </c>
      <c r="B2861" s="155" t="s">
        <v>194</v>
      </c>
      <c r="C2861" s="155" t="s">
        <v>206</v>
      </c>
      <c r="D2861" s="156" t="s">
        <v>3391</v>
      </c>
      <c r="E2861" s="156" t="s">
        <v>3510</v>
      </c>
      <c r="F2861" s="156" t="s">
        <v>448</v>
      </c>
      <c r="G2861" s="156" t="s">
        <v>1925</v>
      </c>
      <c r="H2861" s="157" t="s">
        <v>213</v>
      </c>
    </row>
    <row r="2862" hidden="1">
      <c r="A2862" s="151" t="s">
        <v>230</v>
      </c>
      <c r="B2862" s="118" t="s">
        <v>194</v>
      </c>
      <c r="C2862" s="118" t="s">
        <v>206</v>
      </c>
      <c r="D2862" s="152" t="s">
        <v>3391</v>
      </c>
      <c r="E2862" s="152" t="s">
        <v>3511</v>
      </c>
      <c r="F2862" s="152" t="s">
        <v>760</v>
      </c>
      <c r="G2862" s="152" t="s">
        <v>3059</v>
      </c>
      <c r="H2862" s="153" t="s">
        <v>214</v>
      </c>
    </row>
    <row r="2863" hidden="1">
      <c r="A2863" s="154" t="s">
        <v>230</v>
      </c>
      <c r="B2863" s="155" t="s">
        <v>194</v>
      </c>
      <c r="C2863" s="155" t="s">
        <v>206</v>
      </c>
      <c r="D2863" s="156" t="s">
        <v>3391</v>
      </c>
      <c r="E2863" s="156" t="s">
        <v>3512</v>
      </c>
      <c r="F2863" s="156" t="s">
        <v>766</v>
      </c>
      <c r="G2863" s="156" t="s">
        <v>3513</v>
      </c>
      <c r="H2863" s="157" t="s">
        <v>215</v>
      </c>
    </row>
    <row r="2864" hidden="1">
      <c r="A2864" s="151" t="s">
        <v>230</v>
      </c>
      <c r="B2864" s="118" t="s">
        <v>194</v>
      </c>
      <c r="C2864" s="118" t="s">
        <v>206</v>
      </c>
      <c r="D2864" s="152" t="s">
        <v>3391</v>
      </c>
      <c r="E2864" s="152" t="s">
        <v>3514</v>
      </c>
      <c r="F2864" s="152" t="s">
        <v>390</v>
      </c>
      <c r="G2864" s="152" t="s">
        <v>3396</v>
      </c>
      <c r="H2864" s="153" t="s">
        <v>216</v>
      </c>
    </row>
    <row r="2865" hidden="1">
      <c r="A2865" s="158" t="s">
        <v>231</v>
      </c>
      <c r="B2865" s="159"/>
      <c r="C2865" s="155" t="s">
        <v>232</v>
      </c>
      <c r="D2865" s="156" t="s">
        <v>3391</v>
      </c>
      <c r="E2865" s="156" t="s">
        <v>3515</v>
      </c>
      <c r="F2865" s="156" t="s">
        <v>390</v>
      </c>
      <c r="G2865" s="156" t="s">
        <v>2045</v>
      </c>
      <c r="H2865" s="157" t="s">
        <v>210</v>
      </c>
    </row>
    <row r="2866" hidden="1">
      <c r="A2866" s="160" t="s">
        <v>231</v>
      </c>
      <c r="B2866" s="72"/>
      <c r="C2866" s="118" t="s">
        <v>232</v>
      </c>
      <c r="D2866" s="152" t="s">
        <v>3391</v>
      </c>
      <c r="E2866" s="152" t="s">
        <v>3516</v>
      </c>
      <c r="F2866" s="152" t="s">
        <v>1929</v>
      </c>
      <c r="G2866" s="152" t="s">
        <v>1836</v>
      </c>
      <c r="H2866" s="153" t="s">
        <v>211</v>
      </c>
    </row>
    <row r="2867" hidden="1">
      <c r="A2867" s="158" t="s">
        <v>231</v>
      </c>
      <c r="B2867" s="159"/>
      <c r="C2867" s="155" t="s">
        <v>232</v>
      </c>
      <c r="D2867" s="156" t="s">
        <v>3391</v>
      </c>
      <c r="E2867" s="156" t="s">
        <v>3517</v>
      </c>
      <c r="F2867" s="156" t="s">
        <v>1999</v>
      </c>
      <c r="G2867" s="156" t="s">
        <v>2703</v>
      </c>
      <c r="H2867" s="157" t="s">
        <v>212</v>
      </c>
    </row>
    <row r="2868" hidden="1">
      <c r="A2868" s="160" t="s">
        <v>231</v>
      </c>
      <c r="B2868" s="72"/>
      <c r="C2868" s="118" t="s">
        <v>232</v>
      </c>
      <c r="D2868" s="152" t="s">
        <v>3391</v>
      </c>
      <c r="E2868" s="152" t="s">
        <v>3518</v>
      </c>
      <c r="F2868" s="152" t="s">
        <v>390</v>
      </c>
      <c r="G2868" s="152" t="s">
        <v>2299</v>
      </c>
      <c r="H2868" s="153" t="s">
        <v>213</v>
      </c>
    </row>
    <row r="2869" hidden="1">
      <c r="A2869" s="158" t="s">
        <v>231</v>
      </c>
      <c r="B2869" s="159"/>
      <c r="C2869" s="155" t="s">
        <v>232</v>
      </c>
      <c r="D2869" s="156" t="s">
        <v>3391</v>
      </c>
      <c r="E2869" s="156" t="s">
        <v>3519</v>
      </c>
      <c r="F2869" s="156" t="s">
        <v>1999</v>
      </c>
      <c r="G2869" s="156" t="s">
        <v>2132</v>
      </c>
      <c r="H2869" s="157" t="s">
        <v>214</v>
      </c>
    </row>
    <row r="2870" hidden="1">
      <c r="A2870" s="160" t="s">
        <v>231</v>
      </c>
      <c r="B2870" s="72"/>
      <c r="C2870" s="118" t="s">
        <v>232</v>
      </c>
      <c r="D2870" s="152" t="s">
        <v>3391</v>
      </c>
      <c r="E2870" s="152" t="s">
        <v>3520</v>
      </c>
      <c r="F2870" s="152" t="s">
        <v>1532</v>
      </c>
      <c r="G2870" s="152" t="s">
        <v>2132</v>
      </c>
      <c r="H2870" s="153" t="s">
        <v>215</v>
      </c>
    </row>
    <row r="2871" hidden="1">
      <c r="A2871" s="158" t="s">
        <v>231</v>
      </c>
      <c r="B2871" s="159"/>
      <c r="C2871" s="155" t="s">
        <v>232</v>
      </c>
      <c r="D2871" s="156" t="s">
        <v>3391</v>
      </c>
      <c r="E2871" s="156" t="s">
        <v>3521</v>
      </c>
      <c r="F2871" s="156" t="s">
        <v>390</v>
      </c>
      <c r="G2871" s="156" t="s">
        <v>2718</v>
      </c>
      <c r="H2871" s="157" t="s">
        <v>216</v>
      </c>
    </row>
    <row r="2872" hidden="1">
      <c r="A2872" s="160" t="s">
        <v>233</v>
      </c>
      <c r="B2872" s="72"/>
      <c r="C2872" s="118" t="s">
        <v>232</v>
      </c>
      <c r="D2872" s="152" t="s">
        <v>3391</v>
      </c>
      <c r="E2872" s="152" t="s">
        <v>3522</v>
      </c>
      <c r="F2872" s="152" t="s">
        <v>354</v>
      </c>
      <c r="G2872" s="152" t="s">
        <v>3523</v>
      </c>
      <c r="H2872" s="153" t="s">
        <v>210</v>
      </c>
    </row>
    <row r="2873" hidden="1">
      <c r="A2873" s="158" t="s">
        <v>233</v>
      </c>
      <c r="B2873" s="159"/>
      <c r="C2873" s="155" t="s">
        <v>232</v>
      </c>
      <c r="D2873" s="156" t="s">
        <v>3391</v>
      </c>
      <c r="E2873" s="156" t="s">
        <v>3524</v>
      </c>
      <c r="F2873" s="156" t="s">
        <v>478</v>
      </c>
      <c r="G2873" s="156" t="s">
        <v>3525</v>
      </c>
      <c r="H2873" s="157" t="s">
        <v>211</v>
      </c>
    </row>
    <row r="2874" hidden="1">
      <c r="A2874" s="160" t="s">
        <v>233</v>
      </c>
      <c r="B2874" s="72"/>
      <c r="C2874" s="118" t="s">
        <v>232</v>
      </c>
      <c r="D2874" s="152" t="s">
        <v>3391</v>
      </c>
      <c r="E2874" s="152" t="s">
        <v>3526</v>
      </c>
      <c r="F2874" s="152" t="s">
        <v>1532</v>
      </c>
      <c r="G2874" s="152" t="s">
        <v>2113</v>
      </c>
      <c r="H2874" s="153" t="s">
        <v>212</v>
      </c>
    </row>
    <row r="2875" hidden="1">
      <c r="A2875" s="158" t="s">
        <v>233</v>
      </c>
      <c r="B2875" s="159"/>
      <c r="C2875" s="155" t="s">
        <v>232</v>
      </c>
      <c r="D2875" s="156" t="s">
        <v>3391</v>
      </c>
      <c r="E2875" s="156" t="s">
        <v>3527</v>
      </c>
      <c r="F2875" s="156" t="s">
        <v>423</v>
      </c>
      <c r="G2875" s="156" t="s">
        <v>2989</v>
      </c>
      <c r="H2875" s="157" t="s">
        <v>213</v>
      </c>
    </row>
    <row r="2876" hidden="1">
      <c r="A2876" s="160" t="s">
        <v>233</v>
      </c>
      <c r="B2876" s="72"/>
      <c r="C2876" s="118" t="s">
        <v>232</v>
      </c>
      <c r="D2876" s="152" t="s">
        <v>3391</v>
      </c>
      <c r="E2876" s="152" t="s">
        <v>3528</v>
      </c>
      <c r="F2876" s="152" t="s">
        <v>577</v>
      </c>
      <c r="G2876" s="152" t="s">
        <v>2995</v>
      </c>
      <c r="H2876" s="153" t="s">
        <v>214</v>
      </c>
    </row>
    <row r="2877" hidden="1">
      <c r="A2877" s="158" t="s">
        <v>233</v>
      </c>
      <c r="B2877" s="159"/>
      <c r="C2877" s="155" t="s">
        <v>232</v>
      </c>
      <c r="D2877" s="156" t="s">
        <v>3391</v>
      </c>
      <c r="E2877" s="156" t="s">
        <v>3529</v>
      </c>
      <c r="F2877" s="156" t="s">
        <v>718</v>
      </c>
      <c r="G2877" s="156" t="s">
        <v>3482</v>
      </c>
      <c r="H2877" s="157" t="s">
        <v>215</v>
      </c>
    </row>
    <row r="2878" hidden="1">
      <c r="A2878" s="160" t="s">
        <v>233</v>
      </c>
      <c r="B2878" s="72"/>
      <c r="C2878" s="118" t="s">
        <v>232</v>
      </c>
      <c r="D2878" s="152" t="s">
        <v>3391</v>
      </c>
      <c r="E2878" s="152" t="s">
        <v>3530</v>
      </c>
      <c r="F2878" s="152" t="s">
        <v>725</v>
      </c>
      <c r="G2878" s="152" t="s">
        <v>1927</v>
      </c>
      <c r="H2878" s="153" t="s">
        <v>216</v>
      </c>
    </row>
    <row r="2879" hidden="1">
      <c r="A2879" s="158" t="s">
        <v>234</v>
      </c>
      <c r="B2879" s="159"/>
      <c r="C2879" s="155" t="s">
        <v>232</v>
      </c>
      <c r="D2879" s="156" t="s">
        <v>3391</v>
      </c>
      <c r="E2879" s="156" t="s">
        <v>3531</v>
      </c>
      <c r="F2879" s="156" t="s">
        <v>629</v>
      </c>
      <c r="G2879" s="156" t="s">
        <v>3532</v>
      </c>
      <c r="H2879" s="157" t="s">
        <v>210</v>
      </c>
    </row>
    <row r="2880" hidden="1">
      <c r="A2880" s="160" t="s">
        <v>234</v>
      </c>
      <c r="B2880" s="72"/>
      <c r="C2880" s="118" t="s">
        <v>232</v>
      </c>
      <c r="D2880" s="152" t="s">
        <v>3391</v>
      </c>
      <c r="E2880" s="152" t="s">
        <v>3533</v>
      </c>
      <c r="F2880" s="152" t="s">
        <v>3148</v>
      </c>
      <c r="G2880" s="152" t="s">
        <v>3432</v>
      </c>
      <c r="H2880" s="153" t="s">
        <v>211</v>
      </c>
    </row>
    <row r="2881" hidden="1">
      <c r="A2881" s="158" t="s">
        <v>234</v>
      </c>
      <c r="B2881" s="159"/>
      <c r="C2881" s="155" t="s">
        <v>232</v>
      </c>
      <c r="D2881" s="156" t="s">
        <v>3391</v>
      </c>
      <c r="E2881" s="156" t="s">
        <v>3534</v>
      </c>
      <c r="F2881" s="156" t="s">
        <v>351</v>
      </c>
      <c r="G2881" s="156" t="s">
        <v>3535</v>
      </c>
      <c r="H2881" s="157" t="s">
        <v>212</v>
      </c>
    </row>
    <row r="2882" hidden="1">
      <c r="A2882" s="160" t="s">
        <v>234</v>
      </c>
      <c r="B2882" s="72"/>
      <c r="C2882" s="118" t="s">
        <v>232</v>
      </c>
      <c r="D2882" s="152" t="s">
        <v>3391</v>
      </c>
      <c r="E2882" s="152" t="s">
        <v>3536</v>
      </c>
      <c r="F2882" s="152" t="s">
        <v>448</v>
      </c>
      <c r="G2882" s="152" t="s">
        <v>3537</v>
      </c>
      <c r="H2882" s="153" t="s">
        <v>213</v>
      </c>
    </row>
    <row r="2883" hidden="1">
      <c r="A2883" s="158" t="s">
        <v>234</v>
      </c>
      <c r="B2883" s="159"/>
      <c r="C2883" s="155" t="s">
        <v>232</v>
      </c>
      <c r="D2883" s="156" t="s">
        <v>3391</v>
      </c>
      <c r="E2883" s="156" t="s">
        <v>3538</v>
      </c>
      <c r="F2883" s="156" t="s">
        <v>780</v>
      </c>
      <c r="G2883" s="156" t="s">
        <v>3539</v>
      </c>
      <c r="H2883" s="157" t="s">
        <v>214</v>
      </c>
    </row>
    <row r="2884" hidden="1">
      <c r="A2884" s="160" t="s">
        <v>234</v>
      </c>
      <c r="B2884" s="72"/>
      <c r="C2884" s="118" t="s">
        <v>232</v>
      </c>
      <c r="D2884" s="152" t="s">
        <v>3391</v>
      </c>
      <c r="E2884" s="152" t="s">
        <v>3540</v>
      </c>
      <c r="F2884" s="152" t="s">
        <v>2228</v>
      </c>
      <c r="G2884" s="152" t="s">
        <v>3541</v>
      </c>
      <c r="H2884" s="153" t="s">
        <v>215</v>
      </c>
    </row>
    <row r="2885" hidden="1">
      <c r="A2885" s="158" t="s">
        <v>234</v>
      </c>
      <c r="B2885" s="159"/>
      <c r="C2885" s="155" t="s">
        <v>232</v>
      </c>
      <c r="D2885" s="156" t="s">
        <v>3391</v>
      </c>
      <c r="E2885" s="156" t="s">
        <v>3542</v>
      </c>
      <c r="F2885" s="156" t="s">
        <v>3340</v>
      </c>
      <c r="G2885" s="156" t="s">
        <v>3543</v>
      </c>
      <c r="H2885" s="157" t="s">
        <v>216</v>
      </c>
    </row>
    <row r="2886" hidden="1">
      <c r="A2886" s="160" t="s">
        <v>235</v>
      </c>
      <c r="B2886" s="72"/>
      <c r="C2886" s="118" t="s">
        <v>236</v>
      </c>
      <c r="D2886" s="152" t="s">
        <v>3391</v>
      </c>
      <c r="E2886" s="152" t="s">
        <v>3544</v>
      </c>
      <c r="F2886" s="152" t="s">
        <v>405</v>
      </c>
      <c r="G2886" s="152" t="s">
        <v>3408</v>
      </c>
      <c r="H2886" s="153" t="s">
        <v>210</v>
      </c>
    </row>
    <row r="2887" hidden="1">
      <c r="A2887" s="158" t="s">
        <v>235</v>
      </c>
      <c r="B2887" s="159"/>
      <c r="C2887" s="155" t="s">
        <v>236</v>
      </c>
      <c r="D2887" s="156" t="s">
        <v>3391</v>
      </c>
      <c r="E2887" s="156" t="s">
        <v>3545</v>
      </c>
      <c r="F2887" s="156" t="s">
        <v>448</v>
      </c>
      <c r="G2887" s="156" t="s">
        <v>3546</v>
      </c>
      <c r="H2887" s="157" t="s">
        <v>211</v>
      </c>
    </row>
    <row r="2888" hidden="1">
      <c r="A2888" s="160" t="s">
        <v>235</v>
      </c>
      <c r="B2888" s="72"/>
      <c r="C2888" s="118" t="s">
        <v>236</v>
      </c>
      <c r="D2888" s="152" t="s">
        <v>3391</v>
      </c>
      <c r="E2888" s="152" t="s">
        <v>3547</v>
      </c>
      <c r="F2888" s="152" t="s">
        <v>405</v>
      </c>
      <c r="G2888" s="152" t="s">
        <v>3402</v>
      </c>
      <c r="H2888" s="153" t="s">
        <v>212</v>
      </c>
    </row>
    <row r="2889" hidden="1">
      <c r="A2889" s="158" t="s">
        <v>235</v>
      </c>
      <c r="B2889" s="159"/>
      <c r="C2889" s="155" t="s">
        <v>236</v>
      </c>
      <c r="D2889" s="156" t="s">
        <v>3391</v>
      </c>
      <c r="E2889" s="156" t="s">
        <v>3548</v>
      </c>
      <c r="F2889" s="156" t="s">
        <v>735</v>
      </c>
      <c r="G2889" s="156" t="s">
        <v>3513</v>
      </c>
      <c r="H2889" s="157" t="s">
        <v>213</v>
      </c>
    </row>
    <row r="2890" hidden="1">
      <c r="A2890" s="160" t="s">
        <v>235</v>
      </c>
      <c r="B2890" s="72"/>
      <c r="C2890" s="118" t="s">
        <v>236</v>
      </c>
      <c r="D2890" s="152" t="s">
        <v>3391</v>
      </c>
      <c r="E2890" s="152" t="s">
        <v>3549</v>
      </c>
      <c r="F2890" s="152" t="s">
        <v>735</v>
      </c>
      <c r="G2890" s="152" t="s">
        <v>3408</v>
      </c>
      <c r="H2890" s="153" t="s">
        <v>214</v>
      </c>
    </row>
    <row r="2891" hidden="1">
      <c r="A2891" s="158" t="s">
        <v>235</v>
      </c>
      <c r="B2891" s="159"/>
      <c r="C2891" s="155" t="s">
        <v>236</v>
      </c>
      <c r="D2891" s="156" t="s">
        <v>3391</v>
      </c>
      <c r="E2891" s="156" t="s">
        <v>3550</v>
      </c>
      <c r="F2891" s="156" t="s">
        <v>735</v>
      </c>
      <c r="G2891" s="156" t="s">
        <v>3443</v>
      </c>
      <c r="H2891" s="157" t="s">
        <v>215</v>
      </c>
    </row>
    <row r="2892" hidden="1">
      <c r="A2892" s="160" t="s">
        <v>235</v>
      </c>
      <c r="B2892" s="72"/>
      <c r="C2892" s="118" t="s">
        <v>236</v>
      </c>
      <c r="D2892" s="152" t="s">
        <v>3391</v>
      </c>
      <c r="E2892" s="152" t="s">
        <v>3551</v>
      </c>
      <c r="F2892" s="152" t="s">
        <v>673</v>
      </c>
      <c r="G2892" s="152" t="s">
        <v>3394</v>
      </c>
      <c r="H2892" s="153" t="s">
        <v>216</v>
      </c>
    </row>
    <row r="2893" hidden="1">
      <c r="A2893" s="158" t="s">
        <v>237</v>
      </c>
      <c r="B2893" s="159"/>
      <c r="C2893" s="155" t="s">
        <v>236</v>
      </c>
      <c r="D2893" s="156" t="s">
        <v>3391</v>
      </c>
      <c r="E2893" s="156" t="s">
        <v>3552</v>
      </c>
      <c r="F2893" s="156" t="s">
        <v>329</v>
      </c>
      <c r="G2893" s="156" t="s">
        <v>2113</v>
      </c>
      <c r="H2893" s="157" t="s">
        <v>210</v>
      </c>
    </row>
    <row r="2894" hidden="1">
      <c r="A2894" s="160" t="s">
        <v>237</v>
      </c>
      <c r="B2894" s="72"/>
      <c r="C2894" s="118" t="s">
        <v>236</v>
      </c>
      <c r="D2894" s="152" t="s">
        <v>3391</v>
      </c>
      <c r="E2894" s="152" t="s">
        <v>3553</v>
      </c>
      <c r="F2894" s="152" t="s">
        <v>453</v>
      </c>
      <c r="G2894" s="152" t="s">
        <v>3554</v>
      </c>
      <c r="H2894" s="153" t="s">
        <v>211</v>
      </c>
    </row>
    <row r="2895" hidden="1">
      <c r="A2895" s="158" t="s">
        <v>237</v>
      </c>
      <c r="B2895" s="159"/>
      <c r="C2895" s="155" t="s">
        <v>236</v>
      </c>
      <c r="D2895" s="156" t="s">
        <v>3391</v>
      </c>
      <c r="E2895" s="156" t="s">
        <v>3555</v>
      </c>
      <c r="F2895" s="156" t="s">
        <v>285</v>
      </c>
      <c r="G2895" s="156" t="s">
        <v>3059</v>
      </c>
      <c r="H2895" s="157" t="s">
        <v>212</v>
      </c>
    </row>
    <row r="2896" hidden="1">
      <c r="A2896" s="160" t="s">
        <v>237</v>
      </c>
      <c r="B2896" s="72"/>
      <c r="C2896" s="118" t="s">
        <v>236</v>
      </c>
      <c r="D2896" s="152" t="s">
        <v>3391</v>
      </c>
      <c r="E2896" s="152" t="s">
        <v>3556</v>
      </c>
      <c r="F2896" s="152" t="s">
        <v>425</v>
      </c>
      <c r="G2896" s="152" t="s">
        <v>2346</v>
      </c>
      <c r="H2896" s="153" t="s">
        <v>213</v>
      </c>
    </row>
    <row r="2897" hidden="1">
      <c r="A2897" s="158" t="s">
        <v>237</v>
      </c>
      <c r="B2897" s="159"/>
      <c r="C2897" s="155" t="s">
        <v>236</v>
      </c>
      <c r="D2897" s="156" t="s">
        <v>3391</v>
      </c>
      <c r="E2897" s="156" t="s">
        <v>3557</v>
      </c>
      <c r="F2897" s="156" t="s">
        <v>1530</v>
      </c>
      <c r="G2897" s="156" t="s">
        <v>3558</v>
      </c>
      <c r="H2897" s="157" t="s">
        <v>214</v>
      </c>
    </row>
    <row r="2898" hidden="1">
      <c r="A2898" s="160" t="s">
        <v>237</v>
      </c>
      <c r="B2898" s="72"/>
      <c r="C2898" s="118" t="s">
        <v>236</v>
      </c>
      <c r="D2898" s="152" t="s">
        <v>3391</v>
      </c>
      <c r="E2898" s="152" t="s">
        <v>3559</v>
      </c>
      <c r="F2898" s="152" t="s">
        <v>3218</v>
      </c>
      <c r="G2898" s="152" t="s">
        <v>2661</v>
      </c>
      <c r="H2898" s="153" t="s">
        <v>215</v>
      </c>
    </row>
    <row r="2899" hidden="1">
      <c r="A2899" s="158" t="s">
        <v>237</v>
      </c>
      <c r="B2899" s="159"/>
      <c r="C2899" s="155" t="s">
        <v>236</v>
      </c>
      <c r="D2899" s="156" t="s">
        <v>3391</v>
      </c>
      <c r="E2899" s="156" t="s">
        <v>3560</v>
      </c>
      <c r="F2899" s="156" t="s">
        <v>478</v>
      </c>
      <c r="G2899" s="156" t="s">
        <v>2285</v>
      </c>
      <c r="H2899" s="157" t="s">
        <v>216</v>
      </c>
    </row>
    <row r="2900" hidden="1">
      <c r="A2900" s="151" t="s">
        <v>204</v>
      </c>
      <c r="B2900" s="118" t="s">
        <v>205</v>
      </c>
      <c r="C2900" s="118" t="s">
        <v>206</v>
      </c>
      <c r="D2900" s="152" t="s">
        <v>3561</v>
      </c>
      <c r="E2900" s="152" t="s">
        <v>3562</v>
      </c>
      <c r="F2900" s="152" t="s">
        <v>290</v>
      </c>
      <c r="G2900" s="152" t="s">
        <v>2006</v>
      </c>
      <c r="H2900" s="153" t="s">
        <v>210</v>
      </c>
    </row>
    <row r="2901" hidden="1">
      <c r="A2901" s="154" t="s">
        <v>204</v>
      </c>
      <c r="B2901" s="155" t="s">
        <v>205</v>
      </c>
      <c r="C2901" s="155" t="s">
        <v>206</v>
      </c>
      <c r="D2901" s="156" t="s">
        <v>3561</v>
      </c>
      <c r="E2901" s="156" t="s">
        <v>3563</v>
      </c>
      <c r="F2901" s="156" t="s">
        <v>351</v>
      </c>
      <c r="G2901" s="156" t="s">
        <v>1791</v>
      </c>
      <c r="H2901" s="157" t="s">
        <v>211</v>
      </c>
    </row>
    <row r="2902" hidden="1">
      <c r="A2902" s="151" t="s">
        <v>204</v>
      </c>
      <c r="B2902" s="118" t="s">
        <v>205</v>
      </c>
      <c r="C2902" s="118" t="s">
        <v>206</v>
      </c>
      <c r="D2902" s="152" t="s">
        <v>3561</v>
      </c>
      <c r="E2902" s="152" t="s">
        <v>3564</v>
      </c>
      <c r="F2902" s="152" t="s">
        <v>534</v>
      </c>
      <c r="G2902" s="152" t="s">
        <v>2177</v>
      </c>
      <c r="H2902" s="153" t="s">
        <v>212</v>
      </c>
    </row>
    <row r="2903" hidden="1">
      <c r="A2903" s="154" t="s">
        <v>204</v>
      </c>
      <c r="B2903" s="155" t="s">
        <v>205</v>
      </c>
      <c r="C2903" s="155" t="s">
        <v>206</v>
      </c>
      <c r="D2903" s="156" t="s">
        <v>3561</v>
      </c>
      <c r="E2903" s="156" t="s">
        <v>3565</v>
      </c>
      <c r="F2903" s="156" t="s">
        <v>351</v>
      </c>
      <c r="G2903" s="156" t="s">
        <v>3475</v>
      </c>
      <c r="H2903" s="157" t="s">
        <v>213</v>
      </c>
    </row>
    <row r="2904" hidden="1">
      <c r="A2904" s="151" t="s">
        <v>204</v>
      </c>
      <c r="B2904" s="118" t="s">
        <v>205</v>
      </c>
      <c r="C2904" s="118" t="s">
        <v>206</v>
      </c>
      <c r="D2904" s="152" t="s">
        <v>3561</v>
      </c>
      <c r="E2904" s="152" t="s">
        <v>3566</v>
      </c>
      <c r="F2904" s="152" t="s">
        <v>450</v>
      </c>
      <c r="G2904" s="152" t="s">
        <v>3449</v>
      </c>
      <c r="H2904" s="153" t="s">
        <v>214</v>
      </c>
    </row>
    <row r="2905" hidden="1">
      <c r="A2905" s="154" t="s">
        <v>204</v>
      </c>
      <c r="B2905" s="155" t="s">
        <v>205</v>
      </c>
      <c r="C2905" s="155" t="s">
        <v>206</v>
      </c>
      <c r="D2905" s="156" t="s">
        <v>3561</v>
      </c>
      <c r="E2905" s="156" t="s">
        <v>3567</v>
      </c>
      <c r="F2905" s="156" t="s">
        <v>799</v>
      </c>
      <c r="G2905" s="156" t="s">
        <v>2181</v>
      </c>
      <c r="H2905" s="157" t="s">
        <v>215</v>
      </c>
    </row>
    <row r="2906" hidden="1">
      <c r="A2906" s="151" t="s">
        <v>204</v>
      </c>
      <c r="B2906" s="118" t="s">
        <v>205</v>
      </c>
      <c r="C2906" s="118" t="s">
        <v>206</v>
      </c>
      <c r="D2906" s="152" t="s">
        <v>3561</v>
      </c>
      <c r="E2906" s="152" t="s">
        <v>3568</v>
      </c>
      <c r="F2906" s="152" t="s">
        <v>305</v>
      </c>
      <c r="G2906" s="152" t="s">
        <v>2826</v>
      </c>
      <c r="H2906" s="153" t="s">
        <v>216</v>
      </c>
    </row>
    <row r="2907" hidden="1">
      <c r="A2907" s="154" t="s">
        <v>217</v>
      </c>
      <c r="B2907" s="155" t="s">
        <v>191</v>
      </c>
      <c r="C2907" s="155" t="s">
        <v>206</v>
      </c>
      <c r="D2907" s="156" t="s">
        <v>3561</v>
      </c>
      <c r="E2907" s="156" t="s">
        <v>3569</v>
      </c>
      <c r="F2907" s="156" t="s">
        <v>310</v>
      </c>
      <c r="G2907" s="156" t="s">
        <v>3570</v>
      </c>
      <c r="H2907" s="157" t="s">
        <v>210</v>
      </c>
    </row>
    <row r="2908" hidden="1">
      <c r="A2908" s="151" t="s">
        <v>217</v>
      </c>
      <c r="B2908" s="118" t="s">
        <v>191</v>
      </c>
      <c r="C2908" s="118" t="s">
        <v>206</v>
      </c>
      <c r="D2908" s="152" t="s">
        <v>3561</v>
      </c>
      <c r="E2908" s="152" t="s">
        <v>3571</v>
      </c>
      <c r="F2908" s="152" t="s">
        <v>450</v>
      </c>
      <c r="G2908" s="152" t="s">
        <v>3572</v>
      </c>
      <c r="H2908" s="153" t="s">
        <v>211</v>
      </c>
    </row>
    <row r="2909" hidden="1">
      <c r="A2909" s="154" t="s">
        <v>217</v>
      </c>
      <c r="B2909" s="155" t="s">
        <v>191</v>
      </c>
      <c r="C2909" s="155" t="s">
        <v>206</v>
      </c>
      <c r="D2909" s="156" t="s">
        <v>3561</v>
      </c>
      <c r="E2909" s="156" t="s">
        <v>3573</v>
      </c>
      <c r="F2909" s="156" t="s">
        <v>310</v>
      </c>
      <c r="G2909" s="156" t="s">
        <v>3574</v>
      </c>
      <c r="H2909" s="157" t="s">
        <v>212</v>
      </c>
    </row>
    <row r="2910" hidden="1">
      <c r="A2910" s="151" t="s">
        <v>217</v>
      </c>
      <c r="B2910" s="118" t="s">
        <v>191</v>
      </c>
      <c r="C2910" s="118" t="s">
        <v>206</v>
      </c>
      <c r="D2910" s="152" t="s">
        <v>3561</v>
      </c>
      <c r="E2910" s="152" t="s">
        <v>3575</v>
      </c>
      <c r="F2910" s="152" t="s">
        <v>290</v>
      </c>
      <c r="G2910" s="152" t="s">
        <v>2665</v>
      </c>
      <c r="H2910" s="153" t="s">
        <v>213</v>
      </c>
    </row>
    <row r="2911" hidden="1">
      <c r="A2911" s="154" t="s">
        <v>217</v>
      </c>
      <c r="B2911" s="155" t="s">
        <v>191</v>
      </c>
      <c r="C2911" s="155" t="s">
        <v>206</v>
      </c>
      <c r="D2911" s="156" t="s">
        <v>3561</v>
      </c>
      <c r="E2911" s="156" t="s">
        <v>3576</v>
      </c>
      <c r="F2911" s="156" t="s">
        <v>305</v>
      </c>
      <c r="G2911" s="156" t="s">
        <v>2348</v>
      </c>
      <c r="H2911" s="157" t="s">
        <v>214</v>
      </c>
    </row>
    <row r="2912" hidden="1">
      <c r="A2912" s="151" t="s">
        <v>217</v>
      </c>
      <c r="B2912" s="118" t="s">
        <v>191</v>
      </c>
      <c r="C2912" s="118" t="s">
        <v>206</v>
      </c>
      <c r="D2912" s="152" t="s">
        <v>3561</v>
      </c>
      <c r="E2912" s="152" t="s">
        <v>3577</v>
      </c>
      <c r="F2912" s="152" t="s">
        <v>423</v>
      </c>
      <c r="G2912" s="152" t="s">
        <v>3449</v>
      </c>
      <c r="H2912" s="153" t="s">
        <v>215</v>
      </c>
    </row>
    <row r="2913" hidden="1">
      <c r="A2913" s="154" t="s">
        <v>217</v>
      </c>
      <c r="B2913" s="155" t="s">
        <v>191</v>
      </c>
      <c r="C2913" s="155" t="s">
        <v>206</v>
      </c>
      <c r="D2913" s="156" t="s">
        <v>3561</v>
      </c>
      <c r="E2913" s="156" t="s">
        <v>3578</v>
      </c>
      <c r="F2913" s="156" t="s">
        <v>339</v>
      </c>
      <c r="G2913" s="156" t="s">
        <v>2510</v>
      </c>
      <c r="H2913" s="157" t="s">
        <v>216</v>
      </c>
    </row>
    <row r="2914" hidden="1">
      <c r="A2914" s="151" t="s">
        <v>218</v>
      </c>
      <c r="B2914" s="118" t="s">
        <v>219</v>
      </c>
      <c r="C2914" s="118" t="s">
        <v>206</v>
      </c>
      <c r="D2914" s="152" t="s">
        <v>3561</v>
      </c>
      <c r="E2914" s="152" t="s">
        <v>3579</v>
      </c>
      <c r="F2914" s="152" t="s">
        <v>677</v>
      </c>
      <c r="G2914" s="152" t="s">
        <v>2686</v>
      </c>
      <c r="H2914" s="153" t="s">
        <v>210</v>
      </c>
    </row>
    <row r="2915" hidden="1">
      <c r="A2915" s="154" t="s">
        <v>218</v>
      </c>
      <c r="B2915" s="155" t="s">
        <v>219</v>
      </c>
      <c r="C2915" s="155" t="s">
        <v>206</v>
      </c>
      <c r="D2915" s="156" t="s">
        <v>3561</v>
      </c>
      <c r="E2915" s="156" t="s">
        <v>3580</v>
      </c>
      <c r="F2915" s="156" t="s">
        <v>799</v>
      </c>
      <c r="G2915" s="156" t="s">
        <v>635</v>
      </c>
      <c r="H2915" s="157" t="s">
        <v>211</v>
      </c>
    </row>
    <row r="2916" hidden="1">
      <c r="A2916" s="151" t="s">
        <v>218</v>
      </c>
      <c r="B2916" s="118" t="s">
        <v>219</v>
      </c>
      <c r="C2916" s="118" t="s">
        <v>206</v>
      </c>
      <c r="D2916" s="152" t="s">
        <v>3561</v>
      </c>
      <c r="E2916" s="152" t="s">
        <v>3581</v>
      </c>
      <c r="F2916" s="152" t="s">
        <v>483</v>
      </c>
      <c r="G2916" s="152" t="s">
        <v>2379</v>
      </c>
      <c r="H2916" s="153" t="s">
        <v>212</v>
      </c>
    </row>
    <row r="2917" hidden="1">
      <c r="A2917" s="154" t="s">
        <v>218</v>
      </c>
      <c r="B2917" s="155" t="s">
        <v>219</v>
      </c>
      <c r="C2917" s="155" t="s">
        <v>206</v>
      </c>
      <c r="D2917" s="156" t="s">
        <v>3561</v>
      </c>
      <c r="E2917" s="156" t="s">
        <v>3582</v>
      </c>
      <c r="F2917" s="156" t="s">
        <v>718</v>
      </c>
      <c r="G2917" s="156" t="s">
        <v>2785</v>
      </c>
      <c r="H2917" s="157" t="s">
        <v>213</v>
      </c>
    </row>
    <row r="2918" hidden="1">
      <c r="A2918" s="151" t="s">
        <v>218</v>
      </c>
      <c r="B2918" s="118" t="s">
        <v>219</v>
      </c>
      <c r="C2918" s="118" t="s">
        <v>206</v>
      </c>
      <c r="D2918" s="152" t="s">
        <v>3561</v>
      </c>
      <c r="E2918" s="152" t="s">
        <v>3583</v>
      </c>
      <c r="F2918" s="152" t="s">
        <v>478</v>
      </c>
      <c r="G2918" s="152" t="s">
        <v>2680</v>
      </c>
      <c r="H2918" s="153" t="s">
        <v>214</v>
      </c>
    </row>
    <row r="2919" hidden="1">
      <c r="A2919" s="154" t="s">
        <v>218</v>
      </c>
      <c r="B2919" s="155" t="s">
        <v>219</v>
      </c>
      <c r="C2919" s="155" t="s">
        <v>206</v>
      </c>
      <c r="D2919" s="156" t="s">
        <v>3561</v>
      </c>
      <c r="E2919" s="156" t="s">
        <v>3584</v>
      </c>
      <c r="F2919" s="156" t="s">
        <v>718</v>
      </c>
      <c r="G2919" s="156" t="s">
        <v>1820</v>
      </c>
      <c r="H2919" s="157" t="s">
        <v>215</v>
      </c>
    </row>
    <row r="2920" hidden="1">
      <c r="A2920" s="151" t="s">
        <v>218</v>
      </c>
      <c r="B2920" s="118" t="s">
        <v>219</v>
      </c>
      <c r="C2920" s="118" t="s">
        <v>206</v>
      </c>
      <c r="D2920" s="152" t="s">
        <v>3561</v>
      </c>
      <c r="E2920" s="152" t="s">
        <v>3585</v>
      </c>
      <c r="F2920" s="152" t="s">
        <v>478</v>
      </c>
      <c r="G2920" s="152" t="s">
        <v>1808</v>
      </c>
      <c r="H2920" s="153" t="s">
        <v>216</v>
      </c>
    </row>
    <row r="2921" hidden="1">
      <c r="A2921" s="154" t="s">
        <v>220</v>
      </c>
      <c r="B2921" s="155" t="s">
        <v>190</v>
      </c>
      <c r="C2921" s="155" t="s">
        <v>206</v>
      </c>
      <c r="D2921" s="156" t="s">
        <v>3561</v>
      </c>
      <c r="E2921" s="156" t="s">
        <v>3586</v>
      </c>
      <c r="F2921" s="156" t="s">
        <v>244</v>
      </c>
      <c r="G2921" s="156" t="s">
        <v>3587</v>
      </c>
      <c r="H2921" s="157" t="s">
        <v>210</v>
      </c>
    </row>
    <row r="2922" hidden="1">
      <c r="A2922" s="151" t="s">
        <v>220</v>
      </c>
      <c r="B2922" s="118" t="s">
        <v>190</v>
      </c>
      <c r="C2922" s="118" t="s">
        <v>206</v>
      </c>
      <c r="D2922" s="152" t="s">
        <v>3561</v>
      </c>
      <c r="E2922" s="152" t="s">
        <v>3588</v>
      </c>
      <c r="F2922" s="152" t="s">
        <v>308</v>
      </c>
      <c r="G2922" s="152" t="s">
        <v>1816</v>
      </c>
      <c r="H2922" s="153" t="s">
        <v>211</v>
      </c>
    </row>
    <row r="2923" hidden="1">
      <c r="A2923" s="154" t="s">
        <v>220</v>
      </c>
      <c r="B2923" s="155" t="s">
        <v>190</v>
      </c>
      <c r="C2923" s="155" t="s">
        <v>206</v>
      </c>
      <c r="D2923" s="156" t="s">
        <v>3561</v>
      </c>
      <c r="E2923" s="156" t="s">
        <v>3589</v>
      </c>
      <c r="F2923" s="156" t="s">
        <v>269</v>
      </c>
      <c r="G2923" s="156" t="s">
        <v>635</v>
      </c>
      <c r="H2923" s="157" t="s">
        <v>212</v>
      </c>
    </row>
    <row r="2924" hidden="1">
      <c r="A2924" s="151" t="s">
        <v>220</v>
      </c>
      <c r="B2924" s="118" t="s">
        <v>190</v>
      </c>
      <c r="C2924" s="118" t="s">
        <v>206</v>
      </c>
      <c r="D2924" s="152" t="s">
        <v>3561</v>
      </c>
      <c r="E2924" s="152" t="s">
        <v>3590</v>
      </c>
      <c r="F2924" s="152" t="s">
        <v>331</v>
      </c>
      <c r="G2924" s="152" t="s">
        <v>1841</v>
      </c>
      <c r="H2924" s="153" t="s">
        <v>213</v>
      </c>
    </row>
    <row r="2925" hidden="1">
      <c r="A2925" s="154" t="s">
        <v>220</v>
      </c>
      <c r="B2925" s="155" t="s">
        <v>190</v>
      </c>
      <c r="C2925" s="155" t="s">
        <v>206</v>
      </c>
      <c r="D2925" s="156" t="s">
        <v>3561</v>
      </c>
      <c r="E2925" s="156" t="s">
        <v>3591</v>
      </c>
      <c r="F2925" s="156" t="s">
        <v>329</v>
      </c>
      <c r="G2925" s="156" t="s">
        <v>1942</v>
      </c>
      <c r="H2925" s="157" t="s">
        <v>214</v>
      </c>
    </row>
    <row r="2926" hidden="1">
      <c r="A2926" s="151" t="s">
        <v>220</v>
      </c>
      <c r="B2926" s="118" t="s">
        <v>190</v>
      </c>
      <c r="C2926" s="118" t="s">
        <v>206</v>
      </c>
      <c r="D2926" s="152" t="s">
        <v>3561</v>
      </c>
      <c r="E2926" s="152" t="s">
        <v>3592</v>
      </c>
      <c r="F2926" s="152" t="s">
        <v>354</v>
      </c>
      <c r="G2926" s="152" t="s">
        <v>1856</v>
      </c>
      <c r="H2926" s="153" t="s">
        <v>215</v>
      </c>
    </row>
    <row r="2927" hidden="1">
      <c r="A2927" s="154" t="s">
        <v>220</v>
      </c>
      <c r="B2927" s="155" t="s">
        <v>190</v>
      </c>
      <c r="C2927" s="155" t="s">
        <v>206</v>
      </c>
      <c r="D2927" s="156" t="s">
        <v>3561</v>
      </c>
      <c r="E2927" s="156" t="s">
        <v>3593</v>
      </c>
      <c r="F2927" s="156" t="s">
        <v>359</v>
      </c>
      <c r="G2927" s="156" t="s">
        <v>3001</v>
      </c>
      <c r="H2927" s="157" t="s">
        <v>216</v>
      </c>
    </row>
    <row r="2928" hidden="1">
      <c r="A2928" s="151" t="s">
        <v>221</v>
      </c>
      <c r="B2928" s="118" t="s">
        <v>189</v>
      </c>
      <c r="C2928" s="118" t="s">
        <v>206</v>
      </c>
      <c r="D2928" s="152" t="s">
        <v>3561</v>
      </c>
      <c r="E2928" s="152" t="s">
        <v>3594</v>
      </c>
      <c r="F2928" s="152" t="s">
        <v>255</v>
      </c>
      <c r="G2928" s="152" t="s">
        <v>3595</v>
      </c>
      <c r="H2928" s="153" t="s">
        <v>210</v>
      </c>
    </row>
    <row r="2929" hidden="1">
      <c r="A2929" s="154" t="s">
        <v>221</v>
      </c>
      <c r="B2929" s="155" t="s">
        <v>189</v>
      </c>
      <c r="C2929" s="155" t="s">
        <v>206</v>
      </c>
      <c r="D2929" s="156" t="s">
        <v>3561</v>
      </c>
      <c r="E2929" s="156" t="s">
        <v>3596</v>
      </c>
      <c r="F2929" s="156" t="s">
        <v>305</v>
      </c>
      <c r="G2929" s="156" t="s">
        <v>3597</v>
      </c>
      <c r="H2929" s="157" t="s">
        <v>211</v>
      </c>
    </row>
    <row r="2930" hidden="1">
      <c r="A2930" s="151" t="s">
        <v>221</v>
      </c>
      <c r="B2930" s="118" t="s">
        <v>189</v>
      </c>
      <c r="C2930" s="118" t="s">
        <v>206</v>
      </c>
      <c r="D2930" s="152" t="s">
        <v>3561</v>
      </c>
      <c r="E2930" s="152" t="s">
        <v>3598</v>
      </c>
      <c r="F2930" s="152" t="s">
        <v>301</v>
      </c>
      <c r="G2930" s="152" t="s">
        <v>3599</v>
      </c>
      <c r="H2930" s="153" t="s">
        <v>212</v>
      </c>
    </row>
    <row r="2931" hidden="1">
      <c r="A2931" s="154" t="s">
        <v>221</v>
      </c>
      <c r="B2931" s="155" t="s">
        <v>189</v>
      </c>
      <c r="C2931" s="155" t="s">
        <v>206</v>
      </c>
      <c r="D2931" s="156" t="s">
        <v>3561</v>
      </c>
      <c r="E2931" s="156" t="s">
        <v>3600</v>
      </c>
      <c r="F2931" s="156" t="s">
        <v>321</v>
      </c>
      <c r="G2931" s="156" t="s">
        <v>3601</v>
      </c>
      <c r="H2931" s="157" t="s">
        <v>213</v>
      </c>
    </row>
    <row r="2932" hidden="1">
      <c r="A2932" s="151" t="s">
        <v>221</v>
      </c>
      <c r="B2932" s="118" t="s">
        <v>189</v>
      </c>
      <c r="C2932" s="118" t="s">
        <v>206</v>
      </c>
      <c r="D2932" s="152" t="s">
        <v>3561</v>
      </c>
      <c r="E2932" s="152" t="s">
        <v>3602</v>
      </c>
      <c r="F2932" s="152" t="s">
        <v>339</v>
      </c>
      <c r="G2932" s="152" t="s">
        <v>3603</v>
      </c>
      <c r="H2932" s="153" t="s">
        <v>214</v>
      </c>
    </row>
    <row r="2933" hidden="1">
      <c r="A2933" s="154" t="s">
        <v>221</v>
      </c>
      <c r="B2933" s="155" t="s">
        <v>189</v>
      </c>
      <c r="C2933" s="155" t="s">
        <v>206</v>
      </c>
      <c r="D2933" s="156" t="s">
        <v>3561</v>
      </c>
      <c r="E2933" s="156" t="s">
        <v>3604</v>
      </c>
      <c r="F2933" s="156" t="s">
        <v>577</v>
      </c>
      <c r="G2933" s="156" t="s">
        <v>3605</v>
      </c>
      <c r="H2933" s="157" t="s">
        <v>215</v>
      </c>
    </row>
    <row r="2934" hidden="1">
      <c r="A2934" s="151" t="s">
        <v>221</v>
      </c>
      <c r="B2934" s="118" t="s">
        <v>189</v>
      </c>
      <c r="C2934" s="118" t="s">
        <v>206</v>
      </c>
      <c r="D2934" s="152" t="s">
        <v>3561</v>
      </c>
      <c r="E2934" s="152" t="s">
        <v>3606</v>
      </c>
      <c r="F2934" s="152" t="s">
        <v>323</v>
      </c>
      <c r="G2934" s="152" t="s">
        <v>3607</v>
      </c>
      <c r="H2934" s="153" t="s">
        <v>216</v>
      </c>
    </row>
    <row r="2935" hidden="1">
      <c r="A2935" s="154" t="s">
        <v>222</v>
      </c>
      <c r="B2935" s="155" t="s">
        <v>192</v>
      </c>
      <c r="C2935" s="155" t="s">
        <v>206</v>
      </c>
      <c r="D2935" s="156" t="s">
        <v>3561</v>
      </c>
      <c r="E2935" s="156" t="s">
        <v>3608</v>
      </c>
      <c r="F2935" s="156" t="s">
        <v>336</v>
      </c>
      <c r="G2935" s="156" t="s">
        <v>1995</v>
      </c>
      <c r="H2935" s="157" t="s">
        <v>210</v>
      </c>
    </row>
    <row r="2936" hidden="1">
      <c r="A2936" s="151" t="s">
        <v>222</v>
      </c>
      <c r="B2936" s="118" t="s">
        <v>192</v>
      </c>
      <c r="C2936" s="118" t="s">
        <v>206</v>
      </c>
      <c r="D2936" s="152" t="s">
        <v>3561</v>
      </c>
      <c r="E2936" s="152" t="s">
        <v>3609</v>
      </c>
      <c r="F2936" s="152" t="s">
        <v>351</v>
      </c>
      <c r="G2936" s="152" t="s">
        <v>3205</v>
      </c>
      <c r="H2936" s="153" t="s">
        <v>211</v>
      </c>
    </row>
    <row r="2937" hidden="1">
      <c r="A2937" s="154" t="s">
        <v>222</v>
      </c>
      <c r="B2937" s="155" t="s">
        <v>192</v>
      </c>
      <c r="C2937" s="155" t="s">
        <v>206</v>
      </c>
      <c r="D2937" s="156" t="s">
        <v>3561</v>
      </c>
      <c r="E2937" s="156" t="s">
        <v>3610</v>
      </c>
      <c r="F2937" s="156" t="s">
        <v>483</v>
      </c>
      <c r="G2937" s="156" t="s">
        <v>3611</v>
      </c>
      <c r="H2937" s="157" t="s">
        <v>212</v>
      </c>
    </row>
    <row r="2938" hidden="1">
      <c r="A2938" s="151" t="s">
        <v>222</v>
      </c>
      <c r="B2938" s="118" t="s">
        <v>192</v>
      </c>
      <c r="C2938" s="118" t="s">
        <v>206</v>
      </c>
      <c r="D2938" s="152" t="s">
        <v>3561</v>
      </c>
      <c r="E2938" s="152" t="s">
        <v>3612</v>
      </c>
      <c r="F2938" s="152" t="s">
        <v>310</v>
      </c>
      <c r="G2938" s="152" t="s">
        <v>3613</v>
      </c>
      <c r="H2938" s="153" t="s">
        <v>213</v>
      </c>
    </row>
    <row r="2939" hidden="1">
      <c r="A2939" s="154" t="s">
        <v>222</v>
      </c>
      <c r="B2939" s="155" t="s">
        <v>192</v>
      </c>
      <c r="C2939" s="155" t="s">
        <v>206</v>
      </c>
      <c r="D2939" s="156" t="s">
        <v>3561</v>
      </c>
      <c r="E2939" s="156" t="s">
        <v>3614</v>
      </c>
      <c r="F2939" s="156" t="s">
        <v>450</v>
      </c>
      <c r="G2939" s="156" t="s">
        <v>3270</v>
      </c>
      <c r="H2939" s="157" t="s">
        <v>214</v>
      </c>
    </row>
    <row r="2940" hidden="1">
      <c r="A2940" s="151" t="s">
        <v>222</v>
      </c>
      <c r="B2940" s="118" t="s">
        <v>192</v>
      </c>
      <c r="C2940" s="118" t="s">
        <v>206</v>
      </c>
      <c r="D2940" s="152" t="s">
        <v>3561</v>
      </c>
      <c r="E2940" s="152" t="s">
        <v>3615</v>
      </c>
      <c r="F2940" s="152" t="s">
        <v>577</v>
      </c>
      <c r="G2940" s="152" t="s">
        <v>3616</v>
      </c>
      <c r="H2940" s="153" t="s">
        <v>215</v>
      </c>
    </row>
    <row r="2941" hidden="1">
      <c r="A2941" s="154" t="s">
        <v>222</v>
      </c>
      <c r="B2941" s="155" t="s">
        <v>192</v>
      </c>
      <c r="C2941" s="155" t="s">
        <v>206</v>
      </c>
      <c r="D2941" s="156" t="s">
        <v>3561</v>
      </c>
      <c r="E2941" s="156" t="s">
        <v>3617</v>
      </c>
      <c r="F2941" s="156" t="s">
        <v>336</v>
      </c>
      <c r="G2941" s="156" t="s">
        <v>3618</v>
      </c>
      <c r="H2941" s="157" t="s">
        <v>216</v>
      </c>
    </row>
    <row r="2942" hidden="1">
      <c r="A2942" s="151" t="s">
        <v>223</v>
      </c>
      <c r="B2942" s="118" t="s">
        <v>144</v>
      </c>
      <c r="C2942" s="118" t="s">
        <v>206</v>
      </c>
      <c r="D2942" s="152" t="s">
        <v>3561</v>
      </c>
      <c r="E2942" s="152" t="s">
        <v>3619</v>
      </c>
      <c r="F2942" s="152" t="s">
        <v>339</v>
      </c>
      <c r="G2942" s="152" t="s">
        <v>3620</v>
      </c>
      <c r="H2942" s="153" t="s">
        <v>210</v>
      </c>
    </row>
    <row r="2943" hidden="1">
      <c r="A2943" s="154" t="s">
        <v>223</v>
      </c>
      <c r="B2943" s="155" t="s">
        <v>144</v>
      </c>
      <c r="C2943" s="155" t="s">
        <v>206</v>
      </c>
      <c r="D2943" s="156" t="s">
        <v>3561</v>
      </c>
      <c r="E2943" s="156" t="s">
        <v>3621</v>
      </c>
      <c r="F2943" s="156" t="s">
        <v>766</v>
      </c>
      <c r="G2943" s="156" t="s">
        <v>3394</v>
      </c>
      <c r="H2943" s="157" t="s">
        <v>211</v>
      </c>
    </row>
    <row r="2944" hidden="1">
      <c r="A2944" s="151" t="s">
        <v>223</v>
      </c>
      <c r="B2944" s="118" t="s">
        <v>144</v>
      </c>
      <c r="C2944" s="118" t="s">
        <v>206</v>
      </c>
      <c r="D2944" s="152" t="s">
        <v>3561</v>
      </c>
      <c r="E2944" s="152" t="s">
        <v>3622</v>
      </c>
      <c r="F2944" s="152" t="s">
        <v>2215</v>
      </c>
      <c r="G2944" s="152" t="s">
        <v>2510</v>
      </c>
      <c r="H2944" s="153" t="s">
        <v>212</v>
      </c>
    </row>
    <row r="2945" hidden="1">
      <c r="A2945" s="154" t="s">
        <v>223</v>
      </c>
      <c r="B2945" s="155" t="s">
        <v>144</v>
      </c>
      <c r="C2945" s="155" t="s">
        <v>206</v>
      </c>
      <c r="D2945" s="156" t="s">
        <v>3561</v>
      </c>
      <c r="E2945" s="156" t="s">
        <v>3623</v>
      </c>
      <c r="F2945" s="156" t="s">
        <v>587</v>
      </c>
      <c r="G2945" s="156" t="s">
        <v>2346</v>
      </c>
      <c r="H2945" s="157" t="s">
        <v>213</v>
      </c>
    </row>
    <row r="2946" hidden="1">
      <c r="A2946" s="151" t="s">
        <v>223</v>
      </c>
      <c r="B2946" s="118" t="s">
        <v>144</v>
      </c>
      <c r="C2946" s="118" t="s">
        <v>206</v>
      </c>
      <c r="D2946" s="152" t="s">
        <v>3561</v>
      </c>
      <c r="E2946" s="152" t="s">
        <v>3624</v>
      </c>
      <c r="F2946" s="152" t="s">
        <v>3625</v>
      </c>
      <c r="G2946" s="152" t="s">
        <v>3478</v>
      </c>
      <c r="H2946" s="153" t="s">
        <v>214</v>
      </c>
    </row>
    <row r="2947" hidden="1">
      <c r="A2947" s="154" t="s">
        <v>223</v>
      </c>
      <c r="B2947" s="155" t="s">
        <v>144</v>
      </c>
      <c r="C2947" s="155" t="s">
        <v>206</v>
      </c>
      <c r="D2947" s="156" t="s">
        <v>3561</v>
      </c>
      <c r="E2947" s="156" t="s">
        <v>3626</v>
      </c>
      <c r="F2947" s="156" t="s">
        <v>3346</v>
      </c>
      <c r="G2947" s="156" t="s">
        <v>3404</v>
      </c>
      <c r="H2947" s="157" t="s">
        <v>215</v>
      </c>
    </row>
    <row r="2948" hidden="1">
      <c r="A2948" s="151" t="s">
        <v>223</v>
      </c>
      <c r="B2948" s="118" t="s">
        <v>144</v>
      </c>
      <c r="C2948" s="118" t="s">
        <v>206</v>
      </c>
      <c r="D2948" s="152" t="s">
        <v>3561</v>
      </c>
      <c r="E2948" s="152" t="s">
        <v>3627</v>
      </c>
      <c r="F2948" s="152" t="s">
        <v>405</v>
      </c>
      <c r="G2948" s="152" t="s">
        <v>3546</v>
      </c>
      <c r="H2948" s="153" t="s">
        <v>216</v>
      </c>
    </row>
    <row r="2949" hidden="1">
      <c r="A2949" s="154" t="s">
        <v>224</v>
      </c>
      <c r="B2949" s="155" t="s">
        <v>170</v>
      </c>
      <c r="C2949" s="155" t="s">
        <v>206</v>
      </c>
      <c r="D2949" s="156" t="s">
        <v>3561</v>
      </c>
      <c r="E2949" s="156" t="s">
        <v>3628</v>
      </c>
      <c r="F2949" s="156" t="s">
        <v>534</v>
      </c>
      <c r="G2949" s="156" t="s">
        <v>3629</v>
      </c>
      <c r="H2949" s="157" t="s">
        <v>210</v>
      </c>
    </row>
    <row r="2950" hidden="1">
      <c r="A2950" s="151" t="s">
        <v>224</v>
      </c>
      <c r="B2950" s="118" t="s">
        <v>170</v>
      </c>
      <c r="C2950" s="118" t="s">
        <v>206</v>
      </c>
      <c r="D2950" s="152" t="s">
        <v>3561</v>
      </c>
      <c r="E2950" s="152" t="s">
        <v>3630</v>
      </c>
      <c r="F2950" s="152" t="s">
        <v>314</v>
      </c>
      <c r="G2950" s="152" t="s">
        <v>3631</v>
      </c>
      <c r="H2950" s="153" t="s">
        <v>211</v>
      </c>
    </row>
    <row r="2951" hidden="1">
      <c r="A2951" s="154" t="s">
        <v>224</v>
      </c>
      <c r="B2951" s="155" t="s">
        <v>170</v>
      </c>
      <c r="C2951" s="155" t="s">
        <v>206</v>
      </c>
      <c r="D2951" s="156" t="s">
        <v>3561</v>
      </c>
      <c r="E2951" s="156" t="s">
        <v>3632</v>
      </c>
      <c r="F2951" s="156" t="s">
        <v>331</v>
      </c>
      <c r="G2951" s="156" t="s">
        <v>3633</v>
      </c>
      <c r="H2951" s="157" t="s">
        <v>212</v>
      </c>
    </row>
    <row r="2952" hidden="1">
      <c r="A2952" s="151" t="s">
        <v>224</v>
      </c>
      <c r="B2952" s="118" t="s">
        <v>170</v>
      </c>
      <c r="C2952" s="118" t="s">
        <v>206</v>
      </c>
      <c r="D2952" s="152" t="s">
        <v>3561</v>
      </c>
      <c r="E2952" s="152" t="s">
        <v>3634</v>
      </c>
      <c r="F2952" s="152" t="s">
        <v>308</v>
      </c>
      <c r="G2952" s="152" t="s">
        <v>3466</v>
      </c>
      <c r="H2952" s="153" t="s">
        <v>213</v>
      </c>
    </row>
    <row r="2953" hidden="1">
      <c r="A2953" s="154" t="s">
        <v>224</v>
      </c>
      <c r="B2953" s="155" t="s">
        <v>170</v>
      </c>
      <c r="C2953" s="155" t="s">
        <v>206</v>
      </c>
      <c r="D2953" s="156" t="s">
        <v>3561</v>
      </c>
      <c r="E2953" s="156" t="s">
        <v>3635</v>
      </c>
      <c r="F2953" s="156" t="s">
        <v>314</v>
      </c>
      <c r="G2953" s="156" t="s">
        <v>3636</v>
      </c>
      <c r="H2953" s="157" t="s">
        <v>214</v>
      </c>
    </row>
    <row r="2954" hidden="1">
      <c r="A2954" s="151" t="s">
        <v>224</v>
      </c>
      <c r="B2954" s="118" t="s">
        <v>170</v>
      </c>
      <c r="C2954" s="118" t="s">
        <v>206</v>
      </c>
      <c r="D2954" s="152" t="s">
        <v>3561</v>
      </c>
      <c r="E2954" s="152" t="s">
        <v>3637</v>
      </c>
      <c r="F2954" s="152" t="s">
        <v>285</v>
      </c>
      <c r="G2954" s="152" t="s">
        <v>3638</v>
      </c>
      <c r="H2954" s="153" t="s">
        <v>215</v>
      </c>
    </row>
    <row r="2955" hidden="1">
      <c r="A2955" s="154" t="s">
        <v>224</v>
      </c>
      <c r="B2955" s="155" t="s">
        <v>170</v>
      </c>
      <c r="C2955" s="155" t="s">
        <v>206</v>
      </c>
      <c r="D2955" s="156" t="s">
        <v>3561</v>
      </c>
      <c r="E2955" s="156" t="s">
        <v>3639</v>
      </c>
      <c r="F2955" s="156" t="s">
        <v>308</v>
      </c>
      <c r="G2955" s="156" t="s">
        <v>3640</v>
      </c>
      <c r="H2955" s="157" t="s">
        <v>216</v>
      </c>
    </row>
    <row r="2956" hidden="1">
      <c r="A2956" s="151" t="s">
        <v>225</v>
      </c>
      <c r="B2956" s="118" t="s">
        <v>226</v>
      </c>
      <c r="C2956" s="118" t="s">
        <v>206</v>
      </c>
      <c r="D2956" s="152" t="s">
        <v>3561</v>
      </c>
      <c r="E2956" s="152" t="s">
        <v>3641</v>
      </c>
      <c r="F2956" s="152" t="s">
        <v>478</v>
      </c>
      <c r="G2956" s="152" t="s">
        <v>3443</v>
      </c>
      <c r="H2956" s="153" t="s">
        <v>210</v>
      </c>
    </row>
    <row r="2957" hidden="1">
      <c r="A2957" s="154" t="s">
        <v>225</v>
      </c>
      <c r="B2957" s="155" t="s">
        <v>226</v>
      </c>
      <c r="C2957" s="155" t="s">
        <v>206</v>
      </c>
      <c r="D2957" s="156" t="s">
        <v>3561</v>
      </c>
      <c r="E2957" s="156" t="s">
        <v>3642</v>
      </c>
      <c r="F2957" s="156" t="s">
        <v>287</v>
      </c>
      <c r="G2957" s="156" t="s">
        <v>1791</v>
      </c>
      <c r="H2957" s="157" t="s">
        <v>211</v>
      </c>
    </row>
    <row r="2958" hidden="1">
      <c r="A2958" s="151" t="s">
        <v>225</v>
      </c>
      <c r="B2958" s="118" t="s">
        <v>226</v>
      </c>
      <c r="C2958" s="118" t="s">
        <v>206</v>
      </c>
      <c r="D2958" s="152" t="s">
        <v>3561</v>
      </c>
      <c r="E2958" s="152" t="s">
        <v>3643</v>
      </c>
      <c r="F2958" s="152" t="s">
        <v>365</v>
      </c>
      <c r="G2958" s="152" t="s">
        <v>3485</v>
      </c>
      <c r="H2958" s="153" t="s">
        <v>212</v>
      </c>
    </row>
    <row r="2959" hidden="1">
      <c r="A2959" s="154" t="s">
        <v>225</v>
      </c>
      <c r="B2959" s="155" t="s">
        <v>226</v>
      </c>
      <c r="C2959" s="155" t="s">
        <v>206</v>
      </c>
      <c r="D2959" s="156" t="s">
        <v>3561</v>
      </c>
      <c r="E2959" s="156" t="s">
        <v>3644</v>
      </c>
      <c r="F2959" s="156" t="s">
        <v>285</v>
      </c>
      <c r="G2959" s="156" t="s">
        <v>3613</v>
      </c>
      <c r="H2959" s="157" t="s">
        <v>213</v>
      </c>
    </row>
    <row r="2960" hidden="1">
      <c r="A2960" s="151" t="s">
        <v>225</v>
      </c>
      <c r="B2960" s="118" t="s">
        <v>226</v>
      </c>
      <c r="C2960" s="118" t="s">
        <v>206</v>
      </c>
      <c r="D2960" s="152" t="s">
        <v>3561</v>
      </c>
      <c r="E2960" s="152" t="s">
        <v>3645</v>
      </c>
      <c r="F2960" s="152" t="s">
        <v>450</v>
      </c>
      <c r="G2960" s="152" t="s">
        <v>2624</v>
      </c>
      <c r="H2960" s="153" t="s">
        <v>214</v>
      </c>
    </row>
    <row r="2961" hidden="1">
      <c r="A2961" s="154" t="s">
        <v>225</v>
      </c>
      <c r="B2961" s="155" t="s">
        <v>226</v>
      </c>
      <c r="C2961" s="155" t="s">
        <v>206</v>
      </c>
      <c r="D2961" s="156" t="s">
        <v>3561</v>
      </c>
      <c r="E2961" s="156" t="s">
        <v>3646</v>
      </c>
      <c r="F2961" s="156" t="s">
        <v>359</v>
      </c>
      <c r="G2961" s="156" t="s">
        <v>3647</v>
      </c>
      <c r="H2961" s="157" t="s">
        <v>215</v>
      </c>
    </row>
    <row r="2962" hidden="1">
      <c r="A2962" s="151" t="s">
        <v>225</v>
      </c>
      <c r="B2962" s="118" t="s">
        <v>226</v>
      </c>
      <c r="C2962" s="118" t="s">
        <v>206</v>
      </c>
      <c r="D2962" s="152" t="s">
        <v>3561</v>
      </c>
      <c r="E2962" s="152" t="s">
        <v>3648</v>
      </c>
      <c r="F2962" s="152" t="s">
        <v>534</v>
      </c>
      <c r="G2962" s="152" t="s">
        <v>2187</v>
      </c>
      <c r="H2962" s="153" t="s">
        <v>216</v>
      </c>
    </row>
    <row r="2963" hidden="1">
      <c r="A2963" s="154" t="s">
        <v>227</v>
      </c>
      <c r="B2963" s="155" t="s">
        <v>195</v>
      </c>
      <c r="C2963" s="155" t="s">
        <v>206</v>
      </c>
      <c r="D2963" s="156" t="s">
        <v>3561</v>
      </c>
      <c r="E2963" s="156" t="s">
        <v>3649</v>
      </c>
      <c r="F2963" s="156" t="s">
        <v>799</v>
      </c>
      <c r="G2963" s="156" t="s">
        <v>2605</v>
      </c>
      <c r="H2963" s="157" t="s">
        <v>210</v>
      </c>
    </row>
    <row r="2964" hidden="1">
      <c r="A2964" s="151" t="s">
        <v>227</v>
      </c>
      <c r="B2964" s="118" t="s">
        <v>195</v>
      </c>
      <c r="C2964" s="118" t="s">
        <v>206</v>
      </c>
      <c r="D2964" s="152" t="s">
        <v>3561</v>
      </c>
      <c r="E2964" s="152" t="s">
        <v>3650</v>
      </c>
      <c r="F2964" s="152" t="s">
        <v>255</v>
      </c>
      <c r="G2964" s="152" t="s">
        <v>2602</v>
      </c>
      <c r="H2964" s="153" t="s">
        <v>211</v>
      </c>
    </row>
    <row r="2965" hidden="1">
      <c r="A2965" s="154" t="s">
        <v>227</v>
      </c>
      <c r="B2965" s="155" t="s">
        <v>195</v>
      </c>
      <c r="C2965" s="155" t="s">
        <v>206</v>
      </c>
      <c r="D2965" s="156" t="s">
        <v>3561</v>
      </c>
      <c r="E2965" s="156" t="s">
        <v>3651</v>
      </c>
      <c r="F2965" s="156" t="s">
        <v>305</v>
      </c>
      <c r="G2965" s="156" t="s">
        <v>2923</v>
      </c>
      <c r="H2965" s="157" t="s">
        <v>212</v>
      </c>
    </row>
    <row r="2966" hidden="1">
      <c r="A2966" s="151" t="s">
        <v>227</v>
      </c>
      <c r="B2966" s="118" t="s">
        <v>195</v>
      </c>
      <c r="C2966" s="118" t="s">
        <v>206</v>
      </c>
      <c r="D2966" s="152" t="s">
        <v>3561</v>
      </c>
      <c r="E2966" s="152" t="s">
        <v>3652</v>
      </c>
      <c r="F2966" s="152" t="s">
        <v>321</v>
      </c>
      <c r="G2966" s="152" t="s">
        <v>2762</v>
      </c>
      <c r="H2966" s="153" t="s">
        <v>213</v>
      </c>
    </row>
    <row r="2967" hidden="1">
      <c r="A2967" s="154" t="s">
        <v>227</v>
      </c>
      <c r="B2967" s="155" t="s">
        <v>195</v>
      </c>
      <c r="C2967" s="155" t="s">
        <v>206</v>
      </c>
      <c r="D2967" s="156" t="s">
        <v>3561</v>
      </c>
      <c r="E2967" s="156" t="s">
        <v>3653</v>
      </c>
      <c r="F2967" s="156" t="s">
        <v>427</v>
      </c>
      <c r="G2967" s="156" t="s">
        <v>3226</v>
      </c>
      <c r="H2967" s="157" t="s">
        <v>214</v>
      </c>
    </row>
    <row r="2968" hidden="1">
      <c r="A2968" s="151" t="s">
        <v>227</v>
      </c>
      <c r="B2968" s="118" t="s">
        <v>195</v>
      </c>
      <c r="C2968" s="118" t="s">
        <v>206</v>
      </c>
      <c r="D2968" s="152" t="s">
        <v>3561</v>
      </c>
      <c r="E2968" s="152" t="s">
        <v>3654</v>
      </c>
      <c r="F2968" s="152" t="s">
        <v>308</v>
      </c>
      <c r="G2968" s="152" t="s">
        <v>3384</v>
      </c>
      <c r="H2968" s="153" t="s">
        <v>215</v>
      </c>
    </row>
    <row r="2969" hidden="1">
      <c r="A2969" s="154" t="s">
        <v>227</v>
      </c>
      <c r="B2969" s="155" t="s">
        <v>195</v>
      </c>
      <c r="C2969" s="155" t="s">
        <v>206</v>
      </c>
      <c r="D2969" s="156" t="s">
        <v>3561</v>
      </c>
      <c r="E2969" s="156" t="s">
        <v>3655</v>
      </c>
      <c r="F2969" s="156" t="s">
        <v>331</v>
      </c>
      <c r="G2969" s="156" t="s">
        <v>2455</v>
      </c>
      <c r="H2969" s="157" t="s">
        <v>216</v>
      </c>
    </row>
    <row r="2970" hidden="1">
      <c r="A2970" s="151" t="s">
        <v>228</v>
      </c>
      <c r="B2970" s="118" t="s">
        <v>138</v>
      </c>
      <c r="C2970" s="118" t="s">
        <v>206</v>
      </c>
      <c r="D2970" s="152" t="s">
        <v>3561</v>
      </c>
      <c r="E2970" s="152" t="s">
        <v>3656</v>
      </c>
      <c r="F2970" s="152" t="s">
        <v>301</v>
      </c>
      <c r="G2970" s="152" t="s">
        <v>2467</v>
      </c>
      <c r="H2970" s="153" t="s">
        <v>210</v>
      </c>
    </row>
    <row r="2971" hidden="1">
      <c r="A2971" s="154" t="s">
        <v>228</v>
      </c>
      <c r="B2971" s="155" t="s">
        <v>138</v>
      </c>
      <c r="C2971" s="155" t="s">
        <v>206</v>
      </c>
      <c r="D2971" s="156" t="s">
        <v>3561</v>
      </c>
      <c r="E2971" s="156" t="s">
        <v>3657</v>
      </c>
      <c r="F2971" s="156" t="s">
        <v>255</v>
      </c>
      <c r="G2971" s="156" t="s">
        <v>2546</v>
      </c>
      <c r="H2971" s="157" t="s">
        <v>211</v>
      </c>
    </row>
    <row r="2972" hidden="1">
      <c r="A2972" s="151" t="s">
        <v>228</v>
      </c>
      <c r="B2972" s="118" t="s">
        <v>138</v>
      </c>
      <c r="C2972" s="118" t="s">
        <v>206</v>
      </c>
      <c r="D2972" s="152" t="s">
        <v>3561</v>
      </c>
      <c r="E2972" s="152" t="s">
        <v>3658</v>
      </c>
      <c r="F2972" s="152" t="s">
        <v>436</v>
      </c>
      <c r="G2972" s="152" t="s">
        <v>2567</v>
      </c>
      <c r="H2972" s="153" t="s">
        <v>212</v>
      </c>
    </row>
    <row r="2973" hidden="1">
      <c r="A2973" s="154" t="s">
        <v>228</v>
      </c>
      <c r="B2973" s="155" t="s">
        <v>138</v>
      </c>
      <c r="C2973" s="155" t="s">
        <v>206</v>
      </c>
      <c r="D2973" s="156" t="s">
        <v>3561</v>
      </c>
      <c r="E2973" s="156" t="s">
        <v>3659</v>
      </c>
      <c r="F2973" s="156" t="s">
        <v>534</v>
      </c>
      <c r="G2973" s="156" t="s">
        <v>3487</v>
      </c>
      <c r="H2973" s="157" t="s">
        <v>213</v>
      </c>
    </row>
    <row r="2974" hidden="1">
      <c r="A2974" s="151" t="s">
        <v>228</v>
      </c>
      <c r="B2974" s="118" t="s">
        <v>138</v>
      </c>
      <c r="C2974" s="118" t="s">
        <v>206</v>
      </c>
      <c r="D2974" s="152" t="s">
        <v>3561</v>
      </c>
      <c r="E2974" s="152" t="s">
        <v>3660</v>
      </c>
      <c r="F2974" s="152" t="s">
        <v>287</v>
      </c>
      <c r="G2974" s="152" t="s">
        <v>2413</v>
      </c>
      <c r="H2974" s="153" t="s">
        <v>214</v>
      </c>
    </row>
    <row r="2975" hidden="1">
      <c r="A2975" s="154" t="s">
        <v>228</v>
      </c>
      <c r="B2975" s="155" t="s">
        <v>138</v>
      </c>
      <c r="C2975" s="155" t="s">
        <v>206</v>
      </c>
      <c r="D2975" s="156" t="s">
        <v>3561</v>
      </c>
      <c r="E2975" s="156" t="s">
        <v>3661</v>
      </c>
      <c r="F2975" s="156" t="s">
        <v>276</v>
      </c>
      <c r="G2975" s="156" t="s">
        <v>2401</v>
      </c>
      <c r="H2975" s="157" t="s">
        <v>215</v>
      </c>
    </row>
    <row r="2976" hidden="1">
      <c r="A2976" s="151" t="s">
        <v>228</v>
      </c>
      <c r="B2976" s="118" t="s">
        <v>138</v>
      </c>
      <c r="C2976" s="118" t="s">
        <v>206</v>
      </c>
      <c r="D2976" s="152" t="s">
        <v>3561</v>
      </c>
      <c r="E2976" s="152" t="s">
        <v>3662</v>
      </c>
      <c r="F2976" s="152" t="s">
        <v>269</v>
      </c>
      <c r="G2976" s="152" t="s">
        <v>2043</v>
      </c>
      <c r="H2976" s="153" t="s">
        <v>216</v>
      </c>
    </row>
    <row r="2977" hidden="1">
      <c r="A2977" s="154" t="s">
        <v>229</v>
      </c>
      <c r="B2977" s="155" t="s">
        <v>193</v>
      </c>
      <c r="C2977" s="155" t="s">
        <v>206</v>
      </c>
      <c r="D2977" s="156" t="s">
        <v>3561</v>
      </c>
      <c r="E2977" s="156" t="s">
        <v>3663</v>
      </c>
      <c r="F2977" s="156" t="s">
        <v>331</v>
      </c>
      <c r="G2977" s="156" t="s">
        <v>2624</v>
      </c>
      <c r="H2977" s="157" t="s">
        <v>210</v>
      </c>
    </row>
    <row r="2978" hidden="1">
      <c r="A2978" s="151" t="s">
        <v>229</v>
      </c>
      <c r="B2978" s="118" t="s">
        <v>193</v>
      </c>
      <c r="C2978" s="118" t="s">
        <v>206</v>
      </c>
      <c r="D2978" s="152" t="s">
        <v>3561</v>
      </c>
      <c r="E2978" s="152" t="s">
        <v>3664</v>
      </c>
      <c r="F2978" s="152" t="s">
        <v>321</v>
      </c>
      <c r="G2978" s="152" t="s">
        <v>2221</v>
      </c>
      <c r="H2978" s="153" t="s">
        <v>211</v>
      </c>
    </row>
    <row r="2979" hidden="1">
      <c r="A2979" s="154" t="s">
        <v>229</v>
      </c>
      <c r="B2979" s="155" t="s">
        <v>193</v>
      </c>
      <c r="C2979" s="155" t="s">
        <v>206</v>
      </c>
      <c r="D2979" s="156" t="s">
        <v>3561</v>
      </c>
      <c r="E2979" s="156" t="s">
        <v>3665</v>
      </c>
      <c r="F2979" s="156" t="s">
        <v>314</v>
      </c>
      <c r="G2979" s="156" t="s">
        <v>2305</v>
      </c>
      <c r="H2979" s="157" t="s">
        <v>212</v>
      </c>
    </row>
    <row r="2980" hidden="1">
      <c r="A2980" s="151" t="s">
        <v>229</v>
      </c>
      <c r="B2980" s="118" t="s">
        <v>193</v>
      </c>
      <c r="C2980" s="118" t="s">
        <v>206</v>
      </c>
      <c r="D2980" s="152" t="s">
        <v>3561</v>
      </c>
      <c r="E2980" s="152" t="s">
        <v>3666</v>
      </c>
      <c r="F2980" s="152" t="s">
        <v>314</v>
      </c>
      <c r="G2980" s="152" t="s">
        <v>1862</v>
      </c>
      <c r="H2980" s="153" t="s">
        <v>213</v>
      </c>
    </row>
    <row r="2981" hidden="1">
      <c r="A2981" s="154" t="s">
        <v>229</v>
      </c>
      <c r="B2981" s="155" t="s">
        <v>193</v>
      </c>
      <c r="C2981" s="155" t="s">
        <v>206</v>
      </c>
      <c r="D2981" s="156" t="s">
        <v>3561</v>
      </c>
      <c r="E2981" s="156" t="s">
        <v>3667</v>
      </c>
      <c r="F2981" s="156" t="s">
        <v>259</v>
      </c>
      <c r="G2981" s="156" t="s">
        <v>3226</v>
      </c>
      <c r="H2981" s="157" t="s">
        <v>214</v>
      </c>
    </row>
    <row r="2982" hidden="1">
      <c r="A2982" s="151" t="s">
        <v>229</v>
      </c>
      <c r="B2982" s="118" t="s">
        <v>193</v>
      </c>
      <c r="C2982" s="118" t="s">
        <v>206</v>
      </c>
      <c r="D2982" s="152" t="s">
        <v>3561</v>
      </c>
      <c r="E2982" s="152" t="s">
        <v>3668</v>
      </c>
      <c r="F2982" s="152" t="s">
        <v>331</v>
      </c>
      <c r="G2982" s="152" t="s">
        <v>2230</v>
      </c>
      <c r="H2982" s="153" t="s">
        <v>215</v>
      </c>
    </row>
    <row r="2983" hidden="1">
      <c r="A2983" s="154" t="s">
        <v>229</v>
      </c>
      <c r="B2983" s="155" t="s">
        <v>193</v>
      </c>
      <c r="C2983" s="155" t="s">
        <v>206</v>
      </c>
      <c r="D2983" s="156" t="s">
        <v>3561</v>
      </c>
      <c r="E2983" s="156" t="s">
        <v>3669</v>
      </c>
      <c r="F2983" s="156" t="s">
        <v>249</v>
      </c>
      <c r="G2983" s="156" t="s">
        <v>2923</v>
      </c>
      <c r="H2983" s="157" t="s">
        <v>216</v>
      </c>
    </row>
    <row r="2984" hidden="1">
      <c r="A2984" s="151" t="s">
        <v>230</v>
      </c>
      <c r="B2984" s="118" t="s">
        <v>194</v>
      </c>
      <c r="C2984" s="118" t="s">
        <v>206</v>
      </c>
      <c r="D2984" s="152" t="s">
        <v>3561</v>
      </c>
      <c r="E2984" s="152" t="s">
        <v>3670</v>
      </c>
      <c r="F2984" s="152" t="s">
        <v>427</v>
      </c>
      <c r="G2984" s="152" t="s">
        <v>2506</v>
      </c>
      <c r="H2984" s="153" t="s">
        <v>210</v>
      </c>
    </row>
    <row r="2985" hidden="1">
      <c r="A2985" s="154" t="s">
        <v>230</v>
      </c>
      <c r="B2985" s="155" t="s">
        <v>194</v>
      </c>
      <c r="C2985" s="155" t="s">
        <v>206</v>
      </c>
      <c r="D2985" s="156" t="s">
        <v>3561</v>
      </c>
      <c r="E2985" s="156" t="s">
        <v>3671</v>
      </c>
      <c r="F2985" s="156" t="s">
        <v>478</v>
      </c>
      <c r="G2985" s="156" t="s">
        <v>3618</v>
      </c>
      <c r="H2985" s="157" t="s">
        <v>211</v>
      </c>
    </row>
    <row r="2986" hidden="1">
      <c r="A2986" s="151" t="s">
        <v>230</v>
      </c>
      <c r="B2986" s="118" t="s">
        <v>194</v>
      </c>
      <c r="C2986" s="118" t="s">
        <v>206</v>
      </c>
      <c r="D2986" s="152" t="s">
        <v>3561</v>
      </c>
      <c r="E2986" s="152" t="s">
        <v>3672</v>
      </c>
      <c r="F2986" s="152" t="s">
        <v>405</v>
      </c>
      <c r="G2986" s="152" t="s">
        <v>2814</v>
      </c>
      <c r="H2986" s="153" t="s">
        <v>212</v>
      </c>
    </row>
    <row r="2987" hidden="1">
      <c r="A2987" s="154" t="s">
        <v>230</v>
      </c>
      <c r="B2987" s="155" t="s">
        <v>194</v>
      </c>
      <c r="C2987" s="155" t="s">
        <v>206</v>
      </c>
      <c r="D2987" s="156" t="s">
        <v>3561</v>
      </c>
      <c r="E2987" s="156" t="s">
        <v>3673</v>
      </c>
      <c r="F2987" s="156" t="s">
        <v>453</v>
      </c>
      <c r="G2987" s="156" t="s">
        <v>3307</v>
      </c>
      <c r="H2987" s="157" t="s">
        <v>213</v>
      </c>
    </row>
    <row r="2988" hidden="1">
      <c r="A2988" s="151" t="s">
        <v>230</v>
      </c>
      <c r="B2988" s="118" t="s">
        <v>194</v>
      </c>
      <c r="C2988" s="118" t="s">
        <v>206</v>
      </c>
      <c r="D2988" s="152" t="s">
        <v>3561</v>
      </c>
      <c r="E2988" s="152" t="s">
        <v>3674</v>
      </c>
      <c r="F2988" s="152" t="s">
        <v>1530</v>
      </c>
      <c r="G2988" s="152" t="s">
        <v>3449</v>
      </c>
      <c r="H2988" s="153" t="s">
        <v>214</v>
      </c>
    </row>
    <row r="2989" hidden="1">
      <c r="A2989" s="154" t="s">
        <v>230</v>
      </c>
      <c r="B2989" s="155" t="s">
        <v>194</v>
      </c>
      <c r="C2989" s="155" t="s">
        <v>206</v>
      </c>
      <c r="D2989" s="156" t="s">
        <v>3561</v>
      </c>
      <c r="E2989" s="156" t="s">
        <v>3675</v>
      </c>
      <c r="F2989" s="156" t="s">
        <v>760</v>
      </c>
      <c r="G2989" s="156" t="s">
        <v>1995</v>
      </c>
      <c r="H2989" s="157" t="s">
        <v>215</v>
      </c>
    </row>
    <row r="2990" hidden="1">
      <c r="A2990" s="151" t="s">
        <v>230</v>
      </c>
      <c r="B2990" s="118" t="s">
        <v>194</v>
      </c>
      <c r="C2990" s="118" t="s">
        <v>206</v>
      </c>
      <c r="D2990" s="152" t="s">
        <v>3561</v>
      </c>
      <c r="E2990" s="152" t="s">
        <v>3676</v>
      </c>
      <c r="F2990" s="152" t="s">
        <v>494</v>
      </c>
      <c r="G2990" s="152" t="s">
        <v>3558</v>
      </c>
      <c r="H2990" s="153" t="s">
        <v>216</v>
      </c>
    </row>
    <row r="2991" hidden="1">
      <c r="A2991" s="158" t="s">
        <v>231</v>
      </c>
      <c r="B2991" s="159"/>
      <c r="C2991" s="155" t="s">
        <v>232</v>
      </c>
      <c r="D2991" s="156" t="s">
        <v>3561</v>
      </c>
      <c r="E2991" s="156" t="s">
        <v>3677</v>
      </c>
      <c r="F2991" s="156" t="s">
        <v>257</v>
      </c>
      <c r="G2991" s="156" t="s">
        <v>2311</v>
      </c>
      <c r="H2991" s="157" t="s">
        <v>210</v>
      </c>
    </row>
    <row r="2992" hidden="1">
      <c r="A2992" s="160" t="s">
        <v>231</v>
      </c>
      <c r="B2992" s="72"/>
      <c r="C2992" s="118" t="s">
        <v>232</v>
      </c>
      <c r="D2992" s="152" t="s">
        <v>3561</v>
      </c>
      <c r="E2992" s="152" t="s">
        <v>3678</v>
      </c>
      <c r="F2992" s="152" t="s">
        <v>577</v>
      </c>
      <c r="G2992" s="152" t="s">
        <v>2045</v>
      </c>
      <c r="H2992" s="153" t="s">
        <v>211</v>
      </c>
    </row>
    <row r="2993" hidden="1">
      <c r="A2993" s="158" t="s">
        <v>231</v>
      </c>
      <c r="B2993" s="159"/>
      <c r="C2993" s="155" t="s">
        <v>232</v>
      </c>
      <c r="D2993" s="156" t="s">
        <v>3561</v>
      </c>
      <c r="E2993" s="156" t="s">
        <v>3679</v>
      </c>
      <c r="F2993" s="156" t="s">
        <v>534</v>
      </c>
      <c r="G2993" s="156" t="s">
        <v>2211</v>
      </c>
      <c r="H2993" s="157" t="s">
        <v>212</v>
      </c>
    </row>
    <row r="2994" hidden="1">
      <c r="A2994" s="160" t="s">
        <v>231</v>
      </c>
      <c r="B2994" s="72"/>
      <c r="C2994" s="118" t="s">
        <v>232</v>
      </c>
      <c r="D2994" s="152" t="s">
        <v>3561</v>
      </c>
      <c r="E2994" s="152" t="s">
        <v>3680</v>
      </c>
      <c r="F2994" s="152" t="s">
        <v>257</v>
      </c>
      <c r="G2994" s="152" t="s">
        <v>2070</v>
      </c>
      <c r="H2994" s="153" t="s">
        <v>213</v>
      </c>
    </row>
    <row r="2995" hidden="1">
      <c r="A2995" s="158" t="s">
        <v>231</v>
      </c>
      <c r="B2995" s="159"/>
      <c r="C2995" s="155" t="s">
        <v>232</v>
      </c>
      <c r="D2995" s="156" t="s">
        <v>3561</v>
      </c>
      <c r="E2995" s="156" t="s">
        <v>3681</v>
      </c>
      <c r="F2995" s="156" t="s">
        <v>312</v>
      </c>
      <c r="G2995" s="156" t="s">
        <v>2311</v>
      </c>
      <c r="H2995" s="157" t="s">
        <v>214</v>
      </c>
    </row>
    <row r="2996" hidden="1">
      <c r="A2996" s="160" t="s">
        <v>231</v>
      </c>
      <c r="B2996" s="72"/>
      <c r="C2996" s="118" t="s">
        <v>232</v>
      </c>
      <c r="D2996" s="152" t="s">
        <v>3561</v>
      </c>
      <c r="E2996" s="152" t="s">
        <v>3682</v>
      </c>
      <c r="F2996" s="152" t="s">
        <v>1532</v>
      </c>
      <c r="G2996" s="152" t="s">
        <v>2309</v>
      </c>
      <c r="H2996" s="153" t="s">
        <v>215</v>
      </c>
    </row>
    <row r="2997" hidden="1">
      <c r="A2997" s="158" t="s">
        <v>231</v>
      </c>
      <c r="B2997" s="159"/>
      <c r="C2997" s="155" t="s">
        <v>232</v>
      </c>
      <c r="D2997" s="156" t="s">
        <v>3561</v>
      </c>
      <c r="E2997" s="156" t="s">
        <v>3683</v>
      </c>
      <c r="F2997" s="156" t="s">
        <v>534</v>
      </c>
      <c r="G2997" s="156" t="s">
        <v>2138</v>
      </c>
      <c r="H2997" s="157" t="s">
        <v>216</v>
      </c>
    </row>
    <row r="2998" hidden="1">
      <c r="A2998" s="160" t="s">
        <v>233</v>
      </c>
      <c r="B2998" s="72"/>
      <c r="C2998" s="118" t="s">
        <v>232</v>
      </c>
      <c r="D2998" s="152" t="s">
        <v>3561</v>
      </c>
      <c r="E2998" s="152" t="s">
        <v>3684</v>
      </c>
      <c r="F2998" s="152" t="s">
        <v>305</v>
      </c>
      <c r="G2998" s="152" t="s">
        <v>3412</v>
      </c>
      <c r="H2998" s="153" t="s">
        <v>210</v>
      </c>
    </row>
    <row r="2999" hidden="1">
      <c r="A2999" s="158" t="s">
        <v>233</v>
      </c>
      <c r="B2999" s="159"/>
      <c r="C2999" s="155" t="s">
        <v>232</v>
      </c>
      <c r="D2999" s="156" t="s">
        <v>3561</v>
      </c>
      <c r="E2999" s="156" t="s">
        <v>3685</v>
      </c>
      <c r="F2999" s="156" t="s">
        <v>305</v>
      </c>
      <c r="G2999" s="156" t="s">
        <v>3400</v>
      </c>
      <c r="H2999" s="157" t="s">
        <v>211</v>
      </c>
    </row>
    <row r="3000" hidden="1">
      <c r="A3000" s="160" t="s">
        <v>233</v>
      </c>
      <c r="B3000" s="72"/>
      <c r="C3000" s="118" t="s">
        <v>232</v>
      </c>
      <c r="D3000" s="152" t="s">
        <v>3561</v>
      </c>
      <c r="E3000" s="152" t="s">
        <v>3686</v>
      </c>
      <c r="F3000" s="152" t="s">
        <v>351</v>
      </c>
      <c r="G3000" s="152" t="s">
        <v>3138</v>
      </c>
      <c r="H3000" s="153" t="s">
        <v>212</v>
      </c>
    </row>
    <row r="3001" hidden="1">
      <c r="A3001" s="158" t="s">
        <v>233</v>
      </c>
      <c r="B3001" s="159"/>
      <c r="C3001" s="155" t="s">
        <v>232</v>
      </c>
      <c r="D3001" s="156" t="s">
        <v>3561</v>
      </c>
      <c r="E3001" s="156" t="s">
        <v>3687</v>
      </c>
      <c r="F3001" s="156" t="s">
        <v>450</v>
      </c>
      <c r="G3001" s="156" t="s">
        <v>3394</v>
      </c>
      <c r="H3001" s="157" t="s">
        <v>213</v>
      </c>
    </row>
    <row r="3002" hidden="1">
      <c r="A3002" s="160" t="s">
        <v>233</v>
      </c>
      <c r="B3002" s="72"/>
      <c r="C3002" s="118" t="s">
        <v>232</v>
      </c>
      <c r="D3002" s="152" t="s">
        <v>3561</v>
      </c>
      <c r="E3002" s="152" t="s">
        <v>3688</v>
      </c>
      <c r="F3002" s="152" t="s">
        <v>450</v>
      </c>
      <c r="G3002" s="152" t="s">
        <v>2006</v>
      </c>
      <c r="H3002" s="153" t="s">
        <v>214</v>
      </c>
    </row>
    <row r="3003" hidden="1">
      <c r="A3003" s="158" t="s">
        <v>233</v>
      </c>
      <c r="B3003" s="159"/>
      <c r="C3003" s="155" t="s">
        <v>232</v>
      </c>
      <c r="D3003" s="156" t="s">
        <v>3561</v>
      </c>
      <c r="E3003" s="156" t="s">
        <v>3689</v>
      </c>
      <c r="F3003" s="156" t="s">
        <v>329</v>
      </c>
      <c r="G3003" s="156" t="s">
        <v>2177</v>
      </c>
      <c r="H3003" s="157" t="s">
        <v>215</v>
      </c>
    </row>
    <row r="3004" hidden="1">
      <c r="A3004" s="160" t="s">
        <v>233</v>
      </c>
      <c r="B3004" s="72"/>
      <c r="C3004" s="118" t="s">
        <v>232</v>
      </c>
      <c r="D3004" s="152" t="s">
        <v>3561</v>
      </c>
      <c r="E3004" s="152" t="s">
        <v>3690</v>
      </c>
      <c r="F3004" s="152" t="s">
        <v>351</v>
      </c>
      <c r="G3004" s="152" t="s">
        <v>3691</v>
      </c>
      <c r="H3004" s="153" t="s">
        <v>216</v>
      </c>
    </row>
    <row r="3005" hidden="1">
      <c r="A3005" s="158" t="s">
        <v>234</v>
      </c>
      <c r="B3005" s="159"/>
      <c r="C3005" s="155" t="s">
        <v>232</v>
      </c>
      <c r="D3005" s="156" t="s">
        <v>3561</v>
      </c>
      <c r="E3005" s="156" t="s">
        <v>3692</v>
      </c>
      <c r="F3005" s="156" t="s">
        <v>308</v>
      </c>
      <c r="G3005" s="156" t="s">
        <v>3595</v>
      </c>
      <c r="H3005" s="157" t="s">
        <v>210</v>
      </c>
    </row>
    <row r="3006" hidden="1">
      <c r="A3006" s="160" t="s">
        <v>234</v>
      </c>
      <c r="B3006" s="72"/>
      <c r="C3006" s="118" t="s">
        <v>232</v>
      </c>
      <c r="D3006" s="152" t="s">
        <v>3561</v>
      </c>
      <c r="E3006" s="152" t="s">
        <v>3693</v>
      </c>
      <c r="F3006" s="152" t="s">
        <v>331</v>
      </c>
      <c r="G3006" s="152" t="s">
        <v>3694</v>
      </c>
      <c r="H3006" s="153" t="s">
        <v>211</v>
      </c>
    </row>
    <row r="3007" hidden="1">
      <c r="A3007" s="158" t="s">
        <v>234</v>
      </c>
      <c r="B3007" s="159"/>
      <c r="C3007" s="155" t="s">
        <v>232</v>
      </c>
      <c r="D3007" s="156" t="s">
        <v>3561</v>
      </c>
      <c r="E3007" s="156" t="s">
        <v>3695</v>
      </c>
      <c r="F3007" s="156" t="s">
        <v>323</v>
      </c>
      <c r="G3007" s="156" t="s">
        <v>3696</v>
      </c>
      <c r="H3007" s="157" t="s">
        <v>212</v>
      </c>
    </row>
    <row r="3008" hidden="1">
      <c r="A3008" s="160" t="s">
        <v>234</v>
      </c>
      <c r="B3008" s="72"/>
      <c r="C3008" s="118" t="s">
        <v>232</v>
      </c>
      <c r="D3008" s="152" t="s">
        <v>3561</v>
      </c>
      <c r="E3008" s="152" t="s">
        <v>3697</v>
      </c>
      <c r="F3008" s="152" t="s">
        <v>331</v>
      </c>
      <c r="G3008" s="152" t="s">
        <v>1785</v>
      </c>
      <c r="H3008" s="153" t="s">
        <v>213</v>
      </c>
    </row>
    <row r="3009" hidden="1">
      <c r="A3009" s="158" t="s">
        <v>234</v>
      </c>
      <c r="B3009" s="159"/>
      <c r="C3009" s="155" t="s">
        <v>232</v>
      </c>
      <c r="D3009" s="156" t="s">
        <v>3561</v>
      </c>
      <c r="E3009" s="156" t="s">
        <v>3698</v>
      </c>
      <c r="F3009" s="156" t="s">
        <v>305</v>
      </c>
      <c r="G3009" s="156" t="s">
        <v>3699</v>
      </c>
      <c r="H3009" s="157" t="s">
        <v>214</v>
      </c>
    </row>
    <row r="3010" hidden="1">
      <c r="A3010" s="160" t="s">
        <v>234</v>
      </c>
      <c r="B3010" s="72"/>
      <c r="C3010" s="118" t="s">
        <v>232</v>
      </c>
      <c r="D3010" s="152" t="s">
        <v>3561</v>
      </c>
      <c r="E3010" s="152" t="s">
        <v>3700</v>
      </c>
      <c r="F3010" s="152" t="s">
        <v>329</v>
      </c>
      <c r="G3010" s="152" t="s">
        <v>3701</v>
      </c>
      <c r="H3010" s="153" t="s">
        <v>215</v>
      </c>
    </row>
    <row r="3011" hidden="1">
      <c r="A3011" s="158" t="s">
        <v>234</v>
      </c>
      <c r="B3011" s="159"/>
      <c r="C3011" s="155" t="s">
        <v>232</v>
      </c>
      <c r="D3011" s="156" t="s">
        <v>3561</v>
      </c>
      <c r="E3011" s="156" t="s">
        <v>3702</v>
      </c>
      <c r="F3011" s="156" t="s">
        <v>331</v>
      </c>
      <c r="G3011" s="156" t="s">
        <v>2003</v>
      </c>
      <c r="H3011" s="157" t="s">
        <v>216</v>
      </c>
    </row>
    <row r="3012" hidden="1">
      <c r="A3012" s="160" t="s">
        <v>235</v>
      </c>
      <c r="B3012" s="72"/>
      <c r="C3012" s="118" t="s">
        <v>236</v>
      </c>
      <c r="D3012" s="152" t="s">
        <v>3561</v>
      </c>
      <c r="E3012" s="152" t="s">
        <v>3703</v>
      </c>
      <c r="F3012" s="152" t="s">
        <v>427</v>
      </c>
      <c r="G3012" s="152" t="s">
        <v>3200</v>
      </c>
      <c r="H3012" s="153" t="s">
        <v>210</v>
      </c>
    </row>
    <row r="3013" hidden="1">
      <c r="A3013" s="158" t="s">
        <v>235</v>
      </c>
      <c r="B3013" s="159"/>
      <c r="C3013" s="155" t="s">
        <v>236</v>
      </c>
      <c r="D3013" s="156" t="s">
        <v>3561</v>
      </c>
      <c r="E3013" s="156" t="s">
        <v>3704</v>
      </c>
      <c r="F3013" s="156" t="s">
        <v>425</v>
      </c>
      <c r="G3013" s="156" t="s">
        <v>3410</v>
      </c>
      <c r="H3013" s="157" t="s">
        <v>211</v>
      </c>
    </row>
    <row r="3014" hidden="1">
      <c r="A3014" s="160" t="s">
        <v>235</v>
      </c>
      <c r="B3014" s="72"/>
      <c r="C3014" s="118" t="s">
        <v>236</v>
      </c>
      <c r="D3014" s="152" t="s">
        <v>3561</v>
      </c>
      <c r="E3014" s="152" t="s">
        <v>3705</v>
      </c>
      <c r="F3014" s="152" t="s">
        <v>339</v>
      </c>
      <c r="G3014" s="152" t="s">
        <v>2826</v>
      </c>
      <c r="H3014" s="153" t="s">
        <v>212</v>
      </c>
    </row>
    <row r="3015" hidden="1">
      <c r="A3015" s="158" t="s">
        <v>235</v>
      </c>
      <c r="B3015" s="159"/>
      <c r="C3015" s="155" t="s">
        <v>236</v>
      </c>
      <c r="D3015" s="156" t="s">
        <v>3561</v>
      </c>
      <c r="E3015" s="156" t="s">
        <v>3706</v>
      </c>
      <c r="F3015" s="156" t="s">
        <v>336</v>
      </c>
      <c r="G3015" s="156" t="s">
        <v>3707</v>
      </c>
      <c r="H3015" s="157" t="s">
        <v>213</v>
      </c>
    </row>
    <row r="3016" hidden="1">
      <c r="A3016" s="160" t="s">
        <v>235</v>
      </c>
      <c r="B3016" s="72"/>
      <c r="C3016" s="118" t="s">
        <v>236</v>
      </c>
      <c r="D3016" s="152" t="s">
        <v>3561</v>
      </c>
      <c r="E3016" s="152" t="s">
        <v>3708</v>
      </c>
      <c r="F3016" s="152" t="s">
        <v>483</v>
      </c>
      <c r="G3016" s="152" t="s">
        <v>3449</v>
      </c>
      <c r="H3016" s="153" t="s">
        <v>214</v>
      </c>
    </row>
    <row r="3017" hidden="1">
      <c r="A3017" s="158" t="s">
        <v>235</v>
      </c>
      <c r="B3017" s="159"/>
      <c r="C3017" s="155" t="s">
        <v>236</v>
      </c>
      <c r="D3017" s="156" t="s">
        <v>3561</v>
      </c>
      <c r="E3017" s="156" t="s">
        <v>3709</v>
      </c>
      <c r="F3017" s="156" t="s">
        <v>725</v>
      </c>
      <c r="G3017" s="156" t="s">
        <v>3710</v>
      </c>
      <c r="H3017" s="157" t="s">
        <v>215</v>
      </c>
    </row>
    <row r="3018" hidden="1">
      <c r="A3018" s="160" t="s">
        <v>235</v>
      </c>
      <c r="B3018" s="72"/>
      <c r="C3018" s="118" t="s">
        <v>236</v>
      </c>
      <c r="D3018" s="152" t="s">
        <v>3561</v>
      </c>
      <c r="E3018" s="152" t="s">
        <v>3711</v>
      </c>
      <c r="F3018" s="152" t="s">
        <v>450</v>
      </c>
      <c r="G3018" s="152" t="s">
        <v>2667</v>
      </c>
      <c r="H3018" s="153" t="s">
        <v>216</v>
      </c>
    </row>
    <row r="3019" hidden="1">
      <c r="A3019" s="158" t="s">
        <v>237</v>
      </c>
      <c r="B3019" s="159"/>
      <c r="C3019" s="155" t="s">
        <v>236</v>
      </c>
      <c r="D3019" s="156" t="s">
        <v>3561</v>
      </c>
      <c r="E3019" s="156" t="s">
        <v>3712</v>
      </c>
      <c r="F3019" s="156" t="s">
        <v>365</v>
      </c>
      <c r="G3019" s="156" t="s">
        <v>2285</v>
      </c>
      <c r="H3019" s="157" t="s">
        <v>210</v>
      </c>
    </row>
    <row r="3020" hidden="1">
      <c r="A3020" s="160" t="s">
        <v>237</v>
      </c>
      <c r="B3020" s="72"/>
      <c r="C3020" s="118" t="s">
        <v>236</v>
      </c>
      <c r="D3020" s="152" t="s">
        <v>3561</v>
      </c>
      <c r="E3020" s="152" t="s">
        <v>3713</v>
      </c>
      <c r="F3020" s="152" t="s">
        <v>365</v>
      </c>
      <c r="G3020" s="152" t="s">
        <v>3209</v>
      </c>
      <c r="H3020" s="153" t="s">
        <v>211</v>
      </c>
    </row>
    <row r="3021" hidden="1">
      <c r="A3021" s="158" t="s">
        <v>237</v>
      </c>
      <c r="B3021" s="159"/>
      <c r="C3021" s="155" t="s">
        <v>236</v>
      </c>
      <c r="D3021" s="156" t="s">
        <v>3561</v>
      </c>
      <c r="E3021" s="156" t="s">
        <v>3714</v>
      </c>
      <c r="F3021" s="156" t="s">
        <v>244</v>
      </c>
      <c r="G3021" s="156" t="s">
        <v>2279</v>
      </c>
      <c r="H3021" s="157" t="s">
        <v>212</v>
      </c>
    </row>
    <row r="3022" hidden="1">
      <c r="A3022" s="160" t="s">
        <v>237</v>
      </c>
      <c r="B3022" s="72"/>
      <c r="C3022" s="118" t="s">
        <v>236</v>
      </c>
      <c r="D3022" s="152" t="s">
        <v>3561</v>
      </c>
      <c r="E3022" s="152" t="s">
        <v>3715</v>
      </c>
      <c r="F3022" s="152" t="s">
        <v>314</v>
      </c>
      <c r="G3022" s="152" t="s">
        <v>2671</v>
      </c>
      <c r="H3022" s="153" t="s">
        <v>213</v>
      </c>
    </row>
    <row r="3023" hidden="1">
      <c r="A3023" s="158" t="s">
        <v>237</v>
      </c>
      <c r="B3023" s="159"/>
      <c r="C3023" s="155" t="s">
        <v>236</v>
      </c>
      <c r="D3023" s="156" t="s">
        <v>3561</v>
      </c>
      <c r="E3023" s="156" t="s">
        <v>3716</v>
      </c>
      <c r="F3023" s="156" t="s">
        <v>331</v>
      </c>
      <c r="G3023" s="156" t="s">
        <v>3449</v>
      </c>
      <c r="H3023" s="157" t="s">
        <v>214</v>
      </c>
    </row>
    <row r="3024" hidden="1">
      <c r="A3024" s="160" t="s">
        <v>237</v>
      </c>
      <c r="B3024" s="72"/>
      <c r="C3024" s="118" t="s">
        <v>236</v>
      </c>
      <c r="D3024" s="152" t="s">
        <v>3561</v>
      </c>
      <c r="E3024" s="152" t="s">
        <v>3717</v>
      </c>
      <c r="F3024" s="152" t="s">
        <v>339</v>
      </c>
      <c r="G3024" s="152" t="s">
        <v>3718</v>
      </c>
      <c r="H3024" s="153" t="s">
        <v>215</v>
      </c>
    </row>
    <row r="3025" hidden="1">
      <c r="A3025" s="158" t="s">
        <v>237</v>
      </c>
      <c r="B3025" s="159"/>
      <c r="C3025" s="155" t="s">
        <v>236</v>
      </c>
      <c r="D3025" s="156" t="s">
        <v>3561</v>
      </c>
      <c r="E3025" s="156" t="s">
        <v>3719</v>
      </c>
      <c r="F3025" s="156" t="s">
        <v>323</v>
      </c>
      <c r="G3025" s="156" t="s">
        <v>2187</v>
      </c>
      <c r="H3025" s="157" t="s">
        <v>216</v>
      </c>
    </row>
    <row r="3026" hidden="1">
      <c r="A3026" s="151" t="s">
        <v>204</v>
      </c>
      <c r="B3026" s="118" t="s">
        <v>205</v>
      </c>
      <c r="C3026" s="118" t="s">
        <v>206</v>
      </c>
      <c r="D3026" s="152" t="s">
        <v>3720</v>
      </c>
      <c r="E3026" s="152" t="s">
        <v>3721</v>
      </c>
      <c r="F3026" s="152" t="s">
        <v>331</v>
      </c>
      <c r="G3026" s="152" t="s">
        <v>3554</v>
      </c>
      <c r="H3026" s="153" t="s">
        <v>210</v>
      </c>
    </row>
    <row r="3027" hidden="1">
      <c r="A3027" s="154" t="s">
        <v>204</v>
      </c>
      <c r="B3027" s="155" t="s">
        <v>205</v>
      </c>
      <c r="C3027" s="155" t="s">
        <v>206</v>
      </c>
      <c r="D3027" s="156" t="s">
        <v>3720</v>
      </c>
      <c r="E3027" s="156" t="s">
        <v>3722</v>
      </c>
      <c r="F3027" s="156" t="s">
        <v>359</v>
      </c>
      <c r="G3027" s="156" t="s">
        <v>3443</v>
      </c>
      <c r="H3027" s="157" t="s">
        <v>211</v>
      </c>
    </row>
    <row r="3028" hidden="1">
      <c r="A3028" s="151" t="s">
        <v>204</v>
      </c>
      <c r="B3028" s="118" t="s">
        <v>205</v>
      </c>
      <c r="C3028" s="118" t="s">
        <v>206</v>
      </c>
      <c r="D3028" s="152" t="s">
        <v>3720</v>
      </c>
      <c r="E3028" s="152" t="s">
        <v>3723</v>
      </c>
      <c r="F3028" s="152" t="s">
        <v>321</v>
      </c>
      <c r="G3028" s="152" t="s">
        <v>3478</v>
      </c>
      <c r="H3028" s="153" t="s">
        <v>212</v>
      </c>
    </row>
    <row r="3029" hidden="1">
      <c r="A3029" s="154" t="s">
        <v>204</v>
      </c>
      <c r="B3029" s="155" t="s">
        <v>205</v>
      </c>
      <c r="C3029" s="155" t="s">
        <v>206</v>
      </c>
      <c r="D3029" s="156" t="s">
        <v>3720</v>
      </c>
      <c r="E3029" s="156" t="s">
        <v>3724</v>
      </c>
      <c r="F3029" s="156" t="s">
        <v>359</v>
      </c>
      <c r="G3029" s="156" t="s">
        <v>3478</v>
      </c>
      <c r="H3029" s="157" t="s">
        <v>213</v>
      </c>
    </row>
    <row r="3030" hidden="1">
      <c r="A3030" s="151" t="s">
        <v>204</v>
      </c>
      <c r="B3030" s="118" t="s">
        <v>205</v>
      </c>
      <c r="C3030" s="118" t="s">
        <v>206</v>
      </c>
      <c r="D3030" s="152" t="s">
        <v>3720</v>
      </c>
      <c r="E3030" s="152" t="s">
        <v>3725</v>
      </c>
      <c r="F3030" s="152" t="s">
        <v>321</v>
      </c>
      <c r="G3030" s="152" t="s">
        <v>2667</v>
      </c>
      <c r="H3030" s="153" t="s">
        <v>214</v>
      </c>
    </row>
    <row r="3031" hidden="1">
      <c r="A3031" s="154" t="s">
        <v>204</v>
      </c>
      <c r="B3031" s="155" t="s">
        <v>205</v>
      </c>
      <c r="C3031" s="155" t="s">
        <v>206</v>
      </c>
      <c r="D3031" s="156" t="s">
        <v>3720</v>
      </c>
      <c r="E3031" s="156" t="s">
        <v>3726</v>
      </c>
      <c r="F3031" s="156" t="s">
        <v>249</v>
      </c>
      <c r="G3031" s="156" t="s">
        <v>3205</v>
      </c>
      <c r="H3031" s="157" t="s">
        <v>215</v>
      </c>
    </row>
    <row r="3032" hidden="1">
      <c r="A3032" s="151" t="s">
        <v>204</v>
      </c>
      <c r="B3032" s="118" t="s">
        <v>205</v>
      </c>
      <c r="C3032" s="118" t="s">
        <v>206</v>
      </c>
      <c r="D3032" s="152" t="s">
        <v>3720</v>
      </c>
      <c r="E3032" s="152" t="s">
        <v>3727</v>
      </c>
      <c r="F3032" s="152" t="s">
        <v>249</v>
      </c>
      <c r="G3032" s="152" t="s">
        <v>3443</v>
      </c>
      <c r="H3032" s="153" t="s">
        <v>216</v>
      </c>
    </row>
    <row r="3033" hidden="1">
      <c r="A3033" s="154" t="s">
        <v>217</v>
      </c>
      <c r="B3033" s="155" t="s">
        <v>191</v>
      </c>
      <c r="C3033" s="155" t="s">
        <v>206</v>
      </c>
      <c r="D3033" s="156" t="s">
        <v>3720</v>
      </c>
      <c r="E3033" s="156" t="s">
        <v>3728</v>
      </c>
      <c r="F3033" s="156" t="s">
        <v>246</v>
      </c>
      <c r="G3033" s="156" t="s">
        <v>2965</v>
      </c>
      <c r="H3033" s="157" t="s">
        <v>210</v>
      </c>
    </row>
    <row r="3034" hidden="1">
      <c r="A3034" s="151" t="s">
        <v>217</v>
      </c>
      <c r="B3034" s="118" t="s">
        <v>191</v>
      </c>
      <c r="C3034" s="118" t="s">
        <v>206</v>
      </c>
      <c r="D3034" s="152" t="s">
        <v>3720</v>
      </c>
      <c r="E3034" s="152" t="s">
        <v>3729</v>
      </c>
      <c r="F3034" s="152" t="s">
        <v>244</v>
      </c>
      <c r="G3034" s="152" t="s">
        <v>2348</v>
      </c>
      <c r="H3034" s="153" t="s">
        <v>211</v>
      </c>
    </row>
    <row r="3035" hidden="1">
      <c r="A3035" s="154" t="s">
        <v>217</v>
      </c>
      <c r="B3035" s="155" t="s">
        <v>191</v>
      </c>
      <c r="C3035" s="155" t="s">
        <v>206</v>
      </c>
      <c r="D3035" s="156" t="s">
        <v>3720</v>
      </c>
      <c r="E3035" s="156" t="s">
        <v>3730</v>
      </c>
      <c r="F3035" s="156" t="s">
        <v>359</v>
      </c>
      <c r="G3035" s="156" t="s">
        <v>2816</v>
      </c>
      <c r="H3035" s="157" t="s">
        <v>212</v>
      </c>
    </row>
    <row r="3036" hidden="1">
      <c r="A3036" s="151" t="s">
        <v>217</v>
      </c>
      <c r="B3036" s="118" t="s">
        <v>191</v>
      </c>
      <c r="C3036" s="118" t="s">
        <v>206</v>
      </c>
      <c r="D3036" s="152" t="s">
        <v>3720</v>
      </c>
      <c r="E3036" s="152" t="s">
        <v>3731</v>
      </c>
      <c r="F3036" s="152" t="s">
        <v>365</v>
      </c>
      <c r="G3036" s="152" t="s">
        <v>3449</v>
      </c>
      <c r="H3036" s="153" t="s">
        <v>213</v>
      </c>
    </row>
    <row r="3037" hidden="1">
      <c r="A3037" s="154" t="s">
        <v>217</v>
      </c>
      <c r="B3037" s="155" t="s">
        <v>191</v>
      </c>
      <c r="C3037" s="155" t="s">
        <v>206</v>
      </c>
      <c r="D3037" s="156" t="s">
        <v>3720</v>
      </c>
      <c r="E3037" s="156" t="s">
        <v>3732</v>
      </c>
      <c r="F3037" s="156" t="s">
        <v>259</v>
      </c>
      <c r="G3037" s="156" t="s">
        <v>1995</v>
      </c>
      <c r="H3037" s="157" t="s">
        <v>214</v>
      </c>
    </row>
    <row r="3038" hidden="1">
      <c r="A3038" s="151" t="s">
        <v>217</v>
      </c>
      <c r="B3038" s="118" t="s">
        <v>191</v>
      </c>
      <c r="C3038" s="118" t="s">
        <v>206</v>
      </c>
      <c r="D3038" s="152" t="s">
        <v>3720</v>
      </c>
      <c r="E3038" s="152" t="s">
        <v>3733</v>
      </c>
      <c r="F3038" s="152" t="s">
        <v>323</v>
      </c>
      <c r="G3038" s="152" t="s">
        <v>3734</v>
      </c>
      <c r="H3038" s="153" t="s">
        <v>215</v>
      </c>
    </row>
    <row r="3039" hidden="1">
      <c r="A3039" s="154" t="s">
        <v>217</v>
      </c>
      <c r="B3039" s="155" t="s">
        <v>191</v>
      </c>
      <c r="C3039" s="155" t="s">
        <v>206</v>
      </c>
      <c r="D3039" s="156" t="s">
        <v>3720</v>
      </c>
      <c r="E3039" s="156" t="s">
        <v>3735</v>
      </c>
      <c r="F3039" s="156" t="s">
        <v>244</v>
      </c>
      <c r="G3039" s="156" t="s">
        <v>2513</v>
      </c>
      <c r="H3039" s="157" t="s">
        <v>216</v>
      </c>
    </row>
    <row r="3040" hidden="1">
      <c r="A3040" s="151" t="s">
        <v>218</v>
      </c>
      <c r="B3040" s="118" t="s">
        <v>219</v>
      </c>
      <c r="C3040" s="118" t="s">
        <v>206</v>
      </c>
      <c r="D3040" s="152" t="s">
        <v>3720</v>
      </c>
      <c r="E3040" s="152" t="s">
        <v>3736</v>
      </c>
      <c r="F3040" s="152" t="s">
        <v>240</v>
      </c>
      <c r="G3040" s="152" t="s">
        <v>1820</v>
      </c>
      <c r="H3040" s="153" t="s">
        <v>210</v>
      </c>
    </row>
    <row r="3041" hidden="1">
      <c r="A3041" s="154" t="s">
        <v>218</v>
      </c>
      <c r="B3041" s="155" t="s">
        <v>219</v>
      </c>
      <c r="C3041" s="155" t="s">
        <v>206</v>
      </c>
      <c r="D3041" s="156" t="s">
        <v>3720</v>
      </c>
      <c r="E3041" s="156" t="s">
        <v>3737</v>
      </c>
      <c r="F3041" s="156" t="s">
        <v>287</v>
      </c>
      <c r="G3041" s="156" t="s">
        <v>1818</v>
      </c>
      <c r="H3041" s="157" t="s">
        <v>211</v>
      </c>
    </row>
    <row r="3042" hidden="1">
      <c r="A3042" s="151" t="s">
        <v>218</v>
      </c>
      <c r="B3042" s="118" t="s">
        <v>219</v>
      </c>
      <c r="C3042" s="118" t="s">
        <v>206</v>
      </c>
      <c r="D3042" s="152" t="s">
        <v>3720</v>
      </c>
      <c r="E3042" s="152" t="s">
        <v>3738</v>
      </c>
      <c r="F3042" s="152" t="s">
        <v>287</v>
      </c>
      <c r="G3042" s="152" t="s">
        <v>2703</v>
      </c>
      <c r="H3042" s="153" t="s">
        <v>212</v>
      </c>
    </row>
    <row r="3043" hidden="1">
      <c r="A3043" s="154" t="s">
        <v>218</v>
      </c>
      <c r="B3043" s="155" t="s">
        <v>219</v>
      </c>
      <c r="C3043" s="155" t="s">
        <v>206</v>
      </c>
      <c r="D3043" s="156" t="s">
        <v>3720</v>
      </c>
      <c r="E3043" s="156" t="s">
        <v>3739</v>
      </c>
      <c r="F3043" s="156" t="s">
        <v>240</v>
      </c>
      <c r="G3043" s="156" t="s">
        <v>1856</v>
      </c>
      <c r="H3043" s="157" t="s">
        <v>213</v>
      </c>
    </row>
    <row r="3044" hidden="1">
      <c r="A3044" s="151" t="s">
        <v>218</v>
      </c>
      <c r="B3044" s="118" t="s">
        <v>219</v>
      </c>
      <c r="C3044" s="118" t="s">
        <v>206</v>
      </c>
      <c r="D3044" s="152" t="s">
        <v>3720</v>
      </c>
      <c r="E3044" s="152" t="s">
        <v>3740</v>
      </c>
      <c r="F3044" s="152" t="s">
        <v>242</v>
      </c>
      <c r="G3044" s="152" t="s">
        <v>2546</v>
      </c>
      <c r="H3044" s="153" t="s">
        <v>214</v>
      </c>
    </row>
    <row r="3045" hidden="1">
      <c r="A3045" s="154" t="s">
        <v>218</v>
      </c>
      <c r="B3045" s="155" t="s">
        <v>219</v>
      </c>
      <c r="C3045" s="155" t="s">
        <v>206</v>
      </c>
      <c r="D3045" s="156" t="s">
        <v>3720</v>
      </c>
      <c r="E3045" s="156" t="s">
        <v>3741</v>
      </c>
      <c r="F3045" s="156" t="s">
        <v>257</v>
      </c>
      <c r="G3045" s="156" t="s">
        <v>1810</v>
      </c>
      <c r="H3045" s="157" t="s">
        <v>215</v>
      </c>
    </row>
    <row r="3046" hidden="1">
      <c r="A3046" s="151" t="s">
        <v>218</v>
      </c>
      <c r="B3046" s="118" t="s">
        <v>219</v>
      </c>
      <c r="C3046" s="118" t="s">
        <v>206</v>
      </c>
      <c r="D3046" s="152" t="s">
        <v>3720</v>
      </c>
      <c r="E3046" s="152" t="s">
        <v>3742</v>
      </c>
      <c r="F3046" s="152" t="s">
        <v>287</v>
      </c>
      <c r="G3046" s="152" t="s">
        <v>2567</v>
      </c>
      <c r="H3046" s="153" t="s">
        <v>216</v>
      </c>
    </row>
    <row r="3047" hidden="1">
      <c r="A3047" s="154" t="s">
        <v>220</v>
      </c>
      <c r="B3047" s="155" t="s">
        <v>190</v>
      </c>
      <c r="C3047" s="155" t="s">
        <v>206</v>
      </c>
      <c r="D3047" s="156" t="s">
        <v>3720</v>
      </c>
      <c r="E3047" s="156" t="s">
        <v>3743</v>
      </c>
      <c r="F3047" s="156" t="s">
        <v>298</v>
      </c>
      <c r="G3047" s="156" t="s">
        <v>1951</v>
      </c>
      <c r="H3047" s="157" t="s">
        <v>210</v>
      </c>
    </row>
    <row r="3048" hidden="1">
      <c r="A3048" s="151" t="s">
        <v>220</v>
      </c>
      <c r="B3048" s="118" t="s">
        <v>190</v>
      </c>
      <c r="C3048" s="118" t="s">
        <v>206</v>
      </c>
      <c r="D3048" s="152" t="s">
        <v>3720</v>
      </c>
      <c r="E3048" s="152" t="s">
        <v>3744</v>
      </c>
      <c r="F3048" s="152" t="s">
        <v>244</v>
      </c>
      <c r="G3048" s="152" t="s">
        <v>2243</v>
      </c>
      <c r="H3048" s="153" t="s">
        <v>211</v>
      </c>
    </row>
    <row r="3049" hidden="1">
      <c r="A3049" s="154" t="s">
        <v>220</v>
      </c>
      <c r="B3049" s="155" t="s">
        <v>190</v>
      </c>
      <c r="C3049" s="155" t="s">
        <v>206</v>
      </c>
      <c r="D3049" s="156" t="s">
        <v>3720</v>
      </c>
      <c r="E3049" s="156" t="s">
        <v>3745</v>
      </c>
      <c r="F3049" s="156" t="s">
        <v>314</v>
      </c>
      <c r="G3049" s="156" t="s">
        <v>2376</v>
      </c>
      <c r="H3049" s="157" t="s">
        <v>212</v>
      </c>
    </row>
    <row r="3050" hidden="1">
      <c r="A3050" s="151" t="s">
        <v>220</v>
      </c>
      <c r="B3050" s="118" t="s">
        <v>190</v>
      </c>
      <c r="C3050" s="118" t="s">
        <v>206</v>
      </c>
      <c r="D3050" s="152" t="s">
        <v>3720</v>
      </c>
      <c r="E3050" s="152" t="s">
        <v>3746</v>
      </c>
      <c r="F3050" s="152" t="s">
        <v>259</v>
      </c>
      <c r="G3050" s="152" t="s">
        <v>2398</v>
      </c>
      <c r="H3050" s="153" t="s">
        <v>213</v>
      </c>
    </row>
    <row r="3051" hidden="1">
      <c r="A3051" s="154" t="s">
        <v>220</v>
      </c>
      <c r="B3051" s="155" t="s">
        <v>190</v>
      </c>
      <c r="C3051" s="155" t="s">
        <v>206</v>
      </c>
      <c r="D3051" s="156" t="s">
        <v>3720</v>
      </c>
      <c r="E3051" s="156" t="s">
        <v>3747</v>
      </c>
      <c r="F3051" s="156" t="s">
        <v>249</v>
      </c>
      <c r="G3051" s="156" t="s">
        <v>3007</v>
      </c>
      <c r="H3051" s="157" t="s">
        <v>214</v>
      </c>
    </row>
    <row r="3052" hidden="1">
      <c r="A3052" s="151" t="s">
        <v>220</v>
      </c>
      <c r="B3052" s="118" t="s">
        <v>190</v>
      </c>
      <c r="C3052" s="118" t="s">
        <v>206</v>
      </c>
      <c r="D3052" s="152" t="s">
        <v>3720</v>
      </c>
      <c r="E3052" s="152" t="s">
        <v>3748</v>
      </c>
      <c r="F3052" s="152" t="s">
        <v>365</v>
      </c>
      <c r="G3052" s="152" t="s">
        <v>2716</v>
      </c>
      <c r="H3052" s="153" t="s">
        <v>215</v>
      </c>
    </row>
    <row r="3053" hidden="1">
      <c r="A3053" s="154" t="s">
        <v>220</v>
      </c>
      <c r="B3053" s="155" t="s">
        <v>190</v>
      </c>
      <c r="C3053" s="155" t="s">
        <v>206</v>
      </c>
      <c r="D3053" s="156" t="s">
        <v>3720</v>
      </c>
      <c r="E3053" s="156" t="s">
        <v>3749</v>
      </c>
      <c r="F3053" s="156" t="s">
        <v>301</v>
      </c>
      <c r="G3053" s="156" t="s">
        <v>2391</v>
      </c>
      <c r="H3053" s="157" t="s">
        <v>216</v>
      </c>
    </row>
    <row r="3054" hidden="1">
      <c r="A3054" s="151" t="s">
        <v>221</v>
      </c>
      <c r="B3054" s="118" t="s">
        <v>189</v>
      </c>
      <c r="C3054" s="118" t="s">
        <v>206</v>
      </c>
      <c r="D3054" s="152" t="s">
        <v>3720</v>
      </c>
      <c r="E3054" s="152" t="s">
        <v>3750</v>
      </c>
      <c r="F3054" s="152" t="s">
        <v>312</v>
      </c>
      <c r="G3054" s="152" t="s">
        <v>3380</v>
      </c>
      <c r="H3054" s="153" t="s">
        <v>210</v>
      </c>
    </row>
    <row r="3055" hidden="1">
      <c r="A3055" s="154" t="s">
        <v>221</v>
      </c>
      <c r="B3055" s="155" t="s">
        <v>189</v>
      </c>
      <c r="C3055" s="155" t="s">
        <v>206</v>
      </c>
      <c r="D3055" s="156" t="s">
        <v>3720</v>
      </c>
      <c r="E3055" s="156" t="s">
        <v>3751</v>
      </c>
      <c r="F3055" s="156" t="s">
        <v>244</v>
      </c>
      <c r="G3055" s="156" t="s">
        <v>2824</v>
      </c>
      <c r="H3055" s="157" t="s">
        <v>211</v>
      </c>
    </row>
    <row r="3056" hidden="1">
      <c r="A3056" s="151" t="s">
        <v>221</v>
      </c>
      <c r="B3056" s="118" t="s">
        <v>189</v>
      </c>
      <c r="C3056" s="118" t="s">
        <v>206</v>
      </c>
      <c r="D3056" s="152" t="s">
        <v>3720</v>
      </c>
      <c r="E3056" s="152" t="s">
        <v>3752</v>
      </c>
      <c r="F3056" s="152" t="s">
        <v>255</v>
      </c>
      <c r="G3056" s="152" t="s">
        <v>2667</v>
      </c>
      <c r="H3056" s="153" t="s">
        <v>212</v>
      </c>
    </row>
    <row r="3057" hidden="1">
      <c r="A3057" s="154" t="s">
        <v>221</v>
      </c>
      <c r="B3057" s="155" t="s">
        <v>189</v>
      </c>
      <c r="C3057" s="155" t="s">
        <v>206</v>
      </c>
      <c r="D3057" s="156" t="s">
        <v>3720</v>
      </c>
      <c r="E3057" s="156" t="s">
        <v>3753</v>
      </c>
      <c r="F3057" s="156" t="s">
        <v>240</v>
      </c>
      <c r="G3057" s="156" t="s">
        <v>3300</v>
      </c>
      <c r="H3057" s="157" t="s">
        <v>213</v>
      </c>
    </row>
    <row r="3058" hidden="1">
      <c r="A3058" s="151" t="s">
        <v>221</v>
      </c>
      <c r="B3058" s="118" t="s">
        <v>189</v>
      </c>
      <c r="C3058" s="118" t="s">
        <v>206</v>
      </c>
      <c r="D3058" s="152" t="s">
        <v>3720</v>
      </c>
      <c r="E3058" s="152" t="s">
        <v>3754</v>
      </c>
      <c r="F3058" s="152" t="s">
        <v>246</v>
      </c>
      <c r="G3058" s="152" t="s">
        <v>2967</v>
      </c>
      <c r="H3058" s="153" t="s">
        <v>214</v>
      </c>
    </row>
    <row r="3059" hidden="1">
      <c r="A3059" s="154" t="s">
        <v>221</v>
      </c>
      <c r="B3059" s="155" t="s">
        <v>189</v>
      </c>
      <c r="C3059" s="155" t="s">
        <v>206</v>
      </c>
      <c r="D3059" s="156" t="s">
        <v>3720</v>
      </c>
      <c r="E3059" s="156" t="s">
        <v>3755</v>
      </c>
      <c r="F3059" s="156" t="s">
        <v>244</v>
      </c>
      <c r="G3059" s="156" t="s">
        <v>3756</v>
      </c>
      <c r="H3059" s="157" t="s">
        <v>215</v>
      </c>
    </row>
    <row r="3060" hidden="1">
      <c r="A3060" s="151" t="s">
        <v>221</v>
      </c>
      <c r="B3060" s="118" t="s">
        <v>189</v>
      </c>
      <c r="C3060" s="118" t="s">
        <v>206</v>
      </c>
      <c r="D3060" s="152" t="s">
        <v>3720</v>
      </c>
      <c r="E3060" s="152" t="s">
        <v>3757</v>
      </c>
      <c r="F3060" s="152" t="s">
        <v>534</v>
      </c>
      <c r="G3060" s="152" t="s">
        <v>2346</v>
      </c>
      <c r="H3060" s="153" t="s">
        <v>216</v>
      </c>
    </row>
    <row r="3061" hidden="1">
      <c r="A3061" s="154" t="s">
        <v>222</v>
      </c>
      <c r="B3061" s="155" t="s">
        <v>192</v>
      </c>
      <c r="C3061" s="155" t="s">
        <v>206</v>
      </c>
      <c r="D3061" s="156" t="s">
        <v>3720</v>
      </c>
      <c r="E3061" s="156" t="s">
        <v>3758</v>
      </c>
      <c r="F3061" s="156" t="s">
        <v>257</v>
      </c>
      <c r="G3061" s="156" t="s">
        <v>3572</v>
      </c>
      <c r="H3061" s="157" t="s">
        <v>210</v>
      </c>
    </row>
    <row r="3062" hidden="1">
      <c r="A3062" s="151" t="s">
        <v>222</v>
      </c>
      <c r="B3062" s="118" t="s">
        <v>192</v>
      </c>
      <c r="C3062" s="118" t="s">
        <v>206</v>
      </c>
      <c r="D3062" s="152" t="s">
        <v>3720</v>
      </c>
      <c r="E3062" s="152" t="s">
        <v>3759</v>
      </c>
      <c r="F3062" s="152" t="s">
        <v>285</v>
      </c>
      <c r="G3062" s="152" t="s">
        <v>3611</v>
      </c>
      <c r="H3062" s="153" t="s">
        <v>211</v>
      </c>
    </row>
    <row r="3063" hidden="1">
      <c r="A3063" s="154" t="s">
        <v>222</v>
      </c>
      <c r="B3063" s="155" t="s">
        <v>192</v>
      </c>
      <c r="C3063" s="155" t="s">
        <v>206</v>
      </c>
      <c r="D3063" s="156" t="s">
        <v>3720</v>
      </c>
      <c r="E3063" s="156" t="s">
        <v>3760</v>
      </c>
      <c r="F3063" s="156" t="s">
        <v>301</v>
      </c>
      <c r="G3063" s="156" t="s">
        <v>2006</v>
      </c>
      <c r="H3063" s="157" t="s">
        <v>212</v>
      </c>
    </row>
    <row r="3064" hidden="1">
      <c r="A3064" s="151" t="s">
        <v>222</v>
      </c>
      <c r="B3064" s="118" t="s">
        <v>192</v>
      </c>
      <c r="C3064" s="118" t="s">
        <v>206</v>
      </c>
      <c r="D3064" s="152" t="s">
        <v>3720</v>
      </c>
      <c r="E3064" s="152" t="s">
        <v>3761</v>
      </c>
      <c r="F3064" s="152" t="s">
        <v>242</v>
      </c>
      <c r="G3064" s="152" t="s">
        <v>2006</v>
      </c>
      <c r="H3064" s="153" t="s">
        <v>213</v>
      </c>
    </row>
    <row r="3065" hidden="1">
      <c r="A3065" s="154" t="s">
        <v>222</v>
      </c>
      <c r="B3065" s="155" t="s">
        <v>192</v>
      </c>
      <c r="C3065" s="155" t="s">
        <v>206</v>
      </c>
      <c r="D3065" s="156" t="s">
        <v>3720</v>
      </c>
      <c r="E3065" s="156" t="s">
        <v>3762</v>
      </c>
      <c r="F3065" s="156" t="s">
        <v>331</v>
      </c>
      <c r="G3065" s="156" t="s">
        <v>3734</v>
      </c>
      <c r="H3065" s="157" t="s">
        <v>214</v>
      </c>
    </row>
    <row r="3066" hidden="1">
      <c r="A3066" s="151" t="s">
        <v>222</v>
      </c>
      <c r="B3066" s="118" t="s">
        <v>192</v>
      </c>
      <c r="C3066" s="118" t="s">
        <v>206</v>
      </c>
      <c r="D3066" s="152" t="s">
        <v>3720</v>
      </c>
      <c r="E3066" s="152" t="s">
        <v>3763</v>
      </c>
      <c r="F3066" s="152" t="s">
        <v>314</v>
      </c>
      <c r="G3066" s="152" t="s">
        <v>3764</v>
      </c>
      <c r="H3066" s="153" t="s">
        <v>215</v>
      </c>
    </row>
    <row r="3067" hidden="1">
      <c r="A3067" s="154" t="s">
        <v>222</v>
      </c>
      <c r="B3067" s="155" t="s">
        <v>192</v>
      </c>
      <c r="C3067" s="155" t="s">
        <v>206</v>
      </c>
      <c r="D3067" s="156" t="s">
        <v>3720</v>
      </c>
      <c r="E3067" s="156" t="s">
        <v>3765</v>
      </c>
      <c r="F3067" s="156" t="s">
        <v>357</v>
      </c>
      <c r="G3067" s="156" t="s">
        <v>3203</v>
      </c>
      <c r="H3067" s="157" t="s">
        <v>216</v>
      </c>
    </row>
    <row r="3068" hidden="1">
      <c r="A3068" s="151" t="s">
        <v>223</v>
      </c>
      <c r="B3068" s="118" t="s">
        <v>144</v>
      </c>
      <c r="C3068" s="118" t="s">
        <v>206</v>
      </c>
      <c r="D3068" s="152" t="s">
        <v>3720</v>
      </c>
      <c r="E3068" s="152" t="s">
        <v>3766</v>
      </c>
      <c r="F3068" s="152" t="s">
        <v>448</v>
      </c>
      <c r="G3068" s="152" t="s">
        <v>3558</v>
      </c>
      <c r="H3068" s="153" t="s">
        <v>210</v>
      </c>
    </row>
    <row r="3069" hidden="1">
      <c r="A3069" s="154" t="s">
        <v>223</v>
      </c>
      <c r="B3069" s="155" t="s">
        <v>144</v>
      </c>
      <c r="C3069" s="155" t="s">
        <v>206</v>
      </c>
      <c r="D3069" s="156" t="s">
        <v>3720</v>
      </c>
      <c r="E3069" s="156" t="s">
        <v>3767</v>
      </c>
      <c r="F3069" s="156" t="s">
        <v>577</v>
      </c>
      <c r="G3069" s="156" t="s">
        <v>3200</v>
      </c>
      <c r="H3069" s="157" t="s">
        <v>211</v>
      </c>
    </row>
    <row r="3070" hidden="1">
      <c r="A3070" s="151" t="s">
        <v>223</v>
      </c>
      <c r="B3070" s="118" t="s">
        <v>144</v>
      </c>
      <c r="C3070" s="118" t="s">
        <v>206</v>
      </c>
      <c r="D3070" s="152" t="s">
        <v>3720</v>
      </c>
      <c r="E3070" s="152" t="s">
        <v>3768</v>
      </c>
      <c r="F3070" s="152" t="s">
        <v>450</v>
      </c>
      <c r="G3070" s="152" t="s">
        <v>2822</v>
      </c>
      <c r="H3070" s="153" t="s">
        <v>212</v>
      </c>
    </row>
    <row r="3071" hidden="1">
      <c r="A3071" s="154" t="s">
        <v>223</v>
      </c>
      <c r="B3071" s="155" t="s">
        <v>144</v>
      </c>
      <c r="C3071" s="155" t="s">
        <v>206</v>
      </c>
      <c r="D3071" s="156" t="s">
        <v>3720</v>
      </c>
      <c r="E3071" s="156" t="s">
        <v>3769</v>
      </c>
      <c r="F3071" s="156" t="s">
        <v>425</v>
      </c>
      <c r="G3071" s="156" t="s">
        <v>3611</v>
      </c>
      <c r="H3071" s="157" t="s">
        <v>213</v>
      </c>
    </row>
    <row r="3072" hidden="1">
      <c r="A3072" s="151" t="s">
        <v>223</v>
      </c>
      <c r="B3072" s="118" t="s">
        <v>144</v>
      </c>
      <c r="C3072" s="118" t="s">
        <v>206</v>
      </c>
      <c r="D3072" s="152" t="s">
        <v>3720</v>
      </c>
      <c r="E3072" s="152" t="s">
        <v>3770</v>
      </c>
      <c r="F3072" s="152" t="s">
        <v>799</v>
      </c>
      <c r="G3072" s="152" t="s">
        <v>3262</v>
      </c>
      <c r="H3072" s="153" t="s">
        <v>214</v>
      </c>
    </row>
    <row r="3073" hidden="1">
      <c r="A3073" s="154" t="s">
        <v>223</v>
      </c>
      <c r="B3073" s="155" t="s">
        <v>144</v>
      </c>
      <c r="C3073" s="155" t="s">
        <v>206</v>
      </c>
      <c r="D3073" s="156" t="s">
        <v>3720</v>
      </c>
      <c r="E3073" s="156" t="s">
        <v>3771</v>
      </c>
      <c r="F3073" s="156" t="s">
        <v>448</v>
      </c>
      <c r="G3073" s="156" t="s">
        <v>2189</v>
      </c>
      <c r="H3073" s="157" t="s">
        <v>215</v>
      </c>
    </row>
    <row r="3074" hidden="1">
      <c r="A3074" s="151" t="s">
        <v>223</v>
      </c>
      <c r="B3074" s="118" t="s">
        <v>144</v>
      </c>
      <c r="C3074" s="118" t="s">
        <v>206</v>
      </c>
      <c r="D3074" s="152" t="s">
        <v>3720</v>
      </c>
      <c r="E3074" s="152" t="s">
        <v>3772</v>
      </c>
      <c r="F3074" s="152" t="s">
        <v>532</v>
      </c>
      <c r="G3074" s="152" t="s">
        <v>2663</v>
      </c>
      <c r="H3074" s="153" t="s">
        <v>216</v>
      </c>
    </row>
    <row r="3075" hidden="1">
      <c r="A3075" s="154" t="s">
        <v>224</v>
      </c>
      <c r="B3075" s="155" t="s">
        <v>170</v>
      </c>
      <c r="C3075" s="155" t="s">
        <v>206</v>
      </c>
      <c r="D3075" s="156" t="s">
        <v>3720</v>
      </c>
      <c r="E3075" s="156" t="s">
        <v>3773</v>
      </c>
      <c r="F3075" s="156" t="s">
        <v>310</v>
      </c>
      <c r="G3075" s="156" t="s">
        <v>3468</v>
      </c>
      <c r="H3075" s="157" t="s">
        <v>210</v>
      </c>
    </row>
    <row r="3076" hidden="1">
      <c r="A3076" s="151" t="s">
        <v>224</v>
      </c>
      <c r="B3076" s="118" t="s">
        <v>170</v>
      </c>
      <c r="C3076" s="118" t="s">
        <v>206</v>
      </c>
      <c r="D3076" s="152" t="s">
        <v>3720</v>
      </c>
      <c r="E3076" s="152" t="s">
        <v>3774</v>
      </c>
      <c r="F3076" s="152" t="s">
        <v>255</v>
      </c>
      <c r="G3076" s="152" t="s">
        <v>1788</v>
      </c>
      <c r="H3076" s="153" t="s">
        <v>211</v>
      </c>
    </row>
    <row r="3077" hidden="1">
      <c r="A3077" s="154" t="s">
        <v>224</v>
      </c>
      <c r="B3077" s="155" t="s">
        <v>170</v>
      </c>
      <c r="C3077" s="155" t="s">
        <v>206</v>
      </c>
      <c r="D3077" s="156" t="s">
        <v>3720</v>
      </c>
      <c r="E3077" s="156" t="s">
        <v>3775</v>
      </c>
      <c r="F3077" s="156" t="s">
        <v>305</v>
      </c>
      <c r="G3077" s="156" t="s">
        <v>3776</v>
      </c>
      <c r="H3077" s="157" t="s">
        <v>212</v>
      </c>
    </row>
    <row r="3078" hidden="1">
      <c r="A3078" s="151" t="s">
        <v>224</v>
      </c>
      <c r="B3078" s="118" t="s">
        <v>170</v>
      </c>
      <c r="C3078" s="118" t="s">
        <v>206</v>
      </c>
      <c r="D3078" s="152" t="s">
        <v>3720</v>
      </c>
      <c r="E3078" s="152" t="s">
        <v>3777</v>
      </c>
      <c r="F3078" s="152" t="s">
        <v>290</v>
      </c>
      <c r="G3078" s="152" t="s">
        <v>3440</v>
      </c>
      <c r="H3078" s="153" t="s">
        <v>213</v>
      </c>
    </row>
    <row r="3079" hidden="1">
      <c r="A3079" s="154" t="s">
        <v>224</v>
      </c>
      <c r="B3079" s="155" t="s">
        <v>170</v>
      </c>
      <c r="C3079" s="155" t="s">
        <v>206</v>
      </c>
      <c r="D3079" s="156" t="s">
        <v>3720</v>
      </c>
      <c r="E3079" s="156" t="s">
        <v>3778</v>
      </c>
      <c r="F3079" s="156" t="s">
        <v>483</v>
      </c>
      <c r="G3079" s="156" t="s">
        <v>3636</v>
      </c>
      <c r="H3079" s="157" t="s">
        <v>214</v>
      </c>
    </row>
    <row r="3080" hidden="1">
      <c r="A3080" s="151" t="s">
        <v>224</v>
      </c>
      <c r="B3080" s="118" t="s">
        <v>170</v>
      </c>
      <c r="C3080" s="118" t="s">
        <v>206</v>
      </c>
      <c r="D3080" s="152" t="s">
        <v>3720</v>
      </c>
      <c r="E3080" s="152" t="s">
        <v>3779</v>
      </c>
      <c r="F3080" s="152" t="s">
        <v>321</v>
      </c>
      <c r="G3080" s="152" t="s">
        <v>3605</v>
      </c>
      <c r="H3080" s="153" t="s">
        <v>215</v>
      </c>
    </row>
    <row r="3081" hidden="1">
      <c r="A3081" s="154" t="s">
        <v>224</v>
      </c>
      <c r="B3081" s="155" t="s">
        <v>170</v>
      </c>
      <c r="C3081" s="155" t="s">
        <v>206</v>
      </c>
      <c r="D3081" s="156" t="s">
        <v>3720</v>
      </c>
      <c r="E3081" s="156" t="s">
        <v>3780</v>
      </c>
      <c r="F3081" s="156" t="s">
        <v>314</v>
      </c>
      <c r="G3081" s="156" t="s">
        <v>3636</v>
      </c>
      <c r="H3081" s="157" t="s">
        <v>216</v>
      </c>
    </row>
    <row r="3082" hidden="1">
      <c r="A3082" s="151" t="s">
        <v>225</v>
      </c>
      <c r="B3082" s="118" t="s">
        <v>226</v>
      </c>
      <c r="C3082" s="118" t="s">
        <v>206</v>
      </c>
      <c r="D3082" s="152" t="s">
        <v>3720</v>
      </c>
      <c r="E3082" s="152" t="s">
        <v>3781</v>
      </c>
      <c r="F3082" s="152" t="s">
        <v>629</v>
      </c>
      <c r="G3082" s="152" t="s">
        <v>3108</v>
      </c>
      <c r="H3082" s="153" t="s">
        <v>210</v>
      </c>
    </row>
    <row r="3083" hidden="1">
      <c r="A3083" s="154" t="s">
        <v>225</v>
      </c>
      <c r="B3083" s="155" t="s">
        <v>226</v>
      </c>
      <c r="C3083" s="155" t="s">
        <v>206</v>
      </c>
      <c r="D3083" s="156" t="s">
        <v>3720</v>
      </c>
      <c r="E3083" s="156" t="s">
        <v>3782</v>
      </c>
      <c r="F3083" s="156" t="s">
        <v>675</v>
      </c>
      <c r="G3083" s="156" t="s">
        <v>3783</v>
      </c>
      <c r="H3083" s="157" t="s">
        <v>211</v>
      </c>
    </row>
    <row r="3084" hidden="1">
      <c r="A3084" s="151" t="s">
        <v>225</v>
      </c>
      <c r="B3084" s="118" t="s">
        <v>226</v>
      </c>
      <c r="C3084" s="118" t="s">
        <v>206</v>
      </c>
      <c r="D3084" s="152" t="s">
        <v>3720</v>
      </c>
      <c r="E3084" s="152" t="s">
        <v>3784</v>
      </c>
      <c r="F3084" s="152" t="s">
        <v>3340</v>
      </c>
      <c r="G3084" s="152" t="s">
        <v>3618</v>
      </c>
      <c r="H3084" s="153" t="s">
        <v>212</v>
      </c>
    </row>
    <row r="3085" hidden="1">
      <c r="A3085" s="154" t="s">
        <v>225</v>
      </c>
      <c r="B3085" s="155" t="s">
        <v>226</v>
      </c>
      <c r="C3085" s="155" t="s">
        <v>206</v>
      </c>
      <c r="D3085" s="156" t="s">
        <v>3720</v>
      </c>
      <c r="E3085" s="156" t="s">
        <v>3785</v>
      </c>
      <c r="F3085" s="156" t="s">
        <v>3340</v>
      </c>
      <c r="G3085" s="156" t="s">
        <v>3786</v>
      </c>
      <c r="H3085" s="157" t="s">
        <v>213</v>
      </c>
    </row>
    <row r="3086" hidden="1">
      <c r="A3086" s="151" t="s">
        <v>225</v>
      </c>
      <c r="B3086" s="118" t="s">
        <v>226</v>
      </c>
      <c r="C3086" s="118" t="s">
        <v>206</v>
      </c>
      <c r="D3086" s="152" t="s">
        <v>3720</v>
      </c>
      <c r="E3086" s="152" t="s">
        <v>3787</v>
      </c>
      <c r="F3086" s="152" t="s">
        <v>587</v>
      </c>
      <c r="G3086" s="152" t="s">
        <v>3718</v>
      </c>
      <c r="H3086" s="153" t="s">
        <v>214</v>
      </c>
    </row>
    <row r="3087" hidden="1">
      <c r="A3087" s="154" t="s">
        <v>225</v>
      </c>
      <c r="B3087" s="155" t="s">
        <v>226</v>
      </c>
      <c r="C3087" s="155" t="s">
        <v>206</v>
      </c>
      <c r="D3087" s="156" t="s">
        <v>3720</v>
      </c>
      <c r="E3087" s="156" t="s">
        <v>3788</v>
      </c>
      <c r="F3087" s="156" t="s">
        <v>2228</v>
      </c>
      <c r="G3087" s="156" t="s">
        <v>3525</v>
      </c>
      <c r="H3087" s="157" t="s">
        <v>215</v>
      </c>
    </row>
    <row r="3088" hidden="1">
      <c r="A3088" s="151" t="s">
        <v>225</v>
      </c>
      <c r="B3088" s="118" t="s">
        <v>226</v>
      </c>
      <c r="C3088" s="118" t="s">
        <v>206</v>
      </c>
      <c r="D3088" s="152" t="s">
        <v>3720</v>
      </c>
      <c r="E3088" s="152" t="s">
        <v>3789</v>
      </c>
      <c r="F3088" s="152" t="s">
        <v>2215</v>
      </c>
      <c r="G3088" s="152" t="s">
        <v>3790</v>
      </c>
      <c r="H3088" s="153" t="s">
        <v>216</v>
      </c>
    </row>
    <row r="3089" hidden="1">
      <c r="A3089" s="154" t="s">
        <v>227</v>
      </c>
      <c r="B3089" s="155" t="s">
        <v>195</v>
      </c>
      <c r="C3089" s="155" t="s">
        <v>206</v>
      </c>
      <c r="D3089" s="156" t="s">
        <v>3720</v>
      </c>
      <c r="E3089" s="156" t="s">
        <v>3791</v>
      </c>
      <c r="F3089" s="156" t="s">
        <v>321</v>
      </c>
      <c r="G3089" s="156" t="s">
        <v>1782</v>
      </c>
      <c r="H3089" s="157" t="s">
        <v>210</v>
      </c>
    </row>
    <row r="3090" hidden="1">
      <c r="A3090" s="151" t="s">
        <v>227</v>
      </c>
      <c r="B3090" s="118" t="s">
        <v>195</v>
      </c>
      <c r="C3090" s="118" t="s">
        <v>206</v>
      </c>
      <c r="D3090" s="152" t="s">
        <v>3720</v>
      </c>
      <c r="E3090" s="152" t="s">
        <v>3792</v>
      </c>
      <c r="F3090" s="152" t="s">
        <v>321</v>
      </c>
      <c r="G3090" s="152" t="s">
        <v>2910</v>
      </c>
      <c r="H3090" s="153" t="s">
        <v>211</v>
      </c>
    </row>
    <row r="3091" hidden="1">
      <c r="A3091" s="154" t="s">
        <v>227</v>
      </c>
      <c r="B3091" s="155" t="s">
        <v>195</v>
      </c>
      <c r="C3091" s="155" t="s">
        <v>206</v>
      </c>
      <c r="D3091" s="156" t="s">
        <v>3720</v>
      </c>
      <c r="E3091" s="156" t="s">
        <v>3793</v>
      </c>
      <c r="F3091" s="156" t="s">
        <v>351</v>
      </c>
      <c r="G3091" s="156" t="s">
        <v>2109</v>
      </c>
      <c r="H3091" s="157" t="s">
        <v>212</v>
      </c>
    </row>
    <row r="3092" hidden="1">
      <c r="A3092" s="151" t="s">
        <v>227</v>
      </c>
      <c r="B3092" s="118" t="s">
        <v>195</v>
      </c>
      <c r="C3092" s="118" t="s">
        <v>206</v>
      </c>
      <c r="D3092" s="152" t="s">
        <v>3720</v>
      </c>
      <c r="E3092" s="152" t="s">
        <v>3794</v>
      </c>
      <c r="F3092" s="152" t="s">
        <v>534</v>
      </c>
      <c r="G3092" s="152" t="s">
        <v>2661</v>
      </c>
      <c r="H3092" s="153" t="s">
        <v>213</v>
      </c>
    </row>
    <row r="3093" hidden="1">
      <c r="A3093" s="154" t="s">
        <v>227</v>
      </c>
      <c r="B3093" s="155" t="s">
        <v>195</v>
      </c>
      <c r="C3093" s="155" t="s">
        <v>206</v>
      </c>
      <c r="D3093" s="156" t="s">
        <v>3720</v>
      </c>
      <c r="E3093" s="156" t="s">
        <v>3795</v>
      </c>
      <c r="F3093" s="156" t="s">
        <v>534</v>
      </c>
      <c r="G3093" s="156" t="s">
        <v>2912</v>
      </c>
      <c r="H3093" s="157" t="s">
        <v>214</v>
      </c>
    </row>
    <row r="3094" hidden="1">
      <c r="A3094" s="151" t="s">
        <v>227</v>
      </c>
      <c r="B3094" s="118" t="s">
        <v>195</v>
      </c>
      <c r="C3094" s="118" t="s">
        <v>206</v>
      </c>
      <c r="D3094" s="152" t="s">
        <v>3720</v>
      </c>
      <c r="E3094" s="152" t="s">
        <v>3796</v>
      </c>
      <c r="F3094" s="152" t="s">
        <v>359</v>
      </c>
      <c r="G3094" s="152" t="s">
        <v>3513</v>
      </c>
      <c r="H3094" s="153" t="s">
        <v>215</v>
      </c>
    </row>
    <row r="3095" hidden="1">
      <c r="A3095" s="154" t="s">
        <v>227</v>
      </c>
      <c r="B3095" s="155" t="s">
        <v>195</v>
      </c>
      <c r="C3095" s="155" t="s">
        <v>206</v>
      </c>
      <c r="D3095" s="156" t="s">
        <v>3720</v>
      </c>
      <c r="E3095" s="156" t="s">
        <v>3797</v>
      </c>
      <c r="F3095" s="156" t="s">
        <v>249</v>
      </c>
      <c r="G3095" s="156" t="s">
        <v>3482</v>
      </c>
      <c r="H3095" s="157" t="s">
        <v>216</v>
      </c>
    </row>
    <row r="3096" hidden="1">
      <c r="A3096" s="151" t="s">
        <v>228</v>
      </c>
      <c r="B3096" s="118" t="s">
        <v>138</v>
      </c>
      <c r="C3096" s="118" t="s">
        <v>206</v>
      </c>
      <c r="D3096" s="152" t="s">
        <v>3720</v>
      </c>
      <c r="E3096" s="152" t="s">
        <v>3798</v>
      </c>
      <c r="F3096" s="152" t="s">
        <v>323</v>
      </c>
      <c r="G3096" s="152" t="s">
        <v>2309</v>
      </c>
      <c r="H3096" s="153" t="s">
        <v>210</v>
      </c>
    </row>
    <row r="3097" hidden="1">
      <c r="A3097" s="154" t="s">
        <v>228</v>
      </c>
      <c r="B3097" s="155" t="s">
        <v>138</v>
      </c>
      <c r="C3097" s="155" t="s">
        <v>206</v>
      </c>
      <c r="D3097" s="156" t="s">
        <v>3720</v>
      </c>
      <c r="E3097" s="156" t="s">
        <v>3799</v>
      </c>
      <c r="F3097" s="156" t="s">
        <v>204</v>
      </c>
      <c r="G3097" s="156" t="s">
        <v>2546</v>
      </c>
      <c r="H3097" s="157" t="s">
        <v>211</v>
      </c>
    </row>
    <row r="3098" hidden="1">
      <c r="A3098" s="151" t="s">
        <v>228</v>
      </c>
      <c r="B3098" s="118" t="s">
        <v>138</v>
      </c>
      <c r="C3098" s="118" t="s">
        <v>206</v>
      </c>
      <c r="D3098" s="152" t="s">
        <v>3720</v>
      </c>
      <c r="E3098" s="152" t="s">
        <v>3617</v>
      </c>
      <c r="F3098" s="152" t="s">
        <v>269</v>
      </c>
      <c r="G3098" s="152" t="s">
        <v>1856</v>
      </c>
      <c r="H3098" s="153" t="s">
        <v>212</v>
      </c>
    </row>
    <row r="3099" hidden="1">
      <c r="A3099" s="154" t="s">
        <v>228</v>
      </c>
      <c r="B3099" s="155" t="s">
        <v>138</v>
      </c>
      <c r="C3099" s="155" t="s">
        <v>206</v>
      </c>
      <c r="D3099" s="156" t="s">
        <v>3720</v>
      </c>
      <c r="E3099" s="156" t="s">
        <v>3800</v>
      </c>
      <c r="F3099" s="156" t="s">
        <v>458</v>
      </c>
      <c r="G3099" s="156" t="s">
        <v>2779</v>
      </c>
      <c r="H3099" s="157" t="s">
        <v>213</v>
      </c>
    </row>
    <row r="3100" hidden="1">
      <c r="A3100" s="151" t="s">
        <v>228</v>
      </c>
      <c r="B3100" s="118" t="s">
        <v>138</v>
      </c>
      <c r="C3100" s="118" t="s">
        <v>206</v>
      </c>
      <c r="D3100" s="152" t="s">
        <v>3720</v>
      </c>
      <c r="E3100" s="152" t="s">
        <v>3801</v>
      </c>
      <c r="F3100" s="152" t="s">
        <v>276</v>
      </c>
      <c r="G3100" s="152" t="s">
        <v>2718</v>
      </c>
      <c r="H3100" s="153" t="s">
        <v>214</v>
      </c>
    </row>
    <row r="3101" hidden="1">
      <c r="A3101" s="154" t="s">
        <v>228</v>
      </c>
      <c r="B3101" s="155" t="s">
        <v>138</v>
      </c>
      <c r="C3101" s="155" t="s">
        <v>206</v>
      </c>
      <c r="D3101" s="156" t="s">
        <v>3720</v>
      </c>
      <c r="E3101" s="156" t="s">
        <v>3661</v>
      </c>
      <c r="F3101" s="156" t="s">
        <v>204</v>
      </c>
      <c r="G3101" s="156" t="s">
        <v>2401</v>
      </c>
      <c r="H3101" s="157" t="s">
        <v>215</v>
      </c>
    </row>
    <row r="3102" hidden="1">
      <c r="A3102" s="151" t="s">
        <v>228</v>
      </c>
      <c r="B3102" s="118" t="s">
        <v>138</v>
      </c>
      <c r="C3102" s="118" t="s">
        <v>206</v>
      </c>
      <c r="D3102" s="152" t="s">
        <v>3720</v>
      </c>
      <c r="E3102" s="152" t="s">
        <v>3802</v>
      </c>
      <c r="F3102" s="152" t="s">
        <v>255</v>
      </c>
      <c r="G3102" s="152" t="s">
        <v>2718</v>
      </c>
      <c r="H3102" s="153" t="s">
        <v>216</v>
      </c>
    </row>
    <row r="3103" hidden="1">
      <c r="A3103" s="154" t="s">
        <v>229</v>
      </c>
      <c r="B3103" s="155" t="s">
        <v>193</v>
      </c>
      <c r="C3103" s="155" t="s">
        <v>206</v>
      </c>
      <c r="D3103" s="156" t="s">
        <v>3720</v>
      </c>
      <c r="E3103" s="156" t="s">
        <v>3803</v>
      </c>
      <c r="F3103" s="156" t="s">
        <v>359</v>
      </c>
      <c r="G3103" s="156" t="s">
        <v>1932</v>
      </c>
      <c r="H3103" s="157" t="s">
        <v>210</v>
      </c>
    </row>
    <row r="3104" hidden="1">
      <c r="A3104" s="151" t="s">
        <v>229</v>
      </c>
      <c r="B3104" s="118" t="s">
        <v>193</v>
      </c>
      <c r="C3104" s="118" t="s">
        <v>206</v>
      </c>
      <c r="D3104" s="152" t="s">
        <v>3720</v>
      </c>
      <c r="E3104" s="152" t="s">
        <v>3804</v>
      </c>
      <c r="F3104" s="152" t="s">
        <v>534</v>
      </c>
      <c r="G3104" s="152" t="s">
        <v>2393</v>
      </c>
      <c r="H3104" s="153" t="s">
        <v>211</v>
      </c>
    </row>
    <row r="3105" hidden="1">
      <c r="A3105" s="154" t="s">
        <v>229</v>
      </c>
      <c r="B3105" s="155" t="s">
        <v>193</v>
      </c>
      <c r="C3105" s="155" t="s">
        <v>206</v>
      </c>
      <c r="D3105" s="156" t="s">
        <v>3720</v>
      </c>
      <c r="E3105" s="156" t="s">
        <v>3805</v>
      </c>
      <c r="F3105" s="156" t="s">
        <v>240</v>
      </c>
      <c r="G3105" s="156" t="s">
        <v>2221</v>
      </c>
      <c r="H3105" s="157" t="s">
        <v>212</v>
      </c>
    </row>
    <row r="3106" hidden="1">
      <c r="A3106" s="151" t="s">
        <v>229</v>
      </c>
      <c r="B3106" s="118" t="s">
        <v>193</v>
      </c>
      <c r="C3106" s="118" t="s">
        <v>206</v>
      </c>
      <c r="D3106" s="152" t="s">
        <v>3720</v>
      </c>
      <c r="E3106" s="152" t="s">
        <v>3806</v>
      </c>
      <c r="F3106" s="152" t="s">
        <v>308</v>
      </c>
      <c r="G3106" s="152" t="s">
        <v>3523</v>
      </c>
      <c r="H3106" s="153" t="s">
        <v>213</v>
      </c>
    </row>
    <row r="3107" hidden="1">
      <c r="A3107" s="154" t="s">
        <v>229</v>
      </c>
      <c r="B3107" s="155" t="s">
        <v>193</v>
      </c>
      <c r="C3107" s="155" t="s">
        <v>206</v>
      </c>
      <c r="D3107" s="156" t="s">
        <v>3720</v>
      </c>
      <c r="E3107" s="156" t="s">
        <v>3807</v>
      </c>
      <c r="F3107" s="156" t="s">
        <v>450</v>
      </c>
      <c r="G3107" s="156" t="s">
        <v>3312</v>
      </c>
      <c r="H3107" s="157" t="s">
        <v>214</v>
      </c>
    </row>
    <row r="3108" hidden="1">
      <c r="A3108" s="151" t="s">
        <v>229</v>
      </c>
      <c r="B3108" s="118" t="s">
        <v>193</v>
      </c>
      <c r="C3108" s="118" t="s">
        <v>206</v>
      </c>
      <c r="D3108" s="152" t="s">
        <v>3720</v>
      </c>
      <c r="E3108" s="152" t="s">
        <v>3808</v>
      </c>
      <c r="F3108" s="152" t="s">
        <v>336</v>
      </c>
      <c r="G3108" s="152" t="s">
        <v>2450</v>
      </c>
      <c r="H3108" s="153" t="s">
        <v>215</v>
      </c>
    </row>
    <row r="3109" hidden="1">
      <c r="A3109" s="154" t="s">
        <v>229</v>
      </c>
      <c r="B3109" s="155" t="s">
        <v>193</v>
      </c>
      <c r="C3109" s="155" t="s">
        <v>206</v>
      </c>
      <c r="D3109" s="156" t="s">
        <v>3720</v>
      </c>
      <c r="E3109" s="156" t="s">
        <v>3809</v>
      </c>
      <c r="F3109" s="156" t="s">
        <v>308</v>
      </c>
      <c r="G3109" s="156" t="s">
        <v>2230</v>
      </c>
      <c r="H3109" s="157" t="s">
        <v>216</v>
      </c>
    </row>
    <row r="3110" hidden="1">
      <c r="A3110" s="151" t="s">
        <v>230</v>
      </c>
      <c r="B3110" s="118" t="s">
        <v>194</v>
      </c>
      <c r="C3110" s="118" t="s">
        <v>206</v>
      </c>
      <c r="D3110" s="152" t="s">
        <v>3720</v>
      </c>
      <c r="E3110" s="152" t="s">
        <v>3810</v>
      </c>
      <c r="F3110" s="152" t="s">
        <v>339</v>
      </c>
      <c r="G3110" s="152" t="s">
        <v>2189</v>
      </c>
      <c r="H3110" s="153" t="s">
        <v>210</v>
      </c>
    </row>
    <row r="3111" hidden="1">
      <c r="A3111" s="154" t="s">
        <v>230</v>
      </c>
      <c r="B3111" s="155" t="s">
        <v>194</v>
      </c>
      <c r="C3111" s="155" t="s">
        <v>206</v>
      </c>
      <c r="D3111" s="156" t="s">
        <v>3720</v>
      </c>
      <c r="E3111" s="156" t="s">
        <v>3811</v>
      </c>
      <c r="F3111" s="156" t="s">
        <v>310</v>
      </c>
      <c r="G3111" s="156" t="s">
        <v>3812</v>
      </c>
      <c r="H3111" s="157" t="s">
        <v>211</v>
      </c>
    </row>
    <row r="3112" hidden="1">
      <c r="A3112" s="151" t="s">
        <v>230</v>
      </c>
      <c r="B3112" s="118" t="s">
        <v>194</v>
      </c>
      <c r="C3112" s="118" t="s">
        <v>206</v>
      </c>
      <c r="D3112" s="152" t="s">
        <v>3720</v>
      </c>
      <c r="E3112" s="152" t="s">
        <v>3813</v>
      </c>
      <c r="F3112" s="152" t="s">
        <v>725</v>
      </c>
      <c r="G3112" s="152" t="s">
        <v>3618</v>
      </c>
      <c r="H3112" s="153" t="s">
        <v>212</v>
      </c>
    </row>
    <row r="3113" hidden="1">
      <c r="A3113" s="154" t="s">
        <v>230</v>
      </c>
      <c r="B3113" s="155" t="s">
        <v>194</v>
      </c>
      <c r="C3113" s="155" t="s">
        <v>206</v>
      </c>
      <c r="D3113" s="156" t="s">
        <v>3720</v>
      </c>
      <c r="E3113" s="156" t="s">
        <v>3814</v>
      </c>
      <c r="F3113" s="156" t="s">
        <v>310</v>
      </c>
      <c r="G3113" s="156" t="s">
        <v>3815</v>
      </c>
      <c r="H3113" s="157" t="s">
        <v>213</v>
      </c>
    </row>
    <row r="3114" hidden="1">
      <c r="A3114" s="151" t="s">
        <v>230</v>
      </c>
      <c r="B3114" s="118" t="s">
        <v>194</v>
      </c>
      <c r="C3114" s="118" t="s">
        <v>206</v>
      </c>
      <c r="D3114" s="152" t="s">
        <v>3720</v>
      </c>
      <c r="E3114" s="152" t="s">
        <v>3816</v>
      </c>
      <c r="F3114" s="152" t="s">
        <v>534</v>
      </c>
      <c r="G3114" s="152" t="s">
        <v>2348</v>
      </c>
      <c r="H3114" s="153" t="s">
        <v>214</v>
      </c>
    </row>
    <row r="3115" hidden="1">
      <c r="A3115" s="154" t="s">
        <v>230</v>
      </c>
      <c r="B3115" s="155" t="s">
        <v>194</v>
      </c>
      <c r="C3115" s="155" t="s">
        <v>206</v>
      </c>
      <c r="D3115" s="156" t="s">
        <v>3720</v>
      </c>
      <c r="E3115" s="156" t="s">
        <v>3817</v>
      </c>
      <c r="F3115" s="156" t="s">
        <v>453</v>
      </c>
      <c r="G3115" s="156" t="s">
        <v>3818</v>
      </c>
      <c r="H3115" s="157" t="s">
        <v>215</v>
      </c>
    </row>
    <row r="3116" hidden="1">
      <c r="A3116" s="151" t="s">
        <v>230</v>
      </c>
      <c r="B3116" s="118" t="s">
        <v>194</v>
      </c>
      <c r="C3116" s="118" t="s">
        <v>206</v>
      </c>
      <c r="D3116" s="152" t="s">
        <v>3720</v>
      </c>
      <c r="E3116" s="152" t="s">
        <v>3819</v>
      </c>
      <c r="F3116" s="152" t="s">
        <v>339</v>
      </c>
      <c r="G3116" s="152" t="s">
        <v>3820</v>
      </c>
      <c r="H3116" s="153" t="s">
        <v>216</v>
      </c>
    </row>
    <row r="3117" hidden="1">
      <c r="A3117" s="158" t="s">
        <v>231</v>
      </c>
      <c r="B3117" s="159"/>
      <c r="C3117" s="155" t="s">
        <v>232</v>
      </c>
      <c r="D3117" s="156" t="s">
        <v>3720</v>
      </c>
      <c r="E3117" s="156" t="s">
        <v>3821</v>
      </c>
      <c r="F3117" s="156" t="s">
        <v>365</v>
      </c>
      <c r="G3117" s="156" t="s">
        <v>2242</v>
      </c>
      <c r="H3117" s="157" t="s">
        <v>210</v>
      </c>
    </row>
    <row r="3118" hidden="1">
      <c r="A3118" s="160" t="s">
        <v>231</v>
      </c>
      <c r="B3118" s="72"/>
      <c r="C3118" s="118" t="s">
        <v>232</v>
      </c>
      <c r="D3118" s="152" t="s">
        <v>3720</v>
      </c>
      <c r="E3118" s="152" t="s">
        <v>3822</v>
      </c>
      <c r="F3118" s="152" t="s">
        <v>374</v>
      </c>
      <c r="G3118" s="152" t="s">
        <v>2779</v>
      </c>
      <c r="H3118" s="153" t="s">
        <v>211</v>
      </c>
    </row>
    <row r="3119" hidden="1">
      <c r="A3119" s="158" t="s">
        <v>231</v>
      </c>
      <c r="B3119" s="159"/>
      <c r="C3119" s="155" t="s">
        <v>232</v>
      </c>
      <c r="D3119" s="156" t="s">
        <v>3720</v>
      </c>
      <c r="E3119" s="156" t="s">
        <v>3823</v>
      </c>
      <c r="F3119" s="156" t="s">
        <v>314</v>
      </c>
      <c r="G3119" s="156" t="s">
        <v>2410</v>
      </c>
      <c r="H3119" s="157" t="s">
        <v>212</v>
      </c>
    </row>
    <row r="3120" hidden="1">
      <c r="A3120" s="160" t="s">
        <v>231</v>
      </c>
      <c r="B3120" s="72"/>
      <c r="C3120" s="118" t="s">
        <v>232</v>
      </c>
      <c r="D3120" s="152" t="s">
        <v>3720</v>
      </c>
      <c r="E3120" s="152" t="s">
        <v>3824</v>
      </c>
      <c r="F3120" s="152" t="s">
        <v>242</v>
      </c>
      <c r="G3120" s="152" t="s">
        <v>3001</v>
      </c>
      <c r="H3120" s="153" t="s">
        <v>213</v>
      </c>
    </row>
    <row r="3121" hidden="1">
      <c r="A3121" s="158" t="s">
        <v>231</v>
      </c>
      <c r="B3121" s="159"/>
      <c r="C3121" s="155" t="s">
        <v>232</v>
      </c>
      <c r="D3121" s="156" t="s">
        <v>3720</v>
      </c>
      <c r="E3121" s="156" t="s">
        <v>3825</v>
      </c>
      <c r="F3121" s="156" t="s">
        <v>204</v>
      </c>
      <c r="G3121" s="156" t="s">
        <v>2045</v>
      </c>
      <c r="H3121" s="157" t="s">
        <v>214</v>
      </c>
    </row>
    <row r="3122" hidden="1">
      <c r="A3122" s="160" t="s">
        <v>231</v>
      </c>
      <c r="B3122" s="72"/>
      <c r="C3122" s="118" t="s">
        <v>232</v>
      </c>
      <c r="D3122" s="152" t="s">
        <v>3720</v>
      </c>
      <c r="E3122" s="152" t="s">
        <v>3826</v>
      </c>
      <c r="F3122" s="152" t="s">
        <v>301</v>
      </c>
      <c r="G3122" s="152" t="s">
        <v>2138</v>
      </c>
      <c r="H3122" s="153" t="s">
        <v>215</v>
      </c>
    </row>
    <row r="3123" hidden="1">
      <c r="A3123" s="158" t="s">
        <v>231</v>
      </c>
      <c r="B3123" s="159"/>
      <c r="C3123" s="155" t="s">
        <v>232</v>
      </c>
      <c r="D3123" s="156" t="s">
        <v>3720</v>
      </c>
      <c r="E3123" s="156" t="s">
        <v>3827</v>
      </c>
      <c r="F3123" s="156" t="s">
        <v>287</v>
      </c>
      <c r="G3123" s="156" t="s">
        <v>2041</v>
      </c>
      <c r="H3123" s="157" t="s">
        <v>216</v>
      </c>
    </row>
    <row r="3124" hidden="1">
      <c r="A3124" s="160" t="s">
        <v>233</v>
      </c>
      <c r="B3124" s="72"/>
      <c r="C3124" s="118" t="s">
        <v>232</v>
      </c>
      <c r="D3124" s="152" t="s">
        <v>3720</v>
      </c>
      <c r="E3124" s="152" t="s">
        <v>3828</v>
      </c>
      <c r="F3124" s="152" t="s">
        <v>290</v>
      </c>
      <c r="G3124" s="152" t="s">
        <v>3207</v>
      </c>
      <c r="H3124" s="153" t="s">
        <v>210</v>
      </c>
    </row>
    <row r="3125" hidden="1">
      <c r="A3125" s="158" t="s">
        <v>233</v>
      </c>
      <c r="B3125" s="159"/>
      <c r="C3125" s="155" t="s">
        <v>232</v>
      </c>
      <c r="D3125" s="156" t="s">
        <v>3720</v>
      </c>
      <c r="E3125" s="156" t="s">
        <v>3829</v>
      </c>
      <c r="F3125" s="156" t="s">
        <v>249</v>
      </c>
      <c r="G3125" s="156" t="s">
        <v>2006</v>
      </c>
      <c r="H3125" s="157" t="s">
        <v>211</v>
      </c>
    </row>
    <row r="3126" hidden="1">
      <c r="A3126" s="160" t="s">
        <v>233</v>
      </c>
      <c r="B3126" s="72"/>
      <c r="C3126" s="118" t="s">
        <v>232</v>
      </c>
      <c r="D3126" s="152" t="s">
        <v>3720</v>
      </c>
      <c r="E3126" s="152" t="s">
        <v>3830</v>
      </c>
      <c r="F3126" s="152" t="s">
        <v>249</v>
      </c>
      <c r="G3126" s="152" t="s">
        <v>3209</v>
      </c>
      <c r="H3126" s="153" t="s">
        <v>212</v>
      </c>
    </row>
    <row r="3127" hidden="1">
      <c r="A3127" s="158" t="s">
        <v>233</v>
      </c>
      <c r="B3127" s="159"/>
      <c r="C3127" s="155" t="s">
        <v>232</v>
      </c>
      <c r="D3127" s="156" t="s">
        <v>3720</v>
      </c>
      <c r="E3127" s="156" t="s">
        <v>3831</v>
      </c>
      <c r="F3127" s="156" t="s">
        <v>359</v>
      </c>
      <c r="G3127" s="156" t="s">
        <v>3478</v>
      </c>
      <c r="H3127" s="157" t="s">
        <v>213</v>
      </c>
    </row>
    <row r="3128" hidden="1">
      <c r="A3128" s="160" t="s">
        <v>233</v>
      </c>
      <c r="B3128" s="72"/>
      <c r="C3128" s="118" t="s">
        <v>232</v>
      </c>
      <c r="D3128" s="152" t="s">
        <v>3720</v>
      </c>
      <c r="E3128" s="152" t="s">
        <v>3832</v>
      </c>
      <c r="F3128" s="152" t="s">
        <v>331</v>
      </c>
      <c r="G3128" s="152" t="s">
        <v>2663</v>
      </c>
      <c r="H3128" s="153" t="s">
        <v>214</v>
      </c>
    </row>
    <row r="3129" hidden="1">
      <c r="A3129" s="158" t="s">
        <v>233</v>
      </c>
      <c r="B3129" s="159"/>
      <c r="C3129" s="155" t="s">
        <v>232</v>
      </c>
      <c r="D3129" s="156" t="s">
        <v>3720</v>
      </c>
      <c r="E3129" s="156" t="s">
        <v>3833</v>
      </c>
      <c r="F3129" s="156" t="s">
        <v>534</v>
      </c>
      <c r="G3129" s="156" t="s">
        <v>3558</v>
      </c>
      <c r="H3129" s="157" t="s">
        <v>215</v>
      </c>
    </row>
    <row r="3130" hidden="1">
      <c r="A3130" s="160" t="s">
        <v>233</v>
      </c>
      <c r="B3130" s="72"/>
      <c r="C3130" s="118" t="s">
        <v>232</v>
      </c>
      <c r="D3130" s="152" t="s">
        <v>3720</v>
      </c>
      <c r="E3130" s="152" t="s">
        <v>3834</v>
      </c>
      <c r="F3130" s="152" t="s">
        <v>308</v>
      </c>
      <c r="G3130" s="152" t="s">
        <v>3142</v>
      </c>
      <c r="H3130" s="153" t="s">
        <v>216</v>
      </c>
    </row>
    <row r="3131" hidden="1">
      <c r="A3131" s="158" t="s">
        <v>234</v>
      </c>
      <c r="B3131" s="159"/>
      <c r="C3131" s="155" t="s">
        <v>232</v>
      </c>
      <c r="D3131" s="156" t="s">
        <v>3720</v>
      </c>
      <c r="E3131" s="156" t="s">
        <v>3835</v>
      </c>
      <c r="F3131" s="156" t="s">
        <v>331</v>
      </c>
      <c r="G3131" s="156" t="s">
        <v>3618</v>
      </c>
      <c r="H3131" s="157" t="s">
        <v>210</v>
      </c>
    </row>
    <row r="3132" hidden="1">
      <c r="A3132" s="160" t="s">
        <v>234</v>
      </c>
      <c r="B3132" s="72"/>
      <c r="C3132" s="118" t="s">
        <v>232</v>
      </c>
      <c r="D3132" s="152" t="s">
        <v>3720</v>
      </c>
      <c r="E3132" s="152" t="s">
        <v>3836</v>
      </c>
      <c r="F3132" s="152" t="s">
        <v>359</v>
      </c>
      <c r="G3132" s="152" t="s">
        <v>2822</v>
      </c>
      <c r="H3132" s="153" t="s">
        <v>211</v>
      </c>
    </row>
    <row r="3133" hidden="1">
      <c r="A3133" s="158" t="s">
        <v>234</v>
      </c>
      <c r="B3133" s="159"/>
      <c r="C3133" s="155" t="s">
        <v>232</v>
      </c>
      <c r="D3133" s="156" t="s">
        <v>3720</v>
      </c>
      <c r="E3133" s="156" t="s">
        <v>3837</v>
      </c>
      <c r="F3133" s="156" t="s">
        <v>323</v>
      </c>
      <c r="G3133" s="156" t="s">
        <v>3838</v>
      </c>
      <c r="H3133" s="157" t="s">
        <v>212</v>
      </c>
    </row>
    <row r="3134" hidden="1">
      <c r="A3134" s="160" t="s">
        <v>234</v>
      </c>
      <c r="B3134" s="72"/>
      <c r="C3134" s="118" t="s">
        <v>232</v>
      </c>
      <c r="D3134" s="152" t="s">
        <v>3720</v>
      </c>
      <c r="E3134" s="152" t="s">
        <v>3839</v>
      </c>
      <c r="F3134" s="152" t="s">
        <v>321</v>
      </c>
      <c r="G3134" s="152" t="s">
        <v>3840</v>
      </c>
      <c r="H3134" s="153" t="s">
        <v>213</v>
      </c>
    </row>
    <row r="3135" hidden="1">
      <c r="A3135" s="158" t="s">
        <v>234</v>
      </c>
      <c r="B3135" s="159"/>
      <c r="C3135" s="155" t="s">
        <v>232</v>
      </c>
      <c r="D3135" s="156" t="s">
        <v>3720</v>
      </c>
      <c r="E3135" s="156" t="s">
        <v>3841</v>
      </c>
      <c r="F3135" s="156" t="s">
        <v>249</v>
      </c>
      <c r="G3135" s="156" t="s">
        <v>3790</v>
      </c>
      <c r="H3135" s="157" t="s">
        <v>214</v>
      </c>
    </row>
    <row r="3136" hidden="1">
      <c r="A3136" s="160" t="s">
        <v>234</v>
      </c>
      <c r="B3136" s="72"/>
      <c r="C3136" s="118" t="s">
        <v>232</v>
      </c>
      <c r="D3136" s="152" t="s">
        <v>3720</v>
      </c>
      <c r="E3136" s="152" t="s">
        <v>3842</v>
      </c>
      <c r="F3136" s="152" t="s">
        <v>314</v>
      </c>
      <c r="G3136" s="152" t="s">
        <v>3537</v>
      </c>
      <c r="H3136" s="153" t="s">
        <v>215</v>
      </c>
    </row>
    <row r="3137" hidden="1">
      <c r="A3137" s="158" t="s">
        <v>234</v>
      </c>
      <c r="B3137" s="159"/>
      <c r="C3137" s="155" t="s">
        <v>232</v>
      </c>
      <c r="D3137" s="156" t="s">
        <v>3720</v>
      </c>
      <c r="E3137" s="156" t="s">
        <v>3843</v>
      </c>
      <c r="F3137" s="156" t="s">
        <v>249</v>
      </c>
      <c r="G3137" s="156" t="s">
        <v>3844</v>
      </c>
      <c r="H3137" s="157" t="s">
        <v>216</v>
      </c>
    </row>
    <row r="3138" hidden="1">
      <c r="A3138" s="160" t="s">
        <v>235</v>
      </c>
      <c r="B3138" s="72"/>
      <c r="C3138" s="118" t="s">
        <v>236</v>
      </c>
      <c r="D3138" s="152" t="s">
        <v>3720</v>
      </c>
      <c r="E3138" s="152" t="s">
        <v>3845</v>
      </c>
      <c r="F3138" s="152" t="s">
        <v>357</v>
      </c>
      <c r="G3138" s="152" t="s">
        <v>2519</v>
      </c>
      <c r="H3138" s="153" t="s">
        <v>210</v>
      </c>
    </row>
    <row r="3139" hidden="1">
      <c r="A3139" s="158" t="s">
        <v>235</v>
      </c>
      <c r="B3139" s="159"/>
      <c r="C3139" s="155" t="s">
        <v>236</v>
      </c>
      <c r="D3139" s="156" t="s">
        <v>3720</v>
      </c>
      <c r="E3139" s="156" t="s">
        <v>3846</v>
      </c>
      <c r="F3139" s="156" t="s">
        <v>357</v>
      </c>
      <c r="G3139" s="156" t="s">
        <v>3200</v>
      </c>
      <c r="H3139" s="157" t="s">
        <v>211</v>
      </c>
    </row>
    <row r="3140" hidden="1">
      <c r="A3140" s="160" t="s">
        <v>235</v>
      </c>
      <c r="B3140" s="72"/>
      <c r="C3140" s="118" t="s">
        <v>236</v>
      </c>
      <c r="D3140" s="152" t="s">
        <v>3720</v>
      </c>
      <c r="E3140" s="152" t="s">
        <v>3847</v>
      </c>
      <c r="F3140" s="152" t="s">
        <v>323</v>
      </c>
      <c r="G3140" s="152" t="s">
        <v>2354</v>
      </c>
      <c r="H3140" s="153" t="s">
        <v>212</v>
      </c>
    </row>
    <row r="3141" hidden="1">
      <c r="A3141" s="158" t="s">
        <v>235</v>
      </c>
      <c r="B3141" s="159"/>
      <c r="C3141" s="155" t="s">
        <v>236</v>
      </c>
      <c r="D3141" s="156" t="s">
        <v>3720</v>
      </c>
      <c r="E3141" s="156" t="s">
        <v>3848</v>
      </c>
      <c r="F3141" s="156" t="s">
        <v>357</v>
      </c>
      <c r="G3141" s="156" t="s">
        <v>1791</v>
      </c>
      <c r="H3141" s="157" t="s">
        <v>213</v>
      </c>
    </row>
    <row r="3142" hidden="1">
      <c r="A3142" s="160" t="s">
        <v>235</v>
      </c>
      <c r="B3142" s="72"/>
      <c r="C3142" s="118" t="s">
        <v>236</v>
      </c>
      <c r="D3142" s="152" t="s">
        <v>3720</v>
      </c>
      <c r="E3142" s="152" t="s">
        <v>3849</v>
      </c>
      <c r="F3142" s="152" t="s">
        <v>323</v>
      </c>
      <c r="G3142" s="152" t="s">
        <v>2348</v>
      </c>
      <c r="H3142" s="153" t="s">
        <v>214</v>
      </c>
    </row>
    <row r="3143" hidden="1">
      <c r="A3143" s="158" t="s">
        <v>235</v>
      </c>
      <c r="B3143" s="159"/>
      <c r="C3143" s="155" t="s">
        <v>236</v>
      </c>
      <c r="D3143" s="156" t="s">
        <v>3720</v>
      </c>
      <c r="E3143" s="156" t="s">
        <v>3850</v>
      </c>
      <c r="F3143" s="156" t="s">
        <v>314</v>
      </c>
      <c r="G3143" s="156" t="s">
        <v>3820</v>
      </c>
      <c r="H3143" s="157" t="s">
        <v>215</v>
      </c>
    </row>
    <row r="3144" hidden="1">
      <c r="A3144" s="160" t="s">
        <v>235</v>
      </c>
      <c r="B3144" s="72"/>
      <c r="C3144" s="118" t="s">
        <v>236</v>
      </c>
      <c r="D3144" s="152" t="s">
        <v>3720</v>
      </c>
      <c r="E3144" s="152" t="s">
        <v>3851</v>
      </c>
      <c r="F3144" s="152" t="s">
        <v>357</v>
      </c>
      <c r="G3144" s="152" t="s">
        <v>2965</v>
      </c>
      <c r="H3144" s="153" t="s">
        <v>216</v>
      </c>
    </row>
    <row r="3145" hidden="1">
      <c r="A3145" s="158" t="s">
        <v>237</v>
      </c>
      <c r="B3145" s="159"/>
      <c r="C3145" s="155" t="s">
        <v>236</v>
      </c>
      <c r="D3145" s="156" t="s">
        <v>3720</v>
      </c>
      <c r="E3145" s="156" t="s">
        <v>3852</v>
      </c>
      <c r="F3145" s="156" t="s">
        <v>799</v>
      </c>
      <c r="G3145" s="156" t="s">
        <v>3278</v>
      </c>
      <c r="H3145" s="157" t="s">
        <v>210</v>
      </c>
    </row>
    <row r="3146" hidden="1">
      <c r="A3146" s="160" t="s">
        <v>237</v>
      </c>
      <c r="B3146" s="72"/>
      <c r="C3146" s="118" t="s">
        <v>236</v>
      </c>
      <c r="D3146" s="152" t="s">
        <v>3720</v>
      </c>
      <c r="E3146" s="152" t="s">
        <v>3853</v>
      </c>
      <c r="F3146" s="152" t="s">
        <v>305</v>
      </c>
      <c r="G3146" s="152" t="s">
        <v>3523</v>
      </c>
      <c r="H3146" s="153" t="s">
        <v>211</v>
      </c>
    </row>
    <row r="3147" hidden="1">
      <c r="A3147" s="158" t="s">
        <v>237</v>
      </c>
      <c r="B3147" s="159"/>
      <c r="C3147" s="155" t="s">
        <v>236</v>
      </c>
      <c r="D3147" s="156" t="s">
        <v>3720</v>
      </c>
      <c r="E3147" s="156" t="s">
        <v>3854</v>
      </c>
      <c r="F3147" s="156" t="s">
        <v>336</v>
      </c>
      <c r="G3147" s="156" t="s">
        <v>1927</v>
      </c>
      <c r="H3147" s="157" t="s">
        <v>212</v>
      </c>
    </row>
    <row r="3148" hidden="1">
      <c r="A3148" s="160" t="s">
        <v>237</v>
      </c>
      <c r="B3148" s="72"/>
      <c r="C3148" s="118" t="s">
        <v>236</v>
      </c>
      <c r="D3148" s="152" t="s">
        <v>3720</v>
      </c>
      <c r="E3148" s="152" t="s">
        <v>3855</v>
      </c>
      <c r="F3148" s="152" t="s">
        <v>339</v>
      </c>
      <c r="G3148" s="152" t="s">
        <v>3057</v>
      </c>
      <c r="H3148" s="153" t="s">
        <v>213</v>
      </c>
    </row>
    <row r="3149" hidden="1">
      <c r="A3149" s="158" t="s">
        <v>237</v>
      </c>
      <c r="B3149" s="159"/>
      <c r="C3149" s="155" t="s">
        <v>236</v>
      </c>
      <c r="D3149" s="156" t="s">
        <v>3720</v>
      </c>
      <c r="E3149" s="156" t="s">
        <v>3856</v>
      </c>
      <c r="F3149" s="156" t="s">
        <v>427</v>
      </c>
      <c r="G3149" s="156" t="s">
        <v>3513</v>
      </c>
      <c r="H3149" s="157" t="s">
        <v>214</v>
      </c>
    </row>
    <row r="3150" hidden="1">
      <c r="A3150" s="160" t="s">
        <v>237</v>
      </c>
      <c r="B3150" s="72"/>
      <c r="C3150" s="118" t="s">
        <v>236</v>
      </c>
      <c r="D3150" s="152" t="s">
        <v>3720</v>
      </c>
      <c r="E3150" s="152" t="s">
        <v>3857</v>
      </c>
      <c r="F3150" s="152" t="s">
        <v>310</v>
      </c>
      <c r="G3150" s="152" t="s">
        <v>3057</v>
      </c>
      <c r="H3150" s="153" t="s">
        <v>215</v>
      </c>
    </row>
    <row r="3151" hidden="1">
      <c r="A3151" s="158" t="s">
        <v>237</v>
      </c>
      <c r="B3151" s="159"/>
      <c r="C3151" s="155" t="s">
        <v>236</v>
      </c>
      <c r="D3151" s="156" t="s">
        <v>3720</v>
      </c>
      <c r="E3151" s="156" t="s">
        <v>3858</v>
      </c>
      <c r="F3151" s="156" t="s">
        <v>450</v>
      </c>
      <c r="G3151" s="156" t="s">
        <v>2989</v>
      </c>
      <c r="H3151" s="157" t="s">
        <v>216</v>
      </c>
    </row>
    <row r="3152" hidden="1">
      <c r="A3152" s="151" t="s">
        <v>204</v>
      </c>
      <c r="B3152" s="118" t="s">
        <v>205</v>
      </c>
      <c r="C3152" s="118" t="s">
        <v>206</v>
      </c>
      <c r="D3152" s="152" t="s">
        <v>3859</v>
      </c>
      <c r="E3152" s="152" t="s">
        <v>3860</v>
      </c>
      <c r="F3152" s="152" t="s">
        <v>331</v>
      </c>
      <c r="G3152" s="152" t="s">
        <v>3570</v>
      </c>
      <c r="H3152" s="153" t="s">
        <v>210</v>
      </c>
    </row>
    <row r="3153" hidden="1">
      <c r="A3153" s="154" t="s">
        <v>204</v>
      </c>
      <c r="B3153" s="155" t="s">
        <v>205</v>
      </c>
      <c r="C3153" s="155" t="s">
        <v>206</v>
      </c>
      <c r="D3153" s="156" t="s">
        <v>3859</v>
      </c>
      <c r="E3153" s="156" t="s">
        <v>3861</v>
      </c>
      <c r="F3153" s="156" t="s">
        <v>290</v>
      </c>
      <c r="G3153" s="156" t="s">
        <v>3410</v>
      </c>
      <c r="H3153" s="157" t="s">
        <v>211</v>
      </c>
    </row>
    <row r="3154" hidden="1">
      <c r="A3154" s="151" t="s">
        <v>204</v>
      </c>
      <c r="B3154" s="118" t="s">
        <v>205</v>
      </c>
      <c r="C3154" s="118" t="s">
        <v>206</v>
      </c>
      <c r="D3154" s="152" t="s">
        <v>3859</v>
      </c>
      <c r="E3154" s="152" t="s">
        <v>3862</v>
      </c>
      <c r="F3154" s="152" t="s">
        <v>339</v>
      </c>
      <c r="G3154" s="152" t="s">
        <v>3200</v>
      </c>
      <c r="H3154" s="153" t="s">
        <v>212</v>
      </c>
    </row>
    <row r="3155" hidden="1">
      <c r="A3155" s="154" t="s">
        <v>204</v>
      </c>
      <c r="B3155" s="155" t="s">
        <v>205</v>
      </c>
      <c r="C3155" s="155" t="s">
        <v>206</v>
      </c>
      <c r="D3155" s="156" t="s">
        <v>3859</v>
      </c>
      <c r="E3155" s="156" t="s">
        <v>3863</v>
      </c>
      <c r="F3155" s="156" t="s">
        <v>305</v>
      </c>
      <c r="G3155" s="156" t="s">
        <v>2665</v>
      </c>
      <c r="H3155" s="157" t="s">
        <v>213</v>
      </c>
    </row>
    <row r="3156" hidden="1">
      <c r="A3156" s="151" t="s">
        <v>204</v>
      </c>
      <c r="B3156" s="118" t="s">
        <v>205</v>
      </c>
      <c r="C3156" s="118" t="s">
        <v>206</v>
      </c>
      <c r="D3156" s="152" t="s">
        <v>3859</v>
      </c>
      <c r="E3156" s="152" t="s">
        <v>3864</v>
      </c>
      <c r="F3156" s="152" t="s">
        <v>290</v>
      </c>
      <c r="G3156" s="152" t="s">
        <v>3618</v>
      </c>
      <c r="H3156" s="153" t="s">
        <v>214</v>
      </c>
    </row>
    <row r="3157" hidden="1">
      <c r="A3157" s="154" t="s">
        <v>204</v>
      </c>
      <c r="B3157" s="155" t="s">
        <v>205</v>
      </c>
      <c r="C3157" s="155" t="s">
        <v>206</v>
      </c>
      <c r="D3157" s="156" t="s">
        <v>3859</v>
      </c>
      <c r="E3157" s="156" t="s">
        <v>3865</v>
      </c>
      <c r="F3157" s="156" t="s">
        <v>534</v>
      </c>
      <c r="G3157" s="156" t="s">
        <v>3815</v>
      </c>
      <c r="H3157" s="157" t="s">
        <v>215</v>
      </c>
    </row>
    <row r="3158" hidden="1">
      <c r="A3158" s="151" t="s">
        <v>204</v>
      </c>
      <c r="B3158" s="118" t="s">
        <v>205</v>
      </c>
      <c r="C3158" s="118" t="s">
        <v>206</v>
      </c>
      <c r="D3158" s="152" t="s">
        <v>3859</v>
      </c>
      <c r="E3158" s="152" t="s">
        <v>3866</v>
      </c>
      <c r="F3158" s="152" t="s">
        <v>290</v>
      </c>
      <c r="G3158" s="152" t="s">
        <v>2354</v>
      </c>
      <c r="H3158" s="153" t="s">
        <v>216</v>
      </c>
    </row>
    <row r="3159" hidden="1">
      <c r="A3159" s="154" t="s">
        <v>217</v>
      </c>
      <c r="B3159" s="155" t="s">
        <v>191</v>
      </c>
      <c r="C3159" s="155" t="s">
        <v>206</v>
      </c>
      <c r="D3159" s="156" t="s">
        <v>3859</v>
      </c>
      <c r="E3159" s="156" t="s">
        <v>3867</v>
      </c>
      <c r="F3159" s="156" t="s">
        <v>325</v>
      </c>
      <c r="G3159" s="156" t="s">
        <v>1995</v>
      </c>
      <c r="H3159" s="157" t="s">
        <v>210</v>
      </c>
    </row>
    <row r="3160" hidden="1">
      <c r="A3160" s="151" t="s">
        <v>217</v>
      </c>
      <c r="B3160" s="118" t="s">
        <v>191</v>
      </c>
      <c r="C3160" s="118" t="s">
        <v>206</v>
      </c>
      <c r="D3160" s="152" t="s">
        <v>3859</v>
      </c>
      <c r="E3160" s="152" t="s">
        <v>3868</v>
      </c>
      <c r="F3160" s="152" t="s">
        <v>534</v>
      </c>
      <c r="G3160" s="152" t="s">
        <v>2508</v>
      </c>
      <c r="H3160" s="153" t="s">
        <v>211</v>
      </c>
    </row>
    <row r="3161" hidden="1">
      <c r="A3161" s="154" t="s">
        <v>217</v>
      </c>
      <c r="B3161" s="155" t="s">
        <v>191</v>
      </c>
      <c r="C3161" s="155" t="s">
        <v>206</v>
      </c>
      <c r="D3161" s="156" t="s">
        <v>3859</v>
      </c>
      <c r="E3161" s="156" t="s">
        <v>3869</v>
      </c>
      <c r="F3161" s="156" t="s">
        <v>305</v>
      </c>
      <c r="G3161" s="156" t="s">
        <v>2508</v>
      </c>
      <c r="H3161" s="157" t="s">
        <v>212</v>
      </c>
    </row>
    <row r="3162" hidden="1">
      <c r="A3162" s="151" t="s">
        <v>217</v>
      </c>
      <c r="B3162" s="118" t="s">
        <v>191</v>
      </c>
      <c r="C3162" s="118" t="s">
        <v>206</v>
      </c>
      <c r="D3162" s="152" t="s">
        <v>3859</v>
      </c>
      <c r="E3162" s="152" t="s">
        <v>3870</v>
      </c>
      <c r="F3162" s="152" t="s">
        <v>305</v>
      </c>
      <c r="G3162" s="152" t="s">
        <v>3272</v>
      </c>
      <c r="H3162" s="153" t="s">
        <v>213</v>
      </c>
    </row>
    <row r="3163" hidden="1">
      <c r="A3163" s="154" t="s">
        <v>217</v>
      </c>
      <c r="B3163" s="155" t="s">
        <v>191</v>
      </c>
      <c r="C3163" s="155" t="s">
        <v>206</v>
      </c>
      <c r="D3163" s="156" t="s">
        <v>3859</v>
      </c>
      <c r="E3163" s="156" t="s">
        <v>3871</v>
      </c>
      <c r="F3163" s="156" t="s">
        <v>331</v>
      </c>
      <c r="G3163" s="156" t="s">
        <v>3872</v>
      </c>
      <c r="H3163" s="157" t="s">
        <v>214</v>
      </c>
    </row>
    <row r="3164" hidden="1">
      <c r="A3164" s="151" t="s">
        <v>217</v>
      </c>
      <c r="B3164" s="118" t="s">
        <v>191</v>
      </c>
      <c r="C3164" s="118" t="s">
        <v>206</v>
      </c>
      <c r="D3164" s="152" t="s">
        <v>3859</v>
      </c>
      <c r="E3164" s="152" t="s">
        <v>3873</v>
      </c>
      <c r="F3164" s="152" t="s">
        <v>249</v>
      </c>
      <c r="G3164" s="152" t="s">
        <v>2352</v>
      </c>
      <c r="H3164" s="153" t="s">
        <v>215</v>
      </c>
    </row>
    <row r="3165" hidden="1">
      <c r="A3165" s="154" t="s">
        <v>217</v>
      </c>
      <c r="B3165" s="155" t="s">
        <v>191</v>
      </c>
      <c r="C3165" s="155" t="s">
        <v>206</v>
      </c>
      <c r="D3165" s="156" t="s">
        <v>3859</v>
      </c>
      <c r="E3165" s="156" t="s">
        <v>3874</v>
      </c>
      <c r="F3165" s="156" t="s">
        <v>339</v>
      </c>
      <c r="G3165" s="156" t="s">
        <v>3875</v>
      </c>
      <c r="H3165" s="157" t="s">
        <v>216</v>
      </c>
    </row>
    <row r="3166" hidden="1">
      <c r="A3166" s="151" t="s">
        <v>218</v>
      </c>
      <c r="B3166" s="118" t="s">
        <v>219</v>
      </c>
      <c r="C3166" s="118" t="s">
        <v>206</v>
      </c>
      <c r="D3166" s="152" t="s">
        <v>3859</v>
      </c>
      <c r="E3166" s="152" t="s">
        <v>3876</v>
      </c>
      <c r="F3166" s="152" t="s">
        <v>325</v>
      </c>
      <c r="G3166" s="152" t="s">
        <v>3010</v>
      </c>
      <c r="H3166" s="153" t="s">
        <v>210</v>
      </c>
    </row>
    <row r="3167" hidden="1">
      <c r="A3167" s="154" t="s">
        <v>218</v>
      </c>
      <c r="B3167" s="155" t="s">
        <v>219</v>
      </c>
      <c r="C3167" s="155" t="s">
        <v>206</v>
      </c>
      <c r="D3167" s="156" t="s">
        <v>3859</v>
      </c>
      <c r="E3167" s="156" t="s">
        <v>3877</v>
      </c>
      <c r="F3167" s="156" t="s">
        <v>305</v>
      </c>
      <c r="G3167" s="156" t="s">
        <v>2398</v>
      </c>
      <c r="H3167" s="157" t="s">
        <v>211</v>
      </c>
    </row>
    <row r="3168" hidden="1">
      <c r="A3168" s="151" t="s">
        <v>218</v>
      </c>
      <c r="B3168" s="118" t="s">
        <v>219</v>
      </c>
      <c r="C3168" s="118" t="s">
        <v>206</v>
      </c>
      <c r="D3168" s="152" t="s">
        <v>3859</v>
      </c>
      <c r="E3168" s="152" t="s">
        <v>3878</v>
      </c>
      <c r="F3168" s="152" t="s">
        <v>359</v>
      </c>
      <c r="G3168" s="152" t="s">
        <v>1816</v>
      </c>
      <c r="H3168" s="153" t="s">
        <v>212</v>
      </c>
    </row>
    <row r="3169" hidden="1">
      <c r="A3169" s="154" t="s">
        <v>218</v>
      </c>
      <c r="B3169" s="155" t="s">
        <v>219</v>
      </c>
      <c r="C3169" s="155" t="s">
        <v>206</v>
      </c>
      <c r="D3169" s="156" t="s">
        <v>3859</v>
      </c>
      <c r="E3169" s="156" t="s">
        <v>3879</v>
      </c>
      <c r="F3169" s="156" t="s">
        <v>427</v>
      </c>
      <c r="G3169" s="156" t="s">
        <v>1836</v>
      </c>
      <c r="H3169" s="157" t="s">
        <v>213</v>
      </c>
    </row>
    <row r="3170" hidden="1">
      <c r="A3170" s="151" t="s">
        <v>218</v>
      </c>
      <c r="B3170" s="118" t="s">
        <v>219</v>
      </c>
      <c r="C3170" s="118" t="s">
        <v>206</v>
      </c>
      <c r="D3170" s="152" t="s">
        <v>3859</v>
      </c>
      <c r="E3170" s="152" t="s">
        <v>3880</v>
      </c>
      <c r="F3170" s="152" t="s">
        <v>310</v>
      </c>
      <c r="G3170" s="152" t="s">
        <v>2697</v>
      </c>
      <c r="H3170" s="153" t="s">
        <v>214</v>
      </c>
    </row>
    <row r="3171" hidden="1">
      <c r="A3171" s="154" t="s">
        <v>218</v>
      </c>
      <c r="B3171" s="155" t="s">
        <v>219</v>
      </c>
      <c r="C3171" s="155" t="s">
        <v>206</v>
      </c>
      <c r="D3171" s="156" t="s">
        <v>3859</v>
      </c>
      <c r="E3171" s="156" t="s">
        <v>3881</v>
      </c>
      <c r="F3171" s="156" t="s">
        <v>336</v>
      </c>
      <c r="G3171" s="156" t="s">
        <v>2880</v>
      </c>
      <c r="H3171" s="157" t="s">
        <v>215</v>
      </c>
    </row>
    <row r="3172" hidden="1">
      <c r="A3172" s="151" t="s">
        <v>218</v>
      </c>
      <c r="B3172" s="118" t="s">
        <v>219</v>
      </c>
      <c r="C3172" s="118" t="s">
        <v>206</v>
      </c>
      <c r="D3172" s="152" t="s">
        <v>3859</v>
      </c>
      <c r="E3172" s="152" t="s">
        <v>3882</v>
      </c>
      <c r="F3172" s="152" t="s">
        <v>427</v>
      </c>
      <c r="G3172" s="152" t="s">
        <v>1856</v>
      </c>
      <c r="H3172" s="153" t="s">
        <v>216</v>
      </c>
    </row>
    <row r="3173" hidden="1">
      <c r="A3173" s="154" t="s">
        <v>220</v>
      </c>
      <c r="B3173" s="155" t="s">
        <v>190</v>
      </c>
      <c r="C3173" s="155" t="s">
        <v>206</v>
      </c>
      <c r="D3173" s="156" t="s">
        <v>3859</v>
      </c>
      <c r="E3173" s="156" t="s">
        <v>3883</v>
      </c>
      <c r="F3173" s="156" t="s">
        <v>1236</v>
      </c>
      <c r="G3173" s="156" t="s">
        <v>2221</v>
      </c>
      <c r="H3173" s="157" t="s">
        <v>210</v>
      </c>
    </row>
    <row r="3174" hidden="1">
      <c r="A3174" s="151" t="s">
        <v>220</v>
      </c>
      <c r="B3174" s="118" t="s">
        <v>190</v>
      </c>
      <c r="C3174" s="118" t="s">
        <v>206</v>
      </c>
      <c r="D3174" s="152" t="s">
        <v>3859</v>
      </c>
      <c r="E3174" s="152" t="s">
        <v>3884</v>
      </c>
      <c r="F3174" s="152" t="s">
        <v>282</v>
      </c>
      <c r="G3174" s="152" t="s">
        <v>3010</v>
      </c>
      <c r="H3174" s="153" t="s">
        <v>211</v>
      </c>
    </row>
    <row r="3175" hidden="1">
      <c r="A3175" s="154" t="s">
        <v>220</v>
      </c>
      <c r="B3175" s="155" t="s">
        <v>190</v>
      </c>
      <c r="C3175" s="155" t="s">
        <v>206</v>
      </c>
      <c r="D3175" s="156" t="s">
        <v>3859</v>
      </c>
      <c r="E3175" s="156" t="s">
        <v>3885</v>
      </c>
      <c r="F3175" s="156" t="s">
        <v>365</v>
      </c>
      <c r="G3175" s="156" t="s">
        <v>2697</v>
      </c>
      <c r="H3175" s="157" t="s">
        <v>212</v>
      </c>
    </row>
    <row r="3176" hidden="1">
      <c r="A3176" s="151" t="s">
        <v>220</v>
      </c>
      <c r="B3176" s="118" t="s">
        <v>190</v>
      </c>
      <c r="C3176" s="118" t="s">
        <v>206</v>
      </c>
      <c r="D3176" s="152" t="s">
        <v>3859</v>
      </c>
      <c r="E3176" s="152" t="s">
        <v>3886</v>
      </c>
      <c r="F3176" s="152" t="s">
        <v>298</v>
      </c>
      <c r="G3176" s="152" t="s">
        <v>1856</v>
      </c>
      <c r="H3176" s="153" t="s">
        <v>213</v>
      </c>
    </row>
    <row r="3177" hidden="1">
      <c r="A3177" s="154" t="s">
        <v>220</v>
      </c>
      <c r="B3177" s="155" t="s">
        <v>190</v>
      </c>
      <c r="C3177" s="155" t="s">
        <v>206</v>
      </c>
      <c r="D3177" s="156" t="s">
        <v>3859</v>
      </c>
      <c r="E3177" s="156" t="s">
        <v>3887</v>
      </c>
      <c r="F3177" s="156" t="s">
        <v>433</v>
      </c>
      <c r="G3177" s="156" t="s">
        <v>3487</v>
      </c>
      <c r="H3177" s="157" t="s">
        <v>214</v>
      </c>
    </row>
    <row r="3178" hidden="1">
      <c r="A3178" s="151" t="s">
        <v>220</v>
      </c>
      <c r="B3178" s="118" t="s">
        <v>190</v>
      </c>
      <c r="C3178" s="118" t="s">
        <v>206</v>
      </c>
      <c r="D3178" s="152" t="s">
        <v>3859</v>
      </c>
      <c r="E3178" s="152" t="s">
        <v>3888</v>
      </c>
      <c r="F3178" s="152" t="s">
        <v>365</v>
      </c>
      <c r="G3178" s="152" t="s">
        <v>2694</v>
      </c>
      <c r="H3178" s="153" t="s">
        <v>215</v>
      </c>
    </row>
    <row r="3179" hidden="1">
      <c r="A3179" s="154" t="s">
        <v>220</v>
      </c>
      <c r="B3179" s="155" t="s">
        <v>190</v>
      </c>
      <c r="C3179" s="155" t="s">
        <v>206</v>
      </c>
      <c r="D3179" s="156" t="s">
        <v>3859</v>
      </c>
      <c r="E3179" s="156" t="s">
        <v>3889</v>
      </c>
      <c r="F3179" s="156" t="s">
        <v>1181</v>
      </c>
      <c r="G3179" s="156" t="s">
        <v>3647</v>
      </c>
      <c r="H3179" s="157" t="s">
        <v>216</v>
      </c>
    </row>
    <row r="3180" hidden="1">
      <c r="A3180" s="151" t="s">
        <v>221</v>
      </c>
      <c r="B3180" s="118" t="s">
        <v>189</v>
      </c>
      <c r="C3180" s="118" t="s">
        <v>206</v>
      </c>
      <c r="D3180" s="152" t="s">
        <v>3859</v>
      </c>
      <c r="E3180" s="152" t="s">
        <v>3890</v>
      </c>
      <c r="F3180" s="152" t="s">
        <v>287</v>
      </c>
      <c r="G3180" s="152" t="s">
        <v>2346</v>
      </c>
      <c r="H3180" s="153" t="s">
        <v>210</v>
      </c>
    </row>
    <row r="3181" hidden="1">
      <c r="A3181" s="154" t="s">
        <v>221</v>
      </c>
      <c r="B3181" s="155" t="s">
        <v>189</v>
      </c>
      <c r="C3181" s="155" t="s">
        <v>206</v>
      </c>
      <c r="D3181" s="156" t="s">
        <v>3859</v>
      </c>
      <c r="E3181" s="156" t="s">
        <v>3891</v>
      </c>
      <c r="F3181" s="156" t="s">
        <v>799</v>
      </c>
      <c r="G3181" s="156" t="s">
        <v>3570</v>
      </c>
      <c r="H3181" s="157" t="s">
        <v>211</v>
      </c>
    </row>
    <row r="3182" hidden="1">
      <c r="A3182" s="151" t="s">
        <v>221</v>
      </c>
      <c r="B3182" s="118" t="s">
        <v>189</v>
      </c>
      <c r="C3182" s="118" t="s">
        <v>206</v>
      </c>
      <c r="D3182" s="152" t="s">
        <v>3859</v>
      </c>
      <c r="E3182" s="152" t="s">
        <v>3892</v>
      </c>
      <c r="F3182" s="152" t="s">
        <v>629</v>
      </c>
      <c r="G3182" s="152" t="s">
        <v>3893</v>
      </c>
      <c r="H3182" s="153" t="s">
        <v>212</v>
      </c>
    </row>
    <row r="3183" hidden="1">
      <c r="A3183" s="154" t="s">
        <v>221</v>
      </c>
      <c r="B3183" s="155" t="s">
        <v>189</v>
      </c>
      <c r="C3183" s="155" t="s">
        <v>206</v>
      </c>
      <c r="D3183" s="156" t="s">
        <v>3859</v>
      </c>
      <c r="E3183" s="156" t="s">
        <v>3894</v>
      </c>
      <c r="F3183" s="156" t="s">
        <v>673</v>
      </c>
      <c r="G3183" s="156" t="s">
        <v>2515</v>
      </c>
      <c r="H3183" s="157" t="s">
        <v>213</v>
      </c>
    </row>
    <row r="3184" hidden="1">
      <c r="A3184" s="151" t="s">
        <v>221</v>
      </c>
      <c r="B3184" s="118" t="s">
        <v>189</v>
      </c>
      <c r="C3184" s="118" t="s">
        <v>206</v>
      </c>
      <c r="D3184" s="152" t="s">
        <v>3859</v>
      </c>
      <c r="E3184" s="152" t="s">
        <v>3895</v>
      </c>
      <c r="F3184" s="152" t="s">
        <v>249</v>
      </c>
      <c r="G3184" s="152" t="s">
        <v>1793</v>
      </c>
      <c r="H3184" s="153" t="s">
        <v>214</v>
      </c>
    </row>
    <row r="3185" hidden="1">
      <c r="A3185" s="154" t="s">
        <v>221</v>
      </c>
      <c r="B3185" s="155" t="s">
        <v>189</v>
      </c>
      <c r="C3185" s="155" t="s">
        <v>206</v>
      </c>
      <c r="D3185" s="156" t="s">
        <v>3859</v>
      </c>
      <c r="E3185" s="156" t="s">
        <v>3896</v>
      </c>
      <c r="F3185" s="156" t="s">
        <v>1532</v>
      </c>
      <c r="G3185" s="156" t="s">
        <v>3875</v>
      </c>
      <c r="H3185" s="157" t="s">
        <v>215</v>
      </c>
    </row>
    <row r="3186" hidden="1">
      <c r="A3186" s="151" t="s">
        <v>221</v>
      </c>
      <c r="B3186" s="118" t="s">
        <v>189</v>
      </c>
      <c r="C3186" s="118" t="s">
        <v>206</v>
      </c>
      <c r="D3186" s="152" t="s">
        <v>3859</v>
      </c>
      <c r="E3186" s="152" t="s">
        <v>3897</v>
      </c>
      <c r="F3186" s="152" t="s">
        <v>310</v>
      </c>
      <c r="G3186" s="152" t="s">
        <v>2818</v>
      </c>
      <c r="H3186" s="153" t="s">
        <v>216</v>
      </c>
    </row>
    <row r="3187" hidden="1">
      <c r="A3187" s="154" t="s">
        <v>222</v>
      </c>
      <c r="B3187" s="155" t="s">
        <v>192</v>
      </c>
      <c r="C3187" s="155" t="s">
        <v>206</v>
      </c>
      <c r="D3187" s="156" t="s">
        <v>3859</v>
      </c>
      <c r="E3187" s="156" t="s">
        <v>3898</v>
      </c>
      <c r="F3187" s="156" t="s">
        <v>249</v>
      </c>
      <c r="G3187" s="156" t="s">
        <v>1995</v>
      </c>
      <c r="H3187" s="157" t="s">
        <v>210</v>
      </c>
    </row>
    <row r="3188" hidden="1">
      <c r="A3188" s="151" t="s">
        <v>222</v>
      </c>
      <c r="B3188" s="118" t="s">
        <v>192</v>
      </c>
      <c r="C3188" s="118" t="s">
        <v>206</v>
      </c>
      <c r="D3188" s="152" t="s">
        <v>3859</v>
      </c>
      <c r="E3188" s="152" t="s">
        <v>3899</v>
      </c>
      <c r="F3188" s="152" t="s">
        <v>308</v>
      </c>
      <c r="G3188" s="152" t="s">
        <v>3900</v>
      </c>
      <c r="H3188" s="153" t="s">
        <v>211</v>
      </c>
    </row>
    <row r="3189" hidden="1">
      <c r="A3189" s="154" t="s">
        <v>222</v>
      </c>
      <c r="B3189" s="155" t="s">
        <v>192</v>
      </c>
      <c r="C3189" s="155" t="s">
        <v>206</v>
      </c>
      <c r="D3189" s="156" t="s">
        <v>3859</v>
      </c>
      <c r="E3189" s="156" t="s">
        <v>3901</v>
      </c>
      <c r="F3189" s="156" t="s">
        <v>249</v>
      </c>
      <c r="G3189" s="156" t="s">
        <v>2816</v>
      </c>
      <c r="H3189" s="157" t="s">
        <v>212</v>
      </c>
    </row>
    <row r="3190" hidden="1">
      <c r="A3190" s="151" t="s">
        <v>222</v>
      </c>
      <c r="B3190" s="118" t="s">
        <v>192</v>
      </c>
      <c r="C3190" s="118" t="s">
        <v>206</v>
      </c>
      <c r="D3190" s="152" t="s">
        <v>3859</v>
      </c>
      <c r="E3190" s="152" t="s">
        <v>3902</v>
      </c>
      <c r="F3190" s="152" t="s">
        <v>290</v>
      </c>
      <c r="G3190" s="152" t="s">
        <v>3572</v>
      </c>
      <c r="H3190" s="153" t="s">
        <v>213</v>
      </c>
    </row>
    <row r="3191" hidden="1">
      <c r="A3191" s="154" t="s">
        <v>222</v>
      </c>
      <c r="B3191" s="155" t="s">
        <v>192</v>
      </c>
      <c r="C3191" s="155" t="s">
        <v>206</v>
      </c>
      <c r="D3191" s="156" t="s">
        <v>3859</v>
      </c>
      <c r="E3191" s="156" t="s">
        <v>3903</v>
      </c>
      <c r="F3191" s="156" t="s">
        <v>249</v>
      </c>
      <c r="G3191" s="156" t="s">
        <v>1793</v>
      </c>
      <c r="H3191" s="157" t="s">
        <v>214</v>
      </c>
    </row>
    <row r="3192" hidden="1">
      <c r="A3192" s="151" t="s">
        <v>222</v>
      </c>
      <c r="B3192" s="118" t="s">
        <v>192</v>
      </c>
      <c r="C3192" s="118" t="s">
        <v>206</v>
      </c>
      <c r="D3192" s="152" t="s">
        <v>3859</v>
      </c>
      <c r="E3192" s="152" t="s">
        <v>3904</v>
      </c>
      <c r="F3192" s="152" t="s">
        <v>308</v>
      </c>
      <c r="G3192" s="152" t="s">
        <v>3905</v>
      </c>
      <c r="H3192" s="153" t="s">
        <v>215</v>
      </c>
    </row>
    <row r="3193" hidden="1">
      <c r="A3193" s="154" t="s">
        <v>222</v>
      </c>
      <c r="B3193" s="155" t="s">
        <v>192</v>
      </c>
      <c r="C3193" s="155" t="s">
        <v>206</v>
      </c>
      <c r="D3193" s="156" t="s">
        <v>3859</v>
      </c>
      <c r="E3193" s="156" t="s">
        <v>3906</v>
      </c>
      <c r="F3193" s="156" t="s">
        <v>308</v>
      </c>
      <c r="G3193" s="156" t="s">
        <v>2189</v>
      </c>
      <c r="H3193" s="157" t="s">
        <v>216</v>
      </c>
    </row>
    <row r="3194" hidden="1">
      <c r="A3194" s="151" t="s">
        <v>223</v>
      </c>
      <c r="B3194" s="118" t="s">
        <v>144</v>
      </c>
      <c r="C3194" s="118" t="s">
        <v>206</v>
      </c>
      <c r="D3194" s="152" t="s">
        <v>3859</v>
      </c>
      <c r="E3194" s="152" t="s">
        <v>3907</v>
      </c>
      <c r="F3194" s="152" t="s">
        <v>285</v>
      </c>
      <c r="G3194" s="152" t="s">
        <v>3908</v>
      </c>
      <c r="H3194" s="153" t="s">
        <v>210</v>
      </c>
    </row>
    <row r="3195" hidden="1">
      <c r="A3195" s="154" t="s">
        <v>223</v>
      </c>
      <c r="B3195" s="155" t="s">
        <v>144</v>
      </c>
      <c r="C3195" s="155" t="s">
        <v>206</v>
      </c>
      <c r="D3195" s="156" t="s">
        <v>3859</v>
      </c>
      <c r="E3195" s="156" t="s">
        <v>3909</v>
      </c>
      <c r="F3195" s="156" t="s">
        <v>305</v>
      </c>
      <c r="G3195" s="156" t="s">
        <v>3270</v>
      </c>
      <c r="H3195" s="157" t="s">
        <v>211</v>
      </c>
    </row>
    <row r="3196" hidden="1">
      <c r="A3196" s="151" t="s">
        <v>223</v>
      </c>
      <c r="B3196" s="118" t="s">
        <v>144</v>
      </c>
      <c r="C3196" s="118" t="s">
        <v>206</v>
      </c>
      <c r="D3196" s="152" t="s">
        <v>3859</v>
      </c>
      <c r="E3196" s="152" t="s">
        <v>3910</v>
      </c>
      <c r="F3196" s="152" t="s">
        <v>494</v>
      </c>
      <c r="G3196" s="152" t="s">
        <v>3911</v>
      </c>
      <c r="H3196" s="153" t="s">
        <v>212</v>
      </c>
    </row>
    <row r="3197" hidden="1">
      <c r="A3197" s="154" t="s">
        <v>223</v>
      </c>
      <c r="B3197" s="155" t="s">
        <v>144</v>
      </c>
      <c r="C3197" s="155" t="s">
        <v>206</v>
      </c>
      <c r="D3197" s="156" t="s">
        <v>3859</v>
      </c>
      <c r="E3197" s="156" t="s">
        <v>3912</v>
      </c>
      <c r="F3197" s="156" t="s">
        <v>725</v>
      </c>
      <c r="G3197" s="156" t="s">
        <v>3913</v>
      </c>
      <c r="H3197" s="157" t="s">
        <v>213</v>
      </c>
    </row>
    <row r="3198" hidden="1">
      <c r="A3198" s="151" t="s">
        <v>223</v>
      </c>
      <c r="B3198" s="118" t="s">
        <v>144</v>
      </c>
      <c r="C3198" s="118" t="s">
        <v>206</v>
      </c>
      <c r="D3198" s="152" t="s">
        <v>3859</v>
      </c>
      <c r="E3198" s="152" t="s">
        <v>3914</v>
      </c>
      <c r="F3198" s="152" t="s">
        <v>799</v>
      </c>
      <c r="G3198" s="152" t="s">
        <v>3915</v>
      </c>
      <c r="H3198" s="153" t="s">
        <v>214</v>
      </c>
    </row>
    <row r="3199" hidden="1">
      <c r="A3199" s="154" t="s">
        <v>223</v>
      </c>
      <c r="B3199" s="155" t="s">
        <v>144</v>
      </c>
      <c r="C3199" s="155" t="s">
        <v>206</v>
      </c>
      <c r="D3199" s="156" t="s">
        <v>3859</v>
      </c>
      <c r="E3199" s="156" t="s">
        <v>3916</v>
      </c>
      <c r="F3199" s="156" t="s">
        <v>310</v>
      </c>
      <c r="G3199" s="156" t="s">
        <v>3917</v>
      </c>
      <c r="H3199" s="157" t="s">
        <v>215</v>
      </c>
    </row>
    <row r="3200" hidden="1">
      <c r="A3200" s="151" t="s">
        <v>223</v>
      </c>
      <c r="B3200" s="118" t="s">
        <v>144</v>
      </c>
      <c r="C3200" s="118" t="s">
        <v>206</v>
      </c>
      <c r="D3200" s="152" t="s">
        <v>3859</v>
      </c>
      <c r="E3200" s="152" t="s">
        <v>3918</v>
      </c>
      <c r="F3200" s="152" t="s">
        <v>290</v>
      </c>
      <c r="G3200" s="152" t="s">
        <v>3919</v>
      </c>
      <c r="H3200" s="153" t="s">
        <v>216</v>
      </c>
    </row>
    <row r="3201" hidden="1">
      <c r="A3201" s="154" t="s">
        <v>224</v>
      </c>
      <c r="B3201" s="155" t="s">
        <v>170</v>
      </c>
      <c r="C3201" s="155" t="s">
        <v>206</v>
      </c>
      <c r="D3201" s="156" t="s">
        <v>3859</v>
      </c>
      <c r="E3201" s="156" t="s">
        <v>3920</v>
      </c>
      <c r="F3201" s="156" t="s">
        <v>351</v>
      </c>
      <c r="G3201" s="156" t="s">
        <v>3921</v>
      </c>
      <c r="H3201" s="157" t="s">
        <v>210</v>
      </c>
    </row>
    <row r="3202" hidden="1">
      <c r="A3202" s="151" t="s">
        <v>224</v>
      </c>
      <c r="B3202" s="118" t="s">
        <v>170</v>
      </c>
      <c r="C3202" s="118" t="s">
        <v>206</v>
      </c>
      <c r="D3202" s="152" t="s">
        <v>3859</v>
      </c>
      <c r="E3202" s="152" t="s">
        <v>3922</v>
      </c>
      <c r="F3202" s="152" t="s">
        <v>285</v>
      </c>
      <c r="G3202" s="152" t="s">
        <v>3923</v>
      </c>
      <c r="H3202" s="153" t="s">
        <v>211</v>
      </c>
    </row>
    <row r="3203" hidden="1">
      <c r="A3203" s="154" t="s">
        <v>224</v>
      </c>
      <c r="B3203" s="155" t="s">
        <v>170</v>
      </c>
      <c r="C3203" s="155" t="s">
        <v>206</v>
      </c>
      <c r="D3203" s="156" t="s">
        <v>3859</v>
      </c>
      <c r="E3203" s="156" t="s">
        <v>3924</v>
      </c>
      <c r="F3203" s="156" t="s">
        <v>255</v>
      </c>
      <c r="G3203" s="156" t="s">
        <v>3925</v>
      </c>
      <c r="H3203" s="157" t="s">
        <v>212</v>
      </c>
    </row>
    <row r="3204" hidden="1">
      <c r="A3204" s="151" t="s">
        <v>224</v>
      </c>
      <c r="B3204" s="118" t="s">
        <v>170</v>
      </c>
      <c r="C3204" s="118" t="s">
        <v>206</v>
      </c>
      <c r="D3204" s="152" t="s">
        <v>3859</v>
      </c>
      <c r="E3204" s="152" t="s">
        <v>3926</v>
      </c>
      <c r="F3204" s="152" t="s">
        <v>374</v>
      </c>
      <c r="G3204" s="152" t="s">
        <v>3438</v>
      </c>
      <c r="H3204" s="153" t="s">
        <v>213</v>
      </c>
    </row>
    <row r="3205" hidden="1">
      <c r="A3205" s="154" t="s">
        <v>224</v>
      </c>
      <c r="B3205" s="155" t="s">
        <v>170</v>
      </c>
      <c r="C3205" s="155" t="s">
        <v>206</v>
      </c>
      <c r="D3205" s="156" t="s">
        <v>3859</v>
      </c>
      <c r="E3205" s="156" t="s">
        <v>3927</v>
      </c>
      <c r="F3205" s="156" t="s">
        <v>323</v>
      </c>
      <c r="G3205" s="156" t="s">
        <v>1785</v>
      </c>
      <c r="H3205" s="157" t="s">
        <v>214</v>
      </c>
    </row>
    <row r="3206" hidden="1">
      <c r="A3206" s="151" t="s">
        <v>224</v>
      </c>
      <c r="B3206" s="118" t="s">
        <v>170</v>
      </c>
      <c r="C3206" s="118" t="s">
        <v>206</v>
      </c>
      <c r="D3206" s="152" t="s">
        <v>3859</v>
      </c>
      <c r="E3206" s="152" t="s">
        <v>3928</v>
      </c>
      <c r="F3206" s="152" t="s">
        <v>269</v>
      </c>
      <c r="G3206" s="152" t="s">
        <v>3699</v>
      </c>
      <c r="H3206" s="153" t="s">
        <v>215</v>
      </c>
    </row>
    <row r="3207" hidden="1">
      <c r="A3207" s="154" t="s">
        <v>224</v>
      </c>
      <c r="B3207" s="155" t="s">
        <v>170</v>
      </c>
      <c r="C3207" s="155" t="s">
        <v>206</v>
      </c>
      <c r="D3207" s="156" t="s">
        <v>3859</v>
      </c>
      <c r="E3207" s="156" t="s">
        <v>3929</v>
      </c>
      <c r="F3207" s="156" t="s">
        <v>321</v>
      </c>
      <c r="G3207" s="156" t="s">
        <v>3930</v>
      </c>
      <c r="H3207" s="157" t="s">
        <v>216</v>
      </c>
    </row>
    <row r="3208" hidden="1">
      <c r="A3208" s="151" t="s">
        <v>225</v>
      </c>
      <c r="B3208" s="118" t="s">
        <v>226</v>
      </c>
      <c r="C3208" s="118" t="s">
        <v>206</v>
      </c>
      <c r="D3208" s="152" t="s">
        <v>3859</v>
      </c>
      <c r="E3208" s="152" t="s">
        <v>3931</v>
      </c>
      <c r="F3208" s="152" t="s">
        <v>1790</v>
      </c>
      <c r="G3208" s="152" t="s">
        <v>3932</v>
      </c>
      <c r="H3208" s="153" t="s">
        <v>210</v>
      </c>
    </row>
    <row r="3209" hidden="1">
      <c r="A3209" s="154" t="s">
        <v>225</v>
      </c>
      <c r="B3209" s="155" t="s">
        <v>226</v>
      </c>
      <c r="C3209" s="155" t="s">
        <v>206</v>
      </c>
      <c r="D3209" s="156" t="s">
        <v>3859</v>
      </c>
      <c r="E3209" s="156" t="s">
        <v>3933</v>
      </c>
      <c r="F3209" s="156" t="s">
        <v>1929</v>
      </c>
      <c r="G3209" s="156" t="s">
        <v>3934</v>
      </c>
      <c r="H3209" s="157" t="s">
        <v>211</v>
      </c>
    </row>
    <row r="3210" hidden="1">
      <c r="A3210" s="151" t="s">
        <v>225</v>
      </c>
      <c r="B3210" s="118" t="s">
        <v>226</v>
      </c>
      <c r="C3210" s="118" t="s">
        <v>206</v>
      </c>
      <c r="D3210" s="152" t="s">
        <v>3859</v>
      </c>
      <c r="E3210" s="152" t="s">
        <v>3935</v>
      </c>
      <c r="F3210" s="152" t="s">
        <v>444</v>
      </c>
      <c r="G3210" s="152" t="s">
        <v>3113</v>
      </c>
      <c r="H3210" s="153" t="s">
        <v>212</v>
      </c>
    </row>
    <row r="3211" hidden="1">
      <c r="A3211" s="154" t="s">
        <v>225</v>
      </c>
      <c r="B3211" s="155" t="s">
        <v>226</v>
      </c>
      <c r="C3211" s="155" t="s">
        <v>206</v>
      </c>
      <c r="D3211" s="156" t="s">
        <v>3859</v>
      </c>
      <c r="E3211" s="156" t="s">
        <v>3936</v>
      </c>
      <c r="F3211" s="156" t="s">
        <v>2994</v>
      </c>
      <c r="G3211" s="156" t="s">
        <v>3937</v>
      </c>
      <c r="H3211" s="157" t="s">
        <v>213</v>
      </c>
    </row>
    <row r="3212" hidden="1">
      <c r="A3212" s="151" t="s">
        <v>225</v>
      </c>
      <c r="B3212" s="118" t="s">
        <v>226</v>
      </c>
      <c r="C3212" s="118" t="s">
        <v>206</v>
      </c>
      <c r="D3212" s="152" t="s">
        <v>3859</v>
      </c>
      <c r="E3212" s="152" t="s">
        <v>3938</v>
      </c>
      <c r="F3212" s="152" t="s">
        <v>2607</v>
      </c>
      <c r="G3212" s="152" t="s">
        <v>3939</v>
      </c>
      <c r="H3212" s="153" t="s">
        <v>214</v>
      </c>
    </row>
    <row r="3213" hidden="1">
      <c r="A3213" s="154" t="s">
        <v>225</v>
      </c>
      <c r="B3213" s="155" t="s">
        <v>226</v>
      </c>
      <c r="C3213" s="155" t="s">
        <v>206</v>
      </c>
      <c r="D3213" s="156" t="s">
        <v>3859</v>
      </c>
      <c r="E3213" s="156" t="s">
        <v>3940</v>
      </c>
      <c r="F3213" s="156" t="s">
        <v>629</v>
      </c>
      <c r="G3213" s="156" t="s">
        <v>3941</v>
      </c>
      <c r="H3213" s="157" t="s">
        <v>215</v>
      </c>
    </row>
    <row r="3214" hidden="1">
      <c r="A3214" s="151" t="s">
        <v>225</v>
      </c>
      <c r="B3214" s="118" t="s">
        <v>226</v>
      </c>
      <c r="C3214" s="118" t="s">
        <v>206</v>
      </c>
      <c r="D3214" s="152" t="s">
        <v>3859</v>
      </c>
      <c r="E3214" s="152" t="s">
        <v>3942</v>
      </c>
      <c r="F3214" s="152" t="s">
        <v>3340</v>
      </c>
      <c r="G3214" s="152" t="s">
        <v>1785</v>
      </c>
      <c r="H3214" s="153" t="s">
        <v>216</v>
      </c>
    </row>
    <row r="3215" hidden="1">
      <c r="A3215" s="154" t="s">
        <v>227</v>
      </c>
      <c r="B3215" s="155" t="s">
        <v>195</v>
      </c>
      <c r="C3215" s="155" t="s">
        <v>206</v>
      </c>
      <c r="D3215" s="156" t="s">
        <v>3859</v>
      </c>
      <c r="E3215" s="156" t="s">
        <v>3943</v>
      </c>
      <c r="F3215" s="156" t="s">
        <v>305</v>
      </c>
      <c r="G3215" s="156" t="s">
        <v>3485</v>
      </c>
      <c r="H3215" s="157" t="s">
        <v>210</v>
      </c>
    </row>
    <row r="3216" hidden="1">
      <c r="A3216" s="151" t="s">
        <v>227</v>
      </c>
      <c r="B3216" s="118" t="s">
        <v>195</v>
      </c>
      <c r="C3216" s="118" t="s">
        <v>206</v>
      </c>
      <c r="D3216" s="152" t="s">
        <v>3859</v>
      </c>
      <c r="E3216" s="152" t="s">
        <v>3944</v>
      </c>
      <c r="F3216" s="152" t="s">
        <v>325</v>
      </c>
      <c r="G3216" s="152" t="s">
        <v>3136</v>
      </c>
      <c r="H3216" s="153" t="s">
        <v>211</v>
      </c>
    </row>
    <row r="3217" hidden="1">
      <c r="A3217" s="154" t="s">
        <v>227</v>
      </c>
      <c r="B3217" s="155" t="s">
        <v>195</v>
      </c>
      <c r="C3217" s="155" t="s">
        <v>206</v>
      </c>
      <c r="D3217" s="156" t="s">
        <v>3859</v>
      </c>
      <c r="E3217" s="156" t="s">
        <v>3945</v>
      </c>
      <c r="F3217" s="156" t="s">
        <v>336</v>
      </c>
      <c r="G3217" s="156" t="s">
        <v>2912</v>
      </c>
      <c r="H3217" s="157" t="s">
        <v>212</v>
      </c>
    </row>
    <row r="3218" hidden="1">
      <c r="A3218" s="151" t="s">
        <v>227</v>
      </c>
      <c r="B3218" s="118" t="s">
        <v>195</v>
      </c>
      <c r="C3218" s="118" t="s">
        <v>206</v>
      </c>
      <c r="D3218" s="152" t="s">
        <v>3859</v>
      </c>
      <c r="E3218" s="152" t="s">
        <v>3946</v>
      </c>
      <c r="F3218" s="152" t="s">
        <v>305</v>
      </c>
      <c r="G3218" s="152" t="s">
        <v>2995</v>
      </c>
      <c r="H3218" s="153" t="s">
        <v>213</v>
      </c>
    </row>
    <row r="3219" hidden="1">
      <c r="A3219" s="154" t="s">
        <v>227</v>
      </c>
      <c r="B3219" s="155" t="s">
        <v>195</v>
      </c>
      <c r="C3219" s="155" t="s">
        <v>206</v>
      </c>
      <c r="D3219" s="156" t="s">
        <v>3859</v>
      </c>
      <c r="E3219" s="156" t="s">
        <v>3947</v>
      </c>
      <c r="F3219" s="156" t="s">
        <v>799</v>
      </c>
      <c r="G3219" s="156" t="s">
        <v>3620</v>
      </c>
      <c r="H3219" s="157" t="s">
        <v>214</v>
      </c>
    </row>
    <row r="3220" hidden="1">
      <c r="A3220" s="151" t="s">
        <v>227</v>
      </c>
      <c r="B3220" s="118" t="s">
        <v>195</v>
      </c>
      <c r="C3220" s="118" t="s">
        <v>206</v>
      </c>
      <c r="D3220" s="152" t="s">
        <v>3859</v>
      </c>
      <c r="E3220" s="152" t="s">
        <v>3948</v>
      </c>
      <c r="F3220" s="152" t="s">
        <v>329</v>
      </c>
      <c r="G3220" s="152" t="s">
        <v>3280</v>
      </c>
      <c r="H3220" s="153" t="s">
        <v>215</v>
      </c>
    </row>
    <row r="3221" hidden="1">
      <c r="A3221" s="154" t="s">
        <v>227</v>
      </c>
      <c r="B3221" s="155" t="s">
        <v>195</v>
      </c>
      <c r="C3221" s="155" t="s">
        <v>206</v>
      </c>
      <c r="D3221" s="156" t="s">
        <v>3859</v>
      </c>
      <c r="E3221" s="156" t="s">
        <v>3949</v>
      </c>
      <c r="F3221" s="156" t="s">
        <v>427</v>
      </c>
      <c r="G3221" s="156" t="s">
        <v>3950</v>
      </c>
      <c r="H3221" s="157" t="s">
        <v>216</v>
      </c>
    </row>
    <row r="3222" hidden="1">
      <c r="A3222" s="151" t="s">
        <v>228</v>
      </c>
      <c r="B3222" s="118" t="s">
        <v>138</v>
      </c>
      <c r="C3222" s="118" t="s">
        <v>206</v>
      </c>
      <c r="D3222" s="152" t="s">
        <v>3859</v>
      </c>
      <c r="E3222" s="152" t="s">
        <v>3951</v>
      </c>
      <c r="F3222" s="152" t="s">
        <v>276</v>
      </c>
      <c r="G3222" s="152" t="s">
        <v>1834</v>
      </c>
      <c r="H3222" s="153" t="s">
        <v>210</v>
      </c>
    </row>
    <row r="3223" hidden="1">
      <c r="A3223" s="154" t="s">
        <v>228</v>
      </c>
      <c r="B3223" s="155" t="s">
        <v>138</v>
      </c>
      <c r="C3223" s="155" t="s">
        <v>206</v>
      </c>
      <c r="D3223" s="156" t="s">
        <v>3859</v>
      </c>
      <c r="E3223" s="156" t="s">
        <v>3952</v>
      </c>
      <c r="F3223" s="156" t="s">
        <v>436</v>
      </c>
      <c r="G3223" s="156" t="s">
        <v>2401</v>
      </c>
      <c r="H3223" s="157" t="s">
        <v>211</v>
      </c>
    </row>
    <row r="3224" hidden="1">
      <c r="A3224" s="151" t="s">
        <v>228</v>
      </c>
      <c r="B3224" s="118" t="s">
        <v>138</v>
      </c>
      <c r="C3224" s="118" t="s">
        <v>206</v>
      </c>
      <c r="D3224" s="152" t="s">
        <v>3859</v>
      </c>
      <c r="E3224" s="152" t="s">
        <v>3953</v>
      </c>
      <c r="F3224" s="152" t="s">
        <v>312</v>
      </c>
      <c r="G3224" s="152" t="s">
        <v>3007</v>
      </c>
      <c r="H3224" s="153" t="s">
        <v>212</v>
      </c>
    </row>
    <row r="3225" hidden="1">
      <c r="A3225" s="154" t="s">
        <v>228</v>
      </c>
      <c r="B3225" s="155" t="s">
        <v>138</v>
      </c>
      <c r="C3225" s="155" t="s">
        <v>206</v>
      </c>
      <c r="D3225" s="156" t="s">
        <v>3859</v>
      </c>
      <c r="E3225" s="156" t="s">
        <v>3800</v>
      </c>
      <c r="F3225" s="156" t="s">
        <v>204</v>
      </c>
      <c r="G3225" s="156" t="s">
        <v>2694</v>
      </c>
      <c r="H3225" s="157" t="s">
        <v>213</v>
      </c>
    </row>
    <row r="3226" hidden="1">
      <c r="A3226" s="151" t="s">
        <v>228</v>
      </c>
      <c r="B3226" s="118" t="s">
        <v>138</v>
      </c>
      <c r="C3226" s="118" t="s">
        <v>206</v>
      </c>
      <c r="D3226" s="152" t="s">
        <v>3859</v>
      </c>
      <c r="E3226" s="152" t="s">
        <v>3954</v>
      </c>
      <c r="F3226" s="152" t="s">
        <v>492</v>
      </c>
      <c r="G3226" s="152" t="s">
        <v>2043</v>
      </c>
      <c r="H3226" s="153" t="s">
        <v>214</v>
      </c>
    </row>
    <row r="3227" hidden="1">
      <c r="A3227" s="154" t="s">
        <v>228</v>
      </c>
      <c r="B3227" s="155" t="s">
        <v>138</v>
      </c>
      <c r="C3227" s="155" t="s">
        <v>206</v>
      </c>
      <c r="D3227" s="156" t="s">
        <v>3859</v>
      </c>
      <c r="E3227" s="156" t="s">
        <v>3955</v>
      </c>
      <c r="F3227" s="156" t="s">
        <v>351</v>
      </c>
      <c r="G3227" s="156" t="s">
        <v>2243</v>
      </c>
      <c r="H3227" s="157" t="s">
        <v>215</v>
      </c>
    </row>
    <row r="3228" hidden="1">
      <c r="A3228" s="151" t="s">
        <v>228</v>
      </c>
      <c r="B3228" s="118" t="s">
        <v>138</v>
      </c>
      <c r="C3228" s="118" t="s">
        <v>206</v>
      </c>
      <c r="D3228" s="152" t="s">
        <v>3859</v>
      </c>
      <c r="E3228" s="152" t="s">
        <v>3956</v>
      </c>
      <c r="F3228" s="152" t="s">
        <v>492</v>
      </c>
      <c r="G3228" s="152" t="s">
        <v>2718</v>
      </c>
      <c r="H3228" s="153" t="s">
        <v>216</v>
      </c>
    </row>
    <row r="3229" hidden="1">
      <c r="A3229" s="154" t="s">
        <v>229</v>
      </c>
      <c r="B3229" s="155" t="s">
        <v>193</v>
      </c>
      <c r="C3229" s="155" t="s">
        <v>206</v>
      </c>
      <c r="D3229" s="156" t="s">
        <v>3859</v>
      </c>
      <c r="E3229" s="156" t="s">
        <v>3957</v>
      </c>
      <c r="F3229" s="156" t="s">
        <v>351</v>
      </c>
      <c r="G3229" s="156" t="s">
        <v>2117</v>
      </c>
      <c r="H3229" s="157" t="s">
        <v>210</v>
      </c>
    </row>
    <row r="3230" hidden="1">
      <c r="A3230" s="151" t="s">
        <v>229</v>
      </c>
      <c r="B3230" s="118" t="s">
        <v>193</v>
      </c>
      <c r="C3230" s="118" t="s">
        <v>206</v>
      </c>
      <c r="D3230" s="152" t="s">
        <v>3859</v>
      </c>
      <c r="E3230" s="152" t="s">
        <v>3958</v>
      </c>
      <c r="F3230" s="152" t="s">
        <v>336</v>
      </c>
      <c r="G3230" s="152" t="s">
        <v>1862</v>
      </c>
      <c r="H3230" s="153" t="s">
        <v>211</v>
      </c>
    </row>
    <row r="3231" hidden="1">
      <c r="A3231" s="154" t="s">
        <v>229</v>
      </c>
      <c r="B3231" s="155" t="s">
        <v>193</v>
      </c>
      <c r="C3231" s="155" t="s">
        <v>206</v>
      </c>
      <c r="D3231" s="156" t="s">
        <v>3859</v>
      </c>
      <c r="E3231" s="156" t="s">
        <v>3959</v>
      </c>
      <c r="F3231" s="156" t="s">
        <v>799</v>
      </c>
      <c r="G3231" s="156" t="s">
        <v>2758</v>
      </c>
      <c r="H3231" s="157" t="s">
        <v>212</v>
      </c>
    </row>
    <row r="3232" hidden="1">
      <c r="A3232" s="151" t="s">
        <v>229</v>
      </c>
      <c r="B3232" s="118" t="s">
        <v>193</v>
      </c>
      <c r="C3232" s="118" t="s">
        <v>206</v>
      </c>
      <c r="D3232" s="152" t="s">
        <v>3859</v>
      </c>
      <c r="E3232" s="152" t="s">
        <v>3960</v>
      </c>
      <c r="F3232" s="152" t="s">
        <v>677</v>
      </c>
      <c r="G3232" s="152" t="s">
        <v>3620</v>
      </c>
      <c r="H3232" s="153" t="s">
        <v>213</v>
      </c>
    </row>
    <row r="3233" hidden="1">
      <c r="A3233" s="154" t="s">
        <v>229</v>
      </c>
      <c r="B3233" s="155" t="s">
        <v>193</v>
      </c>
      <c r="C3233" s="155" t="s">
        <v>206</v>
      </c>
      <c r="D3233" s="156" t="s">
        <v>3859</v>
      </c>
      <c r="E3233" s="156" t="s">
        <v>3961</v>
      </c>
      <c r="F3233" s="156" t="s">
        <v>763</v>
      </c>
      <c r="G3233" s="156" t="s">
        <v>3691</v>
      </c>
      <c r="H3233" s="157" t="s">
        <v>214</v>
      </c>
    </row>
    <row r="3234" hidden="1">
      <c r="A3234" s="151" t="s">
        <v>229</v>
      </c>
      <c r="B3234" s="118" t="s">
        <v>193</v>
      </c>
      <c r="C3234" s="118" t="s">
        <v>206</v>
      </c>
      <c r="D3234" s="152" t="s">
        <v>3859</v>
      </c>
      <c r="E3234" s="152" t="s">
        <v>3962</v>
      </c>
      <c r="F3234" s="152" t="s">
        <v>427</v>
      </c>
      <c r="G3234" s="152" t="s">
        <v>2758</v>
      </c>
      <c r="H3234" s="153" t="s">
        <v>215</v>
      </c>
    </row>
    <row r="3235" hidden="1">
      <c r="A3235" s="154" t="s">
        <v>229</v>
      </c>
      <c r="B3235" s="155" t="s">
        <v>193</v>
      </c>
      <c r="C3235" s="155" t="s">
        <v>206</v>
      </c>
      <c r="D3235" s="156" t="s">
        <v>3859</v>
      </c>
      <c r="E3235" s="156" t="s">
        <v>3963</v>
      </c>
      <c r="F3235" s="156" t="s">
        <v>450</v>
      </c>
      <c r="G3235" s="156" t="s">
        <v>3458</v>
      </c>
      <c r="H3235" s="157" t="s">
        <v>216</v>
      </c>
    </row>
    <row r="3236" hidden="1">
      <c r="A3236" s="151" t="s">
        <v>230</v>
      </c>
      <c r="B3236" s="118" t="s">
        <v>194</v>
      </c>
      <c r="C3236" s="118" t="s">
        <v>206</v>
      </c>
      <c r="D3236" s="152" t="s">
        <v>3859</v>
      </c>
      <c r="E3236" s="152" t="s">
        <v>3964</v>
      </c>
      <c r="F3236" s="152" t="s">
        <v>425</v>
      </c>
      <c r="G3236" s="152" t="s">
        <v>3272</v>
      </c>
      <c r="H3236" s="153" t="s">
        <v>210</v>
      </c>
    </row>
    <row r="3237" hidden="1">
      <c r="A3237" s="154" t="s">
        <v>230</v>
      </c>
      <c r="B3237" s="155" t="s">
        <v>194</v>
      </c>
      <c r="C3237" s="155" t="s">
        <v>206</v>
      </c>
      <c r="D3237" s="156" t="s">
        <v>3859</v>
      </c>
      <c r="E3237" s="156" t="s">
        <v>3965</v>
      </c>
      <c r="F3237" s="156" t="s">
        <v>310</v>
      </c>
      <c r="G3237" s="156" t="s">
        <v>3966</v>
      </c>
      <c r="H3237" s="157" t="s">
        <v>211</v>
      </c>
    </row>
    <row r="3238" hidden="1">
      <c r="A3238" s="151" t="s">
        <v>230</v>
      </c>
      <c r="B3238" s="118" t="s">
        <v>194</v>
      </c>
      <c r="C3238" s="118" t="s">
        <v>206</v>
      </c>
      <c r="D3238" s="152" t="s">
        <v>3859</v>
      </c>
      <c r="E3238" s="152" t="s">
        <v>3967</v>
      </c>
      <c r="F3238" s="152" t="s">
        <v>799</v>
      </c>
      <c r="G3238" s="152" t="s">
        <v>3968</v>
      </c>
      <c r="H3238" s="153" t="s">
        <v>212</v>
      </c>
    </row>
    <row r="3239" hidden="1">
      <c r="A3239" s="154" t="s">
        <v>230</v>
      </c>
      <c r="B3239" s="155" t="s">
        <v>194</v>
      </c>
      <c r="C3239" s="155" t="s">
        <v>206</v>
      </c>
      <c r="D3239" s="156" t="s">
        <v>3859</v>
      </c>
      <c r="E3239" s="156" t="s">
        <v>3969</v>
      </c>
      <c r="F3239" s="156" t="s">
        <v>725</v>
      </c>
      <c r="G3239" s="156" t="s">
        <v>3872</v>
      </c>
      <c r="H3239" s="157" t="s">
        <v>213</v>
      </c>
    </row>
    <row r="3240" hidden="1">
      <c r="A3240" s="151" t="s">
        <v>230</v>
      </c>
      <c r="B3240" s="118" t="s">
        <v>194</v>
      </c>
      <c r="C3240" s="118" t="s">
        <v>206</v>
      </c>
      <c r="D3240" s="152" t="s">
        <v>3859</v>
      </c>
      <c r="E3240" s="152" t="s">
        <v>3970</v>
      </c>
      <c r="F3240" s="152" t="s">
        <v>329</v>
      </c>
      <c r="G3240" s="152" t="s">
        <v>3764</v>
      </c>
      <c r="H3240" s="153" t="s">
        <v>214</v>
      </c>
    </row>
    <row r="3241" hidden="1">
      <c r="A3241" s="154" t="s">
        <v>230</v>
      </c>
      <c r="B3241" s="155" t="s">
        <v>194</v>
      </c>
      <c r="C3241" s="155" t="s">
        <v>206</v>
      </c>
      <c r="D3241" s="156" t="s">
        <v>3859</v>
      </c>
      <c r="E3241" s="156" t="s">
        <v>3971</v>
      </c>
      <c r="F3241" s="156" t="s">
        <v>351</v>
      </c>
      <c r="G3241" s="156" t="s">
        <v>3368</v>
      </c>
      <c r="H3241" s="157" t="s">
        <v>215</v>
      </c>
    </row>
    <row r="3242" hidden="1">
      <c r="A3242" s="151" t="s">
        <v>230</v>
      </c>
      <c r="B3242" s="118" t="s">
        <v>194</v>
      </c>
      <c r="C3242" s="118" t="s">
        <v>206</v>
      </c>
      <c r="D3242" s="152" t="s">
        <v>3859</v>
      </c>
      <c r="E3242" s="152" t="s">
        <v>3972</v>
      </c>
      <c r="F3242" s="152" t="s">
        <v>336</v>
      </c>
      <c r="G3242" s="152" t="s">
        <v>3300</v>
      </c>
      <c r="H3242" s="153" t="s">
        <v>216</v>
      </c>
    </row>
    <row r="3243" hidden="1">
      <c r="A3243" s="158" t="s">
        <v>231</v>
      </c>
      <c r="B3243" s="159"/>
      <c r="C3243" s="155" t="s">
        <v>232</v>
      </c>
      <c r="D3243" s="156" t="s">
        <v>3859</v>
      </c>
      <c r="E3243" s="156" t="s">
        <v>3973</v>
      </c>
      <c r="F3243" s="156" t="s">
        <v>287</v>
      </c>
      <c r="G3243" s="156" t="s">
        <v>2859</v>
      </c>
      <c r="H3243" s="157" t="s">
        <v>210</v>
      </c>
    </row>
    <row r="3244" hidden="1">
      <c r="A3244" s="160" t="s">
        <v>231</v>
      </c>
      <c r="B3244" s="72"/>
      <c r="C3244" s="118" t="s">
        <v>232</v>
      </c>
      <c r="D3244" s="152" t="s">
        <v>3859</v>
      </c>
      <c r="E3244" s="152" t="s">
        <v>3974</v>
      </c>
      <c r="F3244" s="152" t="s">
        <v>259</v>
      </c>
      <c r="G3244" s="152" t="s">
        <v>1858</v>
      </c>
      <c r="H3244" s="153" t="s">
        <v>211</v>
      </c>
    </row>
    <row r="3245" hidden="1">
      <c r="A3245" s="158" t="s">
        <v>231</v>
      </c>
      <c r="B3245" s="159"/>
      <c r="C3245" s="155" t="s">
        <v>232</v>
      </c>
      <c r="D3245" s="156" t="s">
        <v>3859</v>
      </c>
      <c r="E3245" s="156" t="s">
        <v>3975</v>
      </c>
      <c r="F3245" s="156" t="s">
        <v>365</v>
      </c>
      <c r="G3245" s="156" t="s">
        <v>2467</v>
      </c>
      <c r="H3245" s="157" t="s">
        <v>212</v>
      </c>
    </row>
    <row r="3246" hidden="1">
      <c r="A3246" s="160" t="s">
        <v>231</v>
      </c>
      <c r="B3246" s="72"/>
      <c r="C3246" s="118" t="s">
        <v>232</v>
      </c>
      <c r="D3246" s="152" t="s">
        <v>3859</v>
      </c>
      <c r="E3246" s="152" t="s">
        <v>3976</v>
      </c>
      <c r="F3246" s="152" t="s">
        <v>257</v>
      </c>
      <c r="G3246" s="152" t="s">
        <v>3028</v>
      </c>
      <c r="H3246" s="153" t="s">
        <v>213</v>
      </c>
    </row>
    <row r="3247" hidden="1">
      <c r="A3247" s="158" t="s">
        <v>231</v>
      </c>
      <c r="B3247" s="159"/>
      <c r="C3247" s="155" t="s">
        <v>232</v>
      </c>
      <c r="D3247" s="156" t="s">
        <v>3859</v>
      </c>
      <c r="E3247" s="156" t="s">
        <v>3977</v>
      </c>
      <c r="F3247" s="156" t="s">
        <v>3978</v>
      </c>
      <c r="G3247" s="156" t="s">
        <v>2299</v>
      </c>
      <c r="H3247" s="157" t="s">
        <v>214</v>
      </c>
    </row>
    <row r="3248" hidden="1">
      <c r="A3248" s="160" t="s">
        <v>231</v>
      </c>
      <c r="B3248" s="72"/>
      <c r="C3248" s="118" t="s">
        <v>232</v>
      </c>
      <c r="D3248" s="152" t="s">
        <v>3859</v>
      </c>
      <c r="E3248" s="152" t="s">
        <v>3979</v>
      </c>
      <c r="F3248" s="152" t="s">
        <v>374</v>
      </c>
      <c r="G3248" s="152" t="s">
        <v>1860</v>
      </c>
      <c r="H3248" s="153" t="s">
        <v>215</v>
      </c>
    </row>
    <row r="3249" hidden="1">
      <c r="A3249" s="158" t="s">
        <v>231</v>
      </c>
      <c r="B3249" s="159"/>
      <c r="C3249" s="155" t="s">
        <v>232</v>
      </c>
      <c r="D3249" s="156" t="s">
        <v>3859</v>
      </c>
      <c r="E3249" s="156" t="s">
        <v>3980</v>
      </c>
      <c r="F3249" s="156" t="s">
        <v>301</v>
      </c>
      <c r="G3249" s="156" t="s">
        <v>3071</v>
      </c>
      <c r="H3249" s="157" t="s">
        <v>216</v>
      </c>
    </row>
    <row r="3250" hidden="1">
      <c r="A3250" s="160" t="s">
        <v>233</v>
      </c>
      <c r="B3250" s="72"/>
      <c r="C3250" s="118" t="s">
        <v>232</v>
      </c>
      <c r="D3250" s="152" t="s">
        <v>3859</v>
      </c>
      <c r="E3250" s="152" t="s">
        <v>3981</v>
      </c>
      <c r="F3250" s="152" t="s">
        <v>290</v>
      </c>
      <c r="G3250" s="152" t="s">
        <v>3613</v>
      </c>
      <c r="H3250" s="153" t="s">
        <v>210</v>
      </c>
    </row>
    <row r="3251" hidden="1">
      <c r="A3251" s="158" t="s">
        <v>233</v>
      </c>
      <c r="B3251" s="159"/>
      <c r="C3251" s="155" t="s">
        <v>232</v>
      </c>
      <c r="D3251" s="156" t="s">
        <v>3859</v>
      </c>
      <c r="E3251" s="156" t="s">
        <v>3982</v>
      </c>
      <c r="F3251" s="156" t="s">
        <v>534</v>
      </c>
      <c r="G3251" s="156" t="s">
        <v>3572</v>
      </c>
      <c r="H3251" s="157" t="s">
        <v>211</v>
      </c>
    </row>
    <row r="3252" hidden="1">
      <c r="A3252" s="160" t="s">
        <v>233</v>
      </c>
      <c r="B3252" s="72"/>
      <c r="C3252" s="118" t="s">
        <v>232</v>
      </c>
      <c r="D3252" s="152" t="s">
        <v>3859</v>
      </c>
      <c r="E3252" s="152" t="s">
        <v>3983</v>
      </c>
      <c r="F3252" s="152" t="s">
        <v>351</v>
      </c>
      <c r="G3252" s="152" t="s">
        <v>2513</v>
      </c>
      <c r="H3252" s="153" t="s">
        <v>212</v>
      </c>
    </row>
    <row r="3253" hidden="1">
      <c r="A3253" s="158" t="s">
        <v>233</v>
      </c>
      <c r="B3253" s="159"/>
      <c r="C3253" s="155" t="s">
        <v>232</v>
      </c>
      <c r="D3253" s="156" t="s">
        <v>3859</v>
      </c>
      <c r="E3253" s="156" t="s">
        <v>3984</v>
      </c>
      <c r="F3253" s="156" t="s">
        <v>351</v>
      </c>
      <c r="G3253" s="156" t="s">
        <v>3908</v>
      </c>
      <c r="H3253" s="157" t="s">
        <v>213</v>
      </c>
    </row>
    <row r="3254" hidden="1">
      <c r="A3254" s="160" t="s">
        <v>233</v>
      </c>
      <c r="B3254" s="72"/>
      <c r="C3254" s="118" t="s">
        <v>232</v>
      </c>
      <c r="D3254" s="152" t="s">
        <v>3859</v>
      </c>
      <c r="E3254" s="152" t="s">
        <v>3985</v>
      </c>
      <c r="F3254" s="152" t="s">
        <v>427</v>
      </c>
      <c r="G3254" s="152" t="s">
        <v>2822</v>
      </c>
      <c r="H3254" s="153" t="s">
        <v>214</v>
      </c>
    </row>
    <row r="3255" hidden="1">
      <c r="A3255" s="158" t="s">
        <v>233</v>
      </c>
      <c r="B3255" s="159"/>
      <c r="C3255" s="155" t="s">
        <v>232</v>
      </c>
      <c r="D3255" s="156" t="s">
        <v>3859</v>
      </c>
      <c r="E3255" s="156" t="s">
        <v>3986</v>
      </c>
      <c r="F3255" s="156" t="s">
        <v>305</v>
      </c>
      <c r="G3255" s="156" t="s">
        <v>3710</v>
      </c>
      <c r="H3255" s="157" t="s">
        <v>215</v>
      </c>
    </row>
    <row r="3256" hidden="1">
      <c r="A3256" s="160" t="s">
        <v>233</v>
      </c>
      <c r="B3256" s="72"/>
      <c r="C3256" s="118" t="s">
        <v>232</v>
      </c>
      <c r="D3256" s="152" t="s">
        <v>3859</v>
      </c>
      <c r="E3256" s="152" t="s">
        <v>3987</v>
      </c>
      <c r="F3256" s="152" t="s">
        <v>534</v>
      </c>
      <c r="G3256" s="152" t="s">
        <v>3200</v>
      </c>
      <c r="H3256" s="153" t="s">
        <v>216</v>
      </c>
    </row>
    <row r="3257" hidden="1">
      <c r="A3257" s="158" t="s">
        <v>234</v>
      </c>
      <c r="B3257" s="159"/>
      <c r="C3257" s="155" t="s">
        <v>232</v>
      </c>
      <c r="D3257" s="156" t="s">
        <v>3859</v>
      </c>
      <c r="E3257" s="156" t="s">
        <v>3988</v>
      </c>
      <c r="F3257" s="156" t="s">
        <v>305</v>
      </c>
      <c r="G3257" s="156" t="s">
        <v>3989</v>
      </c>
      <c r="H3257" s="157" t="s">
        <v>210</v>
      </c>
    </row>
    <row r="3258" hidden="1">
      <c r="A3258" s="160" t="s">
        <v>234</v>
      </c>
      <c r="B3258" s="72"/>
      <c r="C3258" s="118" t="s">
        <v>232</v>
      </c>
      <c r="D3258" s="152" t="s">
        <v>3859</v>
      </c>
      <c r="E3258" s="152" t="s">
        <v>3990</v>
      </c>
      <c r="F3258" s="152" t="s">
        <v>336</v>
      </c>
      <c r="G3258" s="152" t="s">
        <v>3872</v>
      </c>
      <c r="H3258" s="153" t="s">
        <v>211</v>
      </c>
    </row>
    <row r="3259" hidden="1">
      <c r="A3259" s="158" t="s">
        <v>234</v>
      </c>
      <c r="B3259" s="159"/>
      <c r="C3259" s="155" t="s">
        <v>232</v>
      </c>
      <c r="D3259" s="156" t="s">
        <v>3859</v>
      </c>
      <c r="E3259" s="156" t="s">
        <v>3991</v>
      </c>
      <c r="F3259" s="156" t="s">
        <v>478</v>
      </c>
      <c r="G3259" s="156" t="s">
        <v>3966</v>
      </c>
      <c r="H3259" s="157" t="s">
        <v>212</v>
      </c>
    </row>
    <row r="3260" hidden="1">
      <c r="A3260" s="160" t="s">
        <v>234</v>
      </c>
      <c r="B3260" s="72"/>
      <c r="C3260" s="118" t="s">
        <v>232</v>
      </c>
      <c r="D3260" s="152" t="s">
        <v>3859</v>
      </c>
      <c r="E3260" s="152" t="s">
        <v>3992</v>
      </c>
      <c r="F3260" s="152" t="s">
        <v>450</v>
      </c>
      <c r="G3260" s="152" t="s">
        <v>2179</v>
      </c>
      <c r="H3260" s="153" t="s">
        <v>213</v>
      </c>
    </row>
    <row r="3261" hidden="1">
      <c r="A3261" s="158" t="s">
        <v>234</v>
      </c>
      <c r="B3261" s="159"/>
      <c r="C3261" s="155" t="s">
        <v>232</v>
      </c>
      <c r="D3261" s="156" t="s">
        <v>3859</v>
      </c>
      <c r="E3261" s="156" t="s">
        <v>3993</v>
      </c>
      <c r="F3261" s="156" t="s">
        <v>310</v>
      </c>
      <c r="G3261" s="156" t="s">
        <v>3371</v>
      </c>
      <c r="H3261" s="157" t="s">
        <v>214</v>
      </c>
    </row>
    <row r="3262" hidden="1">
      <c r="A3262" s="160" t="s">
        <v>234</v>
      </c>
      <c r="B3262" s="72"/>
      <c r="C3262" s="118" t="s">
        <v>232</v>
      </c>
      <c r="D3262" s="152" t="s">
        <v>3859</v>
      </c>
      <c r="E3262" s="152" t="s">
        <v>3994</v>
      </c>
      <c r="F3262" s="152" t="s">
        <v>450</v>
      </c>
      <c r="G3262" s="152" t="s">
        <v>3905</v>
      </c>
      <c r="H3262" s="153" t="s">
        <v>215</v>
      </c>
    </row>
    <row r="3263" hidden="1">
      <c r="A3263" s="158" t="s">
        <v>234</v>
      </c>
      <c r="B3263" s="159"/>
      <c r="C3263" s="155" t="s">
        <v>232</v>
      </c>
      <c r="D3263" s="156" t="s">
        <v>3859</v>
      </c>
      <c r="E3263" s="156" t="s">
        <v>3995</v>
      </c>
      <c r="F3263" s="156" t="s">
        <v>339</v>
      </c>
      <c r="G3263" s="156" t="s">
        <v>3996</v>
      </c>
      <c r="H3263" s="157" t="s">
        <v>216</v>
      </c>
    </row>
    <row r="3264" hidden="1">
      <c r="A3264" s="160" t="s">
        <v>235</v>
      </c>
      <c r="B3264" s="72"/>
      <c r="C3264" s="118" t="s">
        <v>236</v>
      </c>
      <c r="D3264" s="152" t="s">
        <v>3859</v>
      </c>
      <c r="E3264" s="152" t="s">
        <v>3997</v>
      </c>
      <c r="F3264" s="152" t="s">
        <v>331</v>
      </c>
      <c r="G3264" s="152" t="s">
        <v>3734</v>
      </c>
      <c r="H3264" s="153" t="s">
        <v>210</v>
      </c>
    </row>
    <row r="3265" hidden="1">
      <c r="A3265" s="158" t="s">
        <v>235</v>
      </c>
      <c r="B3265" s="159"/>
      <c r="C3265" s="155" t="s">
        <v>236</v>
      </c>
      <c r="D3265" s="156" t="s">
        <v>3859</v>
      </c>
      <c r="E3265" s="156" t="s">
        <v>3998</v>
      </c>
      <c r="F3265" s="156" t="s">
        <v>314</v>
      </c>
      <c r="G3265" s="156" t="s">
        <v>2513</v>
      </c>
      <c r="H3265" s="157" t="s">
        <v>211</v>
      </c>
    </row>
    <row r="3266" hidden="1">
      <c r="A3266" s="160" t="s">
        <v>235</v>
      </c>
      <c r="B3266" s="72"/>
      <c r="C3266" s="118" t="s">
        <v>236</v>
      </c>
      <c r="D3266" s="152" t="s">
        <v>3859</v>
      </c>
      <c r="E3266" s="152" t="s">
        <v>3999</v>
      </c>
      <c r="F3266" s="152" t="s">
        <v>331</v>
      </c>
      <c r="G3266" s="152" t="s">
        <v>2519</v>
      </c>
      <c r="H3266" s="153" t="s">
        <v>212</v>
      </c>
    </row>
    <row r="3267" hidden="1">
      <c r="A3267" s="158" t="s">
        <v>235</v>
      </c>
      <c r="B3267" s="159"/>
      <c r="C3267" s="155" t="s">
        <v>236</v>
      </c>
      <c r="D3267" s="156" t="s">
        <v>3859</v>
      </c>
      <c r="E3267" s="156" t="s">
        <v>4000</v>
      </c>
      <c r="F3267" s="156" t="s">
        <v>290</v>
      </c>
      <c r="G3267" s="156" t="s">
        <v>2519</v>
      </c>
      <c r="H3267" s="157" t="s">
        <v>213</v>
      </c>
    </row>
    <row r="3268" hidden="1">
      <c r="A3268" s="160" t="s">
        <v>235</v>
      </c>
      <c r="B3268" s="72"/>
      <c r="C3268" s="118" t="s">
        <v>236</v>
      </c>
      <c r="D3268" s="152" t="s">
        <v>3859</v>
      </c>
      <c r="E3268" s="152" t="s">
        <v>4001</v>
      </c>
      <c r="F3268" s="152" t="s">
        <v>321</v>
      </c>
      <c r="G3268" s="152" t="s">
        <v>4002</v>
      </c>
      <c r="H3268" s="153" t="s">
        <v>214</v>
      </c>
    </row>
    <row r="3269" hidden="1">
      <c r="A3269" s="158" t="s">
        <v>235</v>
      </c>
      <c r="B3269" s="159"/>
      <c r="C3269" s="155" t="s">
        <v>236</v>
      </c>
      <c r="D3269" s="156" t="s">
        <v>3859</v>
      </c>
      <c r="E3269" s="156" t="s">
        <v>4003</v>
      </c>
      <c r="F3269" s="156" t="s">
        <v>314</v>
      </c>
      <c r="G3269" s="156" t="s">
        <v>3915</v>
      </c>
      <c r="H3269" s="157" t="s">
        <v>215</v>
      </c>
    </row>
    <row r="3270" hidden="1">
      <c r="A3270" s="160" t="s">
        <v>235</v>
      </c>
      <c r="B3270" s="72"/>
      <c r="C3270" s="118" t="s">
        <v>236</v>
      </c>
      <c r="D3270" s="152" t="s">
        <v>3859</v>
      </c>
      <c r="E3270" s="152" t="s">
        <v>4004</v>
      </c>
      <c r="F3270" s="152" t="s">
        <v>249</v>
      </c>
      <c r="G3270" s="152" t="s">
        <v>3900</v>
      </c>
      <c r="H3270" s="153" t="s">
        <v>216</v>
      </c>
    </row>
    <row r="3271" hidden="1">
      <c r="A3271" s="158" t="s">
        <v>237</v>
      </c>
      <c r="B3271" s="159"/>
      <c r="C3271" s="155" t="s">
        <v>236</v>
      </c>
      <c r="D3271" s="156" t="s">
        <v>3859</v>
      </c>
      <c r="E3271" s="156" t="s">
        <v>4005</v>
      </c>
      <c r="F3271" s="156" t="s">
        <v>290</v>
      </c>
      <c r="G3271" s="156" t="s">
        <v>4006</v>
      </c>
      <c r="H3271" s="157" t="s">
        <v>210</v>
      </c>
    </row>
    <row r="3272" hidden="1">
      <c r="A3272" s="160" t="s">
        <v>237</v>
      </c>
      <c r="B3272" s="72"/>
      <c r="C3272" s="118" t="s">
        <v>236</v>
      </c>
      <c r="D3272" s="152" t="s">
        <v>3859</v>
      </c>
      <c r="E3272" s="152" t="s">
        <v>4007</v>
      </c>
      <c r="F3272" s="152" t="s">
        <v>425</v>
      </c>
      <c r="G3272" s="152" t="s">
        <v>3513</v>
      </c>
      <c r="H3272" s="153" t="s">
        <v>211</v>
      </c>
    </row>
    <row r="3273" hidden="1">
      <c r="A3273" s="158" t="s">
        <v>237</v>
      </c>
      <c r="B3273" s="159"/>
      <c r="C3273" s="155" t="s">
        <v>236</v>
      </c>
      <c r="D3273" s="156" t="s">
        <v>3859</v>
      </c>
      <c r="E3273" s="156" t="s">
        <v>4008</v>
      </c>
      <c r="F3273" s="156" t="s">
        <v>453</v>
      </c>
      <c r="G3273" s="156" t="s">
        <v>3138</v>
      </c>
      <c r="H3273" s="157" t="s">
        <v>212</v>
      </c>
    </row>
    <row r="3274" hidden="1">
      <c r="A3274" s="160" t="s">
        <v>237</v>
      </c>
      <c r="B3274" s="72"/>
      <c r="C3274" s="118" t="s">
        <v>236</v>
      </c>
      <c r="D3274" s="152" t="s">
        <v>3859</v>
      </c>
      <c r="E3274" s="152" t="s">
        <v>4009</v>
      </c>
      <c r="F3274" s="152" t="s">
        <v>329</v>
      </c>
      <c r="G3274" s="152" t="s">
        <v>3394</v>
      </c>
      <c r="H3274" s="153" t="s">
        <v>213</v>
      </c>
    </row>
    <row r="3275" hidden="1">
      <c r="A3275" s="158" t="s">
        <v>237</v>
      </c>
      <c r="B3275" s="159"/>
      <c r="C3275" s="155" t="s">
        <v>236</v>
      </c>
      <c r="D3275" s="156" t="s">
        <v>3859</v>
      </c>
      <c r="E3275" s="156" t="s">
        <v>4010</v>
      </c>
      <c r="F3275" s="156" t="s">
        <v>483</v>
      </c>
      <c r="G3275" s="156" t="s">
        <v>3400</v>
      </c>
      <c r="H3275" s="157" t="s">
        <v>214</v>
      </c>
    </row>
    <row r="3276" hidden="1">
      <c r="A3276" s="160" t="s">
        <v>237</v>
      </c>
      <c r="B3276" s="72"/>
      <c r="C3276" s="118" t="s">
        <v>236</v>
      </c>
      <c r="D3276" s="152" t="s">
        <v>3859</v>
      </c>
      <c r="E3276" s="152" t="s">
        <v>4011</v>
      </c>
      <c r="F3276" s="152" t="s">
        <v>725</v>
      </c>
      <c r="G3276" s="152" t="s">
        <v>4006</v>
      </c>
      <c r="H3276" s="153" t="s">
        <v>215</v>
      </c>
    </row>
    <row r="3277" hidden="1">
      <c r="A3277" s="158" t="s">
        <v>237</v>
      </c>
      <c r="B3277" s="159"/>
      <c r="C3277" s="155" t="s">
        <v>236</v>
      </c>
      <c r="D3277" s="156" t="s">
        <v>3859</v>
      </c>
      <c r="E3277" s="156" t="s">
        <v>4012</v>
      </c>
      <c r="F3277" s="156" t="s">
        <v>427</v>
      </c>
      <c r="G3277" s="156" t="s">
        <v>4013</v>
      </c>
      <c r="H3277" s="157" t="s">
        <v>216</v>
      </c>
    </row>
    <row r="3278" hidden="1">
      <c r="A3278" s="151" t="s">
        <v>204</v>
      </c>
      <c r="B3278" s="118" t="s">
        <v>205</v>
      </c>
      <c r="C3278" s="118" t="s">
        <v>206</v>
      </c>
      <c r="D3278" s="152" t="s">
        <v>4014</v>
      </c>
      <c r="E3278" s="152" t="s">
        <v>4015</v>
      </c>
      <c r="F3278" s="152" t="s">
        <v>325</v>
      </c>
      <c r="G3278" s="152" t="s">
        <v>3262</v>
      </c>
      <c r="H3278" s="153" t="s">
        <v>210</v>
      </c>
    </row>
    <row r="3279" hidden="1">
      <c r="A3279" s="154" t="s">
        <v>204</v>
      </c>
      <c r="B3279" s="155" t="s">
        <v>205</v>
      </c>
      <c r="C3279" s="155" t="s">
        <v>206</v>
      </c>
      <c r="D3279" s="156" t="s">
        <v>4014</v>
      </c>
      <c r="E3279" s="156" t="s">
        <v>4016</v>
      </c>
      <c r="F3279" s="156" t="s">
        <v>336</v>
      </c>
      <c r="G3279" s="156" t="s">
        <v>2816</v>
      </c>
      <c r="H3279" s="157" t="s">
        <v>211</v>
      </c>
    </row>
    <row r="3280" hidden="1">
      <c r="A3280" s="151" t="s">
        <v>204</v>
      </c>
      <c r="B3280" s="118" t="s">
        <v>205</v>
      </c>
      <c r="C3280" s="118" t="s">
        <v>206</v>
      </c>
      <c r="D3280" s="152" t="s">
        <v>4014</v>
      </c>
      <c r="E3280" s="152" t="s">
        <v>4017</v>
      </c>
      <c r="F3280" s="152" t="s">
        <v>725</v>
      </c>
      <c r="G3280" s="152" t="s">
        <v>3844</v>
      </c>
      <c r="H3280" s="153" t="s">
        <v>212</v>
      </c>
    </row>
    <row r="3281" hidden="1">
      <c r="A3281" s="154" t="s">
        <v>204</v>
      </c>
      <c r="B3281" s="155" t="s">
        <v>205</v>
      </c>
      <c r="C3281" s="155" t="s">
        <v>206</v>
      </c>
      <c r="D3281" s="156" t="s">
        <v>4014</v>
      </c>
      <c r="E3281" s="156" t="s">
        <v>4018</v>
      </c>
      <c r="F3281" s="156" t="s">
        <v>799</v>
      </c>
      <c r="G3281" s="156" t="s">
        <v>4019</v>
      </c>
      <c r="H3281" s="157" t="s">
        <v>213</v>
      </c>
    </row>
    <row r="3282" hidden="1">
      <c r="A3282" s="151" t="s">
        <v>204</v>
      </c>
      <c r="B3282" s="118" t="s">
        <v>205</v>
      </c>
      <c r="C3282" s="118" t="s">
        <v>206</v>
      </c>
      <c r="D3282" s="152" t="s">
        <v>4014</v>
      </c>
      <c r="E3282" s="152" t="s">
        <v>4020</v>
      </c>
      <c r="F3282" s="152" t="s">
        <v>325</v>
      </c>
      <c r="G3282" s="152" t="s">
        <v>3272</v>
      </c>
      <c r="H3282" s="153" t="s">
        <v>214</v>
      </c>
    </row>
    <row r="3283" hidden="1">
      <c r="A3283" s="154" t="s">
        <v>204</v>
      </c>
      <c r="B3283" s="155" t="s">
        <v>205</v>
      </c>
      <c r="C3283" s="155" t="s">
        <v>206</v>
      </c>
      <c r="D3283" s="156" t="s">
        <v>4014</v>
      </c>
      <c r="E3283" s="156" t="s">
        <v>4021</v>
      </c>
      <c r="F3283" s="156" t="s">
        <v>534</v>
      </c>
      <c r="G3283" s="156" t="s">
        <v>3941</v>
      </c>
      <c r="H3283" s="157" t="s">
        <v>215</v>
      </c>
    </row>
    <row r="3284" hidden="1">
      <c r="A3284" s="151" t="s">
        <v>204</v>
      </c>
      <c r="B3284" s="118" t="s">
        <v>205</v>
      </c>
      <c r="C3284" s="118" t="s">
        <v>206</v>
      </c>
      <c r="D3284" s="152" t="s">
        <v>4014</v>
      </c>
      <c r="E3284" s="152" t="s">
        <v>4022</v>
      </c>
      <c r="F3284" s="152" t="s">
        <v>325</v>
      </c>
      <c r="G3284" s="152" t="s">
        <v>3815</v>
      </c>
      <c r="H3284" s="153" t="s">
        <v>216</v>
      </c>
    </row>
    <row r="3285" hidden="1">
      <c r="A3285" s="154" t="s">
        <v>217</v>
      </c>
      <c r="B3285" s="155" t="s">
        <v>191</v>
      </c>
      <c r="C3285" s="155" t="s">
        <v>206</v>
      </c>
      <c r="D3285" s="156" t="s">
        <v>4014</v>
      </c>
      <c r="E3285" s="156" t="s">
        <v>4023</v>
      </c>
      <c r="F3285" s="156" t="s">
        <v>1999</v>
      </c>
      <c r="G3285" s="156" t="s">
        <v>4024</v>
      </c>
      <c r="H3285" s="157" t="s">
        <v>210</v>
      </c>
    </row>
    <row r="3286" hidden="1">
      <c r="A3286" s="151" t="s">
        <v>217</v>
      </c>
      <c r="B3286" s="118" t="s">
        <v>191</v>
      </c>
      <c r="C3286" s="118" t="s">
        <v>206</v>
      </c>
      <c r="D3286" s="152" t="s">
        <v>4014</v>
      </c>
      <c r="E3286" s="152" t="s">
        <v>4025</v>
      </c>
      <c r="F3286" s="152" t="s">
        <v>1530</v>
      </c>
      <c r="G3286" s="152" t="s">
        <v>4026</v>
      </c>
      <c r="H3286" s="153" t="s">
        <v>211</v>
      </c>
    </row>
    <row r="3287" hidden="1">
      <c r="A3287" s="154" t="s">
        <v>217</v>
      </c>
      <c r="B3287" s="155" t="s">
        <v>191</v>
      </c>
      <c r="C3287" s="155" t="s">
        <v>206</v>
      </c>
      <c r="D3287" s="156" t="s">
        <v>4014</v>
      </c>
      <c r="E3287" s="156" t="s">
        <v>4027</v>
      </c>
      <c r="F3287" s="156" t="s">
        <v>1532</v>
      </c>
      <c r="G3287" s="156" t="s">
        <v>3302</v>
      </c>
      <c r="H3287" s="157" t="s">
        <v>212</v>
      </c>
    </row>
    <row r="3288" hidden="1">
      <c r="A3288" s="151" t="s">
        <v>217</v>
      </c>
      <c r="B3288" s="118" t="s">
        <v>191</v>
      </c>
      <c r="C3288" s="118" t="s">
        <v>206</v>
      </c>
      <c r="D3288" s="152" t="s">
        <v>4014</v>
      </c>
      <c r="E3288" s="152" t="s">
        <v>4028</v>
      </c>
      <c r="F3288" s="152" t="s">
        <v>766</v>
      </c>
      <c r="G3288" s="152" t="s">
        <v>4029</v>
      </c>
      <c r="H3288" s="153" t="s">
        <v>213</v>
      </c>
    </row>
    <row r="3289" hidden="1">
      <c r="A3289" s="154" t="s">
        <v>217</v>
      </c>
      <c r="B3289" s="155" t="s">
        <v>191</v>
      </c>
      <c r="C3289" s="155" t="s">
        <v>206</v>
      </c>
      <c r="D3289" s="156" t="s">
        <v>4014</v>
      </c>
      <c r="E3289" s="156" t="s">
        <v>4030</v>
      </c>
      <c r="F3289" s="156" t="s">
        <v>2994</v>
      </c>
      <c r="G3289" s="156" t="s">
        <v>4031</v>
      </c>
      <c r="H3289" s="157" t="s">
        <v>214</v>
      </c>
    </row>
    <row r="3290" hidden="1">
      <c r="A3290" s="151" t="s">
        <v>217</v>
      </c>
      <c r="B3290" s="118" t="s">
        <v>191</v>
      </c>
      <c r="C3290" s="118" t="s">
        <v>206</v>
      </c>
      <c r="D3290" s="152" t="s">
        <v>4014</v>
      </c>
      <c r="E3290" s="152" t="s">
        <v>4032</v>
      </c>
      <c r="F3290" s="152" t="s">
        <v>336</v>
      </c>
      <c r="G3290" s="152" t="s">
        <v>1997</v>
      </c>
      <c r="H3290" s="153" t="s">
        <v>215</v>
      </c>
    </row>
    <row r="3291" hidden="1">
      <c r="A3291" s="154" t="s">
        <v>217</v>
      </c>
      <c r="B3291" s="155" t="s">
        <v>191</v>
      </c>
      <c r="C3291" s="155" t="s">
        <v>206</v>
      </c>
      <c r="D3291" s="156" t="s">
        <v>4014</v>
      </c>
      <c r="E3291" s="156" t="s">
        <v>4033</v>
      </c>
      <c r="F3291" s="156" t="s">
        <v>405</v>
      </c>
      <c r="G3291" s="156" t="s">
        <v>4034</v>
      </c>
      <c r="H3291" s="157" t="s">
        <v>216</v>
      </c>
    </row>
    <row r="3292" hidden="1">
      <c r="A3292" s="151" t="s">
        <v>218</v>
      </c>
      <c r="B3292" s="118" t="s">
        <v>219</v>
      </c>
      <c r="C3292" s="118" t="s">
        <v>206</v>
      </c>
      <c r="D3292" s="152" t="s">
        <v>4014</v>
      </c>
      <c r="E3292" s="152" t="s">
        <v>4035</v>
      </c>
      <c r="F3292" s="152" t="s">
        <v>359</v>
      </c>
      <c r="G3292" s="152" t="s">
        <v>2880</v>
      </c>
      <c r="H3292" s="153" t="s">
        <v>210</v>
      </c>
    </row>
    <row r="3293" hidden="1">
      <c r="A3293" s="154" t="s">
        <v>218</v>
      </c>
      <c r="B3293" s="155" t="s">
        <v>219</v>
      </c>
      <c r="C3293" s="155" t="s">
        <v>206</v>
      </c>
      <c r="D3293" s="156" t="s">
        <v>4014</v>
      </c>
      <c r="E3293" s="156" t="s">
        <v>4036</v>
      </c>
      <c r="F3293" s="156" t="s">
        <v>359</v>
      </c>
      <c r="G3293" s="156" t="s">
        <v>1856</v>
      </c>
      <c r="H3293" s="157" t="s">
        <v>211</v>
      </c>
    </row>
    <row r="3294" hidden="1">
      <c r="A3294" s="151" t="s">
        <v>218</v>
      </c>
      <c r="B3294" s="118" t="s">
        <v>219</v>
      </c>
      <c r="C3294" s="118" t="s">
        <v>206</v>
      </c>
      <c r="D3294" s="152" t="s">
        <v>4014</v>
      </c>
      <c r="E3294" s="152" t="s">
        <v>4037</v>
      </c>
      <c r="F3294" s="152" t="s">
        <v>308</v>
      </c>
      <c r="G3294" s="152" t="s">
        <v>2070</v>
      </c>
      <c r="H3294" s="153" t="s">
        <v>212</v>
      </c>
    </row>
    <row r="3295" hidden="1">
      <c r="A3295" s="154" t="s">
        <v>218</v>
      </c>
      <c r="B3295" s="155" t="s">
        <v>219</v>
      </c>
      <c r="C3295" s="155" t="s">
        <v>206</v>
      </c>
      <c r="D3295" s="156" t="s">
        <v>4014</v>
      </c>
      <c r="E3295" s="156" t="s">
        <v>4038</v>
      </c>
      <c r="F3295" s="156" t="s">
        <v>321</v>
      </c>
      <c r="G3295" s="156" t="s">
        <v>1868</v>
      </c>
      <c r="H3295" s="157" t="s">
        <v>213</v>
      </c>
    </row>
    <row r="3296" hidden="1">
      <c r="A3296" s="151" t="s">
        <v>218</v>
      </c>
      <c r="B3296" s="118" t="s">
        <v>219</v>
      </c>
      <c r="C3296" s="118" t="s">
        <v>206</v>
      </c>
      <c r="D3296" s="152" t="s">
        <v>4014</v>
      </c>
      <c r="E3296" s="152" t="s">
        <v>4039</v>
      </c>
      <c r="F3296" s="152" t="s">
        <v>249</v>
      </c>
      <c r="G3296" s="152" t="s">
        <v>2299</v>
      </c>
      <c r="H3296" s="153" t="s">
        <v>214</v>
      </c>
    </row>
    <row r="3297" hidden="1">
      <c r="A3297" s="154" t="s">
        <v>218</v>
      </c>
      <c r="B3297" s="155" t="s">
        <v>219</v>
      </c>
      <c r="C3297" s="155" t="s">
        <v>206</v>
      </c>
      <c r="D3297" s="156" t="s">
        <v>4014</v>
      </c>
      <c r="E3297" s="156" t="s">
        <v>4040</v>
      </c>
      <c r="F3297" s="156" t="s">
        <v>359</v>
      </c>
      <c r="G3297" s="156" t="s">
        <v>2129</v>
      </c>
      <c r="H3297" s="157" t="s">
        <v>215</v>
      </c>
    </row>
    <row r="3298" hidden="1">
      <c r="A3298" s="151" t="s">
        <v>218</v>
      </c>
      <c r="B3298" s="118" t="s">
        <v>219</v>
      </c>
      <c r="C3298" s="118" t="s">
        <v>206</v>
      </c>
      <c r="D3298" s="152" t="s">
        <v>4014</v>
      </c>
      <c r="E3298" s="152" t="s">
        <v>4041</v>
      </c>
      <c r="F3298" s="152" t="s">
        <v>314</v>
      </c>
      <c r="G3298" s="152" t="s">
        <v>2716</v>
      </c>
      <c r="H3298" s="153" t="s">
        <v>216</v>
      </c>
    </row>
    <row r="3299" hidden="1">
      <c r="A3299" s="154" t="s">
        <v>220</v>
      </c>
      <c r="B3299" s="155" t="s">
        <v>190</v>
      </c>
      <c r="C3299" s="155" t="s">
        <v>206</v>
      </c>
      <c r="D3299" s="156" t="s">
        <v>4014</v>
      </c>
      <c r="E3299" s="156" t="s">
        <v>4042</v>
      </c>
      <c r="F3299" s="156" t="s">
        <v>255</v>
      </c>
      <c r="G3299" s="156" t="s">
        <v>2119</v>
      </c>
      <c r="H3299" s="157" t="s">
        <v>210</v>
      </c>
    </row>
    <row r="3300" hidden="1">
      <c r="A3300" s="151" t="s">
        <v>220</v>
      </c>
      <c r="B3300" s="118" t="s">
        <v>190</v>
      </c>
      <c r="C3300" s="118" t="s">
        <v>206</v>
      </c>
      <c r="D3300" s="152" t="s">
        <v>4014</v>
      </c>
      <c r="E3300" s="152" t="s">
        <v>4043</v>
      </c>
      <c r="F3300" s="152" t="s">
        <v>492</v>
      </c>
      <c r="G3300" s="152" t="s">
        <v>2467</v>
      </c>
      <c r="H3300" s="153" t="s">
        <v>211</v>
      </c>
    </row>
    <row r="3301" hidden="1">
      <c r="A3301" s="154" t="s">
        <v>220</v>
      </c>
      <c r="B3301" s="155" t="s">
        <v>190</v>
      </c>
      <c r="C3301" s="155" t="s">
        <v>206</v>
      </c>
      <c r="D3301" s="156" t="s">
        <v>4014</v>
      </c>
      <c r="E3301" s="156" t="s">
        <v>4044</v>
      </c>
      <c r="F3301" s="156" t="s">
        <v>321</v>
      </c>
      <c r="G3301" s="156" t="s">
        <v>2309</v>
      </c>
      <c r="H3301" s="157" t="s">
        <v>212</v>
      </c>
    </row>
    <row r="3302" hidden="1">
      <c r="A3302" s="151" t="s">
        <v>220</v>
      </c>
      <c r="B3302" s="118" t="s">
        <v>190</v>
      </c>
      <c r="C3302" s="118" t="s">
        <v>206</v>
      </c>
      <c r="D3302" s="152" t="s">
        <v>4014</v>
      </c>
      <c r="E3302" s="152" t="s">
        <v>4045</v>
      </c>
      <c r="F3302" s="152" t="s">
        <v>240</v>
      </c>
      <c r="G3302" s="152" t="s">
        <v>1942</v>
      </c>
      <c r="H3302" s="153" t="s">
        <v>213</v>
      </c>
    </row>
    <row r="3303" hidden="1">
      <c r="A3303" s="154" t="s">
        <v>220</v>
      </c>
      <c r="B3303" s="155" t="s">
        <v>190</v>
      </c>
      <c r="C3303" s="155" t="s">
        <v>206</v>
      </c>
      <c r="D3303" s="156" t="s">
        <v>4014</v>
      </c>
      <c r="E3303" s="156" t="s">
        <v>4046</v>
      </c>
      <c r="F3303" s="156" t="s">
        <v>374</v>
      </c>
      <c r="G3303" s="156" t="s">
        <v>1864</v>
      </c>
      <c r="H3303" s="157" t="s">
        <v>214</v>
      </c>
    </row>
    <row r="3304" hidden="1">
      <c r="A3304" s="151" t="s">
        <v>220</v>
      </c>
      <c r="B3304" s="118" t="s">
        <v>190</v>
      </c>
      <c r="C3304" s="118" t="s">
        <v>206</v>
      </c>
      <c r="D3304" s="152" t="s">
        <v>4014</v>
      </c>
      <c r="E3304" s="152" t="s">
        <v>4047</v>
      </c>
      <c r="F3304" s="152" t="s">
        <v>269</v>
      </c>
      <c r="G3304" s="152" t="s">
        <v>2138</v>
      </c>
      <c r="H3304" s="153" t="s">
        <v>215</v>
      </c>
    </row>
    <row r="3305" hidden="1">
      <c r="A3305" s="154" t="s">
        <v>220</v>
      </c>
      <c r="B3305" s="155" t="s">
        <v>190</v>
      </c>
      <c r="C3305" s="155" t="s">
        <v>206</v>
      </c>
      <c r="D3305" s="156" t="s">
        <v>4014</v>
      </c>
      <c r="E3305" s="156" t="s">
        <v>4048</v>
      </c>
      <c r="F3305" s="156" t="s">
        <v>255</v>
      </c>
      <c r="G3305" s="156" t="s">
        <v>3284</v>
      </c>
      <c r="H3305" s="157" t="s">
        <v>216</v>
      </c>
    </row>
    <row r="3306" hidden="1">
      <c r="A3306" s="151" t="s">
        <v>221</v>
      </c>
      <c r="B3306" s="118" t="s">
        <v>189</v>
      </c>
      <c r="C3306" s="118" t="s">
        <v>206</v>
      </c>
      <c r="D3306" s="152" t="s">
        <v>4014</v>
      </c>
      <c r="E3306" s="152" t="s">
        <v>4049</v>
      </c>
      <c r="F3306" s="152" t="s">
        <v>3240</v>
      </c>
      <c r="G3306" s="152" t="s">
        <v>2818</v>
      </c>
      <c r="H3306" s="153" t="s">
        <v>210</v>
      </c>
    </row>
    <row r="3307" hidden="1">
      <c r="A3307" s="154" t="s">
        <v>221</v>
      </c>
      <c r="B3307" s="155" t="s">
        <v>189</v>
      </c>
      <c r="C3307" s="155" t="s">
        <v>206</v>
      </c>
      <c r="D3307" s="156" t="s">
        <v>4014</v>
      </c>
      <c r="E3307" s="156" t="s">
        <v>4050</v>
      </c>
      <c r="F3307" s="156" t="s">
        <v>577</v>
      </c>
      <c r="G3307" s="156" t="s">
        <v>2513</v>
      </c>
      <c r="H3307" s="157" t="s">
        <v>211</v>
      </c>
    </row>
    <row r="3308" hidden="1">
      <c r="A3308" s="151" t="s">
        <v>221</v>
      </c>
      <c r="B3308" s="118" t="s">
        <v>189</v>
      </c>
      <c r="C3308" s="118" t="s">
        <v>206</v>
      </c>
      <c r="D3308" s="152" t="s">
        <v>4014</v>
      </c>
      <c r="E3308" s="152" t="s">
        <v>4051</v>
      </c>
      <c r="F3308" s="152" t="s">
        <v>4052</v>
      </c>
      <c r="G3308" s="152" t="s">
        <v>3595</v>
      </c>
      <c r="H3308" s="153" t="s">
        <v>212</v>
      </c>
    </row>
    <row r="3309" hidden="1">
      <c r="A3309" s="154" t="s">
        <v>221</v>
      </c>
      <c r="B3309" s="155" t="s">
        <v>189</v>
      </c>
      <c r="C3309" s="155" t="s">
        <v>206</v>
      </c>
      <c r="D3309" s="156" t="s">
        <v>4014</v>
      </c>
      <c r="E3309" s="156" t="s">
        <v>4053</v>
      </c>
      <c r="F3309" s="156" t="s">
        <v>3340</v>
      </c>
      <c r="G3309" s="156" t="s">
        <v>4054</v>
      </c>
      <c r="H3309" s="157" t="s">
        <v>213</v>
      </c>
    </row>
    <row r="3310" hidden="1">
      <c r="A3310" s="151" t="s">
        <v>221</v>
      </c>
      <c r="B3310" s="118" t="s">
        <v>189</v>
      </c>
      <c r="C3310" s="118" t="s">
        <v>206</v>
      </c>
      <c r="D3310" s="152" t="s">
        <v>4014</v>
      </c>
      <c r="E3310" s="152" t="s">
        <v>4055</v>
      </c>
      <c r="F3310" s="152" t="s">
        <v>390</v>
      </c>
      <c r="G3310" s="152" t="s">
        <v>3265</v>
      </c>
      <c r="H3310" s="153" t="s">
        <v>214</v>
      </c>
    </row>
    <row r="3311" hidden="1">
      <c r="A3311" s="154" t="s">
        <v>221</v>
      </c>
      <c r="B3311" s="155" t="s">
        <v>189</v>
      </c>
      <c r="C3311" s="155" t="s">
        <v>206</v>
      </c>
      <c r="D3311" s="156" t="s">
        <v>4014</v>
      </c>
      <c r="E3311" s="156" t="s">
        <v>4056</v>
      </c>
      <c r="F3311" s="156" t="s">
        <v>673</v>
      </c>
      <c r="G3311" s="156" t="s">
        <v>4029</v>
      </c>
      <c r="H3311" s="157" t="s">
        <v>215</v>
      </c>
    </row>
    <row r="3312" hidden="1">
      <c r="A3312" s="151" t="s">
        <v>221</v>
      </c>
      <c r="B3312" s="118" t="s">
        <v>189</v>
      </c>
      <c r="C3312" s="118" t="s">
        <v>206</v>
      </c>
      <c r="D3312" s="152" t="s">
        <v>4014</v>
      </c>
      <c r="E3312" s="152" t="s">
        <v>4057</v>
      </c>
      <c r="F3312" s="152" t="s">
        <v>760</v>
      </c>
      <c r="G3312" s="152" t="s">
        <v>3734</v>
      </c>
      <c r="H3312" s="153" t="s">
        <v>216</v>
      </c>
    </row>
    <row r="3313" hidden="1">
      <c r="A3313" s="154" t="s">
        <v>222</v>
      </c>
      <c r="B3313" s="155" t="s">
        <v>192</v>
      </c>
      <c r="C3313" s="155" t="s">
        <v>206</v>
      </c>
      <c r="D3313" s="156" t="s">
        <v>4014</v>
      </c>
      <c r="E3313" s="156" t="s">
        <v>4058</v>
      </c>
      <c r="F3313" s="156" t="s">
        <v>314</v>
      </c>
      <c r="G3313" s="156" t="s">
        <v>3272</v>
      </c>
      <c r="H3313" s="157" t="s">
        <v>210</v>
      </c>
    </row>
    <row r="3314" hidden="1">
      <c r="A3314" s="151" t="s">
        <v>222</v>
      </c>
      <c r="B3314" s="118" t="s">
        <v>192</v>
      </c>
      <c r="C3314" s="118" t="s">
        <v>206</v>
      </c>
      <c r="D3314" s="152" t="s">
        <v>4014</v>
      </c>
      <c r="E3314" s="152" t="s">
        <v>4059</v>
      </c>
      <c r="F3314" s="152" t="s">
        <v>534</v>
      </c>
      <c r="G3314" s="152" t="s">
        <v>4060</v>
      </c>
      <c r="H3314" s="153" t="s">
        <v>211</v>
      </c>
    </row>
    <row r="3315" hidden="1">
      <c r="A3315" s="154" t="s">
        <v>222</v>
      </c>
      <c r="B3315" s="155" t="s">
        <v>192</v>
      </c>
      <c r="C3315" s="155" t="s">
        <v>206</v>
      </c>
      <c r="D3315" s="156" t="s">
        <v>4014</v>
      </c>
      <c r="E3315" s="156" t="s">
        <v>4061</v>
      </c>
      <c r="F3315" s="156" t="s">
        <v>336</v>
      </c>
      <c r="G3315" s="156" t="s">
        <v>3108</v>
      </c>
      <c r="H3315" s="157" t="s">
        <v>212</v>
      </c>
    </row>
    <row r="3316" hidden="1">
      <c r="A3316" s="151" t="s">
        <v>222</v>
      </c>
      <c r="B3316" s="118" t="s">
        <v>192</v>
      </c>
      <c r="C3316" s="118" t="s">
        <v>206</v>
      </c>
      <c r="D3316" s="152" t="s">
        <v>4014</v>
      </c>
      <c r="E3316" s="152" t="s">
        <v>4062</v>
      </c>
      <c r="F3316" s="152" t="s">
        <v>331</v>
      </c>
      <c r="G3316" s="152" t="s">
        <v>3919</v>
      </c>
      <c r="H3316" s="153" t="s">
        <v>213</v>
      </c>
    </row>
    <row r="3317" hidden="1">
      <c r="A3317" s="154" t="s">
        <v>222</v>
      </c>
      <c r="B3317" s="155" t="s">
        <v>192</v>
      </c>
      <c r="C3317" s="155" t="s">
        <v>206</v>
      </c>
      <c r="D3317" s="156" t="s">
        <v>4014</v>
      </c>
      <c r="E3317" s="156" t="s">
        <v>4063</v>
      </c>
      <c r="F3317" s="156" t="s">
        <v>351</v>
      </c>
      <c r="G3317" s="156" t="s">
        <v>3911</v>
      </c>
      <c r="H3317" s="157" t="s">
        <v>214</v>
      </c>
    </row>
    <row r="3318" hidden="1">
      <c r="A3318" s="151" t="s">
        <v>222</v>
      </c>
      <c r="B3318" s="118" t="s">
        <v>192</v>
      </c>
      <c r="C3318" s="118" t="s">
        <v>206</v>
      </c>
      <c r="D3318" s="152" t="s">
        <v>4014</v>
      </c>
      <c r="E3318" s="152" t="s">
        <v>4064</v>
      </c>
      <c r="F3318" s="152" t="s">
        <v>310</v>
      </c>
      <c r="G3318" s="152" t="s">
        <v>3543</v>
      </c>
      <c r="H3318" s="153" t="s">
        <v>215</v>
      </c>
    </row>
    <row r="3319" hidden="1">
      <c r="A3319" s="154" t="s">
        <v>222</v>
      </c>
      <c r="B3319" s="155" t="s">
        <v>192</v>
      </c>
      <c r="C3319" s="155" t="s">
        <v>206</v>
      </c>
      <c r="D3319" s="156" t="s">
        <v>4014</v>
      </c>
      <c r="E3319" s="156" t="s">
        <v>4065</v>
      </c>
      <c r="F3319" s="156" t="s">
        <v>331</v>
      </c>
      <c r="G3319" s="156" t="s">
        <v>3108</v>
      </c>
      <c r="H3319" s="157" t="s">
        <v>216</v>
      </c>
    </row>
    <row r="3320" hidden="1">
      <c r="A3320" s="151" t="s">
        <v>223</v>
      </c>
      <c r="B3320" s="118" t="s">
        <v>144</v>
      </c>
      <c r="C3320" s="118" t="s">
        <v>206</v>
      </c>
      <c r="D3320" s="152" t="s">
        <v>4014</v>
      </c>
      <c r="E3320" s="152" t="s">
        <v>4066</v>
      </c>
      <c r="F3320" s="152" t="s">
        <v>336</v>
      </c>
      <c r="G3320" s="152" t="s">
        <v>3618</v>
      </c>
      <c r="H3320" s="153" t="s">
        <v>210</v>
      </c>
    </row>
    <row r="3321" hidden="1">
      <c r="A3321" s="154" t="s">
        <v>223</v>
      </c>
      <c r="B3321" s="155" t="s">
        <v>144</v>
      </c>
      <c r="C3321" s="155" t="s">
        <v>206</v>
      </c>
      <c r="D3321" s="156" t="s">
        <v>4014</v>
      </c>
      <c r="E3321" s="156" t="s">
        <v>4067</v>
      </c>
      <c r="F3321" s="156" t="s">
        <v>534</v>
      </c>
      <c r="G3321" s="156" t="s">
        <v>3272</v>
      </c>
      <c r="H3321" s="157" t="s">
        <v>211</v>
      </c>
    </row>
    <row r="3322" hidden="1">
      <c r="A3322" s="151" t="s">
        <v>223</v>
      </c>
      <c r="B3322" s="118" t="s">
        <v>144</v>
      </c>
      <c r="C3322" s="118" t="s">
        <v>206</v>
      </c>
      <c r="D3322" s="152" t="s">
        <v>4014</v>
      </c>
      <c r="E3322" s="152" t="s">
        <v>4068</v>
      </c>
      <c r="F3322" s="152" t="s">
        <v>323</v>
      </c>
      <c r="G3322" s="152" t="s">
        <v>3939</v>
      </c>
      <c r="H3322" s="153" t="s">
        <v>212</v>
      </c>
    </row>
    <row r="3323" hidden="1">
      <c r="A3323" s="154" t="s">
        <v>223</v>
      </c>
      <c r="B3323" s="155" t="s">
        <v>144</v>
      </c>
      <c r="C3323" s="155" t="s">
        <v>206</v>
      </c>
      <c r="D3323" s="156" t="s">
        <v>4014</v>
      </c>
      <c r="E3323" s="156" t="s">
        <v>4069</v>
      </c>
      <c r="F3323" s="156" t="s">
        <v>314</v>
      </c>
      <c r="G3323" s="156" t="s">
        <v>3917</v>
      </c>
      <c r="H3323" s="157" t="s">
        <v>213</v>
      </c>
    </row>
    <row r="3324" hidden="1">
      <c r="A3324" s="151" t="s">
        <v>223</v>
      </c>
      <c r="B3324" s="118" t="s">
        <v>144</v>
      </c>
      <c r="C3324" s="118" t="s">
        <v>206</v>
      </c>
      <c r="D3324" s="152" t="s">
        <v>4014</v>
      </c>
      <c r="E3324" s="152" t="s">
        <v>4070</v>
      </c>
      <c r="F3324" s="152" t="s">
        <v>290</v>
      </c>
      <c r="G3324" s="152" t="s">
        <v>1997</v>
      </c>
      <c r="H3324" s="153" t="s">
        <v>214</v>
      </c>
    </row>
    <row r="3325" hidden="1">
      <c r="A3325" s="154" t="s">
        <v>223</v>
      </c>
      <c r="B3325" s="155" t="s">
        <v>144</v>
      </c>
      <c r="C3325" s="155" t="s">
        <v>206</v>
      </c>
      <c r="D3325" s="156" t="s">
        <v>4014</v>
      </c>
      <c r="E3325" s="156" t="s">
        <v>4071</v>
      </c>
      <c r="F3325" s="156" t="s">
        <v>321</v>
      </c>
      <c r="G3325" s="156" t="s">
        <v>3968</v>
      </c>
      <c r="H3325" s="157" t="s">
        <v>215</v>
      </c>
    </row>
    <row r="3326" hidden="1">
      <c r="A3326" s="151" t="s">
        <v>223</v>
      </c>
      <c r="B3326" s="118" t="s">
        <v>144</v>
      </c>
      <c r="C3326" s="118" t="s">
        <v>206</v>
      </c>
      <c r="D3326" s="152" t="s">
        <v>4014</v>
      </c>
      <c r="E3326" s="152" t="s">
        <v>4072</v>
      </c>
      <c r="F3326" s="152" t="s">
        <v>305</v>
      </c>
      <c r="G3326" s="152" t="s">
        <v>4073</v>
      </c>
      <c r="H3326" s="153" t="s">
        <v>216</v>
      </c>
    </row>
    <row r="3327" hidden="1">
      <c r="A3327" s="154" t="s">
        <v>224</v>
      </c>
      <c r="B3327" s="155" t="s">
        <v>170</v>
      </c>
      <c r="C3327" s="155" t="s">
        <v>206</v>
      </c>
      <c r="D3327" s="156" t="s">
        <v>4014</v>
      </c>
      <c r="E3327" s="156" t="s">
        <v>4074</v>
      </c>
      <c r="F3327" s="156" t="s">
        <v>249</v>
      </c>
      <c r="G3327" s="156" t="s">
        <v>4075</v>
      </c>
      <c r="H3327" s="157" t="s">
        <v>210</v>
      </c>
    </row>
    <row r="3328" hidden="1">
      <c r="A3328" s="151" t="s">
        <v>224</v>
      </c>
      <c r="B3328" s="118" t="s">
        <v>170</v>
      </c>
      <c r="C3328" s="118" t="s">
        <v>206</v>
      </c>
      <c r="D3328" s="152" t="s">
        <v>4014</v>
      </c>
      <c r="E3328" s="152" t="s">
        <v>4076</v>
      </c>
      <c r="F3328" s="152" t="s">
        <v>244</v>
      </c>
      <c r="G3328" s="152" t="s">
        <v>4077</v>
      </c>
      <c r="H3328" s="153" t="s">
        <v>211</v>
      </c>
    </row>
    <row r="3329" hidden="1">
      <c r="A3329" s="154" t="s">
        <v>224</v>
      </c>
      <c r="B3329" s="155" t="s">
        <v>170</v>
      </c>
      <c r="C3329" s="155" t="s">
        <v>206</v>
      </c>
      <c r="D3329" s="156" t="s">
        <v>4014</v>
      </c>
      <c r="E3329" s="156" t="s">
        <v>4078</v>
      </c>
      <c r="F3329" s="156" t="s">
        <v>450</v>
      </c>
      <c r="G3329" s="156" t="s">
        <v>4079</v>
      </c>
      <c r="H3329" s="157" t="s">
        <v>212</v>
      </c>
    </row>
    <row r="3330" hidden="1">
      <c r="A3330" s="151" t="s">
        <v>224</v>
      </c>
      <c r="B3330" s="118" t="s">
        <v>170</v>
      </c>
      <c r="C3330" s="118" t="s">
        <v>206</v>
      </c>
      <c r="D3330" s="152" t="s">
        <v>4014</v>
      </c>
      <c r="E3330" s="152" t="s">
        <v>4080</v>
      </c>
      <c r="F3330" s="152" t="s">
        <v>255</v>
      </c>
      <c r="G3330" s="152" t="s">
        <v>3294</v>
      </c>
      <c r="H3330" s="153" t="s">
        <v>213</v>
      </c>
    </row>
    <row r="3331" hidden="1">
      <c r="A3331" s="154" t="s">
        <v>224</v>
      </c>
      <c r="B3331" s="155" t="s">
        <v>170</v>
      </c>
      <c r="C3331" s="155" t="s">
        <v>206</v>
      </c>
      <c r="D3331" s="156" t="s">
        <v>4014</v>
      </c>
      <c r="E3331" s="156" t="s">
        <v>4081</v>
      </c>
      <c r="F3331" s="156" t="s">
        <v>242</v>
      </c>
      <c r="G3331" s="156" t="s">
        <v>3905</v>
      </c>
      <c r="H3331" s="157" t="s">
        <v>214</v>
      </c>
    </row>
    <row r="3332" hidden="1">
      <c r="A3332" s="151" t="s">
        <v>224</v>
      </c>
      <c r="B3332" s="118" t="s">
        <v>170</v>
      </c>
      <c r="C3332" s="118" t="s">
        <v>206</v>
      </c>
      <c r="D3332" s="152" t="s">
        <v>4014</v>
      </c>
      <c r="E3332" s="152" t="s">
        <v>4082</v>
      </c>
      <c r="F3332" s="152" t="s">
        <v>321</v>
      </c>
      <c r="G3332" s="152" t="s">
        <v>4083</v>
      </c>
      <c r="H3332" s="153" t="s">
        <v>215</v>
      </c>
    </row>
    <row r="3333" hidden="1">
      <c r="A3333" s="154" t="s">
        <v>224</v>
      </c>
      <c r="B3333" s="155" t="s">
        <v>170</v>
      </c>
      <c r="C3333" s="155" t="s">
        <v>206</v>
      </c>
      <c r="D3333" s="156" t="s">
        <v>4014</v>
      </c>
      <c r="E3333" s="156" t="s">
        <v>4084</v>
      </c>
      <c r="F3333" s="156" t="s">
        <v>285</v>
      </c>
      <c r="G3333" s="156" t="s">
        <v>4085</v>
      </c>
      <c r="H3333" s="157" t="s">
        <v>216</v>
      </c>
    </row>
    <row r="3334" hidden="1">
      <c r="A3334" s="151" t="s">
        <v>225</v>
      </c>
      <c r="B3334" s="118" t="s">
        <v>226</v>
      </c>
      <c r="C3334" s="118" t="s">
        <v>206</v>
      </c>
      <c r="D3334" s="152" t="s">
        <v>4014</v>
      </c>
      <c r="E3334" s="152" t="s">
        <v>4086</v>
      </c>
      <c r="F3334" s="152" t="s">
        <v>257</v>
      </c>
      <c r="G3334" s="152" t="s">
        <v>4002</v>
      </c>
      <c r="H3334" s="153" t="s">
        <v>210</v>
      </c>
    </row>
    <row r="3335" hidden="1">
      <c r="A3335" s="154" t="s">
        <v>225</v>
      </c>
      <c r="B3335" s="155" t="s">
        <v>226</v>
      </c>
      <c r="C3335" s="155" t="s">
        <v>206</v>
      </c>
      <c r="D3335" s="156" t="s">
        <v>4014</v>
      </c>
      <c r="E3335" s="156" t="s">
        <v>4087</v>
      </c>
      <c r="F3335" s="156" t="s">
        <v>374</v>
      </c>
      <c r="G3335" s="156" t="s">
        <v>3815</v>
      </c>
      <c r="H3335" s="157" t="s">
        <v>211</v>
      </c>
    </row>
    <row r="3336" hidden="1">
      <c r="A3336" s="151" t="s">
        <v>225</v>
      </c>
      <c r="B3336" s="118" t="s">
        <v>226</v>
      </c>
      <c r="C3336" s="118" t="s">
        <v>206</v>
      </c>
      <c r="D3336" s="152" t="s">
        <v>4014</v>
      </c>
      <c r="E3336" s="152" t="s">
        <v>4088</v>
      </c>
      <c r="F3336" s="152" t="s">
        <v>240</v>
      </c>
      <c r="G3336" s="152" t="s">
        <v>2818</v>
      </c>
      <c r="H3336" s="153" t="s">
        <v>212</v>
      </c>
    </row>
    <row r="3337" hidden="1">
      <c r="A3337" s="154" t="s">
        <v>225</v>
      </c>
      <c r="B3337" s="155" t="s">
        <v>226</v>
      </c>
      <c r="C3337" s="155" t="s">
        <v>206</v>
      </c>
      <c r="D3337" s="156" t="s">
        <v>4014</v>
      </c>
      <c r="E3337" s="156" t="s">
        <v>4089</v>
      </c>
      <c r="F3337" s="156" t="s">
        <v>265</v>
      </c>
      <c r="G3337" s="156" t="s">
        <v>3570</v>
      </c>
      <c r="H3337" s="157" t="s">
        <v>213</v>
      </c>
    </row>
    <row r="3338" hidden="1">
      <c r="A3338" s="151" t="s">
        <v>225</v>
      </c>
      <c r="B3338" s="118" t="s">
        <v>226</v>
      </c>
      <c r="C3338" s="118" t="s">
        <v>206</v>
      </c>
      <c r="D3338" s="152" t="s">
        <v>4014</v>
      </c>
      <c r="E3338" s="152" t="s">
        <v>4090</v>
      </c>
      <c r="F3338" s="152" t="s">
        <v>269</v>
      </c>
      <c r="G3338" s="152" t="s">
        <v>3408</v>
      </c>
      <c r="H3338" s="153" t="s">
        <v>214</v>
      </c>
    </row>
    <row r="3339" hidden="1">
      <c r="A3339" s="154" t="s">
        <v>225</v>
      </c>
      <c r="B3339" s="155" t="s">
        <v>226</v>
      </c>
      <c r="C3339" s="155" t="s">
        <v>206</v>
      </c>
      <c r="D3339" s="156" t="s">
        <v>4014</v>
      </c>
      <c r="E3339" s="156" t="s">
        <v>4091</v>
      </c>
      <c r="F3339" s="156" t="s">
        <v>374</v>
      </c>
      <c r="G3339" s="156" t="s">
        <v>2992</v>
      </c>
      <c r="H3339" s="157" t="s">
        <v>215</v>
      </c>
    </row>
    <row r="3340" hidden="1">
      <c r="A3340" s="151" t="s">
        <v>225</v>
      </c>
      <c r="B3340" s="118" t="s">
        <v>226</v>
      </c>
      <c r="C3340" s="118" t="s">
        <v>206</v>
      </c>
      <c r="D3340" s="152" t="s">
        <v>4014</v>
      </c>
      <c r="E3340" s="152" t="s">
        <v>4092</v>
      </c>
      <c r="F3340" s="152" t="s">
        <v>301</v>
      </c>
      <c r="G3340" s="152" t="s">
        <v>3710</v>
      </c>
      <c r="H3340" s="153" t="s">
        <v>216</v>
      </c>
    </row>
    <row r="3341" hidden="1">
      <c r="A3341" s="154" t="s">
        <v>227</v>
      </c>
      <c r="B3341" s="155" t="s">
        <v>195</v>
      </c>
      <c r="C3341" s="155" t="s">
        <v>206</v>
      </c>
      <c r="D3341" s="156" t="s">
        <v>4014</v>
      </c>
      <c r="E3341" s="156" t="s">
        <v>4093</v>
      </c>
      <c r="F3341" s="156" t="s">
        <v>321</v>
      </c>
      <c r="G3341" s="156" t="s">
        <v>3280</v>
      </c>
      <c r="H3341" s="157" t="s">
        <v>210</v>
      </c>
    </row>
    <row r="3342" hidden="1">
      <c r="A3342" s="151" t="s">
        <v>227</v>
      </c>
      <c r="B3342" s="118" t="s">
        <v>195</v>
      </c>
      <c r="C3342" s="118" t="s">
        <v>206</v>
      </c>
      <c r="D3342" s="152" t="s">
        <v>4014</v>
      </c>
      <c r="E3342" s="152" t="s">
        <v>4094</v>
      </c>
      <c r="F3342" s="152" t="s">
        <v>244</v>
      </c>
      <c r="G3342" s="152" t="s">
        <v>3057</v>
      </c>
      <c r="H3342" s="153" t="s">
        <v>211</v>
      </c>
    </row>
    <row r="3343" hidden="1">
      <c r="A3343" s="154" t="s">
        <v>227</v>
      </c>
      <c r="B3343" s="155" t="s">
        <v>195</v>
      </c>
      <c r="C3343" s="155" t="s">
        <v>206</v>
      </c>
      <c r="D3343" s="156" t="s">
        <v>4014</v>
      </c>
      <c r="E3343" s="156" t="s">
        <v>4095</v>
      </c>
      <c r="F3343" s="156" t="s">
        <v>249</v>
      </c>
      <c r="G3343" s="156" t="s">
        <v>3280</v>
      </c>
      <c r="H3343" s="157" t="s">
        <v>212</v>
      </c>
    </row>
    <row r="3344" hidden="1">
      <c r="A3344" s="151" t="s">
        <v>227</v>
      </c>
      <c r="B3344" s="118" t="s">
        <v>195</v>
      </c>
      <c r="C3344" s="118" t="s">
        <v>206</v>
      </c>
      <c r="D3344" s="152" t="s">
        <v>4014</v>
      </c>
      <c r="E3344" s="152" t="s">
        <v>4096</v>
      </c>
      <c r="F3344" s="152" t="s">
        <v>249</v>
      </c>
      <c r="G3344" s="152" t="s">
        <v>3138</v>
      </c>
      <c r="H3344" s="153" t="s">
        <v>213</v>
      </c>
    </row>
    <row r="3345" hidden="1">
      <c r="A3345" s="154" t="s">
        <v>227</v>
      </c>
      <c r="B3345" s="155" t="s">
        <v>195</v>
      </c>
      <c r="C3345" s="155" t="s">
        <v>206</v>
      </c>
      <c r="D3345" s="156" t="s">
        <v>4014</v>
      </c>
      <c r="E3345" s="156" t="s">
        <v>4097</v>
      </c>
      <c r="F3345" s="156" t="s">
        <v>310</v>
      </c>
      <c r="G3345" s="156" t="s">
        <v>2671</v>
      </c>
      <c r="H3345" s="157" t="s">
        <v>214</v>
      </c>
    </row>
    <row r="3346" hidden="1">
      <c r="A3346" s="151" t="s">
        <v>227</v>
      </c>
      <c r="B3346" s="118" t="s">
        <v>195</v>
      </c>
      <c r="C3346" s="118" t="s">
        <v>206</v>
      </c>
      <c r="D3346" s="152" t="s">
        <v>4014</v>
      </c>
      <c r="E3346" s="152" t="s">
        <v>4098</v>
      </c>
      <c r="F3346" s="152" t="s">
        <v>301</v>
      </c>
      <c r="G3346" s="152" t="s">
        <v>2224</v>
      </c>
      <c r="H3346" s="153" t="s">
        <v>215</v>
      </c>
    </row>
    <row r="3347" hidden="1">
      <c r="A3347" s="154" t="s">
        <v>227</v>
      </c>
      <c r="B3347" s="155" t="s">
        <v>195</v>
      </c>
      <c r="C3347" s="155" t="s">
        <v>206</v>
      </c>
      <c r="D3347" s="156" t="s">
        <v>4014</v>
      </c>
      <c r="E3347" s="156" t="s">
        <v>4099</v>
      </c>
      <c r="F3347" s="156" t="s">
        <v>285</v>
      </c>
      <c r="G3347" s="156" t="s">
        <v>3396</v>
      </c>
      <c r="H3347" s="157" t="s">
        <v>216</v>
      </c>
    </row>
    <row r="3348" hidden="1">
      <c r="A3348" s="151" t="s">
        <v>228</v>
      </c>
      <c r="B3348" s="118" t="s">
        <v>138</v>
      </c>
      <c r="C3348" s="118" t="s">
        <v>206</v>
      </c>
      <c r="D3348" s="152" t="s">
        <v>4014</v>
      </c>
      <c r="E3348" s="152" t="s">
        <v>4100</v>
      </c>
      <c r="F3348" s="152" t="s">
        <v>365</v>
      </c>
      <c r="G3348" s="152" t="s">
        <v>1944</v>
      </c>
      <c r="H3348" s="153" t="s">
        <v>210</v>
      </c>
    </row>
    <row r="3349" hidden="1">
      <c r="A3349" s="154" t="s">
        <v>228</v>
      </c>
      <c r="B3349" s="155" t="s">
        <v>138</v>
      </c>
      <c r="C3349" s="155" t="s">
        <v>206</v>
      </c>
      <c r="D3349" s="156" t="s">
        <v>4014</v>
      </c>
      <c r="E3349" s="156" t="s">
        <v>4101</v>
      </c>
      <c r="F3349" s="156" t="s">
        <v>357</v>
      </c>
      <c r="G3349" s="156" t="s">
        <v>1753</v>
      </c>
      <c r="H3349" s="157" t="s">
        <v>211</v>
      </c>
    </row>
    <row r="3350" hidden="1">
      <c r="A3350" s="151" t="s">
        <v>228</v>
      </c>
      <c r="B3350" s="118" t="s">
        <v>138</v>
      </c>
      <c r="C3350" s="118" t="s">
        <v>206</v>
      </c>
      <c r="D3350" s="152" t="s">
        <v>4014</v>
      </c>
      <c r="E3350" s="152" t="s">
        <v>3953</v>
      </c>
      <c r="F3350" s="152" t="s">
        <v>204</v>
      </c>
      <c r="G3350" s="152" t="s">
        <v>2299</v>
      </c>
      <c r="H3350" s="153" t="s">
        <v>212</v>
      </c>
    </row>
    <row r="3351" hidden="1">
      <c r="A3351" s="154" t="s">
        <v>228</v>
      </c>
      <c r="B3351" s="155" t="s">
        <v>138</v>
      </c>
      <c r="C3351" s="155" t="s">
        <v>206</v>
      </c>
      <c r="D3351" s="156" t="s">
        <v>4014</v>
      </c>
      <c r="E3351" s="156" t="s">
        <v>4102</v>
      </c>
      <c r="F3351" s="156" t="s">
        <v>242</v>
      </c>
      <c r="G3351" s="156" t="s">
        <v>3284</v>
      </c>
      <c r="H3351" s="157" t="s">
        <v>213</v>
      </c>
    </row>
    <row r="3352" hidden="1">
      <c r="A3352" s="151" t="s">
        <v>228</v>
      </c>
      <c r="B3352" s="118" t="s">
        <v>138</v>
      </c>
      <c r="C3352" s="118" t="s">
        <v>206</v>
      </c>
      <c r="D3352" s="152" t="s">
        <v>4014</v>
      </c>
      <c r="E3352" s="152" t="s">
        <v>3954</v>
      </c>
      <c r="F3352" s="152" t="s">
        <v>204</v>
      </c>
      <c r="G3352" s="152" t="s">
        <v>2043</v>
      </c>
      <c r="H3352" s="153" t="s">
        <v>214</v>
      </c>
    </row>
    <row r="3353" hidden="1">
      <c r="A3353" s="154" t="s">
        <v>228</v>
      </c>
      <c r="B3353" s="155" t="s">
        <v>138</v>
      </c>
      <c r="C3353" s="155" t="s">
        <v>206</v>
      </c>
      <c r="D3353" s="156" t="s">
        <v>4014</v>
      </c>
      <c r="E3353" s="156" t="s">
        <v>4103</v>
      </c>
      <c r="F3353" s="156" t="s">
        <v>259</v>
      </c>
      <c r="G3353" s="156" t="s">
        <v>2557</v>
      </c>
      <c r="H3353" s="157" t="s">
        <v>215</v>
      </c>
    </row>
    <row r="3354" hidden="1">
      <c r="A3354" s="151" t="s">
        <v>228</v>
      </c>
      <c r="B3354" s="118" t="s">
        <v>138</v>
      </c>
      <c r="C3354" s="118" t="s">
        <v>206</v>
      </c>
      <c r="D3354" s="152" t="s">
        <v>4014</v>
      </c>
      <c r="E3354" s="152" t="s">
        <v>4104</v>
      </c>
      <c r="F3354" s="152" t="s">
        <v>244</v>
      </c>
      <c r="G3354" s="152" t="s">
        <v>2413</v>
      </c>
      <c r="H3354" s="153" t="s">
        <v>216</v>
      </c>
    </row>
    <row r="3355" hidden="1">
      <c r="A3355" s="154" t="s">
        <v>229</v>
      </c>
      <c r="B3355" s="155" t="s">
        <v>193</v>
      </c>
      <c r="C3355" s="155" t="s">
        <v>206</v>
      </c>
      <c r="D3355" s="156" t="s">
        <v>4014</v>
      </c>
      <c r="E3355" s="156" t="s">
        <v>4105</v>
      </c>
      <c r="F3355" s="156" t="s">
        <v>336</v>
      </c>
      <c r="G3355" s="156" t="s">
        <v>2109</v>
      </c>
      <c r="H3355" s="157" t="s">
        <v>210</v>
      </c>
    </row>
    <row r="3356" hidden="1">
      <c r="A3356" s="151" t="s">
        <v>229</v>
      </c>
      <c r="B3356" s="118" t="s">
        <v>193</v>
      </c>
      <c r="C3356" s="118" t="s">
        <v>206</v>
      </c>
      <c r="D3356" s="152" t="s">
        <v>4014</v>
      </c>
      <c r="E3356" s="152" t="s">
        <v>4106</v>
      </c>
      <c r="F3356" s="152" t="s">
        <v>483</v>
      </c>
      <c r="G3356" s="152" t="s">
        <v>1925</v>
      </c>
      <c r="H3356" s="153" t="s">
        <v>211</v>
      </c>
    </row>
    <row r="3357" hidden="1">
      <c r="A3357" s="154" t="s">
        <v>229</v>
      </c>
      <c r="B3357" s="155" t="s">
        <v>193</v>
      </c>
      <c r="C3357" s="155" t="s">
        <v>206</v>
      </c>
      <c r="D3357" s="156" t="s">
        <v>4014</v>
      </c>
      <c r="E3357" s="156" t="s">
        <v>4107</v>
      </c>
      <c r="F3357" s="156" t="s">
        <v>354</v>
      </c>
      <c r="G3357" s="156" t="s">
        <v>1782</v>
      </c>
      <c r="H3357" s="157" t="s">
        <v>212</v>
      </c>
    </row>
    <row r="3358" hidden="1">
      <c r="A3358" s="151" t="s">
        <v>229</v>
      </c>
      <c r="B3358" s="118" t="s">
        <v>193</v>
      </c>
      <c r="C3358" s="118" t="s">
        <v>206</v>
      </c>
      <c r="D3358" s="152" t="s">
        <v>4014</v>
      </c>
      <c r="E3358" s="152" t="s">
        <v>4108</v>
      </c>
      <c r="F3358" s="152" t="s">
        <v>321</v>
      </c>
      <c r="G3358" s="152" t="s">
        <v>3412</v>
      </c>
      <c r="H3358" s="153" t="s">
        <v>213</v>
      </c>
    </row>
    <row r="3359" hidden="1">
      <c r="A3359" s="154" t="s">
        <v>229</v>
      </c>
      <c r="B3359" s="155" t="s">
        <v>193</v>
      </c>
      <c r="C3359" s="155" t="s">
        <v>206</v>
      </c>
      <c r="D3359" s="156" t="s">
        <v>4014</v>
      </c>
      <c r="E3359" s="156" t="s">
        <v>4109</v>
      </c>
      <c r="F3359" s="156" t="s">
        <v>305</v>
      </c>
      <c r="G3359" s="156" t="s">
        <v>2113</v>
      </c>
      <c r="H3359" s="157" t="s">
        <v>214</v>
      </c>
    </row>
    <row r="3360" hidden="1">
      <c r="A3360" s="151" t="s">
        <v>229</v>
      </c>
      <c r="B3360" s="118" t="s">
        <v>193</v>
      </c>
      <c r="C3360" s="118" t="s">
        <v>206</v>
      </c>
      <c r="D3360" s="152" t="s">
        <v>4014</v>
      </c>
      <c r="E3360" s="152" t="s">
        <v>4110</v>
      </c>
      <c r="F3360" s="152" t="s">
        <v>305</v>
      </c>
      <c r="G3360" s="152" t="s">
        <v>3384</v>
      </c>
      <c r="H3360" s="153" t="s">
        <v>215</v>
      </c>
    </row>
    <row r="3361" hidden="1">
      <c r="A3361" s="154" t="s">
        <v>229</v>
      </c>
      <c r="B3361" s="155" t="s">
        <v>193</v>
      </c>
      <c r="C3361" s="155" t="s">
        <v>206</v>
      </c>
      <c r="D3361" s="156" t="s">
        <v>4014</v>
      </c>
      <c r="E3361" s="156" t="s">
        <v>4111</v>
      </c>
      <c r="F3361" s="156" t="s">
        <v>336</v>
      </c>
      <c r="G3361" s="156" t="s">
        <v>2992</v>
      </c>
      <c r="H3361" s="157" t="s">
        <v>216</v>
      </c>
    </row>
    <row r="3362" hidden="1">
      <c r="A3362" s="151" t="s">
        <v>230</v>
      </c>
      <c r="B3362" s="118" t="s">
        <v>194</v>
      </c>
      <c r="C3362" s="118" t="s">
        <v>206</v>
      </c>
      <c r="D3362" s="152" t="s">
        <v>4014</v>
      </c>
      <c r="E3362" s="152" t="s">
        <v>4112</v>
      </c>
      <c r="F3362" s="152" t="s">
        <v>359</v>
      </c>
      <c r="G3362" s="152" t="s">
        <v>1776</v>
      </c>
      <c r="H3362" s="153" t="s">
        <v>210</v>
      </c>
    </row>
    <row r="3363" hidden="1">
      <c r="A3363" s="154" t="s">
        <v>230</v>
      </c>
      <c r="B3363" s="155" t="s">
        <v>194</v>
      </c>
      <c r="C3363" s="155" t="s">
        <v>206</v>
      </c>
      <c r="D3363" s="156" t="s">
        <v>4014</v>
      </c>
      <c r="E3363" s="156" t="s">
        <v>4113</v>
      </c>
      <c r="F3363" s="156" t="s">
        <v>325</v>
      </c>
      <c r="G3363" s="156" t="s">
        <v>3905</v>
      </c>
      <c r="H3363" s="157" t="s">
        <v>211</v>
      </c>
    </row>
    <row r="3364" hidden="1">
      <c r="A3364" s="151" t="s">
        <v>230</v>
      </c>
      <c r="B3364" s="118" t="s">
        <v>194</v>
      </c>
      <c r="C3364" s="118" t="s">
        <v>206</v>
      </c>
      <c r="D3364" s="152" t="s">
        <v>4014</v>
      </c>
      <c r="E3364" s="152" t="s">
        <v>4114</v>
      </c>
      <c r="F3364" s="152" t="s">
        <v>577</v>
      </c>
      <c r="G3364" s="152" t="s">
        <v>2185</v>
      </c>
      <c r="H3364" s="153" t="s">
        <v>212</v>
      </c>
    </row>
    <row r="3365" hidden="1">
      <c r="A3365" s="154" t="s">
        <v>230</v>
      </c>
      <c r="B3365" s="155" t="s">
        <v>194</v>
      </c>
      <c r="C3365" s="155" t="s">
        <v>206</v>
      </c>
      <c r="D3365" s="156" t="s">
        <v>4014</v>
      </c>
      <c r="E3365" s="156" t="s">
        <v>4115</v>
      </c>
      <c r="F3365" s="156" t="s">
        <v>450</v>
      </c>
      <c r="G3365" s="156" t="s">
        <v>4116</v>
      </c>
      <c r="H3365" s="157" t="s">
        <v>213</v>
      </c>
    </row>
    <row r="3366" hidden="1">
      <c r="A3366" s="151" t="s">
        <v>230</v>
      </c>
      <c r="B3366" s="118" t="s">
        <v>194</v>
      </c>
      <c r="C3366" s="118" t="s">
        <v>206</v>
      </c>
      <c r="D3366" s="152" t="s">
        <v>4014</v>
      </c>
      <c r="E3366" s="152" t="s">
        <v>4117</v>
      </c>
      <c r="F3366" s="152" t="s">
        <v>257</v>
      </c>
      <c r="G3366" s="152" t="s">
        <v>3764</v>
      </c>
      <c r="H3366" s="153" t="s">
        <v>214</v>
      </c>
    </row>
    <row r="3367" hidden="1">
      <c r="A3367" s="154" t="s">
        <v>230</v>
      </c>
      <c r="B3367" s="155" t="s">
        <v>194</v>
      </c>
      <c r="C3367" s="155" t="s">
        <v>206</v>
      </c>
      <c r="D3367" s="156" t="s">
        <v>4014</v>
      </c>
      <c r="E3367" s="156" t="s">
        <v>4118</v>
      </c>
      <c r="F3367" s="156" t="s">
        <v>799</v>
      </c>
      <c r="G3367" s="156" t="s">
        <v>4119</v>
      </c>
      <c r="H3367" s="157" t="s">
        <v>215</v>
      </c>
    </row>
    <row r="3368" hidden="1">
      <c r="A3368" s="151" t="s">
        <v>230</v>
      </c>
      <c r="B3368" s="118" t="s">
        <v>194</v>
      </c>
      <c r="C3368" s="118" t="s">
        <v>206</v>
      </c>
      <c r="D3368" s="152" t="s">
        <v>4014</v>
      </c>
      <c r="E3368" s="152" t="s">
        <v>4120</v>
      </c>
      <c r="F3368" s="152" t="s">
        <v>310</v>
      </c>
      <c r="G3368" s="152" t="s">
        <v>3294</v>
      </c>
      <c r="H3368" s="153" t="s">
        <v>216</v>
      </c>
    </row>
    <row r="3369" hidden="1">
      <c r="A3369" s="158" t="s">
        <v>231</v>
      </c>
      <c r="B3369" s="159"/>
      <c r="C3369" s="155" t="s">
        <v>232</v>
      </c>
      <c r="D3369" s="156" t="s">
        <v>4014</v>
      </c>
      <c r="E3369" s="156" t="s">
        <v>4121</v>
      </c>
      <c r="F3369" s="156" t="s">
        <v>246</v>
      </c>
      <c r="G3369" s="156" t="s">
        <v>2624</v>
      </c>
      <c r="H3369" s="157" t="s">
        <v>210</v>
      </c>
    </row>
    <row r="3370" hidden="1">
      <c r="A3370" s="160" t="s">
        <v>231</v>
      </c>
      <c r="B3370" s="72"/>
      <c r="C3370" s="118" t="s">
        <v>232</v>
      </c>
      <c r="D3370" s="152" t="s">
        <v>4014</v>
      </c>
      <c r="E3370" s="152" t="s">
        <v>4122</v>
      </c>
      <c r="F3370" s="152" t="s">
        <v>257</v>
      </c>
      <c r="G3370" s="152" t="s">
        <v>2041</v>
      </c>
      <c r="H3370" s="153" t="s">
        <v>211</v>
      </c>
    </row>
    <row r="3371" hidden="1">
      <c r="A3371" s="158" t="s">
        <v>231</v>
      </c>
      <c r="B3371" s="159"/>
      <c r="C3371" s="155" t="s">
        <v>232</v>
      </c>
      <c r="D3371" s="156" t="s">
        <v>4014</v>
      </c>
      <c r="E3371" s="156" t="s">
        <v>4123</v>
      </c>
      <c r="F3371" s="156" t="s">
        <v>351</v>
      </c>
      <c r="G3371" s="156" t="s">
        <v>2216</v>
      </c>
      <c r="H3371" s="157" t="s">
        <v>212</v>
      </c>
    </row>
    <row r="3372" hidden="1">
      <c r="A3372" s="160" t="s">
        <v>231</v>
      </c>
      <c r="B3372" s="72"/>
      <c r="C3372" s="118" t="s">
        <v>232</v>
      </c>
      <c r="D3372" s="152" t="s">
        <v>4014</v>
      </c>
      <c r="E3372" s="152" t="s">
        <v>4124</v>
      </c>
      <c r="F3372" s="152" t="s">
        <v>677</v>
      </c>
      <c r="G3372" s="152" t="s">
        <v>3237</v>
      </c>
      <c r="H3372" s="153" t="s">
        <v>213</v>
      </c>
    </row>
    <row r="3373" hidden="1">
      <c r="A3373" s="158" t="s">
        <v>231</v>
      </c>
      <c r="B3373" s="159"/>
      <c r="C3373" s="155" t="s">
        <v>232</v>
      </c>
      <c r="D3373" s="156" t="s">
        <v>4014</v>
      </c>
      <c r="E3373" s="156" t="s">
        <v>4125</v>
      </c>
      <c r="F3373" s="156" t="s">
        <v>321</v>
      </c>
      <c r="G3373" s="156" t="s">
        <v>3487</v>
      </c>
      <c r="H3373" s="157" t="s">
        <v>214</v>
      </c>
    </row>
    <row r="3374" hidden="1">
      <c r="A3374" s="160" t="s">
        <v>231</v>
      </c>
      <c r="B3374" s="72"/>
      <c r="C3374" s="118" t="s">
        <v>232</v>
      </c>
      <c r="D3374" s="152" t="s">
        <v>4014</v>
      </c>
      <c r="E3374" s="152" t="s">
        <v>4126</v>
      </c>
      <c r="F3374" s="152" t="s">
        <v>301</v>
      </c>
      <c r="G3374" s="152" t="s">
        <v>2859</v>
      </c>
      <c r="H3374" s="153" t="s">
        <v>215</v>
      </c>
    </row>
    <row r="3375" hidden="1">
      <c r="A3375" s="158" t="s">
        <v>231</v>
      </c>
      <c r="B3375" s="159"/>
      <c r="C3375" s="155" t="s">
        <v>232</v>
      </c>
      <c r="D3375" s="156" t="s">
        <v>4014</v>
      </c>
      <c r="E3375" s="156" t="s">
        <v>4127</v>
      </c>
      <c r="F3375" s="156" t="s">
        <v>357</v>
      </c>
      <c r="G3375" s="156" t="s">
        <v>2620</v>
      </c>
      <c r="H3375" s="157" t="s">
        <v>216</v>
      </c>
    </row>
    <row r="3376" hidden="1">
      <c r="A3376" s="160" t="s">
        <v>233</v>
      </c>
      <c r="B3376" s="72"/>
      <c r="C3376" s="118" t="s">
        <v>232</v>
      </c>
      <c r="D3376" s="152" t="s">
        <v>4014</v>
      </c>
      <c r="E3376" s="152" t="s">
        <v>4128</v>
      </c>
      <c r="F3376" s="152" t="s">
        <v>450</v>
      </c>
      <c r="G3376" s="152" t="s">
        <v>3815</v>
      </c>
      <c r="H3376" s="153" t="s">
        <v>210</v>
      </c>
    </row>
    <row r="3377" hidden="1">
      <c r="A3377" s="158" t="s">
        <v>233</v>
      </c>
      <c r="B3377" s="159"/>
      <c r="C3377" s="155" t="s">
        <v>232</v>
      </c>
      <c r="D3377" s="156" t="s">
        <v>4014</v>
      </c>
      <c r="E3377" s="156" t="s">
        <v>4129</v>
      </c>
      <c r="F3377" s="156" t="s">
        <v>329</v>
      </c>
      <c r="G3377" s="156" t="s">
        <v>4073</v>
      </c>
      <c r="H3377" s="157" t="s">
        <v>211</v>
      </c>
    </row>
    <row r="3378" hidden="1">
      <c r="A3378" s="160" t="s">
        <v>233</v>
      </c>
      <c r="B3378" s="72"/>
      <c r="C3378" s="118" t="s">
        <v>232</v>
      </c>
      <c r="D3378" s="152" t="s">
        <v>4014</v>
      </c>
      <c r="E3378" s="152" t="s">
        <v>4130</v>
      </c>
      <c r="F3378" s="152" t="s">
        <v>329</v>
      </c>
      <c r="G3378" s="152" t="s">
        <v>3917</v>
      </c>
      <c r="H3378" s="153" t="s">
        <v>212</v>
      </c>
    </row>
    <row r="3379" hidden="1">
      <c r="A3379" s="158" t="s">
        <v>233</v>
      </c>
      <c r="B3379" s="159"/>
      <c r="C3379" s="155" t="s">
        <v>232</v>
      </c>
      <c r="D3379" s="156" t="s">
        <v>4014</v>
      </c>
      <c r="E3379" s="156" t="s">
        <v>4131</v>
      </c>
      <c r="F3379" s="156" t="s">
        <v>799</v>
      </c>
      <c r="G3379" s="156" t="s">
        <v>3108</v>
      </c>
      <c r="H3379" s="157" t="s">
        <v>213</v>
      </c>
    </row>
    <row r="3380" hidden="1">
      <c r="A3380" s="160" t="s">
        <v>233</v>
      </c>
      <c r="B3380" s="72"/>
      <c r="C3380" s="118" t="s">
        <v>232</v>
      </c>
      <c r="D3380" s="152" t="s">
        <v>4014</v>
      </c>
      <c r="E3380" s="152" t="s">
        <v>4132</v>
      </c>
      <c r="F3380" s="152" t="s">
        <v>427</v>
      </c>
      <c r="G3380" s="152" t="s">
        <v>3300</v>
      </c>
      <c r="H3380" s="153" t="s">
        <v>214</v>
      </c>
    </row>
    <row r="3381" hidden="1">
      <c r="A3381" s="158" t="s">
        <v>233</v>
      </c>
      <c r="B3381" s="159"/>
      <c r="C3381" s="155" t="s">
        <v>232</v>
      </c>
      <c r="D3381" s="156" t="s">
        <v>4014</v>
      </c>
      <c r="E3381" s="156" t="s">
        <v>4133</v>
      </c>
      <c r="F3381" s="156" t="s">
        <v>534</v>
      </c>
      <c r="G3381" s="156" t="s">
        <v>2508</v>
      </c>
      <c r="H3381" s="157" t="s">
        <v>215</v>
      </c>
    </row>
    <row r="3382" hidden="1">
      <c r="A3382" s="160" t="s">
        <v>233</v>
      </c>
      <c r="B3382" s="72"/>
      <c r="C3382" s="118" t="s">
        <v>232</v>
      </c>
      <c r="D3382" s="152" t="s">
        <v>4014</v>
      </c>
      <c r="E3382" s="152" t="s">
        <v>4134</v>
      </c>
      <c r="F3382" s="152" t="s">
        <v>425</v>
      </c>
      <c r="G3382" s="152" t="s">
        <v>2189</v>
      </c>
      <c r="H3382" s="153" t="s">
        <v>216</v>
      </c>
    </row>
    <row r="3383" hidden="1">
      <c r="A3383" s="158" t="s">
        <v>234</v>
      </c>
      <c r="B3383" s="159"/>
      <c r="C3383" s="155" t="s">
        <v>232</v>
      </c>
      <c r="D3383" s="156" t="s">
        <v>4014</v>
      </c>
      <c r="E3383" s="156" t="s">
        <v>4135</v>
      </c>
      <c r="F3383" s="156" t="s">
        <v>677</v>
      </c>
      <c r="G3383" s="156" t="s">
        <v>2352</v>
      </c>
      <c r="H3383" s="157" t="s">
        <v>210</v>
      </c>
    </row>
    <row r="3384" hidden="1">
      <c r="A3384" s="160" t="s">
        <v>234</v>
      </c>
      <c r="B3384" s="72"/>
      <c r="C3384" s="118" t="s">
        <v>232</v>
      </c>
      <c r="D3384" s="152" t="s">
        <v>4014</v>
      </c>
      <c r="E3384" s="152" t="s">
        <v>4136</v>
      </c>
      <c r="F3384" s="152" t="s">
        <v>310</v>
      </c>
      <c r="G3384" s="152" t="s">
        <v>3941</v>
      </c>
      <c r="H3384" s="153" t="s">
        <v>211</v>
      </c>
    </row>
    <row r="3385" hidden="1">
      <c r="A3385" s="158" t="s">
        <v>234</v>
      </c>
      <c r="B3385" s="159"/>
      <c r="C3385" s="155" t="s">
        <v>232</v>
      </c>
      <c r="D3385" s="156" t="s">
        <v>4014</v>
      </c>
      <c r="E3385" s="156" t="s">
        <v>4137</v>
      </c>
      <c r="F3385" s="156" t="s">
        <v>763</v>
      </c>
      <c r="G3385" s="156" t="s">
        <v>3783</v>
      </c>
      <c r="H3385" s="157" t="s">
        <v>212</v>
      </c>
    </row>
    <row r="3386" hidden="1">
      <c r="A3386" s="160" t="s">
        <v>234</v>
      </c>
      <c r="B3386" s="72"/>
      <c r="C3386" s="118" t="s">
        <v>232</v>
      </c>
      <c r="D3386" s="152" t="s">
        <v>4014</v>
      </c>
      <c r="E3386" s="152" t="s">
        <v>4138</v>
      </c>
      <c r="F3386" s="152" t="s">
        <v>425</v>
      </c>
      <c r="G3386" s="152" t="s">
        <v>3294</v>
      </c>
      <c r="H3386" s="153" t="s">
        <v>213</v>
      </c>
    </row>
    <row r="3387" hidden="1">
      <c r="A3387" s="158" t="s">
        <v>234</v>
      </c>
      <c r="B3387" s="159"/>
      <c r="C3387" s="155" t="s">
        <v>232</v>
      </c>
      <c r="D3387" s="156" t="s">
        <v>4014</v>
      </c>
      <c r="E3387" s="156" t="s">
        <v>4139</v>
      </c>
      <c r="F3387" s="156" t="s">
        <v>677</v>
      </c>
      <c r="G3387" s="156" t="s">
        <v>3939</v>
      </c>
      <c r="H3387" s="157" t="s">
        <v>214</v>
      </c>
    </row>
    <row r="3388" hidden="1">
      <c r="A3388" s="160" t="s">
        <v>234</v>
      </c>
      <c r="B3388" s="72"/>
      <c r="C3388" s="118" t="s">
        <v>232</v>
      </c>
      <c r="D3388" s="152" t="s">
        <v>4014</v>
      </c>
      <c r="E3388" s="152" t="s">
        <v>4140</v>
      </c>
      <c r="F3388" s="152" t="s">
        <v>450</v>
      </c>
      <c r="G3388" s="152" t="s">
        <v>3783</v>
      </c>
      <c r="H3388" s="153" t="s">
        <v>215</v>
      </c>
    </row>
    <row r="3389" hidden="1">
      <c r="A3389" s="158" t="s">
        <v>234</v>
      </c>
      <c r="B3389" s="159"/>
      <c r="C3389" s="155" t="s">
        <v>232</v>
      </c>
      <c r="D3389" s="156" t="s">
        <v>4014</v>
      </c>
      <c r="E3389" s="156" t="s">
        <v>4141</v>
      </c>
      <c r="F3389" s="156" t="s">
        <v>799</v>
      </c>
      <c r="G3389" s="156" t="s">
        <v>3989</v>
      </c>
      <c r="H3389" s="157" t="s">
        <v>216</v>
      </c>
    </row>
    <row r="3390" hidden="1">
      <c r="A3390" s="160" t="s">
        <v>235</v>
      </c>
      <c r="B3390" s="72"/>
      <c r="C3390" s="118" t="s">
        <v>236</v>
      </c>
      <c r="D3390" s="152" t="s">
        <v>4014</v>
      </c>
      <c r="E3390" s="152" t="s">
        <v>4142</v>
      </c>
      <c r="F3390" s="152" t="s">
        <v>427</v>
      </c>
      <c r="G3390" s="152" t="s">
        <v>3917</v>
      </c>
      <c r="H3390" s="153" t="s">
        <v>210</v>
      </c>
    </row>
    <row r="3391" hidden="1">
      <c r="A3391" s="158" t="s">
        <v>235</v>
      </c>
      <c r="B3391" s="159"/>
      <c r="C3391" s="155" t="s">
        <v>236</v>
      </c>
      <c r="D3391" s="156" t="s">
        <v>4014</v>
      </c>
      <c r="E3391" s="156" t="s">
        <v>4143</v>
      </c>
      <c r="F3391" s="156" t="s">
        <v>425</v>
      </c>
      <c r="G3391" s="156" t="s">
        <v>3915</v>
      </c>
      <c r="H3391" s="157" t="s">
        <v>211</v>
      </c>
    </row>
    <row r="3392" hidden="1">
      <c r="A3392" s="160" t="s">
        <v>235</v>
      </c>
      <c r="B3392" s="72"/>
      <c r="C3392" s="118" t="s">
        <v>236</v>
      </c>
      <c r="D3392" s="152" t="s">
        <v>4014</v>
      </c>
      <c r="E3392" s="152" t="s">
        <v>4144</v>
      </c>
      <c r="F3392" s="152" t="s">
        <v>329</v>
      </c>
      <c r="G3392" s="152" t="s">
        <v>3917</v>
      </c>
      <c r="H3392" s="153" t="s">
        <v>212</v>
      </c>
    </row>
    <row r="3393" hidden="1">
      <c r="A3393" s="158" t="s">
        <v>235</v>
      </c>
      <c r="B3393" s="159"/>
      <c r="C3393" s="155" t="s">
        <v>236</v>
      </c>
      <c r="D3393" s="156" t="s">
        <v>4014</v>
      </c>
      <c r="E3393" s="156" t="s">
        <v>4145</v>
      </c>
      <c r="F3393" s="156" t="s">
        <v>725</v>
      </c>
      <c r="G3393" s="156" t="s">
        <v>4146</v>
      </c>
      <c r="H3393" s="157" t="s">
        <v>213</v>
      </c>
    </row>
    <row r="3394" hidden="1">
      <c r="A3394" s="160" t="s">
        <v>235</v>
      </c>
      <c r="B3394" s="72"/>
      <c r="C3394" s="118" t="s">
        <v>236</v>
      </c>
      <c r="D3394" s="152" t="s">
        <v>4014</v>
      </c>
      <c r="E3394" s="152" t="s">
        <v>4147</v>
      </c>
      <c r="F3394" s="152" t="s">
        <v>336</v>
      </c>
      <c r="G3394" s="152" t="s">
        <v>3838</v>
      </c>
      <c r="H3394" s="153" t="s">
        <v>214</v>
      </c>
    </row>
    <row r="3395" hidden="1">
      <c r="A3395" s="158" t="s">
        <v>235</v>
      </c>
      <c r="B3395" s="159"/>
      <c r="C3395" s="155" t="s">
        <v>236</v>
      </c>
      <c r="D3395" s="156" t="s">
        <v>4014</v>
      </c>
      <c r="E3395" s="156" t="s">
        <v>4148</v>
      </c>
      <c r="F3395" s="156" t="s">
        <v>249</v>
      </c>
      <c r="G3395" s="156" t="s">
        <v>1793</v>
      </c>
      <c r="H3395" s="157" t="s">
        <v>215</v>
      </c>
    </row>
    <row r="3396" hidden="1">
      <c r="A3396" s="160" t="s">
        <v>235</v>
      </c>
      <c r="B3396" s="72"/>
      <c r="C3396" s="118" t="s">
        <v>236</v>
      </c>
      <c r="D3396" s="152" t="s">
        <v>4014</v>
      </c>
      <c r="E3396" s="152" t="s">
        <v>4149</v>
      </c>
      <c r="F3396" s="152" t="s">
        <v>450</v>
      </c>
      <c r="G3396" s="152" t="s">
        <v>2008</v>
      </c>
      <c r="H3396" s="153" t="s">
        <v>216</v>
      </c>
    </row>
    <row r="3397" hidden="1">
      <c r="A3397" s="158" t="s">
        <v>237</v>
      </c>
      <c r="B3397" s="159"/>
      <c r="C3397" s="155" t="s">
        <v>236</v>
      </c>
      <c r="D3397" s="156" t="s">
        <v>4014</v>
      </c>
      <c r="E3397" s="156" t="s">
        <v>4150</v>
      </c>
      <c r="F3397" s="156" t="s">
        <v>354</v>
      </c>
      <c r="G3397" s="156" t="s">
        <v>3620</v>
      </c>
      <c r="H3397" s="157" t="s">
        <v>210</v>
      </c>
    </row>
    <row r="3398" hidden="1">
      <c r="A3398" s="160" t="s">
        <v>237</v>
      </c>
      <c r="B3398" s="72"/>
      <c r="C3398" s="118" t="s">
        <v>236</v>
      </c>
      <c r="D3398" s="152" t="s">
        <v>4014</v>
      </c>
      <c r="E3398" s="152" t="s">
        <v>4151</v>
      </c>
      <c r="F3398" s="152" t="s">
        <v>290</v>
      </c>
      <c r="G3398" s="152" t="s">
        <v>2113</v>
      </c>
      <c r="H3398" s="153" t="s">
        <v>211</v>
      </c>
    </row>
    <row r="3399" hidden="1">
      <c r="A3399" s="158" t="s">
        <v>237</v>
      </c>
      <c r="B3399" s="159"/>
      <c r="C3399" s="155" t="s">
        <v>236</v>
      </c>
      <c r="D3399" s="156" t="s">
        <v>4014</v>
      </c>
      <c r="E3399" s="156" t="s">
        <v>4152</v>
      </c>
      <c r="F3399" s="156" t="s">
        <v>673</v>
      </c>
      <c r="G3399" s="156" t="s">
        <v>2665</v>
      </c>
      <c r="H3399" s="157" t="s">
        <v>212</v>
      </c>
    </row>
    <row r="3400" hidden="1">
      <c r="A3400" s="160" t="s">
        <v>237</v>
      </c>
      <c r="B3400" s="72"/>
      <c r="C3400" s="118" t="s">
        <v>236</v>
      </c>
      <c r="D3400" s="152" t="s">
        <v>4014</v>
      </c>
      <c r="E3400" s="152" t="s">
        <v>4153</v>
      </c>
      <c r="F3400" s="152" t="s">
        <v>427</v>
      </c>
      <c r="G3400" s="152" t="s">
        <v>3207</v>
      </c>
      <c r="H3400" s="153" t="s">
        <v>213</v>
      </c>
    </row>
    <row r="3401" hidden="1">
      <c r="A3401" s="158" t="s">
        <v>237</v>
      </c>
      <c r="B3401" s="159"/>
      <c r="C3401" s="155" t="s">
        <v>236</v>
      </c>
      <c r="D3401" s="156" t="s">
        <v>4014</v>
      </c>
      <c r="E3401" s="156" t="s">
        <v>4154</v>
      </c>
      <c r="F3401" s="156" t="s">
        <v>799</v>
      </c>
      <c r="G3401" s="156" t="s">
        <v>2177</v>
      </c>
      <c r="H3401" s="157" t="s">
        <v>214</v>
      </c>
    </row>
    <row r="3402" hidden="1">
      <c r="A3402" s="160" t="s">
        <v>237</v>
      </c>
      <c r="B3402" s="72"/>
      <c r="C3402" s="118" t="s">
        <v>236</v>
      </c>
      <c r="D3402" s="152" t="s">
        <v>4014</v>
      </c>
      <c r="E3402" s="152" t="s">
        <v>4155</v>
      </c>
      <c r="F3402" s="152" t="s">
        <v>483</v>
      </c>
      <c r="G3402" s="152" t="s">
        <v>3400</v>
      </c>
      <c r="H3402" s="153" t="s">
        <v>215</v>
      </c>
    </row>
    <row r="3403" hidden="1">
      <c r="A3403" s="158" t="s">
        <v>237</v>
      </c>
      <c r="B3403" s="159"/>
      <c r="C3403" s="155" t="s">
        <v>236</v>
      </c>
      <c r="D3403" s="156" t="s">
        <v>4014</v>
      </c>
      <c r="E3403" s="156" t="s">
        <v>4156</v>
      </c>
      <c r="F3403" s="156" t="s">
        <v>325</v>
      </c>
      <c r="G3403" s="156" t="s">
        <v>3396</v>
      </c>
      <c r="H3403" s="157" t="s">
        <v>216</v>
      </c>
    </row>
    <row r="3404" hidden="1">
      <c r="A3404" s="151" t="s">
        <v>204</v>
      </c>
      <c r="B3404" s="118" t="s">
        <v>205</v>
      </c>
      <c r="C3404" s="118" t="s">
        <v>206</v>
      </c>
      <c r="D3404" s="152" t="s">
        <v>4157</v>
      </c>
      <c r="E3404" s="152" t="s">
        <v>4158</v>
      </c>
      <c r="F3404" s="152" t="s">
        <v>577</v>
      </c>
      <c r="G3404" s="152" t="s">
        <v>4002</v>
      </c>
      <c r="H3404" s="153" t="s">
        <v>210</v>
      </c>
    </row>
    <row r="3405" hidden="1">
      <c r="A3405" s="154" t="s">
        <v>204</v>
      </c>
      <c r="B3405" s="155" t="s">
        <v>205</v>
      </c>
      <c r="C3405" s="155" t="s">
        <v>206</v>
      </c>
      <c r="D3405" s="156" t="s">
        <v>4157</v>
      </c>
      <c r="E3405" s="156" t="s">
        <v>4159</v>
      </c>
      <c r="F3405" s="156" t="s">
        <v>725</v>
      </c>
      <c r="G3405" s="156" t="s">
        <v>1776</v>
      </c>
      <c r="H3405" s="157" t="s">
        <v>211</v>
      </c>
    </row>
    <row r="3406" hidden="1">
      <c r="A3406" s="151" t="s">
        <v>204</v>
      </c>
      <c r="B3406" s="118" t="s">
        <v>205</v>
      </c>
      <c r="C3406" s="118" t="s">
        <v>206</v>
      </c>
      <c r="D3406" s="152" t="s">
        <v>4157</v>
      </c>
      <c r="E3406" s="152" t="s">
        <v>4160</v>
      </c>
      <c r="F3406" s="152" t="s">
        <v>718</v>
      </c>
      <c r="G3406" s="152" t="s">
        <v>4161</v>
      </c>
      <c r="H3406" s="153" t="s">
        <v>212</v>
      </c>
    </row>
    <row r="3407" hidden="1">
      <c r="A3407" s="154" t="s">
        <v>204</v>
      </c>
      <c r="B3407" s="155" t="s">
        <v>205</v>
      </c>
      <c r="C3407" s="155" t="s">
        <v>206</v>
      </c>
      <c r="D3407" s="156" t="s">
        <v>4157</v>
      </c>
      <c r="E3407" s="156" t="s">
        <v>4162</v>
      </c>
      <c r="F3407" s="156" t="s">
        <v>677</v>
      </c>
      <c r="G3407" s="156" t="s">
        <v>3872</v>
      </c>
      <c r="H3407" s="157" t="s">
        <v>213</v>
      </c>
    </row>
    <row r="3408" hidden="1">
      <c r="A3408" s="151" t="s">
        <v>204</v>
      </c>
      <c r="B3408" s="118" t="s">
        <v>205</v>
      </c>
      <c r="C3408" s="118" t="s">
        <v>206</v>
      </c>
      <c r="D3408" s="152" t="s">
        <v>4157</v>
      </c>
      <c r="E3408" s="152" t="s">
        <v>4163</v>
      </c>
      <c r="F3408" s="152" t="s">
        <v>494</v>
      </c>
      <c r="G3408" s="152" t="s">
        <v>4024</v>
      </c>
      <c r="H3408" s="153" t="s">
        <v>214</v>
      </c>
    </row>
    <row r="3409" hidden="1">
      <c r="A3409" s="154" t="s">
        <v>204</v>
      </c>
      <c r="B3409" s="155" t="s">
        <v>205</v>
      </c>
      <c r="C3409" s="155" t="s">
        <v>206</v>
      </c>
      <c r="D3409" s="156" t="s">
        <v>4157</v>
      </c>
      <c r="E3409" s="156" t="s">
        <v>4164</v>
      </c>
      <c r="F3409" s="156" t="s">
        <v>354</v>
      </c>
      <c r="G3409" s="156" t="s">
        <v>3812</v>
      </c>
      <c r="H3409" s="157" t="s">
        <v>215</v>
      </c>
    </row>
    <row r="3410" hidden="1">
      <c r="A3410" s="151" t="s">
        <v>204</v>
      </c>
      <c r="B3410" s="118" t="s">
        <v>205</v>
      </c>
      <c r="C3410" s="118" t="s">
        <v>206</v>
      </c>
      <c r="D3410" s="152" t="s">
        <v>4157</v>
      </c>
      <c r="E3410" s="152" t="s">
        <v>4165</v>
      </c>
      <c r="F3410" s="152" t="s">
        <v>312</v>
      </c>
      <c r="G3410" s="152" t="s">
        <v>1776</v>
      </c>
      <c r="H3410" s="153" t="s">
        <v>216</v>
      </c>
    </row>
    <row r="3411" hidden="1">
      <c r="A3411" s="154" t="s">
        <v>217</v>
      </c>
      <c r="B3411" s="155" t="s">
        <v>191</v>
      </c>
      <c r="C3411" s="155" t="s">
        <v>206</v>
      </c>
      <c r="D3411" s="156" t="s">
        <v>4157</v>
      </c>
      <c r="E3411" s="156" t="s">
        <v>4166</v>
      </c>
      <c r="F3411" s="156" t="s">
        <v>673</v>
      </c>
      <c r="G3411" s="156" t="s">
        <v>4167</v>
      </c>
      <c r="H3411" s="157" t="s">
        <v>210</v>
      </c>
    </row>
    <row r="3412" hidden="1">
      <c r="A3412" s="151" t="s">
        <v>217</v>
      </c>
      <c r="B3412" s="118" t="s">
        <v>191</v>
      </c>
      <c r="C3412" s="118" t="s">
        <v>206</v>
      </c>
      <c r="D3412" s="152" t="s">
        <v>4157</v>
      </c>
      <c r="E3412" s="152" t="s">
        <v>4168</v>
      </c>
      <c r="F3412" s="152" t="s">
        <v>735</v>
      </c>
      <c r="G3412" s="152" t="s">
        <v>4169</v>
      </c>
      <c r="H3412" s="153" t="s">
        <v>211</v>
      </c>
    </row>
    <row r="3413" hidden="1">
      <c r="A3413" s="154" t="s">
        <v>217</v>
      </c>
      <c r="B3413" s="155" t="s">
        <v>191</v>
      </c>
      <c r="C3413" s="155" t="s">
        <v>206</v>
      </c>
      <c r="D3413" s="156" t="s">
        <v>4157</v>
      </c>
      <c r="E3413" s="156" t="s">
        <v>4170</v>
      </c>
      <c r="F3413" s="156" t="s">
        <v>2994</v>
      </c>
      <c r="G3413" s="156" t="s">
        <v>4171</v>
      </c>
      <c r="H3413" s="157" t="s">
        <v>212</v>
      </c>
    </row>
    <row r="3414" hidden="1">
      <c r="A3414" s="151" t="s">
        <v>217</v>
      </c>
      <c r="B3414" s="118" t="s">
        <v>191</v>
      </c>
      <c r="C3414" s="118" t="s">
        <v>206</v>
      </c>
      <c r="D3414" s="152" t="s">
        <v>4157</v>
      </c>
      <c r="E3414" s="152" t="s">
        <v>4172</v>
      </c>
      <c r="F3414" s="152" t="s">
        <v>390</v>
      </c>
      <c r="G3414" s="152" t="s">
        <v>4083</v>
      </c>
      <c r="H3414" s="153" t="s">
        <v>213</v>
      </c>
    </row>
    <row r="3415" hidden="1">
      <c r="A3415" s="154" t="s">
        <v>217</v>
      </c>
      <c r="B3415" s="155" t="s">
        <v>191</v>
      </c>
      <c r="C3415" s="155" t="s">
        <v>206</v>
      </c>
      <c r="D3415" s="156" t="s">
        <v>4157</v>
      </c>
      <c r="E3415" s="156" t="s">
        <v>4173</v>
      </c>
      <c r="F3415" s="156" t="s">
        <v>758</v>
      </c>
      <c r="G3415" s="156" t="s">
        <v>4174</v>
      </c>
      <c r="H3415" s="157" t="s">
        <v>214</v>
      </c>
    </row>
    <row r="3416" hidden="1">
      <c r="A3416" s="151" t="s">
        <v>217</v>
      </c>
      <c r="B3416" s="118" t="s">
        <v>191</v>
      </c>
      <c r="C3416" s="118" t="s">
        <v>206</v>
      </c>
      <c r="D3416" s="152" t="s">
        <v>4157</v>
      </c>
      <c r="E3416" s="152" t="s">
        <v>4175</v>
      </c>
      <c r="F3416" s="152" t="s">
        <v>390</v>
      </c>
      <c r="G3416" s="152" t="s">
        <v>4176</v>
      </c>
      <c r="H3416" s="153" t="s">
        <v>215</v>
      </c>
    </row>
    <row r="3417" hidden="1">
      <c r="A3417" s="154" t="s">
        <v>217</v>
      </c>
      <c r="B3417" s="155" t="s">
        <v>191</v>
      </c>
      <c r="C3417" s="155" t="s">
        <v>206</v>
      </c>
      <c r="D3417" s="156" t="s">
        <v>4157</v>
      </c>
      <c r="E3417" s="156" t="s">
        <v>4177</v>
      </c>
      <c r="F3417" s="156" t="s">
        <v>448</v>
      </c>
      <c r="G3417" s="156" t="s">
        <v>4178</v>
      </c>
      <c r="H3417" s="157" t="s">
        <v>216</v>
      </c>
    </row>
    <row r="3418" hidden="1">
      <c r="A3418" s="151" t="s">
        <v>218</v>
      </c>
      <c r="B3418" s="118" t="s">
        <v>219</v>
      </c>
      <c r="C3418" s="118" t="s">
        <v>206</v>
      </c>
      <c r="D3418" s="152" t="s">
        <v>4157</v>
      </c>
      <c r="E3418" s="152" t="s">
        <v>4179</v>
      </c>
      <c r="F3418" s="152" t="s">
        <v>329</v>
      </c>
      <c r="G3418" s="152" t="s">
        <v>2041</v>
      </c>
      <c r="H3418" s="153" t="s">
        <v>210</v>
      </c>
    </row>
    <row r="3419" hidden="1">
      <c r="A3419" s="154" t="s">
        <v>218</v>
      </c>
      <c r="B3419" s="155" t="s">
        <v>219</v>
      </c>
      <c r="C3419" s="155" t="s">
        <v>206</v>
      </c>
      <c r="D3419" s="156" t="s">
        <v>4157</v>
      </c>
      <c r="E3419" s="156" t="s">
        <v>4180</v>
      </c>
      <c r="F3419" s="156" t="s">
        <v>483</v>
      </c>
      <c r="G3419" s="156" t="s">
        <v>3007</v>
      </c>
      <c r="H3419" s="157" t="s">
        <v>211</v>
      </c>
    </row>
    <row r="3420" hidden="1">
      <c r="A3420" s="151" t="s">
        <v>218</v>
      </c>
      <c r="B3420" s="118" t="s">
        <v>219</v>
      </c>
      <c r="C3420" s="118" t="s">
        <v>206</v>
      </c>
      <c r="D3420" s="152" t="s">
        <v>4157</v>
      </c>
      <c r="E3420" s="152" t="s">
        <v>4181</v>
      </c>
      <c r="F3420" s="152" t="s">
        <v>310</v>
      </c>
      <c r="G3420" s="152" t="s">
        <v>2859</v>
      </c>
      <c r="H3420" s="153" t="s">
        <v>212</v>
      </c>
    </row>
    <row r="3421" hidden="1">
      <c r="A3421" s="154" t="s">
        <v>218</v>
      </c>
      <c r="B3421" s="155" t="s">
        <v>219</v>
      </c>
      <c r="C3421" s="155" t="s">
        <v>206</v>
      </c>
      <c r="D3421" s="156" t="s">
        <v>4157</v>
      </c>
      <c r="E3421" s="156" t="s">
        <v>4182</v>
      </c>
      <c r="F3421" s="156" t="s">
        <v>799</v>
      </c>
      <c r="G3421" s="156" t="s">
        <v>1918</v>
      </c>
      <c r="H3421" s="157" t="s">
        <v>213</v>
      </c>
    </row>
    <row r="3422" hidden="1">
      <c r="A3422" s="151" t="s">
        <v>218</v>
      </c>
      <c r="B3422" s="118" t="s">
        <v>219</v>
      </c>
      <c r="C3422" s="118" t="s">
        <v>206</v>
      </c>
      <c r="D3422" s="152" t="s">
        <v>4157</v>
      </c>
      <c r="E3422" s="152" t="s">
        <v>4183</v>
      </c>
      <c r="F3422" s="152" t="s">
        <v>425</v>
      </c>
      <c r="G3422" s="152" t="s">
        <v>2472</v>
      </c>
      <c r="H3422" s="153" t="s">
        <v>214</v>
      </c>
    </row>
    <row r="3423" hidden="1">
      <c r="A3423" s="154" t="s">
        <v>218</v>
      </c>
      <c r="B3423" s="155" t="s">
        <v>219</v>
      </c>
      <c r="C3423" s="155" t="s">
        <v>206</v>
      </c>
      <c r="D3423" s="156" t="s">
        <v>4157</v>
      </c>
      <c r="E3423" s="156" t="s">
        <v>4184</v>
      </c>
      <c r="F3423" s="156" t="s">
        <v>494</v>
      </c>
      <c r="G3423" s="156" t="s">
        <v>1918</v>
      </c>
      <c r="H3423" s="157" t="s">
        <v>215</v>
      </c>
    </row>
    <row r="3424" hidden="1">
      <c r="A3424" s="151" t="s">
        <v>218</v>
      </c>
      <c r="B3424" s="118" t="s">
        <v>219</v>
      </c>
      <c r="C3424" s="118" t="s">
        <v>206</v>
      </c>
      <c r="D3424" s="152" t="s">
        <v>4157</v>
      </c>
      <c r="E3424" s="152" t="s">
        <v>4185</v>
      </c>
      <c r="F3424" s="152" t="s">
        <v>329</v>
      </c>
      <c r="G3424" s="152" t="s">
        <v>2472</v>
      </c>
      <c r="H3424" s="153" t="s">
        <v>216</v>
      </c>
    </row>
    <row r="3425" hidden="1">
      <c r="A3425" s="154" t="s">
        <v>220</v>
      </c>
      <c r="B3425" s="155" t="s">
        <v>190</v>
      </c>
      <c r="C3425" s="155" t="s">
        <v>206</v>
      </c>
      <c r="D3425" s="156" t="s">
        <v>4157</v>
      </c>
      <c r="E3425" s="156" t="s">
        <v>4186</v>
      </c>
      <c r="F3425" s="156" t="s">
        <v>444</v>
      </c>
      <c r="G3425" s="156" t="s">
        <v>1921</v>
      </c>
      <c r="H3425" s="157" t="s">
        <v>210</v>
      </c>
    </row>
    <row r="3426" hidden="1">
      <c r="A3426" s="151" t="s">
        <v>220</v>
      </c>
      <c r="B3426" s="118" t="s">
        <v>190</v>
      </c>
      <c r="C3426" s="118" t="s">
        <v>206</v>
      </c>
      <c r="D3426" s="152" t="s">
        <v>4157</v>
      </c>
      <c r="E3426" s="152" t="s">
        <v>4187</v>
      </c>
      <c r="F3426" s="152" t="s">
        <v>405</v>
      </c>
      <c r="G3426" s="152" t="s">
        <v>2777</v>
      </c>
      <c r="H3426" s="153" t="s">
        <v>211</v>
      </c>
    </row>
    <row r="3427" hidden="1">
      <c r="A3427" s="154" t="s">
        <v>220</v>
      </c>
      <c r="B3427" s="155" t="s">
        <v>190</v>
      </c>
      <c r="C3427" s="155" t="s">
        <v>206</v>
      </c>
      <c r="D3427" s="156" t="s">
        <v>4157</v>
      </c>
      <c r="E3427" s="156" t="s">
        <v>4188</v>
      </c>
      <c r="F3427" s="156" t="s">
        <v>423</v>
      </c>
      <c r="G3427" s="156" t="s">
        <v>2281</v>
      </c>
      <c r="H3427" s="157" t="s">
        <v>212</v>
      </c>
    </row>
    <row r="3428" hidden="1">
      <c r="A3428" s="151" t="s">
        <v>220</v>
      </c>
      <c r="B3428" s="118" t="s">
        <v>190</v>
      </c>
      <c r="C3428" s="118" t="s">
        <v>206</v>
      </c>
      <c r="D3428" s="152" t="s">
        <v>4157</v>
      </c>
      <c r="E3428" s="152" t="s">
        <v>4189</v>
      </c>
      <c r="F3428" s="152" t="s">
        <v>534</v>
      </c>
      <c r="G3428" s="152" t="s">
        <v>3335</v>
      </c>
      <c r="H3428" s="153" t="s">
        <v>213</v>
      </c>
    </row>
    <row r="3429" hidden="1">
      <c r="A3429" s="154" t="s">
        <v>220</v>
      </c>
      <c r="B3429" s="155" t="s">
        <v>190</v>
      </c>
      <c r="C3429" s="155" t="s">
        <v>206</v>
      </c>
      <c r="D3429" s="156" t="s">
        <v>4157</v>
      </c>
      <c r="E3429" s="156" t="s">
        <v>4190</v>
      </c>
      <c r="F3429" s="156" t="s">
        <v>339</v>
      </c>
      <c r="G3429" s="156" t="s">
        <v>2309</v>
      </c>
      <c r="H3429" s="157" t="s">
        <v>214</v>
      </c>
    </row>
    <row r="3430" hidden="1">
      <c r="A3430" s="151" t="s">
        <v>220</v>
      </c>
      <c r="B3430" s="118" t="s">
        <v>190</v>
      </c>
      <c r="C3430" s="118" t="s">
        <v>206</v>
      </c>
      <c r="D3430" s="152" t="s">
        <v>4157</v>
      </c>
      <c r="E3430" s="152" t="s">
        <v>4191</v>
      </c>
      <c r="F3430" s="152" t="s">
        <v>718</v>
      </c>
      <c r="G3430" s="152" t="s">
        <v>2385</v>
      </c>
      <c r="H3430" s="153" t="s">
        <v>215</v>
      </c>
    </row>
    <row r="3431" hidden="1">
      <c r="A3431" s="154" t="s">
        <v>220</v>
      </c>
      <c r="B3431" s="155" t="s">
        <v>190</v>
      </c>
      <c r="C3431" s="155" t="s">
        <v>206</v>
      </c>
      <c r="D3431" s="156" t="s">
        <v>4157</v>
      </c>
      <c r="E3431" s="156" t="s">
        <v>4192</v>
      </c>
      <c r="F3431" s="156" t="s">
        <v>763</v>
      </c>
      <c r="G3431" s="156" t="s">
        <v>2111</v>
      </c>
      <c r="H3431" s="157" t="s">
        <v>216</v>
      </c>
    </row>
    <row r="3432" hidden="1">
      <c r="A3432" s="151" t="s">
        <v>221</v>
      </c>
      <c r="B3432" s="118" t="s">
        <v>189</v>
      </c>
      <c r="C3432" s="118" t="s">
        <v>206</v>
      </c>
      <c r="D3432" s="152" t="s">
        <v>4157</v>
      </c>
      <c r="E3432" s="152" t="s">
        <v>4193</v>
      </c>
      <c r="F3432" s="152" t="s">
        <v>336</v>
      </c>
      <c r="G3432" s="152" t="s">
        <v>4194</v>
      </c>
      <c r="H3432" s="153" t="s">
        <v>210</v>
      </c>
    </row>
    <row r="3433" hidden="1">
      <c r="A3433" s="154" t="s">
        <v>221</v>
      </c>
      <c r="B3433" s="155" t="s">
        <v>189</v>
      </c>
      <c r="C3433" s="155" t="s">
        <v>206</v>
      </c>
      <c r="D3433" s="156" t="s">
        <v>4157</v>
      </c>
      <c r="E3433" s="156" t="s">
        <v>4195</v>
      </c>
      <c r="F3433" s="156" t="s">
        <v>285</v>
      </c>
      <c r="G3433" s="156" t="s">
        <v>4196</v>
      </c>
      <c r="H3433" s="157" t="s">
        <v>211</v>
      </c>
    </row>
    <row r="3434" hidden="1">
      <c r="A3434" s="151" t="s">
        <v>221</v>
      </c>
      <c r="B3434" s="118" t="s">
        <v>189</v>
      </c>
      <c r="C3434" s="118" t="s">
        <v>206</v>
      </c>
      <c r="D3434" s="152" t="s">
        <v>4157</v>
      </c>
      <c r="E3434" s="152" t="s">
        <v>4197</v>
      </c>
      <c r="F3434" s="152" t="s">
        <v>423</v>
      </c>
      <c r="G3434" s="152" t="s">
        <v>3934</v>
      </c>
      <c r="H3434" s="153" t="s">
        <v>212</v>
      </c>
    </row>
    <row r="3435" hidden="1">
      <c r="A3435" s="154" t="s">
        <v>221</v>
      </c>
      <c r="B3435" s="155" t="s">
        <v>189</v>
      </c>
      <c r="C3435" s="155" t="s">
        <v>206</v>
      </c>
      <c r="D3435" s="156" t="s">
        <v>4157</v>
      </c>
      <c r="E3435" s="156" t="s">
        <v>4198</v>
      </c>
      <c r="F3435" s="156" t="s">
        <v>314</v>
      </c>
      <c r="G3435" s="156" t="s">
        <v>1788</v>
      </c>
      <c r="H3435" s="157" t="s">
        <v>213</v>
      </c>
    </row>
    <row r="3436" hidden="1">
      <c r="A3436" s="151" t="s">
        <v>221</v>
      </c>
      <c r="B3436" s="118" t="s">
        <v>189</v>
      </c>
      <c r="C3436" s="118" t="s">
        <v>206</v>
      </c>
      <c r="D3436" s="152" t="s">
        <v>4157</v>
      </c>
      <c r="E3436" s="152" t="s">
        <v>4199</v>
      </c>
      <c r="F3436" s="152" t="s">
        <v>204</v>
      </c>
      <c r="G3436" s="152" t="s">
        <v>4077</v>
      </c>
      <c r="H3436" s="153" t="s">
        <v>214</v>
      </c>
    </row>
    <row r="3437" hidden="1">
      <c r="A3437" s="154" t="s">
        <v>221</v>
      </c>
      <c r="B3437" s="155" t="s">
        <v>189</v>
      </c>
      <c r="C3437" s="155" t="s">
        <v>206</v>
      </c>
      <c r="D3437" s="156" t="s">
        <v>4157</v>
      </c>
      <c r="E3437" s="156" t="s">
        <v>4200</v>
      </c>
      <c r="F3437" s="156" t="s">
        <v>240</v>
      </c>
      <c r="G3437" s="156" t="s">
        <v>3996</v>
      </c>
      <c r="H3437" s="157" t="s">
        <v>215</v>
      </c>
    </row>
    <row r="3438" hidden="1">
      <c r="A3438" s="151" t="s">
        <v>221</v>
      </c>
      <c r="B3438" s="118" t="s">
        <v>189</v>
      </c>
      <c r="C3438" s="118" t="s">
        <v>206</v>
      </c>
      <c r="D3438" s="152" t="s">
        <v>4157</v>
      </c>
      <c r="E3438" s="152" t="s">
        <v>4201</v>
      </c>
      <c r="F3438" s="152" t="s">
        <v>331</v>
      </c>
      <c r="G3438" s="152" t="s">
        <v>3371</v>
      </c>
      <c r="H3438" s="153" t="s">
        <v>216</v>
      </c>
    </row>
    <row r="3439" hidden="1">
      <c r="A3439" s="154" t="s">
        <v>222</v>
      </c>
      <c r="B3439" s="155" t="s">
        <v>192</v>
      </c>
      <c r="C3439" s="155" t="s">
        <v>206</v>
      </c>
      <c r="D3439" s="156" t="s">
        <v>4157</v>
      </c>
      <c r="E3439" s="156" t="s">
        <v>4202</v>
      </c>
      <c r="F3439" s="156" t="s">
        <v>799</v>
      </c>
      <c r="G3439" s="156" t="s">
        <v>3734</v>
      </c>
      <c r="H3439" s="157" t="s">
        <v>210</v>
      </c>
    </row>
    <row r="3440" hidden="1">
      <c r="A3440" s="151" t="s">
        <v>222</v>
      </c>
      <c r="B3440" s="118" t="s">
        <v>192</v>
      </c>
      <c r="C3440" s="118" t="s">
        <v>206</v>
      </c>
      <c r="D3440" s="152" t="s">
        <v>4157</v>
      </c>
      <c r="E3440" s="152" t="s">
        <v>4203</v>
      </c>
      <c r="F3440" s="152" t="s">
        <v>450</v>
      </c>
      <c r="G3440" s="152" t="s">
        <v>3941</v>
      </c>
      <c r="H3440" s="153" t="s">
        <v>211</v>
      </c>
    </row>
    <row r="3441" hidden="1">
      <c r="A3441" s="154" t="s">
        <v>222</v>
      </c>
      <c r="B3441" s="155" t="s">
        <v>192</v>
      </c>
      <c r="C3441" s="155" t="s">
        <v>206</v>
      </c>
      <c r="D3441" s="156" t="s">
        <v>4157</v>
      </c>
      <c r="E3441" s="156" t="s">
        <v>4204</v>
      </c>
      <c r="F3441" s="156" t="s">
        <v>310</v>
      </c>
      <c r="G3441" s="156" t="s">
        <v>2508</v>
      </c>
      <c r="H3441" s="157" t="s">
        <v>212</v>
      </c>
    </row>
    <row r="3442" hidden="1">
      <c r="A3442" s="151" t="s">
        <v>222</v>
      </c>
      <c r="B3442" s="118" t="s">
        <v>192</v>
      </c>
      <c r="C3442" s="118" t="s">
        <v>206</v>
      </c>
      <c r="D3442" s="152" t="s">
        <v>4157</v>
      </c>
      <c r="E3442" s="152" t="s">
        <v>4205</v>
      </c>
      <c r="F3442" s="152" t="s">
        <v>427</v>
      </c>
      <c r="G3442" s="152" t="s">
        <v>4206</v>
      </c>
      <c r="H3442" s="153" t="s">
        <v>213</v>
      </c>
    </row>
    <row r="3443" hidden="1">
      <c r="A3443" s="154" t="s">
        <v>222</v>
      </c>
      <c r="B3443" s="155" t="s">
        <v>192</v>
      </c>
      <c r="C3443" s="155" t="s">
        <v>206</v>
      </c>
      <c r="D3443" s="156" t="s">
        <v>4157</v>
      </c>
      <c r="E3443" s="156" t="s">
        <v>4207</v>
      </c>
      <c r="F3443" s="156" t="s">
        <v>336</v>
      </c>
      <c r="G3443" s="156" t="s">
        <v>1997</v>
      </c>
      <c r="H3443" s="157" t="s">
        <v>214</v>
      </c>
    </row>
    <row r="3444" hidden="1">
      <c r="A3444" s="151" t="s">
        <v>222</v>
      </c>
      <c r="B3444" s="118" t="s">
        <v>192</v>
      </c>
      <c r="C3444" s="118" t="s">
        <v>206</v>
      </c>
      <c r="D3444" s="152" t="s">
        <v>4157</v>
      </c>
      <c r="E3444" s="152" t="s">
        <v>4208</v>
      </c>
      <c r="F3444" s="152" t="s">
        <v>321</v>
      </c>
      <c r="G3444" s="152" t="s">
        <v>4209</v>
      </c>
      <c r="H3444" s="153" t="s">
        <v>215</v>
      </c>
    </row>
    <row r="3445" hidden="1">
      <c r="A3445" s="154" t="s">
        <v>222</v>
      </c>
      <c r="B3445" s="155" t="s">
        <v>192</v>
      </c>
      <c r="C3445" s="155" t="s">
        <v>206</v>
      </c>
      <c r="D3445" s="156" t="s">
        <v>4157</v>
      </c>
      <c r="E3445" s="156" t="s">
        <v>4210</v>
      </c>
      <c r="F3445" s="156" t="s">
        <v>325</v>
      </c>
      <c r="G3445" s="156" t="s">
        <v>4019</v>
      </c>
      <c r="H3445" s="157" t="s">
        <v>216</v>
      </c>
    </row>
    <row r="3446" hidden="1">
      <c r="A3446" s="151" t="s">
        <v>223</v>
      </c>
      <c r="B3446" s="118" t="s">
        <v>144</v>
      </c>
      <c r="C3446" s="118" t="s">
        <v>206</v>
      </c>
      <c r="D3446" s="152" t="s">
        <v>4157</v>
      </c>
      <c r="E3446" s="152" t="s">
        <v>4211</v>
      </c>
      <c r="F3446" s="152" t="s">
        <v>331</v>
      </c>
      <c r="G3446" s="152" t="s">
        <v>3812</v>
      </c>
      <c r="H3446" s="153" t="s">
        <v>210</v>
      </c>
    </row>
    <row r="3447" hidden="1">
      <c r="A3447" s="154" t="s">
        <v>223</v>
      </c>
      <c r="B3447" s="155" t="s">
        <v>144</v>
      </c>
      <c r="C3447" s="155" t="s">
        <v>206</v>
      </c>
      <c r="D3447" s="156" t="s">
        <v>4157</v>
      </c>
      <c r="E3447" s="156" t="s">
        <v>4212</v>
      </c>
      <c r="F3447" s="156" t="s">
        <v>305</v>
      </c>
      <c r="G3447" s="156" t="s">
        <v>3838</v>
      </c>
      <c r="H3447" s="157" t="s">
        <v>211</v>
      </c>
    </row>
    <row r="3448" hidden="1">
      <c r="A3448" s="151" t="s">
        <v>223</v>
      </c>
      <c r="B3448" s="118" t="s">
        <v>144</v>
      </c>
      <c r="C3448" s="118" t="s">
        <v>206</v>
      </c>
      <c r="D3448" s="152" t="s">
        <v>4157</v>
      </c>
      <c r="E3448" s="152" t="s">
        <v>4213</v>
      </c>
      <c r="F3448" s="152" t="s">
        <v>450</v>
      </c>
      <c r="G3448" s="152" t="s">
        <v>3113</v>
      </c>
      <c r="H3448" s="153" t="s">
        <v>212</v>
      </c>
    </row>
    <row r="3449" hidden="1">
      <c r="A3449" s="154" t="s">
        <v>223</v>
      </c>
      <c r="B3449" s="155" t="s">
        <v>144</v>
      </c>
      <c r="C3449" s="155" t="s">
        <v>206</v>
      </c>
      <c r="D3449" s="156" t="s">
        <v>4157</v>
      </c>
      <c r="E3449" s="156" t="s">
        <v>4214</v>
      </c>
      <c r="F3449" s="156" t="s">
        <v>532</v>
      </c>
      <c r="G3449" s="156" t="s">
        <v>4215</v>
      </c>
      <c r="H3449" s="157" t="s">
        <v>213</v>
      </c>
    </row>
    <row r="3450" hidden="1">
      <c r="A3450" s="151" t="s">
        <v>223</v>
      </c>
      <c r="B3450" s="118" t="s">
        <v>144</v>
      </c>
      <c r="C3450" s="118" t="s">
        <v>206</v>
      </c>
      <c r="D3450" s="152" t="s">
        <v>4157</v>
      </c>
      <c r="E3450" s="152" t="s">
        <v>4216</v>
      </c>
      <c r="F3450" s="152" t="s">
        <v>329</v>
      </c>
      <c r="G3450" s="152" t="s">
        <v>4215</v>
      </c>
      <c r="H3450" s="153" t="s">
        <v>214</v>
      </c>
    </row>
    <row r="3451" hidden="1">
      <c r="A3451" s="154" t="s">
        <v>223</v>
      </c>
      <c r="B3451" s="155" t="s">
        <v>144</v>
      </c>
      <c r="C3451" s="155" t="s">
        <v>206</v>
      </c>
      <c r="D3451" s="156" t="s">
        <v>4157</v>
      </c>
      <c r="E3451" s="156" t="s">
        <v>4217</v>
      </c>
      <c r="F3451" s="156" t="s">
        <v>351</v>
      </c>
      <c r="G3451" s="156" t="s">
        <v>3911</v>
      </c>
      <c r="H3451" s="157" t="s">
        <v>215</v>
      </c>
    </row>
    <row r="3452" hidden="1">
      <c r="A3452" s="151" t="s">
        <v>223</v>
      </c>
      <c r="B3452" s="118" t="s">
        <v>144</v>
      </c>
      <c r="C3452" s="118" t="s">
        <v>206</v>
      </c>
      <c r="D3452" s="152" t="s">
        <v>4157</v>
      </c>
      <c r="E3452" s="152" t="s">
        <v>4218</v>
      </c>
      <c r="F3452" s="152" t="s">
        <v>305</v>
      </c>
      <c r="G3452" s="152" t="s">
        <v>4219</v>
      </c>
      <c r="H3452" s="153" t="s">
        <v>216</v>
      </c>
    </row>
    <row r="3453" hidden="1">
      <c r="A3453" s="154" t="s">
        <v>224</v>
      </c>
      <c r="B3453" s="155" t="s">
        <v>170</v>
      </c>
      <c r="C3453" s="155" t="s">
        <v>206</v>
      </c>
      <c r="D3453" s="156" t="s">
        <v>4157</v>
      </c>
      <c r="E3453" s="156" t="s">
        <v>4220</v>
      </c>
      <c r="F3453" s="156" t="s">
        <v>354</v>
      </c>
      <c r="G3453" s="156" t="s">
        <v>4221</v>
      </c>
      <c r="H3453" s="157" t="s">
        <v>210</v>
      </c>
    </row>
    <row r="3454" hidden="1">
      <c r="A3454" s="151" t="s">
        <v>224</v>
      </c>
      <c r="B3454" s="118" t="s">
        <v>170</v>
      </c>
      <c r="C3454" s="118" t="s">
        <v>206</v>
      </c>
      <c r="D3454" s="152" t="s">
        <v>4157</v>
      </c>
      <c r="E3454" s="152" t="s">
        <v>4222</v>
      </c>
      <c r="F3454" s="152" t="s">
        <v>483</v>
      </c>
      <c r="G3454" s="152" t="s">
        <v>4223</v>
      </c>
      <c r="H3454" s="153" t="s">
        <v>211</v>
      </c>
    </row>
    <row r="3455" hidden="1">
      <c r="A3455" s="154" t="s">
        <v>224</v>
      </c>
      <c r="B3455" s="155" t="s">
        <v>170</v>
      </c>
      <c r="C3455" s="155" t="s">
        <v>206</v>
      </c>
      <c r="D3455" s="156" t="s">
        <v>4157</v>
      </c>
      <c r="E3455" s="156" t="s">
        <v>4224</v>
      </c>
      <c r="F3455" s="156" t="s">
        <v>312</v>
      </c>
      <c r="G3455" s="156" t="s">
        <v>4225</v>
      </c>
      <c r="H3455" s="157" t="s">
        <v>212</v>
      </c>
    </row>
    <row r="3456" hidden="1">
      <c r="A3456" s="151" t="s">
        <v>224</v>
      </c>
      <c r="B3456" s="118" t="s">
        <v>170</v>
      </c>
      <c r="C3456" s="118" t="s">
        <v>206</v>
      </c>
      <c r="D3456" s="152" t="s">
        <v>4157</v>
      </c>
      <c r="E3456" s="152" t="s">
        <v>4226</v>
      </c>
      <c r="F3456" s="152" t="s">
        <v>312</v>
      </c>
      <c r="G3456" s="152" t="s">
        <v>4034</v>
      </c>
      <c r="H3456" s="153" t="s">
        <v>213</v>
      </c>
    </row>
    <row r="3457" hidden="1">
      <c r="A3457" s="154" t="s">
        <v>224</v>
      </c>
      <c r="B3457" s="155" t="s">
        <v>170</v>
      </c>
      <c r="C3457" s="155" t="s">
        <v>206</v>
      </c>
      <c r="D3457" s="156" t="s">
        <v>4157</v>
      </c>
      <c r="E3457" s="156" t="s">
        <v>4227</v>
      </c>
      <c r="F3457" s="156" t="s">
        <v>450</v>
      </c>
      <c r="G3457" s="156" t="s">
        <v>3298</v>
      </c>
      <c r="H3457" s="157" t="s">
        <v>214</v>
      </c>
    </row>
    <row r="3458" hidden="1">
      <c r="A3458" s="151" t="s">
        <v>224</v>
      </c>
      <c r="B3458" s="118" t="s">
        <v>170</v>
      </c>
      <c r="C3458" s="118" t="s">
        <v>206</v>
      </c>
      <c r="D3458" s="152" t="s">
        <v>4157</v>
      </c>
      <c r="E3458" s="152" t="s">
        <v>4228</v>
      </c>
      <c r="F3458" s="152" t="s">
        <v>336</v>
      </c>
      <c r="G3458" s="152" t="s">
        <v>4229</v>
      </c>
      <c r="H3458" s="153" t="s">
        <v>215</v>
      </c>
    </row>
    <row r="3459" hidden="1">
      <c r="A3459" s="154" t="s">
        <v>224</v>
      </c>
      <c r="B3459" s="155" t="s">
        <v>170</v>
      </c>
      <c r="C3459" s="155" t="s">
        <v>206</v>
      </c>
      <c r="D3459" s="156" t="s">
        <v>4157</v>
      </c>
      <c r="E3459" s="156" t="s">
        <v>4230</v>
      </c>
      <c r="F3459" s="156" t="s">
        <v>799</v>
      </c>
      <c r="G3459" s="156" t="s">
        <v>4231</v>
      </c>
      <c r="H3459" s="157" t="s">
        <v>216</v>
      </c>
    </row>
    <row r="3460" hidden="1">
      <c r="A3460" s="151" t="s">
        <v>225</v>
      </c>
      <c r="B3460" s="118" t="s">
        <v>226</v>
      </c>
      <c r="C3460" s="118" t="s">
        <v>206</v>
      </c>
      <c r="D3460" s="152" t="s">
        <v>4157</v>
      </c>
      <c r="E3460" s="152" t="s">
        <v>4232</v>
      </c>
      <c r="F3460" s="152" t="s">
        <v>799</v>
      </c>
      <c r="G3460" s="152" t="s">
        <v>3840</v>
      </c>
      <c r="H3460" s="153" t="s">
        <v>210</v>
      </c>
    </row>
    <row r="3461" hidden="1">
      <c r="A3461" s="154" t="s">
        <v>225</v>
      </c>
      <c r="B3461" s="155" t="s">
        <v>226</v>
      </c>
      <c r="C3461" s="155" t="s">
        <v>206</v>
      </c>
      <c r="D3461" s="156" t="s">
        <v>4157</v>
      </c>
      <c r="E3461" s="156" t="s">
        <v>4233</v>
      </c>
      <c r="F3461" s="156" t="s">
        <v>725</v>
      </c>
      <c r="G3461" s="156" t="s">
        <v>3272</v>
      </c>
      <c r="H3461" s="157" t="s">
        <v>211</v>
      </c>
    </row>
    <row r="3462" hidden="1">
      <c r="A3462" s="151" t="s">
        <v>225</v>
      </c>
      <c r="B3462" s="118" t="s">
        <v>226</v>
      </c>
      <c r="C3462" s="118" t="s">
        <v>206</v>
      </c>
      <c r="D3462" s="152" t="s">
        <v>4157</v>
      </c>
      <c r="E3462" s="152" t="s">
        <v>4234</v>
      </c>
      <c r="F3462" s="152" t="s">
        <v>677</v>
      </c>
      <c r="G3462" s="152" t="s">
        <v>3919</v>
      </c>
      <c r="H3462" s="153" t="s">
        <v>212</v>
      </c>
    </row>
    <row r="3463" hidden="1">
      <c r="A3463" s="154" t="s">
        <v>225</v>
      </c>
      <c r="B3463" s="155" t="s">
        <v>226</v>
      </c>
      <c r="C3463" s="155" t="s">
        <v>206</v>
      </c>
      <c r="D3463" s="156" t="s">
        <v>4157</v>
      </c>
      <c r="E3463" s="156" t="s">
        <v>4235</v>
      </c>
      <c r="F3463" s="156" t="s">
        <v>329</v>
      </c>
      <c r="G3463" s="156" t="s">
        <v>3203</v>
      </c>
      <c r="H3463" s="157" t="s">
        <v>213</v>
      </c>
    </row>
    <row r="3464" hidden="1">
      <c r="A3464" s="151" t="s">
        <v>225</v>
      </c>
      <c r="B3464" s="118" t="s">
        <v>226</v>
      </c>
      <c r="C3464" s="118" t="s">
        <v>206</v>
      </c>
      <c r="D3464" s="152" t="s">
        <v>4157</v>
      </c>
      <c r="E3464" s="152" t="s">
        <v>4236</v>
      </c>
      <c r="F3464" s="152" t="s">
        <v>423</v>
      </c>
      <c r="G3464" s="152" t="s">
        <v>3574</v>
      </c>
      <c r="H3464" s="153" t="s">
        <v>214</v>
      </c>
    </row>
    <row r="3465" hidden="1">
      <c r="A3465" s="154" t="s">
        <v>225</v>
      </c>
      <c r="B3465" s="155" t="s">
        <v>226</v>
      </c>
      <c r="C3465" s="155" t="s">
        <v>206</v>
      </c>
      <c r="D3465" s="156" t="s">
        <v>4157</v>
      </c>
      <c r="E3465" s="156" t="s">
        <v>4237</v>
      </c>
      <c r="F3465" s="156" t="s">
        <v>532</v>
      </c>
      <c r="G3465" s="156" t="s">
        <v>2346</v>
      </c>
      <c r="H3465" s="157" t="s">
        <v>215</v>
      </c>
    </row>
    <row r="3466" hidden="1">
      <c r="A3466" s="151" t="s">
        <v>225</v>
      </c>
      <c r="B3466" s="118" t="s">
        <v>226</v>
      </c>
      <c r="C3466" s="118" t="s">
        <v>206</v>
      </c>
      <c r="D3466" s="152" t="s">
        <v>4157</v>
      </c>
      <c r="E3466" s="152" t="s">
        <v>4238</v>
      </c>
      <c r="F3466" s="152" t="s">
        <v>494</v>
      </c>
      <c r="G3466" s="152" t="s">
        <v>4002</v>
      </c>
      <c r="H3466" s="153" t="s">
        <v>216</v>
      </c>
    </row>
    <row r="3467" hidden="1">
      <c r="A3467" s="154" t="s">
        <v>227</v>
      </c>
      <c r="B3467" s="155" t="s">
        <v>195</v>
      </c>
      <c r="C3467" s="155" t="s">
        <v>206</v>
      </c>
      <c r="D3467" s="156" t="s">
        <v>4157</v>
      </c>
      <c r="E3467" s="156" t="s">
        <v>4239</v>
      </c>
      <c r="F3467" s="156" t="s">
        <v>259</v>
      </c>
      <c r="G3467" s="156" t="s">
        <v>3445</v>
      </c>
      <c r="H3467" s="157" t="s">
        <v>210</v>
      </c>
    </row>
    <row r="3468" hidden="1">
      <c r="A3468" s="151" t="s">
        <v>227</v>
      </c>
      <c r="B3468" s="118" t="s">
        <v>195</v>
      </c>
      <c r="C3468" s="118" t="s">
        <v>206</v>
      </c>
      <c r="D3468" s="152" t="s">
        <v>4157</v>
      </c>
      <c r="E3468" s="152" t="s">
        <v>4240</v>
      </c>
      <c r="F3468" s="152" t="s">
        <v>427</v>
      </c>
      <c r="G3468" s="152" t="s">
        <v>3574</v>
      </c>
      <c r="H3468" s="153" t="s">
        <v>211</v>
      </c>
    </row>
    <row r="3469" hidden="1">
      <c r="A3469" s="154" t="s">
        <v>227</v>
      </c>
      <c r="B3469" s="155" t="s">
        <v>195</v>
      </c>
      <c r="C3469" s="155" t="s">
        <v>206</v>
      </c>
      <c r="D3469" s="156" t="s">
        <v>4157</v>
      </c>
      <c r="E3469" s="156" t="s">
        <v>4241</v>
      </c>
      <c r="F3469" s="156" t="s">
        <v>321</v>
      </c>
      <c r="G3469" s="156" t="s">
        <v>2346</v>
      </c>
      <c r="H3469" s="157" t="s">
        <v>212</v>
      </c>
    </row>
    <row r="3470" hidden="1">
      <c r="A3470" s="151" t="s">
        <v>227</v>
      </c>
      <c r="B3470" s="118" t="s">
        <v>195</v>
      </c>
      <c r="C3470" s="118" t="s">
        <v>206</v>
      </c>
      <c r="D3470" s="152" t="s">
        <v>4157</v>
      </c>
      <c r="E3470" s="152" t="s">
        <v>4242</v>
      </c>
      <c r="F3470" s="152" t="s">
        <v>257</v>
      </c>
      <c r="G3470" s="152" t="s">
        <v>3282</v>
      </c>
      <c r="H3470" s="153" t="s">
        <v>213</v>
      </c>
    </row>
    <row r="3471" hidden="1">
      <c r="A3471" s="154" t="s">
        <v>227</v>
      </c>
      <c r="B3471" s="155" t="s">
        <v>195</v>
      </c>
      <c r="C3471" s="155" t="s">
        <v>206</v>
      </c>
      <c r="D3471" s="156" t="s">
        <v>4157</v>
      </c>
      <c r="E3471" s="156" t="s">
        <v>4243</v>
      </c>
      <c r="F3471" s="156" t="s">
        <v>257</v>
      </c>
      <c r="G3471" s="156" t="s">
        <v>2667</v>
      </c>
      <c r="H3471" s="157" t="s">
        <v>214</v>
      </c>
    </row>
    <row r="3472" hidden="1">
      <c r="A3472" s="151" t="s">
        <v>227</v>
      </c>
      <c r="B3472" s="118" t="s">
        <v>195</v>
      </c>
      <c r="C3472" s="118" t="s">
        <v>206</v>
      </c>
      <c r="D3472" s="152" t="s">
        <v>4157</v>
      </c>
      <c r="E3472" s="152" t="s">
        <v>4244</v>
      </c>
      <c r="F3472" s="152" t="s">
        <v>323</v>
      </c>
      <c r="G3472" s="152" t="s">
        <v>2995</v>
      </c>
      <c r="H3472" s="153" t="s">
        <v>215</v>
      </c>
    </row>
    <row r="3473" hidden="1">
      <c r="A3473" s="154" t="s">
        <v>227</v>
      </c>
      <c r="B3473" s="155" t="s">
        <v>195</v>
      </c>
      <c r="C3473" s="155" t="s">
        <v>206</v>
      </c>
      <c r="D3473" s="156" t="s">
        <v>4157</v>
      </c>
      <c r="E3473" s="156" t="s">
        <v>4245</v>
      </c>
      <c r="F3473" s="156" t="s">
        <v>365</v>
      </c>
      <c r="G3473" s="156" t="s">
        <v>2824</v>
      </c>
      <c r="H3473" s="157" t="s">
        <v>216</v>
      </c>
    </row>
    <row r="3474" hidden="1">
      <c r="A3474" s="151" t="s">
        <v>228</v>
      </c>
      <c r="B3474" s="118" t="s">
        <v>138</v>
      </c>
      <c r="C3474" s="118" t="s">
        <v>206</v>
      </c>
      <c r="D3474" s="152" t="s">
        <v>4157</v>
      </c>
      <c r="E3474" s="152" t="s">
        <v>4246</v>
      </c>
      <c r="F3474" s="152" t="s">
        <v>1795</v>
      </c>
      <c r="G3474" s="152" t="s">
        <v>3356</v>
      </c>
      <c r="H3474" s="153" t="s">
        <v>210</v>
      </c>
    </row>
    <row r="3475" hidden="1">
      <c r="A3475" s="154" t="s">
        <v>228</v>
      </c>
      <c r="B3475" s="155" t="s">
        <v>138</v>
      </c>
      <c r="C3475" s="155" t="s">
        <v>206</v>
      </c>
      <c r="D3475" s="156" t="s">
        <v>4157</v>
      </c>
      <c r="E3475" s="156" t="s">
        <v>4247</v>
      </c>
      <c r="F3475" s="156" t="s">
        <v>1804</v>
      </c>
      <c r="G3475" s="156" t="s">
        <v>1942</v>
      </c>
      <c r="H3475" s="157" t="s">
        <v>211</v>
      </c>
    </row>
    <row r="3476" hidden="1">
      <c r="A3476" s="151" t="s">
        <v>228</v>
      </c>
      <c r="B3476" s="118" t="s">
        <v>138</v>
      </c>
      <c r="C3476" s="118" t="s">
        <v>206</v>
      </c>
      <c r="D3476" s="152" t="s">
        <v>4157</v>
      </c>
      <c r="E3476" s="152" t="s">
        <v>4248</v>
      </c>
      <c r="F3476" s="152" t="s">
        <v>2254</v>
      </c>
      <c r="G3476" s="152" t="s">
        <v>2405</v>
      </c>
      <c r="H3476" s="153" t="s">
        <v>212</v>
      </c>
    </row>
    <row r="3477" hidden="1">
      <c r="A3477" s="154" t="s">
        <v>228</v>
      </c>
      <c r="B3477" s="155" t="s">
        <v>138</v>
      </c>
      <c r="C3477" s="155" t="s">
        <v>206</v>
      </c>
      <c r="D3477" s="156" t="s">
        <v>4157</v>
      </c>
      <c r="E3477" s="156" t="s">
        <v>4249</v>
      </c>
      <c r="F3477" s="156" t="s">
        <v>1961</v>
      </c>
      <c r="G3477" s="156" t="s">
        <v>3380</v>
      </c>
      <c r="H3477" s="157" t="s">
        <v>213</v>
      </c>
    </row>
    <row r="3478" hidden="1">
      <c r="A3478" s="151" t="s">
        <v>228</v>
      </c>
      <c r="B3478" s="118" t="s">
        <v>138</v>
      </c>
      <c r="C3478" s="118" t="s">
        <v>206</v>
      </c>
      <c r="D3478" s="152" t="s">
        <v>4157</v>
      </c>
      <c r="E3478" s="152" t="s">
        <v>4250</v>
      </c>
      <c r="F3478" s="152" t="s">
        <v>4251</v>
      </c>
      <c r="G3478" s="152" t="s">
        <v>1951</v>
      </c>
      <c r="H3478" s="153" t="s">
        <v>214</v>
      </c>
    </row>
    <row r="3479" hidden="1">
      <c r="A3479" s="154" t="s">
        <v>228</v>
      </c>
      <c r="B3479" s="155" t="s">
        <v>138</v>
      </c>
      <c r="C3479" s="155" t="s">
        <v>206</v>
      </c>
      <c r="D3479" s="156" t="s">
        <v>4157</v>
      </c>
      <c r="E3479" s="156" t="s">
        <v>4252</v>
      </c>
      <c r="F3479" s="156" t="s">
        <v>2321</v>
      </c>
      <c r="G3479" s="156" t="s">
        <v>1923</v>
      </c>
      <c r="H3479" s="157" t="s">
        <v>215</v>
      </c>
    </row>
    <row r="3480" hidden="1">
      <c r="A3480" s="151" t="s">
        <v>228</v>
      </c>
      <c r="B3480" s="118" t="s">
        <v>138</v>
      </c>
      <c r="C3480" s="118" t="s">
        <v>206</v>
      </c>
      <c r="D3480" s="152" t="s">
        <v>4157</v>
      </c>
      <c r="E3480" s="152" t="s">
        <v>4253</v>
      </c>
      <c r="F3480" s="152" t="s">
        <v>2029</v>
      </c>
      <c r="G3480" s="152" t="s">
        <v>2107</v>
      </c>
      <c r="H3480" s="153" t="s">
        <v>216</v>
      </c>
    </row>
    <row r="3481" hidden="1">
      <c r="A3481" s="154" t="s">
        <v>229</v>
      </c>
      <c r="B3481" s="155" t="s">
        <v>193</v>
      </c>
      <c r="C3481" s="155" t="s">
        <v>206</v>
      </c>
      <c r="D3481" s="156" t="s">
        <v>4157</v>
      </c>
      <c r="E3481" s="156" t="s">
        <v>4254</v>
      </c>
      <c r="F3481" s="156" t="s">
        <v>799</v>
      </c>
      <c r="G3481" s="156" t="s">
        <v>3280</v>
      </c>
      <c r="H3481" s="157" t="s">
        <v>210</v>
      </c>
    </row>
    <row r="3482" hidden="1">
      <c r="A3482" s="151" t="s">
        <v>229</v>
      </c>
      <c r="B3482" s="118" t="s">
        <v>193</v>
      </c>
      <c r="C3482" s="118" t="s">
        <v>206</v>
      </c>
      <c r="D3482" s="152" t="s">
        <v>4157</v>
      </c>
      <c r="E3482" s="152" t="s">
        <v>4255</v>
      </c>
      <c r="F3482" s="152" t="s">
        <v>799</v>
      </c>
      <c r="G3482" s="152" t="s">
        <v>3394</v>
      </c>
      <c r="H3482" s="153" t="s">
        <v>211</v>
      </c>
    </row>
    <row r="3483" hidden="1">
      <c r="A3483" s="154" t="s">
        <v>229</v>
      </c>
      <c r="B3483" s="155" t="s">
        <v>193</v>
      </c>
      <c r="C3483" s="155" t="s">
        <v>206</v>
      </c>
      <c r="D3483" s="156" t="s">
        <v>4157</v>
      </c>
      <c r="E3483" s="156" t="s">
        <v>4256</v>
      </c>
      <c r="F3483" s="156" t="s">
        <v>677</v>
      </c>
      <c r="G3483" s="156" t="s">
        <v>2187</v>
      </c>
      <c r="H3483" s="157" t="s">
        <v>212</v>
      </c>
    </row>
    <row r="3484" hidden="1">
      <c r="A3484" s="151" t="s">
        <v>229</v>
      </c>
      <c r="B3484" s="118" t="s">
        <v>193</v>
      </c>
      <c r="C3484" s="118" t="s">
        <v>206</v>
      </c>
      <c r="D3484" s="152" t="s">
        <v>4157</v>
      </c>
      <c r="E3484" s="152" t="s">
        <v>4257</v>
      </c>
      <c r="F3484" s="152" t="s">
        <v>483</v>
      </c>
      <c r="G3484" s="152" t="s">
        <v>3718</v>
      </c>
      <c r="H3484" s="153" t="s">
        <v>213</v>
      </c>
    </row>
    <row r="3485" hidden="1">
      <c r="A3485" s="154" t="s">
        <v>229</v>
      </c>
      <c r="B3485" s="155" t="s">
        <v>193</v>
      </c>
      <c r="C3485" s="155" t="s">
        <v>206</v>
      </c>
      <c r="D3485" s="156" t="s">
        <v>4157</v>
      </c>
      <c r="E3485" s="156" t="s">
        <v>4258</v>
      </c>
      <c r="F3485" s="156" t="s">
        <v>766</v>
      </c>
      <c r="G3485" s="156" t="s">
        <v>3410</v>
      </c>
      <c r="H3485" s="157" t="s">
        <v>214</v>
      </c>
    </row>
    <row r="3486" hidden="1">
      <c r="A3486" s="151" t="s">
        <v>229</v>
      </c>
      <c r="B3486" s="118" t="s">
        <v>193</v>
      </c>
      <c r="C3486" s="118" t="s">
        <v>206</v>
      </c>
      <c r="D3486" s="152" t="s">
        <v>4157</v>
      </c>
      <c r="E3486" s="152" t="s">
        <v>4259</v>
      </c>
      <c r="F3486" s="152" t="s">
        <v>339</v>
      </c>
      <c r="G3486" s="152" t="s">
        <v>3380</v>
      </c>
      <c r="H3486" s="153" t="s">
        <v>215</v>
      </c>
    </row>
    <row r="3487" hidden="1">
      <c r="A3487" s="154" t="s">
        <v>229</v>
      </c>
      <c r="B3487" s="155" t="s">
        <v>193</v>
      </c>
      <c r="C3487" s="155" t="s">
        <v>206</v>
      </c>
      <c r="D3487" s="156" t="s">
        <v>4157</v>
      </c>
      <c r="E3487" s="156" t="s">
        <v>4260</v>
      </c>
      <c r="F3487" s="156" t="s">
        <v>354</v>
      </c>
      <c r="G3487" s="156" t="s">
        <v>3404</v>
      </c>
      <c r="H3487" s="157" t="s">
        <v>216</v>
      </c>
    </row>
    <row r="3488" hidden="1">
      <c r="A3488" s="151" t="s">
        <v>230</v>
      </c>
      <c r="B3488" s="118" t="s">
        <v>194</v>
      </c>
      <c r="C3488" s="118" t="s">
        <v>206</v>
      </c>
      <c r="D3488" s="152" t="s">
        <v>4157</v>
      </c>
      <c r="E3488" s="152" t="s">
        <v>4261</v>
      </c>
      <c r="F3488" s="152" t="s">
        <v>351</v>
      </c>
      <c r="G3488" s="152" t="s">
        <v>4196</v>
      </c>
      <c r="H3488" s="153" t="s">
        <v>210</v>
      </c>
    </row>
    <row r="3489" hidden="1">
      <c r="A3489" s="154" t="s">
        <v>230</v>
      </c>
      <c r="B3489" s="155" t="s">
        <v>194</v>
      </c>
      <c r="C3489" s="155" t="s">
        <v>206</v>
      </c>
      <c r="D3489" s="156" t="s">
        <v>4157</v>
      </c>
      <c r="E3489" s="156" t="s">
        <v>4262</v>
      </c>
      <c r="F3489" s="156" t="s">
        <v>308</v>
      </c>
      <c r="G3489" s="156" t="s">
        <v>4263</v>
      </c>
      <c r="H3489" s="157" t="s">
        <v>211</v>
      </c>
    </row>
    <row r="3490" hidden="1">
      <c r="A3490" s="151" t="s">
        <v>230</v>
      </c>
      <c r="B3490" s="118" t="s">
        <v>194</v>
      </c>
      <c r="C3490" s="118" t="s">
        <v>206</v>
      </c>
      <c r="D3490" s="152" t="s">
        <v>4157</v>
      </c>
      <c r="E3490" s="152" t="s">
        <v>4264</v>
      </c>
      <c r="F3490" s="152" t="s">
        <v>339</v>
      </c>
      <c r="G3490" s="152" t="s">
        <v>4169</v>
      </c>
      <c r="H3490" s="153" t="s">
        <v>212</v>
      </c>
    </row>
    <row r="3491" hidden="1">
      <c r="A3491" s="154" t="s">
        <v>230</v>
      </c>
      <c r="B3491" s="155" t="s">
        <v>194</v>
      </c>
      <c r="C3491" s="155" t="s">
        <v>206</v>
      </c>
      <c r="D3491" s="156" t="s">
        <v>4157</v>
      </c>
      <c r="E3491" s="156" t="s">
        <v>4265</v>
      </c>
      <c r="F3491" s="156" t="s">
        <v>351</v>
      </c>
      <c r="G3491" s="156" t="s">
        <v>3696</v>
      </c>
      <c r="H3491" s="157" t="s">
        <v>213</v>
      </c>
    </row>
    <row r="3492" hidden="1">
      <c r="A3492" s="151" t="s">
        <v>230</v>
      </c>
      <c r="B3492" s="118" t="s">
        <v>194</v>
      </c>
      <c r="C3492" s="118" t="s">
        <v>206</v>
      </c>
      <c r="D3492" s="152" t="s">
        <v>4157</v>
      </c>
      <c r="E3492" s="152" t="s">
        <v>4266</v>
      </c>
      <c r="F3492" s="152" t="s">
        <v>351</v>
      </c>
      <c r="G3492" s="152" t="s">
        <v>3786</v>
      </c>
      <c r="H3492" s="153" t="s">
        <v>214</v>
      </c>
    </row>
    <row r="3493" hidden="1">
      <c r="A3493" s="154" t="s">
        <v>230</v>
      </c>
      <c r="B3493" s="155" t="s">
        <v>194</v>
      </c>
      <c r="C3493" s="155" t="s">
        <v>206</v>
      </c>
      <c r="D3493" s="156" t="s">
        <v>4157</v>
      </c>
      <c r="E3493" s="156" t="s">
        <v>4267</v>
      </c>
      <c r="F3493" s="156" t="s">
        <v>308</v>
      </c>
      <c r="G3493" s="156" t="s">
        <v>4268</v>
      </c>
      <c r="H3493" s="157" t="s">
        <v>215</v>
      </c>
    </row>
    <row r="3494" hidden="1">
      <c r="A3494" s="151" t="s">
        <v>230</v>
      </c>
      <c r="B3494" s="118" t="s">
        <v>194</v>
      </c>
      <c r="C3494" s="118" t="s">
        <v>206</v>
      </c>
      <c r="D3494" s="152" t="s">
        <v>4157</v>
      </c>
      <c r="E3494" s="152" t="s">
        <v>4269</v>
      </c>
      <c r="F3494" s="152" t="s">
        <v>310</v>
      </c>
      <c r="G3494" s="152" t="s">
        <v>3786</v>
      </c>
      <c r="H3494" s="153" t="s">
        <v>216</v>
      </c>
    </row>
    <row r="3495" hidden="1">
      <c r="A3495" s="158" t="s">
        <v>231</v>
      </c>
      <c r="B3495" s="159"/>
      <c r="C3495" s="155" t="s">
        <v>232</v>
      </c>
      <c r="D3495" s="156" t="s">
        <v>4157</v>
      </c>
      <c r="E3495" s="156" t="s">
        <v>4270</v>
      </c>
      <c r="F3495" s="156" t="s">
        <v>673</v>
      </c>
      <c r="G3495" s="156" t="s">
        <v>2992</v>
      </c>
      <c r="H3495" s="157" t="s">
        <v>210</v>
      </c>
    </row>
    <row r="3496" hidden="1">
      <c r="A3496" s="160" t="s">
        <v>231</v>
      </c>
      <c r="B3496" s="72"/>
      <c r="C3496" s="118" t="s">
        <v>232</v>
      </c>
      <c r="D3496" s="152" t="s">
        <v>4157</v>
      </c>
      <c r="E3496" s="152" t="s">
        <v>4271</v>
      </c>
      <c r="F3496" s="152" t="s">
        <v>799</v>
      </c>
      <c r="G3496" s="152" t="s">
        <v>1862</v>
      </c>
      <c r="H3496" s="153" t="s">
        <v>211</v>
      </c>
    </row>
    <row r="3497" hidden="1">
      <c r="A3497" s="158" t="s">
        <v>231</v>
      </c>
      <c r="B3497" s="159"/>
      <c r="C3497" s="155" t="s">
        <v>232</v>
      </c>
      <c r="D3497" s="156" t="s">
        <v>4157</v>
      </c>
      <c r="E3497" s="156" t="s">
        <v>4272</v>
      </c>
      <c r="F3497" s="156" t="s">
        <v>423</v>
      </c>
      <c r="G3497" s="156" t="s">
        <v>3384</v>
      </c>
      <c r="H3497" s="157" t="s">
        <v>212</v>
      </c>
    </row>
    <row r="3498" hidden="1">
      <c r="A3498" s="160" t="s">
        <v>231</v>
      </c>
      <c r="B3498" s="72"/>
      <c r="C3498" s="118" t="s">
        <v>232</v>
      </c>
      <c r="D3498" s="152" t="s">
        <v>4157</v>
      </c>
      <c r="E3498" s="152" t="s">
        <v>4273</v>
      </c>
      <c r="F3498" s="152" t="s">
        <v>249</v>
      </c>
      <c r="G3498" s="152" t="s">
        <v>2992</v>
      </c>
      <c r="H3498" s="153" t="s">
        <v>213</v>
      </c>
    </row>
    <row r="3499" hidden="1">
      <c r="A3499" s="158" t="s">
        <v>231</v>
      </c>
      <c r="B3499" s="159"/>
      <c r="C3499" s="155" t="s">
        <v>232</v>
      </c>
      <c r="D3499" s="156" t="s">
        <v>4157</v>
      </c>
      <c r="E3499" s="156" t="s">
        <v>4274</v>
      </c>
      <c r="F3499" s="156" t="s">
        <v>336</v>
      </c>
      <c r="G3499" s="156" t="s">
        <v>2847</v>
      </c>
      <c r="H3499" s="157" t="s">
        <v>214</v>
      </c>
    </row>
    <row r="3500" hidden="1">
      <c r="A3500" s="160" t="s">
        <v>231</v>
      </c>
      <c r="B3500" s="72"/>
      <c r="C3500" s="118" t="s">
        <v>232</v>
      </c>
      <c r="D3500" s="152" t="s">
        <v>4157</v>
      </c>
      <c r="E3500" s="152" t="s">
        <v>4275</v>
      </c>
      <c r="F3500" s="152" t="s">
        <v>336</v>
      </c>
      <c r="G3500" s="152" t="s">
        <v>2305</v>
      </c>
      <c r="H3500" s="153" t="s">
        <v>215</v>
      </c>
    </row>
    <row r="3501" hidden="1">
      <c r="A3501" s="158" t="s">
        <v>231</v>
      </c>
      <c r="B3501" s="159"/>
      <c r="C3501" s="155" t="s">
        <v>232</v>
      </c>
      <c r="D3501" s="156" t="s">
        <v>4157</v>
      </c>
      <c r="E3501" s="156" t="s">
        <v>4276</v>
      </c>
      <c r="F3501" s="156" t="s">
        <v>577</v>
      </c>
      <c r="G3501" s="156" t="s">
        <v>2609</v>
      </c>
      <c r="H3501" s="157" t="s">
        <v>216</v>
      </c>
    </row>
    <row r="3502" hidden="1">
      <c r="A3502" s="160" t="s">
        <v>233</v>
      </c>
      <c r="B3502" s="72"/>
      <c r="C3502" s="118" t="s">
        <v>232</v>
      </c>
      <c r="D3502" s="152" t="s">
        <v>4157</v>
      </c>
      <c r="E3502" s="152" t="s">
        <v>4277</v>
      </c>
      <c r="F3502" s="152" t="s">
        <v>354</v>
      </c>
      <c r="G3502" s="152" t="s">
        <v>4060</v>
      </c>
      <c r="H3502" s="153" t="s">
        <v>210</v>
      </c>
    </row>
    <row r="3503" hidden="1">
      <c r="A3503" s="158" t="s">
        <v>233</v>
      </c>
      <c r="B3503" s="159"/>
      <c r="C3503" s="155" t="s">
        <v>232</v>
      </c>
      <c r="D3503" s="156" t="s">
        <v>4157</v>
      </c>
      <c r="E3503" s="156" t="s">
        <v>4278</v>
      </c>
      <c r="F3503" s="156" t="s">
        <v>312</v>
      </c>
      <c r="G3503" s="156" t="s">
        <v>3966</v>
      </c>
      <c r="H3503" s="157" t="s">
        <v>211</v>
      </c>
    </row>
    <row r="3504" hidden="1">
      <c r="A3504" s="160" t="s">
        <v>233</v>
      </c>
      <c r="B3504" s="72"/>
      <c r="C3504" s="118" t="s">
        <v>232</v>
      </c>
      <c r="D3504" s="152" t="s">
        <v>4157</v>
      </c>
      <c r="E3504" s="152" t="s">
        <v>4279</v>
      </c>
      <c r="F3504" s="152" t="s">
        <v>423</v>
      </c>
      <c r="G3504" s="152" t="s">
        <v>4280</v>
      </c>
      <c r="H3504" s="153" t="s">
        <v>212</v>
      </c>
    </row>
    <row r="3505" hidden="1">
      <c r="A3505" s="158" t="s">
        <v>233</v>
      </c>
      <c r="B3505" s="159"/>
      <c r="C3505" s="155" t="s">
        <v>232</v>
      </c>
      <c r="D3505" s="156" t="s">
        <v>4157</v>
      </c>
      <c r="E3505" s="156" t="s">
        <v>4281</v>
      </c>
      <c r="F3505" s="156" t="s">
        <v>718</v>
      </c>
      <c r="G3505" s="156" t="s">
        <v>3616</v>
      </c>
      <c r="H3505" s="157" t="s">
        <v>213</v>
      </c>
    </row>
    <row r="3506" hidden="1">
      <c r="A3506" s="160" t="s">
        <v>233</v>
      </c>
      <c r="B3506" s="72"/>
      <c r="C3506" s="118" t="s">
        <v>232</v>
      </c>
      <c r="D3506" s="152" t="s">
        <v>4157</v>
      </c>
      <c r="E3506" s="152" t="s">
        <v>4282</v>
      </c>
      <c r="F3506" s="152" t="s">
        <v>423</v>
      </c>
      <c r="G3506" s="152" t="s">
        <v>4283</v>
      </c>
      <c r="H3506" s="153" t="s">
        <v>214</v>
      </c>
    </row>
    <row r="3507" hidden="1">
      <c r="A3507" s="158" t="s">
        <v>233</v>
      </c>
      <c r="B3507" s="159"/>
      <c r="C3507" s="155" t="s">
        <v>232</v>
      </c>
      <c r="D3507" s="156" t="s">
        <v>4157</v>
      </c>
      <c r="E3507" s="156" t="s">
        <v>4284</v>
      </c>
      <c r="F3507" s="156" t="s">
        <v>725</v>
      </c>
      <c r="G3507" s="156" t="s">
        <v>3790</v>
      </c>
      <c r="H3507" s="157" t="s">
        <v>215</v>
      </c>
    </row>
    <row r="3508" hidden="1">
      <c r="A3508" s="160" t="s">
        <v>233</v>
      </c>
      <c r="B3508" s="72"/>
      <c r="C3508" s="118" t="s">
        <v>232</v>
      </c>
      <c r="D3508" s="152" t="s">
        <v>4157</v>
      </c>
      <c r="E3508" s="152" t="s">
        <v>4285</v>
      </c>
      <c r="F3508" s="152" t="s">
        <v>478</v>
      </c>
      <c r="G3508" s="152" t="s">
        <v>3872</v>
      </c>
      <c r="H3508" s="153" t="s">
        <v>216</v>
      </c>
    </row>
    <row r="3509" hidden="1">
      <c r="A3509" s="158" t="s">
        <v>234</v>
      </c>
      <c r="B3509" s="159"/>
      <c r="C3509" s="155" t="s">
        <v>232</v>
      </c>
      <c r="D3509" s="156" t="s">
        <v>4157</v>
      </c>
      <c r="E3509" s="156" t="s">
        <v>4286</v>
      </c>
      <c r="F3509" s="156" t="s">
        <v>405</v>
      </c>
      <c r="G3509" s="156" t="s">
        <v>4287</v>
      </c>
      <c r="H3509" s="157" t="s">
        <v>210</v>
      </c>
    </row>
    <row r="3510" hidden="1">
      <c r="A3510" s="160" t="s">
        <v>234</v>
      </c>
      <c r="B3510" s="72"/>
      <c r="C3510" s="118" t="s">
        <v>232</v>
      </c>
      <c r="D3510" s="152" t="s">
        <v>4157</v>
      </c>
      <c r="E3510" s="152" t="s">
        <v>4288</v>
      </c>
      <c r="F3510" s="152" t="s">
        <v>483</v>
      </c>
      <c r="G3510" s="152" t="s">
        <v>3818</v>
      </c>
      <c r="H3510" s="153" t="s">
        <v>211</v>
      </c>
    </row>
    <row r="3511" hidden="1">
      <c r="A3511" s="158" t="s">
        <v>234</v>
      </c>
      <c r="B3511" s="159"/>
      <c r="C3511" s="155" t="s">
        <v>232</v>
      </c>
      <c r="D3511" s="156" t="s">
        <v>4157</v>
      </c>
      <c r="E3511" s="156" t="s">
        <v>4289</v>
      </c>
      <c r="F3511" s="156" t="s">
        <v>673</v>
      </c>
      <c r="G3511" s="156" t="s">
        <v>4290</v>
      </c>
      <c r="H3511" s="157" t="s">
        <v>212</v>
      </c>
    </row>
    <row r="3512" hidden="1">
      <c r="A3512" s="160" t="s">
        <v>234</v>
      </c>
      <c r="B3512" s="72"/>
      <c r="C3512" s="118" t="s">
        <v>232</v>
      </c>
      <c r="D3512" s="152" t="s">
        <v>4157</v>
      </c>
      <c r="E3512" s="152" t="s">
        <v>4291</v>
      </c>
      <c r="F3512" s="152" t="s">
        <v>1999</v>
      </c>
      <c r="G3512" s="152" t="s">
        <v>4280</v>
      </c>
      <c r="H3512" s="153" t="s">
        <v>213</v>
      </c>
    </row>
    <row r="3513" hidden="1">
      <c r="A3513" s="158" t="s">
        <v>234</v>
      </c>
      <c r="B3513" s="159"/>
      <c r="C3513" s="155" t="s">
        <v>232</v>
      </c>
      <c r="D3513" s="156" t="s">
        <v>4157</v>
      </c>
      <c r="E3513" s="156" t="s">
        <v>4292</v>
      </c>
      <c r="F3513" s="156" t="s">
        <v>305</v>
      </c>
      <c r="G3513" s="156" t="s">
        <v>4293</v>
      </c>
      <c r="H3513" s="157" t="s">
        <v>214</v>
      </c>
    </row>
    <row r="3514" hidden="1">
      <c r="A3514" s="160" t="s">
        <v>234</v>
      </c>
      <c r="B3514" s="72"/>
      <c r="C3514" s="118" t="s">
        <v>232</v>
      </c>
      <c r="D3514" s="152" t="s">
        <v>4157</v>
      </c>
      <c r="E3514" s="152" t="s">
        <v>4294</v>
      </c>
      <c r="F3514" s="152" t="s">
        <v>483</v>
      </c>
      <c r="G3514" s="152" t="s">
        <v>3368</v>
      </c>
      <c r="H3514" s="153" t="s">
        <v>215</v>
      </c>
    </row>
    <row r="3515" hidden="1">
      <c r="A3515" s="158" t="s">
        <v>234</v>
      </c>
      <c r="B3515" s="159"/>
      <c r="C3515" s="155" t="s">
        <v>232</v>
      </c>
      <c r="D3515" s="156" t="s">
        <v>4157</v>
      </c>
      <c r="E3515" s="156" t="s">
        <v>4295</v>
      </c>
      <c r="F3515" s="156" t="s">
        <v>677</v>
      </c>
      <c r="G3515" s="156" t="s">
        <v>4283</v>
      </c>
      <c r="H3515" s="157" t="s">
        <v>216</v>
      </c>
    </row>
    <row r="3516" hidden="1">
      <c r="A3516" s="160" t="s">
        <v>235</v>
      </c>
      <c r="B3516" s="72"/>
      <c r="C3516" s="118" t="s">
        <v>236</v>
      </c>
      <c r="D3516" s="152" t="s">
        <v>4157</v>
      </c>
      <c r="E3516" s="152" t="s">
        <v>4296</v>
      </c>
      <c r="F3516" s="152" t="s">
        <v>532</v>
      </c>
      <c r="G3516" s="152" t="s">
        <v>4297</v>
      </c>
      <c r="H3516" s="153" t="s">
        <v>210</v>
      </c>
    </row>
    <row r="3517" hidden="1">
      <c r="A3517" s="158" t="s">
        <v>235</v>
      </c>
      <c r="B3517" s="159"/>
      <c r="C3517" s="155" t="s">
        <v>236</v>
      </c>
      <c r="D3517" s="156" t="s">
        <v>4157</v>
      </c>
      <c r="E3517" s="156" t="s">
        <v>4298</v>
      </c>
      <c r="F3517" s="156" t="s">
        <v>577</v>
      </c>
      <c r="G3517" s="156" t="s">
        <v>3905</v>
      </c>
      <c r="H3517" s="157" t="s">
        <v>211</v>
      </c>
    </row>
    <row r="3518" hidden="1">
      <c r="A3518" s="160" t="s">
        <v>235</v>
      </c>
      <c r="B3518" s="72"/>
      <c r="C3518" s="118" t="s">
        <v>236</v>
      </c>
      <c r="D3518" s="152" t="s">
        <v>4157</v>
      </c>
      <c r="E3518" s="152" t="s">
        <v>4299</v>
      </c>
      <c r="F3518" s="152" t="s">
        <v>718</v>
      </c>
      <c r="G3518" s="152" t="s">
        <v>4287</v>
      </c>
      <c r="H3518" s="153" t="s">
        <v>212</v>
      </c>
    </row>
    <row r="3519" hidden="1">
      <c r="A3519" s="158" t="s">
        <v>235</v>
      </c>
      <c r="B3519" s="159"/>
      <c r="C3519" s="155" t="s">
        <v>236</v>
      </c>
      <c r="D3519" s="156" t="s">
        <v>4157</v>
      </c>
      <c r="E3519" s="156" t="s">
        <v>4300</v>
      </c>
      <c r="F3519" s="156" t="s">
        <v>312</v>
      </c>
      <c r="G3519" s="156" t="s">
        <v>3786</v>
      </c>
      <c r="H3519" s="157" t="s">
        <v>213</v>
      </c>
    </row>
    <row r="3520" hidden="1">
      <c r="A3520" s="160" t="s">
        <v>235</v>
      </c>
      <c r="B3520" s="72"/>
      <c r="C3520" s="118" t="s">
        <v>236</v>
      </c>
      <c r="D3520" s="152" t="s">
        <v>4157</v>
      </c>
      <c r="E3520" s="152" t="s">
        <v>4301</v>
      </c>
      <c r="F3520" s="152" t="s">
        <v>718</v>
      </c>
      <c r="G3520" s="152" t="s">
        <v>4077</v>
      </c>
      <c r="H3520" s="153" t="s">
        <v>214</v>
      </c>
    </row>
    <row r="3521" hidden="1">
      <c r="A3521" s="158" t="s">
        <v>235</v>
      </c>
      <c r="B3521" s="159"/>
      <c r="C3521" s="155" t="s">
        <v>236</v>
      </c>
      <c r="D3521" s="156" t="s">
        <v>4157</v>
      </c>
      <c r="E3521" s="156" t="s">
        <v>4302</v>
      </c>
      <c r="F3521" s="156" t="s">
        <v>478</v>
      </c>
      <c r="G3521" s="156" t="s">
        <v>3786</v>
      </c>
      <c r="H3521" s="157" t="s">
        <v>215</v>
      </c>
    </row>
    <row r="3522" hidden="1">
      <c r="A3522" s="160" t="s">
        <v>235</v>
      </c>
      <c r="B3522" s="72"/>
      <c r="C3522" s="118" t="s">
        <v>236</v>
      </c>
      <c r="D3522" s="152" t="s">
        <v>4157</v>
      </c>
      <c r="E3522" s="152" t="s">
        <v>4303</v>
      </c>
      <c r="F3522" s="152" t="s">
        <v>423</v>
      </c>
      <c r="G3522" s="152" t="s">
        <v>4287</v>
      </c>
      <c r="H3522" s="153" t="s">
        <v>216</v>
      </c>
    </row>
    <row r="3523" hidden="1">
      <c r="A3523" s="158" t="s">
        <v>237</v>
      </c>
      <c r="B3523" s="159"/>
      <c r="C3523" s="155" t="s">
        <v>236</v>
      </c>
      <c r="D3523" s="156" t="s">
        <v>4157</v>
      </c>
      <c r="E3523" s="156" t="s">
        <v>4304</v>
      </c>
      <c r="F3523" s="156" t="s">
        <v>354</v>
      </c>
      <c r="G3523" s="156" t="s">
        <v>4305</v>
      </c>
      <c r="H3523" s="157" t="s">
        <v>210</v>
      </c>
    </row>
    <row r="3524" hidden="1">
      <c r="A3524" s="160" t="s">
        <v>237</v>
      </c>
      <c r="B3524" s="72"/>
      <c r="C3524" s="118" t="s">
        <v>236</v>
      </c>
      <c r="D3524" s="152" t="s">
        <v>4157</v>
      </c>
      <c r="E3524" s="152" t="s">
        <v>4306</v>
      </c>
      <c r="F3524" s="152" t="s">
        <v>325</v>
      </c>
      <c r="G3524" s="152" t="s">
        <v>2187</v>
      </c>
      <c r="H3524" s="153" t="s">
        <v>211</v>
      </c>
    </row>
    <row r="3525" hidden="1">
      <c r="A3525" s="158" t="s">
        <v>237</v>
      </c>
      <c r="B3525" s="159"/>
      <c r="C3525" s="155" t="s">
        <v>236</v>
      </c>
      <c r="D3525" s="156" t="s">
        <v>4157</v>
      </c>
      <c r="E3525" s="156" t="s">
        <v>4307</v>
      </c>
      <c r="F3525" s="156" t="s">
        <v>1532</v>
      </c>
      <c r="G3525" s="156" t="s">
        <v>4194</v>
      </c>
      <c r="H3525" s="157" t="s">
        <v>212</v>
      </c>
    </row>
    <row r="3526" hidden="1">
      <c r="A3526" s="160" t="s">
        <v>237</v>
      </c>
      <c r="B3526" s="72"/>
      <c r="C3526" s="118" t="s">
        <v>236</v>
      </c>
      <c r="D3526" s="152" t="s">
        <v>4157</v>
      </c>
      <c r="E3526" s="152" t="s">
        <v>4308</v>
      </c>
      <c r="F3526" s="152" t="s">
        <v>1532</v>
      </c>
      <c r="G3526" s="152" t="s">
        <v>3408</v>
      </c>
      <c r="H3526" s="153" t="s">
        <v>213</v>
      </c>
    </row>
    <row r="3527" hidden="1">
      <c r="A3527" s="158" t="s">
        <v>237</v>
      </c>
      <c r="B3527" s="159"/>
      <c r="C3527" s="155" t="s">
        <v>236</v>
      </c>
      <c r="D3527" s="156" t="s">
        <v>4157</v>
      </c>
      <c r="E3527" s="156" t="s">
        <v>4309</v>
      </c>
      <c r="F3527" s="156" t="s">
        <v>290</v>
      </c>
      <c r="G3527" s="156" t="s">
        <v>3707</v>
      </c>
      <c r="H3527" s="157" t="s">
        <v>214</v>
      </c>
    </row>
    <row r="3528" hidden="1">
      <c r="A3528" s="160" t="s">
        <v>237</v>
      </c>
      <c r="B3528" s="72"/>
      <c r="C3528" s="118" t="s">
        <v>236</v>
      </c>
      <c r="D3528" s="152" t="s">
        <v>4157</v>
      </c>
      <c r="E3528" s="152" t="s">
        <v>4310</v>
      </c>
      <c r="F3528" s="152" t="s">
        <v>450</v>
      </c>
      <c r="G3528" s="152" t="s">
        <v>3280</v>
      </c>
      <c r="H3528" s="153" t="s">
        <v>215</v>
      </c>
    </row>
    <row r="3529" hidden="1">
      <c r="A3529" s="158" t="s">
        <v>237</v>
      </c>
      <c r="B3529" s="159"/>
      <c r="C3529" s="155" t="s">
        <v>236</v>
      </c>
      <c r="D3529" s="156" t="s">
        <v>4157</v>
      </c>
      <c r="E3529" s="156" t="s">
        <v>4311</v>
      </c>
      <c r="F3529" s="156" t="s">
        <v>329</v>
      </c>
      <c r="G3529" s="156" t="s">
        <v>2671</v>
      </c>
      <c r="H3529" s="157" t="s">
        <v>216</v>
      </c>
    </row>
    <row r="3530" hidden="1">
      <c r="A3530" s="151" t="s">
        <v>204</v>
      </c>
      <c r="B3530" s="118" t="s">
        <v>205</v>
      </c>
      <c r="C3530" s="118" t="s">
        <v>206</v>
      </c>
      <c r="D3530" s="152" t="s">
        <v>4312</v>
      </c>
      <c r="E3530" s="152" t="s">
        <v>4313</v>
      </c>
      <c r="F3530" s="152" t="s">
        <v>305</v>
      </c>
      <c r="G3530" s="152" t="s">
        <v>3300</v>
      </c>
      <c r="H3530" s="153" t="s">
        <v>210</v>
      </c>
    </row>
    <row r="3531" hidden="1">
      <c r="A3531" s="154" t="s">
        <v>204</v>
      </c>
      <c r="B3531" s="155" t="s">
        <v>205</v>
      </c>
      <c r="C3531" s="155" t="s">
        <v>206</v>
      </c>
      <c r="D3531" s="156" t="s">
        <v>4312</v>
      </c>
      <c r="E3531" s="156" t="s">
        <v>4314</v>
      </c>
      <c r="F3531" s="156" t="s">
        <v>450</v>
      </c>
      <c r="G3531" s="156" t="s">
        <v>3968</v>
      </c>
      <c r="H3531" s="157" t="s">
        <v>211</v>
      </c>
    </row>
    <row r="3532" hidden="1">
      <c r="A3532" s="151" t="s">
        <v>204</v>
      </c>
      <c r="B3532" s="118" t="s">
        <v>205</v>
      </c>
      <c r="C3532" s="118" t="s">
        <v>206</v>
      </c>
      <c r="D3532" s="152" t="s">
        <v>4312</v>
      </c>
      <c r="E3532" s="152" t="s">
        <v>4315</v>
      </c>
      <c r="F3532" s="152" t="s">
        <v>427</v>
      </c>
      <c r="G3532" s="152" t="s">
        <v>4283</v>
      </c>
      <c r="H3532" s="153" t="s">
        <v>212</v>
      </c>
    </row>
    <row r="3533" hidden="1">
      <c r="A3533" s="154" t="s">
        <v>204</v>
      </c>
      <c r="B3533" s="155" t="s">
        <v>205</v>
      </c>
      <c r="C3533" s="155" t="s">
        <v>206</v>
      </c>
      <c r="D3533" s="156" t="s">
        <v>4312</v>
      </c>
      <c r="E3533" s="156" t="s">
        <v>4316</v>
      </c>
      <c r="F3533" s="156" t="s">
        <v>336</v>
      </c>
      <c r="G3533" s="156" t="s">
        <v>4317</v>
      </c>
      <c r="H3533" s="157" t="s">
        <v>213</v>
      </c>
    </row>
    <row r="3534" hidden="1">
      <c r="A3534" s="151" t="s">
        <v>204</v>
      </c>
      <c r="B3534" s="118" t="s">
        <v>205</v>
      </c>
      <c r="C3534" s="118" t="s">
        <v>206</v>
      </c>
      <c r="D3534" s="152" t="s">
        <v>4312</v>
      </c>
      <c r="E3534" s="152" t="s">
        <v>4318</v>
      </c>
      <c r="F3534" s="152" t="s">
        <v>351</v>
      </c>
      <c r="G3534" s="152" t="s">
        <v>4024</v>
      </c>
      <c r="H3534" s="153" t="s">
        <v>214</v>
      </c>
    </row>
    <row r="3535" hidden="1">
      <c r="A3535" s="154" t="s">
        <v>204</v>
      </c>
      <c r="B3535" s="155" t="s">
        <v>205</v>
      </c>
      <c r="C3535" s="155" t="s">
        <v>206</v>
      </c>
      <c r="D3535" s="156" t="s">
        <v>4312</v>
      </c>
      <c r="E3535" s="156" t="s">
        <v>4319</v>
      </c>
      <c r="F3535" s="156" t="s">
        <v>427</v>
      </c>
      <c r="G3535" s="156" t="s">
        <v>4320</v>
      </c>
      <c r="H3535" s="157" t="s">
        <v>215</v>
      </c>
    </row>
    <row r="3536" hidden="1">
      <c r="A3536" s="151" t="s">
        <v>204</v>
      </c>
      <c r="B3536" s="118" t="s">
        <v>205</v>
      </c>
      <c r="C3536" s="118" t="s">
        <v>206</v>
      </c>
      <c r="D3536" s="152" t="s">
        <v>4312</v>
      </c>
      <c r="E3536" s="152" t="s">
        <v>4321</v>
      </c>
      <c r="F3536" s="152" t="s">
        <v>339</v>
      </c>
      <c r="G3536" s="152" t="s">
        <v>3371</v>
      </c>
      <c r="H3536" s="153" t="s">
        <v>216</v>
      </c>
    </row>
    <row r="3537" hidden="1">
      <c r="A3537" s="154" t="s">
        <v>217</v>
      </c>
      <c r="B3537" s="155" t="s">
        <v>191</v>
      </c>
      <c r="C3537" s="155" t="s">
        <v>206</v>
      </c>
      <c r="D3537" s="156" t="s">
        <v>4312</v>
      </c>
      <c r="E3537" s="156" t="s">
        <v>4322</v>
      </c>
      <c r="F3537" s="156" t="s">
        <v>365</v>
      </c>
      <c r="G3537" s="156" t="s">
        <v>4169</v>
      </c>
      <c r="H3537" s="157" t="s">
        <v>210</v>
      </c>
    </row>
    <row r="3538" hidden="1">
      <c r="A3538" s="151" t="s">
        <v>217</v>
      </c>
      <c r="B3538" s="118" t="s">
        <v>191</v>
      </c>
      <c r="C3538" s="118" t="s">
        <v>206</v>
      </c>
      <c r="D3538" s="152" t="s">
        <v>4312</v>
      </c>
      <c r="E3538" s="152" t="s">
        <v>4323</v>
      </c>
      <c r="F3538" s="152" t="s">
        <v>290</v>
      </c>
      <c r="G3538" s="152" t="s">
        <v>3930</v>
      </c>
      <c r="H3538" s="153" t="s">
        <v>211</v>
      </c>
    </row>
    <row r="3539" hidden="1">
      <c r="A3539" s="154" t="s">
        <v>217</v>
      </c>
      <c r="B3539" s="155" t="s">
        <v>191</v>
      </c>
      <c r="C3539" s="155" t="s">
        <v>206</v>
      </c>
      <c r="D3539" s="156" t="s">
        <v>4312</v>
      </c>
      <c r="E3539" s="156" t="s">
        <v>4324</v>
      </c>
      <c r="F3539" s="156" t="s">
        <v>336</v>
      </c>
      <c r="G3539" s="156" t="s">
        <v>3460</v>
      </c>
      <c r="H3539" s="157" t="s">
        <v>212</v>
      </c>
    </row>
    <row r="3540" hidden="1">
      <c r="A3540" s="151" t="s">
        <v>217</v>
      </c>
      <c r="B3540" s="118" t="s">
        <v>191</v>
      </c>
      <c r="C3540" s="118" t="s">
        <v>206</v>
      </c>
      <c r="D3540" s="152" t="s">
        <v>4312</v>
      </c>
      <c r="E3540" s="152" t="s">
        <v>4325</v>
      </c>
      <c r="F3540" s="152" t="s">
        <v>321</v>
      </c>
      <c r="G3540" s="152" t="s">
        <v>4326</v>
      </c>
      <c r="H3540" s="153" t="s">
        <v>213</v>
      </c>
    </row>
    <row r="3541" hidden="1">
      <c r="A3541" s="154" t="s">
        <v>217</v>
      </c>
      <c r="B3541" s="155" t="s">
        <v>191</v>
      </c>
      <c r="C3541" s="155" t="s">
        <v>206</v>
      </c>
      <c r="D3541" s="156" t="s">
        <v>4312</v>
      </c>
      <c r="E3541" s="156" t="s">
        <v>4327</v>
      </c>
      <c r="F3541" s="156" t="s">
        <v>534</v>
      </c>
      <c r="G3541" s="156" t="s">
        <v>4328</v>
      </c>
      <c r="H3541" s="157" t="s">
        <v>214</v>
      </c>
    </row>
    <row r="3542" hidden="1">
      <c r="A3542" s="151" t="s">
        <v>217</v>
      </c>
      <c r="B3542" s="118" t="s">
        <v>191</v>
      </c>
      <c r="C3542" s="118" t="s">
        <v>206</v>
      </c>
      <c r="D3542" s="152" t="s">
        <v>4312</v>
      </c>
      <c r="E3542" s="152" t="s">
        <v>4329</v>
      </c>
      <c r="F3542" s="152" t="s">
        <v>325</v>
      </c>
      <c r="G3542" s="152" t="s">
        <v>1788</v>
      </c>
      <c r="H3542" s="153" t="s">
        <v>215</v>
      </c>
    </row>
    <row r="3543" hidden="1">
      <c r="A3543" s="154" t="s">
        <v>217</v>
      </c>
      <c r="B3543" s="155" t="s">
        <v>191</v>
      </c>
      <c r="C3543" s="155" t="s">
        <v>206</v>
      </c>
      <c r="D3543" s="156" t="s">
        <v>4312</v>
      </c>
      <c r="E3543" s="156" t="s">
        <v>4330</v>
      </c>
      <c r="F3543" s="156" t="s">
        <v>321</v>
      </c>
      <c r="G3543" s="156" t="s">
        <v>4331</v>
      </c>
      <c r="H3543" s="157" t="s">
        <v>216</v>
      </c>
    </row>
    <row r="3544" hidden="1">
      <c r="A3544" s="151" t="s">
        <v>218</v>
      </c>
      <c r="B3544" s="118" t="s">
        <v>219</v>
      </c>
      <c r="C3544" s="118" t="s">
        <v>206</v>
      </c>
      <c r="D3544" s="152" t="s">
        <v>4312</v>
      </c>
      <c r="E3544" s="152" t="s">
        <v>4332</v>
      </c>
      <c r="F3544" s="152" t="s">
        <v>301</v>
      </c>
      <c r="G3544" s="152" t="s">
        <v>2041</v>
      </c>
      <c r="H3544" s="153" t="s">
        <v>210</v>
      </c>
    </row>
    <row r="3545" hidden="1">
      <c r="A3545" s="154" t="s">
        <v>218</v>
      </c>
      <c r="B3545" s="155" t="s">
        <v>219</v>
      </c>
      <c r="C3545" s="155" t="s">
        <v>206</v>
      </c>
      <c r="D3545" s="156" t="s">
        <v>4312</v>
      </c>
      <c r="E3545" s="156" t="s">
        <v>4333</v>
      </c>
      <c r="F3545" s="156" t="s">
        <v>255</v>
      </c>
      <c r="G3545" s="156" t="s">
        <v>1860</v>
      </c>
      <c r="H3545" s="157" t="s">
        <v>211</v>
      </c>
    </row>
    <row r="3546" hidden="1">
      <c r="A3546" s="151" t="s">
        <v>218</v>
      </c>
      <c r="B3546" s="118" t="s">
        <v>219</v>
      </c>
      <c r="C3546" s="118" t="s">
        <v>206</v>
      </c>
      <c r="D3546" s="152" t="s">
        <v>4312</v>
      </c>
      <c r="E3546" s="152" t="s">
        <v>4334</v>
      </c>
      <c r="F3546" s="152" t="s">
        <v>259</v>
      </c>
      <c r="G3546" s="152" t="s">
        <v>1860</v>
      </c>
      <c r="H3546" s="153" t="s">
        <v>212</v>
      </c>
    </row>
    <row r="3547" hidden="1">
      <c r="A3547" s="154" t="s">
        <v>218</v>
      </c>
      <c r="B3547" s="155" t="s">
        <v>219</v>
      </c>
      <c r="C3547" s="155" t="s">
        <v>206</v>
      </c>
      <c r="D3547" s="156" t="s">
        <v>4312</v>
      </c>
      <c r="E3547" s="156" t="s">
        <v>4335</v>
      </c>
      <c r="F3547" s="156" t="s">
        <v>374</v>
      </c>
      <c r="G3547" s="156" t="s">
        <v>1951</v>
      </c>
      <c r="H3547" s="157" t="s">
        <v>213</v>
      </c>
    </row>
    <row r="3548" hidden="1">
      <c r="A3548" s="151" t="s">
        <v>218</v>
      </c>
      <c r="B3548" s="118" t="s">
        <v>219</v>
      </c>
      <c r="C3548" s="118" t="s">
        <v>206</v>
      </c>
      <c r="D3548" s="152" t="s">
        <v>4312</v>
      </c>
      <c r="E3548" s="152" t="s">
        <v>4336</v>
      </c>
      <c r="F3548" s="152" t="s">
        <v>255</v>
      </c>
      <c r="G3548" s="152" t="s">
        <v>3335</v>
      </c>
      <c r="H3548" s="153" t="s">
        <v>214</v>
      </c>
    </row>
    <row r="3549" hidden="1">
      <c r="A3549" s="154" t="s">
        <v>218</v>
      </c>
      <c r="B3549" s="155" t="s">
        <v>219</v>
      </c>
      <c r="C3549" s="155" t="s">
        <v>206</v>
      </c>
      <c r="D3549" s="156" t="s">
        <v>4312</v>
      </c>
      <c r="E3549" s="156" t="s">
        <v>4337</v>
      </c>
      <c r="F3549" s="156" t="s">
        <v>255</v>
      </c>
      <c r="G3549" s="156" t="s">
        <v>4338</v>
      </c>
      <c r="H3549" s="157" t="s">
        <v>215</v>
      </c>
    </row>
    <row r="3550" hidden="1">
      <c r="A3550" s="151" t="s">
        <v>218</v>
      </c>
      <c r="B3550" s="118" t="s">
        <v>219</v>
      </c>
      <c r="C3550" s="118" t="s">
        <v>206</v>
      </c>
      <c r="D3550" s="152" t="s">
        <v>4312</v>
      </c>
      <c r="E3550" s="152" t="s">
        <v>4339</v>
      </c>
      <c r="F3550" s="152" t="s">
        <v>255</v>
      </c>
      <c r="G3550" s="152" t="s">
        <v>2859</v>
      </c>
      <c r="H3550" s="153" t="s">
        <v>216</v>
      </c>
    </row>
    <row r="3551" hidden="1">
      <c r="A3551" s="154" t="s">
        <v>220</v>
      </c>
      <c r="B3551" s="155" t="s">
        <v>190</v>
      </c>
      <c r="C3551" s="155" t="s">
        <v>206</v>
      </c>
      <c r="D3551" s="156" t="s">
        <v>4312</v>
      </c>
      <c r="E3551" s="156" t="s">
        <v>4340</v>
      </c>
      <c r="F3551" s="156" t="s">
        <v>390</v>
      </c>
      <c r="G3551" s="156" t="s">
        <v>3280</v>
      </c>
      <c r="H3551" s="157" t="s">
        <v>210</v>
      </c>
    </row>
    <row r="3552" hidden="1">
      <c r="A3552" s="151" t="s">
        <v>220</v>
      </c>
      <c r="B3552" s="118" t="s">
        <v>190</v>
      </c>
      <c r="C3552" s="118" t="s">
        <v>206</v>
      </c>
      <c r="D3552" s="152" t="s">
        <v>4312</v>
      </c>
      <c r="E3552" s="152" t="s">
        <v>4341</v>
      </c>
      <c r="F3552" s="152" t="s">
        <v>348</v>
      </c>
      <c r="G3552" s="152" t="s">
        <v>2624</v>
      </c>
      <c r="H3552" s="153" t="s">
        <v>211</v>
      </c>
    </row>
    <row r="3553" hidden="1">
      <c r="A3553" s="154" t="s">
        <v>220</v>
      </c>
      <c r="B3553" s="155" t="s">
        <v>190</v>
      </c>
      <c r="C3553" s="155" t="s">
        <v>206</v>
      </c>
      <c r="D3553" s="156" t="s">
        <v>4312</v>
      </c>
      <c r="E3553" s="156" t="s">
        <v>4342</v>
      </c>
      <c r="F3553" s="156" t="s">
        <v>799</v>
      </c>
      <c r="G3553" s="156" t="s">
        <v>3482</v>
      </c>
      <c r="H3553" s="157" t="s">
        <v>212</v>
      </c>
    </row>
    <row r="3554" hidden="1">
      <c r="A3554" s="151" t="s">
        <v>220</v>
      </c>
      <c r="B3554" s="118" t="s">
        <v>190</v>
      </c>
      <c r="C3554" s="118" t="s">
        <v>206</v>
      </c>
      <c r="D3554" s="152" t="s">
        <v>4312</v>
      </c>
      <c r="E3554" s="152" t="s">
        <v>4343</v>
      </c>
      <c r="F3554" s="152" t="s">
        <v>1532</v>
      </c>
      <c r="G3554" s="152" t="s">
        <v>2385</v>
      </c>
      <c r="H3554" s="153" t="s">
        <v>213</v>
      </c>
    </row>
    <row r="3555" hidden="1">
      <c r="A3555" s="154" t="s">
        <v>220</v>
      </c>
      <c r="B3555" s="155" t="s">
        <v>190</v>
      </c>
      <c r="C3555" s="155" t="s">
        <v>206</v>
      </c>
      <c r="D3555" s="156" t="s">
        <v>4312</v>
      </c>
      <c r="E3555" s="156" t="s">
        <v>4344</v>
      </c>
      <c r="F3555" s="156" t="s">
        <v>1999</v>
      </c>
      <c r="G3555" s="156" t="s">
        <v>2242</v>
      </c>
      <c r="H3555" s="157" t="s">
        <v>214</v>
      </c>
    </row>
    <row r="3556" hidden="1">
      <c r="A3556" s="151" t="s">
        <v>220</v>
      </c>
      <c r="B3556" s="118" t="s">
        <v>190</v>
      </c>
      <c r="C3556" s="118" t="s">
        <v>206</v>
      </c>
      <c r="D3556" s="152" t="s">
        <v>4312</v>
      </c>
      <c r="E3556" s="152" t="s">
        <v>4345</v>
      </c>
      <c r="F3556" s="152" t="s">
        <v>312</v>
      </c>
      <c r="G3556" s="152" t="s">
        <v>2107</v>
      </c>
      <c r="H3556" s="153" t="s">
        <v>215</v>
      </c>
    </row>
    <row r="3557" hidden="1">
      <c r="A3557" s="154" t="s">
        <v>220</v>
      </c>
      <c r="B3557" s="155" t="s">
        <v>190</v>
      </c>
      <c r="C3557" s="155" t="s">
        <v>206</v>
      </c>
      <c r="D3557" s="156" t="s">
        <v>4312</v>
      </c>
      <c r="E3557" s="156" t="s">
        <v>4346</v>
      </c>
      <c r="F3557" s="156" t="s">
        <v>390</v>
      </c>
      <c r="G3557" s="156" t="s">
        <v>1921</v>
      </c>
      <c r="H3557" s="157" t="s">
        <v>216</v>
      </c>
    </row>
    <row r="3558" hidden="1">
      <c r="A3558" s="151" t="s">
        <v>221</v>
      </c>
      <c r="B3558" s="118" t="s">
        <v>189</v>
      </c>
      <c r="C3558" s="118" t="s">
        <v>206</v>
      </c>
      <c r="D3558" s="152" t="s">
        <v>4312</v>
      </c>
      <c r="E3558" s="152" t="s">
        <v>4347</v>
      </c>
      <c r="F3558" s="152" t="s">
        <v>339</v>
      </c>
      <c r="G3558" s="152" t="s">
        <v>3475</v>
      </c>
      <c r="H3558" s="153" t="s">
        <v>210</v>
      </c>
    </row>
    <row r="3559" hidden="1">
      <c r="A3559" s="154" t="s">
        <v>221</v>
      </c>
      <c r="B3559" s="155" t="s">
        <v>189</v>
      </c>
      <c r="C3559" s="155" t="s">
        <v>206</v>
      </c>
      <c r="D3559" s="156" t="s">
        <v>4312</v>
      </c>
      <c r="E3559" s="156" t="s">
        <v>4348</v>
      </c>
      <c r="F3559" s="156" t="s">
        <v>534</v>
      </c>
      <c r="G3559" s="156" t="s">
        <v>2006</v>
      </c>
      <c r="H3559" s="157" t="s">
        <v>211</v>
      </c>
    </row>
    <row r="3560" hidden="1">
      <c r="A3560" s="151" t="s">
        <v>221</v>
      </c>
      <c r="B3560" s="118" t="s">
        <v>189</v>
      </c>
      <c r="C3560" s="118" t="s">
        <v>206</v>
      </c>
      <c r="D3560" s="152" t="s">
        <v>4312</v>
      </c>
      <c r="E3560" s="152" t="s">
        <v>4349</v>
      </c>
      <c r="F3560" s="152" t="s">
        <v>246</v>
      </c>
      <c r="G3560" s="152" t="s">
        <v>3844</v>
      </c>
      <c r="H3560" s="153" t="s">
        <v>212</v>
      </c>
    </row>
    <row r="3561" hidden="1">
      <c r="A3561" s="154" t="s">
        <v>221</v>
      </c>
      <c r="B3561" s="155" t="s">
        <v>189</v>
      </c>
      <c r="C3561" s="155" t="s">
        <v>206</v>
      </c>
      <c r="D3561" s="156" t="s">
        <v>4312</v>
      </c>
      <c r="E3561" s="156" t="s">
        <v>4350</v>
      </c>
      <c r="F3561" s="156" t="s">
        <v>310</v>
      </c>
      <c r="G3561" s="156" t="s">
        <v>3117</v>
      </c>
      <c r="H3561" s="157" t="s">
        <v>213</v>
      </c>
    </row>
    <row r="3562" hidden="1">
      <c r="A3562" s="151" t="s">
        <v>221</v>
      </c>
      <c r="B3562" s="118" t="s">
        <v>189</v>
      </c>
      <c r="C3562" s="118" t="s">
        <v>206</v>
      </c>
      <c r="D3562" s="152" t="s">
        <v>4312</v>
      </c>
      <c r="E3562" s="152" t="s">
        <v>4351</v>
      </c>
      <c r="F3562" s="152" t="s">
        <v>301</v>
      </c>
      <c r="G3562" s="152" t="s">
        <v>3404</v>
      </c>
      <c r="H3562" s="153" t="s">
        <v>214</v>
      </c>
    </row>
    <row r="3563" hidden="1">
      <c r="A3563" s="154" t="s">
        <v>221</v>
      </c>
      <c r="B3563" s="155" t="s">
        <v>189</v>
      </c>
      <c r="C3563" s="155" t="s">
        <v>206</v>
      </c>
      <c r="D3563" s="156" t="s">
        <v>4312</v>
      </c>
      <c r="E3563" s="156" t="s">
        <v>4352</v>
      </c>
      <c r="F3563" s="156" t="s">
        <v>301</v>
      </c>
      <c r="G3563" s="156" t="s">
        <v>3570</v>
      </c>
      <c r="H3563" s="157" t="s">
        <v>215</v>
      </c>
    </row>
    <row r="3564" hidden="1">
      <c r="A3564" s="151" t="s">
        <v>221</v>
      </c>
      <c r="B3564" s="118" t="s">
        <v>189</v>
      </c>
      <c r="C3564" s="118" t="s">
        <v>206</v>
      </c>
      <c r="D3564" s="152" t="s">
        <v>4312</v>
      </c>
      <c r="E3564" s="152" t="s">
        <v>4353</v>
      </c>
      <c r="F3564" s="152" t="s">
        <v>290</v>
      </c>
      <c r="G3564" s="152" t="s">
        <v>2826</v>
      </c>
      <c r="H3564" s="153" t="s">
        <v>216</v>
      </c>
    </row>
    <row r="3565" hidden="1">
      <c r="A3565" s="154" t="s">
        <v>222</v>
      </c>
      <c r="B3565" s="155" t="s">
        <v>192</v>
      </c>
      <c r="C3565" s="155" t="s">
        <v>206</v>
      </c>
      <c r="D3565" s="156" t="s">
        <v>4312</v>
      </c>
      <c r="E3565" s="156" t="s">
        <v>4354</v>
      </c>
      <c r="F3565" s="156" t="s">
        <v>725</v>
      </c>
      <c r="G3565" s="156" t="s">
        <v>3939</v>
      </c>
      <c r="H3565" s="157" t="s">
        <v>210</v>
      </c>
    </row>
    <row r="3566" hidden="1">
      <c r="A3566" s="151" t="s">
        <v>222</v>
      </c>
      <c r="B3566" s="118" t="s">
        <v>192</v>
      </c>
      <c r="C3566" s="118" t="s">
        <v>206</v>
      </c>
      <c r="D3566" s="152" t="s">
        <v>4312</v>
      </c>
      <c r="E3566" s="152" t="s">
        <v>4355</v>
      </c>
      <c r="F3566" s="152" t="s">
        <v>478</v>
      </c>
      <c r="G3566" s="152" t="s">
        <v>3818</v>
      </c>
      <c r="H3566" s="153" t="s">
        <v>211</v>
      </c>
    </row>
    <row r="3567" hidden="1">
      <c r="A3567" s="154" t="s">
        <v>222</v>
      </c>
      <c r="B3567" s="155" t="s">
        <v>192</v>
      </c>
      <c r="C3567" s="155" t="s">
        <v>206</v>
      </c>
      <c r="D3567" s="156" t="s">
        <v>4312</v>
      </c>
      <c r="E3567" s="156" t="s">
        <v>4356</v>
      </c>
      <c r="F3567" s="156" t="s">
        <v>718</v>
      </c>
      <c r="G3567" s="156" t="s">
        <v>4287</v>
      </c>
      <c r="H3567" s="157" t="s">
        <v>212</v>
      </c>
    </row>
    <row r="3568" hidden="1">
      <c r="A3568" s="151" t="s">
        <v>222</v>
      </c>
      <c r="B3568" s="118" t="s">
        <v>192</v>
      </c>
      <c r="C3568" s="118" t="s">
        <v>206</v>
      </c>
      <c r="D3568" s="152" t="s">
        <v>4312</v>
      </c>
      <c r="E3568" s="152" t="s">
        <v>4357</v>
      </c>
      <c r="F3568" s="152" t="s">
        <v>532</v>
      </c>
      <c r="G3568" s="152" t="s">
        <v>4161</v>
      </c>
      <c r="H3568" s="153" t="s">
        <v>213</v>
      </c>
    </row>
    <row r="3569" hidden="1">
      <c r="A3569" s="154" t="s">
        <v>222</v>
      </c>
      <c r="B3569" s="155" t="s">
        <v>192</v>
      </c>
      <c r="C3569" s="155" t="s">
        <v>206</v>
      </c>
      <c r="D3569" s="156" t="s">
        <v>4312</v>
      </c>
      <c r="E3569" s="156" t="s">
        <v>4358</v>
      </c>
      <c r="F3569" s="156" t="s">
        <v>354</v>
      </c>
      <c r="G3569" s="156" t="s">
        <v>3267</v>
      </c>
      <c r="H3569" s="157" t="s">
        <v>214</v>
      </c>
    </row>
    <row r="3570" hidden="1">
      <c r="A3570" s="151" t="s">
        <v>222</v>
      </c>
      <c r="B3570" s="118" t="s">
        <v>192</v>
      </c>
      <c r="C3570" s="118" t="s">
        <v>206</v>
      </c>
      <c r="D3570" s="152" t="s">
        <v>4312</v>
      </c>
      <c r="E3570" s="152" t="s">
        <v>4359</v>
      </c>
      <c r="F3570" s="152" t="s">
        <v>478</v>
      </c>
      <c r="G3570" s="152" t="s">
        <v>3543</v>
      </c>
      <c r="H3570" s="153" t="s">
        <v>215</v>
      </c>
    </row>
    <row r="3571" hidden="1">
      <c r="A3571" s="154" t="s">
        <v>222</v>
      </c>
      <c r="B3571" s="155" t="s">
        <v>192</v>
      </c>
      <c r="C3571" s="155" t="s">
        <v>206</v>
      </c>
      <c r="D3571" s="156" t="s">
        <v>4312</v>
      </c>
      <c r="E3571" s="156" t="s">
        <v>4360</v>
      </c>
      <c r="F3571" s="156" t="s">
        <v>478</v>
      </c>
      <c r="G3571" s="156" t="s">
        <v>2179</v>
      </c>
      <c r="H3571" s="157" t="s">
        <v>216</v>
      </c>
    </row>
    <row r="3572" hidden="1">
      <c r="A3572" s="151" t="s">
        <v>223</v>
      </c>
      <c r="B3572" s="118" t="s">
        <v>144</v>
      </c>
      <c r="C3572" s="118" t="s">
        <v>206</v>
      </c>
      <c r="D3572" s="152" t="s">
        <v>4312</v>
      </c>
      <c r="E3572" s="152" t="s">
        <v>4361</v>
      </c>
      <c r="F3572" s="152" t="s">
        <v>310</v>
      </c>
      <c r="G3572" s="152" t="s">
        <v>4024</v>
      </c>
      <c r="H3572" s="153" t="s">
        <v>210</v>
      </c>
    </row>
    <row r="3573" hidden="1">
      <c r="A3573" s="154" t="s">
        <v>223</v>
      </c>
      <c r="B3573" s="155" t="s">
        <v>144</v>
      </c>
      <c r="C3573" s="155" t="s">
        <v>206</v>
      </c>
      <c r="D3573" s="156" t="s">
        <v>4312</v>
      </c>
      <c r="E3573" s="156" t="s">
        <v>4362</v>
      </c>
      <c r="F3573" s="156" t="s">
        <v>325</v>
      </c>
      <c r="G3573" s="156" t="s">
        <v>3786</v>
      </c>
      <c r="H3573" s="157" t="s">
        <v>211</v>
      </c>
    </row>
    <row r="3574" hidden="1">
      <c r="A3574" s="151" t="s">
        <v>223</v>
      </c>
      <c r="B3574" s="118" t="s">
        <v>144</v>
      </c>
      <c r="C3574" s="118" t="s">
        <v>206</v>
      </c>
      <c r="D3574" s="152" t="s">
        <v>4312</v>
      </c>
      <c r="E3574" s="152" t="s">
        <v>4363</v>
      </c>
      <c r="F3574" s="152" t="s">
        <v>354</v>
      </c>
      <c r="G3574" s="152" t="s">
        <v>4364</v>
      </c>
      <c r="H3574" s="153" t="s">
        <v>212</v>
      </c>
    </row>
    <row r="3575" hidden="1">
      <c r="A3575" s="154" t="s">
        <v>223</v>
      </c>
      <c r="B3575" s="155" t="s">
        <v>144</v>
      </c>
      <c r="C3575" s="155" t="s">
        <v>206</v>
      </c>
      <c r="D3575" s="156" t="s">
        <v>4312</v>
      </c>
      <c r="E3575" s="156" t="s">
        <v>4365</v>
      </c>
      <c r="F3575" s="156" t="s">
        <v>483</v>
      </c>
      <c r="G3575" s="156" t="s">
        <v>4085</v>
      </c>
      <c r="H3575" s="157" t="s">
        <v>213</v>
      </c>
    </row>
    <row r="3576" hidden="1">
      <c r="A3576" s="151" t="s">
        <v>223</v>
      </c>
      <c r="B3576" s="118" t="s">
        <v>144</v>
      </c>
      <c r="C3576" s="118" t="s">
        <v>206</v>
      </c>
      <c r="D3576" s="152" t="s">
        <v>4312</v>
      </c>
      <c r="E3576" s="152" t="s">
        <v>4366</v>
      </c>
      <c r="F3576" s="152" t="s">
        <v>425</v>
      </c>
      <c r="G3576" s="152" t="s">
        <v>4367</v>
      </c>
      <c r="H3576" s="153" t="s">
        <v>214</v>
      </c>
    </row>
    <row r="3577" hidden="1">
      <c r="A3577" s="154" t="s">
        <v>223</v>
      </c>
      <c r="B3577" s="155" t="s">
        <v>144</v>
      </c>
      <c r="C3577" s="155" t="s">
        <v>206</v>
      </c>
      <c r="D3577" s="156" t="s">
        <v>4312</v>
      </c>
      <c r="E3577" s="156" t="s">
        <v>4368</v>
      </c>
      <c r="F3577" s="156" t="s">
        <v>351</v>
      </c>
      <c r="G3577" s="156" t="s">
        <v>3786</v>
      </c>
      <c r="H3577" s="157" t="s">
        <v>215</v>
      </c>
    </row>
    <row r="3578" hidden="1">
      <c r="A3578" s="151" t="s">
        <v>223</v>
      </c>
      <c r="B3578" s="118" t="s">
        <v>144</v>
      </c>
      <c r="C3578" s="118" t="s">
        <v>206</v>
      </c>
      <c r="D3578" s="152" t="s">
        <v>4312</v>
      </c>
      <c r="E3578" s="152" t="s">
        <v>4369</v>
      </c>
      <c r="F3578" s="152" t="s">
        <v>427</v>
      </c>
      <c r="G3578" s="152" t="s">
        <v>3905</v>
      </c>
      <c r="H3578" s="153" t="s">
        <v>216</v>
      </c>
    </row>
    <row r="3579" hidden="1">
      <c r="A3579" s="154" t="s">
        <v>224</v>
      </c>
      <c r="B3579" s="155" t="s">
        <v>170</v>
      </c>
      <c r="C3579" s="155" t="s">
        <v>206</v>
      </c>
      <c r="D3579" s="156" t="s">
        <v>4312</v>
      </c>
      <c r="E3579" s="156" t="s">
        <v>4370</v>
      </c>
      <c r="F3579" s="156" t="s">
        <v>425</v>
      </c>
      <c r="G3579" s="156" t="s">
        <v>4371</v>
      </c>
      <c r="H3579" s="157" t="s">
        <v>210</v>
      </c>
    </row>
    <row r="3580" hidden="1">
      <c r="A3580" s="151" t="s">
        <v>224</v>
      </c>
      <c r="B3580" s="118" t="s">
        <v>170</v>
      </c>
      <c r="C3580" s="118" t="s">
        <v>206</v>
      </c>
      <c r="D3580" s="152" t="s">
        <v>4312</v>
      </c>
      <c r="E3580" s="152" t="s">
        <v>4372</v>
      </c>
      <c r="F3580" s="152" t="s">
        <v>423</v>
      </c>
      <c r="G3580" s="152" t="s">
        <v>3629</v>
      </c>
      <c r="H3580" s="153" t="s">
        <v>211</v>
      </c>
    </row>
    <row r="3581" hidden="1">
      <c r="A3581" s="154" t="s">
        <v>224</v>
      </c>
      <c r="B3581" s="155" t="s">
        <v>170</v>
      </c>
      <c r="C3581" s="155" t="s">
        <v>206</v>
      </c>
      <c r="D3581" s="156" t="s">
        <v>4312</v>
      </c>
      <c r="E3581" s="156" t="s">
        <v>4373</v>
      </c>
      <c r="F3581" s="156" t="s">
        <v>310</v>
      </c>
      <c r="G3581" s="156" t="s">
        <v>4374</v>
      </c>
      <c r="H3581" s="157" t="s">
        <v>212</v>
      </c>
    </row>
    <row r="3582" hidden="1">
      <c r="A3582" s="151" t="s">
        <v>224</v>
      </c>
      <c r="B3582" s="118" t="s">
        <v>170</v>
      </c>
      <c r="C3582" s="118" t="s">
        <v>206</v>
      </c>
      <c r="D3582" s="152" t="s">
        <v>4312</v>
      </c>
      <c r="E3582" s="152" t="s">
        <v>4375</v>
      </c>
      <c r="F3582" s="152" t="s">
        <v>423</v>
      </c>
      <c r="G3582" s="152" t="s">
        <v>4376</v>
      </c>
      <c r="H3582" s="153" t="s">
        <v>213</v>
      </c>
    </row>
    <row r="3583" hidden="1">
      <c r="A3583" s="154" t="s">
        <v>224</v>
      </c>
      <c r="B3583" s="155" t="s">
        <v>170</v>
      </c>
      <c r="C3583" s="155" t="s">
        <v>206</v>
      </c>
      <c r="D3583" s="156" t="s">
        <v>4312</v>
      </c>
      <c r="E3583" s="156" t="s">
        <v>4377</v>
      </c>
      <c r="F3583" s="156" t="s">
        <v>312</v>
      </c>
      <c r="G3583" s="156" t="s">
        <v>4268</v>
      </c>
      <c r="H3583" s="157" t="s">
        <v>214</v>
      </c>
    </row>
    <row r="3584" hidden="1">
      <c r="A3584" s="151" t="s">
        <v>224</v>
      </c>
      <c r="B3584" s="118" t="s">
        <v>170</v>
      </c>
      <c r="C3584" s="118" t="s">
        <v>206</v>
      </c>
      <c r="D3584" s="152" t="s">
        <v>4312</v>
      </c>
      <c r="E3584" s="152" t="s">
        <v>4378</v>
      </c>
      <c r="F3584" s="152" t="s">
        <v>725</v>
      </c>
      <c r="G3584" s="152" t="s">
        <v>4379</v>
      </c>
      <c r="H3584" s="153" t="s">
        <v>215</v>
      </c>
    </row>
    <row r="3585" hidden="1">
      <c r="A3585" s="154" t="s">
        <v>224</v>
      </c>
      <c r="B3585" s="155" t="s">
        <v>170</v>
      </c>
      <c r="C3585" s="155" t="s">
        <v>206</v>
      </c>
      <c r="D3585" s="156" t="s">
        <v>4312</v>
      </c>
      <c r="E3585" s="156" t="s">
        <v>4380</v>
      </c>
      <c r="F3585" s="156" t="s">
        <v>494</v>
      </c>
      <c r="G3585" s="156" t="s">
        <v>4174</v>
      </c>
      <c r="H3585" s="157" t="s">
        <v>216</v>
      </c>
    </row>
    <row r="3586" hidden="1">
      <c r="A3586" s="151" t="s">
        <v>225</v>
      </c>
      <c r="B3586" s="118" t="s">
        <v>226</v>
      </c>
      <c r="C3586" s="118" t="s">
        <v>206</v>
      </c>
      <c r="D3586" s="152" t="s">
        <v>4312</v>
      </c>
      <c r="E3586" s="152" t="s">
        <v>4381</v>
      </c>
      <c r="F3586" s="152" t="s">
        <v>351</v>
      </c>
      <c r="G3586" s="152" t="s">
        <v>4029</v>
      </c>
      <c r="H3586" s="153" t="s">
        <v>210</v>
      </c>
    </row>
    <row r="3587" hidden="1">
      <c r="A3587" s="154" t="s">
        <v>225</v>
      </c>
      <c r="B3587" s="155" t="s">
        <v>226</v>
      </c>
      <c r="C3587" s="155" t="s">
        <v>206</v>
      </c>
      <c r="D3587" s="156" t="s">
        <v>4312</v>
      </c>
      <c r="E3587" s="156" t="s">
        <v>4382</v>
      </c>
      <c r="F3587" s="156" t="s">
        <v>305</v>
      </c>
      <c r="G3587" s="156" t="s">
        <v>3838</v>
      </c>
      <c r="H3587" s="157" t="s">
        <v>211</v>
      </c>
    </row>
    <row r="3588" hidden="1">
      <c r="A3588" s="151" t="s">
        <v>225</v>
      </c>
      <c r="B3588" s="118" t="s">
        <v>226</v>
      </c>
      <c r="C3588" s="118" t="s">
        <v>206</v>
      </c>
      <c r="D3588" s="152" t="s">
        <v>4312</v>
      </c>
      <c r="E3588" s="152" t="s">
        <v>4383</v>
      </c>
      <c r="F3588" s="152" t="s">
        <v>351</v>
      </c>
      <c r="G3588" s="152" t="s">
        <v>3820</v>
      </c>
      <c r="H3588" s="153" t="s">
        <v>212</v>
      </c>
    </row>
    <row r="3589" hidden="1">
      <c r="A3589" s="154" t="s">
        <v>225</v>
      </c>
      <c r="B3589" s="155" t="s">
        <v>226</v>
      </c>
      <c r="C3589" s="155" t="s">
        <v>206</v>
      </c>
      <c r="D3589" s="156" t="s">
        <v>4312</v>
      </c>
      <c r="E3589" s="156" t="s">
        <v>4384</v>
      </c>
      <c r="F3589" s="156" t="s">
        <v>1530</v>
      </c>
      <c r="G3589" s="156" t="s">
        <v>3790</v>
      </c>
      <c r="H3589" s="157" t="s">
        <v>213</v>
      </c>
    </row>
    <row r="3590" hidden="1">
      <c r="A3590" s="151" t="s">
        <v>225</v>
      </c>
      <c r="B3590" s="118" t="s">
        <v>226</v>
      </c>
      <c r="C3590" s="118" t="s">
        <v>206</v>
      </c>
      <c r="D3590" s="152" t="s">
        <v>4312</v>
      </c>
      <c r="E3590" s="152" t="s">
        <v>4385</v>
      </c>
      <c r="F3590" s="152" t="s">
        <v>325</v>
      </c>
      <c r="G3590" s="152" t="s">
        <v>4386</v>
      </c>
      <c r="H3590" s="153" t="s">
        <v>214</v>
      </c>
    </row>
    <row r="3591" hidden="1">
      <c r="A3591" s="154" t="s">
        <v>225</v>
      </c>
      <c r="B3591" s="155" t="s">
        <v>226</v>
      </c>
      <c r="C3591" s="155" t="s">
        <v>206</v>
      </c>
      <c r="D3591" s="156" t="s">
        <v>4312</v>
      </c>
      <c r="E3591" s="156" t="s">
        <v>4387</v>
      </c>
      <c r="F3591" s="156" t="s">
        <v>425</v>
      </c>
      <c r="G3591" s="156" t="s">
        <v>4206</v>
      </c>
      <c r="H3591" s="157" t="s">
        <v>215</v>
      </c>
    </row>
    <row r="3592" hidden="1">
      <c r="A3592" s="151" t="s">
        <v>225</v>
      </c>
      <c r="B3592" s="118" t="s">
        <v>226</v>
      </c>
      <c r="C3592" s="118" t="s">
        <v>206</v>
      </c>
      <c r="D3592" s="152" t="s">
        <v>4312</v>
      </c>
      <c r="E3592" s="152" t="s">
        <v>4388</v>
      </c>
      <c r="F3592" s="152" t="s">
        <v>427</v>
      </c>
      <c r="G3592" s="152" t="s">
        <v>3532</v>
      </c>
      <c r="H3592" s="153" t="s">
        <v>216</v>
      </c>
    </row>
    <row r="3593" hidden="1">
      <c r="A3593" s="154" t="s">
        <v>227</v>
      </c>
      <c r="B3593" s="155" t="s">
        <v>195</v>
      </c>
      <c r="C3593" s="155" t="s">
        <v>206</v>
      </c>
      <c r="D3593" s="156" t="s">
        <v>4312</v>
      </c>
      <c r="E3593" s="156" t="s">
        <v>4389</v>
      </c>
      <c r="F3593" s="156" t="s">
        <v>351</v>
      </c>
      <c r="G3593" s="156" t="s">
        <v>2824</v>
      </c>
      <c r="H3593" s="157" t="s">
        <v>210</v>
      </c>
    </row>
    <row r="3594" hidden="1">
      <c r="A3594" s="151" t="s">
        <v>227</v>
      </c>
      <c r="B3594" s="118" t="s">
        <v>195</v>
      </c>
      <c r="C3594" s="118" t="s">
        <v>206</v>
      </c>
      <c r="D3594" s="152" t="s">
        <v>4312</v>
      </c>
      <c r="E3594" s="152" t="s">
        <v>4390</v>
      </c>
      <c r="F3594" s="152" t="s">
        <v>314</v>
      </c>
      <c r="G3594" s="152" t="s">
        <v>2181</v>
      </c>
      <c r="H3594" s="153" t="s">
        <v>211</v>
      </c>
    </row>
    <row r="3595" hidden="1">
      <c r="A3595" s="154" t="s">
        <v>227</v>
      </c>
      <c r="B3595" s="155" t="s">
        <v>195</v>
      </c>
      <c r="C3595" s="155" t="s">
        <v>206</v>
      </c>
      <c r="D3595" s="156" t="s">
        <v>4312</v>
      </c>
      <c r="E3595" s="156" t="s">
        <v>4391</v>
      </c>
      <c r="F3595" s="156" t="s">
        <v>305</v>
      </c>
      <c r="G3595" s="156" t="s">
        <v>1791</v>
      </c>
      <c r="H3595" s="157" t="s">
        <v>212</v>
      </c>
    </row>
    <row r="3596" hidden="1">
      <c r="A3596" s="151" t="s">
        <v>227</v>
      </c>
      <c r="B3596" s="118" t="s">
        <v>195</v>
      </c>
      <c r="C3596" s="118" t="s">
        <v>206</v>
      </c>
      <c r="D3596" s="152" t="s">
        <v>4312</v>
      </c>
      <c r="E3596" s="152" t="s">
        <v>4392</v>
      </c>
      <c r="F3596" s="152" t="s">
        <v>478</v>
      </c>
      <c r="G3596" s="152" t="s">
        <v>3136</v>
      </c>
      <c r="H3596" s="153" t="s">
        <v>213</v>
      </c>
    </row>
    <row r="3597" hidden="1">
      <c r="A3597" s="154" t="s">
        <v>227</v>
      </c>
      <c r="B3597" s="155" t="s">
        <v>195</v>
      </c>
      <c r="C3597" s="155" t="s">
        <v>206</v>
      </c>
      <c r="D3597" s="156" t="s">
        <v>4312</v>
      </c>
      <c r="E3597" s="156" t="s">
        <v>4393</v>
      </c>
      <c r="F3597" s="156" t="s">
        <v>305</v>
      </c>
      <c r="G3597" s="156" t="s">
        <v>2519</v>
      </c>
      <c r="H3597" s="157" t="s">
        <v>214</v>
      </c>
    </row>
    <row r="3598" hidden="1">
      <c r="A3598" s="151" t="s">
        <v>227</v>
      </c>
      <c r="B3598" s="118" t="s">
        <v>195</v>
      </c>
      <c r="C3598" s="118" t="s">
        <v>206</v>
      </c>
      <c r="D3598" s="152" t="s">
        <v>4312</v>
      </c>
      <c r="E3598" s="152" t="s">
        <v>4394</v>
      </c>
      <c r="F3598" s="152" t="s">
        <v>532</v>
      </c>
      <c r="G3598" s="152" t="s">
        <v>3908</v>
      </c>
      <c r="H3598" s="153" t="s">
        <v>215</v>
      </c>
    </row>
    <row r="3599" hidden="1">
      <c r="A3599" s="154" t="s">
        <v>227</v>
      </c>
      <c r="B3599" s="155" t="s">
        <v>195</v>
      </c>
      <c r="C3599" s="155" t="s">
        <v>206</v>
      </c>
      <c r="D3599" s="156" t="s">
        <v>4312</v>
      </c>
      <c r="E3599" s="156" t="s">
        <v>4395</v>
      </c>
      <c r="F3599" s="156" t="s">
        <v>305</v>
      </c>
      <c r="G3599" s="156" t="s">
        <v>3707</v>
      </c>
      <c r="H3599" s="157" t="s">
        <v>216</v>
      </c>
    </row>
    <row r="3600" hidden="1">
      <c r="A3600" s="151" t="s">
        <v>228</v>
      </c>
      <c r="B3600" s="118" t="s">
        <v>138</v>
      </c>
      <c r="C3600" s="118" t="s">
        <v>206</v>
      </c>
      <c r="D3600" s="152" t="s">
        <v>4312</v>
      </c>
      <c r="E3600" s="152" t="s">
        <v>4396</v>
      </c>
      <c r="F3600" s="152" t="s">
        <v>255</v>
      </c>
      <c r="G3600" s="152" t="s">
        <v>3458</v>
      </c>
      <c r="H3600" s="153" t="s">
        <v>210</v>
      </c>
    </row>
    <row r="3601" hidden="1">
      <c r="A3601" s="154" t="s">
        <v>228</v>
      </c>
      <c r="B3601" s="155" t="s">
        <v>138</v>
      </c>
      <c r="C3601" s="155" t="s">
        <v>206</v>
      </c>
      <c r="D3601" s="156" t="s">
        <v>4312</v>
      </c>
      <c r="E3601" s="156" t="s">
        <v>4397</v>
      </c>
      <c r="F3601" s="156" t="s">
        <v>287</v>
      </c>
      <c r="G3601" s="156" t="s">
        <v>3341</v>
      </c>
      <c r="H3601" s="157" t="s">
        <v>211</v>
      </c>
    </row>
    <row r="3602" hidden="1">
      <c r="A3602" s="151" t="s">
        <v>228</v>
      </c>
      <c r="B3602" s="118" t="s">
        <v>138</v>
      </c>
      <c r="C3602" s="118" t="s">
        <v>206</v>
      </c>
      <c r="D3602" s="152" t="s">
        <v>4312</v>
      </c>
      <c r="E3602" s="152" t="s">
        <v>4398</v>
      </c>
      <c r="F3602" s="152" t="s">
        <v>677</v>
      </c>
      <c r="G3602" s="152" t="s">
        <v>2758</v>
      </c>
      <c r="H3602" s="153" t="s">
        <v>212</v>
      </c>
    </row>
    <row r="3603" hidden="1">
      <c r="A3603" s="154" t="s">
        <v>228</v>
      </c>
      <c r="B3603" s="155" t="s">
        <v>138</v>
      </c>
      <c r="C3603" s="155" t="s">
        <v>206</v>
      </c>
      <c r="D3603" s="156" t="s">
        <v>4312</v>
      </c>
      <c r="E3603" s="156" t="s">
        <v>4399</v>
      </c>
      <c r="F3603" s="156" t="s">
        <v>257</v>
      </c>
      <c r="G3603" s="156" t="s">
        <v>3380</v>
      </c>
      <c r="H3603" s="157" t="s">
        <v>213</v>
      </c>
    </row>
    <row r="3604" hidden="1">
      <c r="A3604" s="151" t="s">
        <v>228</v>
      </c>
      <c r="B3604" s="118" t="s">
        <v>138</v>
      </c>
      <c r="C3604" s="118" t="s">
        <v>206</v>
      </c>
      <c r="D3604" s="152" t="s">
        <v>4312</v>
      </c>
      <c r="E3604" s="152" t="s">
        <v>4400</v>
      </c>
      <c r="F3604" s="152" t="s">
        <v>448</v>
      </c>
      <c r="G3604" s="152" t="s">
        <v>3284</v>
      </c>
      <c r="H3604" s="153" t="s">
        <v>214</v>
      </c>
    </row>
    <row r="3605" hidden="1">
      <c r="A3605" s="154" t="s">
        <v>228</v>
      </c>
      <c r="B3605" s="155" t="s">
        <v>138</v>
      </c>
      <c r="C3605" s="155" t="s">
        <v>206</v>
      </c>
      <c r="D3605" s="156" t="s">
        <v>4312</v>
      </c>
      <c r="E3605" s="156" t="s">
        <v>4401</v>
      </c>
      <c r="F3605" s="156" t="s">
        <v>458</v>
      </c>
      <c r="G3605" s="156" t="s">
        <v>3071</v>
      </c>
      <c r="H3605" s="157" t="s">
        <v>215</v>
      </c>
    </row>
    <row r="3606" hidden="1">
      <c r="A3606" s="151" t="s">
        <v>228</v>
      </c>
      <c r="B3606" s="118" t="s">
        <v>138</v>
      </c>
      <c r="C3606" s="118" t="s">
        <v>206</v>
      </c>
      <c r="D3606" s="152" t="s">
        <v>4312</v>
      </c>
      <c r="E3606" s="152" t="s">
        <v>4402</v>
      </c>
      <c r="F3606" s="152" t="s">
        <v>257</v>
      </c>
      <c r="G3606" s="152" t="s">
        <v>2389</v>
      </c>
      <c r="H3606" s="153" t="s">
        <v>216</v>
      </c>
    </row>
    <row r="3607" hidden="1">
      <c r="A3607" s="154" t="s">
        <v>229</v>
      </c>
      <c r="B3607" s="155" t="s">
        <v>193</v>
      </c>
      <c r="C3607" s="155" t="s">
        <v>206</v>
      </c>
      <c r="D3607" s="156" t="s">
        <v>4312</v>
      </c>
      <c r="E3607" s="156" t="s">
        <v>4403</v>
      </c>
      <c r="F3607" s="156" t="s">
        <v>483</v>
      </c>
      <c r="G3607" s="156" t="s">
        <v>3142</v>
      </c>
      <c r="H3607" s="157" t="s">
        <v>210</v>
      </c>
    </row>
    <row r="3608" hidden="1">
      <c r="A3608" s="151" t="s">
        <v>229</v>
      </c>
      <c r="B3608" s="118" t="s">
        <v>193</v>
      </c>
      <c r="C3608" s="118" t="s">
        <v>206</v>
      </c>
      <c r="D3608" s="152" t="s">
        <v>4312</v>
      </c>
      <c r="E3608" s="152" t="s">
        <v>4404</v>
      </c>
      <c r="F3608" s="152" t="s">
        <v>354</v>
      </c>
      <c r="G3608" s="152" t="s">
        <v>2826</v>
      </c>
      <c r="H3608" s="153" t="s">
        <v>211</v>
      </c>
    </row>
    <row r="3609" hidden="1">
      <c r="A3609" s="154" t="s">
        <v>229</v>
      </c>
      <c r="B3609" s="155" t="s">
        <v>193</v>
      </c>
      <c r="C3609" s="155" t="s">
        <v>206</v>
      </c>
      <c r="D3609" s="156" t="s">
        <v>4312</v>
      </c>
      <c r="E3609" s="156" t="s">
        <v>4405</v>
      </c>
      <c r="F3609" s="156" t="s">
        <v>1530</v>
      </c>
      <c r="G3609" s="156" t="s">
        <v>3913</v>
      </c>
      <c r="H3609" s="157" t="s">
        <v>212</v>
      </c>
    </row>
    <row r="3610" hidden="1">
      <c r="A3610" s="151" t="s">
        <v>229</v>
      </c>
      <c r="B3610" s="118" t="s">
        <v>193</v>
      </c>
      <c r="C3610" s="118" t="s">
        <v>206</v>
      </c>
      <c r="D3610" s="152" t="s">
        <v>4312</v>
      </c>
      <c r="E3610" s="152" t="s">
        <v>4406</v>
      </c>
      <c r="F3610" s="152" t="s">
        <v>725</v>
      </c>
      <c r="G3610" s="152" t="s">
        <v>2820</v>
      </c>
      <c r="H3610" s="153" t="s">
        <v>213</v>
      </c>
    </row>
    <row r="3611" hidden="1">
      <c r="A3611" s="154" t="s">
        <v>229</v>
      </c>
      <c r="B3611" s="155" t="s">
        <v>193</v>
      </c>
      <c r="C3611" s="155" t="s">
        <v>206</v>
      </c>
      <c r="D3611" s="156" t="s">
        <v>4312</v>
      </c>
      <c r="E3611" s="156" t="s">
        <v>4407</v>
      </c>
      <c r="F3611" s="156" t="s">
        <v>285</v>
      </c>
      <c r="G3611" s="156" t="s">
        <v>3908</v>
      </c>
      <c r="H3611" s="157" t="s">
        <v>214</v>
      </c>
    </row>
    <row r="3612" hidden="1">
      <c r="A3612" s="151" t="s">
        <v>229</v>
      </c>
      <c r="B3612" s="118" t="s">
        <v>193</v>
      </c>
      <c r="C3612" s="118" t="s">
        <v>206</v>
      </c>
      <c r="D3612" s="152" t="s">
        <v>4312</v>
      </c>
      <c r="E3612" s="152" t="s">
        <v>4408</v>
      </c>
      <c r="F3612" s="152" t="s">
        <v>534</v>
      </c>
      <c r="G3612" s="152" t="s">
        <v>3282</v>
      </c>
      <c r="H3612" s="153" t="s">
        <v>215</v>
      </c>
    </row>
    <row r="3613" hidden="1">
      <c r="A3613" s="154" t="s">
        <v>229</v>
      </c>
      <c r="B3613" s="155" t="s">
        <v>193</v>
      </c>
      <c r="C3613" s="155" t="s">
        <v>206</v>
      </c>
      <c r="D3613" s="156" t="s">
        <v>4312</v>
      </c>
      <c r="E3613" s="156" t="s">
        <v>4409</v>
      </c>
      <c r="F3613" s="156" t="s">
        <v>329</v>
      </c>
      <c r="G3613" s="156" t="s">
        <v>3154</v>
      </c>
      <c r="H3613" s="157" t="s">
        <v>216</v>
      </c>
    </row>
    <row r="3614" hidden="1">
      <c r="A3614" s="151" t="s">
        <v>230</v>
      </c>
      <c r="B3614" s="118" t="s">
        <v>194</v>
      </c>
      <c r="C3614" s="118" t="s">
        <v>206</v>
      </c>
      <c r="D3614" s="152" t="s">
        <v>4312</v>
      </c>
      <c r="E3614" s="152" t="s">
        <v>4410</v>
      </c>
      <c r="F3614" s="152" t="s">
        <v>308</v>
      </c>
      <c r="G3614" s="152" t="s">
        <v>2179</v>
      </c>
      <c r="H3614" s="153" t="s">
        <v>210</v>
      </c>
    </row>
    <row r="3615" hidden="1">
      <c r="A3615" s="154" t="s">
        <v>230</v>
      </c>
      <c r="B3615" s="155" t="s">
        <v>194</v>
      </c>
      <c r="C3615" s="155" t="s">
        <v>206</v>
      </c>
      <c r="D3615" s="156" t="s">
        <v>4312</v>
      </c>
      <c r="E3615" s="156" t="s">
        <v>4411</v>
      </c>
      <c r="F3615" s="156" t="s">
        <v>351</v>
      </c>
      <c r="G3615" s="156" t="s">
        <v>4412</v>
      </c>
      <c r="H3615" s="157" t="s">
        <v>211</v>
      </c>
    </row>
    <row r="3616" hidden="1">
      <c r="A3616" s="151" t="s">
        <v>230</v>
      </c>
      <c r="B3616" s="118" t="s">
        <v>194</v>
      </c>
      <c r="C3616" s="118" t="s">
        <v>206</v>
      </c>
      <c r="D3616" s="152" t="s">
        <v>4312</v>
      </c>
      <c r="E3616" s="152" t="s">
        <v>4413</v>
      </c>
      <c r="F3616" s="152" t="s">
        <v>323</v>
      </c>
      <c r="G3616" s="152" t="s">
        <v>3466</v>
      </c>
      <c r="H3616" s="153" t="s">
        <v>212</v>
      </c>
    </row>
    <row r="3617" hidden="1">
      <c r="A3617" s="154" t="s">
        <v>230</v>
      </c>
      <c r="B3617" s="155" t="s">
        <v>194</v>
      </c>
      <c r="C3617" s="155" t="s">
        <v>206</v>
      </c>
      <c r="D3617" s="156" t="s">
        <v>4312</v>
      </c>
      <c r="E3617" s="156" t="s">
        <v>4414</v>
      </c>
      <c r="F3617" s="156" t="s">
        <v>450</v>
      </c>
      <c r="G3617" s="156" t="s">
        <v>3432</v>
      </c>
      <c r="H3617" s="157" t="s">
        <v>213</v>
      </c>
    </row>
    <row r="3618" hidden="1">
      <c r="A3618" s="151" t="s">
        <v>230</v>
      </c>
      <c r="B3618" s="118" t="s">
        <v>194</v>
      </c>
      <c r="C3618" s="118" t="s">
        <v>206</v>
      </c>
      <c r="D3618" s="152" t="s">
        <v>4312</v>
      </c>
      <c r="E3618" s="152" t="s">
        <v>4415</v>
      </c>
      <c r="F3618" s="152" t="s">
        <v>305</v>
      </c>
      <c r="G3618" s="152" t="s">
        <v>3535</v>
      </c>
      <c r="H3618" s="153" t="s">
        <v>214</v>
      </c>
    </row>
    <row r="3619" hidden="1">
      <c r="A3619" s="154" t="s">
        <v>230</v>
      </c>
      <c r="B3619" s="155" t="s">
        <v>194</v>
      </c>
      <c r="C3619" s="155" t="s">
        <v>206</v>
      </c>
      <c r="D3619" s="156" t="s">
        <v>4312</v>
      </c>
      <c r="E3619" s="156" t="s">
        <v>4416</v>
      </c>
      <c r="F3619" s="156" t="s">
        <v>305</v>
      </c>
      <c r="G3619" s="156" t="s">
        <v>3468</v>
      </c>
      <c r="H3619" s="157" t="s">
        <v>215</v>
      </c>
    </row>
    <row r="3620" hidden="1">
      <c r="A3620" s="151" t="s">
        <v>230</v>
      </c>
      <c r="B3620" s="118" t="s">
        <v>194</v>
      </c>
      <c r="C3620" s="118" t="s">
        <v>206</v>
      </c>
      <c r="D3620" s="152" t="s">
        <v>4312</v>
      </c>
      <c r="E3620" s="152" t="s">
        <v>4417</v>
      </c>
      <c r="F3620" s="152" t="s">
        <v>534</v>
      </c>
      <c r="G3620" s="152" t="s">
        <v>4077</v>
      </c>
      <c r="H3620" s="153" t="s">
        <v>216</v>
      </c>
    </row>
    <row r="3621" hidden="1">
      <c r="A3621" s="158" t="s">
        <v>231</v>
      </c>
      <c r="B3621" s="159"/>
      <c r="C3621" s="155" t="s">
        <v>232</v>
      </c>
      <c r="D3621" s="156" t="s">
        <v>4312</v>
      </c>
      <c r="E3621" s="156" t="s">
        <v>4418</v>
      </c>
      <c r="F3621" s="156" t="s">
        <v>298</v>
      </c>
      <c r="G3621" s="156" t="s">
        <v>2219</v>
      </c>
      <c r="H3621" s="157" t="s">
        <v>210</v>
      </c>
    </row>
    <row r="3622" hidden="1">
      <c r="A3622" s="160" t="s">
        <v>231</v>
      </c>
      <c r="B3622" s="72"/>
      <c r="C3622" s="118" t="s">
        <v>232</v>
      </c>
      <c r="D3622" s="152" t="s">
        <v>4312</v>
      </c>
      <c r="E3622" s="152" t="s">
        <v>4419</v>
      </c>
      <c r="F3622" s="152" t="s">
        <v>308</v>
      </c>
      <c r="G3622" s="152" t="s">
        <v>2605</v>
      </c>
      <c r="H3622" s="153" t="s">
        <v>211</v>
      </c>
    </row>
    <row r="3623" hidden="1">
      <c r="A3623" s="158" t="s">
        <v>231</v>
      </c>
      <c r="B3623" s="159"/>
      <c r="C3623" s="155" t="s">
        <v>232</v>
      </c>
      <c r="D3623" s="156" t="s">
        <v>4312</v>
      </c>
      <c r="E3623" s="156" t="s">
        <v>4420</v>
      </c>
      <c r="F3623" s="156" t="s">
        <v>314</v>
      </c>
      <c r="G3623" s="156" t="s">
        <v>3057</v>
      </c>
      <c r="H3623" s="157" t="s">
        <v>212</v>
      </c>
    </row>
    <row r="3624" hidden="1">
      <c r="A3624" s="160" t="s">
        <v>231</v>
      </c>
      <c r="B3624" s="72"/>
      <c r="C3624" s="118" t="s">
        <v>232</v>
      </c>
      <c r="D3624" s="152" t="s">
        <v>4312</v>
      </c>
      <c r="E3624" s="152" t="s">
        <v>4421</v>
      </c>
      <c r="F3624" s="152" t="s">
        <v>357</v>
      </c>
      <c r="G3624" s="152" t="s">
        <v>1782</v>
      </c>
      <c r="H3624" s="153" t="s">
        <v>213</v>
      </c>
    </row>
    <row r="3625" hidden="1">
      <c r="A3625" s="158" t="s">
        <v>231</v>
      </c>
      <c r="B3625" s="159"/>
      <c r="C3625" s="155" t="s">
        <v>232</v>
      </c>
      <c r="D3625" s="156" t="s">
        <v>4312</v>
      </c>
      <c r="E3625" s="156" t="s">
        <v>4422</v>
      </c>
      <c r="F3625" s="156" t="s">
        <v>308</v>
      </c>
      <c r="G3625" s="156" t="s">
        <v>2605</v>
      </c>
      <c r="H3625" s="157" t="s">
        <v>214</v>
      </c>
    </row>
    <row r="3626" hidden="1">
      <c r="A3626" s="160" t="s">
        <v>231</v>
      </c>
      <c r="B3626" s="72"/>
      <c r="C3626" s="118" t="s">
        <v>232</v>
      </c>
      <c r="D3626" s="152" t="s">
        <v>4312</v>
      </c>
      <c r="E3626" s="152" t="s">
        <v>4423</v>
      </c>
      <c r="F3626" s="152" t="s">
        <v>534</v>
      </c>
      <c r="G3626" s="152" t="s">
        <v>2301</v>
      </c>
      <c r="H3626" s="153" t="s">
        <v>215</v>
      </c>
    </row>
    <row r="3627" hidden="1">
      <c r="A3627" s="158" t="s">
        <v>231</v>
      </c>
      <c r="B3627" s="159"/>
      <c r="C3627" s="155" t="s">
        <v>232</v>
      </c>
      <c r="D3627" s="156" t="s">
        <v>4312</v>
      </c>
      <c r="E3627" s="156" t="s">
        <v>4424</v>
      </c>
      <c r="F3627" s="156" t="s">
        <v>246</v>
      </c>
      <c r="G3627" s="156" t="s">
        <v>3278</v>
      </c>
      <c r="H3627" s="157" t="s">
        <v>216</v>
      </c>
    </row>
    <row r="3628" hidden="1">
      <c r="A3628" s="160" t="s">
        <v>233</v>
      </c>
      <c r="B3628" s="72"/>
      <c r="C3628" s="118" t="s">
        <v>232</v>
      </c>
      <c r="D3628" s="152" t="s">
        <v>4312</v>
      </c>
      <c r="E3628" s="152" t="s">
        <v>4425</v>
      </c>
      <c r="F3628" s="152" t="s">
        <v>450</v>
      </c>
      <c r="G3628" s="152" t="s">
        <v>1779</v>
      </c>
      <c r="H3628" s="153" t="s">
        <v>210</v>
      </c>
    </row>
    <row r="3629" hidden="1">
      <c r="A3629" s="158" t="s">
        <v>233</v>
      </c>
      <c r="B3629" s="159"/>
      <c r="C3629" s="155" t="s">
        <v>232</v>
      </c>
      <c r="D3629" s="156" t="s">
        <v>4312</v>
      </c>
      <c r="E3629" s="156" t="s">
        <v>4426</v>
      </c>
      <c r="F3629" s="156" t="s">
        <v>425</v>
      </c>
      <c r="G3629" s="156" t="s">
        <v>4283</v>
      </c>
      <c r="H3629" s="157" t="s">
        <v>211</v>
      </c>
    </row>
    <row r="3630" hidden="1">
      <c r="A3630" s="160" t="s">
        <v>233</v>
      </c>
      <c r="B3630" s="72"/>
      <c r="C3630" s="118" t="s">
        <v>232</v>
      </c>
      <c r="D3630" s="152" t="s">
        <v>4312</v>
      </c>
      <c r="E3630" s="152" t="s">
        <v>4427</v>
      </c>
      <c r="F3630" s="152" t="s">
        <v>425</v>
      </c>
      <c r="G3630" s="152" t="s">
        <v>4428</v>
      </c>
      <c r="H3630" s="153" t="s">
        <v>212</v>
      </c>
    </row>
    <row r="3631" hidden="1">
      <c r="A3631" s="158" t="s">
        <v>233</v>
      </c>
      <c r="B3631" s="159"/>
      <c r="C3631" s="155" t="s">
        <v>232</v>
      </c>
      <c r="D3631" s="156" t="s">
        <v>4312</v>
      </c>
      <c r="E3631" s="156" t="s">
        <v>4429</v>
      </c>
      <c r="F3631" s="156" t="s">
        <v>325</v>
      </c>
      <c r="G3631" s="156" t="s">
        <v>4293</v>
      </c>
      <c r="H3631" s="157" t="s">
        <v>213</v>
      </c>
    </row>
    <row r="3632" hidden="1">
      <c r="A3632" s="160" t="s">
        <v>233</v>
      </c>
      <c r="B3632" s="72"/>
      <c r="C3632" s="118" t="s">
        <v>232</v>
      </c>
      <c r="D3632" s="152" t="s">
        <v>4312</v>
      </c>
      <c r="E3632" s="152" t="s">
        <v>4430</v>
      </c>
      <c r="F3632" s="152" t="s">
        <v>339</v>
      </c>
      <c r="G3632" s="152" t="s">
        <v>3296</v>
      </c>
      <c r="H3632" s="153" t="s">
        <v>214</v>
      </c>
    </row>
    <row r="3633" hidden="1">
      <c r="A3633" s="158" t="s">
        <v>233</v>
      </c>
      <c r="B3633" s="159"/>
      <c r="C3633" s="155" t="s">
        <v>232</v>
      </c>
      <c r="D3633" s="156" t="s">
        <v>4312</v>
      </c>
      <c r="E3633" s="156" t="s">
        <v>4431</v>
      </c>
      <c r="F3633" s="156" t="s">
        <v>425</v>
      </c>
      <c r="G3633" s="156" t="s">
        <v>3532</v>
      </c>
      <c r="H3633" s="157" t="s">
        <v>215</v>
      </c>
    </row>
    <row r="3634" hidden="1">
      <c r="A3634" s="160" t="s">
        <v>233</v>
      </c>
      <c r="B3634" s="72"/>
      <c r="C3634" s="118" t="s">
        <v>232</v>
      </c>
      <c r="D3634" s="152" t="s">
        <v>4312</v>
      </c>
      <c r="E3634" s="152" t="s">
        <v>4432</v>
      </c>
      <c r="F3634" s="152" t="s">
        <v>325</v>
      </c>
      <c r="G3634" s="152" t="s">
        <v>2179</v>
      </c>
      <c r="H3634" s="153" t="s">
        <v>216</v>
      </c>
    </row>
    <row r="3635" hidden="1">
      <c r="A3635" s="158" t="s">
        <v>234</v>
      </c>
      <c r="B3635" s="159"/>
      <c r="C3635" s="155" t="s">
        <v>232</v>
      </c>
      <c r="D3635" s="156" t="s">
        <v>4312</v>
      </c>
      <c r="E3635" s="156" t="s">
        <v>4433</v>
      </c>
      <c r="F3635" s="156" t="s">
        <v>310</v>
      </c>
      <c r="G3635" s="156" t="s">
        <v>1779</v>
      </c>
      <c r="H3635" s="157" t="s">
        <v>210</v>
      </c>
    </row>
    <row r="3636" hidden="1">
      <c r="A3636" s="160" t="s">
        <v>234</v>
      </c>
      <c r="B3636" s="72"/>
      <c r="C3636" s="118" t="s">
        <v>232</v>
      </c>
      <c r="D3636" s="152" t="s">
        <v>4312</v>
      </c>
      <c r="E3636" s="152" t="s">
        <v>4434</v>
      </c>
      <c r="F3636" s="152" t="s">
        <v>427</v>
      </c>
      <c r="G3636" s="152" t="s">
        <v>2008</v>
      </c>
      <c r="H3636" s="153" t="s">
        <v>211</v>
      </c>
    </row>
    <row r="3637" hidden="1">
      <c r="A3637" s="158" t="s">
        <v>234</v>
      </c>
      <c r="B3637" s="159"/>
      <c r="C3637" s="155" t="s">
        <v>232</v>
      </c>
      <c r="D3637" s="156" t="s">
        <v>4312</v>
      </c>
      <c r="E3637" s="156" t="s">
        <v>4435</v>
      </c>
      <c r="F3637" s="156" t="s">
        <v>331</v>
      </c>
      <c r="G3637" s="156" t="s">
        <v>3905</v>
      </c>
      <c r="H3637" s="157" t="s">
        <v>212</v>
      </c>
    </row>
    <row r="3638" hidden="1">
      <c r="A3638" s="160" t="s">
        <v>234</v>
      </c>
      <c r="B3638" s="72"/>
      <c r="C3638" s="118" t="s">
        <v>232</v>
      </c>
      <c r="D3638" s="152" t="s">
        <v>4312</v>
      </c>
      <c r="E3638" s="152" t="s">
        <v>4436</v>
      </c>
      <c r="F3638" s="152" t="s">
        <v>325</v>
      </c>
      <c r="G3638" s="152" t="s">
        <v>3300</v>
      </c>
      <c r="H3638" s="153" t="s">
        <v>213</v>
      </c>
    </row>
    <row r="3639" hidden="1">
      <c r="A3639" s="158" t="s">
        <v>234</v>
      </c>
      <c r="B3639" s="159"/>
      <c r="C3639" s="155" t="s">
        <v>232</v>
      </c>
      <c r="D3639" s="156" t="s">
        <v>4312</v>
      </c>
      <c r="E3639" s="156" t="s">
        <v>4437</v>
      </c>
      <c r="F3639" s="156" t="s">
        <v>339</v>
      </c>
      <c r="G3639" s="156" t="s">
        <v>2352</v>
      </c>
      <c r="H3639" s="157" t="s">
        <v>214</v>
      </c>
    </row>
    <row r="3640" hidden="1">
      <c r="A3640" s="160" t="s">
        <v>234</v>
      </c>
      <c r="B3640" s="72"/>
      <c r="C3640" s="118" t="s">
        <v>232</v>
      </c>
      <c r="D3640" s="152" t="s">
        <v>4312</v>
      </c>
      <c r="E3640" s="152" t="s">
        <v>4438</v>
      </c>
      <c r="F3640" s="152" t="s">
        <v>290</v>
      </c>
      <c r="G3640" s="152" t="s">
        <v>4034</v>
      </c>
      <c r="H3640" s="153" t="s">
        <v>215</v>
      </c>
    </row>
    <row r="3641" hidden="1">
      <c r="A3641" s="158" t="s">
        <v>234</v>
      </c>
      <c r="B3641" s="159"/>
      <c r="C3641" s="155" t="s">
        <v>232</v>
      </c>
      <c r="D3641" s="156" t="s">
        <v>4312</v>
      </c>
      <c r="E3641" s="156" t="s">
        <v>4439</v>
      </c>
      <c r="F3641" s="156" t="s">
        <v>351</v>
      </c>
      <c r="G3641" s="156" t="s">
        <v>3968</v>
      </c>
      <c r="H3641" s="157" t="s">
        <v>216</v>
      </c>
    </row>
    <row r="3642" hidden="1">
      <c r="A3642" s="160" t="s">
        <v>235</v>
      </c>
      <c r="B3642" s="72"/>
      <c r="C3642" s="118" t="s">
        <v>236</v>
      </c>
      <c r="D3642" s="152" t="s">
        <v>4312</v>
      </c>
      <c r="E3642" s="152" t="s">
        <v>4440</v>
      </c>
      <c r="F3642" s="152" t="s">
        <v>336</v>
      </c>
      <c r="G3642" s="152" t="s">
        <v>4031</v>
      </c>
      <c r="H3642" s="153" t="s">
        <v>210</v>
      </c>
    </row>
    <row r="3643" hidden="1">
      <c r="A3643" s="158" t="s">
        <v>235</v>
      </c>
      <c r="B3643" s="159"/>
      <c r="C3643" s="155" t="s">
        <v>236</v>
      </c>
      <c r="D3643" s="156" t="s">
        <v>4312</v>
      </c>
      <c r="E3643" s="156" t="s">
        <v>4441</v>
      </c>
      <c r="F3643" s="156" t="s">
        <v>483</v>
      </c>
      <c r="G3643" s="156" t="s">
        <v>4442</v>
      </c>
      <c r="H3643" s="157" t="s">
        <v>211</v>
      </c>
    </row>
    <row r="3644" hidden="1">
      <c r="A3644" s="160" t="s">
        <v>235</v>
      </c>
      <c r="B3644" s="72"/>
      <c r="C3644" s="118" t="s">
        <v>236</v>
      </c>
      <c r="D3644" s="152" t="s">
        <v>4312</v>
      </c>
      <c r="E3644" s="152" t="s">
        <v>4443</v>
      </c>
      <c r="F3644" s="152" t="s">
        <v>450</v>
      </c>
      <c r="G3644" s="152" t="s">
        <v>3535</v>
      </c>
      <c r="H3644" s="153" t="s">
        <v>212</v>
      </c>
    </row>
    <row r="3645" hidden="1">
      <c r="A3645" s="158" t="s">
        <v>235</v>
      </c>
      <c r="B3645" s="159"/>
      <c r="C3645" s="155" t="s">
        <v>236</v>
      </c>
      <c r="D3645" s="156" t="s">
        <v>4312</v>
      </c>
      <c r="E3645" s="156" t="s">
        <v>4444</v>
      </c>
      <c r="F3645" s="156" t="s">
        <v>336</v>
      </c>
      <c r="G3645" s="156" t="s">
        <v>3537</v>
      </c>
      <c r="H3645" s="157" t="s">
        <v>213</v>
      </c>
    </row>
    <row r="3646" hidden="1">
      <c r="A3646" s="160" t="s">
        <v>235</v>
      </c>
      <c r="B3646" s="72"/>
      <c r="C3646" s="118" t="s">
        <v>236</v>
      </c>
      <c r="D3646" s="152" t="s">
        <v>4312</v>
      </c>
      <c r="E3646" s="152" t="s">
        <v>4445</v>
      </c>
      <c r="F3646" s="152" t="s">
        <v>325</v>
      </c>
      <c r="G3646" s="152" t="s">
        <v>4446</v>
      </c>
      <c r="H3646" s="153" t="s">
        <v>214</v>
      </c>
    </row>
    <row r="3647" hidden="1">
      <c r="A3647" s="158" t="s">
        <v>235</v>
      </c>
      <c r="B3647" s="159"/>
      <c r="C3647" s="155" t="s">
        <v>236</v>
      </c>
      <c r="D3647" s="156" t="s">
        <v>4312</v>
      </c>
      <c r="E3647" s="156" t="s">
        <v>4447</v>
      </c>
      <c r="F3647" s="156" t="s">
        <v>329</v>
      </c>
      <c r="G3647" s="156" t="s">
        <v>4428</v>
      </c>
      <c r="H3647" s="157" t="s">
        <v>215</v>
      </c>
    </row>
    <row r="3648" hidden="1">
      <c r="A3648" s="160" t="s">
        <v>235</v>
      </c>
      <c r="B3648" s="72"/>
      <c r="C3648" s="118" t="s">
        <v>236</v>
      </c>
      <c r="D3648" s="152" t="s">
        <v>4312</v>
      </c>
      <c r="E3648" s="152" t="s">
        <v>4448</v>
      </c>
      <c r="F3648" s="152" t="s">
        <v>325</v>
      </c>
      <c r="G3648" s="152" t="s">
        <v>3696</v>
      </c>
      <c r="H3648" s="153" t="s">
        <v>216</v>
      </c>
    </row>
    <row r="3649" hidden="1">
      <c r="A3649" s="158" t="s">
        <v>237</v>
      </c>
      <c r="B3649" s="159"/>
      <c r="C3649" s="155" t="s">
        <v>236</v>
      </c>
      <c r="D3649" s="156" t="s">
        <v>4312</v>
      </c>
      <c r="E3649" s="156" t="s">
        <v>4449</v>
      </c>
      <c r="F3649" s="156" t="s">
        <v>331</v>
      </c>
      <c r="G3649" s="156" t="s">
        <v>3400</v>
      </c>
      <c r="H3649" s="157" t="s">
        <v>210</v>
      </c>
    </row>
    <row r="3650" hidden="1">
      <c r="A3650" s="160" t="s">
        <v>237</v>
      </c>
      <c r="B3650" s="72"/>
      <c r="C3650" s="118" t="s">
        <v>236</v>
      </c>
      <c r="D3650" s="152" t="s">
        <v>4312</v>
      </c>
      <c r="E3650" s="152" t="s">
        <v>4450</v>
      </c>
      <c r="F3650" s="152" t="s">
        <v>290</v>
      </c>
      <c r="G3650" s="152" t="s">
        <v>3620</v>
      </c>
      <c r="H3650" s="153" t="s">
        <v>211</v>
      </c>
    </row>
    <row r="3651" hidden="1">
      <c r="A3651" s="158" t="s">
        <v>237</v>
      </c>
      <c r="B3651" s="159"/>
      <c r="C3651" s="155" t="s">
        <v>236</v>
      </c>
      <c r="D3651" s="156" t="s">
        <v>4312</v>
      </c>
      <c r="E3651" s="156" t="s">
        <v>4451</v>
      </c>
      <c r="F3651" s="156" t="s">
        <v>290</v>
      </c>
      <c r="G3651" s="156" t="s">
        <v>3205</v>
      </c>
      <c r="H3651" s="157" t="s">
        <v>212</v>
      </c>
    </row>
    <row r="3652" hidden="1">
      <c r="A3652" s="160" t="s">
        <v>237</v>
      </c>
      <c r="B3652" s="72"/>
      <c r="C3652" s="118" t="s">
        <v>236</v>
      </c>
      <c r="D3652" s="152" t="s">
        <v>4312</v>
      </c>
      <c r="E3652" s="152" t="s">
        <v>4452</v>
      </c>
      <c r="F3652" s="152" t="s">
        <v>325</v>
      </c>
      <c r="G3652" s="152" t="s">
        <v>3396</v>
      </c>
      <c r="H3652" s="153" t="s">
        <v>213</v>
      </c>
    </row>
    <row r="3653" hidden="1">
      <c r="A3653" s="158" t="s">
        <v>237</v>
      </c>
      <c r="B3653" s="159"/>
      <c r="C3653" s="155" t="s">
        <v>236</v>
      </c>
      <c r="D3653" s="156" t="s">
        <v>4312</v>
      </c>
      <c r="E3653" s="156" t="s">
        <v>4453</v>
      </c>
      <c r="F3653" s="156" t="s">
        <v>314</v>
      </c>
      <c r="G3653" s="156" t="s">
        <v>2224</v>
      </c>
      <c r="H3653" s="157" t="s">
        <v>214</v>
      </c>
    </row>
    <row r="3654" hidden="1">
      <c r="A3654" s="160" t="s">
        <v>237</v>
      </c>
      <c r="B3654" s="72"/>
      <c r="C3654" s="118" t="s">
        <v>236</v>
      </c>
      <c r="D3654" s="152" t="s">
        <v>4312</v>
      </c>
      <c r="E3654" s="152" t="s">
        <v>4454</v>
      </c>
      <c r="F3654" s="152" t="s">
        <v>285</v>
      </c>
      <c r="G3654" s="152" t="s">
        <v>4006</v>
      </c>
      <c r="H3654" s="153" t="s">
        <v>215</v>
      </c>
    </row>
    <row r="3655" hidden="1">
      <c r="A3655" s="158" t="s">
        <v>237</v>
      </c>
      <c r="B3655" s="159"/>
      <c r="C3655" s="155" t="s">
        <v>236</v>
      </c>
      <c r="D3655" s="156" t="s">
        <v>4312</v>
      </c>
      <c r="E3655" s="156" t="s">
        <v>4455</v>
      </c>
      <c r="F3655" s="156" t="s">
        <v>290</v>
      </c>
      <c r="G3655" s="156" t="s">
        <v>2814</v>
      </c>
      <c r="H3655" s="157" t="s">
        <v>216</v>
      </c>
    </row>
    <row r="3656" hidden="1">
      <c r="A3656" s="151" t="s">
        <v>204</v>
      </c>
      <c r="B3656" s="118" t="s">
        <v>205</v>
      </c>
      <c r="C3656" s="118" t="s">
        <v>206</v>
      </c>
      <c r="D3656" s="152" t="s">
        <v>4456</v>
      </c>
      <c r="E3656" s="152" t="s">
        <v>4457</v>
      </c>
      <c r="F3656" s="152" t="s">
        <v>534</v>
      </c>
      <c r="G3656" s="152" t="s">
        <v>4024</v>
      </c>
      <c r="H3656" s="153" t="s">
        <v>210</v>
      </c>
    </row>
    <row r="3657" hidden="1">
      <c r="A3657" s="154" t="s">
        <v>204</v>
      </c>
      <c r="B3657" s="155" t="s">
        <v>205</v>
      </c>
      <c r="C3657" s="155" t="s">
        <v>206</v>
      </c>
      <c r="D3657" s="156" t="s">
        <v>4456</v>
      </c>
      <c r="E3657" s="156" t="s">
        <v>4458</v>
      </c>
      <c r="F3657" s="156" t="s">
        <v>534</v>
      </c>
      <c r="G3657" s="156" t="s">
        <v>3294</v>
      </c>
      <c r="H3657" s="157" t="s">
        <v>211</v>
      </c>
    </row>
    <row r="3658" hidden="1">
      <c r="A3658" s="151" t="s">
        <v>204</v>
      </c>
      <c r="B3658" s="118" t="s">
        <v>205</v>
      </c>
      <c r="C3658" s="118" t="s">
        <v>206</v>
      </c>
      <c r="D3658" s="152" t="s">
        <v>4456</v>
      </c>
      <c r="E3658" s="152" t="s">
        <v>4459</v>
      </c>
      <c r="F3658" s="152" t="s">
        <v>331</v>
      </c>
      <c r="G3658" s="152" t="s">
        <v>4297</v>
      </c>
      <c r="H3658" s="153" t="s">
        <v>212</v>
      </c>
    </row>
    <row r="3659" hidden="1">
      <c r="A3659" s="154" t="s">
        <v>204</v>
      </c>
      <c r="B3659" s="155" t="s">
        <v>205</v>
      </c>
      <c r="C3659" s="155" t="s">
        <v>206</v>
      </c>
      <c r="D3659" s="156" t="s">
        <v>4456</v>
      </c>
      <c r="E3659" s="156" t="s">
        <v>4460</v>
      </c>
      <c r="F3659" s="156" t="s">
        <v>425</v>
      </c>
      <c r="G3659" s="156" t="s">
        <v>4287</v>
      </c>
      <c r="H3659" s="157" t="s">
        <v>213</v>
      </c>
    </row>
    <row r="3660" hidden="1">
      <c r="A3660" s="151" t="s">
        <v>204</v>
      </c>
      <c r="B3660" s="118" t="s">
        <v>205</v>
      </c>
      <c r="C3660" s="118" t="s">
        <v>206</v>
      </c>
      <c r="D3660" s="152" t="s">
        <v>4456</v>
      </c>
      <c r="E3660" s="152" t="s">
        <v>4461</v>
      </c>
      <c r="F3660" s="152" t="s">
        <v>290</v>
      </c>
      <c r="G3660" s="152" t="s">
        <v>4280</v>
      </c>
      <c r="H3660" s="153" t="s">
        <v>214</v>
      </c>
    </row>
    <row r="3661" hidden="1">
      <c r="A3661" s="154" t="s">
        <v>204</v>
      </c>
      <c r="B3661" s="155" t="s">
        <v>205</v>
      </c>
      <c r="C3661" s="155" t="s">
        <v>206</v>
      </c>
      <c r="D3661" s="156" t="s">
        <v>4456</v>
      </c>
      <c r="E3661" s="156" t="s">
        <v>4462</v>
      </c>
      <c r="F3661" s="156" t="s">
        <v>339</v>
      </c>
      <c r="G3661" s="156" t="s">
        <v>4209</v>
      </c>
      <c r="H3661" s="157" t="s">
        <v>215</v>
      </c>
    </row>
    <row r="3662" hidden="1">
      <c r="A3662" s="151" t="s">
        <v>204</v>
      </c>
      <c r="B3662" s="118" t="s">
        <v>205</v>
      </c>
      <c r="C3662" s="118" t="s">
        <v>206</v>
      </c>
      <c r="D3662" s="152" t="s">
        <v>4456</v>
      </c>
      <c r="E3662" s="152" t="s">
        <v>4463</v>
      </c>
      <c r="F3662" s="152" t="s">
        <v>310</v>
      </c>
      <c r="G3662" s="152" t="s">
        <v>4464</v>
      </c>
      <c r="H3662" s="153" t="s">
        <v>216</v>
      </c>
    </row>
    <row r="3663" hidden="1">
      <c r="A3663" s="154" t="s">
        <v>217</v>
      </c>
      <c r="B3663" s="155" t="s">
        <v>191</v>
      </c>
      <c r="C3663" s="155" t="s">
        <v>206</v>
      </c>
      <c r="D3663" s="156" t="s">
        <v>4456</v>
      </c>
      <c r="E3663" s="156" t="s">
        <v>4465</v>
      </c>
      <c r="F3663" s="156" t="s">
        <v>249</v>
      </c>
      <c r="G3663" s="156" t="s">
        <v>3438</v>
      </c>
      <c r="H3663" s="157" t="s">
        <v>210</v>
      </c>
    </row>
    <row r="3664" hidden="1">
      <c r="A3664" s="151" t="s">
        <v>217</v>
      </c>
      <c r="B3664" s="118" t="s">
        <v>191</v>
      </c>
      <c r="C3664" s="118" t="s">
        <v>206</v>
      </c>
      <c r="D3664" s="152" t="s">
        <v>4456</v>
      </c>
      <c r="E3664" s="152" t="s">
        <v>4466</v>
      </c>
      <c r="F3664" s="152" t="s">
        <v>285</v>
      </c>
      <c r="G3664" s="152" t="s">
        <v>4467</v>
      </c>
      <c r="H3664" s="153" t="s">
        <v>211</v>
      </c>
    </row>
    <row r="3665" hidden="1">
      <c r="A3665" s="154" t="s">
        <v>217</v>
      </c>
      <c r="B3665" s="155" t="s">
        <v>191</v>
      </c>
      <c r="C3665" s="155" t="s">
        <v>206</v>
      </c>
      <c r="D3665" s="156" t="s">
        <v>4456</v>
      </c>
      <c r="E3665" s="156" t="s">
        <v>4468</v>
      </c>
      <c r="F3665" s="156" t="s">
        <v>314</v>
      </c>
      <c r="G3665" s="156" t="s">
        <v>3440</v>
      </c>
      <c r="H3665" s="157" t="s">
        <v>212</v>
      </c>
    </row>
    <row r="3666" hidden="1">
      <c r="A3666" s="151" t="s">
        <v>217</v>
      </c>
      <c r="B3666" s="118" t="s">
        <v>191</v>
      </c>
      <c r="C3666" s="118" t="s">
        <v>206</v>
      </c>
      <c r="D3666" s="152" t="s">
        <v>4456</v>
      </c>
      <c r="E3666" s="152" t="s">
        <v>4469</v>
      </c>
      <c r="F3666" s="152" t="s">
        <v>285</v>
      </c>
      <c r="G3666" s="152" t="s">
        <v>3460</v>
      </c>
      <c r="H3666" s="153" t="s">
        <v>213</v>
      </c>
    </row>
    <row r="3667" hidden="1">
      <c r="A3667" s="154" t="s">
        <v>217</v>
      </c>
      <c r="B3667" s="155" t="s">
        <v>191</v>
      </c>
      <c r="C3667" s="155" t="s">
        <v>206</v>
      </c>
      <c r="D3667" s="156" t="s">
        <v>4456</v>
      </c>
      <c r="E3667" s="156" t="s">
        <v>4470</v>
      </c>
      <c r="F3667" s="156" t="s">
        <v>359</v>
      </c>
      <c r="G3667" s="156" t="s">
        <v>4371</v>
      </c>
      <c r="H3667" s="157" t="s">
        <v>214</v>
      </c>
    </row>
    <row r="3668" hidden="1">
      <c r="A3668" s="151" t="s">
        <v>217</v>
      </c>
      <c r="B3668" s="118" t="s">
        <v>191</v>
      </c>
      <c r="C3668" s="118" t="s">
        <v>206</v>
      </c>
      <c r="D3668" s="152" t="s">
        <v>4456</v>
      </c>
      <c r="E3668" s="152" t="s">
        <v>4471</v>
      </c>
      <c r="F3668" s="152" t="s">
        <v>310</v>
      </c>
      <c r="G3668" s="152" t="s">
        <v>4472</v>
      </c>
      <c r="H3668" s="153" t="s">
        <v>215</v>
      </c>
    </row>
    <row r="3669" hidden="1">
      <c r="A3669" s="154" t="s">
        <v>217</v>
      </c>
      <c r="B3669" s="155" t="s">
        <v>191</v>
      </c>
      <c r="C3669" s="155" t="s">
        <v>206</v>
      </c>
      <c r="D3669" s="156" t="s">
        <v>4456</v>
      </c>
      <c r="E3669" s="156" t="s">
        <v>4473</v>
      </c>
      <c r="F3669" s="156" t="s">
        <v>314</v>
      </c>
      <c r="G3669" s="156" t="s">
        <v>4054</v>
      </c>
      <c r="H3669" s="157" t="s">
        <v>216</v>
      </c>
    </row>
    <row r="3670" hidden="1">
      <c r="A3670" s="151" t="s">
        <v>218</v>
      </c>
      <c r="B3670" s="118" t="s">
        <v>219</v>
      </c>
      <c r="C3670" s="118" t="s">
        <v>206</v>
      </c>
      <c r="D3670" s="152" t="s">
        <v>4456</v>
      </c>
      <c r="E3670" s="152" t="s">
        <v>4474</v>
      </c>
      <c r="F3670" s="152" t="s">
        <v>323</v>
      </c>
      <c r="G3670" s="152" t="s">
        <v>2216</v>
      </c>
      <c r="H3670" s="153" t="s">
        <v>210</v>
      </c>
    </row>
    <row r="3671" hidden="1">
      <c r="A3671" s="154" t="s">
        <v>218</v>
      </c>
      <c r="B3671" s="155" t="s">
        <v>219</v>
      </c>
      <c r="C3671" s="155" t="s">
        <v>206</v>
      </c>
      <c r="D3671" s="156" t="s">
        <v>4456</v>
      </c>
      <c r="E3671" s="156" t="s">
        <v>4475</v>
      </c>
      <c r="F3671" s="156" t="s">
        <v>359</v>
      </c>
      <c r="G3671" s="156" t="s">
        <v>2779</v>
      </c>
      <c r="H3671" s="157" t="s">
        <v>211</v>
      </c>
    </row>
    <row r="3672" hidden="1">
      <c r="A3672" s="151" t="s">
        <v>218</v>
      </c>
      <c r="B3672" s="118" t="s">
        <v>219</v>
      </c>
      <c r="C3672" s="118" t="s">
        <v>206</v>
      </c>
      <c r="D3672" s="152" t="s">
        <v>4456</v>
      </c>
      <c r="E3672" s="152" t="s">
        <v>4476</v>
      </c>
      <c r="F3672" s="152" t="s">
        <v>240</v>
      </c>
      <c r="G3672" s="152" t="s">
        <v>2413</v>
      </c>
      <c r="H3672" s="153" t="s">
        <v>212</v>
      </c>
    </row>
    <row r="3673" hidden="1">
      <c r="A3673" s="154" t="s">
        <v>218</v>
      </c>
      <c r="B3673" s="155" t="s">
        <v>219</v>
      </c>
      <c r="C3673" s="155" t="s">
        <v>206</v>
      </c>
      <c r="D3673" s="156" t="s">
        <v>4456</v>
      </c>
      <c r="E3673" s="156" t="s">
        <v>4477</v>
      </c>
      <c r="F3673" s="156" t="s">
        <v>323</v>
      </c>
      <c r="G3673" s="156" t="s">
        <v>3587</v>
      </c>
      <c r="H3673" s="157" t="s">
        <v>213</v>
      </c>
    </row>
    <row r="3674" hidden="1">
      <c r="A3674" s="151" t="s">
        <v>218</v>
      </c>
      <c r="B3674" s="118" t="s">
        <v>219</v>
      </c>
      <c r="C3674" s="118" t="s">
        <v>206</v>
      </c>
      <c r="D3674" s="152" t="s">
        <v>4456</v>
      </c>
      <c r="E3674" s="152" t="s">
        <v>4478</v>
      </c>
      <c r="F3674" s="152" t="s">
        <v>285</v>
      </c>
      <c r="G3674" s="152" t="s">
        <v>2067</v>
      </c>
      <c r="H3674" s="153" t="s">
        <v>214</v>
      </c>
    </row>
    <row r="3675" hidden="1">
      <c r="A3675" s="154" t="s">
        <v>218</v>
      </c>
      <c r="B3675" s="155" t="s">
        <v>219</v>
      </c>
      <c r="C3675" s="155" t="s">
        <v>206</v>
      </c>
      <c r="D3675" s="156" t="s">
        <v>4456</v>
      </c>
      <c r="E3675" s="156" t="s">
        <v>4479</v>
      </c>
      <c r="F3675" s="156" t="s">
        <v>285</v>
      </c>
      <c r="G3675" s="156" t="s">
        <v>2385</v>
      </c>
      <c r="H3675" s="157" t="s">
        <v>215</v>
      </c>
    </row>
    <row r="3676" hidden="1">
      <c r="A3676" s="151" t="s">
        <v>218</v>
      </c>
      <c r="B3676" s="118" t="s">
        <v>219</v>
      </c>
      <c r="C3676" s="118" t="s">
        <v>206</v>
      </c>
      <c r="D3676" s="152" t="s">
        <v>4456</v>
      </c>
      <c r="E3676" s="152" t="s">
        <v>4480</v>
      </c>
      <c r="F3676" s="152" t="s">
        <v>285</v>
      </c>
      <c r="G3676" s="152" t="s">
        <v>1834</v>
      </c>
      <c r="H3676" s="153" t="s">
        <v>216</v>
      </c>
    </row>
    <row r="3677" hidden="1">
      <c r="A3677" s="154" t="s">
        <v>220</v>
      </c>
      <c r="B3677" s="155" t="s">
        <v>190</v>
      </c>
      <c r="C3677" s="155" t="s">
        <v>206</v>
      </c>
      <c r="D3677" s="156" t="s">
        <v>4456</v>
      </c>
      <c r="E3677" s="156" t="s">
        <v>4481</v>
      </c>
      <c r="F3677" s="156" t="s">
        <v>321</v>
      </c>
      <c r="G3677" s="156" t="s">
        <v>2824</v>
      </c>
      <c r="H3677" s="157" t="s">
        <v>210</v>
      </c>
    </row>
    <row r="3678" hidden="1">
      <c r="A3678" s="151" t="s">
        <v>220</v>
      </c>
      <c r="B3678" s="118" t="s">
        <v>190</v>
      </c>
      <c r="C3678" s="118" t="s">
        <v>206</v>
      </c>
      <c r="D3678" s="152" t="s">
        <v>4456</v>
      </c>
      <c r="E3678" s="152" t="s">
        <v>4482</v>
      </c>
      <c r="F3678" s="152" t="s">
        <v>354</v>
      </c>
      <c r="G3678" s="152" t="s">
        <v>2450</v>
      </c>
      <c r="H3678" s="153" t="s">
        <v>211</v>
      </c>
    </row>
    <row r="3679" hidden="1">
      <c r="A3679" s="154" t="s">
        <v>220</v>
      </c>
      <c r="B3679" s="155" t="s">
        <v>190</v>
      </c>
      <c r="C3679" s="155" t="s">
        <v>206</v>
      </c>
      <c r="D3679" s="156" t="s">
        <v>4456</v>
      </c>
      <c r="E3679" s="156" t="s">
        <v>4483</v>
      </c>
      <c r="F3679" s="156" t="s">
        <v>534</v>
      </c>
      <c r="G3679" s="156" t="s">
        <v>3525</v>
      </c>
      <c r="H3679" s="157" t="s">
        <v>212</v>
      </c>
    </row>
    <row r="3680" hidden="1">
      <c r="A3680" s="151" t="s">
        <v>220</v>
      </c>
      <c r="B3680" s="118" t="s">
        <v>190</v>
      </c>
      <c r="C3680" s="118" t="s">
        <v>206</v>
      </c>
      <c r="D3680" s="152" t="s">
        <v>4456</v>
      </c>
      <c r="E3680" s="152" t="s">
        <v>4484</v>
      </c>
      <c r="F3680" s="152" t="s">
        <v>483</v>
      </c>
      <c r="G3680" s="152" t="s">
        <v>2452</v>
      </c>
      <c r="H3680" s="153" t="s">
        <v>213</v>
      </c>
    </row>
    <row r="3681" hidden="1">
      <c r="A3681" s="154" t="s">
        <v>220</v>
      </c>
      <c r="B3681" s="155" t="s">
        <v>190</v>
      </c>
      <c r="C3681" s="155" t="s">
        <v>206</v>
      </c>
      <c r="D3681" s="156" t="s">
        <v>4456</v>
      </c>
      <c r="E3681" s="156" t="s">
        <v>4485</v>
      </c>
      <c r="F3681" s="156" t="s">
        <v>450</v>
      </c>
      <c r="G3681" s="156" t="s">
        <v>3003</v>
      </c>
      <c r="H3681" s="157" t="s">
        <v>214</v>
      </c>
    </row>
    <row r="3682" hidden="1">
      <c r="A3682" s="151" t="s">
        <v>220</v>
      </c>
      <c r="B3682" s="118" t="s">
        <v>190</v>
      </c>
      <c r="C3682" s="118" t="s">
        <v>206</v>
      </c>
      <c r="D3682" s="152" t="s">
        <v>4456</v>
      </c>
      <c r="E3682" s="152" t="s">
        <v>4486</v>
      </c>
      <c r="F3682" s="152" t="s">
        <v>329</v>
      </c>
      <c r="G3682" s="152" t="s">
        <v>3230</v>
      </c>
      <c r="H3682" s="153" t="s">
        <v>215</v>
      </c>
    </row>
    <row r="3683" hidden="1">
      <c r="A3683" s="154" t="s">
        <v>220</v>
      </c>
      <c r="B3683" s="155" t="s">
        <v>190</v>
      </c>
      <c r="C3683" s="155" t="s">
        <v>206</v>
      </c>
      <c r="D3683" s="156" t="s">
        <v>4456</v>
      </c>
      <c r="E3683" s="156" t="s">
        <v>4487</v>
      </c>
      <c r="F3683" s="156" t="s">
        <v>339</v>
      </c>
      <c r="G3683" s="156" t="s">
        <v>3059</v>
      </c>
      <c r="H3683" s="157" t="s">
        <v>216</v>
      </c>
    </row>
    <row r="3684" hidden="1">
      <c r="A3684" s="151" t="s">
        <v>221</v>
      </c>
      <c r="B3684" s="118" t="s">
        <v>189</v>
      </c>
      <c r="C3684" s="118" t="s">
        <v>206</v>
      </c>
      <c r="D3684" s="152" t="s">
        <v>4456</v>
      </c>
      <c r="E3684" s="152" t="s">
        <v>4488</v>
      </c>
      <c r="F3684" s="152" t="s">
        <v>427</v>
      </c>
      <c r="G3684" s="152" t="s">
        <v>3300</v>
      </c>
      <c r="H3684" s="153" t="s">
        <v>210</v>
      </c>
    </row>
    <row r="3685" hidden="1">
      <c r="A3685" s="154" t="s">
        <v>221</v>
      </c>
      <c r="B3685" s="155" t="s">
        <v>189</v>
      </c>
      <c r="C3685" s="155" t="s">
        <v>206</v>
      </c>
      <c r="D3685" s="156" t="s">
        <v>4456</v>
      </c>
      <c r="E3685" s="156" t="s">
        <v>4489</v>
      </c>
      <c r="F3685" s="156" t="s">
        <v>331</v>
      </c>
      <c r="G3685" s="156" t="s">
        <v>2822</v>
      </c>
      <c r="H3685" s="157" t="s">
        <v>211</v>
      </c>
    </row>
    <row r="3686" hidden="1">
      <c r="A3686" s="151" t="s">
        <v>221</v>
      </c>
      <c r="B3686" s="118" t="s">
        <v>189</v>
      </c>
      <c r="C3686" s="118" t="s">
        <v>206</v>
      </c>
      <c r="D3686" s="152" t="s">
        <v>4456</v>
      </c>
      <c r="E3686" s="152" t="s">
        <v>4490</v>
      </c>
      <c r="F3686" s="152" t="s">
        <v>577</v>
      </c>
      <c r="G3686" s="152" t="s">
        <v>4491</v>
      </c>
      <c r="H3686" s="153" t="s">
        <v>212</v>
      </c>
    </row>
    <row r="3687" hidden="1">
      <c r="A3687" s="154" t="s">
        <v>221</v>
      </c>
      <c r="B3687" s="155" t="s">
        <v>189</v>
      </c>
      <c r="C3687" s="155" t="s">
        <v>206</v>
      </c>
      <c r="D3687" s="156" t="s">
        <v>4456</v>
      </c>
      <c r="E3687" s="156" t="s">
        <v>4492</v>
      </c>
      <c r="F3687" s="156" t="s">
        <v>631</v>
      </c>
      <c r="G3687" s="156" t="s">
        <v>4493</v>
      </c>
      <c r="H3687" s="157" t="s">
        <v>213</v>
      </c>
    </row>
    <row r="3688" hidden="1">
      <c r="A3688" s="151" t="s">
        <v>221</v>
      </c>
      <c r="B3688" s="118" t="s">
        <v>189</v>
      </c>
      <c r="C3688" s="118" t="s">
        <v>206</v>
      </c>
      <c r="D3688" s="152" t="s">
        <v>4456</v>
      </c>
      <c r="E3688" s="152" t="s">
        <v>4494</v>
      </c>
      <c r="F3688" s="152" t="s">
        <v>285</v>
      </c>
      <c r="G3688" s="152" t="s">
        <v>2667</v>
      </c>
      <c r="H3688" s="153" t="s">
        <v>214</v>
      </c>
    </row>
    <row r="3689" hidden="1">
      <c r="A3689" s="154" t="s">
        <v>221</v>
      </c>
      <c r="B3689" s="155" t="s">
        <v>189</v>
      </c>
      <c r="C3689" s="155" t="s">
        <v>206</v>
      </c>
      <c r="D3689" s="156" t="s">
        <v>4456</v>
      </c>
      <c r="E3689" s="156" t="s">
        <v>4495</v>
      </c>
      <c r="F3689" s="156" t="s">
        <v>494</v>
      </c>
      <c r="G3689" s="156" t="s">
        <v>3872</v>
      </c>
      <c r="H3689" s="157" t="s">
        <v>215</v>
      </c>
    </row>
    <row r="3690" hidden="1">
      <c r="A3690" s="151" t="s">
        <v>221</v>
      </c>
      <c r="B3690" s="118" t="s">
        <v>189</v>
      </c>
      <c r="C3690" s="118" t="s">
        <v>206</v>
      </c>
      <c r="D3690" s="152" t="s">
        <v>4456</v>
      </c>
      <c r="E3690" s="152" t="s">
        <v>4496</v>
      </c>
      <c r="F3690" s="152" t="s">
        <v>483</v>
      </c>
      <c r="G3690" s="152" t="s">
        <v>3872</v>
      </c>
      <c r="H3690" s="153" t="s">
        <v>216</v>
      </c>
    </row>
    <row r="3691" hidden="1">
      <c r="A3691" s="154" t="s">
        <v>222</v>
      </c>
      <c r="B3691" s="155" t="s">
        <v>192</v>
      </c>
      <c r="C3691" s="155" t="s">
        <v>206</v>
      </c>
      <c r="D3691" s="156" t="s">
        <v>4456</v>
      </c>
      <c r="E3691" s="156" t="s">
        <v>4497</v>
      </c>
      <c r="F3691" s="156" t="s">
        <v>351</v>
      </c>
      <c r="G3691" s="156" t="s">
        <v>4283</v>
      </c>
      <c r="H3691" s="157" t="s">
        <v>210</v>
      </c>
    </row>
    <row r="3692" hidden="1">
      <c r="A3692" s="151" t="s">
        <v>222</v>
      </c>
      <c r="B3692" s="118" t="s">
        <v>192</v>
      </c>
      <c r="C3692" s="118" t="s">
        <v>206</v>
      </c>
      <c r="D3692" s="152" t="s">
        <v>4456</v>
      </c>
      <c r="E3692" s="152" t="s">
        <v>4498</v>
      </c>
      <c r="F3692" s="152" t="s">
        <v>310</v>
      </c>
      <c r="G3692" s="152" t="s">
        <v>4297</v>
      </c>
      <c r="H3692" s="153" t="s">
        <v>211</v>
      </c>
    </row>
    <row r="3693" hidden="1">
      <c r="A3693" s="154" t="s">
        <v>222</v>
      </c>
      <c r="B3693" s="155" t="s">
        <v>192</v>
      </c>
      <c r="C3693" s="155" t="s">
        <v>206</v>
      </c>
      <c r="D3693" s="156" t="s">
        <v>4456</v>
      </c>
      <c r="E3693" s="156" t="s">
        <v>4499</v>
      </c>
      <c r="F3693" s="156" t="s">
        <v>331</v>
      </c>
      <c r="G3693" s="156" t="s">
        <v>4029</v>
      </c>
      <c r="H3693" s="157" t="s">
        <v>212</v>
      </c>
    </row>
    <row r="3694" hidden="1">
      <c r="A3694" s="151" t="s">
        <v>222</v>
      </c>
      <c r="B3694" s="118" t="s">
        <v>192</v>
      </c>
      <c r="C3694" s="118" t="s">
        <v>206</v>
      </c>
      <c r="D3694" s="152" t="s">
        <v>4456</v>
      </c>
      <c r="E3694" s="152" t="s">
        <v>4500</v>
      </c>
      <c r="F3694" s="152" t="s">
        <v>351</v>
      </c>
      <c r="G3694" s="152" t="s">
        <v>3783</v>
      </c>
      <c r="H3694" s="153" t="s">
        <v>213</v>
      </c>
    </row>
    <row r="3695" hidden="1">
      <c r="A3695" s="154" t="s">
        <v>222</v>
      </c>
      <c r="B3695" s="155" t="s">
        <v>192</v>
      </c>
      <c r="C3695" s="155" t="s">
        <v>206</v>
      </c>
      <c r="D3695" s="156" t="s">
        <v>4456</v>
      </c>
      <c r="E3695" s="156" t="s">
        <v>4501</v>
      </c>
      <c r="F3695" s="156" t="s">
        <v>305</v>
      </c>
      <c r="G3695" s="156" t="s">
        <v>4502</v>
      </c>
      <c r="H3695" s="157" t="s">
        <v>214</v>
      </c>
    </row>
    <row r="3696" hidden="1">
      <c r="A3696" s="151" t="s">
        <v>222</v>
      </c>
      <c r="B3696" s="118" t="s">
        <v>192</v>
      </c>
      <c r="C3696" s="118" t="s">
        <v>206</v>
      </c>
      <c r="D3696" s="152" t="s">
        <v>4456</v>
      </c>
      <c r="E3696" s="152" t="s">
        <v>4503</v>
      </c>
      <c r="F3696" s="152" t="s">
        <v>425</v>
      </c>
      <c r="G3696" s="152" t="s">
        <v>1785</v>
      </c>
      <c r="H3696" s="153" t="s">
        <v>215</v>
      </c>
    </row>
    <row r="3697" hidden="1">
      <c r="A3697" s="154" t="s">
        <v>222</v>
      </c>
      <c r="B3697" s="155" t="s">
        <v>192</v>
      </c>
      <c r="C3697" s="155" t="s">
        <v>206</v>
      </c>
      <c r="D3697" s="156" t="s">
        <v>4456</v>
      </c>
      <c r="E3697" s="156" t="s">
        <v>4504</v>
      </c>
      <c r="F3697" s="156" t="s">
        <v>305</v>
      </c>
      <c r="G3697" s="156" t="s">
        <v>4026</v>
      </c>
      <c r="H3697" s="157" t="s">
        <v>216</v>
      </c>
    </row>
    <row r="3698" hidden="1">
      <c r="A3698" s="151" t="s">
        <v>223</v>
      </c>
      <c r="B3698" s="118" t="s">
        <v>144</v>
      </c>
      <c r="C3698" s="118" t="s">
        <v>206</v>
      </c>
      <c r="D3698" s="152" t="s">
        <v>4456</v>
      </c>
      <c r="E3698" s="152" t="s">
        <v>4505</v>
      </c>
      <c r="F3698" s="152" t="s">
        <v>1999</v>
      </c>
      <c r="G3698" s="152" t="s">
        <v>4031</v>
      </c>
      <c r="H3698" s="153" t="s">
        <v>210</v>
      </c>
    </row>
    <row r="3699" hidden="1">
      <c r="A3699" s="154" t="s">
        <v>223</v>
      </c>
      <c r="B3699" s="155" t="s">
        <v>144</v>
      </c>
      <c r="C3699" s="155" t="s">
        <v>206</v>
      </c>
      <c r="D3699" s="156" t="s">
        <v>4456</v>
      </c>
      <c r="E3699" s="156" t="s">
        <v>4506</v>
      </c>
      <c r="F3699" s="156" t="s">
        <v>677</v>
      </c>
      <c r="G3699" s="156" t="s">
        <v>4085</v>
      </c>
      <c r="H3699" s="157" t="s">
        <v>211</v>
      </c>
    </row>
    <row r="3700" hidden="1">
      <c r="A3700" s="151" t="s">
        <v>223</v>
      </c>
      <c r="B3700" s="118" t="s">
        <v>144</v>
      </c>
      <c r="C3700" s="118" t="s">
        <v>206</v>
      </c>
      <c r="D3700" s="152" t="s">
        <v>4456</v>
      </c>
      <c r="E3700" s="152" t="s">
        <v>4507</v>
      </c>
      <c r="F3700" s="152" t="s">
        <v>423</v>
      </c>
      <c r="G3700" s="152" t="s">
        <v>3699</v>
      </c>
      <c r="H3700" s="153" t="s">
        <v>212</v>
      </c>
    </row>
    <row r="3701" hidden="1">
      <c r="A3701" s="154" t="s">
        <v>223</v>
      </c>
      <c r="B3701" s="155" t="s">
        <v>144</v>
      </c>
      <c r="C3701" s="155" t="s">
        <v>206</v>
      </c>
      <c r="D3701" s="156" t="s">
        <v>4456</v>
      </c>
      <c r="E3701" s="156" t="s">
        <v>4508</v>
      </c>
      <c r="F3701" s="156" t="s">
        <v>450</v>
      </c>
      <c r="G3701" s="156" t="s">
        <v>4509</v>
      </c>
      <c r="H3701" s="157" t="s">
        <v>213</v>
      </c>
    </row>
    <row r="3702" hidden="1">
      <c r="A3702" s="151" t="s">
        <v>223</v>
      </c>
      <c r="B3702" s="118" t="s">
        <v>144</v>
      </c>
      <c r="C3702" s="118" t="s">
        <v>206</v>
      </c>
      <c r="D3702" s="152" t="s">
        <v>4456</v>
      </c>
      <c r="E3702" s="152" t="s">
        <v>4510</v>
      </c>
      <c r="F3702" s="152" t="s">
        <v>725</v>
      </c>
      <c r="G3702" s="152" t="s">
        <v>3460</v>
      </c>
      <c r="H3702" s="153" t="s">
        <v>214</v>
      </c>
    </row>
    <row r="3703" hidden="1">
      <c r="A3703" s="154" t="s">
        <v>223</v>
      </c>
      <c r="B3703" s="155" t="s">
        <v>144</v>
      </c>
      <c r="C3703" s="155" t="s">
        <v>206</v>
      </c>
      <c r="D3703" s="156" t="s">
        <v>4456</v>
      </c>
      <c r="E3703" s="156" t="s">
        <v>4511</v>
      </c>
      <c r="F3703" s="156" t="s">
        <v>725</v>
      </c>
      <c r="G3703" s="156" t="s">
        <v>4442</v>
      </c>
      <c r="H3703" s="157" t="s">
        <v>215</v>
      </c>
    </row>
    <row r="3704" hidden="1">
      <c r="A3704" s="151" t="s">
        <v>223</v>
      </c>
      <c r="B3704" s="118" t="s">
        <v>144</v>
      </c>
      <c r="C3704" s="118" t="s">
        <v>206</v>
      </c>
      <c r="D3704" s="152" t="s">
        <v>4456</v>
      </c>
      <c r="E3704" s="152" t="s">
        <v>4512</v>
      </c>
      <c r="F3704" s="152" t="s">
        <v>718</v>
      </c>
      <c r="G3704" s="152" t="s">
        <v>3298</v>
      </c>
      <c r="H3704" s="153" t="s">
        <v>216</v>
      </c>
    </row>
    <row r="3705" hidden="1">
      <c r="A3705" s="154" t="s">
        <v>224</v>
      </c>
      <c r="B3705" s="155" t="s">
        <v>170</v>
      </c>
      <c r="C3705" s="155" t="s">
        <v>206</v>
      </c>
      <c r="D3705" s="156" t="s">
        <v>4456</v>
      </c>
      <c r="E3705" s="156" t="s">
        <v>4513</v>
      </c>
      <c r="F3705" s="156" t="s">
        <v>290</v>
      </c>
      <c r="G3705" s="156" t="s">
        <v>3633</v>
      </c>
      <c r="H3705" s="157" t="s">
        <v>210</v>
      </c>
    </row>
    <row r="3706" hidden="1">
      <c r="A3706" s="151" t="s">
        <v>224</v>
      </c>
      <c r="B3706" s="118" t="s">
        <v>170</v>
      </c>
      <c r="C3706" s="118" t="s">
        <v>206</v>
      </c>
      <c r="D3706" s="152" t="s">
        <v>4456</v>
      </c>
      <c r="E3706" s="152" t="s">
        <v>4514</v>
      </c>
      <c r="F3706" s="152" t="s">
        <v>329</v>
      </c>
      <c r="G3706" s="152" t="s">
        <v>4515</v>
      </c>
      <c r="H3706" s="153" t="s">
        <v>211</v>
      </c>
    </row>
    <row r="3707" hidden="1">
      <c r="A3707" s="154" t="s">
        <v>224</v>
      </c>
      <c r="B3707" s="155" t="s">
        <v>170</v>
      </c>
      <c r="C3707" s="155" t="s">
        <v>206</v>
      </c>
      <c r="D3707" s="156" t="s">
        <v>4456</v>
      </c>
      <c r="E3707" s="156" t="s">
        <v>4516</v>
      </c>
      <c r="F3707" s="156" t="s">
        <v>534</v>
      </c>
      <c r="G3707" s="156" t="s">
        <v>4517</v>
      </c>
      <c r="H3707" s="157" t="s">
        <v>212</v>
      </c>
    </row>
    <row r="3708" hidden="1">
      <c r="A3708" s="151" t="s">
        <v>224</v>
      </c>
      <c r="B3708" s="118" t="s">
        <v>170</v>
      </c>
      <c r="C3708" s="118" t="s">
        <v>206</v>
      </c>
      <c r="D3708" s="152" t="s">
        <v>4456</v>
      </c>
      <c r="E3708" s="152" t="s">
        <v>4518</v>
      </c>
      <c r="F3708" s="152" t="s">
        <v>312</v>
      </c>
      <c r="G3708" s="152" t="s">
        <v>4467</v>
      </c>
      <c r="H3708" s="153" t="s">
        <v>213</v>
      </c>
    </row>
    <row r="3709" hidden="1">
      <c r="A3709" s="154" t="s">
        <v>224</v>
      </c>
      <c r="B3709" s="155" t="s">
        <v>170</v>
      </c>
      <c r="C3709" s="155" t="s">
        <v>206</v>
      </c>
      <c r="D3709" s="156" t="s">
        <v>4456</v>
      </c>
      <c r="E3709" s="156" t="s">
        <v>4519</v>
      </c>
      <c r="F3709" s="156" t="s">
        <v>450</v>
      </c>
      <c r="G3709" s="156" t="s">
        <v>3468</v>
      </c>
      <c r="H3709" s="157" t="s">
        <v>214</v>
      </c>
    </row>
    <row r="3710" hidden="1">
      <c r="A3710" s="151" t="s">
        <v>224</v>
      </c>
      <c r="B3710" s="118" t="s">
        <v>170</v>
      </c>
      <c r="C3710" s="118" t="s">
        <v>206</v>
      </c>
      <c r="D3710" s="152" t="s">
        <v>4456</v>
      </c>
      <c r="E3710" s="152" t="s">
        <v>4520</v>
      </c>
      <c r="F3710" s="152" t="s">
        <v>305</v>
      </c>
      <c r="G3710" s="152" t="s">
        <v>4521</v>
      </c>
      <c r="H3710" s="153" t="s">
        <v>215</v>
      </c>
    </row>
    <row r="3711" hidden="1">
      <c r="A3711" s="154" t="s">
        <v>224</v>
      </c>
      <c r="B3711" s="155" t="s">
        <v>170</v>
      </c>
      <c r="C3711" s="155" t="s">
        <v>206</v>
      </c>
      <c r="D3711" s="156" t="s">
        <v>4456</v>
      </c>
      <c r="E3711" s="156" t="s">
        <v>4522</v>
      </c>
      <c r="F3711" s="156" t="s">
        <v>427</v>
      </c>
      <c r="G3711" s="156" t="s">
        <v>3633</v>
      </c>
      <c r="H3711" s="157" t="s">
        <v>216</v>
      </c>
    </row>
    <row r="3712" hidden="1">
      <c r="A3712" s="151" t="s">
        <v>225</v>
      </c>
      <c r="B3712" s="118" t="s">
        <v>226</v>
      </c>
      <c r="C3712" s="118" t="s">
        <v>206</v>
      </c>
      <c r="D3712" s="152" t="s">
        <v>4456</v>
      </c>
      <c r="E3712" s="152" t="s">
        <v>4523</v>
      </c>
      <c r="F3712" s="152" t="s">
        <v>269</v>
      </c>
      <c r="G3712" s="152" t="s">
        <v>3294</v>
      </c>
      <c r="H3712" s="153" t="s">
        <v>210</v>
      </c>
    </row>
    <row r="3713" hidden="1">
      <c r="A3713" s="154" t="s">
        <v>225</v>
      </c>
      <c r="B3713" s="155" t="s">
        <v>226</v>
      </c>
      <c r="C3713" s="155" t="s">
        <v>206</v>
      </c>
      <c r="D3713" s="156" t="s">
        <v>4456</v>
      </c>
      <c r="E3713" s="156" t="s">
        <v>4524</v>
      </c>
      <c r="F3713" s="156" t="s">
        <v>314</v>
      </c>
      <c r="G3713" s="156" t="s">
        <v>2189</v>
      </c>
      <c r="H3713" s="157" t="s">
        <v>211</v>
      </c>
    </row>
    <row r="3714" hidden="1">
      <c r="A3714" s="151" t="s">
        <v>225</v>
      </c>
      <c r="B3714" s="118" t="s">
        <v>226</v>
      </c>
      <c r="C3714" s="118" t="s">
        <v>206</v>
      </c>
      <c r="D3714" s="152" t="s">
        <v>4456</v>
      </c>
      <c r="E3714" s="152" t="s">
        <v>4525</v>
      </c>
      <c r="F3714" s="152" t="s">
        <v>310</v>
      </c>
      <c r="G3714" s="152" t="s">
        <v>2822</v>
      </c>
      <c r="H3714" s="153" t="s">
        <v>212</v>
      </c>
    </row>
    <row r="3715" hidden="1">
      <c r="A3715" s="154" t="s">
        <v>225</v>
      </c>
      <c r="B3715" s="155" t="s">
        <v>226</v>
      </c>
      <c r="C3715" s="155" t="s">
        <v>206</v>
      </c>
      <c r="D3715" s="156" t="s">
        <v>4456</v>
      </c>
      <c r="E3715" s="156" t="s">
        <v>4526</v>
      </c>
      <c r="F3715" s="156" t="s">
        <v>331</v>
      </c>
      <c r="G3715" s="156" t="s">
        <v>2352</v>
      </c>
      <c r="H3715" s="157" t="s">
        <v>213</v>
      </c>
    </row>
    <row r="3716" hidden="1">
      <c r="A3716" s="151" t="s">
        <v>225</v>
      </c>
      <c r="B3716" s="118" t="s">
        <v>226</v>
      </c>
      <c r="C3716" s="118" t="s">
        <v>206</v>
      </c>
      <c r="D3716" s="152" t="s">
        <v>4456</v>
      </c>
      <c r="E3716" s="152" t="s">
        <v>4527</v>
      </c>
      <c r="F3716" s="152" t="s">
        <v>305</v>
      </c>
      <c r="G3716" s="152" t="s">
        <v>4219</v>
      </c>
      <c r="H3716" s="153" t="s">
        <v>214</v>
      </c>
    </row>
    <row r="3717" hidden="1">
      <c r="A3717" s="154" t="s">
        <v>225</v>
      </c>
      <c r="B3717" s="155" t="s">
        <v>226</v>
      </c>
      <c r="C3717" s="155" t="s">
        <v>206</v>
      </c>
      <c r="D3717" s="156" t="s">
        <v>4456</v>
      </c>
      <c r="E3717" s="156" t="s">
        <v>4528</v>
      </c>
      <c r="F3717" s="156" t="s">
        <v>290</v>
      </c>
      <c r="G3717" s="156" t="s">
        <v>2820</v>
      </c>
      <c r="H3717" s="157" t="s">
        <v>215</v>
      </c>
    </row>
    <row r="3718" hidden="1">
      <c r="A3718" s="151" t="s">
        <v>225</v>
      </c>
      <c r="B3718" s="118" t="s">
        <v>226</v>
      </c>
      <c r="C3718" s="118" t="s">
        <v>206</v>
      </c>
      <c r="D3718" s="152" t="s">
        <v>4456</v>
      </c>
      <c r="E3718" s="152" t="s">
        <v>4529</v>
      </c>
      <c r="F3718" s="152" t="s">
        <v>365</v>
      </c>
      <c r="G3718" s="152" t="s">
        <v>2008</v>
      </c>
      <c r="H3718" s="153" t="s">
        <v>216</v>
      </c>
    </row>
    <row r="3719" hidden="1">
      <c r="A3719" s="154" t="s">
        <v>227</v>
      </c>
      <c r="B3719" s="155" t="s">
        <v>195</v>
      </c>
      <c r="C3719" s="155" t="s">
        <v>206</v>
      </c>
      <c r="D3719" s="156" t="s">
        <v>4456</v>
      </c>
      <c r="E3719" s="156" t="s">
        <v>4530</v>
      </c>
      <c r="F3719" s="156" t="s">
        <v>308</v>
      </c>
      <c r="G3719" s="156" t="s">
        <v>2177</v>
      </c>
      <c r="H3719" s="157" t="s">
        <v>210</v>
      </c>
    </row>
    <row r="3720" hidden="1">
      <c r="A3720" s="151" t="s">
        <v>227</v>
      </c>
      <c r="B3720" s="118" t="s">
        <v>195</v>
      </c>
      <c r="C3720" s="118" t="s">
        <v>206</v>
      </c>
      <c r="D3720" s="152" t="s">
        <v>4456</v>
      </c>
      <c r="E3720" s="152" t="s">
        <v>4531</v>
      </c>
      <c r="F3720" s="152" t="s">
        <v>242</v>
      </c>
      <c r="G3720" s="152" t="s">
        <v>3475</v>
      </c>
      <c r="H3720" s="153" t="s">
        <v>211</v>
      </c>
    </row>
    <row r="3721" hidden="1">
      <c r="A3721" s="154" t="s">
        <v>227</v>
      </c>
      <c r="B3721" s="155" t="s">
        <v>195</v>
      </c>
      <c r="C3721" s="155" t="s">
        <v>206</v>
      </c>
      <c r="D3721" s="156" t="s">
        <v>4456</v>
      </c>
      <c r="E3721" s="156" t="s">
        <v>4532</v>
      </c>
      <c r="F3721" s="156" t="s">
        <v>240</v>
      </c>
      <c r="G3721" s="156" t="s">
        <v>2187</v>
      </c>
      <c r="H3721" s="157" t="s">
        <v>212</v>
      </c>
    </row>
    <row r="3722" hidden="1">
      <c r="A3722" s="151" t="s">
        <v>227</v>
      </c>
      <c r="B3722" s="118" t="s">
        <v>195</v>
      </c>
      <c r="C3722" s="118" t="s">
        <v>206</v>
      </c>
      <c r="D3722" s="152" t="s">
        <v>4456</v>
      </c>
      <c r="E3722" s="152" t="s">
        <v>4533</v>
      </c>
      <c r="F3722" s="152" t="s">
        <v>321</v>
      </c>
      <c r="G3722" s="152" t="s">
        <v>2177</v>
      </c>
      <c r="H3722" s="153" t="s">
        <v>213</v>
      </c>
    </row>
    <row r="3723" hidden="1">
      <c r="A3723" s="154" t="s">
        <v>227</v>
      </c>
      <c r="B3723" s="155" t="s">
        <v>195</v>
      </c>
      <c r="C3723" s="155" t="s">
        <v>206</v>
      </c>
      <c r="D3723" s="156" t="s">
        <v>4456</v>
      </c>
      <c r="E3723" s="156" t="s">
        <v>4534</v>
      </c>
      <c r="F3723" s="156" t="s">
        <v>427</v>
      </c>
      <c r="G3723" s="156" t="s">
        <v>4194</v>
      </c>
      <c r="H3723" s="157" t="s">
        <v>214</v>
      </c>
    </row>
    <row r="3724" hidden="1">
      <c r="A3724" s="151" t="s">
        <v>227</v>
      </c>
      <c r="B3724" s="118" t="s">
        <v>195</v>
      </c>
      <c r="C3724" s="118" t="s">
        <v>206</v>
      </c>
      <c r="D3724" s="152" t="s">
        <v>4456</v>
      </c>
      <c r="E3724" s="152" t="s">
        <v>4535</v>
      </c>
      <c r="F3724" s="152" t="s">
        <v>351</v>
      </c>
      <c r="G3724" s="152" t="s">
        <v>2519</v>
      </c>
      <c r="H3724" s="153" t="s">
        <v>215</v>
      </c>
    </row>
    <row r="3725" hidden="1">
      <c r="A3725" s="154" t="s">
        <v>227</v>
      </c>
      <c r="B3725" s="155" t="s">
        <v>195</v>
      </c>
      <c r="C3725" s="155" t="s">
        <v>206</v>
      </c>
      <c r="D3725" s="156" t="s">
        <v>4456</v>
      </c>
      <c r="E3725" s="156" t="s">
        <v>4536</v>
      </c>
      <c r="F3725" s="156" t="s">
        <v>314</v>
      </c>
      <c r="G3725" s="156" t="s">
        <v>2006</v>
      </c>
      <c r="H3725" s="157" t="s">
        <v>216</v>
      </c>
    </row>
    <row r="3726" hidden="1">
      <c r="A3726" s="151" t="s">
        <v>228</v>
      </c>
      <c r="B3726" s="118" t="s">
        <v>138</v>
      </c>
      <c r="C3726" s="118" t="s">
        <v>206</v>
      </c>
      <c r="D3726" s="152" t="s">
        <v>4456</v>
      </c>
      <c r="E3726" s="152" t="s">
        <v>4537</v>
      </c>
      <c r="F3726" s="152" t="s">
        <v>1532</v>
      </c>
      <c r="G3726" s="152" t="s">
        <v>2970</v>
      </c>
      <c r="H3726" s="153" t="s">
        <v>210</v>
      </c>
    </row>
    <row r="3727" hidden="1">
      <c r="A3727" s="154" t="s">
        <v>228</v>
      </c>
      <c r="B3727" s="155" t="s">
        <v>138</v>
      </c>
      <c r="C3727" s="155" t="s">
        <v>206</v>
      </c>
      <c r="D3727" s="156" t="s">
        <v>4456</v>
      </c>
      <c r="E3727" s="156" t="s">
        <v>4538</v>
      </c>
      <c r="F3727" s="156" t="s">
        <v>249</v>
      </c>
      <c r="G3727" s="156" t="s">
        <v>2311</v>
      </c>
      <c r="H3727" s="157" t="s">
        <v>211</v>
      </c>
    </row>
    <row r="3728" hidden="1">
      <c r="A3728" s="151" t="s">
        <v>228</v>
      </c>
      <c r="B3728" s="118" t="s">
        <v>138</v>
      </c>
      <c r="C3728" s="118" t="s">
        <v>206</v>
      </c>
      <c r="D3728" s="152" t="s">
        <v>4456</v>
      </c>
      <c r="E3728" s="152" t="s">
        <v>4539</v>
      </c>
      <c r="F3728" s="152" t="s">
        <v>269</v>
      </c>
      <c r="G3728" s="152" t="s">
        <v>3384</v>
      </c>
      <c r="H3728" s="153" t="s">
        <v>212</v>
      </c>
    </row>
    <row r="3729" hidden="1">
      <c r="A3729" s="154" t="s">
        <v>228</v>
      </c>
      <c r="B3729" s="155" t="s">
        <v>138</v>
      </c>
      <c r="C3729" s="155" t="s">
        <v>206</v>
      </c>
      <c r="D3729" s="156" t="s">
        <v>4456</v>
      </c>
      <c r="E3729" s="156" t="s">
        <v>4540</v>
      </c>
      <c r="F3729" s="156" t="s">
        <v>458</v>
      </c>
      <c r="G3729" s="156" t="s">
        <v>2109</v>
      </c>
      <c r="H3729" s="157" t="s">
        <v>213</v>
      </c>
    </row>
    <row r="3730" hidden="1">
      <c r="A3730" s="151" t="s">
        <v>228</v>
      </c>
      <c r="B3730" s="118" t="s">
        <v>138</v>
      </c>
      <c r="C3730" s="118" t="s">
        <v>206</v>
      </c>
      <c r="D3730" s="152" t="s">
        <v>4456</v>
      </c>
      <c r="E3730" s="152" t="s">
        <v>4541</v>
      </c>
      <c r="F3730" s="152" t="s">
        <v>501</v>
      </c>
      <c r="G3730" s="152" t="s">
        <v>2859</v>
      </c>
      <c r="H3730" s="153" t="s">
        <v>214</v>
      </c>
    </row>
    <row r="3731" hidden="1">
      <c r="A3731" s="154" t="s">
        <v>228</v>
      </c>
      <c r="B3731" s="155" t="s">
        <v>138</v>
      </c>
      <c r="C3731" s="155" t="s">
        <v>206</v>
      </c>
      <c r="D3731" s="156" t="s">
        <v>4456</v>
      </c>
      <c r="E3731" s="156" t="s">
        <v>4401</v>
      </c>
      <c r="F3731" s="156" t="s">
        <v>204</v>
      </c>
      <c r="G3731" s="156" t="s">
        <v>2467</v>
      </c>
      <c r="H3731" s="157" t="s">
        <v>215</v>
      </c>
    </row>
    <row r="3732" hidden="1">
      <c r="A3732" s="151" t="s">
        <v>228</v>
      </c>
      <c r="B3732" s="118" t="s">
        <v>138</v>
      </c>
      <c r="C3732" s="118" t="s">
        <v>206</v>
      </c>
      <c r="D3732" s="152" t="s">
        <v>4456</v>
      </c>
      <c r="E3732" s="152" t="s">
        <v>4542</v>
      </c>
      <c r="F3732" s="152" t="s">
        <v>351</v>
      </c>
      <c r="G3732" s="152" t="s">
        <v>2455</v>
      </c>
      <c r="H3732" s="153" t="s">
        <v>216</v>
      </c>
    </row>
    <row r="3733" hidden="1">
      <c r="A3733" s="154" t="s">
        <v>229</v>
      </c>
      <c r="B3733" s="155" t="s">
        <v>193</v>
      </c>
      <c r="C3733" s="155" t="s">
        <v>206</v>
      </c>
      <c r="D3733" s="156" t="s">
        <v>4456</v>
      </c>
      <c r="E3733" s="156" t="s">
        <v>4543</v>
      </c>
      <c r="F3733" s="156" t="s">
        <v>323</v>
      </c>
      <c r="G3733" s="156" t="s">
        <v>3142</v>
      </c>
      <c r="H3733" s="157" t="s">
        <v>210</v>
      </c>
    </row>
    <row r="3734" hidden="1">
      <c r="A3734" s="151" t="s">
        <v>229</v>
      </c>
      <c r="B3734" s="118" t="s">
        <v>193</v>
      </c>
      <c r="C3734" s="118" t="s">
        <v>206</v>
      </c>
      <c r="D3734" s="152" t="s">
        <v>4456</v>
      </c>
      <c r="E3734" s="152" t="s">
        <v>4544</v>
      </c>
      <c r="F3734" s="152" t="s">
        <v>285</v>
      </c>
      <c r="G3734" s="152" t="s">
        <v>2970</v>
      </c>
      <c r="H3734" s="153" t="s">
        <v>211</v>
      </c>
    </row>
    <row r="3735" hidden="1">
      <c r="A3735" s="154" t="s">
        <v>229</v>
      </c>
      <c r="B3735" s="155" t="s">
        <v>193</v>
      </c>
      <c r="C3735" s="155" t="s">
        <v>206</v>
      </c>
      <c r="D3735" s="156" t="s">
        <v>4456</v>
      </c>
      <c r="E3735" s="156" t="s">
        <v>4545</v>
      </c>
      <c r="F3735" s="156" t="s">
        <v>269</v>
      </c>
      <c r="G3735" s="156" t="s">
        <v>4206</v>
      </c>
      <c r="H3735" s="157" t="s">
        <v>212</v>
      </c>
    </row>
    <row r="3736" hidden="1">
      <c r="A3736" s="151" t="s">
        <v>229</v>
      </c>
      <c r="B3736" s="118" t="s">
        <v>193</v>
      </c>
      <c r="C3736" s="118" t="s">
        <v>206</v>
      </c>
      <c r="D3736" s="152" t="s">
        <v>4456</v>
      </c>
      <c r="E3736" s="152" t="s">
        <v>4546</v>
      </c>
      <c r="F3736" s="152" t="s">
        <v>427</v>
      </c>
      <c r="G3736" s="152" t="s">
        <v>1776</v>
      </c>
      <c r="H3736" s="153" t="s">
        <v>213</v>
      </c>
    </row>
    <row r="3737" hidden="1">
      <c r="A3737" s="154" t="s">
        <v>229</v>
      </c>
      <c r="B3737" s="155" t="s">
        <v>193</v>
      </c>
      <c r="C3737" s="155" t="s">
        <v>206</v>
      </c>
      <c r="D3737" s="156" t="s">
        <v>4456</v>
      </c>
      <c r="E3737" s="156" t="s">
        <v>4547</v>
      </c>
      <c r="F3737" s="156" t="s">
        <v>357</v>
      </c>
      <c r="G3737" s="156" t="s">
        <v>2816</v>
      </c>
      <c r="H3737" s="157" t="s">
        <v>214</v>
      </c>
    </row>
    <row r="3738" hidden="1">
      <c r="A3738" s="151" t="s">
        <v>229</v>
      </c>
      <c r="B3738" s="118" t="s">
        <v>193</v>
      </c>
      <c r="C3738" s="118" t="s">
        <v>206</v>
      </c>
      <c r="D3738" s="152" t="s">
        <v>4456</v>
      </c>
      <c r="E3738" s="152" t="s">
        <v>4548</v>
      </c>
      <c r="F3738" s="152" t="s">
        <v>308</v>
      </c>
      <c r="G3738" s="152" t="s">
        <v>2995</v>
      </c>
      <c r="H3738" s="153" t="s">
        <v>215</v>
      </c>
    </row>
    <row r="3739" hidden="1">
      <c r="A3739" s="154" t="s">
        <v>229</v>
      </c>
      <c r="B3739" s="155" t="s">
        <v>193</v>
      </c>
      <c r="C3739" s="155" t="s">
        <v>206</v>
      </c>
      <c r="D3739" s="156" t="s">
        <v>4456</v>
      </c>
      <c r="E3739" s="156" t="s">
        <v>4549</v>
      </c>
      <c r="F3739" s="156" t="s">
        <v>285</v>
      </c>
      <c r="G3739" s="156" t="s">
        <v>3707</v>
      </c>
      <c r="H3739" s="157" t="s">
        <v>216</v>
      </c>
    </row>
    <row r="3740" hidden="1">
      <c r="A3740" s="151" t="s">
        <v>230</v>
      </c>
      <c r="B3740" s="118" t="s">
        <v>194</v>
      </c>
      <c r="C3740" s="118" t="s">
        <v>206</v>
      </c>
      <c r="D3740" s="152" t="s">
        <v>4456</v>
      </c>
      <c r="E3740" s="152" t="s">
        <v>4550</v>
      </c>
      <c r="F3740" s="152" t="s">
        <v>321</v>
      </c>
      <c r="G3740" s="152" t="s">
        <v>3783</v>
      </c>
      <c r="H3740" s="153" t="s">
        <v>210</v>
      </c>
    </row>
    <row r="3741" hidden="1">
      <c r="A3741" s="154" t="s">
        <v>230</v>
      </c>
      <c r="B3741" s="155" t="s">
        <v>194</v>
      </c>
      <c r="C3741" s="155" t="s">
        <v>206</v>
      </c>
      <c r="D3741" s="156" t="s">
        <v>4456</v>
      </c>
      <c r="E3741" s="156" t="s">
        <v>4551</v>
      </c>
      <c r="F3741" s="156" t="s">
        <v>290</v>
      </c>
      <c r="G3741" s="156" t="s">
        <v>4290</v>
      </c>
      <c r="H3741" s="157" t="s">
        <v>211</v>
      </c>
    </row>
    <row r="3742" hidden="1">
      <c r="A3742" s="151" t="s">
        <v>230</v>
      </c>
      <c r="B3742" s="118" t="s">
        <v>194</v>
      </c>
      <c r="C3742" s="118" t="s">
        <v>206</v>
      </c>
      <c r="D3742" s="152" t="s">
        <v>4456</v>
      </c>
      <c r="E3742" s="152" t="s">
        <v>4552</v>
      </c>
      <c r="F3742" s="152" t="s">
        <v>331</v>
      </c>
      <c r="G3742" s="152" t="s">
        <v>3460</v>
      </c>
      <c r="H3742" s="153" t="s">
        <v>212</v>
      </c>
    </row>
    <row r="3743" hidden="1">
      <c r="A3743" s="154" t="s">
        <v>230</v>
      </c>
      <c r="B3743" s="155" t="s">
        <v>194</v>
      </c>
      <c r="C3743" s="155" t="s">
        <v>206</v>
      </c>
      <c r="D3743" s="156" t="s">
        <v>4456</v>
      </c>
      <c r="E3743" s="156" t="s">
        <v>4553</v>
      </c>
      <c r="F3743" s="156" t="s">
        <v>290</v>
      </c>
      <c r="G3743" s="156" t="s">
        <v>3694</v>
      </c>
      <c r="H3743" s="157" t="s">
        <v>213</v>
      </c>
    </row>
    <row r="3744" hidden="1">
      <c r="A3744" s="151" t="s">
        <v>230</v>
      </c>
      <c r="B3744" s="118" t="s">
        <v>194</v>
      </c>
      <c r="C3744" s="118" t="s">
        <v>206</v>
      </c>
      <c r="D3744" s="152" t="s">
        <v>4456</v>
      </c>
      <c r="E3744" s="152" t="s">
        <v>4554</v>
      </c>
      <c r="F3744" s="152" t="s">
        <v>336</v>
      </c>
      <c r="G3744" s="152" t="s">
        <v>3932</v>
      </c>
      <c r="H3744" s="153" t="s">
        <v>214</v>
      </c>
    </row>
    <row r="3745" hidden="1">
      <c r="A3745" s="154" t="s">
        <v>230</v>
      </c>
      <c r="B3745" s="155" t="s">
        <v>194</v>
      </c>
      <c r="C3745" s="155" t="s">
        <v>206</v>
      </c>
      <c r="D3745" s="156" t="s">
        <v>4456</v>
      </c>
      <c r="E3745" s="156" t="s">
        <v>4555</v>
      </c>
      <c r="F3745" s="156" t="s">
        <v>450</v>
      </c>
      <c r="G3745" s="156" t="s">
        <v>4374</v>
      </c>
      <c r="H3745" s="157" t="s">
        <v>215</v>
      </c>
    </row>
    <row r="3746" hidden="1">
      <c r="A3746" s="151" t="s">
        <v>230</v>
      </c>
      <c r="B3746" s="118" t="s">
        <v>194</v>
      </c>
      <c r="C3746" s="118" t="s">
        <v>206</v>
      </c>
      <c r="D3746" s="152" t="s">
        <v>4456</v>
      </c>
      <c r="E3746" s="152" t="s">
        <v>4556</v>
      </c>
      <c r="F3746" s="152" t="s">
        <v>331</v>
      </c>
      <c r="G3746" s="152" t="s">
        <v>4367</v>
      </c>
      <c r="H3746" s="153" t="s">
        <v>216</v>
      </c>
    </row>
    <row r="3747" hidden="1">
      <c r="A3747" s="158" t="s">
        <v>231</v>
      </c>
      <c r="B3747" s="159"/>
      <c r="C3747" s="155" t="s">
        <v>232</v>
      </c>
      <c r="D3747" s="156" t="s">
        <v>4456</v>
      </c>
      <c r="E3747" s="156" t="s">
        <v>4557</v>
      </c>
      <c r="F3747" s="156" t="s">
        <v>458</v>
      </c>
      <c r="G3747" s="156" t="s">
        <v>3389</v>
      </c>
      <c r="H3747" s="157" t="s">
        <v>210</v>
      </c>
    </row>
    <row r="3748" hidden="1">
      <c r="A3748" s="160" t="s">
        <v>231</v>
      </c>
      <c r="B3748" s="72"/>
      <c r="C3748" s="118" t="s">
        <v>232</v>
      </c>
      <c r="D3748" s="152" t="s">
        <v>4456</v>
      </c>
      <c r="E3748" s="152" t="s">
        <v>4558</v>
      </c>
      <c r="F3748" s="152" t="s">
        <v>262</v>
      </c>
      <c r="G3748" s="152" t="s">
        <v>2624</v>
      </c>
      <c r="H3748" s="153" t="s">
        <v>211</v>
      </c>
    </row>
    <row r="3749" hidden="1">
      <c r="A3749" s="158" t="s">
        <v>231</v>
      </c>
      <c r="B3749" s="159"/>
      <c r="C3749" s="155" t="s">
        <v>232</v>
      </c>
      <c r="D3749" s="156" t="s">
        <v>4456</v>
      </c>
      <c r="E3749" s="156" t="s">
        <v>4559</v>
      </c>
      <c r="F3749" s="156" t="s">
        <v>492</v>
      </c>
      <c r="G3749" s="156" t="s">
        <v>2760</v>
      </c>
      <c r="H3749" s="157" t="s">
        <v>212</v>
      </c>
    </row>
    <row r="3750" hidden="1">
      <c r="A3750" s="160" t="s">
        <v>231</v>
      </c>
      <c r="B3750" s="72"/>
      <c r="C3750" s="118" t="s">
        <v>232</v>
      </c>
      <c r="D3750" s="152" t="s">
        <v>4456</v>
      </c>
      <c r="E3750" s="152" t="s">
        <v>4560</v>
      </c>
      <c r="F3750" s="152" t="s">
        <v>314</v>
      </c>
      <c r="G3750" s="152" t="s">
        <v>3482</v>
      </c>
      <c r="H3750" s="153" t="s">
        <v>213</v>
      </c>
    </row>
    <row r="3751" hidden="1">
      <c r="A3751" s="158" t="s">
        <v>231</v>
      </c>
      <c r="B3751" s="159"/>
      <c r="C3751" s="155" t="s">
        <v>232</v>
      </c>
      <c r="D3751" s="156" t="s">
        <v>4456</v>
      </c>
      <c r="E3751" s="156" t="s">
        <v>4561</v>
      </c>
      <c r="F3751" s="156" t="s">
        <v>492</v>
      </c>
      <c r="G3751" s="156" t="s">
        <v>3237</v>
      </c>
      <c r="H3751" s="157" t="s">
        <v>214</v>
      </c>
    </row>
    <row r="3752" hidden="1">
      <c r="A3752" s="160" t="s">
        <v>231</v>
      </c>
      <c r="B3752" s="72"/>
      <c r="C3752" s="118" t="s">
        <v>232</v>
      </c>
      <c r="D3752" s="152" t="s">
        <v>4456</v>
      </c>
      <c r="E3752" s="152" t="s">
        <v>4562</v>
      </c>
      <c r="F3752" s="152" t="s">
        <v>290</v>
      </c>
      <c r="G3752" s="152" t="s">
        <v>1862</v>
      </c>
      <c r="H3752" s="153" t="s">
        <v>215</v>
      </c>
    </row>
    <row r="3753" hidden="1">
      <c r="A3753" s="158" t="s">
        <v>231</v>
      </c>
      <c r="B3753" s="159"/>
      <c r="C3753" s="155" t="s">
        <v>232</v>
      </c>
      <c r="D3753" s="156" t="s">
        <v>4456</v>
      </c>
      <c r="E3753" s="156" t="s">
        <v>4563</v>
      </c>
      <c r="F3753" s="156" t="s">
        <v>492</v>
      </c>
      <c r="G3753" s="156" t="s">
        <v>2457</v>
      </c>
      <c r="H3753" s="157" t="s">
        <v>216</v>
      </c>
    </row>
    <row r="3754" hidden="1">
      <c r="A3754" s="160" t="s">
        <v>233</v>
      </c>
      <c r="B3754" s="72"/>
      <c r="C3754" s="118" t="s">
        <v>232</v>
      </c>
      <c r="D3754" s="152" t="s">
        <v>4456</v>
      </c>
      <c r="E3754" s="152" t="s">
        <v>4564</v>
      </c>
      <c r="F3754" s="152" t="s">
        <v>351</v>
      </c>
      <c r="G3754" s="152" t="s">
        <v>3939</v>
      </c>
      <c r="H3754" s="153" t="s">
        <v>210</v>
      </c>
    </row>
    <row r="3755" hidden="1">
      <c r="A3755" s="158" t="s">
        <v>233</v>
      </c>
      <c r="B3755" s="159"/>
      <c r="C3755" s="155" t="s">
        <v>232</v>
      </c>
      <c r="D3755" s="156" t="s">
        <v>4456</v>
      </c>
      <c r="E3755" s="156" t="s">
        <v>4565</v>
      </c>
      <c r="F3755" s="156" t="s">
        <v>305</v>
      </c>
      <c r="G3755" s="156" t="s">
        <v>3783</v>
      </c>
      <c r="H3755" s="157" t="s">
        <v>211</v>
      </c>
    </row>
    <row r="3756" hidden="1">
      <c r="A3756" s="160" t="s">
        <v>233</v>
      </c>
      <c r="B3756" s="72"/>
      <c r="C3756" s="118" t="s">
        <v>232</v>
      </c>
      <c r="D3756" s="152" t="s">
        <v>4456</v>
      </c>
      <c r="E3756" s="152" t="s">
        <v>4566</v>
      </c>
      <c r="F3756" s="152" t="s">
        <v>331</v>
      </c>
      <c r="G3756" s="152" t="s">
        <v>4029</v>
      </c>
      <c r="H3756" s="153" t="s">
        <v>212</v>
      </c>
    </row>
    <row r="3757" hidden="1">
      <c r="A3757" s="158" t="s">
        <v>233</v>
      </c>
      <c r="B3757" s="159"/>
      <c r="C3757" s="155" t="s">
        <v>232</v>
      </c>
      <c r="D3757" s="156" t="s">
        <v>4456</v>
      </c>
      <c r="E3757" s="156" t="s">
        <v>4567</v>
      </c>
      <c r="F3757" s="156" t="s">
        <v>290</v>
      </c>
      <c r="G3757" s="156" t="s">
        <v>3296</v>
      </c>
      <c r="H3757" s="157" t="s">
        <v>213</v>
      </c>
    </row>
    <row r="3758" hidden="1">
      <c r="A3758" s="160" t="s">
        <v>233</v>
      </c>
      <c r="B3758" s="72"/>
      <c r="C3758" s="118" t="s">
        <v>232</v>
      </c>
      <c r="D3758" s="152" t="s">
        <v>4456</v>
      </c>
      <c r="E3758" s="152" t="s">
        <v>4568</v>
      </c>
      <c r="F3758" s="152" t="s">
        <v>310</v>
      </c>
      <c r="G3758" s="152" t="s">
        <v>3535</v>
      </c>
      <c r="H3758" s="153" t="s">
        <v>214</v>
      </c>
    </row>
    <row r="3759" hidden="1">
      <c r="A3759" s="158" t="s">
        <v>233</v>
      </c>
      <c r="B3759" s="159"/>
      <c r="C3759" s="155" t="s">
        <v>232</v>
      </c>
      <c r="D3759" s="156" t="s">
        <v>4456</v>
      </c>
      <c r="E3759" s="156" t="s">
        <v>4569</v>
      </c>
      <c r="F3759" s="156" t="s">
        <v>305</v>
      </c>
      <c r="G3759" s="156" t="s">
        <v>3786</v>
      </c>
      <c r="H3759" s="157" t="s">
        <v>215</v>
      </c>
    </row>
    <row r="3760" hidden="1">
      <c r="A3760" s="160" t="s">
        <v>233</v>
      </c>
      <c r="B3760" s="72"/>
      <c r="C3760" s="118" t="s">
        <v>232</v>
      </c>
      <c r="D3760" s="152" t="s">
        <v>4456</v>
      </c>
      <c r="E3760" s="152" t="s">
        <v>4570</v>
      </c>
      <c r="F3760" s="152" t="s">
        <v>305</v>
      </c>
      <c r="G3760" s="152" t="s">
        <v>3111</v>
      </c>
      <c r="H3760" s="153" t="s">
        <v>216</v>
      </c>
    </row>
    <row r="3761" hidden="1">
      <c r="A3761" s="158" t="s">
        <v>234</v>
      </c>
      <c r="B3761" s="159"/>
      <c r="C3761" s="155" t="s">
        <v>232</v>
      </c>
      <c r="D3761" s="156" t="s">
        <v>4456</v>
      </c>
      <c r="E3761" s="156" t="s">
        <v>4571</v>
      </c>
      <c r="F3761" s="156" t="s">
        <v>339</v>
      </c>
      <c r="G3761" s="156" t="s">
        <v>4502</v>
      </c>
      <c r="H3761" s="157" t="s">
        <v>210</v>
      </c>
    </row>
    <row r="3762" hidden="1">
      <c r="A3762" s="160" t="s">
        <v>234</v>
      </c>
      <c r="B3762" s="72"/>
      <c r="C3762" s="118" t="s">
        <v>232</v>
      </c>
      <c r="D3762" s="152" t="s">
        <v>4456</v>
      </c>
      <c r="E3762" s="152" t="s">
        <v>4572</v>
      </c>
      <c r="F3762" s="152" t="s">
        <v>339</v>
      </c>
      <c r="G3762" s="152" t="s">
        <v>3783</v>
      </c>
      <c r="H3762" s="153" t="s">
        <v>211</v>
      </c>
    </row>
    <row r="3763" hidden="1">
      <c r="A3763" s="158" t="s">
        <v>234</v>
      </c>
      <c r="B3763" s="159"/>
      <c r="C3763" s="155" t="s">
        <v>232</v>
      </c>
      <c r="D3763" s="156" t="s">
        <v>4456</v>
      </c>
      <c r="E3763" s="156" t="s">
        <v>4573</v>
      </c>
      <c r="F3763" s="156" t="s">
        <v>325</v>
      </c>
      <c r="G3763" s="156" t="s">
        <v>2003</v>
      </c>
      <c r="H3763" s="157" t="s">
        <v>212</v>
      </c>
    </row>
    <row r="3764" hidden="1">
      <c r="A3764" s="160" t="s">
        <v>234</v>
      </c>
      <c r="B3764" s="72"/>
      <c r="C3764" s="118" t="s">
        <v>232</v>
      </c>
      <c r="D3764" s="152" t="s">
        <v>4456</v>
      </c>
      <c r="E3764" s="152" t="s">
        <v>4574</v>
      </c>
      <c r="F3764" s="152" t="s">
        <v>2215</v>
      </c>
      <c r="G3764" s="152" t="s">
        <v>4085</v>
      </c>
      <c r="H3764" s="153" t="s">
        <v>213</v>
      </c>
    </row>
    <row r="3765" hidden="1">
      <c r="A3765" s="158" t="s">
        <v>234</v>
      </c>
      <c r="B3765" s="159"/>
      <c r="C3765" s="155" t="s">
        <v>232</v>
      </c>
      <c r="D3765" s="156" t="s">
        <v>4456</v>
      </c>
      <c r="E3765" s="156" t="s">
        <v>4575</v>
      </c>
      <c r="F3765" s="156" t="s">
        <v>310</v>
      </c>
      <c r="G3765" s="156" t="s">
        <v>3532</v>
      </c>
      <c r="H3765" s="157" t="s">
        <v>214</v>
      </c>
    </row>
    <row r="3766" hidden="1">
      <c r="A3766" s="160" t="s">
        <v>234</v>
      </c>
      <c r="B3766" s="72"/>
      <c r="C3766" s="118" t="s">
        <v>232</v>
      </c>
      <c r="D3766" s="152" t="s">
        <v>4456</v>
      </c>
      <c r="E3766" s="152" t="s">
        <v>4576</v>
      </c>
      <c r="F3766" s="152" t="s">
        <v>354</v>
      </c>
      <c r="G3766" s="152" t="s">
        <v>3298</v>
      </c>
      <c r="H3766" s="153" t="s">
        <v>215</v>
      </c>
    </row>
    <row r="3767" hidden="1">
      <c r="A3767" s="158" t="s">
        <v>234</v>
      </c>
      <c r="B3767" s="159"/>
      <c r="C3767" s="155" t="s">
        <v>232</v>
      </c>
      <c r="D3767" s="156" t="s">
        <v>4456</v>
      </c>
      <c r="E3767" s="156" t="s">
        <v>4577</v>
      </c>
      <c r="F3767" s="156" t="s">
        <v>450</v>
      </c>
      <c r="G3767" s="156" t="s">
        <v>3543</v>
      </c>
      <c r="H3767" s="157" t="s">
        <v>216</v>
      </c>
    </row>
    <row r="3768" hidden="1">
      <c r="A3768" s="160" t="s">
        <v>235</v>
      </c>
      <c r="B3768" s="72"/>
      <c r="C3768" s="118" t="s">
        <v>236</v>
      </c>
      <c r="D3768" s="152" t="s">
        <v>4456</v>
      </c>
      <c r="E3768" s="152" t="s">
        <v>4578</v>
      </c>
      <c r="F3768" s="152" t="s">
        <v>310</v>
      </c>
      <c r="G3768" s="152" t="s">
        <v>4376</v>
      </c>
      <c r="H3768" s="153" t="s">
        <v>210</v>
      </c>
    </row>
    <row r="3769" hidden="1">
      <c r="A3769" s="158" t="s">
        <v>235</v>
      </c>
      <c r="B3769" s="159"/>
      <c r="C3769" s="155" t="s">
        <v>236</v>
      </c>
      <c r="D3769" s="156" t="s">
        <v>4456</v>
      </c>
      <c r="E3769" s="156" t="s">
        <v>4579</v>
      </c>
      <c r="F3769" s="156" t="s">
        <v>305</v>
      </c>
      <c r="G3769" s="156" t="s">
        <v>4367</v>
      </c>
      <c r="H3769" s="157" t="s">
        <v>211</v>
      </c>
    </row>
    <row r="3770" hidden="1">
      <c r="A3770" s="160" t="s">
        <v>235</v>
      </c>
      <c r="B3770" s="72"/>
      <c r="C3770" s="118" t="s">
        <v>236</v>
      </c>
      <c r="D3770" s="152" t="s">
        <v>4456</v>
      </c>
      <c r="E3770" s="152" t="s">
        <v>4580</v>
      </c>
      <c r="F3770" s="152" t="s">
        <v>308</v>
      </c>
      <c r="G3770" s="152" t="s">
        <v>3267</v>
      </c>
      <c r="H3770" s="153" t="s">
        <v>212</v>
      </c>
    </row>
    <row r="3771" hidden="1">
      <c r="A3771" s="158" t="s">
        <v>235</v>
      </c>
      <c r="B3771" s="159"/>
      <c r="C3771" s="155" t="s">
        <v>236</v>
      </c>
      <c r="D3771" s="156" t="s">
        <v>4456</v>
      </c>
      <c r="E3771" s="156" t="s">
        <v>4581</v>
      </c>
      <c r="F3771" s="156" t="s">
        <v>534</v>
      </c>
      <c r="G3771" s="156" t="s">
        <v>4582</v>
      </c>
      <c r="H3771" s="157" t="s">
        <v>213</v>
      </c>
    </row>
    <row r="3772" hidden="1">
      <c r="A3772" s="160" t="s">
        <v>235</v>
      </c>
      <c r="B3772" s="72"/>
      <c r="C3772" s="118" t="s">
        <v>236</v>
      </c>
      <c r="D3772" s="152" t="s">
        <v>4456</v>
      </c>
      <c r="E3772" s="152" t="s">
        <v>4583</v>
      </c>
      <c r="F3772" s="152" t="s">
        <v>310</v>
      </c>
      <c r="G3772" s="152" t="s">
        <v>4178</v>
      </c>
      <c r="H3772" s="153" t="s">
        <v>214</v>
      </c>
    </row>
    <row r="3773" hidden="1">
      <c r="A3773" s="158" t="s">
        <v>235</v>
      </c>
      <c r="B3773" s="159"/>
      <c r="C3773" s="155" t="s">
        <v>236</v>
      </c>
      <c r="D3773" s="156" t="s">
        <v>4456</v>
      </c>
      <c r="E3773" s="156" t="s">
        <v>4584</v>
      </c>
      <c r="F3773" s="156" t="s">
        <v>336</v>
      </c>
      <c r="G3773" s="156" t="s">
        <v>2003</v>
      </c>
      <c r="H3773" s="157" t="s">
        <v>215</v>
      </c>
    </row>
    <row r="3774" hidden="1">
      <c r="A3774" s="160" t="s">
        <v>235</v>
      </c>
      <c r="B3774" s="72"/>
      <c r="C3774" s="118" t="s">
        <v>236</v>
      </c>
      <c r="D3774" s="152" t="s">
        <v>4456</v>
      </c>
      <c r="E3774" s="152" t="s">
        <v>4585</v>
      </c>
      <c r="F3774" s="152" t="s">
        <v>310</v>
      </c>
      <c r="G3774" s="152" t="s">
        <v>4367</v>
      </c>
      <c r="H3774" s="153" t="s">
        <v>216</v>
      </c>
    </row>
    <row r="3775" hidden="1">
      <c r="A3775" s="158" t="s">
        <v>237</v>
      </c>
      <c r="B3775" s="159"/>
      <c r="C3775" s="155" t="s">
        <v>236</v>
      </c>
      <c r="D3775" s="156" t="s">
        <v>4456</v>
      </c>
      <c r="E3775" s="156" t="s">
        <v>4586</v>
      </c>
      <c r="F3775" s="156" t="s">
        <v>534</v>
      </c>
      <c r="G3775" s="156" t="s">
        <v>3200</v>
      </c>
      <c r="H3775" s="157" t="s">
        <v>210</v>
      </c>
    </row>
    <row r="3776" hidden="1">
      <c r="A3776" s="160" t="s">
        <v>237</v>
      </c>
      <c r="B3776" s="72"/>
      <c r="C3776" s="118" t="s">
        <v>236</v>
      </c>
      <c r="D3776" s="152" t="s">
        <v>4456</v>
      </c>
      <c r="E3776" s="152" t="s">
        <v>4587</v>
      </c>
      <c r="F3776" s="152" t="s">
        <v>314</v>
      </c>
      <c r="G3776" s="152" t="s">
        <v>3400</v>
      </c>
      <c r="H3776" s="153" t="s">
        <v>211</v>
      </c>
    </row>
    <row r="3777" hidden="1">
      <c r="A3777" s="158" t="s">
        <v>237</v>
      </c>
      <c r="B3777" s="159"/>
      <c r="C3777" s="155" t="s">
        <v>236</v>
      </c>
      <c r="D3777" s="156" t="s">
        <v>4456</v>
      </c>
      <c r="E3777" s="156" t="s">
        <v>4588</v>
      </c>
      <c r="F3777" s="156" t="s">
        <v>290</v>
      </c>
      <c r="G3777" s="156" t="s">
        <v>3117</v>
      </c>
      <c r="H3777" s="157" t="s">
        <v>212</v>
      </c>
    </row>
    <row r="3778" hidden="1">
      <c r="A3778" s="160" t="s">
        <v>237</v>
      </c>
      <c r="B3778" s="72"/>
      <c r="C3778" s="118" t="s">
        <v>236</v>
      </c>
      <c r="D3778" s="152" t="s">
        <v>4456</v>
      </c>
      <c r="E3778" s="152" t="s">
        <v>4589</v>
      </c>
      <c r="F3778" s="152" t="s">
        <v>2994</v>
      </c>
      <c r="G3778" s="152" t="s">
        <v>2517</v>
      </c>
      <c r="H3778" s="153" t="s">
        <v>213</v>
      </c>
    </row>
    <row r="3779" hidden="1">
      <c r="A3779" s="158" t="s">
        <v>237</v>
      </c>
      <c r="B3779" s="159"/>
      <c r="C3779" s="155" t="s">
        <v>236</v>
      </c>
      <c r="D3779" s="156" t="s">
        <v>4456</v>
      </c>
      <c r="E3779" s="156" t="s">
        <v>4590</v>
      </c>
      <c r="F3779" s="156" t="s">
        <v>314</v>
      </c>
      <c r="G3779" s="156" t="s">
        <v>2970</v>
      </c>
      <c r="H3779" s="157" t="s">
        <v>214</v>
      </c>
    </row>
    <row r="3780" hidden="1">
      <c r="A3780" s="160" t="s">
        <v>237</v>
      </c>
      <c r="B3780" s="72"/>
      <c r="C3780" s="118" t="s">
        <v>236</v>
      </c>
      <c r="D3780" s="152" t="s">
        <v>4456</v>
      </c>
      <c r="E3780" s="152" t="s">
        <v>4591</v>
      </c>
      <c r="F3780" s="152" t="s">
        <v>290</v>
      </c>
      <c r="G3780" s="152" t="s">
        <v>3207</v>
      </c>
      <c r="H3780" s="153" t="s">
        <v>215</v>
      </c>
    </row>
    <row r="3781" hidden="1">
      <c r="A3781" s="158" t="s">
        <v>237</v>
      </c>
      <c r="B3781" s="159"/>
      <c r="C3781" s="155" t="s">
        <v>236</v>
      </c>
      <c r="D3781" s="156" t="s">
        <v>4456</v>
      </c>
      <c r="E3781" s="156" t="s">
        <v>4592</v>
      </c>
      <c r="F3781" s="156" t="s">
        <v>534</v>
      </c>
      <c r="G3781" s="156" t="s">
        <v>1791</v>
      </c>
      <c r="H3781" s="157" t="s">
        <v>216</v>
      </c>
    </row>
    <row r="3782" hidden="1">
      <c r="A3782" s="151" t="s">
        <v>204</v>
      </c>
      <c r="B3782" s="118" t="s">
        <v>205</v>
      </c>
      <c r="C3782" s="118" t="s">
        <v>206</v>
      </c>
      <c r="D3782" s="152" t="s">
        <v>4593</v>
      </c>
      <c r="E3782" s="152" t="s">
        <v>4594</v>
      </c>
      <c r="F3782" s="152" t="s">
        <v>249</v>
      </c>
      <c r="G3782" s="152" t="s">
        <v>3917</v>
      </c>
      <c r="H3782" s="153" t="s">
        <v>210</v>
      </c>
    </row>
    <row r="3783" hidden="1">
      <c r="A3783" s="154" t="s">
        <v>204</v>
      </c>
      <c r="B3783" s="155" t="s">
        <v>205</v>
      </c>
      <c r="C3783" s="155" t="s">
        <v>206</v>
      </c>
      <c r="D3783" s="156" t="s">
        <v>4593</v>
      </c>
      <c r="E3783" s="156" t="s">
        <v>4595</v>
      </c>
      <c r="F3783" s="156" t="s">
        <v>331</v>
      </c>
      <c r="G3783" s="156" t="s">
        <v>4320</v>
      </c>
      <c r="H3783" s="157" t="s">
        <v>211</v>
      </c>
    </row>
    <row r="3784" hidden="1">
      <c r="A3784" s="151" t="s">
        <v>204</v>
      </c>
      <c r="B3784" s="118" t="s">
        <v>205</v>
      </c>
      <c r="C3784" s="118" t="s">
        <v>206</v>
      </c>
      <c r="D3784" s="152" t="s">
        <v>4593</v>
      </c>
      <c r="E3784" s="152" t="s">
        <v>4596</v>
      </c>
      <c r="F3784" s="152" t="s">
        <v>290</v>
      </c>
      <c r="G3784" s="152" t="s">
        <v>3786</v>
      </c>
      <c r="H3784" s="153" t="s">
        <v>212</v>
      </c>
    </row>
    <row r="3785" hidden="1">
      <c r="A3785" s="154" t="s">
        <v>204</v>
      </c>
      <c r="B3785" s="155" t="s">
        <v>205</v>
      </c>
      <c r="C3785" s="155" t="s">
        <v>206</v>
      </c>
      <c r="D3785" s="156" t="s">
        <v>4593</v>
      </c>
      <c r="E3785" s="156" t="s">
        <v>4597</v>
      </c>
      <c r="F3785" s="156" t="s">
        <v>331</v>
      </c>
      <c r="G3785" s="156" t="s">
        <v>4034</v>
      </c>
      <c r="H3785" s="157" t="s">
        <v>213</v>
      </c>
    </row>
    <row r="3786" hidden="1">
      <c r="A3786" s="151" t="s">
        <v>204</v>
      </c>
      <c r="B3786" s="118" t="s">
        <v>205</v>
      </c>
      <c r="C3786" s="118" t="s">
        <v>206</v>
      </c>
      <c r="D3786" s="152" t="s">
        <v>4593</v>
      </c>
      <c r="E3786" s="152" t="s">
        <v>4598</v>
      </c>
      <c r="F3786" s="152" t="s">
        <v>249</v>
      </c>
      <c r="G3786" s="152" t="s">
        <v>3840</v>
      </c>
      <c r="H3786" s="153" t="s">
        <v>214</v>
      </c>
    </row>
    <row r="3787" hidden="1">
      <c r="A3787" s="154" t="s">
        <v>204</v>
      </c>
      <c r="B3787" s="155" t="s">
        <v>205</v>
      </c>
      <c r="C3787" s="155" t="s">
        <v>206</v>
      </c>
      <c r="D3787" s="156" t="s">
        <v>4593</v>
      </c>
      <c r="E3787" s="156" t="s">
        <v>4599</v>
      </c>
      <c r="F3787" s="156" t="s">
        <v>331</v>
      </c>
      <c r="G3787" s="156" t="s">
        <v>3294</v>
      </c>
      <c r="H3787" s="157" t="s">
        <v>215</v>
      </c>
    </row>
    <row r="3788" hidden="1">
      <c r="A3788" s="151" t="s">
        <v>204</v>
      </c>
      <c r="B3788" s="118" t="s">
        <v>205</v>
      </c>
      <c r="C3788" s="118" t="s">
        <v>206</v>
      </c>
      <c r="D3788" s="152" t="s">
        <v>4593</v>
      </c>
      <c r="E3788" s="152" t="s">
        <v>4600</v>
      </c>
      <c r="F3788" s="152" t="s">
        <v>308</v>
      </c>
      <c r="G3788" s="152" t="s">
        <v>3371</v>
      </c>
      <c r="H3788" s="153" t="s">
        <v>216</v>
      </c>
    </row>
    <row r="3789" hidden="1">
      <c r="A3789" s="154" t="s">
        <v>217</v>
      </c>
      <c r="B3789" s="155" t="s">
        <v>191</v>
      </c>
      <c r="C3789" s="155" t="s">
        <v>206</v>
      </c>
      <c r="D3789" s="156" t="s">
        <v>4593</v>
      </c>
      <c r="E3789" s="156" t="s">
        <v>4601</v>
      </c>
      <c r="F3789" s="156" t="s">
        <v>308</v>
      </c>
      <c r="G3789" s="156" t="s">
        <v>4293</v>
      </c>
      <c r="H3789" s="157" t="s">
        <v>210</v>
      </c>
    </row>
    <row r="3790" hidden="1">
      <c r="A3790" s="151" t="s">
        <v>217</v>
      </c>
      <c r="B3790" s="118" t="s">
        <v>191</v>
      </c>
      <c r="C3790" s="118" t="s">
        <v>206</v>
      </c>
      <c r="D3790" s="152" t="s">
        <v>4593</v>
      </c>
      <c r="E3790" s="152" t="s">
        <v>4602</v>
      </c>
      <c r="F3790" s="152" t="s">
        <v>314</v>
      </c>
      <c r="G3790" s="152" t="s">
        <v>4263</v>
      </c>
      <c r="H3790" s="153" t="s">
        <v>211</v>
      </c>
    </row>
    <row r="3791" hidden="1">
      <c r="A3791" s="154" t="s">
        <v>217</v>
      </c>
      <c r="B3791" s="155" t="s">
        <v>191</v>
      </c>
      <c r="C3791" s="155" t="s">
        <v>206</v>
      </c>
      <c r="D3791" s="156" t="s">
        <v>4593</v>
      </c>
      <c r="E3791" s="156" t="s">
        <v>4603</v>
      </c>
      <c r="F3791" s="156" t="s">
        <v>321</v>
      </c>
      <c r="G3791" s="156" t="s">
        <v>4176</v>
      </c>
      <c r="H3791" s="157" t="s">
        <v>212</v>
      </c>
    </row>
    <row r="3792" hidden="1">
      <c r="A3792" s="151" t="s">
        <v>217</v>
      </c>
      <c r="B3792" s="118" t="s">
        <v>191</v>
      </c>
      <c r="C3792" s="118" t="s">
        <v>206</v>
      </c>
      <c r="D3792" s="152" t="s">
        <v>4593</v>
      </c>
      <c r="E3792" s="152" t="s">
        <v>4604</v>
      </c>
      <c r="F3792" s="152" t="s">
        <v>323</v>
      </c>
      <c r="G3792" s="152" t="s">
        <v>4031</v>
      </c>
      <c r="H3792" s="153" t="s">
        <v>213</v>
      </c>
    </row>
    <row r="3793" hidden="1">
      <c r="A3793" s="154" t="s">
        <v>217</v>
      </c>
      <c r="B3793" s="155" t="s">
        <v>191</v>
      </c>
      <c r="C3793" s="155" t="s">
        <v>206</v>
      </c>
      <c r="D3793" s="156" t="s">
        <v>4593</v>
      </c>
      <c r="E3793" s="156" t="s">
        <v>4605</v>
      </c>
      <c r="F3793" s="156" t="s">
        <v>314</v>
      </c>
      <c r="G3793" s="156" t="s">
        <v>4290</v>
      </c>
      <c r="H3793" s="157" t="s">
        <v>214</v>
      </c>
    </row>
    <row r="3794" hidden="1">
      <c r="A3794" s="151" t="s">
        <v>217</v>
      </c>
      <c r="B3794" s="118" t="s">
        <v>191</v>
      </c>
      <c r="C3794" s="118" t="s">
        <v>206</v>
      </c>
      <c r="D3794" s="152" t="s">
        <v>4593</v>
      </c>
      <c r="E3794" s="152" t="s">
        <v>4606</v>
      </c>
      <c r="F3794" s="152" t="s">
        <v>290</v>
      </c>
      <c r="G3794" s="152" t="s">
        <v>4290</v>
      </c>
      <c r="H3794" s="153" t="s">
        <v>215</v>
      </c>
    </row>
    <row r="3795" hidden="1">
      <c r="A3795" s="154" t="s">
        <v>217</v>
      </c>
      <c r="B3795" s="155" t="s">
        <v>191</v>
      </c>
      <c r="C3795" s="155" t="s">
        <v>206</v>
      </c>
      <c r="D3795" s="156" t="s">
        <v>4593</v>
      </c>
      <c r="E3795" s="156" t="s">
        <v>4607</v>
      </c>
      <c r="F3795" s="156" t="s">
        <v>249</v>
      </c>
      <c r="G3795" s="156" t="s">
        <v>4608</v>
      </c>
      <c r="H3795" s="157" t="s">
        <v>216</v>
      </c>
    </row>
    <row r="3796" hidden="1">
      <c r="A3796" s="151" t="s">
        <v>218</v>
      </c>
      <c r="B3796" s="118" t="s">
        <v>219</v>
      </c>
      <c r="C3796" s="118" t="s">
        <v>206</v>
      </c>
      <c r="D3796" s="152" t="s">
        <v>4593</v>
      </c>
      <c r="E3796" s="152" t="s">
        <v>4609</v>
      </c>
      <c r="F3796" s="152" t="s">
        <v>331</v>
      </c>
      <c r="G3796" s="152" t="s">
        <v>1949</v>
      </c>
      <c r="H3796" s="153" t="s">
        <v>210</v>
      </c>
    </row>
    <row r="3797" hidden="1">
      <c r="A3797" s="154" t="s">
        <v>218</v>
      </c>
      <c r="B3797" s="155" t="s">
        <v>219</v>
      </c>
      <c r="C3797" s="155" t="s">
        <v>206</v>
      </c>
      <c r="D3797" s="156" t="s">
        <v>4593</v>
      </c>
      <c r="E3797" s="156" t="s">
        <v>4610</v>
      </c>
      <c r="F3797" s="156" t="s">
        <v>249</v>
      </c>
      <c r="G3797" s="156" t="s">
        <v>2221</v>
      </c>
      <c r="H3797" s="157" t="s">
        <v>211</v>
      </c>
    </row>
    <row r="3798" hidden="1">
      <c r="A3798" s="151" t="s">
        <v>218</v>
      </c>
      <c r="B3798" s="118" t="s">
        <v>219</v>
      </c>
      <c r="C3798" s="118" t="s">
        <v>206</v>
      </c>
      <c r="D3798" s="152" t="s">
        <v>4593</v>
      </c>
      <c r="E3798" s="152" t="s">
        <v>4611</v>
      </c>
      <c r="F3798" s="152" t="s">
        <v>249</v>
      </c>
      <c r="G3798" s="152" t="s">
        <v>2138</v>
      </c>
      <c r="H3798" s="153" t="s">
        <v>212</v>
      </c>
    </row>
    <row r="3799" hidden="1">
      <c r="A3799" s="154" t="s">
        <v>218</v>
      </c>
      <c r="B3799" s="155" t="s">
        <v>219</v>
      </c>
      <c r="C3799" s="155" t="s">
        <v>206</v>
      </c>
      <c r="D3799" s="156" t="s">
        <v>4593</v>
      </c>
      <c r="E3799" s="156" t="s">
        <v>4612</v>
      </c>
      <c r="F3799" s="156" t="s">
        <v>331</v>
      </c>
      <c r="G3799" s="156" t="s">
        <v>2999</v>
      </c>
      <c r="H3799" s="157" t="s">
        <v>213</v>
      </c>
    </row>
    <row r="3800" hidden="1">
      <c r="A3800" s="151" t="s">
        <v>218</v>
      </c>
      <c r="B3800" s="118" t="s">
        <v>219</v>
      </c>
      <c r="C3800" s="118" t="s">
        <v>206</v>
      </c>
      <c r="D3800" s="152" t="s">
        <v>4593</v>
      </c>
      <c r="E3800" s="152" t="s">
        <v>4613</v>
      </c>
      <c r="F3800" s="152" t="s">
        <v>290</v>
      </c>
      <c r="G3800" s="152" t="s">
        <v>2389</v>
      </c>
      <c r="H3800" s="153" t="s">
        <v>214</v>
      </c>
    </row>
    <row r="3801" hidden="1">
      <c r="A3801" s="154" t="s">
        <v>218</v>
      </c>
      <c r="B3801" s="155" t="s">
        <v>219</v>
      </c>
      <c r="C3801" s="155" t="s">
        <v>206</v>
      </c>
      <c r="D3801" s="156" t="s">
        <v>4593</v>
      </c>
      <c r="E3801" s="156" t="s">
        <v>4614</v>
      </c>
      <c r="F3801" s="156" t="s">
        <v>331</v>
      </c>
      <c r="G3801" s="156" t="s">
        <v>2117</v>
      </c>
      <c r="H3801" s="157" t="s">
        <v>215</v>
      </c>
    </row>
    <row r="3802" hidden="1">
      <c r="A3802" s="151" t="s">
        <v>218</v>
      </c>
      <c r="B3802" s="118" t="s">
        <v>219</v>
      </c>
      <c r="C3802" s="118" t="s">
        <v>206</v>
      </c>
      <c r="D3802" s="152" t="s">
        <v>4593</v>
      </c>
      <c r="E3802" s="152" t="s">
        <v>4615</v>
      </c>
      <c r="F3802" s="152" t="s">
        <v>308</v>
      </c>
      <c r="G3802" s="152" t="s">
        <v>2305</v>
      </c>
      <c r="H3802" s="153" t="s">
        <v>216</v>
      </c>
    </row>
    <row r="3803" hidden="1">
      <c r="A3803" s="154" t="s">
        <v>220</v>
      </c>
      <c r="B3803" s="155" t="s">
        <v>190</v>
      </c>
      <c r="C3803" s="155" t="s">
        <v>206</v>
      </c>
      <c r="D3803" s="156" t="s">
        <v>4593</v>
      </c>
      <c r="E3803" s="156" t="s">
        <v>4616</v>
      </c>
      <c r="F3803" s="156" t="s">
        <v>240</v>
      </c>
      <c r="G3803" s="156" t="s">
        <v>3057</v>
      </c>
      <c r="H3803" s="157" t="s">
        <v>210</v>
      </c>
    </row>
    <row r="3804" hidden="1">
      <c r="A3804" s="151" t="s">
        <v>220</v>
      </c>
      <c r="B3804" s="118" t="s">
        <v>190</v>
      </c>
      <c r="C3804" s="118" t="s">
        <v>206</v>
      </c>
      <c r="D3804" s="152" t="s">
        <v>4593</v>
      </c>
      <c r="E3804" s="152" t="s">
        <v>4617</v>
      </c>
      <c r="F3804" s="152" t="s">
        <v>359</v>
      </c>
      <c r="G3804" s="152" t="s">
        <v>2609</v>
      </c>
      <c r="H3804" s="153" t="s">
        <v>211</v>
      </c>
    </row>
    <row r="3805" hidden="1">
      <c r="A3805" s="154" t="s">
        <v>220</v>
      </c>
      <c r="B3805" s="155" t="s">
        <v>190</v>
      </c>
      <c r="C3805" s="155" t="s">
        <v>206</v>
      </c>
      <c r="D3805" s="156" t="s">
        <v>4593</v>
      </c>
      <c r="E3805" s="156" t="s">
        <v>4618</v>
      </c>
      <c r="F3805" s="156" t="s">
        <v>314</v>
      </c>
      <c r="G3805" s="156" t="s">
        <v>2285</v>
      </c>
      <c r="H3805" s="157" t="s">
        <v>212</v>
      </c>
    </row>
    <row r="3806" hidden="1">
      <c r="A3806" s="151" t="s">
        <v>220</v>
      </c>
      <c r="B3806" s="118" t="s">
        <v>190</v>
      </c>
      <c r="C3806" s="118" t="s">
        <v>206</v>
      </c>
      <c r="D3806" s="152" t="s">
        <v>4593</v>
      </c>
      <c r="E3806" s="152" t="s">
        <v>4619</v>
      </c>
      <c r="F3806" s="152" t="s">
        <v>305</v>
      </c>
      <c r="G3806" s="152" t="s">
        <v>3237</v>
      </c>
      <c r="H3806" s="153" t="s">
        <v>213</v>
      </c>
    </row>
    <row r="3807" hidden="1">
      <c r="A3807" s="154" t="s">
        <v>220</v>
      </c>
      <c r="B3807" s="155" t="s">
        <v>190</v>
      </c>
      <c r="C3807" s="155" t="s">
        <v>206</v>
      </c>
      <c r="D3807" s="156" t="s">
        <v>4593</v>
      </c>
      <c r="E3807" s="156" t="s">
        <v>4620</v>
      </c>
      <c r="F3807" s="156" t="s">
        <v>290</v>
      </c>
      <c r="G3807" s="156" t="s">
        <v>4013</v>
      </c>
      <c r="H3807" s="157" t="s">
        <v>214</v>
      </c>
    </row>
    <row r="3808" hidden="1">
      <c r="A3808" s="151" t="s">
        <v>220</v>
      </c>
      <c r="B3808" s="118" t="s">
        <v>190</v>
      </c>
      <c r="C3808" s="118" t="s">
        <v>206</v>
      </c>
      <c r="D3808" s="152" t="s">
        <v>4593</v>
      </c>
      <c r="E3808" s="152" t="s">
        <v>4621</v>
      </c>
      <c r="F3808" s="152" t="s">
        <v>357</v>
      </c>
      <c r="G3808" s="152" t="s">
        <v>2387</v>
      </c>
      <c r="H3808" s="153" t="s">
        <v>215</v>
      </c>
    </row>
    <row r="3809" hidden="1">
      <c r="A3809" s="154" t="s">
        <v>220</v>
      </c>
      <c r="B3809" s="155" t="s">
        <v>190</v>
      </c>
      <c r="C3809" s="155" t="s">
        <v>206</v>
      </c>
      <c r="D3809" s="156" t="s">
        <v>4593</v>
      </c>
      <c r="E3809" s="156" t="s">
        <v>4622</v>
      </c>
      <c r="F3809" s="156" t="s">
        <v>357</v>
      </c>
      <c r="G3809" s="156" t="s">
        <v>3059</v>
      </c>
      <c r="H3809" s="157" t="s">
        <v>216</v>
      </c>
    </row>
    <row r="3810" hidden="1">
      <c r="A3810" s="151" t="s">
        <v>221</v>
      </c>
      <c r="B3810" s="118" t="s">
        <v>189</v>
      </c>
      <c r="C3810" s="118" t="s">
        <v>206</v>
      </c>
      <c r="D3810" s="152" t="s">
        <v>4593</v>
      </c>
      <c r="E3810" s="152" t="s">
        <v>4623</v>
      </c>
      <c r="F3810" s="152" t="s">
        <v>249</v>
      </c>
      <c r="G3810" s="152" t="s">
        <v>3820</v>
      </c>
      <c r="H3810" s="153" t="s">
        <v>210</v>
      </c>
    </row>
    <row r="3811" hidden="1">
      <c r="A3811" s="154" t="s">
        <v>221</v>
      </c>
      <c r="B3811" s="155" t="s">
        <v>189</v>
      </c>
      <c r="C3811" s="155" t="s">
        <v>206</v>
      </c>
      <c r="D3811" s="156" t="s">
        <v>4593</v>
      </c>
      <c r="E3811" s="156" t="s">
        <v>4624</v>
      </c>
      <c r="F3811" s="156" t="s">
        <v>249</v>
      </c>
      <c r="G3811" s="156" t="s">
        <v>4386</v>
      </c>
      <c r="H3811" s="157" t="s">
        <v>211</v>
      </c>
    </row>
    <row r="3812" hidden="1">
      <c r="A3812" s="151" t="s">
        <v>221</v>
      </c>
      <c r="B3812" s="118" t="s">
        <v>189</v>
      </c>
      <c r="C3812" s="118" t="s">
        <v>206</v>
      </c>
      <c r="D3812" s="152" t="s">
        <v>4593</v>
      </c>
      <c r="E3812" s="152" t="s">
        <v>4625</v>
      </c>
      <c r="F3812" s="152" t="s">
        <v>325</v>
      </c>
      <c r="G3812" s="152" t="s">
        <v>4582</v>
      </c>
      <c r="H3812" s="153" t="s">
        <v>212</v>
      </c>
    </row>
    <row r="3813" hidden="1">
      <c r="A3813" s="154" t="s">
        <v>221</v>
      </c>
      <c r="B3813" s="155" t="s">
        <v>189</v>
      </c>
      <c r="C3813" s="155" t="s">
        <v>206</v>
      </c>
      <c r="D3813" s="156" t="s">
        <v>4593</v>
      </c>
      <c r="E3813" s="156" t="s">
        <v>4626</v>
      </c>
      <c r="F3813" s="156" t="s">
        <v>310</v>
      </c>
      <c r="G3813" s="156" t="s">
        <v>4627</v>
      </c>
      <c r="H3813" s="157" t="s">
        <v>213</v>
      </c>
    </row>
    <row r="3814" hidden="1">
      <c r="A3814" s="151" t="s">
        <v>221</v>
      </c>
      <c r="B3814" s="118" t="s">
        <v>189</v>
      </c>
      <c r="C3814" s="118" t="s">
        <v>206</v>
      </c>
      <c r="D3814" s="152" t="s">
        <v>4593</v>
      </c>
      <c r="E3814" s="152" t="s">
        <v>4628</v>
      </c>
      <c r="F3814" s="152" t="s">
        <v>359</v>
      </c>
      <c r="G3814" s="152" t="s">
        <v>2965</v>
      </c>
      <c r="H3814" s="153" t="s">
        <v>214</v>
      </c>
    </row>
    <row r="3815" hidden="1">
      <c r="A3815" s="154" t="s">
        <v>221</v>
      </c>
      <c r="B3815" s="155" t="s">
        <v>189</v>
      </c>
      <c r="C3815" s="155" t="s">
        <v>206</v>
      </c>
      <c r="D3815" s="156" t="s">
        <v>4593</v>
      </c>
      <c r="E3815" s="156" t="s">
        <v>4629</v>
      </c>
      <c r="F3815" s="156" t="s">
        <v>331</v>
      </c>
      <c r="G3815" s="156" t="s">
        <v>3786</v>
      </c>
      <c r="H3815" s="157" t="s">
        <v>215</v>
      </c>
    </row>
    <row r="3816" hidden="1">
      <c r="A3816" s="151" t="s">
        <v>221</v>
      </c>
      <c r="B3816" s="118" t="s">
        <v>189</v>
      </c>
      <c r="C3816" s="118" t="s">
        <v>206</v>
      </c>
      <c r="D3816" s="152" t="s">
        <v>4593</v>
      </c>
      <c r="E3816" s="152" t="s">
        <v>4630</v>
      </c>
      <c r="F3816" s="152" t="s">
        <v>308</v>
      </c>
      <c r="G3816" s="152" t="s">
        <v>1793</v>
      </c>
      <c r="H3816" s="153" t="s">
        <v>216</v>
      </c>
    </row>
    <row r="3817" hidden="1">
      <c r="A3817" s="154" t="s">
        <v>222</v>
      </c>
      <c r="B3817" s="155" t="s">
        <v>192</v>
      </c>
      <c r="C3817" s="155" t="s">
        <v>206</v>
      </c>
      <c r="D3817" s="156" t="s">
        <v>4593</v>
      </c>
      <c r="E3817" s="156" t="s">
        <v>4631</v>
      </c>
      <c r="F3817" s="156" t="s">
        <v>351</v>
      </c>
      <c r="G3817" s="156" t="s">
        <v>2179</v>
      </c>
      <c r="H3817" s="157" t="s">
        <v>210</v>
      </c>
    </row>
    <row r="3818" hidden="1">
      <c r="A3818" s="151" t="s">
        <v>222</v>
      </c>
      <c r="B3818" s="118" t="s">
        <v>192</v>
      </c>
      <c r="C3818" s="118" t="s">
        <v>206</v>
      </c>
      <c r="D3818" s="152" t="s">
        <v>4593</v>
      </c>
      <c r="E3818" s="152" t="s">
        <v>4632</v>
      </c>
      <c r="F3818" s="152" t="s">
        <v>450</v>
      </c>
      <c r="G3818" s="152" t="s">
        <v>4280</v>
      </c>
      <c r="H3818" s="153" t="s">
        <v>211</v>
      </c>
    </row>
    <row r="3819" hidden="1">
      <c r="A3819" s="154" t="s">
        <v>222</v>
      </c>
      <c r="B3819" s="155" t="s">
        <v>192</v>
      </c>
      <c r="C3819" s="155" t="s">
        <v>206</v>
      </c>
      <c r="D3819" s="156" t="s">
        <v>4593</v>
      </c>
      <c r="E3819" s="156" t="s">
        <v>4633</v>
      </c>
      <c r="F3819" s="156" t="s">
        <v>336</v>
      </c>
      <c r="G3819" s="156" t="s">
        <v>3543</v>
      </c>
      <c r="H3819" s="157" t="s">
        <v>212</v>
      </c>
    </row>
    <row r="3820" hidden="1">
      <c r="A3820" s="151" t="s">
        <v>222</v>
      </c>
      <c r="B3820" s="118" t="s">
        <v>192</v>
      </c>
      <c r="C3820" s="118" t="s">
        <v>206</v>
      </c>
      <c r="D3820" s="152" t="s">
        <v>4593</v>
      </c>
      <c r="E3820" s="152" t="s">
        <v>4634</v>
      </c>
      <c r="F3820" s="152" t="s">
        <v>339</v>
      </c>
      <c r="G3820" s="152" t="s">
        <v>3783</v>
      </c>
      <c r="H3820" s="153" t="s">
        <v>213</v>
      </c>
    </row>
    <row r="3821" hidden="1">
      <c r="A3821" s="154" t="s">
        <v>222</v>
      </c>
      <c r="B3821" s="155" t="s">
        <v>192</v>
      </c>
      <c r="C3821" s="155" t="s">
        <v>206</v>
      </c>
      <c r="D3821" s="156" t="s">
        <v>4593</v>
      </c>
      <c r="E3821" s="156" t="s">
        <v>4635</v>
      </c>
      <c r="F3821" s="156" t="s">
        <v>249</v>
      </c>
      <c r="G3821" s="156" t="s">
        <v>3786</v>
      </c>
      <c r="H3821" s="157" t="s">
        <v>214</v>
      </c>
    </row>
    <row r="3822" hidden="1">
      <c r="A3822" s="151" t="s">
        <v>222</v>
      </c>
      <c r="B3822" s="118" t="s">
        <v>192</v>
      </c>
      <c r="C3822" s="118" t="s">
        <v>206</v>
      </c>
      <c r="D3822" s="152" t="s">
        <v>4593</v>
      </c>
      <c r="E3822" s="152" t="s">
        <v>4636</v>
      </c>
      <c r="F3822" s="152" t="s">
        <v>450</v>
      </c>
      <c r="G3822" s="152" t="s">
        <v>4367</v>
      </c>
      <c r="H3822" s="153" t="s">
        <v>215</v>
      </c>
    </row>
    <row r="3823" hidden="1">
      <c r="A3823" s="154" t="s">
        <v>222</v>
      </c>
      <c r="B3823" s="155" t="s">
        <v>192</v>
      </c>
      <c r="C3823" s="155" t="s">
        <v>206</v>
      </c>
      <c r="D3823" s="156" t="s">
        <v>4593</v>
      </c>
      <c r="E3823" s="156" t="s">
        <v>4637</v>
      </c>
      <c r="F3823" s="156" t="s">
        <v>339</v>
      </c>
      <c r="G3823" s="156" t="s">
        <v>4116</v>
      </c>
      <c r="H3823" s="157" t="s">
        <v>216</v>
      </c>
    </row>
    <row r="3824" hidden="1">
      <c r="A3824" s="151" t="s">
        <v>223</v>
      </c>
      <c r="B3824" s="118" t="s">
        <v>144</v>
      </c>
      <c r="C3824" s="118" t="s">
        <v>206</v>
      </c>
      <c r="D3824" s="152" t="s">
        <v>4593</v>
      </c>
      <c r="E3824" s="152" t="s">
        <v>4638</v>
      </c>
      <c r="F3824" s="152" t="s">
        <v>308</v>
      </c>
      <c r="G3824" s="152" t="s">
        <v>4116</v>
      </c>
      <c r="H3824" s="153" t="s">
        <v>210</v>
      </c>
    </row>
    <row r="3825" hidden="1">
      <c r="A3825" s="154" t="s">
        <v>223</v>
      </c>
      <c r="B3825" s="155" t="s">
        <v>144</v>
      </c>
      <c r="C3825" s="155" t="s">
        <v>206</v>
      </c>
      <c r="D3825" s="156" t="s">
        <v>4593</v>
      </c>
      <c r="E3825" s="156" t="s">
        <v>4639</v>
      </c>
      <c r="F3825" s="156" t="s">
        <v>425</v>
      </c>
      <c r="G3825" s="156" t="s">
        <v>1785</v>
      </c>
      <c r="H3825" s="157" t="s">
        <v>211</v>
      </c>
    </row>
    <row r="3826" hidden="1">
      <c r="A3826" s="151" t="s">
        <v>223</v>
      </c>
      <c r="B3826" s="118" t="s">
        <v>144</v>
      </c>
      <c r="C3826" s="118" t="s">
        <v>206</v>
      </c>
      <c r="D3826" s="152" t="s">
        <v>4593</v>
      </c>
      <c r="E3826" s="152" t="s">
        <v>4640</v>
      </c>
      <c r="F3826" s="152" t="s">
        <v>354</v>
      </c>
      <c r="G3826" s="152" t="s">
        <v>4467</v>
      </c>
      <c r="H3826" s="153" t="s">
        <v>212</v>
      </c>
    </row>
    <row r="3827" hidden="1">
      <c r="A3827" s="154" t="s">
        <v>223</v>
      </c>
      <c r="B3827" s="155" t="s">
        <v>144</v>
      </c>
      <c r="C3827" s="155" t="s">
        <v>206</v>
      </c>
      <c r="D3827" s="156" t="s">
        <v>4593</v>
      </c>
      <c r="E3827" s="156" t="s">
        <v>4641</v>
      </c>
      <c r="F3827" s="156" t="s">
        <v>423</v>
      </c>
      <c r="G3827" s="156" t="s">
        <v>3701</v>
      </c>
      <c r="H3827" s="157" t="s">
        <v>213</v>
      </c>
    </row>
    <row r="3828" hidden="1">
      <c r="A3828" s="151" t="s">
        <v>223</v>
      </c>
      <c r="B3828" s="118" t="s">
        <v>144</v>
      </c>
      <c r="C3828" s="118" t="s">
        <v>206</v>
      </c>
      <c r="D3828" s="152" t="s">
        <v>4593</v>
      </c>
      <c r="E3828" s="152" t="s">
        <v>4642</v>
      </c>
      <c r="F3828" s="152" t="s">
        <v>577</v>
      </c>
      <c r="G3828" s="152" t="s">
        <v>3472</v>
      </c>
      <c r="H3828" s="153" t="s">
        <v>214</v>
      </c>
    </row>
    <row r="3829" hidden="1">
      <c r="A3829" s="154" t="s">
        <v>223</v>
      </c>
      <c r="B3829" s="155" t="s">
        <v>144</v>
      </c>
      <c r="C3829" s="155" t="s">
        <v>206</v>
      </c>
      <c r="D3829" s="156" t="s">
        <v>4593</v>
      </c>
      <c r="E3829" s="156" t="s">
        <v>4643</v>
      </c>
      <c r="F3829" s="156" t="s">
        <v>478</v>
      </c>
      <c r="G3829" s="156" t="s">
        <v>4367</v>
      </c>
      <c r="H3829" s="157" t="s">
        <v>215</v>
      </c>
    </row>
    <row r="3830" hidden="1">
      <c r="A3830" s="151" t="s">
        <v>223</v>
      </c>
      <c r="B3830" s="118" t="s">
        <v>144</v>
      </c>
      <c r="C3830" s="118" t="s">
        <v>206</v>
      </c>
      <c r="D3830" s="152" t="s">
        <v>4593</v>
      </c>
      <c r="E3830" s="152" t="s">
        <v>4644</v>
      </c>
      <c r="F3830" s="152" t="s">
        <v>336</v>
      </c>
      <c r="G3830" s="152" t="s">
        <v>4502</v>
      </c>
      <c r="H3830" s="153" t="s">
        <v>216</v>
      </c>
    </row>
    <row r="3831" hidden="1">
      <c r="A3831" s="154" t="s">
        <v>224</v>
      </c>
      <c r="B3831" s="155" t="s">
        <v>170</v>
      </c>
      <c r="C3831" s="155" t="s">
        <v>206</v>
      </c>
      <c r="D3831" s="156" t="s">
        <v>4593</v>
      </c>
      <c r="E3831" s="156" t="s">
        <v>4645</v>
      </c>
      <c r="F3831" s="156" t="s">
        <v>365</v>
      </c>
      <c r="G3831" s="156" t="s">
        <v>3599</v>
      </c>
      <c r="H3831" s="157" t="s">
        <v>210</v>
      </c>
    </row>
    <row r="3832" hidden="1">
      <c r="A3832" s="151" t="s">
        <v>224</v>
      </c>
      <c r="B3832" s="118" t="s">
        <v>170</v>
      </c>
      <c r="C3832" s="118" t="s">
        <v>206</v>
      </c>
      <c r="D3832" s="152" t="s">
        <v>4593</v>
      </c>
      <c r="E3832" s="152" t="s">
        <v>4646</v>
      </c>
      <c r="F3832" s="152" t="s">
        <v>240</v>
      </c>
      <c r="G3832" s="152" t="s">
        <v>4171</v>
      </c>
      <c r="H3832" s="153" t="s">
        <v>211</v>
      </c>
    </row>
    <row r="3833" hidden="1">
      <c r="A3833" s="154" t="s">
        <v>224</v>
      </c>
      <c r="B3833" s="155" t="s">
        <v>170</v>
      </c>
      <c r="C3833" s="155" t="s">
        <v>206</v>
      </c>
      <c r="D3833" s="156" t="s">
        <v>4593</v>
      </c>
      <c r="E3833" s="156" t="s">
        <v>4647</v>
      </c>
      <c r="F3833" s="156" t="s">
        <v>246</v>
      </c>
      <c r="G3833" s="156" t="s">
        <v>3701</v>
      </c>
      <c r="H3833" s="157" t="s">
        <v>212</v>
      </c>
    </row>
    <row r="3834" hidden="1">
      <c r="A3834" s="151" t="s">
        <v>224</v>
      </c>
      <c r="B3834" s="118" t="s">
        <v>170</v>
      </c>
      <c r="C3834" s="118" t="s">
        <v>206</v>
      </c>
      <c r="D3834" s="152" t="s">
        <v>4593</v>
      </c>
      <c r="E3834" s="152" t="s">
        <v>4648</v>
      </c>
      <c r="F3834" s="152" t="s">
        <v>298</v>
      </c>
      <c r="G3834" s="152" t="s">
        <v>4297</v>
      </c>
      <c r="H3834" s="153" t="s">
        <v>213</v>
      </c>
    </row>
    <row r="3835" hidden="1">
      <c r="A3835" s="154" t="s">
        <v>224</v>
      </c>
      <c r="B3835" s="155" t="s">
        <v>170</v>
      </c>
      <c r="C3835" s="155" t="s">
        <v>206</v>
      </c>
      <c r="D3835" s="156" t="s">
        <v>4593</v>
      </c>
      <c r="E3835" s="156" t="s">
        <v>4649</v>
      </c>
      <c r="F3835" s="156" t="s">
        <v>269</v>
      </c>
      <c r="G3835" s="156" t="s">
        <v>2183</v>
      </c>
      <c r="H3835" s="157" t="s">
        <v>214</v>
      </c>
    </row>
    <row r="3836" hidden="1">
      <c r="A3836" s="151" t="s">
        <v>224</v>
      </c>
      <c r="B3836" s="118" t="s">
        <v>170</v>
      </c>
      <c r="C3836" s="118" t="s">
        <v>206</v>
      </c>
      <c r="D3836" s="152" t="s">
        <v>4593</v>
      </c>
      <c r="E3836" s="152" t="s">
        <v>4650</v>
      </c>
      <c r="F3836" s="152" t="s">
        <v>257</v>
      </c>
      <c r="G3836" s="152" t="s">
        <v>4331</v>
      </c>
      <c r="H3836" s="153" t="s">
        <v>215</v>
      </c>
    </row>
    <row r="3837" hidden="1">
      <c r="A3837" s="154" t="s">
        <v>224</v>
      </c>
      <c r="B3837" s="155" t="s">
        <v>170</v>
      </c>
      <c r="C3837" s="155" t="s">
        <v>206</v>
      </c>
      <c r="D3837" s="156" t="s">
        <v>4593</v>
      </c>
      <c r="E3837" s="156" t="s">
        <v>4651</v>
      </c>
      <c r="F3837" s="156" t="s">
        <v>246</v>
      </c>
      <c r="G3837" s="156" t="s">
        <v>4085</v>
      </c>
      <c r="H3837" s="157" t="s">
        <v>216</v>
      </c>
    </row>
    <row r="3838" hidden="1">
      <c r="A3838" s="151" t="s">
        <v>225</v>
      </c>
      <c r="B3838" s="118" t="s">
        <v>226</v>
      </c>
      <c r="C3838" s="118" t="s">
        <v>206</v>
      </c>
      <c r="D3838" s="152" t="s">
        <v>4593</v>
      </c>
      <c r="E3838" s="152" t="s">
        <v>4652</v>
      </c>
      <c r="F3838" s="152" t="s">
        <v>3346</v>
      </c>
      <c r="G3838" s="152" t="s">
        <v>4653</v>
      </c>
      <c r="H3838" s="153" t="s">
        <v>210</v>
      </c>
    </row>
    <row r="3839" hidden="1">
      <c r="A3839" s="154" t="s">
        <v>225</v>
      </c>
      <c r="B3839" s="155" t="s">
        <v>226</v>
      </c>
      <c r="C3839" s="155" t="s">
        <v>206</v>
      </c>
      <c r="D3839" s="156" t="s">
        <v>4593</v>
      </c>
      <c r="E3839" s="156" t="s">
        <v>4654</v>
      </c>
      <c r="F3839" s="156" t="s">
        <v>763</v>
      </c>
      <c r="G3839" s="156" t="s">
        <v>4582</v>
      </c>
      <c r="H3839" s="157" t="s">
        <v>211</v>
      </c>
    </row>
    <row r="3840" hidden="1">
      <c r="A3840" s="151" t="s">
        <v>225</v>
      </c>
      <c r="B3840" s="118" t="s">
        <v>226</v>
      </c>
      <c r="C3840" s="118" t="s">
        <v>206</v>
      </c>
      <c r="D3840" s="152" t="s">
        <v>4593</v>
      </c>
      <c r="E3840" s="152" t="s">
        <v>4655</v>
      </c>
      <c r="F3840" s="152" t="s">
        <v>735</v>
      </c>
      <c r="G3840" s="152" t="s">
        <v>3537</v>
      </c>
      <c r="H3840" s="153" t="s">
        <v>212</v>
      </c>
    </row>
    <row r="3841" hidden="1">
      <c r="A3841" s="154" t="s">
        <v>225</v>
      </c>
      <c r="B3841" s="155" t="s">
        <v>226</v>
      </c>
      <c r="C3841" s="155" t="s">
        <v>206</v>
      </c>
      <c r="D3841" s="156" t="s">
        <v>4593</v>
      </c>
      <c r="E3841" s="156" t="s">
        <v>4656</v>
      </c>
      <c r="F3841" s="156" t="s">
        <v>1530</v>
      </c>
      <c r="G3841" s="156" t="s">
        <v>4446</v>
      </c>
      <c r="H3841" s="157" t="s">
        <v>213</v>
      </c>
    </row>
    <row r="3842" hidden="1">
      <c r="A3842" s="151" t="s">
        <v>225</v>
      </c>
      <c r="B3842" s="118" t="s">
        <v>226</v>
      </c>
      <c r="C3842" s="118" t="s">
        <v>206</v>
      </c>
      <c r="D3842" s="152" t="s">
        <v>4593</v>
      </c>
      <c r="E3842" s="152" t="s">
        <v>4657</v>
      </c>
      <c r="F3842" s="152" t="s">
        <v>763</v>
      </c>
      <c r="G3842" s="152" t="s">
        <v>3694</v>
      </c>
      <c r="H3842" s="153" t="s">
        <v>214</v>
      </c>
    </row>
    <row r="3843" hidden="1">
      <c r="A3843" s="154" t="s">
        <v>225</v>
      </c>
      <c r="B3843" s="155" t="s">
        <v>226</v>
      </c>
      <c r="C3843" s="155" t="s">
        <v>206</v>
      </c>
      <c r="D3843" s="156" t="s">
        <v>4593</v>
      </c>
      <c r="E3843" s="156" t="s">
        <v>4658</v>
      </c>
      <c r="F3843" s="156" t="s">
        <v>1929</v>
      </c>
      <c r="G3843" s="156" t="s">
        <v>4659</v>
      </c>
      <c r="H3843" s="157" t="s">
        <v>215</v>
      </c>
    </row>
    <row r="3844" hidden="1">
      <c r="A3844" s="151" t="s">
        <v>225</v>
      </c>
      <c r="B3844" s="118" t="s">
        <v>226</v>
      </c>
      <c r="C3844" s="118" t="s">
        <v>206</v>
      </c>
      <c r="D3844" s="152" t="s">
        <v>4593</v>
      </c>
      <c r="E3844" s="152" t="s">
        <v>4660</v>
      </c>
      <c r="F3844" s="152" t="s">
        <v>3240</v>
      </c>
      <c r="G3844" s="152" t="s">
        <v>4268</v>
      </c>
      <c r="H3844" s="153" t="s">
        <v>216</v>
      </c>
    </row>
    <row r="3845" hidden="1">
      <c r="A3845" s="154" t="s">
        <v>227</v>
      </c>
      <c r="B3845" s="155" t="s">
        <v>195</v>
      </c>
      <c r="C3845" s="155" t="s">
        <v>206</v>
      </c>
      <c r="D3845" s="156" t="s">
        <v>4593</v>
      </c>
      <c r="E3845" s="156" t="s">
        <v>4661</v>
      </c>
      <c r="F3845" s="156" t="s">
        <v>305</v>
      </c>
      <c r="G3845" s="156" t="s">
        <v>2824</v>
      </c>
      <c r="H3845" s="157" t="s">
        <v>210</v>
      </c>
    </row>
    <row r="3846" hidden="1">
      <c r="A3846" s="151" t="s">
        <v>227</v>
      </c>
      <c r="B3846" s="118" t="s">
        <v>195</v>
      </c>
      <c r="C3846" s="118" t="s">
        <v>206</v>
      </c>
      <c r="D3846" s="152" t="s">
        <v>4593</v>
      </c>
      <c r="E3846" s="152" t="s">
        <v>4662</v>
      </c>
      <c r="F3846" s="152" t="s">
        <v>494</v>
      </c>
      <c r="G3846" s="152" t="s">
        <v>3558</v>
      </c>
      <c r="H3846" s="153" t="s">
        <v>211</v>
      </c>
    </row>
    <row r="3847" hidden="1">
      <c r="A3847" s="154" t="s">
        <v>227</v>
      </c>
      <c r="B3847" s="155" t="s">
        <v>195</v>
      </c>
      <c r="C3847" s="155" t="s">
        <v>206</v>
      </c>
      <c r="D3847" s="156" t="s">
        <v>4593</v>
      </c>
      <c r="E3847" s="156" t="s">
        <v>4663</v>
      </c>
      <c r="F3847" s="156" t="s">
        <v>354</v>
      </c>
      <c r="G3847" s="156" t="s">
        <v>2965</v>
      </c>
      <c r="H3847" s="157" t="s">
        <v>212</v>
      </c>
    </row>
    <row r="3848" hidden="1">
      <c r="A3848" s="151" t="s">
        <v>227</v>
      </c>
      <c r="B3848" s="118" t="s">
        <v>195</v>
      </c>
      <c r="C3848" s="118" t="s">
        <v>206</v>
      </c>
      <c r="D3848" s="152" t="s">
        <v>4593</v>
      </c>
      <c r="E3848" s="152" t="s">
        <v>4664</v>
      </c>
      <c r="F3848" s="152" t="s">
        <v>494</v>
      </c>
      <c r="G3848" s="152" t="s">
        <v>4206</v>
      </c>
      <c r="H3848" s="153" t="s">
        <v>213</v>
      </c>
    </row>
    <row r="3849" hidden="1">
      <c r="A3849" s="154" t="s">
        <v>227</v>
      </c>
      <c r="B3849" s="155" t="s">
        <v>195</v>
      </c>
      <c r="C3849" s="155" t="s">
        <v>206</v>
      </c>
      <c r="D3849" s="156" t="s">
        <v>4593</v>
      </c>
      <c r="E3849" s="156" t="s">
        <v>4665</v>
      </c>
      <c r="F3849" s="156" t="s">
        <v>249</v>
      </c>
      <c r="G3849" s="156" t="s">
        <v>3262</v>
      </c>
      <c r="H3849" s="157" t="s">
        <v>214</v>
      </c>
    </row>
    <row r="3850" hidden="1">
      <c r="A3850" s="151" t="s">
        <v>227</v>
      </c>
      <c r="B3850" s="118" t="s">
        <v>195</v>
      </c>
      <c r="C3850" s="118" t="s">
        <v>206</v>
      </c>
      <c r="D3850" s="152" t="s">
        <v>4593</v>
      </c>
      <c r="E3850" s="152" t="s">
        <v>4666</v>
      </c>
      <c r="F3850" s="152" t="s">
        <v>427</v>
      </c>
      <c r="G3850" s="152" t="s">
        <v>2510</v>
      </c>
      <c r="H3850" s="153" t="s">
        <v>215</v>
      </c>
    </row>
    <row r="3851" hidden="1">
      <c r="A3851" s="154" t="s">
        <v>227</v>
      </c>
      <c r="B3851" s="155" t="s">
        <v>195</v>
      </c>
      <c r="C3851" s="155" t="s">
        <v>206</v>
      </c>
      <c r="D3851" s="156" t="s">
        <v>4593</v>
      </c>
      <c r="E3851" s="156" t="s">
        <v>4667</v>
      </c>
      <c r="F3851" s="156" t="s">
        <v>450</v>
      </c>
      <c r="G3851" s="156" t="s">
        <v>2826</v>
      </c>
      <c r="H3851" s="157" t="s">
        <v>216</v>
      </c>
    </row>
    <row r="3852" hidden="1">
      <c r="A3852" s="151" t="s">
        <v>228</v>
      </c>
      <c r="B3852" s="118" t="s">
        <v>138</v>
      </c>
      <c r="C3852" s="118" t="s">
        <v>206</v>
      </c>
      <c r="D3852" s="152" t="s">
        <v>4593</v>
      </c>
      <c r="E3852" s="152" t="s">
        <v>4668</v>
      </c>
      <c r="F3852" s="152" t="s">
        <v>323</v>
      </c>
      <c r="G3852" s="152" t="s">
        <v>3475</v>
      </c>
      <c r="H3852" s="153" t="s">
        <v>210</v>
      </c>
    </row>
    <row r="3853" hidden="1">
      <c r="A3853" s="154" t="s">
        <v>228</v>
      </c>
      <c r="B3853" s="155" t="s">
        <v>138</v>
      </c>
      <c r="C3853" s="155" t="s">
        <v>206</v>
      </c>
      <c r="D3853" s="156" t="s">
        <v>4593</v>
      </c>
      <c r="E3853" s="156" t="s">
        <v>4669</v>
      </c>
      <c r="F3853" s="156" t="s">
        <v>323</v>
      </c>
      <c r="G3853" s="156" t="s">
        <v>3284</v>
      </c>
      <c r="H3853" s="157" t="s">
        <v>211</v>
      </c>
    </row>
    <row r="3854" hidden="1">
      <c r="A3854" s="151" t="s">
        <v>228</v>
      </c>
      <c r="B3854" s="118" t="s">
        <v>138</v>
      </c>
      <c r="C3854" s="118" t="s">
        <v>206</v>
      </c>
      <c r="D3854" s="152" t="s">
        <v>4593</v>
      </c>
      <c r="E3854" s="152" t="s">
        <v>4670</v>
      </c>
      <c r="F3854" s="152" t="s">
        <v>458</v>
      </c>
      <c r="G3854" s="152" t="s">
        <v>3278</v>
      </c>
      <c r="H3854" s="153" t="s">
        <v>212</v>
      </c>
    </row>
    <row r="3855" hidden="1">
      <c r="A3855" s="154" t="s">
        <v>228</v>
      </c>
      <c r="B3855" s="155" t="s">
        <v>138</v>
      </c>
      <c r="C3855" s="155" t="s">
        <v>206</v>
      </c>
      <c r="D3855" s="156" t="s">
        <v>4593</v>
      </c>
      <c r="E3855" s="156" t="s">
        <v>4671</v>
      </c>
      <c r="F3855" s="156" t="s">
        <v>262</v>
      </c>
      <c r="G3855" s="156" t="s">
        <v>1921</v>
      </c>
      <c r="H3855" s="157" t="s">
        <v>213</v>
      </c>
    </row>
    <row r="3856" hidden="1">
      <c r="A3856" s="151" t="s">
        <v>228</v>
      </c>
      <c r="B3856" s="118" t="s">
        <v>138</v>
      </c>
      <c r="C3856" s="118" t="s">
        <v>206</v>
      </c>
      <c r="D3856" s="152" t="s">
        <v>4593</v>
      </c>
      <c r="E3856" s="152" t="s">
        <v>4672</v>
      </c>
      <c r="F3856" s="152" t="s">
        <v>257</v>
      </c>
      <c r="G3856" s="152" t="s">
        <v>1951</v>
      </c>
      <c r="H3856" s="153" t="s">
        <v>214</v>
      </c>
    </row>
    <row r="3857" hidden="1">
      <c r="A3857" s="154" t="s">
        <v>228</v>
      </c>
      <c r="B3857" s="155" t="s">
        <v>138</v>
      </c>
      <c r="C3857" s="155" t="s">
        <v>206</v>
      </c>
      <c r="D3857" s="156" t="s">
        <v>4593</v>
      </c>
      <c r="E3857" s="156" t="s">
        <v>4673</v>
      </c>
      <c r="F3857" s="156" t="s">
        <v>204</v>
      </c>
      <c r="G3857" s="156" t="s">
        <v>2467</v>
      </c>
      <c r="H3857" s="157" t="s">
        <v>215</v>
      </c>
    </row>
    <row r="3858" hidden="1">
      <c r="A3858" s="151" t="s">
        <v>228</v>
      </c>
      <c r="B3858" s="118" t="s">
        <v>138</v>
      </c>
      <c r="C3858" s="118" t="s">
        <v>206</v>
      </c>
      <c r="D3858" s="152" t="s">
        <v>4593</v>
      </c>
      <c r="E3858" s="152" t="s">
        <v>4674</v>
      </c>
      <c r="F3858" s="152" t="s">
        <v>242</v>
      </c>
      <c r="G3858" s="152" t="s">
        <v>3312</v>
      </c>
      <c r="H3858" s="153" t="s">
        <v>216</v>
      </c>
    </row>
    <row r="3859" hidden="1">
      <c r="A3859" s="154" t="s">
        <v>229</v>
      </c>
      <c r="B3859" s="155" t="s">
        <v>193</v>
      </c>
      <c r="C3859" s="155" t="s">
        <v>206</v>
      </c>
      <c r="D3859" s="156" t="s">
        <v>4593</v>
      </c>
      <c r="E3859" s="156" t="s">
        <v>4675</v>
      </c>
      <c r="F3859" s="156" t="s">
        <v>323</v>
      </c>
      <c r="G3859" s="156" t="s">
        <v>2824</v>
      </c>
      <c r="H3859" s="157" t="s">
        <v>210</v>
      </c>
    </row>
    <row r="3860" hidden="1">
      <c r="A3860" s="151" t="s">
        <v>229</v>
      </c>
      <c r="B3860" s="118" t="s">
        <v>193</v>
      </c>
      <c r="C3860" s="118" t="s">
        <v>206</v>
      </c>
      <c r="D3860" s="152" t="s">
        <v>4593</v>
      </c>
      <c r="E3860" s="152" t="s">
        <v>4676</v>
      </c>
      <c r="F3860" s="152" t="s">
        <v>331</v>
      </c>
      <c r="G3860" s="152" t="s">
        <v>2006</v>
      </c>
      <c r="H3860" s="153" t="s">
        <v>211</v>
      </c>
    </row>
    <row r="3861" hidden="1">
      <c r="A3861" s="154" t="s">
        <v>229</v>
      </c>
      <c r="B3861" s="155" t="s">
        <v>193</v>
      </c>
      <c r="C3861" s="155" t="s">
        <v>206</v>
      </c>
      <c r="D3861" s="156" t="s">
        <v>4593</v>
      </c>
      <c r="E3861" s="156" t="s">
        <v>4677</v>
      </c>
      <c r="F3861" s="156" t="s">
        <v>321</v>
      </c>
      <c r="G3861" s="156" t="s">
        <v>3893</v>
      </c>
      <c r="H3861" s="157" t="s">
        <v>212</v>
      </c>
    </row>
    <row r="3862" hidden="1">
      <c r="A3862" s="151" t="s">
        <v>229</v>
      </c>
      <c r="B3862" s="118" t="s">
        <v>193</v>
      </c>
      <c r="C3862" s="118" t="s">
        <v>206</v>
      </c>
      <c r="D3862" s="152" t="s">
        <v>4593</v>
      </c>
      <c r="E3862" s="152" t="s">
        <v>4678</v>
      </c>
      <c r="F3862" s="152" t="s">
        <v>329</v>
      </c>
      <c r="G3862" s="152" t="s">
        <v>3616</v>
      </c>
      <c r="H3862" s="153" t="s">
        <v>213</v>
      </c>
    </row>
    <row r="3863" hidden="1">
      <c r="A3863" s="154" t="s">
        <v>229</v>
      </c>
      <c r="B3863" s="155" t="s">
        <v>193</v>
      </c>
      <c r="C3863" s="155" t="s">
        <v>206</v>
      </c>
      <c r="D3863" s="156" t="s">
        <v>4593</v>
      </c>
      <c r="E3863" s="156" t="s">
        <v>4679</v>
      </c>
      <c r="F3863" s="156" t="s">
        <v>359</v>
      </c>
      <c r="G3863" s="156" t="s">
        <v>2665</v>
      </c>
      <c r="H3863" s="157" t="s">
        <v>214</v>
      </c>
    </row>
    <row r="3864" hidden="1">
      <c r="A3864" s="151" t="s">
        <v>229</v>
      </c>
      <c r="B3864" s="118" t="s">
        <v>193</v>
      </c>
      <c r="C3864" s="118" t="s">
        <v>206</v>
      </c>
      <c r="D3864" s="152" t="s">
        <v>4593</v>
      </c>
      <c r="E3864" s="152" t="s">
        <v>4680</v>
      </c>
      <c r="F3864" s="152" t="s">
        <v>314</v>
      </c>
      <c r="G3864" s="152" t="s">
        <v>3513</v>
      </c>
      <c r="H3864" s="153" t="s">
        <v>215</v>
      </c>
    </row>
    <row r="3865" hidden="1">
      <c r="A3865" s="154" t="s">
        <v>229</v>
      </c>
      <c r="B3865" s="155" t="s">
        <v>193</v>
      </c>
      <c r="C3865" s="155" t="s">
        <v>206</v>
      </c>
      <c r="D3865" s="156" t="s">
        <v>4593</v>
      </c>
      <c r="E3865" s="156" t="s">
        <v>4681</v>
      </c>
      <c r="F3865" s="156" t="s">
        <v>321</v>
      </c>
      <c r="G3865" s="156" t="s">
        <v>3475</v>
      </c>
      <c r="H3865" s="157" t="s">
        <v>216</v>
      </c>
    </row>
    <row r="3866" hidden="1">
      <c r="A3866" s="151" t="s">
        <v>230</v>
      </c>
      <c r="B3866" s="118" t="s">
        <v>194</v>
      </c>
      <c r="C3866" s="118" t="s">
        <v>206</v>
      </c>
      <c r="D3866" s="152" t="s">
        <v>4593</v>
      </c>
      <c r="E3866" s="152" t="s">
        <v>4682</v>
      </c>
      <c r="F3866" s="152" t="s">
        <v>257</v>
      </c>
      <c r="G3866" s="152" t="s">
        <v>3911</v>
      </c>
      <c r="H3866" s="153" t="s">
        <v>210</v>
      </c>
    </row>
    <row r="3867" hidden="1">
      <c r="A3867" s="154" t="s">
        <v>230</v>
      </c>
      <c r="B3867" s="155" t="s">
        <v>194</v>
      </c>
      <c r="C3867" s="155" t="s">
        <v>206</v>
      </c>
      <c r="D3867" s="156" t="s">
        <v>4593</v>
      </c>
      <c r="E3867" s="156" t="s">
        <v>4683</v>
      </c>
      <c r="F3867" s="156" t="s">
        <v>249</v>
      </c>
      <c r="G3867" s="156" t="s">
        <v>3265</v>
      </c>
      <c r="H3867" s="157" t="s">
        <v>211</v>
      </c>
    </row>
    <row r="3868" hidden="1">
      <c r="A3868" s="151" t="s">
        <v>230</v>
      </c>
      <c r="B3868" s="118" t="s">
        <v>194</v>
      </c>
      <c r="C3868" s="118" t="s">
        <v>206</v>
      </c>
      <c r="D3868" s="152" t="s">
        <v>4593</v>
      </c>
      <c r="E3868" s="152" t="s">
        <v>4684</v>
      </c>
      <c r="F3868" s="152" t="s">
        <v>310</v>
      </c>
      <c r="G3868" s="152" t="s">
        <v>4685</v>
      </c>
      <c r="H3868" s="153" t="s">
        <v>212</v>
      </c>
    </row>
    <row r="3869" hidden="1">
      <c r="A3869" s="154" t="s">
        <v>230</v>
      </c>
      <c r="B3869" s="155" t="s">
        <v>194</v>
      </c>
      <c r="C3869" s="155" t="s">
        <v>206</v>
      </c>
      <c r="D3869" s="156" t="s">
        <v>4593</v>
      </c>
      <c r="E3869" s="156" t="s">
        <v>4686</v>
      </c>
      <c r="F3869" s="156" t="s">
        <v>323</v>
      </c>
      <c r="G3869" s="156" t="s">
        <v>3932</v>
      </c>
      <c r="H3869" s="157" t="s">
        <v>213</v>
      </c>
    </row>
    <row r="3870" hidden="1">
      <c r="A3870" s="151" t="s">
        <v>230</v>
      </c>
      <c r="B3870" s="118" t="s">
        <v>194</v>
      </c>
      <c r="C3870" s="118" t="s">
        <v>206</v>
      </c>
      <c r="D3870" s="152" t="s">
        <v>4593</v>
      </c>
      <c r="E3870" s="152" t="s">
        <v>4687</v>
      </c>
      <c r="F3870" s="152" t="s">
        <v>305</v>
      </c>
      <c r="G3870" s="152" t="s">
        <v>4688</v>
      </c>
      <c r="H3870" s="153" t="s">
        <v>214</v>
      </c>
    </row>
    <row r="3871" hidden="1">
      <c r="A3871" s="154" t="s">
        <v>230</v>
      </c>
      <c r="B3871" s="155" t="s">
        <v>194</v>
      </c>
      <c r="C3871" s="155" t="s">
        <v>206</v>
      </c>
      <c r="D3871" s="156" t="s">
        <v>4593</v>
      </c>
      <c r="E3871" s="156" t="s">
        <v>4689</v>
      </c>
      <c r="F3871" s="156" t="s">
        <v>314</v>
      </c>
      <c r="G3871" s="156" t="s">
        <v>3468</v>
      </c>
      <c r="H3871" s="157" t="s">
        <v>215</v>
      </c>
    </row>
    <row r="3872" hidden="1">
      <c r="A3872" s="151" t="s">
        <v>230</v>
      </c>
      <c r="B3872" s="118" t="s">
        <v>194</v>
      </c>
      <c r="C3872" s="118" t="s">
        <v>206</v>
      </c>
      <c r="D3872" s="152" t="s">
        <v>4593</v>
      </c>
      <c r="E3872" s="152" t="s">
        <v>4690</v>
      </c>
      <c r="F3872" s="152" t="s">
        <v>323</v>
      </c>
      <c r="G3872" s="152" t="s">
        <v>3595</v>
      </c>
      <c r="H3872" s="153" t="s">
        <v>216</v>
      </c>
    </row>
    <row r="3873" hidden="1">
      <c r="A3873" s="158" t="s">
        <v>231</v>
      </c>
      <c r="B3873" s="159"/>
      <c r="C3873" s="155" t="s">
        <v>232</v>
      </c>
      <c r="D3873" s="156" t="s">
        <v>4593</v>
      </c>
      <c r="E3873" s="156" t="s">
        <v>4691</v>
      </c>
      <c r="F3873" s="156" t="s">
        <v>308</v>
      </c>
      <c r="G3873" s="156" t="s">
        <v>1949</v>
      </c>
      <c r="H3873" s="157" t="s">
        <v>210</v>
      </c>
    </row>
    <row r="3874" hidden="1">
      <c r="A3874" s="160" t="s">
        <v>231</v>
      </c>
      <c r="B3874" s="72"/>
      <c r="C3874" s="118" t="s">
        <v>232</v>
      </c>
      <c r="D3874" s="152" t="s">
        <v>4593</v>
      </c>
      <c r="E3874" s="152" t="s">
        <v>4692</v>
      </c>
      <c r="F3874" s="152" t="s">
        <v>314</v>
      </c>
      <c r="G3874" s="152" t="s">
        <v>3287</v>
      </c>
      <c r="H3874" s="153" t="s">
        <v>211</v>
      </c>
    </row>
    <row r="3875" hidden="1">
      <c r="A3875" s="158" t="s">
        <v>231</v>
      </c>
      <c r="B3875" s="159"/>
      <c r="C3875" s="155" t="s">
        <v>232</v>
      </c>
      <c r="D3875" s="156" t="s">
        <v>4593</v>
      </c>
      <c r="E3875" s="156" t="s">
        <v>4693</v>
      </c>
      <c r="F3875" s="156" t="s">
        <v>314</v>
      </c>
      <c r="G3875" s="156" t="s">
        <v>3059</v>
      </c>
      <c r="H3875" s="157" t="s">
        <v>212</v>
      </c>
    </row>
    <row r="3876" hidden="1">
      <c r="A3876" s="160" t="s">
        <v>231</v>
      </c>
      <c r="B3876" s="72"/>
      <c r="C3876" s="118" t="s">
        <v>232</v>
      </c>
      <c r="D3876" s="152" t="s">
        <v>4593</v>
      </c>
      <c r="E3876" s="152" t="s">
        <v>4694</v>
      </c>
      <c r="F3876" s="152" t="s">
        <v>285</v>
      </c>
      <c r="G3876" s="152" t="s">
        <v>3312</v>
      </c>
      <c r="H3876" s="153" t="s">
        <v>213</v>
      </c>
    </row>
    <row r="3877" hidden="1">
      <c r="A3877" s="158" t="s">
        <v>231</v>
      </c>
      <c r="B3877" s="159"/>
      <c r="C3877" s="155" t="s">
        <v>232</v>
      </c>
      <c r="D3877" s="156" t="s">
        <v>4593</v>
      </c>
      <c r="E3877" s="156" t="s">
        <v>4695</v>
      </c>
      <c r="F3877" s="156" t="s">
        <v>323</v>
      </c>
      <c r="G3877" s="156" t="s">
        <v>2107</v>
      </c>
      <c r="H3877" s="157" t="s">
        <v>214</v>
      </c>
    </row>
    <row r="3878" hidden="1">
      <c r="A3878" s="160" t="s">
        <v>231</v>
      </c>
      <c r="B3878" s="72"/>
      <c r="C3878" s="118" t="s">
        <v>232</v>
      </c>
      <c r="D3878" s="152" t="s">
        <v>4593</v>
      </c>
      <c r="E3878" s="152" t="s">
        <v>4696</v>
      </c>
      <c r="F3878" s="152" t="s">
        <v>359</v>
      </c>
      <c r="G3878" s="152" t="s">
        <v>3364</v>
      </c>
      <c r="H3878" s="153" t="s">
        <v>215</v>
      </c>
    </row>
    <row r="3879" hidden="1">
      <c r="A3879" s="158" t="s">
        <v>231</v>
      </c>
      <c r="B3879" s="159"/>
      <c r="C3879" s="155" t="s">
        <v>232</v>
      </c>
      <c r="D3879" s="156" t="s">
        <v>4593</v>
      </c>
      <c r="E3879" s="156" t="s">
        <v>4697</v>
      </c>
      <c r="F3879" s="156" t="s">
        <v>321</v>
      </c>
      <c r="G3879" s="156" t="s">
        <v>3151</v>
      </c>
      <c r="H3879" s="157" t="s">
        <v>216</v>
      </c>
    </row>
    <row r="3880" hidden="1">
      <c r="A3880" s="160" t="s">
        <v>233</v>
      </c>
      <c r="B3880" s="72"/>
      <c r="C3880" s="118" t="s">
        <v>232</v>
      </c>
      <c r="D3880" s="152" t="s">
        <v>4593</v>
      </c>
      <c r="E3880" s="152" t="s">
        <v>4698</v>
      </c>
      <c r="F3880" s="152" t="s">
        <v>249</v>
      </c>
      <c r="G3880" s="152" t="s">
        <v>4386</v>
      </c>
      <c r="H3880" s="153" t="s">
        <v>210</v>
      </c>
    </row>
    <row r="3881" hidden="1">
      <c r="A3881" s="158" t="s">
        <v>233</v>
      </c>
      <c r="B3881" s="159"/>
      <c r="C3881" s="155" t="s">
        <v>232</v>
      </c>
      <c r="D3881" s="156" t="s">
        <v>4593</v>
      </c>
      <c r="E3881" s="156" t="s">
        <v>4699</v>
      </c>
      <c r="F3881" s="156" t="s">
        <v>331</v>
      </c>
      <c r="G3881" s="156" t="s">
        <v>4161</v>
      </c>
      <c r="H3881" s="157" t="s">
        <v>211</v>
      </c>
    </row>
    <row r="3882" hidden="1">
      <c r="A3882" s="160" t="s">
        <v>233</v>
      </c>
      <c r="B3882" s="72"/>
      <c r="C3882" s="118" t="s">
        <v>232</v>
      </c>
      <c r="D3882" s="152" t="s">
        <v>4593</v>
      </c>
      <c r="E3882" s="152" t="s">
        <v>4700</v>
      </c>
      <c r="F3882" s="152" t="s">
        <v>290</v>
      </c>
      <c r="G3882" s="152" t="s">
        <v>4215</v>
      </c>
      <c r="H3882" s="153" t="s">
        <v>212</v>
      </c>
    </row>
    <row r="3883" hidden="1">
      <c r="A3883" s="158" t="s">
        <v>233</v>
      </c>
      <c r="B3883" s="159"/>
      <c r="C3883" s="155" t="s">
        <v>232</v>
      </c>
      <c r="D3883" s="156" t="s">
        <v>4593</v>
      </c>
      <c r="E3883" s="156" t="s">
        <v>4701</v>
      </c>
      <c r="F3883" s="156" t="s">
        <v>534</v>
      </c>
      <c r="G3883" s="156" t="s">
        <v>4287</v>
      </c>
      <c r="H3883" s="157" t="s">
        <v>213</v>
      </c>
    </row>
    <row r="3884" hidden="1">
      <c r="A3884" s="160" t="s">
        <v>233</v>
      </c>
      <c r="B3884" s="72"/>
      <c r="C3884" s="118" t="s">
        <v>232</v>
      </c>
      <c r="D3884" s="152" t="s">
        <v>4593</v>
      </c>
      <c r="E3884" s="152" t="s">
        <v>4702</v>
      </c>
      <c r="F3884" s="152" t="s">
        <v>308</v>
      </c>
      <c r="G3884" s="152" t="s">
        <v>3756</v>
      </c>
      <c r="H3884" s="153" t="s">
        <v>214</v>
      </c>
    </row>
    <row r="3885" hidden="1">
      <c r="A3885" s="158" t="s">
        <v>233</v>
      </c>
      <c r="B3885" s="159"/>
      <c r="C3885" s="155" t="s">
        <v>232</v>
      </c>
      <c r="D3885" s="156" t="s">
        <v>4593</v>
      </c>
      <c r="E3885" s="156" t="s">
        <v>4703</v>
      </c>
      <c r="F3885" s="156" t="s">
        <v>331</v>
      </c>
      <c r="G3885" s="156" t="s">
        <v>2515</v>
      </c>
      <c r="H3885" s="157" t="s">
        <v>215</v>
      </c>
    </row>
    <row r="3886" hidden="1">
      <c r="A3886" s="160" t="s">
        <v>233</v>
      </c>
      <c r="B3886" s="72"/>
      <c r="C3886" s="118" t="s">
        <v>232</v>
      </c>
      <c r="D3886" s="152" t="s">
        <v>4593</v>
      </c>
      <c r="E3886" s="152" t="s">
        <v>4704</v>
      </c>
      <c r="F3886" s="152" t="s">
        <v>308</v>
      </c>
      <c r="G3886" s="152" t="s">
        <v>4317</v>
      </c>
      <c r="H3886" s="153" t="s">
        <v>216</v>
      </c>
    </row>
    <row r="3887" hidden="1">
      <c r="A3887" s="158" t="s">
        <v>234</v>
      </c>
      <c r="B3887" s="159"/>
      <c r="C3887" s="155" t="s">
        <v>232</v>
      </c>
      <c r="D3887" s="156" t="s">
        <v>4593</v>
      </c>
      <c r="E3887" s="156" t="s">
        <v>4705</v>
      </c>
      <c r="F3887" s="156" t="s">
        <v>308</v>
      </c>
      <c r="G3887" s="156" t="s">
        <v>3296</v>
      </c>
      <c r="H3887" s="157" t="s">
        <v>210</v>
      </c>
    </row>
    <row r="3888" hidden="1">
      <c r="A3888" s="160" t="s">
        <v>234</v>
      </c>
      <c r="B3888" s="72"/>
      <c r="C3888" s="118" t="s">
        <v>232</v>
      </c>
      <c r="D3888" s="152" t="s">
        <v>4593</v>
      </c>
      <c r="E3888" s="152" t="s">
        <v>4706</v>
      </c>
      <c r="F3888" s="152" t="s">
        <v>534</v>
      </c>
      <c r="G3888" s="152" t="s">
        <v>3368</v>
      </c>
      <c r="H3888" s="153" t="s">
        <v>211</v>
      </c>
    </row>
    <row r="3889" hidden="1">
      <c r="A3889" s="158" t="s">
        <v>234</v>
      </c>
      <c r="B3889" s="159"/>
      <c r="C3889" s="155" t="s">
        <v>232</v>
      </c>
      <c r="D3889" s="156" t="s">
        <v>4593</v>
      </c>
      <c r="E3889" s="156" t="s">
        <v>4707</v>
      </c>
      <c r="F3889" s="156" t="s">
        <v>310</v>
      </c>
      <c r="G3889" s="156" t="s">
        <v>3432</v>
      </c>
      <c r="H3889" s="157" t="s">
        <v>212</v>
      </c>
    </row>
    <row r="3890" hidden="1">
      <c r="A3890" s="160" t="s">
        <v>234</v>
      </c>
      <c r="B3890" s="72"/>
      <c r="C3890" s="118" t="s">
        <v>232</v>
      </c>
      <c r="D3890" s="152" t="s">
        <v>4593</v>
      </c>
      <c r="E3890" s="152" t="s">
        <v>4708</v>
      </c>
      <c r="F3890" s="152" t="s">
        <v>249</v>
      </c>
      <c r="G3890" s="152" t="s">
        <v>4709</v>
      </c>
      <c r="H3890" s="153" t="s">
        <v>213</v>
      </c>
    </row>
    <row r="3891" hidden="1">
      <c r="A3891" s="158" t="s">
        <v>234</v>
      </c>
      <c r="B3891" s="159"/>
      <c r="C3891" s="155" t="s">
        <v>232</v>
      </c>
      <c r="D3891" s="156" t="s">
        <v>4593</v>
      </c>
      <c r="E3891" s="156" t="s">
        <v>4710</v>
      </c>
      <c r="F3891" s="156" t="s">
        <v>249</v>
      </c>
      <c r="G3891" s="156" t="s">
        <v>4283</v>
      </c>
      <c r="H3891" s="157" t="s">
        <v>214</v>
      </c>
    </row>
    <row r="3892" hidden="1">
      <c r="A3892" s="160" t="s">
        <v>234</v>
      </c>
      <c r="B3892" s="72"/>
      <c r="C3892" s="118" t="s">
        <v>232</v>
      </c>
      <c r="D3892" s="152" t="s">
        <v>4593</v>
      </c>
      <c r="E3892" s="152" t="s">
        <v>4711</v>
      </c>
      <c r="F3892" s="152" t="s">
        <v>534</v>
      </c>
      <c r="G3892" s="152" t="s">
        <v>4712</v>
      </c>
      <c r="H3892" s="153" t="s">
        <v>215</v>
      </c>
    </row>
    <row r="3893" hidden="1">
      <c r="A3893" s="158" t="s">
        <v>234</v>
      </c>
      <c r="B3893" s="159"/>
      <c r="C3893" s="155" t="s">
        <v>232</v>
      </c>
      <c r="D3893" s="156" t="s">
        <v>4593</v>
      </c>
      <c r="E3893" s="156" t="s">
        <v>4713</v>
      </c>
      <c r="F3893" s="156" t="s">
        <v>331</v>
      </c>
      <c r="G3893" s="156" t="s">
        <v>4029</v>
      </c>
      <c r="H3893" s="157" t="s">
        <v>216</v>
      </c>
    </row>
    <row r="3894" hidden="1">
      <c r="A3894" s="160" t="s">
        <v>235</v>
      </c>
      <c r="B3894" s="72"/>
      <c r="C3894" s="118" t="s">
        <v>236</v>
      </c>
      <c r="D3894" s="152" t="s">
        <v>4593</v>
      </c>
      <c r="E3894" s="152" t="s">
        <v>4714</v>
      </c>
      <c r="F3894" s="152" t="s">
        <v>308</v>
      </c>
      <c r="G3894" s="152" t="s">
        <v>4659</v>
      </c>
      <c r="H3894" s="153" t="s">
        <v>210</v>
      </c>
    </row>
    <row r="3895" hidden="1">
      <c r="A3895" s="158" t="s">
        <v>235</v>
      </c>
      <c r="B3895" s="159"/>
      <c r="C3895" s="155" t="s">
        <v>236</v>
      </c>
      <c r="D3895" s="156" t="s">
        <v>4593</v>
      </c>
      <c r="E3895" s="156" t="s">
        <v>4715</v>
      </c>
      <c r="F3895" s="156" t="s">
        <v>308</v>
      </c>
      <c r="G3895" s="156" t="s">
        <v>3756</v>
      </c>
      <c r="H3895" s="157" t="s">
        <v>211</v>
      </c>
    </row>
    <row r="3896" hidden="1">
      <c r="A3896" s="160" t="s">
        <v>235</v>
      </c>
      <c r="B3896" s="72"/>
      <c r="C3896" s="118" t="s">
        <v>236</v>
      </c>
      <c r="D3896" s="152" t="s">
        <v>4593</v>
      </c>
      <c r="E3896" s="152" t="s">
        <v>4716</v>
      </c>
      <c r="F3896" s="152" t="s">
        <v>331</v>
      </c>
      <c r="G3896" s="152" t="s">
        <v>3296</v>
      </c>
      <c r="H3896" s="153" t="s">
        <v>212</v>
      </c>
    </row>
    <row r="3897" hidden="1">
      <c r="A3897" s="158" t="s">
        <v>235</v>
      </c>
      <c r="B3897" s="159"/>
      <c r="C3897" s="155" t="s">
        <v>236</v>
      </c>
      <c r="D3897" s="156" t="s">
        <v>4593</v>
      </c>
      <c r="E3897" s="156" t="s">
        <v>4717</v>
      </c>
      <c r="F3897" s="156" t="s">
        <v>331</v>
      </c>
      <c r="G3897" s="156" t="s">
        <v>3368</v>
      </c>
      <c r="H3897" s="157" t="s">
        <v>213</v>
      </c>
    </row>
    <row r="3898" hidden="1">
      <c r="A3898" s="160" t="s">
        <v>235</v>
      </c>
      <c r="B3898" s="72"/>
      <c r="C3898" s="118" t="s">
        <v>236</v>
      </c>
      <c r="D3898" s="152" t="s">
        <v>4593</v>
      </c>
      <c r="E3898" s="152" t="s">
        <v>4718</v>
      </c>
      <c r="F3898" s="152" t="s">
        <v>308</v>
      </c>
      <c r="G3898" s="152" t="s">
        <v>3543</v>
      </c>
      <c r="H3898" s="153" t="s">
        <v>214</v>
      </c>
    </row>
    <row r="3899" hidden="1">
      <c r="A3899" s="158" t="s">
        <v>235</v>
      </c>
      <c r="B3899" s="159"/>
      <c r="C3899" s="155" t="s">
        <v>236</v>
      </c>
      <c r="D3899" s="156" t="s">
        <v>4593</v>
      </c>
      <c r="E3899" s="156" t="s">
        <v>4719</v>
      </c>
      <c r="F3899" s="156" t="s">
        <v>249</v>
      </c>
      <c r="G3899" s="156" t="s">
        <v>3595</v>
      </c>
      <c r="H3899" s="157" t="s">
        <v>215</v>
      </c>
    </row>
    <row r="3900" hidden="1">
      <c r="A3900" s="160" t="s">
        <v>235</v>
      </c>
      <c r="B3900" s="72"/>
      <c r="C3900" s="118" t="s">
        <v>236</v>
      </c>
      <c r="D3900" s="152" t="s">
        <v>4593</v>
      </c>
      <c r="E3900" s="152" t="s">
        <v>4720</v>
      </c>
      <c r="F3900" s="152" t="s">
        <v>308</v>
      </c>
      <c r="G3900" s="152" t="s">
        <v>4293</v>
      </c>
      <c r="H3900" s="153" t="s">
        <v>216</v>
      </c>
    </row>
    <row r="3901" hidden="1">
      <c r="A3901" s="158" t="s">
        <v>237</v>
      </c>
      <c r="B3901" s="159"/>
      <c r="C3901" s="155" t="s">
        <v>236</v>
      </c>
      <c r="D3901" s="156" t="s">
        <v>4593</v>
      </c>
      <c r="E3901" s="156" t="s">
        <v>4721</v>
      </c>
      <c r="F3901" s="156" t="s">
        <v>321</v>
      </c>
      <c r="G3901" s="156" t="s">
        <v>3154</v>
      </c>
      <c r="H3901" s="157" t="s">
        <v>210</v>
      </c>
    </row>
    <row r="3902" hidden="1">
      <c r="A3902" s="160" t="s">
        <v>237</v>
      </c>
      <c r="B3902" s="72"/>
      <c r="C3902" s="118" t="s">
        <v>236</v>
      </c>
      <c r="D3902" s="152" t="s">
        <v>4593</v>
      </c>
      <c r="E3902" s="152" t="s">
        <v>4722</v>
      </c>
      <c r="F3902" s="152" t="s">
        <v>290</v>
      </c>
      <c r="G3902" s="152" t="s">
        <v>2006</v>
      </c>
      <c r="H3902" s="153" t="s">
        <v>211</v>
      </c>
    </row>
    <row r="3903" hidden="1">
      <c r="A3903" s="158" t="s">
        <v>237</v>
      </c>
      <c r="B3903" s="159"/>
      <c r="C3903" s="155" t="s">
        <v>236</v>
      </c>
      <c r="D3903" s="156" t="s">
        <v>4593</v>
      </c>
      <c r="E3903" s="156" t="s">
        <v>4723</v>
      </c>
      <c r="F3903" s="156" t="s">
        <v>305</v>
      </c>
      <c r="G3903" s="156" t="s">
        <v>3812</v>
      </c>
      <c r="H3903" s="157" t="s">
        <v>212</v>
      </c>
    </row>
    <row r="3904" hidden="1">
      <c r="A3904" s="160" t="s">
        <v>237</v>
      </c>
      <c r="B3904" s="72"/>
      <c r="C3904" s="118" t="s">
        <v>236</v>
      </c>
      <c r="D3904" s="152" t="s">
        <v>4593</v>
      </c>
      <c r="E3904" s="152" t="s">
        <v>4724</v>
      </c>
      <c r="F3904" s="152" t="s">
        <v>290</v>
      </c>
      <c r="G3904" s="152" t="s">
        <v>4002</v>
      </c>
      <c r="H3904" s="153" t="s">
        <v>213</v>
      </c>
    </row>
    <row r="3905" hidden="1">
      <c r="A3905" s="158" t="s">
        <v>237</v>
      </c>
      <c r="B3905" s="159"/>
      <c r="C3905" s="155" t="s">
        <v>236</v>
      </c>
      <c r="D3905" s="156" t="s">
        <v>4593</v>
      </c>
      <c r="E3905" s="156" t="s">
        <v>4725</v>
      </c>
      <c r="F3905" s="156" t="s">
        <v>321</v>
      </c>
      <c r="G3905" s="156" t="s">
        <v>2006</v>
      </c>
      <c r="H3905" s="157" t="s">
        <v>214</v>
      </c>
    </row>
    <row r="3906" hidden="1">
      <c r="A3906" s="160" t="s">
        <v>237</v>
      </c>
      <c r="B3906" s="72"/>
      <c r="C3906" s="118" t="s">
        <v>236</v>
      </c>
      <c r="D3906" s="152" t="s">
        <v>4593</v>
      </c>
      <c r="E3906" s="152" t="s">
        <v>4726</v>
      </c>
      <c r="F3906" s="152" t="s">
        <v>310</v>
      </c>
      <c r="G3906" s="152" t="s">
        <v>2510</v>
      </c>
      <c r="H3906" s="153" t="s">
        <v>215</v>
      </c>
    </row>
    <row r="3907" hidden="1">
      <c r="A3907" s="158" t="s">
        <v>237</v>
      </c>
      <c r="B3907" s="159"/>
      <c r="C3907" s="155" t="s">
        <v>236</v>
      </c>
      <c r="D3907" s="156" t="s">
        <v>4593</v>
      </c>
      <c r="E3907" s="156" t="s">
        <v>4727</v>
      </c>
      <c r="F3907" s="156" t="s">
        <v>308</v>
      </c>
      <c r="G3907" s="156" t="s">
        <v>3613</v>
      </c>
      <c r="H3907" s="157" t="s">
        <v>216</v>
      </c>
    </row>
    <row r="3908" hidden="1">
      <c r="A3908" s="151" t="s">
        <v>204</v>
      </c>
      <c r="B3908" s="118" t="s">
        <v>205</v>
      </c>
      <c r="C3908" s="118" t="s">
        <v>206</v>
      </c>
      <c r="D3908" s="152" t="s">
        <v>4728</v>
      </c>
      <c r="E3908" s="152" t="s">
        <v>4729</v>
      </c>
      <c r="F3908" s="152" t="s">
        <v>323</v>
      </c>
      <c r="G3908" s="152" t="s">
        <v>4060</v>
      </c>
      <c r="H3908" s="153" t="s">
        <v>210</v>
      </c>
    </row>
    <row r="3909" hidden="1">
      <c r="A3909" s="154" t="s">
        <v>204</v>
      </c>
      <c r="B3909" s="155" t="s">
        <v>205</v>
      </c>
      <c r="C3909" s="155" t="s">
        <v>206</v>
      </c>
      <c r="D3909" s="156" t="s">
        <v>4728</v>
      </c>
      <c r="E3909" s="156" t="s">
        <v>4730</v>
      </c>
      <c r="F3909" s="156" t="s">
        <v>285</v>
      </c>
      <c r="G3909" s="156" t="s">
        <v>4002</v>
      </c>
      <c r="H3909" s="157" t="s">
        <v>211</v>
      </c>
    </row>
    <row r="3910" hidden="1">
      <c r="A3910" s="151" t="s">
        <v>204</v>
      </c>
      <c r="B3910" s="118" t="s">
        <v>205</v>
      </c>
      <c r="C3910" s="118" t="s">
        <v>206</v>
      </c>
      <c r="D3910" s="152" t="s">
        <v>4728</v>
      </c>
      <c r="E3910" s="152" t="s">
        <v>4731</v>
      </c>
      <c r="F3910" s="152" t="s">
        <v>357</v>
      </c>
      <c r="G3910" s="152" t="s">
        <v>1997</v>
      </c>
      <c r="H3910" s="153" t="s">
        <v>212</v>
      </c>
    </row>
    <row r="3911" hidden="1">
      <c r="A3911" s="154" t="s">
        <v>204</v>
      </c>
      <c r="B3911" s="155" t="s">
        <v>205</v>
      </c>
      <c r="C3911" s="155" t="s">
        <v>206</v>
      </c>
      <c r="D3911" s="156" t="s">
        <v>4728</v>
      </c>
      <c r="E3911" s="156" t="s">
        <v>4732</v>
      </c>
      <c r="F3911" s="156" t="s">
        <v>365</v>
      </c>
      <c r="G3911" s="156" t="s">
        <v>4196</v>
      </c>
      <c r="H3911" s="157" t="s">
        <v>213</v>
      </c>
    </row>
    <row r="3912" hidden="1">
      <c r="A3912" s="151" t="s">
        <v>204</v>
      </c>
      <c r="B3912" s="118" t="s">
        <v>205</v>
      </c>
      <c r="C3912" s="118" t="s">
        <v>206</v>
      </c>
      <c r="D3912" s="152" t="s">
        <v>4728</v>
      </c>
      <c r="E3912" s="152" t="s">
        <v>4733</v>
      </c>
      <c r="F3912" s="152" t="s">
        <v>331</v>
      </c>
      <c r="G3912" s="152" t="s">
        <v>1793</v>
      </c>
      <c r="H3912" s="153" t="s">
        <v>214</v>
      </c>
    </row>
    <row r="3913" hidden="1">
      <c r="A3913" s="154" t="s">
        <v>204</v>
      </c>
      <c r="B3913" s="155" t="s">
        <v>205</v>
      </c>
      <c r="C3913" s="155" t="s">
        <v>206</v>
      </c>
      <c r="D3913" s="156" t="s">
        <v>4728</v>
      </c>
      <c r="E3913" s="156" t="s">
        <v>4734</v>
      </c>
      <c r="F3913" s="156" t="s">
        <v>321</v>
      </c>
      <c r="G3913" s="156" t="s">
        <v>4196</v>
      </c>
      <c r="H3913" s="157" t="s">
        <v>215</v>
      </c>
    </row>
    <row r="3914" hidden="1">
      <c r="A3914" s="151" t="s">
        <v>204</v>
      </c>
      <c r="B3914" s="118" t="s">
        <v>205</v>
      </c>
      <c r="C3914" s="118" t="s">
        <v>206</v>
      </c>
      <c r="D3914" s="152" t="s">
        <v>4728</v>
      </c>
      <c r="E3914" s="152" t="s">
        <v>4735</v>
      </c>
      <c r="F3914" s="152" t="s">
        <v>285</v>
      </c>
      <c r="G3914" s="152" t="s">
        <v>3812</v>
      </c>
      <c r="H3914" s="153" t="s">
        <v>216</v>
      </c>
    </row>
    <row r="3915" hidden="1">
      <c r="A3915" s="154" t="s">
        <v>217</v>
      </c>
      <c r="B3915" s="155" t="s">
        <v>191</v>
      </c>
      <c r="C3915" s="155" t="s">
        <v>206</v>
      </c>
      <c r="D3915" s="156" t="s">
        <v>4728</v>
      </c>
      <c r="E3915" s="156" t="s">
        <v>4736</v>
      </c>
      <c r="F3915" s="156" t="s">
        <v>321</v>
      </c>
      <c r="G3915" s="156" t="s">
        <v>4161</v>
      </c>
      <c r="H3915" s="157" t="s">
        <v>210</v>
      </c>
    </row>
    <row r="3916" hidden="1">
      <c r="A3916" s="151" t="s">
        <v>217</v>
      </c>
      <c r="B3916" s="118" t="s">
        <v>191</v>
      </c>
      <c r="C3916" s="118" t="s">
        <v>206</v>
      </c>
      <c r="D3916" s="152" t="s">
        <v>4728</v>
      </c>
      <c r="E3916" s="152" t="s">
        <v>4737</v>
      </c>
      <c r="F3916" s="152" t="s">
        <v>285</v>
      </c>
      <c r="G3916" s="152" t="s">
        <v>2179</v>
      </c>
      <c r="H3916" s="153" t="s">
        <v>211</v>
      </c>
    </row>
    <row r="3917" hidden="1">
      <c r="A3917" s="154" t="s">
        <v>217</v>
      </c>
      <c r="B3917" s="155" t="s">
        <v>191</v>
      </c>
      <c r="C3917" s="155" t="s">
        <v>206</v>
      </c>
      <c r="D3917" s="156" t="s">
        <v>4728</v>
      </c>
      <c r="E3917" s="156" t="s">
        <v>4738</v>
      </c>
      <c r="F3917" s="156" t="s">
        <v>242</v>
      </c>
      <c r="G3917" s="156" t="s">
        <v>4659</v>
      </c>
      <c r="H3917" s="157" t="s">
        <v>212</v>
      </c>
    </row>
    <row r="3918" hidden="1">
      <c r="A3918" s="151" t="s">
        <v>217</v>
      </c>
      <c r="B3918" s="118" t="s">
        <v>191</v>
      </c>
      <c r="C3918" s="118" t="s">
        <v>206</v>
      </c>
      <c r="D3918" s="152" t="s">
        <v>4728</v>
      </c>
      <c r="E3918" s="152" t="s">
        <v>4739</v>
      </c>
      <c r="F3918" s="152" t="s">
        <v>287</v>
      </c>
      <c r="G3918" s="152" t="s">
        <v>3939</v>
      </c>
      <c r="H3918" s="153" t="s">
        <v>213</v>
      </c>
    </row>
    <row r="3919" hidden="1">
      <c r="A3919" s="154" t="s">
        <v>217</v>
      </c>
      <c r="B3919" s="155" t="s">
        <v>191</v>
      </c>
      <c r="C3919" s="155" t="s">
        <v>206</v>
      </c>
      <c r="D3919" s="156" t="s">
        <v>4728</v>
      </c>
      <c r="E3919" s="156" t="s">
        <v>4740</v>
      </c>
      <c r="F3919" s="156" t="s">
        <v>357</v>
      </c>
      <c r="G3919" s="156" t="s">
        <v>4659</v>
      </c>
      <c r="H3919" s="157" t="s">
        <v>214</v>
      </c>
    </row>
    <row r="3920" hidden="1">
      <c r="A3920" s="151" t="s">
        <v>217</v>
      </c>
      <c r="B3920" s="118" t="s">
        <v>191</v>
      </c>
      <c r="C3920" s="118" t="s">
        <v>206</v>
      </c>
      <c r="D3920" s="152" t="s">
        <v>4728</v>
      </c>
      <c r="E3920" s="152" t="s">
        <v>4741</v>
      </c>
      <c r="F3920" s="152" t="s">
        <v>359</v>
      </c>
      <c r="G3920" s="152" t="s">
        <v>4608</v>
      </c>
      <c r="H3920" s="153" t="s">
        <v>215</v>
      </c>
    </row>
    <row r="3921" hidden="1">
      <c r="A3921" s="154" t="s">
        <v>217</v>
      </c>
      <c r="B3921" s="155" t="s">
        <v>191</v>
      </c>
      <c r="C3921" s="155" t="s">
        <v>206</v>
      </c>
      <c r="D3921" s="156" t="s">
        <v>4728</v>
      </c>
      <c r="E3921" s="156" t="s">
        <v>4742</v>
      </c>
      <c r="F3921" s="156" t="s">
        <v>359</v>
      </c>
      <c r="G3921" s="156" t="s">
        <v>4743</v>
      </c>
      <c r="H3921" s="157" t="s">
        <v>216</v>
      </c>
    </row>
    <row r="3922" hidden="1">
      <c r="A3922" s="151" t="s">
        <v>218</v>
      </c>
      <c r="B3922" s="118" t="s">
        <v>219</v>
      </c>
      <c r="C3922" s="118" t="s">
        <v>206</v>
      </c>
      <c r="D3922" s="152" t="s">
        <v>4728</v>
      </c>
      <c r="E3922" s="152" t="s">
        <v>4744</v>
      </c>
      <c r="F3922" s="152" t="s">
        <v>269</v>
      </c>
      <c r="G3922" s="152" t="s">
        <v>2107</v>
      </c>
      <c r="H3922" s="153" t="s">
        <v>210</v>
      </c>
    </row>
    <row r="3923" hidden="1">
      <c r="A3923" s="154" t="s">
        <v>218</v>
      </c>
      <c r="B3923" s="155" t="s">
        <v>219</v>
      </c>
      <c r="C3923" s="155" t="s">
        <v>206</v>
      </c>
      <c r="D3923" s="156" t="s">
        <v>4728</v>
      </c>
      <c r="E3923" s="156" t="s">
        <v>4745</v>
      </c>
      <c r="F3923" s="156" t="s">
        <v>492</v>
      </c>
      <c r="G3923" s="156" t="s">
        <v>2311</v>
      </c>
      <c r="H3923" s="157" t="s">
        <v>211</v>
      </c>
    </row>
    <row r="3924" hidden="1">
      <c r="A3924" s="151" t="s">
        <v>218</v>
      </c>
      <c r="B3924" s="118" t="s">
        <v>219</v>
      </c>
      <c r="C3924" s="118" t="s">
        <v>206</v>
      </c>
      <c r="D3924" s="152" t="s">
        <v>4728</v>
      </c>
      <c r="E3924" s="152" t="s">
        <v>4746</v>
      </c>
      <c r="F3924" s="152" t="s">
        <v>240</v>
      </c>
      <c r="G3924" s="152" t="s">
        <v>1858</v>
      </c>
      <c r="H3924" s="153" t="s">
        <v>212</v>
      </c>
    </row>
    <row r="3925" hidden="1">
      <c r="A3925" s="154" t="s">
        <v>218</v>
      </c>
      <c r="B3925" s="155" t="s">
        <v>219</v>
      </c>
      <c r="C3925" s="155" t="s">
        <v>206</v>
      </c>
      <c r="D3925" s="156" t="s">
        <v>4728</v>
      </c>
      <c r="E3925" s="156" t="s">
        <v>4747</v>
      </c>
      <c r="F3925" s="156" t="s">
        <v>276</v>
      </c>
      <c r="G3925" s="156" t="s">
        <v>2041</v>
      </c>
      <c r="H3925" s="157" t="s">
        <v>213</v>
      </c>
    </row>
    <row r="3926" hidden="1">
      <c r="A3926" s="151" t="s">
        <v>218</v>
      </c>
      <c r="B3926" s="118" t="s">
        <v>219</v>
      </c>
      <c r="C3926" s="118" t="s">
        <v>206</v>
      </c>
      <c r="D3926" s="152" t="s">
        <v>4728</v>
      </c>
      <c r="E3926" s="152" t="s">
        <v>4748</v>
      </c>
      <c r="F3926" s="152" t="s">
        <v>492</v>
      </c>
      <c r="G3926" s="152" t="s">
        <v>3335</v>
      </c>
      <c r="H3926" s="153" t="s">
        <v>214</v>
      </c>
    </row>
    <row r="3927" hidden="1">
      <c r="A3927" s="154" t="s">
        <v>218</v>
      </c>
      <c r="B3927" s="155" t="s">
        <v>219</v>
      </c>
      <c r="C3927" s="155" t="s">
        <v>206</v>
      </c>
      <c r="D3927" s="156" t="s">
        <v>4728</v>
      </c>
      <c r="E3927" s="156" t="s">
        <v>4749</v>
      </c>
      <c r="F3927" s="156" t="s">
        <v>374</v>
      </c>
      <c r="G3927" s="156" t="s">
        <v>2777</v>
      </c>
      <c r="H3927" s="157" t="s">
        <v>215</v>
      </c>
    </row>
    <row r="3928" hidden="1">
      <c r="A3928" s="151" t="s">
        <v>218</v>
      </c>
      <c r="B3928" s="118" t="s">
        <v>219</v>
      </c>
      <c r="C3928" s="118" t="s">
        <v>206</v>
      </c>
      <c r="D3928" s="152" t="s">
        <v>4728</v>
      </c>
      <c r="E3928" s="152" t="s">
        <v>4750</v>
      </c>
      <c r="F3928" s="152" t="s">
        <v>259</v>
      </c>
      <c r="G3928" s="152" t="s">
        <v>1834</v>
      </c>
      <c r="H3928" s="153" t="s">
        <v>216</v>
      </c>
    </row>
    <row r="3929" hidden="1">
      <c r="A3929" s="154" t="s">
        <v>220</v>
      </c>
      <c r="B3929" s="155" t="s">
        <v>190</v>
      </c>
      <c r="C3929" s="155" t="s">
        <v>206</v>
      </c>
      <c r="D3929" s="156" t="s">
        <v>4728</v>
      </c>
      <c r="E3929" s="156" t="s">
        <v>4751</v>
      </c>
      <c r="F3929" s="156" t="s">
        <v>204</v>
      </c>
      <c r="G3929" s="156" t="s">
        <v>2814</v>
      </c>
      <c r="H3929" s="157" t="s">
        <v>210</v>
      </c>
    </row>
    <row r="3930" hidden="1">
      <c r="A3930" s="151" t="s">
        <v>220</v>
      </c>
      <c r="B3930" s="118" t="s">
        <v>190</v>
      </c>
      <c r="C3930" s="118" t="s">
        <v>206</v>
      </c>
      <c r="D3930" s="152" t="s">
        <v>4728</v>
      </c>
      <c r="E3930" s="152" t="s">
        <v>4752</v>
      </c>
      <c r="F3930" s="152" t="s">
        <v>436</v>
      </c>
      <c r="G3930" s="152" t="s">
        <v>2602</v>
      </c>
      <c r="H3930" s="153" t="s">
        <v>211</v>
      </c>
    </row>
    <row r="3931" hidden="1">
      <c r="A3931" s="154" t="s">
        <v>220</v>
      </c>
      <c r="B3931" s="155" t="s">
        <v>190</v>
      </c>
      <c r="C3931" s="155" t="s">
        <v>206</v>
      </c>
      <c r="D3931" s="156" t="s">
        <v>4728</v>
      </c>
      <c r="E3931" s="156" t="s">
        <v>4753</v>
      </c>
      <c r="F3931" s="156" t="s">
        <v>301</v>
      </c>
      <c r="G3931" s="156" t="s">
        <v>3057</v>
      </c>
      <c r="H3931" s="157" t="s">
        <v>212</v>
      </c>
    </row>
    <row r="3932" hidden="1">
      <c r="A3932" s="151" t="s">
        <v>220</v>
      </c>
      <c r="B3932" s="118" t="s">
        <v>190</v>
      </c>
      <c r="C3932" s="118" t="s">
        <v>206</v>
      </c>
      <c r="D3932" s="152" t="s">
        <v>4728</v>
      </c>
      <c r="E3932" s="152" t="s">
        <v>4754</v>
      </c>
      <c r="F3932" s="152" t="s">
        <v>240</v>
      </c>
      <c r="G3932" s="152" t="s">
        <v>3389</v>
      </c>
      <c r="H3932" s="153" t="s">
        <v>213</v>
      </c>
    </row>
    <row r="3933" hidden="1">
      <c r="A3933" s="154" t="s">
        <v>220</v>
      </c>
      <c r="B3933" s="155" t="s">
        <v>190</v>
      </c>
      <c r="C3933" s="155" t="s">
        <v>206</v>
      </c>
      <c r="D3933" s="156" t="s">
        <v>4728</v>
      </c>
      <c r="E3933" s="156" t="s">
        <v>4755</v>
      </c>
      <c r="F3933" s="156" t="s">
        <v>262</v>
      </c>
      <c r="G3933" s="156" t="s">
        <v>3003</v>
      </c>
      <c r="H3933" s="157" t="s">
        <v>214</v>
      </c>
    </row>
    <row r="3934" hidden="1">
      <c r="A3934" s="151" t="s">
        <v>220</v>
      </c>
      <c r="B3934" s="118" t="s">
        <v>190</v>
      </c>
      <c r="C3934" s="118" t="s">
        <v>206</v>
      </c>
      <c r="D3934" s="152" t="s">
        <v>4728</v>
      </c>
      <c r="E3934" s="152" t="s">
        <v>4756</v>
      </c>
      <c r="F3934" s="152" t="s">
        <v>339</v>
      </c>
      <c r="G3934" s="152" t="s">
        <v>2187</v>
      </c>
      <c r="H3934" s="153" t="s">
        <v>215</v>
      </c>
    </row>
    <row r="3935" hidden="1">
      <c r="A3935" s="154" t="s">
        <v>220</v>
      </c>
      <c r="B3935" s="155" t="s">
        <v>190</v>
      </c>
      <c r="C3935" s="155" t="s">
        <v>206</v>
      </c>
      <c r="D3935" s="156" t="s">
        <v>4728</v>
      </c>
      <c r="E3935" s="156" t="s">
        <v>4757</v>
      </c>
      <c r="F3935" s="156" t="s">
        <v>276</v>
      </c>
      <c r="G3935" s="156" t="s">
        <v>3525</v>
      </c>
      <c r="H3935" s="157" t="s">
        <v>216</v>
      </c>
    </row>
    <row r="3936" hidden="1">
      <c r="A3936" s="151" t="s">
        <v>221</v>
      </c>
      <c r="B3936" s="118" t="s">
        <v>189</v>
      </c>
      <c r="C3936" s="118" t="s">
        <v>206</v>
      </c>
      <c r="D3936" s="152" t="s">
        <v>4728</v>
      </c>
      <c r="E3936" s="152" t="s">
        <v>4758</v>
      </c>
      <c r="F3936" s="152" t="s">
        <v>314</v>
      </c>
      <c r="G3936" s="152" t="s">
        <v>4024</v>
      </c>
      <c r="H3936" s="153" t="s">
        <v>210</v>
      </c>
    </row>
    <row r="3937" hidden="1">
      <c r="A3937" s="154" t="s">
        <v>221</v>
      </c>
      <c r="B3937" s="155" t="s">
        <v>189</v>
      </c>
      <c r="C3937" s="155" t="s">
        <v>206</v>
      </c>
      <c r="D3937" s="156" t="s">
        <v>4728</v>
      </c>
      <c r="E3937" s="156" t="s">
        <v>4759</v>
      </c>
      <c r="F3937" s="156" t="s">
        <v>365</v>
      </c>
      <c r="G3937" s="156" t="s">
        <v>3917</v>
      </c>
      <c r="H3937" s="157" t="s">
        <v>211</v>
      </c>
    </row>
    <row r="3938" hidden="1">
      <c r="A3938" s="151" t="s">
        <v>221</v>
      </c>
      <c r="B3938" s="118" t="s">
        <v>189</v>
      </c>
      <c r="C3938" s="118" t="s">
        <v>206</v>
      </c>
      <c r="D3938" s="152" t="s">
        <v>4728</v>
      </c>
      <c r="E3938" s="152" t="s">
        <v>4760</v>
      </c>
      <c r="F3938" s="152" t="s">
        <v>301</v>
      </c>
      <c r="G3938" s="152" t="s">
        <v>3267</v>
      </c>
      <c r="H3938" s="153" t="s">
        <v>212</v>
      </c>
    </row>
    <row r="3939" hidden="1">
      <c r="A3939" s="154" t="s">
        <v>221</v>
      </c>
      <c r="B3939" s="155" t="s">
        <v>189</v>
      </c>
      <c r="C3939" s="155" t="s">
        <v>206</v>
      </c>
      <c r="D3939" s="156" t="s">
        <v>4728</v>
      </c>
      <c r="E3939" s="156" t="s">
        <v>4761</v>
      </c>
      <c r="F3939" s="156" t="s">
        <v>269</v>
      </c>
      <c r="G3939" s="156" t="s">
        <v>4221</v>
      </c>
      <c r="H3939" s="157" t="s">
        <v>213</v>
      </c>
    </row>
    <row r="3940" hidden="1">
      <c r="A3940" s="151" t="s">
        <v>221</v>
      </c>
      <c r="B3940" s="118" t="s">
        <v>189</v>
      </c>
      <c r="C3940" s="118" t="s">
        <v>206</v>
      </c>
      <c r="D3940" s="152" t="s">
        <v>4728</v>
      </c>
      <c r="E3940" s="152" t="s">
        <v>4762</v>
      </c>
      <c r="F3940" s="152" t="s">
        <v>329</v>
      </c>
      <c r="G3940" s="152" t="s">
        <v>3812</v>
      </c>
      <c r="H3940" s="153" t="s">
        <v>214</v>
      </c>
    </row>
    <row r="3941" hidden="1">
      <c r="A3941" s="154" t="s">
        <v>221</v>
      </c>
      <c r="B3941" s="155" t="s">
        <v>189</v>
      </c>
      <c r="C3941" s="155" t="s">
        <v>206</v>
      </c>
      <c r="D3941" s="156" t="s">
        <v>4728</v>
      </c>
      <c r="E3941" s="156" t="s">
        <v>4763</v>
      </c>
      <c r="F3941" s="156" t="s">
        <v>359</v>
      </c>
      <c r="G3941" s="156" t="s">
        <v>4026</v>
      </c>
      <c r="H3941" s="157" t="s">
        <v>215</v>
      </c>
    </row>
    <row r="3942" hidden="1">
      <c r="A3942" s="151" t="s">
        <v>221</v>
      </c>
      <c r="B3942" s="118" t="s">
        <v>189</v>
      </c>
      <c r="C3942" s="118" t="s">
        <v>206</v>
      </c>
      <c r="D3942" s="152" t="s">
        <v>4728</v>
      </c>
      <c r="E3942" s="152" t="s">
        <v>4764</v>
      </c>
      <c r="F3942" s="152" t="s">
        <v>285</v>
      </c>
      <c r="G3942" s="152" t="s">
        <v>3939</v>
      </c>
      <c r="H3942" s="153" t="s">
        <v>216</v>
      </c>
    </row>
    <row r="3943" hidden="1">
      <c r="A3943" s="154" t="s">
        <v>222</v>
      </c>
      <c r="B3943" s="155" t="s">
        <v>192</v>
      </c>
      <c r="C3943" s="155" t="s">
        <v>206</v>
      </c>
      <c r="D3943" s="156" t="s">
        <v>4728</v>
      </c>
      <c r="E3943" s="156" t="s">
        <v>4765</v>
      </c>
      <c r="F3943" s="156" t="s">
        <v>359</v>
      </c>
      <c r="G3943" s="156" t="s">
        <v>2008</v>
      </c>
      <c r="H3943" s="157" t="s">
        <v>210</v>
      </c>
    </row>
    <row r="3944" hidden="1">
      <c r="A3944" s="151" t="s">
        <v>222</v>
      </c>
      <c r="B3944" s="118" t="s">
        <v>192</v>
      </c>
      <c r="C3944" s="118" t="s">
        <v>206</v>
      </c>
      <c r="D3944" s="152" t="s">
        <v>4728</v>
      </c>
      <c r="E3944" s="152" t="s">
        <v>4766</v>
      </c>
      <c r="F3944" s="152" t="s">
        <v>331</v>
      </c>
      <c r="G3944" s="152" t="s">
        <v>1779</v>
      </c>
      <c r="H3944" s="153" t="s">
        <v>211</v>
      </c>
    </row>
    <row r="3945" hidden="1">
      <c r="A3945" s="154" t="s">
        <v>222</v>
      </c>
      <c r="B3945" s="155" t="s">
        <v>192</v>
      </c>
      <c r="C3945" s="155" t="s">
        <v>206</v>
      </c>
      <c r="D3945" s="156" t="s">
        <v>4728</v>
      </c>
      <c r="E3945" s="156" t="s">
        <v>4767</v>
      </c>
      <c r="F3945" s="156" t="s">
        <v>308</v>
      </c>
      <c r="G3945" s="156" t="s">
        <v>4026</v>
      </c>
      <c r="H3945" s="157" t="s">
        <v>212</v>
      </c>
    </row>
    <row r="3946" hidden="1">
      <c r="A3946" s="151" t="s">
        <v>222</v>
      </c>
      <c r="B3946" s="118" t="s">
        <v>192</v>
      </c>
      <c r="C3946" s="118" t="s">
        <v>206</v>
      </c>
      <c r="D3946" s="152" t="s">
        <v>4728</v>
      </c>
      <c r="E3946" s="152" t="s">
        <v>4768</v>
      </c>
      <c r="F3946" s="152" t="s">
        <v>365</v>
      </c>
      <c r="G3946" s="152" t="s">
        <v>4196</v>
      </c>
      <c r="H3946" s="153" t="s">
        <v>213</v>
      </c>
    </row>
    <row r="3947" hidden="1">
      <c r="A3947" s="154" t="s">
        <v>222</v>
      </c>
      <c r="B3947" s="155" t="s">
        <v>192</v>
      </c>
      <c r="C3947" s="155" t="s">
        <v>206</v>
      </c>
      <c r="D3947" s="156" t="s">
        <v>4728</v>
      </c>
      <c r="E3947" s="156" t="s">
        <v>4769</v>
      </c>
      <c r="F3947" s="156" t="s">
        <v>534</v>
      </c>
      <c r="G3947" s="156" t="s">
        <v>4161</v>
      </c>
      <c r="H3947" s="157" t="s">
        <v>214</v>
      </c>
    </row>
    <row r="3948" hidden="1">
      <c r="A3948" s="151" t="s">
        <v>222</v>
      </c>
      <c r="B3948" s="118" t="s">
        <v>192</v>
      </c>
      <c r="C3948" s="118" t="s">
        <v>206</v>
      </c>
      <c r="D3948" s="152" t="s">
        <v>4728</v>
      </c>
      <c r="E3948" s="152" t="s">
        <v>4770</v>
      </c>
      <c r="F3948" s="152" t="s">
        <v>331</v>
      </c>
      <c r="G3948" s="152" t="s">
        <v>4026</v>
      </c>
      <c r="H3948" s="153" t="s">
        <v>215</v>
      </c>
    </row>
    <row r="3949" hidden="1">
      <c r="A3949" s="154" t="s">
        <v>222</v>
      </c>
      <c r="B3949" s="155" t="s">
        <v>192</v>
      </c>
      <c r="C3949" s="155" t="s">
        <v>206</v>
      </c>
      <c r="D3949" s="156" t="s">
        <v>4728</v>
      </c>
      <c r="E3949" s="156" t="s">
        <v>4771</v>
      </c>
      <c r="F3949" s="156" t="s">
        <v>321</v>
      </c>
      <c r="G3949" s="156" t="s">
        <v>4196</v>
      </c>
      <c r="H3949" s="157" t="s">
        <v>216</v>
      </c>
    </row>
    <row r="3950" hidden="1">
      <c r="A3950" s="151" t="s">
        <v>223</v>
      </c>
      <c r="B3950" s="118" t="s">
        <v>144</v>
      </c>
      <c r="C3950" s="118" t="s">
        <v>206</v>
      </c>
      <c r="D3950" s="152" t="s">
        <v>4728</v>
      </c>
      <c r="E3950" s="152" t="s">
        <v>4772</v>
      </c>
      <c r="F3950" s="152" t="s">
        <v>425</v>
      </c>
      <c r="G3950" s="152" t="s">
        <v>4608</v>
      </c>
      <c r="H3950" s="153" t="s">
        <v>210</v>
      </c>
    </row>
    <row r="3951" hidden="1">
      <c r="A3951" s="154" t="s">
        <v>223</v>
      </c>
      <c r="B3951" s="155" t="s">
        <v>144</v>
      </c>
      <c r="C3951" s="155" t="s">
        <v>206</v>
      </c>
      <c r="D3951" s="156" t="s">
        <v>4728</v>
      </c>
      <c r="E3951" s="156" t="s">
        <v>4773</v>
      </c>
      <c r="F3951" s="156" t="s">
        <v>478</v>
      </c>
      <c r="G3951" s="156" t="s">
        <v>4472</v>
      </c>
      <c r="H3951" s="157" t="s">
        <v>211</v>
      </c>
    </row>
    <row r="3952" hidden="1">
      <c r="A3952" s="151" t="s">
        <v>223</v>
      </c>
      <c r="B3952" s="118" t="s">
        <v>144</v>
      </c>
      <c r="C3952" s="118" t="s">
        <v>206</v>
      </c>
      <c r="D3952" s="152" t="s">
        <v>4728</v>
      </c>
      <c r="E3952" s="152" t="s">
        <v>4774</v>
      </c>
      <c r="F3952" s="152" t="s">
        <v>354</v>
      </c>
      <c r="G3952" s="152" t="s">
        <v>4775</v>
      </c>
      <c r="H3952" s="153" t="s">
        <v>212</v>
      </c>
    </row>
    <row r="3953" hidden="1">
      <c r="A3953" s="154" t="s">
        <v>223</v>
      </c>
      <c r="B3953" s="155" t="s">
        <v>144</v>
      </c>
      <c r="C3953" s="155" t="s">
        <v>206</v>
      </c>
      <c r="D3953" s="156" t="s">
        <v>4728</v>
      </c>
      <c r="E3953" s="156" t="s">
        <v>4776</v>
      </c>
      <c r="F3953" s="156" t="s">
        <v>339</v>
      </c>
      <c r="G3953" s="156" t="s">
        <v>3699</v>
      </c>
      <c r="H3953" s="157" t="s">
        <v>213</v>
      </c>
    </row>
    <row r="3954" hidden="1">
      <c r="A3954" s="151" t="s">
        <v>223</v>
      </c>
      <c r="B3954" s="118" t="s">
        <v>144</v>
      </c>
      <c r="C3954" s="118" t="s">
        <v>206</v>
      </c>
      <c r="D3954" s="152" t="s">
        <v>4728</v>
      </c>
      <c r="E3954" s="152" t="s">
        <v>4777</v>
      </c>
      <c r="F3954" s="152" t="s">
        <v>325</v>
      </c>
      <c r="G3954" s="152" t="s">
        <v>4778</v>
      </c>
      <c r="H3954" s="153" t="s">
        <v>214</v>
      </c>
    </row>
    <row r="3955" hidden="1">
      <c r="A3955" s="154" t="s">
        <v>223</v>
      </c>
      <c r="B3955" s="155" t="s">
        <v>144</v>
      </c>
      <c r="C3955" s="155" t="s">
        <v>206</v>
      </c>
      <c r="D3955" s="156" t="s">
        <v>4728</v>
      </c>
      <c r="E3955" s="156" t="s">
        <v>4779</v>
      </c>
      <c r="F3955" s="156" t="s">
        <v>425</v>
      </c>
      <c r="G3955" s="156" t="s">
        <v>4054</v>
      </c>
      <c r="H3955" s="157" t="s">
        <v>215</v>
      </c>
    </row>
    <row r="3956" hidden="1">
      <c r="A3956" s="151" t="s">
        <v>223</v>
      </c>
      <c r="B3956" s="118" t="s">
        <v>144</v>
      </c>
      <c r="C3956" s="118" t="s">
        <v>206</v>
      </c>
      <c r="D3956" s="152" t="s">
        <v>4728</v>
      </c>
      <c r="E3956" s="152" t="s">
        <v>4780</v>
      </c>
      <c r="F3956" s="152" t="s">
        <v>329</v>
      </c>
      <c r="G3956" s="152" t="s">
        <v>4178</v>
      </c>
      <c r="H3956" s="153" t="s">
        <v>216</v>
      </c>
    </row>
    <row r="3957" hidden="1">
      <c r="A3957" s="154" t="s">
        <v>224</v>
      </c>
      <c r="B3957" s="155" t="s">
        <v>170</v>
      </c>
      <c r="C3957" s="155" t="s">
        <v>206</v>
      </c>
      <c r="D3957" s="156" t="s">
        <v>4728</v>
      </c>
      <c r="E3957" s="156" t="s">
        <v>4781</v>
      </c>
      <c r="F3957" s="156" t="s">
        <v>204</v>
      </c>
      <c r="G3957" s="156" t="s">
        <v>1997</v>
      </c>
      <c r="H3957" s="157" t="s">
        <v>210</v>
      </c>
    </row>
    <row r="3958" hidden="1">
      <c r="A3958" s="151" t="s">
        <v>224</v>
      </c>
      <c r="B3958" s="118" t="s">
        <v>170</v>
      </c>
      <c r="C3958" s="118" t="s">
        <v>206</v>
      </c>
      <c r="D3958" s="152" t="s">
        <v>4728</v>
      </c>
      <c r="E3958" s="152" t="s">
        <v>4782</v>
      </c>
      <c r="F3958" s="152" t="s">
        <v>357</v>
      </c>
      <c r="G3958" s="152" t="s">
        <v>4209</v>
      </c>
      <c r="H3958" s="153" t="s">
        <v>211</v>
      </c>
    </row>
    <row r="3959" hidden="1">
      <c r="A3959" s="154" t="s">
        <v>224</v>
      </c>
      <c r="B3959" s="155" t="s">
        <v>170</v>
      </c>
      <c r="C3959" s="155" t="s">
        <v>206</v>
      </c>
      <c r="D3959" s="156" t="s">
        <v>4728</v>
      </c>
      <c r="E3959" s="156" t="s">
        <v>4783</v>
      </c>
      <c r="F3959" s="156" t="s">
        <v>255</v>
      </c>
      <c r="G3959" s="156" t="s">
        <v>4464</v>
      </c>
      <c r="H3959" s="157" t="s">
        <v>212</v>
      </c>
    </row>
    <row r="3960" hidden="1">
      <c r="A3960" s="151" t="s">
        <v>224</v>
      </c>
      <c r="B3960" s="118" t="s">
        <v>170</v>
      </c>
      <c r="C3960" s="118" t="s">
        <v>206</v>
      </c>
      <c r="D3960" s="152" t="s">
        <v>4728</v>
      </c>
      <c r="E3960" s="152" t="s">
        <v>4784</v>
      </c>
      <c r="F3960" s="152" t="s">
        <v>290</v>
      </c>
      <c r="G3960" s="152" t="s">
        <v>3968</v>
      </c>
      <c r="H3960" s="153" t="s">
        <v>213</v>
      </c>
    </row>
    <row r="3961" hidden="1">
      <c r="A3961" s="154" t="s">
        <v>224</v>
      </c>
      <c r="B3961" s="155" t="s">
        <v>170</v>
      </c>
      <c r="C3961" s="155" t="s">
        <v>206</v>
      </c>
      <c r="D3961" s="156" t="s">
        <v>4728</v>
      </c>
      <c r="E3961" s="156" t="s">
        <v>4785</v>
      </c>
      <c r="F3961" s="156" t="s">
        <v>427</v>
      </c>
      <c r="G3961" s="156" t="s">
        <v>4491</v>
      </c>
      <c r="H3961" s="157" t="s">
        <v>214</v>
      </c>
    </row>
    <row r="3962" hidden="1">
      <c r="A3962" s="151" t="s">
        <v>224</v>
      </c>
      <c r="B3962" s="118" t="s">
        <v>170</v>
      </c>
      <c r="C3962" s="118" t="s">
        <v>206</v>
      </c>
      <c r="D3962" s="152" t="s">
        <v>4728</v>
      </c>
      <c r="E3962" s="152" t="s">
        <v>4786</v>
      </c>
      <c r="F3962" s="152" t="s">
        <v>323</v>
      </c>
      <c r="G3962" s="152" t="s">
        <v>4659</v>
      </c>
      <c r="H3962" s="153" t="s">
        <v>215</v>
      </c>
    </row>
    <row r="3963" hidden="1">
      <c r="A3963" s="154" t="s">
        <v>224</v>
      </c>
      <c r="B3963" s="155" t="s">
        <v>170</v>
      </c>
      <c r="C3963" s="155" t="s">
        <v>206</v>
      </c>
      <c r="D3963" s="156" t="s">
        <v>4728</v>
      </c>
      <c r="E3963" s="156" t="s">
        <v>4787</v>
      </c>
      <c r="F3963" s="156" t="s">
        <v>301</v>
      </c>
      <c r="G3963" s="156" t="s">
        <v>4464</v>
      </c>
      <c r="H3963" s="157" t="s">
        <v>216</v>
      </c>
    </row>
    <row r="3964" hidden="1">
      <c r="A3964" s="151" t="s">
        <v>225</v>
      </c>
      <c r="B3964" s="118" t="s">
        <v>226</v>
      </c>
      <c r="C3964" s="118" t="s">
        <v>206</v>
      </c>
      <c r="D3964" s="152" t="s">
        <v>4728</v>
      </c>
      <c r="E3964" s="152" t="s">
        <v>4788</v>
      </c>
      <c r="F3964" s="152" t="s">
        <v>458</v>
      </c>
      <c r="G3964" s="152" t="s">
        <v>3430</v>
      </c>
      <c r="H3964" s="153" t="s">
        <v>210</v>
      </c>
    </row>
    <row r="3965" hidden="1">
      <c r="A3965" s="154" t="s">
        <v>225</v>
      </c>
      <c r="B3965" s="155" t="s">
        <v>226</v>
      </c>
      <c r="C3965" s="155" t="s">
        <v>206</v>
      </c>
      <c r="D3965" s="156" t="s">
        <v>4728</v>
      </c>
      <c r="E3965" s="156" t="s">
        <v>4789</v>
      </c>
      <c r="F3965" s="156" t="s">
        <v>436</v>
      </c>
      <c r="G3965" s="156" t="s">
        <v>4442</v>
      </c>
      <c r="H3965" s="157" t="s">
        <v>211</v>
      </c>
    </row>
    <row r="3966" hidden="1">
      <c r="A3966" s="151" t="s">
        <v>225</v>
      </c>
      <c r="B3966" s="118" t="s">
        <v>226</v>
      </c>
      <c r="C3966" s="118" t="s">
        <v>206</v>
      </c>
      <c r="D3966" s="152" t="s">
        <v>4728</v>
      </c>
      <c r="E3966" s="152" t="s">
        <v>4790</v>
      </c>
      <c r="F3966" s="152" t="s">
        <v>492</v>
      </c>
      <c r="G3966" s="152" t="s">
        <v>4608</v>
      </c>
      <c r="H3966" s="153" t="s">
        <v>212</v>
      </c>
    </row>
    <row r="3967" hidden="1">
      <c r="A3967" s="154" t="s">
        <v>225</v>
      </c>
      <c r="B3967" s="155" t="s">
        <v>226</v>
      </c>
      <c r="C3967" s="155" t="s">
        <v>206</v>
      </c>
      <c r="D3967" s="156" t="s">
        <v>4728</v>
      </c>
      <c r="E3967" s="156" t="s">
        <v>4791</v>
      </c>
      <c r="F3967" s="156" t="s">
        <v>204</v>
      </c>
      <c r="G3967" s="156" t="s">
        <v>4442</v>
      </c>
      <c r="H3967" s="157" t="s">
        <v>213</v>
      </c>
    </row>
    <row r="3968" hidden="1">
      <c r="A3968" s="151" t="s">
        <v>225</v>
      </c>
      <c r="B3968" s="118" t="s">
        <v>226</v>
      </c>
      <c r="C3968" s="118" t="s">
        <v>206</v>
      </c>
      <c r="D3968" s="152" t="s">
        <v>4728</v>
      </c>
      <c r="E3968" s="152" t="s">
        <v>4792</v>
      </c>
      <c r="F3968" s="152" t="s">
        <v>492</v>
      </c>
      <c r="G3968" s="152" t="s">
        <v>3432</v>
      </c>
      <c r="H3968" s="153" t="s">
        <v>214</v>
      </c>
    </row>
    <row r="3969" hidden="1">
      <c r="A3969" s="154" t="s">
        <v>225</v>
      </c>
      <c r="B3969" s="155" t="s">
        <v>226</v>
      </c>
      <c r="C3969" s="155" t="s">
        <v>206</v>
      </c>
      <c r="D3969" s="156" t="s">
        <v>4728</v>
      </c>
      <c r="E3969" s="156" t="s">
        <v>4793</v>
      </c>
      <c r="F3969" s="156" t="s">
        <v>257</v>
      </c>
      <c r="G3969" s="156" t="s">
        <v>4263</v>
      </c>
      <c r="H3969" s="157" t="s">
        <v>215</v>
      </c>
    </row>
    <row r="3970" hidden="1">
      <c r="A3970" s="151" t="s">
        <v>225</v>
      </c>
      <c r="B3970" s="118" t="s">
        <v>226</v>
      </c>
      <c r="C3970" s="118" t="s">
        <v>206</v>
      </c>
      <c r="D3970" s="152" t="s">
        <v>4728</v>
      </c>
      <c r="E3970" s="152" t="s">
        <v>4794</v>
      </c>
      <c r="F3970" s="152" t="s">
        <v>458</v>
      </c>
      <c r="G3970" s="152" t="s">
        <v>3541</v>
      </c>
      <c r="H3970" s="153" t="s">
        <v>216</v>
      </c>
    </row>
    <row r="3971" hidden="1">
      <c r="A3971" s="154" t="s">
        <v>227</v>
      </c>
      <c r="B3971" s="155" t="s">
        <v>195</v>
      </c>
      <c r="C3971" s="155" t="s">
        <v>206</v>
      </c>
      <c r="D3971" s="156" t="s">
        <v>4728</v>
      </c>
      <c r="E3971" s="156" t="s">
        <v>4795</v>
      </c>
      <c r="F3971" s="156" t="s">
        <v>329</v>
      </c>
      <c r="G3971" s="156" t="s">
        <v>3620</v>
      </c>
      <c r="H3971" s="157" t="s">
        <v>210</v>
      </c>
    </row>
    <row r="3972" hidden="1">
      <c r="A3972" s="151" t="s">
        <v>227</v>
      </c>
      <c r="B3972" s="118" t="s">
        <v>195</v>
      </c>
      <c r="C3972" s="118" t="s">
        <v>206</v>
      </c>
      <c r="D3972" s="152" t="s">
        <v>4728</v>
      </c>
      <c r="E3972" s="152" t="s">
        <v>4796</v>
      </c>
      <c r="F3972" s="152" t="s">
        <v>325</v>
      </c>
      <c r="G3972" s="152" t="s">
        <v>3408</v>
      </c>
      <c r="H3972" s="153" t="s">
        <v>211</v>
      </c>
    </row>
    <row r="3973" hidden="1">
      <c r="A3973" s="154" t="s">
        <v>227</v>
      </c>
      <c r="B3973" s="155" t="s">
        <v>195</v>
      </c>
      <c r="C3973" s="155" t="s">
        <v>206</v>
      </c>
      <c r="D3973" s="156" t="s">
        <v>4728</v>
      </c>
      <c r="E3973" s="156" t="s">
        <v>4797</v>
      </c>
      <c r="F3973" s="156" t="s">
        <v>314</v>
      </c>
      <c r="G3973" s="156" t="s">
        <v>3613</v>
      </c>
      <c r="H3973" s="157" t="s">
        <v>212</v>
      </c>
    </row>
    <row r="3974" hidden="1">
      <c r="A3974" s="151" t="s">
        <v>227</v>
      </c>
      <c r="B3974" s="118" t="s">
        <v>195</v>
      </c>
      <c r="C3974" s="118" t="s">
        <v>206</v>
      </c>
      <c r="D3974" s="152" t="s">
        <v>4728</v>
      </c>
      <c r="E3974" s="152" t="s">
        <v>4798</v>
      </c>
      <c r="F3974" s="152" t="s">
        <v>336</v>
      </c>
      <c r="G3974" s="152" t="s">
        <v>4206</v>
      </c>
      <c r="H3974" s="153" t="s">
        <v>213</v>
      </c>
    </row>
    <row r="3975" hidden="1">
      <c r="A3975" s="154" t="s">
        <v>227</v>
      </c>
      <c r="B3975" s="155" t="s">
        <v>195</v>
      </c>
      <c r="C3975" s="155" t="s">
        <v>206</v>
      </c>
      <c r="D3975" s="156" t="s">
        <v>4728</v>
      </c>
      <c r="E3975" s="156" t="s">
        <v>4799</v>
      </c>
      <c r="F3975" s="156" t="s">
        <v>494</v>
      </c>
      <c r="G3975" s="156" t="s">
        <v>2510</v>
      </c>
      <c r="H3975" s="157" t="s">
        <v>214</v>
      </c>
    </row>
    <row r="3976" hidden="1">
      <c r="A3976" s="151" t="s">
        <v>227</v>
      </c>
      <c r="B3976" s="118" t="s">
        <v>195</v>
      </c>
      <c r="C3976" s="118" t="s">
        <v>206</v>
      </c>
      <c r="D3976" s="152" t="s">
        <v>4728</v>
      </c>
      <c r="E3976" s="152" t="s">
        <v>4800</v>
      </c>
      <c r="F3976" s="152" t="s">
        <v>305</v>
      </c>
      <c r="G3976" s="152" t="s">
        <v>2671</v>
      </c>
      <c r="H3976" s="153" t="s">
        <v>215</v>
      </c>
    </row>
    <row r="3977" hidden="1">
      <c r="A3977" s="154" t="s">
        <v>227</v>
      </c>
      <c r="B3977" s="155" t="s">
        <v>195</v>
      </c>
      <c r="C3977" s="155" t="s">
        <v>206</v>
      </c>
      <c r="D3977" s="156" t="s">
        <v>4728</v>
      </c>
      <c r="E3977" s="156" t="s">
        <v>4801</v>
      </c>
      <c r="F3977" s="156" t="s">
        <v>425</v>
      </c>
      <c r="G3977" s="156" t="s">
        <v>3408</v>
      </c>
      <c r="H3977" s="157" t="s">
        <v>216</v>
      </c>
    </row>
    <row r="3978" hidden="1">
      <c r="A3978" s="151" t="s">
        <v>228</v>
      </c>
      <c r="B3978" s="118" t="s">
        <v>138</v>
      </c>
      <c r="C3978" s="118" t="s">
        <v>206</v>
      </c>
      <c r="D3978" s="152" t="s">
        <v>4728</v>
      </c>
      <c r="E3978" s="152" t="s">
        <v>4802</v>
      </c>
      <c r="F3978" s="152" t="s">
        <v>285</v>
      </c>
      <c r="G3978" s="152" t="s">
        <v>3475</v>
      </c>
      <c r="H3978" s="153" t="s">
        <v>210</v>
      </c>
    </row>
    <row r="3979" hidden="1">
      <c r="A3979" s="154" t="s">
        <v>228</v>
      </c>
      <c r="B3979" s="155" t="s">
        <v>138</v>
      </c>
      <c r="C3979" s="155" t="s">
        <v>206</v>
      </c>
      <c r="D3979" s="156" t="s">
        <v>4728</v>
      </c>
      <c r="E3979" s="156" t="s">
        <v>4803</v>
      </c>
      <c r="F3979" s="156" t="s">
        <v>242</v>
      </c>
      <c r="G3979" s="156" t="s">
        <v>2777</v>
      </c>
      <c r="H3979" s="157" t="s">
        <v>211</v>
      </c>
    </row>
    <row r="3980" hidden="1">
      <c r="A3980" s="151" t="s">
        <v>228</v>
      </c>
      <c r="B3980" s="118" t="s">
        <v>138</v>
      </c>
      <c r="C3980" s="118" t="s">
        <v>206</v>
      </c>
      <c r="D3980" s="152" t="s">
        <v>4728</v>
      </c>
      <c r="E3980" s="152" t="s">
        <v>4804</v>
      </c>
      <c r="F3980" s="152" t="s">
        <v>365</v>
      </c>
      <c r="G3980" s="152" t="s">
        <v>3950</v>
      </c>
      <c r="H3980" s="153" t="s">
        <v>212</v>
      </c>
    </row>
    <row r="3981" hidden="1">
      <c r="A3981" s="154" t="s">
        <v>228</v>
      </c>
      <c r="B3981" s="155" t="s">
        <v>138</v>
      </c>
      <c r="C3981" s="155" t="s">
        <v>206</v>
      </c>
      <c r="D3981" s="156" t="s">
        <v>4728</v>
      </c>
      <c r="E3981" s="156" t="s">
        <v>4805</v>
      </c>
      <c r="F3981" s="156" t="s">
        <v>534</v>
      </c>
      <c r="G3981" s="156" t="s">
        <v>2912</v>
      </c>
      <c r="H3981" s="157" t="s">
        <v>213</v>
      </c>
    </row>
    <row r="3982" hidden="1">
      <c r="A3982" s="151" t="s">
        <v>228</v>
      </c>
      <c r="B3982" s="118" t="s">
        <v>138</v>
      </c>
      <c r="C3982" s="118" t="s">
        <v>206</v>
      </c>
      <c r="D3982" s="152" t="s">
        <v>4728</v>
      </c>
      <c r="E3982" s="152" t="s">
        <v>4806</v>
      </c>
      <c r="F3982" s="152" t="s">
        <v>301</v>
      </c>
      <c r="G3982" s="152" t="s">
        <v>4338</v>
      </c>
      <c r="H3982" s="153" t="s">
        <v>214</v>
      </c>
    </row>
    <row r="3983" hidden="1">
      <c r="A3983" s="154" t="s">
        <v>228</v>
      </c>
      <c r="B3983" s="155" t="s">
        <v>138</v>
      </c>
      <c r="C3983" s="155" t="s">
        <v>206</v>
      </c>
      <c r="D3983" s="156" t="s">
        <v>4728</v>
      </c>
      <c r="E3983" s="156" t="s">
        <v>4807</v>
      </c>
      <c r="F3983" s="156" t="s">
        <v>359</v>
      </c>
      <c r="G3983" s="156" t="s">
        <v>2045</v>
      </c>
      <c r="H3983" s="157" t="s">
        <v>215</v>
      </c>
    </row>
    <row r="3984" hidden="1">
      <c r="A3984" s="151" t="s">
        <v>228</v>
      </c>
      <c r="B3984" s="118" t="s">
        <v>138</v>
      </c>
      <c r="C3984" s="118" t="s">
        <v>206</v>
      </c>
      <c r="D3984" s="152" t="s">
        <v>4728</v>
      </c>
      <c r="E3984" s="152" t="s">
        <v>4808</v>
      </c>
      <c r="F3984" s="152" t="s">
        <v>323</v>
      </c>
      <c r="G3984" s="152" t="s">
        <v>3278</v>
      </c>
      <c r="H3984" s="153" t="s">
        <v>216</v>
      </c>
    </row>
    <row r="3985" hidden="1">
      <c r="A3985" s="154" t="s">
        <v>229</v>
      </c>
      <c r="B3985" s="155" t="s">
        <v>193</v>
      </c>
      <c r="C3985" s="155" t="s">
        <v>206</v>
      </c>
      <c r="D3985" s="156" t="s">
        <v>4728</v>
      </c>
      <c r="E3985" s="156" t="s">
        <v>4809</v>
      </c>
      <c r="F3985" s="156" t="s">
        <v>331</v>
      </c>
      <c r="G3985" s="156" t="s">
        <v>2814</v>
      </c>
      <c r="H3985" s="157" t="s">
        <v>210</v>
      </c>
    </row>
    <row r="3986" hidden="1">
      <c r="A3986" s="151" t="s">
        <v>229</v>
      </c>
      <c r="B3986" s="118" t="s">
        <v>193</v>
      </c>
      <c r="C3986" s="118" t="s">
        <v>206</v>
      </c>
      <c r="D3986" s="152" t="s">
        <v>4728</v>
      </c>
      <c r="E3986" s="152" t="s">
        <v>4810</v>
      </c>
      <c r="F3986" s="152" t="s">
        <v>321</v>
      </c>
      <c r="G3986" s="152" t="s">
        <v>3209</v>
      </c>
      <c r="H3986" s="153" t="s">
        <v>211</v>
      </c>
    </row>
    <row r="3987" hidden="1">
      <c r="A3987" s="154" t="s">
        <v>229</v>
      </c>
      <c r="B3987" s="155" t="s">
        <v>193</v>
      </c>
      <c r="C3987" s="155" t="s">
        <v>206</v>
      </c>
      <c r="D3987" s="156" t="s">
        <v>4728</v>
      </c>
      <c r="E3987" s="156" t="s">
        <v>4811</v>
      </c>
      <c r="F3987" s="156" t="s">
        <v>331</v>
      </c>
      <c r="G3987" s="156" t="s">
        <v>3710</v>
      </c>
      <c r="H3987" s="157" t="s">
        <v>212</v>
      </c>
    </row>
    <row r="3988" hidden="1">
      <c r="A3988" s="151" t="s">
        <v>229</v>
      </c>
      <c r="B3988" s="118" t="s">
        <v>193</v>
      </c>
      <c r="C3988" s="118" t="s">
        <v>206</v>
      </c>
      <c r="D3988" s="152" t="s">
        <v>4728</v>
      </c>
      <c r="E3988" s="152" t="s">
        <v>4812</v>
      </c>
      <c r="F3988" s="152" t="s">
        <v>450</v>
      </c>
      <c r="G3988" s="152" t="s">
        <v>4196</v>
      </c>
      <c r="H3988" s="153" t="s">
        <v>213</v>
      </c>
    </row>
    <row r="3989" hidden="1">
      <c r="A3989" s="154" t="s">
        <v>229</v>
      </c>
      <c r="B3989" s="155" t="s">
        <v>193</v>
      </c>
      <c r="C3989" s="155" t="s">
        <v>206</v>
      </c>
      <c r="D3989" s="156" t="s">
        <v>4728</v>
      </c>
      <c r="E3989" s="156" t="s">
        <v>4813</v>
      </c>
      <c r="F3989" s="156" t="s">
        <v>673</v>
      </c>
      <c r="G3989" s="156" t="s">
        <v>3900</v>
      </c>
      <c r="H3989" s="157" t="s">
        <v>214</v>
      </c>
    </row>
    <row r="3990" hidden="1">
      <c r="A3990" s="151" t="s">
        <v>229</v>
      </c>
      <c r="B3990" s="118" t="s">
        <v>193</v>
      </c>
      <c r="C3990" s="118" t="s">
        <v>206</v>
      </c>
      <c r="D3990" s="152" t="s">
        <v>4728</v>
      </c>
      <c r="E3990" s="152" t="s">
        <v>4814</v>
      </c>
      <c r="F3990" s="152" t="s">
        <v>351</v>
      </c>
      <c r="G3990" s="152" t="s">
        <v>2187</v>
      </c>
      <c r="H3990" s="153" t="s">
        <v>215</v>
      </c>
    </row>
    <row r="3991" hidden="1">
      <c r="A3991" s="154" t="s">
        <v>229</v>
      </c>
      <c r="B3991" s="155" t="s">
        <v>193</v>
      </c>
      <c r="C3991" s="155" t="s">
        <v>206</v>
      </c>
      <c r="D3991" s="156" t="s">
        <v>4728</v>
      </c>
      <c r="E3991" s="156" t="s">
        <v>4815</v>
      </c>
      <c r="F3991" s="156" t="s">
        <v>534</v>
      </c>
      <c r="G3991" s="156" t="s">
        <v>3707</v>
      </c>
      <c r="H3991" s="157" t="s">
        <v>216</v>
      </c>
    </row>
    <row r="3992" hidden="1">
      <c r="A3992" s="151" t="s">
        <v>230</v>
      </c>
      <c r="B3992" s="118" t="s">
        <v>194</v>
      </c>
      <c r="C3992" s="118" t="s">
        <v>206</v>
      </c>
      <c r="D3992" s="152" t="s">
        <v>4728</v>
      </c>
      <c r="E3992" s="152" t="s">
        <v>4816</v>
      </c>
      <c r="F3992" s="152" t="s">
        <v>534</v>
      </c>
      <c r="G3992" s="152" t="s">
        <v>3872</v>
      </c>
      <c r="H3992" s="153" t="s">
        <v>210</v>
      </c>
    </row>
    <row r="3993" hidden="1">
      <c r="A3993" s="154" t="s">
        <v>230</v>
      </c>
      <c r="B3993" s="155" t="s">
        <v>194</v>
      </c>
      <c r="C3993" s="155" t="s">
        <v>206</v>
      </c>
      <c r="D3993" s="156" t="s">
        <v>4728</v>
      </c>
      <c r="E3993" s="156" t="s">
        <v>4817</v>
      </c>
      <c r="F3993" s="156" t="s">
        <v>359</v>
      </c>
      <c r="G3993" s="156" t="s">
        <v>4293</v>
      </c>
      <c r="H3993" s="157" t="s">
        <v>211</v>
      </c>
    </row>
    <row r="3994" hidden="1">
      <c r="A3994" s="151" t="s">
        <v>230</v>
      </c>
      <c r="B3994" s="118" t="s">
        <v>194</v>
      </c>
      <c r="C3994" s="118" t="s">
        <v>206</v>
      </c>
      <c r="D3994" s="152" t="s">
        <v>4728</v>
      </c>
      <c r="E3994" s="152" t="s">
        <v>4818</v>
      </c>
      <c r="F3994" s="152" t="s">
        <v>310</v>
      </c>
      <c r="G3994" s="152" t="s">
        <v>3541</v>
      </c>
      <c r="H3994" s="153" t="s">
        <v>212</v>
      </c>
    </row>
    <row r="3995" hidden="1">
      <c r="A3995" s="154" t="s">
        <v>230</v>
      </c>
      <c r="B3995" s="155" t="s">
        <v>194</v>
      </c>
      <c r="C3995" s="155" t="s">
        <v>206</v>
      </c>
      <c r="D3995" s="156" t="s">
        <v>4728</v>
      </c>
      <c r="E3995" s="156" t="s">
        <v>4819</v>
      </c>
      <c r="F3995" s="156" t="s">
        <v>331</v>
      </c>
      <c r="G3995" s="156" t="s">
        <v>4582</v>
      </c>
      <c r="H3995" s="157" t="s">
        <v>213</v>
      </c>
    </row>
    <row r="3996" hidden="1">
      <c r="A3996" s="151" t="s">
        <v>230</v>
      </c>
      <c r="B3996" s="118" t="s">
        <v>194</v>
      </c>
      <c r="C3996" s="118" t="s">
        <v>206</v>
      </c>
      <c r="D3996" s="152" t="s">
        <v>4728</v>
      </c>
      <c r="E3996" s="152" t="s">
        <v>4820</v>
      </c>
      <c r="F3996" s="152" t="s">
        <v>331</v>
      </c>
      <c r="G3996" s="152" t="s">
        <v>3265</v>
      </c>
      <c r="H3996" s="153" t="s">
        <v>214</v>
      </c>
    </row>
    <row r="3997" hidden="1">
      <c r="A3997" s="154" t="s">
        <v>230</v>
      </c>
      <c r="B3997" s="155" t="s">
        <v>194</v>
      </c>
      <c r="C3997" s="155" t="s">
        <v>206</v>
      </c>
      <c r="D3997" s="156" t="s">
        <v>4728</v>
      </c>
      <c r="E3997" s="156" t="s">
        <v>4821</v>
      </c>
      <c r="F3997" s="156" t="s">
        <v>359</v>
      </c>
      <c r="G3997" s="156" t="s">
        <v>3636</v>
      </c>
      <c r="H3997" s="157" t="s">
        <v>215</v>
      </c>
    </row>
    <row r="3998" hidden="1">
      <c r="A3998" s="151" t="s">
        <v>230</v>
      </c>
      <c r="B3998" s="118" t="s">
        <v>194</v>
      </c>
      <c r="C3998" s="118" t="s">
        <v>206</v>
      </c>
      <c r="D3998" s="152" t="s">
        <v>4728</v>
      </c>
      <c r="E3998" s="152" t="s">
        <v>4822</v>
      </c>
      <c r="F3998" s="152" t="s">
        <v>308</v>
      </c>
      <c r="G3998" s="152" t="s">
        <v>3905</v>
      </c>
      <c r="H3998" s="153" t="s">
        <v>216</v>
      </c>
    </row>
    <row r="3999" hidden="1">
      <c r="A3999" s="158" t="s">
        <v>231</v>
      </c>
      <c r="B3999" s="159"/>
      <c r="C3999" s="155" t="s">
        <v>232</v>
      </c>
      <c r="D3999" s="156" t="s">
        <v>4728</v>
      </c>
      <c r="E3999" s="156" t="s">
        <v>4823</v>
      </c>
      <c r="F3999" s="156" t="s">
        <v>799</v>
      </c>
      <c r="G3999" s="156" t="s">
        <v>2999</v>
      </c>
      <c r="H3999" s="157" t="s">
        <v>210</v>
      </c>
    </row>
    <row r="4000" hidden="1">
      <c r="A4000" s="160" t="s">
        <v>231</v>
      </c>
      <c r="B4000" s="72"/>
      <c r="C4000" s="118" t="s">
        <v>232</v>
      </c>
      <c r="D4000" s="152" t="s">
        <v>4728</v>
      </c>
      <c r="E4000" s="152" t="s">
        <v>4824</v>
      </c>
      <c r="F4000" s="152" t="s">
        <v>325</v>
      </c>
      <c r="G4000" s="152" t="s">
        <v>2847</v>
      </c>
      <c r="H4000" s="153" t="s">
        <v>211</v>
      </c>
    </row>
    <row r="4001" hidden="1">
      <c r="A4001" s="158" t="s">
        <v>231</v>
      </c>
      <c r="B4001" s="159"/>
      <c r="C4001" s="155" t="s">
        <v>232</v>
      </c>
      <c r="D4001" s="156" t="s">
        <v>4728</v>
      </c>
      <c r="E4001" s="156" t="s">
        <v>4825</v>
      </c>
      <c r="F4001" s="156" t="s">
        <v>285</v>
      </c>
      <c r="G4001" s="156" t="s">
        <v>3523</v>
      </c>
      <c r="H4001" s="157" t="s">
        <v>212</v>
      </c>
    </row>
    <row r="4002" hidden="1">
      <c r="A4002" s="160" t="s">
        <v>231</v>
      </c>
      <c r="B4002" s="72"/>
      <c r="C4002" s="118" t="s">
        <v>232</v>
      </c>
      <c r="D4002" s="152" t="s">
        <v>4728</v>
      </c>
      <c r="E4002" s="152" t="s">
        <v>4826</v>
      </c>
      <c r="F4002" s="152" t="s">
        <v>269</v>
      </c>
      <c r="G4002" s="152" t="s">
        <v>3287</v>
      </c>
      <c r="H4002" s="153" t="s">
        <v>213</v>
      </c>
    </row>
    <row r="4003" hidden="1">
      <c r="A4003" s="158" t="s">
        <v>231</v>
      </c>
      <c r="B4003" s="159"/>
      <c r="C4003" s="155" t="s">
        <v>232</v>
      </c>
      <c r="D4003" s="156" t="s">
        <v>4728</v>
      </c>
      <c r="E4003" s="156" t="s">
        <v>4827</v>
      </c>
      <c r="F4003" s="156" t="s">
        <v>310</v>
      </c>
      <c r="G4003" s="156" t="s">
        <v>2410</v>
      </c>
      <c r="H4003" s="157" t="s">
        <v>214</v>
      </c>
    </row>
    <row r="4004" hidden="1">
      <c r="A4004" s="160" t="s">
        <v>231</v>
      </c>
      <c r="B4004" s="72"/>
      <c r="C4004" s="118" t="s">
        <v>232</v>
      </c>
      <c r="D4004" s="152" t="s">
        <v>4728</v>
      </c>
      <c r="E4004" s="152" t="s">
        <v>4828</v>
      </c>
      <c r="F4004" s="152" t="s">
        <v>339</v>
      </c>
      <c r="G4004" s="152" t="s">
        <v>2289</v>
      </c>
      <c r="H4004" s="153" t="s">
        <v>215</v>
      </c>
    </row>
    <row r="4005" hidden="1">
      <c r="A4005" s="158" t="s">
        <v>231</v>
      </c>
      <c r="B4005" s="159"/>
      <c r="C4005" s="155" t="s">
        <v>232</v>
      </c>
      <c r="D4005" s="156" t="s">
        <v>4728</v>
      </c>
      <c r="E4005" s="156" t="s">
        <v>4829</v>
      </c>
      <c r="F4005" s="156" t="s">
        <v>336</v>
      </c>
      <c r="G4005" s="156" t="s">
        <v>2923</v>
      </c>
      <c r="H4005" s="157" t="s">
        <v>216</v>
      </c>
    </row>
    <row r="4006" hidden="1">
      <c r="A4006" s="160" t="s">
        <v>233</v>
      </c>
      <c r="B4006" s="72"/>
      <c r="C4006" s="118" t="s">
        <v>232</v>
      </c>
      <c r="D4006" s="152" t="s">
        <v>4728</v>
      </c>
      <c r="E4006" s="152" t="s">
        <v>4830</v>
      </c>
      <c r="F4006" s="152" t="s">
        <v>323</v>
      </c>
      <c r="G4006" s="152" t="s">
        <v>4060</v>
      </c>
      <c r="H4006" s="153" t="s">
        <v>210</v>
      </c>
    </row>
    <row r="4007" hidden="1">
      <c r="A4007" s="158" t="s">
        <v>233</v>
      </c>
      <c r="B4007" s="159"/>
      <c r="C4007" s="155" t="s">
        <v>232</v>
      </c>
      <c r="D4007" s="156" t="s">
        <v>4728</v>
      </c>
      <c r="E4007" s="156" t="s">
        <v>4831</v>
      </c>
      <c r="F4007" s="156" t="s">
        <v>323</v>
      </c>
      <c r="G4007" s="156" t="s">
        <v>1793</v>
      </c>
      <c r="H4007" s="157" t="s">
        <v>211</v>
      </c>
    </row>
    <row r="4008" hidden="1">
      <c r="A4008" s="160" t="s">
        <v>233</v>
      </c>
      <c r="B4008" s="72"/>
      <c r="C4008" s="118" t="s">
        <v>232</v>
      </c>
      <c r="D4008" s="152" t="s">
        <v>4728</v>
      </c>
      <c r="E4008" s="152" t="s">
        <v>4832</v>
      </c>
      <c r="F4008" s="152" t="s">
        <v>365</v>
      </c>
      <c r="G4008" s="152" t="s">
        <v>4209</v>
      </c>
      <c r="H4008" s="153" t="s">
        <v>212</v>
      </c>
    </row>
    <row r="4009" hidden="1">
      <c r="A4009" s="158" t="s">
        <v>233</v>
      </c>
      <c r="B4009" s="159"/>
      <c r="C4009" s="155" t="s">
        <v>232</v>
      </c>
      <c r="D4009" s="156" t="s">
        <v>4728</v>
      </c>
      <c r="E4009" s="156" t="s">
        <v>4833</v>
      </c>
      <c r="F4009" s="156" t="s">
        <v>285</v>
      </c>
      <c r="G4009" s="156" t="s">
        <v>2515</v>
      </c>
      <c r="H4009" s="157" t="s">
        <v>213</v>
      </c>
    </row>
    <row r="4010" hidden="1">
      <c r="A4010" s="160" t="s">
        <v>233</v>
      </c>
      <c r="B4010" s="72"/>
      <c r="C4010" s="118" t="s">
        <v>232</v>
      </c>
      <c r="D4010" s="152" t="s">
        <v>4728</v>
      </c>
      <c r="E4010" s="152" t="s">
        <v>4834</v>
      </c>
      <c r="F4010" s="152" t="s">
        <v>321</v>
      </c>
      <c r="G4010" s="152" t="s">
        <v>3818</v>
      </c>
      <c r="H4010" s="153" t="s">
        <v>214</v>
      </c>
    </row>
    <row r="4011" hidden="1">
      <c r="A4011" s="158" t="s">
        <v>233</v>
      </c>
      <c r="B4011" s="159"/>
      <c r="C4011" s="155" t="s">
        <v>232</v>
      </c>
      <c r="D4011" s="156" t="s">
        <v>4728</v>
      </c>
      <c r="E4011" s="156" t="s">
        <v>4835</v>
      </c>
      <c r="F4011" s="156" t="s">
        <v>314</v>
      </c>
      <c r="G4011" s="156" t="s">
        <v>1793</v>
      </c>
      <c r="H4011" s="157" t="s">
        <v>215</v>
      </c>
    </row>
    <row r="4012" hidden="1">
      <c r="A4012" s="160" t="s">
        <v>233</v>
      </c>
      <c r="B4012" s="72"/>
      <c r="C4012" s="118" t="s">
        <v>232</v>
      </c>
      <c r="D4012" s="152" t="s">
        <v>4728</v>
      </c>
      <c r="E4012" s="152" t="s">
        <v>4836</v>
      </c>
      <c r="F4012" s="152" t="s">
        <v>323</v>
      </c>
      <c r="G4012" s="152" t="s">
        <v>3300</v>
      </c>
      <c r="H4012" s="153" t="s">
        <v>216</v>
      </c>
    </row>
    <row r="4013" hidden="1">
      <c r="A4013" s="158" t="s">
        <v>234</v>
      </c>
      <c r="B4013" s="159"/>
      <c r="C4013" s="155" t="s">
        <v>232</v>
      </c>
      <c r="D4013" s="156" t="s">
        <v>4728</v>
      </c>
      <c r="E4013" s="156" t="s">
        <v>4837</v>
      </c>
      <c r="F4013" s="156" t="s">
        <v>246</v>
      </c>
      <c r="G4013" s="156" t="s">
        <v>4659</v>
      </c>
      <c r="H4013" s="157" t="s">
        <v>210</v>
      </c>
    </row>
    <row r="4014" hidden="1">
      <c r="A4014" s="160" t="s">
        <v>234</v>
      </c>
      <c r="B4014" s="72"/>
      <c r="C4014" s="118" t="s">
        <v>232</v>
      </c>
      <c r="D4014" s="152" t="s">
        <v>4728</v>
      </c>
      <c r="E4014" s="152" t="s">
        <v>4838</v>
      </c>
      <c r="F4014" s="152" t="s">
        <v>357</v>
      </c>
      <c r="G4014" s="152" t="s">
        <v>2179</v>
      </c>
      <c r="H4014" s="153" t="s">
        <v>211</v>
      </c>
    </row>
    <row r="4015" hidden="1">
      <c r="A4015" s="158" t="s">
        <v>234</v>
      </c>
      <c r="B4015" s="159"/>
      <c r="C4015" s="155" t="s">
        <v>232</v>
      </c>
      <c r="D4015" s="156" t="s">
        <v>4728</v>
      </c>
      <c r="E4015" s="156" t="s">
        <v>4839</v>
      </c>
      <c r="F4015" s="156" t="s">
        <v>269</v>
      </c>
      <c r="G4015" s="156" t="s">
        <v>4659</v>
      </c>
      <c r="H4015" s="157" t="s">
        <v>212</v>
      </c>
    </row>
    <row r="4016" hidden="1">
      <c r="A4016" s="160" t="s">
        <v>234</v>
      </c>
      <c r="B4016" s="72"/>
      <c r="C4016" s="118" t="s">
        <v>232</v>
      </c>
      <c r="D4016" s="152" t="s">
        <v>4728</v>
      </c>
      <c r="E4016" s="152" t="s">
        <v>4840</v>
      </c>
      <c r="F4016" s="152" t="s">
        <v>244</v>
      </c>
      <c r="G4016" s="152" t="s">
        <v>4290</v>
      </c>
      <c r="H4016" s="153" t="s">
        <v>213</v>
      </c>
    </row>
    <row r="4017" hidden="1">
      <c r="A4017" s="158" t="s">
        <v>234</v>
      </c>
      <c r="B4017" s="159"/>
      <c r="C4017" s="155" t="s">
        <v>232</v>
      </c>
      <c r="D4017" s="156" t="s">
        <v>4728</v>
      </c>
      <c r="E4017" s="156" t="s">
        <v>4841</v>
      </c>
      <c r="F4017" s="156" t="s">
        <v>427</v>
      </c>
      <c r="G4017" s="156" t="s">
        <v>4842</v>
      </c>
      <c r="H4017" s="157" t="s">
        <v>214</v>
      </c>
    </row>
    <row r="4018" hidden="1">
      <c r="A4018" s="160" t="s">
        <v>234</v>
      </c>
      <c r="B4018" s="72"/>
      <c r="C4018" s="118" t="s">
        <v>232</v>
      </c>
      <c r="D4018" s="152" t="s">
        <v>4728</v>
      </c>
      <c r="E4018" s="152" t="s">
        <v>4843</v>
      </c>
      <c r="F4018" s="152" t="s">
        <v>249</v>
      </c>
      <c r="G4018" s="152" t="s">
        <v>4509</v>
      </c>
      <c r="H4018" s="153" t="s">
        <v>215</v>
      </c>
    </row>
    <row r="4019" hidden="1">
      <c r="A4019" s="158" t="s">
        <v>234</v>
      </c>
      <c r="B4019" s="159"/>
      <c r="C4019" s="155" t="s">
        <v>232</v>
      </c>
      <c r="D4019" s="156" t="s">
        <v>4728</v>
      </c>
      <c r="E4019" s="156" t="s">
        <v>4844</v>
      </c>
      <c r="F4019" s="156" t="s">
        <v>242</v>
      </c>
      <c r="G4019" s="156" t="s">
        <v>4659</v>
      </c>
      <c r="H4019" s="157" t="s">
        <v>216</v>
      </c>
    </row>
    <row r="4020" hidden="1">
      <c r="A4020" s="160" t="s">
        <v>235</v>
      </c>
      <c r="B4020" s="72"/>
      <c r="C4020" s="118" t="s">
        <v>236</v>
      </c>
      <c r="D4020" s="152" t="s">
        <v>4728</v>
      </c>
      <c r="E4020" s="152" t="s">
        <v>4845</v>
      </c>
      <c r="F4020" s="152" t="s">
        <v>357</v>
      </c>
      <c r="G4020" s="152" t="s">
        <v>3616</v>
      </c>
      <c r="H4020" s="153" t="s">
        <v>210</v>
      </c>
    </row>
    <row r="4021" hidden="1">
      <c r="A4021" s="158" t="s">
        <v>235</v>
      </c>
      <c r="B4021" s="159"/>
      <c r="C4021" s="155" t="s">
        <v>236</v>
      </c>
      <c r="D4021" s="156" t="s">
        <v>4728</v>
      </c>
      <c r="E4021" s="156" t="s">
        <v>4846</v>
      </c>
      <c r="F4021" s="156" t="s">
        <v>323</v>
      </c>
      <c r="G4021" s="156" t="s">
        <v>3294</v>
      </c>
      <c r="H4021" s="157" t="s">
        <v>211</v>
      </c>
    </row>
    <row r="4022" hidden="1">
      <c r="A4022" s="160" t="s">
        <v>235</v>
      </c>
      <c r="B4022" s="72"/>
      <c r="C4022" s="118" t="s">
        <v>236</v>
      </c>
      <c r="D4022" s="152" t="s">
        <v>4728</v>
      </c>
      <c r="E4022" s="152" t="s">
        <v>4847</v>
      </c>
      <c r="F4022" s="152" t="s">
        <v>365</v>
      </c>
      <c r="G4022" s="152" t="s">
        <v>3818</v>
      </c>
      <c r="H4022" s="153" t="s">
        <v>212</v>
      </c>
    </row>
    <row r="4023" hidden="1">
      <c r="A4023" s="158" t="s">
        <v>235</v>
      </c>
      <c r="B4023" s="159"/>
      <c r="C4023" s="155" t="s">
        <v>236</v>
      </c>
      <c r="D4023" s="156" t="s">
        <v>4728</v>
      </c>
      <c r="E4023" s="156" t="s">
        <v>4848</v>
      </c>
      <c r="F4023" s="156" t="s">
        <v>242</v>
      </c>
      <c r="G4023" s="156" t="s">
        <v>1997</v>
      </c>
      <c r="H4023" s="157" t="s">
        <v>213</v>
      </c>
    </row>
    <row r="4024" hidden="1">
      <c r="A4024" s="160" t="s">
        <v>235</v>
      </c>
      <c r="B4024" s="72"/>
      <c r="C4024" s="118" t="s">
        <v>236</v>
      </c>
      <c r="D4024" s="152" t="s">
        <v>4728</v>
      </c>
      <c r="E4024" s="152" t="s">
        <v>4849</v>
      </c>
      <c r="F4024" s="152" t="s">
        <v>285</v>
      </c>
      <c r="G4024" s="152" t="s">
        <v>4209</v>
      </c>
      <c r="H4024" s="153" t="s">
        <v>214</v>
      </c>
    </row>
    <row r="4025" hidden="1">
      <c r="A4025" s="158" t="s">
        <v>235</v>
      </c>
      <c r="B4025" s="159"/>
      <c r="C4025" s="155" t="s">
        <v>236</v>
      </c>
      <c r="D4025" s="156" t="s">
        <v>4728</v>
      </c>
      <c r="E4025" s="156" t="s">
        <v>4850</v>
      </c>
      <c r="F4025" s="156" t="s">
        <v>321</v>
      </c>
      <c r="G4025" s="156" t="s">
        <v>4851</v>
      </c>
      <c r="H4025" s="157" t="s">
        <v>215</v>
      </c>
    </row>
    <row r="4026" hidden="1">
      <c r="A4026" s="160" t="s">
        <v>235</v>
      </c>
      <c r="B4026" s="72"/>
      <c r="C4026" s="118" t="s">
        <v>236</v>
      </c>
      <c r="D4026" s="152" t="s">
        <v>4728</v>
      </c>
      <c r="E4026" s="152" t="s">
        <v>4852</v>
      </c>
      <c r="F4026" s="152" t="s">
        <v>365</v>
      </c>
      <c r="G4026" s="152" t="s">
        <v>3294</v>
      </c>
      <c r="H4026" s="153" t="s">
        <v>216</v>
      </c>
    </row>
    <row r="4027" hidden="1">
      <c r="A4027" s="158" t="s">
        <v>237</v>
      </c>
      <c r="B4027" s="159"/>
      <c r="C4027" s="155" t="s">
        <v>236</v>
      </c>
      <c r="D4027" s="156" t="s">
        <v>4728</v>
      </c>
      <c r="E4027" s="156" t="s">
        <v>4853</v>
      </c>
      <c r="F4027" s="156" t="s">
        <v>321</v>
      </c>
      <c r="G4027" s="156" t="s">
        <v>2510</v>
      </c>
      <c r="H4027" s="157" t="s">
        <v>210</v>
      </c>
    </row>
    <row r="4028" hidden="1">
      <c r="A4028" s="160" t="s">
        <v>237</v>
      </c>
      <c r="B4028" s="72"/>
      <c r="C4028" s="118" t="s">
        <v>236</v>
      </c>
      <c r="D4028" s="152" t="s">
        <v>4728</v>
      </c>
      <c r="E4028" s="152" t="s">
        <v>4854</v>
      </c>
      <c r="F4028" s="152" t="s">
        <v>321</v>
      </c>
      <c r="G4028" s="152" t="s">
        <v>3478</v>
      </c>
      <c r="H4028" s="153" t="s">
        <v>211</v>
      </c>
    </row>
    <row r="4029" hidden="1">
      <c r="A4029" s="158" t="s">
        <v>237</v>
      </c>
      <c r="B4029" s="159"/>
      <c r="C4029" s="155" t="s">
        <v>236</v>
      </c>
      <c r="D4029" s="156" t="s">
        <v>4728</v>
      </c>
      <c r="E4029" s="156" t="s">
        <v>4855</v>
      </c>
      <c r="F4029" s="156" t="s">
        <v>257</v>
      </c>
      <c r="G4029" s="156" t="s">
        <v>3272</v>
      </c>
      <c r="H4029" s="157" t="s">
        <v>212</v>
      </c>
    </row>
    <row r="4030" hidden="1">
      <c r="A4030" s="160" t="s">
        <v>237</v>
      </c>
      <c r="B4030" s="72"/>
      <c r="C4030" s="118" t="s">
        <v>236</v>
      </c>
      <c r="D4030" s="152" t="s">
        <v>4728</v>
      </c>
      <c r="E4030" s="152" t="s">
        <v>4856</v>
      </c>
      <c r="F4030" s="152" t="s">
        <v>314</v>
      </c>
      <c r="G4030" s="152" t="s">
        <v>1776</v>
      </c>
      <c r="H4030" s="153" t="s">
        <v>213</v>
      </c>
    </row>
    <row r="4031" hidden="1">
      <c r="A4031" s="158" t="s">
        <v>237</v>
      </c>
      <c r="B4031" s="159"/>
      <c r="C4031" s="155" t="s">
        <v>236</v>
      </c>
      <c r="D4031" s="156" t="s">
        <v>4728</v>
      </c>
      <c r="E4031" s="156" t="s">
        <v>4857</v>
      </c>
      <c r="F4031" s="156" t="s">
        <v>354</v>
      </c>
      <c r="G4031" s="156" t="s">
        <v>3205</v>
      </c>
      <c r="H4031" s="157" t="s">
        <v>214</v>
      </c>
    </row>
    <row r="4032" hidden="1">
      <c r="A4032" s="160" t="s">
        <v>237</v>
      </c>
      <c r="B4032" s="72"/>
      <c r="C4032" s="118" t="s">
        <v>236</v>
      </c>
      <c r="D4032" s="152" t="s">
        <v>4728</v>
      </c>
      <c r="E4032" s="152" t="s">
        <v>4858</v>
      </c>
      <c r="F4032" s="152" t="s">
        <v>321</v>
      </c>
      <c r="G4032" s="152" t="s">
        <v>2816</v>
      </c>
      <c r="H4032" s="153" t="s">
        <v>215</v>
      </c>
    </row>
    <row r="4033" hidden="1">
      <c r="A4033" s="158" t="s">
        <v>237</v>
      </c>
      <c r="B4033" s="159"/>
      <c r="C4033" s="155" t="s">
        <v>236</v>
      </c>
      <c r="D4033" s="156" t="s">
        <v>4728</v>
      </c>
      <c r="E4033" s="156" t="s">
        <v>4859</v>
      </c>
      <c r="F4033" s="156" t="s">
        <v>321</v>
      </c>
      <c r="G4033" s="156" t="s">
        <v>2510</v>
      </c>
      <c r="H4033" s="157" t="s">
        <v>216</v>
      </c>
    </row>
    <row r="4034" hidden="1">
      <c r="A4034" s="151" t="s">
        <v>204</v>
      </c>
      <c r="B4034" s="118" t="s">
        <v>205</v>
      </c>
      <c r="C4034" s="118" t="s">
        <v>206</v>
      </c>
      <c r="D4034" s="152" t="s">
        <v>4860</v>
      </c>
      <c r="E4034" s="152" t="s">
        <v>4861</v>
      </c>
      <c r="F4034" s="152" t="s">
        <v>425</v>
      </c>
      <c r="G4034" s="152" t="s">
        <v>2822</v>
      </c>
      <c r="H4034" s="153" t="s">
        <v>210</v>
      </c>
    </row>
    <row r="4035" hidden="1">
      <c r="A4035" s="154" t="s">
        <v>204</v>
      </c>
      <c r="B4035" s="155" t="s">
        <v>205</v>
      </c>
      <c r="C4035" s="155" t="s">
        <v>206</v>
      </c>
      <c r="D4035" s="156" t="s">
        <v>4860</v>
      </c>
      <c r="E4035" s="156" t="s">
        <v>4862</v>
      </c>
      <c r="F4035" s="156" t="s">
        <v>425</v>
      </c>
      <c r="G4035" s="156" t="s">
        <v>2352</v>
      </c>
      <c r="H4035" s="157" t="s">
        <v>211</v>
      </c>
    </row>
    <row r="4036" hidden="1">
      <c r="A4036" s="151" t="s">
        <v>204</v>
      </c>
      <c r="B4036" s="118" t="s">
        <v>205</v>
      </c>
      <c r="C4036" s="118" t="s">
        <v>206</v>
      </c>
      <c r="D4036" s="152" t="s">
        <v>4860</v>
      </c>
      <c r="E4036" s="152" t="s">
        <v>4863</v>
      </c>
      <c r="F4036" s="152" t="s">
        <v>725</v>
      </c>
      <c r="G4036" s="152" t="s">
        <v>4464</v>
      </c>
      <c r="H4036" s="153" t="s">
        <v>212</v>
      </c>
    </row>
    <row r="4037" hidden="1">
      <c r="A4037" s="154" t="s">
        <v>204</v>
      </c>
      <c r="B4037" s="155" t="s">
        <v>205</v>
      </c>
      <c r="C4037" s="155" t="s">
        <v>206</v>
      </c>
      <c r="D4037" s="156" t="s">
        <v>4860</v>
      </c>
      <c r="E4037" s="156" t="s">
        <v>4864</v>
      </c>
      <c r="F4037" s="156" t="s">
        <v>329</v>
      </c>
      <c r="G4037" s="156" t="s">
        <v>3966</v>
      </c>
      <c r="H4037" s="157" t="s">
        <v>213</v>
      </c>
    </row>
    <row r="4038" hidden="1">
      <c r="A4038" s="151" t="s">
        <v>204</v>
      </c>
      <c r="B4038" s="118" t="s">
        <v>205</v>
      </c>
      <c r="C4038" s="118" t="s">
        <v>206</v>
      </c>
      <c r="D4038" s="152" t="s">
        <v>4860</v>
      </c>
      <c r="E4038" s="152" t="s">
        <v>4865</v>
      </c>
      <c r="F4038" s="152" t="s">
        <v>494</v>
      </c>
      <c r="G4038" s="152" t="s">
        <v>3294</v>
      </c>
      <c r="H4038" s="153" t="s">
        <v>214</v>
      </c>
    </row>
    <row r="4039" hidden="1">
      <c r="A4039" s="154" t="s">
        <v>204</v>
      </c>
      <c r="B4039" s="155" t="s">
        <v>205</v>
      </c>
      <c r="C4039" s="155" t="s">
        <v>206</v>
      </c>
      <c r="D4039" s="156" t="s">
        <v>4860</v>
      </c>
      <c r="E4039" s="156" t="s">
        <v>4866</v>
      </c>
      <c r="F4039" s="156" t="s">
        <v>799</v>
      </c>
      <c r="G4039" s="156" t="s">
        <v>3840</v>
      </c>
      <c r="H4039" s="157" t="s">
        <v>215</v>
      </c>
    </row>
    <row r="4040" hidden="1">
      <c r="A4040" s="151" t="s">
        <v>204</v>
      </c>
      <c r="B4040" s="118" t="s">
        <v>205</v>
      </c>
      <c r="C4040" s="118" t="s">
        <v>206</v>
      </c>
      <c r="D4040" s="152" t="s">
        <v>4860</v>
      </c>
      <c r="E4040" s="152" t="s">
        <v>4867</v>
      </c>
      <c r="F4040" s="152" t="s">
        <v>483</v>
      </c>
      <c r="G4040" s="152" t="s">
        <v>3989</v>
      </c>
      <c r="H4040" s="153" t="s">
        <v>216</v>
      </c>
    </row>
    <row r="4041" hidden="1">
      <c r="A4041" s="154" t="s">
        <v>217</v>
      </c>
      <c r="B4041" s="155" t="s">
        <v>191</v>
      </c>
      <c r="C4041" s="155" t="s">
        <v>206</v>
      </c>
      <c r="D4041" s="156" t="s">
        <v>4860</v>
      </c>
      <c r="E4041" s="156" t="s">
        <v>4868</v>
      </c>
      <c r="F4041" s="156" t="s">
        <v>354</v>
      </c>
      <c r="G4041" s="156" t="s">
        <v>4283</v>
      </c>
      <c r="H4041" s="157" t="s">
        <v>210</v>
      </c>
    </row>
    <row r="4042" hidden="1">
      <c r="A4042" s="151" t="s">
        <v>217</v>
      </c>
      <c r="B4042" s="118" t="s">
        <v>191</v>
      </c>
      <c r="C4042" s="118" t="s">
        <v>206</v>
      </c>
      <c r="D4042" s="152" t="s">
        <v>4860</v>
      </c>
      <c r="E4042" s="152" t="s">
        <v>4869</v>
      </c>
      <c r="F4042" s="152" t="s">
        <v>494</v>
      </c>
      <c r="G4042" s="152" t="s">
        <v>3302</v>
      </c>
      <c r="H4042" s="153" t="s">
        <v>211</v>
      </c>
    </row>
    <row r="4043" hidden="1">
      <c r="A4043" s="154" t="s">
        <v>217</v>
      </c>
      <c r="B4043" s="155" t="s">
        <v>191</v>
      </c>
      <c r="C4043" s="155" t="s">
        <v>206</v>
      </c>
      <c r="D4043" s="156" t="s">
        <v>4860</v>
      </c>
      <c r="E4043" s="156" t="s">
        <v>4870</v>
      </c>
      <c r="F4043" s="156" t="s">
        <v>1532</v>
      </c>
      <c r="G4043" s="156" t="s">
        <v>4608</v>
      </c>
      <c r="H4043" s="157" t="s">
        <v>212</v>
      </c>
    </row>
    <row r="4044" hidden="1">
      <c r="A4044" s="151" t="s">
        <v>217</v>
      </c>
      <c r="B4044" s="118" t="s">
        <v>191</v>
      </c>
      <c r="C4044" s="118" t="s">
        <v>206</v>
      </c>
      <c r="D4044" s="152" t="s">
        <v>4860</v>
      </c>
      <c r="E4044" s="152" t="s">
        <v>4871</v>
      </c>
      <c r="F4044" s="152" t="s">
        <v>1532</v>
      </c>
      <c r="G4044" s="152" t="s">
        <v>3939</v>
      </c>
      <c r="H4044" s="153" t="s">
        <v>213</v>
      </c>
    </row>
    <row r="4045" hidden="1">
      <c r="A4045" s="154" t="s">
        <v>217</v>
      </c>
      <c r="B4045" s="155" t="s">
        <v>191</v>
      </c>
      <c r="C4045" s="155" t="s">
        <v>206</v>
      </c>
      <c r="D4045" s="156" t="s">
        <v>4860</v>
      </c>
      <c r="E4045" s="156" t="s">
        <v>4872</v>
      </c>
      <c r="F4045" s="156" t="s">
        <v>453</v>
      </c>
      <c r="G4045" s="156" t="s">
        <v>3267</v>
      </c>
      <c r="H4045" s="157" t="s">
        <v>214</v>
      </c>
    </row>
    <row r="4046" hidden="1">
      <c r="A4046" s="151" t="s">
        <v>217</v>
      </c>
      <c r="B4046" s="118" t="s">
        <v>191</v>
      </c>
      <c r="C4046" s="118" t="s">
        <v>206</v>
      </c>
      <c r="D4046" s="152" t="s">
        <v>4860</v>
      </c>
      <c r="E4046" s="152" t="s">
        <v>4873</v>
      </c>
      <c r="F4046" s="152" t="s">
        <v>329</v>
      </c>
      <c r="G4046" s="152" t="s">
        <v>4842</v>
      </c>
      <c r="H4046" s="153" t="s">
        <v>215</v>
      </c>
    </row>
    <row r="4047" hidden="1">
      <c r="A4047" s="154" t="s">
        <v>217</v>
      </c>
      <c r="B4047" s="155" t="s">
        <v>191</v>
      </c>
      <c r="C4047" s="155" t="s">
        <v>206</v>
      </c>
      <c r="D4047" s="156" t="s">
        <v>4860</v>
      </c>
      <c r="E4047" s="156" t="s">
        <v>4874</v>
      </c>
      <c r="F4047" s="156" t="s">
        <v>725</v>
      </c>
      <c r="G4047" s="156" t="s">
        <v>3111</v>
      </c>
      <c r="H4047" s="157" t="s">
        <v>216</v>
      </c>
    </row>
    <row r="4048" hidden="1">
      <c r="A4048" s="151" t="s">
        <v>218</v>
      </c>
      <c r="B4048" s="118" t="s">
        <v>219</v>
      </c>
      <c r="C4048" s="118" t="s">
        <v>206</v>
      </c>
      <c r="D4048" s="152" t="s">
        <v>4860</v>
      </c>
      <c r="E4048" s="152" t="s">
        <v>4875</v>
      </c>
      <c r="F4048" s="152" t="s">
        <v>494</v>
      </c>
      <c r="G4048" s="152" t="s">
        <v>2758</v>
      </c>
      <c r="H4048" s="153" t="s">
        <v>210</v>
      </c>
    </row>
    <row r="4049" hidden="1">
      <c r="A4049" s="154" t="s">
        <v>218</v>
      </c>
      <c r="B4049" s="155" t="s">
        <v>219</v>
      </c>
      <c r="C4049" s="155" t="s">
        <v>206</v>
      </c>
      <c r="D4049" s="156" t="s">
        <v>4860</v>
      </c>
      <c r="E4049" s="156" t="s">
        <v>4876</v>
      </c>
      <c r="F4049" s="156" t="s">
        <v>354</v>
      </c>
      <c r="G4049" s="156" t="s">
        <v>2923</v>
      </c>
      <c r="H4049" s="157" t="s">
        <v>211</v>
      </c>
    </row>
    <row r="4050" hidden="1">
      <c r="A4050" s="151" t="s">
        <v>218</v>
      </c>
      <c r="B4050" s="118" t="s">
        <v>219</v>
      </c>
      <c r="C4050" s="118" t="s">
        <v>206</v>
      </c>
      <c r="D4050" s="152" t="s">
        <v>4860</v>
      </c>
      <c r="E4050" s="152" t="s">
        <v>4877</v>
      </c>
      <c r="F4050" s="152" t="s">
        <v>312</v>
      </c>
      <c r="G4050" s="152" t="s">
        <v>1951</v>
      </c>
      <c r="H4050" s="153" t="s">
        <v>212</v>
      </c>
    </row>
    <row r="4051" hidden="1">
      <c r="A4051" s="154" t="s">
        <v>218</v>
      </c>
      <c r="B4051" s="155" t="s">
        <v>219</v>
      </c>
      <c r="C4051" s="155" t="s">
        <v>206</v>
      </c>
      <c r="D4051" s="156" t="s">
        <v>4860</v>
      </c>
      <c r="E4051" s="156" t="s">
        <v>4878</v>
      </c>
      <c r="F4051" s="156" t="s">
        <v>478</v>
      </c>
      <c r="G4051" s="156" t="s">
        <v>3226</v>
      </c>
      <c r="H4051" s="157" t="s">
        <v>213</v>
      </c>
    </row>
    <row r="4052" hidden="1">
      <c r="A4052" s="151" t="s">
        <v>218</v>
      </c>
      <c r="B4052" s="118" t="s">
        <v>219</v>
      </c>
      <c r="C4052" s="118" t="s">
        <v>206</v>
      </c>
      <c r="D4052" s="152" t="s">
        <v>4860</v>
      </c>
      <c r="E4052" s="152" t="s">
        <v>4879</v>
      </c>
      <c r="F4052" s="152" t="s">
        <v>799</v>
      </c>
      <c r="G4052" s="152" t="s">
        <v>1949</v>
      </c>
      <c r="H4052" s="153" t="s">
        <v>214</v>
      </c>
    </row>
    <row r="4053" hidden="1">
      <c r="A4053" s="154" t="s">
        <v>218</v>
      </c>
      <c r="B4053" s="155" t="s">
        <v>219</v>
      </c>
      <c r="C4053" s="155" t="s">
        <v>206</v>
      </c>
      <c r="D4053" s="156" t="s">
        <v>4860</v>
      </c>
      <c r="E4053" s="156" t="s">
        <v>4880</v>
      </c>
      <c r="F4053" s="156" t="s">
        <v>577</v>
      </c>
      <c r="G4053" s="156" t="s">
        <v>3458</v>
      </c>
      <c r="H4053" s="157" t="s">
        <v>215</v>
      </c>
    </row>
    <row r="4054" hidden="1">
      <c r="A4054" s="151" t="s">
        <v>218</v>
      </c>
      <c r="B4054" s="118" t="s">
        <v>219</v>
      </c>
      <c r="C4054" s="118" t="s">
        <v>206</v>
      </c>
      <c r="D4054" s="152" t="s">
        <v>4860</v>
      </c>
      <c r="E4054" s="152" t="s">
        <v>4881</v>
      </c>
      <c r="F4054" s="152" t="s">
        <v>494</v>
      </c>
      <c r="G4054" s="152" t="s">
        <v>3226</v>
      </c>
      <c r="H4054" s="153" t="s">
        <v>216</v>
      </c>
    </row>
    <row r="4055" hidden="1">
      <c r="A4055" s="154" t="s">
        <v>220</v>
      </c>
      <c r="B4055" s="155" t="s">
        <v>190</v>
      </c>
      <c r="C4055" s="155" t="s">
        <v>206</v>
      </c>
      <c r="D4055" s="156" t="s">
        <v>4860</v>
      </c>
      <c r="E4055" s="156" t="s">
        <v>4882</v>
      </c>
      <c r="F4055" s="156" t="s">
        <v>310</v>
      </c>
      <c r="G4055" s="156" t="s">
        <v>2354</v>
      </c>
      <c r="H4055" s="157" t="s">
        <v>210</v>
      </c>
    </row>
    <row r="4056" hidden="1">
      <c r="A4056" s="151" t="s">
        <v>220</v>
      </c>
      <c r="B4056" s="118" t="s">
        <v>190</v>
      </c>
      <c r="C4056" s="118" t="s">
        <v>206</v>
      </c>
      <c r="D4056" s="152" t="s">
        <v>4860</v>
      </c>
      <c r="E4056" s="152" t="s">
        <v>4883</v>
      </c>
      <c r="F4056" s="152" t="s">
        <v>310</v>
      </c>
      <c r="G4056" s="152" t="s">
        <v>2824</v>
      </c>
      <c r="H4056" s="153" t="s">
        <v>211</v>
      </c>
    </row>
    <row r="4057" hidden="1">
      <c r="A4057" s="154" t="s">
        <v>220</v>
      </c>
      <c r="B4057" s="155" t="s">
        <v>190</v>
      </c>
      <c r="C4057" s="155" t="s">
        <v>206</v>
      </c>
      <c r="D4057" s="156" t="s">
        <v>4860</v>
      </c>
      <c r="E4057" s="156" t="s">
        <v>4884</v>
      </c>
      <c r="F4057" s="156" t="s">
        <v>483</v>
      </c>
      <c r="G4057" s="156" t="s">
        <v>2510</v>
      </c>
      <c r="H4057" s="157" t="s">
        <v>212</v>
      </c>
    </row>
    <row r="4058" hidden="1">
      <c r="A4058" s="151" t="s">
        <v>220</v>
      </c>
      <c r="B4058" s="118" t="s">
        <v>190</v>
      </c>
      <c r="C4058" s="118" t="s">
        <v>206</v>
      </c>
      <c r="D4058" s="152" t="s">
        <v>4860</v>
      </c>
      <c r="E4058" s="152" t="s">
        <v>4885</v>
      </c>
      <c r="F4058" s="152" t="s">
        <v>249</v>
      </c>
      <c r="G4058" s="152" t="s">
        <v>3059</v>
      </c>
      <c r="H4058" s="153" t="s">
        <v>213</v>
      </c>
    </row>
    <row r="4059" hidden="1">
      <c r="A4059" s="154" t="s">
        <v>220</v>
      </c>
      <c r="B4059" s="155" t="s">
        <v>190</v>
      </c>
      <c r="C4059" s="155" t="s">
        <v>206</v>
      </c>
      <c r="D4059" s="156" t="s">
        <v>4860</v>
      </c>
      <c r="E4059" s="156" t="s">
        <v>4886</v>
      </c>
      <c r="F4059" s="156" t="s">
        <v>305</v>
      </c>
      <c r="G4059" s="156" t="s">
        <v>3207</v>
      </c>
      <c r="H4059" s="157" t="s">
        <v>214</v>
      </c>
    </row>
    <row r="4060" hidden="1">
      <c r="A4060" s="151" t="s">
        <v>220</v>
      </c>
      <c r="B4060" s="118" t="s">
        <v>190</v>
      </c>
      <c r="C4060" s="118" t="s">
        <v>206</v>
      </c>
      <c r="D4060" s="152" t="s">
        <v>4860</v>
      </c>
      <c r="E4060" s="152" t="s">
        <v>4887</v>
      </c>
      <c r="F4060" s="152" t="s">
        <v>339</v>
      </c>
      <c r="G4060" s="152" t="s">
        <v>3410</v>
      </c>
      <c r="H4060" s="153" t="s">
        <v>215</v>
      </c>
    </row>
    <row r="4061" hidden="1">
      <c r="A4061" s="154" t="s">
        <v>220</v>
      </c>
      <c r="B4061" s="155" t="s">
        <v>190</v>
      </c>
      <c r="C4061" s="155" t="s">
        <v>206</v>
      </c>
      <c r="D4061" s="156" t="s">
        <v>4860</v>
      </c>
      <c r="E4061" s="156" t="s">
        <v>4888</v>
      </c>
      <c r="F4061" s="156" t="s">
        <v>310</v>
      </c>
      <c r="G4061" s="156" t="s">
        <v>3478</v>
      </c>
      <c r="H4061" s="157" t="s">
        <v>216</v>
      </c>
    </row>
    <row r="4062" hidden="1">
      <c r="A4062" s="151" t="s">
        <v>221</v>
      </c>
      <c r="B4062" s="118" t="s">
        <v>189</v>
      </c>
      <c r="C4062" s="118" t="s">
        <v>206</v>
      </c>
      <c r="D4062" s="152" t="s">
        <v>4860</v>
      </c>
      <c r="E4062" s="152" t="s">
        <v>4889</v>
      </c>
      <c r="F4062" s="152" t="s">
        <v>246</v>
      </c>
      <c r="G4062" s="152" t="s">
        <v>2187</v>
      </c>
      <c r="H4062" s="153" t="s">
        <v>210</v>
      </c>
    </row>
    <row r="4063" hidden="1">
      <c r="A4063" s="154" t="s">
        <v>221</v>
      </c>
      <c r="B4063" s="155" t="s">
        <v>189</v>
      </c>
      <c r="C4063" s="155" t="s">
        <v>206</v>
      </c>
      <c r="D4063" s="156" t="s">
        <v>4860</v>
      </c>
      <c r="E4063" s="156" t="s">
        <v>4890</v>
      </c>
      <c r="F4063" s="156" t="s">
        <v>321</v>
      </c>
      <c r="G4063" s="156" t="s">
        <v>3913</v>
      </c>
      <c r="H4063" s="157" t="s">
        <v>211</v>
      </c>
    </row>
    <row r="4064" hidden="1">
      <c r="A4064" s="151" t="s">
        <v>221</v>
      </c>
      <c r="B4064" s="118" t="s">
        <v>189</v>
      </c>
      <c r="C4064" s="118" t="s">
        <v>206</v>
      </c>
      <c r="D4064" s="152" t="s">
        <v>4860</v>
      </c>
      <c r="E4064" s="152" t="s">
        <v>4891</v>
      </c>
      <c r="F4064" s="152" t="s">
        <v>244</v>
      </c>
      <c r="G4064" s="152" t="s">
        <v>3790</v>
      </c>
      <c r="H4064" s="153" t="s">
        <v>212</v>
      </c>
    </row>
    <row r="4065" hidden="1">
      <c r="A4065" s="154" t="s">
        <v>221</v>
      </c>
      <c r="B4065" s="155" t="s">
        <v>189</v>
      </c>
      <c r="C4065" s="155" t="s">
        <v>206</v>
      </c>
      <c r="D4065" s="156" t="s">
        <v>4860</v>
      </c>
      <c r="E4065" s="156" t="s">
        <v>4892</v>
      </c>
      <c r="F4065" s="156" t="s">
        <v>323</v>
      </c>
      <c r="G4065" s="156" t="s">
        <v>3541</v>
      </c>
      <c r="H4065" s="157" t="s">
        <v>213</v>
      </c>
    </row>
    <row r="4066" hidden="1">
      <c r="A4066" s="151" t="s">
        <v>221</v>
      </c>
      <c r="B4066" s="118" t="s">
        <v>189</v>
      </c>
      <c r="C4066" s="118" t="s">
        <v>206</v>
      </c>
      <c r="D4066" s="152" t="s">
        <v>4860</v>
      </c>
      <c r="E4066" s="152" t="s">
        <v>4893</v>
      </c>
      <c r="F4066" s="152" t="s">
        <v>423</v>
      </c>
      <c r="G4066" s="152" t="s">
        <v>3941</v>
      </c>
      <c r="H4066" s="153" t="s">
        <v>214</v>
      </c>
    </row>
    <row r="4067" hidden="1">
      <c r="A4067" s="154" t="s">
        <v>221</v>
      </c>
      <c r="B4067" s="155" t="s">
        <v>189</v>
      </c>
      <c r="C4067" s="155" t="s">
        <v>206</v>
      </c>
      <c r="D4067" s="156" t="s">
        <v>4860</v>
      </c>
      <c r="E4067" s="156" t="s">
        <v>4894</v>
      </c>
      <c r="F4067" s="156" t="s">
        <v>365</v>
      </c>
      <c r="G4067" s="156" t="s">
        <v>3905</v>
      </c>
      <c r="H4067" s="157" t="s">
        <v>215</v>
      </c>
    </row>
    <row r="4068" hidden="1">
      <c r="A4068" s="151" t="s">
        <v>221</v>
      </c>
      <c r="B4068" s="118" t="s">
        <v>189</v>
      </c>
      <c r="C4068" s="118" t="s">
        <v>206</v>
      </c>
      <c r="D4068" s="152" t="s">
        <v>4860</v>
      </c>
      <c r="E4068" s="152" t="s">
        <v>4895</v>
      </c>
      <c r="F4068" s="152" t="s">
        <v>323</v>
      </c>
      <c r="G4068" s="152" t="s">
        <v>2820</v>
      </c>
      <c r="H4068" s="153" t="s">
        <v>216</v>
      </c>
    </row>
    <row r="4069" hidden="1">
      <c r="A4069" s="154" t="s">
        <v>222</v>
      </c>
      <c r="B4069" s="155" t="s">
        <v>192</v>
      </c>
      <c r="C4069" s="155" t="s">
        <v>206</v>
      </c>
      <c r="D4069" s="156" t="s">
        <v>4860</v>
      </c>
      <c r="E4069" s="156" t="s">
        <v>4896</v>
      </c>
      <c r="F4069" s="156" t="s">
        <v>2994</v>
      </c>
      <c r="G4069" s="156" t="s">
        <v>4659</v>
      </c>
      <c r="H4069" s="157" t="s">
        <v>210</v>
      </c>
    </row>
    <row r="4070" hidden="1">
      <c r="A4070" s="151" t="s">
        <v>222</v>
      </c>
      <c r="B4070" s="118" t="s">
        <v>192</v>
      </c>
      <c r="C4070" s="118" t="s">
        <v>206</v>
      </c>
      <c r="D4070" s="152" t="s">
        <v>4860</v>
      </c>
      <c r="E4070" s="152" t="s">
        <v>4897</v>
      </c>
      <c r="F4070" s="152" t="s">
        <v>3218</v>
      </c>
      <c r="G4070" s="152" t="s">
        <v>3296</v>
      </c>
      <c r="H4070" s="153" t="s">
        <v>211</v>
      </c>
    </row>
    <row r="4071" hidden="1">
      <c r="A4071" s="154" t="s">
        <v>222</v>
      </c>
      <c r="B4071" s="155" t="s">
        <v>192</v>
      </c>
      <c r="C4071" s="155" t="s">
        <v>206</v>
      </c>
      <c r="D4071" s="156" t="s">
        <v>4860</v>
      </c>
      <c r="E4071" s="156" t="s">
        <v>4898</v>
      </c>
      <c r="F4071" s="156" t="s">
        <v>348</v>
      </c>
      <c r="G4071" s="156" t="s">
        <v>3694</v>
      </c>
      <c r="H4071" s="157" t="s">
        <v>212</v>
      </c>
    </row>
    <row r="4072" hidden="1">
      <c r="A4072" s="151" t="s">
        <v>222</v>
      </c>
      <c r="B4072" s="118" t="s">
        <v>192</v>
      </c>
      <c r="C4072" s="118" t="s">
        <v>206</v>
      </c>
      <c r="D4072" s="152" t="s">
        <v>4860</v>
      </c>
      <c r="E4072" s="152" t="s">
        <v>4899</v>
      </c>
      <c r="F4072" s="152" t="s">
        <v>758</v>
      </c>
      <c r="G4072" s="152" t="s">
        <v>3696</v>
      </c>
      <c r="H4072" s="153" t="s">
        <v>213</v>
      </c>
    </row>
    <row r="4073" hidden="1">
      <c r="A4073" s="154" t="s">
        <v>222</v>
      </c>
      <c r="B4073" s="155" t="s">
        <v>192</v>
      </c>
      <c r="C4073" s="155" t="s">
        <v>206</v>
      </c>
      <c r="D4073" s="156" t="s">
        <v>4860</v>
      </c>
      <c r="E4073" s="156" t="s">
        <v>4900</v>
      </c>
      <c r="F4073" s="156" t="s">
        <v>577</v>
      </c>
      <c r="G4073" s="156" t="s">
        <v>4842</v>
      </c>
      <c r="H4073" s="157" t="s">
        <v>214</v>
      </c>
    </row>
    <row r="4074" hidden="1">
      <c r="A4074" s="151" t="s">
        <v>222</v>
      </c>
      <c r="B4074" s="118" t="s">
        <v>192</v>
      </c>
      <c r="C4074" s="118" t="s">
        <v>206</v>
      </c>
      <c r="D4074" s="152" t="s">
        <v>4860</v>
      </c>
      <c r="E4074" s="152" t="s">
        <v>4901</v>
      </c>
      <c r="F4074" s="152" t="s">
        <v>766</v>
      </c>
      <c r="G4074" s="152" t="s">
        <v>3298</v>
      </c>
      <c r="H4074" s="153" t="s">
        <v>215</v>
      </c>
    </row>
    <row r="4075" hidden="1">
      <c r="A4075" s="154" t="s">
        <v>222</v>
      </c>
      <c r="B4075" s="155" t="s">
        <v>192</v>
      </c>
      <c r="C4075" s="155" t="s">
        <v>206</v>
      </c>
      <c r="D4075" s="156" t="s">
        <v>4860</v>
      </c>
      <c r="E4075" s="156" t="s">
        <v>4902</v>
      </c>
      <c r="F4075" s="156" t="s">
        <v>1530</v>
      </c>
      <c r="G4075" s="156" t="s">
        <v>3296</v>
      </c>
      <c r="H4075" s="157" t="s">
        <v>216</v>
      </c>
    </row>
    <row r="4076" hidden="1">
      <c r="A4076" s="151" t="s">
        <v>223</v>
      </c>
      <c r="B4076" s="118" t="s">
        <v>144</v>
      </c>
      <c r="C4076" s="118" t="s">
        <v>206</v>
      </c>
      <c r="D4076" s="152" t="s">
        <v>4860</v>
      </c>
      <c r="E4076" s="152" t="s">
        <v>4903</v>
      </c>
      <c r="F4076" s="152" t="s">
        <v>453</v>
      </c>
      <c r="G4076" s="152" t="s">
        <v>4428</v>
      </c>
      <c r="H4076" s="153" t="s">
        <v>210</v>
      </c>
    </row>
    <row r="4077" hidden="1">
      <c r="A4077" s="154" t="s">
        <v>223</v>
      </c>
      <c r="B4077" s="155" t="s">
        <v>144</v>
      </c>
      <c r="C4077" s="155" t="s">
        <v>206</v>
      </c>
      <c r="D4077" s="156" t="s">
        <v>4860</v>
      </c>
      <c r="E4077" s="156" t="s">
        <v>4904</v>
      </c>
      <c r="F4077" s="156" t="s">
        <v>423</v>
      </c>
      <c r="G4077" s="156" t="s">
        <v>4905</v>
      </c>
      <c r="H4077" s="157" t="s">
        <v>211</v>
      </c>
    </row>
    <row r="4078" hidden="1">
      <c r="A4078" s="151" t="s">
        <v>223</v>
      </c>
      <c r="B4078" s="118" t="s">
        <v>144</v>
      </c>
      <c r="C4078" s="118" t="s">
        <v>206</v>
      </c>
      <c r="D4078" s="152" t="s">
        <v>4860</v>
      </c>
      <c r="E4078" s="152" t="s">
        <v>4906</v>
      </c>
      <c r="F4078" s="152" t="s">
        <v>423</v>
      </c>
      <c r="G4078" s="152" t="s">
        <v>3597</v>
      </c>
      <c r="H4078" s="153" t="s">
        <v>212</v>
      </c>
    </row>
    <row r="4079" hidden="1">
      <c r="A4079" s="154" t="s">
        <v>223</v>
      </c>
      <c r="B4079" s="155" t="s">
        <v>144</v>
      </c>
      <c r="C4079" s="155" t="s">
        <v>206</v>
      </c>
      <c r="D4079" s="156" t="s">
        <v>4860</v>
      </c>
      <c r="E4079" s="156" t="s">
        <v>4907</v>
      </c>
      <c r="F4079" s="156" t="s">
        <v>312</v>
      </c>
      <c r="G4079" s="156" t="s">
        <v>3462</v>
      </c>
      <c r="H4079" s="157" t="s">
        <v>213</v>
      </c>
    </row>
    <row r="4080" hidden="1">
      <c r="A4080" s="151" t="s">
        <v>223</v>
      </c>
      <c r="B4080" s="118" t="s">
        <v>144</v>
      </c>
      <c r="C4080" s="118" t="s">
        <v>206</v>
      </c>
      <c r="D4080" s="152" t="s">
        <v>4860</v>
      </c>
      <c r="E4080" s="152" t="s">
        <v>4908</v>
      </c>
      <c r="F4080" s="152" t="s">
        <v>725</v>
      </c>
      <c r="G4080" s="152" t="s">
        <v>4517</v>
      </c>
      <c r="H4080" s="153" t="s">
        <v>214</v>
      </c>
    </row>
    <row r="4081" hidden="1">
      <c r="A4081" s="154" t="s">
        <v>223</v>
      </c>
      <c r="B4081" s="155" t="s">
        <v>144</v>
      </c>
      <c r="C4081" s="155" t="s">
        <v>206</v>
      </c>
      <c r="D4081" s="156" t="s">
        <v>4860</v>
      </c>
      <c r="E4081" s="156" t="s">
        <v>4909</v>
      </c>
      <c r="F4081" s="156" t="s">
        <v>1929</v>
      </c>
      <c r="G4081" s="156" t="s">
        <v>4374</v>
      </c>
      <c r="H4081" s="157" t="s">
        <v>215</v>
      </c>
    </row>
    <row r="4082" hidden="1">
      <c r="A4082" s="151" t="s">
        <v>223</v>
      </c>
      <c r="B4082" s="118" t="s">
        <v>144</v>
      </c>
      <c r="C4082" s="118" t="s">
        <v>206</v>
      </c>
      <c r="D4082" s="152" t="s">
        <v>4860</v>
      </c>
      <c r="E4082" s="152" t="s">
        <v>4910</v>
      </c>
      <c r="F4082" s="152" t="s">
        <v>532</v>
      </c>
      <c r="G4082" s="152" t="s">
        <v>4083</v>
      </c>
      <c r="H4082" s="153" t="s">
        <v>216</v>
      </c>
    </row>
    <row r="4083" hidden="1">
      <c r="A4083" s="154" t="s">
        <v>224</v>
      </c>
      <c r="B4083" s="155" t="s">
        <v>170</v>
      </c>
      <c r="C4083" s="155" t="s">
        <v>206</v>
      </c>
      <c r="D4083" s="156" t="s">
        <v>4860</v>
      </c>
      <c r="E4083" s="156" t="s">
        <v>4911</v>
      </c>
      <c r="F4083" s="156" t="s">
        <v>799</v>
      </c>
      <c r="G4083" s="156" t="s">
        <v>4209</v>
      </c>
      <c r="H4083" s="157" t="s">
        <v>210</v>
      </c>
    </row>
    <row r="4084" hidden="1">
      <c r="A4084" s="151" t="s">
        <v>224</v>
      </c>
      <c r="B4084" s="118" t="s">
        <v>170</v>
      </c>
      <c r="C4084" s="118" t="s">
        <v>206</v>
      </c>
      <c r="D4084" s="152" t="s">
        <v>4860</v>
      </c>
      <c r="E4084" s="152" t="s">
        <v>4912</v>
      </c>
      <c r="F4084" s="152" t="s">
        <v>425</v>
      </c>
      <c r="G4084" s="152" t="s">
        <v>4317</v>
      </c>
      <c r="H4084" s="153" t="s">
        <v>211</v>
      </c>
    </row>
    <row r="4085" hidden="1">
      <c r="A4085" s="154" t="s">
        <v>224</v>
      </c>
      <c r="B4085" s="155" t="s">
        <v>170</v>
      </c>
      <c r="C4085" s="155" t="s">
        <v>206</v>
      </c>
      <c r="D4085" s="156" t="s">
        <v>4860</v>
      </c>
      <c r="E4085" s="156" t="s">
        <v>4913</v>
      </c>
      <c r="F4085" s="156" t="s">
        <v>425</v>
      </c>
      <c r="G4085" s="156" t="s">
        <v>4219</v>
      </c>
      <c r="H4085" s="157" t="s">
        <v>212</v>
      </c>
    </row>
    <row r="4086" hidden="1">
      <c r="A4086" s="151" t="s">
        <v>224</v>
      </c>
      <c r="B4086" s="118" t="s">
        <v>170</v>
      </c>
      <c r="C4086" s="118" t="s">
        <v>206</v>
      </c>
      <c r="D4086" s="152" t="s">
        <v>4860</v>
      </c>
      <c r="E4086" s="152" t="s">
        <v>4914</v>
      </c>
      <c r="F4086" s="152" t="s">
        <v>314</v>
      </c>
      <c r="G4086" s="152" t="s">
        <v>3117</v>
      </c>
      <c r="H4086" s="153" t="s">
        <v>213</v>
      </c>
    </row>
    <row r="4087" hidden="1">
      <c r="A4087" s="154" t="s">
        <v>224</v>
      </c>
      <c r="B4087" s="155" t="s">
        <v>170</v>
      </c>
      <c r="C4087" s="155" t="s">
        <v>206</v>
      </c>
      <c r="D4087" s="156" t="s">
        <v>4860</v>
      </c>
      <c r="E4087" s="156" t="s">
        <v>4915</v>
      </c>
      <c r="F4087" s="156" t="s">
        <v>290</v>
      </c>
      <c r="G4087" s="156" t="s">
        <v>4743</v>
      </c>
      <c r="H4087" s="157" t="s">
        <v>214</v>
      </c>
    </row>
    <row r="4088" hidden="1">
      <c r="A4088" s="151" t="s">
        <v>224</v>
      </c>
      <c r="B4088" s="118" t="s">
        <v>170</v>
      </c>
      <c r="C4088" s="118" t="s">
        <v>206</v>
      </c>
      <c r="D4088" s="152" t="s">
        <v>4860</v>
      </c>
      <c r="E4088" s="152" t="s">
        <v>4916</v>
      </c>
      <c r="F4088" s="152" t="s">
        <v>3218</v>
      </c>
      <c r="G4088" s="152" t="s">
        <v>4842</v>
      </c>
      <c r="H4088" s="153" t="s">
        <v>215</v>
      </c>
    </row>
    <row r="4089" hidden="1">
      <c r="A4089" s="154" t="s">
        <v>224</v>
      </c>
      <c r="B4089" s="155" t="s">
        <v>170</v>
      </c>
      <c r="C4089" s="155" t="s">
        <v>206</v>
      </c>
      <c r="D4089" s="156" t="s">
        <v>4860</v>
      </c>
      <c r="E4089" s="156" t="s">
        <v>4917</v>
      </c>
      <c r="F4089" s="156" t="s">
        <v>483</v>
      </c>
      <c r="G4089" s="156" t="s">
        <v>3294</v>
      </c>
      <c r="H4089" s="157" t="s">
        <v>216</v>
      </c>
    </row>
    <row r="4090" hidden="1">
      <c r="A4090" s="151" t="s">
        <v>225</v>
      </c>
      <c r="B4090" s="118" t="s">
        <v>226</v>
      </c>
      <c r="C4090" s="118" t="s">
        <v>206</v>
      </c>
      <c r="D4090" s="152" t="s">
        <v>4860</v>
      </c>
      <c r="E4090" s="152" t="s">
        <v>4918</v>
      </c>
      <c r="F4090" s="152" t="s">
        <v>287</v>
      </c>
      <c r="G4090" s="152" t="s">
        <v>3154</v>
      </c>
      <c r="H4090" s="153" t="s">
        <v>210</v>
      </c>
    </row>
    <row r="4091" hidden="1">
      <c r="A4091" s="154" t="s">
        <v>225</v>
      </c>
      <c r="B4091" s="155" t="s">
        <v>226</v>
      </c>
      <c r="C4091" s="155" t="s">
        <v>206</v>
      </c>
      <c r="D4091" s="156" t="s">
        <v>4860</v>
      </c>
      <c r="E4091" s="156" t="s">
        <v>4919</v>
      </c>
      <c r="F4091" s="156" t="s">
        <v>259</v>
      </c>
      <c r="G4091" s="156" t="s">
        <v>2187</v>
      </c>
      <c r="H4091" s="157" t="s">
        <v>211</v>
      </c>
    </row>
    <row r="4092" hidden="1">
      <c r="A4092" s="151" t="s">
        <v>225</v>
      </c>
      <c r="B4092" s="118" t="s">
        <v>226</v>
      </c>
      <c r="C4092" s="118" t="s">
        <v>206</v>
      </c>
      <c r="D4092" s="152" t="s">
        <v>4860</v>
      </c>
      <c r="E4092" s="152" t="s">
        <v>4920</v>
      </c>
      <c r="F4092" s="152" t="s">
        <v>287</v>
      </c>
      <c r="G4092" s="152" t="s">
        <v>3200</v>
      </c>
      <c r="H4092" s="153" t="s">
        <v>212</v>
      </c>
    </row>
    <row r="4093" hidden="1">
      <c r="A4093" s="154" t="s">
        <v>225</v>
      </c>
      <c r="B4093" s="155" t="s">
        <v>226</v>
      </c>
      <c r="C4093" s="155" t="s">
        <v>206</v>
      </c>
      <c r="D4093" s="156" t="s">
        <v>4860</v>
      </c>
      <c r="E4093" s="156" t="s">
        <v>4921</v>
      </c>
      <c r="F4093" s="156" t="s">
        <v>287</v>
      </c>
      <c r="G4093" s="156" t="s">
        <v>2181</v>
      </c>
      <c r="H4093" s="157" t="s">
        <v>213</v>
      </c>
    </row>
    <row r="4094" hidden="1">
      <c r="A4094" s="151" t="s">
        <v>225</v>
      </c>
      <c r="B4094" s="118" t="s">
        <v>226</v>
      </c>
      <c r="C4094" s="118" t="s">
        <v>206</v>
      </c>
      <c r="D4094" s="152" t="s">
        <v>4860</v>
      </c>
      <c r="E4094" s="152" t="s">
        <v>4922</v>
      </c>
      <c r="F4094" s="152" t="s">
        <v>240</v>
      </c>
      <c r="G4094" s="152" t="s">
        <v>3941</v>
      </c>
      <c r="H4094" s="153" t="s">
        <v>214</v>
      </c>
    </row>
    <row r="4095" hidden="1">
      <c r="A4095" s="154" t="s">
        <v>225</v>
      </c>
      <c r="B4095" s="155" t="s">
        <v>226</v>
      </c>
      <c r="C4095" s="155" t="s">
        <v>206</v>
      </c>
      <c r="D4095" s="156" t="s">
        <v>4860</v>
      </c>
      <c r="E4095" s="156" t="s">
        <v>4923</v>
      </c>
      <c r="F4095" s="156" t="s">
        <v>374</v>
      </c>
      <c r="G4095" s="156" t="s">
        <v>3209</v>
      </c>
      <c r="H4095" s="157" t="s">
        <v>215</v>
      </c>
    </row>
    <row r="4096" hidden="1">
      <c r="A4096" s="151" t="s">
        <v>225</v>
      </c>
      <c r="B4096" s="118" t="s">
        <v>226</v>
      </c>
      <c r="C4096" s="118" t="s">
        <v>206</v>
      </c>
      <c r="D4096" s="152" t="s">
        <v>4860</v>
      </c>
      <c r="E4096" s="152" t="s">
        <v>4924</v>
      </c>
      <c r="F4096" s="152" t="s">
        <v>269</v>
      </c>
      <c r="G4096" s="152" t="s">
        <v>3209</v>
      </c>
      <c r="H4096" s="153" t="s">
        <v>216</v>
      </c>
    </row>
    <row r="4097" hidden="1">
      <c r="A4097" s="154" t="s">
        <v>227</v>
      </c>
      <c r="B4097" s="155" t="s">
        <v>195</v>
      </c>
      <c r="C4097" s="155" t="s">
        <v>206</v>
      </c>
      <c r="D4097" s="156" t="s">
        <v>4860</v>
      </c>
      <c r="E4097" s="156" t="s">
        <v>4925</v>
      </c>
      <c r="F4097" s="156" t="s">
        <v>1532</v>
      </c>
      <c r="G4097" s="156" t="s">
        <v>2519</v>
      </c>
      <c r="H4097" s="157" t="s">
        <v>210</v>
      </c>
    </row>
    <row r="4098" hidden="1">
      <c r="A4098" s="151" t="s">
        <v>227</v>
      </c>
      <c r="B4098" s="118" t="s">
        <v>195</v>
      </c>
      <c r="C4098" s="118" t="s">
        <v>206</v>
      </c>
      <c r="D4098" s="152" t="s">
        <v>4860</v>
      </c>
      <c r="E4098" s="152" t="s">
        <v>4926</v>
      </c>
      <c r="F4098" s="152" t="s">
        <v>249</v>
      </c>
      <c r="G4098" s="152" t="s">
        <v>2762</v>
      </c>
      <c r="H4098" s="153" t="s">
        <v>211</v>
      </c>
    </row>
    <row r="4099" hidden="1">
      <c r="A4099" s="154" t="s">
        <v>227</v>
      </c>
      <c r="B4099" s="155" t="s">
        <v>195</v>
      </c>
      <c r="C4099" s="155" t="s">
        <v>206</v>
      </c>
      <c r="D4099" s="156" t="s">
        <v>4860</v>
      </c>
      <c r="E4099" s="156" t="s">
        <v>4927</v>
      </c>
      <c r="F4099" s="156" t="s">
        <v>494</v>
      </c>
      <c r="G4099" s="156" t="s">
        <v>3734</v>
      </c>
      <c r="H4099" s="157" t="s">
        <v>212</v>
      </c>
    </row>
    <row r="4100" hidden="1">
      <c r="A4100" s="151" t="s">
        <v>227</v>
      </c>
      <c r="B4100" s="118" t="s">
        <v>195</v>
      </c>
      <c r="C4100" s="118" t="s">
        <v>206</v>
      </c>
      <c r="D4100" s="152" t="s">
        <v>4860</v>
      </c>
      <c r="E4100" s="152" t="s">
        <v>4928</v>
      </c>
      <c r="F4100" s="152" t="s">
        <v>329</v>
      </c>
      <c r="G4100" s="152" t="s">
        <v>3117</v>
      </c>
      <c r="H4100" s="153" t="s">
        <v>213</v>
      </c>
    </row>
    <row r="4101" hidden="1">
      <c r="A4101" s="154" t="s">
        <v>227</v>
      </c>
      <c r="B4101" s="155" t="s">
        <v>195</v>
      </c>
      <c r="C4101" s="155" t="s">
        <v>206</v>
      </c>
      <c r="D4101" s="156" t="s">
        <v>4860</v>
      </c>
      <c r="E4101" s="156" t="s">
        <v>4929</v>
      </c>
      <c r="F4101" s="156" t="s">
        <v>329</v>
      </c>
      <c r="G4101" s="156" t="s">
        <v>3919</v>
      </c>
      <c r="H4101" s="157" t="s">
        <v>214</v>
      </c>
    </row>
    <row r="4102" hidden="1">
      <c r="A4102" s="151" t="s">
        <v>227</v>
      </c>
      <c r="B4102" s="118" t="s">
        <v>195</v>
      </c>
      <c r="C4102" s="118" t="s">
        <v>206</v>
      </c>
      <c r="D4102" s="152" t="s">
        <v>4860</v>
      </c>
      <c r="E4102" s="152" t="s">
        <v>4930</v>
      </c>
      <c r="F4102" s="152" t="s">
        <v>677</v>
      </c>
      <c r="G4102" s="152" t="s">
        <v>3919</v>
      </c>
      <c r="H4102" s="153" t="s">
        <v>215</v>
      </c>
    </row>
    <row r="4103" hidden="1">
      <c r="A4103" s="154" t="s">
        <v>227</v>
      </c>
      <c r="B4103" s="155" t="s">
        <v>195</v>
      </c>
      <c r="C4103" s="155" t="s">
        <v>206</v>
      </c>
      <c r="D4103" s="156" t="s">
        <v>4860</v>
      </c>
      <c r="E4103" s="156" t="s">
        <v>4931</v>
      </c>
      <c r="F4103" s="156" t="s">
        <v>799</v>
      </c>
      <c r="G4103" s="156" t="s">
        <v>2006</v>
      </c>
      <c r="H4103" s="157" t="s">
        <v>216</v>
      </c>
    </row>
    <row r="4104" hidden="1">
      <c r="A4104" s="151" t="s">
        <v>228</v>
      </c>
      <c r="B4104" s="118" t="s">
        <v>138</v>
      </c>
      <c r="C4104" s="118" t="s">
        <v>206</v>
      </c>
      <c r="D4104" s="152" t="s">
        <v>4860</v>
      </c>
      <c r="E4104" s="152" t="s">
        <v>4932</v>
      </c>
      <c r="F4104" s="152" t="s">
        <v>357</v>
      </c>
      <c r="G4104" s="152" t="s">
        <v>3478</v>
      </c>
      <c r="H4104" s="153" t="s">
        <v>210</v>
      </c>
    </row>
    <row r="4105" hidden="1">
      <c r="A4105" s="154" t="s">
        <v>228</v>
      </c>
      <c r="B4105" s="155" t="s">
        <v>138</v>
      </c>
      <c r="C4105" s="155" t="s">
        <v>206</v>
      </c>
      <c r="D4105" s="156" t="s">
        <v>4860</v>
      </c>
      <c r="E4105" s="156" t="s">
        <v>4933</v>
      </c>
      <c r="F4105" s="156" t="s">
        <v>534</v>
      </c>
      <c r="G4105" s="156" t="s">
        <v>2600</v>
      </c>
      <c r="H4105" s="157" t="s">
        <v>211</v>
      </c>
    </row>
    <row r="4106" hidden="1">
      <c r="A4106" s="151" t="s">
        <v>228</v>
      </c>
      <c r="B4106" s="118" t="s">
        <v>138</v>
      </c>
      <c r="C4106" s="118" t="s">
        <v>206</v>
      </c>
      <c r="D4106" s="152" t="s">
        <v>4860</v>
      </c>
      <c r="E4106" s="152" t="s">
        <v>4934</v>
      </c>
      <c r="F4106" s="152" t="s">
        <v>478</v>
      </c>
      <c r="G4106" s="152" t="s">
        <v>3707</v>
      </c>
      <c r="H4106" s="153" t="s">
        <v>212</v>
      </c>
    </row>
    <row r="4107" hidden="1">
      <c r="A4107" s="154" t="s">
        <v>228</v>
      </c>
      <c r="B4107" s="155" t="s">
        <v>138</v>
      </c>
      <c r="C4107" s="155" t="s">
        <v>206</v>
      </c>
      <c r="D4107" s="156" t="s">
        <v>4860</v>
      </c>
      <c r="E4107" s="156" t="s">
        <v>4935</v>
      </c>
      <c r="F4107" s="156" t="s">
        <v>534</v>
      </c>
      <c r="G4107" s="156" t="s">
        <v>2910</v>
      </c>
      <c r="H4107" s="157" t="s">
        <v>213</v>
      </c>
    </row>
    <row r="4108" hidden="1">
      <c r="A4108" s="151" t="s">
        <v>228</v>
      </c>
      <c r="B4108" s="118" t="s">
        <v>138</v>
      </c>
      <c r="C4108" s="118" t="s">
        <v>206</v>
      </c>
      <c r="D4108" s="152" t="s">
        <v>4860</v>
      </c>
      <c r="E4108" s="152" t="s">
        <v>4936</v>
      </c>
      <c r="F4108" s="152" t="s">
        <v>357</v>
      </c>
      <c r="G4108" s="152" t="s">
        <v>2107</v>
      </c>
      <c r="H4108" s="153" t="s">
        <v>214</v>
      </c>
    </row>
    <row r="4109" hidden="1">
      <c r="A4109" s="154" t="s">
        <v>228</v>
      </c>
      <c r="B4109" s="155" t="s">
        <v>138</v>
      </c>
      <c r="C4109" s="155" t="s">
        <v>206</v>
      </c>
      <c r="D4109" s="156" t="s">
        <v>4860</v>
      </c>
      <c r="E4109" s="156" t="s">
        <v>4937</v>
      </c>
      <c r="F4109" s="156" t="s">
        <v>427</v>
      </c>
      <c r="G4109" s="156" t="s">
        <v>3503</v>
      </c>
      <c r="H4109" s="157" t="s">
        <v>215</v>
      </c>
    </row>
    <row r="4110" hidden="1">
      <c r="A4110" s="151" t="s">
        <v>228</v>
      </c>
      <c r="B4110" s="118" t="s">
        <v>138</v>
      </c>
      <c r="C4110" s="118" t="s">
        <v>206</v>
      </c>
      <c r="D4110" s="152" t="s">
        <v>4860</v>
      </c>
      <c r="E4110" s="152" t="s">
        <v>4938</v>
      </c>
      <c r="F4110" s="152" t="s">
        <v>321</v>
      </c>
      <c r="G4110" s="152" t="s">
        <v>2989</v>
      </c>
      <c r="H4110" s="153" t="s">
        <v>216</v>
      </c>
    </row>
    <row r="4111" hidden="1">
      <c r="A4111" s="154" t="s">
        <v>229</v>
      </c>
      <c r="B4111" s="155" t="s">
        <v>193</v>
      </c>
      <c r="C4111" s="155" t="s">
        <v>206</v>
      </c>
      <c r="D4111" s="156" t="s">
        <v>4860</v>
      </c>
      <c r="E4111" s="156" t="s">
        <v>4939</v>
      </c>
      <c r="F4111" s="156" t="s">
        <v>305</v>
      </c>
      <c r="G4111" s="156" t="s">
        <v>2970</v>
      </c>
      <c r="H4111" s="157" t="s">
        <v>210</v>
      </c>
    </row>
    <row r="4112" hidden="1">
      <c r="A4112" s="151" t="s">
        <v>229</v>
      </c>
      <c r="B4112" s="118" t="s">
        <v>193</v>
      </c>
      <c r="C4112" s="118" t="s">
        <v>206</v>
      </c>
      <c r="D4112" s="152" t="s">
        <v>4860</v>
      </c>
      <c r="E4112" s="152" t="s">
        <v>4940</v>
      </c>
      <c r="F4112" s="152" t="s">
        <v>425</v>
      </c>
      <c r="G4112" s="152" t="s">
        <v>2181</v>
      </c>
      <c r="H4112" s="153" t="s">
        <v>211</v>
      </c>
    </row>
    <row r="4113" hidden="1">
      <c r="A4113" s="154" t="s">
        <v>229</v>
      </c>
      <c r="B4113" s="155" t="s">
        <v>193</v>
      </c>
      <c r="C4113" s="155" t="s">
        <v>206</v>
      </c>
      <c r="D4113" s="156" t="s">
        <v>4860</v>
      </c>
      <c r="E4113" s="156" t="s">
        <v>4941</v>
      </c>
      <c r="F4113" s="156" t="s">
        <v>310</v>
      </c>
      <c r="G4113" s="156" t="s">
        <v>2965</v>
      </c>
      <c r="H4113" s="157" t="s">
        <v>212</v>
      </c>
    </row>
    <row r="4114" hidden="1">
      <c r="A4114" s="151" t="s">
        <v>229</v>
      </c>
      <c r="B4114" s="118" t="s">
        <v>193</v>
      </c>
      <c r="C4114" s="118" t="s">
        <v>206</v>
      </c>
      <c r="D4114" s="152" t="s">
        <v>4860</v>
      </c>
      <c r="E4114" s="152" t="s">
        <v>4942</v>
      </c>
      <c r="F4114" s="152" t="s">
        <v>329</v>
      </c>
      <c r="G4114" s="152" t="s">
        <v>4280</v>
      </c>
      <c r="H4114" s="153" t="s">
        <v>213</v>
      </c>
    </row>
    <row r="4115" hidden="1">
      <c r="A4115" s="154" t="s">
        <v>229</v>
      </c>
      <c r="B4115" s="155" t="s">
        <v>193</v>
      </c>
      <c r="C4115" s="155" t="s">
        <v>206</v>
      </c>
      <c r="D4115" s="156" t="s">
        <v>4860</v>
      </c>
      <c r="E4115" s="156" t="s">
        <v>4943</v>
      </c>
      <c r="F4115" s="156" t="s">
        <v>312</v>
      </c>
      <c r="G4115" s="156" t="s">
        <v>3818</v>
      </c>
      <c r="H4115" s="157" t="s">
        <v>214</v>
      </c>
    </row>
    <row r="4116" hidden="1">
      <c r="A4116" s="151" t="s">
        <v>229</v>
      </c>
      <c r="B4116" s="118" t="s">
        <v>193</v>
      </c>
      <c r="C4116" s="118" t="s">
        <v>206</v>
      </c>
      <c r="D4116" s="152" t="s">
        <v>4860</v>
      </c>
      <c r="E4116" s="152" t="s">
        <v>4944</v>
      </c>
      <c r="F4116" s="152" t="s">
        <v>325</v>
      </c>
      <c r="G4116" s="152" t="s">
        <v>2006</v>
      </c>
      <c r="H4116" s="153" t="s">
        <v>215</v>
      </c>
    </row>
    <row r="4117" hidden="1">
      <c r="A4117" s="154" t="s">
        <v>229</v>
      </c>
      <c r="B4117" s="155" t="s">
        <v>193</v>
      </c>
      <c r="C4117" s="155" t="s">
        <v>206</v>
      </c>
      <c r="D4117" s="156" t="s">
        <v>4860</v>
      </c>
      <c r="E4117" s="156" t="s">
        <v>4945</v>
      </c>
      <c r="F4117" s="156" t="s">
        <v>336</v>
      </c>
      <c r="G4117" s="156" t="s">
        <v>3558</v>
      </c>
      <c r="H4117" s="157" t="s">
        <v>216</v>
      </c>
    </row>
    <row r="4118" hidden="1">
      <c r="A4118" s="151" t="s">
        <v>230</v>
      </c>
      <c r="B4118" s="118" t="s">
        <v>194</v>
      </c>
      <c r="C4118" s="118" t="s">
        <v>206</v>
      </c>
      <c r="D4118" s="152" t="s">
        <v>4860</v>
      </c>
      <c r="E4118" s="152" t="s">
        <v>4946</v>
      </c>
      <c r="F4118" s="152" t="s">
        <v>329</v>
      </c>
      <c r="G4118" s="152" t="s">
        <v>2508</v>
      </c>
      <c r="H4118" s="153" t="s">
        <v>210</v>
      </c>
    </row>
    <row r="4119" hidden="1">
      <c r="A4119" s="154" t="s">
        <v>230</v>
      </c>
      <c r="B4119" s="155" t="s">
        <v>194</v>
      </c>
      <c r="C4119" s="155" t="s">
        <v>206</v>
      </c>
      <c r="D4119" s="156" t="s">
        <v>4860</v>
      </c>
      <c r="E4119" s="156" t="s">
        <v>4947</v>
      </c>
      <c r="F4119" s="156" t="s">
        <v>725</v>
      </c>
      <c r="G4119" s="156" t="s">
        <v>3783</v>
      </c>
      <c r="H4119" s="157" t="s">
        <v>211</v>
      </c>
    </row>
    <row r="4120" hidden="1">
      <c r="A4120" s="151" t="s">
        <v>230</v>
      </c>
      <c r="B4120" s="118" t="s">
        <v>194</v>
      </c>
      <c r="C4120" s="118" t="s">
        <v>206</v>
      </c>
      <c r="D4120" s="152" t="s">
        <v>4860</v>
      </c>
      <c r="E4120" s="152" t="s">
        <v>4948</v>
      </c>
      <c r="F4120" s="152" t="s">
        <v>718</v>
      </c>
      <c r="G4120" s="152" t="s">
        <v>3440</v>
      </c>
      <c r="H4120" s="153" t="s">
        <v>212</v>
      </c>
    </row>
    <row r="4121" hidden="1">
      <c r="A4121" s="154" t="s">
        <v>230</v>
      </c>
      <c r="B4121" s="155" t="s">
        <v>194</v>
      </c>
      <c r="C4121" s="155" t="s">
        <v>206</v>
      </c>
      <c r="D4121" s="156" t="s">
        <v>4860</v>
      </c>
      <c r="E4121" s="156" t="s">
        <v>4949</v>
      </c>
      <c r="F4121" s="156" t="s">
        <v>3218</v>
      </c>
      <c r="G4121" s="156" t="s">
        <v>3923</v>
      </c>
      <c r="H4121" s="157" t="s">
        <v>213</v>
      </c>
    </row>
    <row r="4122" hidden="1">
      <c r="A4122" s="151" t="s">
        <v>230</v>
      </c>
      <c r="B4122" s="118" t="s">
        <v>194</v>
      </c>
      <c r="C4122" s="118" t="s">
        <v>206</v>
      </c>
      <c r="D4122" s="152" t="s">
        <v>4860</v>
      </c>
      <c r="E4122" s="152" t="s">
        <v>4950</v>
      </c>
      <c r="F4122" s="152" t="s">
        <v>677</v>
      </c>
      <c r="G4122" s="152" t="s">
        <v>3432</v>
      </c>
      <c r="H4122" s="153" t="s">
        <v>214</v>
      </c>
    </row>
    <row r="4123" hidden="1">
      <c r="A4123" s="154" t="s">
        <v>230</v>
      </c>
      <c r="B4123" s="155" t="s">
        <v>194</v>
      </c>
      <c r="C4123" s="155" t="s">
        <v>206</v>
      </c>
      <c r="D4123" s="156" t="s">
        <v>4860</v>
      </c>
      <c r="E4123" s="156" t="s">
        <v>4951</v>
      </c>
      <c r="F4123" s="156" t="s">
        <v>329</v>
      </c>
      <c r="G4123" s="156" t="s">
        <v>4952</v>
      </c>
      <c r="H4123" s="157" t="s">
        <v>215</v>
      </c>
    </row>
    <row r="4124" hidden="1">
      <c r="A4124" s="151" t="s">
        <v>230</v>
      </c>
      <c r="B4124" s="118" t="s">
        <v>194</v>
      </c>
      <c r="C4124" s="118" t="s">
        <v>206</v>
      </c>
      <c r="D4124" s="152" t="s">
        <v>4860</v>
      </c>
      <c r="E4124" s="152" t="s">
        <v>4953</v>
      </c>
      <c r="F4124" s="152" t="s">
        <v>494</v>
      </c>
      <c r="G4124" s="152" t="s">
        <v>2179</v>
      </c>
      <c r="H4124" s="153" t="s">
        <v>216</v>
      </c>
    </row>
    <row r="4125" hidden="1">
      <c r="A4125" s="158" t="s">
        <v>231</v>
      </c>
      <c r="B4125" s="159"/>
      <c r="C4125" s="155" t="s">
        <v>232</v>
      </c>
      <c r="D4125" s="156" t="s">
        <v>4860</v>
      </c>
      <c r="E4125" s="156" t="s">
        <v>4954</v>
      </c>
      <c r="F4125" s="156" t="s">
        <v>534</v>
      </c>
      <c r="G4125" s="156" t="s">
        <v>3230</v>
      </c>
      <c r="H4125" s="157" t="s">
        <v>210</v>
      </c>
    </row>
    <row r="4126" hidden="1">
      <c r="A4126" s="160" t="s">
        <v>231</v>
      </c>
      <c r="B4126" s="72"/>
      <c r="C4126" s="118" t="s">
        <v>232</v>
      </c>
      <c r="D4126" s="152" t="s">
        <v>4860</v>
      </c>
      <c r="E4126" s="152" t="s">
        <v>4955</v>
      </c>
      <c r="F4126" s="152" t="s">
        <v>325</v>
      </c>
      <c r="G4126" s="152" t="s">
        <v>3458</v>
      </c>
      <c r="H4126" s="153" t="s">
        <v>211</v>
      </c>
    </row>
    <row r="4127" hidden="1">
      <c r="A4127" s="158" t="s">
        <v>231</v>
      </c>
      <c r="B4127" s="159"/>
      <c r="C4127" s="155" t="s">
        <v>232</v>
      </c>
      <c r="D4127" s="156" t="s">
        <v>4860</v>
      </c>
      <c r="E4127" s="156" t="s">
        <v>4956</v>
      </c>
      <c r="F4127" s="156" t="s">
        <v>390</v>
      </c>
      <c r="G4127" s="156" t="s">
        <v>3408</v>
      </c>
      <c r="H4127" s="157" t="s">
        <v>212</v>
      </c>
    </row>
    <row r="4128" hidden="1">
      <c r="A4128" s="160" t="s">
        <v>231</v>
      </c>
      <c r="B4128" s="72"/>
      <c r="C4128" s="118" t="s">
        <v>232</v>
      </c>
      <c r="D4128" s="152" t="s">
        <v>4860</v>
      </c>
      <c r="E4128" s="152" t="s">
        <v>4957</v>
      </c>
      <c r="F4128" s="152" t="s">
        <v>1929</v>
      </c>
      <c r="G4128" s="152" t="s">
        <v>2111</v>
      </c>
      <c r="H4128" s="153" t="s">
        <v>213</v>
      </c>
    </row>
    <row r="4129" hidden="1">
      <c r="A4129" s="158" t="s">
        <v>231</v>
      </c>
      <c r="B4129" s="159"/>
      <c r="C4129" s="155" t="s">
        <v>232</v>
      </c>
      <c r="D4129" s="156" t="s">
        <v>4860</v>
      </c>
      <c r="E4129" s="156" t="s">
        <v>4958</v>
      </c>
      <c r="F4129" s="156" t="s">
        <v>453</v>
      </c>
      <c r="G4129" s="156" t="s">
        <v>2847</v>
      </c>
      <c r="H4129" s="157" t="s">
        <v>214</v>
      </c>
    </row>
    <row r="4130" hidden="1">
      <c r="A4130" s="160" t="s">
        <v>231</v>
      </c>
      <c r="B4130" s="72"/>
      <c r="C4130" s="118" t="s">
        <v>232</v>
      </c>
      <c r="D4130" s="152" t="s">
        <v>4860</v>
      </c>
      <c r="E4130" s="152" t="s">
        <v>4959</v>
      </c>
      <c r="F4130" s="152" t="s">
        <v>312</v>
      </c>
      <c r="G4130" s="152" t="s">
        <v>1927</v>
      </c>
      <c r="H4130" s="153" t="s">
        <v>215</v>
      </c>
    </row>
    <row r="4131" hidden="1">
      <c r="A4131" s="158" t="s">
        <v>231</v>
      </c>
      <c r="B4131" s="159"/>
      <c r="C4131" s="155" t="s">
        <v>232</v>
      </c>
      <c r="D4131" s="156" t="s">
        <v>4860</v>
      </c>
      <c r="E4131" s="156" t="s">
        <v>4960</v>
      </c>
      <c r="F4131" s="156" t="s">
        <v>425</v>
      </c>
      <c r="G4131" s="156" t="s">
        <v>2450</v>
      </c>
      <c r="H4131" s="157" t="s">
        <v>216</v>
      </c>
    </row>
    <row r="4132" hidden="1">
      <c r="A4132" s="160" t="s">
        <v>233</v>
      </c>
      <c r="B4132" s="72"/>
      <c r="C4132" s="118" t="s">
        <v>232</v>
      </c>
      <c r="D4132" s="152" t="s">
        <v>4860</v>
      </c>
      <c r="E4132" s="152" t="s">
        <v>4961</v>
      </c>
      <c r="F4132" s="152" t="s">
        <v>312</v>
      </c>
      <c r="G4132" s="152" t="s">
        <v>4196</v>
      </c>
      <c r="H4132" s="153" t="s">
        <v>210</v>
      </c>
    </row>
    <row r="4133" hidden="1">
      <c r="A4133" s="158" t="s">
        <v>233</v>
      </c>
      <c r="B4133" s="159"/>
      <c r="C4133" s="155" t="s">
        <v>232</v>
      </c>
      <c r="D4133" s="156" t="s">
        <v>4860</v>
      </c>
      <c r="E4133" s="156" t="s">
        <v>4962</v>
      </c>
      <c r="F4133" s="156" t="s">
        <v>494</v>
      </c>
      <c r="G4133" s="156" t="s">
        <v>4024</v>
      </c>
      <c r="H4133" s="157" t="s">
        <v>211</v>
      </c>
    </row>
    <row r="4134" hidden="1">
      <c r="A4134" s="160" t="s">
        <v>233</v>
      </c>
      <c r="B4134" s="72"/>
      <c r="C4134" s="118" t="s">
        <v>232</v>
      </c>
      <c r="D4134" s="152" t="s">
        <v>4860</v>
      </c>
      <c r="E4134" s="152" t="s">
        <v>4963</v>
      </c>
      <c r="F4134" s="152" t="s">
        <v>718</v>
      </c>
      <c r="G4134" s="152" t="s">
        <v>3113</v>
      </c>
      <c r="H4134" s="153" t="s">
        <v>212</v>
      </c>
    </row>
    <row r="4135" hidden="1">
      <c r="A4135" s="158" t="s">
        <v>233</v>
      </c>
      <c r="B4135" s="159"/>
      <c r="C4135" s="155" t="s">
        <v>232</v>
      </c>
      <c r="D4135" s="156" t="s">
        <v>4860</v>
      </c>
      <c r="E4135" s="156" t="s">
        <v>4964</v>
      </c>
      <c r="F4135" s="156" t="s">
        <v>494</v>
      </c>
      <c r="G4135" s="156" t="s">
        <v>4491</v>
      </c>
      <c r="H4135" s="157" t="s">
        <v>213</v>
      </c>
    </row>
    <row r="4136" hidden="1">
      <c r="A4136" s="160" t="s">
        <v>233</v>
      </c>
      <c r="B4136" s="72"/>
      <c r="C4136" s="118" t="s">
        <v>232</v>
      </c>
      <c r="D4136" s="152" t="s">
        <v>4860</v>
      </c>
      <c r="E4136" s="152" t="s">
        <v>4965</v>
      </c>
      <c r="F4136" s="152" t="s">
        <v>312</v>
      </c>
      <c r="G4136" s="152" t="s">
        <v>4842</v>
      </c>
      <c r="H4136" s="153" t="s">
        <v>214</v>
      </c>
    </row>
    <row r="4137" hidden="1">
      <c r="A4137" s="158" t="s">
        <v>233</v>
      </c>
      <c r="B4137" s="159"/>
      <c r="C4137" s="155" t="s">
        <v>232</v>
      </c>
      <c r="D4137" s="156" t="s">
        <v>4860</v>
      </c>
      <c r="E4137" s="156" t="s">
        <v>4966</v>
      </c>
      <c r="F4137" s="156" t="s">
        <v>718</v>
      </c>
      <c r="G4137" s="156" t="s">
        <v>3302</v>
      </c>
      <c r="H4137" s="157" t="s">
        <v>215</v>
      </c>
    </row>
    <row r="4138" hidden="1">
      <c r="A4138" s="160" t="s">
        <v>233</v>
      </c>
      <c r="B4138" s="72"/>
      <c r="C4138" s="118" t="s">
        <v>232</v>
      </c>
      <c r="D4138" s="152" t="s">
        <v>4860</v>
      </c>
      <c r="E4138" s="152" t="s">
        <v>4967</v>
      </c>
      <c r="F4138" s="152" t="s">
        <v>478</v>
      </c>
      <c r="G4138" s="152" t="s">
        <v>3294</v>
      </c>
      <c r="H4138" s="153" t="s">
        <v>216</v>
      </c>
    </row>
    <row r="4139" hidden="1">
      <c r="A4139" s="158" t="s">
        <v>234</v>
      </c>
      <c r="B4139" s="159"/>
      <c r="C4139" s="155" t="s">
        <v>232</v>
      </c>
      <c r="D4139" s="156" t="s">
        <v>4860</v>
      </c>
      <c r="E4139" s="156" t="s">
        <v>4968</v>
      </c>
      <c r="F4139" s="156" t="s">
        <v>365</v>
      </c>
      <c r="G4139" s="156" t="s">
        <v>2348</v>
      </c>
      <c r="H4139" s="157" t="s">
        <v>210</v>
      </c>
    </row>
    <row r="4140" hidden="1">
      <c r="A4140" s="160" t="s">
        <v>234</v>
      </c>
      <c r="B4140" s="72"/>
      <c r="C4140" s="118" t="s">
        <v>232</v>
      </c>
      <c r="D4140" s="152" t="s">
        <v>4860</v>
      </c>
      <c r="E4140" s="152" t="s">
        <v>4969</v>
      </c>
      <c r="F4140" s="152" t="s">
        <v>359</v>
      </c>
      <c r="G4140" s="152" t="s">
        <v>3844</v>
      </c>
      <c r="H4140" s="153" t="s">
        <v>211</v>
      </c>
    </row>
    <row r="4141" hidden="1">
      <c r="A4141" s="158" t="s">
        <v>234</v>
      </c>
      <c r="B4141" s="159"/>
      <c r="C4141" s="155" t="s">
        <v>232</v>
      </c>
      <c r="D4141" s="156" t="s">
        <v>4860</v>
      </c>
      <c r="E4141" s="156" t="s">
        <v>4970</v>
      </c>
      <c r="F4141" s="156" t="s">
        <v>257</v>
      </c>
      <c r="G4141" s="156" t="s">
        <v>2508</v>
      </c>
      <c r="H4141" s="157" t="s">
        <v>212</v>
      </c>
    </row>
    <row r="4142" hidden="1">
      <c r="A4142" s="160" t="s">
        <v>234</v>
      </c>
      <c r="B4142" s="72"/>
      <c r="C4142" s="118" t="s">
        <v>232</v>
      </c>
      <c r="D4142" s="152" t="s">
        <v>4860</v>
      </c>
      <c r="E4142" s="152" t="s">
        <v>4971</v>
      </c>
      <c r="F4142" s="152" t="s">
        <v>359</v>
      </c>
      <c r="G4142" s="152" t="s">
        <v>4209</v>
      </c>
      <c r="H4142" s="153" t="s">
        <v>213</v>
      </c>
    </row>
    <row r="4143" hidden="1">
      <c r="A4143" s="158" t="s">
        <v>234</v>
      </c>
      <c r="B4143" s="159"/>
      <c r="C4143" s="155" t="s">
        <v>232</v>
      </c>
      <c r="D4143" s="156" t="s">
        <v>4860</v>
      </c>
      <c r="E4143" s="156" t="s">
        <v>4972</v>
      </c>
      <c r="F4143" s="156" t="s">
        <v>305</v>
      </c>
      <c r="G4143" s="156" t="s">
        <v>2515</v>
      </c>
      <c r="H4143" s="157" t="s">
        <v>214</v>
      </c>
    </row>
    <row r="4144" hidden="1">
      <c r="A4144" s="160" t="s">
        <v>234</v>
      </c>
      <c r="B4144" s="72"/>
      <c r="C4144" s="118" t="s">
        <v>232</v>
      </c>
      <c r="D4144" s="152" t="s">
        <v>4860</v>
      </c>
      <c r="E4144" s="152" t="s">
        <v>4973</v>
      </c>
      <c r="F4144" s="152" t="s">
        <v>246</v>
      </c>
      <c r="G4144" s="152" t="s">
        <v>4026</v>
      </c>
      <c r="H4144" s="153" t="s">
        <v>215</v>
      </c>
    </row>
    <row r="4145" hidden="1">
      <c r="A4145" s="158" t="s">
        <v>234</v>
      </c>
      <c r="B4145" s="159"/>
      <c r="C4145" s="155" t="s">
        <v>232</v>
      </c>
      <c r="D4145" s="156" t="s">
        <v>4860</v>
      </c>
      <c r="E4145" s="156" t="s">
        <v>4974</v>
      </c>
      <c r="F4145" s="156" t="s">
        <v>323</v>
      </c>
      <c r="G4145" s="156" t="s">
        <v>3844</v>
      </c>
      <c r="H4145" s="157" t="s">
        <v>216</v>
      </c>
    </row>
    <row r="4146" hidden="1">
      <c r="A4146" s="160" t="s">
        <v>235</v>
      </c>
      <c r="B4146" s="72"/>
      <c r="C4146" s="118" t="s">
        <v>236</v>
      </c>
      <c r="D4146" s="152" t="s">
        <v>4860</v>
      </c>
      <c r="E4146" s="152" t="s">
        <v>4975</v>
      </c>
      <c r="F4146" s="152" t="s">
        <v>718</v>
      </c>
      <c r="G4146" s="152" t="s">
        <v>2185</v>
      </c>
      <c r="H4146" s="153" t="s">
        <v>210</v>
      </c>
    </row>
    <row r="4147" hidden="1">
      <c r="A4147" s="158" t="s">
        <v>235</v>
      </c>
      <c r="B4147" s="159"/>
      <c r="C4147" s="155" t="s">
        <v>236</v>
      </c>
      <c r="D4147" s="156" t="s">
        <v>4860</v>
      </c>
      <c r="E4147" s="156" t="s">
        <v>4976</v>
      </c>
      <c r="F4147" s="156" t="s">
        <v>478</v>
      </c>
      <c r="G4147" s="156" t="s">
        <v>4287</v>
      </c>
      <c r="H4147" s="157" t="s">
        <v>211</v>
      </c>
    </row>
    <row r="4148" hidden="1">
      <c r="A4148" s="160" t="s">
        <v>235</v>
      </c>
      <c r="B4148" s="72"/>
      <c r="C4148" s="118" t="s">
        <v>236</v>
      </c>
      <c r="D4148" s="152" t="s">
        <v>4860</v>
      </c>
      <c r="E4148" s="152" t="s">
        <v>4977</v>
      </c>
      <c r="F4148" s="152" t="s">
        <v>1532</v>
      </c>
      <c r="G4148" s="152" t="s">
        <v>3368</v>
      </c>
      <c r="H4148" s="153" t="s">
        <v>212</v>
      </c>
    </row>
    <row r="4149" hidden="1">
      <c r="A4149" s="158" t="s">
        <v>235</v>
      </c>
      <c r="B4149" s="159"/>
      <c r="C4149" s="155" t="s">
        <v>236</v>
      </c>
      <c r="D4149" s="156" t="s">
        <v>4860</v>
      </c>
      <c r="E4149" s="156" t="s">
        <v>4978</v>
      </c>
      <c r="F4149" s="156" t="s">
        <v>312</v>
      </c>
      <c r="G4149" s="156" t="s">
        <v>3532</v>
      </c>
      <c r="H4149" s="157" t="s">
        <v>213</v>
      </c>
    </row>
    <row r="4150" hidden="1">
      <c r="A4150" s="160" t="s">
        <v>235</v>
      </c>
      <c r="B4150" s="72"/>
      <c r="C4150" s="118" t="s">
        <v>236</v>
      </c>
      <c r="D4150" s="152" t="s">
        <v>4860</v>
      </c>
      <c r="E4150" s="152" t="s">
        <v>4979</v>
      </c>
      <c r="F4150" s="152" t="s">
        <v>312</v>
      </c>
      <c r="G4150" s="152" t="s">
        <v>4842</v>
      </c>
      <c r="H4150" s="153" t="s">
        <v>214</v>
      </c>
    </row>
    <row r="4151" hidden="1">
      <c r="A4151" s="158" t="s">
        <v>235</v>
      </c>
      <c r="B4151" s="159"/>
      <c r="C4151" s="155" t="s">
        <v>236</v>
      </c>
      <c r="D4151" s="156" t="s">
        <v>4860</v>
      </c>
      <c r="E4151" s="156" t="s">
        <v>4980</v>
      </c>
      <c r="F4151" s="156" t="s">
        <v>718</v>
      </c>
      <c r="G4151" s="156" t="s">
        <v>3296</v>
      </c>
      <c r="H4151" s="157" t="s">
        <v>215</v>
      </c>
    </row>
    <row r="4152" hidden="1">
      <c r="A4152" s="160" t="s">
        <v>235</v>
      </c>
      <c r="B4152" s="72"/>
      <c r="C4152" s="118" t="s">
        <v>236</v>
      </c>
      <c r="D4152" s="152" t="s">
        <v>4860</v>
      </c>
      <c r="E4152" s="152" t="s">
        <v>4981</v>
      </c>
      <c r="F4152" s="152" t="s">
        <v>677</v>
      </c>
      <c r="G4152" s="152" t="s">
        <v>4293</v>
      </c>
      <c r="H4152" s="153" t="s">
        <v>216</v>
      </c>
    </row>
    <row r="4153" hidden="1">
      <c r="A4153" s="158" t="s">
        <v>237</v>
      </c>
      <c r="B4153" s="159"/>
      <c r="C4153" s="155" t="s">
        <v>236</v>
      </c>
      <c r="D4153" s="156" t="s">
        <v>4860</v>
      </c>
      <c r="E4153" s="156" t="s">
        <v>4982</v>
      </c>
      <c r="F4153" s="156" t="s">
        <v>323</v>
      </c>
      <c r="G4153" s="156" t="s">
        <v>3445</v>
      </c>
      <c r="H4153" s="157" t="s">
        <v>210</v>
      </c>
    </row>
    <row r="4154" hidden="1">
      <c r="A4154" s="160" t="s">
        <v>237</v>
      </c>
      <c r="B4154" s="72"/>
      <c r="C4154" s="118" t="s">
        <v>236</v>
      </c>
      <c r="D4154" s="152" t="s">
        <v>4860</v>
      </c>
      <c r="E4154" s="152" t="s">
        <v>4983</v>
      </c>
      <c r="F4154" s="152" t="s">
        <v>285</v>
      </c>
      <c r="G4154" s="152" t="s">
        <v>2115</v>
      </c>
      <c r="H4154" s="153" t="s">
        <v>211</v>
      </c>
    </row>
    <row r="4155" hidden="1">
      <c r="A4155" s="158" t="s">
        <v>237</v>
      </c>
      <c r="B4155" s="159"/>
      <c r="C4155" s="155" t="s">
        <v>236</v>
      </c>
      <c r="D4155" s="156" t="s">
        <v>4860</v>
      </c>
      <c r="E4155" s="156" t="s">
        <v>4984</v>
      </c>
      <c r="F4155" s="156" t="s">
        <v>242</v>
      </c>
      <c r="G4155" s="156" t="s">
        <v>3574</v>
      </c>
      <c r="H4155" s="157" t="s">
        <v>212</v>
      </c>
    </row>
    <row r="4156" hidden="1">
      <c r="A4156" s="160" t="s">
        <v>237</v>
      </c>
      <c r="B4156" s="72"/>
      <c r="C4156" s="118" t="s">
        <v>236</v>
      </c>
      <c r="D4156" s="152" t="s">
        <v>4860</v>
      </c>
      <c r="E4156" s="152" t="s">
        <v>4985</v>
      </c>
      <c r="F4156" s="152" t="s">
        <v>308</v>
      </c>
      <c r="G4156" s="152" t="s">
        <v>2189</v>
      </c>
      <c r="H4156" s="153" t="s">
        <v>213</v>
      </c>
    </row>
    <row r="4157" hidden="1">
      <c r="A4157" s="158" t="s">
        <v>237</v>
      </c>
      <c r="B4157" s="159"/>
      <c r="C4157" s="155" t="s">
        <v>236</v>
      </c>
      <c r="D4157" s="156" t="s">
        <v>4860</v>
      </c>
      <c r="E4157" s="156" t="s">
        <v>4986</v>
      </c>
      <c r="F4157" s="156" t="s">
        <v>450</v>
      </c>
      <c r="G4157" s="156" t="s">
        <v>2663</v>
      </c>
      <c r="H4157" s="157" t="s">
        <v>214</v>
      </c>
    </row>
    <row r="4158" hidden="1">
      <c r="A4158" s="160" t="s">
        <v>237</v>
      </c>
      <c r="B4158" s="72"/>
      <c r="C4158" s="118" t="s">
        <v>236</v>
      </c>
      <c r="D4158" s="152" t="s">
        <v>4860</v>
      </c>
      <c r="E4158" s="152" t="s">
        <v>4987</v>
      </c>
      <c r="F4158" s="152" t="s">
        <v>323</v>
      </c>
      <c r="G4158" s="152" t="s">
        <v>3410</v>
      </c>
      <c r="H4158" s="153" t="s">
        <v>215</v>
      </c>
    </row>
    <row r="4159" hidden="1">
      <c r="A4159" s="158" t="s">
        <v>237</v>
      </c>
      <c r="B4159" s="159"/>
      <c r="C4159" s="155" t="s">
        <v>236</v>
      </c>
      <c r="D4159" s="156" t="s">
        <v>4860</v>
      </c>
      <c r="E4159" s="156" t="s">
        <v>4988</v>
      </c>
      <c r="F4159" s="156" t="s">
        <v>359</v>
      </c>
      <c r="G4159" s="156" t="s">
        <v>2346</v>
      </c>
      <c r="H4159" s="157" t="s">
        <v>216</v>
      </c>
    </row>
    <row r="4160" hidden="1">
      <c r="A4160" s="151" t="s">
        <v>204</v>
      </c>
      <c r="B4160" s="118" t="s">
        <v>205</v>
      </c>
      <c r="C4160" s="118" t="s">
        <v>206</v>
      </c>
      <c r="D4160" s="152" t="s">
        <v>4989</v>
      </c>
      <c r="E4160" s="152" t="s">
        <v>4990</v>
      </c>
      <c r="F4160" s="152" t="s">
        <v>673</v>
      </c>
      <c r="G4160" s="152" t="s">
        <v>3734</v>
      </c>
      <c r="H4160" s="153" t="s">
        <v>210</v>
      </c>
    </row>
    <row r="4161" hidden="1">
      <c r="A4161" s="154" t="s">
        <v>204</v>
      </c>
      <c r="B4161" s="155" t="s">
        <v>205</v>
      </c>
      <c r="C4161" s="155" t="s">
        <v>206</v>
      </c>
      <c r="D4161" s="156" t="s">
        <v>4989</v>
      </c>
      <c r="E4161" s="156" t="s">
        <v>4991</v>
      </c>
      <c r="F4161" s="156" t="s">
        <v>1530</v>
      </c>
      <c r="G4161" s="156" t="s">
        <v>4992</v>
      </c>
      <c r="H4161" s="157" t="s">
        <v>211</v>
      </c>
    </row>
    <row r="4162" hidden="1">
      <c r="A4162" s="151" t="s">
        <v>204</v>
      </c>
      <c r="B4162" s="118" t="s">
        <v>205</v>
      </c>
      <c r="C4162" s="118" t="s">
        <v>206</v>
      </c>
      <c r="D4162" s="152" t="s">
        <v>4989</v>
      </c>
      <c r="E4162" s="152" t="s">
        <v>4993</v>
      </c>
      <c r="F4162" s="152" t="s">
        <v>390</v>
      </c>
      <c r="G4162" s="152" t="s">
        <v>4320</v>
      </c>
      <c r="H4162" s="153" t="s">
        <v>212</v>
      </c>
    </row>
    <row r="4163" hidden="1">
      <c r="A4163" s="154" t="s">
        <v>204</v>
      </c>
      <c r="B4163" s="155" t="s">
        <v>205</v>
      </c>
      <c r="C4163" s="155" t="s">
        <v>206</v>
      </c>
      <c r="D4163" s="156" t="s">
        <v>4989</v>
      </c>
      <c r="E4163" s="156" t="s">
        <v>4994</v>
      </c>
      <c r="F4163" s="156" t="s">
        <v>673</v>
      </c>
      <c r="G4163" s="156" t="s">
        <v>4196</v>
      </c>
      <c r="H4163" s="157" t="s">
        <v>213</v>
      </c>
    </row>
    <row r="4164" hidden="1">
      <c r="A4164" s="151" t="s">
        <v>204</v>
      </c>
      <c r="B4164" s="118" t="s">
        <v>205</v>
      </c>
      <c r="C4164" s="118" t="s">
        <v>206</v>
      </c>
      <c r="D4164" s="152" t="s">
        <v>4989</v>
      </c>
      <c r="E4164" s="152" t="s">
        <v>4995</v>
      </c>
      <c r="F4164" s="152" t="s">
        <v>673</v>
      </c>
      <c r="G4164" s="152" t="s">
        <v>1793</v>
      </c>
      <c r="H4164" s="153" t="s">
        <v>214</v>
      </c>
    </row>
    <row r="4165" hidden="1">
      <c r="A4165" s="154" t="s">
        <v>204</v>
      </c>
      <c r="B4165" s="155" t="s">
        <v>205</v>
      </c>
      <c r="C4165" s="155" t="s">
        <v>206</v>
      </c>
      <c r="D4165" s="156" t="s">
        <v>4989</v>
      </c>
      <c r="E4165" s="156" t="s">
        <v>4996</v>
      </c>
      <c r="F4165" s="156" t="s">
        <v>1532</v>
      </c>
      <c r="G4165" s="156" t="s">
        <v>4386</v>
      </c>
      <c r="H4165" s="157" t="s">
        <v>215</v>
      </c>
    </row>
    <row r="4166" hidden="1">
      <c r="A4166" s="151" t="s">
        <v>204</v>
      </c>
      <c r="B4166" s="118" t="s">
        <v>205</v>
      </c>
      <c r="C4166" s="118" t="s">
        <v>206</v>
      </c>
      <c r="D4166" s="152" t="s">
        <v>4989</v>
      </c>
      <c r="E4166" s="152" t="s">
        <v>4997</v>
      </c>
      <c r="F4166" s="152" t="s">
        <v>735</v>
      </c>
      <c r="G4166" s="152" t="s">
        <v>3844</v>
      </c>
      <c r="H4166" s="153" t="s">
        <v>216</v>
      </c>
    </row>
    <row r="4167" hidden="1">
      <c r="A4167" s="154" t="s">
        <v>217</v>
      </c>
      <c r="B4167" s="155" t="s">
        <v>191</v>
      </c>
      <c r="C4167" s="155" t="s">
        <v>206</v>
      </c>
      <c r="D4167" s="156" t="s">
        <v>4989</v>
      </c>
      <c r="E4167" s="156" t="s">
        <v>4998</v>
      </c>
      <c r="F4167" s="156" t="s">
        <v>405</v>
      </c>
      <c r="G4167" s="156" t="s">
        <v>3764</v>
      </c>
      <c r="H4167" s="157" t="s">
        <v>210</v>
      </c>
    </row>
    <row r="4168" hidden="1">
      <c r="A4168" s="151" t="s">
        <v>217</v>
      </c>
      <c r="B4168" s="118" t="s">
        <v>191</v>
      </c>
      <c r="C4168" s="118" t="s">
        <v>206</v>
      </c>
      <c r="D4168" s="152" t="s">
        <v>4989</v>
      </c>
      <c r="E4168" s="152" t="s">
        <v>4999</v>
      </c>
      <c r="F4168" s="152" t="s">
        <v>735</v>
      </c>
      <c r="G4168" s="152" t="s">
        <v>3294</v>
      </c>
      <c r="H4168" s="153" t="s">
        <v>211</v>
      </c>
    </row>
    <row r="4169" hidden="1">
      <c r="A4169" s="154" t="s">
        <v>217</v>
      </c>
      <c r="B4169" s="155" t="s">
        <v>191</v>
      </c>
      <c r="C4169" s="155" t="s">
        <v>206</v>
      </c>
      <c r="D4169" s="156" t="s">
        <v>4989</v>
      </c>
      <c r="E4169" s="156" t="s">
        <v>5000</v>
      </c>
      <c r="F4169" s="156" t="s">
        <v>673</v>
      </c>
      <c r="G4169" s="156" t="s">
        <v>3111</v>
      </c>
      <c r="H4169" s="157" t="s">
        <v>212</v>
      </c>
    </row>
    <row r="4170" hidden="1">
      <c r="A4170" s="151" t="s">
        <v>217</v>
      </c>
      <c r="B4170" s="118" t="s">
        <v>191</v>
      </c>
      <c r="C4170" s="118" t="s">
        <v>206</v>
      </c>
      <c r="D4170" s="152" t="s">
        <v>4989</v>
      </c>
      <c r="E4170" s="152" t="s">
        <v>5001</v>
      </c>
      <c r="F4170" s="152" t="s">
        <v>405</v>
      </c>
      <c r="G4170" s="152" t="s">
        <v>3764</v>
      </c>
      <c r="H4170" s="153" t="s">
        <v>213</v>
      </c>
    </row>
    <row r="4171" hidden="1">
      <c r="A4171" s="154" t="s">
        <v>217</v>
      </c>
      <c r="B4171" s="155" t="s">
        <v>191</v>
      </c>
      <c r="C4171" s="155" t="s">
        <v>206</v>
      </c>
      <c r="D4171" s="156" t="s">
        <v>4989</v>
      </c>
      <c r="E4171" s="156" t="s">
        <v>5002</v>
      </c>
      <c r="F4171" s="156" t="s">
        <v>1532</v>
      </c>
      <c r="G4171" s="156" t="s">
        <v>3616</v>
      </c>
      <c r="H4171" s="157" t="s">
        <v>214</v>
      </c>
    </row>
    <row r="4172" hidden="1">
      <c r="A4172" s="151" t="s">
        <v>217</v>
      </c>
      <c r="B4172" s="118" t="s">
        <v>191</v>
      </c>
      <c r="C4172" s="118" t="s">
        <v>206</v>
      </c>
      <c r="D4172" s="152" t="s">
        <v>4989</v>
      </c>
      <c r="E4172" s="152" t="s">
        <v>5003</v>
      </c>
      <c r="F4172" s="152" t="s">
        <v>1532</v>
      </c>
      <c r="G4172" s="152" t="s">
        <v>2179</v>
      </c>
      <c r="H4172" s="153" t="s">
        <v>215</v>
      </c>
    </row>
    <row r="4173" hidden="1">
      <c r="A4173" s="154" t="s">
        <v>217</v>
      </c>
      <c r="B4173" s="155" t="s">
        <v>191</v>
      </c>
      <c r="C4173" s="155" t="s">
        <v>206</v>
      </c>
      <c r="D4173" s="156" t="s">
        <v>4989</v>
      </c>
      <c r="E4173" s="156" t="s">
        <v>5004</v>
      </c>
      <c r="F4173" s="156" t="s">
        <v>405</v>
      </c>
      <c r="G4173" s="156" t="s">
        <v>3840</v>
      </c>
      <c r="H4173" s="157" t="s">
        <v>216</v>
      </c>
    </row>
    <row r="4174" hidden="1">
      <c r="A4174" s="151" t="s">
        <v>218</v>
      </c>
      <c r="B4174" s="118" t="s">
        <v>219</v>
      </c>
      <c r="C4174" s="118" t="s">
        <v>206</v>
      </c>
      <c r="D4174" s="152" t="s">
        <v>4989</v>
      </c>
      <c r="E4174" s="152" t="s">
        <v>5005</v>
      </c>
      <c r="F4174" s="152" t="s">
        <v>735</v>
      </c>
      <c r="G4174" s="152" t="s">
        <v>3059</v>
      </c>
      <c r="H4174" s="153" t="s">
        <v>210</v>
      </c>
    </row>
    <row r="4175" hidden="1">
      <c r="A4175" s="154" t="s">
        <v>218</v>
      </c>
      <c r="B4175" s="155" t="s">
        <v>219</v>
      </c>
      <c r="C4175" s="155" t="s">
        <v>206</v>
      </c>
      <c r="D4175" s="156" t="s">
        <v>4989</v>
      </c>
      <c r="E4175" s="156" t="s">
        <v>5006</v>
      </c>
      <c r="F4175" s="156" t="s">
        <v>453</v>
      </c>
      <c r="G4175" s="156" t="s">
        <v>2119</v>
      </c>
      <c r="H4175" s="157" t="s">
        <v>211</v>
      </c>
    </row>
    <row r="4176" hidden="1">
      <c r="A4176" s="151" t="s">
        <v>218</v>
      </c>
      <c r="B4176" s="118" t="s">
        <v>219</v>
      </c>
      <c r="C4176" s="118" t="s">
        <v>206</v>
      </c>
      <c r="D4176" s="152" t="s">
        <v>4989</v>
      </c>
      <c r="E4176" s="152" t="s">
        <v>5007</v>
      </c>
      <c r="F4176" s="152" t="s">
        <v>532</v>
      </c>
      <c r="G4176" s="152" t="s">
        <v>3587</v>
      </c>
      <c r="H4176" s="153" t="s">
        <v>212</v>
      </c>
    </row>
    <row r="4177" hidden="1">
      <c r="A4177" s="154" t="s">
        <v>218</v>
      </c>
      <c r="B4177" s="155" t="s">
        <v>219</v>
      </c>
      <c r="C4177" s="155" t="s">
        <v>206</v>
      </c>
      <c r="D4177" s="156" t="s">
        <v>4989</v>
      </c>
      <c r="E4177" s="156" t="s">
        <v>5008</v>
      </c>
      <c r="F4177" s="156" t="s">
        <v>673</v>
      </c>
      <c r="G4177" s="156" t="s">
        <v>2109</v>
      </c>
      <c r="H4177" s="157" t="s">
        <v>213</v>
      </c>
    </row>
    <row r="4178" hidden="1">
      <c r="A4178" s="151" t="s">
        <v>218</v>
      </c>
      <c r="B4178" s="118" t="s">
        <v>219</v>
      </c>
      <c r="C4178" s="118" t="s">
        <v>206</v>
      </c>
      <c r="D4178" s="152" t="s">
        <v>4989</v>
      </c>
      <c r="E4178" s="152" t="s">
        <v>5009</v>
      </c>
      <c r="F4178" s="152" t="s">
        <v>3218</v>
      </c>
      <c r="G4178" s="152" t="s">
        <v>2307</v>
      </c>
      <c r="H4178" s="153" t="s">
        <v>214</v>
      </c>
    </row>
    <row r="4179" hidden="1">
      <c r="A4179" s="154" t="s">
        <v>218</v>
      </c>
      <c r="B4179" s="155" t="s">
        <v>219</v>
      </c>
      <c r="C4179" s="155" t="s">
        <v>206</v>
      </c>
      <c r="D4179" s="156" t="s">
        <v>4989</v>
      </c>
      <c r="E4179" s="156" t="s">
        <v>5010</v>
      </c>
      <c r="F4179" s="156" t="s">
        <v>390</v>
      </c>
      <c r="G4179" s="156" t="s">
        <v>2989</v>
      </c>
      <c r="H4179" s="157" t="s">
        <v>215</v>
      </c>
    </row>
    <row r="4180" hidden="1">
      <c r="A4180" s="151" t="s">
        <v>218</v>
      </c>
      <c r="B4180" s="118" t="s">
        <v>219</v>
      </c>
      <c r="C4180" s="118" t="s">
        <v>206</v>
      </c>
      <c r="D4180" s="152" t="s">
        <v>4989</v>
      </c>
      <c r="E4180" s="152" t="s">
        <v>5011</v>
      </c>
      <c r="F4180" s="152" t="s">
        <v>405</v>
      </c>
      <c r="G4180" s="152" t="s">
        <v>1921</v>
      </c>
      <c r="H4180" s="153" t="s">
        <v>216</v>
      </c>
    </row>
    <row r="4181" hidden="1">
      <c r="A4181" s="154" t="s">
        <v>220</v>
      </c>
      <c r="B4181" s="155" t="s">
        <v>190</v>
      </c>
      <c r="C4181" s="155" t="s">
        <v>206</v>
      </c>
      <c r="D4181" s="156" t="s">
        <v>4989</v>
      </c>
      <c r="E4181" s="156" t="s">
        <v>5012</v>
      </c>
      <c r="F4181" s="156" t="s">
        <v>1769</v>
      </c>
      <c r="G4181" s="156" t="s">
        <v>2177</v>
      </c>
      <c r="H4181" s="157" t="s">
        <v>210</v>
      </c>
    </row>
    <row r="4182" hidden="1">
      <c r="A4182" s="151" t="s">
        <v>220</v>
      </c>
      <c r="B4182" s="118" t="s">
        <v>190</v>
      </c>
      <c r="C4182" s="118" t="s">
        <v>206</v>
      </c>
      <c r="D4182" s="152" t="s">
        <v>4989</v>
      </c>
      <c r="E4182" s="152" t="s">
        <v>5013</v>
      </c>
      <c r="F4182" s="152" t="s">
        <v>2215</v>
      </c>
      <c r="G4182" s="152" t="s">
        <v>2970</v>
      </c>
      <c r="H4182" s="153" t="s">
        <v>211</v>
      </c>
    </row>
    <row r="4183" hidden="1">
      <c r="A4183" s="154" t="s">
        <v>220</v>
      </c>
      <c r="B4183" s="155" t="s">
        <v>190</v>
      </c>
      <c r="C4183" s="155" t="s">
        <v>206</v>
      </c>
      <c r="D4183" s="156" t="s">
        <v>4989</v>
      </c>
      <c r="E4183" s="156" t="s">
        <v>5014</v>
      </c>
      <c r="F4183" s="156" t="s">
        <v>730</v>
      </c>
      <c r="G4183" s="156" t="s">
        <v>1791</v>
      </c>
      <c r="H4183" s="157" t="s">
        <v>212</v>
      </c>
    </row>
    <row r="4184" hidden="1">
      <c r="A4184" s="151" t="s">
        <v>220</v>
      </c>
      <c r="B4184" s="118" t="s">
        <v>190</v>
      </c>
      <c r="C4184" s="118" t="s">
        <v>206</v>
      </c>
      <c r="D4184" s="152" t="s">
        <v>4989</v>
      </c>
      <c r="E4184" s="152" t="s">
        <v>5015</v>
      </c>
      <c r="F4184" s="152" t="s">
        <v>3150</v>
      </c>
      <c r="G4184" s="152" t="s">
        <v>3443</v>
      </c>
      <c r="H4184" s="153" t="s">
        <v>213</v>
      </c>
    </row>
    <row r="4185" hidden="1">
      <c r="A4185" s="154" t="s">
        <v>220</v>
      </c>
      <c r="B4185" s="155" t="s">
        <v>190</v>
      </c>
      <c r="C4185" s="155" t="s">
        <v>206</v>
      </c>
      <c r="D4185" s="156" t="s">
        <v>4989</v>
      </c>
      <c r="E4185" s="156" t="s">
        <v>5016</v>
      </c>
      <c r="F4185" s="156" t="s">
        <v>348</v>
      </c>
      <c r="G4185" s="156" t="s">
        <v>3396</v>
      </c>
      <c r="H4185" s="157" t="s">
        <v>214</v>
      </c>
    </row>
    <row r="4186" hidden="1">
      <c r="A4186" s="151" t="s">
        <v>220</v>
      </c>
      <c r="B4186" s="118" t="s">
        <v>190</v>
      </c>
      <c r="C4186" s="118" t="s">
        <v>206</v>
      </c>
      <c r="D4186" s="152" t="s">
        <v>4989</v>
      </c>
      <c r="E4186" s="152" t="s">
        <v>5017</v>
      </c>
      <c r="F4186" s="152" t="s">
        <v>763</v>
      </c>
      <c r="G4186" s="152" t="s">
        <v>3270</v>
      </c>
      <c r="H4186" s="153" t="s">
        <v>215</v>
      </c>
    </row>
    <row r="4187" hidden="1">
      <c r="A4187" s="154" t="s">
        <v>220</v>
      </c>
      <c r="B4187" s="155" t="s">
        <v>190</v>
      </c>
      <c r="C4187" s="155" t="s">
        <v>206</v>
      </c>
      <c r="D4187" s="156" t="s">
        <v>4989</v>
      </c>
      <c r="E4187" s="156" t="s">
        <v>5018</v>
      </c>
      <c r="F4187" s="156" t="s">
        <v>732</v>
      </c>
      <c r="G4187" s="156" t="s">
        <v>2177</v>
      </c>
      <c r="H4187" s="157" t="s">
        <v>216</v>
      </c>
    </row>
    <row r="4188" hidden="1">
      <c r="A4188" s="151" t="s">
        <v>221</v>
      </c>
      <c r="B4188" s="118" t="s">
        <v>189</v>
      </c>
      <c r="C4188" s="118" t="s">
        <v>206</v>
      </c>
      <c r="D4188" s="152" t="s">
        <v>4989</v>
      </c>
      <c r="E4188" s="152" t="s">
        <v>5019</v>
      </c>
      <c r="F4188" s="152" t="s">
        <v>246</v>
      </c>
      <c r="G4188" s="152" t="s">
        <v>3475</v>
      </c>
      <c r="H4188" s="153" t="s">
        <v>210</v>
      </c>
    </row>
    <row r="4189" hidden="1">
      <c r="A4189" s="154" t="s">
        <v>221</v>
      </c>
      <c r="B4189" s="155" t="s">
        <v>189</v>
      </c>
      <c r="C4189" s="155" t="s">
        <v>206</v>
      </c>
      <c r="D4189" s="156" t="s">
        <v>4989</v>
      </c>
      <c r="E4189" s="156" t="s">
        <v>5020</v>
      </c>
      <c r="F4189" s="156" t="s">
        <v>314</v>
      </c>
      <c r="G4189" s="156" t="s">
        <v>2517</v>
      </c>
      <c r="H4189" s="157" t="s">
        <v>211</v>
      </c>
    </row>
    <row r="4190" hidden="1">
      <c r="A4190" s="151" t="s">
        <v>221</v>
      </c>
      <c r="B4190" s="118" t="s">
        <v>189</v>
      </c>
      <c r="C4190" s="118" t="s">
        <v>206</v>
      </c>
      <c r="D4190" s="152" t="s">
        <v>4989</v>
      </c>
      <c r="E4190" s="152" t="s">
        <v>5021</v>
      </c>
      <c r="F4190" s="152" t="s">
        <v>339</v>
      </c>
      <c r="G4190" s="152" t="s">
        <v>4206</v>
      </c>
      <c r="H4190" s="153" t="s">
        <v>212</v>
      </c>
    </row>
    <row r="4191" hidden="1">
      <c r="A4191" s="154" t="s">
        <v>221</v>
      </c>
      <c r="B4191" s="155" t="s">
        <v>189</v>
      </c>
      <c r="C4191" s="155" t="s">
        <v>206</v>
      </c>
      <c r="D4191" s="156" t="s">
        <v>4989</v>
      </c>
      <c r="E4191" s="156" t="s">
        <v>5022</v>
      </c>
      <c r="F4191" s="156" t="s">
        <v>301</v>
      </c>
      <c r="G4191" s="156" t="s">
        <v>4502</v>
      </c>
      <c r="H4191" s="157" t="s">
        <v>213</v>
      </c>
    </row>
    <row r="4192" hidden="1">
      <c r="A4192" s="151" t="s">
        <v>221</v>
      </c>
      <c r="B4192" s="118" t="s">
        <v>189</v>
      </c>
      <c r="C4192" s="118" t="s">
        <v>206</v>
      </c>
      <c r="D4192" s="152" t="s">
        <v>4989</v>
      </c>
      <c r="E4192" s="152" t="s">
        <v>5023</v>
      </c>
      <c r="F4192" s="152" t="s">
        <v>310</v>
      </c>
      <c r="G4192" s="152" t="s">
        <v>3913</v>
      </c>
      <c r="H4192" s="153" t="s">
        <v>214</v>
      </c>
    </row>
    <row r="4193" hidden="1">
      <c r="A4193" s="154" t="s">
        <v>221</v>
      </c>
      <c r="B4193" s="155" t="s">
        <v>189</v>
      </c>
      <c r="C4193" s="155" t="s">
        <v>206</v>
      </c>
      <c r="D4193" s="156" t="s">
        <v>4989</v>
      </c>
      <c r="E4193" s="156" t="s">
        <v>5024</v>
      </c>
      <c r="F4193" s="156" t="s">
        <v>359</v>
      </c>
      <c r="G4193" s="156" t="s">
        <v>4019</v>
      </c>
      <c r="H4193" s="157" t="s">
        <v>215</v>
      </c>
    </row>
    <row r="4194" hidden="1">
      <c r="A4194" s="151" t="s">
        <v>221</v>
      </c>
      <c r="B4194" s="118" t="s">
        <v>189</v>
      </c>
      <c r="C4194" s="118" t="s">
        <v>206</v>
      </c>
      <c r="D4194" s="152" t="s">
        <v>4989</v>
      </c>
      <c r="E4194" s="152" t="s">
        <v>5025</v>
      </c>
      <c r="F4194" s="152" t="s">
        <v>365</v>
      </c>
      <c r="G4194" s="152" t="s">
        <v>2519</v>
      </c>
      <c r="H4194" s="153" t="s">
        <v>216</v>
      </c>
    </row>
    <row r="4195" hidden="1">
      <c r="A4195" s="154" t="s">
        <v>222</v>
      </c>
      <c r="B4195" s="155" t="s">
        <v>192</v>
      </c>
      <c r="C4195" s="155" t="s">
        <v>206</v>
      </c>
      <c r="D4195" s="156" t="s">
        <v>4989</v>
      </c>
      <c r="E4195" s="156" t="s">
        <v>5026</v>
      </c>
      <c r="F4195" s="156" t="s">
        <v>3359</v>
      </c>
      <c r="G4195" s="156" t="s">
        <v>3838</v>
      </c>
      <c r="H4195" s="157" t="s">
        <v>210</v>
      </c>
    </row>
    <row r="4196" hidden="1">
      <c r="A4196" s="151" t="s">
        <v>222</v>
      </c>
      <c r="B4196" s="118" t="s">
        <v>192</v>
      </c>
      <c r="C4196" s="118" t="s">
        <v>206</v>
      </c>
      <c r="D4196" s="152" t="s">
        <v>4989</v>
      </c>
      <c r="E4196" s="152" t="s">
        <v>5027</v>
      </c>
      <c r="F4196" s="152" t="s">
        <v>691</v>
      </c>
      <c r="G4196" s="152" t="s">
        <v>4464</v>
      </c>
      <c r="H4196" s="153" t="s">
        <v>211</v>
      </c>
    </row>
    <row r="4197" hidden="1">
      <c r="A4197" s="154" t="s">
        <v>222</v>
      </c>
      <c r="B4197" s="155" t="s">
        <v>192</v>
      </c>
      <c r="C4197" s="155" t="s">
        <v>206</v>
      </c>
      <c r="D4197" s="156" t="s">
        <v>4989</v>
      </c>
      <c r="E4197" s="156" t="s">
        <v>5028</v>
      </c>
      <c r="F4197" s="156" t="s">
        <v>763</v>
      </c>
      <c r="G4197" s="156" t="s">
        <v>3267</v>
      </c>
      <c r="H4197" s="157" t="s">
        <v>212</v>
      </c>
    </row>
    <row r="4198" hidden="1">
      <c r="A4198" s="151" t="s">
        <v>222</v>
      </c>
      <c r="B4198" s="118" t="s">
        <v>192</v>
      </c>
      <c r="C4198" s="118" t="s">
        <v>206</v>
      </c>
      <c r="D4198" s="152" t="s">
        <v>4989</v>
      </c>
      <c r="E4198" s="152" t="s">
        <v>5029</v>
      </c>
      <c r="F4198" s="152" t="s">
        <v>2607</v>
      </c>
      <c r="G4198" s="152" t="s">
        <v>4743</v>
      </c>
      <c r="H4198" s="153" t="s">
        <v>213</v>
      </c>
    </row>
    <row r="4199" hidden="1">
      <c r="A4199" s="154" t="s">
        <v>222</v>
      </c>
      <c r="B4199" s="155" t="s">
        <v>192</v>
      </c>
      <c r="C4199" s="155" t="s">
        <v>206</v>
      </c>
      <c r="D4199" s="156" t="s">
        <v>4989</v>
      </c>
      <c r="E4199" s="156" t="s">
        <v>5030</v>
      </c>
      <c r="F4199" s="156" t="s">
        <v>1948</v>
      </c>
      <c r="G4199" s="156" t="s">
        <v>3818</v>
      </c>
      <c r="H4199" s="157" t="s">
        <v>214</v>
      </c>
    </row>
    <row r="4200" hidden="1">
      <c r="A4200" s="151" t="s">
        <v>222</v>
      </c>
      <c r="B4200" s="118" t="s">
        <v>192</v>
      </c>
      <c r="C4200" s="118" t="s">
        <v>206</v>
      </c>
      <c r="D4200" s="152" t="s">
        <v>4989</v>
      </c>
      <c r="E4200" s="152" t="s">
        <v>5031</v>
      </c>
      <c r="F4200" s="152" t="s">
        <v>735</v>
      </c>
      <c r="G4200" s="152" t="s">
        <v>4659</v>
      </c>
      <c r="H4200" s="153" t="s">
        <v>215</v>
      </c>
    </row>
    <row r="4201" hidden="1">
      <c r="A4201" s="154" t="s">
        <v>222</v>
      </c>
      <c r="B4201" s="155" t="s">
        <v>192</v>
      </c>
      <c r="C4201" s="155" t="s">
        <v>206</v>
      </c>
      <c r="D4201" s="156" t="s">
        <v>4989</v>
      </c>
      <c r="E4201" s="156" t="s">
        <v>5032</v>
      </c>
      <c r="F4201" s="156" t="s">
        <v>3340</v>
      </c>
      <c r="G4201" s="156" t="s">
        <v>2515</v>
      </c>
      <c r="H4201" s="157" t="s">
        <v>216</v>
      </c>
    </row>
    <row r="4202" hidden="1">
      <c r="A4202" s="151" t="s">
        <v>223</v>
      </c>
      <c r="B4202" s="118" t="s">
        <v>144</v>
      </c>
      <c r="C4202" s="118" t="s">
        <v>206</v>
      </c>
      <c r="D4202" s="152" t="s">
        <v>4989</v>
      </c>
      <c r="E4202" s="152" t="s">
        <v>5033</v>
      </c>
      <c r="F4202" s="152" t="s">
        <v>3359</v>
      </c>
      <c r="G4202" s="152" t="s">
        <v>4685</v>
      </c>
      <c r="H4202" s="153" t="s">
        <v>210</v>
      </c>
    </row>
    <row r="4203" hidden="1">
      <c r="A4203" s="154" t="s">
        <v>223</v>
      </c>
      <c r="B4203" s="155" t="s">
        <v>144</v>
      </c>
      <c r="C4203" s="155" t="s">
        <v>206</v>
      </c>
      <c r="D4203" s="156" t="s">
        <v>4989</v>
      </c>
      <c r="E4203" s="156" t="s">
        <v>5034</v>
      </c>
      <c r="F4203" s="156" t="s">
        <v>780</v>
      </c>
      <c r="G4203" s="156" t="s">
        <v>5035</v>
      </c>
      <c r="H4203" s="157" t="s">
        <v>211</v>
      </c>
    </row>
    <row r="4204" hidden="1">
      <c r="A4204" s="151" t="s">
        <v>223</v>
      </c>
      <c r="B4204" s="118" t="s">
        <v>144</v>
      </c>
      <c r="C4204" s="118" t="s">
        <v>206</v>
      </c>
      <c r="D4204" s="152" t="s">
        <v>4989</v>
      </c>
      <c r="E4204" s="152" t="s">
        <v>5036</v>
      </c>
      <c r="F4204" s="152" t="s">
        <v>3243</v>
      </c>
      <c r="G4204" s="152" t="s">
        <v>5037</v>
      </c>
      <c r="H4204" s="153" t="s">
        <v>212</v>
      </c>
    </row>
    <row r="4205" hidden="1">
      <c r="A4205" s="154" t="s">
        <v>223</v>
      </c>
      <c r="B4205" s="155" t="s">
        <v>144</v>
      </c>
      <c r="C4205" s="155" t="s">
        <v>206</v>
      </c>
      <c r="D4205" s="156" t="s">
        <v>4989</v>
      </c>
      <c r="E4205" s="156" t="s">
        <v>5038</v>
      </c>
      <c r="F4205" s="156" t="s">
        <v>2005</v>
      </c>
      <c r="G4205" s="156" t="s">
        <v>5039</v>
      </c>
      <c r="H4205" s="157" t="s">
        <v>213</v>
      </c>
    </row>
    <row r="4206" hidden="1">
      <c r="A4206" s="151" t="s">
        <v>223</v>
      </c>
      <c r="B4206" s="118" t="s">
        <v>144</v>
      </c>
      <c r="C4206" s="118" t="s">
        <v>206</v>
      </c>
      <c r="D4206" s="152" t="s">
        <v>4989</v>
      </c>
      <c r="E4206" s="152" t="s">
        <v>5040</v>
      </c>
      <c r="F4206" s="152" t="s">
        <v>730</v>
      </c>
      <c r="G4206" s="152" t="s">
        <v>5041</v>
      </c>
      <c r="H4206" s="153" t="s">
        <v>214</v>
      </c>
    </row>
    <row r="4207" hidden="1">
      <c r="A4207" s="154" t="s">
        <v>223</v>
      </c>
      <c r="B4207" s="155" t="s">
        <v>144</v>
      </c>
      <c r="C4207" s="155" t="s">
        <v>206</v>
      </c>
      <c r="D4207" s="156" t="s">
        <v>4989</v>
      </c>
      <c r="E4207" s="156" t="s">
        <v>5042</v>
      </c>
      <c r="F4207" s="156" t="s">
        <v>2607</v>
      </c>
      <c r="G4207" s="156" t="s">
        <v>5043</v>
      </c>
      <c r="H4207" s="157" t="s">
        <v>215</v>
      </c>
    </row>
    <row r="4208" hidden="1">
      <c r="A4208" s="151" t="s">
        <v>223</v>
      </c>
      <c r="B4208" s="118" t="s">
        <v>144</v>
      </c>
      <c r="C4208" s="118" t="s">
        <v>206</v>
      </c>
      <c r="D4208" s="152" t="s">
        <v>4989</v>
      </c>
      <c r="E4208" s="152" t="s">
        <v>5044</v>
      </c>
      <c r="F4208" s="152" t="s">
        <v>3243</v>
      </c>
      <c r="G4208" s="152" t="s">
        <v>3597</v>
      </c>
      <c r="H4208" s="153" t="s">
        <v>216</v>
      </c>
    </row>
    <row r="4209" hidden="1">
      <c r="A4209" s="154" t="s">
        <v>224</v>
      </c>
      <c r="B4209" s="155" t="s">
        <v>170</v>
      </c>
      <c r="C4209" s="155" t="s">
        <v>206</v>
      </c>
      <c r="D4209" s="156" t="s">
        <v>4989</v>
      </c>
      <c r="E4209" s="156" t="s">
        <v>5045</v>
      </c>
      <c r="F4209" s="156" t="s">
        <v>725</v>
      </c>
      <c r="G4209" s="156" t="s">
        <v>3410</v>
      </c>
      <c r="H4209" s="157" t="s">
        <v>210</v>
      </c>
    </row>
    <row r="4210" hidden="1">
      <c r="A4210" s="151" t="s">
        <v>224</v>
      </c>
      <c r="B4210" s="118" t="s">
        <v>170</v>
      </c>
      <c r="C4210" s="118" t="s">
        <v>206</v>
      </c>
      <c r="D4210" s="152" t="s">
        <v>4989</v>
      </c>
      <c r="E4210" s="152" t="s">
        <v>5046</v>
      </c>
      <c r="F4210" s="152" t="s">
        <v>677</v>
      </c>
      <c r="G4210" s="152" t="s">
        <v>2506</v>
      </c>
      <c r="H4210" s="153" t="s">
        <v>211</v>
      </c>
    </row>
    <row r="4211" hidden="1">
      <c r="A4211" s="154" t="s">
        <v>224</v>
      </c>
      <c r="B4211" s="155" t="s">
        <v>170</v>
      </c>
      <c r="C4211" s="155" t="s">
        <v>206</v>
      </c>
      <c r="D4211" s="156" t="s">
        <v>4989</v>
      </c>
      <c r="E4211" s="156" t="s">
        <v>5047</v>
      </c>
      <c r="F4211" s="156" t="s">
        <v>1532</v>
      </c>
      <c r="G4211" s="156" t="s">
        <v>2826</v>
      </c>
      <c r="H4211" s="157" t="s">
        <v>212</v>
      </c>
    </row>
    <row r="4212" hidden="1">
      <c r="A4212" s="151" t="s">
        <v>224</v>
      </c>
      <c r="B4212" s="118" t="s">
        <v>170</v>
      </c>
      <c r="C4212" s="118" t="s">
        <v>206</v>
      </c>
      <c r="D4212" s="152" t="s">
        <v>4989</v>
      </c>
      <c r="E4212" s="152" t="s">
        <v>5048</v>
      </c>
      <c r="F4212" s="152" t="s">
        <v>478</v>
      </c>
      <c r="G4212" s="152" t="s">
        <v>3707</v>
      </c>
      <c r="H4212" s="153" t="s">
        <v>213</v>
      </c>
    </row>
    <row r="4213" hidden="1">
      <c r="A4213" s="154" t="s">
        <v>224</v>
      </c>
      <c r="B4213" s="155" t="s">
        <v>170</v>
      </c>
      <c r="C4213" s="155" t="s">
        <v>206</v>
      </c>
      <c r="D4213" s="156" t="s">
        <v>4989</v>
      </c>
      <c r="E4213" s="156" t="s">
        <v>5049</v>
      </c>
      <c r="F4213" s="156" t="s">
        <v>423</v>
      </c>
      <c r="G4213" s="156" t="s">
        <v>1995</v>
      </c>
      <c r="H4213" s="157" t="s">
        <v>214</v>
      </c>
    </row>
    <row r="4214" hidden="1">
      <c r="A4214" s="151" t="s">
        <v>224</v>
      </c>
      <c r="B4214" s="118" t="s">
        <v>170</v>
      </c>
      <c r="C4214" s="118" t="s">
        <v>206</v>
      </c>
      <c r="D4214" s="152" t="s">
        <v>4989</v>
      </c>
      <c r="E4214" s="152" t="s">
        <v>5050</v>
      </c>
      <c r="F4214" s="152" t="s">
        <v>577</v>
      </c>
      <c r="G4214" s="152" t="s">
        <v>2663</v>
      </c>
      <c r="H4214" s="153" t="s">
        <v>215</v>
      </c>
    </row>
    <row r="4215" hidden="1">
      <c r="A4215" s="154" t="s">
        <v>224</v>
      </c>
      <c r="B4215" s="155" t="s">
        <v>170</v>
      </c>
      <c r="C4215" s="155" t="s">
        <v>206</v>
      </c>
      <c r="D4215" s="156" t="s">
        <v>4989</v>
      </c>
      <c r="E4215" s="156" t="s">
        <v>5051</v>
      </c>
      <c r="F4215" s="156" t="s">
        <v>312</v>
      </c>
      <c r="G4215" s="156" t="s">
        <v>3613</v>
      </c>
      <c r="H4215" s="157" t="s">
        <v>216</v>
      </c>
    </row>
    <row r="4216" hidden="1">
      <c r="A4216" s="151" t="s">
        <v>225</v>
      </c>
      <c r="B4216" s="118" t="s">
        <v>226</v>
      </c>
      <c r="C4216" s="118" t="s">
        <v>206</v>
      </c>
      <c r="D4216" s="152" t="s">
        <v>4989</v>
      </c>
      <c r="E4216" s="152" t="s">
        <v>5052</v>
      </c>
      <c r="F4216" s="152" t="s">
        <v>629</v>
      </c>
      <c r="G4216" s="152" t="s">
        <v>3838</v>
      </c>
      <c r="H4216" s="153" t="s">
        <v>210</v>
      </c>
    </row>
    <row r="4217" hidden="1">
      <c r="A4217" s="154" t="s">
        <v>225</v>
      </c>
      <c r="B4217" s="155" t="s">
        <v>226</v>
      </c>
      <c r="C4217" s="155" t="s">
        <v>206</v>
      </c>
      <c r="D4217" s="156" t="s">
        <v>4989</v>
      </c>
      <c r="E4217" s="156" t="s">
        <v>5053</v>
      </c>
      <c r="F4217" s="156" t="s">
        <v>758</v>
      </c>
      <c r="G4217" s="156" t="s">
        <v>2348</v>
      </c>
      <c r="H4217" s="157" t="s">
        <v>211</v>
      </c>
    </row>
    <row r="4218" hidden="1">
      <c r="A4218" s="151" t="s">
        <v>225</v>
      </c>
      <c r="B4218" s="118" t="s">
        <v>226</v>
      </c>
      <c r="C4218" s="118" t="s">
        <v>206</v>
      </c>
      <c r="D4218" s="152" t="s">
        <v>4989</v>
      </c>
      <c r="E4218" s="152" t="s">
        <v>5054</v>
      </c>
      <c r="F4218" s="152" t="s">
        <v>348</v>
      </c>
      <c r="G4218" s="152" t="s">
        <v>4024</v>
      </c>
      <c r="H4218" s="153" t="s">
        <v>212</v>
      </c>
    </row>
    <row r="4219" hidden="1">
      <c r="A4219" s="154" t="s">
        <v>225</v>
      </c>
      <c r="B4219" s="155" t="s">
        <v>226</v>
      </c>
      <c r="C4219" s="155" t="s">
        <v>206</v>
      </c>
      <c r="D4219" s="156" t="s">
        <v>4989</v>
      </c>
      <c r="E4219" s="156" t="s">
        <v>5055</v>
      </c>
      <c r="F4219" s="156" t="s">
        <v>3198</v>
      </c>
      <c r="G4219" s="156" t="s">
        <v>1997</v>
      </c>
      <c r="H4219" s="157" t="s">
        <v>213</v>
      </c>
    </row>
    <row r="4220" hidden="1">
      <c r="A4220" s="151" t="s">
        <v>225</v>
      </c>
      <c r="B4220" s="118" t="s">
        <v>226</v>
      </c>
      <c r="C4220" s="118" t="s">
        <v>206</v>
      </c>
      <c r="D4220" s="152" t="s">
        <v>4989</v>
      </c>
      <c r="E4220" s="152" t="s">
        <v>5056</v>
      </c>
      <c r="F4220" s="152" t="s">
        <v>3218</v>
      </c>
      <c r="G4220" s="152" t="s">
        <v>3905</v>
      </c>
      <c r="H4220" s="153" t="s">
        <v>214</v>
      </c>
    </row>
    <row r="4221" hidden="1">
      <c r="A4221" s="154" t="s">
        <v>225</v>
      </c>
      <c r="B4221" s="155" t="s">
        <v>226</v>
      </c>
      <c r="C4221" s="155" t="s">
        <v>206</v>
      </c>
      <c r="D4221" s="156" t="s">
        <v>4989</v>
      </c>
      <c r="E4221" s="156" t="s">
        <v>5057</v>
      </c>
      <c r="F4221" s="156" t="s">
        <v>760</v>
      </c>
      <c r="G4221" s="156" t="s">
        <v>4024</v>
      </c>
      <c r="H4221" s="157" t="s">
        <v>215</v>
      </c>
    </row>
    <row r="4222" hidden="1">
      <c r="A4222" s="151" t="s">
        <v>225</v>
      </c>
      <c r="B4222" s="118" t="s">
        <v>226</v>
      </c>
      <c r="C4222" s="118" t="s">
        <v>206</v>
      </c>
      <c r="D4222" s="152" t="s">
        <v>4989</v>
      </c>
      <c r="E4222" s="152" t="s">
        <v>5058</v>
      </c>
      <c r="F4222" s="152" t="s">
        <v>629</v>
      </c>
      <c r="G4222" s="152" t="s">
        <v>2008</v>
      </c>
      <c r="H4222" s="153" t="s">
        <v>216</v>
      </c>
    </row>
    <row r="4223" hidden="1">
      <c r="A4223" s="154" t="s">
        <v>227</v>
      </c>
      <c r="B4223" s="155" t="s">
        <v>195</v>
      </c>
      <c r="C4223" s="155" t="s">
        <v>206</v>
      </c>
      <c r="D4223" s="156" t="s">
        <v>4989</v>
      </c>
      <c r="E4223" s="156" t="s">
        <v>5059</v>
      </c>
      <c r="F4223" s="156" t="s">
        <v>2215</v>
      </c>
      <c r="G4223" s="156" t="s">
        <v>2965</v>
      </c>
      <c r="H4223" s="157" t="s">
        <v>210</v>
      </c>
    </row>
    <row r="4224" hidden="1">
      <c r="A4224" s="151" t="s">
        <v>227</v>
      </c>
      <c r="B4224" s="118" t="s">
        <v>195</v>
      </c>
      <c r="C4224" s="118" t="s">
        <v>206</v>
      </c>
      <c r="D4224" s="152" t="s">
        <v>4989</v>
      </c>
      <c r="E4224" s="152" t="s">
        <v>5060</v>
      </c>
      <c r="F4224" s="152" t="s">
        <v>2215</v>
      </c>
      <c r="G4224" s="152" t="s">
        <v>3057</v>
      </c>
      <c r="H4224" s="153" t="s">
        <v>211</v>
      </c>
    </row>
    <row r="4225" hidden="1">
      <c r="A4225" s="154" t="s">
        <v>227</v>
      </c>
      <c r="B4225" s="155" t="s">
        <v>195</v>
      </c>
      <c r="C4225" s="155" t="s">
        <v>206</v>
      </c>
      <c r="D4225" s="156" t="s">
        <v>4989</v>
      </c>
      <c r="E4225" s="156" t="s">
        <v>5061</v>
      </c>
      <c r="F4225" s="156" t="s">
        <v>2228</v>
      </c>
      <c r="G4225" s="156" t="s">
        <v>3108</v>
      </c>
      <c r="H4225" s="157" t="s">
        <v>212</v>
      </c>
    </row>
    <row r="4226" hidden="1">
      <c r="A4226" s="151" t="s">
        <v>227</v>
      </c>
      <c r="B4226" s="118" t="s">
        <v>195</v>
      </c>
      <c r="C4226" s="118" t="s">
        <v>206</v>
      </c>
      <c r="D4226" s="152" t="s">
        <v>4989</v>
      </c>
      <c r="E4226" s="152" t="s">
        <v>5062</v>
      </c>
      <c r="F4226" s="152" t="s">
        <v>405</v>
      </c>
      <c r="G4226" s="152" t="s">
        <v>2513</v>
      </c>
      <c r="H4226" s="153" t="s">
        <v>213</v>
      </c>
    </row>
    <row r="4227" hidden="1">
      <c r="A4227" s="154" t="s">
        <v>227</v>
      </c>
      <c r="B4227" s="155" t="s">
        <v>195</v>
      </c>
      <c r="C4227" s="155" t="s">
        <v>206</v>
      </c>
      <c r="D4227" s="156" t="s">
        <v>4989</v>
      </c>
      <c r="E4227" s="156" t="s">
        <v>5063</v>
      </c>
      <c r="F4227" s="156" t="s">
        <v>675</v>
      </c>
      <c r="G4227" s="156" t="s">
        <v>4992</v>
      </c>
      <c r="H4227" s="157" t="s">
        <v>214</v>
      </c>
    </row>
    <row r="4228" hidden="1">
      <c r="A4228" s="151" t="s">
        <v>227</v>
      </c>
      <c r="B4228" s="118" t="s">
        <v>195</v>
      </c>
      <c r="C4228" s="118" t="s">
        <v>206</v>
      </c>
      <c r="D4228" s="152" t="s">
        <v>4989</v>
      </c>
      <c r="E4228" s="152" t="s">
        <v>5064</v>
      </c>
      <c r="F4228" s="152" t="s">
        <v>629</v>
      </c>
      <c r="G4228" s="152" t="s">
        <v>2822</v>
      </c>
      <c r="H4228" s="153" t="s">
        <v>215</v>
      </c>
    </row>
    <row r="4229" hidden="1">
      <c r="A4229" s="154" t="s">
        <v>227</v>
      </c>
      <c r="B4229" s="155" t="s">
        <v>195</v>
      </c>
      <c r="C4229" s="155" t="s">
        <v>206</v>
      </c>
      <c r="D4229" s="156" t="s">
        <v>4989</v>
      </c>
      <c r="E4229" s="156" t="s">
        <v>5065</v>
      </c>
      <c r="F4229" s="156" t="s">
        <v>3359</v>
      </c>
      <c r="G4229" s="156" t="s">
        <v>3410</v>
      </c>
      <c r="H4229" s="157" t="s">
        <v>216</v>
      </c>
    </row>
    <row r="4230" hidden="1">
      <c r="A4230" s="151" t="s">
        <v>228</v>
      </c>
      <c r="B4230" s="118" t="s">
        <v>138</v>
      </c>
      <c r="C4230" s="118" t="s">
        <v>206</v>
      </c>
      <c r="D4230" s="152" t="s">
        <v>4989</v>
      </c>
      <c r="E4230" s="152" t="s">
        <v>5066</v>
      </c>
      <c r="F4230" s="152" t="s">
        <v>259</v>
      </c>
      <c r="G4230" s="152" t="s">
        <v>3404</v>
      </c>
      <c r="H4230" s="153" t="s">
        <v>210</v>
      </c>
    </row>
    <row r="4231" hidden="1">
      <c r="A4231" s="154" t="s">
        <v>228</v>
      </c>
      <c r="B4231" s="155" t="s">
        <v>138</v>
      </c>
      <c r="C4231" s="155" t="s">
        <v>206</v>
      </c>
      <c r="D4231" s="156" t="s">
        <v>4989</v>
      </c>
      <c r="E4231" s="156" t="s">
        <v>5067</v>
      </c>
      <c r="F4231" s="156" t="s">
        <v>269</v>
      </c>
      <c r="G4231" s="156" t="s">
        <v>2107</v>
      </c>
      <c r="H4231" s="157" t="s">
        <v>211</v>
      </c>
    </row>
    <row r="4232" hidden="1">
      <c r="A4232" s="151" t="s">
        <v>228</v>
      </c>
      <c r="B4232" s="118" t="s">
        <v>138</v>
      </c>
      <c r="C4232" s="118" t="s">
        <v>206</v>
      </c>
      <c r="D4232" s="152" t="s">
        <v>4989</v>
      </c>
      <c r="E4232" s="152" t="s">
        <v>5068</v>
      </c>
      <c r="F4232" s="152" t="s">
        <v>287</v>
      </c>
      <c r="G4232" s="152" t="s">
        <v>2510</v>
      </c>
      <c r="H4232" s="153" t="s">
        <v>212</v>
      </c>
    </row>
    <row r="4233" hidden="1">
      <c r="A4233" s="154" t="s">
        <v>228</v>
      </c>
      <c r="B4233" s="155" t="s">
        <v>138</v>
      </c>
      <c r="C4233" s="155" t="s">
        <v>206</v>
      </c>
      <c r="D4233" s="156" t="s">
        <v>4989</v>
      </c>
      <c r="E4233" s="156" t="s">
        <v>5069</v>
      </c>
      <c r="F4233" s="156" t="s">
        <v>262</v>
      </c>
      <c r="G4233" s="156" t="s">
        <v>2113</v>
      </c>
      <c r="H4233" s="157" t="s">
        <v>213</v>
      </c>
    </row>
    <row r="4234" hidden="1">
      <c r="A4234" s="151" t="s">
        <v>228</v>
      </c>
      <c r="B4234" s="118" t="s">
        <v>138</v>
      </c>
      <c r="C4234" s="118" t="s">
        <v>206</v>
      </c>
      <c r="D4234" s="152" t="s">
        <v>4989</v>
      </c>
      <c r="E4234" s="152" t="s">
        <v>5070</v>
      </c>
      <c r="F4234" s="152" t="s">
        <v>374</v>
      </c>
      <c r="G4234" s="152" t="s">
        <v>2847</v>
      </c>
      <c r="H4234" s="153" t="s">
        <v>214</v>
      </c>
    </row>
    <row r="4235" hidden="1">
      <c r="A4235" s="154" t="s">
        <v>228</v>
      </c>
      <c r="B4235" s="155" t="s">
        <v>138</v>
      </c>
      <c r="C4235" s="155" t="s">
        <v>206</v>
      </c>
      <c r="D4235" s="156" t="s">
        <v>4989</v>
      </c>
      <c r="E4235" s="156" t="s">
        <v>5071</v>
      </c>
      <c r="F4235" s="156" t="s">
        <v>257</v>
      </c>
      <c r="G4235" s="156" t="s">
        <v>2624</v>
      </c>
      <c r="H4235" s="157" t="s">
        <v>215</v>
      </c>
    </row>
    <row r="4236" hidden="1">
      <c r="A4236" s="151" t="s">
        <v>228</v>
      </c>
      <c r="B4236" s="118" t="s">
        <v>138</v>
      </c>
      <c r="C4236" s="118" t="s">
        <v>206</v>
      </c>
      <c r="D4236" s="152" t="s">
        <v>4989</v>
      </c>
      <c r="E4236" s="152" t="s">
        <v>5072</v>
      </c>
      <c r="F4236" s="152" t="s">
        <v>255</v>
      </c>
      <c r="G4236" s="152" t="s">
        <v>3278</v>
      </c>
      <c r="H4236" s="153" t="s">
        <v>216</v>
      </c>
    </row>
    <row r="4237" hidden="1">
      <c r="A4237" s="154" t="s">
        <v>229</v>
      </c>
      <c r="B4237" s="155" t="s">
        <v>193</v>
      </c>
      <c r="C4237" s="155" t="s">
        <v>206</v>
      </c>
      <c r="D4237" s="156" t="s">
        <v>4989</v>
      </c>
      <c r="E4237" s="156" t="s">
        <v>5073</v>
      </c>
      <c r="F4237" s="156" t="s">
        <v>1532</v>
      </c>
      <c r="G4237" s="156" t="s">
        <v>2346</v>
      </c>
      <c r="H4237" s="157" t="s">
        <v>210</v>
      </c>
    </row>
    <row r="4238" hidden="1">
      <c r="A4238" s="151" t="s">
        <v>229</v>
      </c>
      <c r="B4238" s="118" t="s">
        <v>193</v>
      </c>
      <c r="C4238" s="118" t="s">
        <v>206</v>
      </c>
      <c r="D4238" s="152" t="s">
        <v>4989</v>
      </c>
      <c r="E4238" s="152" t="s">
        <v>5074</v>
      </c>
      <c r="F4238" s="152" t="s">
        <v>718</v>
      </c>
      <c r="G4238" s="152" t="s">
        <v>2519</v>
      </c>
      <c r="H4238" s="153" t="s">
        <v>211</v>
      </c>
    </row>
    <row r="4239" hidden="1">
      <c r="A4239" s="154" t="s">
        <v>229</v>
      </c>
      <c r="B4239" s="155" t="s">
        <v>193</v>
      </c>
      <c r="C4239" s="155" t="s">
        <v>206</v>
      </c>
      <c r="D4239" s="156" t="s">
        <v>4989</v>
      </c>
      <c r="E4239" s="156" t="s">
        <v>5075</v>
      </c>
      <c r="F4239" s="156" t="s">
        <v>2607</v>
      </c>
      <c r="G4239" s="156" t="s">
        <v>2820</v>
      </c>
      <c r="H4239" s="157" t="s">
        <v>212</v>
      </c>
    </row>
    <row r="4240" hidden="1">
      <c r="A4240" s="151" t="s">
        <v>229</v>
      </c>
      <c r="B4240" s="118" t="s">
        <v>193</v>
      </c>
      <c r="C4240" s="118" t="s">
        <v>206</v>
      </c>
      <c r="D4240" s="152" t="s">
        <v>4989</v>
      </c>
      <c r="E4240" s="152" t="s">
        <v>5076</v>
      </c>
      <c r="F4240" s="152" t="s">
        <v>453</v>
      </c>
      <c r="G4240" s="152" t="s">
        <v>3968</v>
      </c>
      <c r="H4240" s="153" t="s">
        <v>213</v>
      </c>
    </row>
    <row r="4241" hidden="1">
      <c r="A4241" s="154" t="s">
        <v>229</v>
      </c>
      <c r="B4241" s="155" t="s">
        <v>193</v>
      </c>
      <c r="C4241" s="155" t="s">
        <v>206</v>
      </c>
      <c r="D4241" s="156" t="s">
        <v>4989</v>
      </c>
      <c r="E4241" s="156" t="s">
        <v>5077</v>
      </c>
      <c r="F4241" s="156" t="s">
        <v>718</v>
      </c>
      <c r="G4241" s="156" t="s">
        <v>4146</v>
      </c>
      <c r="H4241" s="157" t="s">
        <v>214</v>
      </c>
    </row>
    <row r="4242" hidden="1">
      <c r="A4242" s="151" t="s">
        <v>229</v>
      </c>
      <c r="B4242" s="118" t="s">
        <v>193</v>
      </c>
      <c r="C4242" s="118" t="s">
        <v>206</v>
      </c>
      <c r="D4242" s="152" t="s">
        <v>4989</v>
      </c>
      <c r="E4242" s="152" t="s">
        <v>5078</v>
      </c>
      <c r="F4242" s="152" t="s">
        <v>425</v>
      </c>
      <c r="G4242" s="152" t="s">
        <v>2671</v>
      </c>
      <c r="H4242" s="153" t="s">
        <v>215</v>
      </c>
    </row>
    <row r="4243" hidden="1">
      <c r="A4243" s="154" t="s">
        <v>229</v>
      </c>
      <c r="B4243" s="155" t="s">
        <v>193</v>
      </c>
      <c r="C4243" s="155" t="s">
        <v>206</v>
      </c>
      <c r="D4243" s="156" t="s">
        <v>4989</v>
      </c>
      <c r="E4243" s="156" t="s">
        <v>5079</v>
      </c>
      <c r="F4243" s="156" t="s">
        <v>532</v>
      </c>
      <c r="G4243" s="156" t="s">
        <v>3410</v>
      </c>
      <c r="H4243" s="157" t="s">
        <v>216</v>
      </c>
    </row>
    <row r="4244" hidden="1">
      <c r="A4244" s="151" t="s">
        <v>230</v>
      </c>
      <c r="B4244" s="118" t="s">
        <v>194</v>
      </c>
      <c r="C4244" s="118" t="s">
        <v>206</v>
      </c>
      <c r="D4244" s="152" t="s">
        <v>4989</v>
      </c>
      <c r="E4244" s="152" t="s">
        <v>5080</v>
      </c>
      <c r="F4244" s="152" t="s">
        <v>2228</v>
      </c>
      <c r="G4244" s="152" t="s">
        <v>2352</v>
      </c>
      <c r="H4244" s="153" t="s">
        <v>210</v>
      </c>
    </row>
    <row r="4245" hidden="1">
      <c r="A4245" s="154" t="s">
        <v>230</v>
      </c>
      <c r="B4245" s="155" t="s">
        <v>194</v>
      </c>
      <c r="C4245" s="155" t="s">
        <v>206</v>
      </c>
      <c r="D4245" s="156" t="s">
        <v>4989</v>
      </c>
      <c r="E4245" s="156" t="s">
        <v>5081</v>
      </c>
      <c r="F4245" s="156" t="s">
        <v>497</v>
      </c>
      <c r="G4245" s="156" t="s">
        <v>3786</v>
      </c>
      <c r="H4245" s="157" t="s">
        <v>211</v>
      </c>
    </row>
    <row r="4246" hidden="1">
      <c r="A4246" s="151" t="s">
        <v>230</v>
      </c>
      <c r="B4246" s="118" t="s">
        <v>194</v>
      </c>
      <c r="C4246" s="118" t="s">
        <v>206</v>
      </c>
      <c r="D4246" s="152" t="s">
        <v>4989</v>
      </c>
      <c r="E4246" s="152" t="s">
        <v>5082</v>
      </c>
      <c r="F4246" s="152" t="s">
        <v>1790</v>
      </c>
      <c r="G4246" s="152" t="s">
        <v>4075</v>
      </c>
      <c r="H4246" s="153" t="s">
        <v>212</v>
      </c>
    </row>
    <row r="4247" hidden="1">
      <c r="A4247" s="154" t="s">
        <v>230</v>
      </c>
      <c r="B4247" s="155" t="s">
        <v>194</v>
      </c>
      <c r="C4247" s="155" t="s">
        <v>206</v>
      </c>
      <c r="D4247" s="156" t="s">
        <v>4989</v>
      </c>
      <c r="E4247" s="156" t="s">
        <v>5083</v>
      </c>
      <c r="F4247" s="156" t="s">
        <v>780</v>
      </c>
      <c r="G4247" s="156" t="s">
        <v>5084</v>
      </c>
      <c r="H4247" s="157" t="s">
        <v>213</v>
      </c>
    </row>
    <row r="4248" hidden="1">
      <c r="A4248" s="151" t="s">
        <v>230</v>
      </c>
      <c r="B4248" s="118" t="s">
        <v>194</v>
      </c>
      <c r="C4248" s="118" t="s">
        <v>206</v>
      </c>
      <c r="D4248" s="152" t="s">
        <v>4989</v>
      </c>
      <c r="E4248" s="152" t="s">
        <v>5085</v>
      </c>
      <c r="F4248" s="152" t="s">
        <v>1931</v>
      </c>
      <c r="G4248" s="152" t="s">
        <v>4169</v>
      </c>
      <c r="H4248" s="153" t="s">
        <v>214</v>
      </c>
    </row>
    <row r="4249" hidden="1">
      <c r="A4249" s="154" t="s">
        <v>230</v>
      </c>
      <c r="B4249" s="155" t="s">
        <v>194</v>
      </c>
      <c r="C4249" s="155" t="s">
        <v>206</v>
      </c>
      <c r="D4249" s="156" t="s">
        <v>4989</v>
      </c>
      <c r="E4249" s="156" t="s">
        <v>5086</v>
      </c>
      <c r="F4249" s="156" t="s">
        <v>675</v>
      </c>
      <c r="G4249" s="156" t="s">
        <v>4775</v>
      </c>
      <c r="H4249" s="157" t="s">
        <v>215</v>
      </c>
    </row>
    <row r="4250" hidden="1">
      <c r="A4250" s="151" t="s">
        <v>230</v>
      </c>
      <c r="B4250" s="118" t="s">
        <v>194</v>
      </c>
      <c r="C4250" s="118" t="s">
        <v>206</v>
      </c>
      <c r="D4250" s="152" t="s">
        <v>4989</v>
      </c>
      <c r="E4250" s="152" t="s">
        <v>5087</v>
      </c>
      <c r="F4250" s="152" t="s">
        <v>1790</v>
      </c>
      <c r="G4250" s="152" t="s">
        <v>4851</v>
      </c>
      <c r="H4250" s="153" t="s">
        <v>216</v>
      </c>
    </row>
    <row r="4251" hidden="1">
      <c r="A4251" s="158" t="s">
        <v>231</v>
      </c>
      <c r="B4251" s="159"/>
      <c r="C4251" s="155" t="s">
        <v>232</v>
      </c>
      <c r="D4251" s="156" t="s">
        <v>4989</v>
      </c>
      <c r="E4251" s="156" t="s">
        <v>5088</v>
      </c>
      <c r="F4251" s="156" t="s">
        <v>1781</v>
      </c>
      <c r="G4251" s="156" t="s">
        <v>3207</v>
      </c>
      <c r="H4251" s="157" t="s">
        <v>210</v>
      </c>
    </row>
    <row r="4252" hidden="1">
      <c r="A4252" s="160" t="s">
        <v>231</v>
      </c>
      <c r="B4252" s="72"/>
      <c r="C4252" s="118" t="s">
        <v>232</v>
      </c>
      <c r="D4252" s="152" t="s">
        <v>4989</v>
      </c>
      <c r="E4252" s="152" t="s">
        <v>5089</v>
      </c>
      <c r="F4252" s="152" t="s">
        <v>766</v>
      </c>
      <c r="G4252" s="152" t="s">
        <v>2814</v>
      </c>
      <c r="H4252" s="153" t="s">
        <v>211</v>
      </c>
    </row>
    <row r="4253" hidden="1">
      <c r="A4253" s="158" t="s">
        <v>231</v>
      </c>
      <c r="B4253" s="159"/>
      <c r="C4253" s="155" t="s">
        <v>232</v>
      </c>
      <c r="D4253" s="156" t="s">
        <v>4989</v>
      </c>
      <c r="E4253" s="156" t="s">
        <v>5090</v>
      </c>
      <c r="F4253" s="156" t="s">
        <v>1948</v>
      </c>
      <c r="G4253" s="156" t="s">
        <v>2348</v>
      </c>
      <c r="H4253" s="157" t="s">
        <v>212</v>
      </c>
    </row>
    <row r="4254" hidden="1">
      <c r="A4254" s="160" t="s">
        <v>231</v>
      </c>
      <c r="B4254" s="72"/>
      <c r="C4254" s="118" t="s">
        <v>232</v>
      </c>
      <c r="D4254" s="152" t="s">
        <v>4989</v>
      </c>
      <c r="E4254" s="152" t="s">
        <v>5091</v>
      </c>
      <c r="F4254" s="152" t="s">
        <v>760</v>
      </c>
      <c r="G4254" s="152" t="s">
        <v>3400</v>
      </c>
      <c r="H4254" s="153" t="s">
        <v>213</v>
      </c>
    </row>
    <row r="4255" hidden="1">
      <c r="A4255" s="158" t="s">
        <v>231</v>
      </c>
      <c r="B4255" s="159"/>
      <c r="C4255" s="155" t="s">
        <v>232</v>
      </c>
      <c r="D4255" s="156" t="s">
        <v>4989</v>
      </c>
      <c r="E4255" s="156" t="s">
        <v>5092</v>
      </c>
      <c r="F4255" s="156" t="s">
        <v>2228</v>
      </c>
      <c r="G4255" s="156" t="s">
        <v>2219</v>
      </c>
      <c r="H4255" s="157" t="s">
        <v>214</v>
      </c>
    </row>
    <row r="4256" hidden="1">
      <c r="A4256" s="160" t="s">
        <v>231</v>
      </c>
      <c r="B4256" s="72"/>
      <c r="C4256" s="118" t="s">
        <v>232</v>
      </c>
      <c r="D4256" s="152" t="s">
        <v>4989</v>
      </c>
      <c r="E4256" s="152" t="s">
        <v>5093</v>
      </c>
      <c r="F4256" s="152" t="s">
        <v>758</v>
      </c>
      <c r="G4256" s="152" t="s">
        <v>3307</v>
      </c>
      <c r="H4256" s="153" t="s">
        <v>215</v>
      </c>
    </row>
    <row r="4257" hidden="1">
      <c r="A4257" s="158" t="s">
        <v>231</v>
      </c>
      <c r="B4257" s="159"/>
      <c r="C4257" s="155" t="s">
        <v>232</v>
      </c>
      <c r="D4257" s="156" t="s">
        <v>4989</v>
      </c>
      <c r="E4257" s="156" t="s">
        <v>5094</v>
      </c>
      <c r="F4257" s="156" t="s">
        <v>2226</v>
      </c>
      <c r="G4257" s="156" t="s">
        <v>2187</v>
      </c>
      <c r="H4257" s="157" t="s">
        <v>216</v>
      </c>
    </row>
    <row r="4258" hidden="1">
      <c r="A4258" s="160" t="s">
        <v>233</v>
      </c>
      <c r="B4258" s="72"/>
      <c r="C4258" s="118" t="s">
        <v>232</v>
      </c>
      <c r="D4258" s="152" t="s">
        <v>4989</v>
      </c>
      <c r="E4258" s="152" t="s">
        <v>5095</v>
      </c>
      <c r="F4258" s="152" t="s">
        <v>2994</v>
      </c>
      <c r="G4258" s="152" t="s">
        <v>4060</v>
      </c>
      <c r="H4258" s="153" t="s">
        <v>210</v>
      </c>
    </row>
    <row r="4259" hidden="1">
      <c r="A4259" s="158" t="s">
        <v>233</v>
      </c>
      <c r="B4259" s="159"/>
      <c r="C4259" s="155" t="s">
        <v>232</v>
      </c>
      <c r="D4259" s="156" t="s">
        <v>4989</v>
      </c>
      <c r="E4259" s="156" t="s">
        <v>5096</v>
      </c>
      <c r="F4259" s="156" t="s">
        <v>629</v>
      </c>
      <c r="G4259" s="156" t="s">
        <v>4320</v>
      </c>
      <c r="H4259" s="157" t="s">
        <v>211</v>
      </c>
    </row>
    <row r="4260" hidden="1">
      <c r="A4260" s="160" t="s">
        <v>233</v>
      </c>
      <c r="B4260" s="72"/>
      <c r="C4260" s="118" t="s">
        <v>232</v>
      </c>
      <c r="D4260" s="152" t="s">
        <v>4989</v>
      </c>
      <c r="E4260" s="152" t="s">
        <v>5097</v>
      </c>
      <c r="F4260" s="152" t="s">
        <v>763</v>
      </c>
      <c r="G4260" s="152" t="s">
        <v>4034</v>
      </c>
      <c r="H4260" s="153" t="s">
        <v>212</v>
      </c>
    </row>
    <row r="4261" hidden="1">
      <c r="A4261" s="158" t="s">
        <v>233</v>
      </c>
      <c r="B4261" s="159"/>
      <c r="C4261" s="155" t="s">
        <v>232</v>
      </c>
      <c r="D4261" s="156" t="s">
        <v>4989</v>
      </c>
      <c r="E4261" s="156" t="s">
        <v>5098</v>
      </c>
      <c r="F4261" s="156" t="s">
        <v>758</v>
      </c>
      <c r="G4261" s="156" t="s">
        <v>4209</v>
      </c>
      <c r="H4261" s="157" t="s">
        <v>213</v>
      </c>
    </row>
    <row r="4262" hidden="1">
      <c r="A4262" s="160" t="s">
        <v>233</v>
      </c>
      <c r="B4262" s="72"/>
      <c r="C4262" s="118" t="s">
        <v>232</v>
      </c>
      <c r="D4262" s="152" t="s">
        <v>4989</v>
      </c>
      <c r="E4262" s="152" t="s">
        <v>5099</v>
      </c>
      <c r="F4262" s="152" t="s">
        <v>760</v>
      </c>
      <c r="G4262" s="152" t="s">
        <v>3939</v>
      </c>
      <c r="H4262" s="153" t="s">
        <v>214</v>
      </c>
    </row>
    <row r="4263" hidden="1">
      <c r="A4263" s="158" t="s">
        <v>233</v>
      </c>
      <c r="B4263" s="159"/>
      <c r="C4263" s="155" t="s">
        <v>232</v>
      </c>
      <c r="D4263" s="156" t="s">
        <v>4989</v>
      </c>
      <c r="E4263" s="156" t="s">
        <v>5100</v>
      </c>
      <c r="F4263" s="156" t="s">
        <v>405</v>
      </c>
      <c r="G4263" s="156" t="s">
        <v>4317</v>
      </c>
      <c r="H4263" s="157" t="s">
        <v>215</v>
      </c>
    </row>
    <row r="4264" hidden="1">
      <c r="A4264" s="160" t="s">
        <v>233</v>
      </c>
      <c r="B4264" s="72"/>
      <c r="C4264" s="118" t="s">
        <v>232</v>
      </c>
      <c r="D4264" s="152" t="s">
        <v>4989</v>
      </c>
      <c r="E4264" s="152" t="s">
        <v>5101</v>
      </c>
      <c r="F4264" s="152" t="s">
        <v>760</v>
      </c>
      <c r="G4264" s="152" t="s">
        <v>3790</v>
      </c>
      <c r="H4264" s="153" t="s">
        <v>216</v>
      </c>
    </row>
    <row r="4265" hidden="1">
      <c r="A4265" s="158" t="s">
        <v>234</v>
      </c>
      <c r="B4265" s="159"/>
      <c r="C4265" s="155" t="s">
        <v>232</v>
      </c>
      <c r="D4265" s="156" t="s">
        <v>4989</v>
      </c>
      <c r="E4265" s="156" t="s">
        <v>5102</v>
      </c>
      <c r="F4265" s="156" t="s">
        <v>534</v>
      </c>
      <c r="G4265" s="156" t="s">
        <v>2181</v>
      </c>
      <c r="H4265" s="157" t="s">
        <v>210</v>
      </c>
    </row>
    <row r="4266" hidden="1">
      <c r="A4266" s="160" t="s">
        <v>234</v>
      </c>
      <c r="B4266" s="72"/>
      <c r="C4266" s="118" t="s">
        <v>232</v>
      </c>
      <c r="D4266" s="152" t="s">
        <v>4989</v>
      </c>
      <c r="E4266" s="152" t="s">
        <v>5103</v>
      </c>
      <c r="F4266" s="152" t="s">
        <v>325</v>
      </c>
      <c r="G4266" s="152" t="s">
        <v>3710</v>
      </c>
      <c r="H4266" s="153" t="s">
        <v>211</v>
      </c>
    </row>
    <row r="4267" hidden="1">
      <c r="A4267" s="158" t="s">
        <v>234</v>
      </c>
      <c r="B4267" s="159"/>
      <c r="C4267" s="155" t="s">
        <v>232</v>
      </c>
      <c r="D4267" s="156" t="s">
        <v>4989</v>
      </c>
      <c r="E4267" s="156" t="s">
        <v>5104</v>
      </c>
      <c r="F4267" s="156" t="s">
        <v>425</v>
      </c>
      <c r="G4267" s="156" t="s">
        <v>3574</v>
      </c>
      <c r="H4267" s="157" t="s">
        <v>212</v>
      </c>
    </row>
    <row r="4268" hidden="1">
      <c r="A4268" s="160" t="s">
        <v>234</v>
      </c>
      <c r="B4268" s="72"/>
      <c r="C4268" s="118" t="s">
        <v>232</v>
      </c>
      <c r="D4268" s="152" t="s">
        <v>4989</v>
      </c>
      <c r="E4268" s="152" t="s">
        <v>5105</v>
      </c>
      <c r="F4268" s="152" t="s">
        <v>308</v>
      </c>
      <c r="G4268" s="152" t="s">
        <v>1793</v>
      </c>
      <c r="H4268" s="153" t="s">
        <v>213</v>
      </c>
    </row>
    <row r="4269" hidden="1">
      <c r="A4269" s="158" t="s">
        <v>234</v>
      </c>
      <c r="B4269" s="159"/>
      <c r="C4269" s="155" t="s">
        <v>232</v>
      </c>
      <c r="D4269" s="156" t="s">
        <v>4989</v>
      </c>
      <c r="E4269" s="156" t="s">
        <v>5106</v>
      </c>
      <c r="F4269" s="156" t="s">
        <v>351</v>
      </c>
      <c r="G4269" s="156" t="s">
        <v>3371</v>
      </c>
      <c r="H4269" s="157" t="s">
        <v>214</v>
      </c>
    </row>
    <row r="4270" hidden="1">
      <c r="A4270" s="160" t="s">
        <v>234</v>
      </c>
      <c r="B4270" s="72"/>
      <c r="C4270" s="118" t="s">
        <v>232</v>
      </c>
      <c r="D4270" s="152" t="s">
        <v>4989</v>
      </c>
      <c r="E4270" s="152" t="s">
        <v>5107</v>
      </c>
      <c r="F4270" s="152" t="s">
        <v>339</v>
      </c>
      <c r="G4270" s="152" t="s">
        <v>3820</v>
      </c>
      <c r="H4270" s="153" t="s">
        <v>215</v>
      </c>
    </row>
    <row r="4271" hidden="1">
      <c r="A4271" s="158" t="s">
        <v>234</v>
      </c>
      <c r="B4271" s="159"/>
      <c r="C4271" s="155" t="s">
        <v>232</v>
      </c>
      <c r="D4271" s="156" t="s">
        <v>4989</v>
      </c>
      <c r="E4271" s="156" t="s">
        <v>5108</v>
      </c>
      <c r="F4271" s="156" t="s">
        <v>339</v>
      </c>
      <c r="G4271" s="156" t="s">
        <v>2820</v>
      </c>
      <c r="H4271" s="157" t="s">
        <v>216</v>
      </c>
    </row>
    <row r="4272" hidden="1">
      <c r="A4272" s="160" t="s">
        <v>235</v>
      </c>
      <c r="B4272" s="72"/>
      <c r="C4272" s="118" t="s">
        <v>236</v>
      </c>
      <c r="D4272" s="152" t="s">
        <v>4989</v>
      </c>
      <c r="E4272" s="152" t="s">
        <v>5109</v>
      </c>
      <c r="F4272" s="152" t="s">
        <v>691</v>
      </c>
      <c r="G4272" s="152" t="s">
        <v>3911</v>
      </c>
      <c r="H4272" s="153" t="s">
        <v>210</v>
      </c>
    </row>
    <row r="4273" hidden="1">
      <c r="A4273" s="158" t="s">
        <v>235</v>
      </c>
      <c r="B4273" s="159"/>
      <c r="C4273" s="155" t="s">
        <v>236</v>
      </c>
      <c r="D4273" s="156" t="s">
        <v>4989</v>
      </c>
      <c r="E4273" s="156" t="s">
        <v>5110</v>
      </c>
      <c r="F4273" s="156" t="s">
        <v>766</v>
      </c>
      <c r="G4273" s="156" t="s">
        <v>3911</v>
      </c>
      <c r="H4273" s="157" t="s">
        <v>211</v>
      </c>
    </row>
    <row r="4274" hidden="1">
      <c r="A4274" s="160" t="s">
        <v>235</v>
      </c>
      <c r="B4274" s="72"/>
      <c r="C4274" s="118" t="s">
        <v>236</v>
      </c>
      <c r="D4274" s="152" t="s">
        <v>4989</v>
      </c>
      <c r="E4274" s="152" t="s">
        <v>5111</v>
      </c>
      <c r="F4274" s="152" t="s">
        <v>758</v>
      </c>
      <c r="G4274" s="152" t="s">
        <v>4209</v>
      </c>
      <c r="H4274" s="153" t="s">
        <v>212</v>
      </c>
    </row>
    <row r="4275" hidden="1">
      <c r="A4275" s="158" t="s">
        <v>235</v>
      </c>
      <c r="B4275" s="159"/>
      <c r="C4275" s="155" t="s">
        <v>236</v>
      </c>
      <c r="D4275" s="156" t="s">
        <v>4989</v>
      </c>
      <c r="E4275" s="156" t="s">
        <v>5112</v>
      </c>
      <c r="F4275" s="156" t="s">
        <v>348</v>
      </c>
      <c r="G4275" s="156" t="s">
        <v>4464</v>
      </c>
      <c r="H4275" s="157" t="s">
        <v>213</v>
      </c>
    </row>
    <row r="4276" hidden="1">
      <c r="A4276" s="160" t="s">
        <v>235</v>
      </c>
      <c r="B4276" s="72"/>
      <c r="C4276" s="118" t="s">
        <v>236</v>
      </c>
      <c r="D4276" s="152" t="s">
        <v>4989</v>
      </c>
      <c r="E4276" s="152" t="s">
        <v>5113</v>
      </c>
      <c r="F4276" s="152" t="s">
        <v>766</v>
      </c>
      <c r="G4276" s="152" t="s">
        <v>4161</v>
      </c>
      <c r="H4276" s="153" t="s">
        <v>214</v>
      </c>
    </row>
    <row r="4277" hidden="1">
      <c r="A4277" s="158" t="s">
        <v>235</v>
      </c>
      <c r="B4277" s="159"/>
      <c r="C4277" s="155" t="s">
        <v>236</v>
      </c>
      <c r="D4277" s="156" t="s">
        <v>4989</v>
      </c>
      <c r="E4277" s="156" t="s">
        <v>5114</v>
      </c>
      <c r="F4277" s="156" t="s">
        <v>390</v>
      </c>
      <c r="G4277" s="156" t="s">
        <v>2179</v>
      </c>
      <c r="H4277" s="157" t="s">
        <v>215</v>
      </c>
    </row>
    <row r="4278" hidden="1">
      <c r="A4278" s="160" t="s">
        <v>235</v>
      </c>
      <c r="B4278" s="72"/>
      <c r="C4278" s="118" t="s">
        <v>236</v>
      </c>
      <c r="D4278" s="152" t="s">
        <v>4989</v>
      </c>
      <c r="E4278" s="152" t="s">
        <v>5115</v>
      </c>
      <c r="F4278" s="152" t="s">
        <v>3240</v>
      </c>
      <c r="G4278" s="152" t="s">
        <v>3911</v>
      </c>
      <c r="H4278" s="153" t="s">
        <v>216</v>
      </c>
    </row>
    <row r="4279" hidden="1">
      <c r="A4279" s="158" t="s">
        <v>237</v>
      </c>
      <c r="B4279" s="159"/>
      <c r="C4279" s="155" t="s">
        <v>236</v>
      </c>
      <c r="D4279" s="156" t="s">
        <v>4989</v>
      </c>
      <c r="E4279" s="156" t="s">
        <v>5116</v>
      </c>
      <c r="F4279" s="156" t="s">
        <v>339</v>
      </c>
      <c r="G4279" s="156" t="s">
        <v>3396</v>
      </c>
      <c r="H4279" s="157" t="s">
        <v>210</v>
      </c>
    </row>
    <row r="4280" hidden="1">
      <c r="A4280" s="160" t="s">
        <v>237</v>
      </c>
      <c r="B4280" s="72"/>
      <c r="C4280" s="118" t="s">
        <v>236</v>
      </c>
      <c r="D4280" s="152" t="s">
        <v>4989</v>
      </c>
      <c r="E4280" s="152" t="s">
        <v>5117</v>
      </c>
      <c r="F4280" s="152" t="s">
        <v>329</v>
      </c>
      <c r="G4280" s="152" t="s">
        <v>3404</v>
      </c>
      <c r="H4280" s="153" t="s">
        <v>211</v>
      </c>
    </row>
    <row r="4281" hidden="1">
      <c r="A4281" s="158" t="s">
        <v>237</v>
      </c>
      <c r="B4281" s="159"/>
      <c r="C4281" s="155" t="s">
        <v>236</v>
      </c>
      <c r="D4281" s="156" t="s">
        <v>4989</v>
      </c>
      <c r="E4281" s="156" t="s">
        <v>5118</v>
      </c>
      <c r="F4281" s="156" t="s">
        <v>799</v>
      </c>
      <c r="G4281" s="156" t="s">
        <v>2826</v>
      </c>
      <c r="H4281" s="157" t="s">
        <v>212</v>
      </c>
    </row>
    <row r="4282" hidden="1">
      <c r="A4282" s="160" t="s">
        <v>237</v>
      </c>
      <c r="B4282" s="72"/>
      <c r="C4282" s="118" t="s">
        <v>236</v>
      </c>
      <c r="D4282" s="152" t="s">
        <v>4989</v>
      </c>
      <c r="E4282" s="152" t="s">
        <v>5119</v>
      </c>
      <c r="F4282" s="152" t="s">
        <v>308</v>
      </c>
      <c r="G4282" s="152" t="s">
        <v>4019</v>
      </c>
      <c r="H4282" s="153" t="s">
        <v>213</v>
      </c>
    </row>
    <row r="4283" hidden="1">
      <c r="A4283" s="158" t="s">
        <v>237</v>
      </c>
      <c r="B4283" s="159"/>
      <c r="C4283" s="155" t="s">
        <v>236</v>
      </c>
      <c r="D4283" s="156" t="s">
        <v>4989</v>
      </c>
      <c r="E4283" s="156" t="s">
        <v>5120</v>
      </c>
      <c r="F4283" s="156" t="s">
        <v>427</v>
      </c>
      <c r="G4283" s="156" t="s">
        <v>3893</v>
      </c>
      <c r="H4283" s="157" t="s">
        <v>214</v>
      </c>
    </row>
    <row r="4284" hidden="1">
      <c r="A4284" s="160" t="s">
        <v>237</v>
      </c>
      <c r="B4284" s="72"/>
      <c r="C4284" s="118" t="s">
        <v>236</v>
      </c>
      <c r="D4284" s="152" t="s">
        <v>4989</v>
      </c>
      <c r="E4284" s="152" t="s">
        <v>5121</v>
      </c>
      <c r="F4284" s="152" t="s">
        <v>534</v>
      </c>
      <c r="G4284" s="152" t="s">
        <v>3209</v>
      </c>
      <c r="H4284" s="153" t="s">
        <v>215</v>
      </c>
    </row>
    <row r="4285" hidden="1">
      <c r="A4285" s="158" t="s">
        <v>237</v>
      </c>
      <c r="B4285" s="159"/>
      <c r="C4285" s="155" t="s">
        <v>236</v>
      </c>
      <c r="D4285" s="156" t="s">
        <v>4989</v>
      </c>
      <c r="E4285" s="156" t="s">
        <v>5122</v>
      </c>
      <c r="F4285" s="156" t="s">
        <v>336</v>
      </c>
      <c r="G4285" s="156" t="s">
        <v>3138</v>
      </c>
      <c r="H4285" s="157" t="s">
        <v>216</v>
      </c>
    </row>
    <row r="4286" hidden="1">
      <c r="A4286" s="151" t="s">
        <v>204</v>
      </c>
      <c r="B4286" s="118" t="s">
        <v>205</v>
      </c>
      <c r="C4286" s="118" t="s">
        <v>206</v>
      </c>
      <c r="D4286" s="152" t="s">
        <v>5123</v>
      </c>
      <c r="E4286" s="152" t="s">
        <v>5124</v>
      </c>
      <c r="F4286" s="152" t="s">
        <v>305</v>
      </c>
      <c r="G4286" s="152" t="s">
        <v>2665</v>
      </c>
      <c r="H4286" s="153" t="s">
        <v>210</v>
      </c>
    </row>
    <row r="4287" hidden="1">
      <c r="A4287" s="154" t="s">
        <v>204</v>
      </c>
      <c r="B4287" s="155" t="s">
        <v>205</v>
      </c>
      <c r="C4287" s="155" t="s">
        <v>206</v>
      </c>
      <c r="D4287" s="156" t="s">
        <v>5123</v>
      </c>
      <c r="E4287" s="156" t="s">
        <v>5125</v>
      </c>
      <c r="F4287" s="156" t="s">
        <v>339</v>
      </c>
      <c r="G4287" s="156" t="s">
        <v>2181</v>
      </c>
      <c r="H4287" s="157" t="s">
        <v>211</v>
      </c>
    </row>
    <row r="4288" hidden="1">
      <c r="A4288" s="151" t="s">
        <v>204</v>
      </c>
      <c r="B4288" s="118" t="s">
        <v>205</v>
      </c>
      <c r="C4288" s="118" t="s">
        <v>206</v>
      </c>
      <c r="D4288" s="152" t="s">
        <v>5123</v>
      </c>
      <c r="E4288" s="152" t="s">
        <v>5126</v>
      </c>
      <c r="F4288" s="152" t="s">
        <v>351</v>
      </c>
      <c r="G4288" s="152" t="s">
        <v>3272</v>
      </c>
      <c r="H4288" s="153" t="s">
        <v>212</v>
      </c>
    </row>
    <row r="4289" hidden="1">
      <c r="A4289" s="154" t="s">
        <v>204</v>
      </c>
      <c r="B4289" s="155" t="s">
        <v>205</v>
      </c>
      <c r="C4289" s="155" t="s">
        <v>206</v>
      </c>
      <c r="D4289" s="156" t="s">
        <v>5123</v>
      </c>
      <c r="E4289" s="156" t="s">
        <v>5127</v>
      </c>
      <c r="F4289" s="156" t="s">
        <v>290</v>
      </c>
      <c r="G4289" s="156" t="s">
        <v>2189</v>
      </c>
      <c r="H4289" s="157" t="s">
        <v>213</v>
      </c>
    </row>
    <row r="4290" hidden="1">
      <c r="A4290" s="151" t="s">
        <v>204</v>
      </c>
      <c r="B4290" s="118" t="s">
        <v>205</v>
      </c>
      <c r="C4290" s="118" t="s">
        <v>206</v>
      </c>
      <c r="D4290" s="152" t="s">
        <v>5123</v>
      </c>
      <c r="E4290" s="152" t="s">
        <v>5128</v>
      </c>
      <c r="F4290" s="152" t="s">
        <v>450</v>
      </c>
      <c r="G4290" s="152" t="s">
        <v>1995</v>
      </c>
      <c r="H4290" s="153" t="s">
        <v>214</v>
      </c>
    </row>
    <row r="4291" hidden="1">
      <c r="A4291" s="154" t="s">
        <v>204</v>
      </c>
      <c r="B4291" s="155" t="s">
        <v>205</v>
      </c>
      <c r="C4291" s="155" t="s">
        <v>206</v>
      </c>
      <c r="D4291" s="156" t="s">
        <v>5123</v>
      </c>
      <c r="E4291" s="156" t="s">
        <v>5129</v>
      </c>
      <c r="F4291" s="156" t="s">
        <v>305</v>
      </c>
      <c r="G4291" s="156" t="s">
        <v>3815</v>
      </c>
      <c r="H4291" s="157" t="s">
        <v>215</v>
      </c>
    </row>
    <row r="4292" hidden="1">
      <c r="A4292" s="151" t="s">
        <v>204</v>
      </c>
      <c r="B4292" s="118" t="s">
        <v>205</v>
      </c>
      <c r="C4292" s="118" t="s">
        <v>206</v>
      </c>
      <c r="D4292" s="152" t="s">
        <v>5123</v>
      </c>
      <c r="E4292" s="152" t="s">
        <v>5130</v>
      </c>
      <c r="F4292" s="152" t="s">
        <v>351</v>
      </c>
      <c r="G4292" s="152" t="s">
        <v>2965</v>
      </c>
      <c r="H4292" s="153" t="s">
        <v>216</v>
      </c>
    </row>
    <row r="4293" hidden="1">
      <c r="A4293" s="154" t="s">
        <v>217</v>
      </c>
      <c r="B4293" s="155" t="s">
        <v>191</v>
      </c>
      <c r="C4293" s="155" t="s">
        <v>206</v>
      </c>
      <c r="D4293" s="156" t="s">
        <v>5123</v>
      </c>
      <c r="E4293" s="156" t="s">
        <v>5131</v>
      </c>
      <c r="F4293" s="156" t="s">
        <v>321</v>
      </c>
      <c r="G4293" s="156" t="s">
        <v>2513</v>
      </c>
      <c r="H4293" s="157" t="s">
        <v>210</v>
      </c>
    </row>
    <row r="4294" hidden="1">
      <c r="A4294" s="151" t="s">
        <v>217</v>
      </c>
      <c r="B4294" s="118" t="s">
        <v>191</v>
      </c>
      <c r="C4294" s="118" t="s">
        <v>206</v>
      </c>
      <c r="D4294" s="152" t="s">
        <v>5123</v>
      </c>
      <c r="E4294" s="152" t="s">
        <v>5132</v>
      </c>
      <c r="F4294" s="152" t="s">
        <v>249</v>
      </c>
      <c r="G4294" s="152" t="s">
        <v>3734</v>
      </c>
      <c r="H4294" s="153" t="s">
        <v>211</v>
      </c>
    </row>
    <row r="4295" hidden="1">
      <c r="A4295" s="154" t="s">
        <v>217</v>
      </c>
      <c r="B4295" s="155" t="s">
        <v>191</v>
      </c>
      <c r="C4295" s="155" t="s">
        <v>206</v>
      </c>
      <c r="D4295" s="156" t="s">
        <v>5123</v>
      </c>
      <c r="E4295" s="156" t="s">
        <v>5133</v>
      </c>
      <c r="F4295" s="156" t="s">
        <v>285</v>
      </c>
      <c r="G4295" s="156" t="s">
        <v>2508</v>
      </c>
      <c r="H4295" s="157" t="s">
        <v>212</v>
      </c>
    </row>
    <row r="4296" hidden="1">
      <c r="A4296" s="151" t="s">
        <v>217</v>
      </c>
      <c r="B4296" s="118" t="s">
        <v>191</v>
      </c>
      <c r="C4296" s="118" t="s">
        <v>206</v>
      </c>
      <c r="D4296" s="152" t="s">
        <v>5123</v>
      </c>
      <c r="E4296" s="152" t="s">
        <v>5134</v>
      </c>
      <c r="F4296" s="152" t="s">
        <v>244</v>
      </c>
      <c r="G4296" s="152" t="s">
        <v>2816</v>
      </c>
      <c r="H4296" s="153" t="s">
        <v>213</v>
      </c>
    </row>
    <row r="4297" hidden="1">
      <c r="A4297" s="154" t="s">
        <v>217</v>
      </c>
      <c r="B4297" s="155" t="s">
        <v>191</v>
      </c>
      <c r="C4297" s="155" t="s">
        <v>206</v>
      </c>
      <c r="D4297" s="156" t="s">
        <v>5123</v>
      </c>
      <c r="E4297" s="156" t="s">
        <v>5135</v>
      </c>
      <c r="F4297" s="156" t="s">
        <v>285</v>
      </c>
      <c r="G4297" s="156" t="s">
        <v>3618</v>
      </c>
      <c r="H4297" s="157" t="s">
        <v>214</v>
      </c>
    </row>
    <row r="4298" hidden="1">
      <c r="A4298" s="151" t="s">
        <v>217</v>
      </c>
      <c r="B4298" s="118" t="s">
        <v>191</v>
      </c>
      <c r="C4298" s="118" t="s">
        <v>206</v>
      </c>
      <c r="D4298" s="152" t="s">
        <v>5123</v>
      </c>
      <c r="E4298" s="152" t="s">
        <v>5136</v>
      </c>
      <c r="F4298" s="152" t="s">
        <v>310</v>
      </c>
      <c r="G4298" s="152" t="s">
        <v>3108</v>
      </c>
      <c r="H4298" s="153" t="s">
        <v>215</v>
      </c>
    </row>
    <row r="4299" hidden="1">
      <c r="A4299" s="154" t="s">
        <v>217</v>
      </c>
      <c r="B4299" s="155" t="s">
        <v>191</v>
      </c>
      <c r="C4299" s="155" t="s">
        <v>206</v>
      </c>
      <c r="D4299" s="156" t="s">
        <v>5123</v>
      </c>
      <c r="E4299" s="156" t="s">
        <v>5137</v>
      </c>
      <c r="F4299" s="156" t="s">
        <v>321</v>
      </c>
      <c r="G4299" s="156" t="s">
        <v>2348</v>
      </c>
      <c r="H4299" s="157" t="s">
        <v>216</v>
      </c>
    </row>
    <row r="4300" hidden="1">
      <c r="A4300" s="151" t="s">
        <v>218</v>
      </c>
      <c r="B4300" s="118" t="s">
        <v>219</v>
      </c>
      <c r="C4300" s="118" t="s">
        <v>206</v>
      </c>
      <c r="D4300" s="152" t="s">
        <v>5123</v>
      </c>
      <c r="E4300" s="152" t="s">
        <v>5138</v>
      </c>
      <c r="F4300" s="152" t="s">
        <v>760</v>
      </c>
      <c r="G4300" s="152" t="s">
        <v>2826</v>
      </c>
      <c r="H4300" s="153" t="s">
        <v>210</v>
      </c>
    </row>
    <row r="4301" hidden="1">
      <c r="A4301" s="154" t="s">
        <v>218</v>
      </c>
      <c r="B4301" s="155" t="s">
        <v>219</v>
      </c>
      <c r="C4301" s="155" t="s">
        <v>206</v>
      </c>
      <c r="D4301" s="156" t="s">
        <v>5123</v>
      </c>
      <c r="E4301" s="156" t="s">
        <v>5139</v>
      </c>
      <c r="F4301" s="156" t="s">
        <v>735</v>
      </c>
      <c r="G4301" s="156" t="s">
        <v>2115</v>
      </c>
      <c r="H4301" s="157" t="s">
        <v>211</v>
      </c>
    </row>
    <row r="4302" hidden="1">
      <c r="A4302" s="151" t="s">
        <v>218</v>
      </c>
      <c r="B4302" s="118" t="s">
        <v>219</v>
      </c>
      <c r="C4302" s="118" t="s">
        <v>206</v>
      </c>
      <c r="D4302" s="152" t="s">
        <v>5123</v>
      </c>
      <c r="E4302" s="152" t="s">
        <v>5140</v>
      </c>
      <c r="F4302" s="152" t="s">
        <v>718</v>
      </c>
      <c r="G4302" s="152" t="s">
        <v>2986</v>
      </c>
      <c r="H4302" s="153" t="s">
        <v>212</v>
      </c>
    </row>
    <row r="4303" hidden="1">
      <c r="A4303" s="154" t="s">
        <v>218</v>
      </c>
      <c r="B4303" s="155" t="s">
        <v>219</v>
      </c>
      <c r="C4303" s="155" t="s">
        <v>206</v>
      </c>
      <c r="D4303" s="156" t="s">
        <v>5123</v>
      </c>
      <c r="E4303" s="156" t="s">
        <v>5141</v>
      </c>
      <c r="F4303" s="156" t="s">
        <v>2994</v>
      </c>
      <c r="G4303" s="156" t="s">
        <v>3394</v>
      </c>
      <c r="H4303" s="157" t="s">
        <v>213</v>
      </c>
    </row>
    <row r="4304" hidden="1">
      <c r="A4304" s="151" t="s">
        <v>218</v>
      </c>
      <c r="B4304" s="118" t="s">
        <v>219</v>
      </c>
      <c r="C4304" s="118" t="s">
        <v>206</v>
      </c>
      <c r="D4304" s="152" t="s">
        <v>5123</v>
      </c>
      <c r="E4304" s="152" t="s">
        <v>5142</v>
      </c>
      <c r="F4304" s="152" t="s">
        <v>2994</v>
      </c>
      <c r="G4304" s="152" t="s">
        <v>3546</v>
      </c>
      <c r="H4304" s="153" t="s">
        <v>214</v>
      </c>
    </row>
    <row r="4305" hidden="1">
      <c r="A4305" s="154" t="s">
        <v>218</v>
      </c>
      <c r="B4305" s="155" t="s">
        <v>219</v>
      </c>
      <c r="C4305" s="155" t="s">
        <v>206</v>
      </c>
      <c r="D4305" s="156" t="s">
        <v>5123</v>
      </c>
      <c r="E4305" s="156" t="s">
        <v>5143</v>
      </c>
      <c r="F4305" s="156" t="s">
        <v>2994</v>
      </c>
      <c r="G4305" s="156" t="s">
        <v>3611</v>
      </c>
      <c r="H4305" s="157" t="s">
        <v>215</v>
      </c>
    </row>
    <row r="4306" hidden="1">
      <c r="A4306" s="151" t="s">
        <v>218</v>
      </c>
      <c r="B4306" s="118" t="s">
        <v>219</v>
      </c>
      <c r="C4306" s="118" t="s">
        <v>206</v>
      </c>
      <c r="D4306" s="152" t="s">
        <v>5123</v>
      </c>
      <c r="E4306" s="152" t="s">
        <v>5144</v>
      </c>
      <c r="F4306" s="152" t="s">
        <v>390</v>
      </c>
      <c r="G4306" s="152" t="s">
        <v>3394</v>
      </c>
      <c r="H4306" s="153" t="s">
        <v>216</v>
      </c>
    </row>
    <row r="4307" hidden="1">
      <c r="A4307" s="154" t="s">
        <v>220</v>
      </c>
      <c r="B4307" s="155" t="s">
        <v>190</v>
      </c>
      <c r="C4307" s="155" t="s">
        <v>206</v>
      </c>
      <c r="D4307" s="156" t="s">
        <v>5123</v>
      </c>
      <c r="E4307" s="156" t="s">
        <v>5145</v>
      </c>
      <c r="F4307" s="156" t="s">
        <v>478</v>
      </c>
      <c r="G4307" s="156" t="s">
        <v>2970</v>
      </c>
      <c r="H4307" s="157" t="s">
        <v>210</v>
      </c>
    </row>
    <row r="4308" hidden="1">
      <c r="A4308" s="151" t="s">
        <v>220</v>
      </c>
      <c r="B4308" s="118" t="s">
        <v>190</v>
      </c>
      <c r="C4308" s="118" t="s">
        <v>206</v>
      </c>
      <c r="D4308" s="152" t="s">
        <v>5123</v>
      </c>
      <c r="E4308" s="152" t="s">
        <v>5146</v>
      </c>
      <c r="F4308" s="152" t="s">
        <v>312</v>
      </c>
      <c r="G4308" s="152" t="s">
        <v>3546</v>
      </c>
      <c r="H4308" s="153" t="s">
        <v>211</v>
      </c>
    </row>
    <row r="4309" hidden="1">
      <c r="A4309" s="154" t="s">
        <v>220</v>
      </c>
      <c r="B4309" s="155" t="s">
        <v>190</v>
      </c>
      <c r="C4309" s="155" t="s">
        <v>206</v>
      </c>
      <c r="D4309" s="156" t="s">
        <v>5123</v>
      </c>
      <c r="E4309" s="156" t="s">
        <v>5147</v>
      </c>
      <c r="F4309" s="156" t="s">
        <v>405</v>
      </c>
      <c r="G4309" s="156" t="s">
        <v>3262</v>
      </c>
      <c r="H4309" s="157" t="s">
        <v>212</v>
      </c>
    </row>
    <row r="4310" hidden="1">
      <c r="A4310" s="151" t="s">
        <v>220</v>
      </c>
      <c r="B4310" s="118" t="s">
        <v>190</v>
      </c>
      <c r="C4310" s="118" t="s">
        <v>206</v>
      </c>
      <c r="D4310" s="152" t="s">
        <v>5123</v>
      </c>
      <c r="E4310" s="152" t="s">
        <v>5148</v>
      </c>
      <c r="F4310" s="152" t="s">
        <v>494</v>
      </c>
      <c r="G4310" s="152" t="s">
        <v>2346</v>
      </c>
      <c r="H4310" s="153" t="s">
        <v>213</v>
      </c>
    </row>
    <row r="4311" hidden="1">
      <c r="A4311" s="154" t="s">
        <v>220</v>
      </c>
      <c r="B4311" s="155" t="s">
        <v>190</v>
      </c>
      <c r="C4311" s="155" t="s">
        <v>206</v>
      </c>
      <c r="D4311" s="156" t="s">
        <v>5123</v>
      </c>
      <c r="E4311" s="156" t="s">
        <v>5149</v>
      </c>
      <c r="F4311" s="156" t="s">
        <v>348</v>
      </c>
      <c r="G4311" s="156" t="s">
        <v>3707</v>
      </c>
      <c r="H4311" s="157" t="s">
        <v>214</v>
      </c>
    </row>
    <row r="4312" hidden="1">
      <c r="A4312" s="151" t="s">
        <v>220</v>
      </c>
      <c r="B4312" s="118" t="s">
        <v>190</v>
      </c>
      <c r="C4312" s="118" t="s">
        <v>206</v>
      </c>
      <c r="D4312" s="152" t="s">
        <v>5123</v>
      </c>
      <c r="E4312" s="152" t="s">
        <v>5150</v>
      </c>
      <c r="F4312" s="152" t="s">
        <v>450</v>
      </c>
      <c r="G4312" s="152" t="s">
        <v>2513</v>
      </c>
      <c r="H4312" s="153" t="s">
        <v>215</v>
      </c>
    </row>
    <row r="4313" hidden="1">
      <c r="A4313" s="154" t="s">
        <v>220</v>
      </c>
      <c r="B4313" s="155" t="s">
        <v>190</v>
      </c>
      <c r="C4313" s="155" t="s">
        <v>206</v>
      </c>
      <c r="D4313" s="156" t="s">
        <v>5123</v>
      </c>
      <c r="E4313" s="156" t="s">
        <v>5151</v>
      </c>
      <c r="F4313" s="156" t="s">
        <v>312</v>
      </c>
      <c r="G4313" s="156" t="s">
        <v>2970</v>
      </c>
      <c r="H4313" s="157" t="s">
        <v>216</v>
      </c>
    </row>
    <row r="4314" hidden="1">
      <c r="A4314" s="151" t="s">
        <v>221</v>
      </c>
      <c r="B4314" s="118" t="s">
        <v>189</v>
      </c>
      <c r="C4314" s="118" t="s">
        <v>206</v>
      </c>
      <c r="D4314" s="152" t="s">
        <v>5123</v>
      </c>
      <c r="E4314" s="152" t="s">
        <v>5152</v>
      </c>
      <c r="F4314" s="152" t="s">
        <v>365</v>
      </c>
      <c r="G4314" s="152" t="s">
        <v>2455</v>
      </c>
      <c r="H4314" s="153" t="s">
        <v>210</v>
      </c>
    </row>
    <row r="4315" hidden="1">
      <c r="A4315" s="154" t="s">
        <v>221</v>
      </c>
      <c r="B4315" s="155" t="s">
        <v>189</v>
      </c>
      <c r="C4315" s="155" t="s">
        <v>206</v>
      </c>
      <c r="D4315" s="156" t="s">
        <v>5123</v>
      </c>
      <c r="E4315" s="156" t="s">
        <v>5153</v>
      </c>
      <c r="F4315" s="156" t="s">
        <v>285</v>
      </c>
      <c r="G4315" s="156" t="s">
        <v>3389</v>
      </c>
      <c r="H4315" s="157" t="s">
        <v>211</v>
      </c>
    </row>
    <row r="4316" hidden="1">
      <c r="A4316" s="151" t="s">
        <v>221</v>
      </c>
      <c r="B4316" s="118" t="s">
        <v>189</v>
      </c>
      <c r="C4316" s="118" t="s">
        <v>206</v>
      </c>
      <c r="D4316" s="152" t="s">
        <v>5123</v>
      </c>
      <c r="E4316" s="152" t="s">
        <v>5154</v>
      </c>
      <c r="F4316" s="152" t="s">
        <v>374</v>
      </c>
      <c r="G4316" s="152" t="s">
        <v>3574</v>
      </c>
      <c r="H4316" s="153" t="s">
        <v>212</v>
      </c>
    </row>
    <row r="4317" hidden="1">
      <c r="A4317" s="154" t="s">
        <v>221</v>
      </c>
      <c r="B4317" s="155" t="s">
        <v>189</v>
      </c>
      <c r="C4317" s="155" t="s">
        <v>206</v>
      </c>
      <c r="D4317" s="156" t="s">
        <v>5123</v>
      </c>
      <c r="E4317" s="156" t="s">
        <v>5155</v>
      </c>
      <c r="F4317" s="156" t="s">
        <v>374</v>
      </c>
      <c r="G4317" s="156" t="s">
        <v>3900</v>
      </c>
      <c r="H4317" s="157" t="s">
        <v>213</v>
      </c>
    </row>
    <row r="4318" hidden="1">
      <c r="A4318" s="151" t="s">
        <v>221</v>
      </c>
      <c r="B4318" s="118" t="s">
        <v>189</v>
      </c>
      <c r="C4318" s="118" t="s">
        <v>206</v>
      </c>
      <c r="D4318" s="152" t="s">
        <v>5123</v>
      </c>
      <c r="E4318" s="152" t="s">
        <v>5156</v>
      </c>
      <c r="F4318" s="152" t="s">
        <v>314</v>
      </c>
      <c r="G4318" s="152" t="s">
        <v>2287</v>
      </c>
      <c r="H4318" s="153" t="s">
        <v>214</v>
      </c>
    </row>
    <row r="4319" hidden="1">
      <c r="A4319" s="154" t="s">
        <v>221</v>
      </c>
      <c r="B4319" s="155" t="s">
        <v>189</v>
      </c>
      <c r="C4319" s="155" t="s">
        <v>206</v>
      </c>
      <c r="D4319" s="156" t="s">
        <v>5123</v>
      </c>
      <c r="E4319" s="156" t="s">
        <v>5157</v>
      </c>
      <c r="F4319" s="156" t="s">
        <v>269</v>
      </c>
      <c r="G4319" s="156" t="s">
        <v>2758</v>
      </c>
      <c r="H4319" s="157" t="s">
        <v>215</v>
      </c>
    </row>
    <row r="4320" hidden="1">
      <c r="A4320" s="151" t="s">
        <v>221</v>
      </c>
      <c r="B4320" s="118" t="s">
        <v>189</v>
      </c>
      <c r="C4320" s="118" t="s">
        <v>206</v>
      </c>
      <c r="D4320" s="152" t="s">
        <v>5123</v>
      </c>
      <c r="E4320" s="152" t="s">
        <v>5158</v>
      </c>
      <c r="F4320" s="152" t="s">
        <v>357</v>
      </c>
      <c r="G4320" s="152" t="s">
        <v>3380</v>
      </c>
      <c r="H4320" s="153" t="s">
        <v>216</v>
      </c>
    </row>
    <row r="4321" hidden="1">
      <c r="A4321" s="154" t="s">
        <v>222</v>
      </c>
      <c r="B4321" s="155" t="s">
        <v>192</v>
      </c>
      <c r="C4321" s="155" t="s">
        <v>206</v>
      </c>
      <c r="D4321" s="156" t="s">
        <v>5123</v>
      </c>
      <c r="E4321" s="156" t="s">
        <v>5159</v>
      </c>
      <c r="F4321" s="156" t="s">
        <v>675</v>
      </c>
      <c r="G4321" s="156" t="s">
        <v>4290</v>
      </c>
      <c r="H4321" s="157" t="s">
        <v>210</v>
      </c>
    </row>
    <row r="4322" hidden="1">
      <c r="A4322" s="151" t="s">
        <v>222</v>
      </c>
      <c r="B4322" s="118" t="s">
        <v>192</v>
      </c>
      <c r="C4322" s="118" t="s">
        <v>206</v>
      </c>
      <c r="D4322" s="152" t="s">
        <v>5123</v>
      </c>
      <c r="E4322" s="152" t="s">
        <v>5160</v>
      </c>
      <c r="F4322" s="152" t="s">
        <v>1948</v>
      </c>
      <c r="G4322" s="152" t="s">
        <v>2183</v>
      </c>
      <c r="H4322" s="153" t="s">
        <v>211</v>
      </c>
    </row>
    <row r="4323" hidden="1">
      <c r="A4323" s="154" t="s">
        <v>222</v>
      </c>
      <c r="B4323" s="155" t="s">
        <v>192</v>
      </c>
      <c r="C4323" s="155" t="s">
        <v>206</v>
      </c>
      <c r="D4323" s="156" t="s">
        <v>5123</v>
      </c>
      <c r="E4323" s="156" t="s">
        <v>5161</v>
      </c>
      <c r="F4323" s="156" t="s">
        <v>3198</v>
      </c>
      <c r="G4323" s="156" t="s">
        <v>4376</v>
      </c>
      <c r="H4323" s="157" t="s">
        <v>212</v>
      </c>
    </row>
    <row r="4324" hidden="1">
      <c r="A4324" s="151" t="s">
        <v>222</v>
      </c>
      <c r="B4324" s="118" t="s">
        <v>192</v>
      </c>
      <c r="C4324" s="118" t="s">
        <v>206</v>
      </c>
      <c r="D4324" s="152" t="s">
        <v>5123</v>
      </c>
      <c r="E4324" s="152" t="s">
        <v>5162</v>
      </c>
      <c r="F4324" s="152" t="s">
        <v>3243</v>
      </c>
      <c r="G4324" s="152" t="s">
        <v>4290</v>
      </c>
      <c r="H4324" s="153" t="s">
        <v>213</v>
      </c>
    </row>
    <row r="4325" hidden="1">
      <c r="A4325" s="154" t="s">
        <v>222</v>
      </c>
      <c r="B4325" s="155" t="s">
        <v>192</v>
      </c>
      <c r="C4325" s="155" t="s">
        <v>206</v>
      </c>
      <c r="D4325" s="156" t="s">
        <v>5123</v>
      </c>
      <c r="E4325" s="156" t="s">
        <v>5163</v>
      </c>
      <c r="F4325" s="156" t="s">
        <v>497</v>
      </c>
      <c r="G4325" s="156" t="s">
        <v>2183</v>
      </c>
      <c r="H4325" s="157" t="s">
        <v>214</v>
      </c>
    </row>
    <row r="4326" hidden="1">
      <c r="A4326" s="151" t="s">
        <v>222</v>
      </c>
      <c r="B4326" s="118" t="s">
        <v>192</v>
      </c>
      <c r="C4326" s="118" t="s">
        <v>206</v>
      </c>
      <c r="D4326" s="152" t="s">
        <v>5123</v>
      </c>
      <c r="E4326" s="152" t="s">
        <v>5164</v>
      </c>
      <c r="F4326" s="152" t="s">
        <v>2994</v>
      </c>
      <c r="G4326" s="152" t="s">
        <v>4367</v>
      </c>
      <c r="H4326" s="153" t="s">
        <v>215</v>
      </c>
    </row>
    <row r="4327" hidden="1">
      <c r="A4327" s="154" t="s">
        <v>222</v>
      </c>
      <c r="B4327" s="155" t="s">
        <v>192</v>
      </c>
      <c r="C4327" s="155" t="s">
        <v>206</v>
      </c>
      <c r="D4327" s="156" t="s">
        <v>5123</v>
      </c>
      <c r="E4327" s="156" t="s">
        <v>5165</v>
      </c>
      <c r="F4327" s="156" t="s">
        <v>2228</v>
      </c>
      <c r="G4327" s="156" t="s">
        <v>3438</v>
      </c>
      <c r="H4327" s="157" t="s">
        <v>216</v>
      </c>
    </row>
    <row r="4328" hidden="1">
      <c r="A4328" s="151" t="s">
        <v>223</v>
      </c>
      <c r="B4328" s="118" t="s">
        <v>144</v>
      </c>
      <c r="C4328" s="118" t="s">
        <v>206</v>
      </c>
      <c r="D4328" s="152" t="s">
        <v>5123</v>
      </c>
      <c r="E4328" s="152" t="s">
        <v>5166</v>
      </c>
      <c r="F4328" s="152" t="s">
        <v>478</v>
      </c>
      <c r="G4328" s="152" t="s">
        <v>3432</v>
      </c>
      <c r="H4328" s="153" t="s">
        <v>210</v>
      </c>
    </row>
    <row r="4329" hidden="1">
      <c r="A4329" s="154" t="s">
        <v>223</v>
      </c>
      <c r="B4329" s="155" t="s">
        <v>144</v>
      </c>
      <c r="C4329" s="155" t="s">
        <v>206</v>
      </c>
      <c r="D4329" s="156" t="s">
        <v>5123</v>
      </c>
      <c r="E4329" s="156" t="s">
        <v>5167</v>
      </c>
      <c r="F4329" s="156" t="s">
        <v>677</v>
      </c>
      <c r="G4329" s="156" t="s">
        <v>5168</v>
      </c>
      <c r="H4329" s="157" t="s">
        <v>211</v>
      </c>
    </row>
    <row r="4330" hidden="1">
      <c r="A4330" s="151" t="s">
        <v>223</v>
      </c>
      <c r="B4330" s="118" t="s">
        <v>144</v>
      </c>
      <c r="C4330" s="118" t="s">
        <v>206</v>
      </c>
      <c r="D4330" s="152" t="s">
        <v>5123</v>
      </c>
      <c r="E4330" s="152" t="s">
        <v>5169</v>
      </c>
      <c r="F4330" s="152" t="s">
        <v>3218</v>
      </c>
      <c r="G4330" s="152" t="s">
        <v>5170</v>
      </c>
      <c r="H4330" s="153" t="s">
        <v>212</v>
      </c>
    </row>
    <row r="4331" hidden="1">
      <c r="A4331" s="154" t="s">
        <v>223</v>
      </c>
      <c r="B4331" s="155" t="s">
        <v>144</v>
      </c>
      <c r="C4331" s="155" t="s">
        <v>206</v>
      </c>
      <c r="D4331" s="156" t="s">
        <v>5123</v>
      </c>
      <c r="E4331" s="156" t="s">
        <v>5171</v>
      </c>
      <c r="F4331" s="156" t="s">
        <v>725</v>
      </c>
      <c r="G4331" s="156" t="s">
        <v>5039</v>
      </c>
      <c r="H4331" s="157" t="s">
        <v>213</v>
      </c>
    </row>
    <row r="4332" hidden="1">
      <c r="A4332" s="151" t="s">
        <v>223</v>
      </c>
      <c r="B4332" s="118" t="s">
        <v>144</v>
      </c>
      <c r="C4332" s="118" t="s">
        <v>206</v>
      </c>
      <c r="D4332" s="152" t="s">
        <v>5123</v>
      </c>
      <c r="E4332" s="152" t="s">
        <v>5172</v>
      </c>
      <c r="F4332" s="152" t="s">
        <v>312</v>
      </c>
      <c r="G4332" s="152" t="s">
        <v>5173</v>
      </c>
      <c r="H4332" s="153" t="s">
        <v>214</v>
      </c>
    </row>
    <row r="4333" hidden="1">
      <c r="A4333" s="154" t="s">
        <v>223</v>
      </c>
      <c r="B4333" s="155" t="s">
        <v>144</v>
      </c>
      <c r="C4333" s="155" t="s">
        <v>206</v>
      </c>
      <c r="D4333" s="156" t="s">
        <v>5123</v>
      </c>
      <c r="E4333" s="156" t="s">
        <v>5174</v>
      </c>
      <c r="F4333" s="156" t="s">
        <v>425</v>
      </c>
      <c r="G4333" s="156" t="s">
        <v>5175</v>
      </c>
      <c r="H4333" s="157" t="s">
        <v>215</v>
      </c>
    </row>
    <row r="4334" hidden="1">
      <c r="A4334" s="151" t="s">
        <v>223</v>
      </c>
      <c r="B4334" s="118" t="s">
        <v>144</v>
      </c>
      <c r="C4334" s="118" t="s">
        <v>206</v>
      </c>
      <c r="D4334" s="152" t="s">
        <v>5123</v>
      </c>
      <c r="E4334" s="152" t="s">
        <v>5176</v>
      </c>
      <c r="F4334" s="152" t="s">
        <v>312</v>
      </c>
      <c r="G4334" s="152" t="s">
        <v>4374</v>
      </c>
      <c r="H4334" s="153" t="s">
        <v>216</v>
      </c>
    </row>
    <row r="4335" hidden="1">
      <c r="A4335" s="154" t="s">
        <v>224</v>
      </c>
      <c r="B4335" s="155" t="s">
        <v>170</v>
      </c>
      <c r="C4335" s="155" t="s">
        <v>206</v>
      </c>
      <c r="D4335" s="156" t="s">
        <v>5123</v>
      </c>
      <c r="E4335" s="156" t="s">
        <v>5177</v>
      </c>
      <c r="F4335" s="156" t="s">
        <v>321</v>
      </c>
      <c r="G4335" s="156" t="s">
        <v>3282</v>
      </c>
      <c r="H4335" s="157" t="s">
        <v>210</v>
      </c>
    </row>
    <row r="4336" hidden="1">
      <c r="A4336" s="151" t="s">
        <v>224</v>
      </c>
      <c r="B4336" s="118" t="s">
        <v>170</v>
      </c>
      <c r="C4336" s="118" t="s">
        <v>206</v>
      </c>
      <c r="D4336" s="152" t="s">
        <v>5123</v>
      </c>
      <c r="E4336" s="152" t="s">
        <v>5178</v>
      </c>
      <c r="F4336" s="152" t="s">
        <v>577</v>
      </c>
      <c r="G4336" s="152" t="s">
        <v>2661</v>
      </c>
      <c r="H4336" s="153" t="s">
        <v>211</v>
      </c>
    </row>
    <row r="4337" hidden="1">
      <c r="A4337" s="154" t="s">
        <v>224</v>
      </c>
      <c r="B4337" s="155" t="s">
        <v>170</v>
      </c>
      <c r="C4337" s="155" t="s">
        <v>206</v>
      </c>
      <c r="D4337" s="156" t="s">
        <v>5123</v>
      </c>
      <c r="E4337" s="156" t="s">
        <v>5179</v>
      </c>
      <c r="F4337" s="156" t="s">
        <v>483</v>
      </c>
      <c r="G4337" s="156" t="s">
        <v>2910</v>
      </c>
      <c r="H4337" s="157" t="s">
        <v>212</v>
      </c>
    </row>
    <row r="4338" hidden="1">
      <c r="A4338" s="151" t="s">
        <v>224</v>
      </c>
      <c r="B4338" s="118" t="s">
        <v>170</v>
      </c>
      <c r="C4338" s="118" t="s">
        <v>206</v>
      </c>
      <c r="D4338" s="152" t="s">
        <v>5123</v>
      </c>
      <c r="E4338" s="152" t="s">
        <v>5180</v>
      </c>
      <c r="F4338" s="152" t="s">
        <v>308</v>
      </c>
      <c r="G4338" s="152" t="s">
        <v>2455</v>
      </c>
      <c r="H4338" s="153" t="s">
        <v>213</v>
      </c>
    </row>
    <row r="4339" hidden="1">
      <c r="A4339" s="154" t="s">
        <v>224</v>
      </c>
      <c r="B4339" s="155" t="s">
        <v>170</v>
      </c>
      <c r="C4339" s="155" t="s">
        <v>206</v>
      </c>
      <c r="D4339" s="156" t="s">
        <v>5123</v>
      </c>
      <c r="E4339" s="156" t="s">
        <v>5181</v>
      </c>
      <c r="F4339" s="156" t="s">
        <v>725</v>
      </c>
      <c r="G4339" s="156" t="s">
        <v>2671</v>
      </c>
      <c r="H4339" s="157" t="s">
        <v>214</v>
      </c>
    </row>
    <row r="4340" hidden="1">
      <c r="A4340" s="151" t="s">
        <v>224</v>
      </c>
      <c r="B4340" s="118" t="s">
        <v>170</v>
      </c>
      <c r="C4340" s="118" t="s">
        <v>206</v>
      </c>
      <c r="D4340" s="152" t="s">
        <v>5123</v>
      </c>
      <c r="E4340" s="152" t="s">
        <v>5182</v>
      </c>
      <c r="F4340" s="152" t="s">
        <v>450</v>
      </c>
      <c r="G4340" s="152" t="s">
        <v>2995</v>
      </c>
      <c r="H4340" s="153" t="s">
        <v>215</v>
      </c>
    </row>
    <row r="4341" hidden="1">
      <c r="A4341" s="154" t="s">
        <v>224</v>
      </c>
      <c r="B4341" s="155" t="s">
        <v>170</v>
      </c>
      <c r="C4341" s="155" t="s">
        <v>206</v>
      </c>
      <c r="D4341" s="156" t="s">
        <v>5123</v>
      </c>
      <c r="E4341" s="156" t="s">
        <v>5183</v>
      </c>
      <c r="F4341" s="156" t="s">
        <v>427</v>
      </c>
      <c r="G4341" s="156" t="s">
        <v>1927</v>
      </c>
      <c r="H4341" s="157" t="s">
        <v>216</v>
      </c>
    </row>
    <row r="4342" hidden="1">
      <c r="A4342" s="151" t="s">
        <v>225</v>
      </c>
      <c r="B4342" s="118" t="s">
        <v>226</v>
      </c>
      <c r="C4342" s="118" t="s">
        <v>206</v>
      </c>
      <c r="D4342" s="152" t="s">
        <v>5123</v>
      </c>
      <c r="E4342" s="152" t="s">
        <v>5184</v>
      </c>
      <c r="F4342" s="152" t="s">
        <v>436</v>
      </c>
      <c r="G4342" s="152" t="s">
        <v>4219</v>
      </c>
      <c r="H4342" s="153" t="s">
        <v>210</v>
      </c>
    </row>
    <row r="4343" hidden="1">
      <c r="A4343" s="154" t="s">
        <v>225</v>
      </c>
      <c r="B4343" s="155" t="s">
        <v>226</v>
      </c>
      <c r="C4343" s="155" t="s">
        <v>206</v>
      </c>
      <c r="D4343" s="156" t="s">
        <v>5123</v>
      </c>
      <c r="E4343" s="156" t="s">
        <v>5185</v>
      </c>
      <c r="F4343" s="156" t="s">
        <v>492</v>
      </c>
      <c r="G4343" s="156" t="s">
        <v>2816</v>
      </c>
      <c r="H4343" s="157" t="s">
        <v>211</v>
      </c>
    </row>
    <row r="4344" hidden="1">
      <c r="A4344" s="151" t="s">
        <v>225</v>
      </c>
      <c r="B4344" s="118" t="s">
        <v>226</v>
      </c>
      <c r="C4344" s="118" t="s">
        <v>206</v>
      </c>
      <c r="D4344" s="152" t="s">
        <v>5123</v>
      </c>
      <c r="E4344" s="152" t="s">
        <v>5186</v>
      </c>
      <c r="F4344" s="152" t="s">
        <v>269</v>
      </c>
      <c r="G4344" s="152" t="s">
        <v>2515</v>
      </c>
      <c r="H4344" s="153" t="s">
        <v>212</v>
      </c>
    </row>
    <row r="4345" hidden="1">
      <c r="A4345" s="154" t="s">
        <v>225</v>
      </c>
      <c r="B4345" s="155" t="s">
        <v>226</v>
      </c>
      <c r="C4345" s="155" t="s">
        <v>206</v>
      </c>
      <c r="D4345" s="156" t="s">
        <v>5123</v>
      </c>
      <c r="E4345" s="156" t="s">
        <v>5187</v>
      </c>
      <c r="F4345" s="156" t="s">
        <v>255</v>
      </c>
      <c r="G4345" s="156" t="s">
        <v>3968</v>
      </c>
      <c r="H4345" s="157" t="s">
        <v>213</v>
      </c>
    </row>
    <row r="4346" hidden="1">
      <c r="A4346" s="151" t="s">
        <v>225</v>
      </c>
      <c r="B4346" s="118" t="s">
        <v>226</v>
      </c>
      <c r="C4346" s="118" t="s">
        <v>206</v>
      </c>
      <c r="D4346" s="152" t="s">
        <v>5123</v>
      </c>
      <c r="E4346" s="152" t="s">
        <v>5188</v>
      </c>
      <c r="F4346" s="152" t="s">
        <v>259</v>
      </c>
      <c r="G4346" s="152" t="s">
        <v>4026</v>
      </c>
      <c r="H4346" s="153" t="s">
        <v>214</v>
      </c>
    </row>
    <row r="4347" hidden="1">
      <c r="A4347" s="154" t="s">
        <v>225</v>
      </c>
      <c r="B4347" s="155" t="s">
        <v>226</v>
      </c>
      <c r="C4347" s="155" t="s">
        <v>206</v>
      </c>
      <c r="D4347" s="156" t="s">
        <v>5123</v>
      </c>
      <c r="E4347" s="156" t="s">
        <v>5189</v>
      </c>
      <c r="F4347" s="156" t="s">
        <v>287</v>
      </c>
      <c r="G4347" s="156" t="s">
        <v>3294</v>
      </c>
      <c r="H4347" s="157" t="s">
        <v>215</v>
      </c>
    </row>
    <row r="4348" hidden="1">
      <c r="A4348" s="151" t="s">
        <v>225</v>
      </c>
      <c r="B4348" s="118" t="s">
        <v>226</v>
      </c>
      <c r="C4348" s="118" t="s">
        <v>206</v>
      </c>
      <c r="D4348" s="152" t="s">
        <v>5123</v>
      </c>
      <c r="E4348" s="152" t="s">
        <v>5190</v>
      </c>
      <c r="F4348" s="152" t="s">
        <v>262</v>
      </c>
      <c r="G4348" s="152" t="s">
        <v>3989</v>
      </c>
      <c r="H4348" s="153" t="s">
        <v>216</v>
      </c>
    </row>
    <row r="4349" hidden="1">
      <c r="A4349" s="154" t="s">
        <v>227</v>
      </c>
      <c r="B4349" s="155" t="s">
        <v>195</v>
      </c>
      <c r="C4349" s="155" t="s">
        <v>206</v>
      </c>
      <c r="D4349" s="156" t="s">
        <v>5123</v>
      </c>
      <c r="E4349" s="156" t="s">
        <v>5191</v>
      </c>
      <c r="F4349" s="156" t="s">
        <v>359</v>
      </c>
      <c r="G4349" s="156" t="s">
        <v>3205</v>
      </c>
      <c r="H4349" s="157" t="s">
        <v>210</v>
      </c>
    </row>
    <row r="4350" hidden="1">
      <c r="A4350" s="151" t="s">
        <v>227</v>
      </c>
      <c r="B4350" s="118" t="s">
        <v>195</v>
      </c>
      <c r="C4350" s="118" t="s">
        <v>206</v>
      </c>
      <c r="D4350" s="152" t="s">
        <v>5123</v>
      </c>
      <c r="E4350" s="152" t="s">
        <v>5192</v>
      </c>
      <c r="F4350" s="152" t="s">
        <v>301</v>
      </c>
      <c r="G4350" s="152" t="s">
        <v>3523</v>
      </c>
      <c r="H4350" s="153" t="s">
        <v>211</v>
      </c>
    </row>
    <row r="4351" hidden="1">
      <c r="A4351" s="154" t="s">
        <v>227</v>
      </c>
      <c r="B4351" s="155" t="s">
        <v>195</v>
      </c>
      <c r="C4351" s="155" t="s">
        <v>206</v>
      </c>
      <c r="D4351" s="156" t="s">
        <v>5123</v>
      </c>
      <c r="E4351" s="156" t="s">
        <v>5193</v>
      </c>
      <c r="F4351" s="156" t="s">
        <v>310</v>
      </c>
      <c r="G4351" s="156" t="s">
        <v>2816</v>
      </c>
      <c r="H4351" s="157" t="s">
        <v>212</v>
      </c>
    </row>
    <row r="4352" hidden="1">
      <c r="A4352" s="151" t="s">
        <v>227</v>
      </c>
      <c r="B4352" s="118" t="s">
        <v>195</v>
      </c>
      <c r="C4352" s="118" t="s">
        <v>206</v>
      </c>
      <c r="D4352" s="152" t="s">
        <v>5123</v>
      </c>
      <c r="E4352" s="152" t="s">
        <v>5194</v>
      </c>
      <c r="F4352" s="152" t="s">
        <v>305</v>
      </c>
      <c r="G4352" s="152" t="s">
        <v>3611</v>
      </c>
      <c r="H4352" s="153" t="s">
        <v>213</v>
      </c>
    </row>
    <row r="4353" hidden="1">
      <c r="A4353" s="154" t="s">
        <v>227</v>
      </c>
      <c r="B4353" s="155" t="s">
        <v>195</v>
      </c>
      <c r="C4353" s="155" t="s">
        <v>206</v>
      </c>
      <c r="D4353" s="156" t="s">
        <v>5123</v>
      </c>
      <c r="E4353" s="156" t="s">
        <v>5195</v>
      </c>
      <c r="F4353" s="156" t="s">
        <v>249</v>
      </c>
      <c r="G4353" s="156" t="s">
        <v>2352</v>
      </c>
      <c r="H4353" s="157" t="s">
        <v>214</v>
      </c>
    </row>
    <row r="4354" hidden="1">
      <c r="A4354" s="151" t="s">
        <v>227</v>
      </c>
      <c r="B4354" s="118" t="s">
        <v>195</v>
      </c>
      <c r="C4354" s="118" t="s">
        <v>206</v>
      </c>
      <c r="D4354" s="152" t="s">
        <v>5123</v>
      </c>
      <c r="E4354" s="152" t="s">
        <v>5196</v>
      </c>
      <c r="F4354" s="152" t="s">
        <v>242</v>
      </c>
      <c r="G4354" s="152" t="s">
        <v>2354</v>
      </c>
      <c r="H4354" s="153" t="s">
        <v>215</v>
      </c>
    </row>
    <row r="4355" hidden="1">
      <c r="A4355" s="154" t="s">
        <v>227</v>
      </c>
      <c r="B4355" s="155" t="s">
        <v>195</v>
      </c>
      <c r="C4355" s="155" t="s">
        <v>206</v>
      </c>
      <c r="D4355" s="156" t="s">
        <v>5123</v>
      </c>
      <c r="E4355" s="156" t="s">
        <v>5197</v>
      </c>
      <c r="F4355" s="156" t="s">
        <v>365</v>
      </c>
      <c r="G4355" s="156" t="s">
        <v>2006</v>
      </c>
      <c r="H4355" s="157" t="s">
        <v>216</v>
      </c>
    </row>
    <row r="4356" hidden="1">
      <c r="A4356" s="151" t="s">
        <v>228</v>
      </c>
      <c r="B4356" s="118" t="s">
        <v>138</v>
      </c>
      <c r="C4356" s="118" t="s">
        <v>206</v>
      </c>
      <c r="D4356" s="152" t="s">
        <v>5123</v>
      </c>
      <c r="E4356" s="152" t="s">
        <v>5198</v>
      </c>
      <c r="F4356" s="152" t="s">
        <v>240</v>
      </c>
      <c r="G4356" s="152" t="s">
        <v>2113</v>
      </c>
      <c r="H4356" s="153" t="s">
        <v>210</v>
      </c>
    </row>
    <row r="4357" hidden="1">
      <c r="A4357" s="154" t="s">
        <v>228</v>
      </c>
      <c r="B4357" s="155" t="s">
        <v>138</v>
      </c>
      <c r="C4357" s="155" t="s">
        <v>206</v>
      </c>
      <c r="D4357" s="156" t="s">
        <v>5123</v>
      </c>
      <c r="E4357" s="156" t="s">
        <v>5199</v>
      </c>
      <c r="F4357" s="156" t="s">
        <v>357</v>
      </c>
      <c r="G4357" s="156" t="s">
        <v>2847</v>
      </c>
      <c r="H4357" s="157" t="s">
        <v>211</v>
      </c>
    </row>
    <row r="4358" hidden="1">
      <c r="A4358" s="151" t="s">
        <v>228</v>
      </c>
      <c r="B4358" s="118" t="s">
        <v>138</v>
      </c>
      <c r="C4358" s="118" t="s">
        <v>206</v>
      </c>
      <c r="D4358" s="152" t="s">
        <v>5123</v>
      </c>
      <c r="E4358" s="152" t="s">
        <v>5200</v>
      </c>
      <c r="F4358" s="152" t="s">
        <v>359</v>
      </c>
      <c r="G4358" s="152" t="s">
        <v>3117</v>
      </c>
      <c r="H4358" s="153" t="s">
        <v>212</v>
      </c>
    </row>
    <row r="4359" hidden="1">
      <c r="A4359" s="154" t="s">
        <v>228</v>
      </c>
      <c r="B4359" s="155" t="s">
        <v>138</v>
      </c>
      <c r="C4359" s="155" t="s">
        <v>206</v>
      </c>
      <c r="D4359" s="156" t="s">
        <v>5123</v>
      </c>
      <c r="E4359" s="156" t="s">
        <v>5201</v>
      </c>
      <c r="F4359" s="156" t="s">
        <v>269</v>
      </c>
      <c r="G4359" s="156" t="s">
        <v>3396</v>
      </c>
      <c r="H4359" s="157" t="s">
        <v>213</v>
      </c>
    </row>
    <row r="4360" hidden="1">
      <c r="A4360" s="151" t="s">
        <v>228</v>
      </c>
      <c r="B4360" s="118" t="s">
        <v>138</v>
      </c>
      <c r="C4360" s="118" t="s">
        <v>206</v>
      </c>
      <c r="D4360" s="152" t="s">
        <v>5123</v>
      </c>
      <c r="E4360" s="152" t="s">
        <v>5202</v>
      </c>
      <c r="F4360" s="152" t="s">
        <v>290</v>
      </c>
      <c r="G4360" s="152" t="s">
        <v>3007</v>
      </c>
      <c r="H4360" s="153" t="s">
        <v>214</v>
      </c>
    </row>
    <row r="4361" hidden="1">
      <c r="A4361" s="154" t="s">
        <v>228</v>
      </c>
      <c r="B4361" s="155" t="s">
        <v>138</v>
      </c>
      <c r="C4361" s="155" t="s">
        <v>206</v>
      </c>
      <c r="D4361" s="156" t="s">
        <v>5123</v>
      </c>
      <c r="E4361" s="156" t="s">
        <v>5203</v>
      </c>
      <c r="F4361" s="156" t="s">
        <v>492</v>
      </c>
      <c r="G4361" s="156" t="s">
        <v>3151</v>
      </c>
      <c r="H4361" s="157" t="s">
        <v>215</v>
      </c>
    </row>
    <row r="4362" hidden="1">
      <c r="A4362" s="151" t="s">
        <v>228</v>
      </c>
      <c r="B4362" s="118" t="s">
        <v>138</v>
      </c>
      <c r="C4362" s="118" t="s">
        <v>206</v>
      </c>
      <c r="D4362" s="152" t="s">
        <v>5123</v>
      </c>
      <c r="E4362" s="152" t="s">
        <v>5204</v>
      </c>
      <c r="F4362" s="152" t="s">
        <v>246</v>
      </c>
      <c r="G4362" s="152" t="s">
        <v>2109</v>
      </c>
      <c r="H4362" s="153" t="s">
        <v>216</v>
      </c>
    </row>
    <row r="4363" hidden="1">
      <c r="A4363" s="154" t="s">
        <v>229</v>
      </c>
      <c r="B4363" s="155" t="s">
        <v>193</v>
      </c>
      <c r="C4363" s="155" t="s">
        <v>206</v>
      </c>
      <c r="D4363" s="156" t="s">
        <v>5123</v>
      </c>
      <c r="E4363" s="156" t="s">
        <v>5205</v>
      </c>
      <c r="F4363" s="156" t="s">
        <v>249</v>
      </c>
      <c r="G4363" s="156" t="s">
        <v>3404</v>
      </c>
      <c r="H4363" s="157" t="s">
        <v>210</v>
      </c>
    </row>
    <row r="4364" hidden="1">
      <c r="A4364" s="151" t="s">
        <v>229</v>
      </c>
      <c r="B4364" s="118" t="s">
        <v>193</v>
      </c>
      <c r="C4364" s="118" t="s">
        <v>206</v>
      </c>
      <c r="D4364" s="152" t="s">
        <v>5123</v>
      </c>
      <c r="E4364" s="152" t="s">
        <v>5206</v>
      </c>
      <c r="F4364" s="152" t="s">
        <v>359</v>
      </c>
      <c r="G4364" s="152" t="s">
        <v>1791</v>
      </c>
      <c r="H4364" s="153" t="s">
        <v>211</v>
      </c>
    </row>
    <row r="4365" hidden="1">
      <c r="A4365" s="154" t="s">
        <v>229</v>
      </c>
      <c r="B4365" s="155" t="s">
        <v>193</v>
      </c>
      <c r="C4365" s="155" t="s">
        <v>206</v>
      </c>
      <c r="D4365" s="156" t="s">
        <v>5123</v>
      </c>
      <c r="E4365" s="156" t="s">
        <v>5207</v>
      </c>
      <c r="F4365" s="156" t="s">
        <v>242</v>
      </c>
      <c r="G4365" s="156" t="s">
        <v>2965</v>
      </c>
      <c r="H4365" s="157" t="s">
        <v>212</v>
      </c>
    </row>
    <row r="4366" hidden="1">
      <c r="A4366" s="151" t="s">
        <v>229</v>
      </c>
      <c r="B4366" s="118" t="s">
        <v>193</v>
      </c>
      <c r="C4366" s="118" t="s">
        <v>206</v>
      </c>
      <c r="D4366" s="152" t="s">
        <v>5123</v>
      </c>
      <c r="E4366" s="152" t="s">
        <v>5208</v>
      </c>
      <c r="F4366" s="152" t="s">
        <v>331</v>
      </c>
      <c r="G4366" s="152" t="s">
        <v>3915</v>
      </c>
      <c r="H4366" s="153" t="s">
        <v>213</v>
      </c>
    </row>
    <row r="4367" hidden="1">
      <c r="A4367" s="154" t="s">
        <v>229</v>
      </c>
      <c r="B4367" s="155" t="s">
        <v>193</v>
      </c>
      <c r="C4367" s="155" t="s">
        <v>206</v>
      </c>
      <c r="D4367" s="156" t="s">
        <v>5123</v>
      </c>
      <c r="E4367" s="156" t="s">
        <v>5209</v>
      </c>
      <c r="F4367" s="156" t="s">
        <v>308</v>
      </c>
      <c r="G4367" s="156" t="s">
        <v>4024</v>
      </c>
      <c r="H4367" s="157" t="s">
        <v>214</v>
      </c>
    </row>
    <row r="4368" hidden="1">
      <c r="A4368" s="151" t="s">
        <v>229</v>
      </c>
      <c r="B4368" s="118" t="s">
        <v>193</v>
      </c>
      <c r="C4368" s="118" t="s">
        <v>206</v>
      </c>
      <c r="D4368" s="152" t="s">
        <v>5123</v>
      </c>
      <c r="E4368" s="152" t="s">
        <v>5210</v>
      </c>
      <c r="F4368" s="152" t="s">
        <v>336</v>
      </c>
      <c r="G4368" s="152" t="s">
        <v>2970</v>
      </c>
      <c r="H4368" s="153" t="s">
        <v>215</v>
      </c>
    </row>
    <row r="4369" hidden="1">
      <c r="A4369" s="154" t="s">
        <v>229</v>
      </c>
      <c r="B4369" s="155" t="s">
        <v>193</v>
      </c>
      <c r="C4369" s="155" t="s">
        <v>206</v>
      </c>
      <c r="D4369" s="156" t="s">
        <v>5123</v>
      </c>
      <c r="E4369" s="156" t="s">
        <v>5211</v>
      </c>
      <c r="F4369" s="156" t="s">
        <v>321</v>
      </c>
      <c r="G4369" s="156" t="s">
        <v>3307</v>
      </c>
      <c r="H4369" s="157" t="s">
        <v>216</v>
      </c>
    </row>
    <row r="4370" hidden="1">
      <c r="A4370" s="151" t="s">
        <v>230</v>
      </c>
      <c r="B4370" s="118" t="s">
        <v>194</v>
      </c>
      <c r="C4370" s="118" t="s">
        <v>206</v>
      </c>
      <c r="D4370" s="152" t="s">
        <v>5123</v>
      </c>
      <c r="E4370" s="152" t="s">
        <v>5212</v>
      </c>
      <c r="F4370" s="152" t="s">
        <v>450</v>
      </c>
      <c r="G4370" s="152" t="s">
        <v>2816</v>
      </c>
      <c r="H4370" s="153" t="s">
        <v>210</v>
      </c>
    </row>
    <row r="4371" hidden="1">
      <c r="A4371" s="154" t="s">
        <v>230</v>
      </c>
      <c r="B4371" s="155" t="s">
        <v>194</v>
      </c>
      <c r="C4371" s="155" t="s">
        <v>206</v>
      </c>
      <c r="D4371" s="156" t="s">
        <v>5123</v>
      </c>
      <c r="E4371" s="156" t="s">
        <v>5213</v>
      </c>
      <c r="F4371" s="156" t="s">
        <v>450</v>
      </c>
      <c r="G4371" s="156" t="s">
        <v>3917</v>
      </c>
      <c r="H4371" s="157" t="s">
        <v>211</v>
      </c>
    </row>
    <row r="4372" hidden="1">
      <c r="A4372" s="151" t="s">
        <v>230</v>
      </c>
      <c r="B4372" s="118" t="s">
        <v>194</v>
      </c>
      <c r="C4372" s="118" t="s">
        <v>206</v>
      </c>
      <c r="D4372" s="152" t="s">
        <v>5123</v>
      </c>
      <c r="E4372" s="152" t="s">
        <v>5214</v>
      </c>
      <c r="F4372" s="152" t="s">
        <v>329</v>
      </c>
      <c r="G4372" s="152" t="s">
        <v>3541</v>
      </c>
      <c r="H4372" s="153" t="s">
        <v>212</v>
      </c>
    </row>
    <row r="4373" hidden="1">
      <c r="A4373" s="154" t="s">
        <v>230</v>
      </c>
      <c r="B4373" s="155" t="s">
        <v>194</v>
      </c>
      <c r="C4373" s="155" t="s">
        <v>206</v>
      </c>
      <c r="D4373" s="156" t="s">
        <v>5123</v>
      </c>
      <c r="E4373" s="156" t="s">
        <v>5215</v>
      </c>
      <c r="F4373" s="156" t="s">
        <v>799</v>
      </c>
      <c r="G4373" s="156" t="s">
        <v>4085</v>
      </c>
      <c r="H4373" s="157" t="s">
        <v>213</v>
      </c>
    </row>
    <row r="4374" hidden="1">
      <c r="A4374" s="151" t="s">
        <v>230</v>
      </c>
      <c r="B4374" s="118" t="s">
        <v>194</v>
      </c>
      <c r="C4374" s="118" t="s">
        <v>206</v>
      </c>
      <c r="D4374" s="152" t="s">
        <v>5123</v>
      </c>
      <c r="E4374" s="152" t="s">
        <v>5216</v>
      </c>
      <c r="F4374" s="152" t="s">
        <v>478</v>
      </c>
      <c r="G4374" s="152" t="s">
        <v>4502</v>
      </c>
      <c r="H4374" s="153" t="s">
        <v>214</v>
      </c>
    </row>
    <row r="4375" hidden="1">
      <c r="A4375" s="154" t="s">
        <v>230</v>
      </c>
      <c r="B4375" s="155" t="s">
        <v>194</v>
      </c>
      <c r="C4375" s="155" t="s">
        <v>206</v>
      </c>
      <c r="D4375" s="156" t="s">
        <v>5123</v>
      </c>
      <c r="E4375" s="156" t="s">
        <v>5217</v>
      </c>
      <c r="F4375" s="156" t="s">
        <v>354</v>
      </c>
      <c r="G4375" s="156" t="s">
        <v>3432</v>
      </c>
      <c r="H4375" s="157" t="s">
        <v>215</v>
      </c>
    </row>
    <row r="4376" hidden="1">
      <c r="A4376" s="151" t="s">
        <v>230</v>
      </c>
      <c r="B4376" s="118" t="s">
        <v>194</v>
      </c>
      <c r="C4376" s="118" t="s">
        <v>206</v>
      </c>
      <c r="D4376" s="152" t="s">
        <v>5123</v>
      </c>
      <c r="E4376" s="152" t="s">
        <v>5218</v>
      </c>
      <c r="F4376" s="152" t="s">
        <v>325</v>
      </c>
      <c r="G4376" s="152" t="s">
        <v>2008</v>
      </c>
      <c r="H4376" s="153" t="s">
        <v>216</v>
      </c>
    </row>
    <row r="4377" hidden="1">
      <c r="A4377" s="158" t="s">
        <v>231</v>
      </c>
      <c r="B4377" s="159"/>
      <c r="C4377" s="155" t="s">
        <v>232</v>
      </c>
      <c r="D4377" s="156" t="s">
        <v>5123</v>
      </c>
      <c r="E4377" s="156" t="s">
        <v>5219</v>
      </c>
      <c r="F4377" s="156" t="s">
        <v>308</v>
      </c>
      <c r="G4377" s="156" t="s">
        <v>3485</v>
      </c>
      <c r="H4377" s="157" t="s">
        <v>210</v>
      </c>
    </row>
    <row r="4378" hidden="1">
      <c r="A4378" s="160" t="s">
        <v>231</v>
      </c>
      <c r="B4378" s="72"/>
      <c r="C4378" s="118" t="s">
        <v>232</v>
      </c>
      <c r="D4378" s="152" t="s">
        <v>5123</v>
      </c>
      <c r="E4378" s="152" t="s">
        <v>5220</v>
      </c>
      <c r="F4378" s="152" t="s">
        <v>331</v>
      </c>
      <c r="G4378" s="152" t="s">
        <v>2758</v>
      </c>
      <c r="H4378" s="153" t="s">
        <v>211</v>
      </c>
    </row>
    <row r="4379" hidden="1">
      <c r="A4379" s="158" t="s">
        <v>231</v>
      </c>
      <c r="B4379" s="159"/>
      <c r="C4379" s="155" t="s">
        <v>232</v>
      </c>
      <c r="D4379" s="156" t="s">
        <v>5123</v>
      </c>
      <c r="E4379" s="156" t="s">
        <v>5221</v>
      </c>
      <c r="F4379" s="156" t="s">
        <v>354</v>
      </c>
      <c r="G4379" s="156" t="s">
        <v>3572</v>
      </c>
      <c r="H4379" s="157" t="s">
        <v>212</v>
      </c>
    </row>
    <row r="4380" hidden="1">
      <c r="A4380" s="160" t="s">
        <v>231</v>
      </c>
      <c r="B4380" s="72"/>
      <c r="C4380" s="118" t="s">
        <v>232</v>
      </c>
      <c r="D4380" s="152" t="s">
        <v>5123</v>
      </c>
      <c r="E4380" s="152" t="s">
        <v>5222</v>
      </c>
      <c r="F4380" s="152" t="s">
        <v>285</v>
      </c>
      <c r="G4380" s="152" t="s">
        <v>2758</v>
      </c>
      <c r="H4380" s="153" t="s">
        <v>213</v>
      </c>
    </row>
    <row r="4381" hidden="1">
      <c r="A4381" s="158" t="s">
        <v>231</v>
      </c>
      <c r="B4381" s="159"/>
      <c r="C4381" s="155" t="s">
        <v>232</v>
      </c>
      <c r="D4381" s="156" t="s">
        <v>5123</v>
      </c>
      <c r="E4381" s="156" t="s">
        <v>5223</v>
      </c>
      <c r="F4381" s="156" t="s">
        <v>325</v>
      </c>
      <c r="G4381" s="156" t="s">
        <v>2609</v>
      </c>
      <c r="H4381" s="157" t="s">
        <v>214</v>
      </c>
    </row>
    <row r="4382" hidden="1">
      <c r="A4382" s="160" t="s">
        <v>231</v>
      </c>
      <c r="B4382" s="72"/>
      <c r="C4382" s="118" t="s">
        <v>232</v>
      </c>
      <c r="D4382" s="152" t="s">
        <v>5123</v>
      </c>
      <c r="E4382" s="152" t="s">
        <v>5224</v>
      </c>
      <c r="F4382" s="152" t="s">
        <v>290</v>
      </c>
      <c r="G4382" s="152" t="s">
        <v>4013</v>
      </c>
      <c r="H4382" s="153" t="s">
        <v>215</v>
      </c>
    </row>
    <row r="4383" hidden="1">
      <c r="A4383" s="158" t="s">
        <v>231</v>
      </c>
      <c r="B4383" s="159"/>
      <c r="C4383" s="155" t="s">
        <v>232</v>
      </c>
      <c r="D4383" s="156" t="s">
        <v>5123</v>
      </c>
      <c r="E4383" s="156" t="s">
        <v>5225</v>
      </c>
      <c r="F4383" s="156" t="s">
        <v>331</v>
      </c>
      <c r="G4383" s="156" t="s">
        <v>3485</v>
      </c>
      <c r="H4383" s="157" t="s">
        <v>216</v>
      </c>
    </row>
    <row r="4384" hidden="1">
      <c r="A4384" s="160" t="s">
        <v>233</v>
      </c>
      <c r="B4384" s="72"/>
      <c r="C4384" s="118" t="s">
        <v>232</v>
      </c>
      <c r="D4384" s="152" t="s">
        <v>5123</v>
      </c>
      <c r="E4384" s="152" t="s">
        <v>5226</v>
      </c>
      <c r="F4384" s="152" t="s">
        <v>325</v>
      </c>
      <c r="G4384" s="152" t="s">
        <v>3272</v>
      </c>
      <c r="H4384" s="153" t="s">
        <v>210</v>
      </c>
    </row>
    <row r="4385" hidden="1">
      <c r="A4385" s="158" t="s">
        <v>233</v>
      </c>
      <c r="B4385" s="159"/>
      <c r="C4385" s="155" t="s">
        <v>232</v>
      </c>
      <c r="D4385" s="156" t="s">
        <v>5123</v>
      </c>
      <c r="E4385" s="156" t="s">
        <v>5227</v>
      </c>
      <c r="F4385" s="156" t="s">
        <v>425</v>
      </c>
      <c r="G4385" s="156" t="s">
        <v>3915</v>
      </c>
      <c r="H4385" s="157" t="s">
        <v>211</v>
      </c>
    </row>
    <row r="4386" hidden="1">
      <c r="A4386" s="160" t="s">
        <v>233</v>
      </c>
      <c r="B4386" s="72"/>
      <c r="C4386" s="118" t="s">
        <v>232</v>
      </c>
      <c r="D4386" s="152" t="s">
        <v>5123</v>
      </c>
      <c r="E4386" s="152" t="s">
        <v>5228</v>
      </c>
      <c r="F4386" s="152" t="s">
        <v>336</v>
      </c>
      <c r="G4386" s="152" t="s">
        <v>4320</v>
      </c>
      <c r="H4386" s="153" t="s">
        <v>212</v>
      </c>
    </row>
    <row r="4387" hidden="1">
      <c r="A4387" s="158" t="s">
        <v>233</v>
      </c>
      <c r="B4387" s="159"/>
      <c r="C4387" s="155" t="s">
        <v>232</v>
      </c>
      <c r="D4387" s="156" t="s">
        <v>5123</v>
      </c>
      <c r="E4387" s="156" t="s">
        <v>5229</v>
      </c>
      <c r="F4387" s="156" t="s">
        <v>339</v>
      </c>
      <c r="G4387" s="156" t="s">
        <v>1793</v>
      </c>
      <c r="H4387" s="157" t="s">
        <v>213</v>
      </c>
    </row>
    <row r="4388" hidden="1">
      <c r="A4388" s="160" t="s">
        <v>233</v>
      </c>
      <c r="B4388" s="72"/>
      <c r="C4388" s="118" t="s">
        <v>232</v>
      </c>
      <c r="D4388" s="152" t="s">
        <v>5123</v>
      </c>
      <c r="E4388" s="152" t="s">
        <v>5230</v>
      </c>
      <c r="F4388" s="152" t="s">
        <v>354</v>
      </c>
      <c r="G4388" s="152" t="s">
        <v>1997</v>
      </c>
      <c r="H4388" s="153" t="s">
        <v>214</v>
      </c>
    </row>
    <row r="4389" hidden="1">
      <c r="A4389" s="158" t="s">
        <v>233</v>
      </c>
      <c r="B4389" s="159"/>
      <c r="C4389" s="155" t="s">
        <v>232</v>
      </c>
      <c r="D4389" s="156" t="s">
        <v>5123</v>
      </c>
      <c r="E4389" s="156" t="s">
        <v>5231</v>
      </c>
      <c r="F4389" s="156" t="s">
        <v>450</v>
      </c>
      <c r="G4389" s="156" t="s">
        <v>3917</v>
      </c>
      <c r="H4389" s="157" t="s">
        <v>215</v>
      </c>
    </row>
    <row r="4390" hidden="1">
      <c r="A4390" s="160" t="s">
        <v>233</v>
      </c>
      <c r="B4390" s="72"/>
      <c r="C4390" s="118" t="s">
        <v>232</v>
      </c>
      <c r="D4390" s="152" t="s">
        <v>5123</v>
      </c>
      <c r="E4390" s="152" t="s">
        <v>5232</v>
      </c>
      <c r="F4390" s="152" t="s">
        <v>325</v>
      </c>
      <c r="G4390" s="152" t="s">
        <v>2352</v>
      </c>
      <c r="H4390" s="153" t="s">
        <v>216</v>
      </c>
    </row>
    <row r="4391" hidden="1">
      <c r="A4391" s="158" t="s">
        <v>234</v>
      </c>
      <c r="B4391" s="159"/>
      <c r="C4391" s="155" t="s">
        <v>232</v>
      </c>
      <c r="D4391" s="156" t="s">
        <v>5123</v>
      </c>
      <c r="E4391" s="156" t="s">
        <v>5233</v>
      </c>
      <c r="F4391" s="156" t="s">
        <v>242</v>
      </c>
      <c r="G4391" s="156" t="s">
        <v>3482</v>
      </c>
      <c r="H4391" s="157" t="s">
        <v>210</v>
      </c>
    </row>
    <row r="4392" hidden="1">
      <c r="A4392" s="160" t="s">
        <v>234</v>
      </c>
      <c r="B4392" s="72"/>
      <c r="C4392" s="118" t="s">
        <v>232</v>
      </c>
      <c r="D4392" s="152" t="s">
        <v>5123</v>
      </c>
      <c r="E4392" s="152" t="s">
        <v>5234</v>
      </c>
      <c r="F4392" s="152" t="s">
        <v>321</v>
      </c>
      <c r="G4392" s="152" t="s">
        <v>3282</v>
      </c>
      <c r="H4392" s="153" t="s">
        <v>211</v>
      </c>
    </row>
    <row r="4393" hidden="1">
      <c r="A4393" s="158" t="s">
        <v>234</v>
      </c>
      <c r="B4393" s="159"/>
      <c r="C4393" s="155" t="s">
        <v>232</v>
      </c>
      <c r="D4393" s="156" t="s">
        <v>5123</v>
      </c>
      <c r="E4393" s="156" t="s">
        <v>5235</v>
      </c>
      <c r="F4393" s="156" t="s">
        <v>357</v>
      </c>
      <c r="G4393" s="156" t="s">
        <v>3554</v>
      </c>
      <c r="H4393" s="157" t="s">
        <v>212</v>
      </c>
    </row>
    <row r="4394" hidden="1">
      <c r="A4394" s="160" t="s">
        <v>234</v>
      </c>
      <c r="B4394" s="72"/>
      <c r="C4394" s="118" t="s">
        <v>232</v>
      </c>
      <c r="D4394" s="152" t="s">
        <v>5123</v>
      </c>
      <c r="E4394" s="152" t="s">
        <v>5236</v>
      </c>
      <c r="F4394" s="152" t="s">
        <v>257</v>
      </c>
      <c r="G4394" s="152" t="s">
        <v>3410</v>
      </c>
      <c r="H4394" s="153" t="s">
        <v>213</v>
      </c>
    </row>
    <row r="4395" hidden="1">
      <c r="A4395" s="158" t="s">
        <v>234</v>
      </c>
      <c r="B4395" s="159"/>
      <c r="C4395" s="155" t="s">
        <v>232</v>
      </c>
      <c r="D4395" s="156" t="s">
        <v>5123</v>
      </c>
      <c r="E4395" s="156" t="s">
        <v>5237</v>
      </c>
      <c r="F4395" s="156" t="s">
        <v>285</v>
      </c>
      <c r="G4395" s="156" t="s">
        <v>3402</v>
      </c>
      <c r="H4395" s="157" t="s">
        <v>214</v>
      </c>
    </row>
    <row r="4396" hidden="1">
      <c r="A4396" s="160" t="s">
        <v>234</v>
      </c>
      <c r="B4396" s="72"/>
      <c r="C4396" s="118" t="s">
        <v>232</v>
      </c>
      <c r="D4396" s="152" t="s">
        <v>5123</v>
      </c>
      <c r="E4396" s="152" t="s">
        <v>5238</v>
      </c>
      <c r="F4396" s="152" t="s">
        <v>365</v>
      </c>
      <c r="G4396" s="152" t="s">
        <v>3513</v>
      </c>
      <c r="H4396" s="153" t="s">
        <v>215</v>
      </c>
    </row>
    <row r="4397" hidden="1">
      <c r="A4397" s="158" t="s">
        <v>234</v>
      </c>
      <c r="B4397" s="159"/>
      <c r="C4397" s="155" t="s">
        <v>232</v>
      </c>
      <c r="D4397" s="156" t="s">
        <v>5123</v>
      </c>
      <c r="E4397" s="156" t="s">
        <v>5239</v>
      </c>
      <c r="F4397" s="156" t="s">
        <v>365</v>
      </c>
      <c r="G4397" s="156" t="s">
        <v>2279</v>
      </c>
      <c r="H4397" s="157" t="s">
        <v>216</v>
      </c>
    </row>
    <row r="4398" hidden="1">
      <c r="A4398" s="160" t="s">
        <v>235</v>
      </c>
      <c r="B4398" s="72"/>
      <c r="C4398" s="118" t="s">
        <v>236</v>
      </c>
      <c r="D4398" s="152" t="s">
        <v>5123</v>
      </c>
      <c r="E4398" s="152" t="s">
        <v>5240</v>
      </c>
      <c r="F4398" s="152" t="s">
        <v>339</v>
      </c>
      <c r="G4398" s="152" t="s">
        <v>4060</v>
      </c>
      <c r="H4398" s="153" t="s">
        <v>210</v>
      </c>
    </row>
    <row r="4399" hidden="1">
      <c r="A4399" s="158" t="s">
        <v>235</v>
      </c>
      <c r="B4399" s="159"/>
      <c r="C4399" s="155" t="s">
        <v>236</v>
      </c>
      <c r="D4399" s="156" t="s">
        <v>5123</v>
      </c>
      <c r="E4399" s="156" t="s">
        <v>5241</v>
      </c>
      <c r="F4399" s="156" t="s">
        <v>450</v>
      </c>
      <c r="G4399" s="156" t="s">
        <v>4002</v>
      </c>
      <c r="H4399" s="157" t="s">
        <v>211</v>
      </c>
    </row>
    <row r="4400" hidden="1">
      <c r="A4400" s="160" t="s">
        <v>235</v>
      </c>
      <c r="B4400" s="72"/>
      <c r="C4400" s="118" t="s">
        <v>236</v>
      </c>
      <c r="D4400" s="152" t="s">
        <v>5123</v>
      </c>
      <c r="E4400" s="152" t="s">
        <v>5242</v>
      </c>
      <c r="F4400" s="152" t="s">
        <v>339</v>
      </c>
      <c r="G4400" s="152" t="s">
        <v>3812</v>
      </c>
      <c r="H4400" s="153" t="s">
        <v>212</v>
      </c>
    </row>
    <row r="4401" hidden="1">
      <c r="A4401" s="158" t="s">
        <v>235</v>
      </c>
      <c r="B4401" s="159"/>
      <c r="C4401" s="155" t="s">
        <v>236</v>
      </c>
      <c r="D4401" s="156" t="s">
        <v>5123</v>
      </c>
      <c r="E4401" s="156" t="s">
        <v>5243</v>
      </c>
      <c r="F4401" s="156" t="s">
        <v>290</v>
      </c>
      <c r="G4401" s="156" t="s">
        <v>4019</v>
      </c>
      <c r="H4401" s="157" t="s">
        <v>213</v>
      </c>
    </row>
    <row r="4402" hidden="1">
      <c r="A4402" s="160" t="s">
        <v>235</v>
      </c>
      <c r="B4402" s="72"/>
      <c r="C4402" s="118" t="s">
        <v>236</v>
      </c>
      <c r="D4402" s="152" t="s">
        <v>5123</v>
      </c>
      <c r="E4402" s="152" t="s">
        <v>5244</v>
      </c>
      <c r="F4402" s="152" t="s">
        <v>425</v>
      </c>
      <c r="G4402" s="152" t="s">
        <v>3915</v>
      </c>
      <c r="H4402" s="153" t="s">
        <v>214</v>
      </c>
    </row>
    <row r="4403" hidden="1">
      <c r="A4403" s="158" t="s">
        <v>235</v>
      </c>
      <c r="B4403" s="159"/>
      <c r="C4403" s="155" t="s">
        <v>236</v>
      </c>
      <c r="D4403" s="156" t="s">
        <v>5123</v>
      </c>
      <c r="E4403" s="156" t="s">
        <v>5245</v>
      </c>
      <c r="F4403" s="156" t="s">
        <v>450</v>
      </c>
      <c r="G4403" s="156" t="s">
        <v>1776</v>
      </c>
      <c r="H4403" s="157" t="s">
        <v>215</v>
      </c>
    </row>
    <row r="4404" hidden="1">
      <c r="A4404" s="160" t="s">
        <v>235</v>
      </c>
      <c r="B4404" s="72"/>
      <c r="C4404" s="118" t="s">
        <v>236</v>
      </c>
      <c r="D4404" s="152" t="s">
        <v>5123</v>
      </c>
      <c r="E4404" s="152" t="s">
        <v>5246</v>
      </c>
      <c r="F4404" s="152" t="s">
        <v>427</v>
      </c>
      <c r="G4404" s="152" t="s">
        <v>3108</v>
      </c>
      <c r="H4404" s="153" t="s">
        <v>216</v>
      </c>
    </row>
    <row r="4405" hidden="1">
      <c r="A4405" s="158" t="s">
        <v>237</v>
      </c>
      <c r="B4405" s="159"/>
      <c r="C4405" s="155" t="s">
        <v>236</v>
      </c>
      <c r="D4405" s="156" t="s">
        <v>5123</v>
      </c>
      <c r="E4405" s="156" t="s">
        <v>5247</v>
      </c>
      <c r="F4405" s="156" t="s">
        <v>290</v>
      </c>
      <c r="G4405" s="156" t="s">
        <v>2113</v>
      </c>
      <c r="H4405" s="157" t="s">
        <v>210</v>
      </c>
    </row>
    <row r="4406" hidden="1">
      <c r="A4406" s="160" t="s">
        <v>237</v>
      </c>
      <c r="B4406" s="72"/>
      <c r="C4406" s="118" t="s">
        <v>236</v>
      </c>
      <c r="D4406" s="152" t="s">
        <v>5123</v>
      </c>
      <c r="E4406" s="152" t="s">
        <v>5248</v>
      </c>
      <c r="F4406" s="152" t="s">
        <v>534</v>
      </c>
      <c r="G4406" s="152" t="s">
        <v>1925</v>
      </c>
      <c r="H4406" s="153" t="s">
        <v>211</v>
      </c>
    </row>
    <row r="4407" hidden="1">
      <c r="A4407" s="158" t="s">
        <v>237</v>
      </c>
      <c r="B4407" s="159"/>
      <c r="C4407" s="155" t="s">
        <v>236</v>
      </c>
      <c r="D4407" s="156" t="s">
        <v>5123</v>
      </c>
      <c r="E4407" s="156" t="s">
        <v>5249</v>
      </c>
      <c r="F4407" s="156" t="s">
        <v>534</v>
      </c>
      <c r="G4407" s="156" t="s">
        <v>3558</v>
      </c>
      <c r="H4407" s="157" t="s">
        <v>212</v>
      </c>
    </row>
    <row r="4408" hidden="1">
      <c r="A4408" s="160" t="s">
        <v>237</v>
      </c>
      <c r="B4408" s="72"/>
      <c r="C4408" s="118" t="s">
        <v>236</v>
      </c>
      <c r="D4408" s="152" t="s">
        <v>5123</v>
      </c>
      <c r="E4408" s="152" t="s">
        <v>5250</v>
      </c>
      <c r="F4408" s="152" t="s">
        <v>308</v>
      </c>
      <c r="G4408" s="152" t="s">
        <v>2513</v>
      </c>
      <c r="H4408" s="153" t="s">
        <v>213</v>
      </c>
    </row>
    <row r="4409" hidden="1">
      <c r="A4409" s="158" t="s">
        <v>237</v>
      </c>
      <c r="B4409" s="159"/>
      <c r="C4409" s="155" t="s">
        <v>236</v>
      </c>
      <c r="D4409" s="156" t="s">
        <v>5123</v>
      </c>
      <c r="E4409" s="156" t="s">
        <v>5251</v>
      </c>
      <c r="F4409" s="156" t="s">
        <v>351</v>
      </c>
      <c r="G4409" s="156" t="s">
        <v>2671</v>
      </c>
      <c r="H4409" s="157" t="s">
        <v>214</v>
      </c>
    </row>
    <row r="4410" hidden="1">
      <c r="A4410" s="160" t="s">
        <v>237</v>
      </c>
      <c r="B4410" s="72"/>
      <c r="C4410" s="118" t="s">
        <v>236</v>
      </c>
      <c r="D4410" s="152" t="s">
        <v>5123</v>
      </c>
      <c r="E4410" s="152" t="s">
        <v>5252</v>
      </c>
      <c r="F4410" s="152" t="s">
        <v>285</v>
      </c>
      <c r="G4410" s="152" t="s">
        <v>3482</v>
      </c>
      <c r="H4410" s="153" t="s">
        <v>215</v>
      </c>
    </row>
    <row r="4411" hidden="1">
      <c r="A4411" s="158" t="s">
        <v>237</v>
      </c>
      <c r="B4411" s="159"/>
      <c r="C4411" s="155" t="s">
        <v>236</v>
      </c>
      <c r="D4411" s="156" t="s">
        <v>5123</v>
      </c>
      <c r="E4411" s="156" t="s">
        <v>5253</v>
      </c>
      <c r="F4411" s="156" t="s">
        <v>290</v>
      </c>
      <c r="G4411" s="156" t="s">
        <v>2910</v>
      </c>
      <c r="H4411" s="157" t="s">
        <v>216</v>
      </c>
    </row>
    <row r="4412" hidden="1">
      <c r="A4412" s="151" t="s">
        <v>204</v>
      </c>
      <c r="B4412" s="118" t="s">
        <v>205</v>
      </c>
      <c r="C4412" s="118" t="s">
        <v>206</v>
      </c>
      <c r="D4412" s="152" t="s">
        <v>5254</v>
      </c>
      <c r="E4412" s="152" t="s">
        <v>5255</v>
      </c>
      <c r="F4412" s="152" t="s">
        <v>329</v>
      </c>
      <c r="G4412" s="152" t="s">
        <v>4206</v>
      </c>
      <c r="H4412" s="153" t="s">
        <v>210</v>
      </c>
    </row>
    <row r="4413" hidden="1">
      <c r="A4413" s="154" t="s">
        <v>204</v>
      </c>
      <c r="B4413" s="155" t="s">
        <v>205</v>
      </c>
      <c r="C4413" s="155" t="s">
        <v>206</v>
      </c>
      <c r="D4413" s="156" t="s">
        <v>5254</v>
      </c>
      <c r="E4413" s="156" t="s">
        <v>5256</v>
      </c>
      <c r="F4413" s="156" t="s">
        <v>725</v>
      </c>
      <c r="G4413" s="156" t="s">
        <v>2517</v>
      </c>
      <c r="H4413" s="157" t="s">
        <v>211</v>
      </c>
    </row>
    <row r="4414" hidden="1">
      <c r="A4414" s="151" t="s">
        <v>204</v>
      </c>
      <c r="B4414" s="118" t="s">
        <v>205</v>
      </c>
      <c r="C4414" s="118" t="s">
        <v>206</v>
      </c>
      <c r="D4414" s="152" t="s">
        <v>5254</v>
      </c>
      <c r="E4414" s="152" t="s">
        <v>5257</v>
      </c>
      <c r="F4414" s="152" t="s">
        <v>354</v>
      </c>
      <c r="G4414" s="152" t="s">
        <v>4146</v>
      </c>
      <c r="H4414" s="153" t="s">
        <v>212</v>
      </c>
    </row>
    <row r="4415" hidden="1">
      <c r="A4415" s="154" t="s">
        <v>204</v>
      </c>
      <c r="B4415" s="155" t="s">
        <v>205</v>
      </c>
      <c r="C4415" s="155" t="s">
        <v>206</v>
      </c>
      <c r="D4415" s="156" t="s">
        <v>5254</v>
      </c>
      <c r="E4415" s="156" t="s">
        <v>5258</v>
      </c>
      <c r="F4415" s="156" t="s">
        <v>425</v>
      </c>
      <c r="G4415" s="156" t="s">
        <v>3272</v>
      </c>
      <c r="H4415" s="157" t="s">
        <v>213</v>
      </c>
    </row>
    <row r="4416" hidden="1">
      <c r="A4416" s="151" t="s">
        <v>204</v>
      </c>
      <c r="B4416" s="118" t="s">
        <v>205</v>
      </c>
      <c r="C4416" s="118" t="s">
        <v>206</v>
      </c>
      <c r="D4416" s="152" t="s">
        <v>5254</v>
      </c>
      <c r="E4416" s="152" t="s">
        <v>5259</v>
      </c>
      <c r="F4416" s="152" t="s">
        <v>725</v>
      </c>
      <c r="G4416" s="152" t="s">
        <v>2822</v>
      </c>
      <c r="H4416" s="153" t="s">
        <v>214</v>
      </c>
    </row>
    <row r="4417" hidden="1">
      <c r="A4417" s="154" t="s">
        <v>204</v>
      </c>
      <c r="B4417" s="155" t="s">
        <v>205</v>
      </c>
      <c r="C4417" s="155" t="s">
        <v>206</v>
      </c>
      <c r="D4417" s="156" t="s">
        <v>5254</v>
      </c>
      <c r="E4417" s="156" t="s">
        <v>5260</v>
      </c>
      <c r="F4417" s="156" t="s">
        <v>725</v>
      </c>
      <c r="G4417" s="156" t="s">
        <v>2348</v>
      </c>
      <c r="H4417" s="157" t="s">
        <v>215</v>
      </c>
    </row>
    <row r="4418" hidden="1">
      <c r="A4418" s="151" t="s">
        <v>204</v>
      </c>
      <c r="B4418" s="118" t="s">
        <v>205</v>
      </c>
      <c r="C4418" s="118" t="s">
        <v>206</v>
      </c>
      <c r="D4418" s="152" t="s">
        <v>5254</v>
      </c>
      <c r="E4418" s="152" t="s">
        <v>5261</v>
      </c>
      <c r="F4418" s="152" t="s">
        <v>354</v>
      </c>
      <c r="G4418" s="152" t="s">
        <v>3270</v>
      </c>
      <c r="H4418" s="153" t="s">
        <v>216</v>
      </c>
    </row>
    <row r="4419" hidden="1">
      <c r="A4419" s="154" t="s">
        <v>217</v>
      </c>
      <c r="B4419" s="155" t="s">
        <v>191</v>
      </c>
      <c r="C4419" s="155" t="s">
        <v>206</v>
      </c>
      <c r="D4419" s="156" t="s">
        <v>5254</v>
      </c>
      <c r="E4419" s="156" t="s">
        <v>5262</v>
      </c>
      <c r="F4419" s="156" t="s">
        <v>405</v>
      </c>
      <c r="G4419" s="156" t="s">
        <v>2008</v>
      </c>
      <c r="H4419" s="157" t="s">
        <v>210</v>
      </c>
    </row>
    <row r="4420" hidden="1">
      <c r="A4420" s="151" t="s">
        <v>217</v>
      </c>
      <c r="B4420" s="118" t="s">
        <v>191</v>
      </c>
      <c r="C4420" s="118" t="s">
        <v>206</v>
      </c>
      <c r="D4420" s="152" t="s">
        <v>5254</v>
      </c>
      <c r="E4420" s="152" t="s">
        <v>5263</v>
      </c>
      <c r="F4420" s="152" t="s">
        <v>532</v>
      </c>
      <c r="G4420" s="152" t="s">
        <v>3989</v>
      </c>
      <c r="H4420" s="153" t="s">
        <v>211</v>
      </c>
    </row>
    <row r="4421" hidden="1">
      <c r="A4421" s="154" t="s">
        <v>217</v>
      </c>
      <c r="B4421" s="155" t="s">
        <v>191</v>
      </c>
      <c r="C4421" s="155" t="s">
        <v>206</v>
      </c>
      <c r="D4421" s="156" t="s">
        <v>5254</v>
      </c>
      <c r="E4421" s="156" t="s">
        <v>5264</v>
      </c>
      <c r="F4421" s="156" t="s">
        <v>312</v>
      </c>
      <c r="G4421" s="156" t="s">
        <v>3371</v>
      </c>
      <c r="H4421" s="157" t="s">
        <v>212</v>
      </c>
    </row>
    <row r="4422" hidden="1">
      <c r="A4422" s="151" t="s">
        <v>217</v>
      </c>
      <c r="B4422" s="118" t="s">
        <v>191</v>
      </c>
      <c r="C4422" s="118" t="s">
        <v>206</v>
      </c>
      <c r="D4422" s="152" t="s">
        <v>5254</v>
      </c>
      <c r="E4422" s="152" t="s">
        <v>5265</v>
      </c>
      <c r="F4422" s="152" t="s">
        <v>425</v>
      </c>
      <c r="G4422" s="152" t="s">
        <v>1995</v>
      </c>
      <c r="H4422" s="153" t="s">
        <v>213</v>
      </c>
    </row>
    <row r="4423" hidden="1">
      <c r="A4423" s="154" t="s">
        <v>217</v>
      </c>
      <c r="B4423" s="155" t="s">
        <v>191</v>
      </c>
      <c r="C4423" s="155" t="s">
        <v>206</v>
      </c>
      <c r="D4423" s="156" t="s">
        <v>5254</v>
      </c>
      <c r="E4423" s="156" t="s">
        <v>5266</v>
      </c>
      <c r="F4423" s="156" t="s">
        <v>453</v>
      </c>
      <c r="G4423" s="156" t="s">
        <v>3917</v>
      </c>
      <c r="H4423" s="157" t="s">
        <v>214</v>
      </c>
    </row>
    <row r="4424" hidden="1">
      <c r="A4424" s="151" t="s">
        <v>217</v>
      </c>
      <c r="B4424" s="118" t="s">
        <v>191</v>
      </c>
      <c r="C4424" s="118" t="s">
        <v>206</v>
      </c>
      <c r="D4424" s="152" t="s">
        <v>5254</v>
      </c>
      <c r="E4424" s="152" t="s">
        <v>5267</v>
      </c>
      <c r="F4424" s="152" t="s">
        <v>1999</v>
      </c>
      <c r="G4424" s="152" t="s">
        <v>1776</v>
      </c>
      <c r="H4424" s="153" t="s">
        <v>215</v>
      </c>
    </row>
    <row r="4425" hidden="1">
      <c r="A4425" s="154" t="s">
        <v>217</v>
      </c>
      <c r="B4425" s="155" t="s">
        <v>191</v>
      </c>
      <c r="C4425" s="155" t="s">
        <v>206</v>
      </c>
      <c r="D4425" s="156" t="s">
        <v>5254</v>
      </c>
      <c r="E4425" s="156" t="s">
        <v>5268</v>
      </c>
      <c r="F4425" s="156" t="s">
        <v>1532</v>
      </c>
      <c r="G4425" s="156" t="s">
        <v>3915</v>
      </c>
      <c r="H4425" s="157" t="s">
        <v>216</v>
      </c>
    </row>
    <row r="4426" hidden="1">
      <c r="A4426" s="151" t="s">
        <v>218</v>
      </c>
      <c r="B4426" s="118" t="s">
        <v>219</v>
      </c>
      <c r="C4426" s="118" t="s">
        <v>206</v>
      </c>
      <c r="D4426" s="152" t="s">
        <v>5254</v>
      </c>
      <c r="E4426" s="152" t="s">
        <v>5269</v>
      </c>
      <c r="F4426" s="152" t="s">
        <v>453</v>
      </c>
      <c r="G4426" s="152" t="s">
        <v>2354</v>
      </c>
      <c r="H4426" s="153" t="s">
        <v>210</v>
      </c>
    </row>
    <row r="4427" hidden="1">
      <c r="A4427" s="154" t="s">
        <v>218</v>
      </c>
      <c r="B4427" s="155" t="s">
        <v>219</v>
      </c>
      <c r="C4427" s="155" t="s">
        <v>206</v>
      </c>
      <c r="D4427" s="156" t="s">
        <v>5254</v>
      </c>
      <c r="E4427" s="156" t="s">
        <v>5270</v>
      </c>
      <c r="F4427" s="156" t="s">
        <v>3218</v>
      </c>
      <c r="G4427" s="156" t="s">
        <v>2814</v>
      </c>
      <c r="H4427" s="157" t="s">
        <v>211</v>
      </c>
    </row>
    <row r="4428" hidden="1">
      <c r="A4428" s="151" t="s">
        <v>218</v>
      </c>
      <c r="B4428" s="118" t="s">
        <v>219</v>
      </c>
      <c r="C4428" s="118" t="s">
        <v>206</v>
      </c>
      <c r="D4428" s="152" t="s">
        <v>5254</v>
      </c>
      <c r="E4428" s="152" t="s">
        <v>5271</v>
      </c>
      <c r="F4428" s="152" t="s">
        <v>405</v>
      </c>
      <c r="G4428" s="152" t="s">
        <v>3282</v>
      </c>
      <c r="H4428" s="153" t="s">
        <v>212</v>
      </c>
    </row>
    <row r="4429" hidden="1">
      <c r="A4429" s="154" t="s">
        <v>218</v>
      </c>
      <c r="B4429" s="155" t="s">
        <v>219</v>
      </c>
      <c r="C4429" s="155" t="s">
        <v>206</v>
      </c>
      <c r="D4429" s="156" t="s">
        <v>5254</v>
      </c>
      <c r="E4429" s="156" t="s">
        <v>5272</v>
      </c>
      <c r="F4429" s="156" t="s">
        <v>405</v>
      </c>
      <c r="G4429" s="156" t="s">
        <v>4305</v>
      </c>
      <c r="H4429" s="157" t="s">
        <v>213</v>
      </c>
    </row>
    <row r="4430" hidden="1">
      <c r="A4430" s="151" t="s">
        <v>218</v>
      </c>
      <c r="B4430" s="118" t="s">
        <v>219</v>
      </c>
      <c r="C4430" s="118" t="s">
        <v>206</v>
      </c>
      <c r="D4430" s="152" t="s">
        <v>5254</v>
      </c>
      <c r="E4430" s="152" t="s">
        <v>5273</v>
      </c>
      <c r="F4430" s="152" t="s">
        <v>2994</v>
      </c>
      <c r="G4430" s="152" t="s">
        <v>2826</v>
      </c>
      <c r="H4430" s="153" t="s">
        <v>214</v>
      </c>
    </row>
    <row r="4431" hidden="1">
      <c r="A4431" s="154" t="s">
        <v>218</v>
      </c>
      <c r="B4431" s="155" t="s">
        <v>219</v>
      </c>
      <c r="C4431" s="155" t="s">
        <v>206</v>
      </c>
      <c r="D4431" s="156" t="s">
        <v>5254</v>
      </c>
      <c r="E4431" s="156" t="s">
        <v>5274</v>
      </c>
      <c r="F4431" s="156" t="s">
        <v>405</v>
      </c>
      <c r="G4431" s="156" t="s">
        <v>3908</v>
      </c>
      <c r="H4431" s="157" t="s">
        <v>215</v>
      </c>
    </row>
    <row r="4432" hidden="1">
      <c r="A4432" s="151" t="s">
        <v>218</v>
      </c>
      <c r="B4432" s="118" t="s">
        <v>219</v>
      </c>
      <c r="C4432" s="118" t="s">
        <v>206</v>
      </c>
      <c r="D4432" s="152" t="s">
        <v>5254</v>
      </c>
      <c r="E4432" s="152" t="s">
        <v>5275</v>
      </c>
      <c r="F4432" s="152" t="s">
        <v>3218</v>
      </c>
      <c r="G4432" s="152" t="s">
        <v>3142</v>
      </c>
      <c r="H4432" s="153" t="s">
        <v>216</v>
      </c>
    </row>
    <row r="4433" hidden="1">
      <c r="A4433" s="154" t="s">
        <v>220</v>
      </c>
      <c r="B4433" s="155" t="s">
        <v>190</v>
      </c>
      <c r="C4433" s="155" t="s">
        <v>206</v>
      </c>
      <c r="D4433" s="156" t="s">
        <v>5254</v>
      </c>
      <c r="E4433" s="156" t="s">
        <v>5276</v>
      </c>
      <c r="F4433" s="156" t="s">
        <v>329</v>
      </c>
      <c r="G4433" s="156" t="s">
        <v>2965</v>
      </c>
      <c r="H4433" s="157" t="s">
        <v>210</v>
      </c>
    </row>
    <row r="4434" hidden="1">
      <c r="A4434" s="151" t="s">
        <v>220</v>
      </c>
      <c r="B4434" s="118" t="s">
        <v>190</v>
      </c>
      <c r="C4434" s="118" t="s">
        <v>206</v>
      </c>
      <c r="D4434" s="152" t="s">
        <v>5254</v>
      </c>
      <c r="E4434" s="152" t="s">
        <v>5277</v>
      </c>
      <c r="F4434" s="152" t="s">
        <v>577</v>
      </c>
      <c r="G4434" s="152" t="s">
        <v>3410</v>
      </c>
      <c r="H4434" s="153" t="s">
        <v>211</v>
      </c>
    </row>
    <row r="4435" hidden="1">
      <c r="A4435" s="154" t="s">
        <v>220</v>
      </c>
      <c r="B4435" s="155" t="s">
        <v>190</v>
      </c>
      <c r="C4435" s="155" t="s">
        <v>206</v>
      </c>
      <c r="D4435" s="156" t="s">
        <v>5254</v>
      </c>
      <c r="E4435" s="156" t="s">
        <v>5278</v>
      </c>
      <c r="F4435" s="156" t="s">
        <v>354</v>
      </c>
      <c r="G4435" s="156" t="s">
        <v>3996</v>
      </c>
      <c r="H4435" s="157" t="s">
        <v>212</v>
      </c>
    </row>
    <row r="4436" hidden="1">
      <c r="A4436" s="151" t="s">
        <v>220</v>
      </c>
      <c r="B4436" s="118" t="s">
        <v>190</v>
      </c>
      <c r="C4436" s="118" t="s">
        <v>206</v>
      </c>
      <c r="D4436" s="152" t="s">
        <v>5254</v>
      </c>
      <c r="E4436" s="152" t="s">
        <v>5279</v>
      </c>
      <c r="F4436" s="152" t="s">
        <v>483</v>
      </c>
      <c r="G4436" s="152" t="s">
        <v>2177</v>
      </c>
      <c r="H4436" s="153" t="s">
        <v>213</v>
      </c>
    </row>
    <row r="4437" hidden="1">
      <c r="A4437" s="154" t="s">
        <v>220</v>
      </c>
      <c r="B4437" s="155" t="s">
        <v>190</v>
      </c>
      <c r="C4437" s="155" t="s">
        <v>206</v>
      </c>
      <c r="D4437" s="156" t="s">
        <v>5254</v>
      </c>
      <c r="E4437" s="156" t="s">
        <v>5280</v>
      </c>
      <c r="F4437" s="156" t="s">
        <v>405</v>
      </c>
      <c r="G4437" s="156" t="s">
        <v>2181</v>
      </c>
      <c r="H4437" s="157" t="s">
        <v>214</v>
      </c>
    </row>
    <row r="4438" hidden="1">
      <c r="A4438" s="151" t="s">
        <v>220</v>
      </c>
      <c r="B4438" s="118" t="s">
        <v>190</v>
      </c>
      <c r="C4438" s="118" t="s">
        <v>206</v>
      </c>
      <c r="D4438" s="152" t="s">
        <v>5254</v>
      </c>
      <c r="E4438" s="152" t="s">
        <v>5281</v>
      </c>
      <c r="F4438" s="152" t="s">
        <v>799</v>
      </c>
      <c r="G4438" s="152" t="s">
        <v>2519</v>
      </c>
      <c r="H4438" s="153" t="s">
        <v>215</v>
      </c>
    </row>
    <row r="4439" hidden="1">
      <c r="A4439" s="154" t="s">
        <v>220</v>
      </c>
      <c r="B4439" s="155" t="s">
        <v>190</v>
      </c>
      <c r="C4439" s="155" t="s">
        <v>206</v>
      </c>
      <c r="D4439" s="156" t="s">
        <v>5254</v>
      </c>
      <c r="E4439" s="156" t="s">
        <v>5282</v>
      </c>
      <c r="F4439" s="156" t="s">
        <v>494</v>
      </c>
      <c r="G4439" s="156" t="s">
        <v>3572</v>
      </c>
      <c r="H4439" s="157" t="s">
        <v>216</v>
      </c>
    </row>
    <row r="4440" hidden="1">
      <c r="A4440" s="151" t="s">
        <v>221</v>
      </c>
      <c r="B4440" s="118" t="s">
        <v>189</v>
      </c>
      <c r="C4440" s="118" t="s">
        <v>206</v>
      </c>
      <c r="D4440" s="152" t="s">
        <v>5254</v>
      </c>
      <c r="E4440" s="152" t="s">
        <v>5283</v>
      </c>
      <c r="F4440" s="152" t="s">
        <v>244</v>
      </c>
      <c r="G4440" s="152" t="s">
        <v>2762</v>
      </c>
      <c r="H4440" s="153" t="s">
        <v>210</v>
      </c>
    </row>
    <row r="4441" hidden="1">
      <c r="A4441" s="154" t="s">
        <v>221</v>
      </c>
      <c r="B4441" s="155" t="s">
        <v>189</v>
      </c>
      <c r="C4441" s="155" t="s">
        <v>206</v>
      </c>
      <c r="D4441" s="156" t="s">
        <v>5254</v>
      </c>
      <c r="E4441" s="156" t="s">
        <v>5284</v>
      </c>
      <c r="F4441" s="156" t="s">
        <v>257</v>
      </c>
      <c r="G4441" s="156" t="s">
        <v>2242</v>
      </c>
      <c r="H4441" s="157" t="s">
        <v>211</v>
      </c>
    </row>
    <row r="4442" hidden="1">
      <c r="A4442" s="151" t="s">
        <v>221</v>
      </c>
      <c r="B4442" s="118" t="s">
        <v>189</v>
      </c>
      <c r="C4442" s="118" t="s">
        <v>206</v>
      </c>
      <c r="D4442" s="152" t="s">
        <v>5254</v>
      </c>
      <c r="E4442" s="152" t="s">
        <v>5285</v>
      </c>
      <c r="F4442" s="152" t="s">
        <v>246</v>
      </c>
      <c r="G4442" s="152" t="s">
        <v>3200</v>
      </c>
      <c r="H4442" s="153" t="s">
        <v>212</v>
      </c>
    </row>
    <row r="4443" hidden="1">
      <c r="A4443" s="154" t="s">
        <v>221</v>
      </c>
      <c r="B4443" s="155" t="s">
        <v>189</v>
      </c>
      <c r="C4443" s="155" t="s">
        <v>206</v>
      </c>
      <c r="D4443" s="156" t="s">
        <v>5254</v>
      </c>
      <c r="E4443" s="156" t="s">
        <v>5286</v>
      </c>
      <c r="F4443" s="156" t="s">
        <v>298</v>
      </c>
      <c r="G4443" s="156" t="s">
        <v>3570</v>
      </c>
      <c r="H4443" s="157" t="s">
        <v>213</v>
      </c>
    </row>
    <row r="4444" hidden="1">
      <c r="A4444" s="151" t="s">
        <v>221</v>
      </c>
      <c r="B4444" s="118" t="s">
        <v>189</v>
      </c>
      <c r="C4444" s="118" t="s">
        <v>206</v>
      </c>
      <c r="D4444" s="152" t="s">
        <v>5254</v>
      </c>
      <c r="E4444" s="152" t="s">
        <v>5287</v>
      </c>
      <c r="F4444" s="152" t="s">
        <v>255</v>
      </c>
      <c r="G4444" s="152" t="s">
        <v>3221</v>
      </c>
      <c r="H4444" s="153" t="s">
        <v>214</v>
      </c>
    </row>
    <row r="4445" hidden="1">
      <c r="A4445" s="154" t="s">
        <v>221</v>
      </c>
      <c r="B4445" s="155" t="s">
        <v>189</v>
      </c>
      <c r="C4445" s="155" t="s">
        <v>206</v>
      </c>
      <c r="D4445" s="156" t="s">
        <v>5254</v>
      </c>
      <c r="E4445" s="156" t="s">
        <v>5288</v>
      </c>
      <c r="F4445" s="156" t="s">
        <v>534</v>
      </c>
      <c r="G4445" s="156" t="s">
        <v>2999</v>
      </c>
      <c r="H4445" s="157" t="s">
        <v>215</v>
      </c>
    </row>
    <row r="4446" hidden="1">
      <c r="A4446" s="151" t="s">
        <v>221</v>
      </c>
      <c r="B4446" s="118" t="s">
        <v>189</v>
      </c>
      <c r="C4446" s="118" t="s">
        <v>206</v>
      </c>
      <c r="D4446" s="152" t="s">
        <v>5254</v>
      </c>
      <c r="E4446" s="152" t="s">
        <v>5289</v>
      </c>
      <c r="F4446" s="152" t="s">
        <v>257</v>
      </c>
      <c r="G4446" s="152" t="s">
        <v>2281</v>
      </c>
      <c r="H4446" s="153" t="s">
        <v>216</v>
      </c>
    </row>
    <row r="4447" hidden="1">
      <c r="A4447" s="154" t="s">
        <v>222</v>
      </c>
      <c r="B4447" s="155" t="s">
        <v>192</v>
      </c>
      <c r="C4447" s="155" t="s">
        <v>206</v>
      </c>
      <c r="D4447" s="156" t="s">
        <v>5254</v>
      </c>
      <c r="E4447" s="156" t="s">
        <v>5290</v>
      </c>
      <c r="F4447" s="156" t="s">
        <v>204</v>
      </c>
      <c r="G4447" s="156" t="s">
        <v>3818</v>
      </c>
      <c r="H4447" s="157" t="s">
        <v>210</v>
      </c>
    </row>
    <row r="4448" hidden="1">
      <c r="A4448" s="151" t="s">
        <v>222</v>
      </c>
      <c r="B4448" s="118" t="s">
        <v>192</v>
      </c>
      <c r="C4448" s="118" t="s">
        <v>206</v>
      </c>
      <c r="D4448" s="152" t="s">
        <v>5254</v>
      </c>
      <c r="E4448" s="152" t="s">
        <v>5291</v>
      </c>
      <c r="F4448" s="152" t="s">
        <v>265</v>
      </c>
      <c r="G4448" s="152" t="s">
        <v>3905</v>
      </c>
      <c r="H4448" s="153" t="s">
        <v>211</v>
      </c>
    </row>
    <row r="4449" hidden="1">
      <c r="A4449" s="154" t="s">
        <v>222</v>
      </c>
      <c r="B4449" s="155" t="s">
        <v>192</v>
      </c>
      <c r="C4449" s="155" t="s">
        <v>206</v>
      </c>
      <c r="D4449" s="156" t="s">
        <v>5254</v>
      </c>
      <c r="E4449" s="156" t="s">
        <v>5292</v>
      </c>
      <c r="F4449" s="156" t="s">
        <v>255</v>
      </c>
      <c r="G4449" s="156" t="s">
        <v>4464</v>
      </c>
      <c r="H4449" s="157" t="s">
        <v>212</v>
      </c>
    </row>
    <row r="4450" hidden="1">
      <c r="A4450" s="151" t="s">
        <v>222</v>
      </c>
      <c r="B4450" s="118" t="s">
        <v>192</v>
      </c>
      <c r="C4450" s="118" t="s">
        <v>206</v>
      </c>
      <c r="D4450" s="152" t="s">
        <v>5254</v>
      </c>
      <c r="E4450" s="152" t="s">
        <v>5293</v>
      </c>
      <c r="F4450" s="152" t="s">
        <v>492</v>
      </c>
      <c r="G4450" s="152" t="s">
        <v>3756</v>
      </c>
      <c r="H4450" s="153" t="s">
        <v>213</v>
      </c>
    </row>
    <row r="4451" hidden="1">
      <c r="A4451" s="154" t="s">
        <v>222</v>
      </c>
      <c r="B4451" s="155" t="s">
        <v>192</v>
      </c>
      <c r="C4451" s="155" t="s">
        <v>206</v>
      </c>
      <c r="D4451" s="156" t="s">
        <v>5254</v>
      </c>
      <c r="E4451" s="156" t="s">
        <v>5294</v>
      </c>
      <c r="F4451" s="156" t="s">
        <v>269</v>
      </c>
      <c r="G4451" s="156" t="s">
        <v>4280</v>
      </c>
      <c r="H4451" s="157" t="s">
        <v>214</v>
      </c>
    </row>
    <row r="4452" hidden="1">
      <c r="A4452" s="151" t="s">
        <v>222</v>
      </c>
      <c r="B4452" s="118" t="s">
        <v>192</v>
      </c>
      <c r="C4452" s="118" t="s">
        <v>206</v>
      </c>
      <c r="D4452" s="152" t="s">
        <v>5254</v>
      </c>
      <c r="E4452" s="152" t="s">
        <v>5295</v>
      </c>
      <c r="F4452" s="152" t="s">
        <v>314</v>
      </c>
      <c r="G4452" s="152" t="s">
        <v>4280</v>
      </c>
      <c r="H4452" s="153" t="s">
        <v>215</v>
      </c>
    </row>
    <row r="4453" hidden="1">
      <c r="A4453" s="154" t="s">
        <v>222</v>
      </c>
      <c r="B4453" s="155" t="s">
        <v>192</v>
      </c>
      <c r="C4453" s="155" t="s">
        <v>206</v>
      </c>
      <c r="D4453" s="156" t="s">
        <v>5254</v>
      </c>
      <c r="E4453" s="156" t="s">
        <v>5296</v>
      </c>
      <c r="F4453" s="156" t="s">
        <v>492</v>
      </c>
      <c r="G4453" s="156" t="s">
        <v>3302</v>
      </c>
      <c r="H4453" s="157" t="s">
        <v>216</v>
      </c>
    </row>
    <row r="4454" hidden="1">
      <c r="A4454" s="151" t="s">
        <v>223</v>
      </c>
      <c r="B4454" s="118" t="s">
        <v>144</v>
      </c>
      <c r="C4454" s="118" t="s">
        <v>206</v>
      </c>
      <c r="D4454" s="152" t="s">
        <v>5254</v>
      </c>
      <c r="E4454" s="152" t="s">
        <v>5297</v>
      </c>
      <c r="F4454" s="152" t="s">
        <v>673</v>
      </c>
      <c r="G4454" s="152" t="s">
        <v>4326</v>
      </c>
      <c r="H4454" s="153" t="s">
        <v>210</v>
      </c>
    </row>
    <row r="4455" hidden="1">
      <c r="A4455" s="154" t="s">
        <v>223</v>
      </c>
      <c r="B4455" s="155" t="s">
        <v>144</v>
      </c>
      <c r="C4455" s="155" t="s">
        <v>206</v>
      </c>
      <c r="D4455" s="156" t="s">
        <v>5254</v>
      </c>
      <c r="E4455" s="156" t="s">
        <v>5298</v>
      </c>
      <c r="F4455" s="156" t="s">
        <v>763</v>
      </c>
      <c r="G4455" s="156" t="s">
        <v>5299</v>
      </c>
      <c r="H4455" s="157" t="s">
        <v>211</v>
      </c>
    </row>
    <row r="4456" hidden="1">
      <c r="A4456" s="151" t="s">
        <v>223</v>
      </c>
      <c r="B4456" s="118" t="s">
        <v>144</v>
      </c>
      <c r="C4456" s="118" t="s">
        <v>206</v>
      </c>
      <c r="D4456" s="152" t="s">
        <v>5254</v>
      </c>
      <c r="E4456" s="152" t="s">
        <v>5300</v>
      </c>
      <c r="F4456" s="152" t="s">
        <v>1530</v>
      </c>
      <c r="G4456" s="152" t="s">
        <v>5301</v>
      </c>
      <c r="H4456" s="153" t="s">
        <v>212</v>
      </c>
    </row>
    <row r="4457" hidden="1">
      <c r="A4457" s="154" t="s">
        <v>223</v>
      </c>
      <c r="B4457" s="155" t="s">
        <v>144</v>
      </c>
      <c r="C4457" s="155" t="s">
        <v>206</v>
      </c>
      <c r="D4457" s="156" t="s">
        <v>5254</v>
      </c>
      <c r="E4457" s="156" t="s">
        <v>5302</v>
      </c>
      <c r="F4457" s="156" t="s">
        <v>691</v>
      </c>
      <c r="G4457" s="156" t="s">
        <v>5303</v>
      </c>
      <c r="H4457" s="157" t="s">
        <v>213</v>
      </c>
    </row>
    <row r="4458" hidden="1">
      <c r="A4458" s="151" t="s">
        <v>223</v>
      </c>
      <c r="B4458" s="118" t="s">
        <v>144</v>
      </c>
      <c r="C4458" s="118" t="s">
        <v>206</v>
      </c>
      <c r="D4458" s="152" t="s">
        <v>5254</v>
      </c>
      <c r="E4458" s="152" t="s">
        <v>5304</v>
      </c>
      <c r="F4458" s="152" t="s">
        <v>758</v>
      </c>
      <c r="G4458" s="152" t="s">
        <v>5305</v>
      </c>
      <c r="H4458" s="153" t="s">
        <v>214</v>
      </c>
    </row>
    <row r="4459" hidden="1">
      <c r="A4459" s="154" t="s">
        <v>223</v>
      </c>
      <c r="B4459" s="155" t="s">
        <v>144</v>
      </c>
      <c r="C4459" s="155" t="s">
        <v>206</v>
      </c>
      <c r="D4459" s="156" t="s">
        <v>5254</v>
      </c>
      <c r="E4459" s="156" t="s">
        <v>5306</v>
      </c>
      <c r="F4459" s="156" t="s">
        <v>763</v>
      </c>
      <c r="G4459" s="156" t="s">
        <v>3434</v>
      </c>
      <c r="H4459" s="157" t="s">
        <v>215</v>
      </c>
    </row>
    <row r="4460" hidden="1">
      <c r="A4460" s="151" t="s">
        <v>223</v>
      </c>
      <c r="B4460" s="118" t="s">
        <v>144</v>
      </c>
      <c r="C4460" s="118" t="s">
        <v>206</v>
      </c>
      <c r="D4460" s="152" t="s">
        <v>5254</v>
      </c>
      <c r="E4460" s="152" t="s">
        <v>5307</v>
      </c>
      <c r="F4460" s="152" t="s">
        <v>2994</v>
      </c>
      <c r="G4460" s="152" t="s">
        <v>4515</v>
      </c>
      <c r="H4460" s="153" t="s">
        <v>216</v>
      </c>
    </row>
    <row r="4461" hidden="1">
      <c r="A4461" s="154" t="s">
        <v>224</v>
      </c>
      <c r="B4461" s="155" t="s">
        <v>170</v>
      </c>
      <c r="C4461" s="155" t="s">
        <v>206</v>
      </c>
      <c r="D4461" s="156" t="s">
        <v>5254</v>
      </c>
      <c r="E4461" s="156" t="s">
        <v>5308</v>
      </c>
      <c r="F4461" s="156" t="s">
        <v>450</v>
      </c>
      <c r="G4461" s="156" t="s">
        <v>3950</v>
      </c>
      <c r="H4461" s="157" t="s">
        <v>210</v>
      </c>
    </row>
    <row r="4462" hidden="1">
      <c r="A4462" s="151" t="s">
        <v>224</v>
      </c>
      <c r="B4462" s="118" t="s">
        <v>170</v>
      </c>
      <c r="C4462" s="118" t="s">
        <v>206</v>
      </c>
      <c r="D4462" s="152" t="s">
        <v>5254</v>
      </c>
      <c r="E4462" s="152" t="s">
        <v>5309</v>
      </c>
      <c r="F4462" s="152" t="s">
        <v>453</v>
      </c>
      <c r="G4462" s="152" t="s">
        <v>3307</v>
      </c>
      <c r="H4462" s="153" t="s">
        <v>211</v>
      </c>
    </row>
    <row r="4463" hidden="1">
      <c r="A4463" s="154" t="s">
        <v>224</v>
      </c>
      <c r="B4463" s="155" t="s">
        <v>170</v>
      </c>
      <c r="C4463" s="155" t="s">
        <v>206</v>
      </c>
      <c r="D4463" s="156" t="s">
        <v>5254</v>
      </c>
      <c r="E4463" s="156" t="s">
        <v>5310</v>
      </c>
      <c r="F4463" s="156" t="s">
        <v>673</v>
      </c>
      <c r="G4463" s="156" t="s">
        <v>3154</v>
      </c>
      <c r="H4463" s="157" t="s">
        <v>212</v>
      </c>
    </row>
    <row r="4464" hidden="1">
      <c r="A4464" s="151" t="s">
        <v>224</v>
      </c>
      <c r="B4464" s="118" t="s">
        <v>170</v>
      </c>
      <c r="C4464" s="118" t="s">
        <v>206</v>
      </c>
      <c r="D4464" s="152" t="s">
        <v>5254</v>
      </c>
      <c r="E4464" s="152" t="s">
        <v>5311</v>
      </c>
      <c r="F4464" s="152" t="s">
        <v>673</v>
      </c>
      <c r="G4464" s="152" t="s">
        <v>3057</v>
      </c>
      <c r="H4464" s="153" t="s">
        <v>213</v>
      </c>
    </row>
    <row r="4465" hidden="1">
      <c r="A4465" s="154" t="s">
        <v>224</v>
      </c>
      <c r="B4465" s="155" t="s">
        <v>170</v>
      </c>
      <c r="C4465" s="155" t="s">
        <v>206</v>
      </c>
      <c r="D4465" s="156" t="s">
        <v>5254</v>
      </c>
      <c r="E4465" s="156" t="s">
        <v>5312</v>
      </c>
      <c r="F4465" s="156" t="s">
        <v>478</v>
      </c>
      <c r="G4465" s="156" t="s">
        <v>3908</v>
      </c>
      <c r="H4465" s="157" t="s">
        <v>214</v>
      </c>
    </row>
    <row r="4466" hidden="1">
      <c r="A4466" s="151" t="s">
        <v>224</v>
      </c>
      <c r="B4466" s="118" t="s">
        <v>170</v>
      </c>
      <c r="C4466" s="118" t="s">
        <v>206</v>
      </c>
      <c r="D4466" s="152" t="s">
        <v>5254</v>
      </c>
      <c r="E4466" s="152" t="s">
        <v>5313</v>
      </c>
      <c r="F4466" s="152" t="s">
        <v>725</v>
      </c>
      <c r="G4466" s="152" t="s">
        <v>3443</v>
      </c>
      <c r="H4466" s="153" t="s">
        <v>215</v>
      </c>
    </row>
    <row r="4467" hidden="1">
      <c r="A4467" s="154" t="s">
        <v>224</v>
      </c>
      <c r="B4467" s="155" t="s">
        <v>170</v>
      </c>
      <c r="C4467" s="155" t="s">
        <v>206</v>
      </c>
      <c r="D4467" s="156" t="s">
        <v>5254</v>
      </c>
      <c r="E4467" s="156" t="s">
        <v>5314</v>
      </c>
      <c r="F4467" s="156" t="s">
        <v>478</v>
      </c>
      <c r="G4467" s="156" t="s">
        <v>2814</v>
      </c>
      <c r="H4467" s="157" t="s">
        <v>216</v>
      </c>
    </row>
    <row r="4468" hidden="1">
      <c r="A4468" s="151" t="s">
        <v>225</v>
      </c>
      <c r="B4468" s="118" t="s">
        <v>226</v>
      </c>
      <c r="C4468" s="118" t="s">
        <v>206</v>
      </c>
      <c r="D4468" s="152" t="s">
        <v>5254</v>
      </c>
      <c r="E4468" s="152" t="s">
        <v>5315</v>
      </c>
      <c r="F4468" s="152" t="s">
        <v>758</v>
      </c>
      <c r="G4468" s="152" t="s">
        <v>4297</v>
      </c>
      <c r="H4468" s="153" t="s">
        <v>210</v>
      </c>
    </row>
    <row r="4469" hidden="1">
      <c r="A4469" s="154" t="s">
        <v>225</v>
      </c>
      <c r="B4469" s="155" t="s">
        <v>226</v>
      </c>
      <c r="C4469" s="155" t="s">
        <v>206</v>
      </c>
      <c r="D4469" s="156" t="s">
        <v>5254</v>
      </c>
      <c r="E4469" s="156" t="s">
        <v>5316</v>
      </c>
      <c r="F4469" s="156" t="s">
        <v>3346</v>
      </c>
      <c r="G4469" s="156" t="s">
        <v>3595</v>
      </c>
      <c r="H4469" s="157" t="s">
        <v>211</v>
      </c>
    </row>
    <row r="4470" hidden="1">
      <c r="A4470" s="151" t="s">
        <v>225</v>
      </c>
      <c r="B4470" s="118" t="s">
        <v>226</v>
      </c>
      <c r="C4470" s="118" t="s">
        <v>206</v>
      </c>
      <c r="D4470" s="152" t="s">
        <v>5254</v>
      </c>
      <c r="E4470" s="152" t="s">
        <v>5317</v>
      </c>
      <c r="F4470" s="152" t="s">
        <v>2607</v>
      </c>
      <c r="G4470" s="152" t="s">
        <v>3440</v>
      </c>
      <c r="H4470" s="153" t="s">
        <v>212</v>
      </c>
    </row>
    <row r="4471" hidden="1">
      <c r="A4471" s="154" t="s">
        <v>225</v>
      </c>
      <c r="B4471" s="155" t="s">
        <v>226</v>
      </c>
      <c r="C4471" s="155" t="s">
        <v>206</v>
      </c>
      <c r="D4471" s="156" t="s">
        <v>5254</v>
      </c>
      <c r="E4471" s="156" t="s">
        <v>5318</v>
      </c>
      <c r="F4471" s="156" t="s">
        <v>1948</v>
      </c>
      <c r="G4471" s="156" t="s">
        <v>4223</v>
      </c>
      <c r="H4471" s="157" t="s">
        <v>213</v>
      </c>
    </row>
    <row r="4472" hidden="1">
      <c r="A4472" s="151" t="s">
        <v>225</v>
      </c>
      <c r="B4472" s="118" t="s">
        <v>226</v>
      </c>
      <c r="C4472" s="118" t="s">
        <v>206</v>
      </c>
      <c r="D4472" s="152" t="s">
        <v>5254</v>
      </c>
      <c r="E4472" s="152" t="s">
        <v>5319</v>
      </c>
      <c r="F4472" s="152" t="s">
        <v>3340</v>
      </c>
      <c r="G4472" s="152" t="s">
        <v>4268</v>
      </c>
      <c r="H4472" s="153" t="s">
        <v>214</v>
      </c>
    </row>
    <row r="4473" hidden="1">
      <c r="A4473" s="154" t="s">
        <v>225</v>
      </c>
      <c r="B4473" s="155" t="s">
        <v>226</v>
      </c>
      <c r="C4473" s="155" t="s">
        <v>206</v>
      </c>
      <c r="D4473" s="156" t="s">
        <v>5254</v>
      </c>
      <c r="E4473" s="156" t="s">
        <v>5320</v>
      </c>
      <c r="F4473" s="156" t="s">
        <v>3148</v>
      </c>
      <c r="G4473" s="156" t="s">
        <v>3930</v>
      </c>
      <c r="H4473" s="157" t="s">
        <v>215</v>
      </c>
    </row>
    <row r="4474" hidden="1">
      <c r="A4474" s="151" t="s">
        <v>225</v>
      </c>
      <c r="B4474" s="118" t="s">
        <v>226</v>
      </c>
      <c r="C4474" s="118" t="s">
        <v>206</v>
      </c>
      <c r="D4474" s="152" t="s">
        <v>5254</v>
      </c>
      <c r="E4474" s="152" t="s">
        <v>5321</v>
      </c>
      <c r="F4474" s="152" t="s">
        <v>3340</v>
      </c>
      <c r="G4474" s="152" t="s">
        <v>4077</v>
      </c>
      <c r="H4474" s="153" t="s">
        <v>216</v>
      </c>
    </row>
    <row r="4475" hidden="1">
      <c r="A4475" s="154" t="s">
        <v>227</v>
      </c>
      <c r="B4475" s="155" t="s">
        <v>195</v>
      </c>
      <c r="C4475" s="155" t="s">
        <v>206</v>
      </c>
      <c r="D4475" s="156" t="s">
        <v>5254</v>
      </c>
      <c r="E4475" s="156" t="s">
        <v>5322</v>
      </c>
      <c r="F4475" s="156" t="s">
        <v>331</v>
      </c>
      <c r="G4475" s="156" t="s">
        <v>2506</v>
      </c>
      <c r="H4475" s="157" t="s">
        <v>210</v>
      </c>
    </row>
    <row r="4476" hidden="1">
      <c r="A4476" s="151" t="s">
        <v>227</v>
      </c>
      <c r="B4476" s="118" t="s">
        <v>195</v>
      </c>
      <c r="C4476" s="118" t="s">
        <v>206</v>
      </c>
      <c r="D4476" s="152" t="s">
        <v>5254</v>
      </c>
      <c r="E4476" s="152" t="s">
        <v>5323</v>
      </c>
      <c r="F4476" s="152" t="s">
        <v>450</v>
      </c>
      <c r="G4476" s="152" t="s">
        <v>3408</v>
      </c>
      <c r="H4476" s="153" t="s">
        <v>211</v>
      </c>
    </row>
    <row r="4477" hidden="1">
      <c r="A4477" s="154" t="s">
        <v>227</v>
      </c>
      <c r="B4477" s="155" t="s">
        <v>195</v>
      </c>
      <c r="C4477" s="155" t="s">
        <v>206</v>
      </c>
      <c r="D4477" s="156" t="s">
        <v>5254</v>
      </c>
      <c r="E4477" s="156" t="s">
        <v>5324</v>
      </c>
      <c r="F4477" s="156" t="s">
        <v>312</v>
      </c>
      <c r="G4477" s="156" t="s">
        <v>4073</v>
      </c>
      <c r="H4477" s="157" t="s">
        <v>212</v>
      </c>
    </row>
    <row r="4478" hidden="1">
      <c r="A4478" s="151" t="s">
        <v>227</v>
      </c>
      <c r="B4478" s="118" t="s">
        <v>195</v>
      </c>
      <c r="C4478" s="118" t="s">
        <v>206</v>
      </c>
      <c r="D4478" s="152" t="s">
        <v>5254</v>
      </c>
      <c r="E4478" s="152" t="s">
        <v>5325</v>
      </c>
      <c r="F4478" s="152" t="s">
        <v>308</v>
      </c>
      <c r="G4478" s="152" t="s">
        <v>3558</v>
      </c>
      <c r="H4478" s="153" t="s">
        <v>213</v>
      </c>
    </row>
    <row r="4479" hidden="1">
      <c r="A4479" s="154" t="s">
        <v>227</v>
      </c>
      <c r="B4479" s="155" t="s">
        <v>195</v>
      </c>
      <c r="C4479" s="155" t="s">
        <v>206</v>
      </c>
      <c r="D4479" s="156" t="s">
        <v>5254</v>
      </c>
      <c r="E4479" s="156" t="s">
        <v>5326</v>
      </c>
      <c r="F4479" s="156" t="s">
        <v>577</v>
      </c>
      <c r="G4479" s="156" t="s">
        <v>3838</v>
      </c>
      <c r="H4479" s="157" t="s">
        <v>214</v>
      </c>
    </row>
    <row r="4480" hidden="1">
      <c r="A4480" s="151" t="s">
        <v>227</v>
      </c>
      <c r="B4480" s="118" t="s">
        <v>195</v>
      </c>
      <c r="C4480" s="118" t="s">
        <v>206</v>
      </c>
      <c r="D4480" s="152" t="s">
        <v>5254</v>
      </c>
      <c r="E4480" s="152" t="s">
        <v>5327</v>
      </c>
      <c r="F4480" s="152" t="s">
        <v>427</v>
      </c>
      <c r="G4480" s="152" t="s">
        <v>3205</v>
      </c>
      <c r="H4480" s="153" t="s">
        <v>215</v>
      </c>
    </row>
    <row r="4481" hidden="1">
      <c r="A4481" s="154" t="s">
        <v>227</v>
      </c>
      <c r="B4481" s="155" t="s">
        <v>195</v>
      </c>
      <c r="C4481" s="155" t="s">
        <v>206</v>
      </c>
      <c r="D4481" s="156" t="s">
        <v>5254</v>
      </c>
      <c r="E4481" s="156" t="s">
        <v>5328</v>
      </c>
      <c r="F4481" s="156" t="s">
        <v>339</v>
      </c>
      <c r="G4481" s="156" t="s">
        <v>1791</v>
      </c>
      <c r="H4481" s="157" t="s">
        <v>216</v>
      </c>
    </row>
    <row r="4482" hidden="1">
      <c r="A4482" s="151" t="s">
        <v>228</v>
      </c>
      <c r="B4482" s="118" t="s">
        <v>138</v>
      </c>
      <c r="C4482" s="118" t="s">
        <v>206</v>
      </c>
      <c r="D4482" s="152" t="s">
        <v>5254</v>
      </c>
      <c r="E4482" s="152" t="s">
        <v>5329</v>
      </c>
      <c r="F4482" s="152" t="s">
        <v>691</v>
      </c>
      <c r="G4482" s="152" t="s">
        <v>3117</v>
      </c>
      <c r="H4482" s="153" t="s">
        <v>210</v>
      </c>
    </row>
    <row r="4483" hidden="1">
      <c r="A4483" s="154" t="s">
        <v>228</v>
      </c>
      <c r="B4483" s="155" t="s">
        <v>138</v>
      </c>
      <c r="C4483" s="155" t="s">
        <v>206</v>
      </c>
      <c r="D4483" s="156" t="s">
        <v>5254</v>
      </c>
      <c r="E4483" s="156" t="s">
        <v>5330</v>
      </c>
      <c r="F4483" s="156" t="s">
        <v>314</v>
      </c>
      <c r="G4483" s="156" t="s">
        <v>2119</v>
      </c>
      <c r="H4483" s="157" t="s">
        <v>211</v>
      </c>
    </row>
    <row r="4484" hidden="1">
      <c r="A4484" s="151" t="s">
        <v>228</v>
      </c>
      <c r="B4484" s="118" t="s">
        <v>138</v>
      </c>
      <c r="C4484" s="118" t="s">
        <v>206</v>
      </c>
      <c r="D4484" s="152" t="s">
        <v>5254</v>
      </c>
      <c r="E4484" s="152" t="s">
        <v>5331</v>
      </c>
      <c r="F4484" s="152" t="s">
        <v>204</v>
      </c>
      <c r="G4484" s="152" t="s">
        <v>3941</v>
      </c>
      <c r="H4484" s="153" t="s">
        <v>212</v>
      </c>
    </row>
    <row r="4485" hidden="1">
      <c r="A4485" s="154" t="s">
        <v>228</v>
      </c>
      <c r="B4485" s="155" t="s">
        <v>138</v>
      </c>
      <c r="C4485" s="155" t="s">
        <v>206</v>
      </c>
      <c r="D4485" s="156" t="s">
        <v>5254</v>
      </c>
      <c r="E4485" s="156" t="s">
        <v>5332</v>
      </c>
      <c r="F4485" s="156" t="s">
        <v>287</v>
      </c>
      <c r="G4485" s="156" t="s">
        <v>2989</v>
      </c>
      <c r="H4485" s="157" t="s">
        <v>213</v>
      </c>
    </row>
    <row r="4486" hidden="1">
      <c r="A4486" s="151" t="s">
        <v>228</v>
      </c>
      <c r="B4486" s="118" t="s">
        <v>138</v>
      </c>
      <c r="C4486" s="118" t="s">
        <v>206</v>
      </c>
      <c r="D4486" s="152" t="s">
        <v>5254</v>
      </c>
      <c r="E4486" s="152" t="s">
        <v>5333</v>
      </c>
      <c r="F4486" s="152" t="s">
        <v>255</v>
      </c>
      <c r="G4486" s="152" t="s">
        <v>2694</v>
      </c>
      <c r="H4486" s="153" t="s">
        <v>214</v>
      </c>
    </row>
    <row r="4487" hidden="1">
      <c r="A4487" s="154" t="s">
        <v>228</v>
      </c>
      <c r="B4487" s="155" t="s">
        <v>138</v>
      </c>
      <c r="C4487" s="155" t="s">
        <v>206</v>
      </c>
      <c r="D4487" s="156" t="s">
        <v>5254</v>
      </c>
      <c r="E4487" s="156" t="s">
        <v>5334</v>
      </c>
      <c r="F4487" s="156" t="s">
        <v>458</v>
      </c>
      <c r="G4487" s="156" t="s">
        <v>2923</v>
      </c>
      <c r="H4487" s="157" t="s">
        <v>215</v>
      </c>
    </row>
    <row r="4488" hidden="1">
      <c r="A4488" s="151" t="s">
        <v>228</v>
      </c>
      <c r="B4488" s="118" t="s">
        <v>138</v>
      </c>
      <c r="C4488" s="118" t="s">
        <v>206</v>
      </c>
      <c r="D4488" s="152" t="s">
        <v>5254</v>
      </c>
      <c r="E4488" s="152" t="s">
        <v>5335</v>
      </c>
      <c r="F4488" s="152" t="s">
        <v>494</v>
      </c>
      <c r="G4488" s="152" t="s">
        <v>2346</v>
      </c>
      <c r="H4488" s="153" t="s">
        <v>216</v>
      </c>
    </row>
    <row r="4489" hidden="1">
      <c r="A4489" s="154" t="s">
        <v>229</v>
      </c>
      <c r="B4489" s="155" t="s">
        <v>193</v>
      </c>
      <c r="C4489" s="155" t="s">
        <v>206</v>
      </c>
      <c r="D4489" s="156" t="s">
        <v>5254</v>
      </c>
      <c r="E4489" s="156" t="s">
        <v>5336</v>
      </c>
      <c r="F4489" s="156" t="s">
        <v>310</v>
      </c>
      <c r="G4489" s="156" t="s">
        <v>3691</v>
      </c>
      <c r="H4489" s="157" t="s">
        <v>210</v>
      </c>
    </row>
    <row r="4490" hidden="1">
      <c r="A4490" s="151" t="s">
        <v>229</v>
      </c>
      <c r="B4490" s="118" t="s">
        <v>193</v>
      </c>
      <c r="C4490" s="118" t="s">
        <v>206</v>
      </c>
      <c r="D4490" s="152" t="s">
        <v>5254</v>
      </c>
      <c r="E4490" s="152" t="s">
        <v>5337</v>
      </c>
      <c r="F4490" s="152" t="s">
        <v>427</v>
      </c>
      <c r="G4490" s="152" t="s">
        <v>2663</v>
      </c>
      <c r="H4490" s="153" t="s">
        <v>211</v>
      </c>
    </row>
    <row r="4491" hidden="1">
      <c r="A4491" s="154" t="s">
        <v>229</v>
      </c>
      <c r="B4491" s="155" t="s">
        <v>193</v>
      </c>
      <c r="C4491" s="155" t="s">
        <v>206</v>
      </c>
      <c r="D4491" s="156" t="s">
        <v>5254</v>
      </c>
      <c r="E4491" s="156" t="s">
        <v>5338</v>
      </c>
      <c r="F4491" s="156" t="s">
        <v>305</v>
      </c>
      <c r="G4491" s="156" t="s">
        <v>3618</v>
      </c>
      <c r="H4491" s="157" t="s">
        <v>212</v>
      </c>
    </row>
    <row r="4492" hidden="1">
      <c r="A4492" s="151" t="s">
        <v>229</v>
      </c>
      <c r="B4492" s="118" t="s">
        <v>193</v>
      </c>
      <c r="C4492" s="118" t="s">
        <v>206</v>
      </c>
      <c r="D4492" s="152" t="s">
        <v>5254</v>
      </c>
      <c r="E4492" s="152" t="s">
        <v>5339</v>
      </c>
      <c r="F4492" s="152" t="s">
        <v>427</v>
      </c>
      <c r="G4492" s="152" t="s">
        <v>3966</v>
      </c>
      <c r="H4492" s="153" t="s">
        <v>213</v>
      </c>
    </row>
    <row r="4493" hidden="1">
      <c r="A4493" s="154" t="s">
        <v>229</v>
      </c>
      <c r="B4493" s="155" t="s">
        <v>193</v>
      </c>
      <c r="C4493" s="155" t="s">
        <v>206</v>
      </c>
      <c r="D4493" s="156" t="s">
        <v>5254</v>
      </c>
      <c r="E4493" s="156" t="s">
        <v>5340</v>
      </c>
      <c r="F4493" s="156" t="s">
        <v>351</v>
      </c>
      <c r="G4493" s="156" t="s">
        <v>3296</v>
      </c>
      <c r="H4493" s="157" t="s">
        <v>214</v>
      </c>
    </row>
    <row r="4494" hidden="1">
      <c r="A4494" s="151" t="s">
        <v>229</v>
      </c>
      <c r="B4494" s="118" t="s">
        <v>193</v>
      </c>
      <c r="C4494" s="118" t="s">
        <v>206</v>
      </c>
      <c r="D4494" s="152" t="s">
        <v>5254</v>
      </c>
      <c r="E4494" s="152" t="s">
        <v>5341</v>
      </c>
      <c r="F4494" s="152" t="s">
        <v>339</v>
      </c>
      <c r="G4494" s="152" t="s">
        <v>3475</v>
      </c>
      <c r="H4494" s="153" t="s">
        <v>215</v>
      </c>
    </row>
    <row r="4495" hidden="1">
      <c r="A4495" s="154" t="s">
        <v>229</v>
      </c>
      <c r="B4495" s="155" t="s">
        <v>193</v>
      </c>
      <c r="C4495" s="155" t="s">
        <v>206</v>
      </c>
      <c r="D4495" s="156" t="s">
        <v>5254</v>
      </c>
      <c r="E4495" s="156" t="s">
        <v>5342</v>
      </c>
      <c r="F4495" s="156" t="s">
        <v>351</v>
      </c>
      <c r="G4495" s="156" t="s">
        <v>2354</v>
      </c>
      <c r="H4495" s="157" t="s">
        <v>216</v>
      </c>
    </row>
    <row r="4496" hidden="1">
      <c r="A4496" s="151" t="s">
        <v>230</v>
      </c>
      <c r="B4496" s="118" t="s">
        <v>194</v>
      </c>
      <c r="C4496" s="118" t="s">
        <v>206</v>
      </c>
      <c r="D4496" s="152" t="s">
        <v>5254</v>
      </c>
      <c r="E4496" s="152" t="s">
        <v>5343</v>
      </c>
      <c r="F4496" s="152" t="s">
        <v>354</v>
      </c>
      <c r="G4496" s="152" t="s">
        <v>3900</v>
      </c>
      <c r="H4496" s="153" t="s">
        <v>210</v>
      </c>
    </row>
    <row r="4497" hidden="1">
      <c r="A4497" s="154" t="s">
        <v>230</v>
      </c>
      <c r="B4497" s="155" t="s">
        <v>194</v>
      </c>
      <c r="C4497" s="155" t="s">
        <v>206</v>
      </c>
      <c r="D4497" s="156" t="s">
        <v>5254</v>
      </c>
      <c r="E4497" s="156" t="s">
        <v>5344</v>
      </c>
      <c r="F4497" s="156" t="s">
        <v>718</v>
      </c>
      <c r="G4497" s="156" t="s">
        <v>3996</v>
      </c>
      <c r="H4497" s="157" t="s">
        <v>211</v>
      </c>
    </row>
    <row r="4498" hidden="1">
      <c r="A4498" s="151" t="s">
        <v>230</v>
      </c>
      <c r="B4498" s="118" t="s">
        <v>194</v>
      </c>
      <c r="C4498" s="118" t="s">
        <v>206</v>
      </c>
      <c r="D4498" s="152" t="s">
        <v>5254</v>
      </c>
      <c r="E4498" s="152" t="s">
        <v>5345</v>
      </c>
      <c r="F4498" s="152" t="s">
        <v>448</v>
      </c>
      <c r="G4498" s="152" t="s">
        <v>1788</v>
      </c>
      <c r="H4498" s="153" t="s">
        <v>212</v>
      </c>
    </row>
    <row r="4499" hidden="1">
      <c r="A4499" s="154" t="s">
        <v>230</v>
      </c>
      <c r="B4499" s="155" t="s">
        <v>194</v>
      </c>
      <c r="C4499" s="155" t="s">
        <v>206</v>
      </c>
      <c r="D4499" s="156" t="s">
        <v>5254</v>
      </c>
      <c r="E4499" s="156" t="s">
        <v>5346</v>
      </c>
      <c r="F4499" s="156" t="s">
        <v>735</v>
      </c>
      <c r="G4499" s="156" t="s">
        <v>4223</v>
      </c>
      <c r="H4499" s="157" t="s">
        <v>213</v>
      </c>
    </row>
    <row r="4500" hidden="1">
      <c r="A4500" s="151" t="s">
        <v>230</v>
      </c>
      <c r="B4500" s="118" t="s">
        <v>194</v>
      </c>
      <c r="C4500" s="118" t="s">
        <v>206</v>
      </c>
      <c r="D4500" s="152" t="s">
        <v>5254</v>
      </c>
      <c r="E4500" s="152" t="s">
        <v>5347</v>
      </c>
      <c r="F4500" s="152" t="s">
        <v>735</v>
      </c>
      <c r="G4500" s="152" t="s">
        <v>3696</v>
      </c>
      <c r="H4500" s="153" t="s">
        <v>214</v>
      </c>
    </row>
    <row r="4501" hidden="1">
      <c r="A4501" s="154" t="s">
        <v>230</v>
      </c>
      <c r="B4501" s="155" t="s">
        <v>194</v>
      </c>
      <c r="C4501" s="155" t="s">
        <v>206</v>
      </c>
      <c r="D4501" s="156" t="s">
        <v>5254</v>
      </c>
      <c r="E4501" s="156" t="s">
        <v>5348</v>
      </c>
      <c r="F4501" s="156" t="s">
        <v>3218</v>
      </c>
      <c r="G4501" s="156" t="s">
        <v>3438</v>
      </c>
      <c r="H4501" s="157" t="s">
        <v>215</v>
      </c>
    </row>
    <row r="4502" hidden="1">
      <c r="A4502" s="151" t="s">
        <v>230</v>
      </c>
      <c r="B4502" s="118" t="s">
        <v>194</v>
      </c>
      <c r="C4502" s="118" t="s">
        <v>206</v>
      </c>
      <c r="D4502" s="152" t="s">
        <v>5254</v>
      </c>
      <c r="E4502" s="152" t="s">
        <v>5349</v>
      </c>
      <c r="F4502" s="152" t="s">
        <v>677</v>
      </c>
      <c r="G4502" s="152" t="s">
        <v>1793</v>
      </c>
      <c r="H4502" s="153" t="s">
        <v>216</v>
      </c>
    </row>
    <row r="4503" hidden="1">
      <c r="A4503" s="158" t="s">
        <v>231</v>
      </c>
      <c r="B4503" s="159"/>
      <c r="C4503" s="155" t="s">
        <v>232</v>
      </c>
      <c r="D4503" s="156" t="s">
        <v>5254</v>
      </c>
      <c r="E4503" s="156" t="s">
        <v>5350</v>
      </c>
      <c r="F4503" s="156" t="s">
        <v>444</v>
      </c>
      <c r="G4503" s="156" t="s">
        <v>3618</v>
      </c>
      <c r="H4503" s="157" t="s">
        <v>210</v>
      </c>
    </row>
    <row r="4504" hidden="1">
      <c r="A4504" s="160" t="s">
        <v>231</v>
      </c>
      <c r="B4504" s="72"/>
      <c r="C4504" s="118" t="s">
        <v>232</v>
      </c>
      <c r="D4504" s="152" t="s">
        <v>5254</v>
      </c>
      <c r="E4504" s="152" t="s">
        <v>5351</v>
      </c>
      <c r="F4504" s="152" t="s">
        <v>3198</v>
      </c>
      <c r="G4504" s="152" t="s">
        <v>2224</v>
      </c>
      <c r="H4504" s="153" t="s">
        <v>211</v>
      </c>
    </row>
    <row r="4505" hidden="1">
      <c r="A4505" s="158" t="s">
        <v>231</v>
      </c>
      <c r="B4505" s="159"/>
      <c r="C4505" s="155" t="s">
        <v>232</v>
      </c>
      <c r="D4505" s="156" t="s">
        <v>5254</v>
      </c>
      <c r="E4505" s="156" t="s">
        <v>5352</v>
      </c>
      <c r="F4505" s="156" t="s">
        <v>450</v>
      </c>
      <c r="G4505" s="156" t="s">
        <v>3893</v>
      </c>
      <c r="H4505" s="157" t="s">
        <v>212</v>
      </c>
    </row>
    <row r="4506" hidden="1">
      <c r="A4506" s="160" t="s">
        <v>231</v>
      </c>
      <c r="B4506" s="72"/>
      <c r="C4506" s="118" t="s">
        <v>232</v>
      </c>
      <c r="D4506" s="152" t="s">
        <v>5254</v>
      </c>
      <c r="E4506" s="152" t="s">
        <v>5353</v>
      </c>
      <c r="F4506" s="152" t="s">
        <v>354</v>
      </c>
      <c r="G4506" s="152" t="s">
        <v>3136</v>
      </c>
      <c r="H4506" s="153" t="s">
        <v>213</v>
      </c>
    </row>
    <row r="4507" hidden="1">
      <c r="A4507" s="158" t="s">
        <v>231</v>
      </c>
      <c r="B4507" s="159"/>
      <c r="C4507" s="155" t="s">
        <v>232</v>
      </c>
      <c r="D4507" s="156" t="s">
        <v>5254</v>
      </c>
      <c r="E4507" s="156" t="s">
        <v>5354</v>
      </c>
      <c r="F4507" s="156" t="s">
        <v>1530</v>
      </c>
      <c r="G4507" s="156" t="s">
        <v>2912</v>
      </c>
      <c r="H4507" s="157" t="s">
        <v>214</v>
      </c>
    </row>
    <row r="4508" hidden="1">
      <c r="A4508" s="160" t="s">
        <v>231</v>
      </c>
      <c r="B4508" s="72"/>
      <c r="C4508" s="118" t="s">
        <v>232</v>
      </c>
      <c r="D4508" s="152" t="s">
        <v>5254</v>
      </c>
      <c r="E4508" s="152" t="s">
        <v>5355</v>
      </c>
      <c r="F4508" s="152" t="s">
        <v>390</v>
      </c>
      <c r="G4508" s="152" t="s">
        <v>2814</v>
      </c>
      <c r="H4508" s="153" t="s">
        <v>215</v>
      </c>
    </row>
    <row r="4509" hidden="1">
      <c r="A4509" s="158" t="s">
        <v>231</v>
      </c>
      <c r="B4509" s="159"/>
      <c r="C4509" s="155" t="s">
        <v>232</v>
      </c>
      <c r="D4509" s="156" t="s">
        <v>5254</v>
      </c>
      <c r="E4509" s="156" t="s">
        <v>5356</v>
      </c>
      <c r="F4509" s="156" t="s">
        <v>3198</v>
      </c>
      <c r="G4509" s="156" t="s">
        <v>3475</v>
      </c>
      <c r="H4509" s="157" t="s">
        <v>216</v>
      </c>
    </row>
    <row r="4510" hidden="1">
      <c r="A4510" s="160" t="s">
        <v>233</v>
      </c>
      <c r="B4510" s="72"/>
      <c r="C4510" s="118" t="s">
        <v>232</v>
      </c>
      <c r="D4510" s="152" t="s">
        <v>5254</v>
      </c>
      <c r="E4510" s="152" t="s">
        <v>5357</v>
      </c>
      <c r="F4510" s="152" t="s">
        <v>450</v>
      </c>
      <c r="G4510" s="152" t="s">
        <v>3108</v>
      </c>
      <c r="H4510" s="153" t="s">
        <v>210</v>
      </c>
    </row>
    <row r="4511" hidden="1">
      <c r="A4511" s="158" t="s">
        <v>233</v>
      </c>
      <c r="B4511" s="159"/>
      <c r="C4511" s="155" t="s">
        <v>232</v>
      </c>
      <c r="D4511" s="156" t="s">
        <v>5254</v>
      </c>
      <c r="E4511" s="156" t="s">
        <v>5358</v>
      </c>
      <c r="F4511" s="156" t="s">
        <v>799</v>
      </c>
      <c r="G4511" s="156" t="s">
        <v>4196</v>
      </c>
      <c r="H4511" s="157" t="s">
        <v>211</v>
      </c>
    </row>
    <row r="4512" hidden="1">
      <c r="A4512" s="160" t="s">
        <v>233</v>
      </c>
      <c r="B4512" s="72"/>
      <c r="C4512" s="118" t="s">
        <v>232</v>
      </c>
      <c r="D4512" s="152" t="s">
        <v>5254</v>
      </c>
      <c r="E4512" s="152" t="s">
        <v>5359</v>
      </c>
      <c r="F4512" s="152" t="s">
        <v>725</v>
      </c>
      <c r="G4512" s="152" t="s">
        <v>3911</v>
      </c>
      <c r="H4512" s="153" t="s">
        <v>212</v>
      </c>
    </row>
    <row r="4513" hidden="1">
      <c r="A4513" s="158" t="s">
        <v>233</v>
      </c>
      <c r="B4513" s="159"/>
      <c r="C4513" s="155" t="s">
        <v>232</v>
      </c>
      <c r="D4513" s="156" t="s">
        <v>5254</v>
      </c>
      <c r="E4513" s="156" t="s">
        <v>5360</v>
      </c>
      <c r="F4513" s="156" t="s">
        <v>425</v>
      </c>
      <c r="G4513" s="156" t="s">
        <v>3371</v>
      </c>
      <c r="H4513" s="157" t="s">
        <v>213</v>
      </c>
    </row>
    <row r="4514" hidden="1">
      <c r="A4514" s="160" t="s">
        <v>233</v>
      </c>
      <c r="B4514" s="72"/>
      <c r="C4514" s="118" t="s">
        <v>232</v>
      </c>
      <c r="D4514" s="152" t="s">
        <v>5254</v>
      </c>
      <c r="E4514" s="152" t="s">
        <v>5361</v>
      </c>
      <c r="F4514" s="152" t="s">
        <v>312</v>
      </c>
      <c r="G4514" s="152" t="s">
        <v>4743</v>
      </c>
      <c r="H4514" s="153" t="s">
        <v>214</v>
      </c>
    </row>
    <row r="4515" hidden="1">
      <c r="A4515" s="158" t="s">
        <v>233</v>
      </c>
      <c r="B4515" s="159"/>
      <c r="C4515" s="155" t="s">
        <v>232</v>
      </c>
      <c r="D4515" s="156" t="s">
        <v>5254</v>
      </c>
      <c r="E4515" s="156" t="s">
        <v>5362</v>
      </c>
      <c r="F4515" s="156" t="s">
        <v>483</v>
      </c>
      <c r="G4515" s="156" t="s">
        <v>3915</v>
      </c>
      <c r="H4515" s="157" t="s">
        <v>215</v>
      </c>
    </row>
    <row r="4516" hidden="1">
      <c r="A4516" s="160" t="s">
        <v>233</v>
      </c>
      <c r="B4516" s="72"/>
      <c r="C4516" s="118" t="s">
        <v>232</v>
      </c>
      <c r="D4516" s="152" t="s">
        <v>5254</v>
      </c>
      <c r="E4516" s="152" t="s">
        <v>5363</v>
      </c>
      <c r="F4516" s="152" t="s">
        <v>483</v>
      </c>
      <c r="G4516" s="152" t="s">
        <v>4146</v>
      </c>
      <c r="H4516" s="153" t="s">
        <v>216</v>
      </c>
    </row>
    <row r="4517" hidden="1">
      <c r="A4517" s="158" t="s">
        <v>234</v>
      </c>
      <c r="B4517" s="159"/>
      <c r="C4517" s="155" t="s">
        <v>232</v>
      </c>
      <c r="D4517" s="156" t="s">
        <v>5254</v>
      </c>
      <c r="E4517" s="156" t="s">
        <v>5364</v>
      </c>
      <c r="F4517" s="156" t="s">
        <v>336</v>
      </c>
      <c r="G4517" s="156" t="s">
        <v>3513</v>
      </c>
      <c r="H4517" s="157" t="s">
        <v>210</v>
      </c>
    </row>
    <row r="4518" hidden="1">
      <c r="A4518" s="160" t="s">
        <v>234</v>
      </c>
      <c r="B4518" s="72"/>
      <c r="C4518" s="118" t="s">
        <v>232</v>
      </c>
      <c r="D4518" s="152" t="s">
        <v>5254</v>
      </c>
      <c r="E4518" s="152" t="s">
        <v>5365</v>
      </c>
      <c r="F4518" s="152" t="s">
        <v>329</v>
      </c>
      <c r="G4518" s="152" t="s">
        <v>2995</v>
      </c>
      <c r="H4518" s="153" t="s">
        <v>211</v>
      </c>
    </row>
    <row r="4519" hidden="1">
      <c r="A4519" s="158" t="s">
        <v>234</v>
      </c>
      <c r="B4519" s="159"/>
      <c r="C4519" s="155" t="s">
        <v>232</v>
      </c>
      <c r="D4519" s="156" t="s">
        <v>5254</v>
      </c>
      <c r="E4519" s="156" t="s">
        <v>5366</v>
      </c>
      <c r="F4519" s="156" t="s">
        <v>425</v>
      </c>
      <c r="G4519" s="156" t="s">
        <v>2665</v>
      </c>
      <c r="H4519" s="157" t="s">
        <v>212</v>
      </c>
    </row>
    <row r="4520" hidden="1">
      <c r="A4520" s="160" t="s">
        <v>234</v>
      </c>
      <c r="B4520" s="72"/>
      <c r="C4520" s="118" t="s">
        <v>232</v>
      </c>
      <c r="D4520" s="152" t="s">
        <v>5254</v>
      </c>
      <c r="E4520" s="152" t="s">
        <v>5367</v>
      </c>
      <c r="F4520" s="152" t="s">
        <v>427</v>
      </c>
      <c r="G4520" s="152" t="s">
        <v>3203</v>
      </c>
      <c r="H4520" s="153" t="s">
        <v>213</v>
      </c>
    </row>
    <row r="4521" hidden="1">
      <c r="A4521" s="158" t="s">
        <v>234</v>
      </c>
      <c r="B4521" s="159"/>
      <c r="C4521" s="155" t="s">
        <v>232</v>
      </c>
      <c r="D4521" s="156" t="s">
        <v>5254</v>
      </c>
      <c r="E4521" s="156" t="s">
        <v>5368</v>
      </c>
      <c r="F4521" s="156" t="s">
        <v>351</v>
      </c>
      <c r="G4521" s="156" t="s">
        <v>3546</v>
      </c>
      <c r="H4521" s="157" t="s">
        <v>214</v>
      </c>
    </row>
    <row r="4522" hidden="1">
      <c r="A4522" s="160" t="s">
        <v>234</v>
      </c>
      <c r="B4522" s="72"/>
      <c r="C4522" s="118" t="s">
        <v>232</v>
      </c>
      <c r="D4522" s="152" t="s">
        <v>5254</v>
      </c>
      <c r="E4522" s="152" t="s">
        <v>5369</v>
      </c>
      <c r="F4522" s="152" t="s">
        <v>1999</v>
      </c>
      <c r="G4522" s="152" t="s">
        <v>3138</v>
      </c>
      <c r="H4522" s="153" t="s">
        <v>215</v>
      </c>
    </row>
    <row r="4523" hidden="1">
      <c r="A4523" s="158" t="s">
        <v>234</v>
      </c>
      <c r="B4523" s="159"/>
      <c r="C4523" s="155" t="s">
        <v>232</v>
      </c>
      <c r="D4523" s="156" t="s">
        <v>5254</v>
      </c>
      <c r="E4523" s="156" t="s">
        <v>5370</v>
      </c>
      <c r="F4523" s="156" t="s">
        <v>325</v>
      </c>
      <c r="G4523" s="156" t="s">
        <v>2285</v>
      </c>
      <c r="H4523" s="157" t="s">
        <v>216</v>
      </c>
    </row>
    <row r="4524" hidden="1">
      <c r="A4524" s="160" t="s">
        <v>235</v>
      </c>
      <c r="B4524" s="72"/>
      <c r="C4524" s="118" t="s">
        <v>236</v>
      </c>
      <c r="D4524" s="152" t="s">
        <v>5254</v>
      </c>
      <c r="E4524" s="152" t="s">
        <v>5371</v>
      </c>
      <c r="F4524" s="152" t="s">
        <v>718</v>
      </c>
      <c r="G4524" s="152" t="s">
        <v>1779</v>
      </c>
      <c r="H4524" s="153" t="s">
        <v>210</v>
      </c>
    </row>
    <row r="4525" hidden="1">
      <c r="A4525" s="158" t="s">
        <v>235</v>
      </c>
      <c r="B4525" s="159"/>
      <c r="C4525" s="155" t="s">
        <v>236</v>
      </c>
      <c r="D4525" s="156" t="s">
        <v>5254</v>
      </c>
      <c r="E4525" s="156" t="s">
        <v>5372</v>
      </c>
      <c r="F4525" s="156" t="s">
        <v>453</v>
      </c>
      <c r="G4525" s="156" t="s">
        <v>3966</v>
      </c>
      <c r="H4525" s="157" t="s">
        <v>211</v>
      </c>
    </row>
    <row r="4526" hidden="1">
      <c r="A4526" s="160" t="s">
        <v>235</v>
      </c>
      <c r="B4526" s="72"/>
      <c r="C4526" s="118" t="s">
        <v>236</v>
      </c>
      <c r="D4526" s="152" t="s">
        <v>5254</v>
      </c>
      <c r="E4526" s="152" t="s">
        <v>5373</v>
      </c>
      <c r="F4526" s="152" t="s">
        <v>677</v>
      </c>
      <c r="G4526" s="152" t="s">
        <v>1997</v>
      </c>
      <c r="H4526" s="153" t="s">
        <v>212</v>
      </c>
    </row>
    <row r="4527" hidden="1">
      <c r="A4527" s="158" t="s">
        <v>235</v>
      </c>
      <c r="B4527" s="159"/>
      <c r="C4527" s="155" t="s">
        <v>236</v>
      </c>
      <c r="D4527" s="156" t="s">
        <v>5254</v>
      </c>
      <c r="E4527" s="156" t="s">
        <v>5374</v>
      </c>
      <c r="F4527" s="156" t="s">
        <v>725</v>
      </c>
      <c r="G4527" s="156" t="s">
        <v>2352</v>
      </c>
      <c r="H4527" s="157" t="s">
        <v>213</v>
      </c>
    </row>
    <row r="4528" hidden="1">
      <c r="A4528" s="160" t="s">
        <v>235</v>
      </c>
      <c r="B4528" s="72"/>
      <c r="C4528" s="118" t="s">
        <v>236</v>
      </c>
      <c r="D4528" s="152" t="s">
        <v>5254</v>
      </c>
      <c r="E4528" s="152" t="s">
        <v>5375</v>
      </c>
      <c r="F4528" s="152" t="s">
        <v>3218</v>
      </c>
      <c r="G4528" s="152" t="s">
        <v>3616</v>
      </c>
      <c r="H4528" s="153" t="s">
        <v>214</v>
      </c>
    </row>
    <row r="4529" hidden="1">
      <c r="A4529" s="158" t="s">
        <v>235</v>
      </c>
      <c r="B4529" s="159"/>
      <c r="C4529" s="155" t="s">
        <v>236</v>
      </c>
      <c r="D4529" s="156" t="s">
        <v>5254</v>
      </c>
      <c r="E4529" s="156" t="s">
        <v>5376</v>
      </c>
      <c r="F4529" s="156" t="s">
        <v>532</v>
      </c>
      <c r="G4529" s="156" t="s">
        <v>4320</v>
      </c>
      <c r="H4529" s="157" t="s">
        <v>215</v>
      </c>
    </row>
    <row r="4530" hidden="1">
      <c r="A4530" s="160" t="s">
        <v>235</v>
      </c>
      <c r="B4530" s="72"/>
      <c r="C4530" s="118" t="s">
        <v>236</v>
      </c>
      <c r="D4530" s="152" t="s">
        <v>5254</v>
      </c>
      <c r="E4530" s="152" t="s">
        <v>5377</v>
      </c>
      <c r="F4530" s="152" t="s">
        <v>532</v>
      </c>
      <c r="G4530" s="152" t="s">
        <v>3838</v>
      </c>
      <c r="H4530" s="153" t="s">
        <v>216</v>
      </c>
    </row>
    <row r="4531" hidden="1">
      <c r="A4531" s="158" t="s">
        <v>237</v>
      </c>
      <c r="B4531" s="159"/>
      <c r="C4531" s="155" t="s">
        <v>236</v>
      </c>
      <c r="D4531" s="156" t="s">
        <v>5254</v>
      </c>
      <c r="E4531" s="156" t="s">
        <v>5378</v>
      </c>
      <c r="F4531" s="156" t="s">
        <v>314</v>
      </c>
      <c r="G4531" s="156" t="s">
        <v>2910</v>
      </c>
      <c r="H4531" s="157" t="s">
        <v>210</v>
      </c>
    </row>
    <row r="4532" hidden="1">
      <c r="A4532" s="160" t="s">
        <v>237</v>
      </c>
      <c r="B4532" s="72"/>
      <c r="C4532" s="118" t="s">
        <v>236</v>
      </c>
      <c r="D4532" s="152" t="s">
        <v>5254</v>
      </c>
      <c r="E4532" s="152" t="s">
        <v>5379</v>
      </c>
      <c r="F4532" s="152" t="s">
        <v>321</v>
      </c>
      <c r="G4532" s="152" t="s">
        <v>1782</v>
      </c>
      <c r="H4532" s="153" t="s">
        <v>211</v>
      </c>
    </row>
    <row r="4533" hidden="1">
      <c r="A4533" s="158" t="s">
        <v>237</v>
      </c>
      <c r="B4533" s="159"/>
      <c r="C4533" s="155" t="s">
        <v>236</v>
      </c>
      <c r="D4533" s="156" t="s">
        <v>5254</v>
      </c>
      <c r="E4533" s="156" t="s">
        <v>5380</v>
      </c>
      <c r="F4533" s="156" t="s">
        <v>285</v>
      </c>
      <c r="G4533" s="156" t="s">
        <v>2965</v>
      </c>
      <c r="H4533" s="157" t="s">
        <v>212</v>
      </c>
    </row>
    <row r="4534" hidden="1">
      <c r="A4534" s="160" t="s">
        <v>237</v>
      </c>
      <c r="B4534" s="72"/>
      <c r="C4534" s="118" t="s">
        <v>236</v>
      </c>
      <c r="D4534" s="152" t="s">
        <v>5254</v>
      </c>
      <c r="E4534" s="152" t="s">
        <v>5381</v>
      </c>
      <c r="F4534" s="152" t="s">
        <v>323</v>
      </c>
      <c r="G4534" s="152" t="s">
        <v>3262</v>
      </c>
      <c r="H4534" s="153" t="s">
        <v>213</v>
      </c>
    </row>
    <row r="4535" hidden="1">
      <c r="A4535" s="158" t="s">
        <v>237</v>
      </c>
      <c r="B4535" s="159"/>
      <c r="C4535" s="155" t="s">
        <v>236</v>
      </c>
      <c r="D4535" s="156" t="s">
        <v>5254</v>
      </c>
      <c r="E4535" s="156" t="s">
        <v>5382</v>
      </c>
      <c r="F4535" s="156" t="s">
        <v>357</v>
      </c>
      <c r="G4535" s="156" t="s">
        <v>3404</v>
      </c>
      <c r="H4535" s="157" t="s">
        <v>214</v>
      </c>
    </row>
    <row r="4536" hidden="1">
      <c r="A4536" s="160" t="s">
        <v>237</v>
      </c>
      <c r="B4536" s="72"/>
      <c r="C4536" s="118" t="s">
        <v>236</v>
      </c>
      <c r="D4536" s="152" t="s">
        <v>5254</v>
      </c>
      <c r="E4536" s="152" t="s">
        <v>5383</v>
      </c>
      <c r="F4536" s="152" t="s">
        <v>534</v>
      </c>
      <c r="G4536" s="152" t="s">
        <v>2989</v>
      </c>
      <c r="H4536" s="153" t="s">
        <v>215</v>
      </c>
    </row>
    <row r="4537" hidden="1">
      <c r="A4537" s="158" t="s">
        <v>237</v>
      </c>
      <c r="B4537" s="159"/>
      <c r="C4537" s="155" t="s">
        <v>236</v>
      </c>
      <c r="D4537" s="156" t="s">
        <v>5254</v>
      </c>
      <c r="E4537" s="156" t="s">
        <v>5384</v>
      </c>
      <c r="F4537" s="156" t="s">
        <v>314</v>
      </c>
      <c r="G4537" s="156" t="s">
        <v>3445</v>
      </c>
      <c r="H4537" s="157" t="s">
        <v>216</v>
      </c>
    </row>
    <row r="4538" hidden="1">
      <c r="A4538" s="151" t="s">
        <v>204</v>
      </c>
      <c r="B4538" s="118" t="s">
        <v>205</v>
      </c>
      <c r="C4538" s="118" t="s">
        <v>206</v>
      </c>
      <c r="D4538" s="152" t="s">
        <v>5385</v>
      </c>
      <c r="E4538" s="152" t="s">
        <v>5386</v>
      </c>
      <c r="F4538" s="152" t="s">
        <v>325</v>
      </c>
      <c r="G4538" s="152" t="s">
        <v>4019</v>
      </c>
      <c r="H4538" s="153" t="s">
        <v>210</v>
      </c>
    </row>
    <row r="4539" hidden="1">
      <c r="A4539" s="154" t="s">
        <v>204</v>
      </c>
      <c r="B4539" s="155" t="s">
        <v>205</v>
      </c>
      <c r="C4539" s="155" t="s">
        <v>206</v>
      </c>
      <c r="D4539" s="156" t="s">
        <v>5385</v>
      </c>
      <c r="E4539" s="156" t="s">
        <v>5387</v>
      </c>
      <c r="F4539" s="156" t="s">
        <v>336</v>
      </c>
      <c r="G4539" s="156" t="s">
        <v>4002</v>
      </c>
      <c r="H4539" s="157" t="s">
        <v>211</v>
      </c>
    </row>
    <row r="4540" hidden="1">
      <c r="A4540" s="151" t="s">
        <v>204</v>
      </c>
      <c r="B4540" s="118" t="s">
        <v>205</v>
      </c>
      <c r="C4540" s="118" t="s">
        <v>206</v>
      </c>
      <c r="D4540" s="152" t="s">
        <v>5385</v>
      </c>
      <c r="E4540" s="152" t="s">
        <v>5388</v>
      </c>
      <c r="F4540" s="152" t="s">
        <v>483</v>
      </c>
      <c r="G4540" s="152" t="s">
        <v>4161</v>
      </c>
      <c r="H4540" s="153" t="s">
        <v>212</v>
      </c>
    </row>
    <row r="4541" hidden="1">
      <c r="A4541" s="154" t="s">
        <v>204</v>
      </c>
      <c r="B4541" s="155" t="s">
        <v>205</v>
      </c>
      <c r="C4541" s="155" t="s">
        <v>206</v>
      </c>
      <c r="D4541" s="156" t="s">
        <v>5385</v>
      </c>
      <c r="E4541" s="156" t="s">
        <v>5389</v>
      </c>
      <c r="F4541" s="156" t="s">
        <v>450</v>
      </c>
      <c r="G4541" s="156" t="s">
        <v>3872</v>
      </c>
      <c r="H4541" s="157" t="s">
        <v>213</v>
      </c>
    </row>
    <row r="4542" hidden="1">
      <c r="A4542" s="151" t="s">
        <v>204</v>
      </c>
      <c r="B4542" s="118" t="s">
        <v>205</v>
      </c>
      <c r="C4542" s="118" t="s">
        <v>206</v>
      </c>
      <c r="D4542" s="152" t="s">
        <v>5385</v>
      </c>
      <c r="E4542" s="152" t="s">
        <v>5390</v>
      </c>
      <c r="F4542" s="152" t="s">
        <v>351</v>
      </c>
      <c r="G4542" s="152" t="s">
        <v>1776</v>
      </c>
      <c r="H4542" s="153" t="s">
        <v>214</v>
      </c>
    </row>
    <row r="4543" hidden="1">
      <c r="A4543" s="154" t="s">
        <v>204</v>
      </c>
      <c r="B4543" s="155" t="s">
        <v>205</v>
      </c>
      <c r="C4543" s="155" t="s">
        <v>206</v>
      </c>
      <c r="D4543" s="156" t="s">
        <v>5385</v>
      </c>
      <c r="E4543" s="156" t="s">
        <v>5391</v>
      </c>
      <c r="F4543" s="156" t="s">
        <v>799</v>
      </c>
      <c r="G4543" s="156" t="s">
        <v>3108</v>
      </c>
      <c r="H4543" s="157" t="s">
        <v>215</v>
      </c>
    </row>
    <row r="4544" hidden="1">
      <c r="A4544" s="151" t="s">
        <v>204</v>
      </c>
      <c r="B4544" s="118" t="s">
        <v>205</v>
      </c>
      <c r="C4544" s="118" t="s">
        <v>206</v>
      </c>
      <c r="D4544" s="152" t="s">
        <v>5385</v>
      </c>
      <c r="E4544" s="152" t="s">
        <v>5392</v>
      </c>
      <c r="F4544" s="152" t="s">
        <v>450</v>
      </c>
      <c r="G4544" s="152" t="s">
        <v>4992</v>
      </c>
      <c r="H4544" s="153" t="s">
        <v>216</v>
      </c>
    </row>
    <row r="4545" hidden="1">
      <c r="A4545" s="154" t="s">
        <v>217</v>
      </c>
      <c r="B4545" s="155" t="s">
        <v>191</v>
      </c>
      <c r="C4545" s="155" t="s">
        <v>206</v>
      </c>
      <c r="D4545" s="156" t="s">
        <v>5385</v>
      </c>
      <c r="E4545" s="156" t="s">
        <v>5393</v>
      </c>
      <c r="F4545" s="156" t="s">
        <v>331</v>
      </c>
      <c r="G4545" s="156" t="s">
        <v>4317</v>
      </c>
      <c r="H4545" s="157" t="s">
        <v>210</v>
      </c>
    </row>
    <row r="4546" hidden="1">
      <c r="A4546" s="151" t="s">
        <v>217</v>
      </c>
      <c r="B4546" s="118" t="s">
        <v>191</v>
      </c>
      <c r="C4546" s="118" t="s">
        <v>206</v>
      </c>
      <c r="D4546" s="152" t="s">
        <v>5385</v>
      </c>
      <c r="E4546" s="152" t="s">
        <v>5394</v>
      </c>
      <c r="F4546" s="152" t="s">
        <v>339</v>
      </c>
      <c r="G4546" s="152" t="s">
        <v>3616</v>
      </c>
      <c r="H4546" s="153" t="s">
        <v>211</v>
      </c>
    </row>
    <row r="4547" hidden="1">
      <c r="A4547" s="154" t="s">
        <v>217</v>
      </c>
      <c r="B4547" s="155" t="s">
        <v>191</v>
      </c>
      <c r="C4547" s="155" t="s">
        <v>206</v>
      </c>
      <c r="D4547" s="156" t="s">
        <v>5385</v>
      </c>
      <c r="E4547" s="156" t="s">
        <v>5395</v>
      </c>
      <c r="F4547" s="156" t="s">
        <v>425</v>
      </c>
      <c r="G4547" s="156" t="s">
        <v>3302</v>
      </c>
      <c r="H4547" s="157" t="s">
        <v>212</v>
      </c>
    </row>
    <row r="4548" hidden="1">
      <c r="A4548" s="151" t="s">
        <v>217</v>
      </c>
      <c r="B4548" s="118" t="s">
        <v>191</v>
      </c>
      <c r="C4548" s="118" t="s">
        <v>206</v>
      </c>
      <c r="D4548" s="152" t="s">
        <v>5385</v>
      </c>
      <c r="E4548" s="152" t="s">
        <v>5396</v>
      </c>
      <c r="F4548" s="152" t="s">
        <v>351</v>
      </c>
      <c r="G4548" s="152" t="s">
        <v>3812</v>
      </c>
      <c r="H4548" s="153" t="s">
        <v>213</v>
      </c>
    </row>
    <row r="4549" hidden="1">
      <c r="A4549" s="154" t="s">
        <v>217</v>
      </c>
      <c r="B4549" s="155" t="s">
        <v>191</v>
      </c>
      <c r="C4549" s="155" t="s">
        <v>206</v>
      </c>
      <c r="D4549" s="156" t="s">
        <v>5385</v>
      </c>
      <c r="E4549" s="156" t="s">
        <v>5397</v>
      </c>
      <c r="F4549" s="156" t="s">
        <v>331</v>
      </c>
      <c r="G4549" s="156" t="s">
        <v>3532</v>
      </c>
      <c r="H4549" s="157" t="s">
        <v>214</v>
      </c>
    </row>
    <row r="4550" hidden="1">
      <c r="A4550" s="151" t="s">
        <v>217</v>
      </c>
      <c r="B4550" s="118" t="s">
        <v>191</v>
      </c>
      <c r="C4550" s="118" t="s">
        <v>206</v>
      </c>
      <c r="D4550" s="152" t="s">
        <v>5385</v>
      </c>
      <c r="E4550" s="152" t="s">
        <v>5398</v>
      </c>
      <c r="F4550" s="152" t="s">
        <v>425</v>
      </c>
      <c r="G4550" s="152" t="s">
        <v>3939</v>
      </c>
      <c r="H4550" s="153" t="s">
        <v>215</v>
      </c>
    </row>
    <row r="4551" hidden="1">
      <c r="A4551" s="154" t="s">
        <v>217</v>
      </c>
      <c r="B4551" s="155" t="s">
        <v>191</v>
      </c>
      <c r="C4551" s="155" t="s">
        <v>206</v>
      </c>
      <c r="D4551" s="156" t="s">
        <v>5385</v>
      </c>
      <c r="E4551" s="156" t="s">
        <v>5399</v>
      </c>
      <c r="F4551" s="156" t="s">
        <v>310</v>
      </c>
      <c r="G4551" s="156" t="s">
        <v>4024</v>
      </c>
      <c r="H4551" s="157" t="s">
        <v>216</v>
      </c>
    </row>
    <row r="4552" hidden="1">
      <c r="A4552" s="151" t="s">
        <v>218</v>
      </c>
      <c r="B4552" s="118" t="s">
        <v>219</v>
      </c>
      <c r="C4552" s="118" t="s">
        <v>206</v>
      </c>
      <c r="D4552" s="152" t="s">
        <v>5385</v>
      </c>
      <c r="E4552" s="152" t="s">
        <v>5400</v>
      </c>
      <c r="F4552" s="152" t="s">
        <v>310</v>
      </c>
      <c r="G4552" s="152" t="s">
        <v>2348</v>
      </c>
      <c r="H4552" s="153" t="s">
        <v>210</v>
      </c>
    </row>
    <row r="4553" hidden="1">
      <c r="A4553" s="154" t="s">
        <v>218</v>
      </c>
      <c r="B4553" s="155" t="s">
        <v>219</v>
      </c>
      <c r="C4553" s="155" t="s">
        <v>206</v>
      </c>
      <c r="D4553" s="156" t="s">
        <v>5385</v>
      </c>
      <c r="E4553" s="156" t="s">
        <v>5401</v>
      </c>
      <c r="F4553" s="156" t="s">
        <v>305</v>
      </c>
      <c r="G4553" s="156" t="s">
        <v>2506</v>
      </c>
      <c r="H4553" s="157" t="s">
        <v>211</v>
      </c>
    </row>
    <row r="4554" hidden="1">
      <c r="A4554" s="151" t="s">
        <v>218</v>
      </c>
      <c r="B4554" s="118" t="s">
        <v>219</v>
      </c>
      <c r="C4554" s="118" t="s">
        <v>206</v>
      </c>
      <c r="D4554" s="152" t="s">
        <v>5385</v>
      </c>
      <c r="E4554" s="152" t="s">
        <v>5402</v>
      </c>
      <c r="F4554" s="152" t="s">
        <v>351</v>
      </c>
      <c r="G4554" s="152" t="s">
        <v>3396</v>
      </c>
      <c r="H4554" s="153" t="s">
        <v>212</v>
      </c>
    </row>
    <row r="4555" hidden="1">
      <c r="A4555" s="154" t="s">
        <v>218</v>
      </c>
      <c r="B4555" s="155" t="s">
        <v>219</v>
      </c>
      <c r="C4555" s="155" t="s">
        <v>206</v>
      </c>
      <c r="D4555" s="156" t="s">
        <v>5385</v>
      </c>
      <c r="E4555" s="156" t="s">
        <v>5403</v>
      </c>
      <c r="F4555" s="156" t="s">
        <v>534</v>
      </c>
      <c r="G4555" s="156" t="s">
        <v>2665</v>
      </c>
      <c r="H4555" s="157" t="s">
        <v>213</v>
      </c>
    </row>
    <row r="4556" hidden="1">
      <c r="A4556" s="151" t="s">
        <v>218</v>
      </c>
      <c r="B4556" s="118" t="s">
        <v>219</v>
      </c>
      <c r="C4556" s="118" t="s">
        <v>206</v>
      </c>
      <c r="D4556" s="152" t="s">
        <v>5385</v>
      </c>
      <c r="E4556" s="152" t="s">
        <v>5404</v>
      </c>
      <c r="F4556" s="152" t="s">
        <v>310</v>
      </c>
      <c r="G4556" s="152" t="s">
        <v>3908</v>
      </c>
      <c r="H4556" s="153" t="s">
        <v>214</v>
      </c>
    </row>
    <row r="4557" hidden="1">
      <c r="A4557" s="154" t="s">
        <v>218</v>
      </c>
      <c r="B4557" s="155" t="s">
        <v>219</v>
      </c>
      <c r="C4557" s="155" t="s">
        <v>206</v>
      </c>
      <c r="D4557" s="156" t="s">
        <v>5385</v>
      </c>
      <c r="E4557" s="156" t="s">
        <v>5405</v>
      </c>
      <c r="F4557" s="156" t="s">
        <v>310</v>
      </c>
      <c r="G4557" s="156" t="s">
        <v>3941</v>
      </c>
      <c r="H4557" s="157" t="s">
        <v>215</v>
      </c>
    </row>
    <row r="4558" hidden="1">
      <c r="A4558" s="151" t="s">
        <v>218</v>
      </c>
      <c r="B4558" s="118" t="s">
        <v>219</v>
      </c>
      <c r="C4558" s="118" t="s">
        <v>206</v>
      </c>
      <c r="D4558" s="152" t="s">
        <v>5385</v>
      </c>
      <c r="E4558" s="152" t="s">
        <v>5406</v>
      </c>
      <c r="F4558" s="152" t="s">
        <v>310</v>
      </c>
      <c r="G4558" s="152" t="s">
        <v>2663</v>
      </c>
      <c r="H4558" s="153" t="s">
        <v>216</v>
      </c>
    </row>
    <row r="4559" hidden="1">
      <c r="A4559" s="154" t="s">
        <v>220</v>
      </c>
      <c r="B4559" s="155" t="s">
        <v>190</v>
      </c>
      <c r="C4559" s="155" t="s">
        <v>206</v>
      </c>
      <c r="D4559" s="156" t="s">
        <v>5385</v>
      </c>
      <c r="E4559" s="156" t="s">
        <v>5407</v>
      </c>
      <c r="F4559" s="156" t="s">
        <v>365</v>
      </c>
      <c r="G4559" s="156" t="s">
        <v>4019</v>
      </c>
      <c r="H4559" s="157" t="s">
        <v>210</v>
      </c>
    </row>
    <row r="4560" hidden="1">
      <c r="A4560" s="151" t="s">
        <v>220</v>
      </c>
      <c r="B4560" s="118" t="s">
        <v>190</v>
      </c>
      <c r="C4560" s="118" t="s">
        <v>206</v>
      </c>
      <c r="D4560" s="152" t="s">
        <v>5385</v>
      </c>
      <c r="E4560" s="152" t="s">
        <v>5408</v>
      </c>
      <c r="F4560" s="152" t="s">
        <v>308</v>
      </c>
      <c r="G4560" s="152" t="s">
        <v>2965</v>
      </c>
      <c r="H4560" s="153" t="s">
        <v>211</v>
      </c>
    </row>
    <row r="4561" hidden="1">
      <c r="A4561" s="154" t="s">
        <v>220</v>
      </c>
      <c r="B4561" s="155" t="s">
        <v>190</v>
      </c>
      <c r="C4561" s="155" t="s">
        <v>206</v>
      </c>
      <c r="D4561" s="156" t="s">
        <v>5385</v>
      </c>
      <c r="E4561" s="156" t="s">
        <v>5409</v>
      </c>
      <c r="F4561" s="156" t="s">
        <v>325</v>
      </c>
      <c r="G4561" s="156" t="s">
        <v>3911</v>
      </c>
      <c r="H4561" s="157" t="s">
        <v>212</v>
      </c>
    </row>
    <row r="4562" hidden="1">
      <c r="A4562" s="151" t="s">
        <v>220</v>
      </c>
      <c r="B4562" s="118" t="s">
        <v>190</v>
      </c>
      <c r="C4562" s="118" t="s">
        <v>206</v>
      </c>
      <c r="D4562" s="152" t="s">
        <v>5385</v>
      </c>
      <c r="E4562" s="152" t="s">
        <v>5410</v>
      </c>
      <c r="F4562" s="152" t="s">
        <v>290</v>
      </c>
      <c r="G4562" s="152" t="s">
        <v>3908</v>
      </c>
      <c r="H4562" s="153" t="s">
        <v>213</v>
      </c>
    </row>
    <row r="4563" hidden="1">
      <c r="A4563" s="154" t="s">
        <v>220</v>
      </c>
      <c r="B4563" s="155" t="s">
        <v>190</v>
      </c>
      <c r="C4563" s="155" t="s">
        <v>206</v>
      </c>
      <c r="D4563" s="156" t="s">
        <v>5385</v>
      </c>
      <c r="E4563" s="156" t="s">
        <v>4363</v>
      </c>
      <c r="F4563" s="156" t="s">
        <v>257</v>
      </c>
      <c r="G4563" s="156" t="s">
        <v>2818</v>
      </c>
      <c r="H4563" s="157" t="s">
        <v>214</v>
      </c>
    </row>
    <row r="4564" hidden="1">
      <c r="A4564" s="151" t="s">
        <v>220</v>
      </c>
      <c r="B4564" s="118" t="s">
        <v>190</v>
      </c>
      <c r="C4564" s="118" t="s">
        <v>206</v>
      </c>
      <c r="D4564" s="152" t="s">
        <v>5385</v>
      </c>
      <c r="E4564" s="152" t="s">
        <v>5411</v>
      </c>
      <c r="F4564" s="152" t="s">
        <v>450</v>
      </c>
      <c r="G4564" s="152" t="s">
        <v>2822</v>
      </c>
      <c r="H4564" s="153" t="s">
        <v>215</v>
      </c>
    </row>
    <row r="4565" hidden="1">
      <c r="A4565" s="154" t="s">
        <v>220</v>
      </c>
      <c r="B4565" s="155" t="s">
        <v>190</v>
      </c>
      <c r="C4565" s="155" t="s">
        <v>206</v>
      </c>
      <c r="D4565" s="156" t="s">
        <v>5385</v>
      </c>
      <c r="E4565" s="156" t="s">
        <v>5412</v>
      </c>
      <c r="F4565" s="156" t="s">
        <v>314</v>
      </c>
      <c r="G4565" s="156" t="s">
        <v>3919</v>
      </c>
      <c r="H4565" s="157" t="s">
        <v>216</v>
      </c>
    </row>
    <row r="4566" hidden="1">
      <c r="A4566" s="151" t="s">
        <v>221</v>
      </c>
      <c r="B4566" s="118" t="s">
        <v>189</v>
      </c>
      <c r="C4566" s="118" t="s">
        <v>206</v>
      </c>
      <c r="D4566" s="152" t="s">
        <v>5385</v>
      </c>
      <c r="E4566" s="152" t="s">
        <v>5413</v>
      </c>
      <c r="F4566" s="152" t="s">
        <v>308</v>
      </c>
      <c r="G4566" s="152" t="s">
        <v>2119</v>
      </c>
      <c r="H4566" s="153" t="s">
        <v>210</v>
      </c>
    </row>
    <row r="4567" hidden="1">
      <c r="A4567" s="154" t="s">
        <v>221</v>
      </c>
      <c r="B4567" s="155" t="s">
        <v>189</v>
      </c>
      <c r="C4567" s="155" t="s">
        <v>206</v>
      </c>
      <c r="D4567" s="156" t="s">
        <v>5385</v>
      </c>
      <c r="E4567" s="156" t="s">
        <v>5414</v>
      </c>
      <c r="F4567" s="156" t="s">
        <v>246</v>
      </c>
      <c r="G4567" s="156" t="s">
        <v>2600</v>
      </c>
      <c r="H4567" s="157" t="s">
        <v>211</v>
      </c>
    </row>
    <row r="4568" hidden="1">
      <c r="A4568" s="151" t="s">
        <v>221</v>
      </c>
      <c r="B4568" s="118" t="s">
        <v>189</v>
      </c>
      <c r="C4568" s="118" t="s">
        <v>206</v>
      </c>
      <c r="D4568" s="152" t="s">
        <v>5385</v>
      </c>
      <c r="E4568" s="152" t="s">
        <v>5415</v>
      </c>
      <c r="F4568" s="152" t="s">
        <v>365</v>
      </c>
      <c r="G4568" s="152" t="s">
        <v>3815</v>
      </c>
      <c r="H4568" s="153" t="s">
        <v>212</v>
      </c>
    </row>
    <row r="4569" hidden="1">
      <c r="A4569" s="154" t="s">
        <v>221</v>
      </c>
      <c r="B4569" s="155" t="s">
        <v>189</v>
      </c>
      <c r="C4569" s="155" t="s">
        <v>206</v>
      </c>
      <c r="D4569" s="156" t="s">
        <v>5385</v>
      </c>
      <c r="E4569" s="156" t="s">
        <v>5416</v>
      </c>
      <c r="F4569" s="156" t="s">
        <v>314</v>
      </c>
      <c r="G4569" s="156" t="s">
        <v>2181</v>
      </c>
      <c r="H4569" s="157" t="s">
        <v>213</v>
      </c>
    </row>
    <row r="4570" hidden="1">
      <c r="A4570" s="151" t="s">
        <v>221</v>
      </c>
      <c r="B4570" s="118" t="s">
        <v>189</v>
      </c>
      <c r="C4570" s="118" t="s">
        <v>206</v>
      </c>
      <c r="D4570" s="152" t="s">
        <v>5385</v>
      </c>
      <c r="E4570" s="152" t="s">
        <v>5417</v>
      </c>
      <c r="F4570" s="152" t="s">
        <v>265</v>
      </c>
      <c r="G4570" s="152" t="s">
        <v>2929</v>
      </c>
      <c r="H4570" s="153" t="s">
        <v>214</v>
      </c>
    </row>
    <row r="4571" hidden="1">
      <c r="A4571" s="154" t="s">
        <v>221</v>
      </c>
      <c r="B4571" s="155" t="s">
        <v>189</v>
      </c>
      <c r="C4571" s="155" t="s">
        <v>206</v>
      </c>
      <c r="D4571" s="156" t="s">
        <v>5385</v>
      </c>
      <c r="E4571" s="156" t="s">
        <v>5418</v>
      </c>
      <c r="F4571" s="156" t="s">
        <v>287</v>
      </c>
      <c r="G4571" s="156" t="s">
        <v>3151</v>
      </c>
      <c r="H4571" s="157" t="s">
        <v>215</v>
      </c>
    </row>
    <row r="4572" hidden="1">
      <c r="A4572" s="151" t="s">
        <v>221</v>
      </c>
      <c r="B4572" s="118" t="s">
        <v>189</v>
      </c>
      <c r="C4572" s="118" t="s">
        <v>206</v>
      </c>
      <c r="D4572" s="152" t="s">
        <v>5385</v>
      </c>
      <c r="E4572" s="152" t="s">
        <v>5419</v>
      </c>
      <c r="F4572" s="152" t="s">
        <v>323</v>
      </c>
      <c r="G4572" s="152" t="s">
        <v>3226</v>
      </c>
      <c r="H4572" s="153" t="s">
        <v>216</v>
      </c>
    </row>
    <row r="4573" hidden="1">
      <c r="A4573" s="154" t="s">
        <v>222</v>
      </c>
      <c r="B4573" s="155" t="s">
        <v>192</v>
      </c>
      <c r="C4573" s="155" t="s">
        <v>206</v>
      </c>
      <c r="D4573" s="156" t="s">
        <v>5385</v>
      </c>
      <c r="E4573" s="156" t="s">
        <v>5420</v>
      </c>
      <c r="F4573" s="156" t="s">
        <v>1999</v>
      </c>
      <c r="G4573" s="156" t="s">
        <v>4178</v>
      </c>
      <c r="H4573" s="157" t="s">
        <v>210</v>
      </c>
    </row>
    <row r="4574" hidden="1">
      <c r="A4574" s="151" t="s">
        <v>222</v>
      </c>
      <c r="B4574" s="118" t="s">
        <v>192</v>
      </c>
      <c r="C4574" s="118" t="s">
        <v>206</v>
      </c>
      <c r="D4574" s="152" t="s">
        <v>5385</v>
      </c>
      <c r="E4574" s="152" t="s">
        <v>5421</v>
      </c>
      <c r="F4574" s="152" t="s">
        <v>1532</v>
      </c>
      <c r="G4574" s="152" t="s">
        <v>3932</v>
      </c>
      <c r="H4574" s="153" t="s">
        <v>211</v>
      </c>
    </row>
    <row r="4575" hidden="1">
      <c r="A4575" s="154" t="s">
        <v>222</v>
      </c>
      <c r="B4575" s="155" t="s">
        <v>192</v>
      </c>
      <c r="C4575" s="155" t="s">
        <v>206</v>
      </c>
      <c r="D4575" s="156" t="s">
        <v>5385</v>
      </c>
      <c r="E4575" s="156" t="s">
        <v>5422</v>
      </c>
      <c r="F4575" s="156" t="s">
        <v>532</v>
      </c>
      <c r="G4575" s="156" t="s">
        <v>4119</v>
      </c>
      <c r="H4575" s="157" t="s">
        <v>212</v>
      </c>
    </row>
    <row r="4576" hidden="1">
      <c r="A4576" s="151" t="s">
        <v>222</v>
      </c>
      <c r="B4576" s="118" t="s">
        <v>192</v>
      </c>
      <c r="C4576" s="118" t="s">
        <v>206</v>
      </c>
      <c r="D4576" s="152" t="s">
        <v>5385</v>
      </c>
      <c r="E4576" s="152" t="s">
        <v>5423</v>
      </c>
      <c r="F4576" s="152" t="s">
        <v>1999</v>
      </c>
      <c r="G4576" s="152" t="s">
        <v>3304</v>
      </c>
      <c r="H4576" s="153" t="s">
        <v>213</v>
      </c>
    </row>
    <row r="4577" hidden="1">
      <c r="A4577" s="154" t="s">
        <v>222</v>
      </c>
      <c r="B4577" s="155" t="s">
        <v>192</v>
      </c>
      <c r="C4577" s="155" t="s">
        <v>206</v>
      </c>
      <c r="D4577" s="156" t="s">
        <v>5385</v>
      </c>
      <c r="E4577" s="156" t="s">
        <v>5424</v>
      </c>
      <c r="F4577" s="156" t="s">
        <v>3218</v>
      </c>
      <c r="G4577" s="156" t="s">
        <v>4446</v>
      </c>
      <c r="H4577" s="157" t="s">
        <v>214</v>
      </c>
    </row>
    <row r="4578" hidden="1">
      <c r="A4578" s="151" t="s">
        <v>222</v>
      </c>
      <c r="B4578" s="118" t="s">
        <v>192</v>
      </c>
      <c r="C4578" s="118" t="s">
        <v>206</v>
      </c>
      <c r="D4578" s="152" t="s">
        <v>5385</v>
      </c>
      <c r="E4578" s="152" t="s">
        <v>5425</v>
      </c>
      <c r="F4578" s="152" t="s">
        <v>312</v>
      </c>
      <c r="G4578" s="152" t="s">
        <v>4376</v>
      </c>
      <c r="H4578" s="153" t="s">
        <v>215</v>
      </c>
    </row>
    <row r="4579" hidden="1">
      <c r="A4579" s="154" t="s">
        <v>222</v>
      </c>
      <c r="B4579" s="155" t="s">
        <v>192</v>
      </c>
      <c r="C4579" s="155" t="s">
        <v>206</v>
      </c>
      <c r="D4579" s="156" t="s">
        <v>5385</v>
      </c>
      <c r="E4579" s="156" t="s">
        <v>5426</v>
      </c>
      <c r="F4579" s="156" t="s">
        <v>453</v>
      </c>
      <c r="G4579" s="156" t="s">
        <v>1785</v>
      </c>
      <c r="H4579" s="157" t="s">
        <v>216</v>
      </c>
    </row>
    <row r="4580" hidden="1">
      <c r="A4580" s="151" t="s">
        <v>223</v>
      </c>
      <c r="B4580" s="118" t="s">
        <v>144</v>
      </c>
      <c r="C4580" s="118" t="s">
        <v>206</v>
      </c>
      <c r="D4580" s="152" t="s">
        <v>5385</v>
      </c>
      <c r="E4580" s="152" t="s">
        <v>5427</v>
      </c>
      <c r="F4580" s="152" t="s">
        <v>760</v>
      </c>
      <c r="G4580" s="152" t="s">
        <v>4079</v>
      </c>
      <c r="H4580" s="153" t="s">
        <v>210</v>
      </c>
    </row>
    <row r="4581" hidden="1">
      <c r="A4581" s="154" t="s">
        <v>223</v>
      </c>
      <c r="B4581" s="155" t="s">
        <v>144</v>
      </c>
      <c r="C4581" s="155" t="s">
        <v>206</v>
      </c>
      <c r="D4581" s="156" t="s">
        <v>5385</v>
      </c>
      <c r="E4581" s="156" t="s">
        <v>5428</v>
      </c>
      <c r="F4581" s="156" t="s">
        <v>718</v>
      </c>
      <c r="G4581" s="156" t="s">
        <v>5037</v>
      </c>
      <c r="H4581" s="157" t="s">
        <v>211</v>
      </c>
    </row>
    <row r="4582" hidden="1">
      <c r="A4582" s="151" t="s">
        <v>223</v>
      </c>
      <c r="B4582" s="118" t="s">
        <v>144</v>
      </c>
      <c r="C4582" s="118" t="s">
        <v>206</v>
      </c>
      <c r="D4582" s="152" t="s">
        <v>5385</v>
      </c>
      <c r="E4582" s="152" t="s">
        <v>5429</v>
      </c>
      <c r="F4582" s="152" t="s">
        <v>354</v>
      </c>
      <c r="G4582" s="152" t="s">
        <v>5430</v>
      </c>
      <c r="H4582" s="153" t="s">
        <v>212</v>
      </c>
    </row>
    <row r="4583" hidden="1">
      <c r="A4583" s="154" t="s">
        <v>223</v>
      </c>
      <c r="B4583" s="155" t="s">
        <v>144</v>
      </c>
      <c r="C4583" s="155" t="s">
        <v>206</v>
      </c>
      <c r="D4583" s="156" t="s">
        <v>5385</v>
      </c>
      <c r="E4583" s="156" t="s">
        <v>5431</v>
      </c>
      <c r="F4583" s="156" t="s">
        <v>329</v>
      </c>
      <c r="G4583" s="156" t="s">
        <v>5432</v>
      </c>
      <c r="H4583" s="157" t="s">
        <v>213</v>
      </c>
    </row>
    <row r="4584" hidden="1">
      <c r="A4584" s="151" t="s">
        <v>223</v>
      </c>
      <c r="B4584" s="118" t="s">
        <v>144</v>
      </c>
      <c r="C4584" s="118" t="s">
        <v>206</v>
      </c>
      <c r="D4584" s="152" t="s">
        <v>5385</v>
      </c>
      <c r="E4584" s="152" t="s">
        <v>5433</v>
      </c>
      <c r="F4584" s="152" t="s">
        <v>1532</v>
      </c>
      <c r="G4584" s="152" t="s">
        <v>5434</v>
      </c>
      <c r="H4584" s="153" t="s">
        <v>214</v>
      </c>
    </row>
    <row r="4585" hidden="1">
      <c r="A4585" s="154" t="s">
        <v>223</v>
      </c>
      <c r="B4585" s="155" t="s">
        <v>144</v>
      </c>
      <c r="C4585" s="155" t="s">
        <v>206</v>
      </c>
      <c r="D4585" s="156" t="s">
        <v>5385</v>
      </c>
      <c r="E4585" s="156" t="s">
        <v>5435</v>
      </c>
      <c r="F4585" s="156" t="s">
        <v>3218</v>
      </c>
      <c r="G4585" s="156" t="s">
        <v>5436</v>
      </c>
      <c r="H4585" s="157" t="s">
        <v>215</v>
      </c>
    </row>
    <row r="4586" hidden="1">
      <c r="A4586" s="151" t="s">
        <v>223</v>
      </c>
      <c r="B4586" s="118" t="s">
        <v>144</v>
      </c>
      <c r="C4586" s="118" t="s">
        <v>206</v>
      </c>
      <c r="D4586" s="152" t="s">
        <v>5385</v>
      </c>
      <c r="E4586" s="152" t="s">
        <v>5437</v>
      </c>
      <c r="F4586" s="152" t="s">
        <v>3218</v>
      </c>
      <c r="G4586" s="152" t="s">
        <v>5438</v>
      </c>
      <c r="H4586" s="153" t="s">
        <v>216</v>
      </c>
    </row>
    <row r="4587" hidden="1">
      <c r="A4587" s="154" t="s">
        <v>224</v>
      </c>
      <c r="B4587" s="155" t="s">
        <v>170</v>
      </c>
      <c r="C4587" s="155" t="s">
        <v>206</v>
      </c>
      <c r="D4587" s="156" t="s">
        <v>5385</v>
      </c>
      <c r="E4587" s="156" t="s">
        <v>5439</v>
      </c>
      <c r="F4587" s="156" t="s">
        <v>494</v>
      </c>
      <c r="G4587" s="156" t="s">
        <v>3620</v>
      </c>
      <c r="H4587" s="157" t="s">
        <v>210</v>
      </c>
    </row>
    <row r="4588" hidden="1">
      <c r="A4588" s="151" t="s">
        <v>224</v>
      </c>
      <c r="B4588" s="118" t="s">
        <v>170</v>
      </c>
      <c r="C4588" s="118" t="s">
        <v>206</v>
      </c>
      <c r="D4588" s="152" t="s">
        <v>5385</v>
      </c>
      <c r="E4588" s="152" t="s">
        <v>5440</v>
      </c>
      <c r="F4588" s="152" t="s">
        <v>423</v>
      </c>
      <c r="G4588" s="152" t="s">
        <v>2352</v>
      </c>
      <c r="H4588" s="153" t="s">
        <v>211</v>
      </c>
    </row>
    <row r="4589" hidden="1">
      <c r="A4589" s="154" t="s">
        <v>224</v>
      </c>
      <c r="B4589" s="155" t="s">
        <v>170</v>
      </c>
      <c r="C4589" s="155" t="s">
        <v>206</v>
      </c>
      <c r="D4589" s="156" t="s">
        <v>5385</v>
      </c>
      <c r="E4589" s="156" t="s">
        <v>5441</v>
      </c>
      <c r="F4589" s="156" t="s">
        <v>390</v>
      </c>
      <c r="G4589" s="156" t="s">
        <v>3117</v>
      </c>
      <c r="H4589" s="157" t="s">
        <v>212</v>
      </c>
    </row>
    <row r="4590" hidden="1">
      <c r="A4590" s="151" t="s">
        <v>224</v>
      </c>
      <c r="B4590" s="118" t="s">
        <v>170</v>
      </c>
      <c r="C4590" s="118" t="s">
        <v>206</v>
      </c>
      <c r="D4590" s="152" t="s">
        <v>5385</v>
      </c>
      <c r="E4590" s="152" t="s">
        <v>5442</v>
      </c>
      <c r="F4590" s="152" t="s">
        <v>532</v>
      </c>
      <c r="G4590" s="152" t="s">
        <v>3209</v>
      </c>
      <c r="H4590" s="153" t="s">
        <v>213</v>
      </c>
    </row>
    <row r="4591" hidden="1">
      <c r="A4591" s="154" t="s">
        <v>224</v>
      </c>
      <c r="B4591" s="155" t="s">
        <v>170</v>
      </c>
      <c r="C4591" s="155" t="s">
        <v>206</v>
      </c>
      <c r="D4591" s="156" t="s">
        <v>5385</v>
      </c>
      <c r="E4591" s="156" t="s">
        <v>5443</v>
      </c>
      <c r="F4591" s="156" t="s">
        <v>405</v>
      </c>
      <c r="G4591" s="156" t="s">
        <v>3117</v>
      </c>
      <c r="H4591" s="157" t="s">
        <v>214</v>
      </c>
    </row>
    <row r="4592" hidden="1">
      <c r="A4592" s="151" t="s">
        <v>224</v>
      </c>
      <c r="B4592" s="118" t="s">
        <v>170</v>
      </c>
      <c r="C4592" s="118" t="s">
        <v>206</v>
      </c>
      <c r="D4592" s="152" t="s">
        <v>5385</v>
      </c>
      <c r="E4592" s="152" t="s">
        <v>5444</v>
      </c>
      <c r="F4592" s="152" t="s">
        <v>3340</v>
      </c>
      <c r="G4592" s="152" t="s">
        <v>3915</v>
      </c>
      <c r="H4592" s="153" t="s">
        <v>215</v>
      </c>
    </row>
    <row r="4593" hidden="1">
      <c r="A4593" s="154" t="s">
        <v>224</v>
      </c>
      <c r="B4593" s="155" t="s">
        <v>170</v>
      </c>
      <c r="C4593" s="155" t="s">
        <v>206</v>
      </c>
      <c r="D4593" s="156" t="s">
        <v>5385</v>
      </c>
      <c r="E4593" s="156" t="s">
        <v>5445</v>
      </c>
      <c r="F4593" s="156" t="s">
        <v>423</v>
      </c>
      <c r="G4593" s="156" t="s">
        <v>2665</v>
      </c>
      <c r="H4593" s="157" t="s">
        <v>216</v>
      </c>
    </row>
    <row r="4594" hidden="1">
      <c r="A4594" s="151" t="s">
        <v>225</v>
      </c>
      <c r="B4594" s="118" t="s">
        <v>226</v>
      </c>
      <c r="C4594" s="118" t="s">
        <v>206</v>
      </c>
      <c r="D4594" s="152" t="s">
        <v>5385</v>
      </c>
      <c r="E4594" s="152" t="s">
        <v>5446</v>
      </c>
      <c r="F4594" s="152" t="s">
        <v>4052</v>
      </c>
      <c r="G4594" s="152" t="s">
        <v>4223</v>
      </c>
      <c r="H4594" s="153" t="s">
        <v>210</v>
      </c>
    </row>
    <row r="4595" hidden="1">
      <c r="A4595" s="154" t="s">
        <v>225</v>
      </c>
      <c r="B4595" s="155" t="s">
        <v>226</v>
      </c>
      <c r="C4595" s="155" t="s">
        <v>206</v>
      </c>
      <c r="D4595" s="156" t="s">
        <v>5385</v>
      </c>
      <c r="E4595" s="156" t="s">
        <v>5447</v>
      </c>
      <c r="F4595" s="156" t="s">
        <v>3150</v>
      </c>
      <c r="G4595" s="156" t="s">
        <v>3537</v>
      </c>
      <c r="H4595" s="157" t="s">
        <v>211</v>
      </c>
    </row>
    <row r="4596" hidden="1">
      <c r="A4596" s="151" t="s">
        <v>225</v>
      </c>
      <c r="B4596" s="118" t="s">
        <v>226</v>
      </c>
      <c r="C4596" s="118" t="s">
        <v>206</v>
      </c>
      <c r="D4596" s="152" t="s">
        <v>5385</v>
      </c>
      <c r="E4596" s="152" t="s">
        <v>5448</v>
      </c>
      <c r="F4596" s="152" t="s">
        <v>3340</v>
      </c>
      <c r="G4596" s="152" t="s">
        <v>4268</v>
      </c>
      <c r="H4596" s="153" t="s">
        <v>212</v>
      </c>
    </row>
    <row r="4597" hidden="1">
      <c r="A4597" s="154" t="s">
        <v>225</v>
      </c>
      <c r="B4597" s="155" t="s">
        <v>226</v>
      </c>
      <c r="C4597" s="155" t="s">
        <v>206</v>
      </c>
      <c r="D4597" s="156" t="s">
        <v>5385</v>
      </c>
      <c r="E4597" s="156" t="s">
        <v>5449</v>
      </c>
      <c r="F4597" s="156" t="s">
        <v>1781</v>
      </c>
      <c r="G4597" s="156" t="s">
        <v>3631</v>
      </c>
      <c r="H4597" s="157" t="s">
        <v>213</v>
      </c>
    </row>
    <row r="4598" hidden="1">
      <c r="A4598" s="151" t="s">
        <v>225</v>
      </c>
      <c r="B4598" s="118" t="s">
        <v>226</v>
      </c>
      <c r="C4598" s="118" t="s">
        <v>206</v>
      </c>
      <c r="D4598" s="152" t="s">
        <v>5385</v>
      </c>
      <c r="E4598" s="152" t="s">
        <v>5450</v>
      </c>
      <c r="F4598" s="152" t="s">
        <v>3346</v>
      </c>
      <c r="G4598" s="152" t="s">
        <v>4119</v>
      </c>
      <c r="H4598" s="153" t="s">
        <v>214</v>
      </c>
    </row>
    <row r="4599" hidden="1">
      <c r="A4599" s="154" t="s">
        <v>225</v>
      </c>
      <c r="B4599" s="155" t="s">
        <v>226</v>
      </c>
      <c r="C4599" s="155" t="s">
        <v>206</v>
      </c>
      <c r="D4599" s="156" t="s">
        <v>5385</v>
      </c>
      <c r="E4599" s="156" t="s">
        <v>5451</v>
      </c>
      <c r="F4599" s="156" t="s">
        <v>1790</v>
      </c>
      <c r="G4599" s="156" t="s">
        <v>5452</v>
      </c>
      <c r="H4599" s="157" t="s">
        <v>215</v>
      </c>
    </row>
    <row r="4600" hidden="1">
      <c r="A4600" s="151" t="s">
        <v>225</v>
      </c>
      <c r="B4600" s="118" t="s">
        <v>226</v>
      </c>
      <c r="C4600" s="118" t="s">
        <v>206</v>
      </c>
      <c r="D4600" s="152" t="s">
        <v>5385</v>
      </c>
      <c r="E4600" s="152" t="s">
        <v>5453</v>
      </c>
      <c r="F4600" s="152" t="s">
        <v>5454</v>
      </c>
      <c r="G4600" s="152" t="s">
        <v>4364</v>
      </c>
      <c r="H4600" s="153" t="s">
        <v>216</v>
      </c>
    </row>
    <row r="4601" hidden="1">
      <c r="A4601" s="154" t="s">
        <v>227</v>
      </c>
      <c r="B4601" s="155" t="s">
        <v>195</v>
      </c>
      <c r="C4601" s="155" t="s">
        <v>206</v>
      </c>
      <c r="D4601" s="156" t="s">
        <v>5385</v>
      </c>
      <c r="E4601" s="156" t="s">
        <v>5455</v>
      </c>
      <c r="F4601" s="156" t="s">
        <v>290</v>
      </c>
      <c r="G4601" s="156" t="s">
        <v>3574</v>
      </c>
      <c r="H4601" s="157" t="s">
        <v>210</v>
      </c>
    </row>
    <row r="4602" hidden="1">
      <c r="A4602" s="151" t="s">
        <v>227</v>
      </c>
      <c r="B4602" s="118" t="s">
        <v>195</v>
      </c>
      <c r="C4602" s="118" t="s">
        <v>206</v>
      </c>
      <c r="D4602" s="152" t="s">
        <v>5385</v>
      </c>
      <c r="E4602" s="152" t="s">
        <v>5456</v>
      </c>
      <c r="F4602" s="152" t="s">
        <v>257</v>
      </c>
      <c r="G4602" s="152" t="s">
        <v>3620</v>
      </c>
      <c r="H4602" s="153" t="s">
        <v>211</v>
      </c>
    </row>
    <row r="4603" hidden="1">
      <c r="A4603" s="154" t="s">
        <v>227</v>
      </c>
      <c r="B4603" s="155" t="s">
        <v>195</v>
      </c>
      <c r="C4603" s="155" t="s">
        <v>206</v>
      </c>
      <c r="D4603" s="156" t="s">
        <v>5385</v>
      </c>
      <c r="E4603" s="156" t="s">
        <v>5457</v>
      </c>
      <c r="F4603" s="156" t="s">
        <v>257</v>
      </c>
      <c r="G4603" s="156" t="s">
        <v>2181</v>
      </c>
      <c r="H4603" s="157" t="s">
        <v>212</v>
      </c>
    </row>
    <row r="4604" hidden="1">
      <c r="A4604" s="151" t="s">
        <v>227</v>
      </c>
      <c r="B4604" s="118" t="s">
        <v>195</v>
      </c>
      <c r="C4604" s="118" t="s">
        <v>206</v>
      </c>
      <c r="D4604" s="152" t="s">
        <v>5385</v>
      </c>
      <c r="E4604" s="152" t="s">
        <v>5458</v>
      </c>
      <c r="F4604" s="152" t="s">
        <v>478</v>
      </c>
      <c r="G4604" s="152" t="s">
        <v>2517</v>
      </c>
      <c r="H4604" s="153" t="s">
        <v>213</v>
      </c>
    </row>
    <row r="4605" hidden="1">
      <c r="A4605" s="154" t="s">
        <v>227</v>
      </c>
      <c r="B4605" s="155" t="s">
        <v>195</v>
      </c>
      <c r="C4605" s="155" t="s">
        <v>206</v>
      </c>
      <c r="D4605" s="156" t="s">
        <v>5385</v>
      </c>
      <c r="E4605" s="156" t="s">
        <v>5459</v>
      </c>
      <c r="F4605" s="156" t="s">
        <v>323</v>
      </c>
      <c r="G4605" s="156" t="s">
        <v>2008</v>
      </c>
      <c r="H4605" s="157" t="s">
        <v>214</v>
      </c>
    </row>
    <row r="4606" hidden="1">
      <c r="A4606" s="151" t="s">
        <v>227</v>
      </c>
      <c r="B4606" s="118" t="s">
        <v>195</v>
      </c>
      <c r="C4606" s="118" t="s">
        <v>206</v>
      </c>
      <c r="D4606" s="152" t="s">
        <v>5385</v>
      </c>
      <c r="E4606" s="152" t="s">
        <v>5460</v>
      </c>
      <c r="F4606" s="152" t="s">
        <v>285</v>
      </c>
      <c r="G4606" s="152" t="s">
        <v>2181</v>
      </c>
      <c r="H4606" s="153" t="s">
        <v>215</v>
      </c>
    </row>
    <row r="4607" hidden="1">
      <c r="A4607" s="154" t="s">
        <v>227</v>
      </c>
      <c r="B4607" s="155" t="s">
        <v>195</v>
      </c>
      <c r="C4607" s="155" t="s">
        <v>206</v>
      </c>
      <c r="D4607" s="156" t="s">
        <v>5385</v>
      </c>
      <c r="E4607" s="156" t="s">
        <v>5461</v>
      </c>
      <c r="F4607" s="156" t="s">
        <v>314</v>
      </c>
      <c r="G4607" s="156" t="s">
        <v>2826</v>
      </c>
      <c r="H4607" s="157" t="s">
        <v>216</v>
      </c>
    </row>
    <row r="4608" hidden="1">
      <c r="A4608" s="151" t="s">
        <v>228</v>
      </c>
      <c r="B4608" s="118" t="s">
        <v>138</v>
      </c>
      <c r="C4608" s="118" t="s">
        <v>206</v>
      </c>
      <c r="D4608" s="152" t="s">
        <v>5385</v>
      </c>
      <c r="E4608" s="152" t="s">
        <v>5462</v>
      </c>
      <c r="F4608" s="152" t="s">
        <v>450</v>
      </c>
      <c r="G4608" s="152" t="s">
        <v>3790</v>
      </c>
      <c r="H4608" s="153" t="s">
        <v>210</v>
      </c>
    </row>
    <row r="4609" hidden="1">
      <c r="A4609" s="154" t="s">
        <v>228</v>
      </c>
      <c r="B4609" s="155" t="s">
        <v>138</v>
      </c>
      <c r="C4609" s="155" t="s">
        <v>206</v>
      </c>
      <c r="D4609" s="156" t="s">
        <v>5385</v>
      </c>
      <c r="E4609" s="156" t="s">
        <v>5463</v>
      </c>
      <c r="F4609" s="156" t="s">
        <v>298</v>
      </c>
      <c r="G4609" s="156" t="s">
        <v>1862</v>
      </c>
      <c r="H4609" s="157" t="s">
        <v>211</v>
      </c>
    </row>
    <row r="4610" hidden="1">
      <c r="A4610" s="151" t="s">
        <v>228</v>
      </c>
      <c r="B4610" s="118" t="s">
        <v>138</v>
      </c>
      <c r="C4610" s="118" t="s">
        <v>206</v>
      </c>
      <c r="D4610" s="152" t="s">
        <v>5385</v>
      </c>
      <c r="E4610" s="152" t="s">
        <v>5464</v>
      </c>
      <c r="F4610" s="152" t="s">
        <v>276</v>
      </c>
      <c r="G4610" s="152" t="s">
        <v>4206</v>
      </c>
      <c r="H4610" s="153" t="s">
        <v>212</v>
      </c>
    </row>
    <row r="4611" hidden="1">
      <c r="A4611" s="154" t="s">
        <v>228</v>
      </c>
      <c r="B4611" s="155" t="s">
        <v>138</v>
      </c>
      <c r="C4611" s="155" t="s">
        <v>206</v>
      </c>
      <c r="D4611" s="156" t="s">
        <v>5385</v>
      </c>
      <c r="E4611" s="156" t="s">
        <v>5465</v>
      </c>
      <c r="F4611" s="156" t="s">
        <v>458</v>
      </c>
      <c r="G4611" s="156" t="s">
        <v>2989</v>
      </c>
      <c r="H4611" s="157" t="s">
        <v>213</v>
      </c>
    </row>
    <row r="4612" hidden="1">
      <c r="A4612" s="151" t="s">
        <v>228</v>
      </c>
      <c r="B4612" s="118" t="s">
        <v>138</v>
      </c>
      <c r="C4612" s="118" t="s">
        <v>206</v>
      </c>
      <c r="D4612" s="152" t="s">
        <v>5385</v>
      </c>
      <c r="E4612" s="152" t="s">
        <v>5466</v>
      </c>
      <c r="F4612" s="152" t="s">
        <v>374</v>
      </c>
      <c r="G4612" s="152" t="s">
        <v>3007</v>
      </c>
      <c r="H4612" s="153" t="s">
        <v>214</v>
      </c>
    </row>
    <row r="4613" hidden="1">
      <c r="A4613" s="154" t="s">
        <v>228</v>
      </c>
      <c r="B4613" s="155" t="s">
        <v>138</v>
      </c>
      <c r="C4613" s="155" t="s">
        <v>206</v>
      </c>
      <c r="D4613" s="156" t="s">
        <v>5385</v>
      </c>
      <c r="E4613" s="156" t="s">
        <v>5467</v>
      </c>
      <c r="F4613" s="156" t="s">
        <v>436</v>
      </c>
      <c r="G4613" s="156" t="s">
        <v>3151</v>
      </c>
      <c r="H4613" s="157" t="s">
        <v>215</v>
      </c>
    </row>
    <row r="4614" hidden="1">
      <c r="A4614" s="151" t="s">
        <v>228</v>
      </c>
      <c r="B4614" s="118" t="s">
        <v>138</v>
      </c>
      <c r="C4614" s="118" t="s">
        <v>206</v>
      </c>
      <c r="D4614" s="152" t="s">
        <v>5385</v>
      </c>
      <c r="E4614" s="152" t="s">
        <v>5468</v>
      </c>
      <c r="F4614" s="152" t="s">
        <v>365</v>
      </c>
      <c r="G4614" s="152" t="s">
        <v>3554</v>
      </c>
      <c r="H4614" s="153" t="s">
        <v>216</v>
      </c>
    </row>
    <row r="4615" hidden="1">
      <c r="A4615" s="154" t="s">
        <v>229</v>
      </c>
      <c r="B4615" s="155" t="s">
        <v>193</v>
      </c>
      <c r="C4615" s="155" t="s">
        <v>206</v>
      </c>
      <c r="D4615" s="156" t="s">
        <v>5385</v>
      </c>
      <c r="E4615" s="156" t="s">
        <v>5469</v>
      </c>
      <c r="F4615" s="156" t="s">
        <v>450</v>
      </c>
      <c r="G4615" s="156" t="s">
        <v>3707</v>
      </c>
      <c r="H4615" s="157" t="s">
        <v>210</v>
      </c>
    </row>
    <row r="4616" hidden="1">
      <c r="A4616" s="151" t="s">
        <v>229</v>
      </c>
      <c r="B4616" s="118" t="s">
        <v>193</v>
      </c>
      <c r="C4616" s="118" t="s">
        <v>206</v>
      </c>
      <c r="D4616" s="152" t="s">
        <v>5385</v>
      </c>
      <c r="E4616" s="152" t="s">
        <v>5470</v>
      </c>
      <c r="F4616" s="152" t="s">
        <v>310</v>
      </c>
      <c r="G4616" s="152" t="s">
        <v>2181</v>
      </c>
      <c r="H4616" s="153" t="s">
        <v>211</v>
      </c>
    </row>
    <row r="4617" hidden="1">
      <c r="A4617" s="154" t="s">
        <v>229</v>
      </c>
      <c r="B4617" s="155" t="s">
        <v>193</v>
      </c>
      <c r="C4617" s="155" t="s">
        <v>206</v>
      </c>
      <c r="D4617" s="156" t="s">
        <v>5385</v>
      </c>
      <c r="E4617" s="156" t="s">
        <v>5471</v>
      </c>
      <c r="F4617" s="156" t="s">
        <v>336</v>
      </c>
      <c r="G4617" s="156" t="s">
        <v>4146</v>
      </c>
      <c r="H4617" s="157" t="s">
        <v>212</v>
      </c>
    </row>
    <row r="4618" hidden="1">
      <c r="A4618" s="151" t="s">
        <v>229</v>
      </c>
      <c r="B4618" s="118" t="s">
        <v>193</v>
      </c>
      <c r="C4618" s="118" t="s">
        <v>206</v>
      </c>
      <c r="D4618" s="152" t="s">
        <v>5385</v>
      </c>
      <c r="E4618" s="152" t="s">
        <v>5472</v>
      </c>
      <c r="F4618" s="152" t="s">
        <v>359</v>
      </c>
      <c r="G4618" s="152" t="s">
        <v>3371</v>
      </c>
      <c r="H4618" s="153" t="s">
        <v>213</v>
      </c>
    </row>
    <row r="4619" hidden="1">
      <c r="A4619" s="154" t="s">
        <v>229</v>
      </c>
      <c r="B4619" s="155" t="s">
        <v>193</v>
      </c>
      <c r="C4619" s="155" t="s">
        <v>206</v>
      </c>
      <c r="D4619" s="156" t="s">
        <v>5385</v>
      </c>
      <c r="E4619" s="156" t="s">
        <v>5473</v>
      </c>
      <c r="F4619" s="156" t="s">
        <v>285</v>
      </c>
      <c r="G4619" s="156" t="s">
        <v>4743</v>
      </c>
      <c r="H4619" s="157" t="s">
        <v>214</v>
      </c>
    </row>
    <row r="4620" hidden="1">
      <c r="A4620" s="151" t="s">
        <v>229</v>
      </c>
      <c r="B4620" s="118" t="s">
        <v>193</v>
      </c>
      <c r="C4620" s="118" t="s">
        <v>206</v>
      </c>
      <c r="D4620" s="152" t="s">
        <v>5385</v>
      </c>
      <c r="E4620" s="152" t="s">
        <v>5474</v>
      </c>
      <c r="F4620" s="152" t="s">
        <v>339</v>
      </c>
      <c r="G4620" s="152" t="s">
        <v>3443</v>
      </c>
      <c r="H4620" s="153" t="s">
        <v>215</v>
      </c>
    </row>
    <row r="4621" hidden="1">
      <c r="A4621" s="154" t="s">
        <v>229</v>
      </c>
      <c r="B4621" s="155" t="s">
        <v>193</v>
      </c>
      <c r="C4621" s="155" t="s">
        <v>206</v>
      </c>
      <c r="D4621" s="156" t="s">
        <v>5385</v>
      </c>
      <c r="E4621" s="156" t="s">
        <v>5475</v>
      </c>
      <c r="F4621" s="156" t="s">
        <v>351</v>
      </c>
      <c r="G4621" s="156" t="s">
        <v>3908</v>
      </c>
      <c r="H4621" s="157" t="s">
        <v>216</v>
      </c>
    </row>
    <row r="4622" hidden="1">
      <c r="A4622" s="151" t="s">
        <v>230</v>
      </c>
      <c r="B4622" s="118" t="s">
        <v>194</v>
      </c>
      <c r="C4622" s="118" t="s">
        <v>206</v>
      </c>
      <c r="D4622" s="152" t="s">
        <v>5385</v>
      </c>
      <c r="E4622" s="152" t="s">
        <v>5476</v>
      </c>
      <c r="F4622" s="152" t="s">
        <v>336</v>
      </c>
      <c r="G4622" s="152" t="s">
        <v>2517</v>
      </c>
      <c r="H4622" s="153" t="s">
        <v>210</v>
      </c>
    </row>
    <row r="4623" hidden="1">
      <c r="A4623" s="154" t="s">
        <v>230</v>
      </c>
      <c r="B4623" s="155" t="s">
        <v>194</v>
      </c>
      <c r="C4623" s="155" t="s">
        <v>206</v>
      </c>
      <c r="D4623" s="156" t="s">
        <v>5385</v>
      </c>
      <c r="E4623" s="156" t="s">
        <v>5477</v>
      </c>
      <c r="F4623" s="156" t="s">
        <v>325</v>
      </c>
      <c r="G4623" s="156" t="s">
        <v>1779</v>
      </c>
      <c r="H4623" s="157" t="s">
        <v>211</v>
      </c>
    </row>
    <row r="4624" hidden="1">
      <c r="A4624" s="151" t="s">
        <v>230</v>
      </c>
      <c r="B4624" s="118" t="s">
        <v>194</v>
      </c>
      <c r="C4624" s="118" t="s">
        <v>206</v>
      </c>
      <c r="D4624" s="152" t="s">
        <v>5385</v>
      </c>
      <c r="E4624" s="152" t="s">
        <v>5478</v>
      </c>
      <c r="F4624" s="152" t="s">
        <v>799</v>
      </c>
      <c r="G4624" s="152" t="s">
        <v>3541</v>
      </c>
      <c r="H4624" s="153" t="s">
        <v>212</v>
      </c>
    </row>
    <row r="4625" hidden="1">
      <c r="A4625" s="154" t="s">
        <v>230</v>
      </c>
      <c r="B4625" s="155" t="s">
        <v>194</v>
      </c>
      <c r="C4625" s="155" t="s">
        <v>206</v>
      </c>
      <c r="D4625" s="156" t="s">
        <v>5385</v>
      </c>
      <c r="E4625" s="156" t="s">
        <v>5479</v>
      </c>
      <c r="F4625" s="156" t="s">
        <v>308</v>
      </c>
      <c r="G4625" s="156" t="s">
        <v>4119</v>
      </c>
      <c r="H4625" s="157" t="s">
        <v>213</v>
      </c>
    </row>
    <row r="4626" hidden="1">
      <c r="A4626" s="151" t="s">
        <v>230</v>
      </c>
      <c r="B4626" s="118" t="s">
        <v>194</v>
      </c>
      <c r="C4626" s="118" t="s">
        <v>206</v>
      </c>
      <c r="D4626" s="152" t="s">
        <v>5385</v>
      </c>
      <c r="E4626" s="152" t="s">
        <v>5480</v>
      </c>
      <c r="F4626" s="152" t="s">
        <v>305</v>
      </c>
      <c r="G4626" s="152" t="s">
        <v>4502</v>
      </c>
      <c r="H4626" s="153" t="s">
        <v>214</v>
      </c>
    </row>
    <row r="4627" hidden="1">
      <c r="A4627" s="154" t="s">
        <v>230</v>
      </c>
      <c r="B4627" s="155" t="s">
        <v>194</v>
      </c>
      <c r="C4627" s="155" t="s">
        <v>206</v>
      </c>
      <c r="D4627" s="156" t="s">
        <v>5385</v>
      </c>
      <c r="E4627" s="156" t="s">
        <v>5481</v>
      </c>
      <c r="F4627" s="156" t="s">
        <v>450</v>
      </c>
      <c r="G4627" s="156" t="s">
        <v>4842</v>
      </c>
      <c r="H4627" s="157" t="s">
        <v>215</v>
      </c>
    </row>
    <row r="4628" hidden="1">
      <c r="A4628" s="151" t="s">
        <v>230</v>
      </c>
      <c r="B4628" s="118" t="s">
        <v>194</v>
      </c>
      <c r="C4628" s="118" t="s">
        <v>206</v>
      </c>
      <c r="D4628" s="152" t="s">
        <v>5385</v>
      </c>
      <c r="E4628" s="152" t="s">
        <v>5482</v>
      </c>
      <c r="F4628" s="152" t="s">
        <v>336</v>
      </c>
      <c r="G4628" s="152" t="s">
        <v>3968</v>
      </c>
      <c r="H4628" s="153" t="s">
        <v>216</v>
      </c>
    </row>
    <row r="4629" hidden="1">
      <c r="A4629" s="158" t="s">
        <v>231</v>
      </c>
      <c r="B4629" s="159"/>
      <c r="C4629" s="155" t="s">
        <v>232</v>
      </c>
      <c r="D4629" s="156" t="s">
        <v>5385</v>
      </c>
      <c r="E4629" s="156" t="s">
        <v>4857</v>
      </c>
      <c r="F4629" s="156" t="s">
        <v>287</v>
      </c>
      <c r="G4629" s="156" t="s">
        <v>3262</v>
      </c>
      <c r="H4629" s="157" t="s">
        <v>210</v>
      </c>
    </row>
    <row r="4630" hidden="1">
      <c r="A4630" s="160" t="s">
        <v>231</v>
      </c>
      <c r="B4630" s="72"/>
      <c r="C4630" s="118" t="s">
        <v>232</v>
      </c>
      <c r="D4630" s="152" t="s">
        <v>5385</v>
      </c>
      <c r="E4630" s="152" t="s">
        <v>5483</v>
      </c>
      <c r="F4630" s="152" t="s">
        <v>285</v>
      </c>
      <c r="G4630" s="152" t="s">
        <v>3400</v>
      </c>
      <c r="H4630" s="153" t="s">
        <v>211</v>
      </c>
    </row>
    <row r="4631" hidden="1">
      <c r="A4631" s="158" t="s">
        <v>231</v>
      </c>
      <c r="B4631" s="159"/>
      <c r="C4631" s="155" t="s">
        <v>232</v>
      </c>
      <c r="D4631" s="156" t="s">
        <v>5385</v>
      </c>
      <c r="E4631" s="156" t="s">
        <v>5484</v>
      </c>
      <c r="F4631" s="156" t="s">
        <v>1999</v>
      </c>
      <c r="G4631" s="156" t="s">
        <v>4320</v>
      </c>
      <c r="H4631" s="157" t="s">
        <v>212</v>
      </c>
    </row>
    <row r="4632" hidden="1">
      <c r="A4632" s="160" t="s">
        <v>231</v>
      </c>
      <c r="B4632" s="72"/>
      <c r="C4632" s="118" t="s">
        <v>232</v>
      </c>
      <c r="D4632" s="152" t="s">
        <v>5385</v>
      </c>
      <c r="E4632" s="152" t="s">
        <v>5485</v>
      </c>
      <c r="F4632" s="152" t="s">
        <v>427</v>
      </c>
      <c r="G4632" s="152" t="s">
        <v>4305</v>
      </c>
      <c r="H4632" s="153" t="s">
        <v>213</v>
      </c>
    </row>
    <row r="4633" hidden="1">
      <c r="A4633" s="158" t="s">
        <v>231</v>
      </c>
      <c r="B4633" s="159"/>
      <c r="C4633" s="155" t="s">
        <v>232</v>
      </c>
      <c r="D4633" s="156" t="s">
        <v>5385</v>
      </c>
      <c r="E4633" s="156" t="s">
        <v>5486</v>
      </c>
      <c r="F4633" s="156" t="s">
        <v>359</v>
      </c>
      <c r="G4633" s="156" t="s">
        <v>2814</v>
      </c>
      <c r="H4633" s="157" t="s">
        <v>214</v>
      </c>
    </row>
    <row r="4634" hidden="1">
      <c r="A4634" s="160" t="s">
        <v>231</v>
      </c>
      <c r="B4634" s="72"/>
      <c r="C4634" s="118" t="s">
        <v>232</v>
      </c>
      <c r="D4634" s="152" t="s">
        <v>5385</v>
      </c>
      <c r="E4634" s="152" t="s">
        <v>5487</v>
      </c>
      <c r="F4634" s="152" t="s">
        <v>427</v>
      </c>
      <c r="G4634" s="152" t="s">
        <v>3611</v>
      </c>
      <c r="H4634" s="153" t="s">
        <v>215</v>
      </c>
    </row>
    <row r="4635" hidden="1">
      <c r="A4635" s="158" t="s">
        <v>231</v>
      </c>
      <c r="B4635" s="159"/>
      <c r="C4635" s="155" t="s">
        <v>232</v>
      </c>
      <c r="D4635" s="156" t="s">
        <v>5385</v>
      </c>
      <c r="E4635" s="156" t="s">
        <v>5488</v>
      </c>
      <c r="F4635" s="156" t="s">
        <v>323</v>
      </c>
      <c r="G4635" s="156" t="s">
        <v>3570</v>
      </c>
      <c r="H4635" s="157" t="s">
        <v>216</v>
      </c>
    </row>
    <row r="4636" hidden="1">
      <c r="A4636" s="160" t="s">
        <v>233</v>
      </c>
      <c r="B4636" s="72"/>
      <c r="C4636" s="118" t="s">
        <v>232</v>
      </c>
      <c r="D4636" s="152" t="s">
        <v>5385</v>
      </c>
      <c r="E4636" s="152" t="s">
        <v>5489</v>
      </c>
      <c r="F4636" s="152" t="s">
        <v>425</v>
      </c>
      <c r="G4636" s="152" t="s">
        <v>3996</v>
      </c>
      <c r="H4636" s="153" t="s">
        <v>210</v>
      </c>
    </row>
    <row r="4637" hidden="1">
      <c r="A4637" s="158" t="s">
        <v>233</v>
      </c>
      <c r="B4637" s="159"/>
      <c r="C4637" s="155" t="s">
        <v>232</v>
      </c>
      <c r="D4637" s="156" t="s">
        <v>5385</v>
      </c>
      <c r="E4637" s="156" t="s">
        <v>5490</v>
      </c>
      <c r="F4637" s="156" t="s">
        <v>427</v>
      </c>
      <c r="G4637" s="156" t="s">
        <v>3911</v>
      </c>
      <c r="H4637" s="157" t="s">
        <v>211</v>
      </c>
    </row>
    <row r="4638" hidden="1">
      <c r="A4638" s="160" t="s">
        <v>233</v>
      </c>
      <c r="B4638" s="72"/>
      <c r="C4638" s="118" t="s">
        <v>232</v>
      </c>
      <c r="D4638" s="152" t="s">
        <v>5385</v>
      </c>
      <c r="E4638" s="152" t="s">
        <v>5491</v>
      </c>
      <c r="F4638" s="152" t="s">
        <v>336</v>
      </c>
      <c r="G4638" s="152" t="s">
        <v>3786</v>
      </c>
      <c r="H4638" s="153" t="s">
        <v>212</v>
      </c>
    </row>
    <row r="4639" hidden="1">
      <c r="A4639" s="158" t="s">
        <v>233</v>
      </c>
      <c r="B4639" s="159"/>
      <c r="C4639" s="155" t="s">
        <v>232</v>
      </c>
      <c r="D4639" s="156" t="s">
        <v>5385</v>
      </c>
      <c r="E4639" s="156" t="s">
        <v>5492</v>
      </c>
      <c r="F4639" s="156" t="s">
        <v>427</v>
      </c>
      <c r="G4639" s="156" t="s">
        <v>4161</v>
      </c>
      <c r="H4639" s="157" t="s">
        <v>213</v>
      </c>
    </row>
    <row r="4640" hidden="1">
      <c r="A4640" s="160" t="s">
        <v>233</v>
      </c>
      <c r="B4640" s="72"/>
      <c r="C4640" s="118" t="s">
        <v>232</v>
      </c>
      <c r="D4640" s="152" t="s">
        <v>5385</v>
      </c>
      <c r="E4640" s="152" t="s">
        <v>5493</v>
      </c>
      <c r="F4640" s="152" t="s">
        <v>351</v>
      </c>
      <c r="G4640" s="152" t="s">
        <v>3111</v>
      </c>
      <c r="H4640" s="153" t="s">
        <v>214</v>
      </c>
    </row>
    <row r="4641" hidden="1">
      <c r="A4641" s="158" t="s">
        <v>233</v>
      </c>
      <c r="B4641" s="159"/>
      <c r="C4641" s="155" t="s">
        <v>232</v>
      </c>
      <c r="D4641" s="156" t="s">
        <v>5385</v>
      </c>
      <c r="E4641" s="156" t="s">
        <v>5494</v>
      </c>
      <c r="F4641" s="156" t="s">
        <v>425</v>
      </c>
      <c r="G4641" s="156" t="s">
        <v>4196</v>
      </c>
      <c r="H4641" s="157" t="s">
        <v>215</v>
      </c>
    </row>
    <row r="4642" hidden="1">
      <c r="A4642" s="160" t="s">
        <v>233</v>
      </c>
      <c r="B4642" s="72"/>
      <c r="C4642" s="118" t="s">
        <v>232</v>
      </c>
      <c r="D4642" s="152" t="s">
        <v>5385</v>
      </c>
      <c r="E4642" s="152" t="s">
        <v>5495</v>
      </c>
      <c r="F4642" s="152" t="s">
        <v>450</v>
      </c>
      <c r="G4642" s="152" t="s">
        <v>4317</v>
      </c>
      <c r="H4642" s="153" t="s">
        <v>216</v>
      </c>
    </row>
    <row r="4643" hidden="1">
      <c r="A4643" s="158" t="s">
        <v>234</v>
      </c>
      <c r="B4643" s="159"/>
      <c r="C4643" s="155" t="s">
        <v>232</v>
      </c>
      <c r="D4643" s="156" t="s">
        <v>5385</v>
      </c>
      <c r="E4643" s="156" t="s">
        <v>5496</v>
      </c>
      <c r="F4643" s="156" t="s">
        <v>478</v>
      </c>
      <c r="G4643" s="156" t="s">
        <v>3554</v>
      </c>
      <c r="H4643" s="157" t="s">
        <v>210</v>
      </c>
    </row>
    <row r="4644" hidden="1">
      <c r="A4644" s="160" t="s">
        <v>234</v>
      </c>
      <c r="B4644" s="72"/>
      <c r="C4644" s="118" t="s">
        <v>232</v>
      </c>
      <c r="D4644" s="152" t="s">
        <v>5385</v>
      </c>
      <c r="E4644" s="152" t="s">
        <v>5497</v>
      </c>
      <c r="F4644" s="152" t="s">
        <v>577</v>
      </c>
      <c r="G4644" s="152" t="s">
        <v>3475</v>
      </c>
      <c r="H4644" s="153" t="s">
        <v>211</v>
      </c>
    </row>
    <row r="4645" hidden="1">
      <c r="A4645" s="158" t="s">
        <v>234</v>
      </c>
      <c r="B4645" s="159"/>
      <c r="C4645" s="155" t="s">
        <v>232</v>
      </c>
      <c r="D4645" s="156" t="s">
        <v>5385</v>
      </c>
      <c r="E4645" s="156" t="s">
        <v>5498</v>
      </c>
      <c r="F4645" s="156" t="s">
        <v>312</v>
      </c>
      <c r="G4645" s="156" t="s">
        <v>3844</v>
      </c>
      <c r="H4645" s="157" t="s">
        <v>212</v>
      </c>
    </row>
    <row r="4646" hidden="1">
      <c r="A4646" s="160" t="s">
        <v>234</v>
      </c>
      <c r="B4646" s="72"/>
      <c r="C4646" s="118" t="s">
        <v>232</v>
      </c>
      <c r="D4646" s="152" t="s">
        <v>5385</v>
      </c>
      <c r="E4646" s="152" t="s">
        <v>5499</v>
      </c>
      <c r="F4646" s="152" t="s">
        <v>725</v>
      </c>
      <c r="G4646" s="152" t="s">
        <v>3875</v>
      </c>
      <c r="H4646" s="153" t="s">
        <v>213</v>
      </c>
    </row>
    <row r="4647" hidden="1">
      <c r="A4647" s="158" t="s">
        <v>234</v>
      </c>
      <c r="B4647" s="159"/>
      <c r="C4647" s="155" t="s">
        <v>232</v>
      </c>
      <c r="D4647" s="156" t="s">
        <v>5385</v>
      </c>
      <c r="E4647" s="156" t="s">
        <v>5500</v>
      </c>
      <c r="F4647" s="156" t="s">
        <v>450</v>
      </c>
      <c r="G4647" s="156" t="s">
        <v>3443</v>
      </c>
      <c r="H4647" s="157" t="s">
        <v>214</v>
      </c>
    </row>
    <row r="4648" hidden="1">
      <c r="A4648" s="160" t="s">
        <v>234</v>
      </c>
      <c r="B4648" s="72"/>
      <c r="C4648" s="118" t="s">
        <v>232</v>
      </c>
      <c r="D4648" s="152" t="s">
        <v>5385</v>
      </c>
      <c r="E4648" s="152" t="s">
        <v>5501</v>
      </c>
      <c r="F4648" s="152" t="s">
        <v>718</v>
      </c>
      <c r="G4648" s="152" t="s">
        <v>2181</v>
      </c>
      <c r="H4648" s="153" t="s">
        <v>215</v>
      </c>
    </row>
    <row r="4649" hidden="1">
      <c r="A4649" s="158" t="s">
        <v>234</v>
      </c>
      <c r="B4649" s="159"/>
      <c r="C4649" s="155" t="s">
        <v>232</v>
      </c>
      <c r="D4649" s="156" t="s">
        <v>5385</v>
      </c>
      <c r="E4649" s="156" t="s">
        <v>5502</v>
      </c>
      <c r="F4649" s="156" t="s">
        <v>478</v>
      </c>
      <c r="G4649" s="156" t="s">
        <v>3209</v>
      </c>
      <c r="H4649" s="157" t="s">
        <v>216</v>
      </c>
    </row>
    <row r="4650" hidden="1">
      <c r="A4650" s="160" t="s">
        <v>235</v>
      </c>
      <c r="B4650" s="72"/>
      <c r="C4650" s="118" t="s">
        <v>236</v>
      </c>
      <c r="D4650" s="152" t="s">
        <v>5385</v>
      </c>
      <c r="E4650" s="152" t="s">
        <v>5503</v>
      </c>
      <c r="F4650" s="152" t="s">
        <v>310</v>
      </c>
      <c r="G4650" s="152" t="s">
        <v>4034</v>
      </c>
      <c r="H4650" s="153" t="s">
        <v>210</v>
      </c>
    </row>
    <row r="4651" hidden="1">
      <c r="A4651" s="158" t="s">
        <v>235</v>
      </c>
      <c r="B4651" s="159"/>
      <c r="C4651" s="155" t="s">
        <v>236</v>
      </c>
      <c r="D4651" s="156" t="s">
        <v>5385</v>
      </c>
      <c r="E4651" s="156" t="s">
        <v>5504</v>
      </c>
      <c r="F4651" s="156" t="s">
        <v>339</v>
      </c>
      <c r="G4651" s="156" t="s">
        <v>3905</v>
      </c>
      <c r="H4651" s="157" t="s">
        <v>211</v>
      </c>
    </row>
    <row r="4652" hidden="1">
      <c r="A4652" s="160" t="s">
        <v>235</v>
      </c>
      <c r="B4652" s="72"/>
      <c r="C4652" s="118" t="s">
        <v>236</v>
      </c>
      <c r="D4652" s="152" t="s">
        <v>5385</v>
      </c>
      <c r="E4652" s="152" t="s">
        <v>5505</v>
      </c>
      <c r="F4652" s="152" t="s">
        <v>325</v>
      </c>
      <c r="G4652" s="152" t="s">
        <v>4297</v>
      </c>
      <c r="H4652" s="153" t="s">
        <v>212</v>
      </c>
    </row>
    <row r="4653" hidden="1">
      <c r="A4653" s="158" t="s">
        <v>235</v>
      </c>
      <c r="B4653" s="159"/>
      <c r="C4653" s="155" t="s">
        <v>236</v>
      </c>
      <c r="D4653" s="156" t="s">
        <v>5385</v>
      </c>
      <c r="E4653" s="156" t="s">
        <v>5506</v>
      </c>
      <c r="F4653" s="156" t="s">
        <v>339</v>
      </c>
      <c r="G4653" s="156" t="s">
        <v>3764</v>
      </c>
      <c r="H4653" s="157" t="s">
        <v>213</v>
      </c>
    </row>
    <row r="4654" hidden="1">
      <c r="A4654" s="160" t="s">
        <v>235</v>
      </c>
      <c r="B4654" s="72"/>
      <c r="C4654" s="118" t="s">
        <v>236</v>
      </c>
      <c r="D4654" s="152" t="s">
        <v>5385</v>
      </c>
      <c r="E4654" s="152" t="s">
        <v>5507</v>
      </c>
      <c r="F4654" s="152" t="s">
        <v>351</v>
      </c>
      <c r="G4654" s="152" t="s">
        <v>4283</v>
      </c>
      <c r="H4654" s="153" t="s">
        <v>214</v>
      </c>
    </row>
    <row r="4655" hidden="1">
      <c r="A4655" s="158" t="s">
        <v>235</v>
      </c>
      <c r="B4655" s="159"/>
      <c r="C4655" s="155" t="s">
        <v>236</v>
      </c>
      <c r="D4655" s="156" t="s">
        <v>5385</v>
      </c>
      <c r="E4655" s="156" t="s">
        <v>5508</v>
      </c>
      <c r="F4655" s="156" t="s">
        <v>799</v>
      </c>
      <c r="G4655" s="156" t="s">
        <v>4034</v>
      </c>
      <c r="H4655" s="157" t="s">
        <v>215</v>
      </c>
    </row>
    <row r="4656" hidden="1">
      <c r="A4656" s="160" t="s">
        <v>235</v>
      </c>
      <c r="B4656" s="72"/>
      <c r="C4656" s="118" t="s">
        <v>236</v>
      </c>
      <c r="D4656" s="152" t="s">
        <v>5385</v>
      </c>
      <c r="E4656" s="152" t="s">
        <v>5509</v>
      </c>
      <c r="F4656" s="152" t="s">
        <v>351</v>
      </c>
      <c r="G4656" s="152" t="s">
        <v>4851</v>
      </c>
      <c r="H4656" s="153" t="s">
        <v>216</v>
      </c>
    </row>
    <row r="4657" hidden="1">
      <c r="A4657" s="158" t="s">
        <v>237</v>
      </c>
      <c r="B4657" s="159"/>
      <c r="C4657" s="155" t="s">
        <v>236</v>
      </c>
      <c r="D4657" s="156" t="s">
        <v>5385</v>
      </c>
      <c r="E4657" s="156" t="s">
        <v>5510</v>
      </c>
      <c r="F4657" s="156" t="s">
        <v>677</v>
      </c>
      <c r="G4657" s="156" t="s">
        <v>3396</v>
      </c>
      <c r="H4657" s="157" t="s">
        <v>210</v>
      </c>
    </row>
    <row r="4658" hidden="1">
      <c r="A4658" s="160" t="s">
        <v>237</v>
      </c>
      <c r="B4658" s="72"/>
      <c r="C4658" s="118" t="s">
        <v>236</v>
      </c>
      <c r="D4658" s="152" t="s">
        <v>5385</v>
      </c>
      <c r="E4658" s="152" t="s">
        <v>5511</v>
      </c>
      <c r="F4658" s="152" t="s">
        <v>329</v>
      </c>
      <c r="G4658" s="152" t="s">
        <v>2910</v>
      </c>
      <c r="H4658" s="153" t="s">
        <v>211</v>
      </c>
    </row>
    <row r="4659" hidden="1">
      <c r="A4659" s="158" t="s">
        <v>237</v>
      </c>
      <c r="B4659" s="159"/>
      <c r="C4659" s="155" t="s">
        <v>236</v>
      </c>
      <c r="D4659" s="156" t="s">
        <v>5385</v>
      </c>
      <c r="E4659" s="156" t="s">
        <v>5512</v>
      </c>
      <c r="F4659" s="156" t="s">
        <v>478</v>
      </c>
      <c r="G4659" s="156" t="s">
        <v>3919</v>
      </c>
      <c r="H4659" s="157" t="s">
        <v>212</v>
      </c>
    </row>
    <row r="4660" hidden="1">
      <c r="A4660" s="160" t="s">
        <v>237</v>
      </c>
      <c r="B4660" s="72"/>
      <c r="C4660" s="118" t="s">
        <v>236</v>
      </c>
      <c r="D4660" s="152" t="s">
        <v>5385</v>
      </c>
      <c r="E4660" s="152" t="s">
        <v>5513</v>
      </c>
      <c r="F4660" s="152" t="s">
        <v>478</v>
      </c>
      <c r="G4660" s="152" t="s">
        <v>2189</v>
      </c>
      <c r="H4660" s="153" t="s">
        <v>213</v>
      </c>
    </row>
    <row r="4661" hidden="1">
      <c r="A4661" s="158" t="s">
        <v>237</v>
      </c>
      <c r="B4661" s="159"/>
      <c r="C4661" s="155" t="s">
        <v>236</v>
      </c>
      <c r="D4661" s="156" t="s">
        <v>5385</v>
      </c>
      <c r="E4661" s="156" t="s">
        <v>5514</v>
      </c>
      <c r="F4661" s="156" t="s">
        <v>305</v>
      </c>
      <c r="G4661" s="156" t="s">
        <v>3620</v>
      </c>
      <c r="H4661" s="157" t="s">
        <v>214</v>
      </c>
    </row>
    <row r="4662" hidden="1">
      <c r="A4662" s="160" t="s">
        <v>237</v>
      </c>
      <c r="B4662" s="72"/>
      <c r="C4662" s="118" t="s">
        <v>236</v>
      </c>
      <c r="D4662" s="152" t="s">
        <v>5385</v>
      </c>
      <c r="E4662" s="152" t="s">
        <v>5515</v>
      </c>
      <c r="F4662" s="152" t="s">
        <v>799</v>
      </c>
      <c r="G4662" s="152" t="s">
        <v>2995</v>
      </c>
      <c r="H4662" s="153" t="s">
        <v>215</v>
      </c>
    </row>
    <row r="4663" hidden="1">
      <c r="A4663" s="158" t="s">
        <v>237</v>
      </c>
      <c r="B4663" s="159"/>
      <c r="C4663" s="155" t="s">
        <v>236</v>
      </c>
      <c r="D4663" s="156" t="s">
        <v>5385</v>
      </c>
      <c r="E4663" s="156" t="s">
        <v>5516</v>
      </c>
      <c r="F4663" s="156" t="s">
        <v>725</v>
      </c>
      <c r="G4663" s="156" t="s">
        <v>2346</v>
      </c>
      <c r="H4663" s="157" t="s">
        <v>216</v>
      </c>
    </row>
    <row r="4664" hidden="1">
      <c r="A4664" s="151" t="s">
        <v>204</v>
      </c>
      <c r="B4664" s="118" t="s">
        <v>205</v>
      </c>
      <c r="C4664" s="118" t="s">
        <v>206</v>
      </c>
      <c r="D4664" s="152" t="s">
        <v>5517</v>
      </c>
      <c r="E4664" s="152" t="s">
        <v>5518</v>
      </c>
      <c r="F4664" s="152" t="s">
        <v>357</v>
      </c>
      <c r="G4664" s="152" t="s">
        <v>2820</v>
      </c>
      <c r="H4664" s="153" t="s">
        <v>210</v>
      </c>
    </row>
    <row r="4665" hidden="1">
      <c r="A4665" s="154" t="s">
        <v>204</v>
      </c>
      <c r="B4665" s="155" t="s">
        <v>205</v>
      </c>
      <c r="C4665" s="155" t="s">
        <v>206</v>
      </c>
      <c r="D4665" s="156" t="s">
        <v>5517</v>
      </c>
      <c r="E4665" s="156" t="s">
        <v>5519</v>
      </c>
      <c r="F4665" s="156" t="s">
        <v>321</v>
      </c>
      <c r="G4665" s="156" t="s">
        <v>2822</v>
      </c>
      <c r="H4665" s="157" t="s">
        <v>211</v>
      </c>
    </row>
    <row r="4666" hidden="1">
      <c r="A4666" s="151" t="s">
        <v>204</v>
      </c>
      <c r="B4666" s="118" t="s">
        <v>205</v>
      </c>
      <c r="C4666" s="118" t="s">
        <v>206</v>
      </c>
      <c r="D4666" s="152" t="s">
        <v>5517</v>
      </c>
      <c r="E4666" s="152" t="s">
        <v>5520</v>
      </c>
      <c r="F4666" s="152" t="s">
        <v>310</v>
      </c>
      <c r="G4666" s="152" t="s">
        <v>3616</v>
      </c>
      <c r="H4666" s="153" t="s">
        <v>212</v>
      </c>
    </row>
    <row r="4667" hidden="1">
      <c r="A4667" s="154" t="s">
        <v>204</v>
      </c>
      <c r="B4667" s="155" t="s">
        <v>205</v>
      </c>
      <c r="C4667" s="155" t="s">
        <v>206</v>
      </c>
      <c r="D4667" s="156" t="s">
        <v>5517</v>
      </c>
      <c r="E4667" s="156" t="s">
        <v>5521</v>
      </c>
      <c r="F4667" s="156" t="s">
        <v>314</v>
      </c>
      <c r="G4667" s="156" t="s">
        <v>2967</v>
      </c>
      <c r="H4667" s="157" t="s">
        <v>213</v>
      </c>
    </row>
    <row r="4668" hidden="1">
      <c r="A4668" s="151" t="s">
        <v>204</v>
      </c>
      <c r="B4668" s="118" t="s">
        <v>205</v>
      </c>
      <c r="C4668" s="118" t="s">
        <v>206</v>
      </c>
      <c r="D4668" s="152" t="s">
        <v>5517</v>
      </c>
      <c r="E4668" s="152" t="s">
        <v>5522</v>
      </c>
      <c r="F4668" s="152" t="s">
        <v>321</v>
      </c>
      <c r="G4668" s="152" t="s">
        <v>4002</v>
      </c>
      <c r="H4668" s="153" t="s">
        <v>214</v>
      </c>
    </row>
    <row r="4669" hidden="1">
      <c r="A4669" s="154" t="s">
        <v>204</v>
      </c>
      <c r="B4669" s="155" t="s">
        <v>205</v>
      </c>
      <c r="C4669" s="155" t="s">
        <v>206</v>
      </c>
      <c r="D4669" s="156" t="s">
        <v>5517</v>
      </c>
      <c r="E4669" s="156" t="s">
        <v>5523</v>
      </c>
      <c r="F4669" s="156" t="s">
        <v>321</v>
      </c>
      <c r="G4669" s="156" t="s">
        <v>3272</v>
      </c>
      <c r="H4669" s="157" t="s">
        <v>215</v>
      </c>
    </row>
    <row r="4670" hidden="1">
      <c r="A4670" s="151" t="s">
        <v>204</v>
      </c>
      <c r="B4670" s="118" t="s">
        <v>205</v>
      </c>
      <c r="C4670" s="118" t="s">
        <v>206</v>
      </c>
      <c r="D4670" s="152" t="s">
        <v>5517</v>
      </c>
      <c r="E4670" s="152" t="s">
        <v>5524</v>
      </c>
      <c r="F4670" s="152" t="s">
        <v>359</v>
      </c>
      <c r="G4670" s="152" t="s">
        <v>4019</v>
      </c>
      <c r="H4670" s="153" t="s">
        <v>216</v>
      </c>
    </row>
    <row r="4671" hidden="1">
      <c r="A4671" s="154" t="s">
        <v>217</v>
      </c>
      <c r="B4671" s="155" t="s">
        <v>191</v>
      </c>
      <c r="C4671" s="155" t="s">
        <v>206</v>
      </c>
      <c r="D4671" s="156" t="s">
        <v>5517</v>
      </c>
      <c r="E4671" s="156" t="s">
        <v>5525</v>
      </c>
      <c r="F4671" s="156" t="s">
        <v>478</v>
      </c>
      <c r="G4671" s="156" t="s">
        <v>2179</v>
      </c>
      <c r="H4671" s="157" t="s">
        <v>210</v>
      </c>
    </row>
    <row r="4672" hidden="1">
      <c r="A4672" s="151" t="s">
        <v>217</v>
      </c>
      <c r="B4672" s="118" t="s">
        <v>191</v>
      </c>
      <c r="C4672" s="118" t="s">
        <v>206</v>
      </c>
      <c r="D4672" s="152" t="s">
        <v>5517</v>
      </c>
      <c r="E4672" s="152" t="s">
        <v>5526</v>
      </c>
      <c r="F4672" s="152" t="s">
        <v>312</v>
      </c>
      <c r="G4672" s="152" t="s">
        <v>4026</v>
      </c>
      <c r="H4672" s="153" t="s">
        <v>211</v>
      </c>
    </row>
    <row r="4673" hidden="1">
      <c r="A4673" s="154" t="s">
        <v>217</v>
      </c>
      <c r="B4673" s="155" t="s">
        <v>191</v>
      </c>
      <c r="C4673" s="155" t="s">
        <v>206</v>
      </c>
      <c r="D4673" s="156" t="s">
        <v>5517</v>
      </c>
      <c r="E4673" s="156" t="s">
        <v>5527</v>
      </c>
      <c r="F4673" s="156" t="s">
        <v>448</v>
      </c>
      <c r="G4673" s="156" t="s">
        <v>2183</v>
      </c>
      <c r="H4673" s="157" t="s">
        <v>212</v>
      </c>
    </row>
    <row r="4674" hidden="1">
      <c r="A4674" s="151" t="s">
        <v>217</v>
      </c>
      <c r="B4674" s="118" t="s">
        <v>191</v>
      </c>
      <c r="C4674" s="118" t="s">
        <v>206</v>
      </c>
      <c r="D4674" s="152" t="s">
        <v>5517</v>
      </c>
      <c r="E4674" s="152" t="s">
        <v>5528</v>
      </c>
      <c r="F4674" s="152" t="s">
        <v>312</v>
      </c>
      <c r="G4674" s="152" t="s">
        <v>3764</v>
      </c>
      <c r="H4674" s="153" t="s">
        <v>213</v>
      </c>
    </row>
    <row r="4675" hidden="1">
      <c r="A4675" s="154" t="s">
        <v>217</v>
      </c>
      <c r="B4675" s="155" t="s">
        <v>191</v>
      </c>
      <c r="C4675" s="155" t="s">
        <v>206</v>
      </c>
      <c r="D4675" s="156" t="s">
        <v>5517</v>
      </c>
      <c r="E4675" s="156" t="s">
        <v>5529</v>
      </c>
      <c r="F4675" s="156" t="s">
        <v>494</v>
      </c>
      <c r="G4675" s="156" t="s">
        <v>4842</v>
      </c>
      <c r="H4675" s="157" t="s">
        <v>214</v>
      </c>
    </row>
    <row r="4676" hidden="1">
      <c r="A4676" s="151" t="s">
        <v>217</v>
      </c>
      <c r="B4676" s="118" t="s">
        <v>191</v>
      </c>
      <c r="C4676" s="118" t="s">
        <v>206</v>
      </c>
      <c r="D4676" s="152" t="s">
        <v>5517</v>
      </c>
      <c r="E4676" s="152" t="s">
        <v>5530</v>
      </c>
      <c r="F4676" s="152" t="s">
        <v>450</v>
      </c>
      <c r="G4676" s="152" t="s">
        <v>4287</v>
      </c>
      <c r="H4676" s="153" t="s">
        <v>215</v>
      </c>
    </row>
    <row r="4677" hidden="1">
      <c r="A4677" s="154" t="s">
        <v>217</v>
      </c>
      <c r="B4677" s="155" t="s">
        <v>191</v>
      </c>
      <c r="C4677" s="155" t="s">
        <v>206</v>
      </c>
      <c r="D4677" s="156" t="s">
        <v>5517</v>
      </c>
      <c r="E4677" s="156" t="s">
        <v>5531</v>
      </c>
      <c r="F4677" s="156" t="s">
        <v>312</v>
      </c>
      <c r="G4677" s="156" t="s">
        <v>3111</v>
      </c>
      <c r="H4677" s="157" t="s">
        <v>216</v>
      </c>
    </row>
    <row r="4678" hidden="1">
      <c r="A4678" s="151" t="s">
        <v>218</v>
      </c>
      <c r="B4678" s="118" t="s">
        <v>219</v>
      </c>
      <c r="C4678" s="118" t="s">
        <v>206</v>
      </c>
      <c r="D4678" s="152" t="s">
        <v>5517</v>
      </c>
      <c r="E4678" s="152" t="s">
        <v>5532</v>
      </c>
      <c r="F4678" s="152" t="s">
        <v>725</v>
      </c>
      <c r="G4678" s="152" t="s">
        <v>4019</v>
      </c>
      <c r="H4678" s="153" t="s">
        <v>210</v>
      </c>
    </row>
    <row r="4679" hidden="1">
      <c r="A4679" s="154" t="s">
        <v>218</v>
      </c>
      <c r="B4679" s="155" t="s">
        <v>219</v>
      </c>
      <c r="C4679" s="155" t="s">
        <v>206</v>
      </c>
      <c r="D4679" s="156" t="s">
        <v>5517</v>
      </c>
      <c r="E4679" s="156" t="s">
        <v>5533</v>
      </c>
      <c r="F4679" s="156" t="s">
        <v>354</v>
      </c>
      <c r="G4679" s="156" t="s">
        <v>3572</v>
      </c>
      <c r="H4679" s="157" t="s">
        <v>211</v>
      </c>
    </row>
    <row r="4680" hidden="1">
      <c r="A4680" s="151" t="s">
        <v>218</v>
      </c>
      <c r="B4680" s="118" t="s">
        <v>219</v>
      </c>
      <c r="C4680" s="118" t="s">
        <v>206</v>
      </c>
      <c r="D4680" s="152" t="s">
        <v>5517</v>
      </c>
      <c r="E4680" s="152" t="s">
        <v>5534</v>
      </c>
      <c r="F4680" s="152" t="s">
        <v>450</v>
      </c>
      <c r="G4680" s="152" t="s">
        <v>2671</v>
      </c>
      <c r="H4680" s="153" t="s">
        <v>212</v>
      </c>
    </row>
    <row r="4681" hidden="1">
      <c r="A4681" s="154" t="s">
        <v>218</v>
      </c>
      <c r="B4681" s="155" t="s">
        <v>219</v>
      </c>
      <c r="C4681" s="155" t="s">
        <v>206</v>
      </c>
      <c r="D4681" s="156" t="s">
        <v>5517</v>
      </c>
      <c r="E4681" s="156" t="s">
        <v>5535</v>
      </c>
      <c r="F4681" s="156" t="s">
        <v>354</v>
      </c>
      <c r="G4681" s="156" t="s">
        <v>2816</v>
      </c>
      <c r="H4681" s="157" t="s">
        <v>213</v>
      </c>
    </row>
    <row r="4682" hidden="1">
      <c r="A4682" s="151" t="s">
        <v>218</v>
      </c>
      <c r="B4682" s="118" t="s">
        <v>219</v>
      </c>
      <c r="C4682" s="118" t="s">
        <v>206</v>
      </c>
      <c r="D4682" s="152" t="s">
        <v>5517</v>
      </c>
      <c r="E4682" s="152" t="s">
        <v>5536</v>
      </c>
      <c r="F4682" s="152" t="s">
        <v>329</v>
      </c>
      <c r="G4682" s="152" t="s">
        <v>2348</v>
      </c>
      <c r="H4682" s="153" t="s">
        <v>214</v>
      </c>
    </row>
    <row r="4683" hidden="1">
      <c r="A4683" s="154" t="s">
        <v>218</v>
      </c>
      <c r="B4683" s="155" t="s">
        <v>219</v>
      </c>
      <c r="C4683" s="155" t="s">
        <v>206</v>
      </c>
      <c r="D4683" s="156" t="s">
        <v>5517</v>
      </c>
      <c r="E4683" s="156" t="s">
        <v>5537</v>
      </c>
      <c r="F4683" s="156" t="s">
        <v>478</v>
      </c>
      <c r="G4683" s="156" t="s">
        <v>4002</v>
      </c>
      <c r="H4683" s="157" t="s">
        <v>215</v>
      </c>
    </row>
    <row r="4684" hidden="1">
      <c r="A4684" s="151" t="s">
        <v>218</v>
      </c>
      <c r="B4684" s="118" t="s">
        <v>219</v>
      </c>
      <c r="C4684" s="118" t="s">
        <v>206</v>
      </c>
      <c r="D4684" s="152" t="s">
        <v>5517</v>
      </c>
      <c r="E4684" s="152" t="s">
        <v>5538</v>
      </c>
      <c r="F4684" s="152" t="s">
        <v>354</v>
      </c>
      <c r="G4684" s="152" t="s">
        <v>2820</v>
      </c>
      <c r="H4684" s="153" t="s">
        <v>216</v>
      </c>
    </row>
    <row r="4685" hidden="1">
      <c r="A4685" s="154" t="s">
        <v>220</v>
      </c>
      <c r="B4685" s="155" t="s">
        <v>190</v>
      </c>
      <c r="C4685" s="155" t="s">
        <v>206</v>
      </c>
      <c r="D4685" s="156" t="s">
        <v>5517</v>
      </c>
      <c r="E4685" s="156" t="s">
        <v>5539</v>
      </c>
      <c r="F4685" s="156" t="s">
        <v>492</v>
      </c>
      <c r="G4685" s="156" t="s">
        <v>3300</v>
      </c>
      <c r="H4685" s="157" t="s">
        <v>210</v>
      </c>
    </row>
    <row r="4686" hidden="1">
      <c r="A4686" s="151" t="s">
        <v>220</v>
      </c>
      <c r="B4686" s="118" t="s">
        <v>190</v>
      </c>
      <c r="C4686" s="118" t="s">
        <v>206</v>
      </c>
      <c r="D4686" s="152" t="s">
        <v>5517</v>
      </c>
      <c r="E4686" s="152" t="s">
        <v>5540</v>
      </c>
      <c r="F4686" s="152" t="s">
        <v>287</v>
      </c>
      <c r="G4686" s="152" t="s">
        <v>2352</v>
      </c>
      <c r="H4686" s="153" t="s">
        <v>211</v>
      </c>
    </row>
    <row r="4687" hidden="1">
      <c r="A4687" s="154" t="s">
        <v>220</v>
      </c>
      <c r="B4687" s="155" t="s">
        <v>190</v>
      </c>
      <c r="C4687" s="155" t="s">
        <v>206</v>
      </c>
      <c r="D4687" s="156" t="s">
        <v>5517</v>
      </c>
      <c r="E4687" s="156" t="s">
        <v>5541</v>
      </c>
      <c r="F4687" s="156" t="s">
        <v>301</v>
      </c>
      <c r="G4687" s="156" t="s">
        <v>3838</v>
      </c>
      <c r="H4687" s="157" t="s">
        <v>212</v>
      </c>
    </row>
    <row r="4688" hidden="1">
      <c r="A4688" s="151" t="s">
        <v>220</v>
      </c>
      <c r="B4688" s="118" t="s">
        <v>190</v>
      </c>
      <c r="C4688" s="118" t="s">
        <v>206</v>
      </c>
      <c r="D4688" s="152" t="s">
        <v>5517</v>
      </c>
      <c r="E4688" s="152" t="s">
        <v>5542</v>
      </c>
      <c r="F4688" s="152" t="s">
        <v>287</v>
      </c>
      <c r="G4688" s="152" t="s">
        <v>3919</v>
      </c>
      <c r="H4688" s="153" t="s">
        <v>213</v>
      </c>
    </row>
    <row r="4689" hidden="1">
      <c r="A4689" s="154" t="s">
        <v>220</v>
      </c>
      <c r="B4689" s="155" t="s">
        <v>190</v>
      </c>
      <c r="C4689" s="155" t="s">
        <v>206</v>
      </c>
      <c r="D4689" s="156" t="s">
        <v>5517</v>
      </c>
      <c r="E4689" s="156" t="s">
        <v>5071</v>
      </c>
      <c r="F4689" s="156" t="s">
        <v>240</v>
      </c>
      <c r="G4689" s="156" t="s">
        <v>4206</v>
      </c>
      <c r="H4689" s="157" t="s">
        <v>214</v>
      </c>
    </row>
    <row r="4690" hidden="1">
      <c r="A4690" s="151" t="s">
        <v>220</v>
      </c>
      <c r="B4690" s="118" t="s">
        <v>190</v>
      </c>
      <c r="C4690" s="118" t="s">
        <v>206</v>
      </c>
      <c r="D4690" s="152" t="s">
        <v>5517</v>
      </c>
      <c r="E4690" s="152" t="s">
        <v>5543</v>
      </c>
      <c r="F4690" s="152" t="s">
        <v>321</v>
      </c>
      <c r="G4690" s="152" t="s">
        <v>3812</v>
      </c>
      <c r="H4690" s="153" t="s">
        <v>215</v>
      </c>
    </row>
    <row r="4691" hidden="1">
      <c r="A4691" s="154" t="s">
        <v>220</v>
      </c>
      <c r="B4691" s="155" t="s">
        <v>190</v>
      </c>
      <c r="C4691" s="155" t="s">
        <v>206</v>
      </c>
      <c r="D4691" s="156" t="s">
        <v>5517</v>
      </c>
      <c r="E4691" s="156" t="s">
        <v>5544</v>
      </c>
      <c r="F4691" s="156" t="s">
        <v>301</v>
      </c>
      <c r="G4691" s="156" t="s">
        <v>3812</v>
      </c>
      <c r="H4691" s="157" t="s">
        <v>216</v>
      </c>
    </row>
    <row r="4692" hidden="1">
      <c r="A4692" s="151" t="s">
        <v>221</v>
      </c>
      <c r="B4692" s="118" t="s">
        <v>189</v>
      </c>
      <c r="C4692" s="118" t="s">
        <v>206</v>
      </c>
      <c r="D4692" s="152" t="s">
        <v>5517</v>
      </c>
      <c r="E4692" s="152" t="s">
        <v>5545</v>
      </c>
      <c r="F4692" s="152" t="s">
        <v>1181</v>
      </c>
      <c r="G4692" s="152" t="s">
        <v>3287</v>
      </c>
      <c r="H4692" s="153" t="s">
        <v>210</v>
      </c>
    </row>
    <row r="4693" hidden="1">
      <c r="A4693" s="154" t="s">
        <v>221</v>
      </c>
      <c r="B4693" s="155" t="s">
        <v>189</v>
      </c>
      <c r="C4693" s="155" t="s">
        <v>206</v>
      </c>
      <c r="D4693" s="156" t="s">
        <v>5517</v>
      </c>
      <c r="E4693" s="156" t="s">
        <v>5546</v>
      </c>
      <c r="F4693" s="156" t="s">
        <v>357</v>
      </c>
      <c r="G4693" s="156" t="s">
        <v>2045</v>
      </c>
      <c r="H4693" s="157" t="s">
        <v>211</v>
      </c>
    </row>
    <row r="4694" hidden="1">
      <c r="A4694" s="151" t="s">
        <v>221</v>
      </c>
      <c r="B4694" s="118" t="s">
        <v>189</v>
      </c>
      <c r="C4694" s="118" t="s">
        <v>206</v>
      </c>
      <c r="D4694" s="152" t="s">
        <v>5517</v>
      </c>
      <c r="E4694" s="152" t="s">
        <v>5547</v>
      </c>
      <c r="F4694" s="152" t="s">
        <v>269</v>
      </c>
      <c r="G4694" s="152" t="s">
        <v>2113</v>
      </c>
      <c r="H4694" s="153" t="s">
        <v>212</v>
      </c>
    </row>
    <row r="4695" hidden="1">
      <c r="A4695" s="154" t="s">
        <v>221</v>
      </c>
      <c r="B4695" s="155" t="s">
        <v>189</v>
      </c>
      <c r="C4695" s="155" t="s">
        <v>206</v>
      </c>
      <c r="D4695" s="156" t="s">
        <v>5517</v>
      </c>
      <c r="E4695" s="156" t="s">
        <v>5548</v>
      </c>
      <c r="F4695" s="156" t="s">
        <v>255</v>
      </c>
      <c r="G4695" s="156" t="s">
        <v>3950</v>
      </c>
      <c r="H4695" s="157" t="s">
        <v>213</v>
      </c>
    </row>
    <row r="4696" hidden="1">
      <c r="A4696" s="151" t="s">
        <v>221</v>
      </c>
      <c r="B4696" s="118" t="s">
        <v>189</v>
      </c>
      <c r="C4696" s="118" t="s">
        <v>206</v>
      </c>
      <c r="D4696" s="152" t="s">
        <v>5517</v>
      </c>
      <c r="E4696" s="152" t="s">
        <v>5549</v>
      </c>
      <c r="F4696" s="152" t="s">
        <v>242</v>
      </c>
      <c r="G4696" s="152" t="s">
        <v>2311</v>
      </c>
      <c r="H4696" s="153" t="s">
        <v>214</v>
      </c>
    </row>
    <row r="4697" hidden="1">
      <c r="A4697" s="154" t="s">
        <v>221</v>
      </c>
      <c r="B4697" s="155" t="s">
        <v>189</v>
      </c>
      <c r="C4697" s="155" t="s">
        <v>206</v>
      </c>
      <c r="D4697" s="156" t="s">
        <v>5517</v>
      </c>
      <c r="E4697" s="156" t="s">
        <v>5550</v>
      </c>
      <c r="F4697" s="156" t="s">
        <v>357</v>
      </c>
      <c r="G4697" s="156" t="s">
        <v>3341</v>
      </c>
      <c r="H4697" s="157" t="s">
        <v>215</v>
      </c>
    </row>
    <row r="4698" hidden="1">
      <c r="A4698" s="151" t="s">
        <v>221</v>
      </c>
      <c r="B4698" s="118" t="s">
        <v>189</v>
      </c>
      <c r="C4698" s="118" t="s">
        <v>206</v>
      </c>
      <c r="D4698" s="152" t="s">
        <v>5517</v>
      </c>
      <c r="E4698" s="152" t="s">
        <v>5551</v>
      </c>
      <c r="F4698" s="152" t="s">
        <v>492</v>
      </c>
      <c r="G4698" s="152" t="s">
        <v>3587</v>
      </c>
      <c r="H4698" s="153" t="s">
        <v>216</v>
      </c>
    </row>
    <row r="4699" hidden="1">
      <c r="A4699" s="154" t="s">
        <v>222</v>
      </c>
      <c r="B4699" s="155" t="s">
        <v>192</v>
      </c>
      <c r="C4699" s="155" t="s">
        <v>206</v>
      </c>
      <c r="D4699" s="156" t="s">
        <v>5517</v>
      </c>
      <c r="E4699" s="156" t="s">
        <v>5552</v>
      </c>
      <c r="F4699" s="156" t="s">
        <v>5553</v>
      </c>
      <c r="G4699" s="156" t="s">
        <v>4024</v>
      </c>
      <c r="H4699" s="157" t="s">
        <v>210</v>
      </c>
    </row>
    <row r="4700" hidden="1">
      <c r="A4700" s="151" t="s">
        <v>222</v>
      </c>
      <c r="B4700" s="118" t="s">
        <v>192</v>
      </c>
      <c r="C4700" s="118" t="s">
        <v>206</v>
      </c>
      <c r="D4700" s="152" t="s">
        <v>5517</v>
      </c>
      <c r="E4700" s="152" t="s">
        <v>5554</v>
      </c>
      <c r="F4700" s="152" t="s">
        <v>282</v>
      </c>
      <c r="G4700" s="152" t="s">
        <v>3818</v>
      </c>
      <c r="H4700" s="153" t="s">
        <v>211</v>
      </c>
    </row>
    <row r="4701" hidden="1">
      <c r="A4701" s="154" t="s">
        <v>222</v>
      </c>
      <c r="B4701" s="155" t="s">
        <v>192</v>
      </c>
      <c r="C4701" s="155" t="s">
        <v>206</v>
      </c>
      <c r="D4701" s="156" t="s">
        <v>5517</v>
      </c>
      <c r="E4701" s="156" t="s">
        <v>5555</v>
      </c>
      <c r="F4701" s="156" t="s">
        <v>433</v>
      </c>
      <c r="G4701" s="156" t="s">
        <v>4283</v>
      </c>
      <c r="H4701" s="157" t="s">
        <v>212</v>
      </c>
    </row>
    <row r="4702" hidden="1">
      <c r="A4702" s="151" t="s">
        <v>222</v>
      </c>
      <c r="B4702" s="118" t="s">
        <v>192</v>
      </c>
      <c r="C4702" s="118" t="s">
        <v>206</v>
      </c>
      <c r="D4702" s="152" t="s">
        <v>5517</v>
      </c>
      <c r="E4702" s="152" t="s">
        <v>5556</v>
      </c>
      <c r="F4702" s="152" t="s">
        <v>282</v>
      </c>
      <c r="G4702" s="152" t="s">
        <v>3905</v>
      </c>
      <c r="H4702" s="153" t="s">
        <v>213</v>
      </c>
    </row>
    <row r="4703" hidden="1">
      <c r="A4703" s="154" t="s">
        <v>222</v>
      </c>
      <c r="B4703" s="155" t="s">
        <v>192</v>
      </c>
      <c r="C4703" s="155" t="s">
        <v>206</v>
      </c>
      <c r="D4703" s="156" t="s">
        <v>5517</v>
      </c>
      <c r="E4703" s="156" t="s">
        <v>5557</v>
      </c>
      <c r="F4703" s="156" t="s">
        <v>1181</v>
      </c>
      <c r="G4703" s="156" t="s">
        <v>3818</v>
      </c>
      <c r="H4703" s="157" t="s">
        <v>214</v>
      </c>
    </row>
    <row r="4704" hidden="1">
      <c r="A4704" s="151" t="s">
        <v>222</v>
      </c>
      <c r="B4704" s="118" t="s">
        <v>192</v>
      </c>
      <c r="C4704" s="118" t="s">
        <v>206</v>
      </c>
      <c r="D4704" s="152" t="s">
        <v>5517</v>
      </c>
      <c r="E4704" s="152" t="s">
        <v>5558</v>
      </c>
      <c r="F4704" s="152" t="s">
        <v>204</v>
      </c>
      <c r="G4704" s="152" t="s">
        <v>4209</v>
      </c>
      <c r="H4704" s="153" t="s">
        <v>215</v>
      </c>
    </row>
    <row r="4705" hidden="1">
      <c r="A4705" s="154" t="s">
        <v>222</v>
      </c>
      <c r="B4705" s="155" t="s">
        <v>192</v>
      </c>
      <c r="C4705" s="155" t="s">
        <v>206</v>
      </c>
      <c r="D4705" s="156" t="s">
        <v>5517</v>
      </c>
      <c r="E4705" s="156" t="s">
        <v>5559</v>
      </c>
      <c r="F4705" s="156" t="s">
        <v>2168</v>
      </c>
      <c r="G4705" s="156" t="s">
        <v>3939</v>
      </c>
      <c r="H4705" s="157" t="s">
        <v>216</v>
      </c>
    </row>
    <row r="4706" hidden="1">
      <c r="A4706" s="151" t="s">
        <v>223</v>
      </c>
      <c r="B4706" s="118" t="s">
        <v>144</v>
      </c>
      <c r="C4706" s="118" t="s">
        <v>206</v>
      </c>
      <c r="D4706" s="152" t="s">
        <v>5517</v>
      </c>
      <c r="E4706" s="152" t="s">
        <v>5560</v>
      </c>
      <c r="F4706" s="152" t="s">
        <v>5561</v>
      </c>
      <c r="G4706" s="152" t="s">
        <v>4442</v>
      </c>
      <c r="H4706" s="153" t="s">
        <v>210</v>
      </c>
    </row>
    <row r="4707" hidden="1">
      <c r="A4707" s="154" t="s">
        <v>223</v>
      </c>
      <c r="B4707" s="155" t="s">
        <v>144</v>
      </c>
      <c r="C4707" s="155" t="s">
        <v>206</v>
      </c>
      <c r="D4707" s="156" t="s">
        <v>5517</v>
      </c>
      <c r="E4707" s="156" t="s">
        <v>5562</v>
      </c>
      <c r="F4707" s="156" t="s">
        <v>5553</v>
      </c>
      <c r="G4707" s="156" t="s">
        <v>5084</v>
      </c>
      <c r="H4707" s="157" t="s">
        <v>211</v>
      </c>
    </row>
    <row r="4708" hidden="1">
      <c r="A4708" s="151" t="s">
        <v>223</v>
      </c>
      <c r="B4708" s="118" t="s">
        <v>144</v>
      </c>
      <c r="C4708" s="118" t="s">
        <v>206</v>
      </c>
      <c r="D4708" s="152" t="s">
        <v>5517</v>
      </c>
      <c r="E4708" s="152" t="s">
        <v>5563</v>
      </c>
      <c r="F4708" s="152" t="s">
        <v>5564</v>
      </c>
      <c r="G4708" s="152" t="s">
        <v>4054</v>
      </c>
      <c r="H4708" s="153" t="s">
        <v>212</v>
      </c>
    </row>
    <row r="4709" hidden="1">
      <c r="A4709" s="154" t="s">
        <v>223</v>
      </c>
      <c r="B4709" s="155" t="s">
        <v>144</v>
      </c>
      <c r="C4709" s="155" t="s">
        <v>206</v>
      </c>
      <c r="D4709" s="156" t="s">
        <v>5517</v>
      </c>
      <c r="E4709" s="156" t="s">
        <v>5565</v>
      </c>
      <c r="F4709" s="156" t="s">
        <v>2166</v>
      </c>
      <c r="G4709" s="156" t="s">
        <v>3699</v>
      </c>
      <c r="H4709" s="157" t="s">
        <v>213</v>
      </c>
    </row>
    <row r="4710" hidden="1">
      <c r="A4710" s="151" t="s">
        <v>223</v>
      </c>
      <c r="B4710" s="118" t="s">
        <v>144</v>
      </c>
      <c r="C4710" s="118" t="s">
        <v>206</v>
      </c>
      <c r="D4710" s="152" t="s">
        <v>5517</v>
      </c>
      <c r="E4710" s="152" t="s">
        <v>5566</v>
      </c>
      <c r="F4710" s="152" t="s">
        <v>5567</v>
      </c>
      <c r="G4710" s="152" t="s">
        <v>1788</v>
      </c>
      <c r="H4710" s="153" t="s">
        <v>214</v>
      </c>
    </row>
    <row r="4711" hidden="1">
      <c r="A4711" s="154" t="s">
        <v>223</v>
      </c>
      <c r="B4711" s="155" t="s">
        <v>144</v>
      </c>
      <c r="C4711" s="155" t="s">
        <v>206</v>
      </c>
      <c r="D4711" s="156" t="s">
        <v>5517</v>
      </c>
      <c r="E4711" s="156" t="s">
        <v>5568</v>
      </c>
      <c r="F4711" s="156" t="s">
        <v>1236</v>
      </c>
      <c r="G4711" s="156" t="s">
        <v>4171</v>
      </c>
      <c r="H4711" s="157" t="s">
        <v>215</v>
      </c>
    </row>
    <row r="4712" hidden="1">
      <c r="A4712" s="151" t="s">
        <v>223</v>
      </c>
      <c r="B4712" s="118" t="s">
        <v>144</v>
      </c>
      <c r="C4712" s="118" t="s">
        <v>206</v>
      </c>
      <c r="D4712" s="152" t="s">
        <v>5517</v>
      </c>
      <c r="E4712" s="152" t="s">
        <v>5569</v>
      </c>
      <c r="F4712" s="152" t="s">
        <v>5570</v>
      </c>
      <c r="G4712" s="152" t="s">
        <v>4364</v>
      </c>
      <c r="H4712" s="153" t="s">
        <v>216</v>
      </c>
    </row>
    <row r="4713" hidden="1">
      <c r="A4713" s="154" t="s">
        <v>224</v>
      </c>
      <c r="B4713" s="155" t="s">
        <v>170</v>
      </c>
      <c r="C4713" s="155" t="s">
        <v>206</v>
      </c>
      <c r="D4713" s="156" t="s">
        <v>5517</v>
      </c>
      <c r="E4713" s="156" t="s">
        <v>5571</v>
      </c>
      <c r="F4713" s="156" t="s">
        <v>265</v>
      </c>
      <c r="G4713" s="156" t="s">
        <v>3278</v>
      </c>
      <c r="H4713" s="157" t="s">
        <v>210</v>
      </c>
    </row>
    <row r="4714" hidden="1">
      <c r="A4714" s="151" t="s">
        <v>224</v>
      </c>
      <c r="B4714" s="118" t="s">
        <v>170</v>
      </c>
      <c r="C4714" s="118" t="s">
        <v>206</v>
      </c>
      <c r="D4714" s="152" t="s">
        <v>5517</v>
      </c>
      <c r="E4714" s="152" t="s">
        <v>5572</v>
      </c>
      <c r="F4714" s="152" t="s">
        <v>357</v>
      </c>
      <c r="G4714" s="152" t="s">
        <v>3913</v>
      </c>
      <c r="H4714" s="153" t="s">
        <v>211</v>
      </c>
    </row>
    <row r="4715" hidden="1">
      <c r="A4715" s="154" t="s">
        <v>224</v>
      </c>
      <c r="B4715" s="155" t="s">
        <v>170</v>
      </c>
      <c r="C4715" s="155" t="s">
        <v>206</v>
      </c>
      <c r="D4715" s="156" t="s">
        <v>5517</v>
      </c>
      <c r="E4715" s="156" t="s">
        <v>5573</v>
      </c>
      <c r="F4715" s="156" t="s">
        <v>246</v>
      </c>
      <c r="G4715" s="156" t="s">
        <v>3913</v>
      </c>
      <c r="H4715" s="157" t="s">
        <v>212</v>
      </c>
    </row>
    <row r="4716" hidden="1">
      <c r="A4716" s="151" t="s">
        <v>224</v>
      </c>
      <c r="B4716" s="118" t="s">
        <v>170</v>
      </c>
      <c r="C4716" s="118" t="s">
        <v>206</v>
      </c>
      <c r="D4716" s="152" t="s">
        <v>5517</v>
      </c>
      <c r="E4716" s="152" t="s">
        <v>5574</v>
      </c>
      <c r="F4716" s="152" t="s">
        <v>244</v>
      </c>
      <c r="G4716" s="152" t="s">
        <v>2665</v>
      </c>
      <c r="H4716" s="153" t="s">
        <v>213</v>
      </c>
    </row>
    <row r="4717" hidden="1">
      <c r="A4717" s="154" t="s">
        <v>224</v>
      </c>
      <c r="B4717" s="155" t="s">
        <v>170</v>
      </c>
      <c r="C4717" s="155" t="s">
        <v>206</v>
      </c>
      <c r="D4717" s="156" t="s">
        <v>5517</v>
      </c>
      <c r="E4717" s="156" t="s">
        <v>5575</v>
      </c>
      <c r="F4717" s="156" t="s">
        <v>534</v>
      </c>
      <c r="G4717" s="156" t="s">
        <v>3108</v>
      </c>
      <c r="H4717" s="157" t="s">
        <v>214</v>
      </c>
    </row>
    <row r="4718" hidden="1">
      <c r="A4718" s="151" t="s">
        <v>224</v>
      </c>
      <c r="B4718" s="118" t="s">
        <v>170</v>
      </c>
      <c r="C4718" s="118" t="s">
        <v>206</v>
      </c>
      <c r="D4718" s="152" t="s">
        <v>5517</v>
      </c>
      <c r="E4718" s="152" t="s">
        <v>5576</v>
      </c>
      <c r="F4718" s="152" t="s">
        <v>314</v>
      </c>
      <c r="G4718" s="152" t="s">
        <v>3764</v>
      </c>
      <c r="H4718" s="153" t="s">
        <v>215</v>
      </c>
    </row>
    <row r="4719" hidden="1">
      <c r="A4719" s="154" t="s">
        <v>224</v>
      </c>
      <c r="B4719" s="155" t="s">
        <v>170</v>
      </c>
      <c r="C4719" s="155" t="s">
        <v>206</v>
      </c>
      <c r="D4719" s="156" t="s">
        <v>5517</v>
      </c>
      <c r="E4719" s="156" t="s">
        <v>5577</v>
      </c>
      <c r="F4719" s="156" t="s">
        <v>257</v>
      </c>
      <c r="G4719" s="156" t="s">
        <v>3209</v>
      </c>
      <c r="H4719" s="157" t="s">
        <v>216</v>
      </c>
    </row>
    <row r="4720" hidden="1">
      <c r="A4720" s="151" t="s">
        <v>225</v>
      </c>
      <c r="B4720" s="118" t="s">
        <v>226</v>
      </c>
      <c r="C4720" s="118" t="s">
        <v>206</v>
      </c>
      <c r="D4720" s="152" t="s">
        <v>5517</v>
      </c>
      <c r="E4720" s="152" t="s">
        <v>5578</v>
      </c>
      <c r="F4720" s="152" t="s">
        <v>436</v>
      </c>
      <c r="G4720" s="152" t="s">
        <v>3270</v>
      </c>
      <c r="H4720" s="153" t="s">
        <v>210</v>
      </c>
    </row>
    <row r="4721" hidden="1">
      <c r="A4721" s="154" t="s">
        <v>225</v>
      </c>
      <c r="B4721" s="155" t="s">
        <v>226</v>
      </c>
      <c r="C4721" s="155" t="s">
        <v>206</v>
      </c>
      <c r="D4721" s="156" t="s">
        <v>5517</v>
      </c>
      <c r="E4721" s="156" t="s">
        <v>5579</v>
      </c>
      <c r="F4721" s="156" t="s">
        <v>436</v>
      </c>
      <c r="G4721" s="156" t="s">
        <v>3710</v>
      </c>
      <c r="H4721" s="157" t="s">
        <v>211</v>
      </c>
    </row>
    <row r="4722" hidden="1">
      <c r="A4722" s="151" t="s">
        <v>225</v>
      </c>
      <c r="B4722" s="118" t="s">
        <v>226</v>
      </c>
      <c r="C4722" s="118" t="s">
        <v>206</v>
      </c>
      <c r="D4722" s="152" t="s">
        <v>5517</v>
      </c>
      <c r="E4722" s="152" t="s">
        <v>5580</v>
      </c>
      <c r="F4722" s="152" t="s">
        <v>374</v>
      </c>
      <c r="G4722" s="152" t="s">
        <v>3844</v>
      </c>
      <c r="H4722" s="153" t="s">
        <v>212</v>
      </c>
    </row>
    <row r="4723" hidden="1">
      <c r="A4723" s="154" t="s">
        <v>225</v>
      </c>
      <c r="B4723" s="155" t="s">
        <v>226</v>
      </c>
      <c r="C4723" s="155" t="s">
        <v>206</v>
      </c>
      <c r="D4723" s="156" t="s">
        <v>5517</v>
      </c>
      <c r="E4723" s="156" t="s">
        <v>5581</v>
      </c>
      <c r="F4723" s="156" t="s">
        <v>436</v>
      </c>
      <c r="G4723" s="156" t="s">
        <v>3786</v>
      </c>
      <c r="H4723" s="157" t="s">
        <v>213</v>
      </c>
    </row>
    <row r="4724" hidden="1">
      <c r="A4724" s="151" t="s">
        <v>225</v>
      </c>
      <c r="B4724" s="118" t="s">
        <v>226</v>
      </c>
      <c r="C4724" s="118" t="s">
        <v>206</v>
      </c>
      <c r="D4724" s="152" t="s">
        <v>5517</v>
      </c>
      <c r="E4724" s="152" t="s">
        <v>5582</v>
      </c>
      <c r="F4724" s="152" t="s">
        <v>204</v>
      </c>
      <c r="G4724" s="152" t="s">
        <v>3117</v>
      </c>
      <c r="H4724" s="153" t="s">
        <v>214</v>
      </c>
    </row>
    <row r="4725" hidden="1">
      <c r="A4725" s="154" t="s">
        <v>225</v>
      </c>
      <c r="B4725" s="155" t="s">
        <v>226</v>
      </c>
      <c r="C4725" s="155" t="s">
        <v>206</v>
      </c>
      <c r="D4725" s="156" t="s">
        <v>5517</v>
      </c>
      <c r="E4725" s="156" t="s">
        <v>5583</v>
      </c>
      <c r="F4725" s="156" t="s">
        <v>259</v>
      </c>
      <c r="G4725" s="156" t="s">
        <v>4280</v>
      </c>
      <c r="H4725" s="157" t="s">
        <v>215</v>
      </c>
    </row>
    <row r="4726" hidden="1">
      <c r="A4726" s="151" t="s">
        <v>225</v>
      </c>
      <c r="B4726" s="118" t="s">
        <v>226</v>
      </c>
      <c r="C4726" s="118" t="s">
        <v>206</v>
      </c>
      <c r="D4726" s="152" t="s">
        <v>5517</v>
      </c>
      <c r="E4726" s="152" t="s">
        <v>5584</v>
      </c>
      <c r="F4726" s="152" t="s">
        <v>436</v>
      </c>
      <c r="G4726" s="152" t="s">
        <v>3117</v>
      </c>
      <c r="H4726" s="153" t="s">
        <v>216</v>
      </c>
    </row>
    <row r="4727" hidden="1">
      <c r="A4727" s="154" t="s">
        <v>227</v>
      </c>
      <c r="B4727" s="155" t="s">
        <v>195</v>
      </c>
      <c r="C4727" s="155" t="s">
        <v>206</v>
      </c>
      <c r="D4727" s="156" t="s">
        <v>5517</v>
      </c>
      <c r="E4727" s="156" t="s">
        <v>5585</v>
      </c>
      <c r="F4727" s="156" t="s">
        <v>1999</v>
      </c>
      <c r="G4727" s="156" t="s">
        <v>4194</v>
      </c>
      <c r="H4727" s="157" t="s">
        <v>210</v>
      </c>
    </row>
    <row r="4728" hidden="1">
      <c r="A4728" s="151" t="s">
        <v>227</v>
      </c>
      <c r="B4728" s="118" t="s">
        <v>195</v>
      </c>
      <c r="C4728" s="118" t="s">
        <v>206</v>
      </c>
      <c r="D4728" s="152" t="s">
        <v>5517</v>
      </c>
      <c r="E4728" s="152" t="s">
        <v>5586</v>
      </c>
      <c r="F4728" s="152" t="s">
        <v>1999</v>
      </c>
      <c r="G4728" s="152" t="s">
        <v>3142</v>
      </c>
      <c r="H4728" s="153" t="s">
        <v>211</v>
      </c>
    </row>
    <row r="4729" hidden="1">
      <c r="A4729" s="154" t="s">
        <v>227</v>
      </c>
      <c r="B4729" s="155" t="s">
        <v>195</v>
      </c>
      <c r="C4729" s="155" t="s">
        <v>206</v>
      </c>
      <c r="D4729" s="156" t="s">
        <v>5517</v>
      </c>
      <c r="E4729" s="156" t="s">
        <v>5587</v>
      </c>
      <c r="F4729" s="156" t="s">
        <v>351</v>
      </c>
      <c r="G4729" s="156" t="s">
        <v>3200</v>
      </c>
      <c r="H4729" s="157" t="s">
        <v>212</v>
      </c>
    </row>
    <row r="4730" hidden="1">
      <c r="A4730" s="151" t="s">
        <v>227</v>
      </c>
      <c r="B4730" s="118" t="s">
        <v>195</v>
      </c>
      <c r="C4730" s="118" t="s">
        <v>206</v>
      </c>
      <c r="D4730" s="152" t="s">
        <v>5517</v>
      </c>
      <c r="E4730" s="152" t="s">
        <v>5588</v>
      </c>
      <c r="F4730" s="152" t="s">
        <v>331</v>
      </c>
      <c r="G4730" s="152" t="s">
        <v>2820</v>
      </c>
      <c r="H4730" s="153" t="s">
        <v>213</v>
      </c>
    </row>
    <row r="4731" hidden="1">
      <c r="A4731" s="154" t="s">
        <v>227</v>
      </c>
      <c r="B4731" s="155" t="s">
        <v>195</v>
      </c>
      <c r="C4731" s="155" t="s">
        <v>206</v>
      </c>
      <c r="D4731" s="156" t="s">
        <v>5517</v>
      </c>
      <c r="E4731" s="156" t="s">
        <v>5589</v>
      </c>
      <c r="F4731" s="156" t="s">
        <v>450</v>
      </c>
      <c r="G4731" s="156" t="s">
        <v>2352</v>
      </c>
      <c r="H4731" s="157" t="s">
        <v>214</v>
      </c>
    </row>
    <row r="4732" hidden="1">
      <c r="A4732" s="151" t="s">
        <v>227</v>
      </c>
      <c r="B4732" s="118" t="s">
        <v>195</v>
      </c>
      <c r="C4732" s="118" t="s">
        <v>206</v>
      </c>
      <c r="D4732" s="152" t="s">
        <v>5517</v>
      </c>
      <c r="E4732" s="152" t="s">
        <v>5590</v>
      </c>
      <c r="F4732" s="152" t="s">
        <v>351</v>
      </c>
      <c r="G4732" s="152" t="s">
        <v>2354</v>
      </c>
      <c r="H4732" s="153" t="s">
        <v>215</v>
      </c>
    </row>
    <row r="4733" hidden="1">
      <c r="A4733" s="154" t="s">
        <v>227</v>
      </c>
      <c r="B4733" s="155" t="s">
        <v>195</v>
      </c>
      <c r="C4733" s="155" t="s">
        <v>206</v>
      </c>
      <c r="D4733" s="156" t="s">
        <v>5517</v>
      </c>
      <c r="E4733" s="156" t="s">
        <v>5591</v>
      </c>
      <c r="F4733" s="156" t="s">
        <v>423</v>
      </c>
      <c r="G4733" s="156" t="s">
        <v>3205</v>
      </c>
      <c r="H4733" s="157" t="s">
        <v>216</v>
      </c>
    </row>
    <row r="4734" hidden="1">
      <c r="A4734" s="151" t="s">
        <v>228</v>
      </c>
      <c r="B4734" s="118" t="s">
        <v>138</v>
      </c>
      <c r="C4734" s="118" t="s">
        <v>206</v>
      </c>
      <c r="D4734" s="152" t="s">
        <v>5517</v>
      </c>
      <c r="E4734" s="152" t="s">
        <v>5592</v>
      </c>
      <c r="F4734" s="152" t="s">
        <v>301</v>
      </c>
      <c r="G4734" s="152" t="s">
        <v>3764</v>
      </c>
      <c r="H4734" s="153" t="s">
        <v>210</v>
      </c>
    </row>
    <row r="4735" hidden="1">
      <c r="A4735" s="154" t="s">
        <v>228</v>
      </c>
      <c r="B4735" s="155" t="s">
        <v>138</v>
      </c>
      <c r="C4735" s="155" t="s">
        <v>206</v>
      </c>
      <c r="D4735" s="156" t="s">
        <v>5517</v>
      </c>
      <c r="E4735" s="156" t="s">
        <v>5593</v>
      </c>
      <c r="F4735" s="156" t="s">
        <v>279</v>
      </c>
      <c r="G4735" s="156" t="s">
        <v>3226</v>
      </c>
      <c r="H4735" s="157" t="s">
        <v>211</v>
      </c>
    </row>
    <row r="4736" hidden="1">
      <c r="A4736" s="151" t="s">
        <v>228</v>
      </c>
      <c r="B4736" s="118" t="s">
        <v>138</v>
      </c>
      <c r="C4736" s="118" t="s">
        <v>206</v>
      </c>
      <c r="D4736" s="152" t="s">
        <v>5517</v>
      </c>
      <c r="E4736" s="152" t="s">
        <v>5594</v>
      </c>
      <c r="F4736" s="152" t="s">
        <v>501</v>
      </c>
      <c r="G4736" s="152" t="s">
        <v>2115</v>
      </c>
      <c r="H4736" s="153" t="s">
        <v>212</v>
      </c>
    </row>
    <row r="4737" hidden="1">
      <c r="A4737" s="154" t="s">
        <v>228</v>
      </c>
      <c r="B4737" s="155" t="s">
        <v>138</v>
      </c>
      <c r="C4737" s="155" t="s">
        <v>206</v>
      </c>
      <c r="D4737" s="156" t="s">
        <v>5517</v>
      </c>
      <c r="E4737" s="156" t="s">
        <v>5465</v>
      </c>
      <c r="F4737" s="156" t="s">
        <v>204</v>
      </c>
      <c r="G4737" s="156" t="s">
        <v>2989</v>
      </c>
      <c r="H4737" s="157" t="s">
        <v>213</v>
      </c>
    </row>
    <row r="4738" hidden="1">
      <c r="A4738" s="151" t="s">
        <v>228</v>
      </c>
      <c r="B4738" s="118" t="s">
        <v>138</v>
      </c>
      <c r="C4738" s="118" t="s">
        <v>206</v>
      </c>
      <c r="D4738" s="152" t="s">
        <v>5517</v>
      </c>
      <c r="E4738" s="152" t="s">
        <v>5595</v>
      </c>
      <c r="F4738" s="152" t="s">
        <v>374</v>
      </c>
      <c r="G4738" s="152" t="s">
        <v>1843</v>
      </c>
      <c r="H4738" s="153" t="s">
        <v>214</v>
      </c>
    </row>
    <row r="4739" hidden="1">
      <c r="A4739" s="154" t="s">
        <v>228</v>
      </c>
      <c r="B4739" s="155" t="s">
        <v>138</v>
      </c>
      <c r="C4739" s="155" t="s">
        <v>206</v>
      </c>
      <c r="D4739" s="156" t="s">
        <v>5517</v>
      </c>
      <c r="E4739" s="156" t="s">
        <v>5467</v>
      </c>
      <c r="F4739" s="156" t="s">
        <v>204</v>
      </c>
      <c r="G4739" s="156" t="s">
        <v>2045</v>
      </c>
      <c r="H4739" s="157" t="s">
        <v>215</v>
      </c>
    </row>
    <row r="4740" hidden="1">
      <c r="A4740" s="151" t="s">
        <v>228</v>
      </c>
      <c r="B4740" s="118" t="s">
        <v>138</v>
      </c>
      <c r="C4740" s="118" t="s">
        <v>206</v>
      </c>
      <c r="D4740" s="152" t="s">
        <v>5517</v>
      </c>
      <c r="E4740" s="152" t="s">
        <v>5596</v>
      </c>
      <c r="F4740" s="152" t="s">
        <v>262</v>
      </c>
      <c r="G4740" s="152" t="s">
        <v>2970</v>
      </c>
      <c r="H4740" s="153" t="s">
        <v>216</v>
      </c>
    </row>
    <row r="4741" hidden="1">
      <c r="A4741" s="154" t="s">
        <v>229</v>
      </c>
      <c r="B4741" s="155" t="s">
        <v>193</v>
      </c>
      <c r="C4741" s="155" t="s">
        <v>206</v>
      </c>
      <c r="D4741" s="156" t="s">
        <v>5517</v>
      </c>
      <c r="E4741" s="156" t="s">
        <v>5597</v>
      </c>
      <c r="F4741" s="156" t="s">
        <v>799</v>
      </c>
      <c r="G4741" s="156" t="s">
        <v>3611</v>
      </c>
      <c r="H4741" s="157" t="s">
        <v>210</v>
      </c>
    </row>
    <row r="4742" hidden="1">
      <c r="A4742" s="151" t="s">
        <v>229</v>
      </c>
      <c r="B4742" s="118" t="s">
        <v>193</v>
      </c>
      <c r="C4742" s="118" t="s">
        <v>206</v>
      </c>
      <c r="D4742" s="152" t="s">
        <v>5517</v>
      </c>
      <c r="E4742" s="152" t="s">
        <v>5598</v>
      </c>
      <c r="F4742" s="152" t="s">
        <v>325</v>
      </c>
      <c r="G4742" s="152" t="s">
        <v>3262</v>
      </c>
      <c r="H4742" s="153" t="s">
        <v>211</v>
      </c>
    </row>
    <row r="4743" hidden="1">
      <c r="A4743" s="154" t="s">
        <v>229</v>
      </c>
      <c r="B4743" s="155" t="s">
        <v>193</v>
      </c>
      <c r="C4743" s="155" t="s">
        <v>206</v>
      </c>
      <c r="D4743" s="156" t="s">
        <v>5517</v>
      </c>
      <c r="E4743" s="156" t="s">
        <v>5599</v>
      </c>
      <c r="F4743" s="156" t="s">
        <v>1929</v>
      </c>
      <c r="G4743" s="156" t="s">
        <v>4116</v>
      </c>
      <c r="H4743" s="157" t="s">
        <v>212</v>
      </c>
    </row>
    <row r="4744" hidden="1">
      <c r="A4744" s="151" t="s">
        <v>229</v>
      </c>
      <c r="B4744" s="118" t="s">
        <v>193</v>
      </c>
      <c r="C4744" s="118" t="s">
        <v>206</v>
      </c>
      <c r="D4744" s="152" t="s">
        <v>5517</v>
      </c>
      <c r="E4744" s="152" t="s">
        <v>5600</v>
      </c>
      <c r="F4744" s="152" t="s">
        <v>351</v>
      </c>
      <c r="G4744" s="152" t="s">
        <v>2508</v>
      </c>
      <c r="H4744" s="153" t="s">
        <v>213</v>
      </c>
    </row>
    <row r="4745" hidden="1">
      <c r="A4745" s="154" t="s">
        <v>229</v>
      </c>
      <c r="B4745" s="155" t="s">
        <v>193</v>
      </c>
      <c r="C4745" s="155" t="s">
        <v>206</v>
      </c>
      <c r="D4745" s="156" t="s">
        <v>5517</v>
      </c>
      <c r="E4745" s="156" t="s">
        <v>5601</v>
      </c>
      <c r="F4745" s="156" t="s">
        <v>677</v>
      </c>
      <c r="G4745" s="156" t="s">
        <v>1793</v>
      </c>
      <c r="H4745" s="157" t="s">
        <v>214</v>
      </c>
    </row>
    <row r="4746" hidden="1">
      <c r="A4746" s="151" t="s">
        <v>229</v>
      </c>
      <c r="B4746" s="118" t="s">
        <v>193</v>
      </c>
      <c r="C4746" s="118" t="s">
        <v>206</v>
      </c>
      <c r="D4746" s="152" t="s">
        <v>5517</v>
      </c>
      <c r="E4746" s="152" t="s">
        <v>5602</v>
      </c>
      <c r="F4746" s="152" t="s">
        <v>312</v>
      </c>
      <c r="G4746" s="152" t="s">
        <v>3611</v>
      </c>
      <c r="H4746" s="153" t="s">
        <v>215</v>
      </c>
    </row>
    <row r="4747" hidden="1">
      <c r="A4747" s="154" t="s">
        <v>229</v>
      </c>
      <c r="B4747" s="155" t="s">
        <v>193</v>
      </c>
      <c r="C4747" s="155" t="s">
        <v>206</v>
      </c>
      <c r="D4747" s="156" t="s">
        <v>5517</v>
      </c>
      <c r="E4747" s="156" t="s">
        <v>5603</v>
      </c>
      <c r="F4747" s="156" t="s">
        <v>799</v>
      </c>
      <c r="G4747" s="156" t="s">
        <v>2816</v>
      </c>
      <c r="H4747" s="157" t="s">
        <v>216</v>
      </c>
    </row>
    <row r="4748" hidden="1">
      <c r="A4748" s="151" t="s">
        <v>230</v>
      </c>
      <c r="B4748" s="118" t="s">
        <v>194</v>
      </c>
      <c r="C4748" s="118" t="s">
        <v>206</v>
      </c>
      <c r="D4748" s="152" t="s">
        <v>5517</v>
      </c>
      <c r="E4748" s="152" t="s">
        <v>5604</v>
      </c>
      <c r="F4748" s="152" t="s">
        <v>351</v>
      </c>
      <c r="G4748" s="152" t="s">
        <v>4206</v>
      </c>
      <c r="H4748" s="153" t="s">
        <v>210</v>
      </c>
    </row>
    <row r="4749" hidden="1">
      <c r="A4749" s="154" t="s">
        <v>230</v>
      </c>
      <c r="B4749" s="155" t="s">
        <v>194</v>
      </c>
      <c r="C4749" s="155" t="s">
        <v>206</v>
      </c>
      <c r="D4749" s="156" t="s">
        <v>5517</v>
      </c>
      <c r="E4749" s="156" t="s">
        <v>5605</v>
      </c>
      <c r="F4749" s="156" t="s">
        <v>290</v>
      </c>
      <c r="G4749" s="156" t="s">
        <v>4196</v>
      </c>
      <c r="H4749" s="157" t="s">
        <v>211</v>
      </c>
    </row>
    <row r="4750" hidden="1">
      <c r="A4750" s="151" t="s">
        <v>230</v>
      </c>
      <c r="B4750" s="118" t="s">
        <v>194</v>
      </c>
      <c r="C4750" s="118" t="s">
        <v>206</v>
      </c>
      <c r="D4750" s="152" t="s">
        <v>5517</v>
      </c>
      <c r="E4750" s="152" t="s">
        <v>5606</v>
      </c>
      <c r="F4750" s="152" t="s">
        <v>305</v>
      </c>
      <c r="G4750" s="152" t="s">
        <v>4176</v>
      </c>
      <c r="H4750" s="153" t="s">
        <v>212</v>
      </c>
    </row>
    <row r="4751" hidden="1">
      <c r="A4751" s="154" t="s">
        <v>230</v>
      </c>
      <c r="B4751" s="155" t="s">
        <v>194</v>
      </c>
      <c r="C4751" s="155" t="s">
        <v>206</v>
      </c>
      <c r="D4751" s="156" t="s">
        <v>5517</v>
      </c>
      <c r="E4751" s="156" t="s">
        <v>5607</v>
      </c>
      <c r="F4751" s="156" t="s">
        <v>359</v>
      </c>
      <c r="G4751" s="156" t="s">
        <v>4842</v>
      </c>
      <c r="H4751" s="157" t="s">
        <v>213</v>
      </c>
    </row>
    <row r="4752" hidden="1">
      <c r="A4752" s="151" t="s">
        <v>230</v>
      </c>
      <c r="B4752" s="118" t="s">
        <v>194</v>
      </c>
      <c r="C4752" s="118" t="s">
        <v>206</v>
      </c>
      <c r="D4752" s="152" t="s">
        <v>5517</v>
      </c>
      <c r="E4752" s="152" t="s">
        <v>5608</v>
      </c>
      <c r="F4752" s="152" t="s">
        <v>351</v>
      </c>
      <c r="G4752" s="152" t="s">
        <v>4263</v>
      </c>
      <c r="H4752" s="153" t="s">
        <v>214</v>
      </c>
    </row>
    <row r="4753" hidden="1">
      <c r="A4753" s="154" t="s">
        <v>230</v>
      </c>
      <c r="B4753" s="155" t="s">
        <v>194</v>
      </c>
      <c r="C4753" s="155" t="s">
        <v>206</v>
      </c>
      <c r="D4753" s="156" t="s">
        <v>5517</v>
      </c>
      <c r="E4753" s="156" t="s">
        <v>5609</v>
      </c>
      <c r="F4753" s="156" t="s">
        <v>290</v>
      </c>
      <c r="G4753" s="156" t="s">
        <v>4293</v>
      </c>
      <c r="H4753" s="157" t="s">
        <v>215</v>
      </c>
    </row>
    <row r="4754" hidden="1">
      <c r="A4754" s="151" t="s">
        <v>230</v>
      </c>
      <c r="B4754" s="118" t="s">
        <v>194</v>
      </c>
      <c r="C4754" s="118" t="s">
        <v>206</v>
      </c>
      <c r="D4754" s="152" t="s">
        <v>5517</v>
      </c>
      <c r="E4754" s="152" t="s">
        <v>5610</v>
      </c>
      <c r="F4754" s="152" t="s">
        <v>310</v>
      </c>
      <c r="G4754" s="152" t="s">
        <v>3300</v>
      </c>
      <c r="H4754" s="153" t="s">
        <v>216</v>
      </c>
    </row>
    <row r="4755" hidden="1">
      <c r="A4755" s="158" t="s">
        <v>231</v>
      </c>
      <c r="B4755" s="159"/>
      <c r="C4755" s="155" t="s">
        <v>232</v>
      </c>
      <c r="D4755" s="156" t="s">
        <v>5517</v>
      </c>
      <c r="E4755" s="156" t="s">
        <v>5611</v>
      </c>
      <c r="F4755" s="156" t="s">
        <v>427</v>
      </c>
      <c r="G4755" s="156" t="s">
        <v>4992</v>
      </c>
      <c r="H4755" s="157" t="s">
        <v>210</v>
      </c>
    </row>
    <row r="4756" hidden="1">
      <c r="A4756" s="160" t="s">
        <v>231</v>
      </c>
      <c r="B4756" s="72"/>
      <c r="C4756" s="118" t="s">
        <v>232</v>
      </c>
      <c r="D4756" s="152" t="s">
        <v>5517</v>
      </c>
      <c r="E4756" s="152" t="s">
        <v>5612</v>
      </c>
      <c r="F4756" s="152" t="s">
        <v>329</v>
      </c>
      <c r="G4756" s="152" t="s">
        <v>3893</v>
      </c>
      <c r="H4756" s="153" t="s">
        <v>211</v>
      </c>
    </row>
    <row r="4757" hidden="1">
      <c r="A4757" s="158" t="s">
        <v>231</v>
      </c>
      <c r="B4757" s="159"/>
      <c r="C4757" s="155" t="s">
        <v>232</v>
      </c>
      <c r="D4757" s="156" t="s">
        <v>5517</v>
      </c>
      <c r="E4757" s="156" t="s">
        <v>5613</v>
      </c>
      <c r="F4757" s="156" t="s">
        <v>494</v>
      </c>
      <c r="G4757" s="156" t="s">
        <v>4297</v>
      </c>
      <c r="H4757" s="157" t="s">
        <v>212</v>
      </c>
    </row>
    <row r="4758" hidden="1">
      <c r="A4758" s="160" t="s">
        <v>231</v>
      </c>
      <c r="B4758" s="72"/>
      <c r="C4758" s="118" t="s">
        <v>232</v>
      </c>
      <c r="D4758" s="152" t="s">
        <v>5517</v>
      </c>
      <c r="E4758" s="152" t="s">
        <v>5614</v>
      </c>
      <c r="F4758" s="152" t="s">
        <v>329</v>
      </c>
      <c r="G4758" s="152" t="s">
        <v>3893</v>
      </c>
      <c r="H4758" s="153" t="s">
        <v>213</v>
      </c>
    </row>
    <row r="4759" hidden="1">
      <c r="A4759" s="158" t="s">
        <v>231</v>
      </c>
      <c r="B4759" s="159"/>
      <c r="C4759" s="155" t="s">
        <v>232</v>
      </c>
      <c r="D4759" s="156" t="s">
        <v>5517</v>
      </c>
      <c r="E4759" s="156" t="s">
        <v>5615</v>
      </c>
      <c r="F4759" s="156" t="s">
        <v>265</v>
      </c>
      <c r="G4759" s="156" t="s">
        <v>3611</v>
      </c>
      <c r="H4759" s="157" t="s">
        <v>214</v>
      </c>
    </row>
    <row r="4760" hidden="1">
      <c r="A4760" s="160" t="s">
        <v>231</v>
      </c>
      <c r="B4760" s="72"/>
      <c r="C4760" s="118" t="s">
        <v>232</v>
      </c>
      <c r="D4760" s="152" t="s">
        <v>5517</v>
      </c>
      <c r="E4760" s="152" t="s">
        <v>5616</v>
      </c>
      <c r="F4760" s="152" t="s">
        <v>308</v>
      </c>
      <c r="G4760" s="152" t="s">
        <v>2189</v>
      </c>
      <c r="H4760" s="153" t="s">
        <v>215</v>
      </c>
    </row>
    <row r="4761" hidden="1">
      <c r="A4761" s="158" t="s">
        <v>231</v>
      </c>
      <c r="B4761" s="159"/>
      <c r="C4761" s="155" t="s">
        <v>232</v>
      </c>
      <c r="D4761" s="156" t="s">
        <v>5517</v>
      </c>
      <c r="E4761" s="156" t="s">
        <v>5617</v>
      </c>
      <c r="F4761" s="156" t="s">
        <v>336</v>
      </c>
      <c r="G4761" s="156" t="s">
        <v>3941</v>
      </c>
      <c r="H4761" s="157" t="s">
        <v>216</v>
      </c>
    </row>
    <row r="4762" hidden="1">
      <c r="A4762" s="160" t="s">
        <v>233</v>
      </c>
      <c r="B4762" s="72"/>
      <c r="C4762" s="118" t="s">
        <v>232</v>
      </c>
      <c r="D4762" s="152" t="s">
        <v>5517</v>
      </c>
      <c r="E4762" s="152" t="s">
        <v>5618</v>
      </c>
      <c r="F4762" s="152" t="s">
        <v>323</v>
      </c>
      <c r="G4762" s="152" t="s">
        <v>2352</v>
      </c>
      <c r="H4762" s="153" t="s">
        <v>210</v>
      </c>
    </row>
    <row r="4763" hidden="1">
      <c r="A4763" s="158" t="s">
        <v>233</v>
      </c>
      <c r="B4763" s="159"/>
      <c r="C4763" s="155" t="s">
        <v>232</v>
      </c>
      <c r="D4763" s="156" t="s">
        <v>5517</v>
      </c>
      <c r="E4763" s="156" t="s">
        <v>5619</v>
      </c>
      <c r="F4763" s="156" t="s">
        <v>249</v>
      </c>
      <c r="G4763" s="156" t="s">
        <v>3616</v>
      </c>
      <c r="H4763" s="157" t="s">
        <v>211</v>
      </c>
    </row>
    <row r="4764" hidden="1">
      <c r="A4764" s="160" t="s">
        <v>233</v>
      </c>
      <c r="B4764" s="72"/>
      <c r="C4764" s="118" t="s">
        <v>232</v>
      </c>
      <c r="D4764" s="152" t="s">
        <v>5517</v>
      </c>
      <c r="E4764" s="152" t="s">
        <v>5620</v>
      </c>
      <c r="F4764" s="152" t="s">
        <v>427</v>
      </c>
      <c r="G4764" s="152" t="s">
        <v>4297</v>
      </c>
      <c r="H4764" s="153" t="s">
        <v>212</v>
      </c>
    </row>
    <row r="4765" hidden="1">
      <c r="A4765" s="158" t="s">
        <v>233</v>
      </c>
      <c r="B4765" s="159"/>
      <c r="C4765" s="155" t="s">
        <v>232</v>
      </c>
      <c r="D4765" s="156" t="s">
        <v>5517</v>
      </c>
      <c r="E4765" s="156" t="s">
        <v>5621</v>
      </c>
      <c r="F4765" s="156" t="s">
        <v>249</v>
      </c>
      <c r="G4765" s="156" t="s">
        <v>1779</v>
      </c>
      <c r="H4765" s="157" t="s">
        <v>213</v>
      </c>
    </row>
    <row r="4766" hidden="1">
      <c r="A4766" s="160" t="s">
        <v>233</v>
      </c>
      <c r="B4766" s="72"/>
      <c r="C4766" s="118" t="s">
        <v>232</v>
      </c>
      <c r="D4766" s="152" t="s">
        <v>5517</v>
      </c>
      <c r="E4766" s="152" t="s">
        <v>5622</v>
      </c>
      <c r="F4766" s="152" t="s">
        <v>310</v>
      </c>
      <c r="G4766" s="152" t="s">
        <v>4743</v>
      </c>
      <c r="H4766" s="153" t="s">
        <v>214</v>
      </c>
    </row>
    <row r="4767" hidden="1">
      <c r="A4767" s="158" t="s">
        <v>233</v>
      </c>
      <c r="B4767" s="159"/>
      <c r="C4767" s="155" t="s">
        <v>232</v>
      </c>
      <c r="D4767" s="156" t="s">
        <v>5517</v>
      </c>
      <c r="E4767" s="156" t="s">
        <v>5623</v>
      </c>
      <c r="F4767" s="156" t="s">
        <v>290</v>
      </c>
      <c r="G4767" s="156" t="s">
        <v>3371</v>
      </c>
      <c r="H4767" s="157" t="s">
        <v>215</v>
      </c>
    </row>
    <row r="4768" hidden="1">
      <c r="A4768" s="160" t="s">
        <v>233</v>
      </c>
      <c r="B4768" s="72"/>
      <c r="C4768" s="118" t="s">
        <v>232</v>
      </c>
      <c r="D4768" s="152" t="s">
        <v>5517</v>
      </c>
      <c r="E4768" s="152" t="s">
        <v>5624</v>
      </c>
      <c r="F4768" s="152" t="s">
        <v>314</v>
      </c>
      <c r="G4768" s="152" t="s">
        <v>3371</v>
      </c>
      <c r="H4768" s="153" t="s">
        <v>216</v>
      </c>
    </row>
    <row r="4769" hidden="1">
      <c r="A4769" s="158" t="s">
        <v>234</v>
      </c>
      <c r="B4769" s="159"/>
      <c r="C4769" s="155" t="s">
        <v>232</v>
      </c>
      <c r="D4769" s="156" t="s">
        <v>5517</v>
      </c>
      <c r="E4769" s="156" t="s">
        <v>5625</v>
      </c>
      <c r="F4769" s="156" t="s">
        <v>265</v>
      </c>
      <c r="G4769" s="156" t="s">
        <v>3525</v>
      </c>
      <c r="H4769" s="157" t="s">
        <v>210</v>
      </c>
    </row>
    <row r="4770" hidden="1">
      <c r="A4770" s="160" t="s">
        <v>234</v>
      </c>
      <c r="B4770" s="72"/>
      <c r="C4770" s="118" t="s">
        <v>232</v>
      </c>
      <c r="D4770" s="152" t="s">
        <v>5517</v>
      </c>
      <c r="E4770" s="152" t="s">
        <v>5626</v>
      </c>
      <c r="F4770" s="152" t="s">
        <v>257</v>
      </c>
      <c r="G4770" s="152" t="s">
        <v>3136</v>
      </c>
      <c r="H4770" s="153" t="s">
        <v>211</v>
      </c>
    </row>
    <row r="4771" hidden="1">
      <c r="A4771" s="158" t="s">
        <v>234</v>
      </c>
      <c r="B4771" s="159"/>
      <c r="C4771" s="155" t="s">
        <v>232</v>
      </c>
      <c r="D4771" s="156" t="s">
        <v>5517</v>
      </c>
      <c r="E4771" s="156" t="s">
        <v>5627</v>
      </c>
      <c r="F4771" s="156" t="s">
        <v>301</v>
      </c>
      <c r="G4771" s="156" t="s">
        <v>3307</v>
      </c>
      <c r="H4771" s="157" t="s">
        <v>212</v>
      </c>
    </row>
    <row r="4772" hidden="1">
      <c r="A4772" s="160" t="s">
        <v>234</v>
      </c>
      <c r="B4772" s="72"/>
      <c r="C4772" s="118" t="s">
        <v>232</v>
      </c>
      <c r="D4772" s="152" t="s">
        <v>5517</v>
      </c>
      <c r="E4772" s="152" t="s">
        <v>5628</v>
      </c>
      <c r="F4772" s="152" t="s">
        <v>269</v>
      </c>
      <c r="G4772" s="152" t="s">
        <v>2354</v>
      </c>
      <c r="H4772" s="153" t="s">
        <v>213</v>
      </c>
    </row>
    <row r="4773" hidden="1">
      <c r="A4773" s="158" t="s">
        <v>234</v>
      </c>
      <c r="B4773" s="159"/>
      <c r="C4773" s="155" t="s">
        <v>232</v>
      </c>
      <c r="D4773" s="156" t="s">
        <v>5517</v>
      </c>
      <c r="E4773" s="156" t="s">
        <v>5629</v>
      </c>
      <c r="F4773" s="156" t="s">
        <v>246</v>
      </c>
      <c r="G4773" s="156" t="s">
        <v>3620</v>
      </c>
      <c r="H4773" s="157" t="s">
        <v>214</v>
      </c>
    </row>
    <row r="4774" hidden="1">
      <c r="A4774" s="160" t="s">
        <v>234</v>
      </c>
      <c r="B4774" s="72"/>
      <c r="C4774" s="118" t="s">
        <v>232</v>
      </c>
      <c r="D4774" s="152" t="s">
        <v>5517</v>
      </c>
      <c r="E4774" s="152" t="s">
        <v>5630</v>
      </c>
      <c r="F4774" s="152" t="s">
        <v>240</v>
      </c>
      <c r="G4774" s="152" t="s">
        <v>3207</v>
      </c>
      <c r="H4774" s="153" t="s">
        <v>215</v>
      </c>
    </row>
    <row r="4775" hidden="1">
      <c r="A4775" s="158" t="s">
        <v>234</v>
      </c>
      <c r="B4775" s="159"/>
      <c r="C4775" s="155" t="s">
        <v>232</v>
      </c>
      <c r="D4775" s="156" t="s">
        <v>5517</v>
      </c>
      <c r="E4775" s="156" t="s">
        <v>5631</v>
      </c>
      <c r="F4775" s="156" t="s">
        <v>301</v>
      </c>
      <c r="G4775" s="156" t="s">
        <v>3136</v>
      </c>
      <c r="H4775" s="157" t="s">
        <v>216</v>
      </c>
    </row>
    <row r="4776" hidden="1">
      <c r="A4776" s="160" t="s">
        <v>235</v>
      </c>
      <c r="B4776" s="72"/>
      <c r="C4776" s="118" t="s">
        <v>236</v>
      </c>
      <c r="D4776" s="152" t="s">
        <v>5517</v>
      </c>
      <c r="E4776" s="152" t="s">
        <v>5632</v>
      </c>
      <c r="F4776" s="152" t="s">
        <v>285</v>
      </c>
      <c r="G4776" s="152" t="s">
        <v>3911</v>
      </c>
      <c r="H4776" s="153" t="s">
        <v>210</v>
      </c>
    </row>
    <row r="4777" hidden="1">
      <c r="A4777" s="158" t="s">
        <v>235</v>
      </c>
      <c r="B4777" s="159"/>
      <c r="C4777" s="155" t="s">
        <v>236</v>
      </c>
      <c r="D4777" s="156" t="s">
        <v>5517</v>
      </c>
      <c r="E4777" s="156" t="s">
        <v>5633</v>
      </c>
      <c r="F4777" s="156" t="s">
        <v>331</v>
      </c>
      <c r="G4777" s="156" t="s">
        <v>4287</v>
      </c>
      <c r="H4777" s="157" t="s">
        <v>211</v>
      </c>
    </row>
    <row r="4778" hidden="1">
      <c r="A4778" s="160" t="s">
        <v>235</v>
      </c>
      <c r="B4778" s="72"/>
      <c r="C4778" s="118" t="s">
        <v>236</v>
      </c>
      <c r="D4778" s="152" t="s">
        <v>5517</v>
      </c>
      <c r="E4778" s="152" t="s">
        <v>5634</v>
      </c>
      <c r="F4778" s="152" t="s">
        <v>450</v>
      </c>
      <c r="G4778" s="152" t="s">
        <v>3595</v>
      </c>
      <c r="H4778" s="153" t="s">
        <v>212</v>
      </c>
    </row>
    <row r="4779" hidden="1">
      <c r="A4779" s="158" t="s">
        <v>235</v>
      </c>
      <c r="B4779" s="159"/>
      <c r="C4779" s="155" t="s">
        <v>236</v>
      </c>
      <c r="D4779" s="156" t="s">
        <v>5517</v>
      </c>
      <c r="E4779" s="156" t="s">
        <v>5635</v>
      </c>
      <c r="F4779" s="156" t="s">
        <v>331</v>
      </c>
      <c r="G4779" s="156" t="s">
        <v>1779</v>
      </c>
      <c r="H4779" s="157" t="s">
        <v>213</v>
      </c>
    </row>
    <row r="4780" hidden="1">
      <c r="A4780" s="160" t="s">
        <v>235</v>
      </c>
      <c r="B4780" s="72"/>
      <c r="C4780" s="118" t="s">
        <v>236</v>
      </c>
      <c r="D4780" s="152" t="s">
        <v>5517</v>
      </c>
      <c r="E4780" s="152" t="s">
        <v>5636</v>
      </c>
      <c r="F4780" s="152" t="s">
        <v>331</v>
      </c>
      <c r="G4780" s="152" t="s">
        <v>3783</v>
      </c>
      <c r="H4780" s="153" t="s">
        <v>214</v>
      </c>
    </row>
    <row r="4781" hidden="1">
      <c r="A4781" s="158" t="s">
        <v>235</v>
      </c>
      <c r="B4781" s="159"/>
      <c r="C4781" s="155" t="s">
        <v>236</v>
      </c>
      <c r="D4781" s="156" t="s">
        <v>5517</v>
      </c>
      <c r="E4781" s="156" t="s">
        <v>5637</v>
      </c>
      <c r="F4781" s="156" t="s">
        <v>331</v>
      </c>
      <c r="G4781" s="156" t="s">
        <v>3786</v>
      </c>
      <c r="H4781" s="157" t="s">
        <v>215</v>
      </c>
    </row>
    <row r="4782" hidden="1">
      <c r="A4782" s="160" t="s">
        <v>235</v>
      </c>
      <c r="B4782" s="72"/>
      <c r="C4782" s="118" t="s">
        <v>236</v>
      </c>
      <c r="D4782" s="152" t="s">
        <v>5517</v>
      </c>
      <c r="E4782" s="152" t="s">
        <v>5638</v>
      </c>
      <c r="F4782" s="152" t="s">
        <v>249</v>
      </c>
      <c r="G4782" s="152" t="s">
        <v>4034</v>
      </c>
      <c r="H4782" s="153" t="s">
        <v>216</v>
      </c>
    </row>
    <row r="4783" hidden="1">
      <c r="A4783" s="158" t="s">
        <v>237</v>
      </c>
      <c r="B4783" s="159"/>
      <c r="C4783" s="155" t="s">
        <v>236</v>
      </c>
      <c r="D4783" s="156" t="s">
        <v>5517</v>
      </c>
      <c r="E4783" s="156" t="s">
        <v>5639</v>
      </c>
      <c r="F4783" s="156" t="s">
        <v>240</v>
      </c>
      <c r="G4783" s="156" t="s">
        <v>3059</v>
      </c>
      <c r="H4783" s="157" t="s">
        <v>210</v>
      </c>
    </row>
    <row r="4784" hidden="1">
      <c r="A4784" s="160" t="s">
        <v>237</v>
      </c>
      <c r="B4784" s="72"/>
      <c r="C4784" s="118" t="s">
        <v>236</v>
      </c>
      <c r="D4784" s="152" t="s">
        <v>5517</v>
      </c>
      <c r="E4784" s="152" t="s">
        <v>5640</v>
      </c>
      <c r="F4784" s="152" t="s">
        <v>357</v>
      </c>
      <c r="G4784" s="152" t="s">
        <v>3312</v>
      </c>
      <c r="H4784" s="153" t="s">
        <v>211</v>
      </c>
    </row>
    <row r="4785" hidden="1">
      <c r="A4785" s="158" t="s">
        <v>237</v>
      </c>
      <c r="B4785" s="159"/>
      <c r="C4785" s="155" t="s">
        <v>236</v>
      </c>
      <c r="D4785" s="156" t="s">
        <v>5517</v>
      </c>
      <c r="E4785" s="156" t="s">
        <v>5641</v>
      </c>
      <c r="F4785" s="156" t="s">
        <v>301</v>
      </c>
      <c r="G4785" s="156" t="s">
        <v>2346</v>
      </c>
      <c r="H4785" s="157" t="s">
        <v>212</v>
      </c>
    </row>
    <row r="4786" hidden="1">
      <c r="A4786" s="160" t="s">
        <v>237</v>
      </c>
      <c r="B4786" s="72"/>
      <c r="C4786" s="118" t="s">
        <v>236</v>
      </c>
      <c r="D4786" s="152" t="s">
        <v>5517</v>
      </c>
      <c r="E4786" s="152" t="s">
        <v>5642</v>
      </c>
      <c r="F4786" s="152" t="s">
        <v>287</v>
      </c>
      <c r="G4786" s="152" t="s">
        <v>2506</v>
      </c>
      <c r="H4786" s="153" t="s">
        <v>213</v>
      </c>
    </row>
    <row r="4787" hidden="1">
      <c r="A4787" s="158" t="s">
        <v>237</v>
      </c>
      <c r="B4787" s="159"/>
      <c r="C4787" s="155" t="s">
        <v>236</v>
      </c>
      <c r="D4787" s="156" t="s">
        <v>5517</v>
      </c>
      <c r="E4787" s="156" t="s">
        <v>5643</v>
      </c>
      <c r="F4787" s="156" t="s">
        <v>244</v>
      </c>
      <c r="G4787" s="156" t="s">
        <v>2992</v>
      </c>
      <c r="H4787" s="157" t="s">
        <v>214</v>
      </c>
    </row>
    <row r="4788" hidden="1">
      <c r="A4788" s="160" t="s">
        <v>237</v>
      </c>
      <c r="B4788" s="72"/>
      <c r="C4788" s="118" t="s">
        <v>236</v>
      </c>
      <c r="D4788" s="152" t="s">
        <v>5517</v>
      </c>
      <c r="E4788" s="152" t="s">
        <v>5644</v>
      </c>
      <c r="F4788" s="152" t="s">
        <v>244</v>
      </c>
      <c r="G4788" s="152" t="s">
        <v>2450</v>
      </c>
      <c r="H4788" s="153" t="s">
        <v>215</v>
      </c>
    </row>
    <row r="4789" hidden="1">
      <c r="A4789" s="158" t="s">
        <v>237</v>
      </c>
      <c r="B4789" s="159"/>
      <c r="C4789" s="155" t="s">
        <v>236</v>
      </c>
      <c r="D4789" s="156" t="s">
        <v>5517</v>
      </c>
      <c r="E4789" s="156" t="s">
        <v>5645</v>
      </c>
      <c r="F4789" s="156" t="s">
        <v>246</v>
      </c>
      <c r="G4789" s="156" t="s">
        <v>3523</v>
      </c>
      <c r="H4789" s="157" t="s">
        <v>216</v>
      </c>
    </row>
    <row r="4790" hidden="1">
      <c r="A4790" s="151" t="s">
        <v>204</v>
      </c>
      <c r="B4790" s="118" t="s">
        <v>205</v>
      </c>
      <c r="C4790" s="118" t="s">
        <v>206</v>
      </c>
      <c r="D4790" s="152" t="s">
        <v>5646</v>
      </c>
      <c r="E4790" s="152" t="s">
        <v>5647</v>
      </c>
      <c r="F4790" s="152" t="s">
        <v>242</v>
      </c>
      <c r="G4790" s="152" t="s">
        <v>2506</v>
      </c>
      <c r="H4790" s="153" t="s">
        <v>210</v>
      </c>
    </row>
    <row r="4791" hidden="1">
      <c r="A4791" s="154" t="s">
        <v>204</v>
      </c>
      <c r="B4791" s="155" t="s">
        <v>205</v>
      </c>
      <c r="C4791" s="155" t="s">
        <v>206</v>
      </c>
      <c r="D4791" s="156" t="s">
        <v>5646</v>
      </c>
      <c r="E4791" s="156" t="s">
        <v>5648</v>
      </c>
      <c r="F4791" s="156" t="s">
        <v>359</v>
      </c>
      <c r="G4791" s="156" t="s">
        <v>3618</v>
      </c>
      <c r="H4791" s="157" t="s">
        <v>211</v>
      </c>
    </row>
    <row r="4792" hidden="1">
      <c r="A4792" s="151" t="s">
        <v>204</v>
      </c>
      <c r="B4792" s="118" t="s">
        <v>205</v>
      </c>
      <c r="C4792" s="118" t="s">
        <v>206</v>
      </c>
      <c r="D4792" s="152" t="s">
        <v>5646</v>
      </c>
      <c r="E4792" s="152" t="s">
        <v>5649</v>
      </c>
      <c r="F4792" s="152" t="s">
        <v>285</v>
      </c>
      <c r="G4792" s="152" t="s">
        <v>2822</v>
      </c>
      <c r="H4792" s="153" t="s">
        <v>212</v>
      </c>
    </row>
    <row r="4793" hidden="1">
      <c r="A4793" s="154" t="s">
        <v>204</v>
      </c>
      <c r="B4793" s="155" t="s">
        <v>205</v>
      </c>
      <c r="C4793" s="155" t="s">
        <v>206</v>
      </c>
      <c r="D4793" s="156" t="s">
        <v>5646</v>
      </c>
      <c r="E4793" s="156" t="s">
        <v>5650</v>
      </c>
      <c r="F4793" s="156" t="s">
        <v>242</v>
      </c>
      <c r="G4793" s="156" t="s">
        <v>3262</v>
      </c>
      <c r="H4793" s="157" t="s">
        <v>213</v>
      </c>
    </row>
    <row r="4794" hidden="1">
      <c r="A4794" s="151" t="s">
        <v>204</v>
      </c>
      <c r="B4794" s="118" t="s">
        <v>205</v>
      </c>
      <c r="C4794" s="118" t="s">
        <v>206</v>
      </c>
      <c r="D4794" s="152" t="s">
        <v>5646</v>
      </c>
      <c r="E4794" s="152" t="s">
        <v>5651</v>
      </c>
      <c r="F4794" s="152" t="s">
        <v>359</v>
      </c>
      <c r="G4794" s="152" t="s">
        <v>3919</v>
      </c>
      <c r="H4794" s="153" t="s">
        <v>214</v>
      </c>
    </row>
    <row r="4795" hidden="1">
      <c r="A4795" s="154" t="s">
        <v>204</v>
      </c>
      <c r="B4795" s="155" t="s">
        <v>205</v>
      </c>
      <c r="C4795" s="155" t="s">
        <v>206</v>
      </c>
      <c r="D4795" s="156" t="s">
        <v>5646</v>
      </c>
      <c r="E4795" s="156" t="s">
        <v>5652</v>
      </c>
      <c r="F4795" s="156" t="s">
        <v>242</v>
      </c>
      <c r="G4795" s="156" t="s">
        <v>2820</v>
      </c>
      <c r="H4795" s="157" t="s">
        <v>215</v>
      </c>
    </row>
    <row r="4796" hidden="1">
      <c r="A4796" s="151" t="s">
        <v>204</v>
      </c>
      <c r="B4796" s="118" t="s">
        <v>205</v>
      </c>
      <c r="C4796" s="118" t="s">
        <v>206</v>
      </c>
      <c r="D4796" s="152" t="s">
        <v>5646</v>
      </c>
      <c r="E4796" s="152" t="s">
        <v>5653</v>
      </c>
      <c r="F4796" s="152" t="s">
        <v>365</v>
      </c>
      <c r="G4796" s="152" t="s">
        <v>3908</v>
      </c>
      <c r="H4796" s="153" t="s">
        <v>216</v>
      </c>
    </row>
    <row r="4797" hidden="1">
      <c r="A4797" s="154" t="s">
        <v>217</v>
      </c>
      <c r="B4797" s="155" t="s">
        <v>191</v>
      </c>
      <c r="C4797" s="155" t="s">
        <v>206</v>
      </c>
      <c r="D4797" s="156" t="s">
        <v>5646</v>
      </c>
      <c r="E4797" s="156" t="s">
        <v>5654</v>
      </c>
      <c r="F4797" s="156" t="s">
        <v>314</v>
      </c>
      <c r="G4797" s="156" t="s">
        <v>2508</v>
      </c>
      <c r="H4797" s="157" t="s">
        <v>210</v>
      </c>
    </row>
    <row r="4798" hidden="1">
      <c r="A4798" s="151" t="s">
        <v>217</v>
      </c>
      <c r="B4798" s="118" t="s">
        <v>191</v>
      </c>
      <c r="C4798" s="118" t="s">
        <v>206</v>
      </c>
      <c r="D4798" s="152" t="s">
        <v>5646</v>
      </c>
      <c r="E4798" s="152" t="s">
        <v>5655</v>
      </c>
      <c r="F4798" s="152" t="s">
        <v>249</v>
      </c>
      <c r="G4798" s="152" t="s">
        <v>3812</v>
      </c>
      <c r="H4798" s="153" t="s">
        <v>211</v>
      </c>
    </row>
    <row r="4799" hidden="1">
      <c r="A4799" s="154" t="s">
        <v>217</v>
      </c>
      <c r="B4799" s="155" t="s">
        <v>191</v>
      </c>
      <c r="C4799" s="155" t="s">
        <v>206</v>
      </c>
      <c r="D4799" s="156" t="s">
        <v>5646</v>
      </c>
      <c r="E4799" s="156" t="s">
        <v>5656</v>
      </c>
      <c r="F4799" s="156" t="s">
        <v>290</v>
      </c>
      <c r="G4799" s="156" t="s">
        <v>4283</v>
      </c>
      <c r="H4799" s="157" t="s">
        <v>212</v>
      </c>
    </row>
    <row r="4800" hidden="1">
      <c r="A4800" s="151" t="s">
        <v>217</v>
      </c>
      <c r="B4800" s="118" t="s">
        <v>191</v>
      </c>
      <c r="C4800" s="118" t="s">
        <v>206</v>
      </c>
      <c r="D4800" s="152" t="s">
        <v>5646</v>
      </c>
      <c r="E4800" s="152" t="s">
        <v>5657</v>
      </c>
      <c r="F4800" s="152" t="s">
        <v>450</v>
      </c>
      <c r="G4800" s="152" t="s">
        <v>3919</v>
      </c>
      <c r="H4800" s="153" t="s">
        <v>213</v>
      </c>
    </row>
    <row r="4801" hidden="1">
      <c r="A4801" s="154" t="s">
        <v>217</v>
      </c>
      <c r="B4801" s="155" t="s">
        <v>191</v>
      </c>
      <c r="C4801" s="155" t="s">
        <v>206</v>
      </c>
      <c r="D4801" s="156" t="s">
        <v>5646</v>
      </c>
      <c r="E4801" s="156" t="s">
        <v>5658</v>
      </c>
      <c r="F4801" s="156" t="s">
        <v>427</v>
      </c>
      <c r="G4801" s="156" t="s">
        <v>4196</v>
      </c>
      <c r="H4801" s="157" t="s">
        <v>214</v>
      </c>
    </row>
    <row r="4802" hidden="1">
      <c r="A4802" s="151" t="s">
        <v>217</v>
      </c>
      <c r="B4802" s="118" t="s">
        <v>191</v>
      </c>
      <c r="C4802" s="118" t="s">
        <v>206</v>
      </c>
      <c r="D4802" s="152" t="s">
        <v>5646</v>
      </c>
      <c r="E4802" s="152" t="s">
        <v>5659</v>
      </c>
      <c r="F4802" s="152" t="s">
        <v>308</v>
      </c>
      <c r="G4802" s="152" t="s">
        <v>2179</v>
      </c>
      <c r="H4802" s="153" t="s">
        <v>215</v>
      </c>
    </row>
    <row r="4803" hidden="1">
      <c r="A4803" s="154" t="s">
        <v>217</v>
      </c>
      <c r="B4803" s="155" t="s">
        <v>191</v>
      </c>
      <c r="C4803" s="155" t="s">
        <v>206</v>
      </c>
      <c r="D4803" s="156" t="s">
        <v>5646</v>
      </c>
      <c r="E4803" s="156" t="s">
        <v>5660</v>
      </c>
      <c r="F4803" s="156" t="s">
        <v>308</v>
      </c>
      <c r="G4803" s="156" t="s">
        <v>2352</v>
      </c>
      <c r="H4803" s="157" t="s">
        <v>216</v>
      </c>
    </row>
    <row r="4804" hidden="1">
      <c r="A4804" s="151" t="s">
        <v>218</v>
      </c>
      <c r="B4804" s="118" t="s">
        <v>219</v>
      </c>
      <c r="C4804" s="118" t="s">
        <v>206</v>
      </c>
      <c r="D4804" s="152" t="s">
        <v>5646</v>
      </c>
      <c r="E4804" s="152" t="s">
        <v>5661</v>
      </c>
      <c r="F4804" s="152" t="s">
        <v>269</v>
      </c>
      <c r="G4804" s="152" t="s">
        <v>2513</v>
      </c>
      <c r="H4804" s="153" t="s">
        <v>210</v>
      </c>
    </row>
    <row r="4805" hidden="1">
      <c r="A4805" s="154" t="s">
        <v>218</v>
      </c>
      <c r="B4805" s="155" t="s">
        <v>219</v>
      </c>
      <c r="C4805" s="155" t="s">
        <v>206</v>
      </c>
      <c r="D4805" s="156" t="s">
        <v>5646</v>
      </c>
      <c r="E4805" s="156" t="s">
        <v>5662</v>
      </c>
      <c r="F4805" s="156" t="s">
        <v>240</v>
      </c>
      <c r="G4805" s="156" t="s">
        <v>2506</v>
      </c>
      <c r="H4805" s="157" t="s">
        <v>211</v>
      </c>
    </row>
    <row r="4806" hidden="1">
      <c r="A4806" s="151" t="s">
        <v>218</v>
      </c>
      <c r="B4806" s="118" t="s">
        <v>219</v>
      </c>
      <c r="C4806" s="118" t="s">
        <v>206</v>
      </c>
      <c r="D4806" s="152" t="s">
        <v>5646</v>
      </c>
      <c r="E4806" s="152" t="s">
        <v>5663</v>
      </c>
      <c r="F4806" s="152" t="s">
        <v>246</v>
      </c>
      <c r="G4806" s="152" t="s">
        <v>3412</v>
      </c>
      <c r="H4806" s="153" t="s">
        <v>212</v>
      </c>
    </row>
    <row r="4807" hidden="1">
      <c r="A4807" s="154" t="s">
        <v>218</v>
      </c>
      <c r="B4807" s="155" t="s">
        <v>219</v>
      </c>
      <c r="C4807" s="155" t="s">
        <v>206</v>
      </c>
      <c r="D4807" s="156" t="s">
        <v>5646</v>
      </c>
      <c r="E4807" s="156" t="s">
        <v>5664</v>
      </c>
      <c r="F4807" s="156" t="s">
        <v>257</v>
      </c>
      <c r="G4807" s="156" t="s">
        <v>2667</v>
      </c>
      <c r="H4807" s="157" t="s">
        <v>213</v>
      </c>
    </row>
    <row r="4808" hidden="1">
      <c r="A4808" s="151" t="s">
        <v>218</v>
      </c>
      <c r="B4808" s="118" t="s">
        <v>219</v>
      </c>
      <c r="C4808" s="118" t="s">
        <v>206</v>
      </c>
      <c r="D4808" s="152" t="s">
        <v>5646</v>
      </c>
      <c r="E4808" s="152" t="s">
        <v>5665</v>
      </c>
      <c r="F4808" s="152" t="s">
        <v>257</v>
      </c>
      <c r="G4808" s="152" t="s">
        <v>3572</v>
      </c>
      <c r="H4808" s="153" t="s">
        <v>214</v>
      </c>
    </row>
    <row r="4809" hidden="1">
      <c r="A4809" s="154" t="s">
        <v>218</v>
      </c>
      <c r="B4809" s="155" t="s">
        <v>219</v>
      </c>
      <c r="C4809" s="155" t="s">
        <v>206</v>
      </c>
      <c r="D4809" s="156" t="s">
        <v>5646</v>
      </c>
      <c r="E4809" s="156" t="s">
        <v>5666</v>
      </c>
      <c r="F4809" s="156" t="s">
        <v>257</v>
      </c>
      <c r="G4809" s="156" t="s">
        <v>4019</v>
      </c>
      <c r="H4809" s="157" t="s">
        <v>215</v>
      </c>
    </row>
    <row r="4810" hidden="1">
      <c r="A4810" s="151" t="s">
        <v>218</v>
      </c>
      <c r="B4810" s="118" t="s">
        <v>219</v>
      </c>
      <c r="C4810" s="118" t="s">
        <v>206</v>
      </c>
      <c r="D4810" s="152" t="s">
        <v>5646</v>
      </c>
      <c r="E4810" s="152" t="s">
        <v>5667</v>
      </c>
      <c r="F4810" s="152" t="s">
        <v>240</v>
      </c>
      <c r="G4810" s="152" t="s">
        <v>3203</v>
      </c>
      <c r="H4810" s="153" t="s">
        <v>216</v>
      </c>
    </row>
    <row r="4811" hidden="1">
      <c r="A4811" s="154" t="s">
        <v>220</v>
      </c>
      <c r="B4811" s="155" t="s">
        <v>190</v>
      </c>
      <c r="C4811" s="155" t="s">
        <v>206</v>
      </c>
      <c r="D4811" s="156" t="s">
        <v>5646</v>
      </c>
      <c r="E4811" s="156" t="s">
        <v>5668</v>
      </c>
      <c r="F4811" s="156" t="s">
        <v>359</v>
      </c>
      <c r="G4811" s="156" t="s">
        <v>2515</v>
      </c>
      <c r="H4811" s="157" t="s">
        <v>210</v>
      </c>
    </row>
    <row r="4812" hidden="1">
      <c r="A4812" s="151" t="s">
        <v>220</v>
      </c>
      <c r="B4812" s="118" t="s">
        <v>190</v>
      </c>
      <c r="C4812" s="118" t="s">
        <v>206</v>
      </c>
      <c r="D4812" s="152" t="s">
        <v>5646</v>
      </c>
      <c r="E4812" s="152" t="s">
        <v>5669</v>
      </c>
      <c r="F4812" s="152" t="s">
        <v>249</v>
      </c>
      <c r="G4812" s="152" t="s">
        <v>3294</v>
      </c>
      <c r="H4812" s="153" t="s">
        <v>211</v>
      </c>
    </row>
    <row r="4813" hidden="1">
      <c r="A4813" s="154" t="s">
        <v>220</v>
      </c>
      <c r="B4813" s="155" t="s">
        <v>190</v>
      </c>
      <c r="C4813" s="155" t="s">
        <v>206</v>
      </c>
      <c r="D4813" s="156" t="s">
        <v>5646</v>
      </c>
      <c r="E4813" s="156" t="s">
        <v>5670</v>
      </c>
      <c r="F4813" s="156" t="s">
        <v>323</v>
      </c>
      <c r="G4813" s="156" t="s">
        <v>1793</v>
      </c>
      <c r="H4813" s="157" t="s">
        <v>212</v>
      </c>
    </row>
    <row r="4814" hidden="1">
      <c r="A4814" s="151" t="s">
        <v>220</v>
      </c>
      <c r="B4814" s="118" t="s">
        <v>190</v>
      </c>
      <c r="C4814" s="118" t="s">
        <v>206</v>
      </c>
      <c r="D4814" s="152" t="s">
        <v>5646</v>
      </c>
      <c r="E4814" s="152" t="s">
        <v>5671</v>
      </c>
      <c r="F4814" s="152" t="s">
        <v>257</v>
      </c>
      <c r="G4814" s="152" t="s">
        <v>2517</v>
      </c>
      <c r="H4814" s="153" t="s">
        <v>213</v>
      </c>
    </row>
    <row r="4815" hidden="1">
      <c r="A4815" s="154" t="s">
        <v>220</v>
      </c>
      <c r="B4815" s="155" t="s">
        <v>190</v>
      </c>
      <c r="C4815" s="155" t="s">
        <v>206</v>
      </c>
      <c r="D4815" s="156" t="s">
        <v>5646</v>
      </c>
      <c r="E4815" s="156" t="s">
        <v>5672</v>
      </c>
      <c r="F4815" s="156" t="s">
        <v>351</v>
      </c>
      <c r="G4815" s="156" t="s">
        <v>4146</v>
      </c>
      <c r="H4815" s="157" t="s">
        <v>214</v>
      </c>
    </row>
    <row r="4816" hidden="1">
      <c r="A4816" s="151" t="s">
        <v>220</v>
      </c>
      <c r="B4816" s="118" t="s">
        <v>190</v>
      </c>
      <c r="C4816" s="118" t="s">
        <v>206</v>
      </c>
      <c r="D4816" s="152" t="s">
        <v>5646</v>
      </c>
      <c r="E4816" s="152" t="s">
        <v>5673</v>
      </c>
      <c r="F4816" s="152" t="s">
        <v>323</v>
      </c>
      <c r="G4816" s="152" t="s">
        <v>3371</v>
      </c>
      <c r="H4816" s="153" t="s">
        <v>215</v>
      </c>
    </row>
    <row r="4817" hidden="1">
      <c r="A4817" s="154" t="s">
        <v>220</v>
      </c>
      <c r="B4817" s="155" t="s">
        <v>190</v>
      </c>
      <c r="C4817" s="155" t="s">
        <v>206</v>
      </c>
      <c r="D4817" s="156" t="s">
        <v>5646</v>
      </c>
      <c r="E4817" s="156" t="s">
        <v>5674</v>
      </c>
      <c r="F4817" s="156" t="s">
        <v>314</v>
      </c>
      <c r="G4817" s="156" t="s">
        <v>1997</v>
      </c>
      <c r="H4817" s="157" t="s">
        <v>216</v>
      </c>
    </row>
    <row r="4818" hidden="1">
      <c r="A4818" s="151" t="s">
        <v>221</v>
      </c>
      <c r="B4818" s="118" t="s">
        <v>189</v>
      </c>
      <c r="C4818" s="118" t="s">
        <v>206</v>
      </c>
      <c r="D4818" s="152" t="s">
        <v>5646</v>
      </c>
      <c r="E4818" s="152" t="s">
        <v>5675</v>
      </c>
      <c r="F4818" s="152" t="s">
        <v>269</v>
      </c>
      <c r="G4818" s="152" t="s">
        <v>1841</v>
      </c>
      <c r="H4818" s="153" t="s">
        <v>210</v>
      </c>
    </row>
    <row r="4819" hidden="1">
      <c r="A4819" s="154" t="s">
        <v>221</v>
      </c>
      <c r="B4819" s="155" t="s">
        <v>189</v>
      </c>
      <c r="C4819" s="155" t="s">
        <v>206</v>
      </c>
      <c r="D4819" s="156" t="s">
        <v>5646</v>
      </c>
      <c r="E4819" s="156" t="s">
        <v>5676</v>
      </c>
      <c r="F4819" s="156" t="s">
        <v>265</v>
      </c>
      <c r="G4819" s="156" t="s">
        <v>2785</v>
      </c>
      <c r="H4819" s="157" t="s">
        <v>211</v>
      </c>
    </row>
    <row r="4820" hidden="1">
      <c r="A4820" s="151" t="s">
        <v>221</v>
      </c>
      <c r="B4820" s="118" t="s">
        <v>189</v>
      </c>
      <c r="C4820" s="118" t="s">
        <v>206</v>
      </c>
      <c r="D4820" s="152" t="s">
        <v>5646</v>
      </c>
      <c r="E4820" s="152" t="s">
        <v>5677</v>
      </c>
      <c r="F4820" s="152" t="s">
        <v>492</v>
      </c>
      <c r="G4820" s="152" t="s">
        <v>2303</v>
      </c>
      <c r="H4820" s="153" t="s">
        <v>212</v>
      </c>
    </row>
    <row r="4821" hidden="1">
      <c r="A4821" s="154" t="s">
        <v>221</v>
      </c>
      <c r="B4821" s="155" t="s">
        <v>189</v>
      </c>
      <c r="C4821" s="155" t="s">
        <v>206</v>
      </c>
      <c r="D4821" s="156" t="s">
        <v>5646</v>
      </c>
      <c r="E4821" s="156" t="s">
        <v>5678</v>
      </c>
      <c r="F4821" s="156" t="s">
        <v>5679</v>
      </c>
      <c r="G4821" s="156" t="s">
        <v>1841</v>
      </c>
      <c r="H4821" s="157" t="s">
        <v>213</v>
      </c>
    </row>
    <row r="4822" hidden="1">
      <c r="A4822" s="151" t="s">
        <v>221</v>
      </c>
      <c r="B4822" s="118" t="s">
        <v>189</v>
      </c>
      <c r="C4822" s="118" t="s">
        <v>206</v>
      </c>
      <c r="D4822" s="152" t="s">
        <v>5646</v>
      </c>
      <c r="E4822" s="152" t="s">
        <v>5680</v>
      </c>
      <c r="F4822" s="152" t="s">
        <v>257</v>
      </c>
      <c r="G4822" s="152" t="s">
        <v>2379</v>
      </c>
      <c r="H4822" s="153" t="s">
        <v>214</v>
      </c>
    </row>
    <row r="4823" hidden="1">
      <c r="A4823" s="154" t="s">
        <v>221</v>
      </c>
      <c r="B4823" s="155" t="s">
        <v>189</v>
      </c>
      <c r="C4823" s="155" t="s">
        <v>206</v>
      </c>
      <c r="D4823" s="156" t="s">
        <v>5646</v>
      </c>
      <c r="E4823" s="156" t="s">
        <v>5681</v>
      </c>
      <c r="F4823" s="156" t="s">
        <v>204</v>
      </c>
      <c r="G4823" s="156" t="s">
        <v>2633</v>
      </c>
      <c r="H4823" s="157" t="s">
        <v>215</v>
      </c>
    </row>
    <row r="4824" hidden="1">
      <c r="A4824" s="151" t="s">
        <v>221</v>
      </c>
      <c r="B4824" s="118" t="s">
        <v>189</v>
      </c>
      <c r="C4824" s="118" t="s">
        <v>206</v>
      </c>
      <c r="D4824" s="152" t="s">
        <v>5646</v>
      </c>
      <c r="E4824" s="152" t="s">
        <v>5682</v>
      </c>
      <c r="F4824" s="152" t="s">
        <v>492</v>
      </c>
      <c r="G4824" s="152" t="s">
        <v>1841</v>
      </c>
      <c r="H4824" s="153" t="s">
        <v>216</v>
      </c>
    </row>
    <row r="4825" hidden="1">
      <c r="A4825" s="154" t="s">
        <v>222</v>
      </c>
      <c r="B4825" s="155" t="s">
        <v>192</v>
      </c>
      <c r="C4825" s="155" t="s">
        <v>206</v>
      </c>
      <c r="D4825" s="156" t="s">
        <v>5646</v>
      </c>
      <c r="E4825" s="156" t="s">
        <v>5683</v>
      </c>
      <c r="F4825" s="156" t="s">
        <v>357</v>
      </c>
      <c r="G4825" s="156" t="s">
        <v>4219</v>
      </c>
      <c r="H4825" s="157" t="s">
        <v>210</v>
      </c>
    </row>
    <row r="4826" hidden="1">
      <c r="A4826" s="151" t="s">
        <v>222</v>
      </c>
      <c r="B4826" s="118" t="s">
        <v>192</v>
      </c>
      <c r="C4826" s="118" t="s">
        <v>206</v>
      </c>
      <c r="D4826" s="152" t="s">
        <v>5646</v>
      </c>
      <c r="E4826" s="152" t="s">
        <v>5684</v>
      </c>
      <c r="F4826" s="152" t="s">
        <v>314</v>
      </c>
      <c r="G4826" s="152" t="s">
        <v>4317</v>
      </c>
      <c r="H4826" s="153" t="s">
        <v>211</v>
      </c>
    </row>
    <row r="4827" hidden="1">
      <c r="A4827" s="154" t="s">
        <v>222</v>
      </c>
      <c r="B4827" s="155" t="s">
        <v>192</v>
      </c>
      <c r="C4827" s="155" t="s">
        <v>206</v>
      </c>
      <c r="D4827" s="156" t="s">
        <v>5646</v>
      </c>
      <c r="E4827" s="156" t="s">
        <v>5685</v>
      </c>
      <c r="F4827" s="156" t="s">
        <v>331</v>
      </c>
      <c r="G4827" s="156" t="s">
        <v>3818</v>
      </c>
      <c r="H4827" s="157" t="s">
        <v>212</v>
      </c>
    </row>
    <row r="4828" hidden="1">
      <c r="A4828" s="151" t="s">
        <v>222</v>
      </c>
      <c r="B4828" s="118" t="s">
        <v>192</v>
      </c>
      <c r="C4828" s="118" t="s">
        <v>206</v>
      </c>
      <c r="D4828" s="152" t="s">
        <v>5646</v>
      </c>
      <c r="E4828" s="152" t="s">
        <v>5686</v>
      </c>
      <c r="F4828" s="152" t="s">
        <v>242</v>
      </c>
      <c r="G4828" s="152" t="s">
        <v>2515</v>
      </c>
      <c r="H4828" s="153" t="s">
        <v>213</v>
      </c>
    </row>
    <row r="4829" hidden="1">
      <c r="A4829" s="154" t="s">
        <v>222</v>
      </c>
      <c r="B4829" s="155" t="s">
        <v>192</v>
      </c>
      <c r="C4829" s="155" t="s">
        <v>206</v>
      </c>
      <c r="D4829" s="156" t="s">
        <v>5646</v>
      </c>
      <c r="E4829" s="156" t="s">
        <v>5687</v>
      </c>
      <c r="F4829" s="156" t="s">
        <v>242</v>
      </c>
      <c r="G4829" s="156" t="s">
        <v>3872</v>
      </c>
      <c r="H4829" s="157" t="s">
        <v>214</v>
      </c>
    </row>
    <row r="4830" hidden="1">
      <c r="A4830" s="151" t="s">
        <v>222</v>
      </c>
      <c r="B4830" s="118" t="s">
        <v>192</v>
      </c>
      <c r="C4830" s="118" t="s">
        <v>206</v>
      </c>
      <c r="D4830" s="152" t="s">
        <v>5646</v>
      </c>
      <c r="E4830" s="152" t="s">
        <v>5688</v>
      </c>
      <c r="F4830" s="152" t="s">
        <v>246</v>
      </c>
      <c r="G4830" s="152" t="s">
        <v>4320</v>
      </c>
      <c r="H4830" s="153" t="s">
        <v>215</v>
      </c>
    </row>
    <row r="4831" hidden="1">
      <c r="A4831" s="154" t="s">
        <v>222</v>
      </c>
      <c r="B4831" s="155" t="s">
        <v>192</v>
      </c>
      <c r="C4831" s="155" t="s">
        <v>206</v>
      </c>
      <c r="D4831" s="156" t="s">
        <v>5646</v>
      </c>
      <c r="E4831" s="156" t="s">
        <v>5689</v>
      </c>
      <c r="F4831" s="156" t="s">
        <v>323</v>
      </c>
      <c r="G4831" s="156" t="s">
        <v>3966</v>
      </c>
      <c r="H4831" s="157" t="s">
        <v>216</v>
      </c>
    </row>
    <row r="4832" hidden="1">
      <c r="A4832" s="151" t="s">
        <v>223</v>
      </c>
      <c r="B4832" s="118" t="s">
        <v>144</v>
      </c>
      <c r="C4832" s="118" t="s">
        <v>206</v>
      </c>
      <c r="D4832" s="152" t="s">
        <v>5646</v>
      </c>
      <c r="E4832" s="152" t="s">
        <v>5690</v>
      </c>
      <c r="F4832" s="152" t="s">
        <v>276</v>
      </c>
      <c r="G4832" s="152" t="s">
        <v>3968</v>
      </c>
      <c r="H4832" s="153" t="s">
        <v>210</v>
      </c>
    </row>
    <row r="4833" hidden="1">
      <c r="A4833" s="154" t="s">
        <v>223</v>
      </c>
      <c r="B4833" s="155" t="s">
        <v>144</v>
      </c>
      <c r="C4833" s="155" t="s">
        <v>206</v>
      </c>
      <c r="D4833" s="156" t="s">
        <v>5646</v>
      </c>
      <c r="E4833" s="156" t="s">
        <v>5691</v>
      </c>
      <c r="F4833" s="156" t="s">
        <v>492</v>
      </c>
      <c r="G4833" s="156" t="s">
        <v>4412</v>
      </c>
      <c r="H4833" s="157" t="s">
        <v>211</v>
      </c>
    </row>
    <row r="4834" hidden="1">
      <c r="A4834" s="151" t="s">
        <v>223</v>
      </c>
      <c r="B4834" s="118" t="s">
        <v>144</v>
      </c>
      <c r="C4834" s="118" t="s">
        <v>206</v>
      </c>
      <c r="D4834" s="152" t="s">
        <v>5646</v>
      </c>
      <c r="E4834" s="152" t="s">
        <v>5692</v>
      </c>
      <c r="F4834" s="152" t="s">
        <v>265</v>
      </c>
      <c r="G4834" s="152" t="s">
        <v>4446</v>
      </c>
      <c r="H4834" s="153" t="s">
        <v>212</v>
      </c>
    </row>
    <row r="4835" hidden="1">
      <c r="A4835" s="154" t="s">
        <v>223</v>
      </c>
      <c r="B4835" s="155" t="s">
        <v>144</v>
      </c>
      <c r="C4835" s="155" t="s">
        <v>206</v>
      </c>
      <c r="D4835" s="156" t="s">
        <v>5646</v>
      </c>
      <c r="E4835" s="156" t="s">
        <v>5693</v>
      </c>
      <c r="F4835" s="156" t="s">
        <v>458</v>
      </c>
      <c r="G4835" s="156" t="s">
        <v>4171</v>
      </c>
      <c r="H4835" s="157" t="s">
        <v>213</v>
      </c>
    </row>
    <row r="4836" hidden="1">
      <c r="A4836" s="151" t="s">
        <v>223</v>
      </c>
      <c r="B4836" s="118" t="s">
        <v>144</v>
      </c>
      <c r="C4836" s="118" t="s">
        <v>206</v>
      </c>
      <c r="D4836" s="152" t="s">
        <v>5646</v>
      </c>
      <c r="E4836" s="152" t="s">
        <v>5694</v>
      </c>
      <c r="F4836" s="152" t="s">
        <v>492</v>
      </c>
      <c r="G4836" s="152" t="s">
        <v>3267</v>
      </c>
      <c r="H4836" s="153" t="s">
        <v>214</v>
      </c>
    </row>
    <row r="4837" hidden="1">
      <c r="A4837" s="154" t="s">
        <v>223</v>
      </c>
      <c r="B4837" s="155" t="s">
        <v>144</v>
      </c>
      <c r="C4837" s="155" t="s">
        <v>206</v>
      </c>
      <c r="D4837" s="156" t="s">
        <v>5646</v>
      </c>
      <c r="E4837" s="156" t="s">
        <v>5695</v>
      </c>
      <c r="F4837" s="156" t="s">
        <v>492</v>
      </c>
      <c r="G4837" s="156" t="s">
        <v>3543</v>
      </c>
      <c r="H4837" s="157" t="s">
        <v>215</v>
      </c>
    </row>
    <row r="4838" hidden="1">
      <c r="A4838" s="151" t="s">
        <v>223</v>
      </c>
      <c r="B4838" s="118" t="s">
        <v>144</v>
      </c>
      <c r="C4838" s="118" t="s">
        <v>206</v>
      </c>
      <c r="D4838" s="152" t="s">
        <v>5646</v>
      </c>
      <c r="E4838" s="152" t="s">
        <v>5696</v>
      </c>
      <c r="F4838" s="152" t="s">
        <v>298</v>
      </c>
      <c r="G4838" s="152" t="s">
        <v>4026</v>
      </c>
      <c r="H4838" s="153" t="s">
        <v>216</v>
      </c>
    </row>
    <row r="4839" hidden="1">
      <c r="A4839" s="154" t="s">
        <v>224</v>
      </c>
      <c r="B4839" s="155" t="s">
        <v>170</v>
      </c>
      <c r="C4839" s="155" t="s">
        <v>206</v>
      </c>
      <c r="D4839" s="156" t="s">
        <v>5646</v>
      </c>
      <c r="E4839" s="156" t="s">
        <v>5697</v>
      </c>
      <c r="F4839" s="156" t="s">
        <v>287</v>
      </c>
      <c r="G4839" s="156" t="s">
        <v>2289</v>
      </c>
      <c r="H4839" s="157" t="s">
        <v>210</v>
      </c>
    </row>
    <row r="4840" hidden="1">
      <c r="A4840" s="151" t="s">
        <v>224</v>
      </c>
      <c r="B4840" s="118" t="s">
        <v>170</v>
      </c>
      <c r="C4840" s="118" t="s">
        <v>206</v>
      </c>
      <c r="D4840" s="152" t="s">
        <v>5646</v>
      </c>
      <c r="E4840" s="152" t="s">
        <v>5698</v>
      </c>
      <c r="F4840" s="152" t="s">
        <v>285</v>
      </c>
      <c r="G4840" s="152" t="s">
        <v>3989</v>
      </c>
      <c r="H4840" s="153" t="s">
        <v>211</v>
      </c>
    </row>
    <row r="4841" hidden="1">
      <c r="A4841" s="154" t="s">
        <v>224</v>
      </c>
      <c r="B4841" s="155" t="s">
        <v>170</v>
      </c>
      <c r="C4841" s="155" t="s">
        <v>206</v>
      </c>
      <c r="D4841" s="156" t="s">
        <v>5646</v>
      </c>
      <c r="E4841" s="156" t="s">
        <v>5699</v>
      </c>
      <c r="F4841" s="156" t="s">
        <v>242</v>
      </c>
      <c r="G4841" s="156" t="s">
        <v>2816</v>
      </c>
      <c r="H4841" s="157" t="s">
        <v>212</v>
      </c>
    </row>
    <row r="4842" hidden="1">
      <c r="A4842" s="151" t="s">
        <v>224</v>
      </c>
      <c r="B4842" s="118" t="s">
        <v>170</v>
      </c>
      <c r="C4842" s="118" t="s">
        <v>206</v>
      </c>
      <c r="D4842" s="152" t="s">
        <v>5646</v>
      </c>
      <c r="E4842" s="152" t="s">
        <v>5700</v>
      </c>
      <c r="F4842" s="152" t="s">
        <v>255</v>
      </c>
      <c r="G4842" s="152" t="s">
        <v>2665</v>
      </c>
      <c r="H4842" s="153" t="s">
        <v>213</v>
      </c>
    </row>
    <row r="4843" hidden="1">
      <c r="A4843" s="154" t="s">
        <v>224</v>
      </c>
      <c r="B4843" s="155" t="s">
        <v>170</v>
      </c>
      <c r="C4843" s="155" t="s">
        <v>206</v>
      </c>
      <c r="D4843" s="156" t="s">
        <v>5646</v>
      </c>
      <c r="E4843" s="156" t="s">
        <v>5701</v>
      </c>
      <c r="F4843" s="156" t="s">
        <v>262</v>
      </c>
      <c r="G4843" s="156" t="s">
        <v>2517</v>
      </c>
      <c r="H4843" s="157" t="s">
        <v>214</v>
      </c>
    </row>
    <row r="4844" hidden="1">
      <c r="A4844" s="151" t="s">
        <v>224</v>
      </c>
      <c r="B4844" s="118" t="s">
        <v>170</v>
      </c>
      <c r="C4844" s="118" t="s">
        <v>206</v>
      </c>
      <c r="D4844" s="152" t="s">
        <v>5646</v>
      </c>
      <c r="E4844" s="152" t="s">
        <v>5702</v>
      </c>
      <c r="F4844" s="152" t="s">
        <v>242</v>
      </c>
      <c r="G4844" s="152" t="s">
        <v>3872</v>
      </c>
      <c r="H4844" s="153" t="s">
        <v>215</v>
      </c>
    </row>
    <row r="4845" hidden="1">
      <c r="A4845" s="154" t="s">
        <v>224</v>
      </c>
      <c r="B4845" s="155" t="s">
        <v>170</v>
      </c>
      <c r="C4845" s="155" t="s">
        <v>206</v>
      </c>
      <c r="D4845" s="156" t="s">
        <v>5646</v>
      </c>
      <c r="E4845" s="156" t="s">
        <v>5703</v>
      </c>
      <c r="F4845" s="156" t="s">
        <v>246</v>
      </c>
      <c r="G4845" s="156" t="s">
        <v>2177</v>
      </c>
      <c r="H4845" s="157" t="s">
        <v>216</v>
      </c>
    </row>
    <row r="4846" hidden="1">
      <c r="A4846" s="151" t="s">
        <v>225</v>
      </c>
      <c r="B4846" s="118" t="s">
        <v>226</v>
      </c>
      <c r="C4846" s="118" t="s">
        <v>206</v>
      </c>
      <c r="D4846" s="152" t="s">
        <v>5646</v>
      </c>
      <c r="E4846" s="152" t="s">
        <v>5704</v>
      </c>
      <c r="F4846" s="152" t="s">
        <v>321</v>
      </c>
      <c r="G4846" s="152" t="s">
        <v>2822</v>
      </c>
      <c r="H4846" s="153" t="s">
        <v>210</v>
      </c>
    </row>
    <row r="4847" hidden="1">
      <c r="A4847" s="154" t="s">
        <v>225</v>
      </c>
      <c r="B4847" s="155" t="s">
        <v>226</v>
      </c>
      <c r="C4847" s="155" t="s">
        <v>206</v>
      </c>
      <c r="D4847" s="156" t="s">
        <v>5646</v>
      </c>
      <c r="E4847" s="156" t="s">
        <v>5705</v>
      </c>
      <c r="F4847" s="156" t="s">
        <v>308</v>
      </c>
      <c r="G4847" s="156" t="s">
        <v>1776</v>
      </c>
      <c r="H4847" s="157" t="s">
        <v>211</v>
      </c>
    </row>
    <row r="4848" hidden="1">
      <c r="A4848" s="151" t="s">
        <v>225</v>
      </c>
      <c r="B4848" s="118" t="s">
        <v>226</v>
      </c>
      <c r="C4848" s="118" t="s">
        <v>206</v>
      </c>
      <c r="D4848" s="152" t="s">
        <v>5646</v>
      </c>
      <c r="E4848" s="152" t="s">
        <v>5706</v>
      </c>
      <c r="F4848" s="152" t="s">
        <v>359</v>
      </c>
      <c r="G4848" s="152" t="s">
        <v>4386</v>
      </c>
      <c r="H4848" s="153" t="s">
        <v>212</v>
      </c>
    </row>
    <row r="4849" hidden="1">
      <c r="A4849" s="154" t="s">
        <v>225</v>
      </c>
      <c r="B4849" s="155" t="s">
        <v>226</v>
      </c>
      <c r="C4849" s="155" t="s">
        <v>206</v>
      </c>
      <c r="D4849" s="156" t="s">
        <v>5646</v>
      </c>
      <c r="E4849" s="156" t="s">
        <v>5707</v>
      </c>
      <c r="F4849" s="156" t="s">
        <v>301</v>
      </c>
      <c r="G4849" s="156" t="s">
        <v>4026</v>
      </c>
      <c r="H4849" s="157" t="s">
        <v>213</v>
      </c>
    </row>
    <row r="4850" hidden="1">
      <c r="A4850" s="151" t="s">
        <v>225</v>
      </c>
      <c r="B4850" s="118" t="s">
        <v>226</v>
      </c>
      <c r="C4850" s="118" t="s">
        <v>206</v>
      </c>
      <c r="D4850" s="152" t="s">
        <v>5646</v>
      </c>
      <c r="E4850" s="152" t="s">
        <v>5708</v>
      </c>
      <c r="F4850" s="152" t="s">
        <v>244</v>
      </c>
      <c r="G4850" s="152" t="s">
        <v>2822</v>
      </c>
      <c r="H4850" s="153" t="s">
        <v>214</v>
      </c>
    </row>
    <row r="4851" hidden="1">
      <c r="A4851" s="154" t="s">
        <v>225</v>
      </c>
      <c r="B4851" s="155" t="s">
        <v>226</v>
      </c>
      <c r="C4851" s="155" t="s">
        <v>206</v>
      </c>
      <c r="D4851" s="156" t="s">
        <v>5646</v>
      </c>
      <c r="E4851" s="156" t="s">
        <v>5709</v>
      </c>
      <c r="F4851" s="156" t="s">
        <v>374</v>
      </c>
      <c r="G4851" s="156" t="s">
        <v>4116</v>
      </c>
      <c r="H4851" s="157" t="s">
        <v>215</v>
      </c>
    </row>
    <row r="4852" hidden="1">
      <c r="A4852" s="151" t="s">
        <v>225</v>
      </c>
      <c r="B4852" s="118" t="s">
        <v>226</v>
      </c>
      <c r="C4852" s="118" t="s">
        <v>206</v>
      </c>
      <c r="D4852" s="152" t="s">
        <v>5646</v>
      </c>
      <c r="E4852" s="152" t="s">
        <v>5710</v>
      </c>
      <c r="F4852" s="152" t="s">
        <v>359</v>
      </c>
      <c r="G4852" s="152" t="s">
        <v>1776</v>
      </c>
      <c r="H4852" s="153" t="s">
        <v>216</v>
      </c>
    </row>
    <row r="4853" hidden="1">
      <c r="A4853" s="154" t="s">
        <v>227</v>
      </c>
      <c r="B4853" s="155" t="s">
        <v>195</v>
      </c>
      <c r="C4853" s="155" t="s">
        <v>206</v>
      </c>
      <c r="D4853" s="156" t="s">
        <v>5646</v>
      </c>
      <c r="E4853" s="156" t="s">
        <v>5711</v>
      </c>
      <c r="F4853" s="156" t="s">
        <v>255</v>
      </c>
      <c r="G4853" s="156" t="s">
        <v>2181</v>
      </c>
      <c r="H4853" s="157" t="s">
        <v>210</v>
      </c>
    </row>
    <row r="4854" hidden="1">
      <c r="A4854" s="151" t="s">
        <v>227</v>
      </c>
      <c r="B4854" s="118" t="s">
        <v>195</v>
      </c>
      <c r="C4854" s="118" t="s">
        <v>206</v>
      </c>
      <c r="D4854" s="152" t="s">
        <v>5646</v>
      </c>
      <c r="E4854" s="152" t="s">
        <v>5712</v>
      </c>
      <c r="F4854" s="152" t="s">
        <v>534</v>
      </c>
      <c r="G4854" s="152" t="s">
        <v>2667</v>
      </c>
      <c r="H4854" s="153" t="s">
        <v>211</v>
      </c>
    </row>
    <row r="4855" hidden="1">
      <c r="A4855" s="154" t="s">
        <v>227</v>
      </c>
      <c r="B4855" s="155" t="s">
        <v>195</v>
      </c>
      <c r="C4855" s="155" t="s">
        <v>206</v>
      </c>
      <c r="D4855" s="156" t="s">
        <v>5646</v>
      </c>
      <c r="E4855" s="156" t="s">
        <v>5713</v>
      </c>
      <c r="F4855" s="156" t="s">
        <v>354</v>
      </c>
      <c r="G4855" s="156" t="s">
        <v>1995</v>
      </c>
      <c r="H4855" s="157" t="s">
        <v>212</v>
      </c>
    </row>
    <row r="4856" hidden="1">
      <c r="A4856" s="151" t="s">
        <v>227</v>
      </c>
      <c r="B4856" s="118" t="s">
        <v>195</v>
      </c>
      <c r="C4856" s="118" t="s">
        <v>206</v>
      </c>
      <c r="D4856" s="152" t="s">
        <v>5646</v>
      </c>
      <c r="E4856" s="152" t="s">
        <v>5714</v>
      </c>
      <c r="F4856" s="152" t="s">
        <v>249</v>
      </c>
      <c r="G4856" s="152" t="s">
        <v>2820</v>
      </c>
      <c r="H4856" s="153" t="s">
        <v>213</v>
      </c>
    </row>
    <row r="4857" hidden="1">
      <c r="A4857" s="154" t="s">
        <v>227</v>
      </c>
      <c r="B4857" s="155" t="s">
        <v>195</v>
      </c>
      <c r="C4857" s="155" t="s">
        <v>206</v>
      </c>
      <c r="D4857" s="156" t="s">
        <v>5646</v>
      </c>
      <c r="E4857" s="156" t="s">
        <v>5715</v>
      </c>
      <c r="F4857" s="156" t="s">
        <v>478</v>
      </c>
      <c r="G4857" s="156" t="s">
        <v>1779</v>
      </c>
      <c r="H4857" s="157" t="s">
        <v>214</v>
      </c>
    </row>
    <row r="4858" hidden="1">
      <c r="A4858" s="151" t="s">
        <v>227</v>
      </c>
      <c r="B4858" s="118" t="s">
        <v>195</v>
      </c>
      <c r="C4858" s="118" t="s">
        <v>206</v>
      </c>
      <c r="D4858" s="152" t="s">
        <v>5646</v>
      </c>
      <c r="E4858" s="152" t="s">
        <v>5716</v>
      </c>
      <c r="F4858" s="152" t="s">
        <v>249</v>
      </c>
      <c r="G4858" s="152" t="s">
        <v>2820</v>
      </c>
      <c r="H4858" s="153" t="s">
        <v>215</v>
      </c>
    </row>
    <row r="4859" hidden="1">
      <c r="A4859" s="154" t="s">
        <v>227</v>
      </c>
      <c r="B4859" s="155" t="s">
        <v>195</v>
      </c>
      <c r="C4859" s="155" t="s">
        <v>206</v>
      </c>
      <c r="D4859" s="156" t="s">
        <v>5646</v>
      </c>
      <c r="E4859" s="156" t="s">
        <v>5717</v>
      </c>
      <c r="F4859" s="156" t="s">
        <v>285</v>
      </c>
      <c r="G4859" s="156" t="s">
        <v>3205</v>
      </c>
      <c r="H4859" s="157" t="s">
        <v>216</v>
      </c>
    </row>
    <row r="4860" hidden="1">
      <c r="A4860" s="151" t="s">
        <v>228</v>
      </c>
      <c r="B4860" s="118" t="s">
        <v>138</v>
      </c>
      <c r="C4860" s="118" t="s">
        <v>206</v>
      </c>
      <c r="D4860" s="152" t="s">
        <v>5646</v>
      </c>
      <c r="E4860" s="152" t="s">
        <v>5718</v>
      </c>
      <c r="F4860" s="152" t="s">
        <v>265</v>
      </c>
      <c r="G4860" s="152" t="s">
        <v>1776</v>
      </c>
      <c r="H4860" s="153" t="s">
        <v>210</v>
      </c>
    </row>
    <row r="4861" hidden="1">
      <c r="A4861" s="154" t="s">
        <v>228</v>
      </c>
      <c r="B4861" s="155" t="s">
        <v>138</v>
      </c>
      <c r="C4861" s="155" t="s">
        <v>206</v>
      </c>
      <c r="D4861" s="156" t="s">
        <v>5646</v>
      </c>
      <c r="E4861" s="156" t="s">
        <v>5719</v>
      </c>
      <c r="F4861" s="156" t="s">
        <v>246</v>
      </c>
      <c r="G4861" s="156" t="s">
        <v>2230</v>
      </c>
      <c r="H4861" s="157" t="s">
        <v>211</v>
      </c>
    </row>
    <row r="4862" hidden="1">
      <c r="A4862" s="151" t="s">
        <v>228</v>
      </c>
      <c r="B4862" s="118" t="s">
        <v>138</v>
      </c>
      <c r="C4862" s="118" t="s">
        <v>206</v>
      </c>
      <c r="D4862" s="152" t="s">
        <v>5646</v>
      </c>
      <c r="E4862" s="152" t="s">
        <v>5720</v>
      </c>
      <c r="F4862" s="152" t="s">
        <v>673</v>
      </c>
      <c r="G4862" s="152" t="s">
        <v>2189</v>
      </c>
      <c r="H4862" s="153" t="s">
        <v>212</v>
      </c>
    </row>
    <row r="4863" hidden="1">
      <c r="A4863" s="154" t="s">
        <v>228</v>
      </c>
      <c r="B4863" s="155" t="s">
        <v>138</v>
      </c>
      <c r="C4863" s="155" t="s">
        <v>206</v>
      </c>
      <c r="D4863" s="156" t="s">
        <v>5646</v>
      </c>
      <c r="E4863" s="156" t="s">
        <v>5721</v>
      </c>
      <c r="F4863" s="156" t="s">
        <v>357</v>
      </c>
      <c r="G4863" s="156" t="s">
        <v>1782</v>
      </c>
      <c r="H4863" s="157" t="s">
        <v>213</v>
      </c>
    </row>
    <row r="4864" hidden="1">
      <c r="A4864" s="151" t="s">
        <v>228</v>
      </c>
      <c r="B4864" s="118" t="s">
        <v>138</v>
      </c>
      <c r="C4864" s="118" t="s">
        <v>206</v>
      </c>
      <c r="D4864" s="152" t="s">
        <v>5646</v>
      </c>
      <c r="E4864" s="152" t="s">
        <v>5722</v>
      </c>
      <c r="F4864" s="152" t="s">
        <v>301</v>
      </c>
      <c r="G4864" s="152" t="s">
        <v>1951</v>
      </c>
      <c r="H4864" s="153" t="s">
        <v>214</v>
      </c>
    </row>
    <row r="4865" hidden="1">
      <c r="A4865" s="154" t="s">
        <v>228</v>
      </c>
      <c r="B4865" s="155" t="s">
        <v>138</v>
      </c>
      <c r="C4865" s="155" t="s">
        <v>206</v>
      </c>
      <c r="D4865" s="156" t="s">
        <v>5646</v>
      </c>
      <c r="E4865" s="156" t="s">
        <v>5723</v>
      </c>
      <c r="F4865" s="156" t="s">
        <v>305</v>
      </c>
      <c r="G4865" s="156" t="s">
        <v>2600</v>
      </c>
      <c r="H4865" s="157" t="s">
        <v>215</v>
      </c>
    </row>
    <row r="4866" hidden="1">
      <c r="A4866" s="151" t="s">
        <v>228</v>
      </c>
      <c r="B4866" s="118" t="s">
        <v>138</v>
      </c>
      <c r="C4866" s="118" t="s">
        <v>206</v>
      </c>
      <c r="D4866" s="152" t="s">
        <v>5646</v>
      </c>
      <c r="E4866" s="152" t="s">
        <v>5724</v>
      </c>
      <c r="F4866" s="152" t="s">
        <v>287</v>
      </c>
      <c r="G4866" s="152" t="s">
        <v>2187</v>
      </c>
      <c r="H4866" s="153" t="s">
        <v>216</v>
      </c>
    </row>
    <row r="4867" hidden="1">
      <c r="A4867" s="154" t="s">
        <v>229</v>
      </c>
      <c r="B4867" s="155" t="s">
        <v>193</v>
      </c>
      <c r="C4867" s="155" t="s">
        <v>206</v>
      </c>
      <c r="D4867" s="156" t="s">
        <v>5646</v>
      </c>
      <c r="E4867" s="156" t="s">
        <v>5725</v>
      </c>
      <c r="F4867" s="156" t="s">
        <v>351</v>
      </c>
      <c r="G4867" s="156" t="s">
        <v>3613</v>
      </c>
      <c r="H4867" s="157" t="s">
        <v>210</v>
      </c>
    </row>
    <row r="4868" hidden="1">
      <c r="A4868" s="151" t="s">
        <v>229</v>
      </c>
      <c r="B4868" s="118" t="s">
        <v>193</v>
      </c>
      <c r="C4868" s="118" t="s">
        <v>206</v>
      </c>
      <c r="D4868" s="152" t="s">
        <v>5646</v>
      </c>
      <c r="E4868" s="152" t="s">
        <v>5726</v>
      </c>
      <c r="F4868" s="152" t="s">
        <v>425</v>
      </c>
      <c r="G4868" s="152" t="s">
        <v>3262</v>
      </c>
      <c r="H4868" s="153" t="s">
        <v>211</v>
      </c>
    </row>
    <row r="4869" hidden="1">
      <c r="A4869" s="154" t="s">
        <v>229</v>
      </c>
      <c r="B4869" s="155" t="s">
        <v>193</v>
      </c>
      <c r="C4869" s="155" t="s">
        <v>206</v>
      </c>
      <c r="D4869" s="156" t="s">
        <v>5646</v>
      </c>
      <c r="E4869" s="156" t="s">
        <v>5727</v>
      </c>
      <c r="F4869" s="156" t="s">
        <v>433</v>
      </c>
      <c r="G4869" s="156" t="s">
        <v>3815</v>
      </c>
      <c r="H4869" s="157" t="s">
        <v>212</v>
      </c>
    </row>
    <row r="4870" hidden="1">
      <c r="A4870" s="151" t="s">
        <v>229</v>
      </c>
      <c r="B4870" s="118" t="s">
        <v>193</v>
      </c>
      <c r="C4870" s="118" t="s">
        <v>206</v>
      </c>
      <c r="D4870" s="152" t="s">
        <v>5646</v>
      </c>
      <c r="E4870" s="152" t="s">
        <v>5728</v>
      </c>
      <c r="F4870" s="152" t="s">
        <v>314</v>
      </c>
      <c r="G4870" s="152" t="s">
        <v>3820</v>
      </c>
      <c r="H4870" s="153" t="s">
        <v>213</v>
      </c>
    </row>
    <row r="4871" hidden="1">
      <c r="A4871" s="154" t="s">
        <v>229</v>
      </c>
      <c r="B4871" s="155" t="s">
        <v>193</v>
      </c>
      <c r="C4871" s="155" t="s">
        <v>206</v>
      </c>
      <c r="D4871" s="156" t="s">
        <v>5646</v>
      </c>
      <c r="E4871" s="156" t="s">
        <v>5729</v>
      </c>
      <c r="F4871" s="156" t="s">
        <v>246</v>
      </c>
      <c r="G4871" s="156" t="s">
        <v>3820</v>
      </c>
      <c r="H4871" s="157" t="s">
        <v>214</v>
      </c>
    </row>
    <row r="4872" hidden="1">
      <c r="A4872" s="151" t="s">
        <v>229</v>
      </c>
      <c r="B4872" s="118" t="s">
        <v>193</v>
      </c>
      <c r="C4872" s="118" t="s">
        <v>206</v>
      </c>
      <c r="D4872" s="152" t="s">
        <v>5646</v>
      </c>
      <c r="E4872" s="152" t="s">
        <v>5730</v>
      </c>
      <c r="F4872" s="152" t="s">
        <v>374</v>
      </c>
      <c r="G4872" s="152" t="s">
        <v>3404</v>
      </c>
      <c r="H4872" s="153" t="s">
        <v>215</v>
      </c>
    </row>
    <row r="4873" hidden="1">
      <c r="A4873" s="154" t="s">
        <v>229</v>
      </c>
      <c r="B4873" s="155" t="s">
        <v>193</v>
      </c>
      <c r="C4873" s="155" t="s">
        <v>206</v>
      </c>
      <c r="D4873" s="156" t="s">
        <v>5646</v>
      </c>
      <c r="E4873" s="156" t="s">
        <v>5731</v>
      </c>
      <c r="F4873" s="156" t="s">
        <v>310</v>
      </c>
      <c r="G4873" s="156" t="s">
        <v>3572</v>
      </c>
      <c r="H4873" s="157" t="s">
        <v>216</v>
      </c>
    </row>
    <row r="4874" hidden="1">
      <c r="A4874" s="151" t="s">
        <v>230</v>
      </c>
      <c r="B4874" s="118" t="s">
        <v>194</v>
      </c>
      <c r="C4874" s="118" t="s">
        <v>206</v>
      </c>
      <c r="D4874" s="152" t="s">
        <v>5646</v>
      </c>
      <c r="E4874" s="152" t="s">
        <v>5732</v>
      </c>
      <c r="F4874" s="152" t="s">
        <v>308</v>
      </c>
      <c r="G4874" s="152" t="s">
        <v>3919</v>
      </c>
      <c r="H4874" s="153" t="s">
        <v>210</v>
      </c>
    </row>
    <row r="4875" hidden="1">
      <c r="A4875" s="154" t="s">
        <v>230</v>
      </c>
      <c r="B4875" s="155" t="s">
        <v>194</v>
      </c>
      <c r="C4875" s="155" t="s">
        <v>206</v>
      </c>
      <c r="D4875" s="156" t="s">
        <v>5646</v>
      </c>
      <c r="E4875" s="156" t="s">
        <v>5733</v>
      </c>
      <c r="F4875" s="156" t="s">
        <v>359</v>
      </c>
      <c r="G4875" s="156" t="s">
        <v>4992</v>
      </c>
      <c r="H4875" s="157" t="s">
        <v>211</v>
      </c>
    </row>
    <row r="4876" hidden="1">
      <c r="A4876" s="151" t="s">
        <v>230</v>
      </c>
      <c r="B4876" s="118" t="s">
        <v>194</v>
      </c>
      <c r="C4876" s="118" t="s">
        <v>206</v>
      </c>
      <c r="D4876" s="152" t="s">
        <v>5646</v>
      </c>
      <c r="E4876" s="152" t="s">
        <v>5734</v>
      </c>
      <c r="F4876" s="152" t="s">
        <v>240</v>
      </c>
      <c r="G4876" s="152" t="s">
        <v>3911</v>
      </c>
      <c r="H4876" s="153" t="s">
        <v>212</v>
      </c>
    </row>
    <row r="4877" hidden="1">
      <c r="A4877" s="154" t="s">
        <v>230</v>
      </c>
      <c r="B4877" s="155" t="s">
        <v>194</v>
      </c>
      <c r="C4877" s="155" t="s">
        <v>206</v>
      </c>
      <c r="D4877" s="156" t="s">
        <v>5646</v>
      </c>
      <c r="E4877" s="156" t="s">
        <v>5735</v>
      </c>
      <c r="F4877" s="156" t="s">
        <v>290</v>
      </c>
      <c r="G4877" s="156" t="s">
        <v>4287</v>
      </c>
      <c r="H4877" s="157" t="s">
        <v>213</v>
      </c>
    </row>
    <row r="4878" hidden="1">
      <c r="A4878" s="151" t="s">
        <v>230</v>
      </c>
      <c r="B4878" s="118" t="s">
        <v>194</v>
      </c>
      <c r="C4878" s="118" t="s">
        <v>206</v>
      </c>
      <c r="D4878" s="152" t="s">
        <v>5646</v>
      </c>
      <c r="E4878" s="152" t="s">
        <v>5736</v>
      </c>
      <c r="F4878" s="152" t="s">
        <v>331</v>
      </c>
      <c r="G4878" s="152" t="s">
        <v>4446</v>
      </c>
      <c r="H4878" s="153" t="s">
        <v>214</v>
      </c>
    </row>
    <row r="4879" hidden="1">
      <c r="A4879" s="154" t="s">
        <v>230</v>
      </c>
      <c r="B4879" s="155" t="s">
        <v>194</v>
      </c>
      <c r="C4879" s="155" t="s">
        <v>206</v>
      </c>
      <c r="D4879" s="156" t="s">
        <v>5646</v>
      </c>
      <c r="E4879" s="156" t="s">
        <v>5737</v>
      </c>
      <c r="F4879" s="156" t="s">
        <v>246</v>
      </c>
      <c r="G4879" s="156" t="s">
        <v>4320</v>
      </c>
      <c r="H4879" s="157" t="s">
        <v>215</v>
      </c>
    </row>
    <row r="4880" hidden="1">
      <c r="A4880" s="151" t="s">
        <v>230</v>
      </c>
      <c r="B4880" s="118" t="s">
        <v>194</v>
      </c>
      <c r="C4880" s="118" t="s">
        <v>206</v>
      </c>
      <c r="D4880" s="152" t="s">
        <v>5646</v>
      </c>
      <c r="E4880" s="152" t="s">
        <v>5738</v>
      </c>
      <c r="F4880" s="152" t="s">
        <v>314</v>
      </c>
      <c r="G4880" s="152" t="s">
        <v>4002</v>
      </c>
      <c r="H4880" s="153" t="s">
        <v>216</v>
      </c>
    </row>
    <row r="4881" hidden="1">
      <c r="A4881" s="158" t="s">
        <v>231</v>
      </c>
      <c r="B4881" s="159"/>
      <c r="C4881" s="155" t="s">
        <v>232</v>
      </c>
      <c r="D4881" s="156" t="s">
        <v>5646</v>
      </c>
      <c r="E4881" s="156" t="s">
        <v>5739</v>
      </c>
      <c r="F4881" s="156" t="s">
        <v>249</v>
      </c>
      <c r="G4881" s="156" t="s">
        <v>4146</v>
      </c>
      <c r="H4881" s="157" t="s">
        <v>210</v>
      </c>
    </row>
    <row r="4882" hidden="1">
      <c r="A4882" s="160" t="s">
        <v>231</v>
      </c>
      <c r="B4882" s="72"/>
      <c r="C4882" s="118" t="s">
        <v>232</v>
      </c>
      <c r="D4882" s="152" t="s">
        <v>5646</v>
      </c>
      <c r="E4882" s="152" t="s">
        <v>5740</v>
      </c>
      <c r="F4882" s="152" t="s">
        <v>285</v>
      </c>
      <c r="G4882" s="152" t="s">
        <v>2517</v>
      </c>
      <c r="H4882" s="153" t="s">
        <v>211</v>
      </c>
    </row>
    <row r="4883" hidden="1">
      <c r="A4883" s="158" t="s">
        <v>231</v>
      </c>
      <c r="B4883" s="159"/>
      <c r="C4883" s="155" t="s">
        <v>232</v>
      </c>
      <c r="D4883" s="156" t="s">
        <v>5646</v>
      </c>
      <c r="E4883" s="156" t="s">
        <v>5741</v>
      </c>
      <c r="F4883" s="156" t="s">
        <v>357</v>
      </c>
      <c r="G4883" s="156" t="s">
        <v>4464</v>
      </c>
      <c r="H4883" s="157" t="s">
        <v>212</v>
      </c>
    </row>
    <row r="4884" hidden="1">
      <c r="A4884" s="160" t="s">
        <v>231</v>
      </c>
      <c r="B4884" s="72"/>
      <c r="C4884" s="118" t="s">
        <v>232</v>
      </c>
      <c r="D4884" s="152" t="s">
        <v>5646</v>
      </c>
      <c r="E4884" s="152" t="s">
        <v>5742</v>
      </c>
      <c r="F4884" s="152" t="s">
        <v>351</v>
      </c>
      <c r="G4884" s="152" t="s">
        <v>1791</v>
      </c>
      <c r="H4884" s="153" t="s">
        <v>213</v>
      </c>
    </row>
    <row r="4885" hidden="1">
      <c r="A4885" s="158" t="s">
        <v>231</v>
      </c>
      <c r="B4885" s="159"/>
      <c r="C4885" s="155" t="s">
        <v>232</v>
      </c>
      <c r="D4885" s="156" t="s">
        <v>5646</v>
      </c>
      <c r="E4885" s="156" t="s">
        <v>5743</v>
      </c>
      <c r="F4885" s="156" t="s">
        <v>325</v>
      </c>
      <c r="G4885" s="156" t="s">
        <v>2513</v>
      </c>
      <c r="H4885" s="157" t="s">
        <v>214</v>
      </c>
    </row>
    <row r="4886" hidden="1">
      <c r="A4886" s="160" t="s">
        <v>231</v>
      </c>
      <c r="B4886" s="72"/>
      <c r="C4886" s="118" t="s">
        <v>232</v>
      </c>
      <c r="D4886" s="152" t="s">
        <v>5646</v>
      </c>
      <c r="E4886" s="152" t="s">
        <v>5744</v>
      </c>
      <c r="F4886" s="152" t="s">
        <v>285</v>
      </c>
      <c r="G4886" s="152" t="s">
        <v>4002</v>
      </c>
      <c r="H4886" s="153" t="s">
        <v>215</v>
      </c>
    </row>
    <row r="4887" hidden="1">
      <c r="A4887" s="158" t="s">
        <v>231</v>
      </c>
      <c r="B4887" s="159"/>
      <c r="C4887" s="155" t="s">
        <v>232</v>
      </c>
      <c r="D4887" s="156" t="s">
        <v>5646</v>
      </c>
      <c r="E4887" s="156" t="s">
        <v>5745</v>
      </c>
      <c r="F4887" s="156" t="s">
        <v>321</v>
      </c>
      <c r="G4887" s="156" t="s">
        <v>2822</v>
      </c>
      <c r="H4887" s="157" t="s">
        <v>216</v>
      </c>
    </row>
    <row r="4888" hidden="1">
      <c r="A4888" s="160" t="s">
        <v>233</v>
      </c>
      <c r="B4888" s="72"/>
      <c r="C4888" s="118" t="s">
        <v>232</v>
      </c>
      <c r="D4888" s="152" t="s">
        <v>5646</v>
      </c>
      <c r="E4888" s="152" t="s">
        <v>5746</v>
      </c>
      <c r="F4888" s="152" t="s">
        <v>323</v>
      </c>
      <c r="G4888" s="152" t="s">
        <v>2348</v>
      </c>
      <c r="H4888" s="153" t="s">
        <v>210</v>
      </c>
    </row>
    <row r="4889" hidden="1">
      <c r="A4889" s="158" t="s">
        <v>233</v>
      </c>
      <c r="B4889" s="159"/>
      <c r="C4889" s="155" t="s">
        <v>232</v>
      </c>
      <c r="D4889" s="156" t="s">
        <v>5646</v>
      </c>
      <c r="E4889" s="156" t="s">
        <v>5747</v>
      </c>
      <c r="F4889" s="156" t="s">
        <v>249</v>
      </c>
      <c r="G4889" s="156" t="s">
        <v>3917</v>
      </c>
      <c r="H4889" s="157" t="s">
        <v>211</v>
      </c>
    </row>
    <row r="4890" hidden="1">
      <c r="A4890" s="160" t="s">
        <v>233</v>
      </c>
      <c r="B4890" s="72"/>
      <c r="C4890" s="118" t="s">
        <v>232</v>
      </c>
      <c r="D4890" s="152" t="s">
        <v>5646</v>
      </c>
      <c r="E4890" s="152" t="s">
        <v>5748</v>
      </c>
      <c r="F4890" s="152" t="s">
        <v>321</v>
      </c>
      <c r="G4890" s="152" t="s">
        <v>3840</v>
      </c>
      <c r="H4890" s="153" t="s">
        <v>212</v>
      </c>
    </row>
    <row r="4891" hidden="1">
      <c r="A4891" s="158" t="s">
        <v>233</v>
      </c>
      <c r="B4891" s="159"/>
      <c r="C4891" s="155" t="s">
        <v>232</v>
      </c>
      <c r="D4891" s="156" t="s">
        <v>5646</v>
      </c>
      <c r="E4891" s="156" t="s">
        <v>5749</v>
      </c>
      <c r="F4891" s="156" t="s">
        <v>249</v>
      </c>
      <c r="G4891" s="156" t="s">
        <v>3108</v>
      </c>
      <c r="H4891" s="157" t="s">
        <v>213</v>
      </c>
    </row>
    <row r="4892" hidden="1">
      <c r="A4892" s="160" t="s">
        <v>233</v>
      </c>
      <c r="B4892" s="72"/>
      <c r="C4892" s="118" t="s">
        <v>232</v>
      </c>
      <c r="D4892" s="152" t="s">
        <v>5646</v>
      </c>
      <c r="E4892" s="152" t="s">
        <v>5750</v>
      </c>
      <c r="F4892" s="152" t="s">
        <v>249</v>
      </c>
      <c r="G4892" s="152" t="s">
        <v>4317</v>
      </c>
      <c r="H4892" s="153" t="s">
        <v>214</v>
      </c>
    </row>
    <row r="4893" hidden="1">
      <c r="A4893" s="158" t="s">
        <v>233</v>
      </c>
      <c r="B4893" s="159"/>
      <c r="C4893" s="155" t="s">
        <v>232</v>
      </c>
      <c r="D4893" s="156" t="s">
        <v>5646</v>
      </c>
      <c r="E4893" s="156" t="s">
        <v>5751</v>
      </c>
      <c r="F4893" s="156" t="s">
        <v>285</v>
      </c>
      <c r="G4893" s="156" t="s">
        <v>3915</v>
      </c>
      <c r="H4893" s="157" t="s">
        <v>215</v>
      </c>
    </row>
    <row r="4894" hidden="1">
      <c r="A4894" s="160" t="s">
        <v>233</v>
      </c>
      <c r="B4894" s="72"/>
      <c r="C4894" s="118" t="s">
        <v>232</v>
      </c>
      <c r="D4894" s="152" t="s">
        <v>5646</v>
      </c>
      <c r="E4894" s="152" t="s">
        <v>5752</v>
      </c>
      <c r="F4894" s="152" t="s">
        <v>314</v>
      </c>
      <c r="G4894" s="152" t="s">
        <v>2822</v>
      </c>
      <c r="H4894" s="153" t="s">
        <v>216</v>
      </c>
    </row>
    <row r="4895" hidden="1">
      <c r="A4895" s="158" t="s">
        <v>234</v>
      </c>
      <c r="B4895" s="159"/>
      <c r="C4895" s="155" t="s">
        <v>232</v>
      </c>
      <c r="D4895" s="156" t="s">
        <v>5646</v>
      </c>
      <c r="E4895" s="156" t="s">
        <v>5753</v>
      </c>
      <c r="F4895" s="156" t="s">
        <v>374</v>
      </c>
      <c r="G4895" s="156" t="s">
        <v>3151</v>
      </c>
      <c r="H4895" s="157" t="s">
        <v>210</v>
      </c>
    </row>
    <row r="4896" hidden="1">
      <c r="A4896" s="160" t="s">
        <v>234</v>
      </c>
      <c r="B4896" s="72"/>
      <c r="C4896" s="118" t="s">
        <v>232</v>
      </c>
      <c r="D4896" s="152" t="s">
        <v>5646</v>
      </c>
      <c r="E4896" s="152" t="s">
        <v>5754</v>
      </c>
      <c r="F4896" s="152" t="s">
        <v>301</v>
      </c>
      <c r="G4896" s="152" t="s">
        <v>3485</v>
      </c>
      <c r="H4896" s="153" t="s">
        <v>211</v>
      </c>
    </row>
    <row r="4897" hidden="1">
      <c r="A4897" s="158" t="s">
        <v>234</v>
      </c>
      <c r="B4897" s="159"/>
      <c r="C4897" s="155" t="s">
        <v>232</v>
      </c>
      <c r="D4897" s="156" t="s">
        <v>5646</v>
      </c>
      <c r="E4897" s="156" t="s">
        <v>5755</v>
      </c>
      <c r="F4897" s="156" t="s">
        <v>269</v>
      </c>
      <c r="G4897" s="156" t="s">
        <v>2609</v>
      </c>
      <c r="H4897" s="157" t="s">
        <v>212</v>
      </c>
    </row>
    <row r="4898" hidden="1">
      <c r="A4898" s="160" t="s">
        <v>234</v>
      </c>
      <c r="B4898" s="72"/>
      <c r="C4898" s="118" t="s">
        <v>232</v>
      </c>
      <c r="D4898" s="152" t="s">
        <v>5646</v>
      </c>
      <c r="E4898" s="152" t="s">
        <v>5756</v>
      </c>
      <c r="F4898" s="152" t="s">
        <v>3978</v>
      </c>
      <c r="G4898" s="152" t="s">
        <v>3003</v>
      </c>
      <c r="H4898" s="153" t="s">
        <v>213</v>
      </c>
    </row>
    <row r="4899" hidden="1">
      <c r="A4899" s="158" t="s">
        <v>234</v>
      </c>
      <c r="B4899" s="159"/>
      <c r="C4899" s="155" t="s">
        <v>232</v>
      </c>
      <c r="D4899" s="156" t="s">
        <v>5646</v>
      </c>
      <c r="E4899" s="156" t="s">
        <v>5757</v>
      </c>
      <c r="F4899" s="156" t="s">
        <v>265</v>
      </c>
      <c r="G4899" s="156" t="s">
        <v>3237</v>
      </c>
      <c r="H4899" s="157" t="s">
        <v>214</v>
      </c>
    </row>
    <row r="4900" hidden="1">
      <c r="A4900" s="160" t="s">
        <v>234</v>
      </c>
      <c r="B4900" s="72"/>
      <c r="C4900" s="118" t="s">
        <v>232</v>
      </c>
      <c r="D4900" s="152" t="s">
        <v>5646</v>
      </c>
      <c r="E4900" s="152" t="s">
        <v>5758</v>
      </c>
      <c r="F4900" s="152" t="s">
        <v>298</v>
      </c>
      <c r="G4900" s="152" t="s">
        <v>2992</v>
      </c>
      <c r="H4900" s="153" t="s">
        <v>215</v>
      </c>
    </row>
    <row r="4901" hidden="1">
      <c r="A4901" s="158" t="s">
        <v>234</v>
      </c>
      <c r="B4901" s="159"/>
      <c r="C4901" s="155" t="s">
        <v>232</v>
      </c>
      <c r="D4901" s="156" t="s">
        <v>5646</v>
      </c>
      <c r="E4901" s="156" t="s">
        <v>5759</v>
      </c>
      <c r="F4901" s="156" t="s">
        <v>374</v>
      </c>
      <c r="G4901" s="156" t="s">
        <v>3458</v>
      </c>
      <c r="H4901" s="157" t="s">
        <v>216</v>
      </c>
    </row>
    <row r="4902" hidden="1">
      <c r="A4902" s="160" t="s">
        <v>235</v>
      </c>
      <c r="B4902" s="72"/>
      <c r="C4902" s="118" t="s">
        <v>236</v>
      </c>
      <c r="D4902" s="152" t="s">
        <v>5646</v>
      </c>
      <c r="E4902" s="152" t="s">
        <v>5760</v>
      </c>
      <c r="F4902" s="152" t="s">
        <v>365</v>
      </c>
      <c r="G4902" s="152" t="s">
        <v>3790</v>
      </c>
      <c r="H4902" s="153" t="s">
        <v>210</v>
      </c>
    </row>
    <row r="4903" hidden="1">
      <c r="A4903" s="158" t="s">
        <v>235</v>
      </c>
      <c r="B4903" s="159"/>
      <c r="C4903" s="155" t="s">
        <v>236</v>
      </c>
      <c r="D4903" s="156" t="s">
        <v>5646</v>
      </c>
      <c r="E4903" s="156" t="s">
        <v>5761</v>
      </c>
      <c r="F4903" s="156" t="s">
        <v>285</v>
      </c>
      <c r="G4903" s="156" t="s">
        <v>1997</v>
      </c>
      <c r="H4903" s="157" t="s">
        <v>211</v>
      </c>
    </row>
    <row r="4904" hidden="1">
      <c r="A4904" s="160" t="s">
        <v>235</v>
      </c>
      <c r="B4904" s="72"/>
      <c r="C4904" s="118" t="s">
        <v>236</v>
      </c>
      <c r="D4904" s="152" t="s">
        <v>5646</v>
      </c>
      <c r="E4904" s="152" t="s">
        <v>5762</v>
      </c>
      <c r="F4904" s="152" t="s">
        <v>285</v>
      </c>
      <c r="G4904" s="152" t="s">
        <v>4161</v>
      </c>
      <c r="H4904" s="153" t="s">
        <v>212</v>
      </c>
    </row>
    <row r="4905" hidden="1">
      <c r="A4905" s="158" t="s">
        <v>235</v>
      </c>
      <c r="B4905" s="159"/>
      <c r="C4905" s="155" t="s">
        <v>236</v>
      </c>
      <c r="D4905" s="156" t="s">
        <v>5646</v>
      </c>
      <c r="E4905" s="156" t="s">
        <v>5763</v>
      </c>
      <c r="F4905" s="156" t="s">
        <v>321</v>
      </c>
      <c r="G4905" s="156" t="s">
        <v>2508</v>
      </c>
      <c r="H4905" s="157" t="s">
        <v>213</v>
      </c>
    </row>
    <row r="4906" hidden="1">
      <c r="A4906" s="160" t="s">
        <v>235</v>
      </c>
      <c r="B4906" s="72"/>
      <c r="C4906" s="118" t="s">
        <v>236</v>
      </c>
      <c r="D4906" s="152" t="s">
        <v>5646</v>
      </c>
      <c r="E4906" s="152" t="s">
        <v>5764</v>
      </c>
      <c r="F4906" s="152" t="s">
        <v>321</v>
      </c>
      <c r="G4906" s="152" t="s">
        <v>3818</v>
      </c>
      <c r="H4906" s="153" t="s">
        <v>214</v>
      </c>
    </row>
    <row r="4907" hidden="1">
      <c r="A4907" s="158" t="s">
        <v>235</v>
      </c>
      <c r="B4907" s="159"/>
      <c r="C4907" s="155" t="s">
        <v>236</v>
      </c>
      <c r="D4907" s="156" t="s">
        <v>5646</v>
      </c>
      <c r="E4907" s="156" t="s">
        <v>5765</v>
      </c>
      <c r="F4907" s="156" t="s">
        <v>365</v>
      </c>
      <c r="G4907" s="156" t="s">
        <v>4743</v>
      </c>
      <c r="H4907" s="157" t="s">
        <v>215</v>
      </c>
    </row>
    <row r="4908" hidden="1">
      <c r="A4908" s="160" t="s">
        <v>235</v>
      </c>
      <c r="B4908" s="72"/>
      <c r="C4908" s="118" t="s">
        <v>236</v>
      </c>
      <c r="D4908" s="152" t="s">
        <v>5646</v>
      </c>
      <c r="E4908" s="152" t="s">
        <v>5766</v>
      </c>
      <c r="F4908" s="152" t="s">
        <v>285</v>
      </c>
      <c r="G4908" s="152" t="s">
        <v>4219</v>
      </c>
      <c r="H4908" s="153" t="s">
        <v>216</v>
      </c>
    </row>
    <row r="4909" hidden="1">
      <c r="A4909" s="158" t="s">
        <v>237</v>
      </c>
      <c r="B4909" s="159"/>
      <c r="C4909" s="155" t="s">
        <v>236</v>
      </c>
      <c r="D4909" s="156" t="s">
        <v>5646</v>
      </c>
      <c r="E4909" s="156" t="s">
        <v>5767</v>
      </c>
      <c r="F4909" s="156" t="s">
        <v>257</v>
      </c>
      <c r="G4909" s="156" t="s">
        <v>2457</v>
      </c>
      <c r="H4909" s="157" t="s">
        <v>210</v>
      </c>
    </row>
    <row r="4910" hidden="1">
      <c r="A4910" s="160" t="s">
        <v>237</v>
      </c>
      <c r="B4910" s="72"/>
      <c r="C4910" s="118" t="s">
        <v>236</v>
      </c>
      <c r="D4910" s="152" t="s">
        <v>5646</v>
      </c>
      <c r="E4910" s="152" t="s">
        <v>5768</v>
      </c>
      <c r="F4910" s="152" t="s">
        <v>314</v>
      </c>
      <c r="G4910" s="152" t="s">
        <v>3230</v>
      </c>
      <c r="H4910" s="153" t="s">
        <v>211</v>
      </c>
    </row>
    <row r="4911" hidden="1">
      <c r="A4911" s="158" t="s">
        <v>237</v>
      </c>
      <c r="B4911" s="159"/>
      <c r="C4911" s="155" t="s">
        <v>236</v>
      </c>
      <c r="D4911" s="156" t="s">
        <v>5646</v>
      </c>
      <c r="E4911" s="156" t="s">
        <v>5769</v>
      </c>
      <c r="F4911" s="156" t="s">
        <v>359</v>
      </c>
      <c r="G4911" s="156" t="s">
        <v>2758</v>
      </c>
      <c r="H4911" s="157" t="s">
        <v>212</v>
      </c>
    </row>
    <row r="4912" hidden="1">
      <c r="A4912" s="160" t="s">
        <v>237</v>
      </c>
      <c r="B4912" s="72"/>
      <c r="C4912" s="118" t="s">
        <v>236</v>
      </c>
      <c r="D4912" s="152" t="s">
        <v>5646</v>
      </c>
      <c r="E4912" s="152" t="s">
        <v>5770</v>
      </c>
      <c r="F4912" s="152" t="s">
        <v>279</v>
      </c>
      <c r="G4912" s="152" t="s">
        <v>3482</v>
      </c>
      <c r="H4912" s="153" t="s">
        <v>213</v>
      </c>
    </row>
    <row r="4913" hidden="1">
      <c r="A4913" s="158" t="s">
        <v>237</v>
      </c>
      <c r="B4913" s="159"/>
      <c r="C4913" s="155" t="s">
        <v>236</v>
      </c>
      <c r="D4913" s="156" t="s">
        <v>5646</v>
      </c>
      <c r="E4913" s="156" t="s">
        <v>5771</v>
      </c>
      <c r="F4913" s="156" t="s">
        <v>242</v>
      </c>
      <c r="G4913" s="156" t="s">
        <v>2230</v>
      </c>
      <c r="H4913" s="157" t="s">
        <v>214</v>
      </c>
    </row>
    <row r="4914" hidden="1">
      <c r="A4914" s="160" t="s">
        <v>237</v>
      </c>
      <c r="B4914" s="72"/>
      <c r="C4914" s="118" t="s">
        <v>236</v>
      </c>
      <c r="D4914" s="152" t="s">
        <v>5646</v>
      </c>
      <c r="E4914" s="152" t="s">
        <v>5772</v>
      </c>
      <c r="F4914" s="152" t="s">
        <v>301</v>
      </c>
      <c r="G4914" s="152" t="s">
        <v>2620</v>
      </c>
      <c r="H4914" s="153" t="s">
        <v>215</v>
      </c>
    </row>
    <row r="4915" hidden="1">
      <c r="A4915" s="158" t="s">
        <v>237</v>
      </c>
      <c r="B4915" s="159"/>
      <c r="C4915" s="155" t="s">
        <v>236</v>
      </c>
      <c r="D4915" s="156" t="s">
        <v>5646</v>
      </c>
      <c r="E4915" s="156" t="s">
        <v>5773</v>
      </c>
      <c r="F4915" s="156" t="s">
        <v>244</v>
      </c>
      <c r="G4915" s="156" t="s">
        <v>2307</v>
      </c>
      <c r="H4915" s="157" t="s">
        <v>216</v>
      </c>
    </row>
    <row r="4916" hidden="1">
      <c r="A4916" s="151" t="s">
        <v>204</v>
      </c>
      <c r="B4916" s="118" t="s">
        <v>205</v>
      </c>
      <c r="C4916" s="118" t="s">
        <v>206</v>
      </c>
      <c r="D4916" s="152" t="s">
        <v>5774</v>
      </c>
      <c r="E4916" s="152" t="s">
        <v>5775</v>
      </c>
      <c r="F4916" s="152" t="s">
        <v>336</v>
      </c>
      <c r="G4916" s="152" t="s">
        <v>3207</v>
      </c>
      <c r="H4916" s="153" t="s">
        <v>210</v>
      </c>
    </row>
    <row r="4917" hidden="1">
      <c r="A4917" s="154" t="s">
        <v>204</v>
      </c>
      <c r="B4917" s="155" t="s">
        <v>205</v>
      </c>
      <c r="C4917" s="155" t="s">
        <v>206</v>
      </c>
      <c r="D4917" s="156" t="s">
        <v>5774</v>
      </c>
      <c r="E4917" s="156" t="s">
        <v>5776</v>
      </c>
      <c r="F4917" s="156" t="s">
        <v>534</v>
      </c>
      <c r="G4917" s="156" t="s">
        <v>2667</v>
      </c>
      <c r="H4917" s="157" t="s">
        <v>211</v>
      </c>
    </row>
    <row r="4918" hidden="1">
      <c r="A4918" s="151" t="s">
        <v>204</v>
      </c>
      <c r="B4918" s="118" t="s">
        <v>205</v>
      </c>
      <c r="C4918" s="118" t="s">
        <v>206</v>
      </c>
      <c r="D4918" s="152" t="s">
        <v>5774</v>
      </c>
      <c r="E4918" s="152" t="s">
        <v>5777</v>
      </c>
      <c r="F4918" s="152" t="s">
        <v>427</v>
      </c>
      <c r="G4918" s="152" t="s">
        <v>3893</v>
      </c>
      <c r="H4918" s="153" t="s">
        <v>212</v>
      </c>
    </row>
    <row r="4919" hidden="1">
      <c r="A4919" s="154" t="s">
        <v>204</v>
      </c>
      <c r="B4919" s="155" t="s">
        <v>205</v>
      </c>
      <c r="C4919" s="155" t="s">
        <v>206</v>
      </c>
      <c r="D4919" s="156" t="s">
        <v>5774</v>
      </c>
      <c r="E4919" s="156" t="s">
        <v>5778</v>
      </c>
      <c r="F4919" s="156" t="s">
        <v>325</v>
      </c>
      <c r="G4919" s="156" t="s">
        <v>3574</v>
      </c>
      <c r="H4919" s="157" t="s">
        <v>213</v>
      </c>
    </row>
    <row r="4920" hidden="1">
      <c r="A4920" s="151" t="s">
        <v>204</v>
      </c>
      <c r="B4920" s="118" t="s">
        <v>205</v>
      </c>
      <c r="C4920" s="118" t="s">
        <v>206</v>
      </c>
      <c r="D4920" s="152" t="s">
        <v>5774</v>
      </c>
      <c r="E4920" s="152" t="s">
        <v>5779</v>
      </c>
      <c r="F4920" s="152" t="s">
        <v>310</v>
      </c>
      <c r="G4920" s="152" t="s">
        <v>3203</v>
      </c>
      <c r="H4920" s="153" t="s">
        <v>214</v>
      </c>
    </row>
    <row r="4921" hidden="1">
      <c r="A4921" s="154" t="s">
        <v>204</v>
      </c>
      <c r="B4921" s="155" t="s">
        <v>205</v>
      </c>
      <c r="C4921" s="155" t="s">
        <v>206</v>
      </c>
      <c r="D4921" s="156" t="s">
        <v>5774</v>
      </c>
      <c r="E4921" s="156" t="s">
        <v>5780</v>
      </c>
      <c r="F4921" s="156" t="s">
        <v>249</v>
      </c>
      <c r="G4921" s="156" t="s">
        <v>3613</v>
      </c>
      <c r="H4921" s="157" t="s">
        <v>215</v>
      </c>
    </row>
    <row r="4922" hidden="1">
      <c r="A4922" s="151" t="s">
        <v>204</v>
      </c>
      <c r="B4922" s="118" t="s">
        <v>205</v>
      </c>
      <c r="C4922" s="118" t="s">
        <v>206</v>
      </c>
      <c r="D4922" s="152" t="s">
        <v>5774</v>
      </c>
      <c r="E4922" s="152" t="s">
        <v>5781</v>
      </c>
      <c r="F4922" s="152" t="s">
        <v>351</v>
      </c>
      <c r="G4922" s="152" t="s">
        <v>3154</v>
      </c>
      <c r="H4922" s="153" t="s">
        <v>216</v>
      </c>
    </row>
    <row r="4923" hidden="1">
      <c r="A4923" s="154" t="s">
        <v>217</v>
      </c>
      <c r="B4923" s="155" t="s">
        <v>191</v>
      </c>
      <c r="C4923" s="155" t="s">
        <v>206</v>
      </c>
      <c r="D4923" s="156" t="s">
        <v>5774</v>
      </c>
      <c r="E4923" s="156" t="s">
        <v>5782</v>
      </c>
      <c r="F4923" s="156" t="s">
        <v>325</v>
      </c>
      <c r="G4923" s="156" t="s">
        <v>2965</v>
      </c>
      <c r="H4923" s="157" t="s">
        <v>210</v>
      </c>
    </row>
    <row r="4924" hidden="1">
      <c r="A4924" s="151" t="s">
        <v>217</v>
      </c>
      <c r="B4924" s="118" t="s">
        <v>191</v>
      </c>
      <c r="C4924" s="118" t="s">
        <v>206</v>
      </c>
      <c r="D4924" s="152" t="s">
        <v>5774</v>
      </c>
      <c r="E4924" s="152" t="s">
        <v>5783</v>
      </c>
      <c r="F4924" s="152" t="s">
        <v>799</v>
      </c>
      <c r="G4924" s="152" t="s">
        <v>3919</v>
      </c>
      <c r="H4924" s="153" t="s">
        <v>211</v>
      </c>
    </row>
    <row r="4925" hidden="1">
      <c r="A4925" s="154" t="s">
        <v>217</v>
      </c>
      <c r="B4925" s="155" t="s">
        <v>191</v>
      </c>
      <c r="C4925" s="155" t="s">
        <v>206</v>
      </c>
      <c r="D4925" s="156" t="s">
        <v>5774</v>
      </c>
      <c r="E4925" s="156" t="s">
        <v>5784</v>
      </c>
      <c r="F4925" s="156" t="s">
        <v>305</v>
      </c>
      <c r="G4925" s="156" t="s">
        <v>2967</v>
      </c>
      <c r="H4925" s="157" t="s">
        <v>212</v>
      </c>
    </row>
    <row r="4926" hidden="1">
      <c r="A4926" s="151" t="s">
        <v>217</v>
      </c>
      <c r="B4926" s="118" t="s">
        <v>191</v>
      </c>
      <c r="C4926" s="118" t="s">
        <v>206</v>
      </c>
      <c r="D4926" s="152" t="s">
        <v>5774</v>
      </c>
      <c r="E4926" s="152" t="s">
        <v>5785</v>
      </c>
      <c r="F4926" s="152" t="s">
        <v>423</v>
      </c>
      <c r="G4926" s="152" t="s">
        <v>2663</v>
      </c>
      <c r="H4926" s="153" t="s">
        <v>213</v>
      </c>
    </row>
    <row r="4927" hidden="1">
      <c r="A4927" s="154" t="s">
        <v>217</v>
      </c>
      <c r="B4927" s="155" t="s">
        <v>191</v>
      </c>
      <c r="C4927" s="155" t="s">
        <v>206</v>
      </c>
      <c r="D4927" s="156" t="s">
        <v>5774</v>
      </c>
      <c r="E4927" s="156" t="s">
        <v>5786</v>
      </c>
      <c r="F4927" s="156" t="s">
        <v>336</v>
      </c>
      <c r="G4927" s="156" t="s">
        <v>4206</v>
      </c>
      <c r="H4927" s="157" t="s">
        <v>214</v>
      </c>
    </row>
    <row r="4928" hidden="1">
      <c r="A4928" s="151" t="s">
        <v>217</v>
      </c>
      <c r="B4928" s="118" t="s">
        <v>191</v>
      </c>
      <c r="C4928" s="118" t="s">
        <v>206</v>
      </c>
      <c r="D4928" s="152" t="s">
        <v>5774</v>
      </c>
      <c r="E4928" s="152" t="s">
        <v>5787</v>
      </c>
      <c r="F4928" s="152" t="s">
        <v>310</v>
      </c>
      <c r="G4928" s="152" t="s">
        <v>2508</v>
      </c>
      <c r="H4928" s="153" t="s">
        <v>215</v>
      </c>
    </row>
    <row r="4929" hidden="1">
      <c r="A4929" s="154" t="s">
        <v>217</v>
      </c>
      <c r="B4929" s="155" t="s">
        <v>191</v>
      </c>
      <c r="C4929" s="155" t="s">
        <v>206</v>
      </c>
      <c r="D4929" s="156" t="s">
        <v>5774</v>
      </c>
      <c r="E4929" s="156" t="s">
        <v>5788</v>
      </c>
      <c r="F4929" s="156" t="s">
        <v>425</v>
      </c>
      <c r="G4929" s="156" t="s">
        <v>3815</v>
      </c>
      <c r="H4929" s="157" t="s">
        <v>216</v>
      </c>
    </row>
    <row r="4930" hidden="1">
      <c r="A4930" s="151" t="s">
        <v>218</v>
      </c>
      <c r="B4930" s="118" t="s">
        <v>219</v>
      </c>
      <c r="C4930" s="118" t="s">
        <v>206</v>
      </c>
      <c r="D4930" s="152" t="s">
        <v>5774</v>
      </c>
      <c r="E4930" s="152" t="s">
        <v>5789</v>
      </c>
      <c r="F4930" s="152" t="s">
        <v>305</v>
      </c>
      <c r="G4930" s="152" t="s">
        <v>3558</v>
      </c>
      <c r="H4930" s="153" t="s">
        <v>210</v>
      </c>
    </row>
    <row r="4931" hidden="1">
      <c r="A4931" s="154" t="s">
        <v>218</v>
      </c>
      <c r="B4931" s="155" t="s">
        <v>219</v>
      </c>
      <c r="C4931" s="155" t="s">
        <v>206</v>
      </c>
      <c r="D4931" s="156" t="s">
        <v>5774</v>
      </c>
      <c r="E4931" s="156" t="s">
        <v>5790</v>
      </c>
      <c r="F4931" s="156" t="s">
        <v>314</v>
      </c>
      <c r="G4931" s="156" t="s">
        <v>3394</v>
      </c>
      <c r="H4931" s="157" t="s">
        <v>211</v>
      </c>
    </row>
    <row r="4932" hidden="1">
      <c r="A4932" s="151" t="s">
        <v>218</v>
      </c>
      <c r="B4932" s="118" t="s">
        <v>219</v>
      </c>
      <c r="C4932" s="118" t="s">
        <v>206</v>
      </c>
      <c r="D4932" s="152" t="s">
        <v>5774</v>
      </c>
      <c r="E4932" s="152" t="s">
        <v>5791</v>
      </c>
      <c r="F4932" s="152" t="s">
        <v>285</v>
      </c>
      <c r="G4932" s="152" t="s">
        <v>2995</v>
      </c>
      <c r="H4932" s="153" t="s">
        <v>212</v>
      </c>
    </row>
    <row r="4933" hidden="1">
      <c r="A4933" s="154" t="s">
        <v>218</v>
      </c>
      <c r="B4933" s="155" t="s">
        <v>219</v>
      </c>
      <c r="C4933" s="155" t="s">
        <v>206</v>
      </c>
      <c r="D4933" s="156" t="s">
        <v>5774</v>
      </c>
      <c r="E4933" s="156" t="s">
        <v>5792</v>
      </c>
      <c r="F4933" s="156" t="s">
        <v>290</v>
      </c>
      <c r="G4933" s="156" t="s">
        <v>3443</v>
      </c>
      <c r="H4933" s="157" t="s">
        <v>213</v>
      </c>
    </row>
    <row r="4934" hidden="1">
      <c r="A4934" s="151" t="s">
        <v>218</v>
      </c>
      <c r="B4934" s="118" t="s">
        <v>219</v>
      </c>
      <c r="C4934" s="118" t="s">
        <v>206</v>
      </c>
      <c r="D4934" s="152" t="s">
        <v>5774</v>
      </c>
      <c r="E4934" s="152" t="s">
        <v>5793</v>
      </c>
      <c r="F4934" s="152" t="s">
        <v>534</v>
      </c>
      <c r="G4934" s="152" t="s">
        <v>3570</v>
      </c>
      <c r="H4934" s="153" t="s">
        <v>214</v>
      </c>
    </row>
    <row r="4935" hidden="1">
      <c r="A4935" s="154" t="s">
        <v>218</v>
      </c>
      <c r="B4935" s="155" t="s">
        <v>219</v>
      </c>
      <c r="C4935" s="155" t="s">
        <v>206</v>
      </c>
      <c r="D4935" s="156" t="s">
        <v>5774</v>
      </c>
      <c r="E4935" s="156" t="s">
        <v>5794</v>
      </c>
      <c r="F4935" s="156" t="s">
        <v>305</v>
      </c>
      <c r="G4935" s="156" t="s">
        <v>2519</v>
      </c>
      <c r="H4935" s="157" t="s">
        <v>215</v>
      </c>
    </row>
    <row r="4936" hidden="1">
      <c r="A4936" s="151" t="s">
        <v>218</v>
      </c>
      <c r="B4936" s="118" t="s">
        <v>219</v>
      </c>
      <c r="C4936" s="118" t="s">
        <v>206</v>
      </c>
      <c r="D4936" s="152" t="s">
        <v>5774</v>
      </c>
      <c r="E4936" s="152" t="s">
        <v>5795</v>
      </c>
      <c r="F4936" s="152" t="s">
        <v>290</v>
      </c>
      <c r="G4936" s="152" t="s">
        <v>3307</v>
      </c>
      <c r="H4936" s="153" t="s">
        <v>216</v>
      </c>
    </row>
    <row r="4937" hidden="1">
      <c r="A4937" s="154" t="s">
        <v>220</v>
      </c>
      <c r="B4937" s="155" t="s">
        <v>190</v>
      </c>
      <c r="C4937" s="155" t="s">
        <v>206</v>
      </c>
      <c r="D4937" s="156" t="s">
        <v>5774</v>
      </c>
      <c r="E4937" s="156" t="s">
        <v>5796</v>
      </c>
      <c r="F4937" s="156" t="s">
        <v>329</v>
      </c>
      <c r="G4937" s="156" t="s">
        <v>2519</v>
      </c>
      <c r="H4937" s="157" t="s">
        <v>210</v>
      </c>
    </row>
    <row r="4938" hidden="1">
      <c r="A4938" s="151" t="s">
        <v>220</v>
      </c>
      <c r="B4938" s="118" t="s">
        <v>190</v>
      </c>
      <c r="C4938" s="118" t="s">
        <v>206</v>
      </c>
      <c r="D4938" s="152" t="s">
        <v>5774</v>
      </c>
      <c r="E4938" s="152" t="s">
        <v>5797</v>
      </c>
      <c r="F4938" s="152" t="s">
        <v>725</v>
      </c>
      <c r="G4938" s="152" t="s">
        <v>3996</v>
      </c>
      <c r="H4938" s="153" t="s">
        <v>211</v>
      </c>
    </row>
    <row r="4939" hidden="1">
      <c r="A4939" s="154" t="s">
        <v>220</v>
      </c>
      <c r="B4939" s="155" t="s">
        <v>190</v>
      </c>
      <c r="C4939" s="155" t="s">
        <v>206</v>
      </c>
      <c r="D4939" s="156" t="s">
        <v>5774</v>
      </c>
      <c r="E4939" s="156" t="s">
        <v>5798</v>
      </c>
      <c r="F4939" s="156" t="s">
        <v>329</v>
      </c>
      <c r="G4939" s="156" t="s">
        <v>2967</v>
      </c>
      <c r="H4939" s="157" t="s">
        <v>212</v>
      </c>
    </row>
    <row r="4940" hidden="1">
      <c r="A4940" s="151" t="s">
        <v>220</v>
      </c>
      <c r="B4940" s="118" t="s">
        <v>190</v>
      </c>
      <c r="C4940" s="118" t="s">
        <v>206</v>
      </c>
      <c r="D4940" s="152" t="s">
        <v>5774</v>
      </c>
      <c r="E4940" s="152" t="s">
        <v>5799</v>
      </c>
      <c r="F4940" s="152" t="s">
        <v>450</v>
      </c>
      <c r="G4940" s="152" t="s">
        <v>3820</v>
      </c>
      <c r="H4940" s="153" t="s">
        <v>213</v>
      </c>
    </row>
    <row r="4941" hidden="1">
      <c r="A4941" s="154" t="s">
        <v>220</v>
      </c>
      <c r="B4941" s="155" t="s">
        <v>190</v>
      </c>
      <c r="C4941" s="155" t="s">
        <v>206</v>
      </c>
      <c r="D4941" s="156" t="s">
        <v>5774</v>
      </c>
      <c r="E4941" s="156" t="s">
        <v>5800</v>
      </c>
      <c r="F4941" s="156" t="s">
        <v>453</v>
      </c>
      <c r="G4941" s="156" t="s">
        <v>4743</v>
      </c>
      <c r="H4941" s="157" t="s">
        <v>214</v>
      </c>
    </row>
    <row r="4942" hidden="1">
      <c r="A4942" s="151" t="s">
        <v>220</v>
      </c>
      <c r="B4942" s="118" t="s">
        <v>190</v>
      </c>
      <c r="C4942" s="118" t="s">
        <v>206</v>
      </c>
      <c r="D4942" s="152" t="s">
        <v>5774</v>
      </c>
      <c r="E4942" s="152" t="s">
        <v>5801</v>
      </c>
      <c r="F4942" s="152" t="s">
        <v>257</v>
      </c>
      <c r="G4942" s="152" t="s">
        <v>2965</v>
      </c>
      <c r="H4942" s="153" t="s">
        <v>215</v>
      </c>
    </row>
    <row r="4943" hidden="1">
      <c r="A4943" s="154" t="s">
        <v>220</v>
      </c>
      <c r="B4943" s="155" t="s">
        <v>190</v>
      </c>
      <c r="C4943" s="155" t="s">
        <v>206</v>
      </c>
      <c r="D4943" s="156" t="s">
        <v>5774</v>
      </c>
      <c r="E4943" s="156" t="s">
        <v>5802</v>
      </c>
      <c r="F4943" s="156" t="s">
        <v>799</v>
      </c>
      <c r="G4943" s="156" t="s">
        <v>4073</v>
      </c>
      <c r="H4943" s="157" t="s">
        <v>216</v>
      </c>
    </row>
    <row r="4944" hidden="1">
      <c r="A4944" s="151" t="s">
        <v>221</v>
      </c>
      <c r="B4944" s="118" t="s">
        <v>189</v>
      </c>
      <c r="C4944" s="118" t="s">
        <v>206</v>
      </c>
      <c r="D4944" s="152" t="s">
        <v>5774</v>
      </c>
      <c r="E4944" s="152" t="s">
        <v>5803</v>
      </c>
      <c r="F4944" s="152" t="s">
        <v>365</v>
      </c>
      <c r="G4944" s="152" t="s">
        <v>2688</v>
      </c>
      <c r="H4944" s="153" t="s">
        <v>210</v>
      </c>
    </row>
    <row r="4945" hidden="1">
      <c r="A4945" s="154" t="s">
        <v>221</v>
      </c>
      <c r="B4945" s="155" t="s">
        <v>189</v>
      </c>
      <c r="C4945" s="155" t="s">
        <v>206</v>
      </c>
      <c r="D4945" s="156" t="s">
        <v>5774</v>
      </c>
      <c r="E4945" s="156" t="s">
        <v>5804</v>
      </c>
      <c r="F4945" s="156" t="s">
        <v>265</v>
      </c>
      <c r="G4945" s="156" t="s">
        <v>2686</v>
      </c>
      <c r="H4945" s="157" t="s">
        <v>211</v>
      </c>
    </row>
    <row r="4946" hidden="1">
      <c r="A4946" s="151" t="s">
        <v>221</v>
      </c>
      <c r="B4946" s="118" t="s">
        <v>189</v>
      </c>
      <c r="C4946" s="118" t="s">
        <v>206</v>
      </c>
      <c r="D4946" s="152" t="s">
        <v>5774</v>
      </c>
      <c r="E4946" s="152" t="s">
        <v>5805</v>
      </c>
      <c r="F4946" s="152" t="s">
        <v>323</v>
      </c>
      <c r="G4946" s="152" t="s">
        <v>2790</v>
      </c>
      <c r="H4946" s="153" t="s">
        <v>212</v>
      </c>
    </row>
    <row r="4947" hidden="1">
      <c r="A4947" s="154" t="s">
        <v>221</v>
      </c>
      <c r="B4947" s="155" t="s">
        <v>189</v>
      </c>
      <c r="C4947" s="155" t="s">
        <v>206</v>
      </c>
      <c r="D4947" s="156" t="s">
        <v>5774</v>
      </c>
      <c r="E4947" s="156" t="s">
        <v>5806</v>
      </c>
      <c r="F4947" s="156" t="s">
        <v>492</v>
      </c>
      <c r="G4947" s="156" t="s">
        <v>2366</v>
      </c>
      <c r="H4947" s="157" t="s">
        <v>213</v>
      </c>
    </row>
    <row r="4948" hidden="1">
      <c r="A4948" s="151" t="s">
        <v>221</v>
      </c>
      <c r="B4948" s="118" t="s">
        <v>189</v>
      </c>
      <c r="C4948" s="118" t="s">
        <v>206</v>
      </c>
      <c r="D4948" s="152" t="s">
        <v>5774</v>
      </c>
      <c r="E4948" s="152" t="s">
        <v>5807</v>
      </c>
      <c r="F4948" s="152" t="s">
        <v>458</v>
      </c>
      <c r="G4948" s="152" t="s">
        <v>1841</v>
      </c>
      <c r="H4948" s="153" t="s">
        <v>214</v>
      </c>
    </row>
    <row r="4949" hidden="1">
      <c r="A4949" s="154" t="s">
        <v>221</v>
      </c>
      <c r="B4949" s="155" t="s">
        <v>189</v>
      </c>
      <c r="C4949" s="155" t="s">
        <v>206</v>
      </c>
      <c r="D4949" s="156" t="s">
        <v>5774</v>
      </c>
      <c r="E4949" s="156" t="s">
        <v>5808</v>
      </c>
      <c r="F4949" s="156" t="s">
        <v>269</v>
      </c>
      <c r="G4949" s="156" t="s">
        <v>1753</v>
      </c>
      <c r="H4949" s="157" t="s">
        <v>215</v>
      </c>
    </row>
    <row r="4950" hidden="1">
      <c r="A4950" s="151" t="s">
        <v>221</v>
      </c>
      <c r="B4950" s="118" t="s">
        <v>189</v>
      </c>
      <c r="C4950" s="118" t="s">
        <v>206</v>
      </c>
      <c r="D4950" s="152" t="s">
        <v>5774</v>
      </c>
      <c r="E4950" s="152" t="s">
        <v>5809</v>
      </c>
      <c r="F4950" s="152" t="s">
        <v>287</v>
      </c>
      <c r="G4950" s="152" t="s">
        <v>2686</v>
      </c>
      <c r="H4950" s="153" t="s">
        <v>216</v>
      </c>
    </row>
    <row r="4951" hidden="1">
      <c r="A4951" s="154" t="s">
        <v>222</v>
      </c>
      <c r="B4951" s="155" t="s">
        <v>192</v>
      </c>
      <c r="C4951" s="155" t="s">
        <v>206</v>
      </c>
      <c r="D4951" s="156" t="s">
        <v>5774</v>
      </c>
      <c r="E4951" s="156" t="s">
        <v>5810</v>
      </c>
      <c r="F4951" s="156" t="s">
        <v>534</v>
      </c>
      <c r="G4951" s="156" t="s">
        <v>4002</v>
      </c>
      <c r="H4951" s="157" t="s">
        <v>210</v>
      </c>
    </row>
    <row r="4952" hidden="1">
      <c r="A4952" s="151" t="s">
        <v>222</v>
      </c>
      <c r="B4952" s="118" t="s">
        <v>192</v>
      </c>
      <c r="C4952" s="118" t="s">
        <v>206</v>
      </c>
      <c r="D4952" s="152" t="s">
        <v>5774</v>
      </c>
      <c r="E4952" s="152" t="s">
        <v>5811</v>
      </c>
      <c r="F4952" s="152" t="s">
        <v>331</v>
      </c>
      <c r="G4952" s="152" t="s">
        <v>3996</v>
      </c>
      <c r="H4952" s="153" t="s">
        <v>211</v>
      </c>
    </row>
    <row r="4953" hidden="1">
      <c r="A4953" s="154" t="s">
        <v>222</v>
      </c>
      <c r="B4953" s="155" t="s">
        <v>192</v>
      </c>
      <c r="C4953" s="155" t="s">
        <v>206</v>
      </c>
      <c r="D4953" s="156" t="s">
        <v>5774</v>
      </c>
      <c r="E4953" s="156" t="s">
        <v>5812</v>
      </c>
      <c r="F4953" s="156" t="s">
        <v>249</v>
      </c>
      <c r="G4953" s="156" t="s">
        <v>3616</v>
      </c>
      <c r="H4953" s="157" t="s">
        <v>212</v>
      </c>
    </row>
    <row r="4954" hidden="1">
      <c r="A4954" s="151" t="s">
        <v>222</v>
      </c>
      <c r="B4954" s="118" t="s">
        <v>192</v>
      </c>
      <c r="C4954" s="118" t="s">
        <v>206</v>
      </c>
      <c r="D4954" s="152" t="s">
        <v>5774</v>
      </c>
      <c r="E4954" s="152" t="s">
        <v>5813</v>
      </c>
      <c r="F4954" s="152" t="s">
        <v>331</v>
      </c>
      <c r="G4954" s="152" t="s">
        <v>4196</v>
      </c>
      <c r="H4954" s="153" t="s">
        <v>213</v>
      </c>
    </row>
    <row r="4955" hidden="1">
      <c r="A4955" s="154" t="s">
        <v>222</v>
      </c>
      <c r="B4955" s="155" t="s">
        <v>192</v>
      </c>
      <c r="C4955" s="155" t="s">
        <v>206</v>
      </c>
      <c r="D4955" s="156" t="s">
        <v>5774</v>
      </c>
      <c r="E4955" s="156" t="s">
        <v>5814</v>
      </c>
      <c r="F4955" s="156" t="s">
        <v>357</v>
      </c>
      <c r="G4955" s="156" t="s">
        <v>3875</v>
      </c>
      <c r="H4955" s="157" t="s">
        <v>214</v>
      </c>
    </row>
    <row r="4956" hidden="1">
      <c r="A4956" s="151" t="s">
        <v>222</v>
      </c>
      <c r="B4956" s="118" t="s">
        <v>192</v>
      </c>
      <c r="C4956" s="118" t="s">
        <v>206</v>
      </c>
      <c r="D4956" s="152" t="s">
        <v>5774</v>
      </c>
      <c r="E4956" s="152" t="s">
        <v>5815</v>
      </c>
      <c r="F4956" s="152" t="s">
        <v>354</v>
      </c>
      <c r="G4956" s="152" t="s">
        <v>4851</v>
      </c>
      <c r="H4956" s="153" t="s">
        <v>215</v>
      </c>
    </row>
    <row r="4957" hidden="1">
      <c r="A4957" s="154" t="s">
        <v>222</v>
      </c>
      <c r="B4957" s="155" t="s">
        <v>192</v>
      </c>
      <c r="C4957" s="155" t="s">
        <v>206</v>
      </c>
      <c r="D4957" s="156" t="s">
        <v>5774</v>
      </c>
      <c r="E4957" s="156" t="s">
        <v>5816</v>
      </c>
      <c r="F4957" s="156" t="s">
        <v>290</v>
      </c>
      <c r="G4957" s="156" t="s">
        <v>4386</v>
      </c>
      <c r="H4957" s="157" t="s">
        <v>216</v>
      </c>
    </row>
    <row r="4958" hidden="1">
      <c r="A4958" s="151" t="s">
        <v>223</v>
      </c>
      <c r="B4958" s="118" t="s">
        <v>144</v>
      </c>
      <c r="C4958" s="118" t="s">
        <v>206</v>
      </c>
      <c r="D4958" s="152" t="s">
        <v>5774</v>
      </c>
      <c r="E4958" s="152" t="s">
        <v>5817</v>
      </c>
      <c r="F4958" s="152" t="s">
        <v>249</v>
      </c>
      <c r="G4958" s="152" t="s">
        <v>1793</v>
      </c>
      <c r="H4958" s="153" t="s">
        <v>210</v>
      </c>
    </row>
    <row r="4959" hidden="1">
      <c r="A4959" s="154" t="s">
        <v>223</v>
      </c>
      <c r="B4959" s="155" t="s">
        <v>144</v>
      </c>
      <c r="C4959" s="155" t="s">
        <v>206</v>
      </c>
      <c r="D4959" s="156" t="s">
        <v>5774</v>
      </c>
      <c r="E4959" s="156" t="s">
        <v>5818</v>
      </c>
      <c r="F4959" s="156" t="s">
        <v>249</v>
      </c>
      <c r="G4959" s="156" t="s">
        <v>3535</v>
      </c>
      <c r="H4959" s="157" t="s">
        <v>211</v>
      </c>
    </row>
    <row r="4960" hidden="1">
      <c r="A4960" s="151" t="s">
        <v>223</v>
      </c>
      <c r="B4960" s="118" t="s">
        <v>144</v>
      </c>
      <c r="C4960" s="118" t="s">
        <v>206</v>
      </c>
      <c r="D4960" s="152" t="s">
        <v>5774</v>
      </c>
      <c r="E4960" s="152" t="s">
        <v>5819</v>
      </c>
      <c r="F4960" s="152" t="s">
        <v>310</v>
      </c>
      <c r="G4960" s="152" t="s">
        <v>4031</v>
      </c>
      <c r="H4960" s="153" t="s">
        <v>212</v>
      </c>
    </row>
    <row r="4961" hidden="1">
      <c r="A4961" s="154" t="s">
        <v>223</v>
      </c>
      <c r="B4961" s="155" t="s">
        <v>144</v>
      </c>
      <c r="C4961" s="155" t="s">
        <v>206</v>
      </c>
      <c r="D4961" s="156" t="s">
        <v>5774</v>
      </c>
      <c r="E4961" s="156" t="s">
        <v>5820</v>
      </c>
      <c r="F4961" s="156" t="s">
        <v>249</v>
      </c>
      <c r="G4961" s="156" t="s">
        <v>5821</v>
      </c>
      <c r="H4961" s="157" t="s">
        <v>213</v>
      </c>
    </row>
    <row r="4962" hidden="1">
      <c r="A4962" s="151" t="s">
        <v>223</v>
      </c>
      <c r="B4962" s="118" t="s">
        <v>144</v>
      </c>
      <c r="C4962" s="118" t="s">
        <v>206</v>
      </c>
      <c r="D4962" s="152" t="s">
        <v>5774</v>
      </c>
      <c r="E4962" s="152" t="s">
        <v>5822</v>
      </c>
      <c r="F4962" s="152" t="s">
        <v>331</v>
      </c>
      <c r="G4962" s="152" t="s">
        <v>3783</v>
      </c>
      <c r="H4962" s="153" t="s">
        <v>214</v>
      </c>
    </row>
    <row r="4963" hidden="1">
      <c r="A4963" s="154" t="s">
        <v>223</v>
      </c>
      <c r="B4963" s="155" t="s">
        <v>144</v>
      </c>
      <c r="C4963" s="155" t="s">
        <v>206</v>
      </c>
      <c r="D4963" s="156" t="s">
        <v>5774</v>
      </c>
      <c r="E4963" s="156" t="s">
        <v>5823</v>
      </c>
      <c r="F4963" s="156" t="s">
        <v>308</v>
      </c>
      <c r="G4963" s="156" t="s">
        <v>5821</v>
      </c>
      <c r="H4963" s="157" t="s">
        <v>215</v>
      </c>
    </row>
    <row r="4964" hidden="1">
      <c r="A4964" s="151" t="s">
        <v>223</v>
      </c>
      <c r="B4964" s="118" t="s">
        <v>144</v>
      </c>
      <c r="C4964" s="118" t="s">
        <v>206</v>
      </c>
      <c r="D4964" s="152" t="s">
        <v>5774</v>
      </c>
      <c r="E4964" s="152" t="s">
        <v>5824</v>
      </c>
      <c r="F4964" s="152" t="s">
        <v>308</v>
      </c>
      <c r="G4964" s="152" t="s">
        <v>3905</v>
      </c>
      <c r="H4964" s="153" t="s">
        <v>216</v>
      </c>
    </row>
    <row r="4965" hidden="1">
      <c r="A4965" s="154" t="s">
        <v>224</v>
      </c>
      <c r="B4965" s="155" t="s">
        <v>170</v>
      </c>
      <c r="C4965" s="155" t="s">
        <v>206</v>
      </c>
      <c r="D4965" s="156" t="s">
        <v>5774</v>
      </c>
      <c r="E4965" s="156" t="s">
        <v>5825</v>
      </c>
      <c r="F4965" s="156" t="s">
        <v>285</v>
      </c>
      <c r="G4965" s="156" t="s">
        <v>2389</v>
      </c>
      <c r="H4965" s="157" t="s">
        <v>210</v>
      </c>
    </row>
    <row r="4966" hidden="1">
      <c r="A4966" s="151" t="s">
        <v>224</v>
      </c>
      <c r="B4966" s="118" t="s">
        <v>170</v>
      </c>
      <c r="C4966" s="118" t="s">
        <v>206</v>
      </c>
      <c r="D4966" s="152" t="s">
        <v>5774</v>
      </c>
      <c r="E4966" s="152" t="s">
        <v>5826</v>
      </c>
      <c r="F4966" s="152" t="s">
        <v>259</v>
      </c>
      <c r="G4966" s="152" t="s">
        <v>3203</v>
      </c>
      <c r="H4966" s="153" t="s">
        <v>211</v>
      </c>
    </row>
    <row r="4967" hidden="1">
      <c r="A4967" s="154" t="s">
        <v>224</v>
      </c>
      <c r="B4967" s="155" t="s">
        <v>170</v>
      </c>
      <c r="C4967" s="155" t="s">
        <v>206</v>
      </c>
      <c r="D4967" s="156" t="s">
        <v>5774</v>
      </c>
      <c r="E4967" s="156" t="s">
        <v>5827</v>
      </c>
      <c r="F4967" s="156" t="s">
        <v>336</v>
      </c>
      <c r="G4967" s="156" t="s">
        <v>3611</v>
      </c>
      <c r="H4967" s="157" t="s">
        <v>212</v>
      </c>
    </row>
    <row r="4968" hidden="1">
      <c r="A4968" s="151" t="s">
        <v>224</v>
      </c>
      <c r="B4968" s="118" t="s">
        <v>170</v>
      </c>
      <c r="C4968" s="118" t="s">
        <v>206</v>
      </c>
      <c r="D4968" s="152" t="s">
        <v>5774</v>
      </c>
      <c r="E4968" s="152" t="s">
        <v>5828</v>
      </c>
      <c r="F4968" s="152" t="s">
        <v>262</v>
      </c>
      <c r="G4968" s="152" t="s">
        <v>3525</v>
      </c>
      <c r="H4968" s="153" t="s">
        <v>213</v>
      </c>
    </row>
    <row r="4969" hidden="1">
      <c r="A4969" s="154" t="s">
        <v>224</v>
      </c>
      <c r="B4969" s="155" t="s">
        <v>170</v>
      </c>
      <c r="C4969" s="155" t="s">
        <v>206</v>
      </c>
      <c r="D4969" s="156" t="s">
        <v>5774</v>
      </c>
      <c r="E4969" s="156" t="s">
        <v>5829</v>
      </c>
      <c r="F4969" s="156" t="s">
        <v>287</v>
      </c>
      <c r="G4969" s="156" t="s">
        <v>1791</v>
      </c>
      <c r="H4969" s="157" t="s">
        <v>214</v>
      </c>
    </row>
    <row r="4970" hidden="1">
      <c r="A4970" s="151" t="s">
        <v>224</v>
      </c>
      <c r="B4970" s="118" t="s">
        <v>170</v>
      </c>
      <c r="C4970" s="118" t="s">
        <v>206</v>
      </c>
      <c r="D4970" s="152" t="s">
        <v>5774</v>
      </c>
      <c r="E4970" s="152" t="s">
        <v>5830</v>
      </c>
      <c r="F4970" s="152" t="s">
        <v>255</v>
      </c>
      <c r="G4970" s="152" t="s">
        <v>3618</v>
      </c>
      <c r="H4970" s="153" t="s">
        <v>215</v>
      </c>
    </row>
    <row r="4971" hidden="1">
      <c r="A4971" s="154" t="s">
        <v>224</v>
      </c>
      <c r="B4971" s="155" t="s">
        <v>170</v>
      </c>
      <c r="C4971" s="155" t="s">
        <v>206</v>
      </c>
      <c r="D4971" s="156" t="s">
        <v>5774</v>
      </c>
      <c r="E4971" s="156" t="s">
        <v>5831</v>
      </c>
      <c r="F4971" s="156" t="s">
        <v>246</v>
      </c>
      <c r="G4971" s="156" t="s">
        <v>3525</v>
      </c>
      <c r="H4971" s="157" t="s">
        <v>216</v>
      </c>
    </row>
    <row r="4972" hidden="1">
      <c r="A4972" s="151" t="s">
        <v>225</v>
      </c>
      <c r="B4972" s="118" t="s">
        <v>226</v>
      </c>
      <c r="C4972" s="118" t="s">
        <v>206</v>
      </c>
      <c r="D4972" s="152" t="s">
        <v>5774</v>
      </c>
      <c r="E4972" s="152" t="s">
        <v>5832</v>
      </c>
      <c r="F4972" s="152" t="s">
        <v>3243</v>
      </c>
      <c r="G4972" s="152" t="s">
        <v>4293</v>
      </c>
      <c r="H4972" s="153" t="s">
        <v>210</v>
      </c>
    </row>
    <row r="4973" hidden="1">
      <c r="A4973" s="154" t="s">
        <v>225</v>
      </c>
      <c r="B4973" s="155" t="s">
        <v>226</v>
      </c>
      <c r="C4973" s="155" t="s">
        <v>206</v>
      </c>
      <c r="D4973" s="156" t="s">
        <v>5774</v>
      </c>
      <c r="E4973" s="156" t="s">
        <v>5833</v>
      </c>
      <c r="F4973" s="156" t="s">
        <v>1948</v>
      </c>
      <c r="G4973" s="156" t="s">
        <v>4026</v>
      </c>
      <c r="H4973" s="157" t="s">
        <v>211</v>
      </c>
    </row>
    <row r="4974" hidden="1">
      <c r="A4974" s="151" t="s">
        <v>225</v>
      </c>
      <c r="B4974" s="118" t="s">
        <v>226</v>
      </c>
      <c r="C4974" s="118" t="s">
        <v>206</v>
      </c>
      <c r="D4974" s="152" t="s">
        <v>5774</v>
      </c>
      <c r="E4974" s="152" t="s">
        <v>5834</v>
      </c>
      <c r="F4974" s="152" t="s">
        <v>3346</v>
      </c>
      <c r="G4974" s="152" t="s">
        <v>3756</v>
      </c>
      <c r="H4974" s="153" t="s">
        <v>212</v>
      </c>
    </row>
    <row r="4975" hidden="1">
      <c r="A4975" s="154" t="s">
        <v>225</v>
      </c>
      <c r="B4975" s="155" t="s">
        <v>226</v>
      </c>
      <c r="C4975" s="155" t="s">
        <v>206</v>
      </c>
      <c r="D4975" s="156" t="s">
        <v>5774</v>
      </c>
      <c r="E4975" s="156" t="s">
        <v>5835</v>
      </c>
      <c r="F4975" s="156" t="s">
        <v>3150</v>
      </c>
      <c r="G4975" s="156" t="s">
        <v>4231</v>
      </c>
      <c r="H4975" s="157" t="s">
        <v>213</v>
      </c>
    </row>
    <row r="4976" hidden="1">
      <c r="A4976" s="151" t="s">
        <v>225</v>
      </c>
      <c r="B4976" s="118" t="s">
        <v>226</v>
      </c>
      <c r="C4976" s="118" t="s">
        <v>206</v>
      </c>
      <c r="D4976" s="152" t="s">
        <v>5774</v>
      </c>
      <c r="E4976" s="152" t="s">
        <v>5836</v>
      </c>
      <c r="F4976" s="152" t="s">
        <v>780</v>
      </c>
      <c r="G4976" s="152" t="s">
        <v>4293</v>
      </c>
      <c r="H4976" s="153" t="s">
        <v>214</v>
      </c>
    </row>
    <row r="4977" hidden="1">
      <c r="A4977" s="154" t="s">
        <v>225</v>
      </c>
      <c r="B4977" s="155" t="s">
        <v>226</v>
      </c>
      <c r="C4977" s="155" t="s">
        <v>206</v>
      </c>
      <c r="D4977" s="156" t="s">
        <v>5774</v>
      </c>
      <c r="E4977" s="156" t="s">
        <v>5837</v>
      </c>
      <c r="F4977" s="156" t="s">
        <v>444</v>
      </c>
      <c r="G4977" s="156" t="s">
        <v>3932</v>
      </c>
      <c r="H4977" s="157" t="s">
        <v>215</v>
      </c>
    </row>
    <row r="4978" hidden="1">
      <c r="A4978" s="151" t="s">
        <v>225</v>
      </c>
      <c r="B4978" s="118" t="s">
        <v>226</v>
      </c>
      <c r="C4978" s="118" t="s">
        <v>206</v>
      </c>
      <c r="D4978" s="152" t="s">
        <v>5774</v>
      </c>
      <c r="E4978" s="152" t="s">
        <v>5838</v>
      </c>
      <c r="F4978" s="152" t="s">
        <v>3243</v>
      </c>
      <c r="G4978" s="152" t="s">
        <v>2185</v>
      </c>
      <c r="H4978" s="153" t="s">
        <v>216</v>
      </c>
    </row>
    <row r="4979" hidden="1">
      <c r="A4979" s="154" t="s">
        <v>227</v>
      </c>
      <c r="B4979" s="155" t="s">
        <v>195</v>
      </c>
      <c r="C4979" s="155" t="s">
        <v>206</v>
      </c>
      <c r="D4979" s="156" t="s">
        <v>5774</v>
      </c>
      <c r="E4979" s="156" t="s">
        <v>5839</v>
      </c>
      <c r="F4979" s="156" t="s">
        <v>351</v>
      </c>
      <c r="G4979" s="156" t="s">
        <v>4002</v>
      </c>
      <c r="H4979" s="157" t="s">
        <v>210</v>
      </c>
    </row>
    <row r="4980" hidden="1">
      <c r="A4980" s="151" t="s">
        <v>227</v>
      </c>
      <c r="B4980" s="118" t="s">
        <v>195</v>
      </c>
      <c r="C4980" s="118" t="s">
        <v>206</v>
      </c>
      <c r="D4980" s="152" t="s">
        <v>5774</v>
      </c>
      <c r="E4980" s="152" t="s">
        <v>5840</v>
      </c>
      <c r="F4980" s="152" t="s">
        <v>240</v>
      </c>
      <c r="G4980" s="152" t="s">
        <v>2824</v>
      </c>
      <c r="H4980" s="153" t="s">
        <v>211</v>
      </c>
    </row>
    <row r="4981" hidden="1">
      <c r="A4981" s="154" t="s">
        <v>227</v>
      </c>
      <c r="B4981" s="155" t="s">
        <v>195</v>
      </c>
      <c r="C4981" s="155" t="s">
        <v>206</v>
      </c>
      <c r="D4981" s="156" t="s">
        <v>5774</v>
      </c>
      <c r="E4981" s="156" t="s">
        <v>5841</v>
      </c>
      <c r="F4981" s="156" t="s">
        <v>325</v>
      </c>
      <c r="G4981" s="156" t="s">
        <v>3812</v>
      </c>
      <c r="H4981" s="157" t="s">
        <v>212</v>
      </c>
    </row>
    <row r="4982" hidden="1">
      <c r="A4982" s="151" t="s">
        <v>227</v>
      </c>
      <c r="B4982" s="118" t="s">
        <v>195</v>
      </c>
      <c r="C4982" s="118" t="s">
        <v>206</v>
      </c>
      <c r="D4982" s="152" t="s">
        <v>5774</v>
      </c>
      <c r="E4982" s="152" t="s">
        <v>5842</v>
      </c>
      <c r="F4982" s="152" t="s">
        <v>351</v>
      </c>
      <c r="G4982" s="152" t="s">
        <v>2352</v>
      </c>
      <c r="H4982" s="153" t="s">
        <v>213</v>
      </c>
    </row>
    <row r="4983" hidden="1">
      <c r="A4983" s="154" t="s">
        <v>227</v>
      </c>
      <c r="B4983" s="155" t="s">
        <v>195</v>
      </c>
      <c r="C4983" s="155" t="s">
        <v>206</v>
      </c>
      <c r="D4983" s="156" t="s">
        <v>5774</v>
      </c>
      <c r="E4983" s="156" t="s">
        <v>5843</v>
      </c>
      <c r="F4983" s="156" t="s">
        <v>365</v>
      </c>
      <c r="G4983" s="156" t="s">
        <v>4464</v>
      </c>
      <c r="H4983" s="157" t="s">
        <v>214</v>
      </c>
    </row>
    <row r="4984" hidden="1">
      <c r="A4984" s="151" t="s">
        <v>227</v>
      </c>
      <c r="B4984" s="118" t="s">
        <v>195</v>
      </c>
      <c r="C4984" s="118" t="s">
        <v>206</v>
      </c>
      <c r="D4984" s="152" t="s">
        <v>5774</v>
      </c>
      <c r="E4984" s="152" t="s">
        <v>5844</v>
      </c>
      <c r="F4984" s="152" t="s">
        <v>240</v>
      </c>
      <c r="G4984" s="152" t="s">
        <v>2181</v>
      </c>
      <c r="H4984" s="153" t="s">
        <v>215</v>
      </c>
    </row>
    <row r="4985" hidden="1">
      <c r="A4985" s="154" t="s">
        <v>227</v>
      </c>
      <c r="B4985" s="155" t="s">
        <v>195</v>
      </c>
      <c r="C4985" s="155" t="s">
        <v>206</v>
      </c>
      <c r="D4985" s="156" t="s">
        <v>5774</v>
      </c>
      <c r="E4985" s="156" t="s">
        <v>5845</v>
      </c>
      <c r="F4985" s="156" t="s">
        <v>321</v>
      </c>
      <c r="G4985" s="156" t="s">
        <v>4206</v>
      </c>
      <c r="H4985" s="157" t="s">
        <v>216</v>
      </c>
    </row>
    <row r="4986" hidden="1">
      <c r="A4986" s="151" t="s">
        <v>228</v>
      </c>
      <c r="B4986" s="118" t="s">
        <v>138</v>
      </c>
      <c r="C4986" s="118" t="s">
        <v>206</v>
      </c>
      <c r="D4986" s="152" t="s">
        <v>5774</v>
      </c>
      <c r="E4986" s="152" t="s">
        <v>5846</v>
      </c>
      <c r="F4986" s="152" t="s">
        <v>1911</v>
      </c>
      <c r="G4986" s="152" t="s">
        <v>3532</v>
      </c>
      <c r="H4986" s="153" t="s">
        <v>210</v>
      </c>
    </row>
    <row r="4987" hidden="1">
      <c r="A4987" s="154" t="s">
        <v>228</v>
      </c>
      <c r="B4987" s="155" t="s">
        <v>138</v>
      </c>
      <c r="C4987" s="155" t="s">
        <v>206</v>
      </c>
      <c r="D4987" s="156" t="s">
        <v>5774</v>
      </c>
      <c r="E4987" s="156" t="s">
        <v>5847</v>
      </c>
      <c r="F4987" s="156" t="s">
        <v>4251</v>
      </c>
      <c r="G4987" s="156" t="s">
        <v>2242</v>
      </c>
      <c r="H4987" s="157" t="s">
        <v>211</v>
      </c>
    </row>
    <row r="4988" hidden="1">
      <c r="A4988" s="151" t="s">
        <v>228</v>
      </c>
      <c r="B4988" s="118" t="s">
        <v>138</v>
      </c>
      <c r="C4988" s="118" t="s">
        <v>206</v>
      </c>
      <c r="D4988" s="152" t="s">
        <v>5774</v>
      </c>
      <c r="E4988" s="152" t="s">
        <v>5848</v>
      </c>
      <c r="F4988" s="152" t="s">
        <v>5849</v>
      </c>
      <c r="G4988" s="152" t="s">
        <v>3115</v>
      </c>
      <c r="H4988" s="153" t="s">
        <v>212</v>
      </c>
    </row>
    <row r="4989" hidden="1">
      <c r="A4989" s="154" t="s">
        <v>228</v>
      </c>
      <c r="B4989" s="155" t="s">
        <v>138</v>
      </c>
      <c r="C4989" s="155" t="s">
        <v>206</v>
      </c>
      <c r="D4989" s="156" t="s">
        <v>5774</v>
      </c>
      <c r="E4989" s="156" t="s">
        <v>5850</v>
      </c>
      <c r="F4989" s="156" t="s">
        <v>2958</v>
      </c>
      <c r="G4989" s="156" t="s">
        <v>2138</v>
      </c>
      <c r="H4989" s="157" t="s">
        <v>213</v>
      </c>
    </row>
    <row r="4990" hidden="1">
      <c r="A4990" s="151" t="s">
        <v>228</v>
      </c>
      <c r="B4990" s="118" t="s">
        <v>138</v>
      </c>
      <c r="C4990" s="118" t="s">
        <v>206</v>
      </c>
      <c r="D4990" s="152" t="s">
        <v>5774</v>
      </c>
      <c r="E4990" s="152" t="s">
        <v>5851</v>
      </c>
      <c r="F4990" s="152" t="s">
        <v>5852</v>
      </c>
      <c r="G4990" s="152" t="s">
        <v>1834</v>
      </c>
      <c r="H4990" s="153" t="s">
        <v>214</v>
      </c>
    </row>
    <row r="4991" hidden="1">
      <c r="A4991" s="154" t="s">
        <v>228</v>
      </c>
      <c r="B4991" s="155" t="s">
        <v>138</v>
      </c>
      <c r="C4991" s="155" t="s">
        <v>206</v>
      </c>
      <c r="D4991" s="156" t="s">
        <v>5774</v>
      </c>
      <c r="E4991" s="156" t="s">
        <v>5853</v>
      </c>
      <c r="F4991" s="156" t="s">
        <v>2175</v>
      </c>
      <c r="G4991" s="156" t="s">
        <v>2716</v>
      </c>
      <c r="H4991" s="157" t="s">
        <v>215</v>
      </c>
    </row>
    <row r="4992" hidden="1">
      <c r="A4992" s="151" t="s">
        <v>228</v>
      </c>
      <c r="B4992" s="118" t="s">
        <v>138</v>
      </c>
      <c r="C4992" s="118" t="s">
        <v>206</v>
      </c>
      <c r="D4992" s="152" t="s">
        <v>5774</v>
      </c>
      <c r="E4992" s="152" t="s">
        <v>5854</v>
      </c>
      <c r="F4992" s="152" t="s">
        <v>1822</v>
      </c>
      <c r="G4992" s="152" t="s">
        <v>3546</v>
      </c>
      <c r="H4992" s="153" t="s">
        <v>216</v>
      </c>
    </row>
    <row r="4993" hidden="1">
      <c r="A4993" s="154" t="s">
        <v>229</v>
      </c>
      <c r="B4993" s="155" t="s">
        <v>193</v>
      </c>
      <c r="C4993" s="155" t="s">
        <v>206</v>
      </c>
      <c r="D4993" s="156" t="s">
        <v>5774</v>
      </c>
      <c r="E4993" s="156" t="s">
        <v>5855</v>
      </c>
      <c r="F4993" s="156" t="s">
        <v>357</v>
      </c>
      <c r="G4993" s="156" t="s">
        <v>3404</v>
      </c>
      <c r="H4993" s="157" t="s">
        <v>210</v>
      </c>
    </row>
    <row r="4994" hidden="1">
      <c r="A4994" s="151" t="s">
        <v>229</v>
      </c>
      <c r="B4994" s="118" t="s">
        <v>193</v>
      </c>
      <c r="C4994" s="118" t="s">
        <v>206</v>
      </c>
      <c r="D4994" s="152" t="s">
        <v>5774</v>
      </c>
      <c r="E4994" s="152" t="s">
        <v>5856</v>
      </c>
      <c r="F4994" s="152" t="s">
        <v>357</v>
      </c>
      <c r="G4994" s="152" t="s">
        <v>4305</v>
      </c>
      <c r="H4994" s="153" t="s">
        <v>211</v>
      </c>
    </row>
    <row r="4995" hidden="1">
      <c r="A4995" s="154" t="s">
        <v>229</v>
      </c>
      <c r="B4995" s="155" t="s">
        <v>193</v>
      </c>
      <c r="C4995" s="155" t="s">
        <v>206</v>
      </c>
      <c r="D4995" s="156" t="s">
        <v>5774</v>
      </c>
      <c r="E4995" s="156" t="s">
        <v>5857</v>
      </c>
      <c r="F4995" s="156" t="s">
        <v>351</v>
      </c>
      <c r="G4995" s="156" t="s">
        <v>3613</v>
      </c>
      <c r="H4995" s="157" t="s">
        <v>212</v>
      </c>
    </row>
    <row r="4996" hidden="1">
      <c r="A4996" s="151" t="s">
        <v>229</v>
      </c>
      <c r="B4996" s="118" t="s">
        <v>193</v>
      </c>
      <c r="C4996" s="118" t="s">
        <v>206</v>
      </c>
      <c r="D4996" s="152" t="s">
        <v>5774</v>
      </c>
      <c r="E4996" s="152" t="s">
        <v>5858</v>
      </c>
      <c r="F4996" s="152" t="s">
        <v>305</v>
      </c>
      <c r="G4996" s="152" t="s">
        <v>3270</v>
      </c>
      <c r="H4996" s="153" t="s">
        <v>213</v>
      </c>
    </row>
    <row r="4997" hidden="1">
      <c r="A4997" s="154" t="s">
        <v>229</v>
      </c>
      <c r="B4997" s="155" t="s">
        <v>193</v>
      </c>
      <c r="C4997" s="155" t="s">
        <v>206</v>
      </c>
      <c r="D4997" s="156" t="s">
        <v>5774</v>
      </c>
      <c r="E4997" s="156" t="s">
        <v>5859</v>
      </c>
      <c r="F4997" s="156" t="s">
        <v>450</v>
      </c>
      <c r="G4997" s="156" t="s">
        <v>2506</v>
      </c>
      <c r="H4997" s="157" t="s">
        <v>214</v>
      </c>
    </row>
    <row r="4998" hidden="1">
      <c r="A4998" s="151" t="s">
        <v>229</v>
      </c>
      <c r="B4998" s="118" t="s">
        <v>193</v>
      </c>
      <c r="C4998" s="118" t="s">
        <v>206</v>
      </c>
      <c r="D4998" s="152" t="s">
        <v>5774</v>
      </c>
      <c r="E4998" s="152" t="s">
        <v>5860</v>
      </c>
      <c r="F4998" s="152" t="s">
        <v>246</v>
      </c>
      <c r="G4998" s="152" t="s">
        <v>2219</v>
      </c>
      <c r="H4998" s="153" t="s">
        <v>215</v>
      </c>
    </row>
    <row r="4999" hidden="1">
      <c r="A4999" s="154" t="s">
        <v>229</v>
      </c>
      <c r="B4999" s="155" t="s">
        <v>193</v>
      </c>
      <c r="C4999" s="155" t="s">
        <v>206</v>
      </c>
      <c r="D4999" s="156" t="s">
        <v>5774</v>
      </c>
      <c r="E4999" s="156" t="s">
        <v>5861</v>
      </c>
      <c r="F4999" s="156" t="s">
        <v>285</v>
      </c>
      <c r="G4999" s="156" t="s">
        <v>3207</v>
      </c>
      <c r="H4999" s="157" t="s">
        <v>216</v>
      </c>
    </row>
    <row r="5000" hidden="1">
      <c r="A5000" s="151" t="s">
        <v>230</v>
      </c>
      <c r="B5000" s="118" t="s">
        <v>194</v>
      </c>
      <c r="C5000" s="118" t="s">
        <v>206</v>
      </c>
      <c r="D5000" s="152" t="s">
        <v>5774</v>
      </c>
      <c r="E5000" s="152" t="s">
        <v>5862</v>
      </c>
      <c r="F5000" s="152" t="s">
        <v>285</v>
      </c>
      <c r="G5000" s="152" t="s">
        <v>3908</v>
      </c>
      <c r="H5000" s="153" t="s">
        <v>210</v>
      </c>
    </row>
    <row r="5001" hidden="1">
      <c r="A5001" s="154" t="s">
        <v>230</v>
      </c>
      <c r="B5001" s="155" t="s">
        <v>194</v>
      </c>
      <c r="C5001" s="155" t="s">
        <v>206</v>
      </c>
      <c r="D5001" s="156" t="s">
        <v>5774</v>
      </c>
      <c r="E5001" s="156" t="s">
        <v>5863</v>
      </c>
      <c r="F5001" s="156" t="s">
        <v>244</v>
      </c>
      <c r="G5001" s="156" t="s">
        <v>1995</v>
      </c>
      <c r="H5001" s="157" t="s">
        <v>211</v>
      </c>
    </row>
    <row r="5002" hidden="1">
      <c r="A5002" s="151" t="s">
        <v>230</v>
      </c>
      <c r="B5002" s="118" t="s">
        <v>194</v>
      </c>
      <c r="C5002" s="118" t="s">
        <v>206</v>
      </c>
      <c r="D5002" s="152" t="s">
        <v>5774</v>
      </c>
      <c r="E5002" s="152" t="s">
        <v>5864</v>
      </c>
      <c r="F5002" s="152" t="s">
        <v>285</v>
      </c>
      <c r="G5002" s="152" t="s">
        <v>3371</v>
      </c>
      <c r="H5002" s="153" t="s">
        <v>212</v>
      </c>
    </row>
    <row r="5003" hidden="1">
      <c r="A5003" s="154" t="s">
        <v>230</v>
      </c>
      <c r="B5003" s="155" t="s">
        <v>194</v>
      </c>
      <c r="C5003" s="155" t="s">
        <v>206</v>
      </c>
      <c r="D5003" s="156" t="s">
        <v>5774</v>
      </c>
      <c r="E5003" s="156" t="s">
        <v>5865</v>
      </c>
      <c r="F5003" s="156" t="s">
        <v>314</v>
      </c>
      <c r="G5003" s="156" t="s">
        <v>3818</v>
      </c>
      <c r="H5003" s="157" t="s">
        <v>213</v>
      </c>
    </row>
    <row r="5004" hidden="1">
      <c r="A5004" s="151" t="s">
        <v>230</v>
      </c>
      <c r="B5004" s="118" t="s">
        <v>194</v>
      </c>
      <c r="C5004" s="118" t="s">
        <v>206</v>
      </c>
      <c r="D5004" s="152" t="s">
        <v>5774</v>
      </c>
      <c r="E5004" s="152" t="s">
        <v>5866</v>
      </c>
      <c r="F5004" s="152" t="s">
        <v>359</v>
      </c>
      <c r="G5004" s="152" t="s">
        <v>4442</v>
      </c>
      <c r="H5004" s="153" t="s">
        <v>214</v>
      </c>
    </row>
    <row r="5005" hidden="1">
      <c r="A5005" s="154" t="s">
        <v>230</v>
      </c>
      <c r="B5005" s="155" t="s">
        <v>194</v>
      </c>
      <c r="C5005" s="155" t="s">
        <v>206</v>
      </c>
      <c r="D5005" s="156" t="s">
        <v>5774</v>
      </c>
      <c r="E5005" s="156" t="s">
        <v>5867</v>
      </c>
      <c r="F5005" s="156" t="s">
        <v>246</v>
      </c>
      <c r="G5005" s="156" t="s">
        <v>4002</v>
      </c>
      <c r="H5005" s="157" t="s">
        <v>215</v>
      </c>
    </row>
    <row r="5006" hidden="1">
      <c r="A5006" s="151" t="s">
        <v>230</v>
      </c>
      <c r="B5006" s="118" t="s">
        <v>194</v>
      </c>
      <c r="C5006" s="118" t="s">
        <v>206</v>
      </c>
      <c r="D5006" s="152" t="s">
        <v>5774</v>
      </c>
      <c r="E5006" s="152" t="s">
        <v>5868</v>
      </c>
      <c r="F5006" s="152" t="s">
        <v>365</v>
      </c>
      <c r="G5006" s="152" t="s">
        <v>2189</v>
      </c>
      <c r="H5006" s="153" t="s">
        <v>216</v>
      </c>
    </row>
    <row r="5007" hidden="1">
      <c r="A5007" s="158" t="s">
        <v>231</v>
      </c>
      <c r="B5007" s="159"/>
      <c r="C5007" s="155" t="s">
        <v>232</v>
      </c>
      <c r="D5007" s="156" t="s">
        <v>5774</v>
      </c>
      <c r="E5007" s="156" t="s">
        <v>5869</v>
      </c>
      <c r="F5007" s="156" t="s">
        <v>312</v>
      </c>
      <c r="G5007" s="156" t="s">
        <v>2822</v>
      </c>
      <c r="H5007" s="157" t="s">
        <v>210</v>
      </c>
    </row>
    <row r="5008" hidden="1">
      <c r="A5008" s="160" t="s">
        <v>231</v>
      </c>
      <c r="B5008" s="72"/>
      <c r="C5008" s="118" t="s">
        <v>232</v>
      </c>
      <c r="D5008" s="152" t="s">
        <v>5774</v>
      </c>
      <c r="E5008" s="152" t="s">
        <v>5870</v>
      </c>
      <c r="F5008" s="152" t="s">
        <v>532</v>
      </c>
      <c r="G5008" s="152" t="s">
        <v>3913</v>
      </c>
      <c r="H5008" s="153" t="s">
        <v>211</v>
      </c>
    </row>
    <row r="5009" hidden="1">
      <c r="A5009" s="158" t="s">
        <v>231</v>
      </c>
      <c r="B5009" s="159"/>
      <c r="C5009" s="155" t="s">
        <v>232</v>
      </c>
      <c r="D5009" s="156" t="s">
        <v>5774</v>
      </c>
      <c r="E5009" s="156" t="s">
        <v>5871</v>
      </c>
      <c r="F5009" s="156" t="s">
        <v>1999</v>
      </c>
      <c r="G5009" s="156" t="s">
        <v>4743</v>
      </c>
      <c r="H5009" s="157" t="s">
        <v>212</v>
      </c>
    </row>
    <row r="5010" hidden="1">
      <c r="A5010" s="160" t="s">
        <v>231</v>
      </c>
      <c r="B5010" s="72"/>
      <c r="C5010" s="118" t="s">
        <v>232</v>
      </c>
      <c r="D5010" s="152" t="s">
        <v>5774</v>
      </c>
      <c r="E5010" s="152" t="s">
        <v>5872</v>
      </c>
      <c r="F5010" s="152" t="s">
        <v>2994</v>
      </c>
      <c r="G5010" s="152" t="s">
        <v>2352</v>
      </c>
      <c r="H5010" s="153" t="s">
        <v>213</v>
      </c>
    </row>
    <row r="5011" hidden="1">
      <c r="A5011" s="158" t="s">
        <v>231</v>
      </c>
      <c r="B5011" s="159"/>
      <c r="C5011" s="155" t="s">
        <v>232</v>
      </c>
      <c r="D5011" s="156" t="s">
        <v>5774</v>
      </c>
      <c r="E5011" s="156" t="s">
        <v>5873</v>
      </c>
      <c r="F5011" s="156" t="s">
        <v>1530</v>
      </c>
      <c r="G5011" s="156" t="s">
        <v>2008</v>
      </c>
      <c r="H5011" s="157" t="s">
        <v>214</v>
      </c>
    </row>
    <row r="5012" hidden="1">
      <c r="A5012" s="160" t="s">
        <v>231</v>
      </c>
      <c r="B5012" s="72"/>
      <c r="C5012" s="118" t="s">
        <v>232</v>
      </c>
      <c r="D5012" s="152" t="s">
        <v>5774</v>
      </c>
      <c r="E5012" s="152" t="s">
        <v>5874</v>
      </c>
      <c r="F5012" s="152" t="s">
        <v>492</v>
      </c>
      <c r="G5012" s="152" t="s">
        <v>2510</v>
      </c>
      <c r="H5012" s="153" t="s">
        <v>215</v>
      </c>
    </row>
    <row r="5013" hidden="1">
      <c r="A5013" s="158" t="s">
        <v>231</v>
      </c>
      <c r="B5013" s="159"/>
      <c r="C5013" s="155" t="s">
        <v>232</v>
      </c>
      <c r="D5013" s="156" t="s">
        <v>5774</v>
      </c>
      <c r="E5013" s="156" t="s">
        <v>5875</v>
      </c>
      <c r="F5013" s="156" t="s">
        <v>677</v>
      </c>
      <c r="G5013" s="156" t="s">
        <v>4992</v>
      </c>
      <c r="H5013" s="157" t="s">
        <v>216</v>
      </c>
    </row>
    <row r="5014" hidden="1">
      <c r="A5014" s="160" t="s">
        <v>233</v>
      </c>
      <c r="B5014" s="72"/>
      <c r="C5014" s="118" t="s">
        <v>232</v>
      </c>
      <c r="D5014" s="152" t="s">
        <v>5774</v>
      </c>
      <c r="E5014" s="152" t="s">
        <v>5876</v>
      </c>
      <c r="F5014" s="152" t="s">
        <v>351</v>
      </c>
      <c r="G5014" s="152" t="s">
        <v>3908</v>
      </c>
      <c r="H5014" s="153" t="s">
        <v>210</v>
      </c>
    </row>
    <row r="5015" hidden="1">
      <c r="A5015" s="158" t="s">
        <v>233</v>
      </c>
      <c r="B5015" s="159"/>
      <c r="C5015" s="155" t="s">
        <v>232</v>
      </c>
      <c r="D5015" s="156" t="s">
        <v>5774</v>
      </c>
      <c r="E5015" s="156" t="s">
        <v>5877</v>
      </c>
      <c r="F5015" s="156" t="s">
        <v>534</v>
      </c>
      <c r="G5015" s="156" t="s">
        <v>3270</v>
      </c>
      <c r="H5015" s="157" t="s">
        <v>211</v>
      </c>
    </row>
    <row r="5016" hidden="1">
      <c r="A5016" s="160" t="s">
        <v>233</v>
      </c>
      <c r="B5016" s="72"/>
      <c r="C5016" s="118" t="s">
        <v>232</v>
      </c>
      <c r="D5016" s="152" t="s">
        <v>5774</v>
      </c>
      <c r="E5016" s="152" t="s">
        <v>5878</v>
      </c>
      <c r="F5016" s="152" t="s">
        <v>331</v>
      </c>
      <c r="G5016" s="152" t="s">
        <v>2822</v>
      </c>
      <c r="H5016" s="153" t="s">
        <v>212</v>
      </c>
    </row>
    <row r="5017" hidden="1">
      <c r="A5017" s="158" t="s">
        <v>233</v>
      </c>
      <c r="B5017" s="159"/>
      <c r="C5017" s="155" t="s">
        <v>232</v>
      </c>
      <c r="D5017" s="156" t="s">
        <v>5774</v>
      </c>
      <c r="E5017" s="156" t="s">
        <v>5879</v>
      </c>
      <c r="F5017" s="156" t="s">
        <v>336</v>
      </c>
      <c r="G5017" s="156" t="s">
        <v>2348</v>
      </c>
      <c r="H5017" s="157" t="s">
        <v>213</v>
      </c>
    </row>
    <row r="5018" hidden="1">
      <c r="A5018" s="160" t="s">
        <v>233</v>
      </c>
      <c r="B5018" s="72"/>
      <c r="C5018" s="118" t="s">
        <v>232</v>
      </c>
      <c r="D5018" s="152" t="s">
        <v>5774</v>
      </c>
      <c r="E5018" s="152" t="s">
        <v>5880</v>
      </c>
      <c r="F5018" s="152" t="s">
        <v>290</v>
      </c>
      <c r="G5018" s="152" t="s">
        <v>3844</v>
      </c>
      <c r="H5018" s="153" t="s">
        <v>214</v>
      </c>
    </row>
    <row r="5019" hidden="1">
      <c r="A5019" s="158" t="s">
        <v>233</v>
      </c>
      <c r="B5019" s="159"/>
      <c r="C5019" s="155" t="s">
        <v>232</v>
      </c>
      <c r="D5019" s="156" t="s">
        <v>5774</v>
      </c>
      <c r="E5019" s="156" t="s">
        <v>5881</v>
      </c>
      <c r="F5019" s="156" t="s">
        <v>290</v>
      </c>
      <c r="G5019" s="156" t="s">
        <v>2517</v>
      </c>
      <c r="H5019" s="157" t="s">
        <v>215</v>
      </c>
    </row>
    <row r="5020" hidden="1">
      <c r="A5020" s="160" t="s">
        <v>233</v>
      </c>
      <c r="B5020" s="72"/>
      <c r="C5020" s="118" t="s">
        <v>232</v>
      </c>
      <c r="D5020" s="152" t="s">
        <v>5774</v>
      </c>
      <c r="E5020" s="152" t="s">
        <v>5882</v>
      </c>
      <c r="F5020" s="152" t="s">
        <v>310</v>
      </c>
      <c r="G5020" s="152" t="s">
        <v>4206</v>
      </c>
      <c r="H5020" s="153" t="s">
        <v>216</v>
      </c>
    </row>
    <row r="5021" hidden="1">
      <c r="A5021" s="158" t="s">
        <v>234</v>
      </c>
      <c r="B5021" s="159"/>
      <c r="C5021" s="155" t="s">
        <v>232</v>
      </c>
      <c r="D5021" s="156" t="s">
        <v>5774</v>
      </c>
      <c r="E5021" s="156" t="s">
        <v>5883</v>
      </c>
      <c r="F5021" s="156" t="s">
        <v>329</v>
      </c>
      <c r="G5021" s="156" t="s">
        <v>1944</v>
      </c>
      <c r="H5021" s="157" t="s">
        <v>210</v>
      </c>
    </row>
    <row r="5022" hidden="1">
      <c r="A5022" s="160" t="s">
        <v>234</v>
      </c>
      <c r="B5022" s="72"/>
      <c r="C5022" s="118" t="s">
        <v>232</v>
      </c>
      <c r="D5022" s="152" t="s">
        <v>5774</v>
      </c>
      <c r="E5022" s="152" t="s">
        <v>5884</v>
      </c>
      <c r="F5022" s="152" t="s">
        <v>285</v>
      </c>
      <c r="G5022" s="152" t="s">
        <v>3237</v>
      </c>
      <c r="H5022" s="153" t="s">
        <v>211</v>
      </c>
    </row>
    <row r="5023" hidden="1">
      <c r="A5023" s="158" t="s">
        <v>234</v>
      </c>
      <c r="B5023" s="159"/>
      <c r="C5023" s="155" t="s">
        <v>232</v>
      </c>
      <c r="D5023" s="156" t="s">
        <v>5774</v>
      </c>
      <c r="E5023" s="156" t="s">
        <v>5885</v>
      </c>
      <c r="F5023" s="156" t="s">
        <v>677</v>
      </c>
      <c r="G5023" s="156" t="s">
        <v>1862</v>
      </c>
      <c r="H5023" s="157" t="s">
        <v>212</v>
      </c>
    </row>
    <row r="5024" hidden="1">
      <c r="A5024" s="160" t="s">
        <v>234</v>
      </c>
      <c r="B5024" s="72"/>
      <c r="C5024" s="118" t="s">
        <v>232</v>
      </c>
      <c r="D5024" s="152" t="s">
        <v>5774</v>
      </c>
      <c r="E5024" s="152" t="s">
        <v>5886</v>
      </c>
      <c r="F5024" s="152" t="s">
        <v>305</v>
      </c>
      <c r="G5024" s="152" t="s">
        <v>2999</v>
      </c>
      <c r="H5024" s="153" t="s">
        <v>213</v>
      </c>
    </row>
    <row r="5025" hidden="1">
      <c r="A5025" s="158" t="s">
        <v>234</v>
      </c>
      <c r="B5025" s="159"/>
      <c r="C5025" s="155" t="s">
        <v>232</v>
      </c>
      <c r="D5025" s="156" t="s">
        <v>5774</v>
      </c>
      <c r="E5025" s="156" t="s">
        <v>5887</v>
      </c>
      <c r="F5025" s="156" t="s">
        <v>249</v>
      </c>
      <c r="G5025" s="156" t="s">
        <v>3364</v>
      </c>
      <c r="H5025" s="157" t="s">
        <v>214</v>
      </c>
    </row>
    <row r="5026" hidden="1">
      <c r="A5026" s="160" t="s">
        <v>234</v>
      </c>
      <c r="B5026" s="72"/>
      <c r="C5026" s="118" t="s">
        <v>232</v>
      </c>
      <c r="D5026" s="152" t="s">
        <v>5774</v>
      </c>
      <c r="E5026" s="152" t="s">
        <v>5888</v>
      </c>
      <c r="F5026" s="152" t="s">
        <v>321</v>
      </c>
      <c r="G5026" s="152" t="s">
        <v>2289</v>
      </c>
      <c r="H5026" s="153" t="s">
        <v>215</v>
      </c>
    </row>
    <row r="5027" hidden="1">
      <c r="A5027" s="158" t="s">
        <v>234</v>
      </c>
      <c r="B5027" s="159"/>
      <c r="C5027" s="155" t="s">
        <v>232</v>
      </c>
      <c r="D5027" s="156" t="s">
        <v>5774</v>
      </c>
      <c r="E5027" s="156" t="s">
        <v>5889</v>
      </c>
      <c r="F5027" s="156" t="s">
        <v>351</v>
      </c>
      <c r="G5027" s="156" t="s">
        <v>2923</v>
      </c>
      <c r="H5027" s="157" t="s">
        <v>216</v>
      </c>
    </row>
    <row r="5028" hidden="1">
      <c r="A5028" s="160" t="s">
        <v>235</v>
      </c>
      <c r="B5028" s="72"/>
      <c r="C5028" s="118" t="s">
        <v>236</v>
      </c>
      <c r="D5028" s="152" t="s">
        <v>5774</v>
      </c>
      <c r="E5028" s="152" t="s">
        <v>5890</v>
      </c>
      <c r="F5028" s="152" t="s">
        <v>351</v>
      </c>
      <c r="G5028" s="152" t="s">
        <v>3734</v>
      </c>
      <c r="H5028" s="153" t="s">
        <v>210</v>
      </c>
    </row>
    <row r="5029" hidden="1">
      <c r="A5029" s="158" t="s">
        <v>235</v>
      </c>
      <c r="B5029" s="159"/>
      <c r="C5029" s="155" t="s">
        <v>236</v>
      </c>
      <c r="D5029" s="156" t="s">
        <v>5774</v>
      </c>
      <c r="E5029" s="156" t="s">
        <v>5891</v>
      </c>
      <c r="F5029" s="156" t="s">
        <v>305</v>
      </c>
      <c r="G5029" s="156" t="s">
        <v>2352</v>
      </c>
      <c r="H5029" s="157" t="s">
        <v>211</v>
      </c>
    </row>
    <row r="5030" hidden="1">
      <c r="A5030" s="160" t="s">
        <v>235</v>
      </c>
      <c r="B5030" s="72"/>
      <c r="C5030" s="118" t="s">
        <v>236</v>
      </c>
      <c r="D5030" s="152" t="s">
        <v>5774</v>
      </c>
      <c r="E5030" s="152" t="s">
        <v>5892</v>
      </c>
      <c r="F5030" s="152" t="s">
        <v>331</v>
      </c>
      <c r="G5030" s="152" t="s">
        <v>4002</v>
      </c>
      <c r="H5030" s="153" t="s">
        <v>212</v>
      </c>
    </row>
    <row r="5031" hidden="1">
      <c r="A5031" s="158" t="s">
        <v>235</v>
      </c>
      <c r="B5031" s="159"/>
      <c r="C5031" s="155" t="s">
        <v>236</v>
      </c>
      <c r="D5031" s="156" t="s">
        <v>5774</v>
      </c>
      <c r="E5031" s="156" t="s">
        <v>5893</v>
      </c>
      <c r="F5031" s="156" t="s">
        <v>325</v>
      </c>
      <c r="G5031" s="156" t="s">
        <v>3900</v>
      </c>
      <c r="H5031" s="157" t="s">
        <v>213</v>
      </c>
    </row>
    <row r="5032" hidden="1">
      <c r="A5032" s="160" t="s">
        <v>235</v>
      </c>
      <c r="B5032" s="72"/>
      <c r="C5032" s="118" t="s">
        <v>236</v>
      </c>
      <c r="D5032" s="152" t="s">
        <v>5774</v>
      </c>
      <c r="E5032" s="152" t="s">
        <v>5894</v>
      </c>
      <c r="F5032" s="152" t="s">
        <v>310</v>
      </c>
      <c r="G5032" s="152" t="s">
        <v>1776</v>
      </c>
      <c r="H5032" s="153" t="s">
        <v>214</v>
      </c>
    </row>
    <row r="5033" hidden="1">
      <c r="A5033" s="158" t="s">
        <v>235</v>
      </c>
      <c r="B5033" s="159"/>
      <c r="C5033" s="155" t="s">
        <v>236</v>
      </c>
      <c r="D5033" s="156" t="s">
        <v>5774</v>
      </c>
      <c r="E5033" s="156" t="s">
        <v>5895</v>
      </c>
      <c r="F5033" s="156" t="s">
        <v>321</v>
      </c>
      <c r="G5033" s="156" t="s">
        <v>4386</v>
      </c>
      <c r="H5033" s="157" t="s">
        <v>215</v>
      </c>
    </row>
    <row r="5034" hidden="1">
      <c r="A5034" s="160" t="s">
        <v>235</v>
      </c>
      <c r="B5034" s="72"/>
      <c r="C5034" s="118" t="s">
        <v>236</v>
      </c>
      <c r="D5034" s="152" t="s">
        <v>5774</v>
      </c>
      <c r="E5034" s="152" t="s">
        <v>5896</v>
      </c>
      <c r="F5034" s="152" t="s">
        <v>305</v>
      </c>
      <c r="G5034" s="152" t="s">
        <v>3272</v>
      </c>
      <c r="H5034" s="153" t="s">
        <v>216</v>
      </c>
    </row>
    <row r="5035" hidden="1">
      <c r="A5035" s="158" t="s">
        <v>237</v>
      </c>
      <c r="B5035" s="159"/>
      <c r="C5035" s="155" t="s">
        <v>236</v>
      </c>
      <c r="D5035" s="156" t="s">
        <v>5774</v>
      </c>
      <c r="E5035" s="156" t="s">
        <v>5897</v>
      </c>
      <c r="F5035" s="156" t="s">
        <v>329</v>
      </c>
      <c r="G5035" s="156" t="s">
        <v>2119</v>
      </c>
      <c r="H5035" s="157" t="s">
        <v>210</v>
      </c>
    </row>
    <row r="5036" hidden="1">
      <c r="A5036" s="160" t="s">
        <v>237</v>
      </c>
      <c r="B5036" s="72"/>
      <c r="C5036" s="118" t="s">
        <v>236</v>
      </c>
      <c r="D5036" s="152" t="s">
        <v>5774</v>
      </c>
      <c r="E5036" s="152" t="s">
        <v>5898</v>
      </c>
      <c r="F5036" s="152" t="s">
        <v>249</v>
      </c>
      <c r="G5036" s="152" t="s">
        <v>2230</v>
      </c>
      <c r="H5036" s="153" t="s">
        <v>211</v>
      </c>
    </row>
    <row r="5037" hidden="1">
      <c r="A5037" s="158" t="s">
        <v>237</v>
      </c>
      <c r="B5037" s="159"/>
      <c r="C5037" s="155" t="s">
        <v>236</v>
      </c>
      <c r="D5037" s="156" t="s">
        <v>5774</v>
      </c>
      <c r="E5037" s="156" t="s">
        <v>5899</v>
      </c>
      <c r="F5037" s="156" t="s">
        <v>735</v>
      </c>
      <c r="G5037" s="156" t="s">
        <v>3003</v>
      </c>
      <c r="H5037" s="157" t="s">
        <v>212</v>
      </c>
    </row>
    <row r="5038" hidden="1">
      <c r="A5038" s="160" t="s">
        <v>237</v>
      </c>
      <c r="B5038" s="72"/>
      <c r="C5038" s="118" t="s">
        <v>236</v>
      </c>
      <c r="D5038" s="152" t="s">
        <v>5774</v>
      </c>
      <c r="E5038" s="152" t="s">
        <v>5900</v>
      </c>
      <c r="F5038" s="152" t="s">
        <v>425</v>
      </c>
      <c r="G5038" s="152" t="s">
        <v>3312</v>
      </c>
      <c r="H5038" s="153" t="s">
        <v>213</v>
      </c>
    </row>
    <row r="5039" hidden="1">
      <c r="A5039" s="158" t="s">
        <v>237</v>
      </c>
      <c r="B5039" s="159"/>
      <c r="C5039" s="155" t="s">
        <v>236</v>
      </c>
      <c r="D5039" s="156" t="s">
        <v>5774</v>
      </c>
      <c r="E5039" s="156" t="s">
        <v>5901</v>
      </c>
      <c r="F5039" s="156" t="s">
        <v>310</v>
      </c>
      <c r="G5039" s="156" t="s">
        <v>2457</v>
      </c>
      <c r="H5039" s="157" t="s">
        <v>214</v>
      </c>
    </row>
    <row r="5040" hidden="1">
      <c r="A5040" s="160" t="s">
        <v>237</v>
      </c>
      <c r="B5040" s="72"/>
      <c r="C5040" s="118" t="s">
        <v>236</v>
      </c>
      <c r="D5040" s="152" t="s">
        <v>5774</v>
      </c>
      <c r="E5040" s="152" t="s">
        <v>5902</v>
      </c>
      <c r="F5040" s="152" t="s">
        <v>331</v>
      </c>
      <c r="G5040" s="152" t="s">
        <v>2929</v>
      </c>
      <c r="H5040" s="153" t="s">
        <v>215</v>
      </c>
    </row>
    <row r="5041" hidden="1">
      <c r="A5041" s="158" t="s">
        <v>237</v>
      </c>
      <c r="B5041" s="159"/>
      <c r="C5041" s="155" t="s">
        <v>236</v>
      </c>
      <c r="D5041" s="156" t="s">
        <v>5774</v>
      </c>
      <c r="E5041" s="156" t="s">
        <v>5903</v>
      </c>
      <c r="F5041" s="156" t="s">
        <v>427</v>
      </c>
      <c r="G5041" s="156" t="s">
        <v>3389</v>
      </c>
      <c r="H5041" s="157" t="s">
        <v>216</v>
      </c>
    </row>
    <row r="5042" hidden="1">
      <c r="A5042" s="151" t="s">
        <v>204</v>
      </c>
      <c r="B5042" s="118" t="s">
        <v>205</v>
      </c>
      <c r="C5042" s="118" t="s">
        <v>206</v>
      </c>
      <c r="D5042" s="152" t="s">
        <v>5904</v>
      </c>
      <c r="E5042" s="152" t="s">
        <v>5905</v>
      </c>
      <c r="F5042" s="152" t="s">
        <v>287</v>
      </c>
      <c r="G5042" s="152" t="s">
        <v>2910</v>
      </c>
      <c r="H5042" s="153" t="s">
        <v>210</v>
      </c>
    </row>
    <row r="5043" hidden="1">
      <c r="A5043" s="154" t="s">
        <v>204</v>
      </c>
      <c r="B5043" s="155" t="s">
        <v>205</v>
      </c>
      <c r="C5043" s="155" t="s">
        <v>206</v>
      </c>
      <c r="D5043" s="156" t="s">
        <v>5904</v>
      </c>
      <c r="E5043" s="156" t="s">
        <v>5906</v>
      </c>
      <c r="F5043" s="156" t="s">
        <v>257</v>
      </c>
      <c r="G5043" s="156" t="s">
        <v>2824</v>
      </c>
      <c r="H5043" s="157" t="s">
        <v>211</v>
      </c>
    </row>
    <row r="5044" hidden="1">
      <c r="A5044" s="151" t="s">
        <v>204</v>
      </c>
      <c r="B5044" s="118" t="s">
        <v>205</v>
      </c>
      <c r="C5044" s="118" t="s">
        <v>206</v>
      </c>
      <c r="D5044" s="152" t="s">
        <v>5904</v>
      </c>
      <c r="E5044" s="152" t="s">
        <v>5907</v>
      </c>
      <c r="F5044" s="152" t="s">
        <v>323</v>
      </c>
      <c r="G5044" s="152" t="s">
        <v>3410</v>
      </c>
      <c r="H5044" s="153" t="s">
        <v>212</v>
      </c>
    </row>
    <row r="5045" hidden="1">
      <c r="A5045" s="154" t="s">
        <v>204</v>
      </c>
      <c r="B5045" s="155" t="s">
        <v>205</v>
      </c>
      <c r="C5045" s="155" t="s">
        <v>206</v>
      </c>
      <c r="D5045" s="156" t="s">
        <v>5904</v>
      </c>
      <c r="E5045" s="156" t="s">
        <v>5908</v>
      </c>
      <c r="F5045" s="156" t="s">
        <v>249</v>
      </c>
      <c r="G5045" s="156" t="s">
        <v>3142</v>
      </c>
      <c r="H5045" s="157" t="s">
        <v>213</v>
      </c>
    </row>
    <row r="5046" hidden="1">
      <c r="A5046" s="151" t="s">
        <v>204</v>
      </c>
      <c r="B5046" s="118" t="s">
        <v>205</v>
      </c>
      <c r="C5046" s="118" t="s">
        <v>206</v>
      </c>
      <c r="D5046" s="152" t="s">
        <v>5904</v>
      </c>
      <c r="E5046" s="152" t="s">
        <v>5909</v>
      </c>
      <c r="F5046" s="152" t="s">
        <v>240</v>
      </c>
      <c r="G5046" s="152" t="s">
        <v>2970</v>
      </c>
      <c r="H5046" s="153" t="s">
        <v>214</v>
      </c>
    </row>
    <row r="5047" hidden="1">
      <c r="A5047" s="154" t="s">
        <v>204</v>
      </c>
      <c r="B5047" s="155" t="s">
        <v>205</v>
      </c>
      <c r="C5047" s="155" t="s">
        <v>206</v>
      </c>
      <c r="D5047" s="156" t="s">
        <v>5904</v>
      </c>
      <c r="E5047" s="156" t="s">
        <v>5910</v>
      </c>
      <c r="F5047" s="156" t="s">
        <v>492</v>
      </c>
      <c r="G5047" s="156" t="s">
        <v>4013</v>
      </c>
      <c r="H5047" s="157" t="s">
        <v>215</v>
      </c>
    </row>
    <row r="5048" hidden="1">
      <c r="A5048" s="151" t="s">
        <v>204</v>
      </c>
      <c r="B5048" s="118" t="s">
        <v>205</v>
      </c>
      <c r="C5048" s="118" t="s">
        <v>206</v>
      </c>
      <c r="D5048" s="152" t="s">
        <v>5904</v>
      </c>
      <c r="E5048" s="152" t="s">
        <v>5911</v>
      </c>
      <c r="F5048" s="152" t="s">
        <v>257</v>
      </c>
      <c r="G5048" s="152" t="s">
        <v>3412</v>
      </c>
      <c r="H5048" s="153" t="s">
        <v>216</v>
      </c>
    </row>
    <row r="5049" hidden="1">
      <c r="A5049" s="154" t="s">
        <v>217</v>
      </c>
      <c r="B5049" s="155" t="s">
        <v>191</v>
      </c>
      <c r="C5049" s="155" t="s">
        <v>206</v>
      </c>
      <c r="D5049" s="156" t="s">
        <v>5904</v>
      </c>
      <c r="E5049" s="156" t="s">
        <v>5912</v>
      </c>
      <c r="F5049" s="156" t="s">
        <v>305</v>
      </c>
      <c r="G5049" s="156" t="s">
        <v>2517</v>
      </c>
      <c r="H5049" s="157" t="s">
        <v>210</v>
      </c>
    </row>
    <row r="5050" hidden="1">
      <c r="A5050" s="151" t="s">
        <v>217</v>
      </c>
      <c r="B5050" s="118" t="s">
        <v>191</v>
      </c>
      <c r="C5050" s="118" t="s">
        <v>206</v>
      </c>
      <c r="D5050" s="152" t="s">
        <v>5904</v>
      </c>
      <c r="E5050" s="152" t="s">
        <v>5913</v>
      </c>
      <c r="F5050" s="152" t="s">
        <v>310</v>
      </c>
      <c r="G5050" s="152" t="s">
        <v>2517</v>
      </c>
      <c r="H5050" s="153" t="s">
        <v>211</v>
      </c>
    </row>
    <row r="5051" hidden="1">
      <c r="A5051" s="154" t="s">
        <v>217</v>
      </c>
      <c r="B5051" s="155" t="s">
        <v>191</v>
      </c>
      <c r="C5051" s="155" t="s">
        <v>206</v>
      </c>
      <c r="D5051" s="156" t="s">
        <v>5904</v>
      </c>
      <c r="E5051" s="156" t="s">
        <v>5914</v>
      </c>
      <c r="F5051" s="156" t="s">
        <v>336</v>
      </c>
      <c r="G5051" s="156" t="s">
        <v>2352</v>
      </c>
      <c r="H5051" s="157" t="s">
        <v>212</v>
      </c>
    </row>
    <row r="5052" hidden="1">
      <c r="A5052" s="151" t="s">
        <v>217</v>
      </c>
      <c r="B5052" s="118" t="s">
        <v>191</v>
      </c>
      <c r="C5052" s="118" t="s">
        <v>206</v>
      </c>
      <c r="D5052" s="152" t="s">
        <v>5904</v>
      </c>
      <c r="E5052" s="152" t="s">
        <v>5915</v>
      </c>
      <c r="F5052" s="152" t="s">
        <v>312</v>
      </c>
      <c r="G5052" s="152" t="s">
        <v>3272</v>
      </c>
      <c r="H5052" s="153" t="s">
        <v>213</v>
      </c>
    </row>
    <row r="5053" hidden="1">
      <c r="A5053" s="154" t="s">
        <v>217</v>
      </c>
      <c r="B5053" s="155" t="s">
        <v>191</v>
      </c>
      <c r="C5053" s="155" t="s">
        <v>206</v>
      </c>
      <c r="D5053" s="156" t="s">
        <v>5904</v>
      </c>
      <c r="E5053" s="156" t="s">
        <v>5916</v>
      </c>
      <c r="F5053" s="156" t="s">
        <v>339</v>
      </c>
      <c r="G5053" s="156" t="s">
        <v>3900</v>
      </c>
      <c r="H5053" s="157" t="s">
        <v>214</v>
      </c>
    </row>
    <row r="5054" hidden="1">
      <c r="A5054" s="151" t="s">
        <v>217</v>
      </c>
      <c r="B5054" s="118" t="s">
        <v>191</v>
      </c>
      <c r="C5054" s="118" t="s">
        <v>206</v>
      </c>
      <c r="D5054" s="152" t="s">
        <v>5904</v>
      </c>
      <c r="E5054" s="152" t="s">
        <v>5917</v>
      </c>
      <c r="F5054" s="152" t="s">
        <v>298</v>
      </c>
      <c r="G5054" s="152" t="s">
        <v>3307</v>
      </c>
      <c r="H5054" s="153" t="s">
        <v>215</v>
      </c>
    </row>
    <row r="5055" hidden="1">
      <c r="A5055" s="154" t="s">
        <v>217</v>
      </c>
      <c r="B5055" s="155" t="s">
        <v>191</v>
      </c>
      <c r="C5055" s="155" t="s">
        <v>206</v>
      </c>
      <c r="D5055" s="156" t="s">
        <v>5904</v>
      </c>
      <c r="E5055" s="156" t="s">
        <v>5918</v>
      </c>
      <c r="F5055" s="156" t="s">
        <v>305</v>
      </c>
      <c r="G5055" s="156" t="s">
        <v>2517</v>
      </c>
      <c r="H5055" s="157" t="s">
        <v>216</v>
      </c>
    </row>
    <row r="5056" hidden="1">
      <c r="A5056" s="151" t="s">
        <v>218</v>
      </c>
      <c r="B5056" s="118" t="s">
        <v>219</v>
      </c>
      <c r="C5056" s="118" t="s">
        <v>206</v>
      </c>
      <c r="D5056" s="152" t="s">
        <v>5904</v>
      </c>
      <c r="E5056" s="152" t="s">
        <v>5919</v>
      </c>
      <c r="F5056" s="152" t="s">
        <v>255</v>
      </c>
      <c r="G5056" s="152" t="s">
        <v>2665</v>
      </c>
      <c r="H5056" s="153" t="s">
        <v>210</v>
      </c>
    </row>
    <row r="5057" hidden="1">
      <c r="A5057" s="154" t="s">
        <v>218</v>
      </c>
      <c r="B5057" s="155" t="s">
        <v>219</v>
      </c>
      <c r="C5057" s="155" t="s">
        <v>206</v>
      </c>
      <c r="D5057" s="156" t="s">
        <v>5904</v>
      </c>
      <c r="E5057" s="156" t="s">
        <v>5920</v>
      </c>
      <c r="F5057" s="156" t="s">
        <v>244</v>
      </c>
      <c r="G5057" s="156" t="s">
        <v>2177</v>
      </c>
      <c r="H5057" s="157" t="s">
        <v>211</v>
      </c>
    </row>
    <row r="5058" hidden="1">
      <c r="A5058" s="151" t="s">
        <v>218</v>
      </c>
      <c r="B5058" s="118" t="s">
        <v>219</v>
      </c>
      <c r="C5058" s="118" t="s">
        <v>206</v>
      </c>
      <c r="D5058" s="152" t="s">
        <v>5904</v>
      </c>
      <c r="E5058" s="152" t="s">
        <v>5921</v>
      </c>
      <c r="F5058" s="152" t="s">
        <v>285</v>
      </c>
      <c r="G5058" s="152" t="s">
        <v>2824</v>
      </c>
      <c r="H5058" s="153" t="s">
        <v>212</v>
      </c>
    </row>
    <row r="5059" hidden="1">
      <c r="A5059" s="154" t="s">
        <v>218</v>
      </c>
      <c r="B5059" s="155" t="s">
        <v>219</v>
      </c>
      <c r="C5059" s="155" t="s">
        <v>206</v>
      </c>
      <c r="D5059" s="156" t="s">
        <v>5904</v>
      </c>
      <c r="E5059" s="156" t="s">
        <v>5922</v>
      </c>
      <c r="F5059" s="156" t="s">
        <v>257</v>
      </c>
      <c r="G5059" s="156" t="s">
        <v>1791</v>
      </c>
      <c r="H5059" s="157" t="s">
        <v>213</v>
      </c>
    </row>
    <row r="5060" hidden="1">
      <c r="A5060" s="151" t="s">
        <v>218</v>
      </c>
      <c r="B5060" s="118" t="s">
        <v>219</v>
      </c>
      <c r="C5060" s="118" t="s">
        <v>206</v>
      </c>
      <c r="D5060" s="152" t="s">
        <v>5904</v>
      </c>
      <c r="E5060" s="152" t="s">
        <v>5923</v>
      </c>
      <c r="F5060" s="152" t="s">
        <v>257</v>
      </c>
      <c r="G5060" s="152" t="s">
        <v>2667</v>
      </c>
      <c r="H5060" s="153" t="s">
        <v>214</v>
      </c>
    </row>
    <row r="5061" hidden="1">
      <c r="A5061" s="154" t="s">
        <v>218</v>
      </c>
      <c r="B5061" s="155" t="s">
        <v>219</v>
      </c>
      <c r="C5061" s="155" t="s">
        <v>206</v>
      </c>
      <c r="D5061" s="156" t="s">
        <v>5904</v>
      </c>
      <c r="E5061" s="156" t="s">
        <v>5924</v>
      </c>
      <c r="F5061" s="156" t="s">
        <v>242</v>
      </c>
      <c r="G5061" s="156" t="s">
        <v>3270</v>
      </c>
      <c r="H5061" s="157" t="s">
        <v>215</v>
      </c>
    </row>
    <row r="5062" hidden="1">
      <c r="A5062" s="151" t="s">
        <v>218</v>
      </c>
      <c r="B5062" s="118" t="s">
        <v>219</v>
      </c>
      <c r="C5062" s="118" t="s">
        <v>206</v>
      </c>
      <c r="D5062" s="152" t="s">
        <v>5904</v>
      </c>
      <c r="E5062" s="152" t="s">
        <v>5925</v>
      </c>
      <c r="F5062" s="152" t="s">
        <v>287</v>
      </c>
      <c r="G5062" s="152" t="s">
        <v>1791</v>
      </c>
      <c r="H5062" s="153" t="s">
        <v>216</v>
      </c>
    </row>
    <row r="5063" hidden="1">
      <c r="A5063" s="154" t="s">
        <v>220</v>
      </c>
      <c r="B5063" s="155" t="s">
        <v>190</v>
      </c>
      <c r="C5063" s="155" t="s">
        <v>206</v>
      </c>
      <c r="D5063" s="156" t="s">
        <v>5904</v>
      </c>
      <c r="E5063" s="156" t="s">
        <v>5926</v>
      </c>
      <c r="F5063" s="156" t="s">
        <v>287</v>
      </c>
      <c r="G5063" s="156" t="s">
        <v>2115</v>
      </c>
      <c r="H5063" s="157" t="s">
        <v>210</v>
      </c>
    </row>
    <row r="5064" hidden="1">
      <c r="A5064" s="151" t="s">
        <v>220</v>
      </c>
      <c r="B5064" s="118" t="s">
        <v>190</v>
      </c>
      <c r="C5064" s="118" t="s">
        <v>206</v>
      </c>
      <c r="D5064" s="152" t="s">
        <v>5904</v>
      </c>
      <c r="E5064" s="152" t="s">
        <v>5927</v>
      </c>
      <c r="F5064" s="152" t="s">
        <v>257</v>
      </c>
      <c r="G5064" s="152" t="s">
        <v>2177</v>
      </c>
      <c r="H5064" s="153" t="s">
        <v>211</v>
      </c>
    </row>
    <row r="5065" hidden="1">
      <c r="A5065" s="154" t="s">
        <v>220</v>
      </c>
      <c r="B5065" s="155" t="s">
        <v>190</v>
      </c>
      <c r="C5065" s="155" t="s">
        <v>206</v>
      </c>
      <c r="D5065" s="156" t="s">
        <v>5904</v>
      </c>
      <c r="E5065" s="156" t="s">
        <v>5928</v>
      </c>
      <c r="F5065" s="156" t="s">
        <v>323</v>
      </c>
      <c r="G5065" s="156" t="s">
        <v>3815</v>
      </c>
      <c r="H5065" s="157" t="s">
        <v>212</v>
      </c>
    </row>
    <row r="5066" hidden="1">
      <c r="A5066" s="151" t="s">
        <v>220</v>
      </c>
      <c r="B5066" s="118" t="s">
        <v>190</v>
      </c>
      <c r="C5066" s="118" t="s">
        <v>206</v>
      </c>
      <c r="D5066" s="152" t="s">
        <v>5904</v>
      </c>
      <c r="E5066" s="152" t="s">
        <v>5929</v>
      </c>
      <c r="F5066" s="152" t="s">
        <v>249</v>
      </c>
      <c r="G5066" s="152" t="s">
        <v>2354</v>
      </c>
      <c r="H5066" s="153" t="s">
        <v>213</v>
      </c>
    </row>
    <row r="5067" hidden="1">
      <c r="A5067" s="154" t="s">
        <v>220</v>
      </c>
      <c r="B5067" s="155" t="s">
        <v>190</v>
      </c>
      <c r="C5067" s="155" t="s">
        <v>206</v>
      </c>
      <c r="D5067" s="156" t="s">
        <v>5904</v>
      </c>
      <c r="E5067" s="156" t="s">
        <v>5930</v>
      </c>
      <c r="F5067" s="156" t="s">
        <v>240</v>
      </c>
      <c r="G5067" s="156" t="s">
        <v>3919</v>
      </c>
      <c r="H5067" s="157" t="s">
        <v>214</v>
      </c>
    </row>
    <row r="5068" hidden="1">
      <c r="A5068" s="151" t="s">
        <v>220</v>
      </c>
      <c r="B5068" s="118" t="s">
        <v>190</v>
      </c>
      <c r="C5068" s="118" t="s">
        <v>206</v>
      </c>
      <c r="D5068" s="152" t="s">
        <v>5904</v>
      </c>
      <c r="E5068" s="152" t="s">
        <v>5931</v>
      </c>
      <c r="F5068" s="152" t="s">
        <v>492</v>
      </c>
      <c r="G5068" s="152" t="s">
        <v>3445</v>
      </c>
      <c r="H5068" s="153" t="s">
        <v>215</v>
      </c>
    </row>
    <row r="5069" hidden="1">
      <c r="A5069" s="154" t="s">
        <v>220</v>
      </c>
      <c r="B5069" s="155" t="s">
        <v>190</v>
      </c>
      <c r="C5069" s="155" t="s">
        <v>206</v>
      </c>
      <c r="D5069" s="156" t="s">
        <v>5904</v>
      </c>
      <c r="E5069" s="156" t="s">
        <v>5932</v>
      </c>
      <c r="F5069" s="156" t="s">
        <v>257</v>
      </c>
      <c r="G5069" s="156" t="s">
        <v>2824</v>
      </c>
      <c r="H5069" s="157" t="s">
        <v>216</v>
      </c>
    </row>
    <row r="5070" hidden="1">
      <c r="A5070" s="151" t="s">
        <v>221</v>
      </c>
      <c r="B5070" s="118" t="s">
        <v>189</v>
      </c>
      <c r="C5070" s="118" t="s">
        <v>206</v>
      </c>
      <c r="D5070" s="152" t="s">
        <v>5904</v>
      </c>
      <c r="E5070" s="152" t="s">
        <v>5933</v>
      </c>
      <c r="F5070" s="152" t="s">
        <v>458</v>
      </c>
      <c r="G5070" s="152" t="s">
        <v>1854</v>
      </c>
      <c r="H5070" s="153" t="s">
        <v>210</v>
      </c>
    </row>
    <row r="5071" hidden="1">
      <c r="A5071" s="154" t="s">
        <v>221</v>
      </c>
      <c r="B5071" s="155" t="s">
        <v>189</v>
      </c>
      <c r="C5071" s="155" t="s">
        <v>206</v>
      </c>
      <c r="D5071" s="156" t="s">
        <v>5904</v>
      </c>
      <c r="E5071" s="156" t="s">
        <v>5934</v>
      </c>
      <c r="F5071" s="156" t="s">
        <v>501</v>
      </c>
      <c r="G5071" s="156" t="s">
        <v>1854</v>
      </c>
      <c r="H5071" s="157" t="s">
        <v>211</v>
      </c>
    </row>
    <row r="5072" hidden="1">
      <c r="A5072" s="151" t="s">
        <v>221</v>
      </c>
      <c r="B5072" s="118" t="s">
        <v>189</v>
      </c>
      <c r="C5072" s="118" t="s">
        <v>206</v>
      </c>
      <c r="D5072" s="152" t="s">
        <v>5904</v>
      </c>
      <c r="E5072" s="152" t="s">
        <v>5935</v>
      </c>
      <c r="F5072" s="152" t="s">
        <v>287</v>
      </c>
      <c r="G5072" s="152" t="s">
        <v>2203</v>
      </c>
      <c r="H5072" s="153" t="s">
        <v>212</v>
      </c>
    </row>
    <row r="5073" hidden="1">
      <c r="A5073" s="154" t="s">
        <v>221</v>
      </c>
      <c r="B5073" s="155" t="s">
        <v>189</v>
      </c>
      <c r="C5073" s="155" t="s">
        <v>206</v>
      </c>
      <c r="D5073" s="156" t="s">
        <v>5904</v>
      </c>
      <c r="E5073" s="156" t="s">
        <v>5936</v>
      </c>
      <c r="F5073" s="156" t="s">
        <v>458</v>
      </c>
      <c r="G5073" s="156" t="s">
        <v>1854</v>
      </c>
      <c r="H5073" s="157" t="s">
        <v>213</v>
      </c>
    </row>
    <row r="5074" hidden="1">
      <c r="A5074" s="151" t="s">
        <v>221</v>
      </c>
      <c r="B5074" s="118" t="s">
        <v>189</v>
      </c>
      <c r="C5074" s="118" t="s">
        <v>206</v>
      </c>
      <c r="D5074" s="152" t="s">
        <v>5904</v>
      </c>
      <c r="E5074" s="152" t="s">
        <v>5937</v>
      </c>
      <c r="F5074" s="152" t="s">
        <v>1114</v>
      </c>
      <c r="G5074" s="152" t="s">
        <v>2142</v>
      </c>
      <c r="H5074" s="153" t="s">
        <v>214</v>
      </c>
    </row>
    <row r="5075" hidden="1">
      <c r="A5075" s="154" t="s">
        <v>221</v>
      </c>
      <c r="B5075" s="155" t="s">
        <v>189</v>
      </c>
      <c r="C5075" s="155" t="s">
        <v>206</v>
      </c>
      <c r="D5075" s="156" t="s">
        <v>5904</v>
      </c>
      <c r="E5075" s="156" t="s">
        <v>5938</v>
      </c>
      <c r="F5075" s="156" t="s">
        <v>458</v>
      </c>
      <c r="G5075" s="156" t="s">
        <v>1722</v>
      </c>
      <c r="H5075" s="157" t="s">
        <v>215</v>
      </c>
    </row>
    <row r="5076" hidden="1">
      <c r="A5076" s="151" t="s">
        <v>221</v>
      </c>
      <c r="B5076" s="118" t="s">
        <v>189</v>
      </c>
      <c r="C5076" s="118" t="s">
        <v>206</v>
      </c>
      <c r="D5076" s="152" t="s">
        <v>5904</v>
      </c>
      <c r="E5076" s="152" t="s">
        <v>5939</v>
      </c>
      <c r="F5076" s="152" t="s">
        <v>204</v>
      </c>
      <c r="G5076" s="152" t="s">
        <v>2051</v>
      </c>
      <c r="H5076" s="153" t="s">
        <v>216</v>
      </c>
    </row>
    <row r="5077" hidden="1">
      <c r="A5077" s="154" t="s">
        <v>222</v>
      </c>
      <c r="B5077" s="155" t="s">
        <v>192</v>
      </c>
      <c r="C5077" s="155" t="s">
        <v>206</v>
      </c>
      <c r="D5077" s="156" t="s">
        <v>5904</v>
      </c>
      <c r="E5077" s="156" t="s">
        <v>5940</v>
      </c>
      <c r="F5077" s="156" t="s">
        <v>255</v>
      </c>
      <c r="G5077" s="156" t="s">
        <v>3613</v>
      </c>
      <c r="H5077" s="157" t="s">
        <v>210</v>
      </c>
    </row>
    <row r="5078" hidden="1">
      <c r="A5078" s="151" t="s">
        <v>222</v>
      </c>
      <c r="B5078" s="118" t="s">
        <v>192</v>
      </c>
      <c r="C5078" s="118" t="s">
        <v>206</v>
      </c>
      <c r="D5078" s="152" t="s">
        <v>5904</v>
      </c>
      <c r="E5078" s="152" t="s">
        <v>5941</v>
      </c>
      <c r="F5078" s="152" t="s">
        <v>257</v>
      </c>
      <c r="G5078" s="152" t="s">
        <v>3449</v>
      </c>
      <c r="H5078" s="153" t="s">
        <v>211</v>
      </c>
    </row>
    <row r="5079" hidden="1">
      <c r="A5079" s="154" t="s">
        <v>222</v>
      </c>
      <c r="B5079" s="155" t="s">
        <v>192</v>
      </c>
      <c r="C5079" s="155" t="s">
        <v>206</v>
      </c>
      <c r="D5079" s="156" t="s">
        <v>5904</v>
      </c>
      <c r="E5079" s="156" t="s">
        <v>5942</v>
      </c>
      <c r="F5079" s="156" t="s">
        <v>285</v>
      </c>
      <c r="G5079" s="156" t="s">
        <v>4194</v>
      </c>
      <c r="H5079" s="157" t="s">
        <v>212</v>
      </c>
    </row>
    <row r="5080" hidden="1">
      <c r="A5080" s="151" t="s">
        <v>222</v>
      </c>
      <c r="B5080" s="118" t="s">
        <v>192</v>
      </c>
      <c r="C5080" s="118" t="s">
        <v>206</v>
      </c>
      <c r="D5080" s="152" t="s">
        <v>5904</v>
      </c>
      <c r="E5080" s="152" t="s">
        <v>5943</v>
      </c>
      <c r="F5080" s="152" t="s">
        <v>246</v>
      </c>
      <c r="G5080" s="152" t="s">
        <v>3262</v>
      </c>
      <c r="H5080" s="153" t="s">
        <v>213</v>
      </c>
    </row>
    <row r="5081" hidden="1">
      <c r="A5081" s="154" t="s">
        <v>222</v>
      </c>
      <c r="B5081" s="155" t="s">
        <v>192</v>
      </c>
      <c r="C5081" s="155" t="s">
        <v>206</v>
      </c>
      <c r="D5081" s="156" t="s">
        <v>5904</v>
      </c>
      <c r="E5081" s="156" t="s">
        <v>5944</v>
      </c>
      <c r="F5081" s="156" t="s">
        <v>240</v>
      </c>
      <c r="G5081" s="156" t="s">
        <v>2506</v>
      </c>
      <c r="H5081" s="157" t="s">
        <v>214</v>
      </c>
    </row>
    <row r="5082" hidden="1">
      <c r="A5082" s="151" t="s">
        <v>222</v>
      </c>
      <c r="B5082" s="118" t="s">
        <v>192</v>
      </c>
      <c r="C5082" s="118" t="s">
        <v>206</v>
      </c>
      <c r="D5082" s="152" t="s">
        <v>5904</v>
      </c>
      <c r="E5082" s="152" t="s">
        <v>5945</v>
      </c>
      <c r="F5082" s="152" t="s">
        <v>458</v>
      </c>
      <c r="G5082" s="152" t="s">
        <v>3710</v>
      </c>
      <c r="H5082" s="153" t="s">
        <v>215</v>
      </c>
    </row>
    <row r="5083" hidden="1">
      <c r="A5083" s="154" t="s">
        <v>222</v>
      </c>
      <c r="B5083" s="155" t="s">
        <v>192</v>
      </c>
      <c r="C5083" s="155" t="s">
        <v>206</v>
      </c>
      <c r="D5083" s="156" t="s">
        <v>5904</v>
      </c>
      <c r="E5083" s="156" t="s">
        <v>5946</v>
      </c>
      <c r="F5083" s="156" t="s">
        <v>269</v>
      </c>
      <c r="G5083" s="156" t="s">
        <v>3203</v>
      </c>
      <c r="H5083" s="157" t="s">
        <v>216</v>
      </c>
    </row>
    <row r="5084" hidden="1">
      <c r="A5084" s="151" t="s">
        <v>223</v>
      </c>
      <c r="B5084" s="118" t="s">
        <v>144</v>
      </c>
      <c r="C5084" s="118" t="s">
        <v>206</v>
      </c>
      <c r="D5084" s="152" t="s">
        <v>5904</v>
      </c>
      <c r="E5084" s="152" t="s">
        <v>5947</v>
      </c>
      <c r="F5084" s="152" t="s">
        <v>259</v>
      </c>
      <c r="G5084" s="152" t="s">
        <v>1995</v>
      </c>
      <c r="H5084" s="153" t="s">
        <v>210</v>
      </c>
    </row>
    <row r="5085" hidden="1">
      <c r="A5085" s="154" t="s">
        <v>223</v>
      </c>
      <c r="B5085" s="155" t="s">
        <v>144</v>
      </c>
      <c r="C5085" s="155" t="s">
        <v>206</v>
      </c>
      <c r="D5085" s="156" t="s">
        <v>5904</v>
      </c>
      <c r="E5085" s="156" t="s">
        <v>5948</v>
      </c>
      <c r="F5085" s="156" t="s">
        <v>255</v>
      </c>
      <c r="G5085" s="156" t="s">
        <v>4464</v>
      </c>
      <c r="H5085" s="157" t="s">
        <v>211</v>
      </c>
    </row>
    <row r="5086" hidden="1">
      <c r="A5086" s="151" t="s">
        <v>223</v>
      </c>
      <c r="B5086" s="118" t="s">
        <v>144</v>
      </c>
      <c r="C5086" s="118" t="s">
        <v>206</v>
      </c>
      <c r="D5086" s="152" t="s">
        <v>5904</v>
      </c>
      <c r="E5086" s="152" t="s">
        <v>5949</v>
      </c>
      <c r="F5086" s="152" t="s">
        <v>314</v>
      </c>
      <c r="G5086" s="152" t="s">
        <v>4283</v>
      </c>
      <c r="H5086" s="153" t="s">
        <v>212</v>
      </c>
    </row>
    <row r="5087" hidden="1">
      <c r="A5087" s="154" t="s">
        <v>223</v>
      </c>
      <c r="B5087" s="155" t="s">
        <v>144</v>
      </c>
      <c r="C5087" s="155" t="s">
        <v>206</v>
      </c>
      <c r="D5087" s="156" t="s">
        <v>5904</v>
      </c>
      <c r="E5087" s="156" t="s">
        <v>5950</v>
      </c>
      <c r="F5087" s="156" t="s">
        <v>285</v>
      </c>
      <c r="G5087" s="156" t="s">
        <v>4464</v>
      </c>
      <c r="H5087" s="157" t="s">
        <v>213</v>
      </c>
    </row>
    <row r="5088" hidden="1">
      <c r="A5088" s="151" t="s">
        <v>223</v>
      </c>
      <c r="B5088" s="118" t="s">
        <v>144</v>
      </c>
      <c r="C5088" s="118" t="s">
        <v>206</v>
      </c>
      <c r="D5088" s="152" t="s">
        <v>5904</v>
      </c>
      <c r="E5088" s="152" t="s">
        <v>5951</v>
      </c>
      <c r="F5088" s="152" t="s">
        <v>357</v>
      </c>
      <c r="G5088" s="152" t="s">
        <v>3764</v>
      </c>
      <c r="H5088" s="153" t="s">
        <v>214</v>
      </c>
    </row>
    <row r="5089" hidden="1">
      <c r="A5089" s="154" t="s">
        <v>223</v>
      </c>
      <c r="B5089" s="155" t="s">
        <v>144</v>
      </c>
      <c r="C5089" s="155" t="s">
        <v>206</v>
      </c>
      <c r="D5089" s="156" t="s">
        <v>5904</v>
      </c>
      <c r="E5089" s="156" t="s">
        <v>5952</v>
      </c>
      <c r="F5089" s="156" t="s">
        <v>323</v>
      </c>
      <c r="G5089" s="156" t="s">
        <v>4034</v>
      </c>
      <c r="H5089" s="157" t="s">
        <v>215</v>
      </c>
    </row>
    <row r="5090" hidden="1">
      <c r="A5090" s="151" t="s">
        <v>223</v>
      </c>
      <c r="B5090" s="118" t="s">
        <v>144</v>
      </c>
      <c r="C5090" s="118" t="s">
        <v>206</v>
      </c>
      <c r="D5090" s="152" t="s">
        <v>5904</v>
      </c>
      <c r="E5090" s="152" t="s">
        <v>5953</v>
      </c>
      <c r="F5090" s="152" t="s">
        <v>269</v>
      </c>
      <c r="G5090" s="152" t="s">
        <v>3300</v>
      </c>
      <c r="H5090" s="153" t="s">
        <v>216</v>
      </c>
    </row>
    <row r="5091" hidden="1">
      <c r="A5091" s="154" t="s">
        <v>224</v>
      </c>
      <c r="B5091" s="155" t="s">
        <v>170</v>
      </c>
      <c r="C5091" s="155" t="s">
        <v>206</v>
      </c>
      <c r="D5091" s="156" t="s">
        <v>5904</v>
      </c>
      <c r="E5091" s="156" t="s">
        <v>5954</v>
      </c>
      <c r="F5091" s="156" t="s">
        <v>357</v>
      </c>
      <c r="G5091" s="156" t="s">
        <v>2067</v>
      </c>
      <c r="H5091" s="157" t="s">
        <v>210</v>
      </c>
    </row>
    <row r="5092" hidden="1">
      <c r="A5092" s="151" t="s">
        <v>224</v>
      </c>
      <c r="B5092" s="118" t="s">
        <v>170</v>
      </c>
      <c r="C5092" s="118" t="s">
        <v>206</v>
      </c>
      <c r="D5092" s="152" t="s">
        <v>5904</v>
      </c>
      <c r="E5092" s="152" t="s">
        <v>5955</v>
      </c>
      <c r="F5092" s="152" t="s">
        <v>301</v>
      </c>
      <c r="G5092" s="152" t="s">
        <v>2995</v>
      </c>
      <c r="H5092" s="153" t="s">
        <v>211</v>
      </c>
    </row>
    <row r="5093" hidden="1">
      <c r="A5093" s="154" t="s">
        <v>224</v>
      </c>
      <c r="B5093" s="155" t="s">
        <v>170</v>
      </c>
      <c r="C5093" s="155" t="s">
        <v>206</v>
      </c>
      <c r="D5093" s="156" t="s">
        <v>5904</v>
      </c>
      <c r="E5093" s="156" t="s">
        <v>5956</v>
      </c>
      <c r="F5093" s="156" t="s">
        <v>262</v>
      </c>
      <c r="G5093" s="156" t="s">
        <v>3115</v>
      </c>
      <c r="H5093" s="157" t="s">
        <v>212</v>
      </c>
    </row>
    <row r="5094" hidden="1">
      <c r="A5094" s="151" t="s">
        <v>224</v>
      </c>
      <c r="B5094" s="118" t="s">
        <v>170</v>
      </c>
      <c r="C5094" s="118" t="s">
        <v>206</v>
      </c>
      <c r="D5094" s="152" t="s">
        <v>5904</v>
      </c>
      <c r="E5094" s="152" t="s">
        <v>5957</v>
      </c>
      <c r="F5094" s="152" t="s">
        <v>242</v>
      </c>
      <c r="G5094" s="152" t="s">
        <v>3226</v>
      </c>
      <c r="H5094" s="153" t="s">
        <v>213</v>
      </c>
    </row>
    <row r="5095" hidden="1">
      <c r="A5095" s="154" t="s">
        <v>224</v>
      </c>
      <c r="B5095" s="155" t="s">
        <v>170</v>
      </c>
      <c r="C5095" s="155" t="s">
        <v>206</v>
      </c>
      <c r="D5095" s="156" t="s">
        <v>5904</v>
      </c>
      <c r="E5095" s="156" t="s">
        <v>5958</v>
      </c>
      <c r="F5095" s="156" t="s">
        <v>1236</v>
      </c>
      <c r="G5095" s="156" t="s">
        <v>2609</v>
      </c>
      <c r="H5095" s="157" t="s">
        <v>214</v>
      </c>
    </row>
    <row r="5096" hidden="1">
      <c r="A5096" s="151" t="s">
        <v>224</v>
      </c>
      <c r="B5096" s="118" t="s">
        <v>170</v>
      </c>
      <c r="C5096" s="118" t="s">
        <v>206</v>
      </c>
      <c r="D5096" s="152" t="s">
        <v>5904</v>
      </c>
      <c r="E5096" s="152" t="s">
        <v>5959</v>
      </c>
      <c r="F5096" s="152" t="s">
        <v>240</v>
      </c>
      <c r="G5096" s="152" t="s">
        <v>3207</v>
      </c>
      <c r="H5096" s="153" t="s">
        <v>215</v>
      </c>
    </row>
    <row r="5097" hidden="1">
      <c r="A5097" s="154" t="s">
        <v>224</v>
      </c>
      <c r="B5097" s="155" t="s">
        <v>170</v>
      </c>
      <c r="C5097" s="155" t="s">
        <v>206</v>
      </c>
      <c r="D5097" s="156" t="s">
        <v>5904</v>
      </c>
      <c r="E5097" s="156" t="s">
        <v>5960</v>
      </c>
      <c r="F5097" s="156" t="s">
        <v>240</v>
      </c>
      <c r="G5097" s="156" t="s">
        <v>3237</v>
      </c>
      <c r="H5097" s="157" t="s">
        <v>216</v>
      </c>
    </row>
    <row r="5098" hidden="1">
      <c r="A5098" s="151" t="s">
        <v>225</v>
      </c>
      <c r="B5098" s="118" t="s">
        <v>226</v>
      </c>
      <c r="C5098" s="118" t="s">
        <v>206</v>
      </c>
      <c r="D5098" s="152" t="s">
        <v>5904</v>
      </c>
      <c r="E5098" s="152" t="s">
        <v>5961</v>
      </c>
      <c r="F5098" s="152" t="s">
        <v>5962</v>
      </c>
      <c r="G5098" s="152" t="s">
        <v>3908</v>
      </c>
      <c r="H5098" s="153" t="s">
        <v>210</v>
      </c>
    </row>
    <row r="5099" hidden="1">
      <c r="A5099" s="154" t="s">
        <v>225</v>
      </c>
      <c r="B5099" s="155" t="s">
        <v>226</v>
      </c>
      <c r="C5099" s="155" t="s">
        <v>206</v>
      </c>
      <c r="D5099" s="156" t="s">
        <v>5904</v>
      </c>
      <c r="E5099" s="156" t="s">
        <v>5963</v>
      </c>
      <c r="F5099" s="156" t="s">
        <v>5964</v>
      </c>
      <c r="G5099" s="156" t="s">
        <v>3691</v>
      </c>
      <c r="H5099" s="157" t="s">
        <v>211</v>
      </c>
    </row>
    <row r="5100" hidden="1">
      <c r="A5100" s="151" t="s">
        <v>225</v>
      </c>
      <c r="B5100" s="118" t="s">
        <v>226</v>
      </c>
      <c r="C5100" s="118" t="s">
        <v>206</v>
      </c>
      <c r="D5100" s="152" t="s">
        <v>5904</v>
      </c>
      <c r="E5100" s="152" t="s">
        <v>5965</v>
      </c>
      <c r="F5100" s="152" t="s">
        <v>5966</v>
      </c>
      <c r="G5100" s="152" t="s">
        <v>2970</v>
      </c>
      <c r="H5100" s="153" t="s">
        <v>212</v>
      </c>
    </row>
    <row r="5101" hidden="1">
      <c r="A5101" s="154" t="s">
        <v>225</v>
      </c>
      <c r="B5101" s="155" t="s">
        <v>226</v>
      </c>
      <c r="C5101" s="155" t="s">
        <v>206</v>
      </c>
      <c r="D5101" s="156" t="s">
        <v>5904</v>
      </c>
      <c r="E5101" s="156" t="s">
        <v>5967</v>
      </c>
      <c r="F5101" s="156" t="s">
        <v>5968</v>
      </c>
      <c r="G5101" s="156" t="s">
        <v>2519</v>
      </c>
      <c r="H5101" s="157" t="s">
        <v>213</v>
      </c>
    </row>
    <row r="5102" hidden="1">
      <c r="A5102" s="151" t="s">
        <v>225</v>
      </c>
      <c r="B5102" s="118" t="s">
        <v>226</v>
      </c>
      <c r="C5102" s="118" t="s">
        <v>206</v>
      </c>
      <c r="D5102" s="152" t="s">
        <v>5904</v>
      </c>
      <c r="E5102" s="152" t="s">
        <v>5969</v>
      </c>
      <c r="F5102" s="152" t="s">
        <v>5970</v>
      </c>
      <c r="G5102" s="152" t="s">
        <v>2970</v>
      </c>
      <c r="H5102" s="153" t="s">
        <v>214</v>
      </c>
    </row>
    <row r="5103" hidden="1">
      <c r="A5103" s="154" t="s">
        <v>225</v>
      </c>
      <c r="B5103" s="155" t="s">
        <v>226</v>
      </c>
      <c r="C5103" s="155" t="s">
        <v>206</v>
      </c>
      <c r="D5103" s="156" t="s">
        <v>5904</v>
      </c>
      <c r="E5103" s="156" t="s">
        <v>5971</v>
      </c>
      <c r="F5103" s="156" t="s">
        <v>5968</v>
      </c>
      <c r="G5103" s="156" t="s">
        <v>3205</v>
      </c>
      <c r="H5103" s="157" t="s">
        <v>215</v>
      </c>
    </row>
    <row r="5104" hidden="1">
      <c r="A5104" s="151" t="s">
        <v>225</v>
      </c>
      <c r="B5104" s="118" t="s">
        <v>226</v>
      </c>
      <c r="C5104" s="118" t="s">
        <v>206</v>
      </c>
      <c r="D5104" s="152" t="s">
        <v>5904</v>
      </c>
      <c r="E5104" s="152" t="s">
        <v>5972</v>
      </c>
      <c r="F5104" s="152" t="s">
        <v>5973</v>
      </c>
      <c r="G5104" s="152" t="s">
        <v>2506</v>
      </c>
      <c r="H5104" s="153" t="s">
        <v>216</v>
      </c>
    </row>
    <row r="5105" hidden="1">
      <c r="A5105" s="154" t="s">
        <v>227</v>
      </c>
      <c r="B5105" s="155" t="s">
        <v>195</v>
      </c>
      <c r="C5105" s="155" t="s">
        <v>206</v>
      </c>
      <c r="D5105" s="156" t="s">
        <v>5904</v>
      </c>
      <c r="E5105" s="156" t="s">
        <v>5974</v>
      </c>
      <c r="F5105" s="156" t="s">
        <v>323</v>
      </c>
      <c r="G5105" s="156" t="s">
        <v>2517</v>
      </c>
      <c r="H5105" s="157" t="s">
        <v>210</v>
      </c>
    </row>
    <row r="5106" hidden="1">
      <c r="A5106" s="151" t="s">
        <v>227</v>
      </c>
      <c r="B5106" s="118" t="s">
        <v>195</v>
      </c>
      <c r="C5106" s="118" t="s">
        <v>206</v>
      </c>
      <c r="D5106" s="152" t="s">
        <v>5904</v>
      </c>
      <c r="E5106" s="152" t="s">
        <v>5975</v>
      </c>
      <c r="F5106" s="152" t="s">
        <v>249</v>
      </c>
      <c r="G5106" s="152" t="s">
        <v>2187</v>
      </c>
      <c r="H5106" s="153" t="s">
        <v>211</v>
      </c>
    </row>
    <row r="5107" hidden="1">
      <c r="A5107" s="154" t="s">
        <v>227</v>
      </c>
      <c r="B5107" s="155" t="s">
        <v>195</v>
      </c>
      <c r="C5107" s="155" t="s">
        <v>206</v>
      </c>
      <c r="D5107" s="156" t="s">
        <v>5904</v>
      </c>
      <c r="E5107" s="156" t="s">
        <v>5976</v>
      </c>
      <c r="F5107" s="156" t="s">
        <v>285</v>
      </c>
      <c r="G5107" s="156" t="s">
        <v>3117</v>
      </c>
      <c r="H5107" s="157" t="s">
        <v>212</v>
      </c>
    </row>
    <row r="5108" hidden="1">
      <c r="A5108" s="151" t="s">
        <v>227</v>
      </c>
      <c r="B5108" s="118" t="s">
        <v>195</v>
      </c>
      <c r="C5108" s="118" t="s">
        <v>206</v>
      </c>
      <c r="D5108" s="152" t="s">
        <v>5904</v>
      </c>
      <c r="E5108" s="152" t="s">
        <v>5977</v>
      </c>
      <c r="F5108" s="152" t="s">
        <v>249</v>
      </c>
      <c r="G5108" s="152" t="s">
        <v>3815</v>
      </c>
      <c r="H5108" s="153" t="s">
        <v>213</v>
      </c>
    </row>
    <row r="5109" hidden="1">
      <c r="A5109" s="154" t="s">
        <v>227</v>
      </c>
      <c r="B5109" s="155" t="s">
        <v>195</v>
      </c>
      <c r="C5109" s="155" t="s">
        <v>206</v>
      </c>
      <c r="D5109" s="156" t="s">
        <v>5904</v>
      </c>
      <c r="E5109" s="156" t="s">
        <v>5978</v>
      </c>
      <c r="F5109" s="156" t="s">
        <v>257</v>
      </c>
      <c r="G5109" s="156" t="s">
        <v>1776</v>
      </c>
      <c r="H5109" s="157" t="s">
        <v>214</v>
      </c>
    </row>
    <row r="5110" hidden="1">
      <c r="A5110" s="151" t="s">
        <v>227</v>
      </c>
      <c r="B5110" s="118" t="s">
        <v>195</v>
      </c>
      <c r="C5110" s="118" t="s">
        <v>206</v>
      </c>
      <c r="D5110" s="152" t="s">
        <v>5904</v>
      </c>
      <c r="E5110" s="152" t="s">
        <v>5979</v>
      </c>
      <c r="F5110" s="152" t="s">
        <v>249</v>
      </c>
      <c r="G5110" s="152" t="s">
        <v>2187</v>
      </c>
      <c r="H5110" s="153" t="s">
        <v>215</v>
      </c>
    </row>
    <row r="5111" hidden="1">
      <c r="A5111" s="154" t="s">
        <v>227</v>
      </c>
      <c r="B5111" s="155" t="s">
        <v>195</v>
      </c>
      <c r="C5111" s="155" t="s">
        <v>206</v>
      </c>
      <c r="D5111" s="156" t="s">
        <v>5904</v>
      </c>
      <c r="E5111" s="156" t="s">
        <v>5980</v>
      </c>
      <c r="F5111" s="156" t="s">
        <v>359</v>
      </c>
      <c r="G5111" s="156" t="s">
        <v>3572</v>
      </c>
      <c r="H5111" s="157" t="s">
        <v>216</v>
      </c>
    </row>
    <row r="5112" hidden="1">
      <c r="A5112" s="151" t="s">
        <v>228</v>
      </c>
      <c r="B5112" s="118" t="s">
        <v>138</v>
      </c>
      <c r="C5112" s="118" t="s">
        <v>206</v>
      </c>
      <c r="D5112" s="152" t="s">
        <v>5904</v>
      </c>
      <c r="E5112" s="152" t="s">
        <v>5981</v>
      </c>
      <c r="F5112" s="152" t="s">
        <v>439</v>
      </c>
      <c r="G5112" s="152" t="s">
        <v>3117</v>
      </c>
      <c r="H5112" s="153" t="s">
        <v>210</v>
      </c>
    </row>
    <row r="5113" hidden="1">
      <c r="A5113" s="154" t="s">
        <v>228</v>
      </c>
      <c r="B5113" s="155" t="s">
        <v>138</v>
      </c>
      <c r="C5113" s="155" t="s">
        <v>206</v>
      </c>
      <c r="D5113" s="156" t="s">
        <v>5904</v>
      </c>
      <c r="E5113" s="156" t="s">
        <v>5982</v>
      </c>
      <c r="F5113" s="156" t="s">
        <v>5553</v>
      </c>
      <c r="G5113" s="156" t="s">
        <v>1864</v>
      </c>
      <c r="H5113" s="157" t="s">
        <v>211</v>
      </c>
    </row>
    <row r="5114" hidden="1">
      <c r="A5114" s="151" t="s">
        <v>228</v>
      </c>
      <c r="B5114" s="118" t="s">
        <v>138</v>
      </c>
      <c r="C5114" s="118" t="s">
        <v>206</v>
      </c>
      <c r="D5114" s="152" t="s">
        <v>5904</v>
      </c>
      <c r="E5114" s="152" t="s">
        <v>5983</v>
      </c>
      <c r="F5114" s="152" t="s">
        <v>433</v>
      </c>
      <c r="G5114" s="152" t="s">
        <v>2624</v>
      </c>
      <c r="H5114" s="153" t="s">
        <v>212</v>
      </c>
    </row>
    <row r="5115" hidden="1">
      <c r="A5115" s="154" t="s">
        <v>228</v>
      </c>
      <c r="B5115" s="155" t="s">
        <v>138</v>
      </c>
      <c r="C5115" s="155" t="s">
        <v>206</v>
      </c>
      <c r="D5115" s="156" t="s">
        <v>5904</v>
      </c>
      <c r="E5115" s="156" t="s">
        <v>5984</v>
      </c>
      <c r="F5115" s="156" t="s">
        <v>374</v>
      </c>
      <c r="G5115" s="156" t="s">
        <v>3001</v>
      </c>
      <c r="H5115" s="157" t="s">
        <v>213</v>
      </c>
    </row>
    <row r="5116" hidden="1">
      <c r="A5116" s="151" t="s">
        <v>228</v>
      </c>
      <c r="B5116" s="118" t="s">
        <v>138</v>
      </c>
      <c r="C5116" s="118" t="s">
        <v>206</v>
      </c>
      <c r="D5116" s="152" t="s">
        <v>5904</v>
      </c>
      <c r="E5116" s="152" t="s">
        <v>5985</v>
      </c>
      <c r="F5116" s="152" t="s">
        <v>534</v>
      </c>
      <c r="G5116" s="152" t="s">
        <v>2243</v>
      </c>
      <c r="H5116" s="153" t="s">
        <v>214</v>
      </c>
    </row>
    <row r="5117" hidden="1">
      <c r="A5117" s="154" t="s">
        <v>228</v>
      </c>
      <c r="B5117" s="155" t="s">
        <v>138</v>
      </c>
      <c r="C5117" s="155" t="s">
        <v>206</v>
      </c>
      <c r="D5117" s="156" t="s">
        <v>5904</v>
      </c>
      <c r="E5117" s="156" t="s">
        <v>5853</v>
      </c>
      <c r="F5117" s="156" t="s">
        <v>204</v>
      </c>
      <c r="G5117" s="156" t="s">
        <v>2132</v>
      </c>
      <c r="H5117" s="157" t="s">
        <v>215</v>
      </c>
    </row>
    <row r="5118" hidden="1">
      <c r="A5118" s="151" t="s">
        <v>228</v>
      </c>
      <c r="B5118" s="118" t="s">
        <v>138</v>
      </c>
      <c r="C5118" s="118" t="s">
        <v>206</v>
      </c>
      <c r="D5118" s="152" t="s">
        <v>5904</v>
      </c>
      <c r="E5118" s="152" t="s">
        <v>5986</v>
      </c>
      <c r="F5118" s="152" t="s">
        <v>5987</v>
      </c>
      <c r="G5118" s="152" t="s">
        <v>2762</v>
      </c>
      <c r="H5118" s="153" t="s">
        <v>216</v>
      </c>
    </row>
    <row r="5119" hidden="1">
      <c r="A5119" s="154" t="s">
        <v>229</v>
      </c>
      <c r="B5119" s="155" t="s">
        <v>193</v>
      </c>
      <c r="C5119" s="155" t="s">
        <v>206</v>
      </c>
      <c r="D5119" s="156" t="s">
        <v>5904</v>
      </c>
      <c r="E5119" s="156" t="s">
        <v>5988</v>
      </c>
      <c r="F5119" s="156" t="s">
        <v>287</v>
      </c>
      <c r="G5119" s="156" t="s">
        <v>2383</v>
      </c>
      <c r="H5119" s="157" t="s">
        <v>210</v>
      </c>
    </row>
    <row r="5120" hidden="1">
      <c r="A5120" s="151" t="s">
        <v>229</v>
      </c>
      <c r="B5120" s="118" t="s">
        <v>193</v>
      </c>
      <c r="C5120" s="118" t="s">
        <v>206</v>
      </c>
      <c r="D5120" s="152" t="s">
        <v>5904</v>
      </c>
      <c r="E5120" s="152" t="s">
        <v>5989</v>
      </c>
      <c r="F5120" s="152" t="s">
        <v>257</v>
      </c>
      <c r="G5120" s="152" t="s">
        <v>3482</v>
      </c>
      <c r="H5120" s="153" t="s">
        <v>211</v>
      </c>
    </row>
    <row r="5121" hidden="1">
      <c r="A5121" s="154" t="s">
        <v>229</v>
      </c>
      <c r="B5121" s="155" t="s">
        <v>193</v>
      </c>
      <c r="C5121" s="155" t="s">
        <v>206</v>
      </c>
      <c r="D5121" s="156" t="s">
        <v>5904</v>
      </c>
      <c r="E5121" s="156" t="s">
        <v>5990</v>
      </c>
      <c r="F5121" s="156" t="s">
        <v>323</v>
      </c>
      <c r="G5121" s="156" t="s">
        <v>3950</v>
      </c>
      <c r="H5121" s="157" t="s">
        <v>212</v>
      </c>
    </row>
    <row r="5122" hidden="1">
      <c r="A5122" s="151" t="s">
        <v>229</v>
      </c>
      <c r="B5122" s="118" t="s">
        <v>193</v>
      </c>
      <c r="C5122" s="118" t="s">
        <v>206</v>
      </c>
      <c r="D5122" s="152" t="s">
        <v>5904</v>
      </c>
      <c r="E5122" s="152" t="s">
        <v>5991</v>
      </c>
      <c r="F5122" s="152" t="s">
        <v>249</v>
      </c>
      <c r="G5122" s="152" t="s">
        <v>3611</v>
      </c>
      <c r="H5122" s="153" t="s">
        <v>213</v>
      </c>
    </row>
    <row r="5123" hidden="1">
      <c r="A5123" s="154" t="s">
        <v>229</v>
      </c>
      <c r="B5123" s="155" t="s">
        <v>193</v>
      </c>
      <c r="C5123" s="155" t="s">
        <v>206</v>
      </c>
      <c r="D5123" s="156" t="s">
        <v>5904</v>
      </c>
      <c r="E5123" s="156" t="s">
        <v>5992</v>
      </c>
      <c r="F5123" s="156" t="s">
        <v>240</v>
      </c>
      <c r="G5123" s="156" t="s">
        <v>4305</v>
      </c>
      <c r="H5123" s="157" t="s">
        <v>214</v>
      </c>
    </row>
    <row r="5124" hidden="1">
      <c r="A5124" s="151" t="s">
        <v>229</v>
      </c>
      <c r="B5124" s="118" t="s">
        <v>193</v>
      </c>
      <c r="C5124" s="118" t="s">
        <v>206</v>
      </c>
      <c r="D5124" s="152" t="s">
        <v>5904</v>
      </c>
      <c r="E5124" s="152" t="s">
        <v>5993</v>
      </c>
      <c r="F5124" s="152" t="s">
        <v>492</v>
      </c>
      <c r="G5124" s="152" t="s">
        <v>2065</v>
      </c>
      <c r="H5124" s="153" t="s">
        <v>215</v>
      </c>
    </row>
    <row r="5125" hidden="1">
      <c r="A5125" s="154" t="s">
        <v>229</v>
      </c>
      <c r="B5125" s="155" t="s">
        <v>193</v>
      </c>
      <c r="C5125" s="155" t="s">
        <v>206</v>
      </c>
      <c r="D5125" s="156" t="s">
        <v>5904</v>
      </c>
      <c r="E5125" s="156" t="s">
        <v>5994</v>
      </c>
      <c r="F5125" s="156" t="s">
        <v>257</v>
      </c>
      <c r="G5125" s="156" t="s">
        <v>1927</v>
      </c>
      <c r="H5125" s="157" t="s">
        <v>216</v>
      </c>
    </row>
    <row r="5126" hidden="1">
      <c r="A5126" s="151" t="s">
        <v>230</v>
      </c>
      <c r="B5126" s="118" t="s">
        <v>194</v>
      </c>
      <c r="C5126" s="118" t="s">
        <v>206</v>
      </c>
      <c r="D5126" s="152" t="s">
        <v>5904</v>
      </c>
      <c r="E5126" s="152" t="s">
        <v>5995</v>
      </c>
      <c r="F5126" s="152" t="s">
        <v>274</v>
      </c>
      <c r="G5126" s="152" t="s">
        <v>3402</v>
      </c>
      <c r="H5126" s="153" t="s">
        <v>210</v>
      </c>
    </row>
    <row r="5127" hidden="1">
      <c r="A5127" s="154" t="s">
        <v>230</v>
      </c>
      <c r="B5127" s="155" t="s">
        <v>194</v>
      </c>
      <c r="C5127" s="155" t="s">
        <v>206</v>
      </c>
      <c r="D5127" s="156" t="s">
        <v>5904</v>
      </c>
      <c r="E5127" s="156" t="s">
        <v>5996</v>
      </c>
      <c r="F5127" s="156" t="s">
        <v>265</v>
      </c>
      <c r="G5127" s="156" t="s">
        <v>2818</v>
      </c>
      <c r="H5127" s="157" t="s">
        <v>211</v>
      </c>
    </row>
    <row r="5128" hidden="1">
      <c r="A5128" s="151" t="s">
        <v>230</v>
      </c>
      <c r="B5128" s="118" t="s">
        <v>194</v>
      </c>
      <c r="C5128" s="118" t="s">
        <v>206</v>
      </c>
      <c r="D5128" s="152" t="s">
        <v>5904</v>
      </c>
      <c r="E5128" s="152" t="s">
        <v>5997</v>
      </c>
      <c r="F5128" s="152" t="s">
        <v>301</v>
      </c>
      <c r="G5128" s="152" t="s">
        <v>2352</v>
      </c>
      <c r="H5128" s="153" t="s">
        <v>212</v>
      </c>
    </row>
    <row r="5129" hidden="1">
      <c r="A5129" s="154" t="s">
        <v>230</v>
      </c>
      <c r="B5129" s="155" t="s">
        <v>194</v>
      </c>
      <c r="C5129" s="155" t="s">
        <v>206</v>
      </c>
      <c r="D5129" s="156" t="s">
        <v>5904</v>
      </c>
      <c r="E5129" s="156" t="s">
        <v>5998</v>
      </c>
      <c r="F5129" s="156" t="s">
        <v>436</v>
      </c>
      <c r="G5129" s="156" t="s">
        <v>1995</v>
      </c>
      <c r="H5129" s="157" t="s">
        <v>213</v>
      </c>
    </row>
    <row r="5130" hidden="1">
      <c r="A5130" s="151" t="s">
        <v>230</v>
      </c>
      <c r="B5130" s="118" t="s">
        <v>194</v>
      </c>
      <c r="C5130" s="118" t="s">
        <v>206</v>
      </c>
      <c r="D5130" s="152" t="s">
        <v>5904</v>
      </c>
      <c r="E5130" s="152" t="s">
        <v>5999</v>
      </c>
      <c r="F5130" s="152" t="s">
        <v>262</v>
      </c>
      <c r="G5130" s="152" t="s">
        <v>3840</v>
      </c>
      <c r="H5130" s="153" t="s">
        <v>214</v>
      </c>
    </row>
    <row r="5131" hidden="1">
      <c r="A5131" s="154" t="s">
        <v>230</v>
      </c>
      <c r="B5131" s="155" t="s">
        <v>194</v>
      </c>
      <c r="C5131" s="155" t="s">
        <v>206</v>
      </c>
      <c r="D5131" s="156" t="s">
        <v>5904</v>
      </c>
      <c r="E5131" s="156" t="s">
        <v>6000</v>
      </c>
      <c r="F5131" s="156" t="s">
        <v>1181</v>
      </c>
      <c r="G5131" s="156" t="s">
        <v>3154</v>
      </c>
      <c r="H5131" s="157" t="s">
        <v>215</v>
      </c>
    </row>
    <row r="5132" hidden="1">
      <c r="A5132" s="151" t="s">
        <v>230</v>
      </c>
      <c r="B5132" s="118" t="s">
        <v>194</v>
      </c>
      <c r="C5132" s="118" t="s">
        <v>206</v>
      </c>
      <c r="D5132" s="152" t="s">
        <v>5904</v>
      </c>
      <c r="E5132" s="152" t="s">
        <v>6001</v>
      </c>
      <c r="F5132" s="152" t="s">
        <v>458</v>
      </c>
      <c r="G5132" s="152" t="s">
        <v>3154</v>
      </c>
      <c r="H5132" s="153" t="s">
        <v>216</v>
      </c>
    </row>
    <row r="5133" hidden="1">
      <c r="A5133" s="158" t="s">
        <v>231</v>
      </c>
      <c r="B5133" s="159"/>
      <c r="C5133" s="155" t="s">
        <v>232</v>
      </c>
      <c r="D5133" s="156" t="s">
        <v>5904</v>
      </c>
      <c r="E5133" s="156" t="s">
        <v>6002</v>
      </c>
      <c r="F5133" s="156" t="s">
        <v>312</v>
      </c>
      <c r="G5133" s="156" t="s">
        <v>4842</v>
      </c>
      <c r="H5133" s="157" t="s">
        <v>210</v>
      </c>
    </row>
    <row r="5134" hidden="1">
      <c r="A5134" s="160" t="s">
        <v>231</v>
      </c>
      <c r="B5134" s="72"/>
      <c r="C5134" s="118" t="s">
        <v>232</v>
      </c>
      <c r="D5134" s="152" t="s">
        <v>5904</v>
      </c>
      <c r="E5134" s="152" t="s">
        <v>6003</v>
      </c>
      <c r="F5134" s="152" t="s">
        <v>478</v>
      </c>
      <c r="G5134" s="152" t="s">
        <v>3764</v>
      </c>
      <c r="H5134" s="153" t="s">
        <v>211</v>
      </c>
    </row>
    <row r="5135" hidden="1">
      <c r="A5135" s="158" t="s">
        <v>231</v>
      </c>
      <c r="B5135" s="159"/>
      <c r="C5135" s="155" t="s">
        <v>232</v>
      </c>
      <c r="D5135" s="156" t="s">
        <v>5904</v>
      </c>
      <c r="E5135" s="156" t="s">
        <v>6004</v>
      </c>
      <c r="F5135" s="156" t="s">
        <v>448</v>
      </c>
      <c r="G5135" s="156" t="s">
        <v>3932</v>
      </c>
      <c r="H5135" s="157" t="s">
        <v>212</v>
      </c>
    </row>
    <row r="5136" hidden="1">
      <c r="A5136" s="160" t="s">
        <v>231</v>
      </c>
      <c r="B5136" s="72"/>
      <c r="C5136" s="118" t="s">
        <v>232</v>
      </c>
      <c r="D5136" s="152" t="s">
        <v>5904</v>
      </c>
      <c r="E5136" s="152" t="s">
        <v>6005</v>
      </c>
      <c r="F5136" s="152" t="s">
        <v>766</v>
      </c>
      <c r="G5136" s="152" t="s">
        <v>3535</v>
      </c>
      <c r="H5136" s="153" t="s">
        <v>213</v>
      </c>
    </row>
    <row r="5137" hidden="1">
      <c r="A5137" s="158" t="s">
        <v>231</v>
      </c>
      <c r="B5137" s="159"/>
      <c r="C5137" s="155" t="s">
        <v>232</v>
      </c>
      <c r="D5137" s="156" t="s">
        <v>5904</v>
      </c>
      <c r="E5137" s="156" t="s">
        <v>6006</v>
      </c>
      <c r="F5137" s="156" t="s">
        <v>577</v>
      </c>
      <c r="G5137" s="156" t="s">
        <v>4743</v>
      </c>
      <c r="H5137" s="157" t="s">
        <v>214</v>
      </c>
    </row>
    <row r="5138" hidden="1">
      <c r="A5138" s="160" t="s">
        <v>231</v>
      </c>
      <c r="B5138" s="72"/>
      <c r="C5138" s="118" t="s">
        <v>232</v>
      </c>
      <c r="D5138" s="152" t="s">
        <v>5904</v>
      </c>
      <c r="E5138" s="152" t="s">
        <v>6007</v>
      </c>
      <c r="F5138" s="152" t="s">
        <v>351</v>
      </c>
      <c r="G5138" s="152" t="s">
        <v>3200</v>
      </c>
      <c r="H5138" s="153" t="s">
        <v>215</v>
      </c>
    </row>
    <row r="5139" hidden="1">
      <c r="A5139" s="158" t="s">
        <v>231</v>
      </c>
      <c r="B5139" s="159"/>
      <c r="C5139" s="155" t="s">
        <v>232</v>
      </c>
      <c r="D5139" s="156" t="s">
        <v>5904</v>
      </c>
      <c r="E5139" s="156" t="s">
        <v>6008</v>
      </c>
      <c r="F5139" s="156" t="s">
        <v>577</v>
      </c>
      <c r="G5139" s="156" t="s">
        <v>3905</v>
      </c>
      <c r="H5139" s="157" t="s">
        <v>216</v>
      </c>
    </row>
    <row r="5140" hidden="1">
      <c r="A5140" s="160" t="s">
        <v>233</v>
      </c>
      <c r="B5140" s="72"/>
      <c r="C5140" s="118" t="s">
        <v>232</v>
      </c>
      <c r="D5140" s="152" t="s">
        <v>5904</v>
      </c>
      <c r="E5140" s="152" t="s">
        <v>6009</v>
      </c>
      <c r="F5140" s="152" t="s">
        <v>246</v>
      </c>
      <c r="G5140" s="152" t="s">
        <v>4305</v>
      </c>
      <c r="H5140" s="153" t="s">
        <v>210</v>
      </c>
    </row>
    <row r="5141" hidden="1">
      <c r="A5141" s="158" t="s">
        <v>233</v>
      </c>
      <c r="B5141" s="159"/>
      <c r="C5141" s="155" t="s">
        <v>232</v>
      </c>
      <c r="D5141" s="156" t="s">
        <v>5904</v>
      </c>
      <c r="E5141" s="156" t="s">
        <v>6010</v>
      </c>
      <c r="F5141" s="156" t="s">
        <v>244</v>
      </c>
      <c r="G5141" s="156" t="s">
        <v>3613</v>
      </c>
      <c r="H5141" s="157" t="s">
        <v>211</v>
      </c>
    </row>
    <row r="5142" hidden="1">
      <c r="A5142" s="160" t="s">
        <v>233</v>
      </c>
      <c r="B5142" s="72"/>
      <c r="C5142" s="118" t="s">
        <v>232</v>
      </c>
      <c r="D5142" s="152" t="s">
        <v>5904</v>
      </c>
      <c r="E5142" s="152" t="s">
        <v>6011</v>
      </c>
      <c r="F5142" s="152" t="s">
        <v>285</v>
      </c>
      <c r="G5142" s="152" t="s">
        <v>3893</v>
      </c>
      <c r="H5142" s="153" t="s">
        <v>212</v>
      </c>
    </row>
    <row r="5143" hidden="1">
      <c r="A5143" s="158" t="s">
        <v>233</v>
      </c>
      <c r="B5143" s="159"/>
      <c r="C5143" s="155" t="s">
        <v>232</v>
      </c>
      <c r="D5143" s="156" t="s">
        <v>5904</v>
      </c>
      <c r="E5143" s="156" t="s">
        <v>6012</v>
      </c>
      <c r="F5143" s="156" t="s">
        <v>331</v>
      </c>
      <c r="G5143" s="156" t="s">
        <v>3908</v>
      </c>
      <c r="H5143" s="157" t="s">
        <v>213</v>
      </c>
    </row>
    <row r="5144" hidden="1">
      <c r="A5144" s="160" t="s">
        <v>233</v>
      </c>
      <c r="B5144" s="72"/>
      <c r="C5144" s="118" t="s">
        <v>232</v>
      </c>
      <c r="D5144" s="152" t="s">
        <v>5904</v>
      </c>
      <c r="E5144" s="152" t="s">
        <v>6013</v>
      </c>
      <c r="F5144" s="152" t="s">
        <v>287</v>
      </c>
      <c r="G5144" s="152" t="s">
        <v>2965</v>
      </c>
      <c r="H5144" s="153" t="s">
        <v>214</v>
      </c>
    </row>
    <row r="5145" hidden="1">
      <c r="A5145" s="158" t="s">
        <v>233</v>
      </c>
      <c r="B5145" s="159"/>
      <c r="C5145" s="155" t="s">
        <v>232</v>
      </c>
      <c r="D5145" s="156" t="s">
        <v>5904</v>
      </c>
      <c r="E5145" s="156" t="s">
        <v>6014</v>
      </c>
      <c r="F5145" s="156" t="s">
        <v>492</v>
      </c>
      <c r="G5145" s="156" t="s">
        <v>2177</v>
      </c>
      <c r="H5145" s="157" t="s">
        <v>215</v>
      </c>
    </row>
    <row r="5146" hidden="1">
      <c r="A5146" s="160" t="s">
        <v>233</v>
      </c>
      <c r="B5146" s="72"/>
      <c r="C5146" s="118" t="s">
        <v>232</v>
      </c>
      <c r="D5146" s="152" t="s">
        <v>5904</v>
      </c>
      <c r="E5146" s="152" t="s">
        <v>6015</v>
      </c>
      <c r="F5146" s="152" t="s">
        <v>244</v>
      </c>
      <c r="G5146" s="152" t="s">
        <v>2826</v>
      </c>
      <c r="H5146" s="153" t="s">
        <v>216</v>
      </c>
    </row>
    <row r="5147" hidden="1">
      <c r="A5147" s="158" t="s">
        <v>234</v>
      </c>
      <c r="B5147" s="159"/>
      <c r="C5147" s="155" t="s">
        <v>232</v>
      </c>
      <c r="D5147" s="156" t="s">
        <v>5904</v>
      </c>
      <c r="E5147" s="156" t="s">
        <v>6016</v>
      </c>
      <c r="F5147" s="156" t="s">
        <v>433</v>
      </c>
      <c r="G5147" s="156" t="s">
        <v>2303</v>
      </c>
      <c r="H5147" s="157" t="s">
        <v>210</v>
      </c>
    </row>
    <row r="5148" hidden="1">
      <c r="A5148" s="160" t="s">
        <v>234</v>
      </c>
      <c r="B5148" s="72"/>
      <c r="C5148" s="118" t="s">
        <v>232</v>
      </c>
      <c r="D5148" s="152" t="s">
        <v>5904</v>
      </c>
      <c r="E5148" s="152" t="s">
        <v>6017</v>
      </c>
      <c r="F5148" s="152" t="s">
        <v>1236</v>
      </c>
      <c r="G5148" s="152" t="s">
        <v>2694</v>
      </c>
      <c r="H5148" s="153" t="s">
        <v>211</v>
      </c>
    </row>
    <row r="5149" hidden="1">
      <c r="A5149" s="158" t="s">
        <v>234</v>
      </c>
      <c r="B5149" s="159"/>
      <c r="C5149" s="155" t="s">
        <v>232</v>
      </c>
      <c r="D5149" s="156" t="s">
        <v>5904</v>
      </c>
      <c r="E5149" s="156" t="s">
        <v>6018</v>
      </c>
      <c r="F5149" s="156" t="s">
        <v>279</v>
      </c>
      <c r="G5149" s="156" t="s">
        <v>4338</v>
      </c>
      <c r="H5149" s="157" t="s">
        <v>212</v>
      </c>
    </row>
    <row r="5150" hidden="1">
      <c r="A5150" s="160" t="s">
        <v>234</v>
      </c>
      <c r="B5150" s="72"/>
      <c r="C5150" s="118" t="s">
        <v>232</v>
      </c>
      <c r="D5150" s="152" t="s">
        <v>5904</v>
      </c>
      <c r="E5150" s="152" t="s">
        <v>6019</v>
      </c>
      <c r="F5150" s="152" t="s">
        <v>433</v>
      </c>
      <c r="G5150" s="152" t="s">
        <v>1923</v>
      </c>
      <c r="H5150" s="153" t="s">
        <v>213</v>
      </c>
    </row>
    <row r="5151" hidden="1">
      <c r="A5151" s="158" t="s">
        <v>234</v>
      </c>
      <c r="B5151" s="159"/>
      <c r="C5151" s="155" t="s">
        <v>232</v>
      </c>
      <c r="D5151" s="156" t="s">
        <v>5904</v>
      </c>
      <c r="E5151" s="156" t="s">
        <v>6020</v>
      </c>
      <c r="F5151" s="156" t="s">
        <v>433</v>
      </c>
      <c r="G5151" s="156" t="s">
        <v>3341</v>
      </c>
      <c r="H5151" s="157" t="s">
        <v>214</v>
      </c>
    </row>
    <row r="5152" hidden="1">
      <c r="A5152" s="160" t="s">
        <v>234</v>
      </c>
      <c r="B5152" s="72"/>
      <c r="C5152" s="118" t="s">
        <v>232</v>
      </c>
      <c r="D5152" s="152" t="s">
        <v>5904</v>
      </c>
      <c r="E5152" s="152" t="s">
        <v>6021</v>
      </c>
      <c r="F5152" s="152" t="s">
        <v>1181</v>
      </c>
      <c r="G5152" s="152" t="s">
        <v>2929</v>
      </c>
      <c r="H5152" s="153" t="s">
        <v>215</v>
      </c>
    </row>
    <row r="5153" hidden="1">
      <c r="A5153" s="158" t="s">
        <v>234</v>
      </c>
      <c r="B5153" s="159"/>
      <c r="C5153" s="155" t="s">
        <v>232</v>
      </c>
      <c r="D5153" s="156" t="s">
        <v>5904</v>
      </c>
      <c r="E5153" s="156" t="s">
        <v>6022</v>
      </c>
      <c r="F5153" s="156" t="s">
        <v>1551</v>
      </c>
      <c r="G5153" s="156" t="s">
        <v>1864</v>
      </c>
      <c r="H5153" s="157" t="s">
        <v>216</v>
      </c>
    </row>
    <row r="5154" hidden="1">
      <c r="A5154" s="160" t="s">
        <v>235</v>
      </c>
      <c r="B5154" s="72"/>
      <c r="C5154" s="118" t="s">
        <v>236</v>
      </c>
      <c r="D5154" s="152" t="s">
        <v>5904</v>
      </c>
      <c r="E5154" s="152" t="s">
        <v>6023</v>
      </c>
      <c r="F5154" s="152" t="s">
        <v>359</v>
      </c>
      <c r="G5154" s="152" t="s">
        <v>3205</v>
      </c>
      <c r="H5154" s="153" t="s">
        <v>210</v>
      </c>
    </row>
    <row r="5155" hidden="1">
      <c r="A5155" s="158" t="s">
        <v>235</v>
      </c>
      <c r="B5155" s="159"/>
      <c r="C5155" s="155" t="s">
        <v>236</v>
      </c>
      <c r="D5155" s="156" t="s">
        <v>5904</v>
      </c>
      <c r="E5155" s="156" t="s">
        <v>6024</v>
      </c>
      <c r="F5155" s="156" t="s">
        <v>359</v>
      </c>
      <c r="G5155" s="156" t="s">
        <v>3618</v>
      </c>
      <c r="H5155" s="157" t="s">
        <v>211</v>
      </c>
    </row>
    <row r="5156" hidden="1">
      <c r="A5156" s="160" t="s">
        <v>235</v>
      </c>
      <c r="B5156" s="72"/>
      <c r="C5156" s="118" t="s">
        <v>236</v>
      </c>
      <c r="D5156" s="152" t="s">
        <v>5904</v>
      </c>
      <c r="E5156" s="152" t="s">
        <v>6025</v>
      </c>
      <c r="F5156" s="152" t="s">
        <v>308</v>
      </c>
      <c r="G5156" s="152" t="s">
        <v>4194</v>
      </c>
      <c r="H5156" s="153" t="s">
        <v>212</v>
      </c>
    </row>
    <row r="5157" hidden="1">
      <c r="A5157" s="158" t="s">
        <v>235</v>
      </c>
      <c r="B5157" s="159"/>
      <c r="C5157" s="155" t="s">
        <v>236</v>
      </c>
      <c r="D5157" s="156" t="s">
        <v>5904</v>
      </c>
      <c r="E5157" s="156" t="s">
        <v>6026</v>
      </c>
      <c r="F5157" s="156" t="s">
        <v>427</v>
      </c>
      <c r="G5157" s="156" t="s">
        <v>3919</v>
      </c>
      <c r="H5157" s="157" t="s">
        <v>213</v>
      </c>
    </row>
    <row r="5158" hidden="1">
      <c r="A5158" s="160" t="s">
        <v>235</v>
      </c>
      <c r="B5158" s="72"/>
      <c r="C5158" s="118" t="s">
        <v>236</v>
      </c>
      <c r="D5158" s="152" t="s">
        <v>5904</v>
      </c>
      <c r="E5158" s="152" t="s">
        <v>6027</v>
      </c>
      <c r="F5158" s="152" t="s">
        <v>365</v>
      </c>
      <c r="G5158" s="152" t="s">
        <v>3900</v>
      </c>
      <c r="H5158" s="153" t="s">
        <v>214</v>
      </c>
    </row>
    <row r="5159" hidden="1">
      <c r="A5159" s="158" t="s">
        <v>235</v>
      </c>
      <c r="B5159" s="159"/>
      <c r="C5159" s="155" t="s">
        <v>236</v>
      </c>
      <c r="D5159" s="156" t="s">
        <v>5904</v>
      </c>
      <c r="E5159" s="156" t="s">
        <v>6028</v>
      </c>
      <c r="F5159" s="156" t="s">
        <v>255</v>
      </c>
      <c r="G5159" s="156" t="s">
        <v>2181</v>
      </c>
      <c r="H5159" s="157" t="s">
        <v>215</v>
      </c>
    </row>
    <row r="5160" hidden="1">
      <c r="A5160" s="160" t="s">
        <v>235</v>
      </c>
      <c r="B5160" s="72"/>
      <c r="C5160" s="118" t="s">
        <v>236</v>
      </c>
      <c r="D5160" s="152" t="s">
        <v>5904</v>
      </c>
      <c r="E5160" s="152" t="s">
        <v>6029</v>
      </c>
      <c r="F5160" s="152" t="s">
        <v>359</v>
      </c>
      <c r="G5160" s="152" t="s">
        <v>2513</v>
      </c>
      <c r="H5160" s="153" t="s">
        <v>216</v>
      </c>
    </row>
    <row r="5161" hidden="1">
      <c r="A5161" s="158" t="s">
        <v>237</v>
      </c>
      <c r="B5161" s="159"/>
      <c r="C5161" s="155" t="s">
        <v>236</v>
      </c>
      <c r="D5161" s="156" t="s">
        <v>5904</v>
      </c>
      <c r="E5161" s="156" t="s">
        <v>6030</v>
      </c>
      <c r="F5161" s="156" t="s">
        <v>204</v>
      </c>
      <c r="G5161" s="156" t="s">
        <v>1834</v>
      </c>
      <c r="H5161" s="157" t="s">
        <v>210</v>
      </c>
    </row>
    <row r="5162" hidden="1">
      <c r="A5162" s="160" t="s">
        <v>237</v>
      </c>
      <c r="B5162" s="72"/>
      <c r="C5162" s="118" t="s">
        <v>236</v>
      </c>
      <c r="D5162" s="152" t="s">
        <v>5904</v>
      </c>
      <c r="E5162" s="152" t="s">
        <v>6031</v>
      </c>
      <c r="F5162" s="152" t="s">
        <v>433</v>
      </c>
      <c r="G5162" s="152" t="s">
        <v>2311</v>
      </c>
      <c r="H5162" s="153" t="s">
        <v>211</v>
      </c>
    </row>
    <row r="5163" hidden="1">
      <c r="A5163" s="158" t="s">
        <v>237</v>
      </c>
      <c r="B5163" s="159"/>
      <c r="C5163" s="155" t="s">
        <v>236</v>
      </c>
      <c r="D5163" s="156" t="s">
        <v>5904</v>
      </c>
      <c r="E5163" s="156" t="s">
        <v>6032</v>
      </c>
      <c r="F5163" s="156" t="s">
        <v>276</v>
      </c>
      <c r="G5163" s="156" t="s">
        <v>3151</v>
      </c>
      <c r="H5163" s="157" t="s">
        <v>212</v>
      </c>
    </row>
    <row r="5164" hidden="1">
      <c r="A5164" s="160" t="s">
        <v>237</v>
      </c>
      <c r="B5164" s="72"/>
      <c r="C5164" s="118" t="s">
        <v>236</v>
      </c>
      <c r="D5164" s="152" t="s">
        <v>5904</v>
      </c>
      <c r="E5164" s="152" t="s">
        <v>6033</v>
      </c>
      <c r="F5164" s="152" t="s">
        <v>204</v>
      </c>
      <c r="G5164" s="152" t="s">
        <v>1918</v>
      </c>
      <c r="H5164" s="153" t="s">
        <v>213</v>
      </c>
    </row>
    <row r="5165" hidden="1">
      <c r="A5165" s="158" t="s">
        <v>237</v>
      </c>
      <c r="B5165" s="159"/>
      <c r="C5165" s="155" t="s">
        <v>236</v>
      </c>
      <c r="D5165" s="156" t="s">
        <v>5904</v>
      </c>
      <c r="E5165" s="156" t="s">
        <v>6034</v>
      </c>
      <c r="F5165" s="156" t="s">
        <v>274</v>
      </c>
      <c r="G5165" s="156" t="s">
        <v>1951</v>
      </c>
      <c r="H5165" s="157" t="s">
        <v>214</v>
      </c>
    </row>
    <row r="5166" hidden="1">
      <c r="A5166" s="160" t="s">
        <v>237</v>
      </c>
      <c r="B5166" s="72"/>
      <c r="C5166" s="118" t="s">
        <v>236</v>
      </c>
      <c r="D5166" s="152" t="s">
        <v>5904</v>
      </c>
      <c r="E5166" s="152" t="s">
        <v>6035</v>
      </c>
      <c r="F5166" s="152" t="s">
        <v>274</v>
      </c>
      <c r="G5166" s="152" t="s">
        <v>2718</v>
      </c>
      <c r="H5166" s="153" t="s">
        <v>215</v>
      </c>
    </row>
    <row r="5167" hidden="1">
      <c r="A5167" s="158" t="s">
        <v>237</v>
      </c>
      <c r="B5167" s="159"/>
      <c r="C5167" s="155" t="s">
        <v>236</v>
      </c>
      <c r="D5167" s="156" t="s">
        <v>5904</v>
      </c>
      <c r="E5167" s="156" t="s">
        <v>6036</v>
      </c>
      <c r="F5167" s="156" t="s">
        <v>442</v>
      </c>
      <c r="G5167" s="156" t="s">
        <v>2405</v>
      </c>
      <c r="H5167" s="157" t="s">
        <v>216</v>
      </c>
    </row>
    <row r="5168" hidden="1">
      <c r="A5168" s="151" t="s">
        <v>204</v>
      </c>
      <c r="B5168" s="118" t="s">
        <v>205</v>
      </c>
      <c r="C5168" s="118" t="s">
        <v>206</v>
      </c>
      <c r="D5168" s="152" t="s">
        <v>6037</v>
      </c>
      <c r="E5168" s="152" t="s">
        <v>6038</v>
      </c>
      <c r="F5168" s="152" t="s">
        <v>257</v>
      </c>
      <c r="G5168" s="152" t="s">
        <v>2383</v>
      </c>
      <c r="H5168" s="153" t="s">
        <v>210</v>
      </c>
    </row>
    <row r="5169" hidden="1">
      <c r="A5169" s="154" t="s">
        <v>204</v>
      </c>
      <c r="B5169" s="155" t="s">
        <v>205</v>
      </c>
      <c r="C5169" s="155" t="s">
        <v>206</v>
      </c>
      <c r="D5169" s="156" t="s">
        <v>6037</v>
      </c>
      <c r="E5169" s="156" t="s">
        <v>6039</v>
      </c>
      <c r="F5169" s="156" t="s">
        <v>246</v>
      </c>
      <c r="G5169" s="156" t="s">
        <v>4006</v>
      </c>
      <c r="H5169" s="157" t="s">
        <v>211</v>
      </c>
    </row>
    <row r="5170" hidden="1">
      <c r="A5170" s="151" t="s">
        <v>204</v>
      </c>
      <c r="B5170" s="118" t="s">
        <v>205</v>
      </c>
      <c r="C5170" s="118" t="s">
        <v>206</v>
      </c>
      <c r="D5170" s="152" t="s">
        <v>6037</v>
      </c>
      <c r="E5170" s="152" t="s">
        <v>6040</v>
      </c>
      <c r="F5170" s="152" t="s">
        <v>246</v>
      </c>
      <c r="G5170" s="152" t="s">
        <v>3718</v>
      </c>
      <c r="H5170" s="153" t="s">
        <v>212</v>
      </c>
    </row>
    <row r="5171" hidden="1">
      <c r="A5171" s="154" t="s">
        <v>204</v>
      </c>
      <c r="B5171" s="155" t="s">
        <v>205</v>
      </c>
      <c r="C5171" s="155" t="s">
        <v>206</v>
      </c>
      <c r="D5171" s="156" t="s">
        <v>6037</v>
      </c>
      <c r="E5171" s="156" t="s">
        <v>6041</v>
      </c>
      <c r="F5171" s="156" t="s">
        <v>244</v>
      </c>
      <c r="G5171" s="156" t="s">
        <v>3445</v>
      </c>
      <c r="H5171" s="157" t="s">
        <v>213</v>
      </c>
    </row>
    <row r="5172" hidden="1">
      <c r="A5172" s="151" t="s">
        <v>204</v>
      </c>
      <c r="B5172" s="118" t="s">
        <v>205</v>
      </c>
      <c r="C5172" s="118" t="s">
        <v>206</v>
      </c>
      <c r="D5172" s="152" t="s">
        <v>6037</v>
      </c>
      <c r="E5172" s="152" t="s">
        <v>6042</v>
      </c>
      <c r="F5172" s="152" t="s">
        <v>240</v>
      </c>
      <c r="G5172" s="152" t="s">
        <v>4013</v>
      </c>
      <c r="H5172" s="153" t="s">
        <v>214</v>
      </c>
    </row>
    <row r="5173" hidden="1">
      <c r="A5173" s="154" t="s">
        <v>204</v>
      </c>
      <c r="B5173" s="155" t="s">
        <v>205</v>
      </c>
      <c r="C5173" s="155" t="s">
        <v>206</v>
      </c>
      <c r="D5173" s="156" t="s">
        <v>6037</v>
      </c>
      <c r="E5173" s="156" t="s">
        <v>6043</v>
      </c>
      <c r="F5173" s="156" t="s">
        <v>246</v>
      </c>
      <c r="G5173" s="156" t="s">
        <v>2992</v>
      </c>
      <c r="H5173" s="157" t="s">
        <v>215</v>
      </c>
    </row>
    <row r="5174" hidden="1">
      <c r="A5174" s="151" t="s">
        <v>204</v>
      </c>
      <c r="B5174" s="118" t="s">
        <v>205</v>
      </c>
      <c r="C5174" s="118" t="s">
        <v>206</v>
      </c>
      <c r="D5174" s="152" t="s">
        <v>6037</v>
      </c>
      <c r="E5174" s="152" t="s">
        <v>6044</v>
      </c>
      <c r="F5174" s="152" t="s">
        <v>257</v>
      </c>
      <c r="G5174" s="152" t="s">
        <v>3482</v>
      </c>
      <c r="H5174" s="153" t="s">
        <v>216</v>
      </c>
    </row>
    <row r="5175" hidden="1">
      <c r="A5175" s="154" t="s">
        <v>217</v>
      </c>
      <c r="B5175" s="155" t="s">
        <v>191</v>
      </c>
      <c r="C5175" s="155" t="s">
        <v>206</v>
      </c>
      <c r="D5175" s="156" t="s">
        <v>6037</v>
      </c>
      <c r="E5175" s="156" t="s">
        <v>6045</v>
      </c>
      <c r="F5175" s="156" t="s">
        <v>276</v>
      </c>
      <c r="G5175" s="156" t="s">
        <v>2818</v>
      </c>
      <c r="H5175" s="157" t="s">
        <v>210</v>
      </c>
    </row>
    <row r="5176" hidden="1">
      <c r="A5176" s="151" t="s">
        <v>217</v>
      </c>
      <c r="B5176" s="118" t="s">
        <v>191</v>
      </c>
      <c r="C5176" s="118" t="s">
        <v>206</v>
      </c>
      <c r="D5176" s="152" t="s">
        <v>6037</v>
      </c>
      <c r="E5176" s="152" t="s">
        <v>6046</v>
      </c>
      <c r="F5176" s="152" t="s">
        <v>269</v>
      </c>
      <c r="G5176" s="152" t="s">
        <v>3449</v>
      </c>
      <c r="H5176" s="153" t="s">
        <v>211</v>
      </c>
    </row>
    <row r="5177" hidden="1">
      <c r="A5177" s="154" t="s">
        <v>217</v>
      </c>
      <c r="B5177" s="155" t="s">
        <v>191</v>
      </c>
      <c r="C5177" s="155" t="s">
        <v>206</v>
      </c>
      <c r="D5177" s="156" t="s">
        <v>6037</v>
      </c>
      <c r="E5177" s="156" t="s">
        <v>6047</v>
      </c>
      <c r="F5177" s="156" t="s">
        <v>298</v>
      </c>
      <c r="G5177" s="156" t="s">
        <v>2513</v>
      </c>
      <c r="H5177" s="157" t="s">
        <v>212</v>
      </c>
    </row>
    <row r="5178" hidden="1">
      <c r="A5178" s="151" t="s">
        <v>217</v>
      </c>
      <c r="B5178" s="118" t="s">
        <v>191</v>
      </c>
      <c r="C5178" s="118" t="s">
        <v>206</v>
      </c>
      <c r="D5178" s="152" t="s">
        <v>6037</v>
      </c>
      <c r="E5178" s="152" t="s">
        <v>6048</v>
      </c>
      <c r="F5178" s="152" t="s">
        <v>492</v>
      </c>
      <c r="G5178" s="152" t="s">
        <v>2519</v>
      </c>
      <c r="H5178" s="153" t="s">
        <v>213</v>
      </c>
    </row>
    <row r="5179" hidden="1">
      <c r="A5179" s="154" t="s">
        <v>217</v>
      </c>
      <c r="B5179" s="155" t="s">
        <v>191</v>
      </c>
      <c r="C5179" s="155" t="s">
        <v>206</v>
      </c>
      <c r="D5179" s="156" t="s">
        <v>6037</v>
      </c>
      <c r="E5179" s="156" t="s">
        <v>6049</v>
      </c>
      <c r="F5179" s="156" t="s">
        <v>265</v>
      </c>
      <c r="G5179" s="156" t="s">
        <v>3558</v>
      </c>
      <c r="H5179" s="157" t="s">
        <v>214</v>
      </c>
    </row>
    <row r="5180" hidden="1">
      <c r="A5180" s="151" t="s">
        <v>217</v>
      </c>
      <c r="B5180" s="118" t="s">
        <v>191</v>
      </c>
      <c r="C5180" s="118" t="s">
        <v>206</v>
      </c>
      <c r="D5180" s="152" t="s">
        <v>6037</v>
      </c>
      <c r="E5180" s="152" t="s">
        <v>6050</v>
      </c>
      <c r="F5180" s="152" t="s">
        <v>257</v>
      </c>
      <c r="G5180" s="152" t="s">
        <v>2814</v>
      </c>
      <c r="H5180" s="153" t="s">
        <v>215</v>
      </c>
    </row>
    <row r="5181" hidden="1">
      <c r="A5181" s="154" t="s">
        <v>217</v>
      </c>
      <c r="B5181" s="155" t="s">
        <v>191</v>
      </c>
      <c r="C5181" s="155" t="s">
        <v>206</v>
      </c>
      <c r="D5181" s="156" t="s">
        <v>6037</v>
      </c>
      <c r="E5181" s="156" t="s">
        <v>6051</v>
      </c>
      <c r="F5181" s="156" t="s">
        <v>374</v>
      </c>
      <c r="G5181" s="156" t="s">
        <v>2510</v>
      </c>
      <c r="H5181" s="157" t="s">
        <v>216</v>
      </c>
    </row>
    <row r="5182" hidden="1">
      <c r="A5182" s="151" t="s">
        <v>218</v>
      </c>
      <c r="B5182" s="118" t="s">
        <v>219</v>
      </c>
      <c r="C5182" s="118" t="s">
        <v>206</v>
      </c>
      <c r="D5182" s="152" t="s">
        <v>6037</v>
      </c>
      <c r="E5182" s="152" t="s">
        <v>6052</v>
      </c>
      <c r="F5182" s="152" t="s">
        <v>204</v>
      </c>
      <c r="G5182" s="152" t="s">
        <v>3400</v>
      </c>
      <c r="H5182" s="153" t="s">
        <v>210</v>
      </c>
    </row>
    <row r="5183" hidden="1">
      <c r="A5183" s="154" t="s">
        <v>218</v>
      </c>
      <c r="B5183" s="155" t="s">
        <v>219</v>
      </c>
      <c r="C5183" s="155" t="s">
        <v>206</v>
      </c>
      <c r="D5183" s="156" t="s">
        <v>6037</v>
      </c>
      <c r="E5183" s="156" t="s">
        <v>6053</v>
      </c>
      <c r="F5183" s="156" t="s">
        <v>458</v>
      </c>
      <c r="G5183" s="156" t="s">
        <v>2995</v>
      </c>
      <c r="H5183" s="157" t="s">
        <v>211</v>
      </c>
    </row>
    <row r="5184" hidden="1">
      <c r="A5184" s="151" t="s">
        <v>218</v>
      </c>
      <c r="B5184" s="118" t="s">
        <v>219</v>
      </c>
      <c r="C5184" s="118" t="s">
        <v>206</v>
      </c>
      <c r="D5184" s="152" t="s">
        <v>6037</v>
      </c>
      <c r="E5184" s="152" t="s">
        <v>6054</v>
      </c>
      <c r="F5184" s="152" t="s">
        <v>1236</v>
      </c>
      <c r="G5184" s="152" t="s">
        <v>2219</v>
      </c>
      <c r="H5184" s="153" t="s">
        <v>212</v>
      </c>
    </row>
    <row r="5185" hidden="1">
      <c r="A5185" s="154" t="s">
        <v>218</v>
      </c>
      <c r="B5185" s="155" t="s">
        <v>219</v>
      </c>
      <c r="C5185" s="155" t="s">
        <v>206</v>
      </c>
      <c r="D5185" s="156" t="s">
        <v>6037</v>
      </c>
      <c r="E5185" s="156" t="s">
        <v>6055</v>
      </c>
      <c r="F5185" s="156" t="s">
        <v>262</v>
      </c>
      <c r="G5185" s="156" t="s">
        <v>3400</v>
      </c>
      <c r="H5185" s="157" t="s">
        <v>213</v>
      </c>
    </row>
    <row r="5186" hidden="1">
      <c r="A5186" s="151" t="s">
        <v>218</v>
      </c>
      <c r="B5186" s="118" t="s">
        <v>219</v>
      </c>
      <c r="C5186" s="118" t="s">
        <v>206</v>
      </c>
      <c r="D5186" s="152" t="s">
        <v>6037</v>
      </c>
      <c r="E5186" s="152" t="s">
        <v>6056</v>
      </c>
      <c r="F5186" s="152" t="s">
        <v>262</v>
      </c>
      <c r="G5186" s="152" t="s">
        <v>3554</v>
      </c>
      <c r="H5186" s="153" t="s">
        <v>214</v>
      </c>
    </row>
    <row r="5187" hidden="1">
      <c r="A5187" s="154" t="s">
        <v>218</v>
      </c>
      <c r="B5187" s="155" t="s">
        <v>219</v>
      </c>
      <c r="C5187" s="155" t="s">
        <v>206</v>
      </c>
      <c r="D5187" s="156" t="s">
        <v>6037</v>
      </c>
      <c r="E5187" s="156" t="s">
        <v>6057</v>
      </c>
      <c r="F5187" s="156" t="s">
        <v>442</v>
      </c>
      <c r="G5187" s="156" t="s">
        <v>2826</v>
      </c>
      <c r="H5187" s="157" t="s">
        <v>215</v>
      </c>
    </row>
    <row r="5188" hidden="1">
      <c r="A5188" s="151" t="s">
        <v>218</v>
      </c>
      <c r="B5188" s="118" t="s">
        <v>219</v>
      </c>
      <c r="C5188" s="118" t="s">
        <v>206</v>
      </c>
      <c r="D5188" s="152" t="s">
        <v>6037</v>
      </c>
      <c r="E5188" s="152" t="s">
        <v>6058</v>
      </c>
      <c r="F5188" s="152" t="s">
        <v>436</v>
      </c>
      <c r="G5188" s="152" t="s">
        <v>3404</v>
      </c>
      <c r="H5188" s="153" t="s">
        <v>216</v>
      </c>
    </row>
    <row r="5189" hidden="1">
      <c r="A5189" s="154" t="s">
        <v>220</v>
      </c>
      <c r="B5189" s="155" t="s">
        <v>190</v>
      </c>
      <c r="C5189" s="155" t="s">
        <v>206</v>
      </c>
      <c r="D5189" s="156" t="s">
        <v>6037</v>
      </c>
      <c r="E5189" s="156" t="s">
        <v>6059</v>
      </c>
      <c r="F5189" s="156" t="s">
        <v>4052</v>
      </c>
      <c r="G5189" s="156" t="s">
        <v>3917</v>
      </c>
      <c r="H5189" s="157" t="s">
        <v>210</v>
      </c>
    </row>
    <row r="5190" hidden="1">
      <c r="A5190" s="151" t="s">
        <v>220</v>
      </c>
      <c r="B5190" s="118" t="s">
        <v>190</v>
      </c>
      <c r="C5190" s="118" t="s">
        <v>206</v>
      </c>
      <c r="D5190" s="152" t="s">
        <v>6037</v>
      </c>
      <c r="E5190" s="152" t="s">
        <v>6060</v>
      </c>
      <c r="F5190" s="152" t="s">
        <v>735</v>
      </c>
      <c r="G5190" s="152" t="s">
        <v>2510</v>
      </c>
      <c r="H5190" s="153" t="s">
        <v>211</v>
      </c>
    </row>
    <row r="5191" hidden="1">
      <c r="A5191" s="154" t="s">
        <v>220</v>
      </c>
      <c r="B5191" s="155" t="s">
        <v>190</v>
      </c>
      <c r="C5191" s="155" t="s">
        <v>206</v>
      </c>
      <c r="D5191" s="156" t="s">
        <v>6037</v>
      </c>
      <c r="E5191" s="156" t="s">
        <v>6061</v>
      </c>
      <c r="F5191" s="156" t="s">
        <v>718</v>
      </c>
      <c r="G5191" s="156" t="s">
        <v>3989</v>
      </c>
      <c r="H5191" s="157" t="s">
        <v>212</v>
      </c>
    </row>
    <row r="5192" hidden="1">
      <c r="A5192" s="151" t="s">
        <v>220</v>
      </c>
      <c r="B5192" s="118" t="s">
        <v>190</v>
      </c>
      <c r="C5192" s="118" t="s">
        <v>206</v>
      </c>
      <c r="D5192" s="152" t="s">
        <v>6037</v>
      </c>
      <c r="E5192" s="152" t="s">
        <v>6062</v>
      </c>
      <c r="F5192" s="152" t="s">
        <v>758</v>
      </c>
      <c r="G5192" s="152" t="s">
        <v>3272</v>
      </c>
      <c r="H5192" s="153" t="s">
        <v>213</v>
      </c>
    </row>
    <row r="5193" hidden="1">
      <c r="A5193" s="154" t="s">
        <v>220</v>
      </c>
      <c r="B5193" s="155" t="s">
        <v>190</v>
      </c>
      <c r="C5193" s="155" t="s">
        <v>206</v>
      </c>
      <c r="D5193" s="156" t="s">
        <v>6037</v>
      </c>
      <c r="E5193" s="156" t="s">
        <v>6063</v>
      </c>
      <c r="F5193" s="156" t="s">
        <v>314</v>
      </c>
      <c r="G5193" s="156" t="s">
        <v>3203</v>
      </c>
      <c r="H5193" s="157" t="s">
        <v>214</v>
      </c>
    </row>
    <row r="5194" hidden="1">
      <c r="A5194" s="151" t="s">
        <v>220</v>
      </c>
      <c r="B5194" s="118" t="s">
        <v>190</v>
      </c>
      <c r="C5194" s="118" t="s">
        <v>206</v>
      </c>
      <c r="D5194" s="152" t="s">
        <v>6037</v>
      </c>
      <c r="E5194" s="152" t="s">
        <v>6064</v>
      </c>
      <c r="F5194" s="152" t="s">
        <v>339</v>
      </c>
      <c r="G5194" s="152" t="s">
        <v>2283</v>
      </c>
      <c r="H5194" s="153" t="s">
        <v>215</v>
      </c>
    </row>
    <row r="5195" hidden="1">
      <c r="A5195" s="154" t="s">
        <v>220</v>
      </c>
      <c r="B5195" s="155" t="s">
        <v>190</v>
      </c>
      <c r="C5195" s="155" t="s">
        <v>206</v>
      </c>
      <c r="D5195" s="156" t="s">
        <v>6037</v>
      </c>
      <c r="E5195" s="156" t="s">
        <v>6065</v>
      </c>
      <c r="F5195" s="156" t="s">
        <v>691</v>
      </c>
      <c r="G5195" s="156" t="s">
        <v>2517</v>
      </c>
      <c r="H5195" s="157" t="s">
        <v>216</v>
      </c>
    </row>
    <row r="5196" hidden="1">
      <c r="A5196" s="151" t="s">
        <v>221</v>
      </c>
      <c r="B5196" s="118" t="s">
        <v>189</v>
      </c>
      <c r="C5196" s="118" t="s">
        <v>206</v>
      </c>
      <c r="D5196" s="152" t="s">
        <v>6037</v>
      </c>
      <c r="E5196" s="152" t="s">
        <v>6066</v>
      </c>
      <c r="F5196" s="152" t="s">
        <v>276</v>
      </c>
      <c r="G5196" s="152" t="s">
        <v>1775</v>
      </c>
      <c r="H5196" s="153" t="s">
        <v>210</v>
      </c>
    </row>
    <row r="5197" hidden="1">
      <c r="A5197" s="154" t="s">
        <v>221</v>
      </c>
      <c r="B5197" s="155" t="s">
        <v>189</v>
      </c>
      <c r="C5197" s="155" t="s">
        <v>206</v>
      </c>
      <c r="D5197" s="156" t="s">
        <v>6037</v>
      </c>
      <c r="E5197" s="156" t="s">
        <v>6067</v>
      </c>
      <c r="F5197" s="156" t="s">
        <v>442</v>
      </c>
      <c r="G5197" s="156" t="s">
        <v>2077</v>
      </c>
      <c r="H5197" s="157" t="s">
        <v>211</v>
      </c>
    </row>
    <row r="5198" hidden="1">
      <c r="A5198" s="151" t="s">
        <v>221</v>
      </c>
      <c r="B5198" s="118" t="s">
        <v>189</v>
      </c>
      <c r="C5198" s="118" t="s">
        <v>206</v>
      </c>
      <c r="D5198" s="152" t="s">
        <v>6037</v>
      </c>
      <c r="E5198" s="152" t="s">
        <v>6068</v>
      </c>
      <c r="F5198" s="152" t="s">
        <v>374</v>
      </c>
      <c r="G5198" s="152" t="s">
        <v>2254</v>
      </c>
      <c r="H5198" s="153" t="s">
        <v>212</v>
      </c>
    </row>
    <row r="5199" hidden="1">
      <c r="A5199" s="154" t="s">
        <v>221</v>
      </c>
      <c r="B5199" s="155" t="s">
        <v>189</v>
      </c>
      <c r="C5199" s="155" t="s">
        <v>206</v>
      </c>
      <c r="D5199" s="156" t="s">
        <v>6037</v>
      </c>
      <c r="E5199" s="156" t="s">
        <v>6069</v>
      </c>
      <c r="F5199" s="156" t="s">
        <v>436</v>
      </c>
      <c r="G5199" s="156" t="s">
        <v>3625</v>
      </c>
      <c r="H5199" s="157" t="s">
        <v>213</v>
      </c>
    </row>
    <row r="5200" hidden="1">
      <c r="A5200" s="151" t="s">
        <v>221</v>
      </c>
      <c r="B5200" s="118" t="s">
        <v>189</v>
      </c>
      <c r="C5200" s="118" t="s">
        <v>206</v>
      </c>
      <c r="D5200" s="152" t="s">
        <v>6037</v>
      </c>
      <c r="E5200" s="152" t="s">
        <v>6070</v>
      </c>
      <c r="F5200" s="152" t="s">
        <v>204</v>
      </c>
      <c r="G5200" s="152" t="s">
        <v>1896</v>
      </c>
      <c r="H5200" s="153" t="s">
        <v>214</v>
      </c>
    </row>
    <row r="5201" hidden="1">
      <c r="A5201" s="154" t="s">
        <v>221</v>
      </c>
      <c r="B5201" s="155" t="s">
        <v>189</v>
      </c>
      <c r="C5201" s="155" t="s">
        <v>206</v>
      </c>
      <c r="D5201" s="156" t="s">
        <v>6037</v>
      </c>
      <c r="E5201" s="156" t="s">
        <v>6071</v>
      </c>
      <c r="F5201" s="156" t="s">
        <v>204</v>
      </c>
      <c r="G5201" s="156" t="s">
        <v>1883</v>
      </c>
      <c r="H5201" s="157" t="s">
        <v>215</v>
      </c>
    </row>
    <row r="5202" hidden="1">
      <c r="A5202" s="151" t="s">
        <v>221</v>
      </c>
      <c r="B5202" s="118" t="s">
        <v>189</v>
      </c>
      <c r="C5202" s="118" t="s">
        <v>206</v>
      </c>
      <c r="D5202" s="152" t="s">
        <v>6037</v>
      </c>
      <c r="E5202" s="152" t="s">
        <v>6072</v>
      </c>
      <c r="F5202" s="152" t="s">
        <v>436</v>
      </c>
      <c r="G5202" s="152" t="s">
        <v>2126</v>
      </c>
      <c r="H5202" s="153" t="s">
        <v>216</v>
      </c>
    </row>
    <row r="5203" hidden="1">
      <c r="A5203" s="154" t="s">
        <v>222</v>
      </c>
      <c r="B5203" s="155" t="s">
        <v>192</v>
      </c>
      <c r="C5203" s="155" t="s">
        <v>206</v>
      </c>
      <c r="D5203" s="156" t="s">
        <v>6037</v>
      </c>
      <c r="E5203" s="156" t="s">
        <v>6073</v>
      </c>
      <c r="F5203" s="156" t="s">
        <v>290</v>
      </c>
      <c r="G5203" s="156" t="s">
        <v>3307</v>
      </c>
      <c r="H5203" s="157" t="s">
        <v>210</v>
      </c>
    </row>
    <row r="5204" hidden="1">
      <c r="A5204" s="151" t="s">
        <v>222</v>
      </c>
      <c r="B5204" s="118" t="s">
        <v>192</v>
      </c>
      <c r="C5204" s="118" t="s">
        <v>206</v>
      </c>
      <c r="D5204" s="152" t="s">
        <v>6037</v>
      </c>
      <c r="E5204" s="152" t="s">
        <v>6074</v>
      </c>
      <c r="F5204" s="152" t="s">
        <v>290</v>
      </c>
      <c r="G5204" s="152" t="s">
        <v>2965</v>
      </c>
      <c r="H5204" s="153" t="s">
        <v>211</v>
      </c>
    </row>
    <row r="5205" hidden="1">
      <c r="A5205" s="154" t="s">
        <v>222</v>
      </c>
      <c r="B5205" s="155" t="s">
        <v>192</v>
      </c>
      <c r="C5205" s="155" t="s">
        <v>206</v>
      </c>
      <c r="D5205" s="156" t="s">
        <v>6037</v>
      </c>
      <c r="E5205" s="156" t="s">
        <v>6075</v>
      </c>
      <c r="F5205" s="156" t="s">
        <v>427</v>
      </c>
      <c r="G5205" s="156" t="s">
        <v>2822</v>
      </c>
      <c r="H5205" s="157" t="s">
        <v>212</v>
      </c>
    </row>
    <row r="5206" hidden="1">
      <c r="A5206" s="151" t="s">
        <v>222</v>
      </c>
      <c r="B5206" s="118" t="s">
        <v>192</v>
      </c>
      <c r="C5206" s="118" t="s">
        <v>206</v>
      </c>
      <c r="D5206" s="152" t="s">
        <v>6037</v>
      </c>
      <c r="E5206" s="152" t="s">
        <v>6076</v>
      </c>
      <c r="F5206" s="152" t="s">
        <v>249</v>
      </c>
      <c r="G5206" s="152" t="s">
        <v>3558</v>
      </c>
      <c r="H5206" s="153" t="s">
        <v>213</v>
      </c>
    </row>
    <row r="5207" hidden="1">
      <c r="A5207" s="154" t="s">
        <v>222</v>
      </c>
      <c r="B5207" s="155" t="s">
        <v>192</v>
      </c>
      <c r="C5207" s="155" t="s">
        <v>206</v>
      </c>
      <c r="D5207" s="156" t="s">
        <v>6037</v>
      </c>
      <c r="E5207" s="156" t="s">
        <v>6077</v>
      </c>
      <c r="F5207" s="156" t="s">
        <v>290</v>
      </c>
      <c r="G5207" s="156" t="s">
        <v>3707</v>
      </c>
      <c r="H5207" s="157" t="s">
        <v>214</v>
      </c>
    </row>
    <row r="5208" hidden="1">
      <c r="A5208" s="151" t="s">
        <v>222</v>
      </c>
      <c r="B5208" s="118" t="s">
        <v>192</v>
      </c>
      <c r="C5208" s="118" t="s">
        <v>206</v>
      </c>
      <c r="D5208" s="152" t="s">
        <v>6037</v>
      </c>
      <c r="E5208" s="152" t="s">
        <v>6078</v>
      </c>
      <c r="F5208" s="152" t="s">
        <v>365</v>
      </c>
      <c r="G5208" s="152" t="s">
        <v>3570</v>
      </c>
      <c r="H5208" s="153" t="s">
        <v>215</v>
      </c>
    </row>
    <row r="5209" hidden="1">
      <c r="A5209" s="154" t="s">
        <v>222</v>
      </c>
      <c r="B5209" s="155" t="s">
        <v>192</v>
      </c>
      <c r="C5209" s="155" t="s">
        <v>206</v>
      </c>
      <c r="D5209" s="156" t="s">
        <v>6037</v>
      </c>
      <c r="E5209" s="156" t="s">
        <v>6079</v>
      </c>
      <c r="F5209" s="156" t="s">
        <v>331</v>
      </c>
      <c r="G5209" s="156" t="s">
        <v>3611</v>
      </c>
      <c r="H5209" s="157" t="s">
        <v>216</v>
      </c>
    </row>
    <row r="5210" hidden="1">
      <c r="A5210" s="151" t="s">
        <v>223</v>
      </c>
      <c r="B5210" s="118" t="s">
        <v>144</v>
      </c>
      <c r="C5210" s="118" t="s">
        <v>206</v>
      </c>
      <c r="D5210" s="152" t="s">
        <v>6037</v>
      </c>
      <c r="E5210" s="152" t="s">
        <v>6080</v>
      </c>
      <c r="F5210" s="152" t="s">
        <v>265</v>
      </c>
      <c r="G5210" s="152" t="s">
        <v>3115</v>
      </c>
      <c r="H5210" s="153" t="s">
        <v>210</v>
      </c>
    </row>
    <row r="5211" hidden="1">
      <c r="A5211" s="154" t="s">
        <v>223</v>
      </c>
      <c r="B5211" s="155" t="s">
        <v>144</v>
      </c>
      <c r="C5211" s="155" t="s">
        <v>206</v>
      </c>
      <c r="D5211" s="156" t="s">
        <v>6037</v>
      </c>
      <c r="E5211" s="156" t="s">
        <v>6081</v>
      </c>
      <c r="F5211" s="156" t="s">
        <v>255</v>
      </c>
      <c r="G5211" s="156" t="s">
        <v>4206</v>
      </c>
      <c r="H5211" s="157" t="s">
        <v>211</v>
      </c>
    </row>
    <row r="5212" hidden="1">
      <c r="A5212" s="151" t="s">
        <v>223</v>
      </c>
      <c r="B5212" s="118" t="s">
        <v>144</v>
      </c>
      <c r="C5212" s="118" t="s">
        <v>206</v>
      </c>
      <c r="D5212" s="152" t="s">
        <v>6037</v>
      </c>
      <c r="E5212" s="152" t="s">
        <v>6082</v>
      </c>
      <c r="F5212" s="152" t="s">
        <v>314</v>
      </c>
      <c r="G5212" s="152" t="s">
        <v>4386</v>
      </c>
      <c r="H5212" s="153" t="s">
        <v>212</v>
      </c>
    </row>
    <row r="5213" hidden="1">
      <c r="A5213" s="154" t="s">
        <v>223</v>
      </c>
      <c r="B5213" s="155" t="s">
        <v>144</v>
      </c>
      <c r="C5213" s="155" t="s">
        <v>206</v>
      </c>
      <c r="D5213" s="156" t="s">
        <v>6037</v>
      </c>
      <c r="E5213" s="156" t="s">
        <v>6083</v>
      </c>
      <c r="F5213" s="156" t="s">
        <v>257</v>
      </c>
      <c r="G5213" s="156" t="s">
        <v>4060</v>
      </c>
      <c r="H5213" s="157" t="s">
        <v>213</v>
      </c>
    </row>
    <row r="5214" hidden="1">
      <c r="A5214" s="151" t="s">
        <v>223</v>
      </c>
      <c r="B5214" s="118" t="s">
        <v>144</v>
      </c>
      <c r="C5214" s="118" t="s">
        <v>206</v>
      </c>
      <c r="D5214" s="152" t="s">
        <v>6037</v>
      </c>
      <c r="E5214" s="152" t="s">
        <v>6084</v>
      </c>
      <c r="F5214" s="152" t="s">
        <v>374</v>
      </c>
      <c r="G5214" s="152" t="s">
        <v>3262</v>
      </c>
      <c r="H5214" s="153" t="s">
        <v>214</v>
      </c>
    </row>
    <row r="5215" hidden="1">
      <c r="A5215" s="154" t="s">
        <v>223</v>
      </c>
      <c r="B5215" s="155" t="s">
        <v>144</v>
      </c>
      <c r="C5215" s="155" t="s">
        <v>206</v>
      </c>
      <c r="D5215" s="156" t="s">
        <v>6037</v>
      </c>
      <c r="E5215" s="156" t="s">
        <v>6085</v>
      </c>
      <c r="F5215" s="156" t="s">
        <v>365</v>
      </c>
      <c r="G5215" s="156" t="s">
        <v>3989</v>
      </c>
      <c r="H5215" s="157" t="s">
        <v>215</v>
      </c>
    </row>
    <row r="5216" hidden="1">
      <c r="A5216" s="151" t="s">
        <v>223</v>
      </c>
      <c r="B5216" s="118" t="s">
        <v>144</v>
      </c>
      <c r="C5216" s="118" t="s">
        <v>206</v>
      </c>
      <c r="D5216" s="152" t="s">
        <v>6037</v>
      </c>
      <c r="E5216" s="152" t="s">
        <v>6086</v>
      </c>
      <c r="F5216" s="152" t="s">
        <v>301</v>
      </c>
      <c r="G5216" s="152" t="s">
        <v>3574</v>
      </c>
      <c r="H5216" s="153" t="s">
        <v>216</v>
      </c>
    </row>
    <row r="5217" hidden="1">
      <c r="A5217" s="154" t="s">
        <v>224</v>
      </c>
      <c r="B5217" s="155" t="s">
        <v>170</v>
      </c>
      <c r="C5217" s="155" t="s">
        <v>206</v>
      </c>
      <c r="D5217" s="156" t="s">
        <v>6037</v>
      </c>
      <c r="E5217" s="156" t="s">
        <v>6087</v>
      </c>
      <c r="F5217" s="156" t="s">
        <v>458</v>
      </c>
      <c r="G5217" s="156" t="s">
        <v>2070</v>
      </c>
      <c r="H5217" s="157" t="s">
        <v>210</v>
      </c>
    </row>
    <row r="5218" hidden="1">
      <c r="A5218" s="151" t="s">
        <v>224</v>
      </c>
      <c r="B5218" s="118" t="s">
        <v>170</v>
      </c>
      <c r="C5218" s="118" t="s">
        <v>206</v>
      </c>
      <c r="D5218" s="152" t="s">
        <v>6037</v>
      </c>
      <c r="E5218" s="152" t="s">
        <v>6088</v>
      </c>
      <c r="F5218" s="152" t="s">
        <v>365</v>
      </c>
      <c r="G5218" s="152" t="s">
        <v>2387</v>
      </c>
      <c r="H5218" s="153" t="s">
        <v>211</v>
      </c>
    </row>
    <row r="5219" hidden="1">
      <c r="A5219" s="154" t="s">
        <v>224</v>
      </c>
      <c r="B5219" s="155" t="s">
        <v>170</v>
      </c>
      <c r="C5219" s="155" t="s">
        <v>206</v>
      </c>
      <c r="D5219" s="156" t="s">
        <v>6037</v>
      </c>
      <c r="E5219" s="156" t="s">
        <v>6089</v>
      </c>
      <c r="F5219" s="156" t="s">
        <v>257</v>
      </c>
      <c r="G5219" s="156" t="s">
        <v>3950</v>
      </c>
      <c r="H5219" s="157" t="s">
        <v>212</v>
      </c>
    </row>
    <row r="5220" hidden="1">
      <c r="A5220" s="151" t="s">
        <v>224</v>
      </c>
      <c r="B5220" s="118" t="s">
        <v>170</v>
      </c>
      <c r="C5220" s="118" t="s">
        <v>206</v>
      </c>
      <c r="D5220" s="152" t="s">
        <v>6037</v>
      </c>
      <c r="E5220" s="152" t="s">
        <v>6090</v>
      </c>
      <c r="F5220" s="152" t="s">
        <v>255</v>
      </c>
      <c r="G5220" s="152" t="s">
        <v>2859</v>
      </c>
      <c r="H5220" s="153" t="s">
        <v>213</v>
      </c>
    </row>
    <row r="5221" hidden="1">
      <c r="A5221" s="154" t="s">
        <v>224</v>
      </c>
      <c r="B5221" s="155" t="s">
        <v>170</v>
      </c>
      <c r="C5221" s="155" t="s">
        <v>206</v>
      </c>
      <c r="D5221" s="156" t="s">
        <v>6037</v>
      </c>
      <c r="E5221" s="156" t="s">
        <v>6091</v>
      </c>
      <c r="F5221" s="156" t="s">
        <v>365</v>
      </c>
      <c r="G5221" s="156" t="s">
        <v>2999</v>
      </c>
      <c r="H5221" s="157" t="s">
        <v>214</v>
      </c>
    </row>
    <row r="5222" hidden="1">
      <c r="A5222" s="151" t="s">
        <v>224</v>
      </c>
      <c r="B5222" s="118" t="s">
        <v>170</v>
      </c>
      <c r="C5222" s="118" t="s">
        <v>206</v>
      </c>
      <c r="D5222" s="152" t="s">
        <v>6037</v>
      </c>
      <c r="E5222" s="152" t="s">
        <v>6092</v>
      </c>
      <c r="F5222" s="152" t="s">
        <v>492</v>
      </c>
      <c r="G5222" s="152" t="s">
        <v>2219</v>
      </c>
      <c r="H5222" s="153" t="s">
        <v>215</v>
      </c>
    </row>
    <row r="5223" hidden="1">
      <c r="A5223" s="154" t="s">
        <v>224</v>
      </c>
      <c r="B5223" s="155" t="s">
        <v>170</v>
      </c>
      <c r="C5223" s="155" t="s">
        <v>206</v>
      </c>
      <c r="D5223" s="156" t="s">
        <v>6037</v>
      </c>
      <c r="E5223" s="156" t="s">
        <v>6093</v>
      </c>
      <c r="F5223" s="156" t="s">
        <v>301</v>
      </c>
      <c r="G5223" s="156" t="s">
        <v>1918</v>
      </c>
      <c r="H5223" s="157" t="s">
        <v>216</v>
      </c>
    </row>
    <row r="5224" hidden="1">
      <c r="A5224" s="151" t="s">
        <v>225</v>
      </c>
      <c r="B5224" s="118" t="s">
        <v>226</v>
      </c>
      <c r="C5224" s="118" t="s">
        <v>206</v>
      </c>
      <c r="D5224" s="152" t="s">
        <v>6037</v>
      </c>
      <c r="E5224" s="152" t="s">
        <v>6094</v>
      </c>
      <c r="F5224" s="152" t="s">
        <v>262</v>
      </c>
      <c r="G5224" s="152" t="s">
        <v>2354</v>
      </c>
      <c r="H5224" s="153" t="s">
        <v>210</v>
      </c>
    </row>
    <row r="5225" hidden="1">
      <c r="A5225" s="154" t="s">
        <v>225</v>
      </c>
      <c r="B5225" s="155" t="s">
        <v>226</v>
      </c>
      <c r="C5225" s="155" t="s">
        <v>206</v>
      </c>
      <c r="D5225" s="156" t="s">
        <v>6037</v>
      </c>
      <c r="E5225" s="156" t="s">
        <v>6095</v>
      </c>
      <c r="F5225" s="156" t="s">
        <v>458</v>
      </c>
      <c r="G5225" s="156" t="s">
        <v>3523</v>
      </c>
      <c r="H5225" s="157" t="s">
        <v>211</v>
      </c>
    </row>
    <row r="5226" hidden="1">
      <c r="A5226" s="151" t="s">
        <v>225</v>
      </c>
      <c r="B5226" s="118" t="s">
        <v>226</v>
      </c>
      <c r="C5226" s="118" t="s">
        <v>206</v>
      </c>
      <c r="D5226" s="152" t="s">
        <v>6037</v>
      </c>
      <c r="E5226" s="152" t="s">
        <v>6096</v>
      </c>
      <c r="F5226" s="152" t="s">
        <v>276</v>
      </c>
      <c r="G5226" s="152" t="s">
        <v>3059</v>
      </c>
      <c r="H5226" s="153" t="s">
        <v>212</v>
      </c>
    </row>
    <row r="5227" hidden="1">
      <c r="A5227" s="154" t="s">
        <v>225</v>
      </c>
      <c r="B5227" s="155" t="s">
        <v>226</v>
      </c>
      <c r="C5227" s="155" t="s">
        <v>206</v>
      </c>
      <c r="D5227" s="156" t="s">
        <v>6037</v>
      </c>
      <c r="E5227" s="156" t="s">
        <v>6097</v>
      </c>
      <c r="F5227" s="156" t="s">
        <v>492</v>
      </c>
      <c r="G5227" s="156" t="s">
        <v>3142</v>
      </c>
      <c r="H5227" s="157" t="s">
        <v>213</v>
      </c>
    </row>
    <row r="5228" hidden="1">
      <c r="A5228" s="151" t="s">
        <v>225</v>
      </c>
      <c r="B5228" s="118" t="s">
        <v>226</v>
      </c>
      <c r="C5228" s="118" t="s">
        <v>206</v>
      </c>
      <c r="D5228" s="152" t="s">
        <v>6037</v>
      </c>
      <c r="E5228" s="152" t="s">
        <v>6098</v>
      </c>
      <c r="F5228" s="152" t="s">
        <v>442</v>
      </c>
      <c r="G5228" s="152" t="s">
        <v>2992</v>
      </c>
      <c r="H5228" s="153" t="s">
        <v>214</v>
      </c>
    </row>
    <row r="5229" hidden="1">
      <c r="A5229" s="154" t="s">
        <v>225</v>
      </c>
      <c r="B5229" s="155" t="s">
        <v>226</v>
      </c>
      <c r="C5229" s="155" t="s">
        <v>206</v>
      </c>
      <c r="D5229" s="156" t="s">
        <v>6037</v>
      </c>
      <c r="E5229" s="156" t="s">
        <v>6099</v>
      </c>
      <c r="F5229" s="156" t="s">
        <v>436</v>
      </c>
      <c r="G5229" s="156" t="s">
        <v>3138</v>
      </c>
      <c r="H5229" s="157" t="s">
        <v>215</v>
      </c>
    </row>
    <row r="5230" hidden="1">
      <c r="A5230" s="151" t="s">
        <v>225</v>
      </c>
      <c r="B5230" s="118" t="s">
        <v>226</v>
      </c>
      <c r="C5230" s="118" t="s">
        <v>206</v>
      </c>
      <c r="D5230" s="152" t="s">
        <v>6037</v>
      </c>
      <c r="E5230" s="152" t="s">
        <v>6100</v>
      </c>
      <c r="F5230" s="152" t="s">
        <v>276</v>
      </c>
      <c r="G5230" s="152" t="s">
        <v>2824</v>
      </c>
      <c r="H5230" s="153" t="s">
        <v>216</v>
      </c>
    </row>
    <row r="5231" hidden="1">
      <c r="A5231" s="154" t="s">
        <v>227</v>
      </c>
      <c r="B5231" s="155" t="s">
        <v>195</v>
      </c>
      <c r="C5231" s="155" t="s">
        <v>206</v>
      </c>
      <c r="D5231" s="156" t="s">
        <v>6037</v>
      </c>
      <c r="E5231" s="156" t="s">
        <v>6101</v>
      </c>
      <c r="F5231" s="156" t="s">
        <v>305</v>
      </c>
      <c r="G5231" s="156" t="s">
        <v>4019</v>
      </c>
      <c r="H5231" s="157" t="s">
        <v>210</v>
      </c>
    </row>
    <row r="5232" hidden="1">
      <c r="A5232" s="151" t="s">
        <v>227</v>
      </c>
      <c r="B5232" s="118" t="s">
        <v>195</v>
      </c>
      <c r="C5232" s="118" t="s">
        <v>206</v>
      </c>
      <c r="D5232" s="152" t="s">
        <v>6037</v>
      </c>
      <c r="E5232" s="152" t="s">
        <v>6102</v>
      </c>
      <c r="F5232" s="152" t="s">
        <v>276</v>
      </c>
      <c r="G5232" s="152" t="s">
        <v>2224</v>
      </c>
      <c r="H5232" s="153" t="s">
        <v>211</v>
      </c>
    </row>
    <row r="5233" hidden="1">
      <c r="A5233" s="154" t="s">
        <v>227</v>
      </c>
      <c r="B5233" s="155" t="s">
        <v>195</v>
      </c>
      <c r="C5233" s="155" t="s">
        <v>206</v>
      </c>
      <c r="D5233" s="156" t="s">
        <v>6037</v>
      </c>
      <c r="E5233" s="156" t="s">
        <v>6103</v>
      </c>
      <c r="F5233" s="156" t="s">
        <v>1999</v>
      </c>
      <c r="G5233" s="156" t="s">
        <v>4287</v>
      </c>
      <c r="H5233" s="157" t="s">
        <v>212</v>
      </c>
    </row>
    <row r="5234" hidden="1">
      <c r="A5234" s="151" t="s">
        <v>227</v>
      </c>
      <c r="B5234" s="118" t="s">
        <v>195</v>
      </c>
      <c r="C5234" s="118" t="s">
        <v>206</v>
      </c>
      <c r="D5234" s="152" t="s">
        <v>6037</v>
      </c>
      <c r="E5234" s="152" t="s">
        <v>6104</v>
      </c>
      <c r="F5234" s="152" t="s">
        <v>310</v>
      </c>
      <c r="G5234" s="152" t="s">
        <v>1995</v>
      </c>
      <c r="H5234" s="153" t="s">
        <v>213</v>
      </c>
    </row>
    <row r="5235" hidden="1">
      <c r="A5235" s="154" t="s">
        <v>227</v>
      </c>
      <c r="B5235" s="155" t="s">
        <v>195</v>
      </c>
      <c r="C5235" s="155" t="s">
        <v>206</v>
      </c>
      <c r="D5235" s="156" t="s">
        <v>6037</v>
      </c>
      <c r="E5235" s="156" t="s">
        <v>6105</v>
      </c>
      <c r="F5235" s="156" t="s">
        <v>305</v>
      </c>
      <c r="G5235" s="156" t="s">
        <v>2967</v>
      </c>
      <c r="H5235" s="157" t="s">
        <v>214</v>
      </c>
    </row>
    <row r="5236" hidden="1">
      <c r="A5236" s="151" t="s">
        <v>227</v>
      </c>
      <c r="B5236" s="118" t="s">
        <v>195</v>
      </c>
      <c r="C5236" s="118" t="s">
        <v>206</v>
      </c>
      <c r="D5236" s="152" t="s">
        <v>6037</v>
      </c>
      <c r="E5236" s="152" t="s">
        <v>6106</v>
      </c>
      <c r="F5236" s="152" t="s">
        <v>673</v>
      </c>
      <c r="G5236" s="152" t="s">
        <v>2663</v>
      </c>
      <c r="H5236" s="153" t="s">
        <v>215</v>
      </c>
    </row>
    <row r="5237" hidden="1">
      <c r="A5237" s="154" t="s">
        <v>227</v>
      </c>
      <c r="B5237" s="155" t="s">
        <v>195</v>
      </c>
      <c r="C5237" s="155" t="s">
        <v>206</v>
      </c>
      <c r="D5237" s="156" t="s">
        <v>6037</v>
      </c>
      <c r="E5237" s="156" t="s">
        <v>6107</v>
      </c>
      <c r="F5237" s="156" t="s">
        <v>321</v>
      </c>
      <c r="G5237" s="156" t="s">
        <v>2663</v>
      </c>
      <c r="H5237" s="157" t="s">
        <v>216</v>
      </c>
    </row>
    <row r="5238" hidden="1">
      <c r="A5238" s="151" t="s">
        <v>228</v>
      </c>
      <c r="B5238" s="118" t="s">
        <v>138</v>
      </c>
      <c r="C5238" s="118" t="s">
        <v>206</v>
      </c>
      <c r="D5238" s="152" t="s">
        <v>6037</v>
      </c>
      <c r="E5238" s="152" t="s">
        <v>6108</v>
      </c>
      <c r="F5238" s="152" t="s">
        <v>5570</v>
      </c>
      <c r="G5238" s="152" t="s">
        <v>3384</v>
      </c>
      <c r="H5238" s="153" t="s">
        <v>210</v>
      </c>
    </row>
    <row r="5239" hidden="1">
      <c r="A5239" s="154" t="s">
        <v>228</v>
      </c>
      <c r="B5239" s="155" t="s">
        <v>138</v>
      </c>
      <c r="C5239" s="155" t="s">
        <v>206</v>
      </c>
      <c r="D5239" s="156" t="s">
        <v>6037</v>
      </c>
      <c r="E5239" s="156" t="s">
        <v>6109</v>
      </c>
      <c r="F5239" s="156" t="s">
        <v>246</v>
      </c>
      <c r="G5239" s="156" t="s">
        <v>2070</v>
      </c>
      <c r="H5239" s="157" t="s">
        <v>211</v>
      </c>
    </row>
    <row r="5240" hidden="1">
      <c r="A5240" s="151" t="s">
        <v>228</v>
      </c>
      <c r="B5240" s="118" t="s">
        <v>138</v>
      </c>
      <c r="C5240" s="118" t="s">
        <v>206</v>
      </c>
      <c r="D5240" s="152" t="s">
        <v>6037</v>
      </c>
      <c r="E5240" s="152" t="s">
        <v>6110</v>
      </c>
      <c r="F5240" s="152" t="s">
        <v>298</v>
      </c>
      <c r="G5240" s="152" t="s">
        <v>2221</v>
      </c>
      <c r="H5240" s="153" t="s">
        <v>212</v>
      </c>
    </row>
    <row r="5241" hidden="1">
      <c r="A5241" s="154" t="s">
        <v>228</v>
      </c>
      <c r="B5241" s="155" t="s">
        <v>138</v>
      </c>
      <c r="C5241" s="155" t="s">
        <v>206</v>
      </c>
      <c r="D5241" s="156" t="s">
        <v>6037</v>
      </c>
      <c r="E5241" s="156" t="s">
        <v>6111</v>
      </c>
      <c r="F5241" s="156" t="s">
        <v>274</v>
      </c>
      <c r="G5241" s="156" t="s">
        <v>1839</v>
      </c>
      <c r="H5241" s="157" t="s">
        <v>213</v>
      </c>
    </row>
    <row r="5242" hidden="1">
      <c r="A5242" s="151" t="s">
        <v>228</v>
      </c>
      <c r="B5242" s="118" t="s">
        <v>138</v>
      </c>
      <c r="C5242" s="118" t="s">
        <v>206</v>
      </c>
      <c r="D5242" s="152" t="s">
        <v>6037</v>
      </c>
      <c r="E5242" s="152" t="s">
        <v>6112</v>
      </c>
      <c r="F5242" s="152" t="s">
        <v>242</v>
      </c>
      <c r="G5242" s="152" t="s">
        <v>1832</v>
      </c>
      <c r="H5242" s="153" t="s">
        <v>214</v>
      </c>
    </row>
    <row r="5243" hidden="1">
      <c r="A5243" s="154" t="s">
        <v>228</v>
      </c>
      <c r="B5243" s="155" t="s">
        <v>138</v>
      </c>
      <c r="C5243" s="155" t="s">
        <v>206</v>
      </c>
      <c r="D5243" s="156" t="s">
        <v>6037</v>
      </c>
      <c r="E5243" s="156" t="s">
        <v>6113</v>
      </c>
      <c r="F5243" s="156" t="s">
        <v>433</v>
      </c>
      <c r="G5243" s="156" t="s">
        <v>2470</v>
      </c>
      <c r="H5243" s="157" t="s">
        <v>215</v>
      </c>
    </row>
    <row r="5244" hidden="1">
      <c r="A5244" s="151" t="s">
        <v>228</v>
      </c>
      <c r="B5244" s="118" t="s">
        <v>138</v>
      </c>
      <c r="C5244" s="118" t="s">
        <v>206</v>
      </c>
      <c r="D5244" s="152" t="s">
        <v>6037</v>
      </c>
      <c r="E5244" s="152" t="s">
        <v>6114</v>
      </c>
      <c r="F5244" s="152" t="s">
        <v>274</v>
      </c>
      <c r="G5244" s="152" t="s">
        <v>2620</v>
      </c>
      <c r="H5244" s="153" t="s">
        <v>216</v>
      </c>
    </row>
    <row r="5245" hidden="1">
      <c r="A5245" s="154" t="s">
        <v>229</v>
      </c>
      <c r="B5245" s="155" t="s">
        <v>193</v>
      </c>
      <c r="C5245" s="155" t="s">
        <v>206</v>
      </c>
      <c r="D5245" s="156" t="s">
        <v>6037</v>
      </c>
      <c r="E5245" s="156" t="s">
        <v>6115</v>
      </c>
      <c r="F5245" s="156" t="s">
        <v>257</v>
      </c>
      <c r="G5245" s="156" t="s">
        <v>2387</v>
      </c>
      <c r="H5245" s="157" t="s">
        <v>210</v>
      </c>
    </row>
    <row r="5246" hidden="1">
      <c r="A5246" s="151" t="s">
        <v>229</v>
      </c>
      <c r="B5246" s="118" t="s">
        <v>193</v>
      </c>
      <c r="C5246" s="118" t="s">
        <v>206</v>
      </c>
      <c r="D5246" s="152" t="s">
        <v>6037</v>
      </c>
      <c r="E5246" s="152" t="s">
        <v>6116</v>
      </c>
      <c r="F5246" s="152" t="s">
        <v>246</v>
      </c>
      <c r="G5246" s="152" t="s">
        <v>2760</v>
      </c>
      <c r="H5246" s="153" t="s">
        <v>211</v>
      </c>
    </row>
    <row r="5247" hidden="1">
      <c r="A5247" s="154" t="s">
        <v>229</v>
      </c>
      <c r="B5247" s="155" t="s">
        <v>193</v>
      </c>
      <c r="C5247" s="155" t="s">
        <v>206</v>
      </c>
      <c r="D5247" s="156" t="s">
        <v>6037</v>
      </c>
      <c r="E5247" s="156" t="s">
        <v>6117</v>
      </c>
      <c r="F5247" s="156" t="s">
        <v>246</v>
      </c>
      <c r="G5247" s="156" t="s">
        <v>2115</v>
      </c>
      <c r="H5247" s="157" t="s">
        <v>212</v>
      </c>
    </row>
    <row r="5248" hidden="1">
      <c r="A5248" s="151" t="s">
        <v>229</v>
      </c>
      <c r="B5248" s="118" t="s">
        <v>193</v>
      </c>
      <c r="C5248" s="118" t="s">
        <v>206</v>
      </c>
      <c r="D5248" s="152" t="s">
        <v>6037</v>
      </c>
      <c r="E5248" s="152" t="s">
        <v>6118</v>
      </c>
      <c r="F5248" s="152" t="s">
        <v>244</v>
      </c>
      <c r="G5248" s="152" t="s">
        <v>3408</v>
      </c>
      <c r="H5248" s="153" t="s">
        <v>213</v>
      </c>
    </row>
    <row r="5249" hidden="1">
      <c r="A5249" s="154" t="s">
        <v>229</v>
      </c>
      <c r="B5249" s="155" t="s">
        <v>193</v>
      </c>
      <c r="C5249" s="155" t="s">
        <v>206</v>
      </c>
      <c r="D5249" s="156" t="s">
        <v>6037</v>
      </c>
      <c r="E5249" s="156" t="s">
        <v>6119</v>
      </c>
      <c r="F5249" s="156" t="s">
        <v>240</v>
      </c>
      <c r="G5249" s="156" t="s">
        <v>3400</v>
      </c>
      <c r="H5249" s="157" t="s">
        <v>214</v>
      </c>
    </row>
    <row r="5250" hidden="1">
      <c r="A5250" s="151" t="s">
        <v>229</v>
      </c>
      <c r="B5250" s="118" t="s">
        <v>193</v>
      </c>
      <c r="C5250" s="118" t="s">
        <v>206</v>
      </c>
      <c r="D5250" s="152" t="s">
        <v>6037</v>
      </c>
      <c r="E5250" s="152" t="s">
        <v>6120</v>
      </c>
      <c r="F5250" s="152" t="s">
        <v>246</v>
      </c>
      <c r="G5250" s="152" t="s">
        <v>2111</v>
      </c>
      <c r="H5250" s="153" t="s">
        <v>215</v>
      </c>
    </row>
    <row r="5251" hidden="1">
      <c r="A5251" s="154" t="s">
        <v>229</v>
      </c>
      <c r="B5251" s="155" t="s">
        <v>193</v>
      </c>
      <c r="C5251" s="155" t="s">
        <v>206</v>
      </c>
      <c r="D5251" s="156" t="s">
        <v>6037</v>
      </c>
      <c r="E5251" s="156" t="s">
        <v>6121</v>
      </c>
      <c r="F5251" s="156" t="s">
        <v>257</v>
      </c>
      <c r="G5251" s="156" t="s">
        <v>2760</v>
      </c>
      <c r="H5251" s="157" t="s">
        <v>216</v>
      </c>
    </row>
    <row r="5252" hidden="1">
      <c r="A5252" s="151" t="s">
        <v>230</v>
      </c>
      <c r="B5252" s="118" t="s">
        <v>194</v>
      </c>
      <c r="C5252" s="118" t="s">
        <v>206</v>
      </c>
      <c r="D5252" s="152" t="s">
        <v>6037</v>
      </c>
      <c r="E5252" s="152" t="s">
        <v>6122</v>
      </c>
      <c r="F5252" s="152" t="s">
        <v>314</v>
      </c>
      <c r="G5252" s="152" t="s">
        <v>2346</v>
      </c>
      <c r="H5252" s="153" t="s">
        <v>210</v>
      </c>
    </row>
    <row r="5253" hidden="1">
      <c r="A5253" s="154" t="s">
        <v>230</v>
      </c>
      <c r="B5253" s="155" t="s">
        <v>194</v>
      </c>
      <c r="C5253" s="155" t="s">
        <v>206</v>
      </c>
      <c r="D5253" s="156" t="s">
        <v>6037</v>
      </c>
      <c r="E5253" s="156" t="s">
        <v>6123</v>
      </c>
      <c r="F5253" s="156" t="s">
        <v>257</v>
      </c>
      <c r="G5253" s="156" t="s">
        <v>3138</v>
      </c>
      <c r="H5253" s="157" t="s">
        <v>211</v>
      </c>
    </row>
    <row r="5254" hidden="1">
      <c r="A5254" s="151" t="s">
        <v>230</v>
      </c>
      <c r="B5254" s="118" t="s">
        <v>194</v>
      </c>
      <c r="C5254" s="118" t="s">
        <v>206</v>
      </c>
      <c r="D5254" s="152" t="s">
        <v>6037</v>
      </c>
      <c r="E5254" s="152" t="s">
        <v>6124</v>
      </c>
      <c r="F5254" s="152" t="s">
        <v>255</v>
      </c>
      <c r="G5254" s="152" t="s">
        <v>3618</v>
      </c>
      <c r="H5254" s="153" t="s">
        <v>212</v>
      </c>
    </row>
    <row r="5255" hidden="1">
      <c r="A5255" s="154" t="s">
        <v>230</v>
      </c>
      <c r="B5255" s="155" t="s">
        <v>194</v>
      </c>
      <c r="C5255" s="155" t="s">
        <v>206</v>
      </c>
      <c r="D5255" s="156" t="s">
        <v>6037</v>
      </c>
      <c r="E5255" s="156" t="s">
        <v>6125</v>
      </c>
      <c r="F5255" s="156" t="s">
        <v>305</v>
      </c>
      <c r="G5255" s="156" t="s">
        <v>4194</v>
      </c>
      <c r="H5255" s="157" t="s">
        <v>213</v>
      </c>
    </row>
    <row r="5256" hidden="1">
      <c r="A5256" s="151" t="s">
        <v>230</v>
      </c>
      <c r="B5256" s="118" t="s">
        <v>194</v>
      </c>
      <c r="C5256" s="118" t="s">
        <v>206</v>
      </c>
      <c r="D5256" s="152" t="s">
        <v>6037</v>
      </c>
      <c r="E5256" s="152" t="s">
        <v>6126</v>
      </c>
      <c r="F5256" s="152" t="s">
        <v>240</v>
      </c>
      <c r="G5256" s="152" t="s">
        <v>2508</v>
      </c>
      <c r="H5256" s="153" t="s">
        <v>214</v>
      </c>
    </row>
    <row r="5257" hidden="1">
      <c r="A5257" s="154" t="s">
        <v>230</v>
      </c>
      <c r="B5257" s="155" t="s">
        <v>194</v>
      </c>
      <c r="C5257" s="155" t="s">
        <v>206</v>
      </c>
      <c r="D5257" s="156" t="s">
        <v>6037</v>
      </c>
      <c r="E5257" s="156" t="s">
        <v>6127</v>
      </c>
      <c r="F5257" s="156" t="s">
        <v>492</v>
      </c>
      <c r="G5257" s="156" t="s">
        <v>2279</v>
      </c>
      <c r="H5257" s="157" t="s">
        <v>215</v>
      </c>
    </row>
    <row r="5258" hidden="1">
      <c r="A5258" s="151" t="s">
        <v>230</v>
      </c>
      <c r="B5258" s="118" t="s">
        <v>194</v>
      </c>
      <c r="C5258" s="118" t="s">
        <v>206</v>
      </c>
      <c r="D5258" s="152" t="s">
        <v>6037</v>
      </c>
      <c r="E5258" s="152" t="s">
        <v>6128</v>
      </c>
      <c r="F5258" s="152" t="s">
        <v>357</v>
      </c>
      <c r="G5258" s="152" t="s">
        <v>3554</v>
      </c>
      <c r="H5258" s="153" t="s">
        <v>216</v>
      </c>
    </row>
    <row r="5259" hidden="1">
      <c r="A5259" s="158" t="s">
        <v>231</v>
      </c>
      <c r="B5259" s="159"/>
      <c r="C5259" s="155" t="s">
        <v>232</v>
      </c>
      <c r="D5259" s="156" t="s">
        <v>6037</v>
      </c>
      <c r="E5259" s="156" t="s">
        <v>6129</v>
      </c>
      <c r="F5259" s="156" t="s">
        <v>760</v>
      </c>
      <c r="G5259" s="156" t="s">
        <v>4328</v>
      </c>
      <c r="H5259" s="157" t="s">
        <v>210</v>
      </c>
    </row>
    <row r="5260" hidden="1">
      <c r="A5260" s="160" t="s">
        <v>231</v>
      </c>
      <c r="B5260" s="72"/>
      <c r="C5260" s="118" t="s">
        <v>232</v>
      </c>
      <c r="D5260" s="152" t="s">
        <v>6037</v>
      </c>
      <c r="E5260" s="152" t="s">
        <v>6130</v>
      </c>
      <c r="F5260" s="152" t="s">
        <v>351</v>
      </c>
      <c r="G5260" s="152" t="s">
        <v>4608</v>
      </c>
      <c r="H5260" s="153" t="s">
        <v>211</v>
      </c>
    </row>
    <row r="5261" hidden="1">
      <c r="A5261" s="158" t="s">
        <v>231</v>
      </c>
      <c r="B5261" s="159"/>
      <c r="C5261" s="155" t="s">
        <v>232</v>
      </c>
      <c r="D5261" s="156" t="s">
        <v>6037</v>
      </c>
      <c r="E5261" s="156" t="s">
        <v>6131</v>
      </c>
      <c r="F5261" s="156" t="s">
        <v>357</v>
      </c>
      <c r="G5261" s="156" t="s">
        <v>3923</v>
      </c>
      <c r="H5261" s="157" t="s">
        <v>212</v>
      </c>
    </row>
    <row r="5262" hidden="1">
      <c r="A5262" s="160" t="s">
        <v>231</v>
      </c>
      <c r="B5262" s="72"/>
      <c r="C5262" s="118" t="s">
        <v>232</v>
      </c>
      <c r="D5262" s="152" t="s">
        <v>6037</v>
      </c>
      <c r="E5262" s="152" t="s">
        <v>6132</v>
      </c>
      <c r="F5262" s="152" t="s">
        <v>310</v>
      </c>
      <c r="G5262" s="152" t="s">
        <v>4167</v>
      </c>
      <c r="H5262" s="153" t="s">
        <v>213</v>
      </c>
    </row>
    <row r="5263" hidden="1">
      <c r="A5263" s="158" t="s">
        <v>231</v>
      </c>
      <c r="B5263" s="159"/>
      <c r="C5263" s="155" t="s">
        <v>232</v>
      </c>
      <c r="D5263" s="156" t="s">
        <v>6037</v>
      </c>
      <c r="E5263" s="156" t="s">
        <v>6133</v>
      </c>
      <c r="F5263" s="156" t="s">
        <v>354</v>
      </c>
      <c r="G5263" s="156" t="s">
        <v>4364</v>
      </c>
      <c r="H5263" s="157" t="s">
        <v>214</v>
      </c>
    </row>
    <row r="5264" hidden="1">
      <c r="A5264" s="160" t="s">
        <v>231</v>
      </c>
      <c r="B5264" s="72"/>
      <c r="C5264" s="118" t="s">
        <v>232</v>
      </c>
      <c r="D5264" s="152" t="s">
        <v>6037</v>
      </c>
      <c r="E5264" s="152" t="s">
        <v>6134</v>
      </c>
      <c r="F5264" s="152" t="s">
        <v>483</v>
      </c>
      <c r="G5264" s="152" t="s">
        <v>2820</v>
      </c>
      <c r="H5264" s="153" t="s">
        <v>215</v>
      </c>
    </row>
    <row r="5265" hidden="1">
      <c r="A5265" s="158" t="s">
        <v>231</v>
      </c>
      <c r="B5265" s="159"/>
      <c r="C5265" s="155" t="s">
        <v>232</v>
      </c>
      <c r="D5265" s="156" t="s">
        <v>6037</v>
      </c>
      <c r="E5265" s="156" t="s">
        <v>6135</v>
      </c>
      <c r="F5265" s="156" t="s">
        <v>312</v>
      </c>
      <c r="G5265" s="156" t="s">
        <v>1788</v>
      </c>
      <c r="H5265" s="157" t="s">
        <v>216</v>
      </c>
    </row>
    <row r="5266" hidden="1">
      <c r="A5266" s="160" t="s">
        <v>233</v>
      </c>
      <c r="B5266" s="72"/>
      <c r="C5266" s="118" t="s">
        <v>232</v>
      </c>
      <c r="D5266" s="152" t="s">
        <v>6037</v>
      </c>
      <c r="E5266" s="152" t="s">
        <v>6136</v>
      </c>
      <c r="F5266" s="152" t="s">
        <v>287</v>
      </c>
      <c r="G5266" s="152" t="s">
        <v>3445</v>
      </c>
      <c r="H5266" s="153" t="s">
        <v>210</v>
      </c>
    </row>
    <row r="5267" hidden="1">
      <c r="A5267" s="158" t="s">
        <v>233</v>
      </c>
      <c r="B5267" s="159"/>
      <c r="C5267" s="155" t="s">
        <v>232</v>
      </c>
      <c r="D5267" s="156" t="s">
        <v>6037</v>
      </c>
      <c r="E5267" s="156" t="s">
        <v>6137</v>
      </c>
      <c r="F5267" s="156" t="s">
        <v>242</v>
      </c>
      <c r="G5267" s="156" t="s">
        <v>3554</v>
      </c>
      <c r="H5267" s="157" t="s">
        <v>211</v>
      </c>
    </row>
    <row r="5268" hidden="1">
      <c r="A5268" s="160" t="s">
        <v>233</v>
      </c>
      <c r="B5268" s="72"/>
      <c r="C5268" s="118" t="s">
        <v>232</v>
      </c>
      <c r="D5268" s="152" t="s">
        <v>6037</v>
      </c>
      <c r="E5268" s="152" t="s">
        <v>6138</v>
      </c>
      <c r="F5268" s="152" t="s">
        <v>365</v>
      </c>
      <c r="G5268" s="152" t="s">
        <v>3558</v>
      </c>
      <c r="H5268" s="153" t="s">
        <v>212</v>
      </c>
    </row>
    <row r="5269" hidden="1">
      <c r="A5269" s="158" t="s">
        <v>233</v>
      </c>
      <c r="B5269" s="159"/>
      <c r="C5269" s="155" t="s">
        <v>232</v>
      </c>
      <c r="D5269" s="156" t="s">
        <v>6037</v>
      </c>
      <c r="E5269" s="156" t="s">
        <v>6139</v>
      </c>
      <c r="F5269" s="156" t="s">
        <v>242</v>
      </c>
      <c r="G5269" s="156" t="s">
        <v>1791</v>
      </c>
      <c r="H5269" s="157" t="s">
        <v>213</v>
      </c>
    </row>
    <row r="5270" hidden="1">
      <c r="A5270" s="160" t="s">
        <v>233</v>
      </c>
      <c r="B5270" s="72"/>
      <c r="C5270" s="118" t="s">
        <v>232</v>
      </c>
      <c r="D5270" s="152" t="s">
        <v>6037</v>
      </c>
      <c r="E5270" s="152" t="s">
        <v>6140</v>
      </c>
      <c r="F5270" s="152" t="s">
        <v>287</v>
      </c>
      <c r="G5270" s="152" t="s">
        <v>3475</v>
      </c>
      <c r="H5270" s="153" t="s">
        <v>214</v>
      </c>
    </row>
    <row r="5271" hidden="1">
      <c r="A5271" s="158" t="s">
        <v>233</v>
      </c>
      <c r="B5271" s="159"/>
      <c r="C5271" s="155" t="s">
        <v>232</v>
      </c>
      <c r="D5271" s="156" t="s">
        <v>6037</v>
      </c>
      <c r="E5271" s="156" t="s">
        <v>6141</v>
      </c>
      <c r="F5271" s="156" t="s">
        <v>242</v>
      </c>
      <c r="G5271" s="156" t="s">
        <v>3620</v>
      </c>
      <c r="H5271" s="157" t="s">
        <v>215</v>
      </c>
    </row>
    <row r="5272" hidden="1">
      <c r="A5272" s="160" t="s">
        <v>233</v>
      </c>
      <c r="B5272" s="72"/>
      <c r="C5272" s="118" t="s">
        <v>232</v>
      </c>
      <c r="D5272" s="152" t="s">
        <v>6037</v>
      </c>
      <c r="E5272" s="152" t="s">
        <v>6142</v>
      </c>
      <c r="F5272" s="152" t="s">
        <v>246</v>
      </c>
      <c r="G5272" s="152" t="s">
        <v>3691</v>
      </c>
      <c r="H5272" s="153" t="s">
        <v>216</v>
      </c>
    </row>
    <row r="5273" hidden="1">
      <c r="A5273" s="158" t="s">
        <v>234</v>
      </c>
      <c r="B5273" s="159"/>
      <c r="C5273" s="155" t="s">
        <v>232</v>
      </c>
      <c r="D5273" s="156" t="s">
        <v>6037</v>
      </c>
      <c r="E5273" s="156" t="s">
        <v>6143</v>
      </c>
      <c r="F5273" s="156" t="s">
        <v>279</v>
      </c>
      <c r="G5273" s="156" t="s">
        <v>2034</v>
      </c>
      <c r="H5273" s="157" t="s">
        <v>210</v>
      </c>
    </row>
    <row r="5274" hidden="1">
      <c r="A5274" s="160" t="s">
        <v>234</v>
      </c>
      <c r="B5274" s="72"/>
      <c r="C5274" s="118" t="s">
        <v>232</v>
      </c>
      <c r="D5274" s="152" t="s">
        <v>6037</v>
      </c>
      <c r="E5274" s="152" t="s">
        <v>6144</v>
      </c>
      <c r="F5274" s="152" t="s">
        <v>442</v>
      </c>
      <c r="G5274" s="152" t="s">
        <v>2398</v>
      </c>
      <c r="H5274" s="153" t="s">
        <v>211</v>
      </c>
    </row>
    <row r="5275" hidden="1">
      <c r="A5275" s="158" t="s">
        <v>234</v>
      </c>
      <c r="B5275" s="159"/>
      <c r="C5275" s="155" t="s">
        <v>232</v>
      </c>
      <c r="D5275" s="156" t="s">
        <v>6037</v>
      </c>
      <c r="E5275" s="156" t="s">
        <v>6145</v>
      </c>
      <c r="F5275" s="156" t="s">
        <v>298</v>
      </c>
      <c r="G5275" s="156" t="s">
        <v>2303</v>
      </c>
      <c r="H5275" s="157" t="s">
        <v>212</v>
      </c>
    </row>
    <row r="5276" hidden="1">
      <c r="A5276" s="160" t="s">
        <v>234</v>
      </c>
      <c r="B5276" s="72"/>
      <c r="C5276" s="118" t="s">
        <v>232</v>
      </c>
      <c r="D5276" s="152" t="s">
        <v>6037</v>
      </c>
      <c r="E5276" s="152" t="s">
        <v>6146</v>
      </c>
      <c r="F5276" s="152" t="s">
        <v>458</v>
      </c>
      <c r="G5276" s="152" t="s">
        <v>1846</v>
      </c>
      <c r="H5276" s="153" t="s">
        <v>213</v>
      </c>
    </row>
    <row r="5277" hidden="1">
      <c r="A5277" s="158" t="s">
        <v>234</v>
      </c>
      <c r="B5277" s="159"/>
      <c r="C5277" s="155" t="s">
        <v>232</v>
      </c>
      <c r="D5277" s="156" t="s">
        <v>6037</v>
      </c>
      <c r="E5277" s="156" t="s">
        <v>6147</v>
      </c>
      <c r="F5277" s="156" t="s">
        <v>204</v>
      </c>
      <c r="G5277" s="156" t="s">
        <v>2470</v>
      </c>
      <c r="H5277" s="157" t="s">
        <v>214</v>
      </c>
    </row>
    <row r="5278" hidden="1">
      <c r="A5278" s="160" t="s">
        <v>234</v>
      </c>
      <c r="B5278" s="72"/>
      <c r="C5278" s="118" t="s">
        <v>232</v>
      </c>
      <c r="D5278" s="152" t="s">
        <v>6037</v>
      </c>
      <c r="E5278" s="152" t="s">
        <v>6148</v>
      </c>
      <c r="F5278" s="152" t="s">
        <v>204</v>
      </c>
      <c r="G5278" s="152" t="s">
        <v>2697</v>
      </c>
      <c r="H5278" s="153" t="s">
        <v>215</v>
      </c>
    </row>
    <row r="5279" hidden="1">
      <c r="A5279" s="158" t="s">
        <v>234</v>
      </c>
      <c r="B5279" s="159"/>
      <c r="C5279" s="155" t="s">
        <v>232</v>
      </c>
      <c r="D5279" s="156" t="s">
        <v>6037</v>
      </c>
      <c r="E5279" s="156" t="s">
        <v>6149</v>
      </c>
      <c r="F5279" s="156" t="s">
        <v>279</v>
      </c>
      <c r="G5279" s="156" t="s">
        <v>1976</v>
      </c>
      <c r="H5279" s="157" t="s">
        <v>216</v>
      </c>
    </row>
    <row r="5280" hidden="1">
      <c r="A5280" s="160" t="s">
        <v>235</v>
      </c>
      <c r="B5280" s="72"/>
      <c r="C5280" s="118" t="s">
        <v>236</v>
      </c>
      <c r="D5280" s="152" t="s">
        <v>6037</v>
      </c>
      <c r="E5280" s="152" t="s">
        <v>6150</v>
      </c>
      <c r="F5280" s="152" t="s">
        <v>285</v>
      </c>
      <c r="G5280" s="152" t="s">
        <v>2354</v>
      </c>
      <c r="H5280" s="153" t="s">
        <v>210</v>
      </c>
    </row>
    <row r="5281" hidden="1">
      <c r="A5281" s="158" t="s">
        <v>235</v>
      </c>
      <c r="B5281" s="159"/>
      <c r="C5281" s="155" t="s">
        <v>236</v>
      </c>
      <c r="D5281" s="156" t="s">
        <v>6037</v>
      </c>
      <c r="E5281" s="156" t="s">
        <v>6151</v>
      </c>
      <c r="F5281" s="156" t="s">
        <v>365</v>
      </c>
      <c r="G5281" s="156" t="s">
        <v>3558</v>
      </c>
      <c r="H5281" s="157" t="s">
        <v>211</v>
      </c>
    </row>
    <row r="5282" hidden="1">
      <c r="A5282" s="160" t="s">
        <v>235</v>
      </c>
      <c r="B5282" s="72"/>
      <c r="C5282" s="118" t="s">
        <v>236</v>
      </c>
      <c r="D5282" s="152" t="s">
        <v>6037</v>
      </c>
      <c r="E5282" s="152" t="s">
        <v>6152</v>
      </c>
      <c r="F5282" s="152" t="s">
        <v>244</v>
      </c>
      <c r="G5282" s="152" t="s">
        <v>2519</v>
      </c>
      <c r="H5282" s="153" t="s">
        <v>212</v>
      </c>
    </row>
    <row r="5283" hidden="1">
      <c r="A5283" s="158" t="s">
        <v>235</v>
      </c>
      <c r="B5283" s="159"/>
      <c r="C5283" s="155" t="s">
        <v>236</v>
      </c>
      <c r="D5283" s="156" t="s">
        <v>6037</v>
      </c>
      <c r="E5283" s="156" t="s">
        <v>6153</v>
      </c>
      <c r="F5283" s="156" t="s">
        <v>242</v>
      </c>
      <c r="G5283" s="156" t="s">
        <v>3572</v>
      </c>
      <c r="H5283" s="157" t="s">
        <v>213</v>
      </c>
    </row>
    <row r="5284" hidden="1">
      <c r="A5284" s="160" t="s">
        <v>235</v>
      </c>
      <c r="B5284" s="72"/>
      <c r="C5284" s="118" t="s">
        <v>236</v>
      </c>
      <c r="D5284" s="152" t="s">
        <v>6037</v>
      </c>
      <c r="E5284" s="152" t="s">
        <v>6154</v>
      </c>
      <c r="F5284" s="152" t="s">
        <v>246</v>
      </c>
      <c r="G5284" s="152" t="s">
        <v>2665</v>
      </c>
      <c r="H5284" s="153" t="s">
        <v>214</v>
      </c>
    </row>
    <row r="5285" hidden="1">
      <c r="A5285" s="158" t="s">
        <v>235</v>
      </c>
      <c r="B5285" s="159"/>
      <c r="C5285" s="155" t="s">
        <v>236</v>
      </c>
      <c r="D5285" s="156" t="s">
        <v>6037</v>
      </c>
      <c r="E5285" s="156" t="s">
        <v>6155</v>
      </c>
      <c r="F5285" s="156" t="s">
        <v>242</v>
      </c>
      <c r="G5285" s="156" t="s">
        <v>3443</v>
      </c>
      <c r="H5285" s="157" t="s">
        <v>215</v>
      </c>
    </row>
    <row r="5286" hidden="1">
      <c r="A5286" s="160" t="s">
        <v>235</v>
      </c>
      <c r="B5286" s="72"/>
      <c r="C5286" s="118" t="s">
        <v>236</v>
      </c>
      <c r="D5286" s="152" t="s">
        <v>6037</v>
      </c>
      <c r="E5286" s="152" t="s">
        <v>6156</v>
      </c>
      <c r="F5286" s="152" t="s">
        <v>365</v>
      </c>
      <c r="G5286" s="152" t="s">
        <v>2510</v>
      </c>
      <c r="H5286" s="153" t="s">
        <v>216</v>
      </c>
    </row>
    <row r="5287" hidden="1">
      <c r="A5287" s="158" t="s">
        <v>237</v>
      </c>
      <c r="B5287" s="159"/>
      <c r="C5287" s="155" t="s">
        <v>236</v>
      </c>
      <c r="D5287" s="156" t="s">
        <v>6037</v>
      </c>
      <c r="E5287" s="156" t="s">
        <v>6157</v>
      </c>
      <c r="F5287" s="156" t="s">
        <v>298</v>
      </c>
      <c r="G5287" s="156" t="s">
        <v>1858</v>
      </c>
      <c r="H5287" s="157" t="s">
        <v>210</v>
      </c>
    </row>
    <row r="5288" hidden="1">
      <c r="A5288" s="160" t="s">
        <v>237</v>
      </c>
      <c r="B5288" s="72"/>
      <c r="C5288" s="118" t="s">
        <v>236</v>
      </c>
      <c r="D5288" s="152" t="s">
        <v>6037</v>
      </c>
      <c r="E5288" s="152" t="s">
        <v>6158</v>
      </c>
      <c r="F5288" s="152" t="s">
        <v>492</v>
      </c>
      <c r="G5288" s="152" t="s">
        <v>1839</v>
      </c>
      <c r="H5288" s="153" t="s">
        <v>211</v>
      </c>
    </row>
    <row r="5289" hidden="1">
      <c r="A5289" s="158" t="s">
        <v>237</v>
      </c>
      <c r="B5289" s="159"/>
      <c r="C5289" s="155" t="s">
        <v>236</v>
      </c>
      <c r="D5289" s="156" t="s">
        <v>6037</v>
      </c>
      <c r="E5289" s="156" t="s">
        <v>6159</v>
      </c>
      <c r="F5289" s="156" t="s">
        <v>257</v>
      </c>
      <c r="G5289" s="156" t="s">
        <v>2216</v>
      </c>
      <c r="H5289" s="157" t="s">
        <v>212</v>
      </c>
    </row>
    <row r="5290" hidden="1">
      <c r="A5290" s="160" t="s">
        <v>237</v>
      </c>
      <c r="B5290" s="72"/>
      <c r="C5290" s="118" t="s">
        <v>236</v>
      </c>
      <c r="D5290" s="152" t="s">
        <v>6037</v>
      </c>
      <c r="E5290" s="152" t="s">
        <v>6160</v>
      </c>
      <c r="F5290" s="152" t="s">
        <v>240</v>
      </c>
      <c r="G5290" s="152" t="s">
        <v>2697</v>
      </c>
      <c r="H5290" s="153" t="s">
        <v>213</v>
      </c>
    </row>
    <row r="5291" hidden="1">
      <c r="A5291" s="158" t="s">
        <v>237</v>
      </c>
      <c r="B5291" s="159"/>
      <c r="C5291" s="155" t="s">
        <v>236</v>
      </c>
      <c r="D5291" s="156" t="s">
        <v>6037</v>
      </c>
      <c r="E5291" s="156" t="s">
        <v>6161</v>
      </c>
      <c r="F5291" s="156" t="s">
        <v>265</v>
      </c>
      <c r="G5291" s="156" t="s">
        <v>2694</v>
      </c>
      <c r="H5291" s="157" t="s">
        <v>214</v>
      </c>
    </row>
    <row r="5292" hidden="1">
      <c r="A5292" s="160" t="s">
        <v>237</v>
      </c>
      <c r="B5292" s="72"/>
      <c r="C5292" s="118" t="s">
        <v>236</v>
      </c>
      <c r="D5292" s="152" t="s">
        <v>6037</v>
      </c>
      <c r="E5292" s="152" t="s">
        <v>6162</v>
      </c>
      <c r="F5292" s="152" t="s">
        <v>269</v>
      </c>
      <c r="G5292" s="152" t="s">
        <v>3010</v>
      </c>
      <c r="H5292" s="153" t="s">
        <v>215</v>
      </c>
    </row>
    <row r="5293" hidden="1">
      <c r="A5293" s="158" t="s">
        <v>237</v>
      </c>
      <c r="B5293" s="159"/>
      <c r="C5293" s="155" t="s">
        <v>236</v>
      </c>
      <c r="D5293" s="156" t="s">
        <v>6037</v>
      </c>
      <c r="E5293" s="156" t="s">
        <v>6163</v>
      </c>
      <c r="F5293" s="156" t="s">
        <v>492</v>
      </c>
      <c r="G5293" s="156" t="s">
        <v>1839</v>
      </c>
      <c r="H5293" s="157" t="s">
        <v>216</v>
      </c>
    </row>
    <row r="5294" hidden="1">
      <c r="A5294" s="151" t="s">
        <v>204</v>
      </c>
      <c r="B5294" s="118" t="s">
        <v>205</v>
      </c>
      <c r="C5294" s="118" t="s">
        <v>206</v>
      </c>
      <c r="D5294" s="152" t="s">
        <v>6164</v>
      </c>
      <c r="E5294" s="152" t="s">
        <v>6165</v>
      </c>
      <c r="F5294" s="152" t="s">
        <v>365</v>
      </c>
      <c r="G5294" s="152" t="s">
        <v>2387</v>
      </c>
      <c r="H5294" s="153" t="s">
        <v>210</v>
      </c>
    </row>
    <row r="5295" hidden="1">
      <c r="A5295" s="154" t="s">
        <v>204</v>
      </c>
      <c r="B5295" s="155" t="s">
        <v>205</v>
      </c>
      <c r="C5295" s="155" t="s">
        <v>206</v>
      </c>
      <c r="D5295" s="156" t="s">
        <v>6164</v>
      </c>
      <c r="E5295" s="156" t="s">
        <v>6166</v>
      </c>
      <c r="F5295" s="156" t="s">
        <v>321</v>
      </c>
      <c r="G5295" s="156" t="s">
        <v>2279</v>
      </c>
      <c r="H5295" s="157" t="s">
        <v>211</v>
      </c>
    </row>
    <row r="5296" hidden="1">
      <c r="A5296" s="151" t="s">
        <v>204</v>
      </c>
      <c r="B5296" s="118" t="s">
        <v>205</v>
      </c>
      <c r="C5296" s="118" t="s">
        <v>206</v>
      </c>
      <c r="D5296" s="152" t="s">
        <v>6164</v>
      </c>
      <c r="E5296" s="152" t="s">
        <v>6167</v>
      </c>
      <c r="F5296" s="152" t="s">
        <v>359</v>
      </c>
      <c r="G5296" s="152" t="s">
        <v>3138</v>
      </c>
      <c r="H5296" s="153" t="s">
        <v>212</v>
      </c>
    </row>
    <row r="5297" hidden="1">
      <c r="A5297" s="154" t="s">
        <v>204</v>
      </c>
      <c r="B5297" s="155" t="s">
        <v>205</v>
      </c>
      <c r="C5297" s="155" t="s">
        <v>206</v>
      </c>
      <c r="D5297" s="156" t="s">
        <v>6164</v>
      </c>
      <c r="E5297" s="156" t="s">
        <v>6168</v>
      </c>
      <c r="F5297" s="156" t="s">
        <v>285</v>
      </c>
      <c r="G5297" s="156" t="s">
        <v>2283</v>
      </c>
      <c r="H5297" s="157" t="s">
        <v>213</v>
      </c>
    </row>
    <row r="5298" hidden="1">
      <c r="A5298" s="151" t="s">
        <v>204</v>
      </c>
      <c r="B5298" s="118" t="s">
        <v>205</v>
      </c>
      <c r="C5298" s="118" t="s">
        <v>206</v>
      </c>
      <c r="D5298" s="152" t="s">
        <v>6164</v>
      </c>
      <c r="E5298" s="152" t="s">
        <v>6169</v>
      </c>
      <c r="F5298" s="152" t="s">
        <v>359</v>
      </c>
      <c r="G5298" s="152" t="s">
        <v>2995</v>
      </c>
      <c r="H5298" s="153" t="s">
        <v>214</v>
      </c>
    </row>
    <row r="5299" hidden="1">
      <c r="A5299" s="154" t="s">
        <v>204</v>
      </c>
      <c r="B5299" s="155" t="s">
        <v>205</v>
      </c>
      <c r="C5299" s="155" t="s">
        <v>206</v>
      </c>
      <c r="D5299" s="156" t="s">
        <v>6164</v>
      </c>
      <c r="E5299" s="156" t="s">
        <v>6170</v>
      </c>
      <c r="F5299" s="156" t="s">
        <v>357</v>
      </c>
      <c r="G5299" s="156" t="s">
        <v>1921</v>
      </c>
      <c r="H5299" s="157" t="s">
        <v>215</v>
      </c>
    </row>
    <row r="5300" hidden="1">
      <c r="A5300" s="151" t="s">
        <v>204</v>
      </c>
      <c r="B5300" s="118" t="s">
        <v>205</v>
      </c>
      <c r="C5300" s="118" t="s">
        <v>206</v>
      </c>
      <c r="D5300" s="152" t="s">
        <v>6164</v>
      </c>
      <c r="E5300" s="152" t="s">
        <v>6171</v>
      </c>
      <c r="F5300" s="152" t="s">
        <v>285</v>
      </c>
      <c r="G5300" s="152" t="s">
        <v>2989</v>
      </c>
      <c r="H5300" s="153" t="s">
        <v>216</v>
      </c>
    </row>
    <row r="5301" hidden="1">
      <c r="A5301" s="154" t="s">
        <v>217</v>
      </c>
      <c r="B5301" s="155" t="s">
        <v>191</v>
      </c>
      <c r="C5301" s="155" t="s">
        <v>206</v>
      </c>
      <c r="D5301" s="156" t="s">
        <v>6164</v>
      </c>
      <c r="E5301" s="156" t="s">
        <v>6172</v>
      </c>
      <c r="F5301" s="156" t="s">
        <v>269</v>
      </c>
      <c r="G5301" s="156" t="s">
        <v>3400</v>
      </c>
      <c r="H5301" s="157" t="s">
        <v>210</v>
      </c>
    </row>
    <row r="5302" hidden="1">
      <c r="A5302" s="151" t="s">
        <v>217</v>
      </c>
      <c r="B5302" s="118" t="s">
        <v>191</v>
      </c>
      <c r="C5302" s="118" t="s">
        <v>206</v>
      </c>
      <c r="D5302" s="152" t="s">
        <v>6164</v>
      </c>
      <c r="E5302" s="152" t="s">
        <v>6173</v>
      </c>
      <c r="F5302" s="152" t="s">
        <v>265</v>
      </c>
      <c r="G5302" s="152" t="s">
        <v>3307</v>
      </c>
      <c r="H5302" s="153" t="s">
        <v>211</v>
      </c>
    </row>
    <row r="5303" hidden="1">
      <c r="A5303" s="154" t="s">
        <v>217</v>
      </c>
      <c r="B5303" s="155" t="s">
        <v>191</v>
      </c>
      <c r="C5303" s="155" t="s">
        <v>206</v>
      </c>
      <c r="D5303" s="156" t="s">
        <v>6164</v>
      </c>
      <c r="E5303" s="156" t="s">
        <v>6174</v>
      </c>
      <c r="F5303" s="156" t="s">
        <v>246</v>
      </c>
      <c r="G5303" s="156" t="s">
        <v>3200</v>
      </c>
      <c r="H5303" s="157" t="s">
        <v>212</v>
      </c>
    </row>
    <row r="5304" hidden="1">
      <c r="A5304" s="151" t="s">
        <v>217</v>
      </c>
      <c r="B5304" s="118" t="s">
        <v>191</v>
      </c>
      <c r="C5304" s="118" t="s">
        <v>206</v>
      </c>
      <c r="D5304" s="152" t="s">
        <v>6164</v>
      </c>
      <c r="E5304" s="152" t="s">
        <v>6175</v>
      </c>
      <c r="F5304" s="152" t="s">
        <v>301</v>
      </c>
      <c r="G5304" s="152" t="s">
        <v>2667</v>
      </c>
      <c r="H5304" s="153" t="s">
        <v>213</v>
      </c>
    </row>
    <row r="5305" hidden="1">
      <c r="A5305" s="154" t="s">
        <v>217</v>
      </c>
      <c r="B5305" s="155" t="s">
        <v>191</v>
      </c>
      <c r="C5305" s="155" t="s">
        <v>206</v>
      </c>
      <c r="D5305" s="156" t="s">
        <v>6164</v>
      </c>
      <c r="E5305" s="156" t="s">
        <v>6176</v>
      </c>
      <c r="F5305" s="156" t="s">
        <v>269</v>
      </c>
      <c r="G5305" s="156" t="s">
        <v>3707</v>
      </c>
      <c r="H5305" s="157" t="s">
        <v>214</v>
      </c>
    </row>
    <row r="5306" hidden="1">
      <c r="A5306" s="151" t="s">
        <v>217</v>
      </c>
      <c r="B5306" s="118" t="s">
        <v>191</v>
      </c>
      <c r="C5306" s="118" t="s">
        <v>206</v>
      </c>
      <c r="D5306" s="152" t="s">
        <v>6164</v>
      </c>
      <c r="E5306" s="152" t="s">
        <v>6177</v>
      </c>
      <c r="F5306" s="152" t="s">
        <v>301</v>
      </c>
      <c r="G5306" s="152" t="s">
        <v>3482</v>
      </c>
      <c r="H5306" s="153" t="s">
        <v>215</v>
      </c>
    </row>
    <row r="5307" hidden="1">
      <c r="A5307" s="154" t="s">
        <v>217</v>
      </c>
      <c r="B5307" s="155" t="s">
        <v>191</v>
      </c>
      <c r="C5307" s="155" t="s">
        <v>206</v>
      </c>
      <c r="D5307" s="156" t="s">
        <v>6164</v>
      </c>
      <c r="E5307" s="156" t="s">
        <v>6178</v>
      </c>
      <c r="F5307" s="156" t="s">
        <v>255</v>
      </c>
      <c r="G5307" s="156" t="s">
        <v>2177</v>
      </c>
      <c r="H5307" s="157" t="s">
        <v>216</v>
      </c>
    </row>
    <row r="5308" hidden="1">
      <c r="A5308" s="151" t="s">
        <v>218</v>
      </c>
      <c r="B5308" s="118" t="s">
        <v>219</v>
      </c>
      <c r="C5308" s="118" t="s">
        <v>206</v>
      </c>
      <c r="D5308" s="152" t="s">
        <v>6164</v>
      </c>
      <c r="E5308" s="152" t="s">
        <v>6179</v>
      </c>
      <c r="F5308" s="152" t="s">
        <v>450</v>
      </c>
      <c r="G5308" s="152" t="s">
        <v>3142</v>
      </c>
      <c r="H5308" s="153" t="s">
        <v>210</v>
      </c>
    </row>
    <row r="5309" hidden="1">
      <c r="A5309" s="154" t="s">
        <v>218</v>
      </c>
      <c r="B5309" s="155" t="s">
        <v>219</v>
      </c>
      <c r="C5309" s="155" t="s">
        <v>206</v>
      </c>
      <c r="D5309" s="156" t="s">
        <v>6164</v>
      </c>
      <c r="E5309" s="156" t="s">
        <v>6180</v>
      </c>
      <c r="F5309" s="156" t="s">
        <v>450</v>
      </c>
      <c r="G5309" s="156" t="s">
        <v>3402</v>
      </c>
      <c r="H5309" s="157" t="s">
        <v>211</v>
      </c>
    </row>
    <row r="5310" hidden="1">
      <c r="A5310" s="151" t="s">
        <v>218</v>
      </c>
      <c r="B5310" s="118" t="s">
        <v>219</v>
      </c>
      <c r="C5310" s="118" t="s">
        <v>206</v>
      </c>
      <c r="D5310" s="152" t="s">
        <v>6164</v>
      </c>
      <c r="E5310" s="152" t="s">
        <v>6181</v>
      </c>
      <c r="F5310" s="152" t="s">
        <v>735</v>
      </c>
      <c r="G5310" s="152" t="s">
        <v>3478</v>
      </c>
      <c r="H5310" s="153" t="s">
        <v>212</v>
      </c>
    </row>
    <row r="5311" hidden="1">
      <c r="A5311" s="154" t="s">
        <v>218</v>
      </c>
      <c r="B5311" s="155" t="s">
        <v>219</v>
      </c>
      <c r="C5311" s="155" t="s">
        <v>206</v>
      </c>
      <c r="D5311" s="156" t="s">
        <v>6164</v>
      </c>
      <c r="E5311" s="156" t="s">
        <v>6182</v>
      </c>
      <c r="F5311" s="156" t="s">
        <v>483</v>
      </c>
      <c r="G5311" s="156" t="s">
        <v>3307</v>
      </c>
      <c r="H5311" s="157" t="s">
        <v>213</v>
      </c>
    </row>
    <row r="5312" hidden="1">
      <c r="A5312" s="151" t="s">
        <v>218</v>
      </c>
      <c r="B5312" s="118" t="s">
        <v>219</v>
      </c>
      <c r="C5312" s="118" t="s">
        <v>206</v>
      </c>
      <c r="D5312" s="152" t="s">
        <v>6164</v>
      </c>
      <c r="E5312" s="152" t="s">
        <v>6183</v>
      </c>
      <c r="F5312" s="152" t="s">
        <v>325</v>
      </c>
      <c r="G5312" s="152" t="s">
        <v>3307</v>
      </c>
      <c r="H5312" s="153" t="s">
        <v>214</v>
      </c>
    </row>
    <row r="5313" hidden="1">
      <c r="A5313" s="154" t="s">
        <v>218</v>
      </c>
      <c r="B5313" s="155" t="s">
        <v>219</v>
      </c>
      <c r="C5313" s="155" t="s">
        <v>206</v>
      </c>
      <c r="D5313" s="156" t="s">
        <v>6164</v>
      </c>
      <c r="E5313" s="156" t="s">
        <v>6184</v>
      </c>
      <c r="F5313" s="156" t="s">
        <v>325</v>
      </c>
      <c r="G5313" s="156" t="s">
        <v>3200</v>
      </c>
      <c r="H5313" s="157" t="s">
        <v>215</v>
      </c>
    </row>
    <row r="5314" hidden="1">
      <c r="A5314" s="151" t="s">
        <v>218</v>
      </c>
      <c r="B5314" s="118" t="s">
        <v>219</v>
      </c>
      <c r="C5314" s="118" t="s">
        <v>206</v>
      </c>
      <c r="D5314" s="152" t="s">
        <v>6164</v>
      </c>
      <c r="E5314" s="152" t="s">
        <v>6185</v>
      </c>
      <c r="F5314" s="152" t="s">
        <v>325</v>
      </c>
      <c r="G5314" s="152" t="s">
        <v>4305</v>
      </c>
      <c r="H5314" s="153" t="s">
        <v>216</v>
      </c>
    </row>
    <row r="5315" hidden="1">
      <c r="A5315" s="154" t="s">
        <v>220</v>
      </c>
      <c r="B5315" s="155" t="s">
        <v>190</v>
      </c>
      <c r="C5315" s="155" t="s">
        <v>206</v>
      </c>
      <c r="D5315" s="156" t="s">
        <v>6164</v>
      </c>
      <c r="E5315" s="156" t="s">
        <v>6186</v>
      </c>
      <c r="F5315" s="156" t="s">
        <v>532</v>
      </c>
      <c r="G5315" s="156" t="s">
        <v>4608</v>
      </c>
      <c r="H5315" s="157" t="s">
        <v>210</v>
      </c>
    </row>
    <row r="5316" hidden="1">
      <c r="A5316" s="151" t="s">
        <v>220</v>
      </c>
      <c r="B5316" s="118" t="s">
        <v>190</v>
      </c>
      <c r="C5316" s="118" t="s">
        <v>206</v>
      </c>
      <c r="D5316" s="152" t="s">
        <v>6164</v>
      </c>
      <c r="E5316" s="152" t="s">
        <v>6187</v>
      </c>
      <c r="F5316" s="152" t="s">
        <v>3243</v>
      </c>
      <c r="G5316" s="152" t="s">
        <v>4851</v>
      </c>
      <c r="H5316" s="153" t="s">
        <v>211</v>
      </c>
    </row>
    <row r="5317" hidden="1">
      <c r="A5317" s="154" t="s">
        <v>220</v>
      </c>
      <c r="B5317" s="155" t="s">
        <v>190</v>
      </c>
      <c r="C5317" s="155" t="s">
        <v>206</v>
      </c>
      <c r="D5317" s="156" t="s">
        <v>6164</v>
      </c>
      <c r="E5317" s="156" t="s">
        <v>6188</v>
      </c>
      <c r="F5317" s="156" t="s">
        <v>534</v>
      </c>
      <c r="G5317" s="156" t="s">
        <v>3790</v>
      </c>
      <c r="H5317" s="157" t="s">
        <v>212</v>
      </c>
    </row>
    <row r="5318" hidden="1">
      <c r="A5318" s="151" t="s">
        <v>220</v>
      </c>
      <c r="B5318" s="118" t="s">
        <v>190</v>
      </c>
      <c r="C5318" s="118" t="s">
        <v>206</v>
      </c>
      <c r="D5318" s="152" t="s">
        <v>6164</v>
      </c>
      <c r="E5318" s="152" t="s">
        <v>6189</v>
      </c>
      <c r="F5318" s="152" t="s">
        <v>444</v>
      </c>
      <c r="G5318" s="152" t="s">
        <v>4077</v>
      </c>
      <c r="H5318" s="153" t="s">
        <v>213</v>
      </c>
    </row>
    <row r="5319" hidden="1">
      <c r="A5319" s="154" t="s">
        <v>220</v>
      </c>
      <c r="B5319" s="155" t="s">
        <v>190</v>
      </c>
      <c r="C5319" s="155" t="s">
        <v>206</v>
      </c>
      <c r="D5319" s="156" t="s">
        <v>6164</v>
      </c>
      <c r="E5319" s="156" t="s">
        <v>6190</v>
      </c>
      <c r="F5319" s="156" t="s">
        <v>4052</v>
      </c>
      <c r="G5319" s="156" t="s">
        <v>3296</v>
      </c>
      <c r="H5319" s="157" t="s">
        <v>214</v>
      </c>
    </row>
    <row r="5320" hidden="1">
      <c r="A5320" s="151" t="s">
        <v>220</v>
      </c>
      <c r="B5320" s="118" t="s">
        <v>190</v>
      </c>
      <c r="C5320" s="118" t="s">
        <v>206</v>
      </c>
      <c r="D5320" s="152" t="s">
        <v>6164</v>
      </c>
      <c r="E5320" s="152" t="s">
        <v>6191</v>
      </c>
      <c r="F5320" s="152" t="s">
        <v>1929</v>
      </c>
      <c r="G5320" s="152" t="s">
        <v>2663</v>
      </c>
      <c r="H5320" s="153" t="s">
        <v>215</v>
      </c>
    </row>
    <row r="5321" hidden="1">
      <c r="A5321" s="154" t="s">
        <v>220</v>
      </c>
      <c r="B5321" s="155" t="s">
        <v>190</v>
      </c>
      <c r="C5321" s="155" t="s">
        <v>206</v>
      </c>
      <c r="D5321" s="156" t="s">
        <v>6164</v>
      </c>
      <c r="E5321" s="156" t="s">
        <v>6192</v>
      </c>
      <c r="F5321" s="156" t="s">
        <v>763</v>
      </c>
      <c r="G5321" s="156" t="s">
        <v>4297</v>
      </c>
      <c r="H5321" s="157" t="s">
        <v>216</v>
      </c>
    </row>
    <row r="5322" hidden="1">
      <c r="A5322" s="151" t="s">
        <v>221</v>
      </c>
      <c r="B5322" s="118" t="s">
        <v>189</v>
      </c>
      <c r="C5322" s="118" t="s">
        <v>206</v>
      </c>
      <c r="D5322" s="152" t="s">
        <v>6164</v>
      </c>
      <c r="E5322" s="152" t="s">
        <v>6193</v>
      </c>
      <c r="F5322" s="152" t="s">
        <v>374</v>
      </c>
      <c r="G5322" s="152" t="s">
        <v>6194</v>
      </c>
      <c r="H5322" s="153" t="s">
        <v>210</v>
      </c>
    </row>
    <row r="5323" hidden="1">
      <c r="A5323" s="154" t="s">
        <v>221</v>
      </c>
      <c r="B5323" s="155" t="s">
        <v>189</v>
      </c>
      <c r="C5323" s="155" t="s">
        <v>206</v>
      </c>
      <c r="D5323" s="156" t="s">
        <v>6164</v>
      </c>
      <c r="E5323" s="156" t="s">
        <v>6195</v>
      </c>
      <c r="F5323" s="156" t="s">
        <v>269</v>
      </c>
      <c r="G5323" s="156" t="s">
        <v>2018</v>
      </c>
      <c r="H5323" s="157" t="s">
        <v>211</v>
      </c>
    </row>
    <row r="5324" hidden="1">
      <c r="A5324" s="151" t="s">
        <v>221</v>
      </c>
      <c r="B5324" s="118" t="s">
        <v>189</v>
      </c>
      <c r="C5324" s="118" t="s">
        <v>206</v>
      </c>
      <c r="D5324" s="152" t="s">
        <v>6164</v>
      </c>
      <c r="E5324" s="152" t="s">
        <v>6196</v>
      </c>
      <c r="F5324" s="152" t="s">
        <v>301</v>
      </c>
      <c r="G5324" s="152" t="s">
        <v>2296</v>
      </c>
      <c r="H5324" s="153" t="s">
        <v>212</v>
      </c>
    </row>
    <row r="5325" hidden="1">
      <c r="A5325" s="154" t="s">
        <v>221</v>
      </c>
      <c r="B5325" s="155" t="s">
        <v>189</v>
      </c>
      <c r="C5325" s="155" t="s">
        <v>206</v>
      </c>
      <c r="D5325" s="156" t="s">
        <v>6164</v>
      </c>
      <c r="E5325" s="156" t="s">
        <v>6197</v>
      </c>
      <c r="F5325" s="156" t="s">
        <v>374</v>
      </c>
      <c r="G5325" s="156" t="s">
        <v>758</v>
      </c>
      <c r="H5325" s="157" t="s">
        <v>213</v>
      </c>
    </row>
    <row r="5326" hidden="1">
      <c r="A5326" s="151" t="s">
        <v>221</v>
      </c>
      <c r="B5326" s="118" t="s">
        <v>189</v>
      </c>
      <c r="C5326" s="118" t="s">
        <v>206</v>
      </c>
      <c r="D5326" s="152" t="s">
        <v>6164</v>
      </c>
      <c r="E5326" s="152" t="s">
        <v>6198</v>
      </c>
      <c r="F5326" s="152" t="s">
        <v>374</v>
      </c>
      <c r="G5326" s="152" t="s">
        <v>1894</v>
      </c>
      <c r="H5326" s="153" t="s">
        <v>214</v>
      </c>
    </row>
    <row r="5327" hidden="1">
      <c r="A5327" s="154" t="s">
        <v>221</v>
      </c>
      <c r="B5327" s="155" t="s">
        <v>189</v>
      </c>
      <c r="C5327" s="155" t="s">
        <v>206</v>
      </c>
      <c r="D5327" s="156" t="s">
        <v>6164</v>
      </c>
      <c r="E5327" s="156" t="s">
        <v>6199</v>
      </c>
      <c r="F5327" s="156" t="s">
        <v>357</v>
      </c>
      <c r="G5327" s="156" t="s">
        <v>2126</v>
      </c>
      <c r="H5327" s="157" t="s">
        <v>215</v>
      </c>
    </row>
    <row r="5328" hidden="1">
      <c r="A5328" s="151" t="s">
        <v>221</v>
      </c>
      <c r="B5328" s="118" t="s">
        <v>189</v>
      </c>
      <c r="C5328" s="118" t="s">
        <v>206</v>
      </c>
      <c r="D5328" s="152" t="s">
        <v>6164</v>
      </c>
      <c r="E5328" s="152" t="s">
        <v>6200</v>
      </c>
      <c r="F5328" s="152" t="s">
        <v>259</v>
      </c>
      <c r="G5328" s="152" t="s">
        <v>1773</v>
      </c>
      <c r="H5328" s="153" t="s">
        <v>216</v>
      </c>
    </row>
    <row r="5329" hidden="1">
      <c r="A5329" s="154" t="s">
        <v>222</v>
      </c>
      <c r="B5329" s="155" t="s">
        <v>192</v>
      </c>
      <c r="C5329" s="155" t="s">
        <v>206</v>
      </c>
      <c r="D5329" s="156" t="s">
        <v>6164</v>
      </c>
      <c r="E5329" s="156" t="s">
        <v>6201</v>
      </c>
      <c r="F5329" s="156" t="s">
        <v>725</v>
      </c>
      <c r="G5329" s="156" t="s">
        <v>3203</v>
      </c>
      <c r="H5329" s="157" t="s">
        <v>210</v>
      </c>
    </row>
    <row r="5330" hidden="1">
      <c r="A5330" s="151" t="s">
        <v>222</v>
      </c>
      <c r="B5330" s="118" t="s">
        <v>192</v>
      </c>
      <c r="C5330" s="118" t="s">
        <v>206</v>
      </c>
      <c r="D5330" s="152" t="s">
        <v>6164</v>
      </c>
      <c r="E5330" s="152" t="s">
        <v>6202</v>
      </c>
      <c r="F5330" s="152" t="s">
        <v>336</v>
      </c>
      <c r="G5330" s="152" t="s">
        <v>2181</v>
      </c>
      <c r="H5330" s="153" t="s">
        <v>211</v>
      </c>
    </row>
    <row r="5331" hidden="1">
      <c r="A5331" s="154" t="s">
        <v>222</v>
      </c>
      <c r="B5331" s="155" t="s">
        <v>192</v>
      </c>
      <c r="C5331" s="155" t="s">
        <v>206</v>
      </c>
      <c r="D5331" s="156" t="s">
        <v>6164</v>
      </c>
      <c r="E5331" s="156" t="s">
        <v>6203</v>
      </c>
      <c r="F5331" s="156" t="s">
        <v>691</v>
      </c>
      <c r="G5331" s="156" t="s">
        <v>3756</v>
      </c>
      <c r="H5331" s="157" t="s">
        <v>212</v>
      </c>
    </row>
    <row r="5332" hidden="1">
      <c r="A5332" s="151" t="s">
        <v>222</v>
      </c>
      <c r="B5332" s="118" t="s">
        <v>192</v>
      </c>
      <c r="C5332" s="118" t="s">
        <v>206</v>
      </c>
      <c r="D5332" s="152" t="s">
        <v>6164</v>
      </c>
      <c r="E5332" s="152" t="s">
        <v>6204</v>
      </c>
      <c r="F5332" s="152" t="s">
        <v>329</v>
      </c>
      <c r="G5332" s="152" t="s">
        <v>3449</v>
      </c>
      <c r="H5332" s="153" t="s">
        <v>213</v>
      </c>
    </row>
    <row r="5333" hidden="1">
      <c r="A5333" s="154" t="s">
        <v>222</v>
      </c>
      <c r="B5333" s="155" t="s">
        <v>192</v>
      </c>
      <c r="C5333" s="155" t="s">
        <v>206</v>
      </c>
      <c r="D5333" s="156" t="s">
        <v>6164</v>
      </c>
      <c r="E5333" s="156" t="s">
        <v>6205</v>
      </c>
      <c r="F5333" s="156" t="s">
        <v>359</v>
      </c>
      <c r="G5333" s="156" t="s">
        <v>3142</v>
      </c>
      <c r="H5333" s="157" t="s">
        <v>214</v>
      </c>
    </row>
    <row r="5334" hidden="1">
      <c r="A5334" s="151" t="s">
        <v>222</v>
      </c>
      <c r="B5334" s="118" t="s">
        <v>192</v>
      </c>
      <c r="C5334" s="118" t="s">
        <v>206</v>
      </c>
      <c r="D5334" s="152" t="s">
        <v>6164</v>
      </c>
      <c r="E5334" s="152" t="s">
        <v>6206</v>
      </c>
      <c r="F5334" s="152" t="s">
        <v>359</v>
      </c>
      <c r="G5334" s="152" t="s">
        <v>3207</v>
      </c>
      <c r="H5334" s="153" t="s">
        <v>215</v>
      </c>
    </row>
    <row r="5335" hidden="1">
      <c r="A5335" s="154" t="s">
        <v>222</v>
      </c>
      <c r="B5335" s="155" t="s">
        <v>192</v>
      </c>
      <c r="C5335" s="155" t="s">
        <v>206</v>
      </c>
      <c r="D5335" s="156" t="s">
        <v>6164</v>
      </c>
      <c r="E5335" s="156" t="s">
        <v>6207</v>
      </c>
      <c r="F5335" s="156" t="s">
        <v>329</v>
      </c>
      <c r="G5335" s="156" t="s">
        <v>2181</v>
      </c>
      <c r="H5335" s="157" t="s">
        <v>216</v>
      </c>
    </row>
    <row r="5336" hidden="1">
      <c r="A5336" s="151" t="s">
        <v>223</v>
      </c>
      <c r="B5336" s="118" t="s">
        <v>144</v>
      </c>
      <c r="C5336" s="118" t="s">
        <v>206</v>
      </c>
      <c r="D5336" s="152" t="s">
        <v>6164</v>
      </c>
      <c r="E5336" s="152" t="s">
        <v>6208</v>
      </c>
      <c r="F5336" s="152" t="s">
        <v>257</v>
      </c>
      <c r="G5336" s="152" t="s">
        <v>2283</v>
      </c>
      <c r="H5336" s="153" t="s">
        <v>210</v>
      </c>
    </row>
    <row r="5337" hidden="1">
      <c r="A5337" s="154" t="s">
        <v>223</v>
      </c>
      <c r="B5337" s="155" t="s">
        <v>144</v>
      </c>
      <c r="C5337" s="155" t="s">
        <v>206</v>
      </c>
      <c r="D5337" s="156" t="s">
        <v>6164</v>
      </c>
      <c r="E5337" s="156" t="s">
        <v>6209</v>
      </c>
      <c r="F5337" s="156" t="s">
        <v>310</v>
      </c>
      <c r="G5337" s="156" t="s">
        <v>3908</v>
      </c>
      <c r="H5337" s="157" t="s">
        <v>211</v>
      </c>
    </row>
    <row r="5338" hidden="1">
      <c r="A5338" s="151" t="s">
        <v>223</v>
      </c>
      <c r="B5338" s="118" t="s">
        <v>144</v>
      </c>
      <c r="C5338" s="118" t="s">
        <v>206</v>
      </c>
      <c r="D5338" s="152" t="s">
        <v>6164</v>
      </c>
      <c r="E5338" s="152" t="s">
        <v>6210</v>
      </c>
      <c r="F5338" s="152" t="s">
        <v>314</v>
      </c>
      <c r="G5338" s="152" t="s">
        <v>2517</v>
      </c>
      <c r="H5338" s="153" t="s">
        <v>212</v>
      </c>
    </row>
    <row r="5339" hidden="1">
      <c r="A5339" s="154" t="s">
        <v>223</v>
      </c>
      <c r="B5339" s="155" t="s">
        <v>144</v>
      </c>
      <c r="C5339" s="155" t="s">
        <v>206</v>
      </c>
      <c r="D5339" s="156" t="s">
        <v>6164</v>
      </c>
      <c r="E5339" s="156" t="s">
        <v>6211</v>
      </c>
      <c r="F5339" s="156" t="s">
        <v>351</v>
      </c>
      <c r="G5339" s="156" t="s">
        <v>2820</v>
      </c>
      <c r="H5339" s="157" t="s">
        <v>213</v>
      </c>
    </row>
    <row r="5340" hidden="1">
      <c r="A5340" s="151" t="s">
        <v>223</v>
      </c>
      <c r="B5340" s="118" t="s">
        <v>144</v>
      </c>
      <c r="C5340" s="118" t="s">
        <v>206</v>
      </c>
      <c r="D5340" s="152" t="s">
        <v>6164</v>
      </c>
      <c r="E5340" s="152" t="s">
        <v>6212</v>
      </c>
      <c r="F5340" s="152" t="s">
        <v>246</v>
      </c>
      <c r="G5340" s="152" t="s">
        <v>3546</v>
      </c>
      <c r="H5340" s="153" t="s">
        <v>214</v>
      </c>
    </row>
    <row r="5341" hidden="1">
      <c r="A5341" s="154" t="s">
        <v>223</v>
      </c>
      <c r="B5341" s="155" t="s">
        <v>144</v>
      </c>
      <c r="C5341" s="155" t="s">
        <v>206</v>
      </c>
      <c r="D5341" s="156" t="s">
        <v>6164</v>
      </c>
      <c r="E5341" s="156" t="s">
        <v>6213</v>
      </c>
      <c r="F5341" s="156" t="s">
        <v>242</v>
      </c>
      <c r="G5341" s="156" t="s">
        <v>3908</v>
      </c>
      <c r="H5341" s="157" t="s">
        <v>215</v>
      </c>
    </row>
    <row r="5342" hidden="1">
      <c r="A5342" s="151" t="s">
        <v>223</v>
      </c>
      <c r="B5342" s="118" t="s">
        <v>144</v>
      </c>
      <c r="C5342" s="118" t="s">
        <v>206</v>
      </c>
      <c r="D5342" s="152" t="s">
        <v>6164</v>
      </c>
      <c r="E5342" s="152" t="s">
        <v>6214</v>
      </c>
      <c r="F5342" s="152" t="s">
        <v>285</v>
      </c>
      <c r="G5342" s="152" t="s">
        <v>4305</v>
      </c>
      <c r="H5342" s="153" t="s">
        <v>216</v>
      </c>
    </row>
    <row r="5343" hidden="1">
      <c r="A5343" s="154" t="s">
        <v>224</v>
      </c>
      <c r="B5343" s="155" t="s">
        <v>170</v>
      </c>
      <c r="C5343" s="155" t="s">
        <v>206</v>
      </c>
      <c r="D5343" s="156" t="s">
        <v>6164</v>
      </c>
      <c r="E5343" s="156" t="s">
        <v>6215</v>
      </c>
      <c r="F5343" s="156" t="s">
        <v>357</v>
      </c>
      <c r="G5343" s="156" t="s">
        <v>2303</v>
      </c>
      <c r="H5343" s="157" t="s">
        <v>210</v>
      </c>
    </row>
    <row r="5344" hidden="1">
      <c r="A5344" s="151" t="s">
        <v>224</v>
      </c>
      <c r="B5344" s="118" t="s">
        <v>170</v>
      </c>
      <c r="C5344" s="118" t="s">
        <v>206</v>
      </c>
      <c r="D5344" s="152" t="s">
        <v>6164</v>
      </c>
      <c r="E5344" s="152" t="s">
        <v>6216</v>
      </c>
      <c r="F5344" s="152" t="s">
        <v>285</v>
      </c>
      <c r="G5344" s="152" t="s">
        <v>3282</v>
      </c>
      <c r="H5344" s="153" t="s">
        <v>211</v>
      </c>
    </row>
    <row r="5345" hidden="1">
      <c r="A5345" s="154" t="s">
        <v>224</v>
      </c>
      <c r="B5345" s="155" t="s">
        <v>170</v>
      </c>
      <c r="C5345" s="155" t="s">
        <v>206</v>
      </c>
      <c r="D5345" s="156" t="s">
        <v>6164</v>
      </c>
      <c r="E5345" s="156" t="s">
        <v>6217</v>
      </c>
      <c r="F5345" s="156" t="s">
        <v>262</v>
      </c>
      <c r="G5345" s="156" t="s">
        <v>3278</v>
      </c>
      <c r="H5345" s="157" t="s">
        <v>212</v>
      </c>
    </row>
    <row r="5346" hidden="1">
      <c r="A5346" s="151" t="s">
        <v>224</v>
      </c>
      <c r="B5346" s="118" t="s">
        <v>170</v>
      </c>
      <c r="C5346" s="118" t="s">
        <v>206</v>
      </c>
      <c r="D5346" s="152" t="s">
        <v>6164</v>
      </c>
      <c r="E5346" s="152" t="s">
        <v>6218</v>
      </c>
      <c r="F5346" s="152" t="s">
        <v>298</v>
      </c>
      <c r="G5346" s="152" t="s">
        <v>2859</v>
      </c>
      <c r="H5346" s="153" t="s">
        <v>213</v>
      </c>
    </row>
    <row r="5347" hidden="1">
      <c r="A5347" s="154" t="s">
        <v>224</v>
      </c>
      <c r="B5347" s="155" t="s">
        <v>170</v>
      </c>
      <c r="C5347" s="155" t="s">
        <v>206</v>
      </c>
      <c r="D5347" s="156" t="s">
        <v>6164</v>
      </c>
      <c r="E5347" s="156" t="s">
        <v>6219</v>
      </c>
      <c r="F5347" s="156" t="s">
        <v>244</v>
      </c>
      <c r="G5347" s="156" t="s">
        <v>3226</v>
      </c>
      <c r="H5347" s="157" t="s">
        <v>214</v>
      </c>
    </row>
    <row r="5348" hidden="1">
      <c r="A5348" s="151" t="s">
        <v>224</v>
      </c>
      <c r="B5348" s="118" t="s">
        <v>170</v>
      </c>
      <c r="C5348" s="118" t="s">
        <v>206</v>
      </c>
      <c r="D5348" s="152" t="s">
        <v>6164</v>
      </c>
      <c r="E5348" s="152" t="s">
        <v>6220</v>
      </c>
      <c r="F5348" s="152" t="s">
        <v>365</v>
      </c>
      <c r="G5348" s="152" t="s">
        <v>2279</v>
      </c>
      <c r="H5348" s="153" t="s">
        <v>215</v>
      </c>
    </row>
    <row r="5349" hidden="1">
      <c r="A5349" s="154" t="s">
        <v>224</v>
      </c>
      <c r="B5349" s="155" t="s">
        <v>170</v>
      </c>
      <c r="C5349" s="155" t="s">
        <v>206</v>
      </c>
      <c r="D5349" s="156" t="s">
        <v>6164</v>
      </c>
      <c r="E5349" s="156" t="s">
        <v>6221</v>
      </c>
      <c r="F5349" s="156" t="s">
        <v>242</v>
      </c>
      <c r="G5349" s="156" t="s">
        <v>2620</v>
      </c>
      <c r="H5349" s="157" t="s">
        <v>216</v>
      </c>
    </row>
    <row r="5350" hidden="1">
      <c r="A5350" s="151" t="s">
        <v>225</v>
      </c>
      <c r="B5350" s="118" t="s">
        <v>226</v>
      </c>
      <c r="C5350" s="118" t="s">
        <v>206</v>
      </c>
      <c r="D5350" s="152" t="s">
        <v>6164</v>
      </c>
      <c r="E5350" s="152" t="s">
        <v>6222</v>
      </c>
      <c r="F5350" s="152" t="s">
        <v>298</v>
      </c>
      <c r="G5350" s="152" t="s">
        <v>2117</v>
      </c>
      <c r="H5350" s="153" t="s">
        <v>210</v>
      </c>
    </row>
    <row r="5351" hidden="1">
      <c r="A5351" s="154" t="s">
        <v>225</v>
      </c>
      <c r="B5351" s="155" t="s">
        <v>226</v>
      </c>
      <c r="C5351" s="155" t="s">
        <v>206</v>
      </c>
      <c r="D5351" s="156" t="s">
        <v>6164</v>
      </c>
      <c r="E5351" s="156" t="s">
        <v>6223</v>
      </c>
      <c r="F5351" s="156" t="s">
        <v>492</v>
      </c>
      <c r="G5351" s="156" t="s">
        <v>2472</v>
      </c>
      <c r="H5351" s="157" t="s">
        <v>211</v>
      </c>
    </row>
    <row r="5352" hidden="1">
      <c r="A5352" s="151" t="s">
        <v>225</v>
      </c>
      <c r="B5352" s="118" t="s">
        <v>226</v>
      </c>
      <c r="C5352" s="118" t="s">
        <v>206</v>
      </c>
      <c r="D5352" s="152" t="s">
        <v>6164</v>
      </c>
      <c r="E5352" s="152" t="s">
        <v>6224</v>
      </c>
      <c r="F5352" s="152" t="s">
        <v>259</v>
      </c>
      <c r="G5352" s="152" t="s">
        <v>1918</v>
      </c>
      <c r="H5352" s="153" t="s">
        <v>212</v>
      </c>
    </row>
    <row r="5353" hidden="1">
      <c r="A5353" s="154" t="s">
        <v>225</v>
      </c>
      <c r="B5353" s="155" t="s">
        <v>226</v>
      </c>
      <c r="C5353" s="155" t="s">
        <v>206</v>
      </c>
      <c r="D5353" s="156" t="s">
        <v>6164</v>
      </c>
      <c r="E5353" s="156" t="s">
        <v>6225</v>
      </c>
      <c r="F5353" s="156" t="s">
        <v>1551</v>
      </c>
      <c r="G5353" s="156" t="s">
        <v>2111</v>
      </c>
      <c r="H5353" s="157" t="s">
        <v>213</v>
      </c>
    </row>
    <row r="5354" hidden="1">
      <c r="A5354" s="151" t="s">
        <v>225</v>
      </c>
      <c r="B5354" s="118" t="s">
        <v>226</v>
      </c>
      <c r="C5354" s="118" t="s">
        <v>206</v>
      </c>
      <c r="D5354" s="152" t="s">
        <v>6164</v>
      </c>
      <c r="E5354" s="152" t="s">
        <v>6226</v>
      </c>
      <c r="F5354" s="152" t="s">
        <v>492</v>
      </c>
      <c r="G5354" s="152" t="s">
        <v>1843</v>
      </c>
      <c r="H5354" s="153" t="s">
        <v>214</v>
      </c>
    </row>
    <row r="5355" hidden="1">
      <c r="A5355" s="154" t="s">
        <v>225</v>
      </c>
      <c r="B5355" s="155" t="s">
        <v>226</v>
      </c>
      <c r="C5355" s="155" t="s">
        <v>206</v>
      </c>
      <c r="D5355" s="156" t="s">
        <v>6164</v>
      </c>
      <c r="E5355" s="156" t="s">
        <v>6227</v>
      </c>
      <c r="F5355" s="156" t="s">
        <v>492</v>
      </c>
      <c r="G5355" s="156" t="s">
        <v>2393</v>
      </c>
      <c r="H5355" s="157" t="s">
        <v>215</v>
      </c>
    </row>
    <row r="5356" hidden="1">
      <c r="A5356" s="151" t="s">
        <v>225</v>
      </c>
      <c r="B5356" s="118" t="s">
        <v>226</v>
      </c>
      <c r="C5356" s="118" t="s">
        <v>206</v>
      </c>
      <c r="D5356" s="152" t="s">
        <v>6164</v>
      </c>
      <c r="E5356" s="152" t="s">
        <v>6228</v>
      </c>
      <c r="F5356" s="152" t="s">
        <v>298</v>
      </c>
      <c r="G5356" s="152" t="s">
        <v>2134</v>
      </c>
      <c r="H5356" s="153" t="s">
        <v>216</v>
      </c>
    </row>
    <row r="5357" hidden="1">
      <c r="A5357" s="154" t="s">
        <v>227</v>
      </c>
      <c r="B5357" s="155" t="s">
        <v>195</v>
      </c>
      <c r="C5357" s="155" t="s">
        <v>206</v>
      </c>
      <c r="D5357" s="156" t="s">
        <v>6164</v>
      </c>
      <c r="E5357" s="156" t="s">
        <v>6229</v>
      </c>
      <c r="F5357" s="156" t="s">
        <v>718</v>
      </c>
      <c r="G5357" s="156" t="s">
        <v>4320</v>
      </c>
      <c r="H5357" s="157" t="s">
        <v>210</v>
      </c>
    </row>
    <row r="5358" hidden="1">
      <c r="A5358" s="151" t="s">
        <v>227</v>
      </c>
      <c r="B5358" s="118" t="s">
        <v>195</v>
      </c>
      <c r="C5358" s="118" t="s">
        <v>206</v>
      </c>
      <c r="D5358" s="152" t="s">
        <v>6164</v>
      </c>
      <c r="E5358" s="152" t="s">
        <v>6230</v>
      </c>
      <c r="F5358" s="152" t="s">
        <v>725</v>
      </c>
      <c r="G5358" s="152" t="s">
        <v>3513</v>
      </c>
      <c r="H5358" s="153" t="s">
        <v>211</v>
      </c>
    </row>
    <row r="5359" hidden="1">
      <c r="A5359" s="154" t="s">
        <v>227</v>
      </c>
      <c r="B5359" s="155" t="s">
        <v>195</v>
      </c>
      <c r="C5359" s="155" t="s">
        <v>206</v>
      </c>
      <c r="D5359" s="156" t="s">
        <v>6164</v>
      </c>
      <c r="E5359" s="156" t="s">
        <v>6231</v>
      </c>
      <c r="F5359" s="156" t="s">
        <v>450</v>
      </c>
      <c r="G5359" s="156" t="s">
        <v>3302</v>
      </c>
      <c r="H5359" s="157" t="s">
        <v>212</v>
      </c>
    </row>
    <row r="5360" hidden="1">
      <c r="A5360" s="151" t="s">
        <v>227</v>
      </c>
      <c r="B5360" s="118" t="s">
        <v>195</v>
      </c>
      <c r="C5360" s="118" t="s">
        <v>206</v>
      </c>
      <c r="D5360" s="152" t="s">
        <v>6164</v>
      </c>
      <c r="E5360" s="152" t="s">
        <v>6232</v>
      </c>
      <c r="F5360" s="152" t="s">
        <v>287</v>
      </c>
      <c r="G5360" s="152" t="s">
        <v>3475</v>
      </c>
      <c r="H5360" s="153" t="s">
        <v>213</v>
      </c>
    </row>
    <row r="5361" hidden="1">
      <c r="A5361" s="154" t="s">
        <v>227</v>
      </c>
      <c r="B5361" s="155" t="s">
        <v>195</v>
      </c>
      <c r="C5361" s="155" t="s">
        <v>206</v>
      </c>
      <c r="D5361" s="156" t="s">
        <v>6164</v>
      </c>
      <c r="E5361" s="156" t="s">
        <v>6233</v>
      </c>
      <c r="F5361" s="156" t="s">
        <v>310</v>
      </c>
      <c r="G5361" s="156" t="s">
        <v>4386</v>
      </c>
      <c r="H5361" s="157" t="s">
        <v>214</v>
      </c>
    </row>
    <row r="5362" hidden="1">
      <c r="A5362" s="151" t="s">
        <v>227</v>
      </c>
      <c r="B5362" s="118" t="s">
        <v>195</v>
      </c>
      <c r="C5362" s="118" t="s">
        <v>206</v>
      </c>
      <c r="D5362" s="152" t="s">
        <v>6164</v>
      </c>
      <c r="E5362" s="152" t="s">
        <v>6234</v>
      </c>
      <c r="F5362" s="152" t="s">
        <v>1992</v>
      </c>
      <c r="G5362" s="152" t="s">
        <v>2661</v>
      </c>
      <c r="H5362" s="153" t="s">
        <v>215</v>
      </c>
    </row>
    <row r="5363" hidden="1">
      <c r="A5363" s="154" t="s">
        <v>227</v>
      </c>
      <c r="B5363" s="155" t="s">
        <v>195</v>
      </c>
      <c r="C5363" s="155" t="s">
        <v>206</v>
      </c>
      <c r="D5363" s="156" t="s">
        <v>6164</v>
      </c>
      <c r="E5363" s="156" t="s">
        <v>6235</v>
      </c>
      <c r="F5363" s="156" t="s">
        <v>799</v>
      </c>
      <c r="G5363" s="156" t="s">
        <v>2816</v>
      </c>
      <c r="H5363" s="157" t="s">
        <v>216</v>
      </c>
    </row>
    <row r="5364" hidden="1">
      <c r="A5364" s="151" t="s">
        <v>228</v>
      </c>
      <c r="B5364" s="118" t="s">
        <v>138</v>
      </c>
      <c r="C5364" s="118" t="s">
        <v>206</v>
      </c>
      <c r="D5364" s="152" t="s">
        <v>6164</v>
      </c>
      <c r="E5364" s="152" t="s">
        <v>6236</v>
      </c>
      <c r="F5364" s="152" t="s">
        <v>433</v>
      </c>
      <c r="G5364" s="152" t="s">
        <v>2999</v>
      </c>
      <c r="H5364" s="153" t="s">
        <v>210</v>
      </c>
    </row>
    <row r="5365" hidden="1">
      <c r="A5365" s="154" t="s">
        <v>228</v>
      </c>
      <c r="B5365" s="155" t="s">
        <v>138</v>
      </c>
      <c r="C5365" s="155" t="s">
        <v>206</v>
      </c>
      <c r="D5365" s="156" t="s">
        <v>6164</v>
      </c>
      <c r="E5365" s="156" t="s">
        <v>6237</v>
      </c>
      <c r="F5365" s="156" t="s">
        <v>269</v>
      </c>
      <c r="G5365" s="156" t="s">
        <v>2211</v>
      </c>
      <c r="H5365" s="157" t="s">
        <v>211</v>
      </c>
    </row>
    <row r="5366" hidden="1">
      <c r="A5366" s="151" t="s">
        <v>228</v>
      </c>
      <c r="B5366" s="118" t="s">
        <v>138</v>
      </c>
      <c r="C5366" s="118" t="s">
        <v>206</v>
      </c>
      <c r="D5366" s="152" t="s">
        <v>6164</v>
      </c>
      <c r="E5366" s="152" t="s">
        <v>6238</v>
      </c>
      <c r="F5366" s="152" t="s">
        <v>436</v>
      </c>
      <c r="G5366" s="152" t="s">
        <v>2620</v>
      </c>
      <c r="H5366" s="153" t="s">
        <v>212</v>
      </c>
    </row>
    <row r="5367" hidden="1">
      <c r="A5367" s="154" t="s">
        <v>228</v>
      </c>
      <c r="B5367" s="155" t="s">
        <v>138</v>
      </c>
      <c r="C5367" s="155" t="s">
        <v>206</v>
      </c>
      <c r="D5367" s="156" t="s">
        <v>6164</v>
      </c>
      <c r="E5367" s="156" t="s">
        <v>6239</v>
      </c>
      <c r="F5367" s="156" t="s">
        <v>799</v>
      </c>
      <c r="G5367" s="156" t="s">
        <v>2600</v>
      </c>
      <c r="H5367" s="157" t="s">
        <v>213</v>
      </c>
    </row>
    <row r="5368" hidden="1">
      <c r="A5368" s="151" t="s">
        <v>228</v>
      </c>
      <c r="B5368" s="118" t="s">
        <v>138</v>
      </c>
      <c r="C5368" s="118" t="s">
        <v>206</v>
      </c>
      <c r="D5368" s="152" t="s">
        <v>6164</v>
      </c>
      <c r="E5368" s="152" t="s">
        <v>6240</v>
      </c>
      <c r="F5368" s="152" t="s">
        <v>442</v>
      </c>
      <c r="G5368" s="152" t="s">
        <v>2718</v>
      </c>
      <c r="H5368" s="153" t="s">
        <v>214</v>
      </c>
    </row>
    <row r="5369" hidden="1">
      <c r="A5369" s="154" t="s">
        <v>228</v>
      </c>
      <c r="B5369" s="155" t="s">
        <v>138</v>
      </c>
      <c r="C5369" s="155" t="s">
        <v>206</v>
      </c>
      <c r="D5369" s="156" t="s">
        <v>6164</v>
      </c>
      <c r="E5369" s="156" t="s">
        <v>6241</v>
      </c>
      <c r="F5369" s="156" t="s">
        <v>5987</v>
      </c>
      <c r="G5369" s="156" t="s">
        <v>1976</v>
      </c>
      <c r="H5369" s="157" t="s">
        <v>215</v>
      </c>
    </row>
    <row r="5370" hidden="1">
      <c r="A5370" s="151" t="s">
        <v>228</v>
      </c>
      <c r="B5370" s="118" t="s">
        <v>138</v>
      </c>
      <c r="C5370" s="118" t="s">
        <v>206</v>
      </c>
      <c r="D5370" s="152" t="s">
        <v>6164</v>
      </c>
      <c r="E5370" s="152" t="s">
        <v>6242</v>
      </c>
      <c r="F5370" s="152" t="s">
        <v>298</v>
      </c>
      <c r="G5370" s="152" t="s">
        <v>2472</v>
      </c>
      <c r="H5370" s="153" t="s">
        <v>216</v>
      </c>
    </row>
    <row r="5371" hidden="1">
      <c r="A5371" s="154" t="s">
        <v>229</v>
      </c>
      <c r="B5371" s="155" t="s">
        <v>193</v>
      </c>
      <c r="C5371" s="155" t="s">
        <v>206</v>
      </c>
      <c r="D5371" s="156" t="s">
        <v>6164</v>
      </c>
      <c r="E5371" s="156" t="s">
        <v>6243</v>
      </c>
      <c r="F5371" s="156" t="s">
        <v>365</v>
      </c>
      <c r="G5371" s="156" t="s">
        <v>2109</v>
      </c>
      <c r="H5371" s="157" t="s">
        <v>210</v>
      </c>
    </row>
    <row r="5372" hidden="1">
      <c r="A5372" s="151" t="s">
        <v>229</v>
      </c>
      <c r="B5372" s="118" t="s">
        <v>193</v>
      </c>
      <c r="C5372" s="118" t="s">
        <v>206</v>
      </c>
      <c r="D5372" s="152" t="s">
        <v>6164</v>
      </c>
      <c r="E5372" s="152" t="s">
        <v>6244</v>
      </c>
      <c r="F5372" s="152" t="s">
        <v>321</v>
      </c>
      <c r="G5372" s="152" t="s">
        <v>2383</v>
      </c>
      <c r="H5372" s="153" t="s">
        <v>211</v>
      </c>
    </row>
    <row r="5373" hidden="1">
      <c r="A5373" s="154" t="s">
        <v>229</v>
      </c>
      <c r="B5373" s="155" t="s">
        <v>193</v>
      </c>
      <c r="C5373" s="155" t="s">
        <v>206</v>
      </c>
      <c r="D5373" s="156" t="s">
        <v>6164</v>
      </c>
      <c r="E5373" s="156" t="s">
        <v>6245</v>
      </c>
      <c r="F5373" s="156" t="s">
        <v>359</v>
      </c>
      <c r="G5373" s="156" t="s">
        <v>3525</v>
      </c>
      <c r="H5373" s="157" t="s">
        <v>212</v>
      </c>
    </row>
    <row r="5374" hidden="1">
      <c r="A5374" s="151" t="s">
        <v>229</v>
      </c>
      <c r="B5374" s="118" t="s">
        <v>193</v>
      </c>
      <c r="C5374" s="118" t="s">
        <v>206</v>
      </c>
      <c r="D5374" s="152" t="s">
        <v>6164</v>
      </c>
      <c r="E5374" s="152" t="s">
        <v>6246</v>
      </c>
      <c r="F5374" s="152" t="s">
        <v>285</v>
      </c>
      <c r="G5374" s="152" t="s">
        <v>2115</v>
      </c>
      <c r="H5374" s="153" t="s">
        <v>213</v>
      </c>
    </row>
    <row r="5375" hidden="1">
      <c r="A5375" s="154" t="s">
        <v>229</v>
      </c>
      <c r="B5375" s="155" t="s">
        <v>193</v>
      </c>
      <c r="C5375" s="155" t="s">
        <v>206</v>
      </c>
      <c r="D5375" s="156" t="s">
        <v>6164</v>
      </c>
      <c r="E5375" s="156" t="s">
        <v>6247</v>
      </c>
      <c r="F5375" s="156" t="s">
        <v>359</v>
      </c>
      <c r="G5375" s="156" t="s">
        <v>3400</v>
      </c>
      <c r="H5375" s="157" t="s">
        <v>214</v>
      </c>
    </row>
    <row r="5376" hidden="1">
      <c r="A5376" s="151" t="s">
        <v>229</v>
      </c>
      <c r="B5376" s="118" t="s">
        <v>193</v>
      </c>
      <c r="C5376" s="118" t="s">
        <v>206</v>
      </c>
      <c r="D5376" s="152" t="s">
        <v>6164</v>
      </c>
      <c r="E5376" s="152" t="s">
        <v>6248</v>
      </c>
      <c r="F5376" s="152" t="s">
        <v>357</v>
      </c>
      <c r="G5376" s="152" t="s">
        <v>2305</v>
      </c>
      <c r="H5376" s="153" t="s">
        <v>215</v>
      </c>
    </row>
    <row r="5377" hidden="1">
      <c r="A5377" s="154" t="s">
        <v>229</v>
      </c>
      <c r="B5377" s="155" t="s">
        <v>193</v>
      </c>
      <c r="C5377" s="155" t="s">
        <v>206</v>
      </c>
      <c r="D5377" s="156" t="s">
        <v>6164</v>
      </c>
      <c r="E5377" s="156" t="s">
        <v>6249</v>
      </c>
      <c r="F5377" s="156" t="s">
        <v>285</v>
      </c>
      <c r="G5377" s="156" t="s">
        <v>3485</v>
      </c>
      <c r="H5377" s="157" t="s">
        <v>216</v>
      </c>
    </row>
    <row r="5378" hidden="1">
      <c r="A5378" s="151" t="s">
        <v>230</v>
      </c>
      <c r="B5378" s="118" t="s">
        <v>194</v>
      </c>
      <c r="C5378" s="118" t="s">
        <v>206</v>
      </c>
      <c r="D5378" s="152" t="s">
        <v>6164</v>
      </c>
      <c r="E5378" s="152" t="s">
        <v>6250</v>
      </c>
      <c r="F5378" s="152" t="s">
        <v>433</v>
      </c>
      <c r="G5378" s="152" t="s">
        <v>3523</v>
      </c>
      <c r="H5378" s="153" t="s">
        <v>210</v>
      </c>
    </row>
    <row r="5379" hidden="1">
      <c r="A5379" s="154" t="s">
        <v>230</v>
      </c>
      <c r="B5379" s="155" t="s">
        <v>194</v>
      </c>
      <c r="C5379" s="155" t="s">
        <v>206</v>
      </c>
      <c r="D5379" s="156" t="s">
        <v>6164</v>
      </c>
      <c r="E5379" s="156" t="s">
        <v>6251</v>
      </c>
      <c r="F5379" s="156" t="s">
        <v>269</v>
      </c>
      <c r="G5379" s="156" t="s">
        <v>3445</v>
      </c>
      <c r="H5379" s="157" t="s">
        <v>211</v>
      </c>
    </row>
    <row r="5380" hidden="1">
      <c r="A5380" s="151" t="s">
        <v>230</v>
      </c>
      <c r="B5380" s="118" t="s">
        <v>194</v>
      </c>
      <c r="C5380" s="118" t="s">
        <v>206</v>
      </c>
      <c r="D5380" s="152" t="s">
        <v>6164</v>
      </c>
      <c r="E5380" s="152" t="s">
        <v>6252</v>
      </c>
      <c r="F5380" s="152" t="s">
        <v>365</v>
      </c>
      <c r="G5380" s="152" t="s">
        <v>3572</v>
      </c>
      <c r="H5380" s="153" t="s">
        <v>212</v>
      </c>
    </row>
    <row r="5381" hidden="1">
      <c r="A5381" s="154" t="s">
        <v>230</v>
      </c>
      <c r="B5381" s="155" t="s">
        <v>194</v>
      </c>
      <c r="C5381" s="155" t="s">
        <v>206</v>
      </c>
      <c r="D5381" s="156" t="s">
        <v>6164</v>
      </c>
      <c r="E5381" s="156" t="s">
        <v>6253</v>
      </c>
      <c r="F5381" s="156" t="s">
        <v>1551</v>
      </c>
      <c r="G5381" s="156" t="s">
        <v>2826</v>
      </c>
      <c r="H5381" s="157" t="s">
        <v>213</v>
      </c>
    </row>
    <row r="5382" hidden="1">
      <c r="A5382" s="151" t="s">
        <v>230</v>
      </c>
      <c r="B5382" s="118" t="s">
        <v>194</v>
      </c>
      <c r="C5382" s="118" t="s">
        <v>206</v>
      </c>
      <c r="D5382" s="152" t="s">
        <v>6164</v>
      </c>
      <c r="E5382" s="152" t="s">
        <v>6254</v>
      </c>
      <c r="F5382" s="152" t="s">
        <v>298</v>
      </c>
      <c r="G5382" s="152" t="s">
        <v>2354</v>
      </c>
      <c r="H5382" s="153" t="s">
        <v>214</v>
      </c>
    </row>
    <row r="5383" hidden="1">
      <c r="A5383" s="154" t="s">
        <v>230</v>
      </c>
      <c r="B5383" s="155" t="s">
        <v>194</v>
      </c>
      <c r="C5383" s="155" t="s">
        <v>206</v>
      </c>
      <c r="D5383" s="156" t="s">
        <v>6164</v>
      </c>
      <c r="E5383" s="156" t="s">
        <v>6255</v>
      </c>
      <c r="F5383" s="156" t="s">
        <v>240</v>
      </c>
      <c r="G5383" s="156" t="s">
        <v>2760</v>
      </c>
      <c r="H5383" s="157" t="s">
        <v>215</v>
      </c>
    </row>
    <row r="5384" hidden="1">
      <c r="A5384" s="151" t="s">
        <v>230</v>
      </c>
      <c r="B5384" s="118" t="s">
        <v>194</v>
      </c>
      <c r="C5384" s="118" t="s">
        <v>206</v>
      </c>
      <c r="D5384" s="152" t="s">
        <v>6164</v>
      </c>
      <c r="E5384" s="152" t="s">
        <v>6256</v>
      </c>
      <c r="F5384" s="152" t="s">
        <v>276</v>
      </c>
      <c r="G5384" s="152" t="s">
        <v>3445</v>
      </c>
      <c r="H5384" s="153" t="s">
        <v>216</v>
      </c>
    </row>
    <row r="5385" hidden="1">
      <c r="A5385" s="158" t="s">
        <v>231</v>
      </c>
      <c r="B5385" s="159"/>
      <c r="C5385" s="155" t="s">
        <v>232</v>
      </c>
      <c r="D5385" s="156" t="s">
        <v>6164</v>
      </c>
      <c r="E5385" s="156" t="s">
        <v>6257</v>
      </c>
      <c r="F5385" s="156" t="s">
        <v>336</v>
      </c>
      <c r="G5385" s="156" t="s">
        <v>4515</v>
      </c>
      <c r="H5385" s="157" t="s">
        <v>210</v>
      </c>
    </row>
    <row r="5386" hidden="1">
      <c r="A5386" s="160" t="s">
        <v>231</v>
      </c>
      <c r="B5386" s="72"/>
      <c r="C5386" s="118" t="s">
        <v>232</v>
      </c>
      <c r="D5386" s="152" t="s">
        <v>6164</v>
      </c>
      <c r="E5386" s="152" t="s">
        <v>6258</v>
      </c>
      <c r="F5386" s="152" t="s">
        <v>405</v>
      </c>
      <c r="G5386" s="152" t="s">
        <v>4952</v>
      </c>
      <c r="H5386" s="153" t="s">
        <v>211</v>
      </c>
    </row>
    <row r="5387" hidden="1">
      <c r="A5387" s="158" t="s">
        <v>231</v>
      </c>
      <c r="B5387" s="159"/>
      <c r="C5387" s="155" t="s">
        <v>232</v>
      </c>
      <c r="D5387" s="156" t="s">
        <v>6164</v>
      </c>
      <c r="E5387" s="156" t="s">
        <v>6259</v>
      </c>
      <c r="F5387" s="156" t="s">
        <v>483</v>
      </c>
      <c r="G5387" s="156" t="s">
        <v>2001</v>
      </c>
      <c r="H5387" s="157" t="s">
        <v>212</v>
      </c>
    </row>
    <row r="5388" hidden="1">
      <c r="A5388" s="160" t="s">
        <v>231</v>
      </c>
      <c r="B5388" s="72"/>
      <c r="C5388" s="118" t="s">
        <v>232</v>
      </c>
      <c r="D5388" s="152" t="s">
        <v>6164</v>
      </c>
      <c r="E5388" s="152" t="s">
        <v>6260</v>
      </c>
      <c r="F5388" s="152" t="s">
        <v>405</v>
      </c>
      <c r="G5388" s="152" t="s">
        <v>4905</v>
      </c>
      <c r="H5388" s="153" t="s">
        <v>213</v>
      </c>
    </row>
    <row r="5389" hidden="1">
      <c r="A5389" s="158" t="s">
        <v>231</v>
      </c>
      <c r="B5389" s="159"/>
      <c r="C5389" s="155" t="s">
        <v>232</v>
      </c>
      <c r="D5389" s="156" t="s">
        <v>6164</v>
      </c>
      <c r="E5389" s="156" t="s">
        <v>6261</v>
      </c>
      <c r="F5389" s="156" t="s">
        <v>1790</v>
      </c>
      <c r="G5389" s="156" t="s">
        <v>6262</v>
      </c>
      <c r="H5389" s="157" t="s">
        <v>214</v>
      </c>
    </row>
    <row r="5390" hidden="1">
      <c r="A5390" s="160" t="s">
        <v>231</v>
      </c>
      <c r="B5390" s="72"/>
      <c r="C5390" s="118" t="s">
        <v>232</v>
      </c>
      <c r="D5390" s="152" t="s">
        <v>6164</v>
      </c>
      <c r="E5390" s="152" t="s">
        <v>6263</v>
      </c>
      <c r="F5390" s="152" t="s">
        <v>390</v>
      </c>
      <c r="G5390" s="152" t="s">
        <v>2515</v>
      </c>
      <c r="H5390" s="153" t="s">
        <v>215</v>
      </c>
    </row>
    <row r="5391" hidden="1">
      <c r="A5391" s="158" t="s">
        <v>231</v>
      </c>
      <c r="B5391" s="159"/>
      <c r="C5391" s="155" t="s">
        <v>232</v>
      </c>
      <c r="D5391" s="156" t="s">
        <v>6164</v>
      </c>
      <c r="E5391" s="156" t="s">
        <v>6264</v>
      </c>
      <c r="F5391" s="156" t="s">
        <v>577</v>
      </c>
      <c r="G5391" s="156" t="s">
        <v>3430</v>
      </c>
      <c r="H5391" s="157" t="s">
        <v>216</v>
      </c>
    </row>
    <row r="5392" hidden="1">
      <c r="A5392" s="160" t="s">
        <v>233</v>
      </c>
      <c r="B5392" s="72"/>
      <c r="C5392" s="118" t="s">
        <v>232</v>
      </c>
      <c r="D5392" s="152" t="s">
        <v>6164</v>
      </c>
      <c r="E5392" s="152" t="s">
        <v>6265</v>
      </c>
      <c r="F5392" s="152" t="s">
        <v>359</v>
      </c>
      <c r="G5392" s="152" t="s">
        <v>2910</v>
      </c>
      <c r="H5392" s="153" t="s">
        <v>210</v>
      </c>
    </row>
    <row r="5393" hidden="1">
      <c r="A5393" s="158" t="s">
        <v>233</v>
      </c>
      <c r="B5393" s="159"/>
      <c r="C5393" s="155" t="s">
        <v>232</v>
      </c>
      <c r="D5393" s="156" t="s">
        <v>6164</v>
      </c>
      <c r="E5393" s="156" t="s">
        <v>6266</v>
      </c>
      <c r="F5393" s="156" t="s">
        <v>321</v>
      </c>
      <c r="G5393" s="156" t="s">
        <v>3138</v>
      </c>
      <c r="H5393" s="157" t="s">
        <v>211</v>
      </c>
    </row>
    <row r="5394" hidden="1">
      <c r="A5394" s="160" t="s">
        <v>233</v>
      </c>
      <c r="B5394" s="72"/>
      <c r="C5394" s="118" t="s">
        <v>232</v>
      </c>
      <c r="D5394" s="152" t="s">
        <v>6164</v>
      </c>
      <c r="E5394" s="152" t="s">
        <v>6267</v>
      </c>
      <c r="F5394" s="152" t="s">
        <v>314</v>
      </c>
      <c r="G5394" s="152" t="s">
        <v>3410</v>
      </c>
      <c r="H5394" s="153" t="s">
        <v>212</v>
      </c>
    </row>
    <row r="5395" hidden="1">
      <c r="A5395" s="158" t="s">
        <v>233</v>
      </c>
      <c r="B5395" s="159"/>
      <c r="C5395" s="155" t="s">
        <v>232</v>
      </c>
      <c r="D5395" s="156" t="s">
        <v>6164</v>
      </c>
      <c r="E5395" s="156" t="s">
        <v>6268</v>
      </c>
      <c r="F5395" s="156" t="s">
        <v>357</v>
      </c>
      <c r="G5395" s="156" t="s">
        <v>4305</v>
      </c>
      <c r="H5395" s="157" t="s">
        <v>213</v>
      </c>
    </row>
    <row r="5396" hidden="1">
      <c r="A5396" s="160" t="s">
        <v>233</v>
      </c>
      <c r="B5396" s="72"/>
      <c r="C5396" s="118" t="s">
        <v>232</v>
      </c>
      <c r="D5396" s="152" t="s">
        <v>6164</v>
      </c>
      <c r="E5396" s="152" t="s">
        <v>6269</v>
      </c>
      <c r="F5396" s="152" t="s">
        <v>365</v>
      </c>
      <c r="G5396" s="152" t="s">
        <v>3408</v>
      </c>
      <c r="H5396" s="153" t="s">
        <v>214</v>
      </c>
    </row>
    <row r="5397" hidden="1">
      <c r="A5397" s="158" t="s">
        <v>233</v>
      </c>
      <c r="B5397" s="159"/>
      <c r="C5397" s="155" t="s">
        <v>232</v>
      </c>
      <c r="D5397" s="156" t="s">
        <v>6164</v>
      </c>
      <c r="E5397" s="156" t="s">
        <v>6270</v>
      </c>
      <c r="F5397" s="156" t="s">
        <v>257</v>
      </c>
      <c r="G5397" s="156" t="s">
        <v>2283</v>
      </c>
      <c r="H5397" s="157" t="s">
        <v>215</v>
      </c>
    </row>
    <row r="5398" hidden="1">
      <c r="A5398" s="160" t="s">
        <v>233</v>
      </c>
      <c r="B5398" s="72"/>
      <c r="C5398" s="118" t="s">
        <v>232</v>
      </c>
      <c r="D5398" s="152" t="s">
        <v>6164</v>
      </c>
      <c r="E5398" s="152" t="s">
        <v>6271</v>
      </c>
      <c r="F5398" s="152" t="s">
        <v>359</v>
      </c>
      <c r="G5398" s="152" t="s">
        <v>3412</v>
      </c>
      <c r="H5398" s="153" t="s">
        <v>216</v>
      </c>
    </row>
    <row r="5399" hidden="1">
      <c r="A5399" s="158" t="s">
        <v>234</v>
      </c>
      <c r="B5399" s="159"/>
      <c r="C5399" s="155" t="s">
        <v>232</v>
      </c>
      <c r="D5399" s="156" t="s">
        <v>6164</v>
      </c>
      <c r="E5399" s="156" t="s">
        <v>6272</v>
      </c>
      <c r="F5399" s="156" t="s">
        <v>492</v>
      </c>
      <c r="G5399" s="156" t="s">
        <v>1727</v>
      </c>
      <c r="H5399" s="157" t="s">
        <v>210</v>
      </c>
    </row>
    <row r="5400" hidden="1">
      <c r="A5400" s="160" t="s">
        <v>234</v>
      </c>
      <c r="B5400" s="72"/>
      <c r="C5400" s="118" t="s">
        <v>232</v>
      </c>
      <c r="D5400" s="152" t="s">
        <v>6164</v>
      </c>
      <c r="E5400" s="152" t="s">
        <v>6273</v>
      </c>
      <c r="F5400" s="152" t="s">
        <v>265</v>
      </c>
      <c r="G5400" s="152" t="s">
        <v>2633</v>
      </c>
      <c r="H5400" s="153" t="s">
        <v>211</v>
      </c>
    </row>
    <row r="5401" hidden="1">
      <c r="A5401" s="158" t="s">
        <v>234</v>
      </c>
      <c r="B5401" s="159"/>
      <c r="C5401" s="155" t="s">
        <v>232</v>
      </c>
      <c r="D5401" s="156" t="s">
        <v>6164</v>
      </c>
      <c r="E5401" s="156" t="s">
        <v>6274</v>
      </c>
      <c r="F5401" s="156" t="s">
        <v>265</v>
      </c>
      <c r="G5401" s="156" t="s">
        <v>2025</v>
      </c>
      <c r="H5401" s="157" t="s">
        <v>212</v>
      </c>
    </row>
    <row r="5402" hidden="1">
      <c r="A5402" s="160" t="s">
        <v>234</v>
      </c>
      <c r="B5402" s="72"/>
      <c r="C5402" s="118" t="s">
        <v>232</v>
      </c>
      <c r="D5402" s="152" t="s">
        <v>6164</v>
      </c>
      <c r="E5402" s="152" t="s">
        <v>6275</v>
      </c>
      <c r="F5402" s="152" t="s">
        <v>255</v>
      </c>
      <c r="G5402" s="152" t="s">
        <v>1879</v>
      </c>
      <c r="H5402" s="153" t="s">
        <v>213</v>
      </c>
    </row>
    <row r="5403" hidden="1">
      <c r="A5403" s="158" t="s">
        <v>234</v>
      </c>
      <c r="B5403" s="159"/>
      <c r="C5403" s="155" t="s">
        <v>232</v>
      </c>
      <c r="D5403" s="156" t="s">
        <v>6164</v>
      </c>
      <c r="E5403" s="156" t="s">
        <v>6276</v>
      </c>
      <c r="F5403" s="156" t="s">
        <v>492</v>
      </c>
      <c r="G5403" s="156" t="s">
        <v>2680</v>
      </c>
      <c r="H5403" s="157" t="s">
        <v>214</v>
      </c>
    </row>
    <row r="5404" hidden="1">
      <c r="A5404" s="160" t="s">
        <v>234</v>
      </c>
      <c r="B5404" s="72"/>
      <c r="C5404" s="118" t="s">
        <v>232</v>
      </c>
      <c r="D5404" s="152" t="s">
        <v>6164</v>
      </c>
      <c r="E5404" s="152" t="s">
        <v>6277</v>
      </c>
      <c r="F5404" s="152" t="s">
        <v>301</v>
      </c>
      <c r="G5404" s="152" t="s">
        <v>1976</v>
      </c>
      <c r="H5404" s="153" t="s">
        <v>215</v>
      </c>
    </row>
    <row r="5405" hidden="1">
      <c r="A5405" s="158" t="s">
        <v>234</v>
      </c>
      <c r="B5405" s="159"/>
      <c r="C5405" s="155" t="s">
        <v>232</v>
      </c>
      <c r="D5405" s="156" t="s">
        <v>6164</v>
      </c>
      <c r="E5405" s="156" t="s">
        <v>6278</v>
      </c>
      <c r="F5405" s="156" t="s">
        <v>374</v>
      </c>
      <c r="G5405" s="156" t="s">
        <v>1974</v>
      </c>
      <c r="H5405" s="157" t="s">
        <v>216</v>
      </c>
    </row>
    <row r="5406" hidden="1">
      <c r="A5406" s="160" t="s">
        <v>235</v>
      </c>
      <c r="B5406" s="72"/>
      <c r="C5406" s="118" t="s">
        <v>236</v>
      </c>
      <c r="D5406" s="152" t="s">
        <v>6164</v>
      </c>
      <c r="E5406" s="152" t="s">
        <v>6279</v>
      </c>
      <c r="F5406" s="152" t="s">
        <v>534</v>
      </c>
      <c r="G5406" s="152" t="s">
        <v>2665</v>
      </c>
      <c r="H5406" s="153" t="s">
        <v>210</v>
      </c>
    </row>
    <row r="5407" hidden="1">
      <c r="A5407" s="158" t="s">
        <v>235</v>
      </c>
      <c r="B5407" s="159"/>
      <c r="C5407" s="155" t="s">
        <v>236</v>
      </c>
      <c r="D5407" s="156" t="s">
        <v>6164</v>
      </c>
      <c r="E5407" s="156" t="s">
        <v>6280</v>
      </c>
      <c r="F5407" s="156" t="s">
        <v>534</v>
      </c>
      <c r="G5407" s="156" t="s">
        <v>2663</v>
      </c>
      <c r="H5407" s="157" t="s">
        <v>211</v>
      </c>
    </row>
    <row r="5408" hidden="1">
      <c r="A5408" s="160" t="s">
        <v>235</v>
      </c>
      <c r="B5408" s="72"/>
      <c r="C5408" s="118" t="s">
        <v>236</v>
      </c>
      <c r="D5408" s="152" t="s">
        <v>6164</v>
      </c>
      <c r="E5408" s="152" t="s">
        <v>6281</v>
      </c>
      <c r="F5408" s="152" t="s">
        <v>308</v>
      </c>
      <c r="G5408" s="152" t="s">
        <v>2816</v>
      </c>
      <c r="H5408" s="153" t="s">
        <v>212</v>
      </c>
    </row>
    <row r="5409" hidden="1">
      <c r="A5409" s="158" t="s">
        <v>235</v>
      </c>
      <c r="B5409" s="159"/>
      <c r="C5409" s="155" t="s">
        <v>236</v>
      </c>
      <c r="D5409" s="156" t="s">
        <v>6164</v>
      </c>
      <c r="E5409" s="156" t="s">
        <v>6282</v>
      </c>
      <c r="F5409" s="156" t="s">
        <v>249</v>
      </c>
      <c r="G5409" s="156" t="s">
        <v>3558</v>
      </c>
      <c r="H5409" s="157" t="s">
        <v>213</v>
      </c>
    </row>
    <row r="5410" hidden="1">
      <c r="A5410" s="160" t="s">
        <v>235</v>
      </c>
      <c r="B5410" s="72"/>
      <c r="C5410" s="118" t="s">
        <v>236</v>
      </c>
      <c r="D5410" s="152" t="s">
        <v>6164</v>
      </c>
      <c r="E5410" s="152" t="s">
        <v>6283</v>
      </c>
      <c r="F5410" s="152" t="s">
        <v>290</v>
      </c>
      <c r="G5410" s="152" t="s">
        <v>3572</v>
      </c>
      <c r="H5410" s="153" t="s">
        <v>214</v>
      </c>
    </row>
    <row r="5411" hidden="1">
      <c r="A5411" s="158" t="s">
        <v>235</v>
      </c>
      <c r="B5411" s="159"/>
      <c r="C5411" s="155" t="s">
        <v>236</v>
      </c>
      <c r="D5411" s="156" t="s">
        <v>6164</v>
      </c>
      <c r="E5411" s="156" t="s">
        <v>6284</v>
      </c>
      <c r="F5411" s="156" t="s">
        <v>314</v>
      </c>
      <c r="G5411" s="156" t="s">
        <v>2671</v>
      </c>
      <c r="H5411" s="157" t="s">
        <v>215</v>
      </c>
    </row>
    <row r="5412" hidden="1">
      <c r="A5412" s="160" t="s">
        <v>235</v>
      </c>
      <c r="B5412" s="72"/>
      <c r="C5412" s="118" t="s">
        <v>236</v>
      </c>
      <c r="D5412" s="152" t="s">
        <v>6164</v>
      </c>
      <c r="E5412" s="152" t="s">
        <v>6285</v>
      </c>
      <c r="F5412" s="152" t="s">
        <v>290</v>
      </c>
      <c r="G5412" s="152" t="s">
        <v>3558</v>
      </c>
      <c r="H5412" s="153" t="s">
        <v>216</v>
      </c>
    </row>
    <row r="5413" hidden="1">
      <c r="A5413" s="158" t="s">
        <v>237</v>
      </c>
      <c r="B5413" s="159"/>
      <c r="C5413" s="155" t="s">
        <v>236</v>
      </c>
      <c r="D5413" s="156" t="s">
        <v>6164</v>
      </c>
      <c r="E5413" s="156" t="s">
        <v>6286</v>
      </c>
      <c r="F5413" s="156" t="s">
        <v>492</v>
      </c>
      <c r="G5413" s="156" t="s">
        <v>2864</v>
      </c>
      <c r="H5413" s="157" t="s">
        <v>210</v>
      </c>
    </row>
    <row r="5414" hidden="1">
      <c r="A5414" s="160" t="s">
        <v>237</v>
      </c>
      <c r="B5414" s="72"/>
      <c r="C5414" s="118" t="s">
        <v>236</v>
      </c>
      <c r="D5414" s="152" t="s">
        <v>6164</v>
      </c>
      <c r="E5414" s="152" t="s">
        <v>6287</v>
      </c>
      <c r="F5414" s="152" t="s">
        <v>287</v>
      </c>
      <c r="G5414" s="152" t="s">
        <v>2697</v>
      </c>
      <c r="H5414" s="153" t="s">
        <v>211</v>
      </c>
    </row>
    <row r="5415" hidden="1">
      <c r="A5415" s="158" t="s">
        <v>237</v>
      </c>
      <c r="B5415" s="159"/>
      <c r="C5415" s="155" t="s">
        <v>236</v>
      </c>
      <c r="D5415" s="156" t="s">
        <v>6164</v>
      </c>
      <c r="E5415" s="156" t="s">
        <v>6288</v>
      </c>
      <c r="F5415" s="156" t="s">
        <v>259</v>
      </c>
      <c r="G5415" s="156" t="s">
        <v>3071</v>
      </c>
      <c r="H5415" s="157" t="s">
        <v>212</v>
      </c>
    </row>
    <row r="5416" hidden="1">
      <c r="A5416" s="160" t="s">
        <v>237</v>
      </c>
      <c r="B5416" s="72"/>
      <c r="C5416" s="118" t="s">
        <v>236</v>
      </c>
      <c r="D5416" s="152" t="s">
        <v>6164</v>
      </c>
      <c r="E5416" s="152" t="s">
        <v>6289</v>
      </c>
      <c r="F5416" s="152" t="s">
        <v>301</v>
      </c>
      <c r="G5416" s="152" t="s">
        <v>1820</v>
      </c>
      <c r="H5416" s="153" t="s">
        <v>213</v>
      </c>
    </row>
    <row r="5417" hidden="1">
      <c r="A5417" s="158" t="s">
        <v>237</v>
      </c>
      <c r="B5417" s="159"/>
      <c r="C5417" s="155" t="s">
        <v>236</v>
      </c>
      <c r="D5417" s="156" t="s">
        <v>6164</v>
      </c>
      <c r="E5417" s="156" t="s">
        <v>6290</v>
      </c>
      <c r="F5417" s="156" t="s">
        <v>265</v>
      </c>
      <c r="G5417" s="156" t="s">
        <v>2070</v>
      </c>
      <c r="H5417" s="157" t="s">
        <v>214</v>
      </c>
    </row>
    <row r="5418" hidden="1">
      <c r="A5418" s="160" t="s">
        <v>237</v>
      </c>
      <c r="B5418" s="72"/>
      <c r="C5418" s="118" t="s">
        <v>236</v>
      </c>
      <c r="D5418" s="152" t="s">
        <v>6164</v>
      </c>
      <c r="E5418" s="152" t="s">
        <v>6291</v>
      </c>
      <c r="F5418" s="152" t="s">
        <v>374</v>
      </c>
      <c r="G5418" s="152" t="s">
        <v>2686</v>
      </c>
      <c r="H5418" s="153" t="s">
        <v>215</v>
      </c>
    </row>
    <row r="5419" hidden="1">
      <c r="A5419" s="158" t="s">
        <v>237</v>
      </c>
      <c r="B5419" s="159"/>
      <c r="C5419" s="155" t="s">
        <v>236</v>
      </c>
      <c r="D5419" s="156" t="s">
        <v>6164</v>
      </c>
      <c r="E5419" s="156" t="s">
        <v>6292</v>
      </c>
      <c r="F5419" s="156" t="s">
        <v>259</v>
      </c>
      <c r="G5419" s="156" t="s">
        <v>1856</v>
      </c>
      <c r="H5419" s="157" t="s">
        <v>216</v>
      </c>
    </row>
    <row r="5420" hidden="1">
      <c r="A5420" s="151" t="s">
        <v>204</v>
      </c>
      <c r="B5420" s="118" t="s">
        <v>205</v>
      </c>
      <c r="C5420" s="118" t="s">
        <v>206</v>
      </c>
      <c r="D5420" s="152" t="s">
        <v>6293</v>
      </c>
      <c r="E5420" s="152" t="s">
        <v>6294</v>
      </c>
      <c r="F5420" s="152" t="s">
        <v>246</v>
      </c>
      <c r="G5420" s="152" t="s">
        <v>2281</v>
      </c>
      <c r="H5420" s="153" t="s">
        <v>210</v>
      </c>
    </row>
    <row r="5421" hidden="1">
      <c r="A5421" s="154" t="s">
        <v>204</v>
      </c>
      <c r="B5421" s="155" t="s">
        <v>205</v>
      </c>
      <c r="C5421" s="155" t="s">
        <v>206</v>
      </c>
      <c r="D5421" s="156" t="s">
        <v>6293</v>
      </c>
      <c r="E5421" s="156" t="s">
        <v>6295</v>
      </c>
      <c r="F5421" s="156" t="s">
        <v>323</v>
      </c>
      <c r="G5421" s="156" t="s">
        <v>3525</v>
      </c>
      <c r="H5421" s="157" t="s">
        <v>211</v>
      </c>
    </row>
    <row r="5422" hidden="1">
      <c r="A5422" s="151" t="s">
        <v>204</v>
      </c>
      <c r="B5422" s="118" t="s">
        <v>205</v>
      </c>
      <c r="C5422" s="118" t="s">
        <v>206</v>
      </c>
      <c r="D5422" s="152" t="s">
        <v>6293</v>
      </c>
      <c r="E5422" s="152" t="s">
        <v>6296</v>
      </c>
      <c r="F5422" s="152" t="s">
        <v>285</v>
      </c>
      <c r="G5422" s="152" t="s">
        <v>3554</v>
      </c>
      <c r="H5422" s="153" t="s">
        <v>212</v>
      </c>
    </row>
    <row r="5423" hidden="1">
      <c r="A5423" s="154" t="s">
        <v>204</v>
      </c>
      <c r="B5423" s="155" t="s">
        <v>205</v>
      </c>
      <c r="C5423" s="155" t="s">
        <v>206</v>
      </c>
      <c r="D5423" s="156" t="s">
        <v>6293</v>
      </c>
      <c r="E5423" s="156" t="s">
        <v>6297</v>
      </c>
      <c r="F5423" s="156" t="s">
        <v>357</v>
      </c>
      <c r="G5423" s="156" t="s">
        <v>2113</v>
      </c>
      <c r="H5423" s="157" t="s">
        <v>213</v>
      </c>
    </row>
    <row r="5424" hidden="1">
      <c r="A5424" s="151" t="s">
        <v>204</v>
      </c>
      <c r="B5424" s="118" t="s">
        <v>205</v>
      </c>
      <c r="C5424" s="118" t="s">
        <v>206</v>
      </c>
      <c r="D5424" s="152" t="s">
        <v>6293</v>
      </c>
      <c r="E5424" s="152" t="s">
        <v>6298</v>
      </c>
      <c r="F5424" s="152" t="s">
        <v>359</v>
      </c>
      <c r="G5424" s="152" t="s">
        <v>2283</v>
      </c>
      <c r="H5424" s="153" t="s">
        <v>214</v>
      </c>
    </row>
    <row r="5425" hidden="1">
      <c r="A5425" s="154" t="s">
        <v>204</v>
      </c>
      <c r="B5425" s="155" t="s">
        <v>205</v>
      </c>
      <c r="C5425" s="155" t="s">
        <v>206</v>
      </c>
      <c r="D5425" s="156" t="s">
        <v>6293</v>
      </c>
      <c r="E5425" s="156" t="s">
        <v>6299</v>
      </c>
      <c r="F5425" s="156" t="s">
        <v>308</v>
      </c>
      <c r="G5425" s="156" t="s">
        <v>2387</v>
      </c>
      <c r="H5425" s="157" t="s">
        <v>215</v>
      </c>
    </row>
    <row r="5426" hidden="1">
      <c r="A5426" s="151" t="s">
        <v>204</v>
      </c>
      <c r="B5426" s="118" t="s">
        <v>205</v>
      </c>
      <c r="C5426" s="118" t="s">
        <v>206</v>
      </c>
      <c r="D5426" s="152" t="s">
        <v>6293</v>
      </c>
      <c r="E5426" s="152" t="s">
        <v>6300</v>
      </c>
      <c r="F5426" s="152" t="s">
        <v>357</v>
      </c>
      <c r="G5426" s="152" t="s">
        <v>2760</v>
      </c>
      <c r="H5426" s="153" t="s">
        <v>216</v>
      </c>
    </row>
    <row r="5427" hidden="1">
      <c r="A5427" s="154" t="s">
        <v>217</v>
      </c>
      <c r="B5427" s="155" t="s">
        <v>191</v>
      </c>
      <c r="C5427" s="155" t="s">
        <v>206</v>
      </c>
      <c r="D5427" s="156" t="s">
        <v>6293</v>
      </c>
      <c r="E5427" s="156" t="s">
        <v>6301</v>
      </c>
      <c r="F5427" s="156" t="s">
        <v>240</v>
      </c>
      <c r="G5427" s="156" t="s">
        <v>4013</v>
      </c>
      <c r="H5427" s="157" t="s">
        <v>210</v>
      </c>
    </row>
    <row r="5428" hidden="1">
      <c r="A5428" s="151" t="s">
        <v>217</v>
      </c>
      <c r="B5428" s="118" t="s">
        <v>191</v>
      </c>
      <c r="C5428" s="118" t="s">
        <v>206</v>
      </c>
      <c r="D5428" s="152" t="s">
        <v>6293</v>
      </c>
      <c r="E5428" s="152" t="s">
        <v>6302</v>
      </c>
      <c r="F5428" s="152" t="s">
        <v>240</v>
      </c>
      <c r="G5428" s="152" t="s">
        <v>3207</v>
      </c>
      <c r="H5428" s="153" t="s">
        <v>211</v>
      </c>
    </row>
    <row r="5429" hidden="1">
      <c r="A5429" s="154" t="s">
        <v>217</v>
      </c>
      <c r="B5429" s="155" t="s">
        <v>191</v>
      </c>
      <c r="C5429" s="155" t="s">
        <v>206</v>
      </c>
      <c r="D5429" s="156" t="s">
        <v>6293</v>
      </c>
      <c r="E5429" s="156" t="s">
        <v>6303</v>
      </c>
      <c r="F5429" s="156" t="s">
        <v>246</v>
      </c>
      <c r="G5429" s="156" t="s">
        <v>2510</v>
      </c>
      <c r="H5429" s="157" t="s">
        <v>212</v>
      </c>
    </row>
    <row r="5430" hidden="1">
      <c r="A5430" s="151" t="s">
        <v>217</v>
      </c>
      <c r="B5430" s="118" t="s">
        <v>191</v>
      </c>
      <c r="C5430" s="118" t="s">
        <v>206</v>
      </c>
      <c r="D5430" s="152" t="s">
        <v>6293</v>
      </c>
      <c r="E5430" s="152" t="s">
        <v>6304</v>
      </c>
      <c r="F5430" s="152" t="s">
        <v>262</v>
      </c>
      <c r="G5430" s="152" t="s">
        <v>3707</v>
      </c>
      <c r="H5430" s="153" t="s">
        <v>213</v>
      </c>
    </row>
    <row r="5431" hidden="1">
      <c r="A5431" s="154" t="s">
        <v>217</v>
      </c>
      <c r="B5431" s="155" t="s">
        <v>191</v>
      </c>
      <c r="C5431" s="155" t="s">
        <v>206</v>
      </c>
      <c r="D5431" s="156" t="s">
        <v>6293</v>
      </c>
      <c r="E5431" s="156" t="s">
        <v>6305</v>
      </c>
      <c r="F5431" s="156" t="s">
        <v>301</v>
      </c>
      <c r="G5431" s="156" t="s">
        <v>3207</v>
      </c>
      <c r="H5431" s="157" t="s">
        <v>214</v>
      </c>
    </row>
    <row r="5432" hidden="1">
      <c r="A5432" s="151" t="s">
        <v>217</v>
      </c>
      <c r="B5432" s="118" t="s">
        <v>191</v>
      </c>
      <c r="C5432" s="118" t="s">
        <v>206</v>
      </c>
      <c r="D5432" s="152" t="s">
        <v>6293</v>
      </c>
      <c r="E5432" s="152" t="s">
        <v>6306</v>
      </c>
      <c r="F5432" s="152" t="s">
        <v>365</v>
      </c>
      <c r="G5432" s="152" t="s">
        <v>1782</v>
      </c>
      <c r="H5432" s="153" t="s">
        <v>215</v>
      </c>
    </row>
    <row r="5433" hidden="1">
      <c r="A5433" s="154" t="s">
        <v>217</v>
      </c>
      <c r="B5433" s="155" t="s">
        <v>191</v>
      </c>
      <c r="C5433" s="155" t="s">
        <v>206</v>
      </c>
      <c r="D5433" s="156" t="s">
        <v>6293</v>
      </c>
      <c r="E5433" s="156" t="s">
        <v>6307</v>
      </c>
      <c r="F5433" s="156" t="s">
        <v>240</v>
      </c>
      <c r="G5433" s="156" t="s">
        <v>2814</v>
      </c>
      <c r="H5433" s="157" t="s">
        <v>216</v>
      </c>
    </row>
    <row r="5434" hidden="1">
      <c r="A5434" s="151" t="s">
        <v>218</v>
      </c>
      <c r="B5434" s="118" t="s">
        <v>219</v>
      </c>
      <c r="C5434" s="118" t="s">
        <v>206</v>
      </c>
      <c r="D5434" s="152" t="s">
        <v>6293</v>
      </c>
      <c r="E5434" s="152" t="s">
        <v>6308</v>
      </c>
      <c r="F5434" s="152" t="s">
        <v>246</v>
      </c>
      <c r="G5434" s="152" t="s">
        <v>3307</v>
      </c>
      <c r="H5434" s="153" t="s">
        <v>210</v>
      </c>
    </row>
    <row r="5435" hidden="1">
      <c r="A5435" s="154" t="s">
        <v>218</v>
      </c>
      <c r="B5435" s="155" t="s">
        <v>219</v>
      </c>
      <c r="C5435" s="155" t="s">
        <v>206</v>
      </c>
      <c r="D5435" s="156" t="s">
        <v>6293</v>
      </c>
      <c r="E5435" s="156" t="s">
        <v>6309</v>
      </c>
      <c r="F5435" s="156" t="s">
        <v>269</v>
      </c>
      <c r="G5435" s="156" t="s">
        <v>2187</v>
      </c>
      <c r="H5435" s="157" t="s">
        <v>211</v>
      </c>
    </row>
    <row r="5436" hidden="1">
      <c r="A5436" s="151" t="s">
        <v>218</v>
      </c>
      <c r="B5436" s="118" t="s">
        <v>219</v>
      </c>
      <c r="C5436" s="118" t="s">
        <v>206</v>
      </c>
      <c r="D5436" s="152" t="s">
        <v>6293</v>
      </c>
      <c r="E5436" s="152" t="s">
        <v>6310</v>
      </c>
      <c r="F5436" s="152" t="s">
        <v>259</v>
      </c>
      <c r="G5436" s="152" t="s">
        <v>3554</v>
      </c>
      <c r="H5436" s="153" t="s">
        <v>212</v>
      </c>
    </row>
    <row r="5437" hidden="1">
      <c r="A5437" s="154" t="s">
        <v>218</v>
      </c>
      <c r="B5437" s="155" t="s">
        <v>219</v>
      </c>
      <c r="C5437" s="155" t="s">
        <v>206</v>
      </c>
      <c r="D5437" s="156" t="s">
        <v>6293</v>
      </c>
      <c r="E5437" s="156" t="s">
        <v>6311</v>
      </c>
      <c r="F5437" s="156" t="s">
        <v>240</v>
      </c>
      <c r="G5437" s="156" t="s">
        <v>3200</v>
      </c>
      <c r="H5437" s="157" t="s">
        <v>213</v>
      </c>
    </row>
    <row r="5438" hidden="1">
      <c r="A5438" s="151" t="s">
        <v>218</v>
      </c>
      <c r="B5438" s="118" t="s">
        <v>219</v>
      </c>
      <c r="C5438" s="118" t="s">
        <v>206</v>
      </c>
      <c r="D5438" s="152" t="s">
        <v>6293</v>
      </c>
      <c r="E5438" s="152" t="s">
        <v>6312</v>
      </c>
      <c r="F5438" s="152" t="s">
        <v>257</v>
      </c>
      <c r="G5438" s="152" t="s">
        <v>2665</v>
      </c>
      <c r="H5438" s="153" t="s">
        <v>214</v>
      </c>
    </row>
    <row r="5439" hidden="1">
      <c r="A5439" s="154" t="s">
        <v>218</v>
      </c>
      <c r="B5439" s="155" t="s">
        <v>219</v>
      </c>
      <c r="C5439" s="155" t="s">
        <v>206</v>
      </c>
      <c r="D5439" s="156" t="s">
        <v>6293</v>
      </c>
      <c r="E5439" s="156" t="s">
        <v>6313</v>
      </c>
      <c r="F5439" s="156" t="s">
        <v>287</v>
      </c>
      <c r="G5439" s="156" t="s">
        <v>2519</v>
      </c>
      <c r="H5439" s="157" t="s">
        <v>215</v>
      </c>
    </row>
    <row r="5440" hidden="1">
      <c r="A5440" s="151" t="s">
        <v>218</v>
      </c>
      <c r="B5440" s="118" t="s">
        <v>219</v>
      </c>
      <c r="C5440" s="118" t="s">
        <v>206</v>
      </c>
      <c r="D5440" s="152" t="s">
        <v>6293</v>
      </c>
      <c r="E5440" s="152" t="s">
        <v>6314</v>
      </c>
      <c r="F5440" s="152" t="s">
        <v>287</v>
      </c>
      <c r="G5440" s="152" t="s">
        <v>2006</v>
      </c>
      <c r="H5440" s="153" t="s">
        <v>216</v>
      </c>
    </row>
    <row r="5441" hidden="1">
      <c r="A5441" s="154" t="s">
        <v>220</v>
      </c>
      <c r="B5441" s="155" t="s">
        <v>190</v>
      </c>
      <c r="C5441" s="155" t="s">
        <v>206</v>
      </c>
      <c r="D5441" s="156" t="s">
        <v>6293</v>
      </c>
      <c r="E5441" s="156" t="s">
        <v>6315</v>
      </c>
      <c r="F5441" s="156" t="s">
        <v>287</v>
      </c>
      <c r="G5441" s="156" t="s">
        <v>3438</v>
      </c>
      <c r="H5441" s="157" t="s">
        <v>210</v>
      </c>
    </row>
    <row r="5442" hidden="1">
      <c r="A5442" s="151" t="s">
        <v>220</v>
      </c>
      <c r="B5442" s="118" t="s">
        <v>190</v>
      </c>
      <c r="C5442" s="118" t="s">
        <v>206</v>
      </c>
      <c r="D5442" s="152" t="s">
        <v>6293</v>
      </c>
      <c r="E5442" s="152" t="s">
        <v>6316</v>
      </c>
      <c r="F5442" s="152" t="s">
        <v>478</v>
      </c>
      <c r="G5442" s="152" t="s">
        <v>3466</v>
      </c>
      <c r="H5442" s="153" t="s">
        <v>211</v>
      </c>
    </row>
    <row r="5443" hidden="1">
      <c r="A5443" s="154" t="s">
        <v>220</v>
      </c>
      <c r="B5443" s="155" t="s">
        <v>190</v>
      </c>
      <c r="C5443" s="155" t="s">
        <v>206</v>
      </c>
      <c r="D5443" s="156" t="s">
        <v>6293</v>
      </c>
      <c r="E5443" s="156" t="s">
        <v>6317</v>
      </c>
      <c r="F5443" s="156" t="s">
        <v>735</v>
      </c>
      <c r="G5443" s="156" t="s">
        <v>4412</v>
      </c>
      <c r="H5443" s="157" t="s">
        <v>212</v>
      </c>
    </row>
    <row r="5444" hidden="1">
      <c r="A5444" s="151" t="s">
        <v>220</v>
      </c>
      <c r="B5444" s="118" t="s">
        <v>190</v>
      </c>
      <c r="C5444" s="118" t="s">
        <v>206</v>
      </c>
      <c r="D5444" s="152" t="s">
        <v>6293</v>
      </c>
      <c r="E5444" s="152" t="s">
        <v>6318</v>
      </c>
      <c r="F5444" s="152" t="s">
        <v>799</v>
      </c>
      <c r="G5444" s="152" t="s">
        <v>3466</v>
      </c>
      <c r="H5444" s="153" t="s">
        <v>213</v>
      </c>
    </row>
    <row r="5445" hidden="1">
      <c r="A5445" s="154" t="s">
        <v>220</v>
      </c>
      <c r="B5445" s="155" t="s">
        <v>190</v>
      </c>
      <c r="C5445" s="155" t="s">
        <v>206</v>
      </c>
      <c r="D5445" s="156" t="s">
        <v>6293</v>
      </c>
      <c r="E5445" s="156" t="s">
        <v>6319</v>
      </c>
      <c r="F5445" s="156" t="s">
        <v>405</v>
      </c>
      <c r="G5445" s="156" t="s">
        <v>3430</v>
      </c>
      <c r="H5445" s="157" t="s">
        <v>214</v>
      </c>
    </row>
    <row r="5446" hidden="1">
      <c r="A5446" s="151" t="s">
        <v>220</v>
      </c>
      <c r="B5446" s="118" t="s">
        <v>190</v>
      </c>
      <c r="C5446" s="118" t="s">
        <v>206</v>
      </c>
      <c r="D5446" s="152" t="s">
        <v>6293</v>
      </c>
      <c r="E5446" s="152" t="s">
        <v>6320</v>
      </c>
      <c r="F5446" s="152" t="s">
        <v>448</v>
      </c>
      <c r="G5446" s="152" t="s">
        <v>4002</v>
      </c>
      <c r="H5446" s="153" t="s">
        <v>215</v>
      </c>
    </row>
    <row r="5447" hidden="1">
      <c r="A5447" s="154" t="s">
        <v>220</v>
      </c>
      <c r="B5447" s="155" t="s">
        <v>190</v>
      </c>
      <c r="C5447" s="155" t="s">
        <v>206</v>
      </c>
      <c r="D5447" s="156" t="s">
        <v>6293</v>
      </c>
      <c r="E5447" s="156" t="s">
        <v>6321</v>
      </c>
      <c r="F5447" s="156" t="s">
        <v>351</v>
      </c>
      <c r="G5447" s="156" t="s">
        <v>4364</v>
      </c>
      <c r="H5447" s="157" t="s">
        <v>216</v>
      </c>
    </row>
    <row r="5448" hidden="1">
      <c r="A5448" s="151" t="s">
        <v>221</v>
      </c>
      <c r="B5448" s="118" t="s">
        <v>189</v>
      </c>
      <c r="C5448" s="118" t="s">
        <v>206</v>
      </c>
      <c r="D5448" s="152" t="s">
        <v>6293</v>
      </c>
      <c r="E5448" s="152" t="s">
        <v>6322</v>
      </c>
      <c r="F5448" s="152" t="s">
        <v>262</v>
      </c>
      <c r="G5448" s="152" t="s">
        <v>6323</v>
      </c>
      <c r="H5448" s="153" t="s">
        <v>210</v>
      </c>
    </row>
    <row r="5449" hidden="1">
      <c r="A5449" s="154" t="s">
        <v>221</v>
      </c>
      <c r="B5449" s="155" t="s">
        <v>189</v>
      </c>
      <c r="C5449" s="155" t="s">
        <v>206</v>
      </c>
      <c r="D5449" s="156" t="s">
        <v>6293</v>
      </c>
      <c r="E5449" s="156" t="s">
        <v>6324</v>
      </c>
      <c r="F5449" s="156" t="s">
        <v>244</v>
      </c>
      <c r="G5449" s="156" t="s">
        <v>2958</v>
      </c>
      <c r="H5449" s="157" t="s">
        <v>211</v>
      </c>
    </row>
    <row r="5450" hidden="1">
      <c r="A5450" s="151" t="s">
        <v>221</v>
      </c>
      <c r="B5450" s="118" t="s">
        <v>189</v>
      </c>
      <c r="C5450" s="118" t="s">
        <v>206</v>
      </c>
      <c r="D5450" s="152" t="s">
        <v>6293</v>
      </c>
      <c r="E5450" s="152" t="s">
        <v>6325</v>
      </c>
      <c r="F5450" s="152" t="s">
        <v>265</v>
      </c>
      <c r="G5450" s="152" t="s">
        <v>2409</v>
      </c>
      <c r="H5450" s="153" t="s">
        <v>212</v>
      </c>
    </row>
    <row r="5451" hidden="1">
      <c r="A5451" s="154" t="s">
        <v>221</v>
      </c>
      <c r="B5451" s="155" t="s">
        <v>189</v>
      </c>
      <c r="C5451" s="155" t="s">
        <v>206</v>
      </c>
      <c r="D5451" s="156" t="s">
        <v>6293</v>
      </c>
      <c r="E5451" s="156" t="s">
        <v>6326</v>
      </c>
      <c r="F5451" s="156" t="s">
        <v>301</v>
      </c>
      <c r="G5451" s="156" t="s">
        <v>629</v>
      </c>
      <c r="H5451" s="157" t="s">
        <v>213</v>
      </c>
    </row>
    <row r="5452" hidden="1">
      <c r="A5452" s="151" t="s">
        <v>221</v>
      </c>
      <c r="B5452" s="118" t="s">
        <v>189</v>
      </c>
      <c r="C5452" s="118" t="s">
        <v>206</v>
      </c>
      <c r="D5452" s="152" t="s">
        <v>6293</v>
      </c>
      <c r="E5452" s="152" t="s">
        <v>6327</v>
      </c>
      <c r="F5452" s="152" t="s">
        <v>246</v>
      </c>
      <c r="G5452" s="152" t="s">
        <v>2155</v>
      </c>
      <c r="H5452" s="153" t="s">
        <v>214</v>
      </c>
    </row>
    <row r="5453" hidden="1">
      <c r="A5453" s="154" t="s">
        <v>221</v>
      </c>
      <c r="B5453" s="155" t="s">
        <v>189</v>
      </c>
      <c r="C5453" s="155" t="s">
        <v>206</v>
      </c>
      <c r="D5453" s="156" t="s">
        <v>6293</v>
      </c>
      <c r="E5453" s="156" t="s">
        <v>6328</v>
      </c>
      <c r="F5453" s="156" t="s">
        <v>301</v>
      </c>
      <c r="G5453" s="156" t="s">
        <v>1806</v>
      </c>
      <c r="H5453" s="157" t="s">
        <v>215</v>
      </c>
    </row>
    <row r="5454" hidden="1">
      <c r="A5454" s="151" t="s">
        <v>221</v>
      </c>
      <c r="B5454" s="118" t="s">
        <v>189</v>
      </c>
      <c r="C5454" s="118" t="s">
        <v>206</v>
      </c>
      <c r="D5454" s="152" t="s">
        <v>6293</v>
      </c>
      <c r="E5454" s="152" t="s">
        <v>6329</v>
      </c>
      <c r="F5454" s="152" t="s">
        <v>255</v>
      </c>
      <c r="G5454" s="152" t="s">
        <v>2435</v>
      </c>
      <c r="H5454" s="153" t="s">
        <v>216</v>
      </c>
    </row>
    <row r="5455" hidden="1">
      <c r="A5455" s="154" t="s">
        <v>222</v>
      </c>
      <c r="B5455" s="155" t="s">
        <v>192</v>
      </c>
      <c r="C5455" s="155" t="s">
        <v>206</v>
      </c>
      <c r="D5455" s="156" t="s">
        <v>6293</v>
      </c>
      <c r="E5455" s="156" t="s">
        <v>6330</v>
      </c>
      <c r="F5455" s="156" t="s">
        <v>494</v>
      </c>
      <c r="G5455" s="156" t="s">
        <v>3875</v>
      </c>
      <c r="H5455" s="157" t="s">
        <v>210</v>
      </c>
    </row>
    <row r="5456" hidden="1">
      <c r="A5456" s="151" t="s">
        <v>222</v>
      </c>
      <c r="B5456" s="118" t="s">
        <v>192</v>
      </c>
      <c r="C5456" s="118" t="s">
        <v>206</v>
      </c>
      <c r="D5456" s="152" t="s">
        <v>6293</v>
      </c>
      <c r="E5456" s="152" t="s">
        <v>6331</v>
      </c>
      <c r="F5456" s="152" t="s">
        <v>305</v>
      </c>
      <c r="G5456" s="152" t="s">
        <v>2519</v>
      </c>
      <c r="H5456" s="153" t="s">
        <v>211</v>
      </c>
    </row>
    <row r="5457" hidden="1">
      <c r="A5457" s="154" t="s">
        <v>222</v>
      </c>
      <c r="B5457" s="155" t="s">
        <v>192</v>
      </c>
      <c r="C5457" s="155" t="s">
        <v>206</v>
      </c>
      <c r="D5457" s="156" t="s">
        <v>6293</v>
      </c>
      <c r="E5457" s="156" t="s">
        <v>6332</v>
      </c>
      <c r="F5457" s="156" t="s">
        <v>290</v>
      </c>
      <c r="G5457" s="156" t="s">
        <v>4293</v>
      </c>
      <c r="H5457" s="157" t="s">
        <v>212</v>
      </c>
    </row>
    <row r="5458" hidden="1">
      <c r="A5458" s="151" t="s">
        <v>222</v>
      </c>
      <c r="B5458" s="118" t="s">
        <v>192</v>
      </c>
      <c r="C5458" s="118" t="s">
        <v>206</v>
      </c>
      <c r="D5458" s="152" t="s">
        <v>6293</v>
      </c>
      <c r="E5458" s="152" t="s">
        <v>6333</v>
      </c>
      <c r="F5458" s="152" t="s">
        <v>450</v>
      </c>
      <c r="G5458" s="152" t="s">
        <v>3272</v>
      </c>
      <c r="H5458" s="153" t="s">
        <v>213</v>
      </c>
    </row>
    <row r="5459" hidden="1">
      <c r="A5459" s="154" t="s">
        <v>222</v>
      </c>
      <c r="B5459" s="155" t="s">
        <v>192</v>
      </c>
      <c r="C5459" s="155" t="s">
        <v>206</v>
      </c>
      <c r="D5459" s="156" t="s">
        <v>6293</v>
      </c>
      <c r="E5459" s="156" t="s">
        <v>6334</v>
      </c>
      <c r="F5459" s="156" t="s">
        <v>450</v>
      </c>
      <c r="G5459" s="156" t="s">
        <v>1791</v>
      </c>
      <c r="H5459" s="157" t="s">
        <v>214</v>
      </c>
    </row>
    <row r="5460" hidden="1">
      <c r="A5460" s="151" t="s">
        <v>222</v>
      </c>
      <c r="B5460" s="118" t="s">
        <v>192</v>
      </c>
      <c r="C5460" s="118" t="s">
        <v>206</v>
      </c>
      <c r="D5460" s="152" t="s">
        <v>6293</v>
      </c>
      <c r="E5460" s="152" t="s">
        <v>6335</v>
      </c>
      <c r="F5460" s="152" t="s">
        <v>405</v>
      </c>
      <c r="G5460" s="152" t="s">
        <v>2519</v>
      </c>
      <c r="H5460" s="153" t="s">
        <v>215</v>
      </c>
    </row>
    <row r="5461" hidden="1">
      <c r="A5461" s="154" t="s">
        <v>222</v>
      </c>
      <c r="B5461" s="155" t="s">
        <v>192</v>
      </c>
      <c r="C5461" s="155" t="s">
        <v>206</v>
      </c>
      <c r="D5461" s="156" t="s">
        <v>6293</v>
      </c>
      <c r="E5461" s="156" t="s">
        <v>6336</v>
      </c>
      <c r="F5461" s="156" t="s">
        <v>425</v>
      </c>
      <c r="G5461" s="156" t="s">
        <v>1995</v>
      </c>
      <c r="H5461" s="157" t="s">
        <v>216</v>
      </c>
    </row>
    <row r="5462" hidden="1">
      <c r="A5462" s="151" t="s">
        <v>223</v>
      </c>
      <c r="B5462" s="118" t="s">
        <v>144</v>
      </c>
      <c r="C5462" s="118" t="s">
        <v>206</v>
      </c>
      <c r="D5462" s="152" t="s">
        <v>6293</v>
      </c>
      <c r="E5462" s="152" t="s">
        <v>6337</v>
      </c>
      <c r="F5462" s="152" t="s">
        <v>244</v>
      </c>
      <c r="G5462" s="152" t="s">
        <v>3230</v>
      </c>
      <c r="H5462" s="153" t="s">
        <v>210</v>
      </c>
    </row>
    <row r="5463" hidden="1">
      <c r="A5463" s="154" t="s">
        <v>223</v>
      </c>
      <c r="B5463" s="155" t="s">
        <v>144</v>
      </c>
      <c r="C5463" s="155" t="s">
        <v>206</v>
      </c>
      <c r="D5463" s="156" t="s">
        <v>6293</v>
      </c>
      <c r="E5463" s="156" t="s">
        <v>6338</v>
      </c>
      <c r="F5463" s="156" t="s">
        <v>321</v>
      </c>
      <c r="G5463" s="156" t="s">
        <v>2671</v>
      </c>
      <c r="H5463" s="157" t="s">
        <v>211</v>
      </c>
    </row>
    <row r="5464" hidden="1">
      <c r="A5464" s="151" t="s">
        <v>223</v>
      </c>
      <c r="B5464" s="118" t="s">
        <v>144</v>
      </c>
      <c r="C5464" s="118" t="s">
        <v>206</v>
      </c>
      <c r="D5464" s="152" t="s">
        <v>6293</v>
      </c>
      <c r="E5464" s="152" t="s">
        <v>6339</v>
      </c>
      <c r="F5464" s="152" t="s">
        <v>249</v>
      </c>
      <c r="G5464" s="152" t="s">
        <v>2665</v>
      </c>
      <c r="H5464" s="153" t="s">
        <v>212</v>
      </c>
    </row>
    <row r="5465" hidden="1">
      <c r="A5465" s="154" t="s">
        <v>223</v>
      </c>
      <c r="B5465" s="155" t="s">
        <v>144</v>
      </c>
      <c r="C5465" s="155" t="s">
        <v>206</v>
      </c>
      <c r="D5465" s="156" t="s">
        <v>6293</v>
      </c>
      <c r="E5465" s="156" t="s">
        <v>6340</v>
      </c>
      <c r="F5465" s="156" t="s">
        <v>321</v>
      </c>
      <c r="G5465" s="156" t="s">
        <v>3572</v>
      </c>
      <c r="H5465" s="157" t="s">
        <v>213</v>
      </c>
    </row>
    <row r="5466" hidden="1">
      <c r="A5466" s="151" t="s">
        <v>223</v>
      </c>
      <c r="B5466" s="118" t="s">
        <v>144</v>
      </c>
      <c r="C5466" s="118" t="s">
        <v>206</v>
      </c>
      <c r="D5466" s="152" t="s">
        <v>6293</v>
      </c>
      <c r="E5466" s="152" t="s">
        <v>6341</v>
      </c>
      <c r="F5466" s="152" t="s">
        <v>351</v>
      </c>
      <c r="G5466" s="152" t="s">
        <v>2285</v>
      </c>
      <c r="H5466" s="153" t="s">
        <v>214</v>
      </c>
    </row>
    <row r="5467" hidden="1">
      <c r="A5467" s="154" t="s">
        <v>223</v>
      </c>
      <c r="B5467" s="155" t="s">
        <v>144</v>
      </c>
      <c r="C5467" s="155" t="s">
        <v>206</v>
      </c>
      <c r="D5467" s="156" t="s">
        <v>6293</v>
      </c>
      <c r="E5467" s="156" t="s">
        <v>6342</v>
      </c>
      <c r="F5467" s="156" t="s">
        <v>323</v>
      </c>
      <c r="G5467" s="156" t="s">
        <v>3478</v>
      </c>
      <c r="H5467" s="157" t="s">
        <v>215</v>
      </c>
    </row>
    <row r="5468" hidden="1">
      <c r="A5468" s="151" t="s">
        <v>223</v>
      </c>
      <c r="B5468" s="118" t="s">
        <v>144</v>
      </c>
      <c r="C5468" s="118" t="s">
        <v>206</v>
      </c>
      <c r="D5468" s="152" t="s">
        <v>6293</v>
      </c>
      <c r="E5468" s="152" t="s">
        <v>6343</v>
      </c>
      <c r="F5468" s="152" t="s">
        <v>285</v>
      </c>
      <c r="G5468" s="152" t="s">
        <v>3445</v>
      </c>
      <c r="H5468" s="153" t="s">
        <v>216</v>
      </c>
    </row>
    <row r="5469" hidden="1">
      <c r="A5469" s="154" t="s">
        <v>224</v>
      </c>
      <c r="B5469" s="155" t="s">
        <v>170</v>
      </c>
      <c r="C5469" s="155" t="s">
        <v>206</v>
      </c>
      <c r="D5469" s="156" t="s">
        <v>6293</v>
      </c>
      <c r="E5469" s="156" t="s">
        <v>6344</v>
      </c>
      <c r="F5469" s="156" t="s">
        <v>242</v>
      </c>
      <c r="G5469" s="156" t="s">
        <v>2694</v>
      </c>
      <c r="H5469" s="157" t="s">
        <v>210</v>
      </c>
    </row>
    <row r="5470" hidden="1">
      <c r="A5470" s="151" t="s">
        <v>224</v>
      </c>
      <c r="B5470" s="118" t="s">
        <v>170</v>
      </c>
      <c r="C5470" s="118" t="s">
        <v>206</v>
      </c>
      <c r="D5470" s="152" t="s">
        <v>6293</v>
      </c>
      <c r="E5470" s="152" t="s">
        <v>6345</v>
      </c>
      <c r="F5470" s="152" t="s">
        <v>242</v>
      </c>
      <c r="G5470" s="152" t="s">
        <v>1925</v>
      </c>
      <c r="H5470" s="153" t="s">
        <v>211</v>
      </c>
    </row>
    <row r="5471" hidden="1">
      <c r="A5471" s="154" t="s">
        <v>224</v>
      </c>
      <c r="B5471" s="155" t="s">
        <v>170</v>
      </c>
      <c r="C5471" s="155" t="s">
        <v>206</v>
      </c>
      <c r="D5471" s="156" t="s">
        <v>6293</v>
      </c>
      <c r="E5471" s="156" t="s">
        <v>6346</v>
      </c>
      <c r="F5471" s="156" t="s">
        <v>321</v>
      </c>
      <c r="G5471" s="156" t="s">
        <v>2279</v>
      </c>
      <c r="H5471" s="157" t="s">
        <v>212</v>
      </c>
    </row>
    <row r="5472" hidden="1">
      <c r="A5472" s="151" t="s">
        <v>224</v>
      </c>
      <c r="B5472" s="118" t="s">
        <v>170</v>
      </c>
      <c r="C5472" s="118" t="s">
        <v>206</v>
      </c>
      <c r="D5472" s="152" t="s">
        <v>6293</v>
      </c>
      <c r="E5472" s="152" t="s">
        <v>6347</v>
      </c>
      <c r="F5472" s="152" t="s">
        <v>285</v>
      </c>
      <c r="G5472" s="152" t="s">
        <v>2694</v>
      </c>
      <c r="H5472" s="153" t="s">
        <v>213</v>
      </c>
    </row>
    <row r="5473" hidden="1">
      <c r="A5473" s="154" t="s">
        <v>224</v>
      </c>
      <c r="B5473" s="155" t="s">
        <v>170</v>
      </c>
      <c r="C5473" s="155" t="s">
        <v>206</v>
      </c>
      <c r="D5473" s="156" t="s">
        <v>6293</v>
      </c>
      <c r="E5473" s="156" t="s">
        <v>6348</v>
      </c>
      <c r="F5473" s="156" t="s">
        <v>323</v>
      </c>
      <c r="G5473" s="156" t="s">
        <v>2389</v>
      </c>
      <c r="H5473" s="157" t="s">
        <v>214</v>
      </c>
    </row>
    <row r="5474" hidden="1">
      <c r="A5474" s="151" t="s">
        <v>224</v>
      </c>
      <c r="B5474" s="118" t="s">
        <v>170</v>
      </c>
      <c r="C5474" s="118" t="s">
        <v>206</v>
      </c>
      <c r="D5474" s="152" t="s">
        <v>6293</v>
      </c>
      <c r="E5474" s="152" t="s">
        <v>6349</v>
      </c>
      <c r="F5474" s="152" t="s">
        <v>287</v>
      </c>
      <c r="G5474" s="152" t="s">
        <v>3523</v>
      </c>
      <c r="H5474" s="153" t="s">
        <v>215</v>
      </c>
    </row>
    <row r="5475" hidden="1">
      <c r="A5475" s="154" t="s">
        <v>224</v>
      </c>
      <c r="B5475" s="155" t="s">
        <v>170</v>
      </c>
      <c r="C5475" s="155" t="s">
        <v>206</v>
      </c>
      <c r="D5475" s="156" t="s">
        <v>6293</v>
      </c>
      <c r="E5475" s="156" t="s">
        <v>6350</v>
      </c>
      <c r="F5475" s="156" t="s">
        <v>242</v>
      </c>
      <c r="G5475" s="156" t="s">
        <v>2845</v>
      </c>
      <c r="H5475" s="157" t="s">
        <v>216</v>
      </c>
    </row>
    <row r="5476" hidden="1">
      <c r="A5476" s="151" t="s">
        <v>225</v>
      </c>
      <c r="B5476" s="118" t="s">
        <v>226</v>
      </c>
      <c r="C5476" s="118" t="s">
        <v>206</v>
      </c>
      <c r="D5476" s="152" t="s">
        <v>6293</v>
      </c>
      <c r="E5476" s="152" t="s">
        <v>6351</v>
      </c>
      <c r="F5476" s="152" t="s">
        <v>357</v>
      </c>
      <c r="G5476" s="152" t="s">
        <v>2109</v>
      </c>
      <c r="H5476" s="153" t="s">
        <v>210</v>
      </c>
    </row>
    <row r="5477" hidden="1">
      <c r="A5477" s="154" t="s">
        <v>225</v>
      </c>
      <c r="B5477" s="155" t="s">
        <v>226</v>
      </c>
      <c r="C5477" s="155" t="s">
        <v>206</v>
      </c>
      <c r="D5477" s="156" t="s">
        <v>6293</v>
      </c>
      <c r="E5477" s="156" t="s">
        <v>6352</v>
      </c>
      <c r="F5477" s="156" t="s">
        <v>1551</v>
      </c>
      <c r="G5477" s="156" t="s">
        <v>2138</v>
      </c>
      <c r="H5477" s="157" t="s">
        <v>211</v>
      </c>
    </row>
    <row r="5478" hidden="1">
      <c r="A5478" s="151" t="s">
        <v>225</v>
      </c>
      <c r="B5478" s="118" t="s">
        <v>226</v>
      </c>
      <c r="C5478" s="118" t="s">
        <v>206</v>
      </c>
      <c r="D5478" s="152" t="s">
        <v>6293</v>
      </c>
      <c r="E5478" s="152" t="s">
        <v>6353</v>
      </c>
      <c r="F5478" s="152" t="s">
        <v>374</v>
      </c>
      <c r="G5478" s="152" t="s">
        <v>2107</v>
      </c>
      <c r="H5478" s="153" t="s">
        <v>212</v>
      </c>
    </row>
    <row r="5479" hidden="1">
      <c r="A5479" s="154" t="s">
        <v>225</v>
      </c>
      <c r="B5479" s="155" t="s">
        <v>226</v>
      </c>
      <c r="C5479" s="155" t="s">
        <v>206</v>
      </c>
      <c r="D5479" s="156" t="s">
        <v>6293</v>
      </c>
      <c r="E5479" s="156" t="s">
        <v>6354</v>
      </c>
      <c r="F5479" s="156" t="s">
        <v>501</v>
      </c>
      <c r="G5479" s="156" t="s">
        <v>2301</v>
      </c>
      <c r="H5479" s="157" t="s">
        <v>213</v>
      </c>
    </row>
    <row r="5480" hidden="1">
      <c r="A5480" s="151" t="s">
        <v>225</v>
      </c>
      <c r="B5480" s="118" t="s">
        <v>226</v>
      </c>
      <c r="C5480" s="118" t="s">
        <v>206</v>
      </c>
      <c r="D5480" s="152" t="s">
        <v>6293</v>
      </c>
      <c r="E5480" s="152" t="s">
        <v>6355</v>
      </c>
      <c r="F5480" s="152" t="s">
        <v>359</v>
      </c>
      <c r="G5480" s="152" t="s">
        <v>1918</v>
      </c>
      <c r="H5480" s="153" t="s">
        <v>214</v>
      </c>
    </row>
    <row r="5481" hidden="1">
      <c r="A5481" s="154" t="s">
        <v>225</v>
      </c>
      <c r="B5481" s="155" t="s">
        <v>226</v>
      </c>
      <c r="C5481" s="155" t="s">
        <v>206</v>
      </c>
      <c r="D5481" s="156" t="s">
        <v>6293</v>
      </c>
      <c r="E5481" s="156" t="s">
        <v>6356</v>
      </c>
      <c r="F5481" s="156" t="s">
        <v>436</v>
      </c>
      <c r="G5481" s="156" t="s">
        <v>2107</v>
      </c>
      <c r="H5481" s="157" t="s">
        <v>215</v>
      </c>
    </row>
    <row r="5482" hidden="1">
      <c r="A5482" s="151" t="s">
        <v>225</v>
      </c>
      <c r="B5482" s="118" t="s">
        <v>226</v>
      </c>
      <c r="C5482" s="118" t="s">
        <v>206</v>
      </c>
      <c r="D5482" s="152" t="s">
        <v>6293</v>
      </c>
      <c r="E5482" s="152" t="s">
        <v>6357</v>
      </c>
      <c r="F5482" s="152" t="s">
        <v>374</v>
      </c>
      <c r="G5482" s="152" t="s">
        <v>2301</v>
      </c>
      <c r="H5482" s="153" t="s">
        <v>216</v>
      </c>
    </row>
    <row r="5483" hidden="1">
      <c r="A5483" s="154" t="s">
        <v>227</v>
      </c>
      <c r="B5483" s="155" t="s">
        <v>195</v>
      </c>
      <c r="C5483" s="155" t="s">
        <v>206</v>
      </c>
      <c r="D5483" s="156" t="s">
        <v>6293</v>
      </c>
      <c r="E5483" s="156" t="s">
        <v>6358</v>
      </c>
      <c r="F5483" s="156" t="s">
        <v>285</v>
      </c>
      <c r="G5483" s="156" t="s">
        <v>4019</v>
      </c>
      <c r="H5483" s="157" t="s">
        <v>210</v>
      </c>
    </row>
    <row r="5484" hidden="1">
      <c r="A5484" s="151" t="s">
        <v>227</v>
      </c>
      <c r="B5484" s="118" t="s">
        <v>195</v>
      </c>
      <c r="C5484" s="118" t="s">
        <v>206</v>
      </c>
      <c r="D5484" s="152" t="s">
        <v>6293</v>
      </c>
      <c r="E5484" s="152" t="s">
        <v>6359</v>
      </c>
      <c r="F5484" s="152" t="s">
        <v>354</v>
      </c>
      <c r="G5484" s="152" t="s">
        <v>3620</v>
      </c>
      <c r="H5484" s="153" t="s">
        <v>211</v>
      </c>
    </row>
    <row r="5485" hidden="1">
      <c r="A5485" s="154" t="s">
        <v>227</v>
      </c>
      <c r="B5485" s="155" t="s">
        <v>195</v>
      </c>
      <c r="C5485" s="155" t="s">
        <v>206</v>
      </c>
      <c r="D5485" s="156" t="s">
        <v>6293</v>
      </c>
      <c r="E5485" s="156" t="s">
        <v>6360</v>
      </c>
      <c r="F5485" s="156" t="s">
        <v>359</v>
      </c>
      <c r="G5485" s="156" t="s">
        <v>2179</v>
      </c>
      <c r="H5485" s="157" t="s">
        <v>212</v>
      </c>
    </row>
    <row r="5486" hidden="1">
      <c r="A5486" s="151" t="s">
        <v>227</v>
      </c>
      <c r="B5486" s="118" t="s">
        <v>195</v>
      </c>
      <c r="C5486" s="118" t="s">
        <v>206</v>
      </c>
      <c r="D5486" s="152" t="s">
        <v>6293</v>
      </c>
      <c r="E5486" s="152" t="s">
        <v>6361</v>
      </c>
      <c r="F5486" s="152" t="s">
        <v>718</v>
      </c>
      <c r="G5486" s="152" t="s">
        <v>3203</v>
      </c>
      <c r="H5486" s="153" t="s">
        <v>213</v>
      </c>
    </row>
    <row r="5487" hidden="1">
      <c r="A5487" s="154" t="s">
        <v>227</v>
      </c>
      <c r="B5487" s="155" t="s">
        <v>195</v>
      </c>
      <c r="C5487" s="155" t="s">
        <v>206</v>
      </c>
      <c r="D5487" s="156" t="s">
        <v>6293</v>
      </c>
      <c r="E5487" s="156" t="s">
        <v>6362</v>
      </c>
      <c r="F5487" s="156" t="s">
        <v>365</v>
      </c>
      <c r="G5487" s="156" t="s">
        <v>4206</v>
      </c>
      <c r="H5487" s="157" t="s">
        <v>214</v>
      </c>
    </row>
    <row r="5488" hidden="1">
      <c r="A5488" s="151" t="s">
        <v>227</v>
      </c>
      <c r="B5488" s="118" t="s">
        <v>195</v>
      </c>
      <c r="C5488" s="118" t="s">
        <v>206</v>
      </c>
      <c r="D5488" s="152" t="s">
        <v>6293</v>
      </c>
      <c r="E5488" s="152" t="s">
        <v>6363</v>
      </c>
      <c r="F5488" s="152" t="s">
        <v>2994</v>
      </c>
      <c r="G5488" s="152" t="s">
        <v>3307</v>
      </c>
      <c r="H5488" s="153" t="s">
        <v>215</v>
      </c>
    </row>
    <row r="5489" hidden="1">
      <c r="A5489" s="154" t="s">
        <v>227</v>
      </c>
      <c r="B5489" s="155" t="s">
        <v>195</v>
      </c>
      <c r="C5489" s="155" t="s">
        <v>206</v>
      </c>
      <c r="D5489" s="156" t="s">
        <v>6293</v>
      </c>
      <c r="E5489" s="156" t="s">
        <v>6364</v>
      </c>
      <c r="F5489" s="156" t="s">
        <v>351</v>
      </c>
      <c r="G5489" s="156" t="s">
        <v>3203</v>
      </c>
      <c r="H5489" s="157" t="s">
        <v>216</v>
      </c>
    </row>
    <row r="5490" hidden="1">
      <c r="A5490" s="151" t="s">
        <v>228</v>
      </c>
      <c r="B5490" s="118" t="s">
        <v>138</v>
      </c>
      <c r="C5490" s="118" t="s">
        <v>206</v>
      </c>
      <c r="D5490" s="152" t="s">
        <v>6293</v>
      </c>
      <c r="E5490" s="152" t="s">
        <v>6365</v>
      </c>
      <c r="F5490" s="152" t="s">
        <v>433</v>
      </c>
      <c r="G5490" s="152" t="s">
        <v>2472</v>
      </c>
      <c r="H5490" s="153" t="s">
        <v>210</v>
      </c>
    </row>
    <row r="5491" hidden="1">
      <c r="A5491" s="154" t="s">
        <v>228</v>
      </c>
      <c r="B5491" s="155" t="s">
        <v>138</v>
      </c>
      <c r="C5491" s="155" t="s">
        <v>206</v>
      </c>
      <c r="D5491" s="156" t="s">
        <v>6293</v>
      </c>
      <c r="E5491" s="156" t="s">
        <v>6366</v>
      </c>
      <c r="F5491" s="156" t="s">
        <v>374</v>
      </c>
      <c r="G5491" s="156" t="s">
        <v>1841</v>
      </c>
      <c r="H5491" s="157" t="s">
        <v>211</v>
      </c>
    </row>
    <row r="5492" hidden="1">
      <c r="A5492" s="151" t="s">
        <v>228</v>
      </c>
      <c r="B5492" s="118" t="s">
        <v>138</v>
      </c>
      <c r="C5492" s="118" t="s">
        <v>206</v>
      </c>
      <c r="D5492" s="152" t="s">
        <v>6293</v>
      </c>
      <c r="E5492" s="152" t="s">
        <v>6367</v>
      </c>
      <c r="F5492" s="152" t="s">
        <v>436</v>
      </c>
      <c r="G5492" s="152" t="s">
        <v>1832</v>
      </c>
      <c r="H5492" s="153" t="s">
        <v>212</v>
      </c>
    </row>
    <row r="5493" hidden="1">
      <c r="A5493" s="154" t="s">
        <v>228</v>
      </c>
      <c r="B5493" s="155" t="s">
        <v>138</v>
      </c>
      <c r="C5493" s="155" t="s">
        <v>206</v>
      </c>
      <c r="D5493" s="156" t="s">
        <v>6293</v>
      </c>
      <c r="E5493" s="156" t="s">
        <v>6368</v>
      </c>
      <c r="F5493" s="156" t="s">
        <v>246</v>
      </c>
      <c r="G5493" s="156" t="s">
        <v>2067</v>
      </c>
      <c r="H5493" s="157" t="s">
        <v>213</v>
      </c>
    </row>
    <row r="5494" hidden="1">
      <c r="A5494" s="151" t="s">
        <v>228</v>
      </c>
      <c r="B5494" s="118" t="s">
        <v>138</v>
      </c>
      <c r="C5494" s="118" t="s">
        <v>206</v>
      </c>
      <c r="D5494" s="152" t="s">
        <v>6293</v>
      </c>
      <c r="E5494" s="152" t="s">
        <v>6369</v>
      </c>
      <c r="F5494" s="152" t="s">
        <v>276</v>
      </c>
      <c r="G5494" s="152" t="s">
        <v>2299</v>
      </c>
      <c r="H5494" s="153" t="s">
        <v>214</v>
      </c>
    </row>
    <row r="5495" hidden="1">
      <c r="A5495" s="154" t="s">
        <v>228</v>
      </c>
      <c r="B5495" s="155" t="s">
        <v>138</v>
      </c>
      <c r="C5495" s="155" t="s">
        <v>206</v>
      </c>
      <c r="D5495" s="156" t="s">
        <v>6293</v>
      </c>
      <c r="E5495" s="156" t="s">
        <v>6370</v>
      </c>
      <c r="F5495" s="156" t="s">
        <v>436</v>
      </c>
      <c r="G5495" s="156" t="s">
        <v>2730</v>
      </c>
      <c r="H5495" s="157" t="s">
        <v>215</v>
      </c>
    </row>
    <row r="5496" hidden="1">
      <c r="A5496" s="151" t="s">
        <v>228</v>
      </c>
      <c r="B5496" s="118" t="s">
        <v>138</v>
      </c>
      <c r="C5496" s="118" t="s">
        <v>206</v>
      </c>
      <c r="D5496" s="152" t="s">
        <v>6293</v>
      </c>
      <c r="E5496" s="152" t="s">
        <v>6371</v>
      </c>
      <c r="F5496" s="152" t="s">
        <v>436</v>
      </c>
      <c r="G5496" s="152" t="s">
        <v>2467</v>
      </c>
      <c r="H5496" s="153" t="s">
        <v>216</v>
      </c>
    </row>
    <row r="5497" hidden="1">
      <c r="A5497" s="154" t="s">
        <v>229</v>
      </c>
      <c r="B5497" s="155" t="s">
        <v>193</v>
      </c>
      <c r="C5497" s="155" t="s">
        <v>206</v>
      </c>
      <c r="D5497" s="156" t="s">
        <v>6293</v>
      </c>
      <c r="E5497" s="156" t="s">
        <v>6372</v>
      </c>
      <c r="F5497" s="156" t="s">
        <v>246</v>
      </c>
      <c r="G5497" s="156" t="s">
        <v>3237</v>
      </c>
      <c r="H5497" s="157" t="s">
        <v>210</v>
      </c>
    </row>
    <row r="5498" hidden="1">
      <c r="A5498" s="151" t="s">
        <v>229</v>
      </c>
      <c r="B5498" s="118" t="s">
        <v>193</v>
      </c>
      <c r="C5498" s="118" t="s">
        <v>206</v>
      </c>
      <c r="D5498" s="152" t="s">
        <v>6293</v>
      </c>
      <c r="E5498" s="152" t="s">
        <v>6373</v>
      </c>
      <c r="F5498" s="152" t="s">
        <v>323</v>
      </c>
      <c r="G5498" s="152" t="s">
        <v>3312</v>
      </c>
      <c r="H5498" s="153" t="s">
        <v>211</v>
      </c>
    </row>
    <row r="5499" hidden="1">
      <c r="A5499" s="154" t="s">
        <v>229</v>
      </c>
      <c r="B5499" s="155" t="s">
        <v>193</v>
      </c>
      <c r="C5499" s="155" t="s">
        <v>206</v>
      </c>
      <c r="D5499" s="156" t="s">
        <v>6293</v>
      </c>
      <c r="E5499" s="156" t="s">
        <v>6374</v>
      </c>
      <c r="F5499" s="156" t="s">
        <v>285</v>
      </c>
      <c r="G5499" s="156" t="s">
        <v>3523</v>
      </c>
      <c r="H5499" s="157" t="s">
        <v>212</v>
      </c>
    </row>
    <row r="5500" hidden="1">
      <c r="A5500" s="151" t="s">
        <v>229</v>
      </c>
      <c r="B5500" s="118" t="s">
        <v>193</v>
      </c>
      <c r="C5500" s="118" t="s">
        <v>206</v>
      </c>
      <c r="D5500" s="152" t="s">
        <v>6293</v>
      </c>
      <c r="E5500" s="152" t="s">
        <v>6375</v>
      </c>
      <c r="F5500" s="152" t="s">
        <v>357</v>
      </c>
      <c r="G5500" s="152" t="s">
        <v>3003</v>
      </c>
      <c r="H5500" s="153" t="s">
        <v>213</v>
      </c>
    </row>
    <row r="5501" hidden="1">
      <c r="A5501" s="154" t="s">
        <v>229</v>
      </c>
      <c r="B5501" s="155" t="s">
        <v>193</v>
      </c>
      <c r="C5501" s="155" t="s">
        <v>206</v>
      </c>
      <c r="D5501" s="156" t="s">
        <v>6293</v>
      </c>
      <c r="E5501" s="156" t="s">
        <v>6376</v>
      </c>
      <c r="F5501" s="156" t="s">
        <v>359</v>
      </c>
      <c r="G5501" s="156" t="s">
        <v>2602</v>
      </c>
      <c r="H5501" s="157" t="s">
        <v>214</v>
      </c>
    </row>
    <row r="5502" hidden="1">
      <c r="A5502" s="151" t="s">
        <v>229</v>
      </c>
      <c r="B5502" s="118" t="s">
        <v>193</v>
      </c>
      <c r="C5502" s="118" t="s">
        <v>206</v>
      </c>
      <c r="D5502" s="152" t="s">
        <v>6293</v>
      </c>
      <c r="E5502" s="152" t="s">
        <v>6377</v>
      </c>
      <c r="F5502" s="152" t="s">
        <v>308</v>
      </c>
      <c r="G5502" s="152" t="s">
        <v>2221</v>
      </c>
      <c r="H5502" s="153" t="s">
        <v>215</v>
      </c>
    </row>
    <row r="5503" hidden="1">
      <c r="A5503" s="154" t="s">
        <v>229</v>
      </c>
      <c r="B5503" s="155" t="s">
        <v>193</v>
      </c>
      <c r="C5503" s="155" t="s">
        <v>206</v>
      </c>
      <c r="D5503" s="156" t="s">
        <v>6293</v>
      </c>
      <c r="E5503" s="156" t="s">
        <v>6378</v>
      </c>
      <c r="F5503" s="156" t="s">
        <v>357</v>
      </c>
      <c r="G5503" s="156" t="s">
        <v>2281</v>
      </c>
      <c r="H5503" s="157" t="s">
        <v>216</v>
      </c>
    </row>
    <row r="5504" hidden="1">
      <c r="A5504" s="151" t="s">
        <v>230</v>
      </c>
      <c r="B5504" s="118" t="s">
        <v>194</v>
      </c>
      <c r="C5504" s="118" t="s">
        <v>206</v>
      </c>
      <c r="D5504" s="152" t="s">
        <v>6293</v>
      </c>
      <c r="E5504" s="152" t="s">
        <v>6379</v>
      </c>
      <c r="F5504" s="152" t="s">
        <v>534</v>
      </c>
      <c r="G5504" s="152" t="s">
        <v>3523</v>
      </c>
      <c r="H5504" s="153" t="s">
        <v>210</v>
      </c>
    </row>
    <row r="5505" hidden="1">
      <c r="A5505" s="154" t="s">
        <v>230</v>
      </c>
      <c r="B5505" s="155" t="s">
        <v>194</v>
      </c>
      <c r="C5505" s="155" t="s">
        <v>206</v>
      </c>
      <c r="D5505" s="156" t="s">
        <v>6293</v>
      </c>
      <c r="E5505" s="156" t="s">
        <v>6380</v>
      </c>
      <c r="F5505" s="156" t="s">
        <v>246</v>
      </c>
      <c r="G5505" s="156" t="s">
        <v>2283</v>
      </c>
      <c r="H5505" s="157" t="s">
        <v>211</v>
      </c>
    </row>
    <row r="5506" hidden="1">
      <c r="A5506" s="151" t="s">
        <v>230</v>
      </c>
      <c r="B5506" s="118" t="s">
        <v>194</v>
      </c>
      <c r="C5506" s="118" t="s">
        <v>206</v>
      </c>
      <c r="D5506" s="152" t="s">
        <v>6293</v>
      </c>
      <c r="E5506" s="152" t="s">
        <v>6381</v>
      </c>
      <c r="F5506" s="152" t="s">
        <v>269</v>
      </c>
      <c r="G5506" s="152" t="s">
        <v>4305</v>
      </c>
      <c r="H5506" s="153" t="s">
        <v>212</v>
      </c>
    </row>
    <row r="5507" hidden="1">
      <c r="A5507" s="154" t="s">
        <v>230</v>
      </c>
      <c r="B5507" s="155" t="s">
        <v>194</v>
      </c>
      <c r="C5507" s="155" t="s">
        <v>206</v>
      </c>
      <c r="D5507" s="156" t="s">
        <v>6293</v>
      </c>
      <c r="E5507" s="156" t="s">
        <v>6382</v>
      </c>
      <c r="F5507" s="156" t="s">
        <v>290</v>
      </c>
      <c r="G5507" s="156" t="s">
        <v>2818</v>
      </c>
      <c r="H5507" s="157" t="s">
        <v>213</v>
      </c>
    </row>
    <row r="5508" hidden="1">
      <c r="A5508" s="151" t="s">
        <v>230</v>
      </c>
      <c r="B5508" s="118" t="s">
        <v>194</v>
      </c>
      <c r="C5508" s="118" t="s">
        <v>206</v>
      </c>
      <c r="D5508" s="152" t="s">
        <v>6293</v>
      </c>
      <c r="E5508" s="152" t="s">
        <v>6383</v>
      </c>
      <c r="F5508" s="152" t="s">
        <v>314</v>
      </c>
      <c r="G5508" s="152" t="s">
        <v>3570</v>
      </c>
      <c r="H5508" s="153" t="s">
        <v>214</v>
      </c>
    </row>
    <row r="5509" hidden="1">
      <c r="A5509" s="154" t="s">
        <v>230</v>
      </c>
      <c r="B5509" s="155" t="s">
        <v>194</v>
      </c>
      <c r="C5509" s="155" t="s">
        <v>206</v>
      </c>
      <c r="D5509" s="156" t="s">
        <v>6293</v>
      </c>
      <c r="E5509" s="156" t="s">
        <v>6384</v>
      </c>
      <c r="F5509" s="156" t="s">
        <v>257</v>
      </c>
      <c r="G5509" s="156" t="s">
        <v>2109</v>
      </c>
      <c r="H5509" s="157" t="s">
        <v>215</v>
      </c>
    </row>
    <row r="5510" hidden="1">
      <c r="A5510" s="151" t="s">
        <v>230</v>
      </c>
      <c r="B5510" s="118" t="s">
        <v>194</v>
      </c>
      <c r="C5510" s="118" t="s">
        <v>206</v>
      </c>
      <c r="D5510" s="152" t="s">
        <v>6293</v>
      </c>
      <c r="E5510" s="152" t="s">
        <v>6385</v>
      </c>
      <c r="F5510" s="152" t="s">
        <v>359</v>
      </c>
      <c r="G5510" s="152" t="s">
        <v>2661</v>
      </c>
      <c r="H5510" s="153" t="s">
        <v>216</v>
      </c>
    </row>
    <row r="5511" hidden="1">
      <c r="A5511" s="158" t="s">
        <v>231</v>
      </c>
      <c r="B5511" s="159"/>
      <c r="C5511" s="155" t="s">
        <v>232</v>
      </c>
      <c r="D5511" s="156" t="s">
        <v>6293</v>
      </c>
      <c r="E5511" s="156" t="s">
        <v>6386</v>
      </c>
      <c r="F5511" s="156" t="s">
        <v>204</v>
      </c>
      <c r="G5511" s="156" t="s">
        <v>4509</v>
      </c>
      <c r="H5511" s="157" t="s">
        <v>210</v>
      </c>
    </row>
    <row r="5512" hidden="1">
      <c r="A5512" s="160" t="s">
        <v>231</v>
      </c>
      <c r="B5512" s="72"/>
      <c r="C5512" s="118" t="s">
        <v>232</v>
      </c>
      <c r="D5512" s="152" t="s">
        <v>6293</v>
      </c>
      <c r="E5512" s="152" t="s">
        <v>6387</v>
      </c>
      <c r="F5512" s="152" t="s">
        <v>269</v>
      </c>
      <c r="G5512" s="152" t="s">
        <v>4031</v>
      </c>
      <c r="H5512" s="153" t="s">
        <v>211</v>
      </c>
    </row>
    <row r="5513" hidden="1">
      <c r="A5513" s="158" t="s">
        <v>231</v>
      </c>
      <c r="B5513" s="159"/>
      <c r="C5513" s="155" t="s">
        <v>232</v>
      </c>
      <c r="D5513" s="156" t="s">
        <v>6293</v>
      </c>
      <c r="E5513" s="156" t="s">
        <v>6388</v>
      </c>
      <c r="F5513" s="156" t="s">
        <v>285</v>
      </c>
      <c r="G5513" s="156" t="s">
        <v>4905</v>
      </c>
      <c r="H5513" s="157" t="s">
        <v>212</v>
      </c>
    </row>
    <row r="5514" hidden="1">
      <c r="A5514" s="160" t="s">
        <v>231</v>
      </c>
      <c r="B5514" s="72"/>
      <c r="C5514" s="118" t="s">
        <v>232</v>
      </c>
      <c r="D5514" s="152" t="s">
        <v>6293</v>
      </c>
      <c r="E5514" s="152" t="s">
        <v>6389</v>
      </c>
      <c r="F5514" s="152" t="s">
        <v>492</v>
      </c>
      <c r="G5514" s="152" t="s">
        <v>4231</v>
      </c>
      <c r="H5514" s="153" t="s">
        <v>213</v>
      </c>
    </row>
    <row r="5515" hidden="1">
      <c r="A5515" s="158" t="s">
        <v>231</v>
      </c>
      <c r="B5515" s="159"/>
      <c r="C5515" s="155" t="s">
        <v>232</v>
      </c>
      <c r="D5515" s="156" t="s">
        <v>6293</v>
      </c>
      <c r="E5515" s="156" t="s">
        <v>6390</v>
      </c>
      <c r="F5515" s="156" t="s">
        <v>427</v>
      </c>
      <c r="G5515" s="156" t="s">
        <v>6391</v>
      </c>
      <c r="H5515" s="157" t="s">
        <v>214</v>
      </c>
    </row>
    <row r="5516" hidden="1">
      <c r="A5516" s="160" t="s">
        <v>231</v>
      </c>
      <c r="B5516" s="72"/>
      <c r="C5516" s="118" t="s">
        <v>232</v>
      </c>
      <c r="D5516" s="152" t="s">
        <v>6293</v>
      </c>
      <c r="E5516" s="152" t="s">
        <v>6392</v>
      </c>
      <c r="F5516" s="152" t="s">
        <v>718</v>
      </c>
      <c r="G5516" s="152" t="s">
        <v>3368</v>
      </c>
      <c r="H5516" s="153" t="s">
        <v>215</v>
      </c>
    </row>
    <row r="5517" hidden="1">
      <c r="A5517" s="158" t="s">
        <v>231</v>
      </c>
      <c r="B5517" s="159"/>
      <c r="C5517" s="155" t="s">
        <v>232</v>
      </c>
      <c r="D5517" s="156" t="s">
        <v>6293</v>
      </c>
      <c r="E5517" s="156" t="s">
        <v>6393</v>
      </c>
      <c r="F5517" s="156" t="s">
        <v>259</v>
      </c>
      <c r="G5517" s="156" t="s">
        <v>4223</v>
      </c>
      <c r="H5517" s="157" t="s">
        <v>216</v>
      </c>
    </row>
    <row r="5518" hidden="1">
      <c r="A5518" s="160" t="s">
        <v>233</v>
      </c>
      <c r="B5518" s="72"/>
      <c r="C5518" s="118" t="s">
        <v>232</v>
      </c>
      <c r="D5518" s="152" t="s">
        <v>6293</v>
      </c>
      <c r="E5518" s="152" t="s">
        <v>6394</v>
      </c>
      <c r="F5518" s="152" t="s">
        <v>359</v>
      </c>
      <c r="G5518" s="152" t="s">
        <v>2224</v>
      </c>
      <c r="H5518" s="153" t="s">
        <v>210</v>
      </c>
    </row>
    <row r="5519" hidden="1">
      <c r="A5519" s="158" t="s">
        <v>233</v>
      </c>
      <c r="B5519" s="159"/>
      <c r="C5519" s="155" t="s">
        <v>232</v>
      </c>
      <c r="D5519" s="156" t="s">
        <v>6293</v>
      </c>
      <c r="E5519" s="156" t="s">
        <v>6395</v>
      </c>
      <c r="F5519" s="156" t="s">
        <v>331</v>
      </c>
      <c r="G5519" s="156" t="s">
        <v>3443</v>
      </c>
      <c r="H5519" s="157" t="s">
        <v>211</v>
      </c>
    </row>
    <row r="5520" hidden="1">
      <c r="A5520" s="160" t="s">
        <v>233</v>
      </c>
      <c r="B5520" s="72"/>
      <c r="C5520" s="118" t="s">
        <v>232</v>
      </c>
      <c r="D5520" s="152" t="s">
        <v>6293</v>
      </c>
      <c r="E5520" s="152" t="s">
        <v>6396</v>
      </c>
      <c r="F5520" s="152" t="s">
        <v>308</v>
      </c>
      <c r="G5520" s="152" t="s">
        <v>3572</v>
      </c>
      <c r="H5520" s="153" t="s">
        <v>212</v>
      </c>
    </row>
    <row r="5521" hidden="1">
      <c r="A5521" s="158" t="s">
        <v>233</v>
      </c>
      <c r="B5521" s="159"/>
      <c r="C5521" s="155" t="s">
        <v>232</v>
      </c>
      <c r="D5521" s="156" t="s">
        <v>6293</v>
      </c>
      <c r="E5521" s="156" t="s">
        <v>6397</v>
      </c>
      <c r="F5521" s="156" t="s">
        <v>321</v>
      </c>
      <c r="G5521" s="156" t="s">
        <v>3478</v>
      </c>
      <c r="H5521" s="157" t="s">
        <v>213</v>
      </c>
    </row>
    <row r="5522" hidden="1">
      <c r="A5522" s="160" t="s">
        <v>233</v>
      </c>
      <c r="B5522" s="72"/>
      <c r="C5522" s="118" t="s">
        <v>232</v>
      </c>
      <c r="D5522" s="152" t="s">
        <v>6293</v>
      </c>
      <c r="E5522" s="152" t="s">
        <v>6398</v>
      </c>
      <c r="F5522" s="152" t="s">
        <v>321</v>
      </c>
      <c r="G5522" s="152" t="s">
        <v>3207</v>
      </c>
      <c r="H5522" s="153" t="s">
        <v>214</v>
      </c>
    </row>
    <row r="5523" hidden="1">
      <c r="A5523" s="158" t="s">
        <v>233</v>
      </c>
      <c r="B5523" s="159"/>
      <c r="C5523" s="155" t="s">
        <v>232</v>
      </c>
      <c r="D5523" s="156" t="s">
        <v>6293</v>
      </c>
      <c r="E5523" s="156" t="s">
        <v>6399</v>
      </c>
      <c r="F5523" s="156" t="s">
        <v>310</v>
      </c>
      <c r="G5523" s="156" t="s">
        <v>3513</v>
      </c>
      <c r="H5523" s="157" t="s">
        <v>215</v>
      </c>
    </row>
    <row r="5524" hidden="1">
      <c r="A5524" s="160" t="s">
        <v>233</v>
      </c>
      <c r="B5524" s="72"/>
      <c r="C5524" s="118" t="s">
        <v>232</v>
      </c>
      <c r="D5524" s="152" t="s">
        <v>6293</v>
      </c>
      <c r="E5524" s="152" t="s">
        <v>6400</v>
      </c>
      <c r="F5524" s="152" t="s">
        <v>321</v>
      </c>
      <c r="G5524" s="152" t="s">
        <v>3691</v>
      </c>
      <c r="H5524" s="153" t="s">
        <v>216</v>
      </c>
    </row>
    <row r="5525" hidden="1">
      <c r="A5525" s="158" t="s">
        <v>234</v>
      </c>
      <c r="B5525" s="159"/>
      <c r="C5525" s="155" t="s">
        <v>232</v>
      </c>
      <c r="D5525" s="156" t="s">
        <v>6293</v>
      </c>
      <c r="E5525" s="156" t="s">
        <v>6401</v>
      </c>
      <c r="F5525" s="156" t="s">
        <v>262</v>
      </c>
      <c r="G5525" s="156" t="s">
        <v>1827</v>
      </c>
      <c r="H5525" s="157" t="s">
        <v>210</v>
      </c>
    </row>
    <row r="5526" hidden="1">
      <c r="A5526" s="160" t="s">
        <v>234</v>
      </c>
      <c r="B5526" s="72"/>
      <c r="C5526" s="118" t="s">
        <v>232</v>
      </c>
      <c r="D5526" s="152" t="s">
        <v>6293</v>
      </c>
      <c r="E5526" s="152" t="s">
        <v>6402</v>
      </c>
      <c r="F5526" s="152" t="s">
        <v>262</v>
      </c>
      <c r="G5526" s="152" t="s">
        <v>1852</v>
      </c>
      <c r="H5526" s="153" t="s">
        <v>211</v>
      </c>
    </row>
    <row r="5527" hidden="1">
      <c r="A5527" s="158" t="s">
        <v>234</v>
      </c>
      <c r="B5527" s="159"/>
      <c r="C5527" s="155" t="s">
        <v>232</v>
      </c>
      <c r="D5527" s="156" t="s">
        <v>6293</v>
      </c>
      <c r="E5527" s="156" t="s">
        <v>6403</v>
      </c>
      <c r="F5527" s="156" t="s">
        <v>298</v>
      </c>
      <c r="G5527" s="156" t="s">
        <v>1808</v>
      </c>
      <c r="H5527" s="157" t="s">
        <v>212</v>
      </c>
    </row>
    <row r="5528" hidden="1">
      <c r="A5528" s="160" t="s">
        <v>234</v>
      </c>
      <c r="B5528" s="72"/>
      <c r="C5528" s="118" t="s">
        <v>232</v>
      </c>
      <c r="D5528" s="152" t="s">
        <v>6293</v>
      </c>
      <c r="E5528" s="152" t="s">
        <v>6404</v>
      </c>
      <c r="F5528" s="152" t="s">
        <v>262</v>
      </c>
      <c r="G5528" s="152" t="s">
        <v>1885</v>
      </c>
      <c r="H5528" s="153" t="s">
        <v>213</v>
      </c>
    </row>
    <row r="5529" hidden="1">
      <c r="A5529" s="158" t="s">
        <v>234</v>
      </c>
      <c r="B5529" s="159"/>
      <c r="C5529" s="155" t="s">
        <v>232</v>
      </c>
      <c r="D5529" s="156" t="s">
        <v>6293</v>
      </c>
      <c r="E5529" s="156" t="s">
        <v>6405</v>
      </c>
      <c r="F5529" s="156" t="s">
        <v>259</v>
      </c>
      <c r="G5529" s="156" t="s">
        <v>1979</v>
      </c>
      <c r="H5529" s="157" t="s">
        <v>214</v>
      </c>
    </row>
    <row r="5530" hidden="1">
      <c r="A5530" s="160" t="s">
        <v>234</v>
      </c>
      <c r="B5530" s="72"/>
      <c r="C5530" s="118" t="s">
        <v>232</v>
      </c>
      <c r="D5530" s="152" t="s">
        <v>6293</v>
      </c>
      <c r="E5530" s="152" t="s">
        <v>6406</v>
      </c>
      <c r="F5530" s="152" t="s">
        <v>298</v>
      </c>
      <c r="G5530" s="152" t="s">
        <v>2730</v>
      </c>
      <c r="H5530" s="153" t="s">
        <v>215</v>
      </c>
    </row>
    <row r="5531" hidden="1">
      <c r="A5531" s="158" t="s">
        <v>234</v>
      </c>
      <c r="B5531" s="159"/>
      <c r="C5531" s="155" t="s">
        <v>232</v>
      </c>
      <c r="D5531" s="156" t="s">
        <v>6293</v>
      </c>
      <c r="E5531" s="156" t="s">
        <v>6407</v>
      </c>
      <c r="F5531" s="156" t="s">
        <v>262</v>
      </c>
      <c r="G5531" s="156" t="s">
        <v>1846</v>
      </c>
      <c r="H5531" s="157" t="s">
        <v>216</v>
      </c>
    </row>
    <row r="5532" hidden="1">
      <c r="A5532" s="160" t="s">
        <v>235</v>
      </c>
      <c r="B5532" s="72"/>
      <c r="C5532" s="118" t="s">
        <v>236</v>
      </c>
      <c r="D5532" s="152" t="s">
        <v>6293</v>
      </c>
      <c r="E5532" s="152" t="s">
        <v>6408</v>
      </c>
      <c r="F5532" s="152" t="s">
        <v>323</v>
      </c>
      <c r="G5532" s="152" t="s">
        <v>3203</v>
      </c>
      <c r="H5532" s="153" t="s">
        <v>210</v>
      </c>
    </row>
    <row r="5533" hidden="1">
      <c r="A5533" s="158" t="s">
        <v>235</v>
      </c>
      <c r="B5533" s="159"/>
      <c r="C5533" s="155" t="s">
        <v>236</v>
      </c>
      <c r="D5533" s="156" t="s">
        <v>6293</v>
      </c>
      <c r="E5533" s="156" t="s">
        <v>6409</v>
      </c>
      <c r="F5533" s="156" t="s">
        <v>321</v>
      </c>
      <c r="G5533" s="156" t="s">
        <v>3262</v>
      </c>
      <c r="H5533" s="157" t="s">
        <v>211</v>
      </c>
    </row>
    <row r="5534" hidden="1">
      <c r="A5534" s="160" t="s">
        <v>235</v>
      </c>
      <c r="B5534" s="72"/>
      <c r="C5534" s="118" t="s">
        <v>236</v>
      </c>
      <c r="D5534" s="152" t="s">
        <v>6293</v>
      </c>
      <c r="E5534" s="152" t="s">
        <v>6410</v>
      </c>
      <c r="F5534" s="152" t="s">
        <v>249</v>
      </c>
      <c r="G5534" s="152" t="s">
        <v>2348</v>
      </c>
      <c r="H5534" s="153" t="s">
        <v>212</v>
      </c>
    </row>
    <row r="5535" hidden="1">
      <c r="A5535" s="158" t="s">
        <v>235</v>
      </c>
      <c r="B5535" s="159"/>
      <c r="C5535" s="155" t="s">
        <v>236</v>
      </c>
      <c r="D5535" s="156" t="s">
        <v>6293</v>
      </c>
      <c r="E5535" s="156" t="s">
        <v>6411</v>
      </c>
      <c r="F5535" s="156" t="s">
        <v>285</v>
      </c>
      <c r="G5535" s="156" t="s">
        <v>3908</v>
      </c>
      <c r="H5535" s="157" t="s">
        <v>213</v>
      </c>
    </row>
    <row r="5536" hidden="1">
      <c r="A5536" s="160" t="s">
        <v>235</v>
      </c>
      <c r="B5536" s="72"/>
      <c r="C5536" s="118" t="s">
        <v>236</v>
      </c>
      <c r="D5536" s="152" t="s">
        <v>6293</v>
      </c>
      <c r="E5536" s="152" t="s">
        <v>6412</v>
      </c>
      <c r="F5536" s="152" t="s">
        <v>249</v>
      </c>
      <c r="G5536" s="152" t="s">
        <v>3262</v>
      </c>
      <c r="H5536" s="153" t="s">
        <v>214</v>
      </c>
    </row>
    <row r="5537" hidden="1">
      <c r="A5537" s="158" t="s">
        <v>235</v>
      </c>
      <c r="B5537" s="159"/>
      <c r="C5537" s="155" t="s">
        <v>236</v>
      </c>
      <c r="D5537" s="156" t="s">
        <v>6293</v>
      </c>
      <c r="E5537" s="156" t="s">
        <v>6413</v>
      </c>
      <c r="F5537" s="156" t="s">
        <v>339</v>
      </c>
      <c r="G5537" s="156" t="s">
        <v>3154</v>
      </c>
      <c r="H5537" s="157" t="s">
        <v>215</v>
      </c>
    </row>
    <row r="5538" hidden="1">
      <c r="A5538" s="160" t="s">
        <v>235</v>
      </c>
      <c r="B5538" s="72"/>
      <c r="C5538" s="118" t="s">
        <v>236</v>
      </c>
      <c r="D5538" s="152" t="s">
        <v>6293</v>
      </c>
      <c r="E5538" s="152" t="s">
        <v>6414</v>
      </c>
      <c r="F5538" s="152" t="s">
        <v>359</v>
      </c>
      <c r="G5538" s="152" t="s">
        <v>3908</v>
      </c>
      <c r="H5538" s="153" t="s">
        <v>216</v>
      </c>
    </row>
    <row r="5539" hidden="1">
      <c r="A5539" s="158" t="s">
        <v>237</v>
      </c>
      <c r="B5539" s="159"/>
      <c r="C5539" s="155" t="s">
        <v>236</v>
      </c>
      <c r="D5539" s="156" t="s">
        <v>6293</v>
      </c>
      <c r="E5539" s="156" t="s">
        <v>6415</v>
      </c>
      <c r="F5539" s="156" t="s">
        <v>259</v>
      </c>
      <c r="G5539" s="156" t="s">
        <v>2401</v>
      </c>
      <c r="H5539" s="157" t="s">
        <v>210</v>
      </c>
    </row>
    <row r="5540" hidden="1">
      <c r="A5540" s="160" t="s">
        <v>237</v>
      </c>
      <c r="B5540" s="72"/>
      <c r="C5540" s="118" t="s">
        <v>236</v>
      </c>
      <c r="D5540" s="152" t="s">
        <v>6293</v>
      </c>
      <c r="E5540" s="152" t="s">
        <v>6416</v>
      </c>
      <c r="F5540" s="152" t="s">
        <v>240</v>
      </c>
      <c r="G5540" s="152" t="s">
        <v>2379</v>
      </c>
      <c r="H5540" s="153" t="s">
        <v>211</v>
      </c>
    </row>
    <row r="5541" hidden="1">
      <c r="A5541" s="158" t="s">
        <v>237</v>
      </c>
      <c r="B5541" s="159"/>
      <c r="C5541" s="155" t="s">
        <v>236</v>
      </c>
      <c r="D5541" s="156" t="s">
        <v>6293</v>
      </c>
      <c r="E5541" s="156" t="s">
        <v>6417</v>
      </c>
      <c r="F5541" s="156" t="s">
        <v>492</v>
      </c>
      <c r="G5541" s="156" t="s">
        <v>2718</v>
      </c>
      <c r="H5541" s="157" t="s">
        <v>212</v>
      </c>
    </row>
    <row r="5542" hidden="1">
      <c r="A5542" s="160" t="s">
        <v>237</v>
      </c>
      <c r="B5542" s="72"/>
      <c r="C5542" s="118" t="s">
        <v>236</v>
      </c>
      <c r="D5542" s="152" t="s">
        <v>6293</v>
      </c>
      <c r="E5542" s="152" t="s">
        <v>6418</v>
      </c>
      <c r="F5542" s="152" t="s">
        <v>255</v>
      </c>
      <c r="G5542" s="152" t="s">
        <v>2364</v>
      </c>
      <c r="H5542" s="153" t="s">
        <v>213</v>
      </c>
    </row>
    <row r="5543" hidden="1">
      <c r="A5543" s="158" t="s">
        <v>237</v>
      </c>
      <c r="B5543" s="159"/>
      <c r="C5543" s="155" t="s">
        <v>236</v>
      </c>
      <c r="D5543" s="156" t="s">
        <v>6293</v>
      </c>
      <c r="E5543" s="156" t="s">
        <v>6419</v>
      </c>
      <c r="F5543" s="156" t="s">
        <v>287</v>
      </c>
      <c r="G5543" s="156" t="s">
        <v>2790</v>
      </c>
      <c r="H5543" s="157" t="s">
        <v>214</v>
      </c>
    </row>
    <row r="5544" hidden="1">
      <c r="A5544" s="160" t="s">
        <v>237</v>
      </c>
      <c r="B5544" s="72"/>
      <c r="C5544" s="118" t="s">
        <v>236</v>
      </c>
      <c r="D5544" s="152" t="s">
        <v>6293</v>
      </c>
      <c r="E5544" s="152" t="s">
        <v>6420</v>
      </c>
      <c r="F5544" s="152" t="s">
        <v>301</v>
      </c>
      <c r="G5544" s="152" t="s">
        <v>1957</v>
      </c>
      <c r="H5544" s="153" t="s">
        <v>215</v>
      </c>
    </row>
    <row r="5545" hidden="1">
      <c r="A5545" s="158" t="s">
        <v>237</v>
      </c>
      <c r="B5545" s="159"/>
      <c r="C5545" s="155" t="s">
        <v>236</v>
      </c>
      <c r="D5545" s="156" t="s">
        <v>6293</v>
      </c>
      <c r="E5545" s="156" t="s">
        <v>6421</v>
      </c>
      <c r="F5545" s="156" t="s">
        <v>301</v>
      </c>
      <c r="G5545" s="156" t="s">
        <v>1820</v>
      </c>
      <c r="H5545" s="157" t="s">
        <v>216</v>
      </c>
    </row>
    <row r="5546" hidden="1">
      <c r="A5546" s="151" t="s">
        <v>204</v>
      </c>
      <c r="B5546" s="118" t="s">
        <v>205</v>
      </c>
      <c r="C5546" s="118" t="s">
        <v>206</v>
      </c>
      <c r="D5546" s="152" t="s">
        <v>6422</v>
      </c>
      <c r="E5546" s="152" t="s">
        <v>6423</v>
      </c>
      <c r="F5546" s="152" t="s">
        <v>331</v>
      </c>
      <c r="G5546" s="152" t="s">
        <v>3389</v>
      </c>
      <c r="H5546" s="153" t="s">
        <v>210</v>
      </c>
    </row>
    <row r="5547" hidden="1">
      <c r="A5547" s="154" t="s">
        <v>204</v>
      </c>
      <c r="B5547" s="155" t="s">
        <v>205</v>
      </c>
      <c r="C5547" s="155" t="s">
        <v>206</v>
      </c>
      <c r="D5547" s="156" t="s">
        <v>6422</v>
      </c>
      <c r="E5547" s="156" t="s">
        <v>6424</v>
      </c>
      <c r="F5547" s="156" t="s">
        <v>249</v>
      </c>
      <c r="G5547" s="156" t="s">
        <v>2383</v>
      </c>
      <c r="H5547" s="157" t="s">
        <v>211</v>
      </c>
    </row>
    <row r="5548" hidden="1">
      <c r="A5548" s="151" t="s">
        <v>204</v>
      </c>
      <c r="B5548" s="118" t="s">
        <v>205</v>
      </c>
      <c r="C5548" s="118" t="s">
        <v>206</v>
      </c>
      <c r="D5548" s="152" t="s">
        <v>6422</v>
      </c>
      <c r="E5548" s="152" t="s">
        <v>6425</v>
      </c>
      <c r="F5548" s="152" t="s">
        <v>359</v>
      </c>
      <c r="G5548" s="152" t="s">
        <v>2115</v>
      </c>
      <c r="H5548" s="153" t="s">
        <v>212</v>
      </c>
    </row>
    <row r="5549" hidden="1">
      <c r="A5549" s="154" t="s">
        <v>204</v>
      </c>
      <c r="B5549" s="155" t="s">
        <v>205</v>
      </c>
      <c r="C5549" s="155" t="s">
        <v>206</v>
      </c>
      <c r="D5549" s="156" t="s">
        <v>6422</v>
      </c>
      <c r="E5549" s="156" t="s">
        <v>6426</v>
      </c>
      <c r="F5549" s="156" t="s">
        <v>249</v>
      </c>
      <c r="G5549" s="156" t="s">
        <v>3380</v>
      </c>
      <c r="H5549" s="157" t="s">
        <v>213</v>
      </c>
    </row>
    <row r="5550" hidden="1">
      <c r="A5550" s="151" t="s">
        <v>204</v>
      </c>
      <c r="B5550" s="118" t="s">
        <v>205</v>
      </c>
      <c r="C5550" s="118" t="s">
        <v>206</v>
      </c>
      <c r="D5550" s="152" t="s">
        <v>6422</v>
      </c>
      <c r="E5550" s="152" t="s">
        <v>6427</v>
      </c>
      <c r="F5550" s="152" t="s">
        <v>308</v>
      </c>
      <c r="G5550" s="152" t="s">
        <v>2387</v>
      </c>
      <c r="H5550" s="153" t="s">
        <v>214</v>
      </c>
    </row>
    <row r="5551" hidden="1">
      <c r="A5551" s="154" t="s">
        <v>204</v>
      </c>
      <c r="B5551" s="155" t="s">
        <v>205</v>
      </c>
      <c r="C5551" s="155" t="s">
        <v>206</v>
      </c>
      <c r="D5551" s="156" t="s">
        <v>6422</v>
      </c>
      <c r="E5551" s="156" t="s">
        <v>6428</v>
      </c>
      <c r="F5551" s="156" t="s">
        <v>290</v>
      </c>
      <c r="G5551" s="156" t="s">
        <v>3356</v>
      </c>
      <c r="H5551" s="157" t="s">
        <v>215</v>
      </c>
    </row>
    <row r="5552" hidden="1">
      <c r="A5552" s="151" t="s">
        <v>204</v>
      </c>
      <c r="B5552" s="118" t="s">
        <v>205</v>
      </c>
      <c r="C5552" s="118" t="s">
        <v>206</v>
      </c>
      <c r="D5552" s="152" t="s">
        <v>6422</v>
      </c>
      <c r="E5552" s="152" t="s">
        <v>6429</v>
      </c>
      <c r="F5552" s="152" t="s">
        <v>308</v>
      </c>
      <c r="G5552" s="152" t="s">
        <v>3230</v>
      </c>
      <c r="H5552" s="153" t="s">
        <v>216</v>
      </c>
    </row>
    <row r="5553" hidden="1">
      <c r="A5553" s="154" t="s">
        <v>217</v>
      </c>
      <c r="B5553" s="155" t="s">
        <v>191</v>
      </c>
      <c r="C5553" s="155" t="s">
        <v>206</v>
      </c>
      <c r="D5553" s="156" t="s">
        <v>6422</v>
      </c>
      <c r="E5553" s="156" t="s">
        <v>6430</v>
      </c>
      <c r="F5553" s="156" t="s">
        <v>450</v>
      </c>
      <c r="G5553" s="156" t="s">
        <v>2279</v>
      </c>
      <c r="H5553" s="157" t="s">
        <v>210</v>
      </c>
    </row>
    <row r="5554" hidden="1">
      <c r="A5554" s="151" t="s">
        <v>217</v>
      </c>
      <c r="B5554" s="118" t="s">
        <v>191</v>
      </c>
      <c r="C5554" s="118" t="s">
        <v>206</v>
      </c>
      <c r="D5554" s="152" t="s">
        <v>6422</v>
      </c>
      <c r="E5554" s="152" t="s">
        <v>6431</v>
      </c>
      <c r="F5554" s="152" t="s">
        <v>339</v>
      </c>
      <c r="G5554" s="152" t="s">
        <v>3115</v>
      </c>
      <c r="H5554" s="153" t="s">
        <v>211</v>
      </c>
    </row>
    <row r="5555" hidden="1">
      <c r="A5555" s="154" t="s">
        <v>217</v>
      </c>
      <c r="B5555" s="155" t="s">
        <v>191</v>
      </c>
      <c r="C5555" s="155" t="s">
        <v>206</v>
      </c>
      <c r="D5555" s="156" t="s">
        <v>6422</v>
      </c>
      <c r="E5555" s="156" t="s">
        <v>6432</v>
      </c>
      <c r="F5555" s="156" t="s">
        <v>290</v>
      </c>
      <c r="G5555" s="156" t="s">
        <v>2824</v>
      </c>
      <c r="H5555" s="157" t="s">
        <v>212</v>
      </c>
    </row>
    <row r="5556" hidden="1">
      <c r="A5556" s="151" t="s">
        <v>217</v>
      </c>
      <c r="B5556" s="118" t="s">
        <v>191</v>
      </c>
      <c r="C5556" s="118" t="s">
        <v>206</v>
      </c>
      <c r="D5556" s="152" t="s">
        <v>6422</v>
      </c>
      <c r="E5556" s="152" t="s">
        <v>6433</v>
      </c>
      <c r="F5556" s="152" t="s">
        <v>308</v>
      </c>
      <c r="G5556" s="152" t="s">
        <v>2224</v>
      </c>
      <c r="H5556" s="153" t="s">
        <v>213</v>
      </c>
    </row>
    <row r="5557" hidden="1">
      <c r="A5557" s="154" t="s">
        <v>217</v>
      </c>
      <c r="B5557" s="155" t="s">
        <v>191</v>
      </c>
      <c r="C5557" s="155" t="s">
        <v>206</v>
      </c>
      <c r="D5557" s="156" t="s">
        <v>6422</v>
      </c>
      <c r="E5557" s="156" t="s">
        <v>6434</v>
      </c>
      <c r="F5557" s="156" t="s">
        <v>351</v>
      </c>
      <c r="G5557" s="156" t="s">
        <v>2279</v>
      </c>
      <c r="H5557" s="157" t="s">
        <v>214</v>
      </c>
    </row>
    <row r="5558" hidden="1">
      <c r="A5558" s="151" t="s">
        <v>217</v>
      </c>
      <c r="B5558" s="118" t="s">
        <v>191</v>
      </c>
      <c r="C5558" s="118" t="s">
        <v>206</v>
      </c>
      <c r="D5558" s="152" t="s">
        <v>6422</v>
      </c>
      <c r="E5558" s="152" t="s">
        <v>6435</v>
      </c>
      <c r="F5558" s="152" t="s">
        <v>427</v>
      </c>
      <c r="G5558" s="152" t="s">
        <v>2383</v>
      </c>
      <c r="H5558" s="153" t="s">
        <v>215</v>
      </c>
    </row>
    <row r="5559" hidden="1">
      <c r="A5559" s="154" t="s">
        <v>217</v>
      </c>
      <c r="B5559" s="155" t="s">
        <v>191</v>
      </c>
      <c r="C5559" s="155" t="s">
        <v>206</v>
      </c>
      <c r="D5559" s="156" t="s">
        <v>6422</v>
      </c>
      <c r="E5559" s="156" t="s">
        <v>6436</v>
      </c>
      <c r="F5559" s="156" t="s">
        <v>427</v>
      </c>
      <c r="G5559" s="156" t="s">
        <v>2224</v>
      </c>
      <c r="H5559" s="157" t="s">
        <v>216</v>
      </c>
    </row>
    <row r="5560" hidden="1">
      <c r="A5560" s="151" t="s">
        <v>218</v>
      </c>
      <c r="B5560" s="118" t="s">
        <v>219</v>
      </c>
      <c r="C5560" s="118" t="s">
        <v>206</v>
      </c>
      <c r="D5560" s="152" t="s">
        <v>6422</v>
      </c>
      <c r="E5560" s="152" t="s">
        <v>6437</v>
      </c>
      <c r="F5560" s="152" t="s">
        <v>257</v>
      </c>
      <c r="G5560" s="152" t="s">
        <v>2910</v>
      </c>
      <c r="H5560" s="153" t="s">
        <v>210</v>
      </c>
    </row>
    <row r="5561" hidden="1">
      <c r="A5561" s="154" t="s">
        <v>218</v>
      </c>
      <c r="B5561" s="155" t="s">
        <v>219</v>
      </c>
      <c r="C5561" s="155" t="s">
        <v>206</v>
      </c>
      <c r="D5561" s="156" t="s">
        <v>6422</v>
      </c>
      <c r="E5561" s="156" t="s">
        <v>6438</v>
      </c>
      <c r="F5561" s="156" t="s">
        <v>301</v>
      </c>
      <c r="G5561" s="156" t="s">
        <v>3384</v>
      </c>
      <c r="H5561" s="157" t="s">
        <v>211</v>
      </c>
    </row>
    <row r="5562" hidden="1">
      <c r="A5562" s="151" t="s">
        <v>218</v>
      </c>
      <c r="B5562" s="118" t="s">
        <v>219</v>
      </c>
      <c r="C5562" s="118" t="s">
        <v>206</v>
      </c>
      <c r="D5562" s="152" t="s">
        <v>6422</v>
      </c>
      <c r="E5562" s="152" t="s">
        <v>6439</v>
      </c>
      <c r="F5562" s="152" t="s">
        <v>244</v>
      </c>
      <c r="G5562" s="152" t="s">
        <v>1782</v>
      </c>
      <c r="H5562" s="153" t="s">
        <v>212</v>
      </c>
    </row>
    <row r="5563" hidden="1">
      <c r="A5563" s="154" t="s">
        <v>218</v>
      </c>
      <c r="B5563" s="155" t="s">
        <v>219</v>
      </c>
      <c r="C5563" s="155" t="s">
        <v>206</v>
      </c>
      <c r="D5563" s="156" t="s">
        <v>6422</v>
      </c>
      <c r="E5563" s="156" t="s">
        <v>6440</v>
      </c>
      <c r="F5563" s="156" t="s">
        <v>255</v>
      </c>
      <c r="G5563" s="156" t="s">
        <v>4013</v>
      </c>
      <c r="H5563" s="157" t="s">
        <v>213</v>
      </c>
    </row>
    <row r="5564" hidden="1">
      <c r="A5564" s="151" t="s">
        <v>218</v>
      </c>
      <c r="B5564" s="118" t="s">
        <v>219</v>
      </c>
      <c r="C5564" s="118" t="s">
        <v>206</v>
      </c>
      <c r="D5564" s="152" t="s">
        <v>6422</v>
      </c>
      <c r="E5564" s="152" t="s">
        <v>6441</v>
      </c>
      <c r="F5564" s="152" t="s">
        <v>255</v>
      </c>
      <c r="G5564" s="152" t="s">
        <v>3396</v>
      </c>
      <c r="H5564" s="153" t="s">
        <v>214</v>
      </c>
    </row>
    <row r="5565" hidden="1">
      <c r="A5565" s="154" t="s">
        <v>218</v>
      </c>
      <c r="B5565" s="155" t="s">
        <v>219</v>
      </c>
      <c r="C5565" s="155" t="s">
        <v>206</v>
      </c>
      <c r="D5565" s="156" t="s">
        <v>6422</v>
      </c>
      <c r="E5565" s="156" t="s">
        <v>6442</v>
      </c>
      <c r="F5565" s="156" t="s">
        <v>301</v>
      </c>
      <c r="G5565" s="156" t="s">
        <v>2346</v>
      </c>
      <c r="H5565" s="157" t="s">
        <v>215</v>
      </c>
    </row>
    <row r="5566" hidden="1">
      <c r="A5566" s="151" t="s">
        <v>218</v>
      </c>
      <c r="B5566" s="118" t="s">
        <v>219</v>
      </c>
      <c r="C5566" s="118" t="s">
        <v>206</v>
      </c>
      <c r="D5566" s="152" t="s">
        <v>6422</v>
      </c>
      <c r="E5566" s="152" t="s">
        <v>6443</v>
      </c>
      <c r="F5566" s="152" t="s">
        <v>240</v>
      </c>
      <c r="G5566" s="152" t="s">
        <v>2283</v>
      </c>
      <c r="H5566" s="153" t="s">
        <v>216</v>
      </c>
    </row>
    <row r="5567" hidden="1">
      <c r="A5567" s="154" t="s">
        <v>220</v>
      </c>
      <c r="B5567" s="155" t="s">
        <v>190</v>
      </c>
      <c r="C5567" s="155" t="s">
        <v>206</v>
      </c>
      <c r="D5567" s="156" t="s">
        <v>6422</v>
      </c>
      <c r="E5567" s="156" t="s">
        <v>6444</v>
      </c>
      <c r="F5567" s="156" t="s">
        <v>249</v>
      </c>
      <c r="G5567" s="156" t="s">
        <v>3265</v>
      </c>
      <c r="H5567" s="157" t="s">
        <v>210</v>
      </c>
    </row>
    <row r="5568" hidden="1">
      <c r="A5568" s="151" t="s">
        <v>220</v>
      </c>
      <c r="B5568" s="118" t="s">
        <v>190</v>
      </c>
      <c r="C5568" s="118" t="s">
        <v>206</v>
      </c>
      <c r="D5568" s="152" t="s">
        <v>6422</v>
      </c>
      <c r="E5568" s="152" t="s">
        <v>6445</v>
      </c>
      <c r="F5568" s="152" t="s">
        <v>357</v>
      </c>
      <c r="G5568" s="152" t="s">
        <v>1785</v>
      </c>
      <c r="H5568" s="153" t="s">
        <v>211</v>
      </c>
    </row>
    <row r="5569" hidden="1">
      <c r="A5569" s="154" t="s">
        <v>220</v>
      </c>
      <c r="B5569" s="155" t="s">
        <v>190</v>
      </c>
      <c r="C5569" s="155" t="s">
        <v>206</v>
      </c>
      <c r="D5569" s="156" t="s">
        <v>6422</v>
      </c>
      <c r="E5569" s="156" t="s">
        <v>6446</v>
      </c>
      <c r="F5569" s="156" t="s">
        <v>433</v>
      </c>
      <c r="G5569" s="156" t="s">
        <v>1793</v>
      </c>
      <c r="H5569" s="157" t="s">
        <v>212</v>
      </c>
    </row>
    <row r="5570" hidden="1">
      <c r="A5570" s="151" t="s">
        <v>220</v>
      </c>
      <c r="B5570" s="118" t="s">
        <v>190</v>
      </c>
      <c r="C5570" s="118" t="s">
        <v>206</v>
      </c>
      <c r="D5570" s="152" t="s">
        <v>6422</v>
      </c>
      <c r="E5570" s="152" t="s">
        <v>6447</v>
      </c>
      <c r="F5570" s="152" t="s">
        <v>290</v>
      </c>
      <c r="G5570" s="152" t="s">
        <v>4331</v>
      </c>
      <c r="H5570" s="153" t="s">
        <v>213</v>
      </c>
    </row>
    <row r="5571" hidden="1">
      <c r="A5571" s="154" t="s">
        <v>220</v>
      </c>
      <c r="B5571" s="155" t="s">
        <v>190</v>
      </c>
      <c r="C5571" s="155" t="s">
        <v>206</v>
      </c>
      <c r="D5571" s="156" t="s">
        <v>6422</v>
      </c>
      <c r="E5571" s="156" t="s">
        <v>6448</v>
      </c>
      <c r="F5571" s="156" t="s">
        <v>314</v>
      </c>
      <c r="G5571" s="156" t="s">
        <v>3629</v>
      </c>
      <c r="H5571" s="157" t="s">
        <v>214</v>
      </c>
    </row>
    <row r="5572" hidden="1">
      <c r="A5572" s="151" t="s">
        <v>220</v>
      </c>
      <c r="B5572" s="118" t="s">
        <v>190</v>
      </c>
      <c r="C5572" s="118" t="s">
        <v>206</v>
      </c>
      <c r="D5572" s="152" t="s">
        <v>6422</v>
      </c>
      <c r="E5572" s="152" t="s">
        <v>6449</v>
      </c>
      <c r="F5572" s="152" t="s">
        <v>314</v>
      </c>
      <c r="G5572" s="152" t="s">
        <v>2189</v>
      </c>
      <c r="H5572" s="153" t="s">
        <v>215</v>
      </c>
    </row>
    <row r="5573" hidden="1">
      <c r="A5573" s="154" t="s">
        <v>220</v>
      </c>
      <c r="B5573" s="155" t="s">
        <v>190</v>
      </c>
      <c r="C5573" s="155" t="s">
        <v>206</v>
      </c>
      <c r="D5573" s="156" t="s">
        <v>6422</v>
      </c>
      <c r="E5573" s="156" t="s">
        <v>6450</v>
      </c>
      <c r="F5573" s="156" t="s">
        <v>285</v>
      </c>
      <c r="G5573" s="156" t="s">
        <v>2183</v>
      </c>
      <c r="H5573" s="157" t="s">
        <v>216</v>
      </c>
    </row>
    <row r="5574" hidden="1">
      <c r="A5574" s="151" t="s">
        <v>221</v>
      </c>
      <c r="B5574" s="118" t="s">
        <v>189</v>
      </c>
      <c r="C5574" s="118" t="s">
        <v>206</v>
      </c>
      <c r="D5574" s="152" t="s">
        <v>6422</v>
      </c>
      <c r="E5574" s="152" t="s">
        <v>6451</v>
      </c>
      <c r="F5574" s="152" t="s">
        <v>321</v>
      </c>
      <c r="G5574" s="152" t="s">
        <v>639</v>
      </c>
      <c r="H5574" s="153" t="s">
        <v>210</v>
      </c>
    </row>
    <row r="5575" hidden="1">
      <c r="A5575" s="154" t="s">
        <v>221</v>
      </c>
      <c r="B5575" s="155" t="s">
        <v>189</v>
      </c>
      <c r="C5575" s="155" t="s">
        <v>206</v>
      </c>
      <c r="D5575" s="156" t="s">
        <v>6422</v>
      </c>
      <c r="E5575" s="156" t="s">
        <v>6452</v>
      </c>
      <c r="F5575" s="156" t="s">
        <v>323</v>
      </c>
      <c r="G5575" s="156" t="s">
        <v>5849</v>
      </c>
      <c r="H5575" s="157" t="s">
        <v>211</v>
      </c>
    </row>
    <row r="5576" hidden="1">
      <c r="A5576" s="151" t="s">
        <v>221</v>
      </c>
      <c r="B5576" s="118" t="s">
        <v>189</v>
      </c>
      <c r="C5576" s="118" t="s">
        <v>206</v>
      </c>
      <c r="D5576" s="152" t="s">
        <v>6422</v>
      </c>
      <c r="E5576" s="152" t="s">
        <v>6453</v>
      </c>
      <c r="F5576" s="152" t="s">
        <v>240</v>
      </c>
      <c r="G5576" s="152" t="s">
        <v>2087</v>
      </c>
      <c r="H5576" s="153" t="s">
        <v>212</v>
      </c>
    </row>
    <row r="5577" hidden="1">
      <c r="A5577" s="154" t="s">
        <v>221</v>
      </c>
      <c r="B5577" s="155" t="s">
        <v>189</v>
      </c>
      <c r="C5577" s="155" t="s">
        <v>206</v>
      </c>
      <c r="D5577" s="156" t="s">
        <v>6422</v>
      </c>
      <c r="E5577" s="156" t="s">
        <v>6454</v>
      </c>
      <c r="F5577" s="156" t="s">
        <v>331</v>
      </c>
      <c r="G5577" s="156" t="s">
        <v>3198</v>
      </c>
      <c r="H5577" s="157" t="s">
        <v>213</v>
      </c>
    </row>
    <row r="5578" hidden="1">
      <c r="A5578" s="151" t="s">
        <v>221</v>
      </c>
      <c r="B5578" s="118" t="s">
        <v>189</v>
      </c>
      <c r="C5578" s="118" t="s">
        <v>206</v>
      </c>
      <c r="D5578" s="152" t="s">
        <v>6422</v>
      </c>
      <c r="E5578" s="152" t="s">
        <v>6455</v>
      </c>
      <c r="F5578" s="152" t="s">
        <v>305</v>
      </c>
      <c r="G5578" s="152" t="s">
        <v>2075</v>
      </c>
      <c r="H5578" s="153" t="s">
        <v>214</v>
      </c>
    </row>
    <row r="5579" hidden="1">
      <c r="A5579" s="154" t="s">
        <v>221</v>
      </c>
      <c r="B5579" s="155" t="s">
        <v>189</v>
      </c>
      <c r="C5579" s="155" t="s">
        <v>206</v>
      </c>
      <c r="D5579" s="156" t="s">
        <v>6422</v>
      </c>
      <c r="E5579" s="156" t="s">
        <v>6456</v>
      </c>
      <c r="F5579" s="156" t="s">
        <v>287</v>
      </c>
      <c r="G5579" s="156" t="s">
        <v>6194</v>
      </c>
      <c r="H5579" s="157" t="s">
        <v>215</v>
      </c>
    </row>
    <row r="5580" hidden="1">
      <c r="A5580" s="151" t="s">
        <v>221</v>
      </c>
      <c r="B5580" s="118" t="s">
        <v>189</v>
      </c>
      <c r="C5580" s="118" t="s">
        <v>206</v>
      </c>
      <c r="D5580" s="152" t="s">
        <v>6422</v>
      </c>
      <c r="E5580" s="152" t="s">
        <v>6457</v>
      </c>
      <c r="F5580" s="152" t="s">
        <v>359</v>
      </c>
      <c r="G5580" s="152" t="s">
        <v>2193</v>
      </c>
      <c r="H5580" s="153" t="s">
        <v>216</v>
      </c>
    </row>
    <row r="5581" hidden="1">
      <c r="A5581" s="154" t="s">
        <v>222</v>
      </c>
      <c r="B5581" s="155" t="s">
        <v>192</v>
      </c>
      <c r="C5581" s="155" t="s">
        <v>206</v>
      </c>
      <c r="D5581" s="156" t="s">
        <v>6422</v>
      </c>
      <c r="E5581" s="156" t="s">
        <v>6458</v>
      </c>
      <c r="F5581" s="156" t="s">
        <v>427</v>
      </c>
      <c r="G5581" s="156" t="s">
        <v>3613</v>
      </c>
      <c r="H5581" s="157" t="s">
        <v>210</v>
      </c>
    </row>
    <row r="5582" hidden="1">
      <c r="A5582" s="151" t="s">
        <v>222</v>
      </c>
      <c r="B5582" s="118" t="s">
        <v>192</v>
      </c>
      <c r="C5582" s="118" t="s">
        <v>206</v>
      </c>
      <c r="D5582" s="152" t="s">
        <v>6422</v>
      </c>
      <c r="E5582" s="152" t="s">
        <v>6459</v>
      </c>
      <c r="F5582" s="152" t="s">
        <v>339</v>
      </c>
      <c r="G5582" s="152" t="s">
        <v>3142</v>
      </c>
      <c r="H5582" s="153" t="s">
        <v>211</v>
      </c>
    </row>
    <row r="5583" hidden="1">
      <c r="A5583" s="154" t="s">
        <v>222</v>
      </c>
      <c r="B5583" s="155" t="s">
        <v>192</v>
      </c>
      <c r="C5583" s="155" t="s">
        <v>206</v>
      </c>
      <c r="D5583" s="156" t="s">
        <v>6422</v>
      </c>
      <c r="E5583" s="156" t="s">
        <v>6460</v>
      </c>
      <c r="F5583" s="156" t="s">
        <v>351</v>
      </c>
      <c r="G5583" s="156" t="s">
        <v>2967</v>
      </c>
      <c r="H5583" s="157" t="s">
        <v>212</v>
      </c>
    </row>
    <row r="5584" hidden="1">
      <c r="A5584" s="151" t="s">
        <v>222</v>
      </c>
      <c r="B5584" s="118" t="s">
        <v>192</v>
      </c>
      <c r="C5584" s="118" t="s">
        <v>206</v>
      </c>
      <c r="D5584" s="152" t="s">
        <v>6422</v>
      </c>
      <c r="E5584" s="152" t="s">
        <v>6461</v>
      </c>
      <c r="F5584" s="152" t="s">
        <v>290</v>
      </c>
      <c r="G5584" s="152" t="s">
        <v>3142</v>
      </c>
      <c r="H5584" s="153" t="s">
        <v>213</v>
      </c>
    </row>
    <row r="5585" hidden="1">
      <c r="A5585" s="154" t="s">
        <v>222</v>
      </c>
      <c r="B5585" s="155" t="s">
        <v>192</v>
      </c>
      <c r="C5585" s="155" t="s">
        <v>206</v>
      </c>
      <c r="D5585" s="156" t="s">
        <v>6422</v>
      </c>
      <c r="E5585" s="156" t="s">
        <v>6462</v>
      </c>
      <c r="F5585" s="156" t="s">
        <v>483</v>
      </c>
      <c r="G5585" s="156" t="s">
        <v>3443</v>
      </c>
      <c r="H5585" s="157" t="s">
        <v>214</v>
      </c>
    </row>
    <row r="5586" hidden="1">
      <c r="A5586" s="151" t="s">
        <v>222</v>
      </c>
      <c r="B5586" s="118" t="s">
        <v>192</v>
      </c>
      <c r="C5586" s="118" t="s">
        <v>206</v>
      </c>
      <c r="D5586" s="152" t="s">
        <v>6422</v>
      </c>
      <c r="E5586" s="152" t="s">
        <v>6463</v>
      </c>
      <c r="F5586" s="152" t="s">
        <v>725</v>
      </c>
      <c r="G5586" s="152" t="s">
        <v>3142</v>
      </c>
      <c r="H5586" s="153" t="s">
        <v>215</v>
      </c>
    </row>
    <row r="5587" hidden="1">
      <c r="A5587" s="154" t="s">
        <v>222</v>
      </c>
      <c r="B5587" s="155" t="s">
        <v>192</v>
      </c>
      <c r="C5587" s="155" t="s">
        <v>206</v>
      </c>
      <c r="D5587" s="156" t="s">
        <v>6422</v>
      </c>
      <c r="E5587" s="156" t="s">
        <v>6464</v>
      </c>
      <c r="F5587" s="156" t="s">
        <v>427</v>
      </c>
      <c r="G5587" s="156" t="s">
        <v>2506</v>
      </c>
      <c r="H5587" s="157" t="s">
        <v>216</v>
      </c>
    </row>
    <row r="5588" hidden="1">
      <c r="A5588" s="151" t="s">
        <v>223</v>
      </c>
      <c r="B5588" s="118" t="s">
        <v>144</v>
      </c>
      <c r="C5588" s="118" t="s">
        <v>206</v>
      </c>
      <c r="D5588" s="152" t="s">
        <v>6422</v>
      </c>
      <c r="E5588" s="152" t="s">
        <v>6465</v>
      </c>
      <c r="F5588" s="152" t="s">
        <v>359</v>
      </c>
      <c r="G5588" s="152" t="s">
        <v>3221</v>
      </c>
      <c r="H5588" s="153" t="s">
        <v>210</v>
      </c>
    </row>
    <row r="5589" hidden="1">
      <c r="A5589" s="154" t="s">
        <v>223</v>
      </c>
      <c r="B5589" s="155" t="s">
        <v>144</v>
      </c>
      <c r="C5589" s="155" t="s">
        <v>206</v>
      </c>
      <c r="D5589" s="156" t="s">
        <v>6422</v>
      </c>
      <c r="E5589" s="156" t="s">
        <v>6466</v>
      </c>
      <c r="F5589" s="156" t="s">
        <v>359</v>
      </c>
      <c r="G5589" s="156" t="s">
        <v>3950</v>
      </c>
      <c r="H5589" s="157" t="s">
        <v>211</v>
      </c>
    </row>
    <row r="5590" hidden="1">
      <c r="A5590" s="151" t="s">
        <v>223</v>
      </c>
      <c r="B5590" s="118" t="s">
        <v>144</v>
      </c>
      <c r="C5590" s="118" t="s">
        <v>206</v>
      </c>
      <c r="D5590" s="152" t="s">
        <v>6422</v>
      </c>
      <c r="E5590" s="152" t="s">
        <v>6467</v>
      </c>
      <c r="F5590" s="152" t="s">
        <v>290</v>
      </c>
      <c r="G5590" s="152" t="s">
        <v>2187</v>
      </c>
      <c r="H5590" s="153" t="s">
        <v>212</v>
      </c>
    </row>
    <row r="5591" hidden="1">
      <c r="A5591" s="154" t="s">
        <v>223</v>
      </c>
      <c r="B5591" s="155" t="s">
        <v>144</v>
      </c>
      <c r="C5591" s="155" t="s">
        <v>206</v>
      </c>
      <c r="D5591" s="156" t="s">
        <v>6422</v>
      </c>
      <c r="E5591" s="156" t="s">
        <v>6468</v>
      </c>
      <c r="F5591" s="156" t="s">
        <v>331</v>
      </c>
      <c r="G5591" s="156" t="s">
        <v>2177</v>
      </c>
      <c r="H5591" s="157" t="s">
        <v>213</v>
      </c>
    </row>
    <row r="5592" hidden="1">
      <c r="A5592" s="151" t="s">
        <v>223</v>
      </c>
      <c r="B5592" s="118" t="s">
        <v>144</v>
      </c>
      <c r="C5592" s="118" t="s">
        <v>206</v>
      </c>
      <c r="D5592" s="152" t="s">
        <v>6422</v>
      </c>
      <c r="E5592" s="152" t="s">
        <v>6469</v>
      </c>
      <c r="F5592" s="152" t="s">
        <v>331</v>
      </c>
      <c r="G5592" s="152" t="s">
        <v>3523</v>
      </c>
      <c r="H5592" s="153" t="s">
        <v>214</v>
      </c>
    </row>
    <row r="5593" hidden="1">
      <c r="A5593" s="154" t="s">
        <v>223</v>
      </c>
      <c r="B5593" s="155" t="s">
        <v>144</v>
      </c>
      <c r="C5593" s="155" t="s">
        <v>206</v>
      </c>
      <c r="D5593" s="156" t="s">
        <v>6422</v>
      </c>
      <c r="E5593" s="156" t="s">
        <v>6470</v>
      </c>
      <c r="F5593" s="156" t="s">
        <v>285</v>
      </c>
      <c r="G5593" s="156" t="s">
        <v>2762</v>
      </c>
      <c r="H5593" s="157" t="s">
        <v>215</v>
      </c>
    </row>
    <row r="5594" hidden="1">
      <c r="A5594" s="151" t="s">
        <v>223</v>
      </c>
      <c r="B5594" s="118" t="s">
        <v>144</v>
      </c>
      <c r="C5594" s="118" t="s">
        <v>206</v>
      </c>
      <c r="D5594" s="152" t="s">
        <v>6422</v>
      </c>
      <c r="E5594" s="152" t="s">
        <v>6471</v>
      </c>
      <c r="F5594" s="152" t="s">
        <v>314</v>
      </c>
      <c r="G5594" s="152" t="s">
        <v>3230</v>
      </c>
      <c r="H5594" s="153" t="s">
        <v>216</v>
      </c>
    </row>
    <row r="5595" hidden="1">
      <c r="A5595" s="154" t="s">
        <v>224</v>
      </c>
      <c r="B5595" s="155" t="s">
        <v>170</v>
      </c>
      <c r="C5595" s="155" t="s">
        <v>206</v>
      </c>
      <c r="D5595" s="156" t="s">
        <v>6422</v>
      </c>
      <c r="E5595" s="156" t="s">
        <v>6472</v>
      </c>
      <c r="F5595" s="156" t="s">
        <v>331</v>
      </c>
      <c r="G5595" s="156" t="s">
        <v>2129</v>
      </c>
      <c r="H5595" s="157" t="s">
        <v>210</v>
      </c>
    </row>
    <row r="5596" hidden="1">
      <c r="A5596" s="151" t="s">
        <v>224</v>
      </c>
      <c r="B5596" s="118" t="s">
        <v>170</v>
      </c>
      <c r="C5596" s="118" t="s">
        <v>206</v>
      </c>
      <c r="D5596" s="152" t="s">
        <v>6422</v>
      </c>
      <c r="E5596" s="152" t="s">
        <v>6473</v>
      </c>
      <c r="F5596" s="152" t="s">
        <v>308</v>
      </c>
      <c r="G5596" s="152" t="s">
        <v>2455</v>
      </c>
      <c r="H5596" s="153" t="s">
        <v>211</v>
      </c>
    </row>
    <row r="5597" hidden="1">
      <c r="A5597" s="154" t="s">
        <v>224</v>
      </c>
      <c r="B5597" s="155" t="s">
        <v>170</v>
      </c>
      <c r="C5597" s="155" t="s">
        <v>206</v>
      </c>
      <c r="D5597" s="156" t="s">
        <v>6422</v>
      </c>
      <c r="E5597" s="156" t="s">
        <v>6474</v>
      </c>
      <c r="F5597" s="156" t="s">
        <v>425</v>
      </c>
      <c r="G5597" s="156" t="s">
        <v>2279</v>
      </c>
      <c r="H5597" s="157" t="s">
        <v>212</v>
      </c>
    </row>
    <row r="5598" hidden="1">
      <c r="A5598" s="151" t="s">
        <v>224</v>
      </c>
      <c r="B5598" s="118" t="s">
        <v>170</v>
      </c>
      <c r="C5598" s="118" t="s">
        <v>206</v>
      </c>
      <c r="D5598" s="152" t="s">
        <v>6422</v>
      </c>
      <c r="E5598" s="152" t="s">
        <v>6475</v>
      </c>
      <c r="F5598" s="152" t="s">
        <v>249</v>
      </c>
      <c r="G5598" s="152" t="s">
        <v>2045</v>
      </c>
      <c r="H5598" s="153" t="s">
        <v>213</v>
      </c>
    </row>
    <row r="5599" hidden="1">
      <c r="A5599" s="154" t="s">
        <v>224</v>
      </c>
      <c r="B5599" s="155" t="s">
        <v>170</v>
      </c>
      <c r="C5599" s="155" t="s">
        <v>206</v>
      </c>
      <c r="D5599" s="156" t="s">
        <v>6422</v>
      </c>
      <c r="E5599" s="156" t="s">
        <v>6476</v>
      </c>
      <c r="F5599" s="156" t="s">
        <v>534</v>
      </c>
      <c r="G5599" s="156" t="s">
        <v>2305</v>
      </c>
      <c r="H5599" s="157" t="s">
        <v>214</v>
      </c>
    </row>
    <row r="5600" hidden="1">
      <c r="A5600" s="151" t="s">
        <v>224</v>
      </c>
      <c r="B5600" s="118" t="s">
        <v>170</v>
      </c>
      <c r="C5600" s="118" t="s">
        <v>206</v>
      </c>
      <c r="D5600" s="152" t="s">
        <v>6422</v>
      </c>
      <c r="E5600" s="152" t="s">
        <v>6477</v>
      </c>
      <c r="F5600" s="152" t="s">
        <v>427</v>
      </c>
      <c r="G5600" s="152" t="s">
        <v>2307</v>
      </c>
      <c r="H5600" s="153" t="s">
        <v>215</v>
      </c>
    </row>
    <row r="5601" hidden="1">
      <c r="A5601" s="154" t="s">
        <v>224</v>
      </c>
      <c r="B5601" s="155" t="s">
        <v>170</v>
      </c>
      <c r="C5601" s="155" t="s">
        <v>206</v>
      </c>
      <c r="D5601" s="156" t="s">
        <v>6422</v>
      </c>
      <c r="E5601" s="156" t="s">
        <v>6478</v>
      </c>
      <c r="F5601" s="156" t="s">
        <v>331</v>
      </c>
      <c r="G5601" s="156" t="s">
        <v>2216</v>
      </c>
      <c r="H5601" s="157" t="s">
        <v>216</v>
      </c>
    </row>
    <row r="5602" hidden="1">
      <c r="A5602" s="151" t="s">
        <v>225</v>
      </c>
      <c r="B5602" s="118" t="s">
        <v>226</v>
      </c>
      <c r="C5602" s="118" t="s">
        <v>206</v>
      </c>
      <c r="D5602" s="152" t="s">
        <v>6422</v>
      </c>
      <c r="E5602" s="152" t="s">
        <v>6479</v>
      </c>
      <c r="F5602" s="152" t="s">
        <v>276</v>
      </c>
      <c r="G5602" s="152" t="s">
        <v>1862</v>
      </c>
      <c r="H5602" s="153" t="s">
        <v>210</v>
      </c>
    </row>
    <row r="5603" hidden="1">
      <c r="A5603" s="154" t="s">
        <v>225</v>
      </c>
      <c r="B5603" s="155" t="s">
        <v>226</v>
      </c>
      <c r="C5603" s="155" t="s">
        <v>206</v>
      </c>
      <c r="D5603" s="156" t="s">
        <v>6422</v>
      </c>
      <c r="E5603" s="156" t="s">
        <v>6480</v>
      </c>
      <c r="F5603" s="156" t="s">
        <v>204</v>
      </c>
      <c r="G5603" s="156" t="s">
        <v>1864</v>
      </c>
      <c r="H5603" s="157" t="s">
        <v>211</v>
      </c>
    </row>
    <row r="5604" hidden="1">
      <c r="A5604" s="151" t="s">
        <v>225</v>
      </c>
      <c r="B5604" s="118" t="s">
        <v>226</v>
      </c>
      <c r="C5604" s="118" t="s">
        <v>206</v>
      </c>
      <c r="D5604" s="152" t="s">
        <v>6422</v>
      </c>
      <c r="E5604" s="152" t="s">
        <v>6481</v>
      </c>
      <c r="F5604" s="152" t="s">
        <v>374</v>
      </c>
      <c r="G5604" s="152" t="s">
        <v>1951</v>
      </c>
      <c r="H5604" s="153" t="s">
        <v>212</v>
      </c>
    </row>
    <row r="5605" hidden="1">
      <c r="A5605" s="154" t="s">
        <v>225</v>
      </c>
      <c r="B5605" s="155" t="s">
        <v>226</v>
      </c>
      <c r="C5605" s="155" t="s">
        <v>206</v>
      </c>
      <c r="D5605" s="156" t="s">
        <v>6422</v>
      </c>
      <c r="E5605" s="156" t="s">
        <v>6482</v>
      </c>
      <c r="F5605" s="156" t="s">
        <v>359</v>
      </c>
      <c r="G5605" s="156" t="s">
        <v>2230</v>
      </c>
      <c r="H5605" s="157" t="s">
        <v>213</v>
      </c>
    </row>
    <row r="5606" hidden="1">
      <c r="A5606" s="151" t="s">
        <v>225</v>
      </c>
      <c r="B5606" s="118" t="s">
        <v>226</v>
      </c>
      <c r="C5606" s="118" t="s">
        <v>206</v>
      </c>
      <c r="D5606" s="152" t="s">
        <v>6422</v>
      </c>
      <c r="E5606" s="152" t="s">
        <v>6483</v>
      </c>
      <c r="F5606" s="152" t="s">
        <v>501</v>
      </c>
      <c r="G5606" s="152" t="s">
        <v>1832</v>
      </c>
      <c r="H5606" s="153" t="s">
        <v>214</v>
      </c>
    </row>
    <row r="5607" hidden="1">
      <c r="A5607" s="154" t="s">
        <v>225</v>
      </c>
      <c r="B5607" s="155" t="s">
        <v>226</v>
      </c>
      <c r="C5607" s="155" t="s">
        <v>206</v>
      </c>
      <c r="D5607" s="156" t="s">
        <v>6422</v>
      </c>
      <c r="E5607" s="156" t="s">
        <v>6484</v>
      </c>
      <c r="F5607" s="156" t="s">
        <v>204</v>
      </c>
      <c r="G5607" s="156" t="s">
        <v>3284</v>
      </c>
      <c r="H5607" s="157" t="s">
        <v>215</v>
      </c>
    </row>
    <row r="5608" hidden="1">
      <c r="A5608" s="151" t="s">
        <v>225</v>
      </c>
      <c r="B5608" s="118" t="s">
        <v>226</v>
      </c>
      <c r="C5608" s="118" t="s">
        <v>206</v>
      </c>
      <c r="D5608" s="152" t="s">
        <v>6422</v>
      </c>
      <c r="E5608" s="152" t="s">
        <v>6485</v>
      </c>
      <c r="F5608" s="152" t="s">
        <v>276</v>
      </c>
      <c r="G5608" s="152" t="s">
        <v>3221</v>
      </c>
      <c r="H5608" s="153" t="s">
        <v>216</v>
      </c>
    </row>
    <row r="5609" hidden="1">
      <c r="A5609" s="154" t="s">
        <v>227</v>
      </c>
      <c r="B5609" s="155" t="s">
        <v>195</v>
      </c>
      <c r="C5609" s="155" t="s">
        <v>206</v>
      </c>
      <c r="D5609" s="156" t="s">
        <v>6422</v>
      </c>
      <c r="E5609" s="156" t="s">
        <v>6486</v>
      </c>
      <c r="F5609" s="156" t="s">
        <v>351</v>
      </c>
      <c r="G5609" s="156" t="s">
        <v>3203</v>
      </c>
      <c r="H5609" s="157" t="s">
        <v>210</v>
      </c>
    </row>
    <row r="5610" hidden="1">
      <c r="A5610" s="151" t="s">
        <v>227</v>
      </c>
      <c r="B5610" s="118" t="s">
        <v>195</v>
      </c>
      <c r="C5610" s="118" t="s">
        <v>206</v>
      </c>
      <c r="D5610" s="152" t="s">
        <v>6422</v>
      </c>
      <c r="E5610" s="152" t="s">
        <v>6487</v>
      </c>
      <c r="F5610" s="152" t="s">
        <v>427</v>
      </c>
      <c r="G5610" s="152" t="s">
        <v>2187</v>
      </c>
      <c r="H5610" s="153" t="s">
        <v>211</v>
      </c>
    </row>
    <row r="5611" hidden="1">
      <c r="A5611" s="154" t="s">
        <v>227</v>
      </c>
      <c r="B5611" s="155" t="s">
        <v>195</v>
      </c>
      <c r="C5611" s="155" t="s">
        <v>206</v>
      </c>
      <c r="D5611" s="156" t="s">
        <v>6422</v>
      </c>
      <c r="E5611" s="156" t="s">
        <v>6488</v>
      </c>
      <c r="F5611" s="156" t="s">
        <v>242</v>
      </c>
      <c r="G5611" s="156" t="s">
        <v>2352</v>
      </c>
      <c r="H5611" s="157" t="s">
        <v>212</v>
      </c>
    </row>
    <row r="5612" hidden="1">
      <c r="A5612" s="151" t="s">
        <v>227</v>
      </c>
      <c r="B5612" s="118" t="s">
        <v>195</v>
      </c>
      <c r="C5612" s="118" t="s">
        <v>206</v>
      </c>
      <c r="D5612" s="152" t="s">
        <v>6422</v>
      </c>
      <c r="E5612" s="152" t="s">
        <v>6489</v>
      </c>
      <c r="F5612" s="152" t="s">
        <v>314</v>
      </c>
      <c r="G5612" s="152" t="s">
        <v>2177</v>
      </c>
      <c r="H5612" s="153" t="s">
        <v>213</v>
      </c>
    </row>
    <row r="5613" hidden="1">
      <c r="A5613" s="154" t="s">
        <v>227</v>
      </c>
      <c r="B5613" s="155" t="s">
        <v>195</v>
      </c>
      <c r="C5613" s="155" t="s">
        <v>206</v>
      </c>
      <c r="D5613" s="156" t="s">
        <v>6422</v>
      </c>
      <c r="E5613" s="156" t="s">
        <v>6490</v>
      </c>
      <c r="F5613" s="156" t="s">
        <v>308</v>
      </c>
      <c r="G5613" s="156" t="s">
        <v>2667</v>
      </c>
      <c r="H5613" s="157" t="s">
        <v>214</v>
      </c>
    </row>
    <row r="5614" hidden="1">
      <c r="A5614" s="151" t="s">
        <v>227</v>
      </c>
      <c r="B5614" s="118" t="s">
        <v>195</v>
      </c>
      <c r="C5614" s="118" t="s">
        <v>206</v>
      </c>
      <c r="D5614" s="152" t="s">
        <v>6422</v>
      </c>
      <c r="E5614" s="152" t="s">
        <v>6491</v>
      </c>
      <c r="F5614" s="152" t="s">
        <v>1532</v>
      </c>
      <c r="G5614" s="152" t="s">
        <v>3570</v>
      </c>
      <c r="H5614" s="153" t="s">
        <v>215</v>
      </c>
    </row>
    <row r="5615" hidden="1">
      <c r="A5615" s="154" t="s">
        <v>227</v>
      </c>
      <c r="B5615" s="155" t="s">
        <v>195</v>
      </c>
      <c r="C5615" s="155" t="s">
        <v>206</v>
      </c>
      <c r="D5615" s="156" t="s">
        <v>6422</v>
      </c>
      <c r="E5615" s="156" t="s">
        <v>6492</v>
      </c>
      <c r="F5615" s="156" t="s">
        <v>351</v>
      </c>
      <c r="G5615" s="156" t="s">
        <v>1791</v>
      </c>
      <c r="H5615" s="157" t="s">
        <v>216</v>
      </c>
    </row>
    <row r="5616" hidden="1">
      <c r="A5616" s="151" t="s">
        <v>228</v>
      </c>
      <c r="B5616" s="118" t="s">
        <v>138</v>
      </c>
      <c r="C5616" s="118" t="s">
        <v>206</v>
      </c>
      <c r="D5616" s="152" t="s">
        <v>6422</v>
      </c>
      <c r="E5616" s="152" t="s">
        <v>6493</v>
      </c>
      <c r="F5616" s="152" t="s">
        <v>301</v>
      </c>
      <c r="G5616" s="152" t="s">
        <v>2138</v>
      </c>
      <c r="H5616" s="153" t="s">
        <v>210</v>
      </c>
    </row>
    <row r="5617" hidden="1">
      <c r="A5617" s="154" t="s">
        <v>228</v>
      </c>
      <c r="B5617" s="155" t="s">
        <v>138</v>
      </c>
      <c r="C5617" s="155" t="s">
        <v>206</v>
      </c>
      <c r="D5617" s="156" t="s">
        <v>6422</v>
      </c>
      <c r="E5617" s="156" t="s">
        <v>6494</v>
      </c>
      <c r="F5617" s="156" t="s">
        <v>262</v>
      </c>
      <c r="G5617" s="156" t="s">
        <v>1814</v>
      </c>
      <c r="H5617" s="157" t="s">
        <v>211</v>
      </c>
    </row>
    <row r="5618" hidden="1">
      <c r="A5618" s="151" t="s">
        <v>228</v>
      </c>
      <c r="B5618" s="118" t="s">
        <v>138</v>
      </c>
      <c r="C5618" s="118" t="s">
        <v>206</v>
      </c>
      <c r="D5618" s="152" t="s">
        <v>6422</v>
      </c>
      <c r="E5618" s="152" t="s">
        <v>6495</v>
      </c>
      <c r="F5618" s="152" t="s">
        <v>287</v>
      </c>
      <c r="G5618" s="152" t="s">
        <v>2697</v>
      </c>
      <c r="H5618" s="153" t="s">
        <v>212</v>
      </c>
    </row>
    <row r="5619" hidden="1">
      <c r="A5619" s="154" t="s">
        <v>228</v>
      </c>
      <c r="B5619" s="155" t="s">
        <v>138</v>
      </c>
      <c r="C5619" s="155" t="s">
        <v>206</v>
      </c>
      <c r="D5619" s="156" t="s">
        <v>6422</v>
      </c>
      <c r="E5619" s="156" t="s">
        <v>6496</v>
      </c>
      <c r="F5619" s="156" t="s">
        <v>265</v>
      </c>
      <c r="G5619" s="156" t="s">
        <v>1839</v>
      </c>
      <c r="H5619" s="157" t="s">
        <v>213</v>
      </c>
    </row>
    <row r="5620" hidden="1">
      <c r="A5620" s="151" t="s">
        <v>228</v>
      </c>
      <c r="B5620" s="118" t="s">
        <v>138</v>
      </c>
      <c r="C5620" s="118" t="s">
        <v>206</v>
      </c>
      <c r="D5620" s="152" t="s">
        <v>6422</v>
      </c>
      <c r="E5620" s="152" t="s">
        <v>6497</v>
      </c>
      <c r="F5620" s="152" t="s">
        <v>501</v>
      </c>
      <c r="G5620" s="152" t="s">
        <v>2567</v>
      </c>
      <c r="H5620" s="153" t="s">
        <v>214</v>
      </c>
    </row>
    <row r="5621" hidden="1">
      <c r="A5621" s="154" t="s">
        <v>228</v>
      </c>
      <c r="B5621" s="155" t="s">
        <v>138</v>
      </c>
      <c r="C5621" s="155" t="s">
        <v>206</v>
      </c>
      <c r="D5621" s="156" t="s">
        <v>6422</v>
      </c>
      <c r="E5621" s="156" t="s">
        <v>6498</v>
      </c>
      <c r="F5621" s="156" t="s">
        <v>204</v>
      </c>
      <c r="G5621" s="156" t="s">
        <v>2037</v>
      </c>
      <c r="H5621" s="157" t="s">
        <v>215</v>
      </c>
    </row>
    <row r="5622" hidden="1">
      <c r="A5622" s="151" t="s">
        <v>228</v>
      </c>
      <c r="B5622" s="118" t="s">
        <v>138</v>
      </c>
      <c r="C5622" s="118" t="s">
        <v>206</v>
      </c>
      <c r="D5622" s="152" t="s">
        <v>6422</v>
      </c>
      <c r="E5622" s="152" t="s">
        <v>6499</v>
      </c>
      <c r="F5622" s="152" t="s">
        <v>265</v>
      </c>
      <c r="G5622" s="152" t="s">
        <v>2697</v>
      </c>
      <c r="H5622" s="153" t="s">
        <v>216</v>
      </c>
    </row>
    <row r="5623" hidden="1">
      <c r="A5623" s="154" t="s">
        <v>229</v>
      </c>
      <c r="B5623" s="155" t="s">
        <v>193</v>
      </c>
      <c r="C5623" s="155" t="s">
        <v>206</v>
      </c>
      <c r="D5623" s="156" t="s">
        <v>6422</v>
      </c>
      <c r="E5623" s="156" t="s">
        <v>6500</v>
      </c>
      <c r="F5623" s="156" t="s">
        <v>246</v>
      </c>
      <c r="G5623" s="156" t="s">
        <v>3503</v>
      </c>
      <c r="H5623" s="157" t="s">
        <v>210</v>
      </c>
    </row>
    <row r="5624" hidden="1">
      <c r="A5624" s="151" t="s">
        <v>229</v>
      </c>
      <c r="B5624" s="118" t="s">
        <v>193</v>
      </c>
      <c r="C5624" s="118" t="s">
        <v>206</v>
      </c>
      <c r="D5624" s="152" t="s">
        <v>6422</v>
      </c>
      <c r="E5624" s="152" t="s">
        <v>6501</v>
      </c>
      <c r="F5624" s="152" t="s">
        <v>314</v>
      </c>
      <c r="G5624" s="152" t="s">
        <v>3356</v>
      </c>
      <c r="H5624" s="153" t="s">
        <v>211</v>
      </c>
    </row>
    <row r="5625" hidden="1">
      <c r="A5625" s="154" t="s">
        <v>229</v>
      </c>
      <c r="B5625" s="155" t="s">
        <v>193</v>
      </c>
      <c r="C5625" s="155" t="s">
        <v>206</v>
      </c>
      <c r="D5625" s="156" t="s">
        <v>6422</v>
      </c>
      <c r="E5625" s="156" t="s">
        <v>6502</v>
      </c>
      <c r="F5625" s="156" t="s">
        <v>246</v>
      </c>
      <c r="G5625" s="156" t="s">
        <v>2455</v>
      </c>
      <c r="H5625" s="157" t="s">
        <v>212</v>
      </c>
    </row>
    <row r="5626" hidden="1">
      <c r="A5626" s="151" t="s">
        <v>229</v>
      </c>
      <c r="B5626" s="118" t="s">
        <v>193</v>
      </c>
      <c r="C5626" s="118" t="s">
        <v>206</v>
      </c>
      <c r="D5626" s="152" t="s">
        <v>6422</v>
      </c>
      <c r="E5626" s="152" t="s">
        <v>6503</v>
      </c>
      <c r="F5626" s="152" t="s">
        <v>357</v>
      </c>
      <c r="G5626" s="152" t="s">
        <v>1932</v>
      </c>
      <c r="H5626" s="153" t="s">
        <v>213</v>
      </c>
    </row>
    <row r="5627" hidden="1">
      <c r="A5627" s="154" t="s">
        <v>229</v>
      </c>
      <c r="B5627" s="155" t="s">
        <v>193</v>
      </c>
      <c r="C5627" s="155" t="s">
        <v>206</v>
      </c>
      <c r="D5627" s="156" t="s">
        <v>6422</v>
      </c>
      <c r="E5627" s="156" t="s">
        <v>6504</v>
      </c>
      <c r="F5627" s="156" t="s">
        <v>287</v>
      </c>
      <c r="G5627" s="156" t="s">
        <v>2134</v>
      </c>
      <c r="H5627" s="157" t="s">
        <v>214</v>
      </c>
    </row>
    <row r="5628" hidden="1">
      <c r="A5628" s="151" t="s">
        <v>229</v>
      </c>
      <c r="B5628" s="118" t="s">
        <v>193</v>
      </c>
      <c r="C5628" s="118" t="s">
        <v>206</v>
      </c>
      <c r="D5628" s="152" t="s">
        <v>6422</v>
      </c>
      <c r="E5628" s="152" t="s">
        <v>6505</v>
      </c>
      <c r="F5628" s="152" t="s">
        <v>242</v>
      </c>
      <c r="G5628" s="152" t="s">
        <v>2779</v>
      </c>
      <c r="H5628" s="153" t="s">
        <v>215</v>
      </c>
    </row>
    <row r="5629" hidden="1">
      <c r="A5629" s="154" t="s">
        <v>229</v>
      </c>
      <c r="B5629" s="155" t="s">
        <v>193</v>
      </c>
      <c r="C5629" s="155" t="s">
        <v>206</v>
      </c>
      <c r="D5629" s="156" t="s">
        <v>6422</v>
      </c>
      <c r="E5629" s="156" t="s">
        <v>6506</v>
      </c>
      <c r="F5629" s="156" t="s">
        <v>357</v>
      </c>
      <c r="G5629" s="156" t="s">
        <v>3360</v>
      </c>
      <c r="H5629" s="157" t="s">
        <v>216</v>
      </c>
    </row>
    <row r="5630" hidden="1">
      <c r="A5630" s="151" t="s">
        <v>230</v>
      </c>
      <c r="B5630" s="118" t="s">
        <v>194</v>
      </c>
      <c r="C5630" s="118" t="s">
        <v>206</v>
      </c>
      <c r="D5630" s="152" t="s">
        <v>6422</v>
      </c>
      <c r="E5630" s="152" t="s">
        <v>6507</v>
      </c>
      <c r="F5630" s="152" t="s">
        <v>423</v>
      </c>
      <c r="G5630" s="152" t="s">
        <v>2115</v>
      </c>
      <c r="H5630" s="153" t="s">
        <v>210</v>
      </c>
    </row>
    <row r="5631" hidden="1">
      <c r="A5631" s="154" t="s">
        <v>230</v>
      </c>
      <c r="B5631" s="155" t="s">
        <v>194</v>
      </c>
      <c r="C5631" s="155" t="s">
        <v>206</v>
      </c>
      <c r="D5631" s="156" t="s">
        <v>6422</v>
      </c>
      <c r="E5631" s="156" t="s">
        <v>6508</v>
      </c>
      <c r="F5631" s="156" t="s">
        <v>323</v>
      </c>
      <c r="G5631" s="156" t="s">
        <v>2605</v>
      </c>
      <c r="H5631" s="157" t="s">
        <v>211</v>
      </c>
    </row>
    <row r="5632" hidden="1">
      <c r="A5632" s="151" t="s">
        <v>230</v>
      </c>
      <c r="B5632" s="118" t="s">
        <v>194</v>
      </c>
      <c r="C5632" s="118" t="s">
        <v>206</v>
      </c>
      <c r="D5632" s="152" t="s">
        <v>6422</v>
      </c>
      <c r="E5632" s="152" t="s">
        <v>6509</v>
      </c>
      <c r="F5632" s="152" t="s">
        <v>310</v>
      </c>
      <c r="G5632" s="152" t="s">
        <v>2224</v>
      </c>
      <c r="H5632" s="153" t="s">
        <v>212</v>
      </c>
    </row>
    <row r="5633" hidden="1">
      <c r="A5633" s="154" t="s">
        <v>230</v>
      </c>
      <c r="B5633" s="155" t="s">
        <v>194</v>
      </c>
      <c r="C5633" s="155" t="s">
        <v>206</v>
      </c>
      <c r="D5633" s="156" t="s">
        <v>6422</v>
      </c>
      <c r="E5633" s="156" t="s">
        <v>6510</v>
      </c>
      <c r="F5633" s="156" t="s">
        <v>242</v>
      </c>
      <c r="G5633" s="156" t="s">
        <v>1927</v>
      </c>
      <c r="H5633" s="157" t="s">
        <v>213</v>
      </c>
    </row>
    <row r="5634" hidden="1">
      <c r="A5634" s="151" t="s">
        <v>230</v>
      </c>
      <c r="B5634" s="118" t="s">
        <v>194</v>
      </c>
      <c r="C5634" s="118" t="s">
        <v>206</v>
      </c>
      <c r="D5634" s="152" t="s">
        <v>6422</v>
      </c>
      <c r="E5634" s="152" t="s">
        <v>6511</v>
      </c>
      <c r="F5634" s="152" t="s">
        <v>269</v>
      </c>
      <c r="G5634" s="152" t="s">
        <v>2283</v>
      </c>
      <c r="H5634" s="153" t="s">
        <v>214</v>
      </c>
    </row>
    <row r="5635" hidden="1">
      <c r="A5635" s="154" t="s">
        <v>230</v>
      </c>
      <c r="B5635" s="155" t="s">
        <v>194</v>
      </c>
      <c r="C5635" s="155" t="s">
        <v>206</v>
      </c>
      <c r="D5635" s="156" t="s">
        <v>6422</v>
      </c>
      <c r="E5635" s="156" t="s">
        <v>6512</v>
      </c>
      <c r="F5635" s="156" t="s">
        <v>285</v>
      </c>
      <c r="G5635" s="156" t="s">
        <v>2999</v>
      </c>
      <c r="H5635" s="157" t="s">
        <v>215</v>
      </c>
    </row>
    <row r="5636" hidden="1">
      <c r="A5636" s="151" t="s">
        <v>230</v>
      </c>
      <c r="B5636" s="118" t="s">
        <v>194</v>
      </c>
      <c r="C5636" s="118" t="s">
        <v>206</v>
      </c>
      <c r="D5636" s="152" t="s">
        <v>6422</v>
      </c>
      <c r="E5636" s="152" t="s">
        <v>6513</v>
      </c>
      <c r="F5636" s="152" t="s">
        <v>351</v>
      </c>
      <c r="G5636" s="152" t="s">
        <v>1925</v>
      </c>
      <c r="H5636" s="153" t="s">
        <v>216</v>
      </c>
    </row>
    <row r="5637" hidden="1">
      <c r="A5637" s="158" t="s">
        <v>231</v>
      </c>
      <c r="B5637" s="159"/>
      <c r="C5637" s="155" t="s">
        <v>232</v>
      </c>
      <c r="D5637" s="156" t="s">
        <v>6422</v>
      </c>
      <c r="E5637" s="156" t="s">
        <v>6514</v>
      </c>
      <c r="F5637" s="156" t="s">
        <v>478</v>
      </c>
      <c r="G5637" s="156" t="s">
        <v>3930</v>
      </c>
      <c r="H5637" s="157" t="s">
        <v>210</v>
      </c>
    </row>
    <row r="5638" hidden="1">
      <c r="A5638" s="160" t="s">
        <v>231</v>
      </c>
      <c r="B5638" s="72"/>
      <c r="C5638" s="118" t="s">
        <v>232</v>
      </c>
      <c r="D5638" s="152" t="s">
        <v>6422</v>
      </c>
      <c r="E5638" s="152" t="s">
        <v>6515</v>
      </c>
      <c r="F5638" s="152" t="s">
        <v>336</v>
      </c>
      <c r="G5638" s="152" t="s">
        <v>3696</v>
      </c>
      <c r="H5638" s="153" t="s">
        <v>211</v>
      </c>
    </row>
    <row r="5639" hidden="1">
      <c r="A5639" s="158" t="s">
        <v>231</v>
      </c>
      <c r="B5639" s="159"/>
      <c r="C5639" s="155" t="s">
        <v>232</v>
      </c>
      <c r="D5639" s="156" t="s">
        <v>6422</v>
      </c>
      <c r="E5639" s="156" t="s">
        <v>6516</v>
      </c>
      <c r="F5639" s="156" t="s">
        <v>308</v>
      </c>
      <c r="G5639" s="156" t="s">
        <v>4167</v>
      </c>
      <c r="H5639" s="157" t="s">
        <v>212</v>
      </c>
    </row>
    <row r="5640" hidden="1">
      <c r="A5640" s="160" t="s">
        <v>231</v>
      </c>
      <c r="B5640" s="72"/>
      <c r="C5640" s="118" t="s">
        <v>232</v>
      </c>
      <c r="D5640" s="152" t="s">
        <v>6422</v>
      </c>
      <c r="E5640" s="152" t="s">
        <v>6517</v>
      </c>
      <c r="F5640" s="152" t="s">
        <v>427</v>
      </c>
      <c r="G5640" s="152" t="s">
        <v>4446</v>
      </c>
      <c r="H5640" s="153" t="s">
        <v>213</v>
      </c>
    </row>
    <row r="5641" hidden="1">
      <c r="A5641" s="158" t="s">
        <v>231</v>
      </c>
      <c r="B5641" s="159"/>
      <c r="C5641" s="155" t="s">
        <v>232</v>
      </c>
      <c r="D5641" s="156" t="s">
        <v>6422</v>
      </c>
      <c r="E5641" s="156" t="s">
        <v>6518</v>
      </c>
      <c r="F5641" s="156" t="s">
        <v>351</v>
      </c>
      <c r="G5641" s="156" t="s">
        <v>3464</v>
      </c>
      <c r="H5641" s="157" t="s">
        <v>214</v>
      </c>
    </row>
    <row r="5642" hidden="1">
      <c r="A5642" s="160" t="s">
        <v>231</v>
      </c>
      <c r="B5642" s="72"/>
      <c r="C5642" s="118" t="s">
        <v>232</v>
      </c>
      <c r="D5642" s="152" t="s">
        <v>6422</v>
      </c>
      <c r="E5642" s="152" t="s">
        <v>6519</v>
      </c>
      <c r="F5642" s="152" t="s">
        <v>351</v>
      </c>
      <c r="G5642" s="152" t="s">
        <v>3532</v>
      </c>
      <c r="H5642" s="153" t="s">
        <v>215</v>
      </c>
    </row>
    <row r="5643" hidden="1">
      <c r="A5643" s="158" t="s">
        <v>231</v>
      </c>
      <c r="B5643" s="159"/>
      <c r="C5643" s="155" t="s">
        <v>232</v>
      </c>
      <c r="D5643" s="156" t="s">
        <v>6422</v>
      </c>
      <c r="E5643" s="156" t="s">
        <v>6520</v>
      </c>
      <c r="F5643" s="156" t="s">
        <v>483</v>
      </c>
      <c r="G5643" s="156" t="s">
        <v>3541</v>
      </c>
      <c r="H5643" s="157" t="s">
        <v>216</v>
      </c>
    </row>
    <row r="5644" hidden="1">
      <c r="A5644" s="160" t="s">
        <v>233</v>
      </c>
      <c r="B5644" s="72"/>
      <c r="C5644" s="118" t="s">
        <v>232</v>
      </c>
      <c r="D5644" s="152" t="s">
        <v>6422</v>
      </c>
      <c r="E5644" s="152" t="s">
        <v>6363</v>
      </c>
      <c r="F5644" s="152" t="s">
        <v>305</v>
      </c>
      <c r="G5644" s="152" t="s">
        <v>3384</v>
      </c>
      <c r="H5644" s="153" t="s">
        <v>210</v>
      </c>
    </row>
    <row r="5645" hidden="1">
      <c r="A5645" s="158" t="s">
        <v>233</v>
      </c>
      <c r="B5645" s="159"/>
      <c r="C5645" s="155" t="s">
        <v>232</v>
      </c>
      <c r="D5645" s="156" t="s">
        <v>6422</v>
      </c>
      <c r="E5645" s="156" t="s">
        <v>6521</v>
      </c>
      <c r="F5645" s="156" t="s">
        <v>290</v>
      </c>
      <c r="G5645" s="156" t="s">
        <v>3115</v>
      </c>
      <c r="H5645" s="157" t="s">
        <v>211</v>
      </c>
    </row>
    <row r="5646" hidden="1">
      <c r="A5646" s="160" t="s">
        <v>233</v>
      </c>
      <c r="B5646" s="72"/>
      <c r="C5646" s="118" t="s">
        <v>232</v>
      </c>
      <c r="D5646" s="152" t="s">
        <v>6422</v>
      </c>
      <c r="E5646" s="152" t="s">
        <v>6522</v>
      </c>
      <c r="F5646" s="152" t="s">
        <v>249</v>
      </c>
      <c r="G5646" s="152" t="s">
        <v>3394</v>
      </c>
      <c r="H5646" s="153" t="s">
        <v>212</v>
      </c>
    </row>
    <row r="5647" hidden="1">
      <c r="A5647" s="158" t="s">
        <v>233</v>
      </c>
      <c r="B5647" s="159"/>
      <c r="C5647" s="155" t="s">
        <v>232</v>
      </c>
      <c r="D5647" s="156" t="s">
        <v>6422</v>
      </c>
      <c r="E5647" s="156" t="s">
        <v>6523</v>
      </c>
      <c r="F5647" s="156" t="s">
        <v>249</v>
      </c>
      <c r="G5647" s="156" t="s">
        <v>3396</v>
      </c>
      <c r="H5647" s="157" t="s">
        <v>213</v>
      </c>
    </row>
    <row r="5648" hidden="1">
      <c r="A5648" s="160" t="s">
        <v>233</v>
      </c>
      <c r="B5648" s="72"/>
      <c r="C5648" s="118" t="s">
        <v>232</v>
      </c>
      <c r="D5648" s="152" t="s">
        <v>6422</v>
      </c>
      <c r="E5648" s="152" t="s">
        <v>6524</v>
      </c>
      <c r="F5648" s="152" t="s">
        <v>310</v>
      </c>
      <c r="G5648" s="152" t="s">
        <v>3445</v>
      </c>
      <c r="H5648" s="153" t="s">
        <v>214</v>
      </c>
    </row>
    <row r="5649" hidden="1">
      <c r="A5649" s="158" t="s">
        <v>233</v>
      </c>
      <c r="B5649" s="159"/>
      <c r="C5649" s="155" t="s">
        <v>232</v>
      </c>
      <c r="D5649" s="156" t="s">
        <v>6422</v>
      </c>
      <c r="E5649" s="156" t="s">
        <v>6525</v>
      </c>
      <c r="F5649" s="156" t="s">
        <v>427</v>
      </c>
      <c r="G5649" s="156" t="s">
        <v>1925</v>
      </c>
      <c r="H5649" s="157" t="s">
        <v>215</v>
      </c>
    </row>
    <row r="5650" hidden="1">
      <c r="A5650" s="160" t="s">
        <v>233</v>
      </c>
      <c r="B5650" s="72"/>
      <c r="C5650" s="118" t="s">
        <v>232</v>
      </c>
      <c r="D5650" s="152" t="s">
        <v>6422</v>
      </c>
      <c r="E5650" s="152" t="s">
        <v>6526</v>
      </c>
      <c r="F5650" s="152" t="s">
        <v>534</v>
      </c>
      <c r="G5650" s="152" t="s">
        <v>2279</v>
      </c>
      <c r="H5650" s="153" t="s">
        <v>216</v>
      </c>
    </row>
    <row r="5651" hidden="1">
      <c r="A5651" s="158" t="s">
        <v>234</v>
      </c>
      <c r="B5651" s="159"/>
      <c r="C5651" s="155" t="s">
        <v>232</v>
      </c>
      <c r="D5651" s="156" t="s">
        <v>6422</v>
      </c>
      <c r="E5651" s="156" t="s">
        <v>6527</v>
      </c>
      <c r="F5651" s="156" t="s">
        <v>265</v>
      </c>
      <c r="G5651" s="156" t="s">
        <v>1735</v>
      </c>
      <c r="H5651" s="157" t="s">
        <v>210</v>
      </c>
    </row>
    <row r="5652" hidden="1">
      <c r="A5652" s="160" t="s">
        <v>234</v>
      </c>
      <c r="B5652" s="72"/>
      <c r="C5652" s="118" t="s">
        <v>232</v>
      </c>
      <c r="D5652" s="152" t="s">
        <v>6422</v>
      </c>
      <c r="E5652" s="152" t="s">
        <v>6528</v>
      </c>
      <c r="F5652" s="152" t="s">
        <v>301</v>
      </c>
      <c r="G5652" s="152" t="s">
        <v>1896</v>
      </c>
      <c r="H5652" s="153" t="s">
        <v>211</v>
      </c>
    </row>
    <row r="5653" hidden="1">
      <c r="A5653" s="158" t="s">
        <v>234</v>
      </c>
      <c r="B5653" s="159"/>
      <c r="C5653" s="155" t="s">
        <v>232</v>
      </c>
      <c r="D5653" s="156" t="s">
        <v>6422</v>
      </c>
      <c r="E5653" s="156" t="s">
        <v>6529</v>
      </c>
      <c r="F5653" s="156" t="s">
        <v>269</v>
      </c>
      <c r="G5653" s="156" t="s">
        <v>2686</v>
      </c>
      <c r="H5653" s="157" t="s">
        <v>212</v>
      </c>
    </row>
    <row r="5654" hidden="1">
      <c r="A5654" s="160" t="s">
        <v>234</v>
      </c>
      <c r="B5654" s="72"/>
      <c r="C5654" s="118" t="s">
        <v>232</v>
      </c>
      <c r="D5654" s="152" t="s">
        <v>6422</v>
      </c>
      <c r="E5654" s="152" t="s">
        <v>6530</v>
      </c>
      <c r="F5654" s="152" t="s">
        <v>242</v>
      </c>
      <c r="G5654" s="152" t="s">
        <v>1889</v>
      </c>
      <c r="H5654" s="153" t="s">
        <v>213</v>
      </c>
    </row>
    <row r="5655" hidden="1">
      <c r="A5655" s="158" t="s">
        <v>234</v>
      </c>
      <c r="B5655" s="159"/>
      <c r="C5655" s="155" t="s">
        <v>232</v>
      </c>
      <c r="D5655" s="156" t="s">
        <v>6422</v>
      </c>
      <c r="E5655" s="156" t="s">
        <v>6531</v>
      </c>
      <c r="F5655" s="156" t="s">
        <v>269</v>
      </c>
      <c r="G5655" s="156" t="s">
        <v>1743</v>
      </c>
      <c r="H5655" s="157" t="s">
        <v>214</v>
      </c>
    </row>
    <row r="5656" hidden="1">
      <c r="A5656" s="160" t="s">
        <v>234</v>
      </c>
      <c r="B5656" s="72"/>
      <c r="C5656" s="118" t="s">
        <v>232</v>
      </c>
      <c r="D5656" s="152" t="s">
        <v>6422</v>
      </c>
      <c r="E5656" s="152" t="s">
        <v>6532</v>
      </c>
      <c r="F5656" s="152" t="s">
        <v>259</v>
      </c>
      <c r="G5656" s="152" t="s">
        <v>2331</v>
      </c>
      <c r="H5656" s="153" t="s">
        <v>215</v>
      </c>
    </row>
    <row r="5657" hidden="1">
      <c r="A5657" s="158" t="s">
        <v>234</v>
      </c>
      <c r="B5657" s="159"/>
      <c r="C5657" s="155" t="s">
        <v>232</v>
      </c>
      <c r="D5657" s="156" t="s">
        <v>6422</v>
      </c>
      <c r="E5657" s="156" t="s">
        <v>6533</v>
      </c>
      <c r="F5657" s="156" t="s">
        <v>255</v>
      </c>
      <c r="G5657" s="156" t="s">
        <v>1725</v>
      </c>
      <c r="H5657" s="157" t="s">
        <v>216</v>
      </c>
    </row>
    <row r="5658" hidden="1">
      <c r="A5658" s="160" t="s">
        <v>235</v>
      </c>
      <c r="B5658" s="72"/>
      <c r="C5658" s="118" t="s">
        <v>236</v>
      </c>
      <c r="D5658" s="152" t="s">
        <v>6422</v>
      </c>
      <c r="E5658" s="152" t="s">
        <v>6534</v>
      </c>
      <c r="F5658" s="152" t="s">
        <v>336</v>
      </c>
      <c r="G5658" s="152" t="s">
        <v>3478</v>
      </c>
      <c r="H5658" s="153" t="s">
        <v>210</v>
      </c>
    </row>
    <row r="5659" hidden="1">
      <c r="A5659" s="158" t="s">
        <v>235</v>
      </c>
      <c r="B5659" s="159"/>
      <c r="C5659" s="155" t="s">
        <v>236</v>
      </c>
      <c r="D5659" s="156" t="s">
        <v>6422</v>
      </c>
      <c r="E5659" s="156" t="s">
        <v>6535</v>
      </c>
      <c r="F5659" s="156" t="s">
        <v>534</v>
      </c>
      <c r="G5659" s="156" t="s">
        <v>3154</v>
      </c>
      <c r="H5659" s="157" t="s">
        <v>211</v>
      </c>
    </row>
    <row r="5660" hidden="1">
      <c r="A5660" s="160" t="s">
        <v>235</v>
      </c>
      <c r="B5660" s="72"/>
      <c r="C5660" s="118" t="s">
        <v>236</v>
      </c>
      <c r="D5660" s="152" t="s">
        <v>6422</v>
      </c>
      <c r="E5660" s="152" t="s">
        <v>6536</v>
      </c>
      <c r="F5660" s="152" t="s">
        <v>308</v>
      </c>
      <c r="G5660" s="152" t="s">
        <v>3707</v>
      </c>
      <c r="H5660" s="153" t="s">
        <v>212</v>
      </c>
    </row>
    <row r="5661" hidden="1">
      <c r="A5661" s="158" t="s">
        <v>235</v>
      </c>
      <c r="B5661" s="159"/>
      <c r="C5661" s="155" t="s">
        <v>236</v>
      </c>
      <c r="D5661" s="156" t="s">
        <v>6422</v>
      </c>
      <c r="E5661" s="156" t="s">
        <v>6537</v>
      </c>
      <c r="F5661" s="156" t="s">
        <v>308</v>
      </c>
      <c r="G5661" s="156" t="s">
        <v>3718</v>
      </c>
      <c r="H5661" s="157" t="s">
        <v>213</v>
      </c>
    </row>
    <row r="5662" hidden="1">
      <c r="A5662" s="160" t="s">
        <v>235</v>
      </c>
      <c r="B5662" s="72"/>
      <c r="C5662" s="118" t="s">
        <v>236</v>
      </c>
      <c r="D5662" s="152" t="s">
        <v>6422</v>
      </c>
      <c r="E5662" s="152" t="s">
        <v>6538</v>
      </c>
      <c r="F5662" s="152" t="s">
        <v>310</v>
      </c>
      <c r="G5662" s="152" t="s">
        <v>2826</v>
      </c>
      <c r="H5662" s="153" t="s">
        <v>214</v>
      </c>
    </row>
    <row r="5663" hidden="1">
      <c r="A5663" s="158" t="s">
        <v>235</v>
      </c>
      <c r="B5663" s="159"/>
      <c r="C5663" s="155" t="s">
        <v>236</v>
      </c>
      <c r="D5663" s="156" t="s">
        <v>6422</v>
      </c>
      <c r="E5663" s="156" t="s">
        <v>6539</v>
      </c>
      <c r="F5663" s="156" t="s">
        <v>336</v>
      </c>
      <c r="G5663" s="156" t="s">
        <v>3691</v>
      </c>
      <c r="H5663" s="157" t="s">
        <v>215</v>
      </c>
    </row>
    <row r="5664" hidden="1">
      <c r="A5664" s="160" t="s">
        <v>235</v>
      </c>
      <c r="B5664" s="72"/>
      <c r="C5664" s="118" t="s">
        <v>236</v>
      </c>
      <c r="D5664" s="152" t="s">
        <v>6422</v>
      </c>
      <c r="E5664" s="152" t="s">
        <v>6540</v>
      </c>
      <c r="F5664" s="152" t="s">
        <v>351</v>
      </c>
      <c r="G5664" s="152" t="s">
        <v>2006</v>
      </c>
      <c r="H5664" s="153" t="s">
        <v>216</v>
      </c>
    </row>
    <row r="5665" hidden="1">
      <c r="A5665" s="158" t="s">
        <v>237</v>
      </c>
      <c r="B5665" s="159"/>
      <c r="C5665" s="155" t="s">
        <v>236</v>
      </c>
      <c r="D5665" s="156" t="s">
        <v>6422</v>
      </c>
      <c r="E5665" s="156" t="s">
        <v>6541</v>
      </c>
      <c r="F5665" s="156" t="s">
        <v>257</v>
      </c>
      <c r="G5665" s="156" t="s">
        <v>2688</v>
      </c>
      <c r="H5665" s="157" t="s">
        <v>210</v>
      </c>
    </row>
    <row r="5666" hidden="1">
      <c r="A5666" s="160" t="s">
        <v>237</v>
      </c>
      <c r="B5666" s="72"/>
      <c r="C5666" s="118" t="s">
        <v>236</v>
      </c>
      <c r="D5666" s="152" t="s">
        <v>6422</v>
      </c>
      <c r="E5666" s="152" t="s">
        <v>6542</v>
      </c>
      <c r="F5666" s="152" t="s">
        <v>246</v>
      </c>
      <c r="G5666" s="152" t="s">
        <v>1976</v>
      </c>
      <c r="H5666" s="153" t="s">
        <v>211</v>
      </c>
    </row>
    <row r="5667" hidden="1">
      <c r="A5667" s="158" t="s">
        <v>237</v>
      </c>
      <c r="B5667" s="159"/>
      <c r="C5667" s="155" t="s">
        <v>236</v>
      </c>
      <c r="D5667" s="156" t="s">
        <v>6422</v>
      </c>
      <c r="E5667" s="156" t="s">
        <v>6543</v>
      </c>
      <c r="F5667" s="156" t="s">
        <v>255</v>
      </c>
      <c r="G5667" s="156" t="s">
        <v>2299</v>
      </c>
      <c r="H5667" s="157" t="s">
        <v>212</v>
      </c>
    </row>
    <row r="5668" hidden="1">
      <c r="A5668" s="160" t="s">
        <v>237</v>
      </c>
      <c r="B5668" s="72"/>
      <c r="C5668" s="118" t="s">
        <v>236</v>
      </c>
      <c r="D5668" s="152" t="s">
        <v>6422</v>
      </c>
      <c r="E5668" s="152" t="s">
        <v>6544</v>
      </c>
      <c r="F5668" s="152" t="s">
        <v>365</v>
      </c>
      <c r="G5668" s="152" t="s">
        <v>1957</v>
      </c>
      <c r="H5668" s="153" t="s">
        <v>213</v>
      </c>
    </row>
    <row r="5669" hidden="1">
      <c r="A5669" s="158" t="s">
        <v>237</v>
      </c>
      <c r="B5669" s="159"/>
      <c r="C5669" s="155" t="s">
        <v>236</v>
      </c>
      <c r="D5669" s="156" t="s">
        <v>6422</v>
      </c>
      <c r="E5669" s="156" t="s">
        <v>6545</v>
      </c>
      <c r="F5669" s="156" t="s">
        <v>257</v>
      </c>
      <c r="G5669" s="156" t="s">
        <v>1722</v>
      </c>
      <c r="H5669" s="157" t="s">
        <v>214</v>
      </c>
    </row>
    <row r="5670" hidden="1">
      <c r="A5670" s="160" t="s">
        <v>237</v>
      </c>
      <c r="B5670" s="72"/>
      <c r="C5670" s="118" t="s">
        <v>236</v>
      </c>
      <c r="D5670" s="152" t="s">
        <v>6422</v>
      </c>
      <c r="E5670" s="152" t="s">
        <v>6546</v>
      </c>
      <c r="F5670" s="152" t="s">
        <v>301</v>
      </c>
      <c r="G5670" s="152" t="s">
        <v>1979</v>
      </c>
      <c r="H5670" s="153" t="s">
        <v>215</v>
      </c>
    </row>
    <row r="5671" hidden="1">
      <c r="A5671" s="158" t="s">
        <v>237</v>
      </c>
      <c r="B5671" s="159"/>
      <c r="C5671" s="155" t="s">
        <v>236</v>
      </c>
      <c r="D5671" s="156" t="s">
        <v>6422</v>
      </c>
      <c r="E5671" s="156" t="s">
        <v>6547</v>
      </c>
      <c r="F5671" s="156" t="s">
        <v>257</v>
      </c>
      <c r="G5671" s="156" t="s">
        <v>2686</v>
      </c>
      <c r="H5671" s="157" t="s">
        <v>216</v>
      </c>
    </row>
    <row r="5672" hidden="1">
      <c r="A5672" s="151" t="s">
        <v>204</v>
      </c>
      <c r="B5672" s="118" t="s">
        <v>205</v>
      </c>
      <c r="C5672" s="118" t="s">
        <v>206</v>
      </c>
      <c r="D5672" s="152" t="s">
        <v>6548</v>
      </c>
      <c r="E5672" s="152" t="s">
        <v>6549</v>
      </c>
      <c r="F5672" s="152" t="s">
        <v>331</v>
      </c>
      <c r="G5672" s="152" t="s">
        <v>2041</v>
      </c>
      <c r="H5672" s="153" t="s">
        <v>210</v>
      </c>
    </row>
    <row r="5673" hidden="1">
      <c r="A5673" s="154" t="s">
        <v>204</v>
      </c>
      <c r="B5673" s="155" t="s">
        <v>205</v>
      </c>
      <c r="C5673" s="155" t="s">
        <v>206</v>
      </c>
      <c r="D5673" s="156" t="s">
        <v>6548</v>
      </c>
      <c r="E5673" s="156" t="s">
        <v>6550</v>
      </c>
      <c r="F5673" s="156" t="s">
        <v>290</v>
      </c>
      <c r="G5673" s="156" t="s">
        <v>2923</v>
      </c>
      <c r="H5673" s="157" t="s">
        <v>211</v>
      </c>
    </row>
    <row r="5674" hidden="1">
      <c r="A5674" s="151" t="s">
        <v>204</v>
      </c>
      <c r="B5674" s="118" t="s">
        <v>205</v>
      </c>
      <c r="C5674" s="118" t="s">
        <v>206</v>
      </c>
      <c r="D5674" s="152" t="s">
        <v>6548</v>
      </c>
      <c r="E5674" s="152" t="s">
        <v>6551</v>
      </c>
      <c r="F5674" s="152" t="s">
        <v>339</v>
      </c>
      <c r="G5674" s="152" t="s">
        <v>2986</v>
      </c>
      <c r="H5674" s="153" t="s">
        <v>212</v>
      </c>
    </row>
    <row r="5675" hidden="1">
      <c r="A5675" s="154" t="s">
        <v>204</v>
      </c>
      <c r="B5675" s="155" t="s">
        <v>205</v>
      </c>
      <c r="C5675" s="155" t="s">
        <v>206</v>
      </c>
      <c r="D5675" s="156" t="s">
        <v>6548</v>
      </c>
      <c r="E5675" s="156" t="s">
        <v>6552</v>
      </c>
      <c r="F5675" s="156" t="s">
        <v>359</v>
      </c>
      <c r="G5675" s="156" t="s">
        <v>2620</v>
      </c>
      <c r="H5675" s="157" t="s">
        <v>213</v>
      </c>
    </row>
    <row r="5676" hidden="1">
      <c r="A5676" s="151" t="s">
        <v>204</v>
      </c>
      <c r="B5676" s="118" t="s">
        <v>205</v>
      </c>
      <c r="C5676" s="118" t="s">
        <v>206</v>
      </c>
      <c r="D5676" s="152" t="s">
        <v>6548</v>
      </c>
      <c r="E5676" s="152" t="s">
        <v>6553</v>
      </c>
      <c r="F5676" s="152" t="s">
        <v>336</v>
      </c>
      <c r="G5676" s="152" t="s">
        <v>2111</v>
      </c>
      <c r="H5676" s="153" t="s">
        <v>214</v>
      </c>
    </row>
    <row r="5677" hidden="1">
      <c r="A5677" s="154" t="s">
        <v>204</v>
      </c>
      <c r="B5677" s="155" t="s">
        <v>205</v>
      </c>
      <c r="C5677" s="155" t="s">
        <v>206</v>
      </c>
      <c r="D5677" s="156" t="s">
        <v>6548</v>
      </c>
      <c r="E5677" s="156" t="s">
        <v>6554</v>
      </c>
      <c r="F5677" s="156" t="s">
        <v>359</v>
      </c>
      <c r="G5677" s="156" t="s">
        <v>1951</v>
      </c>
      <c r="H5677" s="157" t="s">
        <v>215</v>
      </c>
    </row>
    <row r="5678" hidden="1">
      <c r="A5678" s="151" t="s">
        <v>204</v>
      </c>
      <c r="B5678" s="118" t="s">
        <v>205</v>
      </c>
      <c r="C5678" s="118" t="s">
        <v>206</v>
      </c>
      <c r="D5678" s="152" t="s">
        <v>6548</v>
      </c>
      <c r="E5678" s="152" t="s">
        <v>6555</v>
      </c>
      <c r="F5678" s="152" t="s">
        <v>331</v>
      </c>
      <c r="G5678" s="152" t="s">
        <v>3221</v>
      </c>
      <c r="H5678" s="153" t="s">
        <v>216</v>
      </c>
    </row>
    <row r="5679" hidden="1">
      <c r="A5679" s="154" t="s">
        <v>217</v>
      </c>
      <c r="B5679" s="155" t="s">
        <v>191</v>
      </c>
      <c r="C5679" s="155" t="s">
        <v>206</v>
      </c>
      <c r="D5679" s="156" t="s">
        <v>6548</v>
      </c>
      <c r="E5679" s="156" t="s">
        <v>6556</v>
      </c>
      <c r="F5679" s="156" t="s">
        <v>331</v>
      </c>
      <c r="G5679" s="156" t="s">
        <v>3458</v>
      </c>
      <c r="H5679" s="157" t="s">
        <v>210</v>
      </c>
    </row>
    <row r="5680" hidden="1">
      <c r="A5680" s="151" t="s">
        <v>217</v>
      </c>
      <c r="B5680" s="118" t="s">
        <v>191</v>
      </c>
      <c r="C5680" s="118" t="s">
        <v>206</v>
      </c>
      <c r="D5680" s="152" t="s">
        <v>6548</v>
      </c>
      <c r="E5680" s="152" t="s">
        <v>6557</v>
      </c>
      <c r="F5680" s="152" t="s">
        <v>534</v>
      </c>
      <c r="G5680" s="152" t="s">
        <v>3312</v>
      </c>
      <c r="H5680" s="153" t="s">
        <v>211</v>
      </c>
    </row>
    <row r="5681" hidden="1">
      <c r="A5681" s="154" t="s">
        <v>217</v>
      </c>
      <c r="B5681" s="155" t="s">
        <v>191</v>
      </c>
      <c r="C5681" s="155" t="s">
        <v>206</v>
      </c>
      <c r="D5681" s="156" t="s">
        <v>6548</v>
      </c>
      <c r="E5681" s="156" t="s">
        <v>6558</v>
      </c>
      <c r="F5681" s="156" t="s">
        <v>336</v>
      </c>
      <c r="G5681" s="156" t="s">
        <v>1927</v>
      </c>
      <c r="H5681" s="157" t="s">
        <v>212</v>
      </c>
    </row>
    <row r="5682" hidden="1">
      <c r="A5682" s="151" t="s">
        <v>217</v>
      </c>
      <c r="B5682" s="118" t="s">
        <v>191</v>
      </c>
      <c r="C5682" s="118" t="s">
        <v>206</v>
      </c>
      <c r="D5682" s="152" t="s">
        <v>6548</v>
      </c>
      <c r="E5682" s="152" t="s">
        <v>6559</v>
      </c>
      <c r="F5682" s="152" t="s">
        <v>310</v>
      </c>
      <c r="G5682" s="152" t="s">
        <v>2758</v>
      </c>
      <c r="H5682" s="153" t="s">
        <v>213</v>
      </c>
    </row>
    <row r="5683" hidden="1">
      <c r="A5683" s="154" t="s">
        <v>217</v>
      </c>
      <c r="B5683" s="155" t="s">
        <v>191</v>
      </c>
      <c r="C5683" s="155" t="s">
        <v>206</v>
      </c>
      <c r="D5683" s="156" t="s">
        <v>6548</v>
      </c>
      <c r="E5683" s="156" t="s">
        <v>6560</v>
      </c>
      <c r="F5683" s="156" t="s">
        <v>310</v>
      </c>
      <c r="G5683" s="156" t="s">
        <v>2609</v>
      </c>
      <c r="H5683" s="157" t="s">
        <v>214</v>
      </c>
    </row>
    <row r="5684" hidden="1">
      <c r="A5684" s="151" t="s">
        <v>217</v>
      </c>
      <c r="B5684" s="118" t="s">
        <v>191</v>
      </c>
      <c r="C5684" s="118" t="s">
        <v>206</v>
      </c>
      <c r="D5684" s="152" t="s">
        <v>6548</v>
      </c>
      <c r="E5684" s="152" t="s">
        <v>6561</v>
      </c>
      <c r="F5684" s="152" t="s">
        <v>249</v>
      </c>
      <c r="G5684" s="152" t="s">
        <v>1949</v>
      </c>
      <c r="H5684" s="153" t="s">
        <v>215</v>
      </c>
    </row>
    <row r="5685" hidden="1">
      <c r="A5685" s="154" t="s">
        <v>217</v>
      </c>
      <c r="B5685" s="155" t="s">
        <v>191</v>
      </c>
      <c r="C5685" s="155" t="s">
        <v>206</v>
      </c>
      <c r="D5685" s="156" t="s">
        <v>6548</v>
      </c>
      <c r="E5685" s="156" t="s">
        <v>6562</v>
      </c>
      <c r="F5685" s="156" t="s">
        <v>534</v>
      </c>
      <c r="G5685" s="156" t="s">
        <v>2455</v>
      </c>
      <c r="H5685" s="157" t="s">
        <v>216</v>
      </c>
    </row>
    <row r="5686" hidden="1">
      <c r="A5686" s="151" t="s">
        <v>218</v>
      </c>
      <c r="B5686" s="118" t="s">
        <v>219</v>
      </c>
      <c r="C5686" s="118" t="s">
        <v>206</v>
      </c>
      <c r="D5686" s="152" t="s">
        <v>6548</v>
      </c>
      <c r="E5686" s="152" t="s">
        <v>6563</v>
      </c>
      <c r="F5686" s="152" t="s">
        <v>725</v>
      </c>
      <c r="G5686" s="152" t="s">
        <v>2992</v>
      </c>
      <c r="H5686" s="153" t="s">
        <v>210</v>
      </c>
    </row>
    <row r="5687" hidden="1">
      <c r="A5687" s="154" t="s">
        <v>218</v>
      </c>
      <c r="B5687" s="155" t="s">
        <v>219</v>
      </c>
      <c r="C5687" s="155" t="s">
        <v>206</v>
      </c>
      <c r="D5687" s="156" t="s">
        <v>6548</v>
      </c>
      <c r="E5687" s="156" t="s">
        <v>6564</v>
      </c>
      <c r="F5687" s="156" t="s">
        <v>329</v>
      </c>
      <c r="G5687" s="156" t="s">
        <v>2450</v>
      </c>
      <c r="H5687" s="157" t="s">
        <v>211</v>
      </c>
    </row>
    <row r="5688" hidden="1">
      <c r="A5688" s="151" t="s">
        <v>218</v>
      </c>
      <c r="B5688" s="118" t="s">
        <v>219</v>
      </c>
      <c r="C5688" s="118" t="s">
        <v>206</v>
      </c>
      <c r="D5688" s="152" t="s">
        <v>6548</v>
      </c>
      <c r="E5688" s="152" t="s">
        <v>6565</v>
      </c>
      <c r="F5688" s="152" t="s">
        <v>483</v>
      </c>
      <c r="G5688" s="152" t="s">
        <v>3380</v>
      </c>
      <c r="H5688" s="153" t="s">
        <v>212</v>
      </c>
    </row>
    <row r="5689" hidden="1">
      <c r="A5689" s="154" t="s">
        <v>218</v>
      </c>
      <c r="B5689" s="155" t="s">
        <v>219</v>
      </c>
      <c r="C5689" s="155" t="s">
        <v>206</v>
      </c>
      <c r="D5689" s="156" t="s">
        <v>6548</v>
      </c>
      <c r="E5689" s="156" t="s">
        <v>6566</v>
      </c>
      <c r="F5689" s="156" t="s">
        <v>799</v>
      </c>
      <c r="G5689" s="156" t="s">
        <v>3282</v>
      </c>
      <c r="H5689" s="157" t="s">
        <v>213</v>
      </c>
    </row>
    <row r="5690" hidden="1">
      <c r="A5690" s="151" t="s">
        <v>218</v>
      </c>
      <c r="B5690" s="118" t="s">
        <v>219</v>
      </c>
      <c r="C5690" s="118" t="s">
        <v>206</v>
      </c>
      <c r="D5690" s="152" t="s">
        <v>6548</v>
      </c>
      <c r="E5690" s="152" t="s">
        <v>6567</v>
      </c>
      <c r="F5690" s="152" t="s">
        <v>354</v>
      </c>
      <c r="G5690" s="152" t="s">
        <v>3950</v>
      </c>
      <c r="H5690" s="153" t="s">
        <v>214</v>
      </c>
    </row>
    <row r="5691" hidden="1">
      <c r="A5691" s="154" t="s">
        <v>218</v>
      </c>
      <c r="B5691" s="155" t="s">
        <v>219</v>
      </c>
      <c r="C5691" s="155" t="s">
        <v>206</v>
      </c>
      <c r="D5691" s="156" t="s">
        <v>6548</v>
      </c>
      <c r="E5691" s="156" t="s">
        <v>6568</v>
      </c>
      <c r="F5691" s="156" t="s">
        <v>329</v>
      </c>
      <c r="G5691" s="156" t="s">
        <v>2989</v>
      </c>
      <c r="H5691" s="157" t="s">
        <v>215</v>
      </c>
    </row>
    <row r="5692" hidden="1">
      <c r="A5692" s="151" t="s">
        <v>218</v>
      </c>
      <c r="B5692" s="118" t="s">
        <v>219</v>
      </c>
      <c r="C5692" s="118" t="s">
        <v>206</v>
      </c>
      <c r="D5692" s="152" t="s">
        <v>6548</v>
      </c>
      <c r="E5692" s="152" t="s">
        <v>6569</v>
      </c>
      <c r="F5692" s="152" t="s">
        <v>354</v>
      </c>
      <c r="G5692" s="152" t="s">
        <v>3003</v>
      </c>
      <c r="H5692" s="153" t="s">
        <v>216</v>
      </c>
    </row>
    <row r="5693" hidden="1">
      <c r="A5693" s="154" t="s">
        <v>220</v>
      </c>
      <c r="B5693" s="155" t="s">
        <v>190</v>
      </c>
      <c r="C5693" s="155" t="s">
        <v>206</v>
      </c>
      <c r="D5693" s="156" t="s">
        <v>6548</v>
      </c>
      <c r="E5693" s="156" t="s">
        <v>6570</v>
      </c>
      <c r="F5693" s="156" t="s">
        <v>691</v>
      </c>
      <c r="G5693" s="156" t="s">
        <v>3838</v>
      </c>
      <c r="H5693" s="157" t="s">
        <v>210</v>
      </c>
    </row>
    <row r="5694" hidden="1">
      <c r="A5694" s="151" t="s">
        <v>220</v>
      </c>
      <c r="B5694" s="118" t="s">
        <v>190</v>
      </c>
      <c r="C5694" s="118" t="s">
        <v>206</v>
      </c>
      <c r="D5694" s="152" t="s">
        <v>6548</v>
      </c>
      <c r="E5694" s="152" t="s">
        <v>6571</v>
      </c>
      <c r="F5694" s="152" t="s">
        <v>329</v>
      </c>
      <c r="G5694" s="152" t="s">
        <v>3302</v>
      </c>
      <c r="H5694" s="153" t="s">
        <v>211</v>
      </c>
    </row>
    <row r="5695" hidden="1">
      <c r="A5695" s="154" t="s">
        <v>220</v>
      </c>
      <c r="B5695" s="155" t="s">
        <v>190</v>
      </c>
      <c r="C5695" s="155" t="s">
        <v>206</v>
      </c>
      <c r="D5695" s="156" t="s">
        <v>6548</v>
      </c>
      <c r="E5695" s="156" t="s">
        <v>6572</v>
      </c>
      <c r="F5695" s="156" t="s">
        <v>3218</v>
      </c>
      <c r="G5695" s="156" t="s">
        <v>4206</v>
      </c>
      <c r="H5695" s="157" t="s">
        <v>212</v>
      </c>
    </row>
    <row r="5696" hidden="1">
      <c r="A5696" s="151" t="s">
        <v>220</v>
      </c>
      <c r="B5696" s="118" t="s">
        <v>190</v>
      </c>
      <c r="C5696" s="118" t="s">
        <v>206</v>
      </c>
      <c r="D5696" s="152" t="s">
        <v>6548</v>
      </c>
      <c r="E5696" s="152" t="s">
        <v>6573</v>
      </c>
      <c r="F5696" s="152" t="s">
        <v>331</v>
      </c>
      <c r="G5696" s="152" t="s">
        <v>3966</v>
      </c>
      <c r="H5696" s="153" t="s">
        <v>213</v>
      </c>
    </row>
    <row r="5697" hidden="1">
      <c r="A5697" s="154" t="s">
        <v>220</v>
      </c>
      <c r="B5697" s="155" t="s">
        <v>190</v>
      </c>
      <c r="C5697" s="155" t="s">
        <v>206</v>
      </c>
      <c r="D5697" s="156" t="s">
        <v>6548</v>
      </c>
      <c r="E5697" s="156" t="s">
        <v>6574</v>
      </c>
      <c r="F5697" s="156" t="s">
        <v>3150</v>
      </c>
      <c r="G5697" s="156" t="s">
        <v>4627</v>
      </c>
      <c r="H5697" s="157" t="s">
        <v>214</v>
      </c>
    </row>
    <row r="5698" hidden="1">
      <c r="A5698" s="151" t="s">
        <v>220</v>
      </c>
      <c r="B5698" s="118" t="s">
        <v>190</v>
      </c>
      <c r="C5698" s="118" t="s">
        <v>206</v>
      </c>
      <c r="D5698" s="152" t="s">
        <v>6548</v>
      </c>
      <c r="E5698" s="152" t="s">
        <v>6575</v>
      </c>
      <c r="F5698" s="152" t="s">
        <v>534</v>
      </c>
      <c r="G5698" s="152" t="s">
        <v>4305</v>
      </c>
      <c r="H5698" s="153" t="s">
        <v>215</v>
      </c>
    </row>
    <row r="5699" hidden="1">
      <c r="A5699" s="154" t="s">
        <v>220</v>
      </c>
      <c r="B5699" s="155" t="s">
        <v>190</v>
      </c>
      <c r="C5699" s="155" t="s">
        <v>206</v>
      </c>
      <c r="D5699" s="156" t="s">
        <v>6548</v>
      </c>
      <c r="E5699" s="156" t="s">
        <v>6576</v>
      </c>
      <c r="F5699" s="156" t="s">
        <v>673</v>
      </c>
      <c r="G5699" s="156" t="s">
        <v>3616</v>
      </c>
      <c r="H5699" s="157" t="s">
        <v>216</v>
      </c>
    </row>
    <row r="5700" hidden="1">
      <c r="A5700" s="151" t="s">
        <v>221</v>
      </c>
      <c r="B5700" s="118" t="s">
        <v>189</v>
      </c>
      <c r="C5700" s="118" t="s">
        <v>206</v>
      </c>
      <c r="D5700" s="152" t="s">
        <v>6548</v>
      </c>
      <c r="E5700" s="152" t="s">
        <v>6577</v>
      </c>
      <c r="F5700" s="152" t="s">
        <v>301</v>
      </c>
      <c r="G5700" s="152" t="s">
        <v>2249</v>
      </c>
      <c r="H5700" s="153" t="s">
        <v>210</v>
      </c>
    </row>
    <row r="5701" hidden="1">
      <c r="A5701" s="154" t="s">
        <v>221</v>
      </c>
      <c r="B5701" s="155" t="s">
        <v>189</v>
      </c>
      <c r="C5701" s="155" t="s">
        <v>206</v>
      </c>
      <c r="D5701" s="156" t="s">
        <v>6548</v>
      </c>
      <c r="E5701" s="156" t="s">
        <v>6578</v>
      </c>
      <c r="F5701" s="156" t="s">
        <v>323</v>
      </c>
      <c r="G5701" s="156" t="s">
        <v>2175</v>
      </c>
      <c r="H5701" s="157" t="s">
        <v>211</v>
      </c>
    </row>
    <row r="5702" hidden="1">
      <c r="A5702" s="151" t="s">
        <v>221</v>
      </c>
      <c r="B5702" s="118" t="s">
        <v>189</v>
      </c>
      <c r="C5702" s="118" t="s">
        <v>206</v>
      </c>
      <c r="D5702" s="152" t="s">
        <v>6548</v>
      </c>
      <c r="E5702" s="152" t="s">
        <v>6579</v>
      </c>
      <c r="F5702" s="152" t="s">
        <v>269</v>
      </c>
      <c r="G5702" s="152" t="s">
        <v>6580</v>
      </c>
      <c r="H5702" s="153" t="s">
        <v>212</v>
      </c>
    </row>
    <row r="5703" hidden="1">
      <c r="A5703" s="154" t="s">
        <v>221</v>
      </c>
      <c r="B5703" s="155" t="s">
        <v>189</v>
      </c>
      <c r="C5703" s="155" t="s">
        <v>206</v>
      </c>
      <c r="D5703" s="156" t="s">
        <v>6548</v>
      </c>
      <c r="E5703" s="156" t="s">
        <v>6581</v>
      </c>
      <c r="F5703" s="156" t="s">
        <v>265</v>
      </c>
      <c r="G5703" s="156" t="s">
        <v>348</v>
      </c>
      <c r="H5703" s="157" t="s">
        <v>213</v>
      </c>
    </row>
    <row r="5704" hidden="1">
      <c r="A5704" s="151" t="s">
        <v>221</v>
      </c>
      <c r="B5704" s="118" t="s">
        <v>189</v>
      </c>
      <c r="C5704" s="118" t="s">
        <v>206</v>
      </c>
      <c r="D5704" s="152" t="s">
        <v>6548</v>
      </c>
      <c r="E5704" s="152" t="s">
        <v>6582</v>
      </c>
      <c r="F5704" s="152" t="s">
        <v>351</v>
      </c>
      <c r="G5704" s="152" t="s">
        <v>2175</v>
      </c>
      <c r="H5704" s="153" t="s">
        <v>214</v>
      </c>
    </row>
    <row r="5705" hidden="1">
      <c r="A5705" s="154" t="s">
        <v>221</v>
      </c>
      <c r="B5705" s="155" t="s">
        <v>189</v>
      </c>
      <c r="C5705" s="155" t="s">
        <v>206</v>
      </c>
      <c r="D5705" s="156" t="s">
        <v>6548</v>
      </c>
      <c r="E5705" s="156" t="s">
        <v>6583</v>
      </c>
      <c r="F5705" s="156" t="s">
        <v>257</v>
      </c>
      <c r="G5705" s="156" t="s">
        <v>6580</v>
      </c>
      <c r="H5705" s="157" t="s">
        <v>215</v>
      </c>
    </row>
    <row r="5706" hidden="1">
      <c r="A5706" s="151" t="s">
        <v>221</v>
      </c>
      <c r="B5706" s="118" t="s">
        <v>189</v>
      </c>
      <c r="C5706" s="118" t="s">
        <v>206</v>
      </c>
      <c r="D5706" s="152" t="s">
        <v>6548</v>
      </c>
      <c r="E5706" s="152" t="s">
        <v>6584</v>
      </c>
      <c r="F5706" s="152" t="s">
        <v>257</v>
      </c>
      <c r="G5706" s="152" t="s">
        <v>2249</v>
      </c>
      <c r="H5706" s="153" t="s">
        <v>216</v>
      </c>
    </row>
    <row r="5707" hidden="1">
      <c r="A5707" s="154" t="s">
        <v>222</v>
      </c>
      <c r="B5707" s="155" t="s">
        <v>192</v>
      </c>
      <c r="C5707" s="155" t="s">
        <v>206</v>
      </c>
      <c r="D5707" s="156" t="s">
        <v>6548</v>
      </c>
      <c r="E5707" s="156" t="s">
        <v>6585</v>
      </c>
      <c r="F5707" s="156" t="s">
        <v>290</v>
      </c>
      <c r="G5707" s="156" t="s">
        <v>1925</v>
      </c>
      <c r="H5707" s="157" t="s">
        <v>210</v>
      </c>
    </row>
    <row r="5708" hidden="1">
      <c r="A5708" s="151" t="s">
        <v>222</v>
      </c>
      <c r="B5708" s="118" t="s">
        <v>192</v>
      </c>
      <c r="C5708" s="118" t="s">
        <v>206</v>
      </c>
      <c r="D5708" s="152" t="s">
        <v>6548</v>
      </c>
      <c r="E5708" s="152" t="s">
        <v>6586</v>
      </c>
      <c r="F5708" s="152" t="s">
        <v>359</v>
      </c>
      <c r="G5708" s="152" t="s">
        <v>2281</v>
      </c>
      <c r="H5708" s="153" t="s">
        <v>211</v>
      </c>
    </row>
    <row r="5709" hidden="1">
      <c r="A5709" s="154" t="s">
        <v>222</v>
      </c>
      <c r="B5709" s="155" t="s">
        <v>192</v>
      </c>
      <c r="C5709" s="155" t="s">
        <v>206</v>
      </c>
      <c r="D5709" s="156" t="s">
        <v>6548</v>
      </c>
      <c r="E5709" s="156" t="s">
        <v>6587</v>
      </c>
      <c r="F5709" s="156" t="s">
        <v>483</v>
      </c>
      <c r="G5709" s="156" t="s">
        <v>3205</v>
      </c>
      <c r="H5709" s="157" t="s">
        <v>212</v>
      </c>
    </row>
    <row r="5710" hidden="1">
      <c r="A5710" s="151" t="s">
        <v>222</v>
      </c>
      <c r="B5710" s="118" t="s">
        <v>192</v>
      </c>
      <c r="C5710" s="118" t="s">
        <v>206</v>
      </c>
      <c r="D5710" s="152" t="s">
        <v>6548</v>
      </c>
      <c r="E5710" s="152" t="s">
        <v>6588</v>
      </c>
      <c r="F5710" s="152" t="s">
        <v>246</v>
      </c>
      <c r="G5710" s="152" t="s">
        <v>3458</v>
      </c>
      <c r="H5710" s="153" t="s">
        <v>213</v>
      </c>
    </row>
    <row r="5711" hidden="1">
      <c r="A5711" s="154" t="s">
        <v>222</v>
      </c>
      <c r="B5711" s="155" t="s">
        <v>192</v>
      </c>
      <c r="C5711" s="155" t="s">
        <v>206</v>
      </c>
      <c r="D5711" s="156" t="s">
        <v>6548</v>
      </c>
      <c r="E5711" s="156" t="s">
        <v>6589</v>
      </c>
      <c r="F5711" s="156" t="s">
        <v>285</v>
      </c>
      <c r="G5711" s="156" t="s">
        <v>2307</v>
      </c>
      <c r="H5711" s="157" t="s">
        <v>214</v>
      </c>
    </row>
    <row r="5712" hidden="1">
      <c r="A5712" s="151" t="s">
        <v>222</v>
      </c>
      <c r="B5712" s="118" t="s">
        <v>192</v>
      </c>
      <c r="C5712" s="118" t="s">
        <v>206</v>
      </c>
      <c r="D5712" s="152" t="s">
        <v>6548</v>
      </c>
      <c r="E5712" s="152" t="s">
        <v>6590</v>
      </c>
      <c r="F5712" s="152" t="s">
        <v>242</v>
      </c>
      <c r="G5712" s="152" t="s">
        <v>3485</v>
      </c>
      <c r="H5712" s="153" t="s">
        <v>215</v>
      </c>
    </row>
    <row r="5713" hidden="1">
      <c r="A5713" s="154" t="s">
        <v>222</v>
      </c>
      <c r="B5713" s="155" t="s">
        <v>192</v>
      </c>
      <c r="C5713" s="155" t="s">
        <v>206</v>
      </c>
      <c r="D5713" s="156" t="s">
        <v>6548</v>
      </c>
      <c r="E5713" s="156" t="s">
        <v>6591</v>
      </c>
      <c r="F5713" s="156" t="s">
        <v>249</v>
      </c>
      <c r="G5713" s="156" t="s">
        <v>3278</v>
      </c>
      <c r="H5713" s="157" t="s">
        <v>216</v>
      </c>
    </row>
    <row r="5714" hidden="1">
      <c r="A5714" s="151" t="s">
        <v>223</v>
      </c>
      <c r="B5714" s="118" t="s">
        <v>144</v>
      </c>
      <c r="C5714" s="118" t="s">
        <v>206</v>
      </c>
      <c r="D5714" s="152" t="s">
        <v>6548</v>
      </c>
      <c r="E5714" s="152" t="s">
        <v>6592</v>
      </c>
      <c r="F5714" s="152" t="s">
        <v>290</v>
      </c>
      <c r="G5714" s="152" t="s">
        <v>2852</v>
      </c>
      <c r="H5714" s="153" t="s">
        <v>210</v>
      </c>
    </row>
    <row r="5715" hidden="1">
      <c r="A5715" s="154" t="s">
        <v>223</v>
      </c>
      <c r="B5715" s="155" t="s">
        <v>144</v>
      </c>
      <c r="C5715" s="155" t="s">
        <v>206</v>
      </c>
      <c r="D5715" s="156" t="s">
        <v>6548</v>
      </c>
      <c r="E5715" s="156" t="s">
        <v>6593</v>
      </c>
      <c r="F5715" s="156" t="s">
        <v>483</v>
      </c>
      <c r="G5715" s="156" t="s">
        <v>3221</v>
      </c>
      <c r="H5715" s="157" t="s">
        <v>211</v>
      </c>
    </row>
    <row r="5716" hidden="1">
      <c r="A5716" s="151" t="s">
        <v>223</v>
      </c>
      <c r="B5716" s="118" t="s">
        <v>144</v>
      </c>
      <c r="C5716" s="118" t="s">
        <v>206</v>
      </c>
      <c r="D5716" s="152" t="s">
        <v>6548</v>
      </c>
      <c r="E5716" s="152" t="s">
        <v>6594</v>
      </c>
      <c r="F5716" s="152" t="s">
        <v>478</v>
      </c>
      <c r="G5716" s="152" t="s">
        <v>2602</v>
      </c>
      <c r="H5716" s="153" t="s">
        <v>212</v>
      </c>
    </row>
    <row r="5717" hidden="1">
      <c r="A5717" s="154" t="s">
        <v>223</v>
      </c>
      <c r="B5717" s="155" t="s">
        <v>144</v>
      </c>
      <c r="C5717" s="155" t="s">
        <v>206</v>
      </c>
      <c r="D5717" s="156" t="s">
        <v>6548</v>
      </c>
      <c r="E5717" s="156" t="s">
        <v>6595</v>
      </c>
      <c r="F5717" s="156" t="s">
        <v>450</v>
      </c>
      <c r="G5717" s="156" t="s">
        <v>3226</v>
      </c>
      <c r="H5717" s="157" t="s">
        <v>213</v>
      </c>
    </row>
    <row r="5718" hidden="1">
      <c r="A5718" s="151" t="s">
        <v>223</v>
      </c>
      <c r="B5718" s="118" t="s">
        <v>144</v>
      </c>
      <c r="C5718" s="118" t="s">
        <v>206</v>
      </c>
      <c r="D5718" s="152" t="s">
        <v>6548</v>
      </c>
      <c r="E5718" s="152" t="s">
        <v>6596</v>
      </c>
      <c r="F5718" s="152" t="s">
        <v>336</v>
      </c>
      <c r="G5718" s="152" t="s">
        <v>1918</v>
      </c>
      <c r="H5718" s="153" t="s">
        <v>214</v>
      </c>
    </row>
    <row r="5719" hidden="1">
      <c r="A5719" s="154" t="s">
        <v>223</v>
      </c>
      <c r="B5719" s="155" t="s">
        <v>144</v>
      </c>
      <c r="C5719" s="155" t="s">
        <v>206</v>
      </c>
      <c r="D5719" s="156" t="s">
        <v>6548</v>
      </c>
      <c r="E5719" s="156" t="s">
        <v>6597</v>
      </c>
      <c r="F5719" s="156" t="s">
        <v>329</v>
      </c>
      <c r="G5719" s="156" t="s">
        <v>2305</v>
      </c>
      <c r="H5719" s="157" t="s">
        <v>215</v>
      </c>
    </row>
    <row r="5720" hidden="1">
      <c r="A5720" s="151" t="s">
        <v>223</v>
      </c>
      <c r="B5720" s="118" t="s">
        <v>144</v>
      </c>
      <c r="C5720" s="118" t="s">
        <v>206</v>
      </c>
      <c r="D5720" s="152" t="s">
        <v>6548</v>
      </c>
      <c r="E5720" s="152" t="s">
        <v>6598</v>
      </c>
      <c r="F5720" s="152" t="s">
        <v>427</v>
      </c>
      <c r="G5720" s="152" t="s">
        <v>2311</v>
      </c>
      <c r="H5720" s="153" t="s">
        <v>216</v>
      </c>
    </row>
    <row r="5721" hidden="1">
      <c r="A5721" s="154" t="s">
        <v>224</v>
      </c>
      <c r="B5721" s="155" t="s">
        <v>170</v>
      </c>
      <c r="C5721" s="155" t="s">
        <v>206</v>
      </c>
      <c r="D5721" s="156" t="s">
        <v>6548</v>
      </c>
      <c r="E5721" s="156" t="s">
        <v>6599</v>
      </c>
      <c r="F5721" s="156" t="s">
        <v>339</v>
      </c>
      <c r="G5721" s="156" t="s">
        <v>2563</v>
      </c>
      <c r="H5721" s="157" t="s">
        <v>210</v>
      </c>
    </row>
    <row r="5722" hidden="1">
      <c r="A5722" s="151" t="s">
        <v>224</v>
      </c>
      <c r="B5722" s="118" t="s">
        <v>170</v>
      </c>
      <c r="C5722" s="118" t="s">
        <v>206</v>
      </c>
      <c r="D5722" s="152" t="s">
        <v>6548</v>
      </c>
      <c r="E5722" s="152" t="s">
        <v>6600</v>
      </c>
      <c r="F5722" s="152" t="s">
        <v>483</v>
      </c>
      <c r="G5722" s="152" t="s">
        <v>1862</v>
      </c>
      <c r="H5722" s="153" t="s">
        <v>211</v>
      </c>
    </row>
    <row r="5723" hidden="1">
      <c r="A5723" s="154" t="s">
        <v>224</v>
      </c>
      <c r="B5723" s="155" t="s">
        <v>170</v>
      </c>
      <c r="C5723" s="155" t="s">
        <v>206</v>
      </c>
      <c r="D5723" s="156" t="s">
        <v>6548</v>
      </c>
      <c r="E5723" s="156" t="s">
        <v>6601</v>
      </c>
      <c r="F5723" s="156" t="s">
        <v>249</v>
      </c>
      <c r="G5723" s="156" t="s">
        <v>2289</v>
      </c>
      <c r="H5723" s="157" t="s">
        <v>212</v>
      </c>
    </row>
    <row r="5724" hidden="1">
      <c r="A5724" s="151" t="s">
        <v>224</v>
      </c>
      <c r="B5724" s="118" t="s">
        <v>170</v>
      </c>
      <c r="C5724" s="118" t="s">
        <v>206</v>
      </c>
      <c r="D5724" s="152" t="s">
        <v>6548</v>
      </c>
      <c r="E5724" s="152" t="s">
        <v>6602</v>
      </c>
      <c r="F5724" s="152" t="s">
        <v>314</v>
      </c>
      <c r="G5724" s="152" t="s">
        <v>2542</v>
      </c>
      <c r="H5724" s="153" t="s">
        <v>213</v>
      </c>
    </row>
    <row r="5725" hidden="1">
      <c r="A5725" s="154" t="s">
        <v>224</v>
      </c>
      <c r="B5725" s="155" t="s">
        <v>170</v>
      </c>
      <c r="C5725" s="155" t="s">
        <v>206</v>
      </c>
      <c r="D5725" s="156" t="s">
        <v>6548</v>
      </c>
      <c r="E5725" s="156" t="s">
        <v>6603</v>
      </c>
      <c r="F5725" s="156" t="s">
        <v>725</v>
      </c>
      <c r="G5725" s="156" t="s">
        <v>2134</v>
      </c>
      <c r="H5725" s="157" t="s">
        <v>214</v>
      </c>
    </row>
    <row r="5726" hidden="1">
      <c r="A5726" s="151" t="s">
        <v>224</v>
      </c>
      <c r="B5726" s="118" t="s">
        <v>170</v>
      </c>
      <c r="C5726" s="118" t="s">
        <v>206</v>
      </c>
      <c r="D5726" s="152" t="s">
        <v>6548</v>
      </c>
      <c r="E5726" s="152" t="s">
        <v>6604</v>
      </c>
      <c r="F5726" s="152" t="s">
        <v>450</v>
      </c>
      <c r="G5726" s="152" t="s">
        <v>1949</v>
      </c>
      <c r="H5726" s="153" t="s">
        <v>215</v>
      </c>
    </row>
    <row r="5727" hidden="1">
      <c r="A5727" s="154" t="s">
        <v>224</v>
      </c>
      <c r="B5727" s="155" t="s">
        <v>170</v>
      </c>
      <c r="C5727" s="155" t="s">
        <v>206</v>
      </c>
      <c r="D5727" s="156" t="s">
        <v>6548</v>
      </c>
      <c r="E5727" s="156" t="s">
        <v>6605</v>
      </c>
      <c r="F5727" s="156" t="s">
        <v>336</v>
      </c>
      <c r="G5727" s="156" t="s">
        <v>3075</v>
      </c>
      <c r="H5727" s="157" t="s">
        <v>216</v>
      </c>
    </row>
    <row r="5728" hidden="1">
      <c r="A5728" s="151" t="s">
        <v>225</v>
      </c>
      <c r="B5728" s="118" t="s">
        <v>226</v>
      </c>
      <c r="C5728" s="118" t="s">
        <v>206</v>
      </c>
      <c r="D5728" s="152" t="s">
        <v>6548</v>
      </c>
      <c r="E5728" s="152" t="s">
        <v>6606</v>
      </c>
      <c r="F5728" s="152" t="s">
        <v>1992</v>
      </c>
      <c r="G5728" s="152" t="s">
        <v>2703</v>
      </c>
      <c r="H5728" s="153" t="s">
        <v>210</v>
      </c>
    </row>
    <row r="5729" hidden="1">
      <c r="A5729" s="154" t="s">
        <v>225</v>
      </c>
      <c r="B5729" s="155" t="s">
        <v>226</v>
      </c>
      <c r="C5729" s="155" t="s">
        <v>206</v>
      </c>
      <c r="D5729" s="156" t="s">
        <v>6548</v>
      </c>
      <c r="E5729" s="156" t="s">
        <v>6607</v>
      </c>
      <c r="F5729" s="156" t="s">
        <v>257</v>
      </c>
      <c r="G5729" s="156" t="s">
        <v>1753</v>
      </c>
      <c r="H5729" s="157" t="s">
        <v>211</v>
      </c>
    </row>
    <row r="5730" hidden="1">
      <c r="A5730" s="151" t="s">
        <v>225</v>
      </c>
      <c r="B5730" s="118" t="s">
        <v>226</v>
      </c>
      <c r="C5730" s="118" t="s">
        <v>206</v>
      </c>
      <c r="D5730" s="152" t="s">
        <v>6548</v>
      </c>
      <c r="E5730" s="152" t="s">
        <v>6608</v>
      </c>
      <c r="F5730" s="152" t="s">
        <v>287</v>
      </c>
      <c r="G5730" s="152" t="s">
        <v>2379</v>
      </c>
      <c r="H5730" s="153" t="s">
        <v>212</v>
      </c>
    </row>
    <row r="5731" hidden="1">
      <c r="A5731" s="154" t="s">
        <v>225</v>
      </c>
      <c r="B5731" s="155" t="s">
        <v>226</v>
      </c>
      <c r="C5731" s="155" t="s">
        <v>206</v>
      </c>
      <c r="D5731" s="156" t="s">
        <v>6548</v>
      </c>
      <c r="E5731" s="156" t="s">
        <v>6609</v>
      </c>
      <c r="F5731" s="156" t="s">
        <v>282</v>
      </c>
      <c r="G5731" s="156" t="s">
        <v>2025</v>
      </c>
      <c r="H5731" s="157" t="s">
        <v>213</v>
      </c>
    </row>
    <row r="5732" hidden="1">
      <c r="A5732" s="151" t="s">
        <v>225</v>
      </c>
      <c r="B5732" s="118" t="s">
        <v>226</v>
      </c>
      <c r="C5732" s="118" t="s">
        <v>206</v>
      </c>
      <c r="D5732" s="152" t="s">
        <v>6548</v>
      </c>
      <c r="E5732" s="152" t="s">
        <v>6610</v>
      </c>
      <c r="F5732" s="152" t="s">
        <v>492</v>
      </c>
      <c r="G5732" s="152" t="s">
        <v>2057</v>
      </c>
      <c r="H5732" s="153" t="s">
        <v>214</v>
      </c>
    </row>
    <row r="5733" hidden="1">
      <c r="A5733" s="154" t="s">
        <v>225</v>
      </c>
      <c r="B5733" s="155" t="s">
        <v>226</v>
      </c>
      <c r="C5733" s="155" t="s">
        <v>206</v>
      </c>
      <c r="D5733" s="156" t="s">
        <v>6548</v>
      </c>
      <c r="E5733" s="156" t="s">
        <v>6611</v>
      </c>
      <c r="F5733" s="156" t="s">
        <v>298</v>
      </c>
      <c r="G5733" s="156" t="s">
        <v>1820</v>
      </c>
      <c r="H5733" s="157" t="s">
        <v>215</v>
      </c>
    </row>
    <row r="5734" hidden="1">
      <c r="A5734" s="151" t="s">
        <v>225</v>
      </c>
      <c r="B5734" s="118" t="s">
        <v>226</v>
      </c>
      <c r="C5734" s="118" t="s">
        <v>206</v>
      </c>
      <c r="D5734" s="152" t="s">
        <v>6548</v>
      </c>
      <c r="E5734" s="152" t="s">
        <v>6612</v>
      </c>
      <c r="F5734" s="152" t="s">
        <v>436</v>
      </c>
      <c r="G5734" s="152" t="s">
        <v>2025</v>
      </c>
      <c r="H5734" s="153" t="s">
        <v>216</v>
      </c>
    </row>
    <row r="5735" hidden="1">
      <c r="A5735" s="154" t="s">
        <v>227</v>
      </c>
      <c r="B5735" s="155" t="s">
        <v>195</v>
      </c>
      <c r="C5735" s="155" t="s">
        <v>206</v>
      </c>
      <c r="D5735" s="156" t="s">
        <v>6548</v>
      </c>
      <c r="E5735" s="156" t="s">
        <v>6613</v>
      </c>
      <c r="F5735" s="156" t="s">
        <v>321</v>
      </c>
      <c r="G5735" s="156" t="s">
        <v>2912</v>
      </c>
      <c r="H5735" s="157" t="s">
        <v>210</v>
      </c>
    </row>
    <row r="5736" hidden="1">
      <c r="A5736" s="151" t="s">
        <v>227</v>
      </c>
      <c r="B5736" s="118" t="s">
        <v>195</v>
      </c>
      <c r="C5736" s="118" t="s">
        <v>206</v>
      </c>
      <c r="D5736" s="152" t="s">
        <v>6548</v>
      </c>
      <c r="E5736" s="152" t="s">
        <v>6614</v>
      </c>
      <c r="F5736" s="152" t="s">
        <v>259</v>
      </c>
      <c r="G5736" s="152" t="s">
        <v>2389</v>
      </c>
      <c r="H5736" s="153" t="s">
        <v>211</v>
      </c>
    </row>
    <row r="5737" hidden="1">
      <c r="A5737" s="154" t="s">
        <v>227</v>
      </c>
      <c r="B5737" s="155" t="s">
        <v>195</v>
      </c>
      <c r="C5737" s="155" t="s">
        <v>206</v>
      </c>
      <c r="D5737" s="156" t="s">
        <v>6548</v>
      </c>
      <c r="E5737" s="156" t="s">
        <v>6615</v>
      </c>
      <c r="F5737" s="156" t="s">
        <v>450</v>
      </c>
      <c r="G5737" s="156" t="s">
        <v>3475</v>
      </c>
      <c r="H5737" s="157" t="s">
        <v>212</v>
      </c>
    </row>
    <row r="5738" hidden="1">
      <c r="A5738" s="151" t="s">
        <v>227</v>
      </c>
      <c r="B5738" s="118" t="s">
        <v>195</v>
      </c>
      <c r="C5738" s="118" t="s">
        <v>206</v>
      </c>
      <c r="D5738" s="152" t="s">
        <v>6548</v>
      </c>
      <c r="E5738" s="152" t="s">
        <v>6616</v>
      </c>
      <c r="F5738" s="152" t="s">
        <v>308</v>
      </c>
      <c r="G5738" s="152" t="s">
        <v>2219</v>
      </c>
      <c r="H5738" s="153" t="s">
        <v>213</v>
      </c>
    </row>
    <row r="5739" hidden="1">
      <c r="A5739" s="154" t="s">
        <v>227</v>
      </c>
      <c r="B5739" s="155" t="s">
        <v>195</v>
      </c>
      <c r="C5739" s="155" t="s">
        <v>206</v>
      </c>
      <c r="D5739" s="156" t="s">
        <v>6548</v>
      </c>
      <c r="E5739" s="156" t="s">
        <v>6617</v>
      </c>
      <c r="F5739" s="156" t="s">
        <v>357</v>
      </c>
      <c r="G5739" s="156" t="s">
        <v>2986</v>
      </c>
      <c r="H5739" s="157" t="s">
        <v>214</v>
      </c>
    </row>
    <row r="5740" hidden="1">
      <c r="A5740" s="151" t="s">
        <v>227</v>
      </c>
      <c r="B5740" s="118" t="s">
        <v>195</v>
      </c>
      <c r="C5740" s="118" t="s">
        <v>206</v>
      </c>
      <c r="D5740" s="152" t="s">
        <v>6548</v>
      </c>
      <c r="E5740" s="152" t="s">
        <v>6618</v>
      </c>
      <c r="F5740" s="152" t="s">
        <v>442</v>
      </c>
      <c r="G5740" s="152" t="s">
        <v>3389</v>
      </c>
      <c r="H5740" s="153" t="s">
        <v>215</v>
      </c>
    </row>
    <row r="5741" hidden="1">
      <c r="A5741" s="154" t="s">
        <v>227</v>
      </c>
      <c r="B5741" s="155" t="s">
        <v>195</v>
      </c>
      <c r="C5741" s="155" t="s">
        <v>206</v>
      </c>
      <c r="D5741" s="156" t="s">
        <v>6548</v>
      </c>
      <c r="E5741" s="156" t="s">
        <v>6619</v>
      </c>
      <c r="F5741" s="156" t="s">
        <v>357</v>
      </c>
      <c r="G5741" s="156" t="s">
        <v>2609</v>
      </c>
      <c r="H5741" s="157" t="s">
        <v>216</v>
      </c>
    </row>
    <row r="5742" hidden="1">
      <c r="A5742" s="151" t="s">
        <v>228</v>
      </c>
      <c r="B5742" s="118" t="s">
        <v>138</v>
      </c>
      <c r="C5742" s="118" t="s">
        <v>206</v>
      </c>
      <c r="D5742" s="152" t="s">
        <v>6548</v>
      </c>
      <c r="E5742" s="152" t="s">
        <v>6620</v>
      </c>
      <c r="F5742" s="152" t="s">
        <v>458</v>
      </c>
      <c r="G5742" s="152" t="s">
        <v>3028</v>
      </c>
      <c r="H5742" s="153" t="s">
        <v>210</v>
      </c>
    </row>
    <row r="5743" hidden="1">
      <c r="A5743" s="154" t="s">
        <v>228</v>
      </c>
      <c r="B5743" s="155" t="s">
        <v>138</v>
      </c>
      <c r="C5743" s="155" t="s">
        <v>206</v>
      </c>
      <c r="D5743" s="156" t="s">
        <v>6548</v>
      </c>
      <c r="E5743" s="156" t="s">
        <v>6621</v>
      </c>
      <c r="F5743" s="156" t="s">
        <v>298</v>
      </c>
      <c r="G5743" s="156" t="s">
        <v>1849</v>
      </c>
      <c r="H5743" s="157" t="s">
        <v>211</v>
      </c>
    </row>
    <row r="5744" hidden="1">
      <c r="A5744" s="151" t="s">
        <v>228</v>
      </c>
      <c r="B5744" s="118" t="s">
        <v>138</v>
      </c>
      <c r="C5744" s="118" t="s">
        <v>206</v>
      </c>
      <c r="D5744" s="152" t="s">
        <v>6548</v>
      </c>
      <c r="E5744" s="152" t="s">
        <v>6495</v>
      </c>
      <c r="F5744" s="152" t="s">
        <v>204</v>
      </c>
      <c r="G5744" s="152" t="s">
        <v>2025</v>
      </c>
      <c r="H5744" s="153" t="s">
        <v>212</v>
      </c>
    </row>
    <row r="5745" hidden="1">
      <c r="A5745" s="154" t="s">
        <v>228</v>
      </c>
      <c r="B5745" s="155" t="s">
        <v>138</v>
      </c>
      <c r="C5745" s="155" t="s">
        <v>206</v>
      </c>
      <c r="D5745" s="156" t="s">
        <v>6548</v>
      </c>
      <c r="E5745" s="156" t="s">
        <v>6622</v>
      </c>
      <c r="F5745" s="156" t="s">
        <v>276</v>
      </c>
      <c r="G5745" s="156" t="s">
        <v>2413</v>
      </c>
      <c r="H5745" s="157" t="s">
        <v>213</v>
      </c>
    </row>
    <row r="5746" hidden="1">
      <c r="A5746" s="151" t="s">
        <v>228</v>
      </c>
      <c r="B5746" s="118" t="s">
        <v>138</v>
      </c>
      <c r="C5746" s="118" t="s">
        <v>206</v>
      </c>
      <c r="D5746" s="152" t="s">
        <v>6548</v>
      </c>
      <c r="E5746" s="152" t="s">
        <v>6623</v>
      </c>
      <c r="F5746" s="152" t="s">
        <v>301</v>
      </c>
      <c r="G5746" s="152" t="s">
        <v>1841</v>
      </c>
      <c r="H5746" s="153" t="s">
        <v>214</v>
      </c>
    </row>
    <row r="5747" hidden="1">
      <c r="A5747" s="154" t="s">
        <v>228</v>
      </c>
      <c r="B5747" s="155" t="s">
        <v>138</v>
      </c>
      <c r="C5747" s="155" t="s">
        <v>206</v>
      </c>
      <c r="D5747" s="156" t="s">
        <v>6548</v>
      </c>
      <c r="E5747" s="156" t="s">
        <v>6624</v>
      </c>
      <c r="F5747" s="156" t="s">
        <v>1551</v>
      </c>
      <c r="G5747" s="156" t="s">
        <v>2011</v>
      </c>
      <c r="H5747" s="157" t="s">
        <v>215</v>
      </c>
    </row>
    <row r="5748" hidden="1">
      <c r="A5748" s="151" t="s">
        <v>228</v>
      </c>
      <c r="B5748" s="118" t="s">
        <v>138</v>
      </c>
      <c r="C5748" s="118" t="s">
        <v>206</v>
      </c>
      <c r="D5748" s="152" t="s">
        <v>6548</v>
      </c>
      <c r="E5748" s="152" t="s">
        <v>6625</v>
      </c>
      <c r="F5748" s="152" t="s">
        <v>276</v>
      </c>
      <c r="G5748" s="152" t="s">
        <v>2539</v>
      </c>
      <c r="H5748" s="153" t="s">
        <v>216</v>
      </c>
    </row>
    <row r="5749" hidden="1">
      <c r="A5749" s="154" t="s">
        <v>229</v>
      </c>
      <c r="B5749" s="155" t="s">
        <v>193</v>
      </c>
      <c r="C5749" s="155" t="s">
        <v>206</v>
      </c>
      <c r="D5749" s="156" t="s">
        <v>6548</v>
      </c>
      <c r="E5749" s="156" t="s">
        <v>6626</v>
      </c>
      <c r="F5749" s="156" t="s">
        <v>240</v>
      </c>
      <c r="G5749" s="156" t="s">
        <v>2467</v>
      </c>
      <c r="H5749" s="157" t="s">
        <v>210</v>
      </c>
    </row>
    <row r="5750" hidden="1">
      <c r="A5750" s="151" t="s">
        <v>229</v>
      </c>
      <c r="B5750" s="118" t="s">
        <v>193</v>
      </c>
      <c r="C5750" s="118" t="s">
        <v>206</v>
      </c>
      <c r="D5750" s="152" t="s">
        <v>6548</v>
      </c>
      <c r="E5750" s="152" t="s">
        <v>6627</v>
      </c>
      <c r="F5750" s="152" t="s">
        <v>249</v>
      </c>
      <c r="G5750" s="152" t="s">
        <v>2216</v>
      </c>
      <c r="H5750" s="153" t="s">
        <v>211</v>
      </c>
    </row>
    <row r="5751" hidden="1">
      <c r="A5751" s="154" t="s">
        <v>229</v>
      </c>
      <c r="B5751" s="155" t="s">
        <v>193</v>
      </c>
      <c r="C5751" s="155" t="s">
        <v>206</v>
      </c>
      <c r="D5751" s="156" t="s">
        <v>6548</v>
      </c>
      <c r="E5751" s="156" t="s">
        <v>6628</v>
      </c>
      <c r="F5751" s="156" t="s">
        <v>305</v>
      </c>
      <c r="G5751" s="156" t="s">
        <v>2929</v>
      </c>
      <c r="H5751" s="157" t="s">
        <v>212</v>
      </c>
    </row>
    <row r="5752" hidden="1">
      <c r="A5752" s="151" t="s">
        <v>229</v>
      </c>
      <c r="B5752" s="118" t="s">
        <v>193</v>
      </c>
      <c r="C5752" s="118" t="s">
        <v>206</v>
      </c>
      <c r="D5752" s="152" t="s">
        <v>6548</v>
      </c>
      <c r="E5752" s="152" t="s">
        <v>6629</v>
      </c>
      <c r="F5752" s="152" t="s">
        <v>458</v>
      </c>
      <c r="G5752" s="152" t="s">
        <v>2129</v>
      </c>
      <c r="H5752" s="153" t="s">
        <v>213</v>
      </c>
    </row>
    <row r="5753" hidden="1">
      <c r="A5753" s="154" t="s">
        <v>229</v>
      </c>
      <c r="B5753" s="155" t="s">
        <v>193</v>
      </c>
      <c r="C5753" s="155" t="s">
        <v>206</v>
      </c>
      <c r="D5753" s="156" t="s">
        <v>6548</v>
      </c>
      <c r="E5753" s="156" t="s">
        <v>6630</v>
      </c>
      <c r="F5753" s="156" t="s">
        <v>287</v>
      </c>
      <c r="G5753" s="156" t="s">
        <v>2410</v>
      </c>
      <c r="H5753" s="157" t="s">
        <v>214</v>
      </c>
    </row>
    <row r="5754" hidden="1">
      <c r="A5754" s="151" t="s">
        <v>229</v>
      </c>
      <c r="B5754" s="118" t="s">
        <v>193</v>
      </c>
      <c r="C5754" s="118" t="s">
        <v>206</v>
      </c>
      <c r="D5754" s="152" t="s">
        <v>6548</v>
      </c>
      <c r="E5754" s="152" t="s">
        <v>6631</v>
      </c>
      <c r="F5754" s="152" t="s">
        <v>262</v>
      </c>
      <c r="G5754" s="152" t="s">
        <v>3010</v>
      </c>
      <c r="H5754" s="153" t="s">
        <v>215</v>
      </c>
    </row>
    <row r="5755" hidden="1">
      <c r="A5755" s="154" t="s">
        <v>229</v>
      </c>
      <c r="B5755" s="155" t="s">
        <v>193</v>
      </c>
      <c r="C5755" s="155" t="s">
        <v>206</v>
      </c>
      <c r="D5755" s="156" t="s">
        <v>6548</v>
      </c>
      <c r="E5755" s="156" t="s">
        <v>6632</v>
      </c>
      <c r="F5755" s="156" t="s">
        <v>244</v>
      </c>
      <c r="G5755" s="156" t="s">
        <v>3341</v>
      </c>
      <c r="H5755" s="157" t="s">
        <v>216</v>
      </c>
    </row>
    <row r="5756" hidden="1">
      <c r="A5756" s="151" t="s">
        <v>230</v>
      </c>
      <c r="B5756" s="118" t="s">
        <v>194</v>
      </c>
      <c r="C5756" s="118" t="s">
        <v>206</v>
      </c>
      <c r="D5756" s="152" t="s">
        <v>6548</v>
      </c>
      <c r="E5756" s="152" t="s">
        <v>6633</v>
      </c>
      <c r="F5756" s="152" t="s">
        <v>331</v>
      </c>
      <c r="G5756" s="152" t="s">
        <v>2242</v>
      </c>
      <c r="H5756" s="153" t="s">
        <v>210</v>
      </c>
    </row>
    <row r="5757" hidden="1">
      <c r="A5757" s="154" t="s">
        <v>230</v>
      </c>
      <c r="B5757" s="155" t="s">
        <v>194</v>
      </c>
      <c r="C5757" s="155" t="s">
        <v>206</v>
      </c>
      <c r="D5757" s="156" t="s">
        <v>6548</v>
      </c>
      <c r="E5757" s="156" t="s">
        <v>6634</v>
      </c>
      <c r="F5757" s="156" t="s">
        <v>269</v>
      </c>
      <c r="G5757" s="156" t="s">
        <v>1868</v>
      </c>
      <c r="H5757" s="157" t="s">
        <v>211</v>
      </c>
    </row>
    <row r="5758" hidden="1">
      <c r="A5758" s="151" t="s">
        <v>230</v>
      </c>
      <c r="B5758" s="118" t="s">
        <v>194</v>
      </c>
      <c r="C5758" s="118" t="s">
        <v>206</v>
      </c>
      <c r="D5758" s="152" t="s">
        <v>6548</v>
      </c>
      <c r="E5758" s="152" t="s">
        <v>6635</v>
      </c>
      <c r="F5758" s="152" t="s">
        <v>269</v>
      </c>
      <c r="G5758" s="152" t="s">
        <v>2041</v>
      </c>
      <c r="H5758" s="153" t="s">
        <v>212</v>
      </c>
    </row>
    <row r="5759" hidden="1">
      <c r="A5759" s="154" t="s">
        <v>230</v>
      </c>
      <c r="B5759" s="155" t="s">
        <v>194</v>
      </c>
      <c r="C5759" s="155" t="s">
        <v>206</v>
      </c>
      <c r="D5759" s="156" t="s">
        <v>6548</v>
      </c>
      <c r="E5759" s="156" t="s">
        <v>6636</v>
      </c>
      <c r="F5759" s="156" t="s">
        <v>240</v>
      </c>
      <c r="G5759" s="156" t="s">
        <v>2062</v>
      </c>
      <c r="H5759" s="157" t="s">
        <v>213</v>
      </c>
    </row>
    <row r="5760" hidden="1">
      <c r="A5760" s="151" t="s">
        <v>230</v>
      </c>
      <c r="B5760" s="118" t="s">
        <v>194</v>
      </c>
      <c r="C5760" s="118" t="s">
        <v>206</v>
      </c>
      <c r="D5760" s="152" t="s">
        <v>6548</v>
      </c>
      <c r="E5760" s="152" t="s">
        <v>6637</v>
      </c>
      <c r="F5760" s="152" t="s">
        <v>436</v>
      </c>
      <c r="G5760" s="152" t="s">
        <v>2413</v>
      </c>
      <c r="H5760" s="153" t="s">
        <v>214</v>
      </c>
    </row>
    <row r="5761" hidden="1">
      <c r="A5761" s="154" t="s">
        <v>230</v>
      </c>
      <c r="B5761" s="155" t="s">
        <v>194</v>
      </c>
      <c r="C5761" s="155" t="s">
        <v>206</v>
      </c>
      <c r="D5761" s="156" t="s">
        <v>6548</v>
      </c>
      <c r="E5761" s="156" t="s">
        <v>6638</v>
      </c>
      <c r="F5761" s="156" t="s">
        <v>259</v>
      </c>
      <c r="G5761" s="156" t="s">
        <v>1841</v>
      </c>
      <c r="H5761" s="157" t="s">
        <v>215</v>
      </c>
    </row>
    <row r="5762" hidden="1">
      <c r="A5762" s="151" t="s">
        <v>230</v>
      </c>
      <c r="B5762" s="118" t="s">
        <v>194</v>
      </c>
      <c r="C5762" s="118" t="s">
        <v>206</v>
      </c>
      <c r="D5762" s="152" t="s">
        <v>6548</v>
      </c>
      <c r="E5762" s="152" t="s">
        <v>6639</v>
      </c>
      <c r="F5762" s="152" t="s">
        <v>242</v>
      </c>
      <c r="G5762" s="152" t="s">
        <v>1843</v>
      </c>
      <c r="H5762" s="153" t="s">
        <v>216</v>
      </c>
    </row>
    <row r="5763" hidden="1">
      <c r="A5763" s="158" t="s">
        <v>231</v>
      </c>
      <c r="B5763" s="159"/>
      <c r="C5763" s="155" t="s">
        <v>232</v>
      </c>
      <c r="D5763" s="156" t="s">
        <v>6548</v>
      </c>
      <c r="E5763" s="156" t="s">
        <v>6640</v>
      </c>
      <c r="F5763" s="156" t="s">
        <v>3150</v>
      </c>
      <c r="G5763" s="156" t="s">
        <v>3466</v>
      </c>
      <c r="H5763" s="157" t="s">
        <v>210</v>
      </c>
    </row>
    <row r="5764" hidden="1">
      <c r="A5764" s="160" t="s">
        <v>231</v>
      </c>
      <c r="B5764" s="72"/>
      <c r="C5764" s="118" t="s">
        <v>232</v>
      </c>
      <c r="D5764" s="152" t="s">
        <v>6548</v>
      </c>
      <c r="E5764" s="152" t="s">
        <v>6641</v>
      </c>
      <c r="F5764" s="152" t="s">
        <v>1929</v>
      </c>
      <c r="G5764" s="152" t="s">
        <v>4077</v>
      </c>
      <c r="H5764" s="153" t="s">
        <v>211</v>
      </c>
    </row>
    <row r="5765" hidden="1">
      <c r="A5765" s="158" t="s">
        <v>231</v>
      </c>
      <c r="B5765" s="159"/>
      <c r="C5765" s="155" t="s">
        <v>232</v>
      </c>
      <c r="D5765" s="156" t="s">
        <v>6548</v>
      </c>
      <c r="E5765" s="156" t="s">
        <v>6642</v>
      </c>
      <c r="F5765" s="156" t="s">
        <v>2607</v>
      </c>
      <c r="G5765" s="156" t="s">
        <v>4031</v>
      </c>
      <c r="H5765" s="157" t="s">
        <v>212</v>
      </c>
    </row>
    <row r="5766" hidden="1">
      <c r="A5766" s="160" t="s">
        <v>231</v>
      </c>
      <c r="B5766" s="72"/>
      <c r="C5766" s="118" t="s">
        <v>232</v>
      </c>
      <c r="D5766" s="152" t="s">
        <v>6548</v>
      </c>
      <c r="E5766" s="152" t="s">
        <v>6643</v>
      </c>
      <c r="F5766" s="152" t="s">
        <v>2607</v>
      </c>
      <c r="G5766" s="152" t="s">
        <v>4178</v>
      </c>
      <c r="H5766" s="153" t="s">
        <v>213</v>
      </c>
    </row>
    <row r="5767" hidden="1">
      <c r="A5767" s="158" t="s">
        <v>231</v>
      </c>
      <c r="B5767" s="159"/>
      <c r="C5767" s="155" t="s">
        <v>232</v>
      </c>
      <c r="D5767" s="156" t="s">
        <v>6548</v>
      </c>
      <c r="E5767" s="156" t="s">
        <v>6644</v>
      </c>
      <c r="F5767" s="156" t="s">
        <v>3145</v>
      </c>
      <c r="G5767" s="156" t="s">
        <v>6645</v>
      </c>
      <c r="H5767" s="157" t="s">
        <v>214</v>
      </c>
    </row>
    <row r="5768" hidden="1">
      <c r="A5768" s="160" t="s">
        <v>231</v>
      </c>
      <c r="B5768" s="72"/>
      <c r="C5768" s="118" t="s">
        <v>232</v>
      </c>
      <c r="D5768" s="152" t="s">
        <v>6548</v>
      </c>
      <c r="E5768" s="152" t="s">
        <v>6646</v>
      </c>
      <c r="F5768" s="152" t="s">
        <v>799</v>
      </c>
      <c r="G5768" s="152" t="s">
        <v>4060</v>
      </c>
      <c r="H5768" s="153" t="s">
        <v>215</v>
      </c>
    </row>
    <row r="5769" hidden="1">
      <c r="A5769" s="158" t="s">
        <v>231</v>
      </c>
      <c r="B5769" s="159"/>
      <c r="C5769" s="155" t="s">
        <v>232</v>
      </c>
      <c r="D5769" s="156" t="s">
        <v>6548</v>
      </c>
      <c r="E5769" s="156" t="s">
        <v>6647</v>
      </c>
      <c r="F5769" s="156" t="s">
        <v>3346</v>
      </c>
      <c r="G5769" s="156" t="s">
        <v>4085</v>
      </c>
      <c r="H5769" s="157" t="s">
        <v>216</v>
      </c>
    </row>
    <row r="5770" hidden="1">
      <c r="A5770" s="160" t="s">
        <v>233</v>
      </c>
      <c r="B5770" s="72"/>
      <c r="C5770" s="118" t="s">
        <v>232</v>
      </c>
      <c r="D5770" s="152" t="s">
        <v>6548</v>
      </c>
      <c r="E5770" s="152" t="s">
        <v>6648</v>
      </c>
      <c r="F5770" s="152" t="s">
        <v>285</v>
      </c>
      <c r="G5770" s="152" t="s">
        <v>2600</v>
      </c>
      <c r="H5770" s="153" t="s">
        <v>210</v>
      </c>
    </row>
    <row r="5771" hidden="1">
      <c r="A5771" s="158" t="s">
        <v>233</v>
      </c>
      <c r="B5771" s="159"/>
      <c r="C5771" s="155" t="s">
        <v>232</v>
      </c>
      <c r="D5771" s="156" t="s">
        <v>6548</v>
      </c>
      <c r="E5771" s="156" t="s">
        <v>6649</v>
      </c>
      <c r="F5771" s="156" t="s">
        <v>314</v>
      </c>
      <c r="G5771" s="156" t="s">
        <v>1862</v>
      </c>
      <c r="H5771" s="157" t="s">
        <v>211</v>
      </c>
    </row>
    <row r="5772" hidden="1">
      <c r="A5772" s="160" t="s">
        <v>233</v>
      </c>
      <c r="B5772" s="72"/>
      <c r="C5772" s="118" t="s">
        <v>232</v>
      </c>
      <c r="D5772" s="152" t="s">
        <v>6548</v>
      </c>
      <c r="E5772" s="152" t="s">
        <v>6650</v>
      </c>
      <c r="F5772" s="152" t="s">
        <v>305</v>
      </c>
      <c r="G5772" s="152" t="s">
        <v>2762</v>
      </c>
      <c r="H5772" s="153" t="s">
        <v>212</v>
      </c>
    </row>
    <row r="5773" hidden="1">
      <c r="A5773" s="158" t="s">
        <v>233</v>
      </c>
      <c r="B5773" s="159"/>
      <c r="C5773" s="155" t="s">
        <v>232</v>
      </c>
      <c r="D5773" s="156" t="s">
        <v>6548</v>
      </c>
      <c r="E5773" s="156" t="s">
        <v>6651</v>
      </c>
      <c r="F5773" s="156" t="s">
        <v>242</v>
      </c>
      <c r="G5773" s="156" t="s">
        <v>2393</v>
      </c>
      <c r="H5773" s="157" t="s">
        <v>213</v>
      </c>
    </row>
    <row r="5774" hidden="1">
      <c r="A5774" s="160" t="s">
        <v>233</v>
      </c>
      <c r="B5774" s="72"/>
      <c r="C5774" s="118" t="s">
        <v>232</v>
      </c>
      <c r="D5774" s="152" t="s">
        <v>6548</v>
      </c>
      <c r="E5774" s="152" t="s">
        <v>6652</v>
      </c>
      <c r="F5774" s="152" t="s">
        <v>290</v>
      </c>
      <c r="G5774" s="152" t="s">
        <v>2065</v>
      </c>
      <c r="H5774" s="153" t="s">
        <v>214</v>
      </c>
    </row>
    <row r="5775" hidden="1">
      <c r="A5775" s="158" t="s">
        <v>233</v>
      </c>
      <c r="B5775" s="159"/>
      <c r="C5775" s="155" t="s">
        <v>232</v>
      </c>
      <c r="D5775" s="156" t="s">
        <v>6548</v>
      </c>
      <c r="E5775" s="156" t="s">
        <v>6653</v>
      </c>
      <c r="F5775" s="156" t="s">
        <v>357</v>
      </c>
      <c r="G5775" s="156" t="s">
        <v>3503</v>
      </c>
      <c r="H5775" s="157" t="s">
        <v>215</v>
      </c>
    </row>
    <row r="5776" hidden="1">
      <c r="A5776" s="160" t="s">
        <v>233</v>
      </c>
      <c r="B5776" s="72"/>
      <c r="C5776" s="118" t="s">
        <v>232</v>
      </c>
      <c r="D5776" s="152" t="s">
        <v>6548</v>
      </c>
      <c r="E5776" s="152" t="s">
        <v>6654</v>
      </c>
      <c r="F5776" s="152" t="s">
        <v>359</v>
      </c>
      <c r="G5776" s="152" t="s">
        <v>2111</v>
      </c>
      <c r="H5776" s="153" t="s">
        <v>216</v>
      </c>
    </row>
    <row r="5777" hidden="1">
      <c r="A5777" s="158" t="s">
        <v>234</v>
      </c>
      <c r="B5777" s="159"/>
      <c r="C5777" s="155" t="s">
        <v>232</v>
      </c>
      <c r="D5777" s="156" t="s">
        <v>6548</v>
      </c>
      <c r="E5777" s="156" t="s">
        <v>6655</v>
      </c>
      <c r="F5777" s="156" t="s">
        <v>257</v>
      </c>
      <c r="G5777" s="156" t="s">
        <v>1873</v>
      </c>
      <c r="H5777" s="157" t="s">
        <v>210</v>
      </c>
    </row>
    <row r="5778" hidden="1">
      <c r="A5778" s="160" t="s">
        <v>234</v>
      </c>
      <c r="B5778" s="72"/>
      <c r="C5778" s="118" t="s">
        <v>232</v>
      </c>
      <c r="D5778" s="152" t="s">
        <v>6548</v>
      </c>
      <c r="E5778" s="152" t="s">
        <v>6656</v>
      </c>
      <c r="F5778" s="152" t="s">
        <v>321</v>
      </c>
      <c r="G5778" s="152" t="s">
        <v>1743</v>
      </c>
      <c r="H5778" s="153" t="s">
        <v>211</v>
      </c>
    </row>
    <row r="5779" hidden="1">
      <c r="A5779" s="158" t="s">
        <v>234</v>
      </c>
      <c r="B5779" s="159"/>
      <c r="C5779" s="155" t="s">
        <v>232</v>
      </c>
      <c r="D5779" s="156" t="s">
        <v>6548</v>
      </c>
      <c r="E5779" s="156" t="s">
        <v>6657</v>
      </c>
      <c r="F5779" s="156" t="s">
        <v>244</v>
      </c>
      <c r="G5779" s="156" t="s">
        <v>2023</v>
      </c>
      <c r="H5779" s="157" t="s">
        <v>212</v>
      </c>
    </row>
    <row r="5780" hidden="1">
      <c r="A5780" s="160" t="s">
        <v>234</v>
      </c>
      <c r="B5780" s="72"/>
      <c r="C5780" s="118" t="s">
        <v>232</v>
      </c>
      <c r="D5780" s="152" t="s">
        <v>6548</v>
      </c>
      <c r="E5780" s="152" t="s">
        <v>6658</v>
      </c>
      <c r="F5780" s="152" t="s">
        <v>301</v>
      </c>
      <c r="G5780" s="152" t="s">
        <v>1795</v>
      </c>
      <c r="H5780" s="153" t="s">
        <v>213</v>
      </c>
    </row>
    <row r="5781" hidden="1">
      <c r="A5781" s="158" t="s">
        <v>234</v>
      </c>
      <c r="B5781" s="159"/>
      <c r="C5781" s="155" t="s">
        <v>232</v>
      </c>
      <c r="D5781" s="156" t="s">
        <v>6548</v>
      </c>
      <c r="E5781" s="156" t="s">
        <v>6659</v>
      </c>
      <c r="F5781" s="156" t="s">
        <v>331</v>
      </c>
      <c r="G5781" s="156" t="s">
        <v>1908</v>
      </c>
      <c r="H5781" s="157" t="s">
        <v>214</v>
      </c>
    </row>
    <row r="5782" hidden="1">
      <c r="A5782" s="160" t="s">
        <v>234</v>
      </c>
      <c r="B5782" s="72"/>
      <c r="C5782" s="118" t="s">
        <v>232</v>
      </c>
      <c r="D5782" s="152" t="s">
        <v>6548</v>
      </c>
      <c r="E5782" s="152" t="s">
        <v>6660</v>
      </c>
      <c r="F5782" s="152" t="s">
        <v>359</v>
      </c>
      <c r="G5782" s="152" t="s">
        <v>1854</v>
      </c>
      <c r="H5782" s="153" t="s">
        <v>215</v>
      </c>
    </row>
    <row r="5783" hidden="1">
      <c r="A5783" s="158" t="s">
        <v>234</v>
      </c>
      <c r="B5783" s="159"/>
      <c r="C5783" s="155" t="s">
        <v>232</v>
      </c>
      <c r="D5783" s="156" t="s">
        <v>6548</v>
      </c>
      <c r="E5783" s="156" t="s">
        <v>6661</v>
      </c>
      <c r="F5783" s="156" t="s">
        <v>357</v>
      </c>
      <c r="G5783" s="156" t="s">
        <v>1741</v>
      </c>
      <c r="H5783" s="157" t="s">
        <v>216</v>
      </c>
    </row>
    <row r="5784" hidden="1">
      <c r="A5784" s="160" t="s">
        <v>235</v>
      </c>
      <c r="B5784" s="72"/>
      <c r="C5784" s="118" t="s">
        <v>236</v>
      </c>
      <c r="D5784" s="152" t="s">
        <v>6548</v>
      </c>
      <c r="E5784" s="152" t="s">
        <v>6662</v>
      </c>
      <c r="F5784" s="152" t="s">
        <v>425</v>
      </c>
      <c r="G5784" s="152" t="s">
        <v>3523</v>
      </c>
      <c r="H5784" s="153" t="s">
        <v>210</v>
      </c>
    </row>
    <row r="5785" hidden="1">
      <c r="A5785" s="158" t="s">
        <v>235</v>
      </c>
      <c r="B5785" s="159"/>
      <c r="C5785" s="155" t="s">
        <v>236</v>
      </c>
      <c r="D5785" s="156" t="s">
        <v>6548</v>
      </c>
      <c r="E5785" s="156" t="s">
        <v>6663</v>
      </c>
      <c r="F5785" s="156" t="s">
        <v>339</v>
      </c>
      <c r="G5785" s="156" t="s">
        <v>2113</v>
      </c>
      <c r="H5785" s="157" t="s">
        <v>211</v>
      </c>
    </row>
    <row r="5786" hidden="1">
      <c r="A5786" s="160" t="s">
        <v>235</v>
      </c>
      <c r="B5786" s="72"/>
      <c r="C5786" s="118" t="s">
        <v>236</v>
      </c>
      <c r="D5786" s="152" t="s">
        <v>6548</v>
      </c>
      <c r="E5786" s="152" t="s">
        <v>6664</v>
      </c>
      <c r="F5786" s="152" t="s">
        <v>425</v>
      </c>
      <c r="G5786" s="152" t="s">
        <v>2661</v>
      </c>
      <c r="H5786" s="153" t="s">
        <v>212</v>
      </c>
    </row>
    <row r="5787" hidden="1">
      <c r="A5787" s="158" t="s">
        <v>235</v>
      </c>
      <c r="B5787" s="159"/>
      <c r="C5787" s="155" t="s">
        <v>236</v>
      </c>
      <c r="D5787" s="156" t="s">
        <v>6548</v>
      </c>
      <c r="E5787" s="156" t="s">
        <v>6665</v>
      </c>
      <c r="F5787" s="156" t="s">
        <v>331</v>
      </c>
      <c r="G5787" s="156" t="s">
        <v>2762</v>
      </c>
      <c r="H5787" s="157" t="s">
        <v>213</v>
      </c>
    </row>
    <row r="5788" hidden="1">
      <c r="A5788" s="160" t="s">
        <v>235</v>
      </c>
      <c r="B5788" s="72"/>
      <c r="C5788" s="118" t="s">
        <v>236</v>
      </c>
      <c r="D5788" s="152" t="s">
        <v>6548</v>
      </c>
      <c r="E5788" s="152" t="s">
        <v>6666</v>
      </c>
      <c r="F5788" s="152" t="s">
        <v>354</v>
      </c>
      <c r="G5788" s="152" t="s">
        <v>3136</v>
      </c>
      <c r="H5788" s="153" t="s">
        <v>214</v>
      </c>
    </row>
    <row r="5789" hidden="1">
      <c r="A5789" s="158" t="s">
        <v>235</v>
      </c>
      <c r="B5789" s="159"/>
      <c r="C5789" s="155" t="s">
        <v>236</v>
      </c>
      <c r="D5789" s="156" t="s">
        <v>6548</v>
      </c>
      <c r="E5789" s="156" t="s">
        <v>6667</v>
      </c>
      <c r="F5789" s="156" t="s">
        <v>308</v>
      </c>
      <c r="G5789" s="156" t="s">
        <v>3380</v>
      </c>
      <c r="H5789" s="157" t="s">
        <v>215</v>
      </c>
    </row>
    <row r="5790" hidden="1">
      <c r="A5790" s="160" t="s">
        <v>235</v>
      </c>
      <c r="B5790" s="72"/>
      <c r="C5790" s="118" t="s">
        <v>236</v>
      </c>
      <c r="D5790" s="152" t="s">
        <v>6548</v>
      </c>
      <c r="E5790" s="152" t="s">
        <v>6668</v>
      </c>
      <c r="F5790" s="152" t="s">
        <v>336</v>
      </c>
      <c r="G5790" s="152" t="s">
        <v>2219</v>
      </c>
      <c r="H5790" s="153" t="s">
        <v>216</v>
      </c>
    </row>
    <row r="5791" hidden="1">
      <c r="A5791" s="158" t="s">
        <v>237</v>
      </c>
      <c r="B5791" s="159"/>
      <c r="C5791" s="155" t="s">
        <v>236</v>
      </c>
      <c r="D5791" s="156" t="s">
        <v>6548</v>
      </c>
      <c r="E5791" s="156" t="s">
        <v>6669</v>
      </c>
      <c r="F5791" s="156" t="s">
        <v>259</v>
      </c>
      <c r="G5791" s="156" t="s">
        <v>1846</v>
      </c>
      <c r="H5791" s="157" t="s">
        <v>210</v>
      </c>
    </row>
    <row r="5792" hidden="1">
      <c r="A5792" s="160" t="s">
        <v>237</v>
      </c>
      <c r="B5792" s="72"/>
      <c r="C5792" s="118" t="s">
        <v>236</v>
      </c>
      <c r="D5792" s="152" t="s">
        <v>6548</v>
      </c>
      <c r="E5792" s="152" t="s">
        <v>6670</v>
      </c>
      <c r="F5792" s="152" t="s">
        <v>257</v>
      </c>
      <c r="G5792" s="152" t="s">
        <v>2521</v>
      </c>
      <c r="H5792" s="153" t="s">
        <v>211</v>
      </c>
    </row>
    <row r="5793" hidden="1">
      <c r="A5793" s="158" t="s">
        <v>237</v>
      </c>
      <c r="B5793" s="159"/>
      <c r="C5793" s="155" t="s">
        <v>236</v>
      </c>
      <c r="D5793" s="156" t="s">
        <v>6548</v>
      </c>
      <c r="E5793" s="156" t="s">
        <v>6671</v>
      </c>
      <c r="F5793" s="156" t="s">
        <v>246</v>
      </c>
      <c r="G5793" s="156" t="s">
        <v>2057</v>
      </c>
      <c r="H5793" s="157" t="s">
        <v>212</v>
      </c>
    </row>
    <row r="5794" hidden="1">
      <c r="A5794" s="160" t="s">
        <v>237</v>
      </c>
      <c r="B5794" s="72"/>
      <c r="C5794" s="118" t="s">
        <v>236</v>
      </c>
      <c r="D5794" s="152" t="s">
        <v>6548</v>
      </c>
      <c r="E5794" s="152" t="s">
        <v>6672</v>
      </c>
      <c r="F5794" s="152" t="s">
        <v>374</v>
      </c>
      <c r="G5794" s="152" t="s">
        <v>1870</v>
      </c>
      <c r="H5794" s="153" t="s">
        <v>213</v>
      </c>
    </row>
    <row r="5795" hidden="1">
      <c r="A5795" s="158" t="s">
        <v>237</v>
      </c>
      <c r="B5795" s="159"/>
      <c r="C5795" s="155" t="s">
        <v>236</v>
      </c>
      <c r="D5795" s="156" t="s">
        <v>6548</v>
      </c>
      <c r="E5795" s="156" t="s">
        <v>6673</v>
      </c>
      <c r="F5795" s="156" t="s">
        <v>246</v>
      </c>
      <c r="G5795" s="156" t="s">
        <v>1870</v>
      </c>
      <c r="H5795" s="157" t="s">
        <v>214</v>
      </c>
    </row>
    <row r="5796" hidden="1">
      <c r="A5796" s="160" t="s">
        <v>237</v>
      </c>
      <c r="B5796" s="72"/>
      <c r="C5796" s="118" t="s">
        <v>236</v>
      </c>
      <c r="D5796" s="152" t="s">
        <v>6548</v>
      </c>
      <c r="E5796" s="152" t="s">
        <v>6674</v>
      </c>
      <c r="F5796" s="152" t="s">
        <v>255</v>
      </c>
      <c r="G5796" s="152" t="s">
        <v>1743</v>
      </c>
      <c r="H5796" s="153" t="s">
        <v>215</v>
      </c>
    </row>
    <row r="5797" hidden="1">
      <c r="A5797" s="158" t="s">
        <v>237</v>
      </c>
      <c r="B5797" s="159"/>
      <c r="C5797" s="155" t="s">
        <v>236</v>
      </c>
      <c r="D5797" s="156" t="s">
        <v>6548</v>
      </c>
      <c r="E5797" s="156" t="s">
        <v>6675</v>
      </c>
      <c r="F5797" s="156" t="s">
        <v>301</v>
      </c>
      <c r="G5797" s="156" t="s">
        <v>1979</v>
      </c>
      <c r="H5797" s="157" t="s">
        <v>216</v>
      </c>
    </row>
    <row r="5798" hidden="1">
      <c r="A5798" s="151" t="s">
        <v>204</v>
      </c>
      <c r="B5798" s="118" t="s">
        <v>205</v>
      </c>
      <c r="C5798" s="118" t="s">
        <v>206</v>
      </c>
      <c r="D5798" s="152" t="s">
        <v>6676</v>
      </c>
      <c r="E5798" s="152" t="s">
        <v>6677</v>
      </c>
      <c r="F5798" s="152" t="s">
        <v>336</v>
      </c>
      <c r="G5798" s="152" t="s">
        <v>4338</v>
      </c>
      <c r="H5798" s="153" t="s">
        <v>210</v>
      </c>
    </row>
    <row r="5799" hidden="1">
      <c r="A5799" s="154" t="s">
        <v>204</v>
      </c>
      <c r="B5799" s="155" t="s">
        <v>205</v>
      </c>
      <c r="C5799" s="155" t="s">
        <v>206</v>
      </c>
      <c r="D5799" s="156" t="s">
        <v>6676</v>
      </c>
      <c r="E5799" s="156" t="s">
        <v>6678</v>
      </c>
      <c r="F5799" s="156" t="s">
        <v>483</v>
      </c>
      <c r="G5799" s="156" t="s">
        <v>2999</v>
      </c>
      <c r="H5799" s="157" t="s">
        <v>211</v>
      </c>
    </row>
    <row r="5800" hidden="1">
      <c r="A5800" s="151" t="s">
        <v>204</v>
      </c>
      <c r="B5800" s="118" t="s">
        <v>205</v>
      </c>
      <c r="C5800" s="118" t="s">
        <v>206</v>
      </c>
      <c r="D5800" s="152" t="s">
        <v>6676</v>
      </c>
      <c r="E5800" s="152" t="s">
        <v>6679</v>
      </c>
      <c r="F5800" s="152" t="s">
        <v>450</v>
      </c>
      <c r="G5800" s="152" t="s">
        <v>2758</v>
      </c>
      <c r="H5800" s="153" t="s">
        <v>212</v>
      </c>
    </row>
    <row r="5801" hidden="1">
      <c r="A5801" s="154" t="s">
        <v>204</v>
      </c>
      <c r="B5801" s="155" t="s">
        <v>205</v>
      </c>
      <c r="C5801" s="155" t="s">
        <v>206</v>
      </c>
      <c r="D5801" s="156" t="s">
        <v>6676</v>
      </c>
      <c r="E5801" s="156" t="s">
        <v>6680</v>
      </c>
      <c r="F5801" s="156" t="s">
        <v>329</v>
      </c>
      <c r="G5801" s="156" t="s">
        <v>2111</v>
      </c>
      <c r="H5801" s="157" t="s">
        <v>213</v>
      </c>
    </row>
    <row r="5802" hidden="1">
      <c r="A5802" s="151" t="s">
        <v>204</v>
      </c>
      <c r="B5802" s="118" t="s">
        <v>205</v>
      </c>
      <c r="C5802" s="118" t="s">
        <v>206</v>
      </c>
      <c r="D5802" s="152" t="s">
        <v>6676</v>
      </c>
      <c r="E5802" s="152" t="s">
        <v>6681</v>
      </c>
      <c r="F5802" s="152" t="s">
        <v>450</v>
      </c>
      <c r="G5802" s="152" t="s">
        <v>3360</v>
      </c>
      <c r="H5802" s="153" t="s">
        <v>214</v>
      </c>
    </row>
    <row r="5803" hidden="1">
      <c r="A5803" s="154" t="s">
        <v>204</v>
      </c>
      <c r="B5803" s="155" t="s">
        <v>205</v>
      </c>
      <c r="C5803" s="155" t="s">
        <v>206</v>
      </c>
      <c r="D5803" s="156" t="s">
        <v>6676</v>
      </c>
      <c r="E5803" s="156" t="s">
        <v>6682</v>
      </c>
      <c r="F5803" s="156" t="s">
        <v>427</v>
      </c>
      <c r="G5803" s="156" t="s">
        <v>2385</v>
      </c>
      <c r="H5803" s="157" t="s">
        <v>215</v>
      </c>
    </row>
    <row r="5804" hidden="1">
      <c r="A5804" s="151" t="s">
        <v>204</v>
      </c>
      <c r="B5804" s="118" t="s">
        <v>205</v>
      </c>
      <c r="C5804" s="118" t="s">
        <v>206</v>
      </c>
      <c r="D5804" s="152" t="s">
        <v>6676</v>
      </c>
      <c r="E5804" s="152" t="s">
        <v>6683</v>
      </c>
      <c r="F5804" s="152" t="s">
        <v>325</v>
      </c>
      <c r="G5804" s="152" t="s">
        <v>2847</v>
      </c>
      <c r="H5804" s="153" t="s">
        <v>216</v>
      </c>
    </row>
    <row r="5805" hidden="1">
      <c r="A5805" s="154" t="s">
        <v>217</v>
      </c>
      <c r="B5805" s="155" t="s">
        <v>191</v>
      </c>
      <c r="C5805" s="155" t="s">
        <v>206</v>
      </c>
      <c r="D5805" s="156" t="s">
        <v>6676</v>
      </c>
      <c r="E5805" s="156" t="s">
        <v>6684</v>
      </c>
      <c r="F5805" s="156" t="s">
        <v>577</v>
      </c>
      <c r="G5805" s="156" t="s">
        <v>2219</v>
      </c>
      <c r="H5805" s="157" t="s">
        <v>210</v>
      </c>
    </row>
    <row r="5806" hidden="1">
      <c r="A5806" s="151" t="s">
        <v>217</v>
      </c>
      <c r="B5806" s="118" t="s">
        <v>191</v>
      </c>
      <c r="C5806" s="118" t="s">
        <v>206</v>
      </c>
      <c r="D5806" s="152" t="s">
        <v>6676</v>
      </c>
      <c r="E5806" s="152" t="s">
        <v>6685</v>
      </c>
      <c r="F5806" s="152" t="s">
        <v>312</v>
      </c>
      <c r="G5806" s="152" t="s">
        <v>2224</v>
      </c>
      <c r="H5806" s="153" t="s">
        <v>211</v>
      </c>
    </row>
    <row r="5807" hidden="1">
      <c r="A5807" s="154" t="s">
        <v>217</v>
      </c>
      <c r="B5807" s="155" t="s">
        <v>191</v>
      </c>
      <c r="C5807" s="155" t="s">
        <v>206</v>
      </c>
      <c r="D5807" s="156" t="s">
        <v>6676</v>
      </c>
      <c r="E5807" s="156" t="s">
        <v>6686</v>
      </c>
      <c r="F5807" s="156" t="s">
        <v>725</v>
      </c>
      <c r="G5807" s="156" t="s">
        <v>3400</v>
      </c>
      <c r="H5807" s="157" t="s">
        <v>212</v>
      </c>
    </row>
    <row r="5808" hidden="1">
      <c r="A5808" s="151" t="s">
        <v>217</v>
      </c>
      <c r="B5808" s="118" t="s">
        <v>191</v>
      </c>
      <c r="C5808" s="118" t="s">
        <v>206</v>
      </c>
      <c r="D5808" s="152" t="s">
        <v>6676</v>
      </c>
      <c r="E5808" s="152" t="s">
        <v>6687</v>
      </c>
      <c r="F5808" s="152" t="s">
        <v>1999</v>
      </c>
      <c r="G5808" s="152" t="s">
        <v>3394</v>
      </c>
      <c r="H5808" s="153" t="s">
        <v>213</v>
      </c>
    </row>
    <row r="5809" hidden="1">
      <c r="A5809" s="154" t="s">
        <v>217</v>
      </c>
      <c r="B5809" s="155" t="s">
        <v>191</v>
      </c>
      <c r="C5809" s="155" t="s">
        <v>206</v>
      </c>
      <c r="D5809" s="156" t="s">
        <v>6676</v>
      </c>
      <c r="E5809" s="156" t="s">
        <v>6688</v>
      </c>
      <c r="F5809" s="156" t="s">
        <v>478</v>
      </c>
      <c r="G5809" s="156" t="s">
        <v>2910</v>
      </c>
      <c r="H5809" s="157" t="s">
        <v>214</v>
      </c>
    </row>
    <row r="5810" hidden="1">
      <c r="A5810" s="151" t="s">
        <v>217</v>
      </c>
      <c r="B5810" s="118" t="s">
        <v>191</v>
      </c>
      <c r="C5810" s="118" t="s">
        <v>206</v>
      </c>
      <c r="D5810" s="152" t="s">
        <v>6676</v>
      </c>
      <c r="E5810" s="152" t="s">
        <v>6689</v>
      </c>
      <c r="F5810" s="152" t="s">
        <v>312</v>
      </c>
      <c r="G5810" s="152" t="s">
        <v>3230</v>
      </c>
      <c r="H5810" s="153" t="s">
        <v>215</v>
      </c>
    </row>
    <row r="5811" hidden="1">
      <c r="A5811" s="154" t="s">
        <v>217</v>
      </c>
      <c r="B5811" s="155" t="s">
        <v>191</v>
      </c>
      <c r="C5811" s="155" t="s">
        <v>206</v>
      </c>
      <c r="D5811" s="156" t="s">
        <v>6676</v>
      </c>
      <c r="E5811" s="156" t="s">
        <v>6690</v>
      </c>
      <c r="F5811" s="156" t="s">
        <v>577</v>
      </c>
      <c r="G5811" s="156" t="s">
        <v>2279</v>
      </c>
      <c r="H5811" s="157" t="s">
        <v>216</v>
      </c>
    </row>
    <row r="5812" hidden="1">
      <c r="A5812" s="151" t="s">
        <v>218</v>
      </c>
      <c r="B5812" s="118" t="s">
        <v>219</v>
      </c>
      <c r="C5812" s="118" t="s">
        <v>206</v>
      </c>
      <c r="D5812" s="152" t="s">
        <v>6676</v>
      </c>
      <c r="E5812" s="152" t="s">
        <v>6691</v>
      </c>
      <c r="F5812" s="152" t="s">
        <v>323</v>
      </c>
      <c r="G5812" s="152" t="s">
        <v>1918</v>
      </c>
      <c r="H5812" s="153" t="s">
        <v>210</v>
      </c>
    </row>
    <row r="5813" hidden="1">
      <c r="A5813" s="154" t="s">
        <v>218</v>
      </c>
      <c r="B5813" s="155" t="s">
        <v>219</v>
      </c>
      <c r="C5813" s="155" t="s">
        <v>206</v>
      </c>
      <c r="D5813" s="156" t="s">
        <v>6676</v>
      </c>
      <c r="E5813" s="156" t="s">
        <v>6692</v>
      </c>
      <c r="F5813" s="156" t="s">
        <v>323</v>
      </c>
      <c r="G5813" s="156" t="s">
        <v>3284</v>
      </c>
      <c r="H5813" s="157" t="s">
        <v>211</v>
      </c>
    </row>
    <row r="5814" hidden="1">
      <c r="A5814" s="151" t="s">
        <v>218</v>
      </c>
      <c r="B5814" s="118" t="s">
        <v>219</v>
      </c>
      <c r="C5814" s="118" t="s">
        <v>206</v>
      </c>
      <c r="D5814" s="152" t="s">
        <v>6676</v>
      </c>
      <c r="E5814" s="152" t="s">
        <v>6693</v>
      </c>
      <c r="F5814" s="152" t="s">
        <v>287</v>
      </c>
      <c r="G5814" s="152" t="s">
        <v>1918</v>
      </c>
      <c r="H5814" s="153" t="s">
        <v>212</v>
      </c>
    </row>
    <row r="5815" hidden="1">
      <c r="A5815" s="154" t="s">
        <v>218</v>
      </c>
      <c r="B5815" s="155" t="s">
        <v>219</v>
      </c>
      <c r="C5815" s="155" t="s">
        <v>206</v>
      </c>
      <c r="D5815" s="156" t="s">
        <v>6676</v>
      </c>
      <c r="E5815" s="156" t="s">
        <v>6694</v>
      </c>
      <c r="F5815" s="156" t="s">
        <v>246</v>
      </c>
      <c r="G5815" s="156" t="s">
        <v>3287</v>
      </c>
      <c r="H5815" s="157" t="s">
        <v>213</v>
      </c>
    </row>
    <row r="5816" hidden="1">
      <c r="A5816" s="151" t="s">
        <v>218</v>
      </c>
      <c r="B5816" s="118" t="s">
        <v>219</v>
      </c>
      <c r="C5816" s="118" t="s">
        <v>206</v>
      </c>
      <c r="D5816" s="152" t="s">
        <v>6676</v>
      </c>
      <c r="E5816" s="152" t="s">
        <v>6695</v>
      </c>
      <c r="F5816" s="152" t="s">
        <v>257</v>
      </c>
      <c r="G5816" s="152" t="s">
        <v>2134</v>
      </c>
      <c r="H5816" s="153" t="s">
        <v>214</v>
      </c>
    </row>
    <row r="5817" hidden="1">
      <c r="A5817" s="154" t="s">
        <v>218</v>
      </c>
      <c r="B5817" s="155" t="s">
        <v>219</v>
      </c>
      <c r="C5817" s="155" t="s">
        <v>206</v>
      </c>
      <c r="D5817" s="156" t="s">
        <v>6676</v>
      </c>
      <c r="E5817" s="156" t="s">
        <v>6696</v>
      </c>
      <c r="F5817" s="156" t="s">
        <v>492</v>
      </c>
      <c r="G5817" s="156" t="s">
        <v>2405</v>
      </c>
      <c r="H5817" s="157" t="s">
        <v>215</v>
      </c>
    </row>
    <row r="5818" hidden="1">
      <c r="A5818" s="151" t="s">
        <v>218</v>
      </c>
      <c r="B5818" s="118" t="s">
        <v>219</v>
      </c>
      <c r="C5818" s="118" t="s">
        <v>206</v>
      </c>
      <c r="D5818" s="152" t="s">
        <v>6676</v>
      </c>
      <c r="E5818" s="152" t="s">
        <v>6697</v>
      </c>
      <c r="F5818" s="152" t="s">
        <v>357</v>
      </c>
      <c r="G5818" s="152" t="s">
        <v>1944</v>
      </c>
      <c r="H5818" s="153" t="s">
        <v>216</v>
      </c>
    </row>
    <row r="5819" hidden="1">
      <c r="A5819" s="154" t="s">
        <v>220</v>
      </c>
      <c r="B5819" s="155" t="s">
        <v>190</v>
      </c>
      <c r="C5819" s="155" t="s">
        <v>206</v>
      </c>
      <c r="D5819" s="156" t="s">
        <v>6676</v>
      </c>
      <c r="E5819" s="156" t="s">
        <v>6698</v>
      </c>
      <c r="F5819" s="156" t="s">
        <v>390</v>
      </c>
      <c r="G5819" s="156" t="s">
        <v>3905</v>
      </c>
      <c r="H5819" s="157" t="s">
        <v>210</v>
      </c>
    </row>
    <row r="5820" hidden="1">
      <c r="A5820" s="151" t="s">
        <v>220</v>
      </c>
      <c r="B5820" s="118" t="s">
        <v>190</v>
      </c>
      <c r="C5820" s="118" t="s">
        <v>206</v>
      </c>
      <c r="D5820" s="152" t="s">
        <v>6676</v>
      </c>
      <c r="E5820" s="152" t="s">
        <v>6699</v>
      </c>
      <c r="F5820" s="152" t="s">
        <v>2607</v>
      </c>
      <c r="G5820" s="152" t="s">
        <v>4582</v>
      </c>
      <c r="H5820" s="153" t="s">
        <v>211</v>
      </c>
    </row>
    <row r="5821" hidden="1">
      <c r="A5821" s="154" t="s">
        <v>220</v>
      </c>
      <c r="B5821" s="155" t="s">
        <v>190</v>
      </c>
      <c r="C5821" s="155" t="s">
        <v>206</v>
      </c>
      <c r="D5821" s="156" t="s">
        <v>6676</v>
      </c>
      <c r="E5821" s="156" t="s">
        <v>6700</v>
      </c>
      <c r="F5821" s="156" t="s">
        <v>532</v>
      </c>
      <c r="G5821" s="156" t="s">
        <v>3205</v>
      </c>
      <c r="H5821" s="157" t="s">
        <v>212</v>
      </c>
    </row>
    <row r="5822" hidden="1">
      <c r="A5822" s="151" t="s">
        <v>220</v>
      </c>
      <c r="B5822" s="118" t="s">
        <v>190</v>
      </c>
      <c r="C5822" s="118" t="s">
        <v>206</v>
      </c>
      <c r="D5822" s="152" t="s">
        <v>6676</v>
      </c>
      <c r="E5822" s="152" t="s">
        <v>6701</v>
      </c>
      <c r="F5822" s="152" t="s">
        <v>1929</v>
      </c>
      <c r="G5822" s="152" t="s">
        <v>3783</v>
      </c>
      <c r="H5822" s="153" t="s">
        <v>213</v>
      </c>
    </row>
    <row r="5823" hidden="1">
      <c r="A5823" s="154" t="s">
        <v>220</v>
      </c>
      <c r="B5823" s="155" t="s">
        <v>190</v>
      </c>
      <c r="C5823" s="155" t="s">
        <v>206</v>
      </c>
      <c r="D5823" s="156" t="s">
        <v>6676</v>
      </c>
      <c r="E5823" s="156" t="s">
        <v>6702</v>
      </c>
      <c r="F5823" s="156" t="s">
        <v>314</v>
      </c>
      <c r="G5823" s="156" t="s">
        <v>4085</v>
      </c>
      <c r="H5823" s="157" t="s">
        <v>214</v>
      </c>
    </row>
    <row r="5824" hidden="1">
      <c r="A5824" s="151" t="s">
        <v>220</v>
      </c>
      <c r="B5824" s="118" t="s">
        <v>190</v>
      </c>
      <c r="C5824" s="118" t="s">
        <v>206</v>
      </c>
      <c r="D5824" s="152" t="s">
        <v>6676</v>
      </c>
      <c r="E5824" s="152" t="s">
        <v>6703</v>
      </c>
      <c r="F5824" s="152" t="s">
        <v>725</v>
      </c>
      <c r="G5824" s="152" t="s">
        <v>3154</v>
      </c>
      <c r="H5824" s="153" t="s">
        <v>215</v>
      </c>
    </row>
    <row r="5825" hidden="1">
      <c r="A5825" s="154" t="s">
        <v>220</v>
      </c>
      <c r="B5825" s="155" t="s">
        <v>190</v>
      </c>
      <c r="C5825" s="155" t="s">
        <v>206</v>
      </c>
      <c r="D5825" s="156" t="s">
        <v>6676</v>
      </c>
      <c r="E5825" s="156" t="s">
        <v>6704</v>
      </c>
      <c r="F5825" s="156" t="s">
        <v>390</v>
      </c>
      <c r="G5825" s="156" t="s">
        <v>4297</v>
      </c>
      <c r="H5825" s="157" t="s">
        <v>216</v>
      </c>
    </row>
    <row r="5826" hidden="1">
      <c r="A5826" s="151" t="s">
        <v>221</v>
      </c>
      <c r="B5826" s="118" t="s">
        <v>189</v>
      </c>
      <c r="C5826" s="118" t="s">
        <v>206</v>
      </c>
      <c r="D5826" s="152" t="s">
        <v>6676</v>
      </c>
      <c r="E5826" s="152" t="s">
        <v>6705</v>
      </c>
      <c r="F5826" s="152" t="s">
        <v>285</v>
      </c>
      <c r="G5826" s="152" t="s">
        <v>2435</v>
      </c>
      <c r="H5826" s="153" t="s">
        <v>210</v>
      </c>
    </row>
    <row r="5827" hidden="1">
      <c r="A5827" s="154" t="s">
        <v>221</v>
      </c>
      <c r="B5827" s="155" t="s">
        <v>189</v>
      </c>
      <c r="C5827" s="155" t="s">
        <v>206</v>
      </c>
      <c r="D5827" s="156" t="s">
        <v>6676</v>
      </c>
      <c r="E5827" s="156" t="s">
        <v>6706</v>
      </c>
      <c r="F5827" s="156" t="s">
        <v>249</v>
      </c>
      <c r="G5827" s="156" t="s">
        <v>5849</v>
      </c>
      <c r="H5827" s="157" t="s">
        <v>211</v>
      </c>
    </row>
    <row r="5828" hidden="1">
      <c r="A5828" s="151" t="s">
        <v>221</v>
      </c>
      <c r="B5828" s="118" t="s">
        <v>189</v>
      </c>
      <c r="C5828" s="118" t="s">
        <v>206</v>
      </c>
      <c r="D5828" s="152" t="s">
        <v>6676</v>
      </c>
      <c r="E5828" s="152" t="s">
        <v>6707</v>
      </c>
      <c r="F5828" s="152" t="s">
        <v>308</v>
      </c>
      <c r="G5828" s="152" t="s">
        <v>2011</v>
      </c>
      <c r="H5828" s="153" t="s">
        <v>212</v>
      </c>
    </row>
    <row r="5829" hidden="1">
      <c r="A5829" s="154" t="s">
        <v>221</v>
      </c>
      <c r="B5829" s="155" t="s">
        <v>189</v>
      </c>
      <c r="C5829" s="155" t="s">
        <v>206</v>
      </c>
      <c r="D5829" s="156" t="s">
        <v>6676</v>
      </c>
      <c r="E5829" s="156" t="s">
        <v>6708</v>
      </c>
      <c r="F5829" s="156" t="s">
        <v>287</v>
      </c>
      <c r="G5829" s="156" t="s">
        <v>1948</v>
      </c>
      <c r="H5829" s="157" t="s">
        <v>213</v>
      </c>
    </row>
    <row r="5830" hidden="1">
      <c r="A5830" s="151" t="s">
        <v>221</v>
      </c>
      <c r="B5830" s="118" t="s">
        <v>189</v>
      </c>
      <c r="C5830" s="118" t="s">
        <v>206</v>
      </c>
      <c r="D5830" s="152" t="s">
        <v>6676</v>
      </c>
      <c r="E5830" s="152" t="s">
        <v>6709</v>
      </c>
      <c r="F5830" s="152" t="s">
        <v>308</v>
      </c>
      <c r="G5830" s="152" t="s">
        <v>6194</v>
      </c>
      <c r="H5830" s="153" t="s">
        <v>214</v>
      </c>
    </row>
    <row r="5831" hidden="1">
      <c r="A5831" s="154" t="s">
        <v>221</v>
      </c>
      <c r="B5831" s="155" t="s">
        <v>189</v>
      </c>
      <c r="C5831" s="155" t="s">
        <v>206</v>
      </c>
      <c r="D5831" s="156" t="s">
        <v>6676</v>
      </c>
      <c r="E5831" s="156" t="s">
        <v>6710</v>
      </c>
      <c r="F5831" s="156" t="s">
        <v>249</v>
      </c>
      <c r="G5831" s="156" t="s">
        <v>1806</v>
      </c>
      <c r="H5831" s="157" t="s">
        <v>215</v>
      </c>
    </row>
    <row r="5832" hidden="1">
      <c r="A5832" s="151" t="s">
        <v>221</v>
      </c>
      <c r="B5832" s="118" t="s">
        <v>189</v>
      </c>
      <c r="C5832" s="118" t="s">
        <v>206</v>
      </c>
      <c r="D5832" s="152" t="s">
        <v>6676</v>
      </c>
      <c r="E5832" s="152" t="s">
        <v>6711</v>
      </c>
      <c r="F5832" s="152" t="s">
        <v>359</v>
      </c>
      <c r="G5832" s="152" t="s">
        <v>2193</v>
      </c>
      <c r="H5832" s="153" t="s">
        <v>216</v>
      </c>
    </row>
    <row r="5833" hidden="1">
      <c r="A5833" s="154" t="s">
        <v>222</v>
      </c>
      <c r="B5833" s="155" t="s">
        <v>192</v>
      </c>
      <c r="C5833" s="155" t="s">
        <v>206</v>
      </c>
      <c r="D5833" s="156" t="s">
        <v>6676</v>
      </c>
      <c r="E5833" s="156" t="s">
        <v>6712</v>
      </c>
      <c r="F5833" s="156" t="s">
        <v>312</v>
      </c>
      <c r="G5833" s="156" t="s">
        <v>2452</v>
      </c>
      <c r="H5833" s="157" t="s">
        <v>210</v>
      </c>
    </row>
    <row r="5834" hidden="1">
      <c r="A5834" s="151" t="s">
        <v>222</v>
      </c>
      <c r="B5834" s="118" t="s">
        <v>192</v>
      </c>
      <c r="C5834" s="118" t="s">
        <v>206</v>
      </c>
      <c r="D5834" s="152" t="s">
        <v>6676</v>
      </c>
      <c r="E5834" s="152" t="s">
        <v>6713</v>
      </c>
      <c r="F5834" s="152" t="s">
        <v>354</v>
      </c>
      <c r="G5834" s="152" t="s">
        <v>3587</v>
      </c>
      <c r="H5834" s="153" t="s">
        <v>211</v>
      </c>
    </row>
    <row r="5835" hidden="1">
      <c r="A5835" s="154" t="s">
        <v>222</v>
      </c>
      <c r="B5835" s="155" t="s">
        <v>192</v>
      </c>
      <c r="C5835" s="155" t="s">
        <v>206</v>
      </c>
      <c r="D5835" s="156" t="s">
        <v>6676</v>
      </c>
      <c r="E5835" s="156" t="s">
        <v>6714</v>
      </c>
      <c r="F5835" s="156" t="s">
        <v>423</v>
      </c>
      <c r="G5835" s="156" t="s">
        <v>4305</v>
      </c>
      <c r="H5835" s="157" t="s">
        <v>212</v>
      </c>
    </row>
    <row r="5836" hidden="1">
      <c r="A5836" s="151" t="s">
        <v>222</v>
      </c>
      <c r="B5836" s="118" t="s">
        <v>192</v>
      </c>
      <c r="C5836" s="118" t="s">
        <v>206</v>
      </c>
      <c r="D5836" s="152" t="s">
        <v>6676</v>
      </c>
      <c r="E5836" s="152" t="s">
        <v>6715</v>
      </c>
      <c r="F5836" s="152" t="s">
        <v>478</v>
      </c>
      <c r="G5836" s="152" t="s">
        <v>1834</v>
      </c>
      <c r="H5836" s="153" t="s">
        <v>213</v>
      </c>
    </row>
    <row r="5837" hidden="1">
      <c r="A5837" s="154" t="s">
        <v>222</v>
      </c>
      <c r="B5837" s="155" t="s">
        <v>192</v>
      </c>
      <c r="C5837" s="155" t="s">
        <v>206</v>
      </c>
      <c r="D5837" s="156" t="s">
        <v>6676</v>
      </c>
      <c r="E5837" s="156" t="s">
        <v>6716</v>
      </c>
      <c r="F5837" s="156" t="s">
        <v>336</v>
      </c>
      <c r="G5837" s="156" t="s">
        <v>2779</v>
      </c>
      <c r="H5837" s="157" t="s">
        <v>214</v>
      </c>
    </row>
    <row r="5838" hidden="1">
      <c r="A5838" s="151" t="s">
        <v>222</v>
      </c>
      <c r="B5838" s="118" t="s">
        <v>192</v>
      </c>
      <c r="C5838" s="118" t="s">
        <v>206</v>
      </c>
      <c r="D5838" s="152" t="s">
        <v>6676</v>
      </c>
      <c r="E5838" s="152" t="s">
        <v>6717</v>
      </c>
      <c r="F5838" s="152" t="s">
        <v>483</v>
      </c>
      <c r="G5838" s="152" t="s">
        <v>3364</v>
      </c>
      <c r="H5838" s="153" t="s">
        <v>215</v>
      </c>
    </row>
    <row r="5839" hidden="1">
      <c r="A5839" s="154" t="s">
        <v>222</v>
      </c>
      <c r="B5839" s="155" t="s">
        <v>192</v>
      </c>
      <c r="C5839" s="155" t="s">
        <v>206</v>
      </c>
      <c r="D5839" s="156" t="s">
        <v>6676</v>
      </c>
      <c r="E5839" s="156" t="s">
        <v>6718</v>
      </c>
      <c r="F5839" s="156" t="s">
        <v>725</v>
      </c>
      <c r="G5839" s="156" t="s">
        <v>2134</v>
      </c>
      <c r="H5839" s="157" t="s">
        <v>216</v>
      </c>
    </row>
    <row r="5840" hidden="1">
      <c r="A5840" s="151" t="s">
        <v>223</v>
      </c>
      <c r="B5840" s="118" t="s">
        <v>144</v>
      </c>
      <c r="C5840" s="118" t="s">
        <v>206</v>
      </c>
      <c r="D5840" s="152" t="s">
        <v>6676</v>
      </c>
      <c r="E5840" s="152" t="s">
        <v>6719</v>
      </c>
      <c r="F5840" s="152" t="s">
        <v>321</v>
      </c>
      <c r="G5840" s="152" t="s">
        <v>1818</v>
      </c>
      <c r="H5840" s="153" t="s">
        <v>210</v>
      </c>
    </row>
    <row r="5841" hidden="1">
      <c r="A5841" s="154" t="s">
        <v>223</v>
      </c>
      <c r="B5841" s="155" t="s">
        <v>144</v>
      </c>
      <c r="C5841" s="155" t="s">
        <v>206</v>
      </c>
      <c r="D5841" s="156" t="s">
        <v>6676</v>
      </c>
      <c r="E5841" s="156" t="s">
        <v>6720</v>
      </c>
      <c r="F5841" s="156" t="s">
        <v>427</v>
      </c>
      <c r="G5841" s="156" t="s">
        <v>2067</v>
      </c>
      <c r="H5841" s="157" t="s">
        <v>211</v>
      </c>
    </row>
    <row r="5842" hidden="1">
      <c r="A5842" s="151" t="s">
        <v>223</v>
      </c>
      <c r="B5842" s="118" t="s">
        <v>144</v>
      </c>
      <c r="C5842" s="118" t="s">
        <v>206</v>
      </c>
      <c r="D5842" s="152" t="s">
        <v>6676</v>
      </c>
      <c r="E5842" s="152" t="s">
        <v>6721</v>
      </c>
      <c r="F5842" s="152" t="s">
        <v>290</v>
      </c>
      <c r="G5842" s="152" t="s">
        <v>3151</v>
      </c>
      <c r="H5842" s="153" t="s">
        <v>212</v>
      </c>
    </row>
    <row r="5843" hidden="1">
      <c r="A5843" s="154" t="s">
        <v>223</v>
      </c>
      <c r="B5843" s="155" t="s">
        <v>144</v>
      </c>
      <c r="C5843" s="155" t="s">
        <v>206</v>
      </c>
      <c r="D5843" s="156" t="s">
        <v>6676</v>
      </c>
      <c r="E5843" s="156" t="s">
        <v>6722</v>
      </c>
      <c r="F5843" s="156" t="s">
        <v>336</v>
      </c>
      <c r="G5843" s="156" t="s">
        <v>3360</v>
      </c>
      <c r="H5843" s="157" t="s">
        <v>213</v>
      </c>
    </row>
    <row r="5844" hidden="1">
      <c r="A5844" s="151" t="s">
        <v>223</v>
      </c>
      <c r="B5844" s="118" t="s">
        <v>144</v>
      </c>
      <c r="C5844" s="118" t="s">
        <v>206</v>
      </c>
      <c r="D5844" s="152" t="s">
        <v>6676</v>
      </c>
      <c r="E5844" s="152" t="s">
        <v>6723</v>
      </c>
      <c r="F5844" s="152" t="s">
        <v>329</v>
      </c>
      <c r="G5844" s="152" t="s">
        <v>1951</v>
      </c>
      <c r="H5844" s="153" t="s">
        <v>214</v>
      </c>
    </row>
    <row r="5845" hidden="1">
      <c r="A5845" s="154" t="s">
        <v>223</v>
      </c>
      <c r="B5845" s="155" t="s">
        <v>144</v>
      </c>
      <c r="C5845" s="155" t="s">
        <v>206</v>
      </c>
      <c r="D5845" s="156" t="s">
        <v>6676</v>
      </c>
      <c r="E5845" s="156" t="s">
        <v>6724</v>
      </c>
      <c r="F5845" s="156" t="s">
        <v>427</v>
      </c>
      <c r="G5845" s="156" t="s">
        <v>2452</v>
      </c>
      <c r="H5845" s="157" t="s">
        <v>215</v>
      </c>
    </row>
    <row r="5846" hidden="1">
      <c r="A5846" s="151" t="s">
        <v>223</v>
      </c>
      <c r="B5846" s="118" t="s">
        <v>144</v>
      </c>
      <c r="C5846" s="118" t="s">
        <v>206</v>
      </c>
      <c r="D5846" s="152" t="s">
        <v>6676</v>
      </c>
      <c r="E5846" s="152" t="s">
        <v>6725</v>
      </c>
      <c r="F5846" s="152" t="s">
        <v>310</v>
      </c>
      <c r="G5846" s="152" t="s">
        <v>2410</v>
      </c>
      <c r="H5846" s="153" t="s">
        <v>216</v>
      </c>
    </row>
    <row r="5847" hidden="1">
      <c r="A5847" s="154" t="s">
        <v>224</v>
      </c>
      <c r="B5847" s="155" t="s">
        <v>170</v>
      </c>
      <c r="C5847" s="155" t="s">
        <v>206</v>
      </c>
      <c r="D5847" s="156" t="s">
        <v>6676</v>
      </c>
      <c r="E5847" s="156" t="s">
        <v>6726</v>
      </c>
      <c r="F5847" s="156" t="s">
        <v>329</v>
      </c>
      <c r="G5847" s="156" t="s">
        <v>2925</v>
      </c>
      <c r="H5847" s="157" t="s">
        <v>210</v>
      </c>
    </row>
    <row r="5848" hidden="1">
      <c r="A5848" s="151" t="s">
        <v>224</v>
      </c>
      <c r="B5848" s="118" t="s">
        <v>170</v>
      </c>
      <c r="C5848" s="118" t="s">
        <v>206</v>
      </c>
      <c r="D5848" s="152" t="s">
        <v>6676</v>
      </c>
      <c r="E5848" s="152" t="s">
        <v>6727</v>
      </c>
      <c r="F5848" s="152" t="s">
        <v>354</v>
      </c>
      <c r="G5848" s="152" t="s">
        <v>2119</v>
      </c>
      <c r="H5848" s="153" t="s">
        <v>211</v>
      </c>
    </row>
    <row r="5849" hidden="1">
      <c r="A5849" s="154" t="s">
        <v>224</v>
      </c>
      <c r="B5849" s="155" t="s">
        <v>170</v>
      </c>
      <c r="C5849" s="155" t="s">
        <v>206</v>
      </c>
      <c r="D5849" s="156" t="s">
        <v>6676</v>
      </c>
      <c r="E5849" s="156" t="s">
        <v>6728</v>
      </c>
      <c r="F5849" s="156" t="s">
        <v>425</v>
      </c>
      <c r="G5849" s="156" t="s">
        <v>2307</v>
      </c>
      <c r="H5849" s="157" t="s">
        <v>212</v>
      </c>
    </row>
    <row r="5850" hidden="1">
      <c r="A5850" s="151" t="s">
        <v>224</v>
      </c>
      <c r="B5850" s="118" t="s">
        <v>170</v>
      </c>
      <c r="C5850" s="118" t="s">
        <v>206</v>
      </c>
      <c r="D5850" s="152" t="s">
        <v>6676</v>
      </c>
      <c r="E5850" s="152" t="s">
        <v>6729</v>
      </c>
      <c r="F5850" s="152" t="s">
        <v>450</v>
      </c>
      <c r="G5850" s="152" t="s">
        <v>2467</v>
      </c>
      <c r="H5850" s="153" t="s">
        <v>213</v>
      </c>
    </row>
    <row r="5851" hidden="1">
      <c r="A5851" s="154" t="s">
        <v>224</v>
      </c>
      <c r="B5851" s="155" t="s">
        <v>170</v>
      </c>
      <c r="C5851" s="155" t="s">
        <v>206</v>
      </c>
      <c r="D5851" s="156" t="s">
        <v>6676</v>
      </c>
      <c r="E5851" s="156" t="s">
        <v>6730</v>
      </c>
      <c r="F5851" s="156" t="s">
        <v>312</v>
      </c>
      <c r="G5851" s="156" t="s">
        <v>3503</v>
      </c>
      <c r="H5851" s="157" t="s">
        <v>214</v>
      </c>
    </row>
    <row r="5852" hidden="1">
      <c r="A5852" s="151" t="s">
        <v>224</v>
      </c>
      <c r="B5852" s="118" t="s">
        <v>170</v>
      </c>
      <c r="C5852" s="118" t="s">
        <v>206</v>
      </c>
      <c r="D5852" s="152" t="s">
        <v>6676</v>
      </c>
      <c r="E5852" s="152" t="s">
        <v>6731</v>
      </c>
      <c r="F5852" s="152" t="s">
        <v>351</v>
      </c>
      <c r="G5852" s="152" t="s">
        <v>2923</v>
      </c>
      <c r="H5852" s="153" t="s">
        <v>215</v>
      </c>
    </row>
    <row r="5853" hidden="1">
      <c r="A5853" s="154" t="s">
        <v>224</v>
      </c>
      <c r="B5853" s="155" t="s">
        <v>170</v>
      </c>
      <c r="C5853" s="155" t="s">
        <v>206</v>
      </c>
      <c r="D5853" s="156" t="s">
        <v>6676</v>
      </c>
      <c r="E5853" s="156" t="s">
        <v>6732</v>
      </c>
      <c r="F5853" s="156" t="s">
        <v>799</v>
      </c>
      <c r="G5853" s="156" t="s">
        <v>1951</v>
      </c>
      <c r="H5853" s="157" t="s">
        <v>216</v>
      </c>
    </row>
    <row r="5854" hidden="1">
      <c r="A5854" s="151" t="s">
        <v>225</v>
      </c>
      <c r="B5854" s="118" t="s">
        <v>226</v>
      </c>
      <c r="C5854" s="118" t="s">
        <v>206</v>
      </c>
      <c r="D5854" s="152" t="s">
        <v>6676</v>
      </c>
      <c r="E5854" s="152" t="s">
        <v>6733</v>
      </c>
      <c r="F5854" s="152" t="s">
        <v>433</v>
      </c>
      <c r="G5854" s="152" t="s">
        <v>1810</v>
      </c>
      <c r="H5854" s="153" t="s">
        <v>210</v>
      </c>
    </row>
    <row r="5855" hidden="1">
      <c r="A5855" s="154" t="s">
        <v>225</v>
      </c>
      <c r="B5855" s="155" t="s">
        <v>226</v>
      </c>
      <c r="C5855" s="155" t="s">
        <v>206</v>
      </c>
      <c r="D5855" s="156" t="s">
        <v>6676</v>
      </c>
      <c r="E5855" s="156" t="s">
        <v>6734</v>
      </c>
      <c r="F5855" s="156" t="s">
        <v>262</v>
      </c>
      <c r="G5855" s="156" t="s">
        <v>2901</v>
      </c>
      <c r="H5855" s="157" t="s">
        <v>211</v>
      </c>
    </row>
    <row r="5856" hidden="1">
      <c r="A5856" s="151" t="s">
        <v>225</v>
      </c>
      <c r="B5856" s="118" t="s">
        <v>226</v>
      </c>
      <c r="C5856" s="118" t="s">
        <v>206</v>
      </c>
      <c r="D5856" s="152" t="s">
        <v>6676</v>
      </c>
      <c r="E5856" s="152" t="s">
        <v>6735</v>
      </c>
      <c r="F5856" s="152" t="s">
        <v>436</v>
      </c>
      <c r="G5856" s="152" t="s">
        <v>635</v>
      </c>
      <c r="H5856" s="153" t="s">
        <v>212</v>
      </c>
    </row>
    <row r="5857" hidden="1">
      <c r="A5857" s="154" t="s">
        <v>225</v>
      </c>
      <c r="B5857" s="155" t="s">
        <v>226</v>
      </c>
      <c r="C5857" s="155" t="s">
        <v>206</v>
      </c>
      <c r="D5857" s="156" t="s">
        <v>6676</v>
      </c>
      <c r="E5857" s="156" t="s">
        <v>6736</v>
      </c>
      <c r="F5857" s="156" t="s">
        <v>1114</v>
      </c>
      <c r="G5857" s="156" t="s">
        <v>1955</v>
      </c>
      <c r="H5857" s="157" t="s">
        <v>213</v>
      </c>
    </row>
    <row r="5858" hidden="1">
      <c r="A5858" s="151" t="s">
        <v>225</v>
      </c>
      <c r="B5858" s="118" t="s">
        <v>226</v>
      </c>
      <c r="C5858" s="118" t="s">
        <v>206</v>
      </c>
      <c r="D5858" s="152" t="s">
        <v>6676</v>
      </c>
      <c r="E5858" s="152" t="s">
        <v>6737</v>
      </c>
      <c r="F5858" s="152" t="s">
        <v>492</v>
      </c>
      <c r="G5858" s="152" t="s">
        <v>2534</v>
      </c>
      <c r="H5858" s="153" t="s">
        <v>214</v>
      </c>
    </row>
    <row r="5859" hidden="1">
      <c r="A5859" s="154" t="s">
        <v>225</v>
      </c>
      <c r="B5859" s="155" t="s">
        <v>226</v>
      </c>
      <c r="C5859" s="155" t="s">
        <v>206</v>
      </c>
      <c r="D5859" s="156" t="s">
        <v>6676</v>
      </c>
      <c r="E5859" s="156" t="s">
        <v>6738</v>
      </c>
      <c r="F5859" s="156" t="s">
        <v>276</v>
      </c>
      <c r="G5859" s="156" t="s">
        <v>2366</v>
      </c>
      <c r="H5859" s="157" t="s">
        <v>215</v>
      </c>
    </row>
    <row r="5860" hidden="1">
      <c r="A5860" s="151" t="s">
        <v>225</v>
      </c>
      <c r="B5860" s="118" t="s">
        <v>226</v>
      </c>
      <c r="C5860" s="118" t="s">
        <v>206</v>
      </c>
      <c r="D5860" s="152" t="s">
        <v>6676</v>
      </c>
      <c r="E5860" s="152" t="s">
        <v>6739</v>
      </c>
      <c r="F5860" s="152" t="s">
        <v>279</v>
      </c>
      <c r="G5860" s="152" t="s">
        <v>2534</v>
      </c>
      <c r="H5860" s="153" t="s">
        <v>216</v>
      </c>
    </row>
    <row r="5861" hidden="1">
      <c r="A5861" s="154" t="s">
        <v>227</v>
      </c>
      <c r="B5861" s="155" t="s">
        <v>195</v>
      </c>
      <c r="C5861" s="155" t="s">
        <v>206</v>
      </c>
      <c r="D5861" s="156" t="s">
        <v>6676</v>
      </c>
      <c r="E5861" s="156" t="s">
        <v>6740</v>
      </c>
      <c r="F5861" s="156" t="s">
        <v>321</v>
      </c>
      <c r="G5861" s="156" t="s">
        <v>1782</v>
      </c>
      <c r="H5861" s="157" t="s">
        <v>210</v>
      </c>
    </row>
    <row r="5862" hidden="1">
      <c r="A5862" s="151" t="s">
        <v>227</v>
      </c>
      <c r="B5862" s="118" t="s">
        <v>195</v>
      </c>
      <c r="C5862" s="118" t="s">
        <v>206</v>
      </c>
      <c r="D5862" s="152" t="s">
        <v>6676</v>
      </c>
      <c r="E5862" s="152" t="s">
        <v>6741</v>
      </c>
      <c r="F5862" s="152" t="s">
        <v>534</v>
      </c>
      <c r="G5862" s="152" t="s">
        <v>2307</v>
      </c>
      <c r="H5862" s="153" t="s">
        <v>211</v>
      </c>
    </row>
    <row r="5863" hidden="1">
      <c r="A5863" s="154" t="s">
        <v>227</v>
      </c>
      <c r="B5863" s="155" t="s">
        <v>195</v>
      </c>
      <c r="C5863" s="155" t="s">
        <v>206</v>
      </c>
      <c r="D5863" s="156" t="s">
        <v>6676</v>
      </c>
      <c r="E5863" s="156" t="s">
        <v>6742</v>
      </c>
      <c r="F5863" s="156" t="s">
        <v>290</v>
      </c>
      <c r="G5863" s="156" t="s">
        <v>3443</v>
      </c>
      <c r="H5863" s="157" t="s">
        <v>212</v>
      </c>
    </row>
    <row r="5864" hidden="1">
      <c r="A5864" s="151" t="s">
        <v>227</v>
      </c>
      <c r="B5864" s="118" t="s">
        <v>195</v>
      </c>
      <c r="C5864" s="118" t="s">
        <v>206</v>
      </c>
      <c r="D5864" s="152" t="s">
        <v>6676</v>
      </c>
      <c r="E5864" s="152" t="s">
        <v>6743</v>
      </c>
      <c r="F5864" s="152" t="s">
        <v>262</v>
      </c>
      <c r="G5864" s="152" t="s">
        <v>3356</v>
      </c>
      <c r="H5864" s="153" t="s">
        <v>213</v>
      </c>
    </row>
    <row r="5865" hidden="1">
      <c r="A5865" s="154" t="s">
        <v>227</v>
      </c>
      <c r="B5865" s="155" t="s">
        <v>195</v>
      </c>
      <c r="C5865" s="155" t="s">
        <v>206</v>
      </c>
      <c r="D5865" s="156" t="s">
        <v>6676</v>
      </c>
      <c r="E5865" s="156" t="s">
        <v>6744</v>
      </c>
      <c r="F5865" s="156" t="s">
        <v>310</v>
      </c>
      <c r="G5865" s="156" t="s">
        <v>2758</v>
      </c>
      <c r="H5865" s="157" t="s">
        <v>214</v>
      </c>
    </row>
    <row r="5866" hidden="1">
      <c r="A5866" s="151" t="s">
        <v>227</v>
      </c>
      <c r="B5866" s="118" t="s">
        <v>195</v>
      </c>
      <c r="C5866" s="118" t="s">
        <v>206</v>
      </c>
      <c r="D5866" s="152" t="s">
        <v>6676</v>
      </c>
      <c r="E5866" s="152" t="s">
        <v>6745</v>
      </c>
      <c r="F5866" s="152" t="s">
        <v>534</v>
      </c>
      <c r="G5866" s="152" t="s">
        <v>2455</v>
      </c>
      <c r="H5866" s="153" t="s">
        <v>215</v>
      </c>
    </row>
    <row r="5867" hidden="1">
      <c r="A5867" s="154" t="s">
        <v>227</v>
      </c>
      <c r="B5867" s="155" t="s">
        <v>195</v>
      </c>
      <c r="C5867" s="155" t="s">
        <v>206</v>
      </c>
      <c r="D5867" s="156" t="s">
        <v>6676</v>
      </c>
      <c r="E5867" s="156" t="s">
        <v>6746</v>
      </c>
      <c r="F5867" s="156" t="s">
        <v>249</v>
      </c>
      <c r="G5867" s="156" t="s">
        <v>3003</v>
      </c>
      <c r="H5867" s="157" t="s">
        <v>216</v>
      </c>
    </row>
    <row r="5868" hidden="1">
      <c r="A5868" s="151" t="s">
        <v>228</v>
      </c>
      <c r="B5868" s="118" t="s">
        <v>138</v>
      </c>
      <c r="C5868" s="118" t="s">
        <v>206</v>
      </c>
      <c r="D5868" s="152" t="s">
        <v>6676</v>
      </c>
      <c r="E5868" s="152" t="s">
        <v>6747</v>
      </c>
      <c r="F5868" s="152" t="s">
        <v>204</v>
      </c>
      <c r="G5868" s="152" t="s">
        <v>2070</v>
      </c>
      <c r="H5868" s="153" t="s">
        <v>210</v>
      </c>
    </row>
    <row r="5869" hidden="1">
      <c r="A5869" s="154" t="s">
        <v>228</v>
      </c>
      <c r="B5869" s="155" t="s">
        <v>138</v>
      </c>
      <c r="C5869" s="155" t="s">
        <v>206</v>
      </c>
      <c r="D5869" s="156" t="s">
        <v>6676</v>
      </c>
      <c r="E5869" s="156" t="s">
        <v>6748</v>
      </c>
      <c r="F5869" s="156" t="s">
        <v>458</v>
      </c>
      <c r="G5869" s="156" t="s">
        <v>2072</v>
      </c>
      <c r="H5869" s="157" t="s">
        <v>211</v>
      </c>
    </row>
    <row r="5870" hidden="1">
      <c r="A5870" s="151" t="s">
        <v>228</v>
      </c>
      <c r="B5870" s="118" t="s">
        <v>138</v>
      </c>
      <c r="C5870" s="118" t="s">
        <v>206</v>
      </c>
      <c r="D5870" s="152" t="s">
        <v>6676</v>
      </c>
      <c r="E5870" s="152" t="s">
        <v>6749</v>
      </c>
      <c r="F5870" s="152" t="s">
        <v>458</v>
      </c>
      <c r="G5870" s="152" t="s">
        <v>1814</v>
      </c>
      <c r="H5870" s="153" t="s">
        <v>212</v>
      </c>
    </row>
    <row r="5871" hidden="1">
      <c r="A5871" s="154" t="s">
        <v>228</v>
      </c>
      <c r="B5871" s="155" t="s">
        <v>138</v>
      </c>
      <c r="C5871" s="155" t="s">
        <v>206</v>
      </c>
      <c r="D5871" s="156" t="s">
        <v>6676</v>
      </c>
      <c r="E5871" s="156" t="s">
        <v>6750</v>
      </c>
      <c r="F5871" s="156" t="s">
        <v>458</v>
      </c>
      <c r="G5871" s="156" t="s">
        <v>2563</v>
      </c>
      <c r="H5871" s="157" t="s">
        <v>213</v>
      </c>
    </row>
    <row r="5872" hidden="1">
      <c r="A5872" s="151" t="s">
        <v>228</v>
      </c>
      <c r="B5872" s="118" t="s">
        <v>138</v>
      </c>
      <c r="C5872" s="118" t="s">
        <v>206</v>
      </c>
      <c r="D5872" s="152" t="s">
        <v>6676</v>
      </c>
      <c r="E5872" s="152" t="s">
        <v>6751</v>
      </c>
      <c r="F5872" s="152" t="s">
        <v>298</v>
      </c>
      <c r="G5872" s="152" t="s">
        <v>1812</v>
      </c>
      <c r="H5872" s="153" t="s">
        <v>214</v>
      </c>
    </row>
    <row r="5873" hidden="1">
      <c r="A5873" s="154" t="s">
        <v>228</v>
      </c>
      <c r="B5873" s="155" t="s">
        <v>138</v>
      </c>
      <c r="C5873" s="155" t="s">
        <v>206</v>
      </c>
      <c r="D5873" s="156" t="s">
        <v>6676</v>
      </c>
      <c r="E5873" s="156" t="s">
        <v>6752</v>
      </c>
      <c r="F5873" s="156" t="s">
        <v>279</v>
      </c>
      <c r="G5873" s="156" t="s">
        <v>2259</v>
      </c>
      <c r="H5873" s="157" t="s">
        <v>215</v>
      </c>
    </row>
    <row r="5874" hidden="1">
      <c r="A5874" s="151" t="s">
        <v>228</v>
      </c>
      <c r="B5874" s="118" t="s">
        <v>138</v>
      </c>
      <c r="C5874" s="118" t="s">
        <v>206</v>
      </c>
      <c r="D5874" s="152" t="s">
        <v>6676</v>
      </c>
      <c r="E5874" s="152" t="s">
        <v>6753</v>
      </c>
      <c r="F5874" s="152" t="s">
        <v>436</v>
      </c>
      <c r="G5874" s="152" t="s">
        <v>1808</v>
      </c>
      <c r="H5874" s="153" t="s">
        <v>216</v>
      </c>
    </row>
    <row r="5875" hidden="1">
      <c r="A5875" s="154" t="s">
        <v>229</v>
      </c>
      <c r="B5875" s="155" t="s">
        <v>193</v>
      </c>
      <c r="C5875" s="155" t="s">
        <v>206</v>
      </c>
      <c r="D5875" s="156" t="s">
        <v>6676</v>
      </c>
      <c r="E5875" s="156" t="s">
        <v>6754</v>
      </c>
      <c r="F5875" s="156" t="s">
        <v>351</v>
      </c>
      <c r="G5875" s="156" t="s">
        <v>2062</v>
      </c>
      <c r="H5875" s="157" t="s">
        <v>210</v>
      </c>
    </row>
    <row r="5876" hidden="1">
      <c r="A5876" s="151" t="s">
        <v>229</v>
      </c>
      <c r="B5876" s="118" t="s">
        <v>193</v>
      </c>
      <c r="C5876" s="118" t="s">
        <v>206</v>
      </c>
      <c r="D5876" s="152" t="s">
        <v>6676</v>
      </c>
      <c r="E5876" s="152" t="s">
        <v>6755</v>
      </c>
      <c r="F5876" s="152" t="s">
        <v>336</v>
      </c>
      <c r="G5876" s="152" t="s">
        <v>2923</v>
      </c>
      <c r="H5876" s="153" t="s">
        <v>211</v>
      </c>
    </row>
    <row r="5877" hidden="1">
      <c r="A5877" s="154" t="s">
        <v>229</v>
      </c>
      <c r="B5877" s="155" t="s">
        <v>193</v>
      </c>
      <c r="C5877" s="155" t="s">
        <v>206</v>
      </c>
      <c r="D5877" s="156" t="s">
        <v>6676</v>
      </c>
      <c r="E5877" s="156" t="s">
        <v>6756</v>
      </c>
      <c r="F5877" s="156" t="s">
        <v>244</v>
      </c>
      <c r="G5877" s="156" t="s">
        <v>3284</v>
      </c>
      <c r="H5877" s="157" t="s">
        <v>212</v>
      </c>
    </row>
    <row r="5878" hidden="1">
      <c r="A5878" s="151" t="s">
        <v>229</v>
      </c>
      <c r="B5878" s="118" t="s">
        <v>193</v>
      </c>
      <c r="C5878" s="118" t="s">
        <v>206</v>
      </c>
      <c r="D5878" s="152" t="s">
        <v>6676</v>
      </c>
      <c r="E5878" s="152" t="s">
        <v>6757</v>
      </c>
      <c r="F5878" s="152" t="s">
        <v>799</v>
      </c>
      <c r="G5878" s="152" t="s">
        <v>3341</v>
      </c>
      <c r="H5878" s="153" t="s">
        <v>213</v>
      </c>
    </row>
    <row r="5879" hidden="1">
      <c r="A5879" s="154" t="s">
        <v>229</v>
      </c>
      <c r="B5879" s="155" t="s">
        <v>193</v>
      </c>
      <c r="C5879" s="155" t="s">
        <v>206</v>
      </c>
      <c r="D5879" s="156" t="s">
        <v>6676</v>
      </c>
      <c r="E5879" s="156" t="s">
        <v>6758</v>
      </c>
      <c r="F5879" s="156" t="s">
        <v>483</v>
      </c>
      <c r="G5879" s="156" t="s">
        <v>1843</v>
      </c>
      <c r="H5879" s="157" t="s">
        <v>214</v>
      </c>
    </row>
    <row r="5880" hidden="1">
      <c r="A5880" s="151" t="s">
        <v>229</v>
      </c>
      <c r="B5880" s="118" t="s">
        <v>193</v>
      </c>
      <c r="C5880" s="118" t="s">
        <v>206</v>
      </c>
      <c r="D5880" s="152" t="s">
        <v>6676</v>
      </c>
      <c r="E5880" s="152" t="s">
        <v>6759</v>
      </c>
      <c r="F5880" s="152" t="s">
        <v>323</v>
      </c>
      <c r="G5880" s="152" t="s">
        <v>1818</v>
      </c>
      <c r="H5880" s="153" t="s">
        <v>215</v>
      </c>
    </row>
    <row r="5881" hidden="1">
      <c r="A5881" s="154" t="s">
        <v>229</v>
      </c>
      <c r="B5881" s="155" t="s">
        <v>193</v>
      </c>
      <c r="C5881" s="155" t="s">
        <v>206</v>
      </c>
      <c r="D5881" s="156" t="s">
        <v>6676</v>
      </c>
      <c r="E5881" s="156" t="s">
        <v>6760</v>
      </c>
      <c r="F5881" s="156" t="s">
        <v>339</v>
      </c>
      <c r="G5881" s="156" t="s">
        <v>3075</v>
      </c>
      <c r="H5881" s="157" t="s">
        <v>216</v>
      </c>
    </row>
    <row r="5882" hidden="1">
      <c r="A5882" s="151" t="s">
        <v>230</v>
      </c>
      <c r="B5882" s="118" t="s">
        <v>194</v>
      </c>
      <c r="C5882" s="118" t="s">
        <v>206</v>
      </c>
      <c r="D5882" s="152" t="s">
        <v>6676</v>
      </c>
      <c r="E5882" s="152" t="s">
        <v>6761</v>
      </c>
      <c r="F5882" s="152" t="s">
        <v>357</v>
      </c>
      <c r="G5882" s="152" t="s">
        <v>3335</v>
      </c>
      <c r="H5882" s="153" t="s">
        <v>210</v>
      </c>
    </row>
    <row r="5883" hidden="1">
      <c r="A5883" s="154" t="s">
        <v>230</v>
      </c>
      <c r="B5883" s="155" t="s">
        <v>194</v>
      </c>
      <c r="C5883" s="155" t="s">
        <v>206</v>
      </c>
      <c r="D5883" s="156" t="s">
        <v>6676</v>
      </c>
      <c r="E5883" s="156" t="s">
        <v>6762</v>
      </c>
      <c r="F5883" s="156" t="s">
        <v>323</v>
      </c>
      <c r="G5883" s="156" t="s">
        <v>2864</v>
      </c>
      <c r="H5883" s="157" t="s">
        <v>211</v>
      </c>
    </row>
    <row r="5884" hidden="1">
      <c r="A5884" s="151" t="s">
        <v>230</v>
      </c>
      <c r="B5884" s="118" t="s">
        <v>194</v>
      </c>
      <c r="C5884" s="118" t="s">
        <v>206</v>
      </c>
      <c r="D5884" s="152" t="s">
        <v>6676</v>
      </c>
      <c r="E5884" s="152" t="s">
        <v>6763</v>
      </c>
      <c r="F5884" s="152" t="s">
        <v>331</v>
      </c>
      <c r="G5884" s="152" t="s">
        <v>2694</v>
      </c>
      <c r="H5884" s="153" t="s">
        <v>212</v>
      </c>
    </row>
    <row r="5885" hidden="1">
      <c r="A5885" s="154" t="s">
        <v>230</v>
      </c>
      <c r="B5885" s="155" t="s">
        <v>194</v>
      </c>
      <c r="C5885" s="155" t="s">
        <v>206</v>
      </c>
      <c r="D5885" s="156" t="s">
        <v>6676</v>
      </c>
      <c r="E5885" s="156" t="s">
        <v>6764</v>
      </c>
      <c r="F5885" s="156" t="s">
        <v>314</v>
      </c>
      <c r="G5885" s="156" t="s">
        <v>2852</v>
      </c>
      <c r="H5885" s="157" t="s">
        <v>213</v>
      </c>
    </row>
    <row r="5886" hidden="1">
      <c r="A5886" s="151" t="s">
        <v>230</v>
      </c>
      <c r="B5886" s="118" t="s">
        <v>194</v>
      </c>
      <c r="C5886" s="118" t="s">
        <v>206</v>
      </c>
      <c r="D5886" s="152" t="s">
        <v>6676</v>
      </c>
      <c r="E5886" s="152" t="s">
        <v>6765</v>
      </c>
      <c r="F5886" s="152" t="s">
        <v>351</v>
      </c>
      <c r="G5886" s="152" t="s">
        <v>1816</v>
      </c>
      <c r="H5886" s="153" t="s">
        <v>214</v>
      </c>
    </row>
    <row r="5887" hidden="1">
      <c r="A5887" s="154" t="s">
        <v>230</v>
      </c>
      <c r="B5887" s="155" t="s">
        <v>194</v>
      </c>
      <c r="C5887" s="155" t="s">
        <v>206</v>
      </c>
      <c r="D5887" s="156" t="s">
        <v>6676</v>
      </c>
      <c r="E5887" s="156" t="s">
        <v>6766</v>
      </c>
      <c r="F5887" s="156" t="s">
        <v>244</v>
      </c>
      <c r="G5887" s="156" t="s">
        <v>1729</v>
      </c>
      <c r="H5887" s="157" t="s">
        <v>215</v>
      </c>
    </row>
    <row r="5888" hidden="1">
      <c r="A5888" s="151" t="s">
        <v>230</v>
      </c>
      <c r="B5888" s="118" t="s">
        <v>194</v>
      </c>
      <c r="C5888" s="118" t="s">
        <v>206</v>
      </c>
      <c r="D5888" s="152" t="s">
        <v>6676</v>
      </c>
      <c r="E5888" s="152" t="s">
        <v>6767</v>
      </c>
      <c r="F5888" s="152" t="s">
        <v>323</v>
      </c>
      <c r="G5888" s="152" t="s">
        <v>2413</v>
      </c>
      <c r="H5888" s="153" t="s">
        <v>216</v>
      </c>
    </row>
    <row r="5889" hidden="1">
      <c r="A5889" s="158" t="s">
        <v>231</v>
      </c>
      <c r="B5889" s="159"/>
      <c r="C5889" s="155" t="s">
        <v>232</v>
      </c>
      <c r="D5889" s="156" t="s">
        <v>6676</v>
      </c>
      <c r="E5889" s="156" t="s">
        <v>6768</v>
      </c>
      <c r="F5889" s="156" t="s">
        <v>3148</v>
      </c>
      <c r="G5889" s="156" t="s">
        <v>6769</v>
      </c>
      <c r="H5889" s="157" t="s">
        <v>210</v>
      </c>
    </row>
    <row r="5890" hidden="1">
      <c r="A5890" s="160" t="s">
        <v>231</v>
      </c>
      <c r="B5890" s="72"/>
      <c r="C5890" s="118" t="s">
        <v>232</v>
      </c>
      <c r="D5890" s="152" t="s">
        <v>6676</v>
      </c>
      <c r="E5890" s="152" t="s">
        <v>6770</v>
      </c>
      <c r="F5890" s="152" t="s">
        <v>1920</v>
      </c>
      <c r="G5890" s="152" t="s">
        <v>4379</v>
      </c>
      <c r="H5890" s="153" t="s">
        <v>211</v>
      </c>
    </row>
    <row r="5891" hidden="1">
      <c r="A5891" s="158" t="s">
        <v>231</v>
      </c>
      <c r="B5891" s="159"/>
      <c r="C5891" s="155" t="s">
        <v>232</v>
      </c>
      <c r="D5891" s="156" t="s">
        <v>6676</v>
      </c>
      <c r="E5891" s="156" t="s">
        <v>6771</v>
      </c>
      <c r="F5891" s="156" t="s">
        <v>3625</v>
      </c>
      <c r="G5891" s="156" t="s">
        <v>4225</v>
      </c>
      <c r="H5891" s="157" t="s">
        <v>212</v>
      </c>
    </row>
    <row r="5892" hidden="1">
      <c r="A5892" s="160" t="s">
        <v>231</v>
      </c>
      <c r="B5892" s="72"/>
      <c r="C5892" s="118" t="s">
        <v>232</v>
      </c>
      <c r="D5892" s="152" t="s">
        <v>6676</v>
      </c>
      <c r="E5892" s="152" t="s">
        <v>6772</v>
      </c>
      <c r="F5892" s="152" t="s">
        <v>2173</v>
      </c>
      <c r="G5892" s="152" t="s">
        <v>3603</v>
      </c>
      <c r="H5892" s="153" t="s">
        <v>213</v>
      </c>
    </row>
    <row r="5893" hidden="1">
      <c r="A5893" s="158" t="s">
        <v>231</v>
      </c>
      <c r="B5893" s="159"/>
      <c r="C5893" s="155" t="s">
        <v>232</v>
      </c>
      <c r="D5893" s="156" t="s">
        <v>6676</v>
      </c>
      <c r="E5893" s="156" t="s">
        <v>6773</v>
      </c>
      <c r="F5893" s="156" t="s">
        <v>497</v>
      </c>
      <c r="G5893" s="156" t="s">
        <v>5039</v>
      </c>
      <c r="H5893" s="157" t="s">
        <v>214</v>
      </c>
    </row>
    <row r="5894" hidden="1">
      <c r="A5894" s="160" t="s">
        <v>231</v>
      </c>
      <c r="B5894" s="72"/>
      <c r="C5894" s="118" t="s">
        <v>232</v>
      </c>
      <c r="D5894" s="152" t="s">
        <v>6676</v>
      </c>
      <c r="E5894" s="152" t="s">
        <v>6774</v>
      </c>
      <c r="F5894" s="152" t="s">
        <v>3198</v>
      </c>
      <c r="G5894" s="152" t="s">
        <v>3296</v>
      </c>
      <c r="H5894" s="153" t="s">
        <v>215</v>
      </c>
    </row>
    <row r="5895" hidden="1">
      <c r="A5895" s="158" t="s">
        <v>231</v>
      </c>
      <c r="B5895" s="159"/>
      <c r="C5895" s="155" t="s">
        <v>232</v>
      </c>
      <c r="D5895" s="156" t="s">
        <v>6676</v>
      </c>
      <c r="E5895" s="156" t="s">
        <v>6775</v>
      </c>
      <c r="F5895" s="156" t="s">
        <v>5454</v>
      </c>
      <c r="G5895" s="156" t="s">
        <v>6776</v>
      </c>
      <c r="H5895" s="157" t="s">
        <v>216</v>
      </c>
    </row>
    <row r="5896" hidden="1">
      <c r="A5896" s="160" t="s">
        <v>233</v>
      </c>
      <c r="B5896" s="72"/>
      <c r="C5896" s="118" t="s">
        <v>232</v>
      </c>
      <c r="D5896" s="152" t="s">
        <v>6676</v>
      </c>
      <c r="E5896" s="152" t="s">
        <v>6777</v>
      </c>
      <c r="F5896" s="152" t="s">
        <v>339</v>
      </c>
      <c r="G5896" s="152" t="s">
        <v>1918</v>
      </c>
      <c r="H5896" s="153" t="s">
        <v>210</v>
      </c>
    </row>
    <row r="5897" hidden="1">
      <c r="A5897" s="158" t="s">
        <v>233</v>
      </c>
      <c r="B5897" s="159"/>
      <c r="C5897" s="155" t="s">
        <v>232</v>
      </c>
      <c r="D5897" s="156" t="s">
        <v>6676</v>
      </c>
      <c r="E5897" s="156" t="s">
        <v>6778</v>
      </c>
      <c r="F5897" s="156" t="s">
        <v>336</v>
      </c>
      <c r="G5897" s="156" t="s">
        <v>2457</v>
      </c>
      <c r="H5897" s="157" t="s">
        <v>211</v>
      </c>
    </row>
    <row r="5898" hidden="1">
      <c r="A5898" s="160" t="s">
        <v>233</v>
      </c>
      <c r="B5898" s="72"/>
      <c r="C5898" s="118" t="s">
        <v>232</v>
      </c>
      <c r="D5898" s="152" t="s">
        <v>6676</v>
      </c>
      <c r="E5898" s="152" t="s">
        <v>6779</v>
      </c>
      <c r="F5898" s="152" t="s">
        <v>339</v>
      </c>
      <c r="G5898" s="152" t="s">
        <v>3312</v>
      </c>
      <c r="H5898" s="153" t="s">
        <v>212</v>
      </c>
    </row>
    <row r="5899" hidden="1">
      <c r="A5899" s="158" t="s">
        <v>233</v>
      </c>
      <c r="B5899" s="159"/>
      <c r="C5899" s="155" t="s">
        <v>232</v>
      </c>
      <c r="D5899" s="156" t="s">
        <v>6676</v>
      </c>
      <c r="E5899" s="156" t="s">
        <v>6780</v>
      </c>
      <c r="F5899" s="156" t="s">
        <v>351</v>
      </c>
      <c r="G5899" s="156" t="s">
        <v>2111</v>
      </c>
      <c r="H5899" s="157" t="s">
        <v>213</v>
      </c>
    </row>
    <row r="5900" hidden="1">
      <c r="A5900" s="160" t="s">
        <v>233</v>
      </c>
      <c r="B5900" s="72"/>
      <c r="C5900" s="118" t="s">
        <v>232</v>
      </c>
      <c r="D5900" s="152" t="s">
        <v>6676</v>
      </c>
      <c r="E5900" s="152" t="s">
        <v>6781</v>
      </c>
      <c r="F5900" s="152" t="s">
        <v>339</v>
      </c>
      <c r="G5900" s="152" t="s">
        <v>1932</v>
      </c>
      <c r="H5900" s="153" t="s">
        <v>214</v>
      </c>
    </row>
    <row r="5901" hidden="1">
      <c r="A5901" s="158" t="s">
        <v>233</v>
      </c>
      <c r="B5901" s="159"/>
      <c r="C5901" s="155" t="s">
        <v>232</v>
      </c>
      <c r="D5901" s="156" t="s">
        <v>6676</v>
      </c>
      <c r="E5901" s="156" t="s">
        <v>6782</v>
      </c>
      <c r="F5901" s="156" t="s">
        <v>305</v>
      </c>
      <c r="G5901" s="156" t="s">
        <v>2620</v>
      </c>
      <c r="H5901" s="157" t="s">
        <v>215</v>
      </c>
    </row>
    <row r="5902" hidden="1">
      <c r="A5902" s="160" t="s">
        <v>233</v>
      </c>
      <c r="B5902" s="72"/>
      <c r="C5902" s="118" t="s">
        <v>232</v>
      </c>
      <c r="D5902" s="152" t="s">
        <v>6676</v>
      </c>
      <c r="E5902" s="152" t="s">
        <v>6783</v>
      </c>
      <c r="F5902" s="152" t="s">
        <v>427</v>
      </c>
      <c r="G5902" s="152" t="s">
        <v>2923</v>
      </c>
      <c r="H5902" s="153" t="s">
        <v>216</v>
      </c>
    </row>
    <row r="5903" hidden="1">
      <c r="A5903" s="158" t="s">
        <v>234</v>
      </c>
      <c r="B5903" s="159"/>
      <c r="C5903" s="155" t="s">
        <v>232</v>
      </c>
      <c r="D5903" s="156" t="s">
        <v>6676</v>
      </c>
      <c r="E5903" s="156" t="s">
        <v>6784</v>
      </c>
      <c r="F5903" s="156" t="s">
        <v>269</v>
      </c>
      <c r="G5903" s="156" t="s">
        <v>1737</v>
      </c>
      <c r="H5903" s="157" t="s">
        <v>210</v>
      </c>
    </row>
    <row r="5904" hidden="1">
      <c r="A5904" s="160" t="s">
        <v>234</v>
      </c>
      <c r="B5904" s="72"/>
      <c r="C5904" s="118" t="s">
        <v>232</v>
      </c>
      <c r="D5904" s="152" t="s">
        <v>6676</v>
      </c>
      <c r="E5904" s="152" t="s">
        <v>6785</v>
      </c>
      <c r="F5904" s="152" t="s">
        <v>242</v>
      </c>
      <c r="G5904" s="152" t="s">
        <v>2037</v>
      </c>
      <c r="H5904" s="153" t="s">
        <v>211</v>
      </c>
    </row>
    <row r="5905" hidden="1">
      <c r="A5905" s="158" t="s">
        <v>234</v>
      </c>
      <c r="B5905" s="159"/>
      <c r="C5905" s="155" t="s">
        <v>232</v>
      </c>
      <c r="D5905" s="156" t="s">
        <v>6676</v>
      </c>
      <c r="E5905" s="156" t="s">
        <v>6786</v>
      </c>
      <c r="F5905" s="156" t="s">
        <v>287</v>
      </c>
      <c r="G5905" s="156" t="s">
        <v>1846</v>
      </c>
      <c r="H5905" s="157" t="s">
        <v>212</v>
      </c>
    </row>
    <row r="5906" hidden="1">
      <c r="A5906" s="160" t="s">
        <v>234</v>
      </c>
      <c r="B5906" s="72"/>
      <c r="C5906" s="118" t="s">
        <v>232</v>
      </c>
      <c r="D5906" s="152" t="s">
        <v>6676</v>
      </c>
      <c r="E5906" s="152" t="s">
        <v>6787</v>
      </c>
      <c r="F5906" s="152" t="s">
        <v>259</v>
      </c>
      <c r="G5906" s="152" t="s">
        <v>2085</v>
      </c>
      <c r="H5906" s="153" t="s">
        <v>213</v>
      </c>
    </row>
    <row r="5907" hidden="1">
      <c r="A5907" s="158" t="s">
        <v>234</v>
      </c>
      <c r="B5907" s="159"/>
      <c r="C5907" s="155" t="s">
        <v>232</v>
      </c>
      <c r="D5907" s="156" t="s">
        <v>6676</v>
      </c>
      <c r="E5907" s="156" t="s">
        <v>6788</v>
      </c>
      <c r="F5907" s="156" t="s">
        <v>365</v>
      </c>
      <c r="G5907" s="156" t="s">
        <v>1739</v>
      </c>
      <c r="H5907" s="157" t="s">
        <v>214</v>
      </c>
    </row>
    <row r="5908" hidden="1">
      <c r="A5908" s="160" t="s">
        <v>234</v>
      </c>
      <c r="B5908" s="72"/>
      <c r="C5908" s="118" t="s">
        <v>232</v>
      </c>
      <c r="D5908" s="152" t="s">
        <v>6676</v>
      </c>
      <c r="E5908" s="152" t="s">
        <v>6789</v>
      </c>
      <c r="F5908" s="152" t="s">
        <v>285</v>
      </c>
      <c r="G5908" s="152" t="s">
        <v>1827</v>
      </c>
      <c r="H5908" s="153" t="s">
        <v>215</v>
      </c>
    </row>
    <row r="5909" hidden="1">
      <c r="A5909" s="158" t="s">
        <v>234</v>
      </c>
      <c r="B5909" s="159"/>
      <c r="C5909" s="155" t="s">
        <v>232</v>
      </c>
      <c r="D5909" s="156" t="s">
        <v>6676</v>
      </c>
      <c r="E5909" s="156" t="s">
        <v>6790</v>
      </c>
      <c r="F5909" s="156" t="s">
        <v>257</v>
      </c>
      <c r="G5909" s="156" t="s">
        <v>1911</v>
      </c>
      <c r="H5909" s="157" t="s">
        <v>216</v>
      </c>
    </row>
    <row r="5910" hidden="1">
      <c r="A5910" s="160" t="s">
        <v>235</v>
      </c>
      <c r="B5910" s="72"/>
      <c r="C5910" s="118" t="s">
        <v>236</v>
      </c>
      <c r="D5910" s="152" t="s">
        <v>6676</v>
      </c>
      <c r="E5910" s="152" t="s">
        <v>6791</v>
      </c>
      <c r="F5910" s="152" t="s">
        <v>478</v>
      </c>
      <c r="G5910" s="152" t="s">
        <v>3445</v>
      </c>
      <c r="H5910" s="153" t="s">
        <v>210</v>
      </c>
    </row>
    <row r="5911" hidden="1">
      <c r="A5911" s="158" t="s">
        <v>235</v>
      </c>
      <c r="B5911" s="159"/>
      <c r="C5911" s="155" t="s">
        <v>236</v>
      </c>
      <c r="D5911" s="156" t="s">
        <v>6676</v>
      </c>
      <c r="E5911" s="156" t="s">
        <v>6792</v>
      </c>
      <c r="F5911" s="156" t="s">
        <v>312</v>
      </c>
      <c r="G5911" s="156" t="s">
        <v>3280</v>
      </c>
      <c r="H5911" s="157" t="s">
        <v>211</v>
      </c>
    </row>
    <row r="5912" hidden="1">
      <c r="A5912" s="160" t="s">
        <v>235</v>
      </c>
      <c r="B5912" s="72"/>
      <c r="C5912" s="118" t="s">
        <v>236</v>
      </c>
      <c r="D5912" s="152" t="s">
        <v>6676</v>
      </c>
      <c r="E5912" s="152" t="s">
        <v>6793</v>
      </c>
      <c r="F5912" s="152" t="s">
        <v>494</v>
      </c>
      <c r="G5912" s="152" t="s">
        <v>3115</v>
      </c>
      <c r="H5912" s="153" t="s">
        <v>212</v>
      </c>
    </row>
    <row r="5913" hidden="1">
      <c r="A5913" s="158" t="s">
        <v>235</v>
      </c>
      <c r="B5913" s="159"/>
      <c r="C5913" s="155" t="s">
        <v>236</v>
      </c>
      <c r="D5913" s="156" t="s">
        <v>6676</v>
      </c>
      <c r="E5913" s="156" t="s">
        <v>6794</v>
      </c>
      <c r="F5913" s="156" t="s">
        <v>577</v>
      </c>
      <c r="G5913" s="156" t="s">
        <v>2995</v>
      </c>
      <c r="H5913" s="157" t="s">
        <v>213</v>
      </c>
    </row>
    <row r="5914" hidden="1">
      <c r="A5914" s="160" t="s">
        <v>235</v>
      </c>
      <c r="B5914" s="72"/>
      <c r="C5914" s="118" t="s">
        <v>236</v>
      </c>
      <c r="D5914" s="152" t="s">
        <v>6676</v>
      </c>
      <c r="E5914" s="152" t="s">
        <v>6795</v>
      </c>
      <c r="F5914" s="152" t="s">
        <v>799</v>
      </c>
      <c r="G5914" s="152" t="s">
        <v>2285</v>
      </c>
      <c r="H5914" s="153" t="s">
        <v>214</v>
      </c>
    </row>
    <row r="5915" hidden="1">
      <c r="A5915" s="158" t="s">
        <v>235</v>
      </c>
      <c r="B5915" s="159"/>
      <c r="C5915" s="155" t="s">
        <v>236</v>
      </c>
      <c r="D5915" s="156" t="s">
        <v>6676</v>
      </c>
      <c r="E5915" s="156" t="s">
        <v>6796</v>
      </c>
      <c r="F5915" s="156" t="s">
        <v>483</v>
      </c>
      <c r="G5915" s="156" t="s">
        <v>3278</v>
      </c>
      <c r="H5915" s="157" t="s">
        <v>215</v>
      </c>
    </row>
    <row r="5916" hidden="1">
      <c r="A5916" s="160" t="s">
        <v>235</v>
      </c>
      <c r="B5916" s="72"/>
      <c r="C5916" s="118" t="s">
        <v>236</v>
      </c>
      <c r="D5916" s="152" t="s">
        <v>6676</v>
      </c>
      <c r="E5916" s="152" t="s">
        <v>6797</v>
      </c>
      <c r="F5916" s="152" t="s">
        <v>478</v>
      </c>
      <c r="G5916" s="152" t="s">
        <v>3513</v>
      </c>
      <c r="H5916" s="153" t="s">
        <v>216</v>
      </c>
    </row>
    <row r="5917" hidden="1">
      <c r="A5917" s="158" t="s">
        <v>237</v>
      </c>
      <c r="B5917" s="159"/>
      <c r="C5917" s="155" t="s">
        <v>236</v>
      </c>
      <c r="D5917" s="156" t="s">
        <v>6676</v>
      </c>
      <c r="E5917" s="156" t="s">
        <v>6798</v>
      </c>
      <c r="F5917" s="156" t="s">
        <v>242</v>
      </c>
      <c r="G5917" s="156" t="s">
        <v>1899</v>
      </c>
      <c r="H5917" s="157" t="s">
        <v>210</v>
      </c>
    </row>
    <row r="5918" hidden="1">
      <c r="A5918" s="160" t="s">
        <v>237</v>
      </c>
      <c r="B5918" s="72"/>
      <c r="C5918" s="118" t="s">
        <v>236</v>
      </c>
      <c r="D5918" s="152" t="s">
        <v>6676</v>
      </c>
      <c r="E5918" s="152" t="s">
        <v>6799</v>
      </c>
      <c r="F5918" s="152" t="s">
        <v>323</v>
      </c>
      <c r="G5918" s="152" t="s">
        <v>2637</v>
      </c>
      <c r="H5918" s="153" t="s">
        <v>211</v>
      </c>
    </row>
    <row r="5919" hidden="1">
      <c r="A5919" s="158" t="s">
        <v>237</v>
      </c>
      <c r="B5919" s="159"/>
      <c r="C5919" s="155" t="s">
        <v>236</v>
      </c>
      <c r="D5919" s="156" t="s">
        <v>6676</v>
      </c>
      <c r="E5919" s="156" t="s">
        <v>6800</v>
      </c>
      <c r="F5919" s="156" t="s">
        <v>269</v>
      </c>
      <c r="G5919" s="156" t="s">
        <v>1814</v>
      </c>
      <c r="H5919" s="157" t="s">
        <v>212</v>
      </c>
    </row>
    <row r="5920" hidden="1">
      <c r="A5920" s="160" t="s">
        <v>237</v>
      </c>
      <c r="B5920" s="72"/>
      <c r="C5920" s="118" t="s">
        <v>236</v>
      </c>
      <c r="D5920" s="152" t="s">
        <v>6676</v>
      </c>
      <c r="E5920" s="152" t="s">
        <v>6801</v>
      </c>
      <c r="F5920" s="152" t="s">
        <v>246</v>
      </c>
      <c r="G5920" s="152" t="s">
        <v>1743</v>
      </c>
      <c r="H5920" s="153" t="s">
        <v>213</v>
      </c>
    </row>
    <row r="5921" hidden="1">
      <c r="A5921" s="158" t="s">
        <v>237</v>
      </c>
      <c r="B5921" s="159"/>
      <c r="C5921" s="155" t="s">
        <v>236</v>
      </c>
      <c r="D5921" s="156" t="s">
        <v>6676</v>
      </c>
      <c r="E5921" s="156" t="s">
        <v>6802</v>
      </c>
      <c r="F5921" s="156" t="s">
        <v>359</v>
      </c>
      <c r="G5921" s="156" t="s">
        <v>1755</v>
      </c>
      <c r="H5921" s="157" t="s">
        <v>214</v>
      </c>
    </row>
    <row r="5922" hidden="1">
      <c r="A5922" s="160" t="s">
        <v>237</v>
      </c>
      <c r="B5922" s="72"/>
      <c r="C5922" s="118" t="s">
        <v>236</v>
      </c>
      <c r="D5922" s="152" t="s">
        <v>6676</v>
      </c>
      <c r="E5922" s="152" t="s">
        <v>6803</v>
      </c>
      <c r="F5922" s="152" t="s">
        <v>357</v>
      </c>
      <c r="G5922" s="152" t="s">
        <v>1916</v>
      </c>
      <c r="H5922" s="153" t="s">
        <v>215</v>
      </c>
    </row>
    <row r="5923" hidden="1">
      <c r="A5923" s="158" t="s">
        <v>237</v>
      </c>
      <c r="B5923" s="159"/>
      <c r="C5923" s="155" t="s">
        <v>236</v>
      </c>
      <c r="D5923" s="156" t="s">
        <v>6676</v>
      </c>
      <c r="E5923" s="156" t="s">
        <v>6804</v>
      </c>
      <c r="F5923" s="156" t="s">
        <v>357</v>
      </c>
      <c r="G5923" s="156" t="s">
        <v>2072</v>
      </c>
      <c r="H5923" s="157" t="s">
        <v>216</v>
      </c>
    </row>
    <row r="5924" hidden="1">
      <c r="A5924" s="151" t="s">
        <v>204</v>
      </c>
      <c r="B5924" s="118" t="s">
        <v>205</v>
      </c>
      <c r="C5924" s="118" t="s">
        <v>206</v>
      </c>
      <c r="D5924" s="152" t="s">
        <v>6805</v>
      </c>
      <c r="E5924" s="152" t="s">
        <v>6806</v>
      </c>
      <c r="F5924" s="152" t="s">
        <v>534</v>
      </c>
      <c r="G5924" s="152" t="s">
        <v>1832</v>
      </c>
      <c r="H5924" s="153" t="s">
        <v>210</v>
      </c>
    </row>
    <row r="5925" hidden="1">
      <c r="A5925" s="154" t="s">
        <v>204</v>
      </c>
      <c r="B5925" s="155" t="s">
        <v>205</v>
      </c>
      <c r="C5925" s="155" t="s">
        <v>206</v>
      </c>
      <c r="D5925" s="156" t="s">
        <v>6805</v>
      </c>
      <c r="E5925" s="156" t="s">
        <v>6807</v>
      </c>
      <c r="F5925" s="156" t="s">
        <v>339</v>
      </c>
      <c r="G5925" s="156" t="s">
        <v>2134</v>
      </c>
      <c r="H5925" s="157" t="s">
        <v>211</v>
      </c>
    </row>
    <row r="5926" hidden="1">
      <c r="A5926" s="151" t="s">
        <v>204</v>
      </c>
      <c r="B5926" s="118" t="s">
        <v>205</v>
      </c>
      <c r="C5926" s="118" t="s">
        <v>206</v>
      </c>
      <c r="D5926" s="152" t="s">
        <v>6805</v>
      </c>
      <c r="E5926" s="152" t="s">
        <v>6808</v>
      </c>
      <c r="F5926" s="152" t="s">
        <v>450</v>
      </c>
      <c r="G5926" s="152" t="s">
        <v>3458</v>
      </c>
      <c r="H5926" s="153" t="s">
        <v>212</v>
      </c>
    </row>
    <row r="5927" hidden="1">
      <c r="A5927" s="154" t="s">
        <v>204</v>
      </c>
      <c r="B5927" s="155" t="s">
        <v>205</v>
      </c>
      <c r="C5927" s="155" t="s">
        <v>206</v>
      </c>
      <c r="D5927" s="156" t="s">
        <v>6805</v>
      </c>
      <c r="E5927" s="156" t="s">
        <v>6809</v>
      </c>
      <c r="F5927" s="156" t="s">
        <v>310</v>
      </c>
      <c r="G5927" s="156" t="s">
        <v>2452</v>
      </c>
      <c r="H5927" s="157" t="s">
        <v>213</v>
      </c>
    </row>
    <row r="5928" hidden="1">
      <c r="A5928" s="151" t="s">
        <v>204</v>
      </c>
      <c r="B5928" s="118" t="s">
        <v>205</v>
      </c>
      <c r="C5928" s="118" t="s">
        <v>206</v>
      </c>
      <c r="D5928" s="152" t="s">
        <v>6805</v>
      </c>
      <c r="E5928" s="152" t="s">
        <v>6810</v>
      </c>
      <c r="F5928" s="152" t="s">
        <v>310</v>
      </c>
      <c r="G5928" s="152" t="s">
        <v>1918</v>
      </c>
      <c r="H5928" s="153" t="s">
        <v>214</v>
      </c>
    </row>
    <row r="5929" hidden="1">
      <c r="A5929" s="154" t="s">
        <v>204</v>
      </c>
      <c r="B5929" s="155" t="s">
        <v>205</v>
      </c>
      <c r="C5929" s="155" t="s">
        <v>206</v>
      </c>
      <c r="D5929" s="156" t="s">
        <v>6805</v>
      </c>
      <c r="E5929" s="156" t="s">
        <v>6811</v>
      </c>
      <c r="F5929" s="156" t="s">
        <v>290</v>
      </c>
      <c r="G5929" s="156" t="s">
        <v>2045</v>
      </c>
      <c r="H5929" s="157" t="s">
        <v>215</v>
      </c>
    </row>
    <row r="5930" hidden="1">
      <c r="A5930" s="151" t="s">
        <v>204</v>
      </c>
      <c r="B5930" s="118" t="s">
        <v>205</v>
      </c>
      <c r="C5930" s="118" t="s">
        <v>206</v>
      </c>
      <c r="D5930" s="152" t="s">
        <v>6805</v>
      </c>
      <c r="E5930" s="152" t="s">
        <v>6812</v>
      </c>
      <c r="F5930" s="152" t="s">
        <v>305</v>
      </c>
      <c r="G5930" s="152" t="s">
        <v>2777</v>
      </c>
      <c r="H5930" s="153" t="s">
        <v>216</v>
      </c>
    </row>
    <row r="5931" hidden="1">
      <c r="A5931" s="154" t="s">
        <v>217</v>
      </c>
      <c r="B5931" s="155" t="s">
        <v>191</v>
      </c>
      <c r="C5931" s="155" t="s">
        <v>206</v>
      </c>
      <c r="D5931" s="156" t="s">
        <v>6805</v>
      </c>
      <c r="E5931" s="156" t="s">
        <v>6813</v>
      </c>
      <c r="F5931" s="156" t="s">
        <v>323</v>
      </c>
      <c r="G5931" s="156" t="s">
        <v>2393</v>
      </c>
      <c r="H5931" s="157" t="s">
        <v>210</v>
      </c>
    </row>
    <row r="5932" hidden="1">
      <c r="A5932" s="151" t="s">
        <v>217</v>
      </c>
      <c r="B5932" s="118" t="s">
        <v>191</v>
      </c>
      <c r="C5932" s="118" t="s">
        <v>206</v>
      </c>
      <c r="D5932" s="152" t="s">
        <v>6805</v>
      </c>
      <c r="E5932" s="152" t="s">
        <v>6814</v>
      </c>
      <c r="F5932" s="152" t="s">
        <v>427</v>
      </c>
      <c r="G5932" s="152" t="s">
        <v>2383</v>
      </c>
      <c r="H5932" s="153" t="s">
        <v>211</v>
      </c>
    </row>
    <row r="5933" hidden="1">
      <c r="A5933" s="154" t="s">
        <v>217</v>
      </c>
      <c r="B5933" s="155" t="s">
        <v>191</v>
      </c>
      <c r="C5933" s="155" t="s">
        <v>206</v>
      </c>
      <c r="D5933" s="156" t="s">
        <v>6805</v>
      </c>
      <c r="E5933" s="156" t="s">
        <v>6815</v>
      </c>
      <c r="F5933" s="156" t="s">
        <v>427</v>
      </c>
      <c r="G5933" s="156" t="s">
        <v>4013</v>
      </c>
      <c r="H5933" s="157" t="s">
        <v>212</v>
      </c>
    </row>
    <row r="5934" hidden="1">
      <c r="A5934" s="151" t="s">
        <v>217</v>
      </c>
      <c r="B5934" s="118" t="s">
        <v>191</v>
      </c>
      <c r="C5934" s="118" t="s">
        <v>206</v>
      </c>
      <c r="D5934" s="152" t="s">
        <v>6805</v>
      </c>
      <c r="E5934" s="152" t="s">
        <v>6816</v>
      </c>
      <c r="F5934" s="152" t="s">
        <v>323</v>
      </c>
      <c r="G5934" s="152" t="s">
        <v>3525</v>
      </c>
      <c r="H5934" s="153" t="s">
        <v>213</v>
      </c>
    </row>
    <row r="5935" hidden="1">
      <c r="A5935" s="154" t="s">
        <v>217</v>
      </c>
      <c r="B5935" s="155" t="s">
        <v>191</v>
      </c>
      <c r="C5935" s="155" t="s">
        <v>206</v>
      </c>
      <c r="D5935" s="156" t="s">
        <v>6805</v>
      </c>
      <c r="E5935" s="156" t="s">
        <v>6817</v>
      </c>
      <c r="F5935" s="156" t="s">
        <v>331</v>
      </c>
      <c r="G5935" s="156" t="s">
        <v>3230</v>
      </c>
      <c r="H5935" s="157" t="s">
        <v>214</v>
      </c>
    </row>
    <row r="5936" hidden="1">
      <c r="A5936" s="151" t="s">
        <v>217</v>
      </c>
      <c r="B5936" s="118" t="s">
        <v>191</v>
      </c>
      <c r="C5936" s="118" t="s">
        <v>206</v>
      </c>
      <c r="D5936" s="152" t="s">
        <v>6805</v>
      </c>
      <c r="E5936" s="152" t="s">
        <v>6818</v>
      </c>
      <c r="F5936" s="152" t="s">
        <v>310</v>
      </c>
      <c r="G5936" s="152" t="s">
        <v>2389</v>
      </c>
      <c r="H5936" s="153" t="s">
        <v>215</v>
      </c>
    </row>
    <row r="5937" hidden="1">
      <c r="A5937" s="154" t="s">
        <v>217</v>
      </c>
      <c r="B5937" s="155" t="s">
        <v>191</v>
      </c>
      <c r="C5937" s="155" t="s">
        <v>206</v>
      </c>
      <c r="D5937" s="156" t="s">
        <v>6805</v>
      </c>
      <c r="E5937" s="156" t="s">
        <v>6819</v>
      </c>
      <c r="F5937" s="156" t="s">
        <v>308</v>
      </c>
      <c r="G5937" s="156" t="s">
        <v>2605</v>
      </c>
      <c r="H5937" s="157" t="s">
        <v>216</v>
      </c>
    </row>
    <row r="5938" hidden="1">
      <c r="A5938" s="151" t="s">
        <v>218</v>
      </c>
      <c r="B5938" s="118" t="s">
        <v>219</v>
      </c>
      <c r="C5938" s="118" t="s">
        <v>206</v>
      </c>
      <c r="D5938" s="152" t="s">
        <v>6805</v>
      </c>
      <c r="E5938" s="152" t="s">
        <v>6820</v>
      </c>
      <c r="F5938" s="152" t="s">
        <v>314</v>
      </c>
      <c r="G5938" s="152" t="s">
        <v>2925</v>
      </c>
      <c r="H5938" s="153" t="s">
        <v>210</v>
      </c>
    </row>
    <row r="5939" hidden="1">
      <c r="A5939" s="154" t="s">
        <v>218</v>
      </c>
      <c r="B5939" s="155" t="s">
        <v>219</v>
      </c>
      <c r="C5939" s="155" t="s">
        <v>206</v>
      </c>
      <c r="D5939" s="156" t="s">
        <v>6805</v>
      </c>
      <c r="E5939" s="156" t="s">
        <v>6821</v>
      </c>
      <c r="F5939" s="156" t="s">
        <v>339</v>
      </c>
      <c r="G5939" s="156" t="s">
        <v>1864</v>
      </c>
      <c r="H5939" s="157" t="s">
        <v>211</v>
      </c>
    </row>
    <row r="5940" hidden="1">
      <c r="A5940" s="151" t="s">
        <v>218</v>
      </c>
      <c r="B5940" s="118" t="s">
        <v>219</v>
      </c>
      <c r="C5940" s="118" t="s">
        <v>206</v>
      </c>
      <c r="D5940" s="152" t="s">
        <v>6805</v>
      </c>
      <c r="E5940" s="152" t="s">
        <v>6822</v>
      </c>
      <c r="F5940" s="152" t="s">
        <v>534</v>
      </c>
      <c r="G5940" s="152" t="s">
        <v>3028</v>
      </c>
      <c r="H5940" s="153" t="s">
        <v>212</v>
      </c>
    </row>
    <row r="5941" hidden="1">
      <c r="A5941" s="154" t="s">
        <v>218</v>
      </c>
      <c r="B5941" s="155" t="s">
        <v>219</v>
      </c>
      <c r="C5941" s="155" t="s">
        <v>206</v>
      </c>
      <c r="D5941" s="156" t="s">
        <v>6805</v>
      </c>
      <c r="E5941" s="156" t="s">
        <v>6823</v>
      </c>
      <c r="F5941" s="156" t="s">
        <v>483</v>
      </c>
      <c r="G5941" s="156" t="s">
        <v>1843</v>
      </c>
      <c r="H5941" s="157" t="s">
        <v>213</v>
      </c>
    </row>
    <row r="5942" hidden="1">
      <c r="A5942" s="151" t="s">
        <v>218</v>
      </c>
      <c r="B5942" s="118" t="s">
        <v>219</v>
      </c>
      <c r="C5942" s="118" t="s">
        <v>206</v>
      </c>
      <c r="D5942" s="152" t="s">
        <v>6805</v>
      </c>
      <c r="E5942" s="152" t="s">
        <v>6824</v>
      </c>
      <c r="F5942" s="152" t="s">
        <v>310</v>
      </c>
      <c r="G5942" s="152" t="s">
        <v>3028</v>
      </c>
      <c r="H5942" s="153" t="s">
        <v>214</v>
      </c>
    </row>
    <row r="5943" hidden="1">
      <c r="A5943" s="154" t="s">
        <v>218</v>
      </c>
      <c r="B5943" s="155" t="s">
        <v>219</v>
      </c>
      <c r="C5943" s="155" t="s">
        <v>206</v>
      </c>
      <c r="D5943" s="156" t="s">
        <v>6805</v>
      </c>
      <c r="E5943" s="156" t="s">
        <v>6825</v>
      </c>
      <c r="F5943" s="156" t="s">
        <v>450</v>
      </c>
      <c r="G5943" s="156" t="s">
        <v>2925</v>
      </c>
      <c r="H5943" s="157" t="s">
        <v>215</v>
      </c>
    </row>
    <row r="5944" hidden="1">
      <c r="A5944" s="151" t="s">
        <v>218</v>
      </c>
      <c r="B5944" s="118" t="s">
        <v>219</v>
      </c>
      <c r="C5944" s="118" t="s">
        <v>206</v>
      </c>
      <c r="D5944" s="152" t="s">
        <v>6805</v>
      </c>
      <c r="E5944" s="152" t="s">
        <v>6826</v>
      </c>
      <c r="F5944" s="152" t="s">
        <v>534</v>
      </c>
      <c r="G5944" s="152" t="s">
        <v>3001</v>
      </c>
      <c r="H5944" s="153" t="s">
        <v>216</v>
      </c>
    </row>
    <row r="5945" hidden="1">
      <c r="A5945" s="154" t="s">
        <v>220</v>
      </c>
      <c r="B5945" s="155" t="s">
        <v>190</v>
      </c>
      <c r="C5945" s="155" t="s">
        <v>206</v>
      </c>
      <c r="D5945" s="156" t="s">
        <v>6805</v>
      </c>
      <c r="E5945" s="156" t="s">
        <v>6827</v>
      </c>
      <c r="F5945" s="156" t="s">
        <v>534</v>
      </c>
      <c r="G5945" s="156" t="s">
        <v>3840</v>
      </c>
      <c r="H5945" s="157" t="s">
        <v>210</v>
      </c>
    </row>
    <row r="5946" hidden="1">
      <c r="A5946" s="151" t="s">
        <v>220</v>
      </c>
      <c r="B5946" s="118" t="s">
        <v>190</v>
      </c>
      <c r="C5946" s="118" t="s">
        <v>206</v>
      </c>
      <c r="D5946" s="152" t="s">
        <v>6805</v>
      </c>
      <c r="E5946" s="152" t="s">
        <v>6828</v>
      </c>
      <c r="F5946" s="152" t="s">
        <v>325</v>
      </c>
      <c r="G5946" s="152" t="s">
        <v>3296</v>
      </c>
      <c r="H5946" s="153" t="s">
        <v>211</v>
      </c>
    </row>
    <row r="5947" hidden="1">
      <c r="A5947" s="154" t="s">
        <v>220</v>
      </c>
      <c r="B5947" s="155" t="s">
        <v>190</v>
      </c>
      <c r="C5947" s="155" t="s">
        <v>206</v>
      </c>
      <c r="D5947" s="156" t="s">
        <v>6805</v>
      </c>
      <c r="E5947" s="156" t="s">
        <v>6829</v>
      </c>
      <c r="F5947" s="156" t="s">
        <v>677</v>
      </c>
      <c r="G5947" s="156" t="s">
        <v>4206</v>
      </c>
      <c r="H5947" s="157" t="s">
        <v>212</v>
      </c>
    </row>
    <row r="5948" hidden="1">
      <c r="A5948" s="151" t="s">
        <v>220</v>
      </c>
      <c r="B5948" s="118" t="s">
        <v>190</v>
      </c>
      <c r="C5948" s="118" t="s">
        <v>206</v>
      </c>
      <c r="D5948" s="152" t="s">
        <v>6805</v>
      </c>
      <c r="E5948" s="152" t="s">
        <v>6830</v>
      </c>
      <c r="F5948" s="152" t="s">
        <v>1999</v>
      </c>
      <c r="G5948" s="152" t="s">
        <v>4031</v>
      </c>
      <c r="H5948" s="153" t="s">
        <v>213</v>
      </c>
    </row>
    <row r="5949" hidden="1">
      <c r="A5949" s="154" t="s">
        <v>220</v>
      </c>
      <c r="B5949" s="155" t="s">
        <v>190</v>
      </c>
      <c r="C5949" s="155" t="s">
        <v>206</v>
      </c>
      <c r="D5949" s="156" t="s">
        <v>6805</v>
      </c>
      <c r="E5949" s="156" t="s">
        <v>6831</v>
      </c>
      <c r="F5949" s="156" t="s">
        <v>725</v>
      </c>
      <c r="G5949" s="156" t="s">
        <v>4031</v>
      </c>
      <c r="H5949" s="157" t="s">
        <v>214</v>
      </c>
    </row>
    <row r="5950" hidden="1">
      <c r="A5950" s="151" t="s">
        <v>220</v>
      </c>
      <c r="B5950" s="118" t="s">
        <v>190</v>
      </c>
      <c r="C5950" s="118" t="s">
        <v>206</v>
      </c>
      <c r="D5950" s="152" t="s">
        <v>6805</v>
      </c>
      <c r="E5950" s="152" t="s">
        <v>6832</v>
      </c>
      <c r="F5950" s="152" t="s">
        <v>577</v>
      </c>
      <c r="G5950" s="152" t="s">
        <v>2354</v>
      </c>
      <c r="H5950" s="153" t="s">
        <v>215</v>
      </c>
    </row>
    <row r="5951" hidden="1">
      <c r="A5951" s="154" t="s">
        <v>220</v>
      </c>
      <c r="B5951" s="155" t="s">
        <v>190</v>
      </c>
      <c r="C5951" s="155" t="s">
        <v>206</v>
      </c>
      <c r="D5951" s="156" t="s">
        <v>6805</v>
      </c>
      <c r="E5951" s="156" t="s">
        <v>6833</v>
      </c>
      <c r="F5951" s="156" t="s">
        <v>450</v>
      </c>
      <c r="G5951" s="156" t="s">
        <v>4743</v>
      </c>
      <c r="H5951" s="157" t="s">
        <v>216</v>
      </c>
    </row>
    <row r="5952" hidden="1">
      <c r="A5952" s="151" t="s">
        <v>221</v>
      </c>
      <c r="B5952" s="118" t="s">
        <v>189</v>
      </c>
      <c r="C5952" s="118" t="s">
        <v>206</v>
      </c>
      <c r="D5952" s="152" t="s">
        <v>6805</v>
      </c>
      <c r="E5952" s="152" t="s">
        <v>6834</v>
      </c>
      <c r="F5952" s="152" t="s">
        <v>321</v>
      </c>
      <c r="G5952" s="152" t="s">
        <v>2075</v>
      </c>
      <c r="H5952" s="153" t="s">
        <v>210</v>
      </c>
    </row>
    <row r="5953" hidden="1">
      <c r="A5953" s="154" t="s">
        <v>221</v>
      </c>
      <c r="B5953" s="155" t="s">
        <v>189</v>
      </c>
      <c r="C5953" s="155" t="s">
        <v>206</v>
      </c>
      <c r="D5953" s="156" t="s">
        <v>6805</v>
      </c>
      <c r="E5953" s="156" t="s">
        <v>6835</v>
      </c>
      <c r="F5953" s="156" t="s">
        <v>534</v>
      </c>
      <c r="G5953" s="156" t="s">
        <v>2735</v>
      </c>
      <c r="H5953" s="157" t="s">
        <v>211</v>
      </c>
    </row>
    <row r="5954" hidden="1">
      <c r="A5954" s="151" t="s">
        <v>221</v>
      </c>
      <c r="B5954" s="118" t="s">
        <v>189</v>
      </c>
      <c r="C5954" s="118" t="s">
        <v>206</v>
      </c>
      <c r="D5954" s="152" t="s">
        <v>6805</v>
      </c>
      <c r="E5954" s="152" t="s">
        <v>6836</v>
      </c>
      <c r="F5954" s="152" t="s">
        <v>331</v>
      </c>
      <c r="G5954" s="152" t="s">
        <v>1778</v>
      </c>
      <c r="H5954" s="153" t="s">
        <v>212</v>
      </c>
    </row>
    <row r="5955" hidden="1">
      <c r="A5955" s="154" t="s">
        <v>221</v>
      </c>
      <c r="B5955" s="155" t="s">
        <v>189</v>
      </c>
      <c r="C5955" s="155" t="s">
        <v>206</v>
      </c>
      <c r="D5955" s="156" t="s">
        <v>6805</v>
      </c>
      <c r="E5955" s="156" t="s">
        <v>6837</v>
      </c>
      <c r="F5955" s="156" t="s">
        <v>265</v>
      </c>
      <c r="G5955" s="156" t="s">
        <v>2228</v>
      </c>
      <c r="H5955" s="157" t="s">
        <v>213</v>
      </c>
    </row>
    <row r="5956" hidden="1">
      <c r="A5956" s="151" t="s">
        <v>221</v>
      </c>
      <c r="B5956" s="118" t="s">
        <v>189</v>
      </c>
      <c r="C5956" s="118" t="s">
        <v>206</v>
      </c>
      <c r="D5956" s="152" t="s">
        <v>6805</v>
      </c>
      <c r="E5956" s="152" t="s">
        <v>6838</v>
      </c>
      <c r="F5956" s="152" t="s">
        <v>314</v>
      </c>
      <c r="G5956" s="152" t="s">
        <v>2087</v>
      </c>
      <c r="H5956" s="153" t="s">
        <v>214</v>
      </c>
    </row>
    <row r="5957" hidden="1">
      <c r="A5957" s="154" t="s">
        <v>221</v>
      </c>
      <c r="B5957" s="155" t="s">
        <v>189</v>
      </c>
      <c r="C5957" s="155" t="s">
        <v>206</v>
      </c>
      <c r="D5957" s="156" t="s">
        <v>6805</v>
      </c>
      <c r="E5957" s="156" t="s">
        <v>6839</v>
      </c>
      <c r="F5957" s="156" t="s">
        <v>314</v>
      </c>
      <c r="G5957" s="156" t="s">
        <v>1773</v>
      </c>
      <c r="H5957" s="157" t="s">
        <v>215</v>
      </c>
    </row>
    <row r="5958" hidden="1">
      <c r="A5958" s="151" t="s">
        <v>221</v>
      </c>
      <c r="B5958" s="118" t="s">
        <v>189</v>
      </c>
      <c r="C5958" s="118" t="s">
        <v>206</v>
      </c>
      <c r="D5958" s="152" t="s">
        <v>6805</v>
      </c>
      <c r="E5958" s="152" t="s">
        <v>6840</v>
      </c>
      <c r="F5958" s="152" t="s">
        <v>321</v>
      </c>
      <c r="G5958" s="152" t="s">
        <v>1773</v>
      </c>
      <c r="H5958" s="153" t="s">
        <v>216</v>
      </c>
    </row>
    <row r="5959" hidden="1">
      <c r="A5959" s="154" t="s">
        <v>222</v>
      </c>
      <c r="B5959" s="155" t="s">
        <v>192</v>
      </c>
      <c r="C5959" s="155" t="s">
        <v>206</v>
      </c>
      <c r="D5959" s="156" t="s">
        <v>6805</v>
      </c>
      <c r="E5959" s="156" t="s">
        <v>6841</v>
      </c>
      <c r="F5959" s="156" t="s">
        <v>425</v>
      </c>
      <c r="G5959" s="156" t="s">
        <v>3282</v>
      </c>
      <c r="H5959" s="157" t="s">
        <v>210</v>
      </c>
    </row>
    <row r="5960" hidden="1">
      <c r="A5960" s="151" t="s">
        <v>222</v>
      </c>
      <c r="B5960" s="118" t="s">
        <v>192</v>
      </c>
      <c r="C5960" s="118" t="s">
        <v>206</v>
      </c>
      <c r="D5960" s="152" t="s">
        <v>6805</v>
      </c>
      <c r="E5960" s="152" t="s">
        <v>6842</v>
      </c>
      <c r="F5960" s="152" t="s">
        <v>450</v>
      </c>
      <c r="G5960" s="152" t="s">
        <v>2307</v>
      </c>
      <c r="H5960" s="153" t="s">
        <v>211</v>
      </c>
    </row>
    <row r="5961" hidden="1">
      <c r="A5961" s="154" t="s">
        <v>222</v>
      </c>
      <c r="B5961" s="155" t="s">
        <v>192</v>
      </c>
      <c r="C5961" s="155" t="s">
        <v>206</v>
      </c>
      <c r="D5961" s="156" t="s">
        <v>6805</v>
      </c>
      <c r="E5961" s="156" t="s">
        <v>6843</v>
      </c>
      <c r="F5961" s="156" t="s">
        <v>354</v>
      </c>
      <c r="G5961" s="156" t="s">
        <v>2517</v>
      </c>
      <c r="H5961" s="157" t="s">
        <v>212</v>
      </c>
    </row>
    <row r="5962" hidden="1">
      <c r="A5962" s="151" t="s">
        <v>222</v>
      </c>
      <c r="B5962" s="118" t="s">
        <v>192</v>
      </c>
      <c r="C5962" s="118" t="s">
        <v>206</v>
      </c>
      <c r="D5962" s="152" t="s">
        <v>6805</v>
      </c>
      <c r="E5962" s="152" t="s">
        <v>6844</v>
      </c>
      <c r="F5962" s="152" t="s">
        <v>1532</v>
      </c>
      <c r="G5962" s="152" t="s">
        <v>3003</v>
      </c>
      <c r="H5962" s="153" t="s">
        <v>213</v>
      </c>
    </row>
    <row r="5963" hidden="1">
      <c r="A5963" s="154" t="s">
        <v>222</v>
      </c>
      <c r="B5963" s="155" t="s">
        <v>192</v>
      </c>
      <c r="C5963" s="155" t="s">
        <v>206</v>
      </c>
      <c r="D5963" s="156" t="s">
        <v>6805</v>
      </c>
      <c r="E5963" s="156" t="s">
        <v>6845</v>
      </c>
      <c r="F5963" s="156" t="s">
        <v>336</v>
      </c>
      <c r="G5963" s="156" t="s">
        <v>2389</v>
      </c>
      <c r="H5963" s="157" t="s">
        <v>214</v>
      </c>
    </row>
    <row r="5964" hidden="1">
      <c r="A5964" s="151" t="s">
        <v>222</v>
      </c>
      <c r="B5964" s="118" t="s">
        <v>192</v>
      </c>
      <c r="C5964" s="118" t="s">
        <v>206</v>
      </c>
      <c r="D5964" s="152" t="s">
        <v>6805</v>
      </c>
      <c r="E5964" s="152" t="s">
        <v>6846</v>
      </c>
      <c r="F5964" s="152" t="s">
        <v>483</v>
      </c>
      <c r="G5964" s="152" t="s">
        <v>2758</v>
      </c>
      <c r="H5964" s="153" t="s">
        <v>215</v>
      </c>
    </row>
    <row r="5965" hidden="1">
      <c r="A5965" s="154" t="s">
        <v>222</v>
      </c>
      <c r="B5965" s="155" t="s">
        <v>192</v>
      </c>
      <c r="C5965" s="155" t="s">
        <v>206</v>
      </c>
      <c r="D5965" s="156" t="s">
        <v>6805</v>
      </c>
      <c r="E5965" s="156" t="s">
        <v>6847</v>
      </c>
      <c r="F5965" s="156" t="s">
        <v>425</v>
      </c>
      <c r="G5965" s="156" t="s">
        <v>3003</v>
      </c>
      <c r="H5965" s="157" t="s">
        <v>216</v>
      </c>
    </row>
    <row r="5966" hidden="1">
      <c r="A5966" s="151" t="s">
        <v>223</v>
      </c>
      <c r="B5966" s="118" t="s">
        <v>144</v>
      </c>
      <c r="C5966" s="118" t="s">
        <v>206</v>
      </c>
      <c r="D5966" s="152" t="s">
        <v>6805</v>
      </c>
      <c r="E5966" s="152" t="s">
        <v>6848</v>
      </c>
      <c r="F5966" s="152" t="s">
        <v>339</v>
      </c>
      <c r="G5966" s="152" t="s">
        <v>1974</v>
      </c>
      <c r="H5966" s="153" t="s">
        <v>210</v>
      </c>
    </row>
    <row r="5967" hidden="1">
      <c r="A5967" s="154" t="s">
        <v>223</v>
      </c>
      <c r="B5967" s="155" t="s">
        <v>144</v>
      </c>
      <c r="C5967" s="155" t="s">
        <v>206</v>
      </c>
      <c r="D5967" s="156" t="s">
        <v>6805</v>
      </c>
      <c r="E5967" s="156" t="s">
        <v>6849</v>
      </c>
      <c r="F5967" s="156" t="s">
        <v>450</v>
      </c>
      <c r="G5967" s="156" t="s">
        <v>2299</v>
      </c>
      <c r="H5967" s="157" t="s">
        <v>211</v>
      </c>
    </row>
    <row r="5968" hidden="1">
      <c r="A5968" s="151" t="s">
        <v>223</v>
      </c>
      <c r="B5968" s="118" t="s">
        <v>144</v>
      </c>
      <c r="C5968" s="118" t="s">
        <v>206</v>
      </c>
      <c r="D5968" s="152" t="s">
        <v>6805</v>
      </c>
      <c r="E5968" s="152" t="s">
        <v>6850</v>
      </c>
      <c r="F5968" s="152" t="s">
        <v>799</v>
      </c>
      <c r="G5968" s="152" t="s">
        <v>1951</v>
      </c>
      <c r="H5968" s="153" t="s">
        <v>212</v>
      </c>
    </row>
    <row r="5969" hidden="1">
      <c r="A5969" s="154" t="s">
        <v>223</v>
      </c>
      <c r="B5969" s="155" t="s">
        <v>144</v>
      </c>
      <c r="C5969" s="155" t="s">
        <v>206</v>
      </c>
      <c r="D5969" s="156" t="s">
        <v>6805</v>
      </c>
      <c r="E5969" s="156" t="s">
        <v>6851</v>
      </c>
      <c r="F5969" s="156" t="s">
        <v>478</v>
      </c>
      <c r="G5969" s="156" t="s">
        <v>2859</v>
      </c>
      <c r="H5969" s="157" t="s">
        <v>213</v>
      </c>
    </row>
    <row r="5970" hidden="1">
      <c r="A5970" s="151" t="s">
        <v>223</v>
      </c>
      <c r="B5970" s="118" t="s">
        <v>144</v>
      </c>
      <c r="C5970" s="118" t="s">
        <v>206</v>
      </c>
      <c r="D5970" s="152" t="s">
        <v>6805</v>
      </c>
      <c r="E5970" s="152" t="s">
        <v>6852</v>
      </c>
      <c r="F5970" s="152" t="s">
        <v>329</v>
      </c>
      <c r="G5970" s="152" t="s">
        <v>2718</v>
      </c>
      <c r="H5970" s="153" t="s">
        <v>214</v>
      </c>
    </row>
    <row r="5971" hidden="1">
      <c r="A5971" s="154" t="s">
        <v>223</v>
      </c>
      <c r="B5971" s="155" t="s">
        <v>144</v>
      </c>
      <c r="C5971" s="155" t="s">
        <v>206</v>
      </c>
      <c r="D5971" s="156" t="s">
        <v>6805</v>
      </c>
      <c r="E5971" s="156" t="s">
        <v>6853</v>
      </c>
      <c r="F5971" s="156" t="s">
        <v>331</v>
      </c>
      <c r="G5971" s="156" t="s">
        <v>2925</v>
      </c>
      <c r="H5971" s="157" t="s">
        <v>215</v>
      </c>
    </row>
    <row r="5972" hidden="1">
      <c r="A5972" s="151" t="s">
        <v>223</v>
      </c>
      <c r="B5972" s="118" t="s">
        <v>144</v>
      </c>
      <c r="C5972" s="118" t="s">
        <v>206</v>
      </c>
      <c r="D5972" s="152" t="s">
        <v>6805</v>
      </c>
      <c r="E5972" s="152" t="s">
        <v>6854</v>
      </c>
      <c r="F5972" s="152" t="s">
        <v>450</v>
      </c>
      <c r="G5972" s="152" t="s">
        <v>2539</v>
      </c>
      <c r="H5972" s="153" t="s">
        <v>216</v>
      </c>
    </row>
    <row r="5973" hidden="1">
      <c r="A5973" s="154" t="s">
        <v>224</v>
      </c>
      <c r="B5973" s="155" t="s">
        <v>170</v>
      </c>
      <c r="C5973" s="155" t="s">
        <v>206</v>
      </c>
      <c r="D5973" s="156" t="s">
        <v>6805</v>
      </c>
      <c r="E5973" s="156" t="s">
        <v>6855</v>
      </c>
      <c r="F5973" s="156" t="s">
        <v>329</v>
      </c>
      <c r="G5973" s="156" t="s">
        <v>2391</v>
      </c>
      <c r="H5973" s="157" t="s">
        <v>210</v>
      </c>
    </row>
    <row r="5974" hidden="1">
      <c r="A5974" s="151" t="s">
        <v>224</v>
      </c>
      <c r="B5974" s="118" t="s">
        <v>170</v>
      </c>
      <c r="C5974" s="118" t="s">
        <v>206</v>
      </c>
      <c r="D5974" s="152" t="s">
        <v>6805</v>
      </c>
      <c r="E5974" s="152" t="s">
        <v>6856</v>
      </c>
      <c r="F5974" s="152" t="s">
        <v>310</v>
      </c>
      <c r="G5974" s="152" t="s">
        <v>1944</v>
      </c>
      <c r="H5974" s="153" t="s">
        <v>211</v>
      </c>
    </row>
    <row r="5975" hidden="1">
      <c r="A5975" s="154" t="s">
        <v>224</v>
      </c>
      <c r="B5975" s="155" t="s">
        <v>170</v>
      </c>
      <c r="C5975" s="155" t="s">
        <v>206</v>
      </c>
      <c r="D5975" s="156" t="s">
        <v>6805</v>
      </c>
      <c r="E5975" s="156" t="s">
        <v>6857</v>
      </c>
      <c r="F5975" s="156" t="s">
        <v>483</v>
      </c>
      <c r="G5975" s="156" t="s">
        <v>2845</v>
      </c>
      <c r="H5975" s="157" t="s">
        <v>212</v>
      </c>
    </row>
    <row r="5976" hidden="1">
      <c r="A5976" s="151" t="s">
        <v>224</v>
      </c>
      <c r="B5976" s="118" t="s">
        <v>170</v>
      </c>
      <c r="C5976" s="118" t="s">
        <v>206</v>
      </c>
      <c r="D5976" s="152" t="s">
        <v>6805</v>
      </c>
      <c r="E5976" s="152" t="s">
        <v>6858</v>
      </c>
      <c r="F5976" s="152" t="s">
        <v>450</v>
      </c>
      <c r="G5976" s="152" t="s">
        <v>2557</v>
      </c>
      <c r="H5976" s="153" t="s">
        <v>213</v>
      </c>
    </row>
    <row r="5977" hidden="1">
      <c r="A5977" s="154" t="s">
        <v>224</v>
      </c>
      <c r="B5977" s="155" t="s">
        <v>170</v>
      </c>
      <c r="C5977" s="155" t="s">
        <v>206</v>
      </c>
      <c r="D5977" s="156" t="s">
        <v>6805</v>
      </c>
      <c r="E5977" s="156" t="s">
        <v>6859</v>
      </c>
      <c r="F5977" s="156" t="s">
        <v>351</v>
      </c>
      <c r="G5977" s="156" t="s">
        <v>4338</v>
      </c>
      <c r="H5977" s="157" t="s">
        <v>214</v>
      </c>
    </row>
    <row r="5978" hidden="1">
      <c r="A5978" s="151" t="s">
        <v>224</v>
      </c>
      <c r="B5978" s="118" t="s">
        <v>170</v>
      </c>
      <c r="C5978" s="118" t="s">
        <v>206</v>
      </c>
      <c r="D5978" s="152" t="s">
        <v>6805</v>
      </c>
      <c r="E5978" s="152" t="s">
        <v>6860</v>
      </c>
      <c r="F5978" s="152" t="s">
        <v>310</v>
      </c>
      <c r="G5978" s="152" t="s">
        <v>3587</v>
      </c>
      <c r="H5978" s="153" t="s">
        <v>215</v>
      </c>
    </row>
    <row r="5979" hidden="1">
      <c r="A5979" s="154" t="s">
        <v>224</v>
      </c>
      <c r="B5979" s="155" t="s">
        <v>170</v>
      </c>
      <c r="C5979" s="155" t="s">
        <v>206</v>
      </c>
      <c r="D5979" s="156" t="s">
        <v>6805</v>
      </c>
      <c r="E5979" s="156" t="s">
        <v>6861</v>
      </c>
      <c r="F5979" s="156" t="s">
        <v>336</v>
      </c>
      <c r="G5979" s="156" t="s">
        <v>2779</v>
      </c>
      <c r="H5979" s="157" t="s">
        <v>216</v>
      </c>
    </row>
    <row r="5980" hidden="1">
      <c r="A5980" s="151" t="s">
        <v>225</v>
      </c>
      <c r="B5980" s="118" t="s">
        <v>226</v>
      </c>
      <c r="C5980" s="118" t="s">
        <v>206</v>
      </c>
      <c r="D5980" s="152" t="s">
        <v>6805</v>
      </c>
      <c r="E5980" s="152" t="s">
        <v>6862</v>
      </c>
      <c r="F5980" s="152" t="s">
        <v>1107</v>
      </c>
      <c r="G5980" s="152" t="s">
        <v>1875</v>
      </c>
      <c r="H5980" s="153" t="s">
        <v>210</v>
      </c>
    </row>
    <row r="5981" hidden="1">
      <c r="A5981" s="154" t="s">
        <v>225</v>
      </c>
      <c r="B5981" s="155" t="s">
        <v>226</v>
      </c>
      <c r="C5981" s="155" t="s">
        <v>206</v>
      </c>
      <c r="D5981" s="156" t="s">
        <v>6805</v>
      </c>
      <c r="E5981" s="156" t="s">
        <v>6863</v>
      </c>
      <c r="F5981" s="156" t="s">
        <v>458</v>
      </c>
      <c r="G5981" s="156" t="s">
        <v>1745</v>
      </c>
      <c r="H5981" s="157" t="s">
        <v>211</v>
      </c>
    </row>
    <row r="5982" hidden="1">
      <c r="A5982" s="151" t="s">
        <v>225</v>
      </c>
      <c r="B5982" s="118" t="s">
        <v>226</v>
      </c>
      <c r="C5982" s="118" t="s">
        <v>206</v>
      </c>
      <c r="D5982" s="152" t="s">
        <v>6805</v>
      </c>
      <c r="E5982" s="152" t="s">
        <v>6864</v>
      </c>
      <c r="F5982" s="152" t="s">
        <v>204</v>
      </c>
      <c r="G5982" s="152" t="s">
        <v>2735</v>
      </c>
      <c r="H5982" s="153" t="s">
        <v>212</v>
      </c>
    </row>
    <row r="5983" hidden="1">
      <c r="A5983" s="154" t="s">
        <v>225</v>
      </c>
      <c r="B5983" s="155" t="s">
        <v>226</v>
      </c>
      <c r="C5983" s="155" t="s">
        <v>206</v>
      </c>
      <c r="D5983" s="156" t="s">
        <v>6805</v>
      </c>
      <c r="E5983" s="156" t="s">
        <v>6865</v>
      </c>
      <c r="F5983" s="156" t="s">
        <v>365</v>
      </c>
      <c r="G5983" s="156" t="s">
        <v>2126</v>
      </c>
      <c r="H5983" s="157" t="s">
        <v>213</v>
      </c>
    </row>
    <row r="5984" hidden="1">
      <c r="A5984" s="151" t="s">
        <v>225</v>
      </c>
      <c r="B5984" s="118" t="s">
        <v>226</v>
      </c>
      <c r="C5984" s="118" t="s">
        <v>206</v>
      </c>
      <c r="D5984" s="152" t="s">
        <v>6805</v>
      </c>
      <c r="E5984" s="152" t="s">
        <v>6866</v>
      </c>
      <c r="F5984" s="152" t="s">
        <v>374</v>
      </c>
      <c r="G5984" s="152" t="s">
        <v>1778</v>
      </c>
      <c r="H5984" s="153" t="s">
        <v>214</v>
      </c>
    </row>
    <row r="5985" hidden="1">
      <c r="A5985" s="154" t="s">
        <v>225</v>
      </c>
      <c r="B5985" s="155" t="s">
        <v>226</v>
      </c>
      <c r="C5985" s="155" t="s">
        <v>206</v>
      </c>
      <c r="D5985" s="156" t="s">
        <v>6805</v>
      </c>
      <c r="E5985" s="156" t="s">
        <v>6867</v>
      </c>
      <c r="F5985" s="156" t="s">
        <v>442</v>
      </c>
      <c r="G5985" s="156" t="s">
        <v>6580</v>
      </c>
      <c r="H5985" s="157" t="s">
        <v>215</v>
      </c>
    </row>
    <row r="5986" hidden="1">
      <c r="A5986" s="151" t="s">
        <v>225</v>
      </c>
      <c r="B5986" s="118" t="s">
        <v>226</v>
      </c>
      <c r="C5986" s="118" t="s">
        <v>206</v>
      </c>
      <c r="D5986" s="152" t="s">
        <v>6805</v>
      </c>
      <c r="E5986" s="152" t="s">
        <v>6868</v>
      </c>
      <c r="F5986" s="152" t="s">
        <v>1181</v>
      </c>
      <c r="G5986" s="152" t="s">
        <v>2029</v>
      </c>
      <c r="H5986" s="153" t="s">
        <v>216</v>
      </c>
    </row>
    <row r="5987" hidden="1">
      <c r="A5987" s="154" t="s">
        <v>227</v>
      </c>
      <c r="B5987" s="155" t="s">
        <v>195</v>
      </c>
      <c r="C5987" s="155" t="s">
        <v>206</v>
      </c>
      <c r="D5987" s="156" t="s">
        <v>6805</v>
      </c>
      <c r="E5987" s="156" t="s">
        <v>6869</v>
      </c>
      <c r="F5987" s="156" t="s">
        <v>1999</v>
      </c>
      <c r="G5987" s="156" t="s">
        <v>2187</v>
      </c>
      <c r="H5987" s="157" t="s">
        <v>210</v>
      </c>
    </row>
    <row r="5988" hidden="1">
      <c r="A5988" s="151" t="s">
        <v>227</v>
      </c>
      <c r="B5988" s="118" t="s">
        <v>195</v>
      </c>
      <c r="C5988" s="118" t="s">
        <v>206</v>
      </c>
      <c r="D5988" s="152" t="s">
        <v>6805</v>
      </c>
      <c r="E5988" s="152" t="s">
        <v>6870</v>
      </c>
      <c r="F5988" s="152" t="s">
        <v>1532</v>
      </c>
      <c r="G5988" s="152" t="s">
        <v>2383</v>
      </c>
      <c r="H5988" s="153" t="s">
        <v>211</v>
      </c>
    </row>
    <row r="5989" hidden="1">
      <c r="A5989" s="154" t="s">
        <v>227</v>
      </c>
      <c r="B5989" s="155" t="s">
        <v>195</v>
      </c>
      <c r="C5989" s="155" t="s">
        <v>206</v>
      </c>
      <c r="D5989" s="156" t="s">
        <v>6805</v>
      </c>
      <c r="E5989" s="156" t="s">
        <v>6871</v>
      </c>
      <c r="F5989" s="156" t="s">
        <v>1530</v>
      </c>
      <c r="G5989" s="156" t="s">
        <v>2510</v>
      </c>
      <c r="H5989" s="157" t="s">
        <v>212</v>
      </c>
    </row>
    <row r="5990" hidden="1">
      <c r="A5990" s="151" t="s">
        <v>227</v>
      </c>
      <c r="B5990" s="118" t="s">
        <v>195</v>
      </c>
      <c r="C5990" s="118" t="s">
        <v>206</v>
      </c>
      <c r="D5990" s="152" t="s">
        <v>6805</v>
      </c>
      <c r="E5990" s="152" t="s">
        <v>6872</v>
      </c>
      <c r="F5990" s="152" t="s">
        <v>427</v>
      </c>
      <c r="G5990" s="152" t="s">
        <v>2281</v>
      </c>
      <c r="H5990" s="153" t="s">
        <v>213</v>
      </c>
    </row>
    <row r="5991" hidden="1">
      <c r="A5991" s="154" t="s">
        <v>227</v>
      </c>
      <c r="B5991" s="155" t="s">
        <v>195</v>
      </c>
      <c r="C5991" s="155" t="s">
        <v>206</v>
      </c>
      <c r="D5991" s="156" t="s">
        <v>6805</v>
      </c>
      <c r="E5991" s="156" t="s">
        <v>6873</v>
      </c>
      <c r="F5991" s="156" t="s">
        <v>312</v>
      </c>
      <c r="G5991" s="156" t="s">
        <v>2609</v>
      </c>
      <c r="H5991" s="157" t="s">
        <v>214</v>
      </c>
    </row>
    <row r="5992" hidden="1">
      <c r="A5992" s="151" t="s">
        <v>227</v>
      </c>
      <c r="B5992" s="118" t="s">
        <v>195</v>
      </c>
      <c r="C5992" s="118" t="s">
        <v>206</v>
      </c>
      <c r="D5992" s="152" t="s">
        <v>6805</v>
      </c>
      <c r="E5992" s="152" t="s">
        <v>6874</v>
      </c>
      <c r="F5992" s="152" t="s">
        <v>240</v>
      </c>
      <c r="G5992" s="152" t="s">
        <v>2301</v>
      </c>
      <c r="H5992" s="153" t="s">
        <v>215</v>
      </c>
    </row>
    <row r="5993" hidden="1">
      <c r="A5993" s="154" t="s">
        <v>227</v>
      </c>
      <c r="B5993" s="155" t="s">
        <v>195</v>
      </c>
      <c r="C5993" s="155" t="s">
        <v>206</v>
      </c>
      <c r="D5993" s="156" t="s">
        <v>6805</v>
      </c>
      <c r="E5993" s="156" t="s">
        <v>6875</v>
      </c>
      <c r="F5993" s="156" t="s">
        <v>718</v>
      </c>
      <c r="G5993" s="156" t="s">
        <v>2115</v>
      </c>
      <c r="H5993" s="157" t="s">
        <v>216</v>
      </c>
    </row>
    <row r="5994" hidden="1">
      <c r="A5994" s="151" t="s">
        <v>228</v>
      </c>
      <c r="B5994" s="118" t="s">
        <v>138</v>
      </c>
      <c r="C5994" s="118" t="s">
        <v>206</v>
      </c>
      <c r="D5994" s="152" t="s">
        <v>6805</v>
      </c>
      <c r="E5994" s="152" t="s">
        <v>6876</v>
      </c>
      <c r="F5994" s="152" t="s">
        <v>262</v>
      </c>
      <c r="G5994" s="152" t="s">
        <v>2072</v>
      </c>
      <c r="H5994" s="153" t="s">
        <v>210</v>
      </c>
    </row>
    <row r="5995" hidden="1">
      <c r="A5995" s="154" t="s">
        <v>228</v>
      </c>
      <c r="B5995" s="155" t="s">
        <v>138</v>
      </c>
      <c r="C5995" s="155" t="s">
        <v>206</v>
      </c>
      <c r="D5995" s="156" t="s">
        <v>6805</v>
      </c>
      <c r="E5995" s="156" t="s">
        <v>6877</v>
      </c>
      <c r="F5995" s="156" t="s">
        <v>276</v>
      </c>
      <c r="G5995" s="156" t="s">
        <v>1936</v>
      </c>
      <c r="H5995" s="157" t="s">
        <v>211</v>
      </c>
    </row>
    <row r="5996" hidden="1">
      <c r="A5996" s="151" t="s">
        <v>228</v>
      </c>
      <c r="B5996" s="118" t="s">
        <v>138</v>
      </c>
      <c r="C5996" s="118" t="s">
        <v>206</v>
      </c>
      <c r="D5996" s="152" t="s">
        <v>6805</v>
      </c>
      <c r="E5996" s="152" t="s">
        <v>6878</v>
      </c>
      <c r="F5996" s="152" t="s">
        <v>276</v>
      </c>
      <c r="G5996" s="152" t="s">
        <v>2901</v>
      </c>
      <c r="H5996" s="153" t="s">
        <v>212</v>
      </c>
    </row>
    <row r="5997" hidden="1">
      <c r="A5997" s="154" t="s">
        <v>228</v>
      </c>
      <c r="B5997" s="155" t="s">
        <v>138</v>
      </c>
      <c r="C5997" s="155" t="s">
        <v>206</v>
      </c>
      <c r="D5997" s="156" t="s">
        <v>6805</v>
      </c>
      <c r="E5997" s="156" t="s">
        <v>6879</v>
      </c>
      <c r="F5997" s="156" t="s">
        <v>204</v>
      </c>
      <c r="G5997" s="156" t="s">
        <v>1841</v>
      </c>
      <c r="H5997" s="157" t="s">
        <v>213</v>
      </c>
    </row>
    <row r="5998" hidden="1">
      <c r="A5998" s="151" t="s">
        <v>228</v>
      </c>
      <c r="B5998" s="118" t="s">
        <v>138</v>
      </c>
      <c r="C5998" s="118" t="s">
        <v>206</v>
      </c>
      <c r="D5998" s="152" t="s">
        <v>6805</v>
      </c>
      <c r="E5998" s="152" t="s">
        <v>6880</v>
      </c>
      <c r="F5998" s="152" t="s">
        <v>242</v>
      </c>
      <c r="G5998" s="152" t="s">
        <v>2688</v>
      </c>
      <c r="H5998" s="153" t="s">
        <v>214</v>
      </c>
    </row>
    <row r="5999" hidden="1">
      <c r="A5999" s="154" t="s">
        <v>228</v>
      </c>
      <c r="B5999" s="155" t="s">
        <v>138</v>
      </c>
      <c r="C5999" s="155" t="s">
        <v>206</v>
      </c>
      <c r="D5999" s="156" t="s">
        <v>6805</v>
      </c>
      <c r="E5999" s="156" t="s">
        <v>6881</v>
      </c>
      <c r="F5999" s="156" t="s">
        <v>458</v>
      </c>
      <c r="G5999" s="156" t="s">
        <v>1806</v>
      </c>
      <c r="H5999" s="157" t="s">
        <v>215</v>
      </c>
    </row>
    <row r="6000" hidden="1">
      <c r="A6000" s="151" t="s">
        <v>228</v>
      </c>
      <c r="B6000" s="118" t="s">
        <v>138</v>
      </c>
      <c r="C6000" s="118" t="s">
        <v>206</v>
      </c>
      <c r="D6000" s="152" t="s">
        <v>6805</v>
      </c>
      <c r="E6000" s="152" t="s">
        <v>6882</v>
      </c>
      <c r="F6000" s="152" t="s">
        <v>298</v>
      </c>
      <c r="G6000" s="152" t="s">
        <v>2254</v>
      </c>
      <c r="H6000" s="153" t="s">
        <v>216</v>
      </c>
    </row>
    <row r="6001" hidden="1">
      <c r="A6001" s="154" t="s">
        <v>229</v>
      </c>
      <c r="B6001" s="155" t="s">
        <v>193</v>
      </c>
      <c r="C6001" s="155" t="s">
        <v>206</v>
      </c>
      <c r="D6001" s="156" t="s">
        <v>6805</v>
      </c>
      <c r="E6001" s="156" t="s">
        <v>6883</v>
      </c>
      <c r="F6001" s="156" t="s">
        <v>427</v>
      </c>
      <c r="G6001" s="156" t="s">
        <v>2694</v>
      </c>
      <c r="H6001" s="157" t="s">
        <v>210</v>
      </c>
    </row>
    <row r="6002" hidden="1">
      <c r="A6002" s="151" t="s">
        <v>229</v>
      </c>
      <c r="B6002" s="118" t="s">
        <v>193</v>
      </c>
      <c r="C6002" s="118" t="s">
        <v>206</v>
      </c>
      <c r="D6002" s="152" t="s">
        <v>6805</v>
      </c>
      <c r="E6002" s="152" t="s">
        <v>6884</v>
      </c>
      <c r="F6002" s="152" t="s">
        <v>310</v>
      </c>
      <c r="G6002" s="152" t="s">
        <v>2452</v>
      </c>
      <c r="H6002" s="153" t="s">
        <v>211</v>
      </c>
    </row>
    <row r="6003" hidden="1">
      <c r="A6003" s="154" t="s">
        <v>229</v>
      </c>
      <c r="B6003" s="155" t="s">
        <v>193</v>
      </c>
      <c r="C6003" s="155" t="s">
        <v>206</v>
      </c>
      <c r="D6003" s="156" t="s">
        <v>6805</v>
      </c>
      <c r="E6003" s="156" t="s">
        <v>6885</v>
      </c>
      <c r="F6003" s="156" t="s">
        <v>339</v>
      </c>
      <c r="G6003" s="156" t="s">
        <v>4338</v>
      </c>
      <c r="H6003" s="157" t="s">
        <v>212</v>
      </c>
    </row>
    <row r="6004" hidden="1">
      <c r="A6004" s="151" t="s">
        <v>229</v>
      </c>
      <c r="B6004" s="118" t="s">
        <v>193</v>
      </c>
      <c r="C6004" s="118" t="s">
        <v>206</v>
      </c>
      <c r="D6004" s="152" t="s">
        <v>6805</v>
      </c>
      <c r="E6004" s="152" t="s">
        <v>6886</v>
      </c>
      <c r="F6004" s="152" t="s">
        <v>336</v>
      </c>
      <c r="G6004" s="152" t="s">
        <v>2045</v>
      </c>
      <c r="H6004" s="153" t="s">
        <v>213</v>
      </c>
    </row>
    <row r="6005" hidden="1">
      <c r="A6005" s="154" t="s">
        <v>229</v>
      </c>
      <c r="B6005" s="155" t="s">
        <v>193</v>
      </c>
      <c r="C6005" s="155" t="s">
        <v>206</v>
      </c>
      <c r="D6005" s="156" t="s">
        <v>6805</v>
      </c>
      <c r="E6005" s="156" t="s">
        <v>6887</v>
      </c>
      <c r="F6005" s="156" t="s">
        <v>314</v>
      </c>
      <c r="G6005" s="156" t="s">
        <v>2062</v>
      </c>
      <c r="H6005" s="157" t="s">
        <v>214</v>
      </c>
    </row>
    <row r="6006" hidden="1">
      <c r="A6006" s="151" t="s">
        <v>229</v>
      </c>
      <c r="B6006" s="118" t="s">
        <v>193</v>
      </c>
      <c r="C6006" s="118" t="s">
        <v>206</v>
      </c>
      <c r="D6006" s="152" t="s">
        <v>6805</v>
      </c>
      <c r="E6006" s="152" t="s">
        <v>6888</v>
      </c>
      <c r="F6006" s="152" t="s">
        <v>285</v>
      </c>
      <c r="G6006" s="152" t="s">
        <v>2146</v>
      </c>
      <c r="H6006" s="153" t="s">
        <v>215</v>
      </c>
    </row>
    <row r="6007" hidden="1">
      <c r="A6007" s="154" t="s">
        <v>229</v>
      </c>
      <c r="B6007" s="155" t="s">
        <v>193</v>
      </c>
      <c r="C6007" s="155" t="s">
        <v>206</v>
      </c>
      <c r="D6007" s="156" t="s">
        <v>6805</v>
      </c>
      <c r="E6007" s="156" t="s">
        <v>6889</v>
      </c>
      <c r="F6007" s="156" t="s">
        <v>305</v>
      </c>
      <c r="G6007" s="156" t="s">
        <v>3335</v>
      </c>
      <c r="H6007" s="157" t="s">
        <v>216</v>
      </c>
    </row>
    <row r="6008" hidden="1">
      <c r="A6008" s="151" t="s">
        <v>230</v>
      </c>
      <c r="B6008" s="118" t="s">
        <v>194</v>
      </c>
      <c r="C6008" s="118" t="s">
        <v>206</v>
      </c>
      <c r="D6008" s="152" t="s">
        <v>6805</v>
      </c>
      <c r="E6008" s="152" t="s">
        <v>6890</v>
      </c>
      <c r="F6008" s="152" t="s">
        <v>351</v>
      </c>
      <c r="G6008" s="152" t="s">
        <v>1860</v>
      </c>
      <c r="H6008" s="153" t="s">
        <v>210</v>
      </c>
    </row>
    <row r="6009" hidden="1">
      <c r="A6009" s="154" t="s">
        <v>230</v>
      </c>
      <c r="B6009" s="155" t="s">
        <v>194</v>
      </c>
      <c r="C6009" s="155" t="s">
        <v>206</v>
      </c>
      <c r="D6009" s="156" t="s">
        <v>6805</v>
      </c>
      <c r="E6009" s="156" t="s">
        <v>6891</v>
      </c>
      <c r="F6009" s="156" t="s">
        <v>285</v>
      </c>
      <c r="G6009" s="156" t="s">
        <v>2901</v>
      </c>
      <c r="H6009" s="157" t="s">
        <v>211</v>
      </c>
    </row>
    <row r="6010" hidden="1">
      <c r="A6010" s="151" t="s">
        <v>230</v>
      </c>
      <c r="B6010" s="118" t="s">
        <v>194</v>
      </c>
      <c r="C6010" s="118" t="s">
        <v>206</v>
      </c>
      <c r="D6010" s="152" t="s">
        <v>6805</v>
      </c>
      <c r="E6010" s="152" t="s">
        <v>6892</v>
      </c>
      <c r="F6010" s="152" t="s">
        <v>244</v>
      </c>
      <c r="G6010" s="152" t="s">
        <v>2705</v>
      </c>
      <c r="H6010" s="153" t="s">
        <v>212</v>
      </c>
    </row>
    <row r="6011" hidden="1">
      <c r="A6011" s="154" t="s">
        <v>230</v>
      </c>
      <c r="B6011" s="155" t="s">
        <v>194</v>
      </c>
      <c r="C6011" s="155" t="s">
        <v>206</v>
      </c>
      <c r="D6011" s="156" t="s">
        <v>6805</v>
      </c>
      <c r="E6011" s="156" t="s">
        <v>6893</v>
      </c>
      <c r="F6011" s="156" t="s">
        <v>249</v>
      </c>
      <c r="G6011" s="156" t="s">
        <v>2146</v>
      </c>
      <c r="H6011" s="157" t="s">
        <v>213</v>
      </c>
    </row>
    <row r="6012" hidden="1">
      <c r="A6012" s="151" t="s">
        <v>230</v>
      </c>
      <c r="B6012" s="118" t="s">
        <v>194</v>
      </c>
      <c r="C6012" s="118" t="s">
        <v>206</v>
      </c>
      <c r="D6012" s="152" t="s">
        <v>6805</v>
      </c>
      <c r="E6012" s="152" t="s">
        <v>6894</v>
      </c>
      <c r="F6012" s="152" t="s">
        <v>240</v>
      </c>
      <c r="G6012" s="152" t="s">
        <v>1852</v>
      </c>
      <c r="H6012" s="153" t="s">
        <v>214</v>
      </c>
    </row>
    <row r="6013" hidden="1">
      <c r="A6013" s="154" t="s">
        <v>230</v>
      </c>
      <c r="B6013" s="155" t="s">
        <v>194</v>
      </c>
      <c r="C6013" s="155" t="s">
        <v>206</v>
      </c>
      <c r="D6013" s="156" t="s">
        <v>6805</v>
      </c>
      <c r="E6013" s="156" t="s">
        <v>6895</v>
      </c>
      <c r="F6013" s="156" t="s">
        <v>242</v>
      </c>
      <c r="G6013" s="156" t="s">
        <v>1913</v>
      </c>
      <c r="H6013" s="157" t="s">
        <v>215</v>
      </c>
    </row>
    <row r="6014" hidden="1">
      <c r="A6014" s="151" t="s">
        <v>230</v>
      </c>
      <c r="B6014" s="118" t="s">
        <v>194</v>
      </c>
      <c r="C6014" s="118" t="s">
        <v>206</v>
      </c>
      <c r="D6014" s="152" t="s">
        <v>6805</v>
      </c>
      <c r="E6014" s="152" t="s">
        <v>6896</v>
      </c>
      <c r="F6014" s="152" t="s">
        <v>249</v>
      </c>
      <c r="G6014" s="152" t="s">
        <v>1810</v>
      </c>
      <c r="H6014" s="153" t="s">
        <v>216</v>
      </c>
    </row>
    <row r="6015" hidden="1">
      <c r="A6015" s="158" t="s">
        <v>231</v>
      </c>
      <c r="B6015" s="159"/>
      <c r="C6015" s="155" t="s">
        <v>232</v>
      </c>
      <c r="D6015" s="156" t="s">
        <v>6805</v>
      </c>
      <c r="E6015" s="156" t="s">
        <v>6897</v>
      </c>
      <c r="F6015" s="156" t="s">
        <v>374</v>
      </c>
      <c r="G6015" s="156" t="s">
        <v>3599</v>
      </c>
      <c r="H6015" s="157" t="s">
        <v>210</v>
      </c>
    </row>
    <row r="6016" hidden="1">
      <c r="A6016" s="160" t="s">
        <v>231</v>
      </c>
      <c r="B6016" s="72"/>
      <c r="C6016" s="118" t="s">
        <v>232</v>
      </c>
      <c r="D6016" s="152" t="s">
        <v>6805</v>
      </c>
      <c r="E6016" s="152" t="s">
        <v>6898</v>
      </c>
      <c r="F6016" s="152" t="s">
        <v>427</v>
      </c>
      <c r="G6016" s="152" t="s">
        <v>4685</v>
      </c>
      <c r="H6016" s="153" t="s">
        <v>211</v>
      </c>
    </row>
    <row r="6017" hidden="1">
      <c r="A6017" s="158" t="s">
        <v>231</v>
      </c>
      <c r="B6017" s="159"/>
      <c r="C6017" s="155" t="s">
        <v>232</v>
      </c>
      <c r="D6017" s="156" t="s">
        <v>6805</v>
      </c>
      <c r="E6017" s="156" t="s">
        <v>6899</v>
      </c>
      <c r="F6017" s="156" t="s">
        <v>336</v>
      </c>
      <c r="G6017" s="156" t="s">
        <v>3605</v>
      </c>
      <c r="H6017" s="157" t="s">
        <v>212</v>
      </c>
    </row>
    <row r="6018" hidden="1">
      <c r="A6018" s="160" t="s">
        <v>231</v>
      </c>
      <c r="B6018" s="72"/>
      <c r="C6018" s="118" t="s">
        <v>232</v>
      </c>
      <c r="D6018" s="152" t="s">
        <v>6805</v>
      </c>
      <c r="E6018" s="152" t="s">
        <v>6900</v>
      </c>
      <c r="F6018" s="152" t="s">
        <v>259</v>
      </c>
      <c r="G6018" s="152" t="s">
        <v>6901</v>
      </c>
      <c r="H6018" s="153" t="s">
        <v>213</v>
      </c>
    </row>
    <row r="6019" hidden="1">
      <c r="A6019" s="158" t="s">
        <v>231</v>
      </c>
      <c r="B6019" s="159"/>
      <c r="C6019" s="155" t="s">
        <v>232</v>
      </c>
      <c r="D6019" s="156" t="s">
        <v>6805</v>
      </c>
      <c r="E6019" s="156" t="s">
        <v>6902</v>
      </c>
      <c r="F6019" s="156" t="s">
        <v>359</v>
      </c>
      <c r="G6019" s="156" t="s">
        <v>6903</v>
      </c>
      <c r="H6019" s="157" t="s">
        <v>214</v>
      </c>
    </row>
    <row r="6020" hidden="1">
      <c r="A6020" s="160" t="s">
        <v>231</v>
      </c>
      <c r="B6020" s="72"/>
      <c r="C6020" s="118" t="s">
        <v>232</v>
      </c>
      <c r="D6020" s="152" t="s">
        <v>6805</v>
      </c>
      <c r="E6020" s="152" t="s">
        <v>6904</v>
      </c>
      <c r="F6020" s="152" t="s">
        <v>312</v>
      </c>
      <c r="G6020" s="152" t="s">
        <v>4851</v>
      </c>
      <c r="H6020" s="153" t="s">
        <v>215</v>
      </c>
    </row>
    <row r="6021" hidden="1">
      <c r="A6021" s="158" t="s">
        <v>231</v>
      </c>
      <c r="B6021" s="159"/>
      <c r="C6021" s="155" t="s">
        <v>232</v>
      </c>
      <c r="D6021" s="156" t="s">
        <v>6805</v>
      </c>
      <c r="E6021" s="156" t="s">
        <v>6905</v>
      </c>
      <c r="F6021" s="156" t="s">
        <v>365</v>
      </c>
      <c r="G6021" s="156" t="s">
        <v>3923</v>
      </c>
      <c r="H6021" s="157" t="s">
        <v>216</v>
      </c>
    </row>
    <row r="6022" hidden="1">
      <c r="A6022" s="160" t="s">
        <v>233</v>
      </c>
      <c r="B6022" s="72"/>
      <c r="C6022" s="118" t="s">
        <v>232</v>
      </c>
      <c r="D6022" s="152" t="s">
        <v>6805</v>
      </c>
      <c r="E6022" s="152" t="s">
        <v>6906</v>
      </c>
      <c r="F6022" s="152" t="s">
        <v>329</v>
      </c>
      <c r="G6022" s="152" t="s">
        <v>2221</v>
      </c>
      <c r="H6022" s="153" t="s">
        <v>210</v>
      </c>
    </row>
    <row r="6023" hidden="1">
      <c r="A6023" s="158" t="s">
        <v>233</v>
      </c>
      <c r="B6023" s="159"/>
      <c r="C6023" s="155" t="s">
        <v>232</v>
      </c>
      <c r="D6023" s="156" t="s">
        <v>6805</v>
      </c>
      <c r="E6023" s="156" t="s">
        <v>6907</v>
      </c>
      <c r="F6023" s="156" t="s">
        <v>425</v>
      </c>
      <c r="G6023" s="156" t="s">
        <v>3364</v>
      </c>
      <c r="H6023" s="157" t="s">
        <v>211</v>
      </c>
    </row>
    <row r="6024" hidden="1">
      <c r="A6024" s="160" t="s">
        <v>233</v>
      </c>
      <c r="B6024" s="72"/>
      <c r="C6024" s="118" t="s">
        <v>232</v>
      </c>
      <c r="D6024" s="152" t="s">
        <v>6805</v>
      </c>
      <c r="E6024" s="152" t="s">
        <v>6908</v>
      </c>
      <c r="F6024" s="152" t="s">
        <v>329</v>
      </c>
      <c r="G6024" s="152" t="s">
        <v>2609</v>
      </c>
      <c r="H6024" s="153" t="s">
        <v>212</v>
      </c>
    </row>
    <row r="6025" hidden="1">
      <c r="A6025" s="158" t="s">
        <v>233</v>
      </c>
      <c r="B6025" s="159"/>
      <c r="C6025" s="155" t="s">
        <v>232</v>
      </c>
      <c r="D6025" s="156" t="s">
        <v>6805</v>
      </c>
      <c r="E6025" s="156" t="s">
        <v>6909</v>
      </c>
      <c r="F6025" s="156" t="s">
        <v>483</v>
      </c>
      <c r="G6025" s="156" t="s">
        <v>2393</v>
      </c>
      <c r="H6025" s="157" t="s">
        <v>213</v>
      </c>
    </row>
    <row r="6026" hidden="1">
      <c r="A6026" s="160" t="s">
        <v>233</v>
      </c>
      <c r="B6026" s="72"/>
      <c r="C6026" s="118" t="s">
        <v>232</v>
      </c>
      <c r="D6026" s="152" t="s">
        <v>6805</v>
      </c>
      <c r="E6026" s="152" t="s">
        <v>6910</v>
      </c>
      <c r="F6026" s="152" t="s">
        <v>450</v>
      </c>
      <c r="G6026" s="152" t="s">
        <v>3503</v>
      </c>
      <c r="H6026" s="153" t="s">
        <v>214</v>
      </c>
    </row>
    <row r="6027" hidden="1">
      <c r="A6027" s="158" t="s">
        <v>233</v>
      </c>
      <c r="B6027" s="159"/>
      <c r="C6027" s="155" t="s">
        <v>232</v>
      </c>
      <c r="D6027" s="156" t="s">
        <v>6805</v>
      </c>
      <c r="E6027" s="156" t="s">
        <v>6911</v>
      </c>
      <c r="F6027" s="156" t="s">
        <v>290</v>
      </c>
      <c r="G6027" s="156" t="s">
        <v>2041</v>
      </c>
      <c r="H6027" s="157" t="s">
        <v>215</v>
      </c>
    </row>
    <row r="6028" hidden="1">
      <c r="A6028" s="160" t="s">
        <v>233</v>
      </c>
      <c r="B6028" s="72"/>
      <c r="C6028" s="118" t="s">
        <v>232</v>
      </c>
      <c r="D6028" s="152" t="s">
        <v>6805</v>
      </c>
      <c r="E6028" s="152" t="s">
        <v>6912</v>
      </c>
      <c r="F6028" s="152" t="s">
        <v>425</v>
      </c>
      <c r="G6028" s="152" t="s">
        <v>2301</v>
      </c>
      <c r="H6028" s="153" t="s">
        <v>216</v>
      </c>
    </row>
    <row r="6029" hidden="1">
      <c r="A6029" s="158" t="s">
        <v>234</v>
      </c>
      <c r="B6029" s="159"/>
      <c r="C6029" s="155" t="s">
        <v>232</v>
      </c>
      <c r="D6029" s="156" t="s">
        <v>6805</v>
      </c>
      <c r="E6029" s="156" t="s">
        <v>6913</v>
      </c>
      <c r="F6029" s="156" t="s">
        <v>374</v>
      </c>
      <c r="G6029" s="156" t="s">
        <v>1804</v>
      </c>
      <c r="H6029" s="157" t="s">
        <v>210</v>
      </c>
    </row>
    <row r="6030" hidden="1">
      <c r="A6030" s="160" t="s">
        <v>234</v>
      </c>
      <c r="B6030" s="72"/>
      <c r="C6030" s="118" t="s">
        <v>232</v>
      </c>
      <c r="D6030" s="152" t="s">
        <v>6805</v>
      </c>
      <c r="E6030" s="152" t="s">
        <v>6914</v>
      </c>
      <c r="F6030" s="152" t="s">
        <v>287</v>
      </c>
      <c r="G6030" s="152" t="s">
        <v>2018</v>
      </c>
      <c r="H6030" s="153" t="s">
        <v>211</v>
      </c>
    </row>
    <row r="6031" hidden="1">
      <c r="A6031" s="158" t="s">
        <v>234</v>
      </c>
      <c r="B6031" s="159"/>
      <c r="C6031" s="155" t="s">
        <v>232</v>
      </c>
      <c r="D6031" s="156" t="s">
        <v>6805</v>
      </c>
      <c r="E6031" s="156" t="s">
        <v>6915</v>
      </c>
      <c r="F6031" s="156" t="s">
        <v>285</v>
      </c>
      <c r="G6031" s="156" t="s">
        <v>1735</v>
      </c>
      <c r="H6031" s="157" t="s">
        <v>212</v>
      </c>
    </row>
    <row r="6032" hidden="1">
      <c r="A6032" s="160" t="s">
        <v>234</v>
      </c>
      <c r="B6032" s="72"/>
      <c r="C6032" s="118" t="s">
        <v>232</v>
      </c>
      <c r="D6032" s="152" t="s">
        <v>6805</v>
      </c>
      <c r="E6032" s="152" t="s">
        <v>6916</v>
      </c>
      <c r="F6032" s="152" t="s">
        <v>287</v>
      </c>
      <c r="G6032" s="152" t="s">
        <v>2404</v>
      </c>
      <c r="H6032" s="153" t="s">
        <v>213</v>
      </c>
    </row>
    <row r="6033" hidden="1">
      <c r="A6033" s="158" t="s">
        <v>234</v>
      </c>
      <c r="B6033" s="159"/>
      <c r="C6033" s="155" t="s">
        <v>232</v>
      </c>
      <c r="D6033" s="156" t="s">
        <v>6805</v>
      </c>
      <c r="E6033" s="156" t="s">
        <v>6917</v>
      </c>
      <c r="F6033" s="156" t="s">
        <v>242</v>
      </c>
      <c r="G6033" s="156" t="s">
        <v>2409</v>
      </c>
      <c r="H6033" s="157" t="s">
        <v>214</v>
      </c>
    </row>
    <row r="6034" hidden="1">
      <c r="A6034" s="160" t="s">
        <v>234</v>
      </c>
      <c r="B6034" s="72"/>
      <c r="C6034" s="118" t="s">
        <v>232</v>
      </c>
      <c r="D6034" s="152" t="s">
        <v>6805</v>
      </c>
      <c r="E6034" s="152" t="s">
        <v>6918</v>
      </c>
      <c r="F6034" s="152" t="s">
        <v>365</v>
      </c>
      <c r="G6034" s="152" t="s">
        <v>1787</v>
      </c>
      <c r="H6034" s="153" t="s">
        <v>215</v>
      </c>
    </row>
    <row r="6035" hidden="1">
      <c r="A6035" s="158" t="s">
        <v>234</v>
      </c>
      <c r="B6035" s="159"/>
      <c r="C6035" s="155" t="s">
        <v>232</v>
      </c>
      <c r="D6035" s="156" t="s">
        <v>6805</v>
      </c>
      <c r="E6035" s="156" t="s">
        <v>6919</v>
      </c>
      <c r="F6035" s="156" t="s">
        <v>269</v>
      </c>
      <c r="G6035" s="156" t="s">
        <v>1745</v>
      </c>
      <c r="H6035" s="157" t="s">
        <v>216</v>
      </c>
    </row>
    <row r="6036" hidden="1">
      <c r="A6036" s="160" t="s">
        <v>235</v>
      </c>
      <c r="B6036" s="72"/>
      <c r="C6036" s="118" t="s">
        <v>236</v>
      </c>
      <c r="D6036" s="152" t="s">
        <v>6805</v>
      </c>
      <c r="E6036" s="152" t="s">
        <v>6920</v>
      </c>
      <c r="F6036" s="152" t="s">
        <v>534</v>
      </c>
      <c r="G6036" s="152" t="s">
        <v>2602</v>
      </c>
      <c r="H6036" s="153" t="s">
        <v>210</v>
      </c>
    </row>
    <row r="6037" hidden="1">
      <c r="A6037" s="158" t="s">
        <v>235</v>
      </c>
      <c r="B6037" s="159"/>
      <c r="C6037" s="155" t="s">
        <v>236</v>
      </c>
      <c r="D6037" s="156" t="s">
        <v>6805</v>
      </c>
      <c r="E6037" s="156" t="s">
        <v>6921</v>
      </c>
      <c r="F6037" s="156" t="s">
        <v>450</v>
      </c>
      <c r="G6037" s="156" t="s">
        <v>3523</v>
      </c>
      <c r="H6037" s="157" t="s">
        <v>211</v>
      </c>
    </row>
    <row r="6038" hidden="1">
      <c r="A6038" s="160" t="s">
        <v>235</v>
      </c>
      <c r="B6038" s="72"/>
      <c r="C6038" s="118" t="s">
        <v>236</v>
      </c>
      <c r="D6038" s="152" t="s">
        <v>6805</v>
      </c>
      <c r="E6038" s="152" t="s">
        <v>6922</v>
      </c>
      <c r="F6038" s="152" t="s">
        <v>483</v>
      </c>
      <c r="G6038" s="152" t="s">
        <v>2910</v>
      </c>
      <c r="H6038" s="153" t="s">
        <v>212</v>
      </c>
    </row>
    <row r="6039" hidden="1">
      <c r="A6039" s="158" t="s">
        <v>235</v>
      </c>
      <c r="B6039" s="159"/>
      <c r="C6039" s="155" t="s">
        <v>236</v>
      </c>
      <c r="D6039" s="156" t="s">
        <v>6805</v>
      </c>
      <c r="E6039" s="156" t="s">
        <v>6923</v>
      </c>
      <c r="F6039" s="156" t="s">
        <v>339</v>
      </c>
      <c r="G6039" s="156" t="s">
        <v>3523</v>
      </c>
      <c r="H6039" s="157" t="s">
        <v>213</v>
      </c>
    </row>
    <row r="6040" hidden="1">
      <c r="A6040" s="160" t="s">
        <v>235</v>
      </c>
      <c r="B6040" s="72"/>
      <c r="C6040" s="118" t="s">
        <v>236</v>
      </c>
      <c r="D6040" s="152" t="s">
        <v>6805</v>
      </c>
      <c r="E6040" s="152" t="s">
        <v>6924</v>
      </c>
      <c r="F6040" s="152" t="s">
        <v>351</v>
      </c>
      <c r="G6040" s="152" t="s">
        <v>2383</v>
      </c>
      <c r="H6040" s="153" t="s">
        <v>214</v>
      </c>
    </row>
    <row r="6041" hidden="1">
      <c r="A6041" s="158" t="s">
        <v>235</v>
      </c>
      <c r="B6041" s="159"/>
      <c r="C6041" s="155" t="s">
        <v>236</v>
      </c>
      <c r="D6041" s="156" t="s">
        <v>6805</v>
      </c>
      <c r="E6041" s="156" t="s">
        <v>6925</v>
      </c>
      <c r="F6041" s="156" t="s">
        <v>339</v>
      </c>
      <c r="G6041" s="156" t="s">
        <v>3356</v>
      </c>
      <c r="H6041" s="157" t="s">
        <v>215</v>
      </c>
    </row>
    <row r="6042" hidden="1">
      <c r="A6042" s="160" t="s">
        <v>235</v>
      </c>
      <c r="B6042" s="72"/>
      <c r="C6042" s="118" t="s">
        <v>236</v>
      </c>
      <c r="D6042" s="152" t="s">
        <v>6805</v>
      </c>
      <c r="E6042" s="152" t="s">
        <v>6926</v>
      </c>
      <c r="F6042" s="152" t="s">
        <v>339</v>
      </c>
      <c r="G6042" s="152" t="s">
        <v>2992</v>
      </c>
      <c r="H6042" s="153" t="s">
        <v>216</v>
      </c>
    </row>
    <row r="6043" hidden="1">
      <c r="A6043" s="158" t="s">
        <v>237</v>
      </c>
      <c r="B6043" s="159"/>
      <c r="C6043" s="155" t="s">
        <v>236</v>
      </c>
      <c r="D6043" s="156" t="s">
        <v>6805</v>
      </c>
      <c r="E6043" s="156" t="s">
        <v>6927</v>
      </c>
      <c r="F6043" s="156" t="s">
        <v>290</v>
      </c>
      <c r="G6043" s="156" t="s">
        <v>1870</v>
      </c>
      <c r="H6043" s="157" t="s">
        <v>210</v>
      </c>
    </row>
    <row r="6044" hidden="1">
      <c r="A6044" s="160" t="s">
        <v>237</v>
      </c>
      <c r="B6044" s="72"/>
      <c r="C6044" s="118" t="s">
        <v>236</v>
      </c>
      <c r="D6044" s="152" t="s">
        <v>6805</v>
      </c>
      <c r="E6044" s="152" t="s">
        <v>6928</v>
      </c>
      <c r="F6044" s="152" t="s">
        <v>314</v>
      </c>
      <c r="G6044" s="152" t="s">
        <v>2091</v>
      </c>
      <c r="H6044" s="153" t="s">
        <v>211</v>
      </c>
    </row>
    <row r="6045" hidden="1">
      <c r="A6045" s="158" t="s">
        <v>237</v>
      </c>
      <c r="B6045" s="159"/>
      <c r="C6045" s="155" t="s">
        <v>236</v>
      </c>
      <c r="D6045" s="156" t="s">
        <v>6805</v>
      </c>
      <c r="E6045" s="156" t="s">
        <v>6929</v>
      </c>
      <c r="F6045" s="156" t="s">
        <v>249</v>
      </c>
      <c r="G6045" s="156" t="s">
        <v>2364</v>
      </c>
      <c r="H6045" s="157" t="s">
        <v>212</v>
      </c>
    </row>
    <row r="6046" hidden="1">
      <c r="A6046" s="160" t="s">
        <v>237</v>
      </c>
      <c r="B6046" s="72"/>
      <c r="C6046" s="118" t="s">
        <v>236</v>
      </c>
      <c r="D6046" s="152" t="s">
        <v>6805</v>
      </c>
      <c r="E6046" s="152" t="s">
        <v>6930</v>
      </c>
      <c r="F6046" s="152" t="s">
        <v>323</v>
      </c>
      <c r="G6046" s="152" t="s">
        <v>1971</v>
      </c>
      <c r="H6046" s="153" t="s">
        <v>213</v>
      </c>
    </row>
    <row r="6047" hidden="1">
      <c r="A6047" s="158" t="s">
        <v>237</v>
      </c>
      <c r="B6047" s="159"/>
      <c r="C6047" s="155" t="s">
        <v>236</v>
      </c>
      <c r="D6047" s="156" t="s">
        <v>6805</v>
      </c>
      <c r="E6047" s="156" t="s">
        <v>6931</v>
      </c>
      <c r="F6047" s="156" t="s">
        <v>249</v>
      </c>
      <c r="G6047" s="156" t="s">
        <v>2254</v>
      </c>
      <c r="H6047" s="157" t="s">
        <v>214</v>
      </c>
    </row>
    <row r="6048" hidden="1">
      <c r="A6048" s="160" t="s">
        <v>237</v>
      </c>
      <c r="B6048" s="72"/>
      <c r="C6048" s="118" t="s">
        <v>236</v>
      </c>
      <c r="D6048" s="152" t="s">
        <v>6805</v>
      </c>
      <c r="E6048" s="152" t="s">
        <v>6932</v>
      </c>
      <c r="F6048" s="152" t="s">
        <v>287</v>
      </c>
      <c r="G6048" s="152" t="s">
        <v>2296</v>
      </c>
      <c r="H6048" s="153" t="s">
        <v>215</v>
      </c>
    </row>
    <row r="6049" hidden="1">
      <c r="A6049" s="158" t="s">
        <v>237</v>
      </c>
      <c r="B6049" s="159"/>
      <c r="C6049" s="155" t="s">
        <v>236</v>
      </c>
      <c r="D6049" s="156" t="s">
        <v>6805</v>
      </c>
      <c r="E6049" s="156" t="s">
        <v>6933</v>
      </c>
      <c r="F6049" s="156" t="s">
        <v>249</v>
      </c>
      <c r="G6049" s="156" t="s">
        <v>1854</v>
      </c>
      <c r="H6049" s="157" t="s">
        <v>216</v>
      </c>
    </row>
    <row r="6050" hidden="1">
      <c r="A6050" s="151" t="s">
        <v>204</v>
      </c>
      <c r="B6050" s="118" t="s">
        <v>205</v>
      </c>
      <c r="C6050" s="118" t="s">
        <v>206</v>
      </c>
      <c r="D6050" s="152" t="s">
        <v>6934</v>
      </c>
      <c r="E6050" s="152" t="s">
        <v>6935</v>
      </c>
      <c r="F6050" s="152" t="s">
        <v>450</v>
      </c>
      <c r="G6050" s="152" t="s">
        <v>1843</v>
      </c>
      <c r="H6050" s="153" t="s">
        <v>210</v>
      </c>
    </row>
    <row r="6051" hidden="1">
      <c r="A6051" s="154" t="s">
        <v>204</v>
      </c>
      <c r="B6051" s="155" t="s">
        <v>205</v>
      </c>
      <c r="C6051" s="155" t="s">
        <v>206</v>
      </c>
      <c r="D6051" s="156" t="s">
        <v>6934</v>
      </c>
      <c r="E6051" s="156" t="s">
        <v>6936</v>
      </c>
      <c r="F6051" s="156" t="s">
        <v>799</v>
      </c>
      <c r="G6051" s="156" t="s">
        <v>2923</v>
      </c>
      <c r="H6051" s="157" t="s">
        <v>211</v>
      </c>
    </row>
    <row r="6052" hidden="1">
      <c r="A6052" s="151" t="s">
        <v>204</v>
      </c>
      <c r="B6052" s="118" t="s">
        <v>205</v>
      </c>
      <c r="C6052" s="118" t="s">
        <v>206</v>
      </c>
      <c r="D6052" s="152" t="s">
        <v>6934</v>
      </c>
      <c r="E6052" s="152" t="s">
        <v>6937</v>
      </c>
      <c r="F6052" s="152" t="s">
        <v>1999</v>
      </c>
      <c r="G6052" s="152" t="s">
        <v>2992</v>
      </c>
      <c r="H6052" s="153" t="s">
        <v>212</v>
      </c>
    </row>
    <row r="6053" hidden="1">
      <c r="A6053" s="154" t="s">
        <v>204</v>
      </c>
      <c r="B6053" s="155" t="s">
        <v>205</v>
      </c>
      <c r="C6053" s="155" t="s">
        <v>206</v>
      </c>
      <c r="D6053" s="156" t="s">
        <v>6934</v>
      </c>
      <c r="E6053" s="156" t="s">
        <v>6938</v>
      </c>
      <c r="F6053" s="156" t="s">
        <v>354</v>
      </c>
      <c r="G6053" s="156" t="s">
        <v>3151</v>
      </c>
      <c r="H6053" s="157" t="s">
        <v>213</v>
      </c>
    </row>
    <row r="6054" hidden="1">
      <c r="A6054" s="151" t="s">
        <v>204</v>
      </c>
      <c r="B6054" s="118" t="s">
        <v>205</v>
      </c>
      <c r="C6054" s="118" t="s">
        <v>206</v>
      </c>
      <c r="D6054" s="152" t="s">
        <v>6934</v>
      </c>
      <c r="E6054" s="152" t="s">
        <v>6939</v>
      </c>
      <c r="F6054" s="152" t="s">
        <v>354</v>
      </c>
      <c r="G6054" s="152" t="s">
        <v>2301</v>
      </c>
      <c r="H6054" s="153" t="s">
        <v>214</v>
      </c>
    </row>
    <row r="6055" hidden="1">
      <c r="A6055" s="154" t="s">
        <v>204</v>
      </c>
      <c r="B6055" s="155" t="s">
        <v>205</v>
      </c>
      <c r="C6055" s="155" t="s">
        <v>206</v>
      </c>
      <c r="D6055" s="156" t="s">
        <v>6934</v>
      </c>
      <c r="E6055" s="156" t="s">
        <v>6940</v>
      </c>
      <c r="F6055" s="156" t="s">
        <v>534</v>
      </c>
      <c r="G6055" s="156" t="s">
        <v>1942</v>
      </c>
      <c r="H6055" s="157" t="s">
        <v>215</v>
      </c>
    </row>
    <row r="6056" hidden="1">
      <c r="A6056" s="151" t="s">
        <v>204</v>
      </c>
      <c r="B6056" s="118" t="s">
        <v>205</v>
      </c>
      <c r="C6056" s="118" t="s">
        <v>206</v>
      </c>
      <c r="D6056" s="152" t="s">
        <v>6934</v>
      </c>
      <c r="E6056" s="152" t="s">
        <v>6941</v>
      </c>
      <c r="F6056" s="152" t="s">
        <v>483</v>
      </c>
      <c r="G6056" s="152" t="s">
        <v>3587</v>
      </c>
      <c r="H6056" s="153" t="s">
        <v>216</v>
      </c>
    </row>
    <row r="6057" hidden="1">
      <c r="A6057" s="154" t="s">
        <v>217</v>
      </c>
      <c r="B6057" s="155" t="s">
        <v>191</v>
      </c>
      <c r="C6057" s="155" t="s">
        <v>206</v>
      </c>
      <c r="D6057" s="156" t="s">
        <v>6934</v>
      </c>
      <c r="E6057" s="156" t="s">
        <v>6942</v>
      </c>
      <c r="F6057" s="156" t="s">
        <v>331</v>
      </c>
      <c r="G6057" s="156" t="s">
        <v>2393</v>
      </c>
      <c r="H6057" s="157" t="s">
        <v>210</v>
      </c>
    </row>
    <row r="6058" hidden="1">
      <c r="A6058" s="151" t="s">
        <v>217</v>
      </c>
      <c r="B6058" s="118" t="s">
        <v>191</v>
      </c>
      <c r="C6058" s="118" t="s">
        <v>206</v>
      </c>
      <c r="D6058" s="152" t="s">
        <v>6934</v>
      </c>
      <c r="E6058" s="152" t="s">
        <v>6943</v>
      </c>
      <c r="F6058" s="152" t="s">
        <v>1532</v>
      </c>
      <c r="G6058" s="152" t="s">
        <v>3513</v>
      </c>
      <c r="H6058" s="153" t="s">
        <v>211</v>
      </c>
    </row>
    <row r="6059" hidden="1">
      <c r="A6059" s="154" t="s">
        <v>217</v>
      </c>
      <c r="B6059" s="155" t="s">
        <v>191</v>
      </c>
      <c r="C6059" s="155" t="s">
        <v>206</v>
      </c>
      <c r="D6059" s="156" t="s">
        <v>6934</v>
      </c>
      <c r="E6059" s="156" t="s">
        <v>6944</v>
      </c>
      <c r="F6059" s="156" t="s">
        <v>1931</v>
      </c>
      <c r="G6059" s="156" t="s">
        <v>3900</v>
      </c>
      <c r="H6059" s="157" t="s">
        <v>212</v>
      </c>
    </row>
    <row r="6060" hidden="1">
      <c r="A6060" s="151" t="s">
        <v>217</v>
      </c>
      <c r="B6060" s="118" t="s">
        <v>191</v>
      </c>
      <c r="C6060" s="118" t="s">
        <v>206</v>
      </c>
      <c r="D6060" s="152" t="s">
        <v>6934</v>
      </c>
      <c r="E6060" s="152" t="s">
        <v>6945</v>
      </c>
      <c r="F6060" s="152" t="s">
        <v>760</v>
      </c>
      <c r="G6060" s="152" t="s">
        <v>3707</v>
      </c>
      <c r="H6060" s="153" t="s">
        <v>213</v>
      </c>
    </row>
    <row r="6061" hidden="1">
      <c r="A6061" s="154" t="s">
        <v>217</v>
      </c>
      <c r="B6061" s="155" t="s">
        <v>191</v>
      </c>
      <c r="C6061" s="155" t="s">
        <v>206</v>
      </c>
      <c r="D6061" s="156" t="s">
        <v>6934</v>
      </c>
      <c r="E6061" s="156" t="s">
        <v>6946</v>
      </c>
      <c r="F6061" s="156" t="s">
        <v>735</v>
      </c>
      <c r="G6061" s="156" t="s">
        <v>4013</v>
      </c>
      <c r="H6061" s="157" t="s">
        <v>214</v>
      </c>
    </row>
    <row r="6062" hidden="1">
      <c r="A6062" s="151" t="s">
        <v>217</v>
      </c>
      <c r="B6062" s="118" t="s">
        <v>191</v>
      </c>
      <c r="C6062" s="118" t="s">
        <v>206</v>
      </c>
      <c r="D6062" s="152" t="s">
        <v>6934</v>
      </c>
      <c r="E6062" s="152" t="s">
        <v>6947</v>
      </c>
      <c r="F6062" s="152" t="s">
        <v>534</v>
      </c>
      <c r="G6062" s="152" t="s">
        <v>3287</v>
      </c>
      <c r="H6062" s="153" t="s">
        <v>215</v>
      </c>
    </row>
    <row r="6063" hidden="1">
      <c r="A6063" s="154" t="s">
        <v>217</v>
      </c>
      <c r="B6063" s="155" t="s">
        <v>191</v>
      </c>
      <c r="C6063" s="155" t="s">
        <v>206</v>
      </c>
      <c r="D6063" s="156" t="s">
        <v>6934</v>
      </c>
      <c r="E6063" s="156" t="s">
        <v>6948</v>
      </c>
      <c r="F6063" s="156" t="s">
        <v>494</v>
      </c>
      <c r="G6063" s="156" t="s">
        <v>2383</v>
      </c>
      <c r="H6063" s="157" t="s">
        <v>216</v>
      </c>
    </row>
    <row r="6064" hidden="1">
      <c r="A6064" s="151" t="s">
        <v>218</v>
      </c>
      <c r="B6064" s="118" t="s">
        <v>219</v>
      </c>
      <c r="C6064" s="118" t="s">
        <v>206</v>
      </c>
      <c r="D6064" s="152" t="s">
        <v>6934</v>
      </c>
      <c r="E6064" s="152" t="s">
        <v>6949</v>
      </c>
      <c r="F6064" s="152" t="s">
        <v>331</v>
      </c>
      <c r="G6064" s="152" t="s">
        <v>2467</v>
      </c>
      <c r="H6064" s="153" t="s">
        <v>210</v>
      </c>
    </row>
    <row r="6065" hidden="1">
      <c r="A6065" s="154" t="s">
        <v>218</v>
      </c>
      <c r="B6065" s="155" t="s">
        <v>219</v>
      </c>
      <c r="C6065" s="155" t="s">
        <v>206</v>
      </c>
      <c r="D6065" s="156" t="s">
        <v>6934</v>
      </c>
      <c r="E6065" s="156" t="s">
        <v>6950</v>
      </c>
      <c r="F6065" s="156" t="s">
        <v>336</v>
      </c>
      <c r="G6065" s="156" t="s">
        <v>3071</v>
      </c>
      <c r="H6065" s="157" t="s">
        <v>211</v>
      </c>
    </row>
    <row r="6066" hidden="1">
      <c r="A6066" s="151" t="s">
        <v>218</v>
      </c>
      <c r="B6066" s="118" t="s">
        <v>219</v>
      </c>
      <c r="C6066" s="118" t="s">
        <v>206</v>
      </c>
      <c r="D6066" s="152" t="s">
        <v>6934</v>
      </c>
      <c r="E6066" s="152" t="s">
        <v>6951</v>
      </c>
      <c r="F6066" s="152" t="s">
        <v>405</v>
      </c>
      <c r="G6066" s="152" t="s">
        <v>1944</v>
      </c>
      <c r="H6066" s="153" t="s">
        <v>212</v>
      </c>
    </row>
    <row r="6067" hidden="1">
      <c r="A6067" s="154" t="s">
        <v>218</v>
      </c>
      <c r="B6067" s="155" t="s">
        <v>219</v>
      </c>
      <c r="C6067" s="155" t="s">
        <v>206</v>
      </c>
      <c r="D6067" s="156" t="s">
        <v>6934</v>
      </c>
      <c r="E6067" s="156" t="s">
        <v>6952</v>
      </c>
      <c r="F6067" s="156" t="s">
        <v>450</v>
      </c>
      <c r="G6067" s="156" t="s">
        <v>2309</v>
      </c>
      <c r="H6067" s="157" t="s">
        <v>213</v>
      </c>
    </row>
    <row r="6068" hidden="1">
      <c r="A6068" s="151" t="s">
        <v>218</v>
      </c>
      <c r="B6068" s="118" t="s">
        <v>219</v>
      </c>
      <c r="C6068" s="118" t="s">
        <v>206</v>
      </c>
      <c r="D6068" s="152" t="s">
        <v>6934</v>
      </c>
      <c r="E6068" s="152" t="s">
        <v>6953</v>
      </c>
      <c r="F6068" s="152" t="s">
        <v>425</v>
      </c>
      <c r="G6068" s="152" t="s">
        <v>1843</v>
      </c>
      <c r="H6068" s="153" t="s">
        <v>214</v>
      </c>
    </row>
    <row r="6069" hidden="1">
      <c r="A6069" s="154" t="s">
        <v>218</v>
      </c>
      <c r="B6069" s="155" t="s">
        <v>219</v>
      </c>
      <c r="C6069" s="155" t="s">
        <v>206</v>
      </c>
      <c r="D6069" s="156" t="s">
        <v>6934</v>
      </c>
      <c r="E6069" s="156" t="s">
        <v>6954</v>
      </c>
      <c r="F6069" s="156" t="s">
        <v>329</v>
      </c>
      <c r="G6069" s="156" t="s">
        <v>2045</v>
      </c>
      <c r="H6069" s="157" t="s">
        <v>215</v>
      </c>
    </row>
    <row r="6070" hidden="1">
      <c r="A6070" s="151" t="s">
        <v>218</v>
      </c>
      <c r="B6070" s="118" t="s">
        <v>219</v>
      </c>
      <c r="C6070" s="118" t="s">
        <v>206</v>
      </c>
      <c r="D6070" s="152" t="s">
        <v>6934</v>
      </c>
      <c r="E6070" s="152" t="s">
        <v>6955</v>
      </c>
      <c r="F6070" s="152" t="s">
        <v>339</v>
      </c>
      <c r="G6070" s="152" t="s">
        <v>2391</v>
      </c>
      <c r="H6070" s="153" t="s">
        <v>216</v>
      </c>
    </row>
    <row r="6071" hidden="1">
      <c r="A6071" s="154" t="s">
        <v>220</v>
      </c>
      <c r="B6071" s="155" t="s">
        <v>190</v>
      </c>
      <c r="C6071" s="155" t="s">
        <v>206</v>
      </c>
      <c r="D6071" s="156" t="s">
        <v>6934</v>
      </c>
      <c r="E6071" s="156" t="s">
        <v>6956</v>
      </c>
      <c r="F6071" s="156" t="s">
        <v>483</v>
      </c>
      <c r="G6071" s="156" t="s">
        <v>5821</v>
      </c>
      <c r="H6071" s="157" t="s">
        <v>210</v>
      </c>
    </row>
    <row r="6072" hidden="1">
      <c r="A6072" s="151" t="s">
        <v>220</v>
      </c>
      <c r="B6072" s="118" t="s">
        <v>190</v>
      </c>
      <c r="C6072" s="118" t="s">
        <v>206</v>
      </c>
      <c r="D6072" s="152" t="s">
        <v>6934</v>
      </c>
      <c r="E6072" s="152" t="s">
        <v>6957</v>
      </c>
      <c r="F6072" s="152" t="s">
        <v>310</v>
      </c>
      <c r="G6072" s="152" t="s">
        <v>3543</v>
      </c>
      <c r="H6072" s="153" t="s">
        <v>211</v>
      </c>
    </row>
    <row r="6073" hidden="1">
      <c r="A6073" s="154" t="s">
        <v>220</v>
      </c>
      <c r="B6073" s="155" t="s">
        <v>190</v>
      </c>
      <c r="C6073" s="155" t="s">
        <v>206</v>
      </c>
      <c r="D6073" s="156" t="s">
        <v>6934</v>
      </c>
      <c r="E6073" s="156" t="s">
        <v>6958</v>
      </c>
      <c r="F6073" s="156" t="s">
        <v>1530</v>
      </c>
      <c r="G6073" s="156" t="s">
        <v>3917</v>
      </c>
      <c r="H6073" s="157" t="s">
        <v>212</v>
      </c>
    </row>
    <row r="6074" hidden="1">
      <c r="A6074" s="151" t="s">
        <v>220</v>
      </c>
      <c r="B6074" s="118" t="s">
        <v>190</v>
      </c>
      <c r="C6074" s="118" t="s">
        <v>206</v>
      </c>
      <c r="D6074" s="152" t="s">
        <v>6934</v>
      </c>
      <c r="E6074" s="152" t="s">
        <v>6959</v>
      </c>
      <c r="F6074" s="152" t="s">
        <v>450</v>
      </c>
      <c r="G6074" s="152" t="s">
        <v>3438</v>
      </c>
      <c r="H6074" s="153" t="s">
        <v>213</v>
      </c>
    </row>
    <row r="6075" hidden="1">
      <c r="A6075" s="154" t="s">
        <v>220</v>
      </c>
      <c r="B6075" s="155" t="s">
        <v>190</v>
      </c>
      <c r="C6075" s="155" t="s">
        <v>206</v>
      </c>
      <c r="D6075" s="156" t="s">
        <v>6934</v>
      </c>
      <c r="E6075" s="156" t="s">
        <v>6960</v>
      </c>
      <c r="F6075" s="156" t="s">
        <v>534</v>
      </c>
      <c r="G6075" s="156" t="s">
        <v>3937</v>
      </c>
      <c r="H6075" s="157" t="s">
        <v>214</v>
      </c>
    </row>
    <row r="6076" hidden="1">
      <c r="A6076" s="151" t="s">
        <v>220</v>
      </c>
      <c r="B6076" s="118" t="s">
        <v>190</v>
      </c>
      <c r="C6076" s="118" t="s">
        <v>206</v>
      </c>
      <c r="D6076" s="152" t="s">
        <v>6934</v>
      </c>
      <c r="E6076" s="152" t="s">
        <v>6961</v>
      </c>
      <c r="F6076" s="152" t="s">
        <v>357</v>
      </c>
      <c r="G6076" s="152" t="s">
        <v>3408</v>
      </c>
      <c r="H6076" s="153" t="s">
        <v>215</v>
      </c>
    </row>
    <row r="6077" hidden="1">
      <c r="A6077" s="154" t="s">
        <v>220</v>
      </c>
      <c r="B6077" s="155" t="s">
        <v>190</v>
      </c>
      <c r="C6077" s="155" t="s">
        <v>206</v>
      </c>
      <c r="D6077" s="156" t="s">
        <v>6934</v>
      </c>
      <c r="E6077" s="156" t="s">
        <v>6962</v>
      </c>
      <c r="F6077" s="156" t="s">
        <v>336</v>
      </c>
      <c r="G6077" s="156" t="s">
        <v>4215</v>
      </c>
      <c r="H6077" s="157" t="s">
        <v>216</v>
      </c>
    </row>
    <row r="6078" hidden="1">
      <c r="A6078" s="151" t="s">
        <v>221</v>
      </c>
      <c r="B6078" s="118" t="s">
        <v>189</v>
      </c>
      <c r="C6078" s="118" t="s">
        <v>206</v>
      </c>
      <c r="D6078" s="152" t="s">
        <v>6934</v>
      </c>
      <c r="E6078" s="152" t="s">
        <v>6963</v>
      </c>
      <c r="F6078" s="152" t="s">
        <v>329</v>
      </c>
      <c r="G6078" s="152" t="s">
        <v>1767</v>
      </c>
      <c r="H6078" s="153" t="s">
        <v>210</v>
      </c>
    </row>
    <row r="6079" hidden="1">
      <c r="A6079" s="154" t="s">
        <v>221</v>
      </c>
      <c r="B6079" s="155" t="s">
        <v>189</v>
      </c>
      <c r="C6079" s="155" t="s">
        <v>206</v>
      </c>
      <c r="D6079" s="156" t="s">
        <v>6934</v>
      </c>
      <c r="E6079" s="156" t="s">
        <v>6964</v>
      </c>
      <c r="F6079" s="156" t="s">
        <v>285</v>
      </c>
      <c r="G6079" s="156" t="s">
        <v>2077</v>
      </c>
      <c r="H6079" s="157" t="s">
        <v>211</v>
      </c>
    </row>
    <row r="6080" hidden="1">
      <c r="A6080" s="151" t="s">
        <v>221</v>
      </c>
      <c r="B6080" s="118" t="s">
        <v>189</v>
      </c>
      <c r="C6080" s="118" t="s">
        <v>206</v>
      </c>
      <c r="D6080" s="152" t="s">
        <v>6934</v>
      </c>
      <c r="E6080" s="152" t="s">
        <v>6965</v>
      </c>
      <c r="F6080" s="152" t="s">
        <v>244</v>
      </c>
      <c r="G6080" s="152" t="s">
        <v>1737</v>
      </c>
      <c r="H6080" s="153" t="s">
        <v>212</v>
      </c>
    </row>
    <row r="6081" hidden="1">
      <c r="A6081" s="154" t="s">
        <v>221</v>
      </c>
      <c r="B6081" s="155" t="s">
        <v>189</v>
      </c>
      <c r="C6081" s="155" t="s">
        <v>206</v>
      </c>
      <c r="D6081" s="156" t="s">
        <v>6934</v>
      </c>
      <c r="E6081" s="156" t="s">
        <v>6966</v>
      </c>
      <c r="F6081" s="156" t="s">
        <v>287</v>
      </c>
      <c r="G6081" s="156" t="s">
        <v>3240</v>
      </c>
      <c r="H6081" s="157" t="s">
        <v>213</v>
      </c>
    </row>
    <row r="6082" hidden="1">
      <c r="A6082" s="151" t="s">
        <v>221</v>
      </c>
      <c r="B6082" s="118" t="s">
        <v>189</v>
      </c>
      <c r="C6082" s="118" t="s">
        <v>206</v>
      </c>
      <c r="D6082" s="152" t="s">
        <v>6934</v>
      </c>
      <c r="E6082" s="152" t="s">
        <v>6967</v>
      </c>
      <c r="F6082" s="152" t="s">
        <v>246</v>
      </c>
      <c r="G6082" s="152" t="s">
        <v>2437</v>
      </c>
      <c r="H6082" s="153" t="s">
        <v>214</v>
      </c>
    </row>
    <row r="6083" hidden="1">
      <c r="A6083" s="154" t="s">
        <v>221</v>
      </c>
      <c r="B6083" s="155" t="s">
        <v>189</v>
      </c>
      <c r="C6083" s="155" t="s">
        <v>206</v>
      </c>
      <c r="D6083" s="156" t="s">
        <v>6934</v>
      </c>
      <c r="E6083" s="156" t="s">
        <v>6968</v>
      </c>
      <c r="F6083" s="156" t="s">
        <v>285</v>
      </c>
      <c r="G6083" s="156" t="s">
        <v>2018</v>
      </c>
      <c r="H6083" s="157" t="s">
        <v>215</v>
      </c>
    </row>
    <row r="6084" hidden="1">
      <c r="A6084" s="151" t="s">
        <v>221</v>
      </c>
      <c r="B6084" s="118" t="s">
        <v>189</v>
      </c>
      <c r="C6084" s="118" t="s">
        <v>206</v>
      </c>
      <c r="D6084" s="152" t="s">
        <v>6934</v>
      </c>
      <c r="E6084" s="152" t="s">
        <v>6969</v>
      </c>
      <c r="F6084" s="152" t="s">
        <v>534</v>
      </c>
      <c r="G6084" s="152" t="s">
        <v>2018</v>
      </c>
      <c r="H6084" s="153" t="s">
        <v>216</v>
      </c>
    </row>
    <row r="6085" hidden="1">
      <c r="A6085" s="154" t="s">
        <v>222</v>
      </c>
      <c r="B6085" s="155" t="s">
        <v>192</v>
      </c>
      <c r="C6085" s="155" t="s">
        <v>206</v>
      </c>
      <c r="D6085" s="156" t="s">
        <v>6934</v>
      </c>
      <c r="E6085" s="156" t="s">
        <v>6970</v>
      </c>
      <c r="F6085" s="156" t="s">
        <v>357</v>
      </c>
      <c r="G6085" s="156" t="s">
        <v>2305</v>
      </c>
      <c r="H6085" s="157" t="s">
        <v>210</v>
      </c>
    </row>
    <row r="6086" hidden="1">
      <c r="A6086" s="151" t="s">
        <v>222</v>
      </c>
      <c r="B6086" s="118" t="s">
        <v>192</v>
      </c>
      <c r="C6086" s="118" t="s">
        <v>206</v>
      </c>
      <c r="D6086" s="152" t="s">
        <v>6934</v>
      </c>
      <c r="E6086" s="152" t="s">
        <v>6971</v>
      </c>
      <c r="F6086" s="152" t="s">
        <v>290</v>
      </c>
      <c r="G6086" s="152" t="s">
        <v>2620</v>
      </c>
      <c r="H6086" s="153" t="s">
        <v>211</v>
      </c>
    </row>
    <row r="6087" hidden="1">
      <c r="A6087" s="154" t="s">
        <v>222</v>
      </c>
      <c r="B6087" s="155" t="s">
        <v>192</v>
      </c>
      <c r="C6087" s="155" t="s">
        <v>206</v>
      </c>
      <c r="D6087" s="156" t="s">
        <v>6934</v>
      </c>
      <c r="E6087" s="156" t="s">
        <v>6972</v>
      </c>
      <c r="F6087" s="156" t="s">
        <v>365</v>
      </c>
      <c r="G6087" s="156" t="s">
        <v>3443</v>
      </c>
      <c r="H6087" s="157" t="s">
        <v>212</v>
      </c>
    </row>
    <row r="6088" hidden="1">
      <c r="A6088" s="151" t="s">
        <v>222</v>
      </c>
      <c r="B6088" s="118" t="s">
        <v>192</v>
      </c>
      <c r="C6088" s="118" t="s">
        <v>206</v>
      </c>
      <c r="D6088" s="152" t="s">
        <v>6934</v>
      </c>
      <c r="E6088" s="152" t="s">
        <v>6973</v>
      </c>
      <c r="F6088" s="152" t="s">
        <v>365</v>
      </c>
      <c r="G6088" s="152" t="s">
        <v>2134</v>
      </c>
      <c r="H6088" s="153" t="s">
        <v>213</v>
      </c>
    </row>
    <row r="6089" hidden="1">
      <c r="A6089" s="154" t="s">
        <v>222</v>
      </c>
      <c r="B6089" s="155" t="s">
        <v>192</v>
      </c>
      <c r="C6089" s="155" t="s">
        <v>206</v>
      </c>
      <c r="D6089" s="156" t="s">
        <v>6934</v>
      </c>
      <c r="E6089" s="156" t="s">
        <v>6974</v>
      </c>
      <c r="F6089" s="156" t="s">
        <v>310</v>
      </c>
      <c r="G6089" s="156" t="s">
        <v>2779</v>
      </c>
      <c r="H6089" s="157" t="s">
        <v>214</v>
      </c>
    </row>
    <row r="6090" hidden="1">
      <c r="A6090" s="151" t="s">
        <v>222</v>
      </c>
      <c r="B6090" s="118" t="s">
        <v>192</v>
      </c>
      <c r="C6090" s="118" t="s">
        <v>206</v>
      </c>
      <c r="D6090" s="152" t="s">
        <v>6934</v>
      </c>
      <c r="E6090" s="152" t="s">
        <v>6975</v>
      </c>
      <c r="F6090" s="152" t="s">
        <v>450</v>
      </c>
      <c r="G6090" s="152" t="s">
        <v>3237</v>
      </c>
      <c r="H6090" s="153" t="s">
        <v>215</v>
      </c>
    </row>
    <row r="6091" hidden="1">
      <c r="A6091" s="154" t="s">
        <v>222</v>
      </c>
      <c r="B6091" s="155" t="s">
        <v>192</v>
      </c>
      <c r="C6091" s="155" t="s">
        <v>206</v>
      </c>
      <c r="D6091" s="156" t="s">
        <v>6934</v>
      </c>
      <c r="E6091" s="156" t="s">
        <v>6976</v>
      </c>
      <c r="F6091" s="156" t="s">
        <v>314</v>
      </c>
      <c r="G6091" s="156" t="s">
        <v>2305</v>
      </c>
      <c r="H6091" s="157" t="s">
        <v>216</v>
      </c>
    </row>
    <row r="6092" hidden="1">
      <c r="A6092" s="151" t="s">
        <v>223</v>
      </c>
      <c r="B6092" s="118" t="s">
        <v>144</v>
      </c>
      <c r="C6092" s="118" t="s">
        <v>206</v>
      </c>
      <c r="D6092" s="152" t="s">
        <v>6934</v>
      </c>
      <c r="E6092" s="152" t="s">
        <v>6977</v>
      </c>
      <c r="F6092" s="152" t="s">
        <v>673</v>
      </c>
      <c r="G6092" s="152" t="s">
        <v>1852</v>
      </c>
      <c r="H6092" s="153" t="s">
        <v>210</v>
      </c>
    </row>
    <row r="6093" hidden="1">
      <c r="A6093" s="154" t="s">
        <v>223</v>
      </c>
      <c r="B6093" s="155" t="s">
        <v>144</v>
      </c>
      <c r="C6093" s="155" t="s">
        <v>206</v>
      </c>
      <c r="D6093" s="156" t="s">
        <v>6934</v>
      </c>
      <c r="E6093" s="156" t="s">
        <v>6978</v>
      </c>
      <c r="F6093" s="156" t="s">
        <v>718</v>
      </c>
      <c r="G6093" s="156" t="s">
        <v>2299</v>
      </c>
      <c r="H6093" s="157" t="s">
        <v>211</v>
      </c>
    </row>
    <row r="6094" hidden="1">
      <c r="A6094" s="151" t="s">
        <v>223</v>
      </c>
      <c r="B6094" s="118" t="s">
        <v>144</v>
      </c>
      <c r="C6094" s="118" t="s">
        <v>206</v>
      </c>
      <c r="D6094" s="152" t="s">
        <v>6934</v>
      </c>
      <c r="E6094" s="152" t="s">
        <v>6979</v>
      </c>
      <c r="F6094" s="152" t="s">
        <v>478</v>
      </c>
      <c r="G6094" s="152" t="s">
        <v>1944</v>
      </c>
      <c r="H6094" s="153" t="s">
        <v>212</v>
      </c>
    </row>
    <row r="6095" hidden="1">
      <c r="A6095" s="154" t="s">
        <v>223</v>
      </c>
      <c r="B6095" s="155" t="s">
        <v>144</v>
      </c>
      <c r="C6095" s="155" t="s">
        <v>206</v>
      </c>
      <c r="D6095" s="156" t="s">
        <v>6934</v>
      </c>
      <c r="E6095" s="156" t="s">
        <v>6980</v>
      </c>
      <c r="F6095" s="156" t="s">
        <v>354</v>
      </c>
      <c r="G6095" s="156" t="s">
        <v>2067</v>
      </c>
      <c r="H6095" s="157" t="s">
        <v>213</v>
      </c>
    </row>
    <row r="6096" hidden="1">
      <c r="A6096" s="151" t="s">
        <v>223</v>
      </c>
      <c r="B6096" s="118" t="s">
        <v>144</v>
      </c>
      <c r="C6096" s="118" t="s">
        <v>206</v>
      </c>
      <c r="D6096" s="152" t="s">
        <v>6934</v>
      </c>
      <c r="E6096" s="152" t="s">
        <v>6981</v>
      </c>
      <c r="F6096" s="152" t="s">
        <v>532</v>
      </c>
      <c r="G6096" s="152" t="s">
        <v>2718</v>
      </c>
      <c r="H6096" s="153" t="s">
        <v>214</v>
      </c>
    </row>
    <row r="6097" hidden="1">
      <c r="A6097" s="154" t="s">
        <v>223</v>
      </c>
      <c r="B6097" s="155" t="s">
        <v>144</v>
      </c>
      <c r="C6097" s="155" t="s">
        <v>206</v>
      </c>
      <c r="D6097" s="156" t="s">
        <v>6934</v>
      </c>
      <c r="E6097" s="156" t="s">
        <v>6982</v>
      </c>
      <c r="F6097" s="156" t="s">
        <v>339</v>
      </c>
      <c r="G6097" s="156" t="s">
        <v>1856</v>
      </c>
      <c r="H6097" s="157" t="s">
        <v>215</v>
      </c>
    </row>
    <row r="6098" hidden="1">
      <c r="A6098" s="151" t="s">
        <v>223</v>
      </c>
      <c r="B6098" s="118" t="s">
        <v>144</v>
      </c>
      <c r="C6098" s="118" t="s">
        <v>206</v>
      </c>
      <c r="D6098" s="152" t="s">
        <v>6934</v>
      </c>
      <c r="E6098" s="152" t="s">
        <v>6983</v>
      </c>
      <c r="F6098" s="152" t="s">
        <v>532</v>
      </c>
      <c r="G6098" s="152" t="s">
        <v>1841</v>
      </c>
      <c r="H6098" s="153" t="s">
        <v>216</v>
      </c>
    </row>
    <row r="6099" hidden="1">
      <c r="A6099" s="154" t="s">
        <v>224</v>
      </c>
      <c r="B6099" s="155" t="s">
        <v>170</v>
      </c>
      <c r="C6099" s="155" t="s">
        <v>206</v>
      </c>
      <c r="D6099" s="156" t="s">
        <v>6934</v>
      </c>
      <c r="E6099" s="156" t="s">
        <v>6984</v>
      </c>
      <c r="F6099" s="156" t="s">
        <v>423</v>
      </c>
      <c r="G6099" s="156" t="s">
        <v>2138</v>
      </c>
      <c r="H6099" s="157" t="s">
        <v>210</v>
      </c>
    </row>
    <row r="6100" hidden="1">
      <c r="A6100" s="151" t="s">
        <v>224</v>
      </c>
      <c r="B6100" s="118" t="s">
        <v>170</v>
      </c>
      <c r="C6100" s="118" t="s">
        <v>206</v>
      </c>
      <c r="D6100" s="152" t="s">
        <v>6934</v>
      </c>
      <c r="E6100" s="152" t="s">
        <v>6985</v>
      </c>
      <c r="F6100" s="152" t="s">
        <v>577</v>
      </c>
      <c r="G6100" s="152" t="s">
        <v>4338</v>
      </c>
      <c r="H6100" s="153" t="s">
        <v>211</v>
      </c>
    </row>
    <row r="6101" hidden="1">
      <c r="A6101" s="154" t="s">
        <v>224</v>
      </c>
      <c r="B6101" s="155" t="s">
        <v>170</v>
      </c>
      <c r="C6101" s="155" t="s">
        <v>206</v>
      </c>
      <c r="D6101" s="156" t="s">
        <v>6934</v>
      </c>
      <c r="E6101" s="156" t="s">
        <v>6986</v>
      </c>
      <c r="F6101" s="156" t="s">
        <v>336</v>
      </c>
      <c r="G6101" s="156" t="s">
        <v>1843</v>
      </c>
      <c r="H6101" s="157" t="s">
        <v>212</v>
      </c>
    </row>
    <row r="6102" hidden="1">
      <c r="A6102" s="151" t="s">
        <v>224</v>
      </c>
      <c r="B6102" s="118" t="s">
        <v>170</v>
      </c>
      <c r="C6102" s="118" t="s">
        <v>206</v>
      </c>
      <c r="D6102" s="152" t="s">
        <v>6934</v>
      </c>
      <c r="E6102" s="152" t="s">
        <v>6987</v>
      </c>
      <c r="F6102" s="152" t="s">
        <v>478</v>
      </c>
      <c r="G6102" s="152" t="s">
        <v>1841</v>
      </c>
      <c r="H6102" s="153" t="s">
        <v>213</v>
      </c>
    </row>
    <row r="6103" hidden="1">
      <c r="A6103" s="154" t="s">
        <v>224</v>
      </c>
      <c r="B6103" s="155" t="s">
        <v>170</v>
      </c>
      <c r="C6103" s="155" t="s">
        <v>206</v>
      </c>
      <c r="D6103" s="156" t="s">
        <v>6934</v>
      </c>
      <c r="E6103" s="156" t="s">
        <v>6988</v>
      </c>
      <c r="F6103" s="156" t="s">
        <v>1999</v>
      </c>
      <c r="G6103" s="156" t="s">
        <v>2929</v>
      </c>
      <c r="H6103" s="157" t="s">
        <v>214</v>
      </c>
    </row>
    <row r="6104" hidden="1">
      <c r="A6104" s="151" t="s">
        <v>224</v>
      </c>
      <c r="B6104" s="118" t="s">
        <v>170</v>
      </c>
      <c r="C6104" s="118" t="s">
        <v>206</v>
      </c>
      <c r="D6104" s="152" t="s">
        <v>6934</v>
      </c>
      <c r="E6104" s="152" t="s">
        <v>6989</v>
      </c>
      <c r="F6104" s="152" t="s">
        <v>1999</v>
      </c>
      <c r="G6104" s="152" t="s">
        <v>2045</v>
      </c>
      <c r="H6104" s="153" t="s">
        <v>215</v>
      </c>
    </row>
    <row r="6105" hidden="1">
      <c r="A6105" s="154" t="s">
        <v>224</v>
      </c>
      <c r="B6105" s="155" t="s">
        <v>170</v>
      </c>
      <c r="C6105" s="155" t="s">
        <v>206</v>
      </c>
      <c r="D6105" s="156" t="s">
        <v>6934</v>
      </c>
      <c r="E6105" s="156" t="s">
        <v>6990</v>
      </c>
      <c r="F6105" s="156" t="s">
        <v>677</v>
      </c>
      <c r="G6105" s="156" t="s">
        <v>1832</v>
      </c>
      <c r="H6105" s="157" t="s">
        <v>216</v>
      </c>
    </row>
    <row r="6106" hidden="1">
      <c r="A6106" s="151" t="s">
        <v>225</v>
      </c>
      <c r="B6106" s="118" t="s">
        <v>226</v>
      </c>
      <c r="C6106" s="118" t="s">
        <v>206</v>
      </c>
      <c r="D6106" s="152" t="s">
        <v>6934</v>
      </c>
      <c r="E6106" s="152" t="s">
        <v>6991</v>
      </c>
      <c r="F6106" s="152" t="s">
        <v>279</v>
      </c>
      <c r="G6106" s="152" t="s">
        <v>3359</v>
      </c>
      <c r="H6106" s="153" t="s">
        <v>210</v>
      </c>
    </row>
    <row r="6107" hidden="1">
      <c r="A6107" s="154" t="s">
        <v>225</v>
      </c>
      <c r="B6107" s="155" t="s">
        <v>226</v>
      </c>
      <c r="C6107" s="155" t="s">
        <v>206</v>
      </c>
      <c r="D6107" s="156" t="s">
        <v>6934</v>
      </c>
      <c r="E6107" s="156" t="s">
        <v>6992</v>
      </c>
      <c r="F6107" s="156" t="s">
        <v>279</v>
      </c>
      <c r="G6107" s="156" t="s">
        <v>766</v>
      </c>
      <c r="H6107" s="157" t="s">
        <v>211</v>
      </c>
    </row>
    <row r="6108" hidden="1">
      <c r="A6108" s="151" t="s">
        <v>225</v>
      </c>
      <c r="B6108" s="118" t="s">
        <v>226</v>
      </c>
      <c r="C6108" s="118" t="s">
        <v>206</v>
      </c>
      <c r="D6108" s="152" t="s">
        <v>6934</v>
      </c>
      <c r="E6108" s="152" t="s">
        <v>6993</v>
      </c>
      <c r="F6108" s="152" t="s">
        <v>265</v>
      </c>
      <c r="G6108" s="152" t="s">
        <v>2223</v>
      </c>
      <c r="H6108" s="153" t="s">
        <v>212</v>
      </c>
    </row>
    <row r="6109" hidden="1">
      <c r="A6109" s="154" t="s">
        <v>225</v>
      </c>
      <c r="B6109" s="155" t="s">
        <v>226</v>
      </c>
      <c r="C6109" s="155" t="s">
        <v>206</v>
      </c>
      <c r="D6109" s="156" t="s">
        <v>6934</v>
      </c>
      <c r="E6109" s="156" t="s">
        <v>6994</v>
      </c>
      <c r="F6109" s="156" t="s">
        <v>501</v>
      </c>
      <c r="G6109" s="156" t="s">
        <v>2607</v>
      </c>
      <c r="H6109" s="157" t="s">
        <v>213</v>
      </c>
    </row>
    <row r="6110" hidden="1">
      <c r="A6110" s="151" t="s">
        <v>225</v>
      </c>
      <c r="B6110" s="118" t="s">
        <v>226</v>
      </c>
      <c r="C6110" s="118" t="s">
        <v>206</v>
      </c>
      <c r="D6110" s="152" t="s">
        <v>6934</v>
      </c>
      <c r="E6110" s="152" t="s">
        <v>6995</v>
      </c>
      <c r="F6110" s="152" t="s">
        <v>442</v>
      </c>
      <c r="G6110" s="152" t="s">
        <v>2407</v>
      </c>
      <c r="H6110" s="153" t="s">
        <v>214</v>
      </c>
    </row>
    <row r="6111" hidden="1">
      <c r="A6111" s="154" t="s">
        <v>225</v>
      </c>
      <c r="B6111" s="155" t="s">
        <v>226</v>
      </c>
      <c r="C6111" s="155" t="s">
        <v>206</v>
      </c>
      <c r="D6111" s="156" t="s">
        <v>6934</v>
      </c>
      <c r="E6111" s="156" t="s">
        <v>6996</v>
      </c>
      <c r="F6111" s="156" t="s">
        <v>262</v>
      </c>
      <c r="G6111" s="156" t="s">
        <v>691</v>
      </c>
      <c r="H6111" s="157" t="s">
        <v>215</v>
      </c>
    </row>
    <row r="6112" hidden="1">
      <c r="A6112" s="151" t="s">
        <v>225</v>
      </c>
      <c r="B6112" s="118" t="s">
        <v>226</v>
      </c>
      <c r="C6112" s="118" t="s">
        <v>206</v>
      </c>
      <c r="D6112" s="152" t="s">
        <v>6934</v>
      </c>
      <c r="E6112" s="152" t="s">
        <v>6997</v>
      </c>
      <c r="F6112" s="152" t="s">
        <v>204</v>
      </c>
      <c r="G6112" s="152" t="s">
        <v>3359</v>
      </c>
      <c r="H6112" s="153" t="s">
        <v>216</v>
      </c>
    </row>
    <row r="6113" hidden="1">
      <c r="A6113" s="154" t="s">
        <v>227</v>
      </c>
      <c r="B6113" s="155" t="s">
        <v>195</v>
      </c>
      <c r="C6113" s="155" t="s">
        <v>206</v>
      </c>
      <c r="D6113" s="156" t="s">
        <v>6934</v>
      </c>
      <c r="E6113" s="156" t="s">
        <v>6998</v>
      </c>
      <c r="F6113" s="156" t="s">
        <v>677</v>
      </c>
      <c r="G6113" s="156" t="s">
        <v>2510</v>
      </c>
      <c r="H6113" s="157" t="s">
        <v>210</v>
      </c>
    </row>
    <row r="6114" hidden="1">
      <c r="A6114" s="151" t="s">
        <v>227</v>
      </c>
      <c r="B6114" s="118" t="s">
        <v>195</v>
      </c>
      <c r="C6114" s="118" t="s">
        <v>206</v>
      </c>
      <c r="D6114" s="152" t="s">
        <v>6934</v>
      </c>
      <c r="E6114" s="152" t="s">
        <v>6999</v>
      </c>
      <c r="F6114" s="152" t="s">
        <v>3240</v>
      </c>
      <c r="G6114" s="152" t="s">
        <v>3200</v>
      </c>
      <c r="H6114" s="153" t="s">
        <v>211</v>
      </c>
    </row>
    <row r="6115" hidden="1">
      <c r="A6115" s="154" t="s">
        <v>227</v>
      </c>
      <c r="B6115" s="155" t="s">
        <v>195</v>
      </c>
      <c r="C6115" s="155" t="s">
        <v>206</v>
      </c>
      <c r="D6115" s="156" t="s">
        <v>6934</v>
      </c>
      <c r="E6115" s="156" t="s">
        <v>7000</v>
      </c>
      <c r="F6115" s="156" t="s">
        <v>285</v>
      </c>
      <c r="G6115" s="156" t="s">
        <v>3205</v>
      </c>
      <c r="H6115" s="157" t="s">
        <v>212</v>
      </c>
    </row>
    <row r="6116" hidden="1">
      <c r="A6116" s="151" t="s">
        <v>227</v>
      </c>
      <c r="B6116" s="118" t="s">
        <v>195</v>
      </c>
      <c r="C6116" s="118" t="s">
        <v>206</v>
      </c>
      <c r="D6116" s="152" t="s">
        <v>6934</v>
      </c>
      <c r="E6116" s="152" t="s">
        <v>7001</v>
      </c>
      <c r="F6116" s="152" t="s">
        <v>494</v>
      </c>
      <c r="G6116" s="152" t="s">
        <v>2289</v>
      </c>
      <c r="H6116" s="153" t="s">
        <v>213</v>
      </c>
    </row>
    <row r="6117" hidden="1">
      <c r="A6117" s="154" t="s">
        <v>227</v>
      </c>
      <c r="B6117" s="155" t="s">
        <v>195</v>
      </c>
      <c r="C6117" s="155" t="s">
        <v>206</v>
      </c>
      <c r="D6117" s="156" t="s">
        <v>6934</v>
      </c>
      <c r="E6117" s="156" t="s">
        <v>7002</v>
      </c>
      <c r="F6117" s="156" t="s">
        <v>534</v>
      </c>
      <c r="G6117" s="156" t="s">
        <v>2383</v>
      </c>
      <c r="H6117" s="157" t="s">
        <v>214</v>
      </c>
    </row>
    <row r="6118" hidden="1">
      <c r="A6118" s="151" t="s">
        <v>227</v>
      </c>
      <c r="B6118" s="118" t="s">
        <v>195</v>
      </c>
      <c r="C6118" s="118" t="s">
        <v>206</v>
      </c>
      <c r="D6118" s="152" t="s">
        <v>6934</v>
      </c>
      <c r="E6118" s="152" t="s">
        <v>7003</v>
      </c>
      <c r="F6118" s="152" t="s">
        <v>357</v>
      </c>
      <c r="G6118" s="152" t="s">
        <v>3503</v>
      </c>
      <c r="H6118" s="153" t="s">
        <v>215</v>
      </c>
    </row>
    <row r="6119" hidden="1">
      <c r="A6119" s="154" t="s">
        <v>227</v>
      </c>
      <c r="B6119" s="155" t="s">
        <v>195</v>
      </c>
      <c r="C6119" s="155" t="s">
        <v>206</v>
      </c>
      <c r="D6119" s="156" t="s">
        <v>6934</v>
      </c>
      <c r="E6119" s="156" t="s">
        <v>7004</v>
      </c>
      <c r="F6119" s="156" t="s">
        <v>532</v>
      </c>
      <c r="G6119" s="156" t="s">
        <v>2006</v>
      </c>
      <c r="H6119" s="157" t="s">
        <v>216</v>
      </c>
    </row>
    <row r="6120" hidden="1">
      <c r="A6120" s="151" t="s">
        <v>228</v>
      </c>
      <c r="B6120" s="118" t="s">
        <v>138</v>
      </c>
      <c r="C6120" s="118" t="s">
        <v>206</v>
      </c>
      <c r="D6120" s="152" t="s">
        <v>6934</v>
      </c>
      <c r="E6120" s="152" t="s">
        <v>7005</v>
      </c>
      <c r="F6120" s="152" t="s">
        <v>204</v>
      </c>
      <c r="G6120" s="152" t="s">
        <v>2155</v>
      </c>
      <c r="H6120" s="153" t="s">
        <v>210</v>
      </c>
    </row>
    <row r="6121" hidden="1">
      <c r="A6121" s="154" t="s">
        <v>228</v>
      </c>
      <c r="B6121" s="155" t="s">
        <v>138</v>
      </c>
      <c r="C6121" s="155" t="s">
        <v>206</v>
      </c>
      <c r="D6121" s="156" t="s">
        <v>6934</v>
      </c>
      <c r="E6121" s="156" t="s">
        <v>7006</v>
      </c>
      <c r="F6121" s="156" t="s">
        <v>436</v>
      </c>
      <c r="G6121" s="156" t="s">
        <v>1883</v>
      </c>
      <c r="H6121" s="157" t="s">
        <v>211</v>
      </c>
    </row>
    <row r="6122" hidden="1">
      <c r="A6122" s="151" t="s">
        <v>228</v>
      </c>
      <c r="B6122" s="118" t="s">
        <v>138</v>
      </c>
      <c r="C6122" s="118" t="s">
        <v>206</v>
      </c>
      <c r="D6122" s="152" t="s">
        <v>6934</v>
      </c>
      <c r="E6122" s="152" t="s">
        <v>6878</v>
      </c>
      <c r="F6122" s="152" t="s">
        <v>204</v>
      </c>
      <c r="G6122" s="152" t="s">
        <v>1729</v>
      </c>
      <c r="H6122" s="153" t="s">
        <v>212</v>
      </c>
    </row>
    <row r="6123" hidden="1">
      <c r="A6123" s="154" t="s">
        <v>228</v>
      </c>
      <c r="B6123" s="155" t="s">
        <v>138</v>
      </c>
      <c r="C6123" s="155" t="s">
        <v>206</v>
      </c>
      <c r="D6123" s="156" t="s">
        <v>6934</v>
      </c>
      <c r="E6123" s="156" t="s">
        <v>7007</v>
      </c>
      <c r="F6123" s="156" t="s">
        <v>276</v>
      </c>
      <c r="G6123" s="156" t="s">
        <v>2546</v>
      </c>
      <c r="H6123" s="157" t="s">
        <v>213</v>
      </c>
    </row>
    <row r="6124" hidden="1">
      <c r="A6124" s="151" t="s">
        <v>228</v>
      </c>
      <c r="B6124" s="118" t="s">
        <v>138</v>
      </c>
      <c r="C6124" s="118" t="s">
        <v>206</v>
      </c>
      <c r="D6124" s="152" t="s">
        <v>6934</v>
      </c>
      <c r="E6124" s="152" t="s">
        <v>7008</v>
      </c>
      <c r="F6124" s="152" t="s">
        <v>458</v>
      </c>
      <c r="G6124" s="152" t="s">
        <v>2364</v>
      </c>
      <c r="H6124" s="153" t="s">
        <v>214</v>
      </c>
    </row>
    <row r="6125" hidden="1">
      <c r="A6125" s="154" t="s">
        <v>228</v>
      </c>
      <c r="B6125" s="155" t="s">
        <v>138</v>
      </c>
      <c r="C6125" s="155" t="s">
        <v>206</v>
      </c>
      <c r="D6125" s="156" t="s">
        <v>6934</v>
      </c>
      <c r="E6125" s="156" t="s">
        <v>7009</v>
      </c>
      <c r="F6125" s="156" t="s">
        <v>501</v>
      </c>
      <c r="G6125" s="156" t="s">
        <v>5849</v>
      </c>
      <c r="H6125" s="157" t="s">
        <v>215</v>
      </c>
    </row>
    <row r="6126" hidden="1">
      <c r="A6126" s="151" t="s">
        <v>228</v>
      </c>
      <c r="B6126" s="118" t="s">
        <v>138</v>
      </c>
      <c r="C6126" s="118" t="s">
        <v>206</v>
      </c>
      <c r="D6126" s="152" t="s">
        <v>6934</v>
      </c>
      <c r="E6126" s="152" t="s">
        <v>7010</v>
      </c>
      <c r="F6126" s="152" t="s">
        <v>204</v>
      </c>
      <c r="G6126" s="152" t="s">
        <v>1936</v>
      </c>
      <c r="H6126" s="153" t="s">
        <v>216</v>
      </c>
    </row>
    <row r="6127" hidden="1">
      <c r="A6127" s="154" t="s">
        <v>229</v>
      </c>
      <c r="B6127" s="155" t="s">
        <v>193</v>
      </c>
      <c r="C6127" s="155" t="s">
        <v>206</v>
      </c>
      <c r="D6127" s="156" t="s">
        <v>6934</v>
      </c>
      <c r="E6127" s="156" t="s">
        <v>7011</v>
      </c>
      <c r="F6127" s="156" t="s">
        <v>3218</v>
      </c>
      <c r="G6127" s="156" t="s">
        <v>2385</v>
      </c>
      <c r="H6127" s="157" t="s">
        <v>210</v>
      </c>
    </row>
    <row r="6128" hidden="1">
      <c r="A6128" s="151" t="s">
        <v>229</v>
      </c>
      <c r="B6128" s="118" t="s">
        <v>193</v>
      </c>
      <c r="C6128" s="118" t="s">
        <v>206</v>
      </c>
      <c r="D6128" s="152" t="s">
        <v>6934</v>
      </c>
      <c r="E6128" s="152" t="s">
        <v>7012</v>
      </c>
      <c r="F6128" s="152" t="s">
        <v>336</v>
      </c>
      <c r="G6128" s="152" t="s">
        <v>2923</v>
      </c>
      <c r="H6128" s="153" t="s">
        <v>211</v>
      </c>
    </row>
    <row r="6129" hidden="1">
      <c r="A6129" s="154" t="s">
        <v>229</v>
      </c>
      <c r="B6129" s="155" t="s">
        <v>193</v>
      </c>
      <c r="C6129" s="155" t="s">
        <v>206</v>
      </c>
      <c r="D6129" s="156" t="s">
        <v>6934</v>
      </c>
      <c r="E6129" s="156" t="s">
        <v>7013</v>
      </c>
      <c r="F6129" s="156" t="s">
        <v>390</v>
      </c>
      <c r="G6129" s="156" t="s">
        <v>2119</v>
      </c>
      <c r="H6129" s="157" t="s">
        <v>212</v>
      </c>
    </row>
    <row r="6130" hidden="1">
      <c r="A6130" s="151" t="s">
        <v>229</v>
      </c>
      <c r="B6130" s="118" t="s">
        <v>193</v>
      </c>
      <c r="C6130" s="118" t="s">
        <v>206</v>
      </c>
      <c r="D6130" s="152" t="s">
        <v>6934</v>
      </c>
      <c r="E6130" s="152" t="s">
        <v>7014</v>
      </c>
      <c r="F6130" s="152" t="s">
        <v>427</v>
      </c>
      <c r="G6130" s="152" t="s">
        <v>2405</v>
      </c>
      <c r="H6130" s="153" t="s">
        <v>213</v>
      </c>
    </row>
    <row r="6131" hidden="1">
      <c r="A6131" s="154" t="s">
        <v>229</v>
      </c>
      <c r="B6131" s="155" t="s">
        <v>193</v>
      </c>
      <c r="C6131" s="155" t="s">
        <v>206</v>
      </c>
      <c r="D6131" s="156" t="s">
        <v>6934</v>
      </c>
      <c r="E6131" s="156" t="s">
        <v>7015</v>
      </c>
      <c r="F6131" s="156" t="s">
        <v>532</v>
      </c>
      <c r="G6131" s="156" t="s">
        <v>2242</v>
      </c>
      <c r="H6131" s="157" t="s">
        <v>214</v>
      </c>
    </row>
    <row r="6132" hidden="1">
      <c r="A6132" s="151" t="s">
        <v>229</v>
      </c>
      <c r="B6132" s="118" t="s">
        <v>193</v>
      </c>
      <c r="C6132" s="118" t="s">
        <v>206</v>
      </c>
      <c r="D6132" s="152" t="s">
        <v>6934</v>
      </c>
      <c r="E6132" s="152" t="s">
        <v>7016</v>
      </c>
      <c r="F6132" s="152" t="s">
        <v>321</v>
      </c>
      <c r="G6132" s="152" t="s">
        <v>1729</v>
      </c>
      <c r="H6132" s="153" t="s">
        <v>215</v>
      </c>
    </row>
    <row r="6133" hidden="1">
      <c r="A6133" s="154" t="s">
        <v>229</v>
      </c>
      <c r="B6133" s="155" t="s">
        <v>193</v>
      </c>
      <c r="C6133" s="155" t="s">
        <v>206</v>
      </c>
      <c r="D6133" s="156" t="s">
        <v>6934</v>
      </c>
      <c r="E6133" s="156" t="s">
        <v>7017</v>
      </c>
      <c r="F6133" s="156" t="s">
        <v>478</v>
      </c>
      <c r="G6133" s="156" t="s">
        <v>3287</v>
      </c>
      <c r="H6133" s="157" t="s">
        <v>216</v>
      </c>
    </row>
    <row r="6134" hidden="1">
      <c r="A6134" s="151" t="s">
        <v>230</v>
      </c>
      <c r="B6134" s="118" t="s">
        <v>194</v>
      </c>
      <c r="C6134" s="118" t="s">
        <v>206</v>
      </c>
      <c r="D6134" s="152" t="s">
        <v>6934</v>
      </c>
      <c r="E6134" s="152" t="s">
        <v>7018</v>
      </c>
      <c r="F6134" s="152" t="s">
        <v>240</v>
      </c>
      <c r="G6134" s="152" t="s">
        <v>2716</v>
      </c>
      <c r="H6134" s="153" t="s">
        <v>210</v>
      </c>
    </row>
    <row r="6135" hidden="1">
      <c r="A6135" s="154" t="s">
        <v>230</v>
      </c>
      <c r="B6135" s="155" t="s">
        <v>194</v>
      </c>
      <c r="C6135" s="155" t="s">
        <v>206</v>
      </c>
      <c r="D6135" s="156" t="s">
        <v>6934</v>
      </c>
      <c r="E6135" s="156" t="s">
        <v>7019</v>
      </c>
      <c r="F6135" s="156" t="s">
        <v>365</v>
      </c>
      <c r="G6135" s="156" t="s">
        <v>1751</v>
      </c>
      <c r="H6135" s="157" t="s">
        <v>211</v>
      </c>
    </row>
    <row r="6136" hidden="1">
      <c r="A6136" s="151" t="s">
        <v>230</v>
      </c>
      <c r="B6136" s="118" t="s">
        <v>194</v>
      </c>
      <c r="C6136" s="118" t="s">
        <v>206</v>
      </c>
      <c r="D6136" s="152" t="s">
        <v>6934</v>
      </c>
      <c r="E6136" s="152" t="s">
        <v>7020</v>
      </c>
      <c r="F6136" s="152" t="s">
        <v>257</v>
      </c>
      <c r="G6136" s="152" t="s">
        <v>1733</v>
      </c>
      <c r="H6136" s="153" t="s">
        <v>212</v>
      </c>
    </row>
    <row r="6137" hidden="1">
      <c r="A6137" s="154" t="s">
        <v>230</v>
      </c>
      <c r="B6137" s="155" t="s">
        <v>194</v>
      </c>
      <c r="C6137" s="155" t="s">
        <v>206</v>
      </c>
      <c r="D6137" s="156" t="s">
        <v>6934</v>
      </c>
      <c r="E6137" s="156" t="s">
        <v>7021</v>
      </c>
      <c r="F6137" s="156" t="s">
        <v>365</v>
      </c>
      <c r="G6137" s="156" t="s">
        <v>1812</v>
      </c>
      <c r="H6137" s="157" t="s">
        <v>213</v>
      </c>
    </row>
    <row r="6138" hidden="1">
      <c r="A6138" s="151" t="s">
        <v>230</v>
      </c>
      <c r="B6138" s="118" t="s">
        <v>194</v>
      </c>
      <c r="C6138" s="118" t="s">
        <v>206</v>
      </c>
      <c r="D6138" s="152" t="s">
        <v>6934</v>
      </c>
      <c r="E6138" s="152" t="s">
        <v>7022</v>
      </c>
      <c r="F6138" s="152" t="s">
        <v>310</v>
      </c>
      <c r="G6138" s="152" t="s">
        <v>2521</v>
      </c>
      <c r="H6138" s="153" t="s">
        <v>214</v>
      </c>
    </row>
    <row r="6139" hidden="1">
      <c r="A6139" s="154" t="s">
        <v>230</v>
      </c>
      <c r="B6139" s="155" t="s">
        <v>194</v>
      </c>
      <c r="C6139" s="155" t="s">
        <v>206</v>
      </c>
      <c r="D6139" s="156" t="s">
        <v>6934</v>
      </c>
      <c r="E6139" s="156" t="s">
        <v>7023</v>
      </c>
      <c r="F6139" s="156" t="s">
        <v>285</v>
      </c>
      <c r="G6139" s="156" t="s">
        <v>2296</v>
      </c>
      <c r="H6139" s="157" t="s">
        <v>215</v>
      </c>
    </row>
    <row r="6140" hidden="1">
      <c r="A6140" s="151" t="s">
        <v>230</v>
      </c>
      <c r="B6140" s="118" t="s">
        <v>194</v>
      </c>
      <c r="C6140" s="118" t="s">
        <v>206</v>
      </c>
      <c r="D6140" s="152" t="s">
        <v>6934</v>
      </c>
      <c r="E6140" s="152" t="s">
        <v>7024</v>
      </c>
      <c r="F6140" s="152" t="s">
        <v>244</v>
      </c>
      <c r="G6140" s="152" t="s">
        <v>2688</v>
      </c>
      <c r="H6140" s="153" t="s">
        <v>216</v>
      </c>
    </row>
    <row r="6141" hidden="1">
      <c r="A6141" s="158" t="s">
        <v>231</v>
      </c>
      <c r="B6141" s="159"/>
      <c r="C6141" s="155" t="s">
        <v>232</v>
      </c>
      <c r="D6141" s="156" t="s">
        <v>6934</v>
      </c>
      <c r="E6141" s="156" t="s">
        <v>7025</v>
      </c>
      <c r="F6141" s="156" t="s">
        <v>246</v>
      </c>
      <c r="G6141" s="156" t="s">
        <v>1785</v>
      </c>
      <c r="H6141" s="157" t="s">
        <v>210</v>
      </c>
    </row>
    <row r="6142" hidden="1">
      <c r="A6142" s="160" t="s">
        <v>231</v>
      </c>
      <c r="B6142" s="72"/>
      <c r="C6142" s="118" t="s">
        <v>232</v>
      </c>
      <c r="D6142" s="152" t="s">
        <v>6934</v>
      </c>
      <c r="E6142" s="152" t="s">
        <v>7026</v>
      </c>
      <c r="F6142" s="152" t="s">
        <v>265</v>
      </c>
      <c r="G6142" s="152" t="s">
        <v>4171</v>
      </c>
      <c r="H6142" s="153" t="s">
        <v>211</v>
      </c>
    </row>
    <row r="6143" hidden="1">
      <c r="A6143" s="158" t="s">
        <v>231</v>
      </c>
      <c r="B6143" s="159"/>
      <c r="C6143" s="155" t="s">
        <v>232</v>
      </c>
      <c r="D6143" s="156" t="s">
        <v>6934</v>
      </c>
      <c r="E6143" s="156" t="s">
        <v>7027</v>
      </c>
      <c r="F6143" s="156" t="s">
        <v>329</v>
      </c>
      <c r="G6143" s="156" t="s">
        <v>3930</v>
      </c>
      <c r="H6143" s="157" t="s">
        <v>212</v>
      </c>
    </row>
    <row r="6144" hidden="1">
      <c r="A6144" s="160" t="s">
        <v>231</v>
      </c>
      <c r="B6144" s="72"/>
      <c r="C6144" s="118" t="s">
        <v>232</v>
      </c>
      <c r="D6144" s="152" t="s">
        <v>6934</v>
      </c>
      <c r="E6144" s="152" t="s">
        <v>7028</v>
      </c>
      <c r="F6144" s="152" t="s">
        <v>365</v>
      </c>
      <c r="G6144" s="152" t="s">
        <v>7029</v>
      </c>
      <c r="H6144" s="153" t="s">
        <v>213</v>
      </c>
    </row>
    <row r="6145" hidden="1">
      <c r="A6145" s="158" t="s">
        <v>231</v>
      </c>
      <c r="B6145" s="159"/>
      <c r="C6145" s="155" t="s">
        <v>232</v>
      </c>
      <c r="D6145" s="156" t="s">
        <v>6934</v>
      </c>
      <c r="E6145" s="156" t="s">
        <v>7030</v>
      </c>
      <c r="F6145" s="156" t="s">
        <v>274</v>
      </c>
      <c r="G6145" s="156" t="s">
        <v>4905</v>
      </c>
      <c r="H6145" s="157" t="s">
        <v>214</v>
      </c>
    </row>
    <row r="6146" hidden="1">
      <c r="A6146" s="160" t="s">
        <v>231</v>
      </c>
      <c r="B6146" s="72"/>
      <c r="C6146" s="118" t="s">
        <v>232</v>
      </c>
      <c r="D6146" s="152" t="s">
        <v>6934</v>
      </c>
      <c r="E6146" s="152" t="s">
        <v>7031</v>
      </c>
      <c r="F6146" s="152" t="s">
        <v>262</v>
      </c>
      <c r="G6146" s="152" t="s">
        <v>4060</v>
      </c>
      <c r="H6146" s="153" t="s">
        <v>215</v>
      </c>
    </row>
    <row r="6147" hidden="1">
      <c r="A6147" s="158" t="s">
        <v>231</v>
      </c>
      <c r="B6147" s="159"/>
      <c r="C6147" s="155" t="s">
        <v>232</v>
      </c>
      <c r="D6147" s="156" t="s">
        <v>6934</v>
      </c>
      <c r="E6147" s="156" t="s">
        <v>7032</v>
      </c>
      <c r="F6147" s="156" t="s">
        <v>240</v>
      </c>
      <c r="G6147" s="156" t="s">
        <v>4223</v>
      </c>
      <c r="H6147" s="157" t="s">
        <v>216</v>
      </c>
    </row>
    <row r="6148" hidden="1">
      <c r="A6148" s="160" t="s">
        <v>233</v>
      </c>
      <c r="B6148" s="72"/>
      <c r="C6148" s="118" t="s">
        <v>232</v>
      </c>
      <c r="D6148" s="152" t="s">
        <v>6934</v>
      </c>
      <c r="E6148" s="152" t="s">
        <v>7033</v>
      </c>
      <c r="F6148" s="152" t="s">
        <v>725</v>
      </c>
      <c r="G6148" s="152" t="s">
        <v>2845</v>
      </c>
      <c r="H6148" s="153" t="s">
        <v>210</v>
      </c>
    </row>
    <row r="6149" hidden="1">
      <c r="A6149" s="158" t="s">
        <v>233</v>
      </c>
      <c r="B6149" s="159"/>
      <c r="C6149" s="155" t="s">
        <v>232</v>
      </c>
      <c r="D6149" s="156" t="s">
        <v>6934</v>
      </c>
      <c r="E6149" s="156" t="s">
        <v>7034</v>
      </c>
      <c r="F6149" s="156" t="s">
        <v>718</v>
      </c>
      <c r="G6149" s="156" t="s">
        <v>1921</v>
      </c>
      <c r="H6149" s="157" t="s">
        <v>211</v>
      </c>
    </row>
    <row r="6150" hidden="1">
      <c r="A6150" s="160" t="s">
        <v>233</v>
      </c>
      <c r="B6150" s="72"/>
      <c r="C6150" s="118" t="s">
        <v>232</v>
      </c>
      <c r="D6150" s="152" t="s">
        <v>6934</v>
      </c>
      <c r="E6150" s="152" t="s">
        <v>7035</v>
      </c>
      <c r="F6150" s="152" t="s">
        <v>763</v>
      </c>
      <c r="G6150" s="152" t="s">
        <v>3057</v>
      </c>
      <c r="H6150" s="153" t="s">
        <v>212</v>
      </c>
    </row>
    <row r="6151" hidden="1">
      <c r="A6151" s="158" t="s">
        <v>233</v>
      </c>
      <c r="B6151" s="159"/>
      <c r="C6151" s="155" t="s">
        <v>232</v>
      </c>
      <c r="D6151" s="156" t="s">
        <v>6934</v>
      </c>
      <c r="E6151" s="156" t="s">
        <v>7036</v>
      </c>
      <c r="F6151" s="156" t="s">
        <v>1532</v>
      </c>
      <c r="G6151" s="156" t="s">
        <v>2758</v>
      </c>
      <c r="H6151" s="157" t="s">
        <v>213</v>
      </c>
    </row>
    <row r="6152" hidden="1">
      <c r="A6152" s="160" t="s">
        <v>233</v>
      </c>
      <c r="B6152" s="72"/>
      <c r="C6152" s="118" t="s">
        <v>232</v>
      </c>
      <c r="D6152" s="152" t="s">
        <v>6934</v>
      </c>
      <c r="E6152" s="152" t="s">
        <v>7037</v>
      </c>
      <c r="F6152" s="152" t="s">
        <v>3218</v>
      </c>
      <c r="G6152" s="152" t="s">
        <v>2450</v>
      </c>
      <c r="H6152" s="153" t="s">
        <v>214</v>
      </c>
    </row>
    <row r="6153" hidden="1">
      <c r="A6153" s="158" t="s">
        <v>233</v>
      </c>
      <c r="B6153" s="159"/>
      <c r="C6153" s="155" t="s">
        <v>232</v>
      </c>
      <c r="D6153" s="156" t="s">
        <v>6934</v>
      </c>
      <c r="E6153" s="156" t="s">
        <v>7038</v>
      </c>
      <c r="F6153" s="156" t="s">
        <v>336</v>
      </c>
      <c r="G6153" s="156" t="s">
        <v>2067</v>
      </c>
      <c r="H6153" s="157" t="s">
        <v>215</v>
      </c>
    </row>
    <row r="6154" hidden="1">
      <c r="A6154" s="160" t="s">
        <v>233</v>
      </c>
      <c r="B6154" s="72"/>
      <c r="C6154" s="118" t="s">
        <v>232</v>
      </c>
      <c r="D6154" s="152" t="s">
        <v>6934</v>
      </c>
      <c r="E6154" s="152" t="s">
        <v>7039</v>
      </c>
      <c r="F6154" s="152" t="s">
        <v>677</v>
      </c>
      <c r="G6154" s="152" t="s">
        <v>3226</v>
      </c>
      <c r="H6154" s="153" t="s">
        <v>216</v>
      </c>
    </row>
    <row r="6155" hidden="1">
      <c r="A6155" s="158" t="s">
        <v>234</v>
      </c>
      <c r="B6155" s="159"/>
      <c r="C6155" s="155" t="s">
        <v>232</v>
      </c>
      <c r="D6155" s="156" t="s">
        <v>6934</v>
      </c>
      <c r="E6155" s="156" t="s">
        <v>7040</v>
      </c>
      <c r="F6155" s="156" t="s">
        <v>321</v>
      </c>
      <c r="G6155" s="156" t="s">
        <v>1784</v>
      </c>
      <c r="H6155" s="157" t="s">
        <v>210</v>
      </c>
    </row>
    <row r="6156" hidden="1">
      <c r="A6156" s="160" t="s">
        <v>234</v>
      </c>
      <c r="B6156" s="72"/>
      <c r="C6156" s="118" t="s">
        <v>232</v>
      </c>
      <c r="D6156" s="152" t="s">
        <v>6934</v>
      </c>
      <c r="E6156" s="152" t="s">
        <v>7041</v>
      </c>
      <c r="F6156" s="152" t="s">
        <v>534</v>
      </c>
      <c r="G6156" s="152" t="s">
        <v>1762</v>
      </c>
      <c r="H6156" s="153" t="s">
        <v>211</v>
      </c>
    </row>
    <row r="6157" hidden="1">
      <c r="A6157" s="158" t="s">
        <v>234</v>
      </c>
      <c r="B6157" s="159"/>
      <c r="C6157" s="155" t="s">
        <v>232</v>
      </c>
      <c r="D6157" s="156" t="s">
        <v>6934</v>
      </c>
      <c r="E6157" s="156" t="s">
        <v>7042</v>
      </c>
      <c r="F6157" s="156" t="s">
        <v>359</v>
      </c>
      <c r="G6157" s="156" t="s">
        <v>2409</v>
      </c>
      <c r="H6157" s="157" t="s">
        <v>212</v>
      </c>
    </row>
    <row r="6158" hidden="1">
      <c r="A6158" s="160" t="s">
        <v>234</v>
      </c>
      <c r="B6158" s="72"/>
      <c r="C6158" s="118" t="s">
        <v>232</v>
      </c>
      <c r="D6158" s="152" t="s">
        <v>6934</v>
      </c>
      <c r="E6158" s="152" t="s">
        <v>7043</v>
      </c>
      <c r="F6158" s="152" t="s">
        <v>323</v>
      </c>
      <c r="G6158" s="152" t="s">
        <v>2169</v>
      </c>
      <c r="H6158" s="153" t="s">
        <v>213</v>
      </c>
    </row>
    <row r="6159" hidden="1">
      <c r="A6159" s="158" t="s">
        <v>234</v>
      </c>
      <c r="B6159" s="159"/>
      <c r="C6159" s="155" t="s">
        <v>232</v>
      </c>
      <c r="D6159" s="156" t="s">
        <v>6934</v>
      </c>
      <c r="E6159" s="156" t="s">
        <v>7044</v>
      </c>
      <c r="F6159" s="156" t="s">
        <v>249</v>
      </c>
      <c r="G6159" s="156" t="s">
        <v>1822</v>
      </c>
      <c r="H6159" s="157" t="s">
        <v>214</v>
      </c>
    </row>
    <row r="6160" hidden="1">
      <c r="A6160" s="160" t="s">
        <v>234</v>
      </c>
      <c r="B6160" s="72"/>
      <c r="C6160" s="118" t="s">
        <v>232</v>
      </c>
      <c r="D6160" s="152" t="s">
        <v>6934</v>
      </c>
      <c r="E6160" s="152" t="s">
        <v>7045</v>
      </c>
      <c r="F6160" s="152" t="s">
        <v>321</v>
      </c>
      <c r="G6160" s="152" t="s">
        <v>1983</v>
      </c>
      <c r="H6160" s="153" t="s">
        <v>215</v>
      </c>
    </row>
    <row r="6161" hidden="1">
      <c r="A6161" s="158" t="s">
        <v>234</v>
      </c>
      <c r="B6161" s="159"/>
      <c r="C6161" s="155" t="s">
        <v>232</v>
      </c>
      <c r="D6161" s="156" t="s">
        <v>6934</v>
      </c>
      <c r="E6161" s="156" t="s">
        <v>7046</v>
      </c>
      <c r="F6161" s="156" t="s">
        <v>249</v>
      </c>
      <c r="G6161" s="156" t="s">
        <v>7047</v>
      </c>
      <c r="H6161" s="157" t="s">
        <v>216</v>
      </c>
    </row>
    <row r="6162" hidden="1">
      <c r="A6162" s="160" t="s">
        <v>235</v>
      </c>
      <c r="B6162" s="72"/>
      <c r="C6162" s="118" t="s">
        <v>236</v>
      </c>
      <c r="D6162" s="152" t="s">
        <v>6934</v>
      </c>
      <c r="E6162" s="152" t="s">
        <v>7048</v>
      </c>
      <c r="F6162" s="152" t="s">
        <v>305</v>
      </c>
      <c r="G6162" s="152" t="s">
        <v>3003</v>
      </c>
      <c r="H6162" s="153" t="s">
        <v>210</v>
      </c>
    </row>
    <row r="6163" hidden="1">
      <c r="A6163" s="158" t="s">
        <v>235</v>
      </c>
      <c r="B6163" s="159"/>
      <c r="C6163" s="155" t="s">
        <v>236</v>
      </c>
      <c r="D6163" s="156" t="s">
        <v>6934</v>
      </c>
      <c r="E6163" s="156" t="s">
        <v>7049</v>
      </c>
      <c r="F6163" s="156" t="s">
        <v>354</v>
      </c>
      <c r="G6163" s="156" t="s">
        <v>2115</v>
      </c>
      <c r="H6163" s="157" t="s">
        <v>211</v>
      </c>
    </row>
    <row r="6164" hidden="1">
      <c r="A6164" s="160" t="s">
        <v>235</v>
      </c>
      <c r="B6164" s="72"/>
      <c r="C6164" s="118" t="s">
        <v>236</v>
      </c>
      <c r="D6164" s="152" t="s">
        <v>6934</v>
      </c>
      <c r="E6164" s="152" t="s">
        <v>7050</v>
      </c>
      <c r="F6164" s="152" t="s">
        <v>390</v>
      </c>
      <c r="G6164" s="152" t="s">
        <v>2177</v>
      </c>
      <c r="H6164" s="153" t="s">
        <v>212</v>
      </c>
    </row>
    <row r="6165" hidden="1">
      <c r="A6165" s="158" t="s">
        <v>235</v>
      </c>
      <c r="B6165" s="159"/>
      <c r="C6165" s="155" t="s">
        <v>236</v>
      </c>
      <c r="D6165" s="156" t="s">
        <v>6934</v>
      </c>
      <c r="E6165" s="156" t="s">
        <v>7051</v>
      </c>
      <c r="F6165" s="156" t="s">
        <v>577</v>
      </c>
      <c r="G6165" s="156" t="s">
        <v>3136</v>
      </c>
      <c r="H6165" s="157" t="s">
        <v>213</v>
      </c>
    </row>
    <row r="6166" hidden="1">
      <c r="A6166" s="160" t="s">
        <v>235</v>
      </c>
      <c r="B6166" s="72"/>
      <c r="C6166" s="118" t="s">
        <v>236</v>
      </c>
      <c r="D6166" s="152" t="s">
        <v>6934</v>
      </c>
      <c r="E6166" s="152" t="s">
        <v>7052</v>
      </c>
      <c r="F6166" s="152" t="s">
        <v>725</v>
      </c>
      <c r="G6166" s="152" t="s">
        <v>3525</v>
      </c>
      <c r="H6166" s="153" t="s">
        <v>214</v>
      </c>
    </row>
    <row r="6167" hidden="1">
      <c r="A6167" s="158" t="s">
        <v>235</v>
      </c>
      <c r="B6167" s="159"/>
      <c r="C6167" s="155" t="s">
        <v>236</v>
      </c>
      <c r="D6167" s="156" t="s">
        <v>6934</v>
      </c>
      <c r="E6167" s="156" t="s">
        <v>7053</v>
      </c>
      <c r="F6167" s="156" t="s">
        <v>351</v>
      </c>
      <c r="G6167" s="156" t="s">
        <v>2393</v>
      </c>
      <c r="H6167" s="157" t="s">
        <v>215</v>
      </c>
    </row>
    <row r="6168" hidden="1">
      <c r="A6168" s="160" t="s">
        <v>235</v>
      </c>
      <c r="B6168" s="72"/>
      <c r="C6168" s="118" t="s">
        <v>236</v>
      </c>
      <c r="D6168" s="152" t="s">
        <v>6934</v>
      </c>
      <c r="E6168" s="152" t="s">
        <v>7054</v>
      </c>
      <c r="F6168" s="152" t="s">
        <v>425</v>
      </c>
      <c r="G6168" s="152" t="s">
        <v>1782</v>
      </c>
      <c r="H6168" s="153" t="s">
        <v>216</v>
      </c>
    </row>
    <row r="6169" hidden="1">
      <c r="A6169" s="158" t="s">
        <v>237</v>
      </c>
      <c r="B6169" s="159"/>
      <c r="C6169" s="155" t="s">
        <v>236</v>
      </c>
      <c r="D6169" s="156" t="s">
        <v>6934</v>
      </c>
      <c r="E6169" s="156" t="s">
        <v>7055</v>
      </c>
      <c r="F6169" s="156" t="s">
        <v>312</v>
      </c>
      <c r="G6169" s="156" t="s">
        <v>2254</v>
      </c>
      <c r="H6169" s="157" t="s">
        <v>210</v>
      </c>
    </row>
    <row r="6170" hidden="1">
      <c r="A6170" s="160" t="s">
        <v>237</v>
      </c>
      <c r="B6170" s="72"/>
      <c r="C6170" s="118" t="s">
        <v>236</v>
      </c>
      <c r="D6170" s="152" t="s">
        <v>6934</v>
      </c>
      <c r="E6170" s="152" t="s">
        <v>7056</v>
      </c>
      <c r="F6170" s="152" t="s">
        <v>325</v>
      </c>
      <c r="G6170" s="152" t="s">
        <v>1827</v>
      </c>
      <c r="H6170" s="153" t="s">
        <v>211</v>
      </c>
    </row>
    <row r="6171" hidden="1">
      <c r="A6171" s="158" t="s">
        <v>237</v>
      </c>
      <c r="B6171" s="159"/>
      <c r="C6171" s="155" t="s">
        <v>236</v>
      </c>
      <c r="D6171" s="156" t="s">
        <v>6934</v>
      </c>
      <c r="E6171" s="156" t="s">
        <v>7057</v>
      </c>
      <c r="F6171" s="156" t="s">
        <v>534</v>
      </c>
      <c r="G6171" s="156" t="s">
        <v>1749</v>
      </c>
      <c r="H6171" s="157" t="s">
        <v>212</v>
      </c>
    </row>
    <row r="6172" hidden="1">
      <c r="A6172" s="160" t="s">
        <v>237</v>
      </c>
      <c r="B6172" s="72"/>
      <c r="C6172" s="118" t="s">
        <v>236</v>
      </c>
      <c r="D6172" s="152" t="s">
        <v>6934</v>
      </c>
      <c r="E6172" s="152" t="s">
        <v>7058</v>
      </c>
      <c r="F6172" s="152" t="s">
        <v>331</v>
      </c>
      <c r="G6172" s="152" t="s">
        <v>2296</v>
      </c>
      <c r="H6172" s="153" t="s">
        <v>213</v>
      </c>
    </row>
    <row r="6173" hidden="1">
      <c r="A6173" s="158" t="s">
        <v>237</v>
      </c>
      <c r="B6173" s="159"/>
      <c r="C6173" s="155" t="s">
        <v>236</v>
      </c>
      <c r="D6173" s="156" t="s">
        <v>6934</v>
      </c>
      <c r="E6173" s="156" t="s">
        <v>7059</v>
      </c>
      <c r="F6173" s="156" t="s">
        <v>450</v>
      </c>
      <c r="G6173" s="156" t="s">
        <v>1757</v>
      </c>
      <c r="H6173" s="157" t="s">
        <v>214</v>
      </c>
    </row>
    <row r="6174" hidden="1">
      <c r="A6174" s="160" t="s">
        <v>237</v>
      </c>
      <c r="B6174" s="72"/>
      <c r="C6174" s="118" t="s">
        <v>236</v>
      </c>
      <c r="D6174" s="152" t="s">
        <v>6934</v>
      </c>
      <c r="E6174" s="152" t="s">
        <v>7060</v>
      </c>
      <c r="F6174" s="152" t="s">
        <v>359</v>
      </c>
      <c r="G6174" s="152" t="s">
        <v>2085</v>
      </c>
      <c r="H6174" s="153" t="s">
        <v>215</v>
      </c>
    </row>
    <row r="6175" hidden="1">
      <c r="A6175" s="158" t="s">
        <v>237</v>
      </c>
      <c r="B6175" s="159"/>
      <c r="C6175" s="155" t="s">
        <v>236</v>
      </c>
      <c r="D6175" s="156" t="s">
        <v>6934</v>
      </c>
      <c r="E6175" s="156" t="s">
        <v>7061</v>
      </c>
      <c r="F6175" s="156" t="s">
        <v>483</v>
      </c>
      <c r="G6175" s="156" t="s">
        <v>1899</v>
      </c>
      <c r="H6175" s="157" t="s">
        <v>216</v>
      </c>
    </row>
    <row r="6176" hidden="1">
      <c r="A6176" s="151" t="s">
        <v>204</v>
      </c>
      <c r="B6176" s="118" t="s">
        <v>205</v>
      </c>
      <c r="C6176" s="118" t="s">
        <v>206</v>
      </c>
      <c r="D6176" s="152" t="s">
        <v>7062</v>
      </c>
      <c r="E6176" s="152" t="s">
        <v>7063</v>
      </c>
      <c r="F6176" s="152" t="s">
        <v>351</v>
      </c>
      <c r="G6176" s="152" t="s">
        <v>2385</v>
      </c>
      <c r="H6176" s="153" t="s">
        <v>210</v>
      </c>
    </row>
    <row r="6177" hidden="1">
      <c r="A6177" s="154" t="s">
        <v>204</v>
      </c>
      <c r="B6177" s="155" t="s">
        <v>205</v>
      </c>
      <c r="C6177" s="155" t="s">
        <v>206</v>
      </c>
      <c r="D6177" s="156" t="s">
        <v>7062</v>
      </c>
      <c r="E6177" s="156" t="s">
        <v>7064</v>
      </c>
      <c r="F6177" s="156" t="s">
        <v>478</v>
      </c>
      <c r="G6177" s="156" t="s">
        <v>3230</v>
      </c>
      <c r="H6177" s="157" t="s">
        <v>211</v>
      </c>
    </row>
    <row r="6178" hidden="1">
      <c r="A6178" s="151" t="s">
        <v>204</v>
      </c>
      <c r="B6178" s="118" t="s">
        <v>205</v>
      </c>
      <c r="C6178" s="118" t="s">
        <v>206</v>
      </c>
      <c r="D6178" s="152" t="s">
        <v>7062</v>
      </c>
      <c r="E6178" s="152" t="s">
        <v>7065</v>
      </c>
      <c r="F6178" s="152" t="s">
        <v>354</v>
      </c>
      <c r="G6178" s="152" t="s">
        <v>2279</v>
      </c>
      <c r="H6178" s="153" t="s">
        <v>212</v>
      </c>
    </row>
    <row r="6179" hidden="1">
      <c r="A6179" s="154" t="s">
        <v>204</v>
      </c>
      <c r="B6179" s="155" t="s">
        <v>205</v>
      </c>
      <c r="C6179" s="155" t="s">
        <v>206</v>
      </c>
      <c r="D6179" s="156" t="s">
        <v>7062</v>
      </c>
      <c r="E6179" s="156" t="s">
        <v>7066</v>
      </c>
      <c r="F6179" s="156" t="s">
        <v>1999</v>
      </c>
      <c r="G6179" s="156" t="s">
        <v>3384</v>
      </c>
      <c r="H6179" s="157" t="s">
        <v>213</v>
      </c>
    </row>
    <row r="6180" hidden="1">
      <c r="A6180" s="151" t="s">
        <v>204</v>
      </c>
      <c r="B6180" s="118" t="s">
        <v>205</v>
      </c>
      <c r="C6180" s="118" t="s">
        <v>206</v>
      </c>
      <c r="D6180" s="152" t="s">
        <v>7062</v>
      </c>
      <c r="E6180" s="152" t="s">
        <v>7067</v>
      </c>
      <c r="F6180" s="152" t="s">
        <v>725</v>
      </c>
      <c r="G6180" s="152" t="s">
        <v>2605</v>
      </c>
      <c r="H6180" s="153" t="s">
        <v>214</v>
      </c>
    </row>
    <row r="6181" hidden="1">
      <c r="A6181" s="154" t="s">
        <v>204</v>
      </c>
      <c r="B6181" s="155" t="s">
        <v>205</v>
      </c>
      <c r="C6181" s="155" t="s">
        <v>206</v>
      </c>
      <c r="D6181" s="156" t="s">
        <v>7062</v>
      </c>
      <c r="E6181" s="156" t="s">
        <v>7068</v>
      </c>
      <c r="F6181" s="156" t="s">
        <v>329</v>
      </c>
      <c r="G6181" s="156" t="s">
        <v>2779</v>
      </c>
      <c r="H6181" s="157" t="s">
        <v>215</v>
      </c>
    </row>
    <row r="6182" hidden="1">
      <c r="A6182" s="151" t="s">
        <v>204</v>
      </c>
      <c r="B6182" s="118" t="s">
        <v>205</v>
      </c>
      <c r="C6182" s="118" t="s">
        <v>206</v>
      </c>
      <c r="D6182" s="152" t="s">
        <v>7062</v>
      </c>
      <c r="E6182" s="152" t="s">
        <v>7069</v>
      </c>
      <c r="F6182" s="152" t="s">
        <v>483</v>
      </c>
      <c r="G6182" s="152" t="s">
        <v>1949</v>
      </c>
      <c r="H6182" s="153" t="s">
        <v>216</v>
      </c>
    </row>
    <row r="6183" hidden="1">
      <c r="A6183" s="154" t="s">
        <v>217</v>
      </c>
      <c r="B6183" s="155" t="s">
        <v>191</v>
      </c>
      <c r="C6183" s="155" t="s">
        <v>206</v>
      </c>
      <c r="D6183" s="156" t="s">
        <v>7062</v>
      </c>
      <c r="E6183" s="156" t="s">
        <v>7070</v>
      </c>
      <c r="F6183" s="156" t="s">
        <v>483</v>
      </c>
      <c r="G6183" s="156" t="s">
        <v>2389</v>
      </c>
      <c r="H6183" s="157" t="s">
        <v>210</v>
      </c>
    </row>
    <row r="6184" hidden="1">
      <c r="A6184" s="151" t="s">
        <v>217</v>
      </c>
      <c r="B6184" s="118" t="s">
        <v>191</v>
      </c>
      <c r="C6184" s="118" t="s">
        <v>206</v>
      </c>
      <c r="D6184" s="152" t="s">
        <v>7062</v>
      </c>
      <c r="E6184" s="152" t="s">
        <v>7071</v>
      </c>
      <c r="F6184" s="152" t="s">
        <v>673</v>
      </c>
      <c r="G6184" s="152" t="s">
        <v>3546</v>
      </c>
      <c r="H6184" s="153" t="s">
        <v>211</v>
      </c>
    </row>
    <row r="6185" hidden="1">
      <c r="A6185" s="154" t="s">
        <v>217</v>
      </c>
      <c r="B6185" s="155" t="s">
        <v>191</v>
      </c>
      <c r="C6185" s="155" t="s">
        <v>206</v>
      </c>
      <c r="D6185" s="156" t="s">
        <v>7062</v>
      </c>
      <c r="E6185" s="156" t="s">
        <v>7072</v>
      </c>
      <c r="F6185" s="156" t="s">
        <v>1999</v>
      </c>
      <c r="G6185" s="156" t="s">
        <v>3815</v>
      </c>
      <c r="H6185" s="157" t="s">
        <v>212</v>
      </c>
    </row>
    <row r="6186" hidden="1">
      <c r="A6186" s="151" t="s">
        <v>217</v>
      </c>
      <c r="B6186" s="118" t="s">
        <v>191</v>
      </c>
      <c r="C6186" s="118" t="s">
        <v>206</v>
      </c>
      <c r="D6186" s="152" t="s">
        <v>7062</v>
      </c>
      <c r="E6186" s="152" t="s">
        <v>7073</v>
      </c>
      <c r="F6186" s="152" t="s">
        <v>453</v>
      </c>
      <c r="G6186" s="152" t="s">
        <v>3410</v>
      </c>
      <c r="H6186" s="153" t="s">
        <v>213</v>
      </c>
    </row>
    <row r="6187" hidden="1">
      <c r="A6187" s="154" t="s">
        <v>217</v>
      </c>
      <c r="B6187" s="155" t="s">
        <v>191</v>
      </c>
      <c r="C6187" s="155" t="s">
        <v>206</v>
      </c>
      <c r="D6187" s="156" t="s">
        <v>7062</v>
      </c>
      <c r="E6187" s="156" t="s">
        <v>7074</v>
      </c>
      <c r="F6187" s="156" t="s">
        <v>718</v>
      </c>
      <c r="G6187" s="156" t="s">
        <v>2346</v>
      </c>
      <c r="H6187" s="157" t="s">
        <v>214</v>
      </c>
    </row>
    <row r="6188" hidden="1">
      <c r="A6188" s="151" t="s">
        <v>217</v>
      </c>
      <c r="B6188" s="118" t="s">
        <v>191</v>
      </c>
      <c r="C6188" s="118" t="s">
        <v>206</v>
      </c>
      <c r="D6188" s="152" t="s">
        <v>7062</v>
      </c>
      <c r="E6188" s="152" t="s">
        <v>7075</v>
      </c>
      <c r="F6188" s="152" t="s">
        <v>427</v>
      </c>
      <c r="G6188" s="152" t="s">
        <v>3587</v>
      </c>
      <c r="H6188" s="153" t="s">
        <v>215</v>
      </c>
    </row>
    <row r="6189" hidden="1">
      <c r="A6189" s="154" t="s">
        <v>217</v>
      </c>
      <c r="B6189" s="155" t="s">
        <v>191</v>
      </c>
      <c r="C6189" s="155" t="s">
        <v>206</v>
      </c>
      <c r="D6189" s="156" t="s">
        <v>7062</v>
      </c>
      <c r="E6189" s="156" t="s">
        <v>7076</v>
      </c>
      <c r="F6189" s="156" t="s">
        <v>577</v>
      </c>
      <c r="G6189" s="156" t="s">
        <v>3384</v>
      </c>
      <c r="H6189" s="157" t="s">
        <v>216</v>
      </c>
    </row>
    <row r="6190" hidden="1">
      <c r="A6190" s="151" t="s">
        <v>218</v>
      </c>
      <c r="B6190" s="118" t="s">
        <v>219</v>
      </c>
      <c r="C6190" s="118" t="s">
        <v>206</v>
      </c>
      <c r="D6190" s="152" t="s">
        <v>7062</v>
      </c>
      <c r="E6190" s="152" t="s">
        <v>7077</v>
      </c>
      <c r="F6190" s="152" t="s">
        <v>329</v>
      </c>
      <c r="G6190" s="152" t="s">
        <v>2129</v>
      </c>
      <c r="H6190" s="153" t="s">
        <v>210</v>
      </c>
    </row>
    <row r="6191" hidden="1">
      <c r="A6191" s="154" t="s">
        <v>218</v>
      </c>
      <c r="B6191" s="155" t="s">
        <v>219</v>
      </c>
      <c r="C6191" s="155" t="s">
        <v>206</v>
      </c>
      <c r="D6191" s="156" t="s">
        <v>7062</v>
      </c>
      <c r="E6191" s="156" t="s">
        <v>7078</v>
      </c>
      <c r="F6191" s="156" t="s">
        <v>423</v>
      </c>
      <c r="G6191" s="156" t="s">
        <v>1843</v>
      </c>
      <c r="H6191" s="157" t="s">
        <v>211</v>
      </c>
    </row>
    <row r="6192" hidden="1">
      <c r="A6192" s="151" t="s">
        <v>218</v>
      </c>
      <c r="B6192" s="118" t="s">
        <v>219</v>
      </c>
      <c r="C6192" s="118" t="s">
        <v>206</v>
      </c>
      <c r="D6192" s="152" t="s">
        <v>7062</v>
      </c>
      <c r="E6192" s="152" t="s">
        <v>7079</v>
      </c>
      <c r="F6192" s="152" t="s">
        <v>725</v>
      </c>
      <c r="G6192" s="152" t="s">
        <v>2134</v>
      </c>
      <c r="H6192" s="153" t="s">
        <v>212</v>
      </c>
    </row>
    <row r="6193" hidden="1">
      <c r="A6193" s="154" t="s">
        <v>218</v>
      </c>
      <c r="B6193" s="155" t="s">
        <v>219</v>
      </c>
      <c r="C6193" s="155" t="s">
        <v>206</v>
      </c>
      <c r="D6193" s="156" t="s">
        <v>7062</v>
      </c>
      <c r="E6193" s="156" t="s">
        <v>7080</v>
      </c>
      <c r="F6193" s="156" t="s">
        <v>677</v>
      </c>
      <c r="G6193" s="156" t="s">
        <v>2385</v>
      </c>
      <c r="H6193" s="157" t="s">
        <v>213</v>
      </c>
    </row>
    <row r="6194" hidden="1">
      <c r="A6194" s="151" t="s">
        <v>218</v>
      </c>
      <c r="B6194" s="118" t="s">
        <v>219</v>
      </c>
      <c r="C6194" s="118" t="s">
        <v>206</v>
      </c>
      <c r="D6194" s="152" t="s">
        <v>7062</v>
      </c>
      <c r="E6194" s="152" t="s">
        <v>7081</v>
      </c>
      <c r="F6194" s="152" t="s">
        <v>494</v>
      </c>
      <c r="G6194" s="152" t="s">
        <v>2311</v>
      </c>
      <c r="H6194" s="153" t="s">
        <v>214</v>
      </c>
    </row>
    <row r="6195" hidden="1">
      <c r="A6195" s="154" t="s">
        <v>218</v>
      </c>
      <c r="B6195" s="155" t="s">
        <v>219</v>
      </c>
      <c r="C6195" s="155" t="s">
        <v>206</v>
      </c>
      <c r="D6195" s="156" t="s">
        <v>7062</v>
      </c>
      <c r="E6195" s="156" t="s">
        <v>7082</v>
      </c>
      <c r="F6195" s="156" t="s">
        <v>354</v>
      </c>
      <c r="G6195" s="156" t="s">
        <v>1860</v>
      </c>
      <c r="H6195" s="157" t="s">
        <v>215</v>
      </c>
    </row>
    <row r="6196" hidden="1">
      <c r="A6196" s="151" t="s">
        <v>218</v>
      </c>
      <c r="B6196" s="118" t="s">
        <v>219</v>
      </c>
      <c r="C6196" s="118" t="s">
        <v>206</v>
      </c>
      <c r="D6196" s="152" t="s">
        <v>7062</v>
      </c>
      <c r="E6196" s="152" t="s">
        <v>7083</v>
      </c>
      <c r="F6196" s="152" t="s">
        <v>725</v>
      </c>
      <c r="G6196" s="152" t="s">
        <v>3071</v>
      </c>
      <c r="H6196" s="153" t="s">
        <v>216</v>
      </c>
    </row>
    <row r="6197" hidden="1">
      <c r="A6197" s="154" t="s">
        <v>220</v>
      </c>
      <c r="B6197" s="155" t="s">
        <v>190</v>
      </c>
      <c r="C6197" s="155" t="s">
        <v>206</v>
      </c>
      <c r="D6197" s="156" t="s">
        <v>7062</v>
      </c>
      <c r="E6197" s="156" t="s">
        <v>7084</v>
      </c>
      <c r="F6197" s="156" t="s">
        <v>436</v>
      </c>
      <c r="G6197" s="156" t="s">
        <v>4297</v>
      </c>
      <c r="H6197" s="157" t="s">
        <v>210</v>
      </c>
    </row>
    <row r="6198" hidden="1">
      <c r="A6198" s="151" t="s">
        <v>220</v>
      </c>
      <c r="B6198" s="118" t="s">
        <v>190</v>
      </c>
      <c r="C6198" s="118" t="s">
        <v>206</v>
      </c>
      <c r="D6198" s="152" t="s">
        <v>7062</v>
      </c>
      <c r="E6198" s="152" t="s">
        <v>7085</v>
      </c>
      <c r="F6198" s="152" t="s">
        <v>285</v>
      </c>
      <c r="G6198" s="152" t="s">
        <v>2183</v>
      </c>
      <c r="H6198" s="153" t="s">
        <v>211</v>
      </c>
    </row>
    <row r="6199" hidden="1">
      <c r="A6199" s="154" t="s">
        <v>220</v>
      </c>
      <c r="B6199" s="155" t="s">
        <v>190</v>
      </c>
      <c r="C6199" s="155" t="s">
        <v>206</v>
      </c>
      <c r="D6199" s="156" t="s">
        <v>7062</v>
      </c>
      <c r="E6199" s="156" t="s">
        <v>7086</v>
      </c>
      <c r="F6199" s="156" t="s">
        <v>259</v>
      </c>
      <c r="G6199" s="156" t="s">
        <v>3812</v>
      </c>
      <c r="H6199" s="157" t="s">
        <v>212</v>
      </c>
    </row>
    <row r="6200" hidden="1">
      <c r="A6200" s="151" t="s">
        <v>220</v>
      </c>
      <c r="B6200" s="118" t="s">
        <v>190</v>
      </c>
      <c r="C6200" s="118" t="s">
        <v>206</v>
      </c>
      <c r="D6200" s="152" t="s">
        <v>7062</v>
      </c>
      <c r="E6200" s="152" t="s">
        <v>7087</v>
      </c>
      <c r="F6200" s="152" t="s">
        <v>425</v>
      </c>
      <c r="G6200" s="152" t="s">
        <v>3460</v>
      </c>
      <c r="H6200" s="153" t="s">
        <v>213</v>
      </c>
    </row>
    <row r="6201" hidden="1">
      <c r="A6201" s="154" t="s">
        <v>220</v>
      </c>
      <c r="B6201" s="155" t="s">
        <v>190</v>
      </c>
      <c r="C6201" s="155" t="s">
        <v>206</v>
      </c>
      <c r="D6201" s="156" t="s">
        <v>7062</v>
      </c>
      <c r="E6201" s="156" t="s">
        <v>7088</v>
      </c>
      <c r="F6201" s="156" t="s">
        <v>483</v>
      </c>
      <c r="G6201" s="156" t="s">
        <v>4775</v>
      </c>
      <c r="H6201" s="157" t="s">
        <v>214</v>
      </c>
    </row>
    <row r="6202" hidden="1">
      <c r="A6202" s="151" t="s">
        <v>220</v>
      </c>
      <c r="B6202" s="118" t="s">
        <v>190</v>
      </c>
      <c r="C6202" s="118" t="s">
        <v>206</v>
      </c>
      <c r="D6202" s="152" t="s">
        <v>7062</v>
      </c>
      <c r="E6202" s="152" t="s">
        <v>7089</v>
      </c>
      <c r="F6202" s="152" t="s">
        <v>246</v>
      </c>
      <c r="G6202" s="152" t="s">
        <v>3115</v>
      </c>
      <c r="H6202" s="153" t="s">
        <v>215</v>
      </c>
    </row>
    <row r="6203" hidden="1">
      <c r="A6203" s="154" t="s">
        <v>220</v>
      </c>
      <c r="B6203" s="155" t="s">
        <v>190</v>
      </c>
      <c r="C6203" s="155" t="s">
        <v>206</v>
      </c>
      <c r="D6203" s="156" t="s">
        <v>7062</v>
      </c>
      <c r="E6203" s="156" t="s">
        <v>7090</v>
      </c>
      <c r="F6203" s="156" t="s">
        <v>287</v>
      </c>
      <c r="G6203" s="156" t="s">
        <v>3296</v>
      </c>
      <c r="H6203" s="157" t="s">
        <v>216</v>
      </c>
    </row>
    <row r="6204" hidden="1">
      <c r="A6204" s="151" t="s">
        <v>221</v>
      </c>
      <c r="B6204" s="118" t="s">
        <v>189</v>
      </c>
      <c r="C6204" s="118" t="s">
        <v>206</v>
      </c>
      <c r="D6204" s="152" t="s">
        <v>7062</v>
      </c>
      <c r="E6204" s="152" t="s">
        <v>7091</v>
      </c>
      <c r="F6204" s="152" t="s">
        <v>282</v>
      </c>
      <c r="G6204" s="152" t="s">
        <v>1806</v>
      </c>
      <c r="H6204" s="153" t="s">
        <v>210</v>
      </c>
    </row>
    <row r="6205" hidden="1">
      <c r="A6205" s="154" t="s">
        <v>221</v>
      </c>
      <c r="B6205" s="155" t="s">
        <v>189</v>
      </c>
      <c r="C6205" s="155" t="s">
        <v>206</v>
      </c>
      <c r="D6205" s="156" t="s">
        <v>7062</v>
      </c>
      <c r="E6205" s="156" t="s">
        <v>7092</v>
      </c>
      <c r="F6205" s="156" t="s">
        <v>249</v>
      </c>
      <c r="G6205" s="156" t="s">
        <v>1936</v>
      </c>
      <c r="H6205" s="157" t="s">
        <v>211</v>
      </c>
    </row>
    <row r="6206" hidden="1">
      <c r="A6206" s="151" t="s">
        <v>221</v>
      </c>
      <c r="B6206" s="118" t="s">
        <v>189</v>
      </c>
      <c r="C6206" s="118" t="s">
        <v>206</v>
      </c>
      <c r="D6206" s="152" t="s">
        <v>7062</v>
      </c>
      <c r="E6206" s="152" t="s">
        <v>7093</v>
      </c>
      <c r="F6206" s="152" t="s">
        <v>259</v>
      </c>
      <c r="G6206" s="152" t="s">
        <v>2409</v>
      </c>
      <c r="H6206" s="153" t="s">
        <v>212</v>
      </c>
    </row>
    <row r="6207" hidden="1">
      <c r="A6207" s="154" t="s">
        <v>221</v>
      </c>
      <c r="B6207" s="155" t="s">
        <v>189</v>
      </c>
      <c r="C6207" s="155" t="s">
        <v>206</v>
      </c>
      <c r="D6207" s="156" t="s">
        <v>7062</v>
      </c>
      <c r="E6207" s="156" t="s">
        <v>7094</v>
      </c>
      <c r="F6207" s="156" t="s">
        <v>348</v>
      </c>
      <c r="G6207" s="156" t="s">
        <v>2587</v>
      </c>
      <c r="H6207" s="157" t="s">
        <v>213</v>
      </c>
    </row>
    <row r="6208" hidden="1">
      <c r="A6208" s="151" t="s">
        <v>221</v>
      </c>
      <c r="B6208" s="118" t="s">
        <v>189</v>
      </c>
      <c r="C6208" s="118" t="s">
        <v>206</v>
      </c>
      <c r="D6208" s="152" t="s">
        <v>7062</v>
      </c>
      <c r="E6208" s="152" t="s">
        <v>7095</v>
      </c>
      <c r="F6208" s="152" t="s">
        <v>359</v>
      </c>
      <c r="G6208" s="152" t="s">
        <v>1911</v>
      </c>
      <c r="H6208" s="153" t="s">
        <v>214</v>
      </c>
    </row>
    <row r="6209" hidden="1">
      <c r="A6209" s="154" t="s">
        <v>221</v>
      </c>
      <c r="B6209" s="155" t="s">
        <v>189</v>
      </c>
      <c r="C6209" s="155" t="s">
        <v>206</v>
      </c>
      <c r="D6209" s="156" t="s">
        <v>7062</v>
      </c>
      <c r="E6209" s="156" t="s">
        <v>7096</v>
      </c>
      <c r="F6209" s="156" t="s">
        <v>287</v>
      </c>
      <c r="G6209" s="156" t="s">
        <v>7097</v>
      </c>
      <c r="H6209" s="157" t="s">
        <v>215</v>
      </c>
    </row>
    <row r="6210" hidden="1">
      <c r="A6210" s="151" t="s">
        <v>221</v>
      </c>
      <c r="B6210" s="118" t="s">
        <v>189</v>
      </c>
      <c r="C6210" s="118" t="s">
        <v>206</v>
      </c>
      <c r="D6210" s="152" t="s">
        <v>7062</v>
      </c>
      <c r="E6210" s="152" t="s">
        <v>7098</v>
      </c>
      <c r="F6210" s="152" t="s">
        <v>301</v>
      </c>
      <c r="G6210" s="152" t="s">
        <v>2011</v>
      </c>
      <c r="H6210" s="153" t="s">
        <v>216</v>
      </c>
    </row>
    <row r="6211" hidden="1">
      <c r="A6211" s="154" t="s">
        <v>222</v>
      </c>
      <c r="B6211" s="155" t="s">
        <v>192</v>
      </c>
      <c r="C6211" s="155" t="s">
        <v>206</v>
      </c>
      <c r="D6211" s="156" t="s">
        <v>7062</v>
      </c>
      <c r="E6211" s="156" t="s">
        <v>7099</v>
      </c>
      <c r="F6211" s="156" t="s">
        <v>308</v>
      </c>
      <c r="G6211" s="156" t="s">
        <v>2115</v>
      </c>
      <c r="H6211" s="157" t="s">
        <v>210</v>
      </c>
    </row>
    <row r="6212" hidden="1">
      <c r="A6212" s="151" t="s">
        <v>222</v>
      </c>
      <c r="B6212" s="118" t="s">
        <v>192</v>
      </c>
      <c r="C6212" s="118" t="s">
        <v>206</v>
      </c>
      <c r="D6212" s="152" t="s">
        <v>7062</v>
      </c>
      <c r="E6212" s="152" t="s">
        <v>7100</v>
      </c>
      <c r="F6212" s="152" t="s">
        <v>290</v>
      </c>
      <c r="G6212" s="152" t="s">
        <v>2992</v>
      </c>
      <c r="H6212" s="153" t="s">
        <v>211</v>
      </c>
    </row>
    <row r="6213" hidden="1">
      <c r="A6213" s="154" t="s">
        <v>222</v>
      </c>
      <c r="B6213" s="155" t="s">
        <v>192</v>
      </c>
      <c r="C6213" s="155" t="s">
        <v>206</v>
      </c>
      <c r="D6213" s="156" t="s">
        <v>7062</v>
      </c>
      <c r="E6213" s="156" t="s">
        <v>7101</v>
      </c>
      <c r="F6213" s="156" t="s">
        <v>331</v>
      </c>
      <c r="G6213" s="156" t="s">
        <v>2189</v>
      </c>
      <c r="H6213" s="157" t="s">
        <v>212</v>
      </c>
    </row>
    <row r="6214" hidden="1">
      <c r="A6214" s="151" t="s">
        <v>222</v>
      </c>
      <c r="B6214" s="118" t="s">
        <v>192</v>
      </c>
      <c r="C6214" s="118" t="s">
        <v>206</v>
      </c>
      <c r="D6214" s="152" t="s">
        <v>7062</v>
      </c>
      <c r="E6214" s="152" t="s">
        <v>7102</v>
      </c>
      <c r="F6214" s="152" t="s">
        <v>534</v>
      </c>
      <c r="G6214" s="152" t="s">
        <v>3282</v>
      </c>
      <c r="H6214" s="153" t="s">
        <v>213</v>
      </c>
    </row>
    <row r="6215" hidden="1">
      <c r="A6215" s="154" t="s">
        <v>222</v>
      </c>
      <c r="B6215" s="155" t="s">
        <v>192</v>
      </c>
      <c r="C6215" s="155" t="s">
        <v>206</v>
      </c>
      <c r="D6215" s="156" t="s">
        <v>7062</v>
      </c>
      <c r="E6215" s="156" t="s">
        <v>7103</v>
      </c>
      <c r="F6215" s="156" t="s">
        <v>725</v>
      </c>
      <c r="G6215" s="156" t="s">
        <v>2109</v>
      </c>
      <c r="H6215" s="157" t="s">
        <v>214</v>
      </c>
    </row>
    <row r="6216" hidden="1">
      <c r="A6216" s="151" t="s">
        <v>222</v>
      </c>
      <c r="B6216" s="118" t="s">
        <v>192</v>
      </c>
      <c r="C6216" s="118" t="s">
        <v>206</v>
      </c>
      <c r="D6216" s="152" t="s">
        <v>7062</v>
      </c>
      <c r="E6216" s="152" t="s">
        <v>7104</v>
      </c>
      <c r="F6216" s="152" t="s">
        <v>425</v>
      </c>
      <c r="G6216" s="152" t="s">
        <v>3057</v>
      </c>
      <c r="H6216" s="153" t="s">
        <v>215</v>
      </c>
    </row>
    <row r="6217" hidden="1">
      <c r="A6217" s="154" t="s">
        <v>222</v>
      </c>
      <c r="B6217" s="155" t="s">
        <v>192</v>
      </c>
      <c r="C6217" s="155" t="s">
        <v>206</v>
      </c>
      <c r="D6217" s="156" t="s">
        <v>7062</v>
      </c>
      <c r="E6217" s="156" t="s">
        <v>7105</v>
      </c>
      <c r="F6217" s="156" t="s">
        <v>534</v>
      </c>
      <c r="G6217" s="156" t="s">
        <v>2113</v>
      </c>
      <c r="H6217" s="157" t="s">
        <v>216</v>
      </c>
    </row>
    <row r="6218" hidden="1">
      <c r="A6218" s="151" t="s">
        <v>223</v>
      </c>
      <c r="B6218" s="118" t="s">
        <v>144</v>
      </c>
      <c r="C6218" s="118" t="s">
        <v>206</v>
      </c>
      <c r="D6218" s="152" t="s">
        <v>7062</v>
      </c>
      <c r="E6218" s="152" t="s">
        <v>7106</v>
      </c>
      <c r="F6218" s="152" t="s">
        <v>305</v>
      </c>
      <c r="G6218" s="152" t="s">
        <v>1868</v>
      </c>
      <c r="H6218" s="153" t="s">
        <v>210</v>
      </c>
    </row>
    <row r="6219" hidden="1">
      <c r="A6219" s="154" t="s">
        <v>223</v>
      </c>
      <c r="B6219" s="155" t="s">
        <v>144</v>
      </c>
      <c r="C6219" s="155" t="s">
        <v>206</v>
      </c>
      <c r="D6219" s="156" t="s">
        <v>7062</v>
      </c>
      <c r="E6219" s="156" t="s">
        <v>7107</v>
      </c>
      <c r="F6219" s="156" t="s">
        <v>351</v>
      </c>
      <c r="G6219" s="156" t="s">
        <v>2624</v>
      </c>
      <c r="H6219" s="157" t="s">
        <v>211</v>
      </c>
    </row>
    <row r="6220" hidden="1">
      <c r="A6220" s="151" t="s">
        <v>223</v>
      </c>
      <c r="B6220" s="118" t="s">
        <v>144</v>
      </c>
      <c r="C6220" s="118" t="s">
        <v>206</v>
      </c>
      <c r="D6220" s="152" t="s">
        <v>7062</v>
      </c>
      <c r="E6220" s="152" t="s">
        <v>7108</v>
      </c>
      <c r="F6220" s="152" t="s">
        <v>325</v>
      </c>
      <c r="G6220" s="152" t="s">
        <v>3950</v>
      </c>
      <c r="H6220" s="153" t="s">
        <v>212</v>
      </c>
    </row>
    <row r="6221" hidden="1">
      <c r="A6221" s="154" t="s">
        <v>223</v>
      </c>
      <c r="B6221" s="155" t="s">
        <v>144</v>
      </c>
      <c r="C6221" s="155" t="s">
        <v>206</v>
      </c>
      <c r="D6221" s="156" t="s">
        <v>7062</v>
      </c>
      <c r="E6221" s="156" t="s">
        <v>7109</v>
      </c>
      <c r="F6221" s="156" t="s">
        <v>532</v>
      </c>
      <c r="G6221" s="156" t="s">
        <v>1927</v>
      </c>
      <c r="H6221" s="157" t="s">
        <v>213</v>
      </c>
    </row>
    <row r="6222" hidden="1">
      <c r="A6222" s="151" t="s">
        <v>223</v>
      </c>
      <c r="B6222" s="118" t="s">
        <v>144</v>
      </c>
      <c r="C6222" s="118" t="s">
        <v>206</v>
      </c>
      <c r="D6222" s="152" t="s">
        <v>7062</v>
      </c>
      <c r="E6222" s="152" t="s">
        <v>7110</v>
      </c>
      <c r="F6222" s="152" t="s">
        <v>305</v>
      </c>
      <c r="G6222" s="152" t="s">
        <v>3356</v>
      </c>
      <c r="H6222" s="153" t="s">
        <v>214</v>
      </c>
    </row>
    <row r="6223" hidden="1">
      <c r="A6223" s="154" t="s">
        <v>223</v>
      </c>
      <c r="B6223" s="155" t="s">
        <v>144</v>
      </c>
      <c r="C6223" s="155" t="s">
        <v>206</v>
      </c>
      <c r="D6223" s="156" t="s">
        <v>7062</v>
      </c>
      <c r="E6223" s="156" t="s">
        <v>7111</v>
      </c>
      <c r="F6223" s="156" t="s">
        <v>305</v>
      </c>
      <c r="G6223" s="156" t="s">
        <v>2405</v>
      </c>
      <c r="H6223" s="157" t="s">
        <v>215</v>
      </c>
    </row>
    <row r="6224" hidden="1">
      <c r="A6224" s="151" t="s">
        <v>223</v>
      </c>
      <c r="B6224" s="118" t="s">
        <v>144</v>
      </c>
      <c r="C6224" s="118" t="s">
        <v>206</v>
      </c>
      <c r="D6224" s="152" t="s">
        <v>7062</v>
      </c>
      <c r="E6224" s="152" t="s">
        <v>7112</v>
      </c>
      <c r="F6224" s="152" t="s">
        <v>339</v>
      </c>
      <c r="G6224" s="152" t="s">
        <v>4338</v>
      </c>
      <c r="H6224" s="153" t="s">
        <v>216</v>
      </c>
    </row>
    <row r="6225" hidden="1">
      <c r="A6225" s="154" t="s">
        <v>224</v>
      </c>
      <c r="B6225" s="155" t="s">
        <v>170</v>
      </c>
      <c r="C6225" s="155" t="s">
        <v>206</v>
      </c>
      <c r="D6225" s="156" t="s">
        <v>7062</v>
      </c>
      <c r="E6225" s="156" t="s">
        <v>7113</v>
      </c>
      <c r="F6225" s="156" t="s">
        <v>290</v>
      </c>
      <c r="G6225" s="156" t="s">
        <v>3221</v>
      </c>
      <c r="H6225" s="157" t="s">
        <v>210</v>
      </c>
    </row>
    <row r="6226" hidden="1">
      <c r="A6226" s="151" t="s">
        <v>224</v>
      </c>
      <c r="B6226" s="118" t="s">
        <v>170</v>
      </c>
      <c r="C6226" s="118" t="s">
        <v>206</v>
      </c>
      <c r="D6226" s="152" t="s">
        <v>7062</v>
      </c>
      <c r="E6226" s="152" t="s">
        <v>7114</v>
      </c>
      <c r="F6226" s="152" t="s">
        <v>3218</v>
      </c>
      <c r="G6226" s="152" t="s">
        <v>2281</v>
      </c>
      <c r="H6226" s="153" t="s">
        <v>211</v>
      </c>
    </row>
    <row r="6227" hidden="1">
      <c r="A6227" s="154" t="s">
        <v>224</v>
      </c>
      <c r="B6227" s="155" t="s">
        <v>170</v>
      </c>
      <c r="C6227" s="155" t="s">
        <v>206</v>
      </c>
      <c r="D6227" s="156" t="s">
        <v>7062</v>
      </c>
      <c r="E6227" s="156" t="s">
        <v>7115</v>
      </c>
      <c r="F6227" s="156" t="s">
        <v>2994</v>
      </c>
      <c r="G6227" s="156" t="s">
        <v>2605</v>
      </c>
      <c r="H6227" s="157" t="s">
        <v>212</v>
      </c>
    </row>
    <row r="6228" hidden="1">
      <c r="A6228" s="151" t="s">
        <v>224</v>
      </c>
      <c r="B6228" s="118" t="s">
        <v>170</v>
      </c>
      <c r="C6228" s="118" t="s">
        <v>206</v>
      </c>
      <c r="D6228" s="152" t="s">
        <v>7062</v>
      </c>
      <c r="E6228" s="152" t="s">
        <v>7116</v>
      </c>
      <c r="F6228" s="152" t="s">
        <v>348</v>
      </c>
      <c r="G6228" s="152" t="s">
        <v>2929</v>
      </c>
      <c r="H6228" s="153" t="s">
        <v>213</v>
      </c>
    </row>
    <row r="6229" hidden="1">
      <c r="A6229" s="154" t="s">
        <v>224</v>
      </c>
      <c r="B6229" s="155" t="s">
        <v>170</v>
      </c>
      <c r="C6229" s="155" t="s">
        <v>206</v>
      </c>
      <c r="D6229" s="156" t="s">
        <v>7062</v>
      </c>
      <c r="E6229" s="156" t="s">
        <v>7117</v>
      </c>
      <c r="F6229" s="156" t="s">
        <v>1532</v>
      </c>
      <c r="G6229" s="156" t="s">
        <v>1949</v>
      </c>
      <c r="H6229" s="157" t="s">
        <v>214</v>
      </c>
    </row>
    <row r="6230" hidden="1">
      <c r="A6230" s="151" t="s">
        <v>224</v>
      </c>
      <c r="B6230" s="118" t="s">
        <v>170</v>
      </c>
      <c r="C6230" s="118" t="s">
        <v>206</v>
      </c>
      <c r="D6230" s="152" t="s">
        <v>7062</v>
      </c>
      <c r="E6230" s="152" t="s">
        <v>7118</v>
      </c>
      <c r="F6230" s="152" t="s">
        <v>691</v>
      </c>
      <c r="G6230" s="152" t="s">
        <v>2986</v>
      </c>
      <c r="H6230" s="153" t="s">
        <v>215</v>
      </c>
    </row>
    <row r="6231" hidden="1">
      <c r="A6231" s="154" t="s">
        <v>224</v>
      </c>
      <c r="B6231" s="155" t="s">
        <v>170</v>
      </c>
      <c r="C6231" s="155" t="s">
        <v>206</v>
      </c>
      <c r="D6231" s="156" t="s">
        <v>7062</v>
      </c>
      <c r="E6231" s="156" t="s">
        <v>7119</v>
      </c>
      <c r="F6231" s="156" t="s">
        <v>478</v>
      </c>
      <c r="G6231" s="156" t="s">
        <v>2393</v>
      </c>
      <c r="H6231" s="157" t="s">
        <v>216</v>
      </c>
    </row>
    <row r="6232" hidden="1">
      <c r="A6232" s="151" t="s">
        <v>225</v>
      </c>
      <c r="B6232" s="118" t="s">
        <v>226</v>
      </c>
      <c r="C6232" s="118" t="s">
        <v>206</v>
      </c>
      <c r="D6232" s="152" t="s">
        <v>7062</v>
      </c>
      <c r="E6232" s="152" t="s">
        <v>7120</v>
      </c>
      <c r="F6232" s="152" t="s">
        <v>6194</v>
      </c>
      <c r="G6232" s="152" t="s">
        <v>1729</v>
      </c>
      <c r="H6232" s="153" t="s">
        <v>210</v>
      </c>
    </row>
    <row r="6233" hidden="1">
      <c r="A6233" s="154" t="s">
        <v>225</v>
      </c>
      <c r="B6233" s="155" t="s">
        <v>226</v>
      </c>
      <c r="C6233" s="155" t="s">
        <v>206</v>
      </c>
      <c r="D6233" s="156" t="s">
        <v>7062</v>
      </c>
      <c r="E6233" s="156" t="s">
        <v>7121</v>
      </c>
      <c r="F6233" s="156" t="s">
        <v>2657</v>
      </c>
      <c r="G6233" s="156" t="s">
        <v>1913</v>
      </c>
      <c r="H6233" s="157" t="s">
        <v>211</v>
      </c>
    </row>
    <row r="6234" hidden="1">
      <c r="A6234" s="151" t="s">
        <v>225</v>
      </c>
      <c r="B6234" s="118" t="s">
        <v>226</v>
      </c>
      <c r="C6234" s="118" t="s">
        <v>206</v>
      </c>
      <c r="D6234" s="152" t="s">
        <v>7062</v>
      </c>
      <c r="E6234" s="152" t="s">
        <v>7122</v>
      </c>
      <c r="F6234" s="152" t="s">
        <v>3254</v>
      </c>
      <c r="G6234" s="152" t="s">
        <v>1733</v>
      </c>
      <c r="H6234" s="153" t="s">
        <v>212</v>
      </c>
    </row>
    <row r="6235" hidden="1">
      <c r="A6235" s="154" t="s">
        <v>225</v>
      </c>
      <c r="B6235" s="155" t="s">
        <v>226</v>
      </c>
      <c r="C6235" s="155" t="s">
        <v>206</v>
      </c>
      <c r="D6235" s="156" t="s">
        <v>7062</v>
      </c>
      <c r="E6235" s="156" t="s">
        <v>7123</v>
      </c>
      <c r="F6235" s="156" t="s">
        <v>1762</v>
      </c>
      <c r="G6235" s="156" t="s">
        <v>2093</v>
      </c>
      <c r="H6235" s="157" t="s">
        <v>213</v>
      </c>
    </row>
    <row r="6236" hidden="1">
      <c r="A6236" s="151" t="s">
        <v>225</v>
      </c>
      <c r="B6236" s="118" t="s">
        <v>226</v>
      </c>
      <c r="C6236" s="118" t="s">
        <v>206</v>
      </c>
      <c r="D6236" s="152" t="s">
        <v>7062</v>
      </c>
      <c r="E6236" s="152" t="s">
        <v>7124</v>
      </c>
      <c r="F6236" s="152" t="s">
        <v>2587</v>
      </c>
      <c r="G6236" s="152" t="s">
        <v>1961</v>
      </c>
      <c r="H6236" s="153" t="s">
        <v>214</v>
      </c>
    </row>
    <row r="6237" hidden="1">
      <c r="A6237" s="154" t="s">
        <v>225</v>
      </c>
      <c r="B6237" s="155" t="s">
        <v>226</v>
      </c>
      <c r="C6237" s="155" t="s">
        <v>206</v>
      </c>
      <c r="D6237" s="156" t="s">
        <v>7062</v>
      </c>
      <c r="E6237" s="156" t="s">
        <v>7125</v>
      </c>
      <c r="F6237" s="156" t="s">
        <v>1804</v>
      </c>
      <c r="G6237" s="156" t="s">
        <v>1731</v>
      </c>
      <c r="H6237" s="157" t="s">
        <v>215</v>
      </c>
    </row>
    <row r="6238" hidden="1">
      <c r="A6238" s="151" t="s">
        <v>225</v>
      </c>
      <c r="B6238" s="118" t="s">
        <v>226</v>
      </c>
      <c r="C6238" s="118" t="s">
        <v>206</v>
      </c>
      <c r="D6238" s="152" t="s">
        <v>7062</v>
      </c>
      <c r="E6238" s="152" t="s">
        <v>7126</v>
      </c>
      <c r="F6238" s="152" t="s">
        <v>1799</v>
      </c>
      <c r="G6238" s="152" t="s">
        <v>1751</v>
      </c>
      <c r="H6238" s="153" t="s">
        <v>216</v>
      </c>
    </row>
    <row r="6239" hidden="1">
      <c r="A6239" s="154" t="s">
        <v>227</v>
      </c>
      <c r="B6239" s="155" t="s">
        <v>195</v>
      </c>
      <c r="C6239" s="155" t="s">
        <v>206</v>
      </c>
      <c r="D6239" s="156" t="s">
        <v>7062</v>
      </c>
      <c r="E6239" s="156" t="s">
        <v>7127</v>
      </c>
      <c r="F6239" s="156" t="s">
        <v>494</v>
      </c>
      <c r="G6239" s="156" t="s">
        <v>2006</v>
      </c>
      <c r="H6239" s="157" t="s">
        <v>210</v>
      </c>
    </row>
    <row r="6240" hidden="1">
      <c r="A6240" s="151" t="s">
        <v>227</v>
      </c>
      <c r="B6240" s="118" t="s">
        <v>195</v>
      </c>
      <c r="C6240" s="118" t="s">
        <v>206</v>
      </c>
      <c r="D6240" s="152" t="s">
        <v>7062</v>
      </c>
      <c r="E6240" s="152" t="s">
        <v>7128</v>
      </c>
      <c r="F6240" s="152" t="s">
        <v>405</v>
      </c>
      <c r="G6240" s="152" t="s">
        <v>2663</v>
      </c>
      <c r="H6240" s="153" t="s">
        <v>211</v>
      </c>
    </row>
    <row r="6241" hidden="1">
      <c r="A6241" s="154" t="s">
        <v>227</v>
      </c>
      <c r="B6241" s="155" t="s">
        <v>195</v>
      </c>
      <c r="C6241" s="155" t="s">
        <v>206</v>
      </c>
      <c r="D6241" s="156" t="s">
        <v>7062</v>
      </c>
      <c r="E6241" s="156" t="s">
        <v>7129</v>
      </c>
      <c r="F6241" s="156" t="s">
        <v>329</v>
      </c>
      <c r="G6241" s="156" t="s">
        <v>2348</v>
      </c>
      <c r="H6241" s="157" t="s">
        <v>212</v>
      </c>
    </row>
    <row r="6242" hidden="1">
      <c r="A6242" s="151" t="s">
        <v>227</v>
      </c>
      <c r="B6242" s="118" t="s">
        <v>195</v>
      </c>
      <c r="C6242" s="118" t="s">
        <v>206</v>
      </c>
      <c r="D6242" s="152" t="s">
        <v>7062</v>
      </c>
      <c r="E6242" s="152" t="s">
        <v>7130</v>
      </c>
      <c r="F6242" s="152" t="s">
        <v>718</v>
      </c>
      <c r="G6242" s="152" t="s">
        <v>3482</v>
      </c>
      <c r="H6242" s="153" t="s">
        <v>213</v>
      </c>
    </row>
    <row r="6243" hidden="1">
      <c r="A6243" s="154" t="s">
        <v>227</v>
      </c>
      <c r="B6243" s="155" t="s">
        <v>195</v>
      </c>
      <c r="C6243" s="155" t="s">
        <v>206</v>
      </c>
      <c r="D6243" s="156" t="s">
        <v>7062</v>
      </c>
      <c r="E6243" s="156" t="s">
        <v>7131</v>
      </c>
      <c r="F6243" s="156" t="s">
        <v>308</v>
      </c>
      <c r="G6243" s="156" t="s">
        <v>2455</v>
      </c>
      <c r="H6243" s="157" t="s">
        <v>214</v>
      </c>
    </row>
    <row r="6244" hidden="1">
      <c r="A6244" s="151" t="s">
        <v>227</v>
      </c>
      <c r="B6244" s="118" t="s">
        <v>195</v>
      </c>
      <c r="C6244" s="118" t="s">
        <v>206</v>
      </c>
      <c r="D6244" s="152" t="s">
        <v>7062</v>
      </c>
      <c r="E6244" s="152" t="s">
        <v>7132</v>
      </c>
      <c r="F6244" s="152" t="s">
        <v>312</v>
      </c>
      <c r="G6244" s="152" t="s">
        <v>3389</v>
      </c>
      <c r="H6244" s="153" t="s">
        <v>215</v>
      </c>
    </row>
    <row r="6245" hidden="1">
      <c r="A6245" s="154" t="s">
        <v>227</v>
      </c>
      <c r="B6245" s="155" t="s">
        <v>195</v>
      </c>
      <c r="C6245" s="155" t="s">
        <v>206</v>
      </c>
      <c r="D6245" s="156" t="s">
        <v>7062</v>
      </c>
      <c r="E6245" s="156" t="s">
        <v>7133</v>
      </c>
      <c r="F6245" s="156" t="s">
        <v>577</v>
      </c>
      <c r="G6245" s="156" t="s">
        <v>3478</v>
      </c>
      <c r="H6245" s="157" t="s">
        <v>216</v>
      </c>
    </row>
    <row r="6246" hidden="1">
      <c r="A6246" s="151" t="s">
        <v>228</v>
      </c>
      <c r="B6246" s="118" t="s">
        <v>138</v>
      </c>
      <c r="C6246" s="118" t="s">
        <v>206</v>
      </c>
      <c r="D6246" s="152" t="s">
        <v>7062</v>
      </c>
      <c r="E6246" s="152" t="s">
        <v>7134</v>
      </c>
      <c r="F6246" s="152" t="s">
        <v>374</v>
      </c>
      <c r="G6246" s="152" t="s">
        <v>1795</v>
      </c>
      <c r="H6246" s="153" t="s">
        <v>210</v>
      </c>
    </row>
    <row r="6247" hidden="1">
      <c r="A6247" s="154" t="s">
        <v>228</v>
      </c>
      <c r="B6247" s="155" t="s">
        <v>138</v>
      </c>
      <c r="C6247" s="155" t="s">
        <v>206</v>
      </c>
      <c r="D6247" s="156" t="s">
        <v>7062</v>
      </c>
      <c r="E6247" s="156" t="s">
        <v>7006</v>
      </c>
      <c r="F6247" s="156" t="s">
        <v>204</v>
      </c>
      <c r="G6247" s="156" t="s">
        <v>1873</v>
      </c>
      <c r="H6247" s="157" t="s">
        <v>211</v>
      </c>
    </row>
    <row r="6248" hidden="1">
      <c r="A6248" s="151" t="s">
        <v>228</v>
      </c>
      <c r="B6248" s="118" t="s">
        <v>138</v>
      </c>
      <c r="C6248" s="118" t="s">
        <v>206</v>
      </c>
      <c r="D6248" s="152" t="s">
        <v>7062</v>
      </c>
      <c r="E6248" s="152" t="s">
        <v>7135</v>
      </c>
      <c r="F6248" s="152" t="s">
        <v>436</v>
      </c>
      <c r="G6248" s="152" t="s">
        <v>2364</v>
      </c>
      <c r="H6248" s="153" t="s">
        <v>212</v>
      </c>
    </row>
    <row r="6249" hidden="1">
      <c r="A6249" s="154" t="s">
        <v>228</v>
      </c>
      <c r="B6249" s="155" t="s">
        <v>138</v>
      </c>
      <c r="C6249" s="155" t="s">
        <v>206</v>
      </c>
      <c r="D6249" s="156" t="s">
        <v>7062</v>
      </c>
      <c r="E6249" s="156" t="s">
        <v>7136</v>
      </c>
      <c r="F6249" s="156" t="s">
        <v>285</v>
      </c>
      <c r="G6249" s="156" t="s">
        <v>2129</v>
      </c>
      <c r="H6249" s="157" t="s">
        <v>213</v>
      </c>
    </row>
    <row r="6250" hidden="1">
      <c r="A6250" s="151" t="s">
        <v>228</v>
      </c>
      <c r="B6250" s="118" t="s">
        <v>138</v>
      </c>
      <c r="C6250" s="118" t="s">
        <v>206</v>
      </c>
      <c r="D6250" s="152" t="s">
        <v>7062</v>
      </c>
      <c r="E6250" s="152" t="s">
        <v>7008</v>
      </c>
      <c r="F6250" s="152" t="s">
        <v>204</v>
      </c>
      <c r="G6250" s="152" t="s">
        <v>1957</v>
      </c>
      <c r="H6250" s="153" t="s">
        <v>214</v>
      </c>
    </row>
    <row r="6251" hidden="1">
      <c r="A6251" s="154" t="s">
        <v>228</v>
      </c>
      <c r="B6251" s="155" t="s">
        <v>138</v>
      </c>
      <c r="C6251" s="155" t="s">
        <v>206</v>
      </c>
      <c r="D6251" s="156" t="s">
        <v>7062</v>
      </c>
      <c r="E6251" s="156" t="s">
        <v>7137</v>
      </c>
      <c r="F6251" s="156" t="s">
        <v>240</v>
      </c>
      <c r="G6251" s="156" t="s">
        <v>2087</v>
      </c>
      <c r="H6251" s="157" t="s">
        <v>215</v>
      </c>
    </row>
    <row r="6252" hidden="1">
      <c r="A6252" s="151" t="s">
        <v>228</v>
      </c>
      <c r="B6252" s="118" t="s">
        <v>138</v>
      </c>
      <c r="C6252" s="118" t="s">
        <v>206</v>
      </c>
      <c r="D6252" s="152" t="s">
        <v>7062</v>
      </c>
      <c r="E6252" s="152" t="s">
        <v>7138</v>
      </c>
      <c r="F6252" s="152" t="s">
        <v>492</v>
      </c>
      <c r="G6252" s="152" t="s">
        <v>1936</v>
      </c>
      <c r="H6252" s="153" t="s">
        <v>216</v>
      </c>
    </row>
    <row r="6253" hidden="1">
      <c r="A6253" s="154" t="s">
        <v>229</v>
      </c>
      <c r="B6253" s="155" t="s">
        <v>193</v>
      </c>
      <c r="C6253" s="155" t="s">
        <v>206</v>
      </c>
      <c r="D6253" s="156" t="s">
        <v>7062</v>
      </c>
      <c r="E6253" s="156" t="s">
        <v>7139</v>
      </c>
      <c r="F6253" s="156" t="s">
        <v>673</v>
      </c>
      <c r="G6253" s="156" t="s">
        <v>2624</v>
      </c>
      <c r="H6253" s="157" t="s">
        <v>210</v>
      </c>
    </row>
    <row r="6254" hidden="1">
      <c r="A6254" s="151" t="s">
        <v>229</v>
      </c>
      <c r="B6254" s="118" t="s">
        <v>193</v>
      </c>
      <c r="C6254" s="118" t="s">
        <v>206</v>
      </c>
      <c r="D6254" s="152" t="s">
        <v>7062</v>
      </c>
      <c r="E6254" s="152" t="s">
        <v>7140</v>
      </c>
      <c r="F6254" s="152" t="s">
        <v>478</v>
      </c>
      <c r="G6254" s="152" t="s">
        <v>3364</v>
      </c>
      <c r="H6254" s="153" t="s">
        <v>211</v>
      </c>
    </row>
    <row r="6255" hidden="1">
      <c r="A6255" s="154" t="s">
        <v>229</v>
      </c>
      <c r="B6255" s="155" t="s">
        <v>193</v>
      </c>
      <c r="C6255" s="155" t="s">
        <v>206</v>
      </c>
      <c r="D6255" s="156" t="s">
        <v>7062</v>
      </c>
      <c r="E6255" s="156" t="s">
        <v>7141</v>
      </c>
      <c r="F6255" s="156" t="s">
        <v>478</v>
      </c>
      <c r="G6255" s="156" t="s">
        <v>3221</v>
      </c>
      <c r="H6255" s="157" t="s">
        <v>212</v>
      </c>
    </row>
    <row r="6256" hidden="1">
      <c r="A6256" s="151" t="s">
        <v>229</v>
      </c>
      <c r="B6256" s="118" t="s">
        <v>193</v>
      </c>
      <c r="C6256" s="118" t="s">
        <v>206</v>
      </c>
      <c r="D6256" s="152" t="s">
        <v>7062</v>
      </c>
      <c r="E6256" s="152" t="s">
        <v>7142</v>
      </c>
      <c r="F6256" s="152" t="s">
        <v>766</v>
      </c>
      <c r="G6256" s="152" t="s">
        <v>2287</v>
      </c>
      <c r="H6256" s="153" t="s">
        <v>213</v>
      </c>
    </row>
    <row r="6257" hidden="1">
      <c r="A6257" s="154" t="s">
        <v>229</v>
      </c>
      <c r="B6257" s="155" t="s">
        <v>193</v>
      </c>
      <c r="C6257" s="155" t="s">
        <v>206</v>
      </c>
      <c r="D6257" s="156" t="s">
        <v>7062</v>
      </c>
      <c r="E6257" s="156" t="s">
        <v>7143</v>
      </c>
      <c r="F6257" s="156" t="s">
        <v>766</v>
      </c>
      <c r="G6257" s="156" t="s">
        <v>3356</v>
      </c>
      <c r="H6257" s="157" t="s">
        <v>214</v>
      </c>
    </row>
    <row r="6258" hidden="1">
      <c r="A6258" s="151" t="s">
        <v>229</v>
      </c>
      <c r="B6258" s="118" t="s">
        <v>193</v>
      </c>
      <c r="C6258" s="118" t="s">
        <v>206</v>
      </c>
      <c r="D6258" s="152" t="s">
        <v>7062</v>
      </c>
      <c r="E6258" s="152" t="s">
        <v>7144</v>
      </c>
      <c r="F6258" s="152" t="s">
        <v>425</v>
      </c>
      <c r="G6258" s="152" t="s">
        <v>2055</v>
      </c>
      <c r="H6258" s="153" t="s">
        <v>215</v>
      </c>
    </row>
    <row r="6259" hidden="1">
      <c r="A6259" s="154" t="s">
        <v>229</v>
      </c>
      <c r="B6259" s="155" t="s">
        <v>193</v>
      </c>
      <c r="C6259" s="155" t="s">
        <v>206</v>
      </c>
      <c r="D6259" s="156" t="s">
        <v>7062</v>
      </c>
      <c r="E6259" s="156" t="s">
        <v>7145</v>
      </c>
      <c r="F6259" s="156" t="s">
        <v>453</v>
      </c>
      <c r="G6259" s="156" t="s">
        <v>2923</v>
      </c>
      <c r="H6259" s="157" t="s">
        <v>216</v>
      </c>
    </row>
    <row r="6260" hidden="1">
      <c r="A6260" s="151" t="s">
        <v>230</v>
      </c>
      <c r="B6260" s="118" t="s">
        <v>194</v>
      </c>
      <c r="C6260" s="118" t="s">
        <v>206</v>
      </c>
      <c r="D6260" s="152" t="s">
        <v>7062</v>
      </c>
      <c r="E6260" s="152" t="s">
        <v>7146</v>
      </c>
      <c r="F6260" s="152" t="s">
        <v>323</v>
      </c>
      <c r="G6260" s="152" t="s">
        <v>1810</v>
      </c>
      <c r="H6260" s="153" t="s">
        <v>210</v>
      </c>
    </row>
    <row r="6261" hidden="1">
      <c r="A6261" s="154" t="s">
        <v>230</v>
      </c>
      <c r="B6261" s="155" t="s">
        <v>194</v>
      </c>
      <c r="C6261" s="155" t="s">
        <v>206</v>
      </c>
      <c r="D6261" s="156" t="s">
        <v>7062</v>
      </c>
      <c r="E6261" s="156" t="s">
        <v>7147</v>
      </c>
      <c r="F6261" s="156" t="s">
        <v>285</v>
      </c>
      <c r="G6261" s="156" t="s">
        <v>1854</v>
      </c>
      <c r="H6261" s="157" t="s">
        <v>211</v>
      </c>
    </row>
    <row r="6262" hidden="1">
      <c r="A6262" s="151" t="s">
        <v>230</v>
      </c>
      <c r="B6262" s="118" t="s">
        <v>194</v>
      </c>
      <c r="C6262" s="118" t="s">
        <v>206</v>
      </c>
      <c r="D6262" s="152" t="s">
        <v>7062</v>
      </c>
      <c r="E6262" s="152" t="s">
        <v>7148</v>
      </c>
      <c r="F6262" s="152" t="s">
        <v>365</v>
      </c>
      <c r="G6262" s="152" t="s">
        <v>2091</v>
      </c>
      <c r="H6262" s="153" t="s">
        <v>212</v>
      </c>
    </row>
    <row r="6263" hidden="1">
      <c r="A6263" s="154" t="s">
        <v>230</v>
      </c>
      <c r="B6263" s="155" t="s">
        <v>194</v>
      </c>
      <c r="C6263" s="155" t="s">
        <v>206</v>
      </c>
      <c r="D6263" s="156" t="s">
        <v>7062</v>
      </c>
      <c r="E6263" s="156" t="s">
        <v>7149</v>
      </c>
      <c r="F6263" s="156" t="s">
        <v>323</v>
      </c>
      <c r="G6263" s="156" t="s">
        <v>1729</v>
      </c>
      <c r="H6263" s="157" t="s">
        <v>213</v>
      </c>
    </row>
    <row r="6264" hidden="1">
      <c r="A6264" s="151" t="s">
        <v>230</v>
      </c>
      <c r="B6264" s="118" t="s">
        <v>194</v>
      </c>
      <c r="C6264" s="118" t="s">
        <v>206</v>
      </c>
      <c r="D6264" s="152" t="s">
        <v>7062</v>
      </c>
      <c r="E6264" s="152" t="s">
        <v>7150</v>
      </c>
      <c r="F6264" s="152" t="s">
        <v>287</v>
      </c>
      <c r="G6264" s="152" t="s">
        <v>1881</v>
      </c>
      <c r="H6264" s="153" t="s">
        <v>214</v>
      </c>
    </row>
    <row r="6265" hidden="1">
      <c r="A6265" s="154" t="s">
        <v>230</v>
      </c>
      <c r="B6265" s="155" t="s">
        <v>194</v>
      </c>
      <c r="C6265" s="155" t="s">
        <v>206</v>
      </c>
      <c r="D6265" s="156" t="s">
        <v>7062</v>
      </c>
      <c r="E6265" s="156" t="s">
        <v>7151</v>
      </c>
      <c r="F6265" s="156" t="s">
        <v>287</v>
      </c>
      <c r="G6265" s="156" t="s">
        <v>1822</v>
      </c>
      <c r="H6265" s="157" t="s">
        <v>215</v>
      </c>
    </row>
    <row r="6266" hidden="1">
      <c r="A6266" s="151" t="s">
        <v>230</v>
      </c>
      <c r="B6266" s="118" t="s">
        <v>194</v>
      </c>
      <c r="C6266" s="118" t="s">
        <v>206</v>
      </c>
      <c r="D6266" s="152" t="s">
        <v>7062</v>
      </c>
      <c r="E6266" s="152" t="s">
        <v>7152</v>
      </c>
      <c r="F6266" s="152" t="s">
        <v>365</v>
      </c>
      <c r="G6266" s="152" t="s">
        <v>1955</v>
      </c>
      <c r="H6266" s="153" t="s">
        <v>216</v>
      </c>
    </row>
    <row r="6267" hidden="1">
      <c r="A6267" s="158" t="s">
        <v>231</v>
      </c>
      <c r="B6267" s="159"/>
      <c r="C6267" s="155" t="s">
        <v>232</v>
      </c>
      <c r="D6267" s="156" t="s">
        <v>7062</v>
      </c>
      <c r="E6267" s="156" t="s">
        <v>7153</v>
      </c>
      <c r="F6267" s="156" t="s">
        <v>365</v>
      </c>
      <c r="G6267" s="156" t="s">
        <v>4442</v>
      </c>
      <c r="H6267" s="157" t="s">
        <v>210</v>
      </c>
    </row>
    <row r="6268" hidden="1">
      <c r="A6268" s="160" t="s">
        <v>231</v>
      </c>
      <c r="B6268" s="72"/>
      <c r="C6268" s="118" t="s">
        <v>232</v>
      </c>
      <c r="D6268" s="152" t="s">
        <v>7062</v>
      </c>
      <c r="E6268" s="152" t="s">
        <v>7154</v>
      </c>
      <c r="F6268" s="152" t="s">
        <v>450</v>
      </c>
      <c r="G6268" s="152" t="s">
        <v>3932</v>
      </c>
      <c r="H6268" s="153" t="s">
        <v>211</v>
      </c>
    </row>
    <row r="6269" hidden="1">
      <c r="A6269" s="158" t="s">
        <v>231</v>
      </c>
      <c r="B6269" s="159"/>
      <c r="C6269" s="155" t="s">
        <v>232</v>
      </c>
      <c r="D6269" s="156" t="s">
        <v>7062</v>
      </c>
      <c r="E6269" s="156" t="s">
        <v>7155</v>
      </c>
      <c r="F6269" s="156" t="s">
        <v>290</v>
      </c>
      <c r="G6269" s="156" t="s">
        <v>3304</v>
      </c>
      <c r="H6269" s="157" t="s">
        <v>212</v>
      </c>
    </row>
    <row r="6270" hidden="1">
      <c r="A6270" s="160" t="s">
        <v>231</v>
      </c>
      <c r="B6270" s="72"/>
      <c r="C6270" s="118" t="s">
        <v>232</v>
      </c>
      <c r="D6270" s="152" t="s">
        <v>7062</v>
      </c>
      <c r="E6270" s="152" t="s">
        <v>7156</v>
      </c>
      <c r="F6270" s="152" t="s">
        <v>577</v>
      </c>
      <c r="G6270" s="152" t="s">
        <v>3638</v>
      </c>
      <c r="H6270" s="153" t="s">
        <v>213</v>
      </c>
    </row>
    <row r="6271" hidden="1">
      <c r="A6271" s="158" t="s">
        <v>231</v>
      </c>
      <c r="B6271" s="159"/>
      <c r="C6271" s="155" t="s">
        <v>232</v>
      </c>
      <c r="D6271" s="156" t="s">
        <v>7062</v>
      </c>
      <c r="E6271" s="156" t="s">
        <v>7157</v>
      </c>
      <c r="F6271" s="156" t="s">
        <v>494</v>
      </c>
      <c r="G6271" s="156" t="s">
        <v>6776</v>
      </c>
      <c r="H6271" s="157" t="s">
        <v>214</v>
      </c>
    </row>
    <row r="6272" hidden="1">
      <c r="A6272" s="160" t="s">
        <v>231</v>
      </c>
      <c r="B6272" s="72"/>
      <c r="C6272" s="118" t="s">
        <v>232</v>
      </c>
      <c r="D6272" s="152" t="s">
        <v>7062</v>
      </c>
      <c r="E6272" s="152" t="s">
        <v>7158</v>
      </c>
      <c r="F6272" s="152" t="s">
        <v>339</v>
      </c>
      <c r="G6272" s="152" t="s">
        <v>2008</v>
      </c>
      <c r="H6272" s="153" t="s">
        <v>215</v>
      </c>
    </row>
    <row r="6273" hidden="1">
      <c r="A6273" s="158" t="s">
        <v>231</v>
      </c>
      <c r="B6273" s="159"/>
      <c r="C6273" s="155" t="s">
        <v>232</v>
      </c>
      <c r="D6273" s="156" t="s">
        <v>7062</v>
      </c>
      <c r="E6273" s="156" t="s">
        <v>7159</v>
      </c>
      <c r="F6273" s="156" t="s">
        <v>534</v>
      </c>
      <c r="G6273" s="156" t="s">
        <v>4290</v>
      </c>
      <c r="H6273" s="157" t="s">
        <v>216</v>
      </c>
    </row>
    <row r="6274" hidden="1">
      <c r="A6274" s="160" t="s">
        <v>233</v>
      </c>
      <c r="B6274" s="72"/>
      <c r="C6274" s="118" t="s">
        <v>232</v>
      </c>
      <c r="D6274" s="152" t="s">
        <v>7062</v>
      </c>
      <c r="E6274" s="152" t="s">
        <v>7160</v>
      </c>
      <c r="F6274" s="152" t="s">
        <v>305</v>
      </c>
      <c r="G6274" s="152" t="s">
        <v>2119</v>
      </c>
      <c r="H6274" s="153" t="s">
        <v>210</v>
      </c>
    </row>
    <row r="6275" hidden="1">
      <c r="A6275" s="158" t="s">
        <v>233</v>
      </c>
      <c r="B6275" s="159"/>
      <c r="C6275" s="155" t="s">
        <v>232</v>
      </c>
      <c r="D6275" s="156" t="s">
        <v>7062</v>
      </c>
      <c r="E6275" s="156" t="s">
        <v>7161</v>
      </c>
      <c r="F6275" s="156" t="s">
        <v>478</v>
      </c>
      <c r="G6275" s="156" t="s">
        <v>2283</v>
      </c>
      <c r="H6275" s="157" t="s">
        <v>211</v>
      </c>
    </row>
    <row r="6276" hidden="1">
      <c r="A6276" s="160" t="s">
        <v>233</v>
      </c>
      <c r="B6276" s="72"/>
      <c r="C6276" s="118" t="s">
        <v>232</v>
      </c>
      <c r="D6276" s="152" t="s">
        <v>7062</v>
      </c>
      <c r="E6276" s="152" t="s">
        <v>7162</v>
      </c>
      <c r="F6276" s="152" t="s">
        <v>494</v>
      </c>
      <c r="G6276" s="152" t="s">
        <v>2824</v>
      </c>
      <c r="H6276" s="153" t="s">
        <v>212</v>
      </c>
    </row>
    <row r="6277" hidden="1">
      <c r="A6277" s="158" t="s">
        <v>233</v>
      </c>
      <c r="B6277" s="159"/>
      <c r="C6277" s="155" t="s">
        <v>232</v>
      </c>
      <c r="D6277" s="156" t="s">
        <v>7062</v>
      </c>
      <c r="E6277" s="156" t="s">
        <v>7163</v>
      </c>
      <c r="F6277" s="156" t="s">
        <v>423</v>
      </c>
      <c r="G6277" s="156" t="s">
        <v>2995</v>
      </c>
      <c r="H6277" s="157" t="s">
        <v>213</v>
      </c>
    </row>
    <row r="6278" hidden="1">
      <c r="A6278" s="160" t="s">
        <v>233</v>
      </c>
      <c r="B6278" s="72"/>
      <c r="C6278" s="118" t="s">
        <v>232</v>
      </c>
      <c r="D6278" s="152" t="s">
        <v>7062</v>
      </c>
      <c r="E6278" s="152" t="s">
        <v>7164</v>
      </c>
      <c r="F6278" s="152" t="s">
        <v>329</v>
      </c>
      <c r="G6278" s="152" t="s">
        <v>3278</v>
      </c>
      <c r="H6278" s="153" t="s">
        <v>214</v>
      </c>
    </row>
    <row r="6279" hidden="1">
      <c r="A6279" s="158" t="s">
        <v>233</v>
      </c>
      <c r="B6279" s="159"/>
      <c r="C6279" s="155" t="s">
        <v>232</v>
      </c>
      <c r="D6279" s="156" t="s">
        <v>7062</v>
      </c>
      <c r="E6279" s="156" t="s">
        <v>7165</v>
      </c>
      <c r="F6279" s="156" t="s">
        <v>425</v>
      </c>
      <c r="G6279" s="156" t="s">
        <v>1944</v>
      </c>
      <c r="H6279" s="157" t="s">
        <v>215</v>
      </c>
    </row>
    <row r="6280" hidden="1">
      <c r="A6280" s="160" t="s">
        <v>233</v>
      </c>
      <c r="B6280" s="72"/>
      <c r="C6280" s="118" t="s">
        <v>232</v>
      </c>
      <c r="D6280" s="152" t="s">
        <v>7062</v>
      </c>
      <c r="E6280" s="152" t="s">
        <v>7166</v>
      </c>
      <c r="F6280" s="152" t="s">
        <v>425</v>
      </c>
      <c r="G6280" s="152" t="s">
        <v>3380</v>
      </c>
      <c r="H6280" s="153" t="s">
        <v>216</v>
      </c>
    </row>
    <row r="6281" hidden="1">
      <c r="A6281" s="158" t="s">
        <v>234</v>
      </c>
      <c r="B6281" s="159"/>
      <c r="C6281" s="155" t="s">
        <v>232</v>
      </c>
      <c r="D6281" s="156" t="s">
        <v>7062</v>
      </c>
      <c r="E6281" s="156" t="s">
        <v>7167</v>
      </c>
      <c r="F6281" s="156" t="s">
        <v>354</v>
      </c>
      <c r="G6281" s="156" t="s">
        <v>2018</v>
      </c>
      <c r="H6281" s="157" t="s">
        <v>210</v>
      </c>
    </row>
    <row r="6282" hidden="1">
      <c r="A6282" s="160" t="s">
        <v>234</v>
      </c>
      <c r="B6282" s="72"/>
      <c r="C6282" s="118" t="s">
        <v>232</v>
      </c>
      <c r="D6282" s="152" t="s">
        <v>7062</v>
      </c>
      <c r="E6282" s="152" t="s">
        <v>7168</v>
      </c>
      <c r="F6282" s="152" t="s">
        <v>1999</v>
      </c>
      <c r="G6282" s="152" t="s">
        <v>1901</v>
      </c>
      <c r="H6282" s="153" t="s">
        <v>211</v>
      </c>
    </row>
    <row r="6283" hidden="1">
      <c r="A6283" s="158" t="s">
        <v>234</v>
      </c>
      <c r="B6283" s="159"/>
      <c r="C6283" s="155" t="s">
        <v>232</v>
      </c>
      <c r="D6283" s="156" t="s">
        <v>7062</v>
      </c>
      <c r="E6283" s="156" t="s">
        <v>7169</v>
      </c>
      <c r="F6283" s="156" t="s">
        <v>718</v>
      </c>
      <c r="G6283" s="156" t="s">
        <v>1731</v>
      </c>
      <c r="H6283" s="157" t="s">
        <v>212</v>
      </c>
    </row>
    <row r="6284" hidden="1">
      <c r="A6284" s="160" t="s">
        <v>234</v>
      </c>
      <c r="B6284" s="72"/>
      <c r="C6284" s="118" t="s">
        <v>232</v>
      </c>
      <c r="D6284" s="152" t="s">
        <v>7062</v>
      </c>
      <c r="E6284" s="152" t="s">
        <v>7170</v>
      </c>
      <c r="F6284" s="152" t="s">
        <v>3346</v>
      </c>
      <c r="G6284" s="152" t="s">
        <v>1889</v>
      </c>
      <c r="H6284" s="153" t="s">
        <v>213</v>
      </c>
    </row>
    <row r="6285" hidden="1">
      <c r="A6285" s="158" t="s">
        <v>234</v>
      </c>
      <c r="B6285" s="159"/>
      <c r="C6285" s="155" t="s">
        <v>232</v>
      </c>
      <c r="D6285" s="156" t="s">
        <v>7062</v>
      </c>
      <c r="E6285" s="156" t="s">
        <v>7171</v>
      </c>
      <c r="F6285" s="156" t="s">
        <v>673</v>
      </c>
      <c r="G6285" s="156" t="s">
        <v>2254</v>
      </c>
      <c r="H6285" s="157" t="s">
        <v>214</v>
      </c>
    </row>
    <row r="6286" hidden="1">
      <c r="A6286" s="160" t="s">
        <v>234</v>
      </c>
      <c r="B6286" s="72"/>
      <c r="C6286" s="118" t="s">
        <v>232</v>
      </c>
      <c r="D6286" s="152" t="s">
        <v>7062</v>
      </c>
      <c r="E6286" s="152" t="s">
        <v>7172</v>
      </c>
      <c r="F6286" s="152" t="s">
        <v>1532</v>
      </c>
      <c r="G6286" s="152" t="s">
        <v>1908</v>
      </c>
      <c r="H6286" s="153" t="s">
        <v>215</v>
      </c>
    </row>
    <row r="6287" hidden="1">
      <c r="A6287" s="158" t="s">
        <v>234</v>
      </c>
      <c r="B6287" s="159"/>
      <c r="C6287" s="155" t="s">
        <v>232</v>
      </c>
      <c r="D6287" s="156" t="s">
        <v>7062</v>
      </c>
      <c r="E6287" s="156" t="s">
        <v>7173</v>
      </c>
      <c r="F6287" s="156" t="s">
        <v>718</v>
      </c>
      <c r="G6287" s="156" t="s">
        <v>2077</v>
      </c>
      <c r="H6287" s="157" t="s">
        <v>216</v>
      </c>
    </row>
    <row r="6288" hidden="1">
      <c r="A6288" s="160" t="s">
        <v>235</v>
      </c>
      <c r="B6288" s="72"/>
      <c r="C6288" s="118" t="s">
        <v>236</v>
      </c>
      <c r="D6288" s="152" t="s">
        <v>7062</v>
      </c>
      <c r="E6288" s="152" t="s">
        <v>7174</v>
      </c>
      <c r="F6288" s="152" t="s">
        <v>336</v>
      </c>
      <c r="G6288" s="152" t="s">
        <v>2113</v>
      </c>
      <c r="H6288" s="153" t="s">
        <v>210</v>
      </c>
    </row>
    <row r="6289" hidden="1">
      <c r="A6289" s="158" t="s">
        <v>235</v>
      </c>
      <c r="B6289" s="159"/>
      <c r="C6289" s="155" t="s">
        <v>236</v>
      </c>
      <c r="D6289" s="156" t="s">
        <v>7062</v>
      </c>
      <c r="E6289" s="156" t="s">
        <v>7175</v>
      </c>
      <c r="F6289" s="156" t="s">
        <v>312</v>
      </c>
      <c r="G6289" s="156" t="s">
        <v>3408</v>
      </c>
      <c r="H6289" s="157" t="s">
        <v>211</v>
      </c>
    </row>
    <row r="6290" hidden="1">
      <c r="A6290" s="160" t="s">
        <v>235</v>
      </c>
      <c r="B6290" s="72"/>
      <c r="C6290" s="118" t="s">
        <v>236</v>
      </c>
      <c r="D6290" s="152" t="s">
        <v>7062</v>
      </c>
      <c r="E6290" s="152" t="s">
        <v>7176</v>
      </c>
      <c r="F6290" s="152" t="s">
        <v>725</v>
      </c>
      <c r="G6290" s="152" t="s">
        <v>2506</v>
      </c>
      <c r="H6290" s="153" t="s">
        <v>212</v>
      </c>
    </row>
    <row r="6291" hidden="1">
      <c r="A6291" s="158" t="s">
        <v>235</v>
      </c>
      <c r="B6291" s="159"/>
      <c r="C6291" s="155" t="s">
        <v>236</v>
      </c>
      <c r="D6291" s="156" t="s">
        <v>7062</v>
      </c>
      <c r="E6291" s="156" t="s">
        <v>7177</v>
      </c>
      <c r="F6291" s="156" t="s">
        <v>718</v>
      </c>
      <c r="G6291" s="156" t="s">
        <v>2006</v>
      </c>
      <c r="H6291" s="157" t="s">
        <v>213</v>
      </c>
    </row>
    <row r="6292" hidden="1">
      <c r="A6292" s="160" t="s">
        <v>235</v>
      </c>
      <c r="B6292" s="72"/>
      <c r="C6292" s="118" t="s">
        <v>236</v>
      </c>
      <c r="D6292" s="152" t="s">
        <v>7062</v>
      </c>
      <c r="E6292" s="152" t="s">
        <v>7178</v>
      </c>
      <c r="F6292" s="152" t="s">
        <v>725</v>
      </c>
      <c r="G6292" s="152" t="s">
        <v>3546</v>
      </c>
      <c r="H6292" s="153" t="s">
        <v>214</v>
      </c>
    </row>
    <row r="6293" hidden="1">
      <c r="A6293" s="158" t="s">
        <v>235</v>
      </c>
      <c r="B6293" s="159"/>
      <c r="C6293" s="155" t="s">
        <v>236</v>
      </c>
      <c r="D6293" s="156" t="s">
        <v>7062</v>
      </c>
      <c r="E6293" s="156" t="s">
        <v>7179</v>
      </c>
      <c r="F6293" s="156" t="s">
        <v>329</v>
      </c>
      <c r="G6293" s="156" t="s">
        <v>2307</v>
      </c>
      <c r="H6293" s="157" t="s">
        <v>215</v>
      </c>
    </row>
    <row r="6294" hidden="1">
      <c r="A6294" s="160" t="s">
        <v>235</v>
      </c>
      <c r="B6294" s="72"/>
      <c r="C6294" s="118" t="s">
        <v>236</v>
      </c>
      <c r="D6294" s="152" t="s">
        <v>7062</v>
      </c>
      <c r="E6294" s="152" t="s">
        <v>7180</v>
      </c>
      <c r="F6294" s="152" t="s">
        <v>799</v>
      </c>
      <c r="G6294" s="152" t="s">
        <v>3396</v>
      </c>
      <c r="H6294" s="153" t="s">
        <v>216</v>
      </c>
    </row>
    <row r="6295" hidden="1">
      <c r="A6295" s="158" t="s">
        <v>237</v>
      </c>
      <c r="B6295" s="159"/>
      <c r="C6295" s="155" t="s">
        <v>236</v>
      </c>
      <c r="D6295" s="156" t="s">
        <v>7062</v>
      </c>
      <c r="E6295" s="156" t="s">
        <v>7181</v>
      </c>
      <c r="F6295" s="156" t="s">
        <v>308</v>
      </c>
      <c r="G6295" s="156" t="s">
        <v>1749</v>
      </c>
      <c r="H6295" s="157" t="s">
        <v>210</v>
      </c>
    </row>
    <row r="6296" hidden="1">
      <c r="A6296" s="160" t="s">
        <v>237</v>
      </c>
      <c r="B6296" s="72"/>
      <c r="C6296" s="118" t="s">
        <v>236</v>
      </c>
      <c r="D6296" s="152" t="s">
        <v>7062</v>
      </c>
      <c r="E6296" s="152" t="s">
        <v>7182</v>
      </c>
      <c r="F6296" s="152" t="s">
        <v>494</v>
      </c>
      <c r="G6296" s="152" t="s">
        <v>1753</v>
      </c>
      <c r="H6296" s="153" t="s">
        <v>211</v>
      </c>
    </row>
    <row r="6297" hidden="1">
      <c r="A6297" s="158" t="s">
        <v>237</v>
      </c>
      <c r="B6297" s="159"/>
      <c r="C6297" s="155" t="s">
        <v>236</v>
      </c>
      <c r="D6297" s="156" t="s">
        <v>7062</v>
      </c>
      <c r="E6297" s="156" t="s">
        <v>7183</v>
      </c>
      <c r="F6297" s="156" t="s">
        <v>336</v>
      </c>
      <c r="G6297" s="156" t="s">
        <v>2203</v>
      </c>
      <c r="H6297" s="157" t="s">
        <v>212</v>
      </c>
    </row>
    <row r="6298" hidden="1">
      <c r="A6298" s="160" t="s">
        <v>237</v>
      </c>
      <c r="B6298" s="72"/>
      <c r="C6298" s="118" t="s">
        <v>236</v>
      </c>
      <c r="D6298" s="152" t="s">
        <v>7062</v>
      </c>
      <c r="E6298" s="152" t="s">
        <v>7184</v>
      </c>
      <c r="F6298" s="152" t="s">
        <v>3240</v>
      </c>
      <c r="G6298" s="152" t="s">
        <v>2901</v>
      </c>
      <c r="H6298" s="153" t="s">
        <v>213</v>
      </c>
    </row>
    <row r="6299" hidden="1">
      <c r="A6299" s="158" t="s">
        <v>237</v>
      </c>
      <c r="B6299" s="159"/>
      <c r="C6299" s="155" t="s">
        <v>236</v>
      </c>
      <c r="D6299" s="156" t="s">
        <v>7062</v>
      </c>
      <c r="E6299" s="156" t="s">
        <v>7185</v>
      </c>
      <c r="F6299" s="156" t="s">
        <v>725</v>
      </c>
      <c r="G6299" s="156" t="s">
        <v>2633</v>
      </c>
      <c r="H6299" s="157" t="s">
        <v>214</v>
      </c>
    </row>
    <row r="6300" hidden="1">
      <c r="A6300" s="160" t="s">
        <v>237</v>
      </c>
      <c r="B6300" s="72"/>
      <c r="C6300" s="118" t="s">
        <v>236</v>
      </c>
      <c r="D6300" s="152" t="s">
        <v>7062</v>
      </c>
      <c r="E6300" s="152" t="s">
        <v>7186</v>
      </c>
      <c r="F6300" s="152" t="s">
        <v>799</v>
      </c>
      <c r="G6300" s="152" t="s">
        <v>1911</v>
      </c>
      <c r="H6300" s="153" t="s">
        <v>215</v>
      </c>
    </row>
    <row r="6301" hidden="1">
      <c r="A6301" s="158" t="s">
        <v>237</v>
      </c>
      <c r="B6301" s="159"/>
      <c r="C6301" s="155" t="s">
        <v>236</v>
      </c>
      <c r="D6301" s="156" t="s">
        <v>7062</v>
      </c>
      <c r="E6301" s="156" t="s">
        <v>7187</v>
      </c>
      <c r="F6301" s="156" t="s">
        <v>325</v>
      </c>
      <c r="G6301" s="156" t="s">
        <v>2730</v>
      </c>
      <c r="H6301" s="157" t="s">
        <v>216</v>
      </c>
    </row>
    <row r="6302" hidden="1">
      <c r="A6302" s="151" t="s">
        <v>204</v>
      </c>
      <c r="B6302" s="118" t="s">
        <v>205</v>
      </c>
      <c r="C6302" s="118" t="s">
        <v>206</v>
      </c>
      <c r="D6302" s="152" t="s">
        <v>7188</v>
      </c>
      <c r="E6302" s="152" t="s">
        <v>7189</v>
      </c>
      <c r="F6302" s="152" t="s">
        <v>336</v>
      </c>
      <c r="G6302" s="152" t="s">
        <v>2111</v>
      </c>
      <c r="H6302" s="153" t="s">
        <v>210</v>
      </c>
    </row>
    <row r="6303" hidden="1">
      <c r="A6303" s="154" t="s">
        <v>204</v>
      </c>
      <c r="B6303" s="155" t="s">
        <v>205</v>
      </c>
      <c r="C6303" s="155" t="s">
        <v>206</v>
      </c>
      <c r="D6303" s="156" t="s">
        <v>7188</v>
      </c>
      <c r="E6303" s="156" t="s">
        <v>7190</v>
      </c>
      <c r="F6303" s="156" t="s">
        <v>339</v>
      </c>
      <c r="G6303" s="156" t="s">
        <v>2760</v>
      </c>
      <c r="H6303" s="157" t="s">
        <v>211</v>
      </c>
    </row>
    <row r="6304" hidden="1">
      <c r="A6304" s="151" t="s">
        <v>204</v>
      </c>
      <c r="B6304" s="118" t="s">
        <v>205</v>
      </c>
      <c r="C6304" s="118" t="s">
        <v>206</v>
      </c>
      <c r="D6304" s="152" t="s">
        <v>7188</v>
      </c>
      <c r="E6304" s="152" t="s">
        <v>7191</v>
      </c>
      <c r="F6304" s="152" t="s">
        <v>325</v>
      </c>
      <c r="G6304" s="152" t="s">
        <v>3546</v>
      </c>
      <c r="H6304" s="153" t="s">
        <v>212</v>
      </c>
    </row>
    <row r="6305" hidden="1">
      <c r="A6305" s="154" t="s">
        <v>204</v>
      </c>
      <c r="B6305" s="155" t="s">
        <v>205</v>
      </c>
      <c r="C6305" s="155" t="s">
        <v>206</v>
      </c>
      <c r="D6305" s="156" t="s">
        <v>7188</v>
      </c>
      <c r="E6305" s="156" t="s">
        <v>7192</v>
      </c>
      <c r="F6305" s="156" t="s">
        <v>351</v>
      </c>
      <c r="G6305" s="156" t="s">
        <v>4006</v>
      </c>
      <c r="H6305" s="157" t="s">
        <v>213</v>
      </c>
    </row>
    <row r="6306" hidden="1">
      <c r="A6306" s="151" t="s">
        <v>204</v>
      </c>
      <c r="B6306" s="118" t="s">
        <v>205</v>
      </c>
      <c r="C6306" s="118" t="s">
        <v>206</v>
      </c>
      <c r="D6306" s="152" t="s">
        <v>7188</v>
      </c>
      <c r="E6306" s="152" t="s">
        <v>7193</v>
      </c>
      <c r="F6306" s="152" t="s">
        <v>329</v>
      </c>
      <c r="G6306" s="152" t="s">
        <v>2989</v>
      </c>
      <c r="H6306" s="153" t="s">
        <v>214</v>
      </c>
    </row>
    <row r="6307" hidden="1">
      <c r="A6307" s="154" t="s">
        <v>204</v>
      </c>
      <c r="B6307" s="155" t="s">
        <v>205</v>
      </c>
      <c r="C6307" s="155" t="s">
        <v>206</v>
      </c>
      <c r="D6307" s="156" t="s">
        <v>7188</v>
      </c>
      <c r="E6307" s="156" t="s">
        <v>7194</v>
      </c>
      <c r="F6307" s="156" t="s">
        <v>425</v>
      </c>
      <c r="G6307" s="156" t="s">
        <v>2134</v>
      </c>
      <c r="H6307" s="157" t="s">
        <v>215</v>
      </c>
    </row>
    <row r="6308" hidden="1">
      <c r="A6308" s="151" t="s">
        <v>204</v>
      </c>
      <c r="B6308" s="118" t="s">
        <v>205</v>
      </c>
      <c r="C6308" s="118" t="s">
        <v>206</v>
      </c>
      <c r="D6308" s="152" t="s">
        <v>7188</v>
      </c>
      <c r="E6308" s="152" t="s">
        <v>7195</v>
      </c>
      <c r="F6308" s="152" t="s">
        <v>336</v>
      </c>
      <c r="G6308" s="152" t="s">
        <v>3230</v>
      </c>
      <c r="H6308" s="153" t="s">
        <v>216</v>
      </c>
    </row>
    <row r="6309" hidden="1">
      <c r="A6309" s="154" t="s">
        <v>217</v>
      </c>
      <c r="B6309" s="155" t="s">
        <v>191</v>
      </c>
      <c r="C6309" s="155" t="s">
        <v>206</v>
      </c>
      <c r="D6309" s="156" t="s">
        <v>7188</v>
      </c>
      <c r="E6309" s="156" t="s">
        <v>7196</v>
      </c>
      <c r="F6309" s="156" t="s">
        <v>483</v>
      </c>
      <c r="G6309" s="156" t="s">
        <v>3237</v>
      </c>
      <c r="H6309" s="157" t="s">
        <v>210</v>
      </c>
    </row>
    <row r="6310" hidden="1">
      <c r="A6310" s="151" t="s">
        <v>217</v>
      </c>
      <c r="B6310" s="118" t="s">
        <v>191</v>
      </c>
      <c r="C6310" s="118" t="s">
        <v>206</v>
      </c>
      <c r="D6310" s="152" t="s">
        <v>7188</v>
      </c>
      <c r="E6310" s="152" t="s">
        <v>7197</v>
      </c>
      <c r="F6310" s="152" t="s">
        <v>336</v>
      </c>
      <c r="G6310" s="152" t="s">
        <v>3718</v>
      </c>
      <c r="H6310" s="153" t="s">
        <v>211</v>
      </c>
    </row>
    <row r="6311" hidden="1">
      <c r="A6311" s="154" t="s">
        <v>217</v>
      </c>
      <c r="B6311" s="155" t="s">
        <v>191</v>
      </c>
      <c r="C6311" s="155" t="s">
        <v>206</v>
      </c>
      <c r="D6311" s="156" t="s">
        <v>7188</v>
      </c>
      <c r="E6311" s="156" t="s">
        <v>7198</v>
      </c>
      <c r="F6311" s="156" t="s">
        <v>450</v>
      </c>
      <c r="G6311" s="156" t="s">
        <v>2189</v>
      </c>
      <c r="H6311" s="157" t="s">
        <v>212</v>
      </c>
    </row>
    <row r="6312" hidden="1">
      <c r="A6312" s="151" t="s">
        <v>217</v>
      </c>
      <c r="B6312" s="118" t="s">
        <v>191</v>
      </c>
      <c r="C6312" s="118" t="s">
        <v>206</v>
      </c>
      <c r="D6312" s="152" t="s">
        <v>7188</v>
      </c>
      <c r="E6312" s="152" t="s">
        <v>7199</v>
      </c>
      <c r="F6312" s="152" t="s">
        <v>425</v>
      </c>
      <c r="G6312" s="152" t="s">
        <v>2667</v>
      </c>
      <c r="H6312" s="153" t="s">
        <v>213</v>
      </c>
    </row>
    <row r="6313" hidden="1">
      <c r="A6313" s="154" t="s">
        <v>217</v>
      </c>
      <c r="B6313" s="155" t="s">
        <v>191</v>
      </c>
      <c r="C6313" s="155" t="s">
        <v>206</v>
      </c>
      <c r="D6313" s="156" t="s">
        <v>7188</v>
      </c>
      <c r="E6313" s="156" t="s">
        <v>7200</v>
      </c>
      <c r="F6313" s="156" t="s">
        <v>336</v>
      </c>
      <c r="G6313" s="156" t="s">
        <v>3402</v>
      </c>
      <c r="H6313" s="157" t="s">
        <v>214</v>
      </c>
    </row>
    <row r="6314" hidden="1">
      <c r="A6314" s="151" t="s">
        <v>217</v>
      </c>
      <c r="B6314" s="118" t="s">
        <v>191</v>
      </c>
      <c r="C6314" s="118" t="s">
        <v>206</v>
      </c>
      <c r="D6314" s="152" t="s">
        <v>7188</v>
      </c>
      <c r="E6314" s="152" t="s">
        <v>7201</v>
      </c>
      <c r="F6314" s="152" t="s">
        <v>725</v>
      </c>
      <c r="G6314" s="152" t="s">
        <v>2393</v>
      </c>
      <c r="H6314" s="153" t="s">
        <v>215</v>
      </c>
    </row>
    <row r="6315" hidden="1">
      <c r="A6315" s="154" t="s">
        <v>217</v>
      </c>
      <c r="B6315" s="155" t="s">
        <v>191</v>
      </c>
      <c r="C6315" s="155" t="s">
        <v>206</v>
      </c>
      <c r="D6315" s="156" t="s">
        <v>7188</v>
      </c>
      <c r="E6315" s="156" t="s">
        <v>7202</v>
      </c>
      <c r="F6315" s="156" t="s">
        <v>325</v>
      </c>
      <c r="G6315" s="156" t="s">
        <v>2279</v>
      </c>
      <c r="H6315" s="157" t="s">
        <v>216</v>
      </c>
    </row>
    <row r="6316" hidden="1">
      <c r="A6316" s="151" t="s">
        <v>218</v>
      </c>
      <c r="B6316" s="118" t="s">
        <v>219</v>
      </c>
      <c r="C6316" s="118" t="s">
        <v>206</v>
      </c>
      <c r="D6316" s="152" t="s">
        <v>7188</v>
      </c>
      <c r="E6316" s="152" t="s">
        <v>7203</v>
      </c>
      <c r="F6316" s="152" t="s">
        <v>336</v>
      </c>
      <c r="G6316" s="152" t="s">
        <v>2067</v>
      </c>
      <c r="H6316" s="153" t="s">
        <v>210</v>
      </c>
    </row>
    <row r="6317" hidden="1">
      <c r="A6317" s="154" t="s">
        <v>218</v>
      </c>
      <c r="B6317" s="155" t="s">
        <v>219</v>
      </c>
      <c r="C6317" s="155" t="s">
        <v>206</v>
      </c>
      <c r="D6317" s="156" t="s">
        <v>7188</v>
      </c>
      <c r="E6317" s="156" t="s">
        <v>7204</v>
      </c>
      <c r="F6317" s="156" t="s">
        <v>339</v>
      </c>
      <c r="G6317" s="156" t="s">
        <v>2242</v>
      </c>
      <c r="H6317" s="157" t="s">
        <v>211</v>
      </c>
    </row>
    <row r="6318" hidden="1">
      <c r="A6318" s="151" t="s">
        <v>218</v>
      </c>
      <c r="B6318" s="118" t="s">
        <v>219</v>
      </c>
      <c r="C6318" s="118" t="s">
        <v>206</v>
      </c>
      <c r="D6318" s="152" t="s">
        <v>7188</v>
      </c>
      <c r="E6318" s="152" t="s">
        <v>7205</v>
      </c>
      <c r="F6318" s="152" t="s">
        <v>534</v>
      </c>
      <c r="G6318" s="152" t="s">
        <v>2230</v>
      </c>
      <c r="H6318" s="153" t="s">
        <v>212</v>
      </c>
    </row>
    <row r="6319" hidden="1">
      <c r="A6319" s="154" t="s">
        <v>218</v>
      </c>
      <c r="B6319" s="155" t="s">
        <v>219</v>
      </c>
      <c r="C6319" s="155" t="s">
        <v>206</v>
      </c>
      <c r="D6319" s="156" t="s">
        <v>7188</v>
      </c>
      <c r="E6319" s="156" t="s">
        <v>7206</v>
      </c>
      <c r="F6319" s="156" t="s">
        <v>483</v>
      </c>
      <c r="G6319" s="156" t="s">
        <v>3389</v>
      </c>
      <c r="H6319" s="157" t="s">
        <v>213</v>
      </c>
    </row>
    <row r="6320" hidden="1">
      <c r="A6320" s="151" t="s">
        <v>218</v>
      </c>
      <c r="B6320" s="118" t="s">
        <v>219</v>
      </c>
      <c r="C6320" s="118" t="s">
        <v>206</v>
      </c>
      <c r="D6320" s="152" t="s">
        <v>7188</v>
      </c>
      <c r="E6320" s="152" t="s">
        <v>7207</v>
      </c>
      <c r="F6320" s="152" t="s">
        <v>425</v>
      </c>
      <c r="G6320" s="152" t="s">
        <v>2845</v>
      </c>
      <c r="H6320" s="153" t="s">
        <v>214</v>
      </c>
    </row>
    <row r="6321" hidden="1">
      <c r="A6321" s="154" t="s">
        <v>218</v>
      </c>
      <c r="B6321" s="155" t="s">
        <v>219</v>
      </c>
      <c r="C6321" s="155" t="s">
        <v>206</v>
      </c>
      <c r="D6321" s="156" t="s">
        <v>7188</v>
      </c>
      <c r="E6321" s="156" t="s">
        <v>7208</v>
      </c>
      <c r="F6321" s="156" t="s">
        <v>425</v>
      </c>
      <c r="G6321" s="156" t="s">
        <v>2107</v>
      </c>
      <c r="H6321" s="157" t="s">
        <v>215</v>
      </c>
    </row>
    <row r="6322" hidden="1">
      <c r="A6322" s="151" t="s">
        <v>218</v>
      </c>
      <c r="B6322" s="118" t="s">
        <v>219</v>
      </c>
      <c r="C6322" s="118" t="s">
        <v>206</v>
      </c>
      <c r="D6322" s="152" t="s">
        <v>7188</v>
      </c>
      <c r="E6322" s="152" t="s">
        <v>7209</v>
      </c>
      <c r="F6322" s="152" t="s">
        <v>336</v>
      </c>
      <c r="G6322" s="152" t="s">
        <v>3287</v>
      </c>
      <c r="H6322" s="153" t="s">
        <v>216</v>
      </c>
    </row>
    <row r="6323" hidden="1">
      <c r="A6323" s="154" t="s">
        <v>220</v>
      </c>
      <c r="B6323" s="155" t="s">
        <v>190</v>
      </c>
      <c r="C6323" s="155" t="s">
        <v>206</v>
      </c>
      <c r="D6323" s="156" t="s">
        <v>7188</v>
      </c>
      <c r="E6323" s="156" t="s">
        <v>7210</v>
      </c>
      <c r="F6323" s="156" t="s">
        <v>359</v>
      </c>
      <c r="G6323" s="156" t="s">
        <v>4297</v>
      </c>
      <c r="H6323" s="157" t="s">
        <v>210</v>
      </c>
    </row>
    <row r="6324" hidden="1">
      <c r="A6324" s="151" t="s">
        <v>220</v>
      </c>
      <c r="B6324" s="118" t="s">
        <v>190</v>
      </c>
      <c r="C6324" s="118" t="s">
        <v>206</v>
      </c>
      <c r="D6324" s="152" t="s">
        <v>7188</v>
      </c>
      <c r="E6324" s="152" t="s">
        <v>7211</v>
      </c>
      <c r="F6324" s="152" t="s">
        <v>310</v>
      </c>
      <c r="G6324" s="152" t="s">
        <v>2003</v>
      </c>
      <c r="H6324" s="153" t="s">
        <v>211</v>
      </c>
    </row>
    <row r="6325" hidden="1">
      <c r="A6325" s="154" t="s">
        <v>220</v>
      </c>
      <c r="B6325" s="155" t="s">
        <v>190</v>
      </c>
      <c r="C6325" s="155" t="s">
        <v>206</v>
      </c>
      <c r="D6325" s="156" t="s">
        <v>7188</v>
      </c>
      <c r="E6325" s="156" t="s">
        <v>7212</v>
      </c>
      <c r="F6325" s="156" t="s">
        <v>450</v>
      </c>
      <c r="G6325" s="156" t="s">
        <v>4024</v>
      </c>
      <c r="H6325" s="157" t="s">
        <v>212</v>
      </c>
    </row>
    <row r="6326" hidden="1">
      <c r="A6326" s="151" t="s">
        <v>220</v>
      </c>
      <c r="B6326" s="118" t="s">
        <v>190</v>
      </c>
      <c r="C6326" s="118" t="s">
        <v>206</v>
      </c>
      <c r="D6326" s="152" t="s">
        <v>7188</v>
      </c>
      <c r="E6326" s="152" t="s">
        <v>7213</v>
      </c>
      <c r="F6326" s="152" t="s">
        <v>314</v>
      </c>
      <c r="G6326" s="152" t="s">
        <v>4905</v>
      </c>
      <c r="H6326" s="153" t="s">
        <v>213</v>
      </c>
    </row>
    <row r="6327" hidden="1">
      <c r="A6327" s="154" t="s">
        <v>220</v>
      </c>
      <c r="B6327" s="155" t="s">
        <v>190</v>
      </c>
      <c r="C6327" s="155" t="s">
        <v>206</v>
      </c>
      <c r="D6327" s="156" t="s">
        <v>7188</v>
      </c>
      <c r="E6327" s="156" t="s">
        <v>7214</v>
      </c>
      <c r="F6327" s="156" t="s">
        <v>577</v>
      </c>
      <c r="G6327" s="156" t="s">
        <v>4627</v>
      </c>
      <c r="H6327" s="157" t="s">
        <v>214</v>
      </c>
    </row>
    <row r="6328" hidden="1">
      <c r="A6328" s="151" t="s">
        <v>220</v>
      </c>
      <c r="B6328" s="118" t="s">
        <v>190</v>
      </c>
      <c r="C6328" s="118" t="s">
        <v>206</v>
      </c>
      <c r="D6328" s="152" t="s">
        <v>7188</v>
      </c>
      <c r="E6328" s="152" t="s">
        <v>7215</v>
      </c>
      <c r="F6328" s="152" t="s">
        <v>427</v>
      </c>
      <c r="G6328" s="152" t="s">
        <v>3718</v>
      </c>
      <c r="H6328" s="153" t="s">
        <v>215</v>
      </c>
    </row>
    <row r="6329" hidden="1">
      <c r="A6329" s="154" t="s">
        <v>220</v>
      </c>
      <c r="B6329" s="155" t="s">
        <v>190</v>
      </c>
      <c r="C6329" s="155" t="s">
        <v>206</v>
      </c>
      <c r="D6329" s="156" t="s">
        <v>7188</v>
      </c>
      <c r="E6329" s="156" t="s">
        <v>7216</v>
      </c>
      <c r="F6329" s="156" t="s">
        <v>331</v>
      </c>
      <c r="G6329" s="156" t="s">
        <v>4442</v>
      </c>
      <c r="H6329" s="157" t="s">
        <v>216</v>
      </c>
    </row>
    <row r="6330" hidden="1">
      <c r="A6330" s="151" t="s">
        <v>221</v>
      </c>
      <c r="B6330" s="118" t="s">
        <v>189</v>
      </c>
      <c r="C6330" s="118" t="s">
        <v>206</v>
      </c>
      <c r="D6330" s="152" t="s">
        <v>7188</v>
      </c>
      <c r="E6330" s="152" t="s">
        <v>7217</v>
      </c>
      <c r="F6330" s="152" t="s">
        <v>285</v>
      </c>
      <c r="G6330" s="152" t="s">
        <v>1875</v>
      </c>
      <c r="H6330" s="153" t="s">
        <v>210</v>
      </c>
    </row>
    <row r="6331" hidden="1">
      <c r="A6331" s="154" t="s">
        <v>221</v>
      </c>
      <c r="B6331" s="155" t="s">
        <v>189</v>
      </c>
      <c r="C6331" s="155" t="s">
        <v>206</v>
      </c>
      <c r="D6331" s="156" t="s">
        <v>7188</v>
      </c>
      <c r="E6331" s="156" t="s">
        <v>7218</v>
      </c>
      <c r="F6331" s="156" t="s">
        <v>246</v>
      </c>
      <c r="G6331" s="156" t="s">
        <v>1913</v>
      </c>
      <c r="H6331" s="157" t="s">
        <v>211</v>
      </c>
    </row>
    <row r="6332" hidden="1">
      <c r="A6332" s="151" t="s">
        <v>221</v>
      </c>
      <c r="B6332" s="118" t="s">
        <v>189</v>
      </c>
      <c r="C6332" s="118" t="s">
        <v>206</v>
      </c>
      <c r="D6332" s="152" t="s">
        <v>7188</v>
      </c>
      <c r="E6332" s="152" t="s">
        <v>7219</v>
      </c>
      <c r="F6332" s="152" t="s">
        <v>240</v>
      </c>
      <c r="G6332" s="152" t="s">
        <v>1883</v>
      </c>
      <c r="H6332" s="153" t="s">
        <v>212</v>
      </c>
    </row>
    <row r="6333" hidden="1">
      <c r="A6333" s="154" t="s">
        <v>221</v>
      </c>
      <c r="B6333" s="155" t="s">
        <v>189</v>
      </c>
      <c r="C6333" s="155" t="s">
        <v>206</v>
      </c>
      <c r="D6333" s="156" t="s">
        <v>7188</v>
      </c>
      <c r="E6333" s="156" t="s">
        <v>7220</v>
      </c>
      <c r="F6333" s="156" t="s">
        <v>265</v>
      </c>
      <c r="G6333" s="156" t="s">
        <v>1775</v>
      </c>
      <c r="H6333" s="157" t="s">
        <v>213</v>
      </c>
    </row>
    <row r="6334" hidden="1">
      <c r="A6334" s="151" t="s">
        <v>221</v>
      </c>
      <c r="B6334" s="118" t="s">
        <v>189</v>
      </c>
      <c r="C6334" s="118" t="s">
        <v>206</v>
      </c>
      <c r="D6334" s="152" t="s">
        <v>7188</v>
      </c>
      <c r="E6334" s="152" t="s">
        <v>7221</v>
      </c>
      <c r="F6334" s="152" t="s">
        <v>673</v>
      </c>
      <c r="G6334" s="152" t="s">
        <v>1722</v>
      </c>
      <c r="H6334" s="153" t="s">
        <v>214</v>
      </c>
    </row>
    <row r="6335" hidden="1">
      <c r="A6335" s="154" t="s">
        <v>221</v>
      </c>
      <c r="B6335" s="155" t="s">
        <v>189</v>
      </c>
      <c r="C6335" s="155" t="s">
        <v>206</v>
      </c>
      <c r="D6335" s="156" t="s">
        <v>7188</v>
      </c>
      <c r="E6335" s="156" t="s">
        <v>7222</v>
      </c>
      <c r="F6335" s="156" t="s">
        <v>257</v>
      </c>
      <c r="G6335" s="156" t="s">
        <v>2409</v>
      </c>
      <c r="H6335" s="157" t="s">
        <v>215</v>
      </c>
    </row>
    <row r="6336" hidden="1">
      <c r="A6336" s="151" t="s">
        <v>221</v>
      </c>
      <c r="B6336" s="118" t="s">
        <v>189</v>
      </c>
      <c r="C6336" s="118" t="s">
        <v>206</v>
      </c>
      <c r="D6336" s="152" t="s">
        <v>7188</v>
      </c>
      <c r="E6336" s="152" t="s">
        <v>7223</v>
      </c>
      <c r="F6336" s="152" t="s">
        <v>365</v>
      </c>
      <c r="G6336" s="152" t="s">
        <v>1873</v>
      </c>
      <c r="H6336" s="153" t="s">
        <v>216</v>
      </c>
    </row>
    <row r="6337" hidden="1">
      <c r="A6337" s="154" t="s">
        <v>222</v>
      </c>
      <c r="B6337" s="155" t="s">
        <v>192</v>
      </c>
      <c r="C6337" s="155" t="s">
        <v>206</v>
      </c>
      <c r="D6337" s="156" t="s">
        <v>7188</v>
      </c>
      <c r="E6337" s="156" t="s">
        <v>7224</v>
      </c>
      <c r="F6337" s="156" t="s">
        <v>423</v>
      </c>
      <c r="G6337" s="156" t="s">
        <v>2826</v>
      </c>
      <c r="H6337" s="157" t="s">
        <v>210</v>
      </c>
    </row>
    <row r="6338" hidden="1">
      <c r="A6338" s="151" t="s">
        <v>222</v>
      </c>
      <c r="B6338" s="118" t="s">
        <v>192</v>
      </c>
      <c r="C6338" s="118" t="s">
        <v>206</v>
      </c>
      <c r="D6338" s="152" t="s">
        <v>7188</v>
      </c>
      <c r="E6338" s="152" t="s">
        <v>7225</v>
      </c>
      <c r="F6338" s="152" t="s">
        <v>329</v>
      </c>
      <c r="G6338" s="152" t="s">
        <v>2224</v>
      </c>
      <c r="H6338" s="153" t="s">
        <v>211</v>
      </c>
    </row>
    <row r="6339" hidden="1">
      <c r="A6339" s="154" t="s">
        <v>222</v>
      </c>
      <c r="B6339" s="155" t="s">
        <v>192</v>
      </c>
      <c r="C6339" s="155" t="s">
        <v>206</v>
      </c>
      <c r="D6339" s="156" t="s">
        <v>7188</v>
      </c>
      <c r="E6339" s="156" t="s">
        <v>7226</v>
      </c>
      <c r="F6339" s="156" t="s">
        <v>799</v>
      </c>
      <c r="G6339" s="156" t="s">
        <v>3989</v>
      </c>
      <c r="H6339" s="157" t="s">
        <v>212</v>
      </c>
    </row>
    <row r="6340" hidden="1">
      <c r="A6340" s="151" t="s">
        <v>222</v>
      </c>
      <c r="B6340" s="118" t="s">
        <v>192</v>
      </c>
      <c r="C6340" s="118" t="s">
        <v>206</v>
      </c>
      <c r="D6340" s="152" t="s">
        <v>7188</v>
      </c>
      <c r="E6340" s="152" t="s">
        <v>7227</v>
      </c>
      <c r="F6340" s="152" t="s">
        <v>677</v>
      </c>
      <c r="G6340" s="152" t="s">
        <v>2970</v>
      </c>
      <c r="H6340" s="153" t="s">
        <v>213</v>
      </c>
    </row>
    <row r="6341" hidden="1">
      <c r="A6341" s="154" t="s">
        <v>222</v>
      </c>
      <c r="B6341" s="155" t="s">
        <v>192</v>
      </c>
      <c r="C6341" s="155" t="s">
        <v>206</v>
      </c>
      <c r="D6341" s="156" t="s">
        <v>7188</v>
      </c>
      <c r="E6341" s="156" t="s">
        <v>7228</v>
      </c>
      <c r="F6341" s="156" t="s">
        <v>494</v>
      </c>
      <c r="G6341" s="156" t="s">
        <v>3513</v>
      </c>
      <c r="H6341" s="157" t="s">
        <v>214</v>
      </c>
    </row>
    <row r="6342" hidden="1">
      <c r="A6342" s="151" t="s">
        <v>222</v>
      </c>
      <c r="B6342" s="118" t="s">
        <v>192</v>
      </c>
      <c r="C6342" s="118" t="s">
        <v>206</v>
      </c>
      <c r="D6342" s="152" t="s">
        <v>7188</v>
      </c>
      <c r="E6342" s="152" t="s">
        <v>7229</v>
      </c>
      <c r="F6342" s="152" t="s">
        <v>329</v>
      </c>
      <c r="G6342" s="152" t="s">
        <v>2506</v>
      </c>
      <c r="H6342" s="153" t="s">
        <v>215</v>
      </c>
    </row>
    <row r="6343" hidden="1">
      <c r="A6343" s="154" t="s">
        <v>222</v>
      </c>
      <c r="B6343" s="155" t="s">
        <v>192</v>
      </c>
      <c r="C6343" s="155" t="s">
        <v>206</v>
      </c>
      <c r="D6343" s="156" t="s">
        <v>7188</v>
      </c>
      <c r="E6343" s="156" t="s">
        <v>7230</v>
      </c>
      <c r="F6343" s="156" t="s">
        <v>478</v>
      </c>
      <c r="G6343" s="156" t="s">
        <v>3554</v>
      </c>
      <c r="H6343" s="157" t="s">
        <v>216</v>
      </c>
    </row>
    <row r="6344" hidden="1">
      <c r="A6344" s="151" t="s">
        <v>223</v>
      </c>
      <c r="B6344" s="118" t="s">
        <v>144</v>
      </c>
      <c r="C6344" s="118" t="s">
        <v>206</v>
      </c>
      <c r="D6344" s="152" t="s">
        <v>7188</v>
      </c>
      <c r="E6344" s="152" t="s">
        <v>7231</v>
      </c>
      <c r="F6344" s="152" t="s">
        <v>290</v>
      </c>
      <c r="G6344" s="152" t="s">
        <v>2309</v>
      </c>
      <c r="H6344" s="153" t="s">
        <v>210</v>
      </c>
    </row>
    <row r="6345" hidden="1">
      <c r="A6345" s="154" t="s">
        <v>223</v>
      </c>
      <c r="B6345" s="155" t="s">
        <v>144</v>
      </c>
      <c r="C6345" s="155" t="s">
        <v>206</v>
      </c>
      <c r="D6345" s="156" t="s">
        <v>7188</v>
      </c>
      <c r="E6345" s="156" t="s">
        <v>7232</v>
      </c>
      <c r="F6345" s="156" t="s">
        <v>336</v>
      </c>
      <c r="G6345" s="156" t="s">
        <v>2383</v>
      </c>
      <c r="H6345" s="157" t="s">
        <v>211</v>
      </c>
    </row>
    <row r="6346" hidden="1">
      <c r="A6346" s="151" t="s">
        <v>223</v>
      </c>
      <c r="B6346" s="118" t="s">
        <v>144</v>
      </c>
      <c r="C6346" s="118" t="s">
        <v>206</v>
      </c>
      <c r="D6346" s="152" t="s">
        <v>7188</v>
      </c>
      <c r="E6346" s="152" t="s">
        <v>7233</v>
      </c>
      <c r="F6346" s="152" t="s">
        <v>2994</v>
      </c>
      <c r="G6346" s="152" t="s">
        <v>3815</v>
      </c>
      <c r="H6346" s="153" t="s">
        <v>212</v>
      </c>
    </row>
    <row r="6347" hidden="1">
      <c r="A6347" s="154" t="s">
        <v>223</v>
      </c>
      <c r="B6347" s="155" t="s">
        <v>144</v>
      </c>
      <c r="C6347" s="155" t="s">
        <v>206</v>
      </c>
      <c r="D6347" s="156" t="s">
        <v>7188</v>
      </c>
      <c r="E6347" s="156" t="s">
        <v>7234</v>
      </c>
      <c r="F6347" s="156" t="s">
        <v>305</v>
      </c>
      <c r="G6347" s="156" t="s">
        <v>3443</v>
      </c>
      <c r="H6347" s="157" t="s">
        <v>213</v>
      </c>
    </row>
    <row r="6348" hidden="1">
      <c r="A6348" s="151" t="s">
        <v>223</v>
      </c>
      <c r="B6348" s="118" t="s">
        <v>144</v>
      </c>
      <c r="C6348" s="118" t="s">
        <v>206</v>
      </c>
      <c r="D6348" s="152" t="s">
        <v>7188</v>
      </c>
      <c r="E6348" s="152" t="s">
        <v>7235</v>
      </c>
      <c r="F6348" s="152" t="s">
        <v>325</v>
      </c>
      <c r="G6348" s="152" t="s">
        <v>2661</v>
      </c>
      <c r="H6348" s="153" t="s">
        <v>214</v>
      </c>
    </row>
    <row r="6349" hidden="1">
      <c r="A6349" s="154" t="s">
        <v>223</v>
      </c>
      <c r="B6349" s="155" t="s">
        <v>144</v>
      </c>
      <c r="C6349" s="155" t="s">
        <v>206</v>
      </c>
      <c r="D6349" s="156" t="s">
        <v>7188</v>
      </c>
      <c r="E6349" s="156" t="s">
        <v>7236</v>
      </c>
      <c r="F6349" s="156" t="s">
        <v>312</v>
      </c>
      <c r="G6349" s="156" t="s">
        <v>2281</v>
      </c>
      <c r="H6349" s="157" t="s">
        <v>215</v>
      </c>
    </row>
    <row r="6350" hidden="1">
      <c r="A6350" s="151" t="s">
        <v>223</v>
      </c>
      <c r="B6350" s="118" t="s">
        <v>144</v>
      </c>
      <c r="C6350" s="118" t="s">
        <v>206</v>
      </c>
      <c r="D6350" s="152" t="s">
        <v>7188</v>
      </c>
      <c r="E6350" s="152" t="s">
        <v>7237</v>
      </c>
      <c r="F6350" s="152" t="s">
        <v>427</v>
      </c>
      <c r="G6350" s="152" t="s">
        <v>2065</v>
      </c>
      <c r="H6350" s="153" t="s">
        <v>216</v>
      </c>
    </row>
    <row r="6351" hidden="1">
      <c r="A6351" s="154" t="s">
        <v>224</v>
      </c>
      <c r="B6351" s="155" t="s">
        <v>170</v>
      </c>
      <c r="C6351" s="155" t="s">
        <v>206</v>
      </c>
      <c r="D6351" s="156" t="s">
        <v>7188</v>
      </c>
      <c r="E6351" s="156" t="s">
        <v>7238</v>
      </c>
      <c r="F6351" s="156" t="s">
        <v>577</v>
      </c>
      <c r="G6351" s="156" t="s">
        <v>2387</v>
      </c>
      <c r="H6351" s="157" t="s">
        <v>210</v>
      </c>
    </row>
    <row r="6352" hidden="1">
      <c r="A6352" s="151" t="s">
        <v>224</v>
      </c>
      <c r="B6352" s="118" t="s">
        <v>170</v>
      </c>
      <c r="C6352" s="118" t="s">
        <v>206</v>
      </c>
      <c r="D6352" s="152" t="s">
        <v>7188</v>
      </c>
      <c r="E6352" s="152" t="s">
        <v>7239</v>
      </c>
      <c r="F6352" s="152" t="s">
        <v>677</v>
      </c>
      <c r="G6352" s="152" t="s">
        <v>4006</v>
      </c>
      <c r="H6352" s="153" t="s">
        <v>211</v>
      </c>
    </row>
    <row r="6353" hidden="1">
      <c r="A6353" s="154" t="s">
        <v>224</v>
      </c>
      <c r="B6353" s="155" t="s">
        <v>170</v>
      </c>
      <c r="C6353" s="155" t="s">
        <v>206</v>
      </c>
      <c r="D6353" s="156" t="s">
        <v>7188</v>
      </c>
      <c r="E6353" s="156" t="s">
        <v>7240</v>
      </c>
      <c r="F6353" s="156" t="s">
        <v>577</v>
      </c>
      <c r="G6353" s="156" t="s">
        <v>2224</v>
      </c>
      <c r="H6353" s="157" t="s">
        <v>212</v>
      </c>
    </row>
    <row r="6354" hidden="1">
      <c r="A6354" s="151" t="s">
        <v>224</v>
      </c>
      <c r="B6354" s="118" t="s">
        <v>170</v>
      </c>
      <c r="C6354" s="118" t="s">
        <v>206</v>
      </c>
      <c r="D6354" s="152" t="s">
        <v>7188</v>
      </c>
      <c r="E6354" s="152" t="s">
        <v>7241</v>
      </c>
      <c r="F6354" s="152" t="s">
        <v>329</v>
      </c>
      <c r="G6354" s="152" t="s">
        <v>1862</v>
      </c>
      <c r="H6354" s="153" t="s">
        <v>213</v>
      </c>
    </row>
    <row r="6355" hidden="1">
      <c r="A6355" s="154" t="s">
        <v>224</v>
      </c>
      <c r="B6355" s="155" t="s">
        <v>170</v>
      </c>
      <c r="C6355" s="155" t="s">
        <v>206</v>
      </c>
      <c r="D6355" s="156" t="s">
        <v>7188</v>
      </c>
      <c r="E6355" s="156" t="s">
        <v>7242</v>
      </c>
      <c r="F6355" s="156" t="s">
        <v>405</v>
      </c>
      <c r="G6355" s="156" t="s">
        <v>3412</v>
      </c>
      <c r="H6355" s="157" t="s">
        <v>214</v>
      </c>
    </row>
    <row r="6356" hidden="1">
      <c r="A6356" s="151" t="s">
        <v>224</v>
      </c>
      <c r="B6356" s="118" t="s">
        <v>170</v>
      </c>
      <c r="C6356" s="118" t="s">
        <v>206</v>
      </c>
      <c r="D6356" s="152" t="s">
        <v>7188</v>
      </c>
      <c r="E6356" s="152" t="s">
        <v>7243</v>
      </c>
      <c r="F6356" s="152" t="s">
        <v>354</v>
      </c>
      <c r="G6356" s="152" t="s">
        <v>3525</v>
      </c>
      <c r="H6356" s="153" t="s">
        <v>215</v>
      </c>
    </row>
    <row r="6357" hidden="1">
      <c r="A6357" s="154" t="s">
        <v>224</v>
      </c>
      <c r="B6357" s="155" t="s">
        <v>170</v>
      </c>
      <c r="C6357" s="155" t="s">
        <v>206</v>
      </c>
      <c r="D6357" s="156" t="s">
        <v>7188</v>
      </c>
      <c r="E6357" s="156" t="s">
        <v>7244</v>
      </c>
      <c r="F6357" s="156" t="s">
        <v>577</v>
      </c>
      <c r="G6357" s="156" t="s">
        <v>2912</v>
      </c>
      <c r="H6357" s="157" t="s">
        <v>216</v>
      </c>
    </row>
    <row r="6358" hidden="1">
      <c r="A6358" s="151" t="s">
        <v>225</v>
      </c>
      <c r="B6358" s="118" t="s">
        <v>226</v>
      </c>
      <c r="C6358" s="118" t="s">
        <v>206</v>
      </c>
      <c r="D6358" s="152" t="s">
        <v>7188</v>
      </c>
      <c r="E6358" s="152" t="s">
        <v>7245</v>
      </c>
      <c r="F6358" s="152" t="s">
        <v>255</v>
      </c>
      <c r="G6358" s="152" t="s">
        <v>1751</v>
      </c>
      <c r="H6358" s="153" t="s">
        <v>210</v>
      </c>
    </row>
    <row r="6359" hidden="1">
      <c r="A6359" s="154" t="s">
        <v>225</v>
      </c>
      <c r="B6359" s="155" t="s">
        <v>226</v>
      </c>
      <c r="C6359" s="155" t="s">
        <v>206</v>
      </c>
      <c r="D6359" s="156" t="s">
        <v>7188</v>
      </c>
      <c r="E6359" s="156" t="s">
        <v>7246</v>
      </c>
      <c r="F6359" s="156" t="s">
        <v>290</v>
      </c>
      <c r="G6359" s="156" t="s">
        <v>1894</v>
      </c>
      <c r="H6359" s="157" t="s">
        <v>211</v>
      </c>
    </row>
    <row r="6360" hidden="1">
      <c r="A6360" s="151" t="s">
        <v>225</v>
      </c>
      <c r="B6360" s="118" t="s">
        <v>226</v>
      </c>
      <c r="C6360" s="118" t="s">
        <v>206</v>
      </c>
      <c r="D6360" s="152" t="s">
        <v>7188</v>
      </c>
      <c r="E6360" s="152" t="s">
        <v>7247</v>
      </c>
      <c r="F6360" s="152" t="s">
        <v>351</v>
      </c>
      <c r="G6360" s="152" t="s">
        <v>1753</v>
      </c>
      <c r="H6360" s="153" t="s">
        <v>212</v>
      </c>
    </row>
    <row r="6361" hidden="1">
      <c r="A6361" s="154" t="s">
        <v>225</v>
      </c>
      <c r="B6361" s="155" t="s">
        <v>226</v>
      </c>
      <c r="C6361" s="155" t="s">
        <v>206</v>
      </c>
      <c r="D6361" s="156" t="s">
        <v>7188</v>
      </c>
      <c r="E6361" s="156" t="s">
        <v>7248</v>
      </c>
      <c r="F6361" s="156" t="s">
        <v>257</v>
      </c>
      <c r="G6361" s="156" t="s">
        <v>1852</v>
      </c>
      <c r="H6361" s="157" t="s">
        <v>213</v>
      </c>
    </row>
    <row r="6362" hidden="1">
      <c r="A6362" s="151" t="s">
        <v>225</v>
      </c>
      <c r="B6362" s="118" t="s">
        <v>226</v>
      </c>
      <c r="C6362" s="118" t="s">
        <v>206</v>
      </c>
      <c r="D6362" s="152" t="s">
        <v>7188</v>
      </c>
      <c r="E6362" s="152" t="s">
        <v>7249</v>
      </c>
      <c r="F6362" s="152" t="s">
        <v>269</v>
      </c>
      <c r="G6362" s="152" t="s">
        <v>2055</v>
      </c>
      <c r="H6362" s="153" t="s">
        <v>214</v>
      </c>
    </row>
    <row r="6363" hidden="1">
      <c r="A6363" s="154" t="s">
        <v>225</v>
      </c>
      <c r="B6363" s="155" t="s">
        <v>226</v>
      </c>
      <c r="C6363" s="155" t="s">
        <v>206</v>
      </c>
      <c r="D6363" s="156" t="s">
        <v>7188</v>
      </c>
      <c r="E6363" s="156" t="s">
        <v>7250</v>
      </c>
      <c r="F6363" s="156" t="s">
        <v>331</v>
      </c>
      <c r="G6363" s="156" t="s">
        <v>2364</v>
      </c>
      <c r="H6363" s="157" t="s">
        <v>215</v>
      </c>
    </row>
    <row r="6364" hidden="1">
      <c r="A6364" s="151" t="s">
        <v>225</v>
      </c>
      <c r="B6364" s="118" t="s">
        <v>226</v>
      </c>
      <c r="C6364" s="118" t="s">
        <v>206</v>
      </c>
      <c r="D6364" s="152" t="s">
        <v>7188</v>
      </c>
      <c r="E6364" s="152" t="s">
        <v>7251</v>
      </c>
      <c r="F6364" s="152" t="s">
        <v>242</v>
      </c>
      <c r="G6364" s="152" t="s">
        <v>1896</v>
      </c>
      <c r="H6364" s="153" t="s">
        <v>216</v>
      </c>
    </row>
    <row r="6365" hidden="1">
      <c r="A6365" s="154" t="s">
        <v>227</v>
      </c>
      <c r="B6365" s="155" t="s">
        <v>195</v>
      </c>
      <c r="C6365" s="155" t="s">
        <v>206</v>
      </c>
      <c r="D6365" s="156" t="s">
        <v>7188</v>
      </c>
      <c r="E6365" s="156" t="s">
        <v>7252</v>
      </c>
      <c r="F6365" s="156" t="s">
        <v>308</v>
      </c>
      <c r="G6365" s="156" t="s">
        <v>2965</v>
      </c>
      <c r="H6365" s="157" t="s">
        <v>210</v>
      </c>
    </row>
    <row r="6366" hidden="1">
      <c r="A6366" s="151" t="s">
        <v>227</v>
      </c>
      <c r="B6366" s="118" t="s">
        <v>195</v>
      </c>
      <c r="C6366" s="118" t="s">
        <v>206</v>
      </c>
      <c r="D6366" s="152" t="s">
        <v>7188</v>
      </c>
      <c r="E6366" s="152" t="s">
        <v>7253</v>
      </c>
      <c r="F6366" s="152" t="s">
        <v>246</v>
      </c>
      <c r="G6366" s="152" t="s">
        <v>3209</v>
      </c>
      <c r="H6366" s="153" t="s">
        <v>211</v>
      </c>
    </row>
    <row r="6367" hidden="1">
      <c r="A6367" s="154" t="s">
        <v>227</v>
      </c>
      <c r="B6367" s="155" t="s">
        <v>195</v>
      </c>
      <c r="C6367" s="155" t="s">
        <v>206</v>
      </c>
      <c r="D6367" s="156" t="s">
        <v>7188</v>
      </c>
      <c r="E6367" s="156" t="s">
        <v>7254</v>
      </c>
      <c r="F6367" s="156" t="s">
        <v>331</v>
      </c>
      <c r="G6367" s="156" t="s">
        <v>2665</v>
      </c>
      <c r="H6367" s="157" t="s">
        <v>212</v>
      </c>
    </row>
    <row r="6368" hidden="1">
      <c r="A6368" s="151" t="s">
        <v>227</v>
      </c>
      <c r="B6368" s="118" t="s">
        <v>195</v>
      </c>
      <c r="C6368" s="118" t="s">
        <v>206</v>
      </c>
      <c r="D6368" s="152" t="s">
        <v>7188</v>
      </c>
      <c r="E6368" s="152" t="s">
        <v>7255</v>
      </c>
      <c r="F6368" s="152" t="s">
        <v>249</v>
      </c>
      <c r="G6368" s="152" t="s">
        <v>3950</v>
      </c>
      <c r="H6368" s="153" t="s">
        <v>213</v>
      </c>
    </row>
    <row r="6369" hidden="1">
      <c r="A6369" s="154" t="s">
        <v>227</v>
      </c>
      <c r="B6369" s="155" t="s">
        <v>195</v>
      </c>
      <c r="C6369" s="155" t="s">
        <v>206</v>
      </c>
      <c r="D6369" s="156" t="s">
        <v>7188</v>
      </c>
      <c r="E6369" s="156" t="s">
        <v>7256</v>
      </c>
      <c r="F6369" s="156" t="s">
        <v>259</v>
      </c>
      <c r="G6369" s="156" t="s">
        <v>2385</v>
      </c>
      <c r="H6369" s="157" t="s">
        <v>214</v>
      </c>
    </row>
    <row r="6370" hidden="1">
      <c r="A6370" s="151" t="s">
        <v>227</v>
      </c>
      <c r="B6370" s="118" t="s">
        <v>195</v>
      </c>
      <c r="C6370" s="118" t="s">
        <v>206</v>
      </c>
      <c r="D6370" s="152" t="s">
        <v>7188</v>
      </c>
      <c r="E6370" s="152" t="s">
        <v>7257</v>
      </c>
      <c r="F6370" s="152" t="s">
        <v>799</v>
      </c>
      <c r="G6370" s="152" t="s">
        <v>2387</v>
      </c>
      <c r="H6370" s="153" t="s">
        <v>215</v>
      </c>
    </row>
    <row r="6371" hidden="1">
      <c r="A6371" s="154" t="s">
        <v>227</v>
      </c>
      <c r="B6371" s="155" t="s">
        <v>195</v>
      </c>
      <c r="C6371" s="155" t="s">
        <v>206</v>
      </c>
      <c r="D6371" s="156" t="s">
        <v>7188</v>
      </c>
      <c r="E6371" s="156" t="s">
        <v>7258</v>
      </c>
      <c r="F6371" s="156" t="s">
        <v>359</v>
      </c>
      <c r="G6371" s="156" t="s">
        <v>3475</v>
      </c>
      <c r="H6371" s="157" t="s">
        <v>216</v>
      </c>
    </row>
    <row r="6372" hidden="1">
      <c r="A6372" s="151" t="s">
        <v>228</v>
      </c>
      <c r="B6372" s="118" t="s">
        <v>138</v>
      </c>
      <c r="C6372" s="118" t="s">
        <v>206</v>
      </c>
      <c r="D6372" s="152" t="s">
        <v>7188</v>
      </c>
      <c r="E6372" s="152" t="s">
        <v>7134</v>
      </c>
      <c r="F6372" s="152" t="s">
        <v>204</v>
      </c>
      <c r="G6372" s="152" t="s">
        <v>5849</v>
      </c>
      <c r="H6372" s="153" t="s">
        <v>210</v>
      </c>
    </row>
    <row r="6373" hidden="1">
      <c r="A6373" s="154" t="s">
        <v>228</v>
      </c>
      <c r="B6373" s="155" t="s">
        <v>138</v>
      </c>
      <c r="C6373" s="155" t="s">
        <v>206</v>
      </c>
      <c r="D6373" s="156" t="s">
        <v>7188</v>
      </c>
      <c r="E6373" s="156" t="s">
        <v>7259</v>
      </c>
      <c r="F6373" s="156" t="s">
        <v>436</v>
      </c>
      <c r="G6373" s="156" t="s">
        <v>2011</v>
      </c>
      <c r="H6373" s="157" t="s">
        <v>211</v>
      </c>
    </row>
    <row r="6374" hidden="1">
      <c r="A6374" s="151" t="s">
        <v>228</v>
      </c>
      <c r="B6374" s="118" t="s">
        <v>138</v>
      </c>
      <c r="C6374" s="118" t="s">
        <v>206</v>
      </c>
      <c r="D6374" s="152" t="s">
        <v>7188</v>
      </c>
      <c r="E6374" s="152" t="s">
        <v>7260</v>
      </c>
      <c r="F6374" s="152" t="s">
        <v>244</v>
      </c>
      <c r="G6374" s="152" t="s">
        <v>1916</v>
      </c>
      <c r="H6374" s="153" t="s">
        <v>212</v>
      </c>
    </row>
    <row r="6375" hidden="1">
      <c r="A6375" s="154" t="s">
        <v>228</v>
      </c>
      <c r="B6375" s="155" t="s">
        <v>138</v>
      </c>
      <c r="C6375" s="155" t="s">
        <v>206</v>
      </c>
      <c r="D6375" s="156" t="s">
        <v>7188</v>
      </c>
      <c r="E6375" s="156" t="s">
        <v>7261</v>
      </c>
      <c r="F6375" s="156" t="s">
        <v>436</v>
      </c>
      <c r="G6375" s="156" t="s">
        <v>2060</v>
      </c>
      <c r="H6375" s="157" t="s">
        <v>213</v>
      </c>
    </row>
    <row r="6376" hidden="1">
      <c r="A6376" s="151" t="s">
        <v>228</v>
      </c>
      <c r="B6376" s="118" t="s">
        <v>138</v>
      </c>
      <c r="C6376" s="118" t="s">
        <v>206</v>
      </c>
      <c r="D6376" s="152" t="s">
        <v>7188</v>
      </c>
      <c r="E6376" s="152" t="s">
        <v>7008</v>
      </c>
      <c r="F6376" s="152" t="s">
        <v>204</v>
      </c>
      <c r="G6376" s="152" t="s">
        <v>1979</v>
      </c>
      <c r="H6376" s="153" t="s">
        <v>214</v>
      </c>
    </row>
    <row r="6377" hidden="1">
      <c r="A6377" s="154" t="s">
        <v>228</v>
      </c>
      <c r="B6377" s="155" t="s">
        <v>138</v>
      </c>
      <c r="C6377" s="155" t="s">
        <v>206</v>
      </c>
      <c r="D6377" s="156" t="s">
        <v>7188</v>
      </c>
      <c r="E6377" s="156" t="s">
        <v>7137</v>
      </c>
      <c r="F6377" s="156" t="s">
        <v>204</v>
      </c>
      <c r="G6377" s="156" t="s">
        <v>2404</v>
      </c>
      <c r="H6377" s="157" t="s">
        <v>215</v>
      </c>
    </row>
    <row r="6378" hidden="1">
      <c r="A6378" s="151" t="s">
        <v>228</v>
      </c>
      <c r="B6378" s="118" t="s">
        <v>138</v>
      </c>
      <c r="C6378" s="118" t="s">
        <v>206</v>
      </c>
      <c r="D6378" s="152" t="s">
        <v>7188</v>
      </c>
      <c r="E6378" s="152" t="s">
        <v>7262</v>
      </c>
      <c r="F6378" s="152" t="s">
        <v>436</v>
      </c>
      <c r="G6378" s="152" t="s">
        <v>1875</v>
      </c>
      <c r="H6378" s="153" t="s">
        <v>216</v>
      </c>
    </row>
    <row r="6379" hidden="1">
      <c r="A6379" s="154" t="s">
        <v>229</v>
      </c>
      <c r="B6379" s="155" t="s">
        <v>193</v>
      </c>
      <c r="C6379" s="155" t="s">
        <v>206</v>
      </c>
      <c r="D6379" s="156" t="s">
        <v>7188</v>
      </c>
      <c r="E6379" s="156" t="s">
        <v>7263</v>
      </c>
      <c r="F6379" s="156" t="s">
        <v>673</v>
      </c>
      <c r="G6379" s="156" t="s">
        <v>3380</v>
      </c>
      <c r="H6379" s="157" t="s">
        <v>210</v>
      </c>
    </row>
    <row r="6380" hidden="1">
      <c r="A6380" s="151" t="s">
        <v>229</v>
      </c>
      <c r="B6380" s="118" t="s">
        <v>193</v>
      </c>
      <c r="C6380" s="118" t="s">
        <v>206</v>
      </c>
      <c r="D6380" s="152" t="s">
        <v>7188</v>
      </c>
      <c r="E6380" s="152" t="s">
        <v>7264</v>
      </c>
      <c r="F6380" s="152" t="s">
        <v>532</v>
      </c>
      <c r="G6380" s="152" t="s">
        <v>2281</v>
      </c>
      <c r="H6380" s="153" t="s">
        <v>211</v>
      </c>
    </row>
    <row r="6381" hidden="1">
      <c r="A6381" s="154" t="s">
        <v>229</v>
      </c>
      <c r="B6381" s="155" t="s">
        <v>193</v>
      </c>
      <c r="C6381" s="155" t="s">
        <v>206</v>
      </c>
      <c r="D6381" s="156" t="s">
        <v>7188</v>
      </c>
      <c r="E6381" s="156" t="s">
        <v>7265</v>
      </c>
      <c r="F6381" s="156" t="s">
        <v>673</v>
      </c>
      <c r="G6381" s="156" t="s">
        <v>3396</v>
      </c>
      <c r="H6381" s="157" t="s">
        <v>212</v>
      </c>
    </row>
    <row r="6382" hidden="1">
      <c r="A6382" s="151" t="s">
        <v>229</v>
      </c>
      <c r="B6382" s="118" t="s">
        <v>193</v>
      </c>
      <c r="C6382" s="118" t="s">
        <v>206</v>
      </c>
      <c r="D6382" s="152" t="s">
        <v>7188</v>
      </c>
      <c r="E6382" s="152" t="s">
        <v>7266</v>
      </c>
      <c r="F6382" s="152" t="s">
        <v>425</v>
      </c>
      <c r="G6382" s="152" t="s">
        <v>3485</v>
      </c>
      <c r="H6382" s="153" t="s">
        <v>213</v>
      </c>
    </row>
    <row r="6383" hidden="1">
      <c r="A6383" s="154" t="s">
        <v>229</v>
      </c>
      <c r="B6383" s="155" t="s">
        <v>193</v>
      </c>
      <c r="C6383" s="155" t="s">
        <v>206</v>
      </c>
      <c r="D6383" s="156" t="s">
        <v>7188</v>
      </c>
      <c r="E6383" s="156" t="s">
        <v>7267</v>
      </c>
      <c r="F6383" s="156" t="s">
        <v>718</v>
      </c>
      <c r="G6383" s="156" t="s">
        <v>2910</v>
      </c>
      <c r="H6383" s="157" t="s">
        <v>214</v>
      </c>
    </row>
    <row r="6384" hidden="1">
      <c r="A6384" s="151" t="s">
        <v>229</v>
      </c>
      <c r="B6384" s="118" t="s">
        <v>193</v>
      </c>
      <c r="C6384" s="118" t="s">
        <v>206</v>
      </c>
      <c r="D6384" s="152" t="s">
        <v>7188</v>
      </c>
      <c r="E6384" s="152" t="s">
        <v>7268</v>
      </c>
      <c r="F6384" s="152" t="s">
        <v>532</v>
      </c>
      <c r="G6384" s="152" t="s">
        <v>2132</v>
      </c>
      <c r="H6384" s="153" t="s">
        <v>215</v>
      </c>
    </row>
    <row r="6385" hidden="1">
      <c r="A6385" s="154" t="s">
        <v>229</v>
      </c>
      <c r="B6385" s="155" t="s">
        <v>193</v>
      </c>
      <c r="C6385" s="155" t="s">
        <v>206</v>
      </c>
      <c r="D6385" s="156" t="s">
        <v>7188</v>
      </c>
      <c r="E6385" s="156" t="s">
        <v>7269</v>
      </c>
      <c r="F6385" s="156" t="s">
        <v>453</v>
      </c>
      <c r="G6385" s="156" t="s">
        <v>2758</v>
      </c>
      <c r="H6385" s="157" t="s">
        <v>216</v>
      </c>
    </row>
    <row r="6386" hidden="1">
      <c r="A6386" s="151" t="s">
        <v>230</v>
      </c>
      <c r="B6386" s="118" t="s">
        <v>194</v>
      </c>
      <c r="C6386" s="118" t="s">
        <v>206</v>
      </c>
      <c r="D6386" s="152" t="s">
        <v>7188</v>
      </c>
      <c r="E6386" s="152" t="s">
        <v>7270</v>
      </c>
      <c r="F6386" s="152" t="s">
        <v>351</v>
      </c>
      <c r="G6386" s="152" t="s">
        <v>2703</v>
      </c>
      <c r="H6386" s="153" t="s">
        <v>210</v>
      </c>
    </row>
    <row r="6387" hidden="1">
      <c r="A6387" s="154" t="s">
        <v>230</v>
      </c>
      <c r="B6387" s="155" t="s">
        <v>194</v>
      </c>
      <c r="C6387" s="155" t="s">
        <v>206</v>
      </c>
      <c r="D6387" s="156" t="s">
        <v>7188</v>
      </c>
      <c r="E6387" s="156" t="s">
        <v>7271</v>
      </c>
      <c r="F6387" s="156" t="s">
        <v>351</v>
      </c>
      <c r="G6387" s="156" t="s">
        <v>2331</v>
      </c>
      <c r="H6387" s="157" t="s">
        <v>211</v>
      </c>
    </row>
    <row r="6388" hidden="1">
      <c r="A6388" s="151" t="s">
        <v>230</v>
      </c>
      <c r="B6388" s="118" t="s">
        <v>194</v>
      </c>
      <c r="C6388" s="118" t="s">
        <v>206</v>
      </c>
      <c r="D6388" s="152" t="s">
        <v>7188</v>
      </c>
      <c r="E6388" s="152" t="s">
        <v>7272</v>
      </c>
      <c r="F6388" s="152" t="s">
        <v>331</v>
      </c>
      <c r="G6388" s="152" t="s">
        <v>1974</v>
      </c>
      <c r="H6388" s="153" t="s">
        <v>212</v>
      </c>
    </row>
    <row r="6389" hidden="1">
      <c r="A6389" s="154" t="s">
        <v>230</v>
      </c>
      <c r="B6389" s="155" t="s">
        <v>194</v>
      </c>
      <c r="C6389" s="155" t="s">
        <v>206</v>
      </c>
      <c r="D6389" s="156" t="s">
        <v>7188</v>
      </c>
      <c r="E6389" s="156" t="s">
        <v>7273</v>
      </c>
      <c r="F6389" s="156" t="s">
        <v>321</v>
      </c>
      <c r="G6389" s="156" t="s">
        <v>1722</v>
      </c>
      <c r="H6389" s="157" t="s">
        <v>213</v>
      </c>
    </row>
    <row r="6390" hidden="1">
      <c r="A6390" s="151" t="s">
        <v>230</v>
      </c>
      <c r="B6390" s="118" t="s">
        <v>194</v>
      </c>
      <c r="C6390" s="118" t="s">
        <v>206</v>
      </c>
      <c r="D6390" s="152" t="s">
        <v>7188</v>
      </c>
      <c r="E6390" s="152" t="s">
        <v>7274</v>
      </c>
      <c r="F6390" s="152" t="s">
        <v>483</v>
      </c>
      <c r="G6390" s="152" t="s">
        <v>2637</v>
      </c>
      <c r="H6390" s="153" t="s">
        <v>214</v>
      </c>
    </row>
    <row r="6391" hidden="1">
      <c r="A6391" s="154" t="s">
        <v>230</v>
      </c>
      <c r="B6391" s="155" t="s">
        <v>194</v>
      </c>
      <c r="C6391" s="155" t="s">
        <v>206</v>
      </c>
      <c r="D6391" s="156" t="s">
        <v>7188</v>
      </c>
      <c r="E6391" s="156" t="s">
        <v>7275</v>
      </c>
      <c r="F6391" s="156" t="s">
        <v>249</v>
      </c>
      <c r="G6391" s="156" t="s">
        <v>1875</v>
      </c>
      <c r="H6391" s="157" t="s">
        <v>215</v>
      </c>
    </row>
    <row r="6392" hidden="1">
      <c r="A6392" s="151" t="s">
        <v>230</v>
      </c>
      <c r="B6392" s="118" t="s">
        <v>194</v>
      </c>
      <c r="C6392" s="118" t="s">
        <v>206</v>
      </c>
      <c r="D6392" s="152" t="s">
        <v>7188</v>
      </c>
      <c r="E6392" s="152" t="s">
        <v>7276</v>
      </c>
      <c r="F6392" s="152" t="s">
        <v>305</v>
      </c>
      <c r="G6392" s="152" t="s">
        <v>2530</v>
      </c>
      <c r="H6392" s="153" t="s">
        <v>216</v>
      </c>
    </row>
    <row r="6393" hidden="1">
      <c r="A6393" s="158" t="s">
        <v>231</v>
      </c>
      <c r="B6393" s="159"/>
      <c r="C6393" s="155" t="s">
        <v>232</v>
      </c>
      <c r="D6393" s="156" t="s">
        <v>7188</v>
      </c>
      <c r="E6393" s="156" t="s">
        <v>7277</v>
      </c>
      <c r="F6393" s="156" t="s">
        <v>427</v>
      </c>
      <c r="G6393" s="156" t="s">
        <v>4167</v>
      </c>
      <c r="H6393" s="157" t="s">
        <v>210</v>
      </c>
    </row>
    <row r="6394" hidden="1">
      <c r="A6394" s="160" t="s">
        <v>231</v>
      </c>
      <c r="B6394" s="72"/>
      <c r="C6394" s="118" t="s">
        <v>232</v>
      </c>
      <c r="D6394" s="152" t="s">
        <v>7188</v>
      </c>
      <c r="E6394" s="152" t="s">
        <v>7278</v>
      </c>
      <c r="F6394" s="152" t="s">
        <v>249</v>
      </c>
      <c r="G6394" s="152" t="s">
        <v>3937</v>
      </c>
      <c r="H6394" s="153" t="s">
        <v>211</v>
      </c>
    </row>
    <row r="6395" hidden="1">
      <c r="A6395" s="158" t="s">
        <v>231</v>
      </c>
      <c r="B6395" s="159"/>
      <c r="C6395" s="155" t="s">
        <v>232</v>
      </c>
      <c r="D6395" s="156" t="s">
        <v>7188</v>
      </c>
      <c r="E6395" s="156" t="s">
        <v>7279</v>
      </c>
      <c r="F6395" s="156" t="s">
        <v>305</v>
      </c>
      <c r="G6395" s="156" t="s">
        <v>3925</v>
      </c>
      <c r="H6395" s="157" t="s">
        <v>212</v>
      </c>
    </row>
    <row r="6396" hidden="1">
      <c r="A6396" s="160" t="s">
        <v>231</v>
      </c>
      <c r="B6396" s="72"/>
      <c r="C6396" s="118" t="s">
        <v>232</v>
      </c>
      <c r="D6396" s="152" t="s">
        <v>7188</v>
      </c>
      <c r="E6396" s="152" t="s">
        <v>7280</v>
      </c>
      <c r="F6396" s="152" t="s">
        <v>244</v>
      </c>
      <c r="G6396" s="152" t="s">
        <v>3633</v>
      </c>
      <c r="H6396" s="153" t="s">
        <v>213</v>
      </c>
    </row>
    <row r="6397" hidden="1">
      <c r="A6397" s="158" t="s">
        <v>231</v>
      </c>
      <c r="B6397" s="159"/>
      <c r="C6397" s="155" t="s">
        <v>232</v>
      </c>
      <c r="D6397" s="156" t="s">
        <v>7188</v>
      </c>
      <c r="E6397" s="156" t="s">
        <v>7281</v>
      </c>
      <c r="F6397" s="156" t="s">
        <v>305</v>
      </c>
      <c r="G6397" s="156" t="s">
        <v>7282</v>
      </c>
      <c r="H6397" s="157" t="s">
        <v>214</v>
      </c>
    </row>
    <row r="6398" hidden="1">
      <c r="A6398" s="160" t="s">
        <v>231</v>
      </c>
      <c r="B6398" s="72"/>
      <c r="C6398" s="118" t="s">
        <v>232</v>
      </c>
      <c r="D6398" s="152" t="s">
        <v>7188</v>
      </c>
      <c r="E6398" s="152" t="s">
        <v>7283</v>
      </c>
      <c r="F6398" s="152" t="s">
        <v>3218</v>
      </c>
      <c r="G6398" s="152" t="s">
        <v>5821</v>
      </c>
      <c r="H6398" s="153" t="s">
        <v>215</v>
      </c>
    </row>
    <row r="6399" hidden="1">
      <c r="A6399" s="158" t="s">
        <v>231</v>
      </c>
      <c r="B6399" s="159"/>
      <c r="C6399" s="155" t="s">
        <v>232</v>
      </c>
      <c r="D6399" s="156" t="s">
        <v>7188</v>
      </c>
      <c r="E6399" s="156" t="s">
        <v>7284</v>
      </c>
      <c r="F6399" s="156" t="s">
        <v>310</v>
      </c>
      <c r="G6399" s="156" t="s">
        <v>4223</v>
      </c>
      <c r="H6399" s="157" t="s">
        <v>216</v>
      </c>
    </row>
    <row r="6400" hidden="1">
      <c r="A6400" s="160" t="s">
        <v>233</v>
      </c>
      <c r="B6400" s="72"/>
      <c r="C6400" s="118" t="s">
        <v>232</v>
      </c>
      <c r="D6400" s="152" t="s">
        <v>7188</v>
      </c>
      <c r="E6400" s="152" t="s">
        <v>7285</v>
      </c>
      <c r="F6400" s="152" t="s">
        <v>354</v>
      </c>
      <c r="G6400" s="152" t="s">
        <v>3485</v>
      </c>
      <c r="H6400" s="153" t="s">
        <v>210</v>
      </c>
    </row>
    <row r="6401" hidden="1">
      <c r="A6401" s="158" t="s">
        <v>233</v>
      </c>
      <c r="B6401" s="159"/>
      <c r="C6401" s="155" t="s">
        <v>232</v>
      </c>
      <c r="D6401" s="156" t="s">
        <v>7188</v>
      </c>
      <c r="E6401" s="156" t="s">
        <v>7286</v>
      </c>
      <c r="F6401" s="156" t="s">
        <v>325</v>
      </c>
      <c r="G6401" s="156" t="s">
        <v>3620</v>
      </c>
      <c r="H6401" s="157" t="s">
        <v>211</v>
      </c>
    </row>
    <row r="6402" hidden="1">
      <c r="A6402" s="160" t="s">
        <v>233</v>
      </c>
      <c r="B6402" s="72"/>
      <c r="C6402" s="118" t="s">
        <v>232</v>
      </c>
      <c r="D6402" s="152" t="s">
        <v>7188</v>
      </c>
      <c r="E6402" s="152" t="s">
        <v>7287</v>
      </c>
      <c r="F6402" s="152" t="s">
        <v>329</v>
      </c>
      <c r="G6402" s="152" t="s">
        <v>2506</v>
      </c>
      <c r="H6402" s="153" t="s">
        <v>212</v>
      </c>
    </row>
    <row r="6403" hidden="1">
      <c r="A6403" s="158" t="s">
        <v>233</v>
      </c>
      <c r="B6403" s="159"/>
      <c r="C6403" s="155" t="s">
        <v>232</v>
      </c>
      <c r="D6403" s="156" t="s">
        <v>7188</v>
      </c>
      <c r="E6403" s="156" t="s">
        <v>7288</v>
      </c>
      <c r="F6403" s="156" t="s">
        <v>483</v>
      </c>
      <c r="G6403" s="156" t="s">
        <v>2824</v>
      </c>
      <c r="H6403" s="157" t="s">
        <v>213</v>
      </c>
    </row>
    <row r="6404" hidden="1">
      <c r="A6404" s="160" t="s">
        <v>233</v>
      </c>
      <c r="B6404" s="72"/>
      <c r="C6404" s="118" t="s">
        <v>232</v>
      </c>
      <c r="D6404" s="152" t="s">
        <v>7188</v>
      </c>
      <c r="E6404" s="152" t="s">
        <v>7289</v>
      </c>
      <c r="F6404" s="152" t="s">
        <v>483</v>
      </c>
      <c r="G6404" s="152" t="s">
        <v>2279</v>
      </c>
      <c r="H6404" s="153" t="s">
        <v>214</v>
      </c>
    </row>
    <row r="6405" hidden="1">
      <c r="A6405" s="158" t="s">
        <v>233</v>
      </c>
      <c r="B6405" s="159"/>
      <c r="C6405" s="155" t="s">
        <v>232</v>
      </c>
      <c r="D6405" s="156" t="s">
        <v>7188</v>
      </c>
      <c r="E6405" s="156" t="s">
        <v>7290</v>
      </c>
      <c r="F6405" s="156" t="s">
        <v>483</v>
      </c>
      <c r="G6405" s="156" t="s">
        <v>1949</v>
      </c>
      <c r="H6405" s="157" t="s">
        <v>215</v>
      </c>
    </row>
    <row r="6406" hidden="1">
      <c r="A6406" s="160" t="s">
        <v>233</v>
      </c>
      <c r="B6406" s="72"/>
      <c r="C6406" s="118" t="s">
        <v>232</v>
      </c>
      <c r="D6406" s="152" t="s">
        <v>7188</v>
      </c>
      <c r="E6406" s="152" t="s">
        <v>7291</v>
      </c>
      <c r="F6406" s="152" t="s">
        <v>329</v>
      </c>
      <c r="G6406" s="152" t="s">
        <v>2283</v>
      </c>
      <c r="H6406" s="153" t="s">
        <v>216</v>
      </c>
    </row>
    <row r="6407" hidden="1">
      <c r="A6407" s="158" t="s">
        <v>234</v>
      </c>
      <c r="B6407" s="159"/>
      <c r="C6407" s="155" t="s">
        <v>232</v>
      </c>
      <c r="D6407" s="156" t="s">
        <v>7188</v>
      </c>
      <c r="E6407" s="156" t="s">
        <v>7292</v>
      </c>
      <c r="F6407" s="156" t="s">
        <v>257</v>
      </c>
      <c r="G6407" s="156" t="s">
        <v>2735</v>
      </c>
      <c r="H6407" s="157" t="s">
        <v>210</v>
      </c>
    </row>
    <row r="6408" hidden="1">
      <c r="A6408" s="160" t="s">
        <v>234</v>
      </c>
      <c r="B6408" s="72"/>
      <c r="C6408" s="118" t="s">
        <v>232</v>
      </c>
      <c r="D6408" s="152" t="s">
        <v>7188</v>
      </c>
      <c r="E6408" s="152" t="s">
        <v>7293</v>
      </c>
      <c r="F6408" s="152" t="s">
        <v>321</v>
      </c>
      <c r="G6408" s="152" t="s">
        <v>2321</v>
      </c>
      <c r="H6408" s="153" t="s">
        <v>211</v>
      </c>
    </row>
    <row r="6409" hidden="1">
      <c r="A6409" s="158" t="s">
        <v>234</v>
      </c>
      <c r="B6409" s="159"/>
      <c r="C6409" s="155" t="s">
        <v>232</v>
      </c>
      <c r="D6409" s="156" t="s">
        <v>7188</v>
      </c>
      <c r="E6409" s="156" t="s">
        <v>7294</v>
      </c>
      <c r="F6409" s="156" t="s">
        <v>290</v>
      </c>
      <c r="G6409" s="156" t="s">
        <v>1729</v>
      </c>
      <c r="H6409" s="157" t="s">
        <v>212</v>
      </c>
    </row>
    <row r="6410" hidden="1">
      <c r="A6410" s="160" t="s">
        <v>234</v>
      </c>
      <c r="B6410" s="72"/>
      <c r="C6410" s="118" t="s">
        <v>232</v>
      </c>
      <c r="D6410" s="152" t="s">
        <v>7188</v>
      </c>
      <c r="E6410" s="152" t="s">
        <v>7295</v>
      </c>
      <c r="F6410" s="152" t="s">
        <v>357</v>
      </c>
      <c r="G6410" s="152" t="s">
        <v>1846</v>
      </c>
      <c r="H6410" s="153" t="s">
        <v>213</v>
      </c>
    </row>
    <row r="6411" hidden="1">
      <c r="A6411" s="158" t="s">
        <v>234</v>
      </c>
      <c r="B6411" s="159"/>
      <c r="C6411" s="155" t="s">
        <v>232</v>
      </c>
      <c r="D6411" s="156" t="s">
        <v>7188</v>
      </c>
      <c r="E6411" s="156" t="s">
        <v>7296</v>
      </c>
      <c r="F6411" s="156" t="s">
        <v>312</v>
      </c>
      <c r="G6411" s="156" t="s">
        <v>1808</v>
      </c>
      <c r="H6411" s="157" t="s">
        <v>214</v>
      </c>
    </row>
    <row r="6412" hidden="1">
      <c r="A6412" s="160" t="s">
        <v>234</v>
      </c>
      <c r="B6412" s="72"/>
      <c r="C6412" s="118" t="s">
        <v>232</v>
      </c>
      <c r="D6412" s="152" t="s">
        <v>7188</v>
      </c>
      <c r="E6412" s="152" t="s">
        <v>7297</v>
      </c>
      <c r="F6412" s="152" t="s">
        <v>359</v>
      </c>
      <c r="G6412" s="152" t="s">
        <v>1896</v>
      </c>
      <c r="H6412" s="153" t="s">
        <v>215</v>
      </c>
    </row>
    <row r="6413" hidden="1">
      <c r="A6413" s="158" t="s">
        <v>234</v>
      </c>
      <c r="B6413" s="159"/>
      <c r="C6413" s="155" t="s">
        <v>232</v>
      </c>
      <c r="D6413" s="156" t="s">
        <v>7188</v>
      </c>
      <c r="E6413" s="156" t="s">
        <v>7298</v>
      </c>
      <c r="F6413" s="156" t="s">
        <v>285</v>
      </c>
      <c r="G6413" s="156" t="s">
        <v>1913</v>
      </c>
      <c r="H6413" s="157" t="s">
        <v>216</v>
      </c>
    </row>
    <row r="6414" hidden="1">
      <c r="A6414" s="160" t="s">
        <v>235</v>
      </c>
      <c r="B6414" s="72"/>
      <c r="C6414" s="118" t="s">
        <v>236</v>
      </c>
      <c r="D6414" s="152" t="s">
        <v>7188</v>
      </c>
      <c r="E6414" s="152" t="s">
        <v>7299</v>
      </c>
      <c r="F6414" s="152" t="s">
        <v>329</v>
      </c>
      <c r="G6414" s="152" t="s">
        <v>3400</v>
      </c>
      <c r="H6414" s="153" t="s">
        <v>210</v>
      </c>
    </row>
    <row r="6415" hidden="1">
      <c r="A6415" s="158" t="s">
        <v>235</v>
      </c>
      <c r="B6415" s="159"/>
      <c r="C6415" s="155" t="s">
        <v>236</v>
      </c>
      <c r="D6415" s="156" t="s">
        <v>7188</v>
      </c>
      <c r="E6415" s="156" t="s">
        <v>7300</v>
      </c>
      <c r="F6415" s="156" t="s">
        <v>425</v>
      </c>
      <c r="G6415" s="156" t="s">
        <v>3574</v>
      </c>
      <c r="H6415" s="157" t="s">
        <v>211</v>
      </c>
    </row>
    <row r="6416" hidden="1">
      <c r="A6416" s="160" t="s">
        <v>235</v>
      </c>
      <c r="B6416" s="72"/>
      <c r="C6416" s="118" t="s">
        <v>236</v>
      </c>
      <c r="D6416" s="152" t="s">
        <v>7188</v>
      </c>
      <c r="E6416" s="152" t="s">
        <v>7301</v>
      </c>
      <c r="F6416" s="152" t="s">
        <v>425</v>
      </c>
      <c r="G6416" s="152" t="s">
        <v>3893</v>
      </c>
      <c r="H6416" s="153" t="s">
        <v>212</v>
      </c>
    </row>
    <row r="6417" hidden="1">
      <c r="A6417" s="158" t="s">
        <v>235</v>
      </c>
      <c r="B6417" s="159"/>
      <c r="C6417" s="155" t="s">
        <v>236</v>
      </c>
      <c r="D6417" s="156" t="s">
        <v>7188</v>
      </c>
      <c r="E6417" s="156" t="s">
        <v>7302</v>
      </c>
      <c r="F6417" s="156" t="s">
        <v>325</v>
      </c>
      <c r="G6417" s="156" t="s">
        <v>3200</v>
      </c>
      <c r="H6417" s="157" t="s">
        <v>213</v>
      </c>
    </row>
    <row r="6418" hidden="1">
      <c r="A6418" s="160" t="s">
        <v>235</v>
      </c>
      <c r="B6418" s="72"/>
      <c r="C6418" s="118" t="s">
        <v>236</v>
      </c>
      <c r="D6418" s="152" t="s">
        <v>7188</v>
      </c>
      <c r="E6418" s="152" t="s">
        <v>7303</v>
      </c>
      <c r="F6418" s="152" t="s">
        <v>799</v>
      </c>
      <c r="G6418" s="152" t="s">
        <v>2826</v>
      </c>
      <c r="H6418" s="153" t="s">
        <v>214</v>
      </c>
    </row>
    <row r="6419" hidden="1">
      <c r="A6419" s="158" t="s">
        <v>235</v>
      </c>
      <c r="B6419" s="159"/>
      <c r="C6419" s="155" t="s">
        <v>236</v>
      </c>
      <c r="D6419" s="156" t="s">
        <v>7188</v>
      </c>
      <c r="E6419" s="156" t="s">
        <v>7304</v>
      </c>
      <c r="F6419" s="156" t="s">
        <v>354</v>
      </c>
      <c r="G6419" s="156" t="s">
        <v>3059</v>
      </c>
      <c r="H6419" s="157" t="s">
        <v>215</v>
      </c>
    </row>
    <row r="6420" hidden="1">
      <c r="A6420" s="160" t="s">
        <v>235</v>
      </c>
      <c r="B6420" s="72"/>
      <c r="C6420" s="118" t="s">
        <v>236</v>
      </c>
      <c r="D6420" s="152" t="s">
        <v>7188</v>
      </c>
      <c r="E6420" s="152" t="s">
        <v>7305</v>
      </c>
      <c r="F6420" s="152" t="s">
        <v>483</v>
      </c>
      <c r="G6420" s="152" t="s">
        <v>3478</v>
      </c>
      <c r="H6420" s="153" t="s">
        <v>216</v>
      </c>
    </row>
    <row r="6421" hidden="1">
      <c r="A6421" s="158" t="s">
        <v>237</v>
      </c>
      <c r="B6421" s="159"/>
      <c r="C6421" s="155" t="s">
        <v>236</v>
      </c>
      <c r="D6421" s="156" t="s">
        <v>7188</v>
      </c>
      <c r="E6421" s="156" t="s">
        <v>7306</v>
      </c>
      <c r="F6421" s="156" t="s">
        <v>308</v>
      </c>
      <c r="G6421" s="156" t="s">
        <v>1814</v>
      </c>
      <c r="H6421" s="157" t="s">
        <v>210</v>
      </c>
    </row>
    <row r="6422" hidden="1">
      <c r="A6422" s="160" t="s">
        <v>237</v>
      </c>
      <c r="B6422" s="72"/>
      <c r="C6422" s="118" t="s">
        <v>236</v>
      </c>
      <c r="D6422" s="152" t="s">
        <v>7188</v>
      </c>
      <c r="E6422" s="152" t="s">
        <v>7307</v>
      </c>
      <c r="F6422" s="152" t="s">
        <v>285</v>
      </c>
      <c r="G6422" s="152" t="s">
        <v>2901</v>
      </c>
      <c r="H6422" s="153" t="s">
        <v>211</v>
      </c>
    </row>
    <row r="6423" hidden="1">
      <c r="A6423" s="158" t="s">
        <v>237</v>
      </c>
      <c r="B6423" s="159"/>
      <c r="C6423" s="155" t="s">
        <v>236</v>
      </c>
      <c r="D6423" s="156" t="s">
        <v>7188</v>
      </c>
      <c r="E6423" s="156" t="s">
        <v>7308</v>
      </c>
      <c r="F6423" s="156" t="s">
        <v>351</v>
      </c>
      <c r="G6423" s="156" t="s">
        <v>2379</v>
      </c>
      <c r="H6423" s="157" t="s">
        <v>212</v>
      </c>
    </row>
    <row r="6424" hidden="1">
      <c r="A6424" s="160" t="s">
        <v>237</v>
      </c>
      <c r="B6424" s="72"/>
      <c r="C6424" s="118" t="s">
        <v>236</v>
      </c>
      <c r="D6424" s="152" t="s">
        <v>7188</v>
      </c>
      <c r="E6424" s="152" t="s">
        <v>7309</v>
      </c>
      <c r="F6424" s="152" t="s">
        <v>246</v>
      </c>
      <c r="G6424" s="152" t="s">
        <v>2705</v>
      </c>
      <c r="H6424" s="153" t="s">
        <v>213</v>
      </c>
    </row>
    <row r="6425" hidden="1">
      <c r="A6425" s="158" t="s">
        <v>237</v>
      </c>
      <c r="B6425" s="159"/>
      <c r="C6425" s="155" t="s">
        <v>236</v>
      </c>
      <c r="D6425" s="156" t="s">
        <v>7188</v>
      </c>
      <c r="E6425" s="156" t="s">
        <v>7310</v>
      </c>
      <c r="F6425" s="156" t="s">
        <v>450</v>
      </c>
      <c r="G6425" s="156" t="s">
        <v>2785</v>
      </c>
      <c r="H6425" s="157" t="s">
        <v>214</v>
      </c>
    </row>
    <row r="6426" hidden="1">
      <c r="A6426" s="160" t="s">
        <v>237</v>
      </c>
      <c r="B6426" s="72"/>
      <c r="C6426" s="118" t="s">
        <v>236</v>
      </c>
      <c r="D6426" s="152" t="s">
        <v>7188</v>
      </c>
      <c r="E6426" s="152" t="s">
        <v>7311</v>
      </c>
      <c r="F6426" s="152" t="s">
        <v>249</v>
      </c>
      <c r="G6426" s="152" t="s">
        <v>1879</v>
      </c>
      <c r="H6426" s="153" t="s">
        <v>215</v>
      </c>
    </row>
    <row r="6427" hidden="1">
      <c r="A6427" s="158" t="s">
        <v>237</v>
      </c>
      <c r="B6427" s="159"/>
      <c r="C6427" s="155" t="s">
        <v>236</v>
      </c>
      <c r="D6427" s="156" t="s">
        <v>7188</v>
      </c>
      <c r="E6427" s="156" t="s">
        <v>7312</v>
      </c>
      <c r="F6427" s="156" t="s">
        <v>321</v>
      </c>
      <c r="G6427" s="156" t="s">
        <v>2364</v>
      </c>
      <c r="H6427" s="157" t="s">
        <v>216</v>
      </c>
    </row>
    <row r="6428" hidden="1">
      <c r="A6428" s="151" t="s">
        <v>204</v>
      </c>
      <c r="B6428" s="118" t="s">
        <v>205</v>
      </c>
      <c r="C6428" s="118" t="s">
        <v>206</v>
      </c>
      <c r="D6428" s="152" t="s">
        <v>7313</v>
      </c>
      <c r="E6428" s="152" t="s">
        <v>7314</v>
      </c>
      <c r="F6428" s="152" t="s">
        <v>532</v>
      </c>
      <c r="G6428" s="152" t="s">
        <v>2605</v>
      </c>
      <c r="H6428" s="153" t="s">
        <v>210</v>
      </c>
    </row>
    <row r="6429" hidden="1">
      <c r="A6429" s="154" t="s">
        <v>204</v>
      </c>
      <c r="B6429" s="155" t="s">
        <v>205</v>
      </c>
      <c r="C6429" s="155" t="s">
        <v>206</v>
      </c>
      <c r="D6429" s="156" t="s">
        <v>7313</v>
      </c>
      <c r="E6429" s="156" t="s">
        <v>7315</v>
      </c>
      <c r="F6429" s="156" t="s">
        <v>577</v>
      </c>
      <c r="G6429" s="156" t="s">
        <v>3136</v>
      </c>
      <c r="H6429" s="157" t="s">
        <v>211</v>
      </c>
    </row>
    <row r="6430" hidden="1">
      <c r="A6430" s="151" t="s">
        <v>204</v>
      </c>
      <c r="B6430" s="118" t="s">
        <v>205</v>
      </c>
      <c r="C6430" s="118" t="s">
        <v>206</v>
      </c>
      <c r="D6430" s="152" t="s">
        <v>7313</v>
      </c>
      <c r="E6430" s="152" t="s">
        <v>7316</v>
      </c>
      <c r="F6430" s="152" t="s">
        <v>351</v>
      </c>
      <c r="G6430" s="152" t="s">
        <v>3402</v>
      </c>
      <c r="H6430" s="153" t="s">
        <v>212</v>
      </c>
    </row>
    <row r="6431" hidden="1">
      <c r="A6431" s="154" t="s">
        <v>204</v>
      </c>
      <c r="B6431" s="155" t="s">
        <v>205</v>
      </c>
      <c r="C6431" s="155" t="s">
        <v>206</v>
      </c>
      <c r="D6431" s="156" t="s">
        <v>7313</v>
      </c>
      <c r="E6431" s="156" t="s">
        <v>7317</v>
      </c>
      <c r="F6431" s="156" t="s">
        <v>799</v>
      </c>
      <c r="G6431" s="156" t="s">
        <v>3136</v>
      </c>
      <c r="H6431" s="157" t="s">
        <v>213</v>
      </c>
    </row>
    <row r="6432" hidden="1">
      <c r="A6432" s="151" t="s">
        <v>204</v>
      </c>
      <c r="B6432" s="118" t="s">
        <v>205</v>
      </c>
      <c r="C6432" s="118" t="s">
        <v>206</v>
      </c>
      <c r="D6432" s="152" t="s">
        <v>7313</v>
      </c>
      <c r="E6432" s="152" t="s">
        <v>7318</v>
      </c>
      <c r="F6432" s="152" t="s">
        <v>354</v>
      </c>
      <c r="G6432" s="152" t="s">
        <v>2224</v>
      </c>
      <c r="H6432" s="153" t="s">
        <v>214</v>
      </c>
    </row>
    <row r="6433" hidden="1">
      <c r="A6433" s="154" t="s">
        <v>204</v>
      </c>
      <c r="B6433" s="155" t="s">
        <v>205</v>
      </c>
      <c r="C6433" s="155" t="s">
        <v>206</v>
      </c>
      <c r="D6433" s="156" t="s">
        <v>7313</v>
      </c>
      <c r="E6433" s="156" t="s">
        <v>7319</v>
      </c>
      <c r="F6433" s="156" t="s">
        <v>329</v>
      </c>
      <c r="G6433" s="156" t="s">
        <v>2230</v>
      </c>
      <c r="H6433" s="157" t="s">
        <v>215</v>
      </c>
    </row>
    <row r="6434" hidden="1">
      <c r="A6434" s="151" t="s">
        <v>204</v>
      </c>
      <c r="B6434" s="118" t="s">
        <v>205</v>
      </c>
      <c r="C6434" s="118" t="s">
        <v>206</v>
      </c>
      <c r="D6434" s="152" t="s">
        <v>7313</v>
      </c>
      <c r="E6434" s="152" t="s">
        <v>7320</v>
      </c>
      <c r="F6434" s="152" t="s">
        <v>577</v>
      </c>
      <c r="G6434" s="152" t="s">
        <v>3282</v>
      </c>
      <c r="H6434" s="153" t="s">
        <v>216</v>
      </c>
    </row>
    <row r="6435" hidden="1">
      <c r="A6435" s="154" t="s">
        <v>217</v>
      </c>
      <c r="B6435" s="155" t="s">
        <v>191</v>
      </c>
      <c r="C6435" s="155" t="s">
        <v>206</v>
      </c>
      <c r="D6435" s="156" t="s">
        <v>7313</v>
      </c>
      <c r="E6435" s="156" t="s">
        <v>7321</v>
      </c>
      <c r="F6435" s="156" t="s">
        <v>677</v>
      </c>
      <c r="G6435" s="156" t="s">
        <v>1921</v>
      </c>
      <c r="H6435" s="157" t="s">
        <v>210</v>
      </c>
    </row>
    <row r="6436" hidden="1">
      <c r="A6436" s="151" t="s">
        <v>217</v>
      </c>
      <c r="B6436" s="118" t="s">
        <v>191</v>
      </c>
      <c r="C6436" s="118" t="s">
        <v>206</v>
      </c>
      <c r="D6436" s="152" t="s">
        <v>7313</v>
      </c>
      <c r="E6436" s="152" t="s">
        <v>7322</v>
      </c>
      <c r="F6436" s="152" t="s">
        <v>577</v>
      </c>
      <c r="G6436" s="152" t="s">
        <v>3307</v>
      </c>
      <c r="H6436" s="153" t="s">
        <v>211</v>
      </c>
    </row>
    <row r="6437" hidden="1">
      <c r="A6437" s="154" t="s">
        <v>217</v>
      </c>
      <c r="B6437" s="155" t="s">
        <v>191</v>
      </c>
      <c r="C6437" s="155" t="s">
        <v>206</v>
      </c>
      <c r="D6437" s="156" t="s">
        <v>7313</v>
      </c>
      <c r="E6437" s="156" t="s">
        <v>7323</v>
      </c>
      <c r="F6437" s="156" t="s">
        <v>305</v>
      </c>
      <c r="G6437" s="156" t="s">
        <v>3734</v>
      </c>
      <c r="H6437" s="157" t="s">
        <v>212</v>
      </c>
    </row>
    <row r="6438" hidden="1">
      <c r="A6438" s="151" t="s">
        <v>217</v>
      </c>
      <c r="B6438" s="118" t="s">
        <v>191</v>
      </c>
      <c r="C6438" s="118" t="s">
        <v>206</v>
      </c>
      <c r="D6438" s="152" t="s">
        <v>7313</v>
      </c>
      <c r="E6438" s="152" t="s">
        <v>7324</v>
      </c>
      <c r="F6438" s="152" t="s">
        <v>427</v>
      </c>
      <c r="G6438" s="152" t="s">
        <v>2177</v>
      </c>
      <c r="H6438" s="153" t="s">
        <v>213</v>
      </c>
    </row>
    <row r="6439" hidden="1">
      <c r="A6439" s="154" t="s">
        <v>217</v>
      </c>
      <c r="B6439" s="155" t="s">
        <v>191</v>
      </c>
      <c r="C6439" s="155" t="s">
        <v>206</v>
      </c>
      <c r="D6439" s="156" t="s">
        <v>7313</v>
      </c>
      <c r="E6439" s="156" t="s">
        <v>7325</v>
      </c>
      <c r="F6439" s="156" t="s">
        <v>354</v>
      </c>
      <c r="G6439" s="156" t="s">
        <v>3408</v>
      </c>
      <c r="H6439" s="157" t="s">
        <v>214</v>
      </c>
    </row>
    <row r="6440" hidden="1">
      <c r="A6440" s="151" t="s">
        <v>217</v>
      </c>
      <c r="B6440" s="118" t="s">
        <v>191</v>
      </c>
      <c r="C6440" s="118" t="s">
        <v>206</v>
      </c>
      <c r="D6440" s="152" t="s">
        <v>7313</v>
      </c>
      <c r="E6440" s="152" t="s">
        <v>7326</v>
      </c>
      <c r="F6440" s="152" t="s">
        <v>329</v>
      </c>
      <c r="G6440" s="152" t="s">
        <v>3237</v>
      </c>
      <c r="H6440" s="153" t="s">
        <v>215</v>
      </c>
    </row>
    <row r="6441" hidden="1">
      <c r="A6441" s="154" t="s">
        <v>217</v>
      </c>
      <c r="B6441" s="155" t="s">
        <v>191</v>
      </c>
      <c r="C6441" s="155" t="s">
        <v>206</v>
      </c>
      <c r="D6441" s="156" t="s">
        <v>7313</v>
      </c>
      <c r="E6441" s="156" t="s">
        <v>7327</v>
      </c>
      <c r="F6441" s="156" t="s">
        <v>478</v>
      </c>
      <c r="G6441" s="156" t="s">
        <v>4013</v>
      </c>
      <c r="H6441" s="157" t="s">
        <v>216</v>
      </c>
    </row>
    <row r="6442" hidden="1">
      <c r="A6442" s="151" t="s">
        <v>218</v>
      </c>
      <c r="B6442" s="118" t="s">
        <v>219</v>
      </c>
      <c r="C6442" s="118" t="s">
        <v>206</v>
      </c>
      <c r="D6442" s="152" t="s">
        <v>7313</v>
      </c>
      <c r="E6442" s="152" t="s">
        <v>7328</v>
      </c>
      <c r="F6442" s="152" t="s">
        <v>2994</v>
      </c>
      <c r="G6442" s="152" t="s">
        <v>2117</v>
      </c>
      <c r="H6442" s="153" t="s">
        <v>210</v>
      </c>
    </row>
    <row r="6443" hidden="1">
      <c r="A6443" s="154" t="s">
        <v>218</v>
      </c>
      <c r="B6443" s="155" t="s">
        <v>219</v>
      </c>
      <c r="C6443" s="155" t="s">
        <v>206</v>
      </c>
      <c r="D6443" s="156" t="s">
        <v>7313</v>
      </c>
      <c r="E6443" s="156" t="s">
        <v>7329</v>
      </c>
      <c r="F6443" s="156" t="s">
        <v>758</v>
      </c>
      <c r="G6443" s="156" t="s">
        <v>2989</v>
      </c>
      <c r="H6443" s="157" t="s">
        <v>211</v>
      </c>
    </row>
    <row r="6444" hidden="1">
      <c r="A6444" s="151" t="s">
        <v>218</v>
      </c>
      <c r="B6444" s="118" t="s">
        <v>219</v>
      </c>
      <c r="C6444" s="118" t="s">
        <v>206</v>
      </c>
      <c r="D6444" s="152" t="s">
        <v>7313</v>
      </c>
      <c r="E6444" s="152" t="s">
        <v>7330</v>
      </c>
      <c r="F6444" s="152" t="s">
        <v>3218</v>
      </c>
      <c r="G6444" s="152" t="s">
        <v>2113</v>
      </c>
      <c r="H6444" s="153" t="s">
        <v>212</v>
      </c>
    </row>
    <row r="6445" hidden="1">
      <c r="A6445" s="154" t="s">
        <v>218</v>
      </c>
      <c r="B6445" s="155" t="s">
        <v>219</v>
      </c>
      <c r="C6445" s="155" t="s">
        <v>206</v>
      </c>
      <c r="D6445" s="156" t="s">
        <v>7313</v>
      </c>
      <c r="E6445" s="156" t="s">
        <v>7331</v>
      </c>
      <c r="F6445" s="156" t="s">
        <v>1929</v>
      </c>
      <c r="G6445" s="156" t="s">
        <v>2115</v>
      </c>
      <c r="H6445" s="157" t="s">
        <v>213</v>
      </c>
    </row>
    <row r="6446" hidden="1">
      <c r="A6446" s="151" t="s">
        <v>218</v>
      </c>
      <c r="B6446" s="118" t="s">
        <v>219</v>
      </c>
      <c r="C6446" s="118" t="s">
        <v>206</v>
      </c>
      <c r="D6446" s="152" t="s">
        <v>7313</v>
      </c>
      <c r="E6446" s="152" t="s">
        <v>7332</v>
      </c>
      <c r="F6446" s="152" t="s">
        <v>760</v>
      </c>
      <c r="G6446" s="152" t="s">
        <v>2992</v>
      </c>
      <c r="H6446" s="153" t="s">
        <v>214</v>
      </c>
    </row>
    <row r="6447" hidden="1">
      <c r="A6447" s="154" t="s">
        <v>218</v>
      </c>
      <c r="B6447" s="155" t="s">
        <v>219</v>
      </c>
      <c r="C6447" s="155" t="s">
        <v>206</v>
      </c>
      <c r="D6447" s="156" t="s">
        <v>7313</v>
      </c>
      <c r="E6447" s="156" t="s">
        <v>7333</v>
      </c>
      <c r="F6447" s="156" t="s">
        <v>448</v>
      </c>
      <c r="G6447" s="156" t="s">
        <v>2986</v>
      </c>
      <c r="H6447" s="157" t="s">
        <v>215</v>
      </c>
    </row>
    <row r="6448" hidden="1">
      <c r="A6448" s="151" t="s">
        <v>218</v>
      </c>
      <c r="B6448" s="118" t="s">
        <v>219</v>
      </c>
      <c r="C6448" s="118" t="s">
        <v>206</v>
      </c>
      <c r="D6448" s="152" t="s">
        <v>7313</v>
      </c>
      <c r="E6448" s="152" t="s">
        <v>7334</v>
      </c>
      <c r="F6448" s="152" t="s">
        <v>760</v>
      </c>
      <c r="G6448" s="152" t="s">
        <v>2758</v>
      </c>
      <c r="H6448" s="153" t="s">
        <v>216</v>
      </c>
    </row>
    <row r="6449" hidden="1">
      <c r="A6449" s="154" t="s">
        <v>220</v>
      </c>
      <c r="B6449" s="155" t="s">
        <v>190</v>
      </c>
      <c r="C6449" s="155" t="s">
        <v>206</v>
      </c>
      <c r="D6449" s="156" t="s">
        <v>7313</v>
      </c>
      <c r="E6449" s="156" t="s">
        <v>7335</v>
      </c>
      <c r="F6449" s="156" t="s">
        <v>2075</v>
      </c>
      <c r="G6449" s="156" t="s">
        <v>7336</v>
      </c>
      <c r="H6449" s="157" t="s">
        <v>210</v>
      </c>
    </row>
    <row r="6450" hidden="1">
      <c r="A6450" s="151" t="s">
        <v>220</v>
      </c>
      <c r="B6450" s="118" t="s">
        <v>190</v>
      </c>
      <c r="C6450" s="118" t="s">
        <v>206</v>
      </c>
      <c r="D6450" s="152" t="s">
        <v>7313</v>
      </c>
      <c r="E6450" s="152" t="s">
        <v>7337</v>
      </c>
      <c r="F6450" s="152" t="s">
        <v>3240</v>
      </c>
      <c r="G6450" s="152" t="s">
        <v>3930</v>
      </c>
      <c r="H6450" s="153" t="s">
        <v>211</v>
      </c>
    </row>
    <row r="6451" hidden="1">
      <c r="A6451" s="154" t="s">
        <v>220</v>
      </c>
      <c r="B6451" s="155" t="s">
        <v>190</v>
      </c>
      <c r="C6451" s="155" t="s">
        <v>206</v>
      </c>
      <c r="D6451" s="156" t="s">
        <v>7313</v>
      </c>
      <c r="E6451" s="156" t="s">
        <v>7338</v>
      </c>
      <c r="F6451" s="156" t="s">
        <v>339</v>
      </c>
      <c r="G6451" s="156" t="s">
        <v>3371</v>
      </c>
      <c r="H6451" s="157" t="s">
        <v>212</v>
      </c>
    </row>
    <row r="6452" hidden="1">
      <c r="A6452" s="151" t="s">
        <v>220</v>
      </c>
      <c r="B6452" s="118" t="s">
        <v>190</v>
      </c>
      <c r="C6452" s="118" t="s">
        <v>206</v>
      </c>
      <c r="D6452" s="152" t="s">
        <v>7313</v>
      </c>
      <c r="E6452" s="152" t="s">
        <v>7339</v>
      </c>
      <c r="F6452" s="152" t="s">
        <v>448</v>
      </c>
      <c r="G6452" s="152" t="s">
        <v>6645</v>
      </c>
      <c r="H6452" s="153" t="s">
        <v>213</v>
      </c>
    </row>
    <row r="6453" hidden="1">
      <c r="A6453" s="154" t="s">
        <v>220</v>
      </c>
      <c r="B6453" s="155" t="s">
        <v>190</v>
      </c>
      <c r="C6453" s="155" t="s">
        <v>206</v>
      </c>
      <c r="D6453" s="156" t="s">
        <v>7313</v>
      </c>
      <c r="E6453" s="156" t="s">
        <v>7340</v>
      </c>
      <c r="F6453" s="156" t="s">
        <v>577</v>
      </c>
      <c r="G6453" s="156" t="s">
        <v>7341</v>
      </c>
      <c r="H6453" s="157" t="s">
        <v>214</v>
      </c>
    </row>
    <row r="6454" hidden="1">
      <c r="A6454" s="151" t="s">
        <v>220</v>
      </c>
      <c r="B6454" s="118" t="s">
        <v>190</v>
      </c>
      <c r="C6454" s="118" t="s">
        <v>206</v>
      </c>
      <c r="D6454" s="152" t="s">
        <v>7313</v>
      </c>
      <c r="E6454" s="152" t="s">
        <v>7342</v>
      </c>
      <c r="F6454" s="152" t="s">
        <v>390</v>
      </c>
      <c r="G6454" s="152" t="s">
        <v>2967</v>
      </c>
      <c r="H6454" s="153" t="s">
        <v>215</v>
      </c>
    </row>
    <row r="6455" hidden="1">
      <c r="A6455" s="154" t="s">
        <v>220</v>
      </c>
      <c r="B6455" s="155" t="s">
        <v>190</v>
      </c>
      <c r="C6455" s="155" t="s">
        <v>206</v>
      </c>
      <c r="D6455" s="156" t="s">
        <v>7313</v>
      </c>
      <c r="E6455" s="156" t="s">
        <v>7343</v>
      </c>
      <c r="F6455" s="156" t="s">
        <v>2218</v>
      </c>
      <c r="G6455" s="156" t="s">
        <v>3434</v>
      </c>
      <c r="H6455" s="157" t="s">
        <v>216</v>
      </c>
    </row>
    <row r="6456" hidden="1">
      <c r="A6456" s="151" t="s">
        <v>221</v>
      </c>
      <c r="B6456" s="118" t="s">
        <v>189</v>
      </c>
      <c r="C6456" s="118" t="s">
        <v>206</v>
      </c>
      <c r="D6456" s="152" t="s">
        <v>7313</v>
      </c>
      <c r="E6456" s="152" t="s">
        <v>7344</v>
      </c>
      <c r="F6456" s="152" t="s">
        <v>255</v>
      </c>
      <c r="G6456" s="152" t="s">
        <v>1806</v>
      </c>
      <c r="H6456" s="153" t="s">
        <v>210</v>
      </c>
    </row>
    <row r="6457" hidden="1">
      <c r="A6457" s="154" t="s">
        <v>221</v>
      </c>
      <c r="B6457" s="155" t="s">
        <v>189</v>
      </c>
      <c r="C6457" s="155" t="s">
        <v>206</v>
      </c>
      <c r="D6457" s="156" t="s">
        <v>7313</v>
      </c>
      <c r="E6457" s="156" t="s">
        <v>7345</v>
      </c>
      <c r="F6457" s="156" t="s">
        <v>287</v>
      </c>
      <c r="G6457" s="156" t="s">
        <v>1879</v>
      </c>
      <c r="H6457" s="157" t="s">
        <v>211</v>
      </c>
    </row>
    <row r="6458" hidden="1">
      <c r="A6458" s="151" t="s">
        <v>221</v>
      </c>
      <c r="B6458" s="118" t="s">
        <v>189</v>
      </c>
      <c r="C6458" s="118" t="s">
        <v>206</v>
      </c>
      <c r="D6458" s="152" t="s">
        <v>7313</v>
      </c>
      <c r="E6458" s="152" t="s">
        <v>7346</v>
      </c>
      <c r="F6458" s="152" t="s">
        <v>323</v>
      </c>
      <c r="G6458" s="152" t="s">
        <v>1889</v>
      </c>
      <c r="H6458" s="153" t="s">
        <v>212</v>
      </c>
    </row>
    <row r="6459" hidden="1">
      <c r="A6459" s="154" t="s">
        <v>221</v>
      </c>
      <c r="B6459" s="155" t="s">
        <v>189</v>
      </c>
      <c r="C6459" s="155" t="s">
        <v>206</v>
      </c>
      <c r="D6459" s="156" t="s">
        <v>7313</v>
      </c>
      <c r="E6459" s="156" t="s">
        <v>7347</v>
      </c>
      <c r="F6459" s="156" t="s">
        <v>257</v>
      </c>
      <c r="G6459" s="156" t="s">
        <v>1911</v>
      </c>
      <c r="H6459" s="157" t="s">
        <v>213</v>
      </c>
    </row>
    <row r="6460" hidden="1">
      <c r="A6460" s="151" t="s">
        <v>221</v>
      </c>
      <c r="B6460" s="118" t="s">
        <v>189</v>
      </c>
      <c r="C6460" s="118" t="s">
        <v>206</v>
      </c>
      <c r="D6460" s="152" t="s">
        <v>7313</v>
      </c>
      <c r="E6460" s="152" t="s">
        <v>7348</v>
      </c>
      <c r="F6460" s="152" t="s">
        <v>321</v>
      </c>
      <c r="G6460" s="152" t="s">
        <v>1820</v>
      </c>
      <c r="H6460" s="153" t="s">
        <v>214</v>
      </c>
    </row>
    <row r="6461" hidden="1">
      <c r="A6461" s="154" t="s">
        <v>221</v>
      </c>
      <c r="B6461" s="155" t="s">
        <v>189</v>
      </c>
      <c r="C6461" s="155" t="s">
        <v>206</v>
      </c>
      <c r="D6461" s="156" t="s">
        <v>7313</v>
      </c>
      <c r="E6461" s="156" t="s">
        <v>7349</v>
      </c>
      <c r="F6461" s="156" t="s">
        <v>357</v>
      </c>
      <c r="G6461" s="156" t="s">
        <v>1889</v>
      </c>
      <c r="H6461" s="157" t="s">
        <v>215</v>
      </c>
    </row>
    <row r="6462" hidden="1">
      <c r="A6462" s="151" t="s">
        <v>221</v>
      </c>
      <c r="B6462" s="118" t="s">
        <v>189</v>
      </c>
      <c r="C6462" s="118" t="s">
        <v>206</v>
      </c>
      <c r="D6462" s="152" t="s">
        <v>7313</v>
      </c>
      <c r="E6462" s="152" t="s">
        <v>7350</v>
      </c>
      <c r="F6462" s="152" t="s">
        <v>240</v>
      </c>
      <c r="G6462" s="152" t="s">
        <v>1873</v>
      </c>
      <c r="H6462" s="153" t="s">
        <v>216</v>
      </c>
    </row>
    <row r="6463" hidden="1">
      <c r="A6463" s="154" t="s">
        <v>222</v>
      </c>
      <c r="B6463" s="155" t="s">
        <v>192</v>
      </c>
      <c r="C6463" s="155" t="s">
        <v>206</v>
      </c>
      <c r="D6463" s="156" t="s">
        <v>7313</v>
      </c>
      <c r="E6463" s="156" t="s">
        <v>7351</v>
      </c>
      <c r="F6463" s="156" t="s">
        <v>310</v>
      </c>
      <c r="G6463" s="156" t="s">
        <v>2818</v>
      </c>
      <c r="H6463" s="157" t="s">
        <v>210</v>
      </c>
    </row>
    <row r="6464" hidden="1">
      <c r="A6464" s="151" t="s">
        <v>222</v>
      </c>
      <c r="B6464" s="118" t="s">
        <v>192</v>
      </c>
      <c r="C6464" s="118" t="s">
        <v>206</v>
      </c>
      <c r="D6464" s="152" t="s">
        <v>7313</v>
      </c>
      <c r="E6464" s="152" t="s">
        <v>7352</v>
      </c>
      <c r="F6464" s="152" t="s">
        <v>339</v>
      </c>
      <c r="G6464" s="152" t="s">
        <v>2285</v>
      </c>
      <c r="H6464" s="153" t="s">
        <v>211</v>
      </c>
    </row>
    <row r="6465" hidden="1">
      <c r="A6465" s="154" t="s">
        <v>222</v>
      </c>
      <c r="B6465" s="155" t="s">
        <v>192</v>
      </c>
      <c r="C6465" s="155" t="s">
        <v>206</v>
      </c>
      <c r="D6465" s="156" t="s">
        <v>7313</v>
      </c>
      <c r="E6465" s="156" t="s">
        <v>7353</v>
      </c>
      <c r="F6465" s="156" t="s">
        <v>290</v>
      </c>
      <c r="G6465" s="156" t="s">
        <v>2008</v>
      </c>
      <c r="H6465" s="157" t="s">
        <v>212</v>
      </c>
    </row>
    <row r="6466" hidden="1">
      <c r="A6466" s="151" t="s">
        <v>222</v>
      </c>
      <c r="B6466" s="118" t="s">
        <v>192</v>
      </c>
      <c r="C6466" s="118" t="s">
        <v>206</v>
      </c>
      <c r="D6466" s="152" t="s">
        <v>7313</v>
      </c>
      <c r="E6466" s="152" t="s">
        <v>7354</v>
      </c>
      <c r="F6466" s="152" t="s">
        <v>534</v>
      </c>
      <c r="G6466" s="152" t="s">
        <v>2177</v>
      </c>
      <c r="H6466" s="153" t="s">
        <v>213</v>
      </c>
    </row>
    <row r="6467" hidden="1">
      <c r="A6467" s="154" t="s">
        <v>222</v>
      </c>
      <c r="B6467" s="155" t="s">
        <v>192</v>
      </c>
      <c r="C6467" s="155" t="s">
        <v>206</v>
      </c>
      <c r="D6467" s="156" t="s">
        <v>7313</v>
      </c>
      <c r="E6467" s="156" t="s">
        <v>7355</v>
      </c>
      <c r="F6467" s="156" t="s">
        <v>336</v>
      </c>
      <c r="G6467" s="156" t="s">
        <v>3554</v>
      </c>
      <c r="H6467" s="157" t="s">
        <v>214</v>
      </c>
    </row>
    <row r="6468" hidden="1">
      <c r="A6468" s="151" t="s">
        <v>222</v>
      </c>
      <c r="B6468" s="118" t="s">
        <v>192</v>
      </c>
      <c r="C6468" s="118" t="s">
        <v>206</v>
      </c>
      <c r="D6468" s="152" t="s">
        <v>7313</v>
      </c>
      <c r="E6468" s="152" t="s">
        <v>7356</v>
      </c>
      <c r="F6468" s="152" t="s">
        <v>365</v>
      </c>
      <c r="G6468" s="152" t="s">
        <v>3115</v>
      </c>
      <c r="H6468" s="153" t="s">
        <v>215</v>
      </c>
    </row>
    <row r="6469" hidden="1">
      <c r="A6469" s="154" t="s">
        <v>222</v>
      </c>
      <c r="B6469" s="155" t="s">
        <v>192</v>
      </c>
      <c r="C6469" s="155" t="s">
        <v>206</v>
      </c>
      <c r="D6469" s="156" t="s">
        <v>7313</v>
      </c>
      <c r="E6469" s="156" t="s">
        <v>7357</v>
      </c>
      <c r="F6469" s="156" t="s">
        <v>305</v>
      </c>
      <c r="G6469" s="156" t="s">
        <v>3718</v>
      </c>
      <c r="H6469" s="157" t="s">
        <v>216</v>
      </c>
    </row>
    <row r="6470" hidden="1">
      <c r="A6470" s="151" t="s">
        <v>223</v>
      </c>
      <c r="B6470" s="118" t="s">
        <v>144</v>
      </c>
      <c r="C6470" s="118" t="s">
        <v>206</v>
      </c>
      <c r="D6470" s="152" t="s">
        <v>7313</v>
      </c>
      <c r="E6470" s="152" t="s">
        <v>7358</v>
      </c>
      <c r="F6470" s="152" t="s">
        <v>483</v>
      </c>
      <c r="G6470" s="152" t="s">
        <v>2221</v>
      </c>
      <c r="H6470" s="153" t="s">
        <v>210</v>
      </c>
    </row>
    <row r="6471" hidden="1">
      <c r="A6471" s="154" t="s">
        <v>223</v>
      </c>
      <c r="B6471" s="155" t="s">
        <v>144</v>
      </c>
      <c r="C6471" s="155" t="s">
        <v>206</v>
      </c>
      <c r="D6471" s="156" t="s">
        <v>7313</v>
      </c>
      <c r="E6471" s="156" t="s">
        <v>7359</v>
      </c>
      <c r="F6471" s="156" t="s">
        <v>354</v>
      </c>
      <c r="G6471" s="156" t="s">
        <v>2995</v>
      </c>
      <c r="H6471" s="157" t="s">
        <v>211</v>
      </c>
    </row>
    <row r="6472" hidden="1">
      <c r="A6472" s="151" t="s">
        <v>223</v>
      </c>
      <c r="B6472" s="118" t="s">
        <v>144</v>
      </c>
      <c r="C6472" s="118" t="s">
        <v>206</v>
      </c>
      <c r="D6472" s="152" t="s">
        <v>7313</v>
      </c>
      <c r="E6472" s="152" t="s">
        <v>7360</v>
      </c>
      <c r="F6472" s="152" t="s">
        <v>290</v>
      </c>
      <c r="G6472" s="152" t="s">
        <v>2519</v>
      </c>
      <c r="H6472" s="153" t="s">
        <v>212</v>
      </c>
    </row>
    <row r="6473" hidden="1">
      <c r="A6473" s="154" t="s">
        <v>223</v>
      </c>
      <c r="B6473" s="155" t="s">
        <v>144</v>
      </c>
      <c r="C6473" s="155" t="s">
        <v>206</v>
      </c>
      <c r="D6473" s="156" t="s">
        <v>7313</v>
      </c>
      <c r="E6473" s="156" t="s">
        <v>7361</v>
      </c>
      <c r="F6473" s="156" t="s">
        <v>336</v>
      </c>
      <c r="G6473" s="156" t="s">
        <v>3410</v>
      </c>
      <c r="H6473" s="157" t="s">
        <v>213</v>
      </c>
    </row>
    <row r="6474" hidden="1">
      <c r="A6474" s="151" t="s">
        <v>223</v>
      </c>
      <c r="B6474" s="118" t="s">
        <v>144</v>
      </c>
      <c r="C6474" s="118" t="s">
        <v>206</v>
      </c>
      <c r="D6474" s="152" t="s">
        <v>7313</v>
      </c>
      <c r="E6474" s="152" t="s">
        <v>7362</v>
      </c>
      <c r="F6474" s="152" t="s">
        <v>336</v>
      </c>
      <c r="G6474" s="152" t="s">
        <v>3280</v>
      </c>
      <c r="H6474" s="153" t="s">
        <v>214</v>
      </c>
    </row>
    <row r="6475" hidden="1">
      <c r="A6475" s="154" t="s">
        <v>223</v>
      </c>
      <c r="B6475" s="155" t="s">
        <v>144</v>
      </c>
      <c r="C6475" s="155" t="s">
        <v>206</v>
      </c>
      <c r="D6475" s="156" t="s">
        <v>7313</v>
      </c>
      <c r="E6475" s="156" t="s">
        <v>7363</v>
      </c>
      <c r="F6475" s="156" t="s">
        <v>336</v>
      </c>
      <c r="G6475" s="156" t="s">
        <v>3278</v>
      </c>
      <c r="H6475" s="157" t="s">
        <v>215</v>
      </c>
    </row>
    <row r="6476" hidden="1">
      <c r="A6476" s="151" t="s">
        <v>223</v>
      </c>
      <c r="B6476" s="118" t="s">
        <v>144</v>
      </c>
      <c r="C6476" s="118" t="s">
        <v>206</v>
      </c>
      <c r="D6476" s="152" t="s">
        <v>7313</v>
      </c>
      <c r="E6476" s="152" t="s">
        <v>7364</v>
      </c>
      <c r="F6476" s="152" t="s">
        <v>483</v>
      </c>
      <c r="G6476" s="152" t="s">
        <v>3003</v>
      </c>
      <c r="H6476" s="153" t="s">
        <v>216</v>
      </c>
    </row>
    <row r="6477" hidden="1">
      <c r="A6477" s="154" t="s">
        <v>224</v>
      </c>
      <c r="B6477" s="155" t="s">
        <v>170</v>
      </c>
      <c r="C6477" s="155" t="s">
        <v>206</v>
      </c>
      <c r="D6477" s="156" t="s">
        <v>7313</v>
      </c>
      <c r="E6477" s="156" t="s">
        <v>7365</v>
      </c>
      <c r="F6477" s="156" t="s">
        <v>450</v>
      </c>
      <c r="G6477" s="156" t="s">
        <v>1927</v>
      </c>
      <c r="H6477" s="157" t="s">
        <v>210</v>
      </c>
    </row>
    <row r="6478" hidden="1">
      <c r="A6478" s="151" t="s">
        <v>224</v>
      </c>
      <c r="B6478" s="118" t="s">
        <v>170</v>
      </c>
      <c r="C6478" s="118" t="s">
        <v>206</v>
      </c>
      <c r="D6478" s="152" t="s">
        <v>7313</v>
      </c>
      <c r="E6478" s="152" t="s">
        <v>7366</v>
      </c>
      <c r="F6478" s="152" t="s">
        <v>725</v>
      </c>
      <c r="G6478" s="152" t="s">
        <v>3611</v>
      </c>
      <c r="H6478" s="153" t="s">
        <v>211</v>
      </c>
    </row>
    <row r="6479" hidden="1">
      <c r="A6479" s="154" t="s">
        <v>224</v>
      </c>
      <c r="B6479" s="155" t="s">
        <v>170</v>
      </c>
      <c r="C6479" s="155" t="s">
        <v>206</v>
      </c>
      <c r="D6479" s="156" t="s">
        <v>7313</v>
      </c>
      <c r="E6479" s="156" t="s">
        <v>7367</v>
      </c>
      <c r="F6479" s="156" t="s">
        <v>329</v>
      </c>
      <c r="G6479" s="156" t="s">
        <v>3396</v>
      </c>
      <c r="H6479" s="157" t="s">
        <v>212</v>
      </c>
    </row>
    <row r="6480" hidden="1">
      <c r="A6480" s="151" t="s">
        <v>224</v>
      </c>
      <c r="B6480" s="118" t="s">
        <v>170</v>
      </c>
      <c r="C6480" s="118" t="s">
        <v>206</v>
      </c>
      <c r="D6480" s="152" t="s">
        <v>7313</v>
      </c>
      <c r="E6480" s="152" t="s">
        <v>7368</v>
      </c>
      <c r="F6480" s="152" t="s">
        <v>3218</v>
      </c>
      <c r="G6480" s="152" t="s">
        <v>2187</v>
      </c>
      <c r="H6480" s="153" t="s">
        <v>213</v>
      </c>
    </row>
    <row r="6481" hidden="1">
      <c r="A6481" s="154" t="s">
        <v>224</v>
      </c>
      <c r="B6481" s="155" t="s">
        <v>170</v>
      </c>
      <c r="C6481" s="155" t="s">
        <v>206</v>
      </c>
      <c r="D6481" s="156" t="s">
        <v>7313</v>
      </c>
      <c r="E6481" s="156" t="s">
        <v>7369</v>
      </c>
      <c r="F6481" s="156" t="s">
        <v>725</v>
      </c>
      <c r="G6481" s="156" t="s">
        <v>3572</v>
      </c>
      <c r="H6481" s="157" t="s">
        <v>214</v>
      </c>
    </row>
    <row r="6482" hidden="1">
      <c r="A6482" s="151" t="s">
        <v>224</v>
      </c>
      <c r="B6482" s="118" t="s">
        <v>170</v>
      </c>
      <c r="C6482" s="118" t="s">
        <v>206</v>
      </c>
      <c r="D6482" s="152" t="s">
        <v>7313</v>
      </c>
      <c r="E6482" s="152" t="s">
        <v>7370</v>
      </c>
      <c r="F6482" s="152" t="s">
        <v>325</v>
      </c>
      <c r="G6482" s="152" t="s">
        <v>3478</v>
      </c>
      <c r="H6482" s="153" t="s">
        <v>215</v>
      </c>
    </row>
    <row r="6483" hidden="1">
      <c r="A6483" s="154" t="s">
        <v>224</v>
      </c>
      <c r="B6483" s="155" t="s">
        <v>170</v>
      </c>
      <c r="C6483" s="155" t="s">
        <v>206</v>
      </c>
      <c r="D6483" s="156" t="s">
        <v>7313</v>
      </c>
      <c r="E6483" s="156" t="s">
        <v>7371</v>
      </c>
      <c r="F6483" s="156" t="s">
        <v>799</v>
      </c>
      <c r="G6483" s="156" t="s">
        <v>2824</v>
      </c>
      <c r="H6483" s="157" t="s">
        <v>216</v>
      </c>
    </row>
    <row r="6484" hidden="1">
      <c r="A6484" s="151" t="s">
        <v>225</v>
      </c>
      <c r="B6484" s="118" t="s">
        <v>226</v>
      </c>
      <c r="C6484" s="118" t="s">
        <v>206</v>
      </c>
      <c r="D6484" s="152" t="s">
        <v>7313</v>
      </c>
      <c r="E6484" s="152" t="s">
        <v>7372</v>
      </c>
      <c r="F6484" s="152" t="s">
        <v>436</v>
      </c>
      <c r="G6484" s="152" t="s">
        <v>4251</v>
      </c>
      <c r="H6484" s="153" t="s">
        <v>210</v>
      </c>
    </row>
    <row r="6485" hidden="1">
      <c r="A6485" s="154" t="s">
        <v>225</v>
      </c>
      <c r="B6485" s="155" t="s">
        <v>226</v>
      </c>
      <c r="C6485" s="155" t="s">
        <v>206</v>
      </c>
      <c r="D6485" s="156" t="s">
        <v>7313</v>
      </c>
      <c r="E6485" s="156" t="s">
        <v>7373</v>
      </c>
      <c r="F6485" s="156" t="s">
        <v>433</v>
      </c>
      <c r="G6485" s="156" t="s">
        <v>7374</v>
      </c>
      <c r="H6485" s="157" t="s">
        <v>211</v>
      </c>
    </row>
    <row r="6486" hidden="1">
      <c r="A6486" s="151" t="s">
        <v>225</v>
      </c>
      <c r="B6486" s="118" t="s">
        <v>226</v>
      </c>
      <c r="C6486" s="118" t="s">
        <v>206</v>
      </c>
      <c r="D6486" s="152" t="s">
        <v>7313</v>
      </c>
      <c r="E6486" s="152" t="s">
        <v>7375</v>
      </c>
      <c r="F6486" s="152" t="s">
        <v>246</v>
      </c>
      <c r="G6486" s="152" t="s">
        <v>2409</v>
      </c>
      <c r="H6486" s="153" t="s">
        <v>212</v>
      </c>
    </row>
    <row r="6487" hidden="1">
      <c r="A6487" s="154" t="s">
        <v>225</v>
      </c>
      <c r="B6487" s="155" t="s">
        <v>226</v>
      </c>
      <c r="C6487" s="155" t="s">
        <v>206</v>
      </c>
      <c r="D6487" s="156" t="s">
        <v>7313</v>
      </c>
      <c r="E6487" s="156" t="s">
        <v>7376</v>
      </c>
      <c r="F6487" s="156" t="s">
        <v>492</v>
      </c>
      <c r="G6487" s="156" t="s">
        <v>1771</v>
      </c>
      <c r="H6487" s="157" t="s">
        <v>213</v>
      </c>
    </row>
    <row r="6488" hidden="1">
      <c r="A6488" s="151" t="s">
        <v>225</v>
      </c>
      <c r="B6488" s="118" t="s">
        <v>226</v>
      </c>
      <c r="C6488" s="118" t="s">
        <v>206</v>
      </c>
      <c r="D6488" s="152" t="s">
        <v>7313</v>
      </c>
      <c r="E6488" s="152" t="s">
        <v>7377</v>
      </c>
      <c r="F6488" s="152" t="s">
        <v>240</v>
      </c>
      <c r="G6488" s="152" t="s">
        <v>639</v>
      </c>
      <c r="H6488" s="153" t="s">
        <v>214</v>
      </c>
    </row>
    <row r="6489" hidden="1">
      <c r="A6489" s="154" t="s">
        <v>225</v>
      </c>
      <c r="B6489" s="155" t="s">
        <v>226</v>
      </c>
      <c r="C6489" s="155" t="s">
        <v>206</v>
      </c>
      <c r="D6489" s="156" t="s">
        <v>7313</v>
      </c>
      <c r="E6489" s="156" t="s">
        <v>7378</v>
      </c>
      <c r="F6489" s="156" t="s">
        <v>374</v>
      </c>
      <c r="G6489" s="156" t="s">
        <v>7097</v>
      </c>
      <c r="H6489" s="157" t="s">
        <v>215</v>
      </c>
    </row>
    <row r="6490" hidden="1">
      <c r="A6490" s="151" t="s">
        <v>225</v>
      </c>
      <c r="B6490" s="118" t="s">
        <v>226</v>
      </c>
      <c r="C6490" s="118" t="s">
        <v>206</v>
      </c>
      <c r="D6490" s="152" t="s">
        <v>7313</v>
      </c>
      <c r="E6490" s="152" t="s">
        <v>7379</v>
      </c>
      <c r="F6490" s="152" t="s">
        <v>436</v>
      </c>
      <c r="G6490" s="152" t="s">
        <v>2416</v>
      </c>
      <c r="H6490" s="153" t="s">
        <v>216</v>
      </c>
    </row>
    <row r="6491" hidden="1">
      <c r="A6491" s="154" t="s">
        <v>227</v>
      </c>
      <c r="B6491" s="155" t="s">
        <v>195</v>
      </c>
      <c r="C6491" s="155" t="s">
        <v>206</v>
      </c>
      <c r="D6491" s="156" t="s">
        <v>7313</v>
      </c>
      <c r="E6491" s="156" t="s">
        <v>7380</v>
      </c>
      <c r="F6491" s="156" t="s">
        <v>427</v>
      </c>
      <c r="G6491" s="156" t="s">
        <v>3262</v>
      </c>
      <c r="H6491" s="157" t="s">
        <v>210</v>
      </c>
    </row>
    <row r="6492" hidden="1">
      <c r="A6492" s="151" t="s">
        <v>227</v>
      </c>
      <c r="B6492" s="118" t="s">
        <v>195</v>
      </c>
      <c r="C6492" s="118" t="s">
        <v>206</v>
      </c>
      <c r="D6492" s="152" t="s">
        <v>7313</v>
      </c>
      <c r="E6492" s="152" t="s">
        <v>7381</v>
      </c>
      <c r="F6492" s="152" t="s">
        <v>3145</v>
      </c>
      <c r="G6492" s="152" t="s">
        <v>4287</v>
      </c>
      <c r="H6492" s="153" t="s">
        <v>211</v>
      </c>
    </row>
    <row r="6493" hidden="1">
      <c r="A6493" s="154" t="s">
        <v>227</v>
      </c>
      <c r="B6493" s="155" t="s">
        <v>195</v>
      </c>
      <c r="C6493" s="155" t="s">
        <v>206</v>
      </c>
      <c r="D6493" s="156" t="s">
        <v>7313</v>
      </c>
      <c r="E6493" s="156" t="s">
        <v>7382</v>
      </c>
      <c r="F6493" s="156" t="s">
        <v>244</v>
      </c>
      <c r="G6493" s="156" t="s">
        <v>3138</v>
      </c>
      <c r="H6493" s="157" t="s">
        <v>212</v>
      </c>
    </row>
    <row r="6494" hidden="1">
      <c r="A6494" s="151" t="s">
        <v>227</v>
      </c>
      <c r="B6494" s="118" t="s">
        <v>195</v>
      </c>
      <c r="C6494" s="118" t="s">
        <v>206</v>
      </c>
      <c r="D6494" s="152" t="s">
        <v>7313</v>
      </c>
      <c r="E6494" s="152" t="s">
        <v>7383</v>
      </c>
      <c r="F6494" s="152" t="s">
        <v>308</v>
      </c>
      <c r="G6494" s="152" t="s">
        <v>3282</v>
      </c>
      <c r="H6494" s="153" t="s">
        <v>213</v>
      </c>
    </row>
    <row r="6495" hidden="1">
      <c r="A6495" s="154" t="s">
        <v>227</v>
      </c>
      <c r="B6495" s="155" t="s">
        <v>195</v>
      </c>
      <c r="C6495" s="155" t="s">
        <v>206</v>
      </c>
      <c r="D6495" s="156" t="s">
        <v>7313</v>
      </c>
      <c r="E6495" s="156" t="s">
        <v>7384</v>
      </c>
      <c r="F6495" s="156" t="s">
        <v>1929</v>
      </c>
      <c r="G6495" s="156" t="s">
        <v>3278</v>
      </c>
      <c r="H6495" s="157" t="s">
        <v>214</v>
      </c>
    </row>
    <row r="6496" hidden="1">
      <c r="A6496" s="151" t="s">
        <v>227</v>
      </c>
      <c r="B6496" s="118" t="s">
        <v>195</v>
      </c>
      <c r="C6496" s="118" t="s">
        <v>206</v>
      </c>
      <c r="D6496" s="152" t="s">
        <v>7313</v>
      </c>
      <c r="E6496" s="152" t="s">
        <v>7385</v>
      </c>
      <c r="F6496" s="152" t="s">
        <v>336</v>
      </c>
      <c r="G6496" s="152" t="s">
        <v>2224</v>
      </c>
      <c r="H6496" s="153" t="s">
        <v>215</v>
      </c>
    </row>
    <row r="6497" hidden="1">
      <c r="A6497" s="154" t="s">
        <v>227</v>
      </c>
      <c r="B6497" s="155" t="s">
        <v>195</v>
      </c>
      <c r="C6497" s="155" t="s">
        <v>206</v>
      </c>
      <c r="D6497" s="156" t="s">
        <v>7313</v>
      </c>
      <c r="E6497" s="156" t="s">
        <v>7386</v>
      </c>
      <c r="F6497" s="156" t="s">
        <v>1532</v>
      </c>
      <c r="G6497" s="156" t="s">
        <v>3900</v>
      </c>
      <c r="H6497" s="157" t="s">
        <v>216</v>
      </c>
    </row>
    <row r="6498" hidden="1">
      <c r="A6498" s="151" t="s">
        <v>228</v>
      </c>
      <c r="B6498" s="118" t="s">
        <v>138</v>
      </c>
      <c r="C6498" s="118" t="s">
        <v>206</v>
      </c>
      <c r="D6498" s="152" t="s">
        <v>7313</v>
      </c>
      <c r="E6498" s="152" t="s">
        <v>7387</v>
      </c>
      <c r="F6498" s="152" t="s">
        <v>2211</v>
      </c>
      <c r="G6498" s="152" t="s">
        <v>2146</v>
      </c>
      <c r="H6498" s="153" t="s">
        <v>210</v>
      </c>
    </row>
    <row r="6499" hidden="1">
      <c r="A6499" s="154" t="s">
        <v>228</v>
      </c>
      <c r="B6499" s="155" t="s">
        <v>138</v>
      </c>
      <c r="C6499" s="155" t="s">
        <v>206</v>
      </c>
      <c r="D6499" s="156" t="s">
        <v>7313</v>
      </c>
      <c r="E6499" s="156" t="s">
        <v>7388</v>
      </c>
      <c r="F6499" s="156" t="s">
        <v>1856</v>
      </c>
      <c r="G6499" s="156" t="s">
        <v>3007</v>
      </c>
      <c r="H6499" s="157" t="s">
        <v>211</v>
      </c>
    </row>
    <row r="6500" hidden="1">
      <c r="A6500" s="151" t="s">
        <v>228</v>
      </c>
      <c r="B6500" s="118" t="s">
        <v>138</v>
      </c>
      <c r="C6500" s="118" t="s">
        <v>206</v>
      </c>
      <c r="D6500" s="152" t="s">
        <v>7313</v>
      </c>
      <c r="E6500" s="152" t="s">
        <v>7389</v>
      </c>
      <c r="F6500" s="152" t="s">
        <v>2637</v>
      </c>
      <c r="G6500" s="152" t="s">
        <v>2705</v>
      </c>
      <c r="H6500" s="153" t="s">
        <v>212</v>
      </c>
    </row>
    <row r="6501" hidden="1">
      <c r="A6501" s="154" t="s">
        <v>228</v>
      </c>
      <c r="B6501" s="155" t="s">
        <v>138</v>
      </c>
      <c r="C6501" s="155" t="s">
        <v>206</v>
      </c>
      <c r="D6501" s="156" t="s">
        <v>7313</v>
      </c>
      <c r="E6501" s="156" t="s">
        <v>7390</v>
      </c>
      <c r="F6501" s="156" t="s">
        <v>2686</v>
      </c>
      <c r="G6501" s="156" t="s">
        <v>2287</v>
      </c>
      <c r="H6501" s="157" t="s">
        <v>213</v>
      </c>
    </row>
    <row r="6502" hidden="1">
      <c r="A6502" s="151" t="s">
        <v>228</v>
      </c>
      <c r="B6502" s="118" t="s">
        <v>138</v>
      </c>
      <c r="C6502" s="118" t="s">
        <v>206</v>
      </c>
      <c r="D6502" s="152" t="s">
        <v>7313</v>
      </c>
      <c r="E6502" s="152" t="s">
        <v>7391</v>
      </c>
      <c r="F6502" s="152" t="s">
        <v>1801</v>
      </c>
      <c r="G6502" s="152" t="s">
        <v>2838</v>
      </c>
      <c r="H6502" s="153" t="s">
        <v>214</v>
      </c>
    </row>
    <row r="6503" hidden="1">
      <c r="A6503" s="154" t="s">
        <v>228</v>
      </c>
      <c r="B6503" s="155" t="s">
        <v>138</v>
      </c>
      <c r="C6503" s="155" t="s">
        <v>206</v>
      </c>
      <c r="D6503" s="156" t="s">
        <v>7313</v>
      </c>
      <c r="E6503" s="156" t="s">
        <v>7392</v>
      </c>
      <c r="F6503" s="156" t="s">
        <v>2023</v>
      </c>
      <c r="G6503" s="156" t="s">
        <v>1759</v>
      </c>
      <c r="H6503" s="157" t="s">
        <v>215</v>
      </c>
    </row>
    <row r="6504" hidden="1">
      <c r="A6504" s="151" t="s">
        <v>228</v>
      </c>
      <c r="B6504" s="118" t="s">
        <v>138</v>
      </c>
      <c r="C6504" s="118" t="s">
        <v>206</v>
      </c>
      <c r="D6504" s="152" t="s">
        <v>7313</v>
      </c>
      <c r="E6504" s="152" t="s">
        <v>7393</v>
      </c>
      <c r="F6504" s="152" t="s">
        <v>2379</v>
      </c>
      <c r="G6504" s="152" t="s">
        <v>1856</v>
      </c>
      <c r="H6504" s="153" t="s">
        <v>216</v>
      </c>
    </row>
    <row r="6505" hidden="1">
      <c r="A6505" s="154" t="s">
        <v>229</v>
      </c>
      <c r="B6505" s="155" t="s">
        <v>193</v>
      </c>
      <c r="C6505" s="155" t="s">
        <v>206</v>
      </c>
      <c r="D6505" s="156" t="s">
        <v>7313</v>
      </c>
      <c r="E6505" s="156" t="s">
        <v>7394</v>
      </c>
      <c r="F6505" s="156" t="s">
        <v>308</v>
      </c>
      <c r="G6505" s="156" t="s">
        <v>2760</v>
      </c>
      <c r="H6505" s="157" t="s">
        <v>210</v>
      </c>
    </row>
    <row r="6506" hidden="1">
      <c r="A6506" s="151" t="s">
        <v>229</v>
      </c>
      <c r="B6506" s="118" t="s">
        <v>193</v>
      </c>
      <c r="C6506" s="118" t="s">
        <v>206</v>
      </c>
      <c r="D6506" s="152" t="s">
        <v>7313</v>
      </c>
      <c r="E6506" s="152" t="s">
        <v>7395</v>
      </c>
      <c r="F6506" s="152" t="s">
        <v>310</v>
      </c>
      <c r="G6506" s="152" t="s">
        <v>3384</v>
      </c>
      <c r="H6506" s="153" t="s">
        <v>211</v>
      </c>
    </row>
    <row r="6507" hidden="1">
      <c r="A6507" s="154" t="s">
        <v>229</v>
      </c>
      <c r="B6507" s="155" t="s">
        <v>193</v>
      </c>
      <c r="C6507" s="155" t="s">
        <v>206</v>
      </c>
      <c r="D6507" s="156" t="s">
        <v>7313</v>
      </c>
      <c r="E6507" s="156" t="s">
        <v>7396</v>
      </c>
      <c r="F6507" s="156" t="s">
        <v>425</v>
      </c>
      <c r="G6507" s="156" t="s">
        <v>3546</v>
      </c>
      <c r="H6507" s="157" t="s">
        <v>212</v>
      </c>
    </row>
    <row r="6508" hidden="1">
      <c r="A6508" s="151" t="s">
        <v>229</v>
      </c>
      <c r="B6508" s="118" t="s">
        <v>193</v>
      </c>
      <c r="C6508" s="118" t="s">
        <v>206</v>
      </c>
      <c r="D6508" s="152" t="s">
        <v>7313</v>
      </c>
      <c r="E6508" s="152" t="s">
        <v>7397</v>
      </c>
      <c r="F6508" s="152" t="s">
        <v>354</v>
      </c>
      <c r="G6508" s="152" t="s">
        <v>3950</v>
      </c>
      <c r="H6508" s="153" t="s">
        <v>213</v>
      </c>
    </row>
    <row r="6509" hidden="1">
      <c r="A6509" s="154" t="s">
        <v>229</v>
      </c>
      <c r="B6509" s="155" t="s">
        <v>193</v>
      </c>
      <c r="C6509" s="155" t="s">
        <v>206</v>
      </c>
      <c r="D6509" s="156" t="s">
        <v>7313</v>
      </c>
      <c r="E6509" s="156" t="s">
        <v>7398</v>
      </c>
      <c r="F6509" s="156" t="s">
        <v>483</v>
      </c>
      <c r="G6509" s="156" t="s">
        <v>3513</v>
      </c>
      <c r="H6509" s="157" t="s">
        <v>214</v>
      </c>
    </row>
    <row r="6510" hidden="1">
      <c r="A6510" s="151" t="s">
        <v>229</v>
      </c>
      <c r="B6510" s="118" t="s">
        <v>193</v>
      </c>
      <c r="C6510" s="118" t="s">
        <v>206</v>
      </c>
      <c r="D6510" s="152" t="s">
        <v>7313</v>
      </c>
      <c r="E6510" s="152" t="s">
        <v>7399</v>
      </c>
      <c r="F6510" s="152" t="s">
        <v>577</v>
      </c>
      <c r="G6510" s="152" t="s">
        <v>2311</v>
      </c>
      <c r="H6510" s="153" t="s">
        <v>215</v>
      </c>
    </row>
    <row r="6511" hidden="1">
      <c r="A6511" s="154" t="s">
        <v>229</v>
      </c>
      <c r="B6511" s="155" t="s">
        <v>193</v>
      </c>
      <c r="C6511" s="155" t="s">
        <v>206</v>
      </c>
      <c r="D6511" s="156" t="s">
        <v>7313</v>
      </c>
      <c r="E6511" s="156" t="s">
        <v>7400</v>
      </c>
      <c r="F6511" s="156" t="s">
        <v>310</v>
      </c>
      <c r="G6511" s="156" t="s">
        <v>2760</v>
      </c>
      <c r="H6511" s="157" t="s">
        <v>216</v>
      </c>
    </row>
    <row r="6512" hidden="1">
      <c r="A6512" s="151" t="s">
        <v>230</v>
      </c>
      <c r="B6512" s="118" t="s">
        <v>194</v>
      </c>
      <c r="C6512" s="118" t="s">
        <v>206</v>
      </c>
      <c r="D6512" s="152" t="s">
        <v>7313</v>
      </c>
      <c r="E6512" s="152" t="s">
        <v>7401</v>
      </c>
      <c r="F6512" s="152" t="s">
        <v>285</v>
      </c>
      <c r="G6512" s="152" t="s">
        <v>1856</v>
      </c>
      <c r="H6512" s="153" t="s">
        <v>210</v>
      </c>
    </row>
    <row r="6513" hidden="1">
      <c r="A6513" s="154" t="s">
        <v>230</v>
      </c>
      <c r="B6513" s="155" t="s">
        <v>194</v>
      </c>
      <c r="C6513" s="155" t="s">
        <v>206</v>
      </c>
      <c r="D6513" s="156" t="s">
        <v>7313</v>
      </c>
      <c r="E6513" s="156" t="s">
        <v>7402</v>
      </c>
      <c r="F6513" s="156" t="s">
        <v>323</v>
      </c>
      <c r="G6513" s="156" t="s">
        <v>1852</v>
      </c>
      <c r="H6513" s="157" t="s">
        <v>211</v>
      </c>
    </row>
    <row r="6514" hidden="1">
      <c r="A6514" s="151" t="s">
        <v>230</v>
      </c>
      <c r="B6514" s="118" t="s">
        <v>194</v>
      </c>
      <c r="C6514" s="118" t="s">
        <v>206</v>
      </c>
      <c r="D6514" s="152" t="s">
        <v>7313</v>
      </c>
      <c r="E6514" s="152" t="s">
        <v>7403</v>
      </c>
      <c r="F6514" s="152" t="s">
        <v>314</v>
      </c>
      <c r="G6514" s="152" t="s">
        <v>1961</v>
      </c>
      <c r="H6514" s="153" t="s">
        <v>212</v>
      </c>
    </row>
    <row r="6515" hidden="1">
      <c r="A6515" s="154" t="s">
        <v>230</v>
      </c>
      <c r="B6515" s="155" t="s">
        <v>194</v>
      </c>
      <c r="C6515" s="155" t="s">
        <v>206</v>
      </c>
      <c r="D6515" s="156" t="s">
        <v>7313</v>
      </c>
      <c r="E6515" s="156" t="s">
        <v>7404</v>
      </c>
      <c r="F6515" s="156" t="s">
        <v>534</v>
      </c>
      <c r="G6515" s="156" t="s">
        <v>1812</v>
      </c>
      <c r="H6515" s="157" t="s">
        <v>213</v>
      </c>
    </row>
    <row r="6516" hidden="1">
      <c r="A6516" s="151" t="s">
        <v>230</v>
      </c>
      <c r="B6516" s="118" t="s">
        <v>194</v>
      </c>
      <c r="C6516" s="118" t="s">
        <v>206</v>
      </c>
      <c r="D6516" s="152" t="s">
        <v>7313</v>
      </c>
      <c r="E6516" s="152" t="s">
        <v>7405</v>
      </c>
      <c r="F6516" s="152" t="s">
        <v>323</v>
      </c>
      <c r="G6516" s="152" t="s">
        <v>2051</v>
      </c>
      <c r="H6516" s="153" t="s">
        <v>214</v>
      </c>
    </row>
    <row r="6517" hidden="1">
      <c r="A6517" s="154" t="s">
        <v>230</v>
      </c>
      <c r="B6517" s="155" t="s">
        <v>194</v>
      </c>
      <c r="C6517" s="155" t="s">
        <v>206</v>
      </c>
      <c r="D6517" s="156" t="s">
        <v>7313</v>
      </c>
      <c r="E6517" s="156" t="s">
        <v>7406</v>
      </c>
      <c r="F6517" s="156" t="s">
        <v>365</v>
      </c>
      <c r="G6517" s="156" t="s">
        <v>1737</v>
      </c>
      <c r="H6517" s="157" t="s">
        <v>215</v>
      </c>
    </row>
    <row r="6518" hidden="1">
      <c r="A6518" s="151" t="s">
        <v>230</v>
      </c>
      <c r="B6518" s="118" t="s">
        <v>194</v>
      </c>
      <c r="C6518" s="118" t="s">
        <v>206</v>
      </c>
      <c r="D6518" s="152" t="s">
        <v>7313</v>
      </c>
      <c r="E6518" s="152" t="s">
        <v>7407</v>
      </c>
      <c r="F6518" s="152" t="s">
        <v>285</v>
      </c>
      <c r="G6518" s="152" t="s">
        <v>2146</v>
      </c>
      <c r="H6518" s="153" t="s">
        <v>216</v>
      </c>
    </row>
    <row r="6519" hidden="1">
      <c r="A6519" s="158" t="s">
        <v>231</v>
      </c>
      <c r="B6519" s="159"/>
      <c r="C6519" s="155" t="s">
        <v>232</v>
      </c>
      <c r="D6519" s="156" t="s">
        <v>7313</v>
      </c>
      <c r="E6519" s="156" t="s">
        <v>7408</v>
      </c>
      <c r="F6519" s="156" t="s">
        <v>2654</v>
      </c>
      <c r="G6519" s="156" t="s">
        <v>5438</v>
      </c>
      <c r="H6519" s="157" t="s">
        <v>210</v>
      </c>
    </row>
    <row r="6520" hidden="1">
      <c r="A6520" s="160" t="s">
        <v>231</v>
      </c>
      <c r="B6520" s="72"/>
      <c r="C6520" s="118" t="s">
        <v>232</v>
      </c>
      <c r="D6520" s="152" t="s">
        <v>7313</v>
      </c>
      <c r="E6520" s="152" t="s">
        <v>7409</v>
      </c>
      <c r="F6520" s="152" t="s">
        <v>3218</v>
      </c>
      <c r="G6520" s="152" t="s">
        <v>4169</v>
      </c>
      <c r="H6520" s="153" t="s">
        <v>211</v>
      </c>
    </row>
    <row r="6521" hidden="1">
      <c r="A6521" s="158" t="s">
        <v>231</v>
      </c>
      <c r="B6521" s="159"/>
      <c r="C6521" s="155" t="s">
        <v>232</v>
      </c>
      <c r="D6521" s="156" t="s">
        <v>7313</v>
      </c>
      <c r="E6521" s="156" t="s">
        <v>7410</v>
      </c>
      <c r="F6521" s="156" t="s">
        <v>314</v>
      </c>
      <c r="G6521" s="156" t="s">
        <v>3265</v>
      </c>
      <c r="H6521" s="157" t="s">
        <v>212</v>
      </c>
    </row>
    <row r="6522" hidden="1">
      <c r="A6522" s="160" t="s">
        <v>231</v>
      </c>
      <c r="B6522" s="72"/>
      <c r="C6522" s="118" t="s">
        <v>232</v>
      </c>
      <c r="D6522" s="152" t="s">
        <v>7313</v>
      </c>
      <c r="E6522" s="152" t="s">
        <v>7411</v>
      </c>
      <c r="F6522" s="152" t="s">
        <v>249</v>
      </c>
      <c r="G6522" s="152" t="s">
        <v>4509</v>
      </c>
      <c r="H6522" s="153" t="s">
        <v>213</v>
      </c>
    </row>
    <row r="6523" hidden="1">
      <c r="A6523" s="158" t="s">
        <v>231</v>
      </c>
      <c r="B6523" s="159"/>
      <c r="C6523" s="155" t="s">
        <v>232</v>
      </c>
      <c r="D6523" s="156" t="s">
        <v>7313</v>
      </c>
      <c r="E6523" s="156" t="s">
        <v>7412</v>
      </c>
      <c r="F6523" s="156" t="s">
        <v>265</v>
      </c>
      <c r="G6523" s="156" t="s">
        <v>4169</v>
      </c>
      <c r="H6523" s="157" t="s">
        <v>214</v>
      </c>
    </row>
    <row r="6524" hidden="1">
      <c r="A6524" s="160" t="s">
        <v>231</v>
      </c>
      <c r="B6524" s="72"/>
      <c r="C6524" s="118" t="s">
        <v>232</v>
      </c>
      <c r="D6524" s="152" t="s">
        <v>7313</v>
      </c>
      <c r="E6524" s="152" t="s">
        <v>7413</v>
      </c>
      <c r="F6524" s="152" t="s">
        <v>305</v>
      </c>
      <c r="G6524" s="152" t="s">
        <v>3432</v>
      </c>
      <c r="H6524" s="153" t="s">
        <v>215</v>
      </c>
    </row>
    <row r="6525" hidden="1">
      <c r="A6525" s="158" t="s">
        <v>231</v>
      </c>
      <c r="B6525" s="159"/>
      <c r="C6525" s="155" t="s">
        <v>232</v>
      </c>
      <c r="D6525" s="156" t="s">
        <v>7313</v>
      </c>
      <c r="E6525" s="156" t="s">
        <v>7414</v>
      </c>
      <c r="F6525" s="156" t="s">
        <v>2607</v>
      </c>
      <c r="G6525" s="156" t="s">
        <v>3701</v>
      </c>
      <c r="H6525" s="157" t="s">
        <v>216</v>
      </c>
    </row>
    <row r="6526" hidden="1">
      <c r="A6526" s="160" t="s">
        <v>233</v>
      </c>
      <c r="B6526" s="72"/>
      <c r="C6526" s="118" t="s">
        <v>232</v>
      </c>
      <c r="D6526" s="152" t="s">
        <v>7313</v>
      </c>
      <c r="E6526" s="152" t="s">
        <v>7415</v>
      </c>
      <c r="F6526" s="152" t="s">
        <v>354</v>
      </c>
      <c r="G6526" s="152" t="s">
        <v>3950</v>
      </c>
      <c r="H6526" s="153" t="s">
        <v>210</v>
      </c>
    </row>
    <row r="6527" hidden="1">
      <c r="A6527" s="158" t="s">
        <v>233</v>
      </c>
      <c r="B6527" s="159"/>
      <c r="C6527" s="155" t="s">
        <v>232</v>
      </c>
      <c r="D6527" s="156" t="s">
        <v>7313</v>
      </c>
      <c r="E6527" s="156" t="s">
        <v>7416</v>
      </c>
      <c r="F6527" s="156" t="s">
        <v>677</v>
      </c>
      <c r="G6527" s="156" t="s">
        <v>3307</v>
      </c>
      <c r="H6527" s="157" t="s">
        <v>211</v>
      </c>
    </row>
    <row r="6528" hidden="1">
      <c r="A6528" s="160" t="s">
        <v>233</v>
      </c>
      <c r="B6528" s="72"/>
      <c r="C6528" s="118" t="s">
        <v>232</v>
      </c>
      <c r="D6528" s="152" t="s">
        <v>7313</v>
      </c>
      <c r="E6528" s="152" t="s">
        <v>7417</v>
      </c>
      <c r="F6528" s="152" t="s">
        <v>351</v>
      </c>
      <c r="G6528" s="152" t="s">
        <v>3611</v>
      </c>
      <c r="H6528" s="153" t="s">
        <v>212</v>
      </c>
    </row>
    <row r="6529" hidden="1">
      <c r="A6529" s="158" t="s">
        <v>233</v>
      </c>
      <c r="B6529" s="159"/>
      <c r="C6529" s="155" t="s">
        <v>232</v>
      </c>
      <c r="D6529" s="156" t="s">
        <v>7313</v>
      </c>
      <c r="E6529" s="156" t="s">
        <v>7418</v>
      </c>
      <c r="F6529" s="156" t="s">
        <v>799</v>
      </c>
      <c r="G6529" s="156" t="s">
        <v>2671</v>
      </c>
      <c r="H6529" s="157" t="s">
        <v>213</v>
      </c>
    </row>
    <row r="6530" hidden="1">
      <c r="A6530" s="160" t="s">
        <v>233</v>
      </c>
      <c r="B6530" s="72"/>
      <c r="C6530" s="118" t="s">
        <v>232</v>
      </c>
      <c r="D6530" s="152" t="s">
        <v>7313</v>
      </c>
      <c r="E6530" s="152" t="s">
        <v>7419</v>
      </c>
      <c r="F6530" s="152" t="s">
        <v>677</v>
      </c>
      <c r="G6530" s="152" t="s">
        <v>3408</v>
      </c>
      <c r="H6530" s="153" t="s">
        <v>214</v>
      </c>
    </row>
    <row r="6531" hidden="1">
      <c r="A6531" s="158" t="s">
        <v>233</v>
      </c>
      <c r="B6531" s="159"/>
      <c r="C6531" s="155" t="s">
        <v>232</v>
      </c>
      <c r="D6531" s="156" t="s">
        <v>7313</v>
      </c>
      <c r="E6531" s="156" t="s">
        <v>7420</v>
      </c>
      <c r="F6531" s="156" t="s">
        <v>354</v>
      </c>
      <c r="G6531" s="156" t="s">
        <v>2986</v>
      </c>
      <c r="H6531" s="157" t="s">
        <v>215</v>
      </c>
    </row>
    <row r="6532" hidden="1">
      <c r="A6532" s="160" t="s">
        <v>233</v>
      </c>
      <c r="B6532" s="72"/>
      <c r="C6532" s="118" t="s">
        <v>232</v>
      </c>
      <c r="D6532" s="152" t="s">
        <v>7313</v>
      </c>
      <c r="E6532" s="152" t="s">
        <v>7421</v>
      </c>
      <c r="F6532" s="152" t="s">
        <v>725</v>
      </c>
      <c r="G6532" s="152" t="s">
        <v>2346</v>
      </c>
      <c r="H6532" s="153" t="s">
        <v>216</v>
      </c>
    </row>
    <row r="6533" hidden="1">
      <c r="A6533" s="158" t="s">
        <v>234</v>
      </c>
      <c r="B6533" s="159"/>
      <c r="C6533" s="155" t="s">
        <v>232</v>
      </c>
      <c r="D6533" s="156" t="s">
        <v>7313</v>
      </c>
      <c r="E6533" s="156" t="s">
        <v>7422</v>
      </c>
      <c r="F6533" s="156" t="s">
        <v>718</v>
      </c>
      <c r="G6533" s="156" t="s">
        <v>1889</v>
      </c>
      <c r="H6533" s="157" t="s">
        <v>210</v>
      </c>
    </row>
    <row r="6534" hidden="1">
      <c r="A6534" s="160" t="s">
        <v>234</v>
      </c>
      <c r="B6534" s="72"/>
      <c r="C6534" s="118" t="s">
        <v>232</v>
      </c>
      <c r="D6534" s="152" t="s">
        <v>7313</v>
      </c>
      <c r="E6534" s="152" t="s">
        <v>7423</v>
      </c>
      <c r="F6534" s="152" t="s">
        <v>325</v>
      </c>
      <c r="G6534" s="152" t="s">
        <v>2093</v>
      </c>
      <c r="H6534" s="153" t="s">
        <v>211</v>
      </c>
    </row>
    <row r="6535" hidden="1">
      <c r="A6535" s="158" t="s">
        <v>234</v>
      </c>
      <c r="B6535" s="159"/>
      <c r="C6535" s="155" t="s">
        <v>232</v>
      </c>
      <c r="D6535" s="156" t="s">
        <v>7313</v>
      </c>
      <c r="E6535" s="156" t="s">
        <v>7424</v>
      </c>
      <c r="F6535" s="156" t="s">
        <v>483</v>
      </c>
      <c r="G6535" s="156" t="s">
        <v>2521</v>
      </c>
      <c r="H6535" s="157" t="s">
        <v>212</v>
      </c>
    </row>
    <row r="6536" hidden="1">
      <c r="A6536" s="160" t="s">
        <v>234</v>
      </c>
      <c r="B6536" s="72"/>
      <c r="C6536" s="118" t="s">
        <v>232</v>
      </c>
      <c r="D6536" s="152" t="s">
        <v>7313</v>
      </c>
      <c r="E6536" s="152" t="s">
        <v>7425</v>
      </c>
      <c r="F6536" s="152" t="s">
        <v>532</v>
      </c>
      <c r="G6536" s="152" t="s">
        <v>2364</v>
      </c>
      <c r="H6536" s="153" t="s">
        <v>213</v>
      </c>
    </row>
    <row r="6537" hidden="1">
      <c r="A6537" s="158" t="s">
        <v>234</v>
      </c>
      <c r="B6537" s="159"/>
      <c r="C6537" s="155" t="s">
        <v>232</v>
      </c>
      <c r="D6537" s="156" t="s">
        <v>7313</v>
      </c>
      <c r="E6537" s="156" t="s">
        <v>7426</v>
      </c>
      <c r="F6537" s="156" t="s">
        <v>354</v>
      </c>
      <c r="G6537" s="156" t="s">
        <v>2060</v>
      </c>
      <c r="H6537" s="157" t="s">
        <v>214</v>
      </c>
    </row>
    <row r="6538" hidden="1">
      <c r="A6538" s="160" t="s">
        <v>234</v>
      </c>
      <c r="B6538" s="72"/>
      <c r="C6538" s="118" t="s">
        <v>232</v>
      </c>
      <c r="D6538" s="152" t="s">
        <v>7313</v>
      </c>
      <c r="E6538" s="152" t="s">
        <v>7427</v>
      </c>
      <c r="F6538" s="152" t="s">
        <v>325</v>
      </c>
      <c r="G6538" s="152" t="s">
        <v>2055</v>
      </c>
      <c r="H6538" s="153" t="s">
        <v>215</v>
      </c>
    </row>
    <row r="6539" hidden="1">
      <c r="A6539" s="158" t="s">
        <v>234</v>
      </c>
      <c r="B6539" s="159"/>
      <c r="C6539" s="155" t="s">
        <v>232</v>
      </c>
      <c r="D6539" s="156" t="s">
        <v>7313</v>
      </c>
      <c r="E6539" s="156" t="s">
        <v>7428</v>
      </c>
      <c r="F6539" s="156" t="s">
        <v>725</v>
      </c>
      <c r="G6539" s="156" t="s">
        <v>1759</v>
      </c>
      <c r="H6539" s="157" t="s">
        <v>216</v>
      </c>
    </row>
    <row r="6540" hidden="1">
      <c r="A6540" s="160" t="s">
        <v>235</v>
      </c>
      <c r="B6540" s="72"/>
      <c r="C6540" s="118" t="s">
        <v>236</v>
      </c>
      <c r="D6540" s="152" t="s">
        <v>7313</v>
      </c>
      <c r="E6540" s="152" t="s">
        <v>7429</v>
      </c>
      <c r="F6540" s="152" t="s">
        <v>673</v>
      </c>
      <c r="G6540" s="152" t="s">
        <v>3572</v>
      </c>
      <c r="H6540" s="153" t="s">
        <v>210</v>
      </c>
    </row>
    <row r="6541" hidden="1">
      <c r="A6541" s="158" t="s">
        <v>235</v>
      </c>
      <c r="B6541" s="159"/>
      <c r="C6541" s="155" t="s">
        <v>236</v>
      </c>
      <c r="D6541" s="156" t="s">
        <v>7313</v>
      </c>
      <c r="E6541" s="156" t="s">
        <v>7430</v>
      </c>
      <c r="F6541" s="156" t="s">
        <v>312</v>
      </c>
      <c r="G6541" s="156" t="s">
        <v>4206</v>
      </c>
      <c r="H6541" s="157" t="s">
        <v>211</v>
      </c>
    </row>
    <row r="6542" hidden="1">
      <c r="A6542" s="160" t="s">
        <v>235</v>
      </c>
      <c r="B6542" s="72"/>
      <c r="C6542" s="118" t="s">
        <v>236</v>
      </c>
      <c r="D6542" s="152" t="s">
        <v>7313</v>
      </c>
      <c r="E6542" s="152" t="s">
        <v>7431</v>
      </c>
      <c r="F6542" s="152" t="s">
        <v>427</v>
      </c>
      <c r="G6542" s="152" t="s">
        <v>3270</v>
      </c>
      <c r="H6542" s="153" t="s">
        <v>212</v>
      </c>
    </row>
    <row r="6543" hidden="1">
      <c r="A6543" s="158" t="s">
        <v>235</v>
      </c>
      <c r="B6543" s="159"/>
      <c r="C6543" s="155" t="s">
        <v>236</v>
      </c>
      <c r="D6543" s="156" t="s">
        <v>7313</v>
      </c>
      <c r="E6543" s="156" t="s">
        <v>7432</v>
      </c>
      <c r="F6543" s="156" t="s">
        <v>329</v>
      </c>
      <c r="G6543" s="156" t="s">
        <v>2965</v>
      </c>
      <c r="H6543" s="157" t="s">
        <v>213</v>
      </c>
    </row>
    <row r="6544" hidden="1">
      <c r="A6544" s="160" t="s">
        <v>235</v>
      </c>
      <c r="B6544" s="72"/>
      <c r="C6544" s="118" t="s">
        <v>236</v>
      </c>
      <c r="D6544" s="152" t="s">
        <v>7313</v>
      </c>
      <c r="E6544" s="152" t="s">
        <v>7433</v>
      </c>
      <c r="F6544" s="152" t="s">
        <v>494</v>
      </c>
      <c r="G6544" s="152" t="s">
        <v>3908</v>
      </c>
      <c r="H6544" s="153" t="s">
        <v>214</v>
      </c>
    </row>
    <row r="6545" hidden="1">
      <c r="A6545" s="158" t="s">
        <v>235</v>
      </c>
      <c r="B6545" s="159"/>
      <c r="C6545" s="155" t="s">
        <v>236</v>
      </c>
      <c r="D6545" s="156" t="s">
        <v>7313</v>
      </c>
      <c r="E6545" s="156" t="s">
        <v>7434</v>
      </c>
      <c r="F6545" s="156" t="s">
        <v>354</v>
      </c>
      <c r="G6545" s="156" t="s">
        <v>3412</v>
      </c>
      <c r="H6545" s="157" t="s">
        <v>215</v>
      </c>
    </row>
    <row r="6546" hidden="1">
      <c r="A6546" s="160" t="s">
        <v>235</v>
      </c>
      <c r="B6546" s="72"/>
      <c r="C6546" s="118" t="s">
        <v>236</v>
      </c>
      <c r="D6546" s="152" t="s">
        <v>7313</v>
      </c>
      <c r="E6546" s="152" t="s">
        <v>7435</v>
      </c>
      <c r="F6546" s="152" t="s">
        <v>718</v>
      </c>
      <c r="G6546" s="152" t="s">
        <v>2965</v>
      </c>
      <c r="H6546" s="153" t="s">
        <v>216</v>
      </c>
    </row>
    <row r="6547" hidden="1">
      <c r="A6547" s="158" t="s">
        <v>237</v>
      </c>
      <c r="B6547" s="159"/>
      <c r="C6547" s="155" t="s">
        <v>236</v>
      </c>
      <c r="D6547" s="156" t="s">
        <v>7313</v>
      </c>
      <c r="E6547" s="156" t="s">
        <v>7436</v>
      </c>
      <c r="F6547" s="156" t="s">
        <v>483</v>
      </c>
      <c r="G6547" s="156" t="s">
        <v>1729</v>
      </c>
      <c r="H6547" s="157" t="s">
        <v>210</v>
      </c>
    </row>
    <row r="6548" hidden="1">
      <c r="A6548" s="160" t="s">
        <v>237</v>
      </c>
      <c r="B6548" s="72"/>
      <c r="C6548" s="118" t="s">
        <v>236</v>
      </c>
      <c r="D6548" s="152" t="s">
        <v>7313</v>
      </c>
      <c r="E6548" s="152" t="s">
        <v>7437</v>
      </c>
      <c r="F6548" s="152" t="s">
        <v>718</v>
      </c>
      <c r="G6548" s="152" t="s">
        <v>1810</v>
      </c>
      <c r="H6548" s="153" t="s">
        <v>211</v>
      </c>
    </row>
    <row r="6549" hidden="1">
      <c r="A6549" s="158" t="s">
        <v>237</v>
      </c>
      <c r="B6549" s="159"/>
      <c r="C6549" s="155" t="s">
        <v>236</v>
      </c>
      <c r="D6549" s="156" t="s">
        <v>7313</v>
      </c>
      <c r="E6549" s="156" t="s">
        <v>7438</v>
      </c>
      <c r="F6549" s="156" t="s">
        <v>331</v>
      </c>
      <c r="G6549" s="156" t="s">
        <v>1849</v>
      </c>
      <c r="H6549" s="157" t="s">
        <v>212</v>
      </c>
    </row>
    <row r="6550" hidden="1">
      <c r="A6550" s="160" t="s">
        <v>237</v>
      </c>
      <c r="B6550" s="72"/>
      <c r="C6550" s="118" t="s">
        <v>236</v>
      </c>
      <c r="D6550" s="152" t="s">
        <v>7313</v>
      </c>
      <c r="E6550" s="152" t="s">
        <v>7439</v>
      </c>
      <c r="F6550" s="152" t="s">
        <v>354</v>
      </c>
      <c r="G6550" s="152" t="s">
        <v>2785</v>
      </c>
      <c r="H6550" s="153" t="s">
        <v>213</v>
      </c>
    </row>
    <row r="6551" hidden="1">
      <c r="A6551" s="158" t="s">
        <v>237</v>
      </c>
      <c r="B6551" s="159"/>
      <c r="C6551" s="155" t="s">
        <v>236</v>
      </c>
      <c r="D6551" s="156" t="s">
        <v>7313</v>
      </c>
      <c r="E6551" s="156" t="s">
        <v>7440</v>
      </c>
      <c r="F6551" s="156" t="s">
        <v>329</v>
      </c>
      <c r="G6551" s="156" t="s">
        <v>3010</v>
      </c>
      <c r="H6551" s="157" t="s">
        <v>214</v>
      </c>
    </row>
    <row r="6552" hidden="1">
      <c r="A6552" s="160" t="s">
        <v>237</v>
      </c>
      <c r="B6552" s="72"/>
      <c r="C6552" s="118" t="s">
        <v>236</v>
      </c>
      <c r="D6552" s="152" t="s">
        <v>7313</v>
      </c>
      <c r="E6552" s="152" t="s">
        <v>7441</v>
      </c>
      <c r="F6552" s="152" t="s">
        <v>351</v>
      </c>
      <c r="G6552" s="152" t="s">
        <v>1725</v>
      </c>
      <c r="H6552" s="153" t="s">
        <v>215</v>
      </c>
    </row>
    <row r="6553" hidden="1">
      <c r="A6553" s="158" t="s">
        <v>237</v>
      </c>
      <c r="B6553" s="159"/>
      <c r="C6553" s="155" t="s">
        <v>236</v>
      </c>
      <c r="D6553" s="156" t="s">
        <v>7313</v>
      </c>
      <c r="E6553" s="156" t="s">
        <v>7442</v>
      </c>
      <c r="F6553" s="156" t="s">
        <v>354</v>
      </c>
      <c r="G6553" s="156" t="s">
        <v>2686</v>
      </c>
      <c r="H6553" s="157" t="s">
        <v>216</v>
      </c>
    </row>
    <row r="6554" hidden="1">
      <c r="A6554" s="151" t="s">
        <v>204</v>
      </c>
      <c r="B6554" s="118" t="s">
        <v>205</v>
      </c>
      <c r="C6554" s="118" t="s">
        <v>206</v>
      </c>
      <c r="D6554" s="152" t="s">
        <v>7443</v>
      </c>
      <c r="E6554" s="152" t="s">
        <v>7444</v>
      </c>
      <c r="F6554" s="152" t="s">
        <v>329</v>
      </c>
      <c r="G6554" s="152" t="s">
        <v>2910</v>
      </c>
      <c r="H6554" s="153" t="s">
        <v>210</v>
      </c>
    </row>
    <row r="6555" hidden="1">
      <c r="A6555" s="154" t="s">
        <v>204</v>
      </c>
      <c r="B6555" s="155" t="s">
        <v>205</v>
      </c>
      <c r="C6555" s="155" t="s">
        <v>206</v>
      </c>
      <c r="D6555" s="156" t="s">
        <v>7443</v>
      </c>
      <c r="E6555" s="156" t="s">
        <v>7445</v>
      </c>
      <c r="F6555" s="156" t="s">
        <v>483</v>
      </c>
      <c r="G6555" s="156" t="s">
        <v>3154</v>
      </c>
      <c r="H6555" s="157" t="s">
        <v>211</v>
      </c>
    </row>
    <row r="6556" hidden="1">
      <c r="A6556" s="151" t="s">
        <v>204</v>
      </c>
      <c r="B6556" s="118" t="s">
        <v>205</v>
      </c>
      <c r="C6556" s="118" t="s">
        <v>206</v>
      </c>
      <c r="D6556" s="152" t="s">
        <v>7443</v>
      </c>
      <c r="E6556" s="152" t="s">
        <v>7446</v>
      </c>
      <c r="F6556" s="152" t="s">
        <v>329</v>
      </c>
      <c r="G6556" s="152" t="s">
        <v>1791</v>
      </c>
      <c r="H6556" s="153" t="s">
        <v>212</v>
      </c>
    </row>
    <row r="6557" hidden="1">
      <c r="A6557" s="154" t="s">
        <v>204</v>
      </c>
      <c r="B6557" s="155" t="s">
        <v>205</v>
      </c>
      <c r="C6557" s="155" t="s">
        <v>206</v>
      </c>
      <c r="D6557" s="156" t="s">
        <v>7443</v>
      </c>
      <c r="E6557" s="156" t="s">
        <v>7447</v>
      </c>
      <c r="F6557" s="156" t="s">
        <v>483</v>
      </c>
      <c r="G6557" s="156" t="s">
        <v>3207</v>
      </c>
      <c r="H6557" s="157" t="s">
        <v>213</v>
      </c>
    </row>
    <row r="6558" hidden="1">
      <c r="A6558" s="151" t="s">
        <v>204</v>
      </c>
      <c r="B6558" s="118" t="s">
        <v>205</v>
      </c>
      <c r="C6558" s="118" t="s">
        <v>206</v>
      </c>
      <c r="D6558" s="152" t="s">
        <v>7443</v>
      </c>
      <c r="E6558" s="152" t="s">
        <v>7448</v>
      </c>
      <c r="F6558" s="152" t="s">
        <v>799</v>
      </c>
      <c r="G6558" s="152" t="s">
        <v>2506</v>
      </c>
      <c r="H6558" s="153" t="s">
        <v>214</v>
      </c>
    </row>
    <row r="6559" hidden="1">
      <c r="A6559" s="154" t="s">
        <v>204</v>
      </c>
      <c r="B6559" s="155" t="s">
        <v>205</v>
      </c>
      <c r="C6559" s="155" t="s">
        <v>206</v>
      </c>
      <c r="D6559" s="156" t="s">
        <v>7443</v>
      </c>
      <c r="E6559" s="156" t="s">
        <v>7449</v>
      </c>
      <c r="F6559" s="156" t="s">
        <v>577</v>
      </c>
      <c r="G6559" s="156" t="s">
        <v>3513</v>
      </c>
      <c r="H6559" s="157" t="s">
        <v>215</v>
      </c>
    </row>
    <row r="6560" hidden="1">
      <c r="A6560" s="151" t="s">
        <v>204</v>
      </c>
      <c r="B6560" s="118" t="s">
        <v>205</v>
      </c>
      <c r="C6560" s="118" t="s">
        <v>206</v>
      </c>
      <c r="D6560" s="152" t="s">
        <v>7443</v>
      </c>
      <c r="E6560" s="152" t="s">
        <v>7450</v>
      </c>
      <c r="F6560" s="152" t="s">
        <v>329</v>
      </c>
      <c r="G6560" s="152" t="s">
        <v>2824</v>
      </c>
      <c r="H6560" s="153" t="s">
        <v>216</v>
      </c>
    </row>
    <row r="6561" hidden="1">
      <c r="A6561" s="154" t="s">
        <v>217</v>
      </c>
      <c r="B6561" s="155" t="s">
        <v>191</v>
      </c>
      <c r="C6561" s="155" t="s">
        <v>206</v>
      </c>
      <c r="D6561" s="156" t="s">
        <v>7443</v>
      </c>
      <c r="E6561" s="156" t="s">
        <v>7451</v>
      </c>
      <c r="F6561" s="156" t="s">
        <v>312</v>
      </c>
      <c r="G6561" s="156" t="s">
        <v>2219</v>
      </c>
      <c r="H6561" s="157" t="s">
        <v>210</v>
      </c>
    </row>
    <row r="6562" hidden="1">
      <c r="A6562" s="151" t="s">
        <v>217</v>
      </c>
      <c r="B6562" s="118" t="s">
        <v>191</v>
      </c>
      <c r="C6562" s="118" t="s">
        <v>206</v>
      </c>
      <c r="D6562" s="152" t="s">
        <v>7443</v>
      </c>
      <c r="E6562" s="152" t="s">
        <v>7452</v>
      </c>
      <c r="F6562" s="152" t="s">
        <v>483</v>
      </c>
      <c r="G6562" s="152" t="s">
        <v>2510</v>
      </c>
      <c r="H6562" s="153" t="s">
        <v>211</v>
      </c>
    </row>
    <row r="6563" hidden="1">
      <c r="A6563" s="154" t="s">
        <v>217</v>
      </c>
      <c r="B6563" s="155" t="s">
        <v>191</v>
      </c>
      <c r="C6563" s="155" t="s">
        <v>206</v>
      </c>
      <c r="D6563" s="156" t="s">
        <v>7443</v>
      </c>
      <c r="E6563" s="156" t="s">
        <v>7453</v>
      </c>
      <c r="F6563" s="156" t="s">
        <v>427</v>
      </c>
      <c r="G6563" s="156" t="s">
        <v>1995</v>
      </c>
      <c r="H6563" s="157" t="s">
        <v>212</v>
      </c>
    </row>
    <row r="6564" hidden="1">
      <c r="A6564" s="151" t="s">
        <v>217</v>
      </c>
      <c r="B6564" s="118" t="s">
        <v>191</v>
      </c>
      <c r="C6564" s="118" t="s">
        <v>206</v>
      </c>
      <c r="D6564" s="152" t="s">
        <v>7443</v>
      </c>
      <c r="E6564" s="152" t="s">
        <v>7454</v>
      </c>
      <c r="F6564" s="152" t="s">
        <v>425</v>
      </c>
      <c r="G6564" s="152" t="s">
        <v>2824</v>
      </c>
      <c r="H6564" s="153" t="s">
        <v>213</v>
      </c>
    </row>
    <row r="6565" hidden="1">
      <c r="A6565" s="154" t="s">
        <v>217</v>
      </c>
      <c r="B6565" s="155" t="s">
        <v>191</v>
      </c>
      <c r="C6565" s="155" t="s">
        <v>206</v>
      </c>
      <c r="D6565" s="156" t="s">
        <v>7443</v>
      </c>
      <c r="E6565" s="156" t="s">
        <v>7455</v>
      </c>
      <c r="F6565" s="156" t="s">
        <v>478</v>
      </c>
      <c r="G6565" s="156" t="s">
        <v>2826</v>
      </c>
      <c r="H6565" s="157" t="s">
        <v>214</v>
      </c>
    </row>
    <row r="6566" hidden="1">
      <c r="A6566" s="151" t="s">
        <v>217</v>
      </c>
      <c r="B6566" s="118" t="s">
        <v>191</v>
      </c>
      <c r="C6566" s="118" t="s">
        <v>206</v>
      </c>
      <c r="D6566" s="152" t="s">
        <v>7443</v>
      </c>
      <c r="E6566" s="152" t="s">
        <v>7456</v>
      </c>
      <c r="F6566" s="152" t="s">
        <v>354</v>
      </c>
      <c r="G6566" s="152" t="s">
        <v>3280</v>
      </c>
      <c r="H6566" s="153" t="s">
        <v>215</v>
      </c>
    </row>
    <row r="6567" hidden="1">
      <c r="A6567" s="154" t="s">
        <v>217</v>
      </c>
      <c r="B6567" s="155" t="s">
        <v>191</v>
      </c>
      <c r="C6567" s="155" t="s">
        <v>206</v>
      </c>
      <c r="D6567" s="156" t="s">
        <v>7443</v>
      </c>
      <c r="E6567" s="156" t="s">
        <v>7457</v>
      </c>
      <c r="F6567" s="156" t="s">
        <v>354</v>
      </c>
      <c r="G6567" s="156" t="s">
        <v>3394</v>
      </c>
      <c r="H6567" s="157" t="s">
        <v>216</v>
      </c>
    </row>
    <row r="6568" hidden="1">
      <c r="A6568" s="151" t="s">
        <v>218</v>
      </c>
      <c r="B6568" s="118" t="s">
        <v>219</v>
      </c>
      <c r="C6568" s="118" t="s">
        <v>206</v>
      </c>
      <c r="D6568" s="152" t="s">
        <v>7443</v>
      </c>
      <c r="E6568" s="152" t="s">
        <v>7458</v>
      </c>
      <c r="F6568" s="152" t="s">
        <v>325</v>
      </c>
      <c r="G6568" s="152" t="s">
        <v>2912</v>
      </c>
      <c r="H6568" s="153" t="s">
        <v>210</v>
      </c>
    </row>
    <row r="6569" hidden="1">
      <c r="A6569" s="154" t="s">
        <v>218</v>
      </c>
      <c r="B6569" s="155" t="s">
        <v>219</v>
      </c>
      <c r="C6569" s="155" t="s">
        <v>206</v>
      </c>
      <c r="D6569" s="156" t="s">
        <v>7443</v>
      </c>
      <c r="E6569" s="156" t="s">
        <v>7459</v>
      </c>
      <c r="F6569" s="156" t="s">
        <v>351</v>
      </c>
      <c r="G6569" s="156" t="s">
        <v>3136</v>
      </c>
      <c r="H6569" s="157" t="s">
        <v>211</v>
      </c>
    </row>
    <row r="6570" hidden="1">
      <c r="A6570" s="151" t="s">
        <v>218</v>
      </c>
      <c r="B6570" s="118" t="s">
        <v>219</v>
      </c>
      <c r="C6570" s="118" t="s">
        <v>206</v>
      </c>
      <c r="D6570" s="152" t="s">
        <v>7443</v>
      </c>
      <c r="E6570" s="152" t="s">
        <v>7460</v>
      </c>
      <c r="F6570" s="152" t="s">
        <v>494</v>
      </c>
      <c r="G6570" s="152" t="s">
        <v>2187</v>
      </c>
      <c r="H6570" s="153" t="s">
        <v>212</v>
      </c>
    </row>
    <row r="6571" hidden="1">
      <c r="A6571" s="154" t="s">
        <v>218</v>
      </c>
      <c r="B6571" s="155" t="s">
        <v>219</v>
      </c>
      <c r="C6571" s="155" t="s">
        <v>206</v>
      </c>
      <c r="D6571" s="156" t="s">
        <v>7443</v>
      </c>
      <c r="E6571" s="156" t="s">
        <v>7461</v>
      </c>
      <c r="F6571" s="156" t="s">
        <v>305</v>
      </c>
      <c r="G6571" s="156" t="s">
        <v>3400</v>
      </c>
      <c r="H6571" s="157" t="s">
        <v>213</v>
      </c>
    </row>
    <row r="6572" hidden="1">
      <c r="A6572" s="151" t="s">
        <v>218</v>
      </c>
      <c r="B6572" s="118" t="s">
        <v>219</v>
      </c>
      <c r="C6572" s="118" t="s">
        <v>206</v>
      </c>
      <c r="D6572" s="152" t="s">
        <v>7443</v>
      </c>
      <c r="E6572" s="152" t="s">
        <v>7462</v>
      </c>
      <c r="F6572" s="152" t="s">
        <v>427</v>
      </c>
      <c r="G6572" s="152" t="s">
        <v>3057</v>
      </c>
      <c r="H6572" s="153" t="s">
        <v>214</v>
      </c>
    </row>
    <row r="6573" hidden="1">
      <c r="A6573" s="154" t="s">
        <v>218</v>
      </c>
      <c r="B6573" s="155" t="s">
        <v>219</v>
      </c>
      <c r="C6573" s="155" t="s">
        <v>206</v>
      </c>
      <c r="D6573" s="156" t="s">
        <v>7443</v>
      </c>
      <c r="E6573" s="156" t="s">
        <v>7463</v>
      </c>
      <c r="F6573" s="156" t="s">
        <v>310</v>
      </c>
      <c r="G6573" s="156" t="s">
        <v>2992</v>
      </c>
      <c r="H6573" s="157" t="s">
        <v>215</v>
      </c>
    </row>
    <row r="6574" hidden="1">
      <c r="A6574" s="151" t="s">
        <v>218</v>
      </c>
      <c r="B6574" s="118" t="s">
        <v>219</v>
      </c>
      <c r="C6574" s="118" t="s">
        <v>206</v>
      </c>
      <c r="D6574" s="152" t="s">
        <v>7443</v>
      </c>
      <c r="E6574" s="152" t="s">
        <v>7464</v>
      </c>
      <c r="F6574" s="152" t="s">
        <v>336</v>
      </c>
      <c r="G6574" s="152" t="s">
        <v>2661</v>
      </c>
      <c r="H6574" s="153" t="s">
        <v>216</v>
      </c>
    </row>
    <row r="6575" hidden="1">
      <c r="A6575" s="154" t="s">
        <v>220</v>
      </c>
      <c r="B6575" s="155" t="s">
        <v>190</v>
      </c>
      <c r="C6575" s="155" t="s">
        <v>206</v>
      </c>
      <c r="D6575" s="156" t="s">
        <v>7443</v>
      </c>
      <c r="E6575" s="156" t="s">
        <v>7465</v>
      </c>
      <c r="F6575" s="156" t="s">
        <v>677</v>
      </c>
      <c r="G6575" s="156" t="s">
        <v>7466</v>
      </c>
      <c r="H6575" s="157" t="s">
        <v>210</v>
      </c>
    </row>
    <row r="6576" hidden="1">
      <c r="A6576" s="151" t="s">
        <v>220</v>
      </c>
      <c r="B6576" s="118" t="s">
        <v>190</v>
      </c>
      <c r="C6576" s="118" t="s">
        <v>206</v>
      </c>
      <c r="D6576" s="152" t="s">
        <v>7443</v>
      </c>
      <c r="E6576" s="152" t="s">
        <v>7467</v>
      </c>
      <c r="F6576" s="152" t="s">
        <v>2607</v>
      </c>
      <c r="G6576" s="152" t="s">
        <v>5170</v>
      </c>
      <c r="H6576" s="153" t="s">
        <v>211</v>
      </c>
    </row>
    <row r="6577" hidden="1">
      <c r="A6577" s="154" t="s">
        <v>220</v>
      </c>
      <c r="B6577" s="155" t="s">
        <v>190</v>
      </c>
      <c r="C6577" s="155" t="s">
        <v>206</v>
      </c>
      <c r="D6577" s="156" t="s">
        <v>7443</v>
      </c>
      <c r="E6577" s="156" t="s">
        <v>7468</v>
      </c>
      <c r="F6577" s="156" t="s">
        <v>1530</v>
      </c>
      <c r="G6577" s="156" t="s">
        <v>4502</v>
      </c>
      <c r="H6577" s="157" t="s">
        <v>212</v>
      </c>
    </row>
    <row r="6578" hidden="1">
      <c r="A6578" s="151" t="s">
        <v>220</v>
      </c>
      <c r="B6578" s="118" t="s">
        <v>190</v>
      </c>
      <c r="C6578" s="118" t="s">
        <v>206</v>
      </c>
      <c r="D6578" s="152" t="s">
        <v>7443</v>
      </c>
      <c r="E6578" s="152" t="s">
        <v>7469</v>
      </c>
      <c r="F6578" s="152" t="s">
        <v>448</v>
      </c>
      <c r="G6578" s="152" t="s">
        <v>7470</v>
      </c>
      <c r="H6578" s="153" t="s">
        <v>213</v>
      </c>
    </row>
    <row r="6579" hidden="1">
      <c r="A6579" s="154" t="s">
        <v>220</v>
      </c>
      <c r="B6579" s="155" t="s">
        <v>190</v>
      </c>
      <c r="C6579" s="155" t="s">
        <v>206</v>
      </c>
      <c r="D6579" s="156" t="s">
        <v>7443</v>
      </c>
      <c r="E6579" s="156" t="s">
        <v>7471</v>
      </c>
      <c r="F6579" s="156" t="s">
        <v>735</v>
      </c>
      <c r="G6579" s="156" t="s">
        <v>7470</v>
      </c>
      <c r="H6579" s="157" t="s">
        <v>214</v>
      </c>
    </row>
    <row r="6580" hidden="1">
      <c r="A6580" s="151" t="s">
        <v>220</v>
      </c>
      <c r="B6580" s="118" t="s">
        <v>190</v>
      </c>
      <c r="C6580" s="118" t="s">
        <v>206</v>
      </c>
      <c r="D6580" s="152" t="s">
        <v>7443</v>
      </c>
      <c r="E6580" s="152" t="s">
        <v>7472</v>
      </c>
      <c r="F6580" s="152" t="s">
        <v>1931</v>
      </c>
      <c r="G6580" s="152" t="s">
        <v>3629</v>
      </c>
      <c r="H6580" s="153" t="s">
        <v>215</v>
      </c>
    </row>
    <row r="6581" hidden="1">
      <c r="A6581" s="154" t="s">
        <v>220</v>
      </c>
      <c r="B6581" s="155" t="s">
        <v>190</v>
      </c>
      <c r="C6581" s="155" t="s">
        <v>206</v>
      </c>
      <c r="D6581" s="156" t="s">
        <v>7443</v>
      </c>
      <c r="E6581" s="156" t="s">
        <v>7473</v>
      </c>
      <c r="F6581" s="156" t="s">
        <v>448</v>
      </c>
      <c r="G6581" s="156" t="s">
        <v>7474</v>
      </c>
      <c r="H6581" s="157" t="s">
        <v>216</v>
      </c>
    </row>
    <row r="6582" hidden="1">
      <c r="A6582" s="151" t="s">
        <v>221</v>
      </c>
      <c r="B6582" s="118" t="s">
        <v>189</v>
      </c>
      <c r="C6582" s="118" t="s">
        <v>206</v>
      </c>
      <c r="D6582" s="152" t="s">
        <v>7443</v>
      </c>
      <c r="E6582" s="152" t="s">
        <v>7475</v>
      </c>
      <c r="F6582" s="152" t="s">
        <v>329</v>
      </c>
      <c r="G6582" s="152" t="s">
        <v>2321</v>
      </c>
      <c r="H6582" s="153" t="s">
        <v>210</v>
      </c>
    </row>
    <row r="6583" hidden="1">
      <c r="A6583" s="154" t="s">
        <v>221</v>
      </c>
      <c r="B6583" s="155" t="s">
        <v>189</v>
      </c>
      <c r="C6583" s="155" t="s">
        <v>206</v>
      </c>
      <c r="D6583" s="156" t="s">
        <v>7443</v>
      </c>
      <c r="E6583" s="156" t="s">
        <v>7476</v>
      </c>
      <c r="F6583" s="156" t="s">
        <v>285</v>
      </c>
      <c r="G6583" s="156" t="s">
        <v>2730</v>
      </c>
      <c r="H6583" s="157" t="s">
        <v>211</v>
      </c>
    </row>
    <row r="6584" hidden="1">
      <c r="A6584" s="151" t="s">
        <v>221</v>
      </c>
      <c r="B6584" s="118" t="s">
        <v>189</v>
      </c>
      <c r="C6584" s="118" t="s">
        <v>206</v>
      </c>
      <c r="D6584" s="152" t="s">
        <v>7443</v>
      </c>
      <c r="E6584" s="152" t="s">
        <v>7477</v>
      </c>
      <c r="F6584" s="152" t="s">
        <v>718</v>
      </c>
      <c r="G6584" s="152" t="s">
        <v>2331</v>
      </c>
      <c r="H6584" s="153" t="s">
        <v>212</v>
      </c>
    </row>
    <row r="6585" hidden="1">
      <c r="A6585" s="154" t="s">
        <v>221</v>
      </c>
      <c r="B6585" s="155" t="s">
        <v>189</v>
      </c>
      <c r="C6585" s="155" t="s">
        <v>206</v>
      </c>
      <c r="D6585" s="156" t="s">
        <v>7443</v>
      </c>
      <c r="E6585" s="156" t="s">
        <v>7478</v>
      </c>
      <c r="F6585" s="156" t="s">
        <v>799</v>
      </c>
      <c r="G6585" s="156" t="s">
        <v>2730</v>
      </c>
      <c r="H6585" s="157" t="s">
        <v>213</v>
      </c>
    </row>
    <row r="6586" hidden="1">
      <c r="A6586" s="151" t="s">
        <v>221</v>
      </c>
      <c r="B6586" s="118" t="s">
        <v>189</v>
      </c>
      <c r="C6586" s="118" t="s">
        <v>206</v>
      </c>
      <c r="D6586" s="152" t="s">
        <v>7443</v>
      </c>
      <c r="E6586" s="152" t="s">
        <v>7479</v>
      </c>
      <c r="F6586" s="152" t="s">
        <v>244</v>
      </c>
      <c r="G6586" s="152" t="s">
        <v>1868</v>
      </c>
      <c r="H6586" s="153" t="s">
        <v>214</v>
      </c>
    </row>
    <row r="6587" hidden="1">
      <c r="A6587" s="154" t="s">
        <v>221</v>
      </c>
      <c r="B6587" s="155" t="s">
        <v>189</v>
      </c>
      <c r="C6587" s="155" t="s">
        <v>206</v>
      </c>
      <c r="D6587" s="156" t="s">
        <v>7443</v>
      </c>
      <c r="E6587" s="156" t="s">
        <v>7480</v>
      </c>
      <c r="F6587" s="156" t="s">
        <v>532</v>
      </c>
      <c r="G6587" s="156" t="s">
        <v>1814</v>
      </c>
      <c r="H6587" s="157" t="s">
        <v>215</v>
      </c>
    </row>
    <row r="6588" hidden="1">
      <c r="A6588" s="151" t="s">
        <v>221</v>
      </c>
      <c r="B6588" s="118" t="s">
        <v>189</v>
      </c>
      <c r="C6588" s="118" t="s">
        <v>206</v>
      </c>
      <c r="D6588" s="152" t="s">
        <v>7443</v>
      </c>
      <c r="E6588" s="152" t="s">
        <v>7481</v>
      </c>
      <c r="F6588" s="152" t="s">
        <v>427</v>
      </c>
      <c r="G6588" s="152" t="s">
        <v>2093</v>
      </c>
      <c r="H6588" s="153" t="s">
        <v>216</v>
      </c>
    </row>
    <row r="6589" hidden="1">
      <c r="A6589" s="154" t="s">
        <v>222</v>
      </c>
      <c r="B6589" s="155" t="s">
        <v>192</v>
      </c>
      <c r="C6589" s="155" t="s">
        <v>206</v>
      </c>
      <c r="D6589" s="156" t="s">
        <v>7443</v>
      </c>
      <c r="E6589" s="156" t="s">
        <v>7482</v>
      </c>
      <c r="F6589" s="156" t="s">
        <v>312</v>
      </c>
      <c r="G6589" s="156" t="s">
        <v>2352</v>
      </c>
      <c r="H6589" s="157" t="s">
        <v>210</v>
      </c>
    </row>
    <row r="6590" hidden="1">
      <c r="A6590" s="151" t="s">
        <v>222</v>
      </c>
      <c r="B6590" s="118" t="s">
        <v>192</v>
      </c>
      <c r="C6590" s="118" t="s">
        <v>206</v>
      </c>
      <c r="D6590" s="152" t="s">
        <v>7443</v>
      </c>
      <c r="E6590" s="152" t="s">
        <v>7483</v>
      </c>
      <c r="F6590" s="152" t="s">
        <v>799</v>
      </c>
      <c r="G6590" s="152" t="s">
        <v>3574</v>
      </c>
      <c r="H6590" s="153" t="s">
        <v>211</v>
      </c>
    </row>
    <row r="6591" hidden="1">
      <c r="A6591" s="154" t="s">
        <v>222</v>
      </c>
      <c r="B6591" s="155" t="s">
        <v>192</v>
      </c>
      <c r="C6591" s="155" t="s">
        <v>206</v>
      </c>
      <c r="D6591" s="156" t="s">
        <v>7443</v>
      </c>
      <c r="E6591" s="156" t="s">
        <v>7484</v>
      </c>
      <c r="F6591" s="156" t="s">
        <v>799</v>
      </c>
      <c r="G6591" s="156" t="s">
        <v>4743</v>
      </c>
      <c r="H6591" s="157" t="s">
        <v>212</v>
      </c>
    </row>
    <row r="6592" hidden="1">
      <c r="A6592" s="151" t="s">
        <v>222</v>
      </c>
      <c r="B6592" s="118" t="s">
        <v>192</v>
      </c>
      <c r="C6592" s="118" t="s">
        <v>206</v>
      </c>
      <c r="D6592" s="152" t="s">
        <v>7443</v>
      </c>
      <c r="E6592" s="152" t="s">
        <v>7485</v>
      </c>
      <c r="F6592" s="152" t="s">
        <v>534</v>
      </c>
      <c r="G6592" s="152" t="s">
        <v>2354</v>
      </c>
      <c r="H6592" s="153" t="s">
        <v>213</v>
      </c>
    </row>
    <row r="6593" hidden="1">
      <c r="A6593" s="154" t="s">
        <v>222</v>
      </c>
      <c r="B6593" s="155" t="s">
        <v>192</v>
      </c>
      <c r="C6593" s="155" t="s">
        <v>206</v>
      </c>
      <c r="D6593" s="156" t="s">
        <v>7443</v>
      </c>
      <c r="E6593" s="156" t="s">
        <v>7486</v>
      </c>
      <c r="F6593" s="156" t="s">
        <v>331</v>
      </c>
      <c r="G6593" s="156" t="s">
        <v>2354</v>
      </c>
      <c r="H6593" s="157" t="s">
        <v>214</v>
      </c>
    </row>
    <row r="6594" hidden="1">
      <c r="A6594" s="151" t="s">
        <v>222</v>
      </c>
      <c r="B6594" s="118" t="s">
        <v>192</v>
      </c>
      <c r="C6594" s="118" t="s">
        <v>206</v>
      </c>
      <c r="D6594" s="152" t="s">
        <v>7443</v>
      </c>
      <c r="E6594" s="152" t="s">
        <v>7487</v>
      </c>
      <c r="F6594" s="152" t="s">
        <v>577</v>
      </c>
      <c r="G6594" s="152" t="s">
        <v>3270</v>
      </c>
      <c r="H6594" s="153" t="s">
        <v>215</v>
      </c>
    </row>
    <row r="6595" hidden="1">
      <c r="A6595" s="154" t="s">
        <v>222</v>
      </c>
      <c r="B6595" s="155" t="s">
        <v>192</v>
      </c>
      <c r="C6595" s="155" t="s">
        <v>206</v>
      </c>
      <c r="D6595" s="156" t="s">
        <v>7443</v>
      </c>
      <c r="E6595" s="156" t="s">
        <v>7488</v>
      </c>
      <c r="F6595" s="156" t="s">
        <v>354</v>
      </c>
      <c r="G6595" s="156" t="s">
        <v>3900</v>
      </c>
      <c r="H6595" s="157" t="s">
        <v>216</v>
      </c>
    </row>
    <row r="6596" hidden="1">
      <c r="A6596" s="151" t="s">
        <v>223</v>
      </c>
      <c r="B6596" s="118" t="s">
        <v>144</v>
      </c>
      <c r="C6596" s="118" t="s">
        <v>206</v>
      </c>
      <c r="D6596" s="152" t="s">
        <v>7443</v>
      </c>
      <c r="E6596" s="152" t="s">
        <v>7489</v>
      </c>
      <c r="F6596" s="152" t="s">
        <v>325</v>
      </c>
      <c r="G6596" s="152" t="s">
        <v>2609</v>
      </c>
      <c r="H6596" s="153" t="s">
        <v>210</v>
      </c>
    </row>
    <row r="6597" hidden="1">
      <c r="A6597" s="154" t="s">
        <v>223</v>
      </c>
      <c r="B6597" s="155" t="s">
        <v>144</v>
      </c>
      <c r="C6597" s="155" t="s">
        <v>206</v>
      </c>
      <c r="D6597" s="156" t="s">
        <v>7443</v>
      </c>
      <c r="E6597" s="156" t="s">
        <v>7490</v>
      </c>
      <c r="F6597" s="156" t="s">
        <v>450</v>
      </c>
      <c r="G6597" s="156" t="s">
        <v>3307</v>
      </c>
      <c r="H6597" s="157" t="s">
        <v>211</v>
      </c>
    </row>
    <row r="6598" hidden="1">
      <c r="A6598" s="151" t="s">
        <v>223</v>
      </c>
      <c r="B6598" s="118" t="s">
        <v>144</v>
      </c>
      <c r="C6598" s="118" t="s">
        <v>206</v>
      </c>
      <c r="D6598" s="152" t="s">
        <v>7443</v>
      </c>
      <c r="E6598" s="152" t="s">
        <v>7491</v>
      </c>
      <c r="F6598" s="152" t="s">
        <v>310</v>
      </c>
      <c r="G6598" s="152" t="s">
        <v>3900</v>
      </c>
      <c r="H6598" s="153" t="s">
        <v>212</v>
      </c>
    </row>
    <row r="6599" hidden="1">
      <c r="A6599" s="154" t="s">
        <v>223</v>
      </c>
      <c r="B6599" s="155" t="s">
        <v>144</v>
      </c>
      <c r="C6599" s="155" t="s">
        <v>206</v>
      </c>
      <c r="D6599" s="156" t="s">
        <v>7443</v>
      </c>
      <c r="E6599" s="156" t="s">
        <v>7492</v>
      </c>
      <c r="F6599" s="156" t="s">
        <v>427</v>
      </c>
      <c r="G6599" s="156" t="s">
        <v>2816</v>
      </c>
      <c r="H6599" s="157" t="s">
        <v>213</v>
      </c>
    </row>
    <row r="6600" hidden="1">
      <c r="A6600" s="151" t="s">
        <v>223</v>
      </c>
      <c r="B6600" s="118" t="s">
        <v>144</v>
      </c>
      <c r="C6600" s="118" t="s">
        <v>206</v>
      </c>
      <c r="D6600" s="152" t="s">
        <v>7443</v>
      </c>
      <c r="E6600" s="152" t="s">
        <v>7493</v>
      </c>
      <c r="F6600" s="152" t="s">
        <v>450</v>
      </c>
      <c r="G6600" s="152" t="s">
        <v>3142</v>
      </c>
      <c r="H6600" s="153" t="s">
        <v>214</v>
      </c>
    </row>
    <row r="6601" hidden="1">
      <c r="A6601" s="154" t="s">
        <v>223</v>
      </c>
      <c r="B6601" s="155" t="s">
        <v>144</v>
      </c>
      <c r="C6601" s="155" t="s">
        <v>206</v>
      </c>
      <c r="D6601" s="156" t="s">
        <v>7443</v>
      </c>
      <c r="E6601" s="156" t="s">
        <v>7494</v>
      </c>
      <c r="F6601" s="156" t="s">
        <v>725</v>
      </c>
      <c r="G6601" s="156" t="s">
        <v>3396</v>
      </c>
      <c r="H6601" s="157" t="s">
        <v>215</v>
      </c>
    </row>
    <row r="6602" hidden="1">
      <c r="A6602" s="151" t="s">
        <v>223</v>
      </c>
      <c r="B6602" s="118" t="s">
        <v>144</v>
      </c>
      <c r="C6602" s="118" t="s">
        <v>206</v>
      </c>
      <c r="D6602" s="152" t="s">
        <v>7443</v>
      </c>
      <c r="E6602" s="152" t="s">
        <v>7495</v>
      </c>
      <c r="F6602" s="152" t="s">
        <v>450</v>
      </c>
      <c r="G6602" s="152" t="s">
        <v>3396</v>
      </c>
      <c r="H6602" s="153" t="s">
        <v>216</v>
      </c>
    </row>
    <row r="6603" hidden="1">
      <c r="A6603" s="154" t="s">
        <v>224</v>
      </c>
      <c r="B6603" s="155" t="s">
        <v>170</v>
      </c>
      <c r="C6603" s="155" t="s">
        <v>206</v>
      </c>
      <c r="D6603" s="156" t="s">
        <v>7443</v>
      </c>
      <c r="E6603" s="156" t="s">
        <v>7496</v>
      </c>
      <c r="F6603" s="156" t="s">
        <v>718</v>
      </c>
      <c r="G6603" s="156" t="s">
        <v>3478</v>
      </c>
      <c r="H6603" s="157" t="s">
        <v>210</v>
      </c>
    </row>
    <row r="6604" hidden="1">
      <c r="A6604" s="151" t="s">
        <v>224</v>
      </c>
      <c r="B6604" s="118" t="s">
        <v>170</v>
      </c>
      <c r="C6604" s="118" t="s">
        <v>206</v>
      </c>
      <c r="D6604" s="152" t="s">
        <v>7443</v>
      </c>
      <c r="E6604" s="152" t="s">
        <v>7497</v>
      </c>
      <c r="F6604" s="152" t="s">
        <v>2994</v>
      </c>
      <c r="G6604" s="152" t="s">
        <v>3294</v>
      </c>
      <c r="H6604" s="153" t="s">
        <v>211</v>
      </c>
    </row>
    <row r="6605" hidden="1">
      <c r="A6605" s="154" t="s">
        <v>224</v>
      </c>
      <c r="B6605" s="155" t="s">
        <v>170</v>
      </c>
      <c r="C6605" s="155" t="s">
        <v>206</v>
      </c>
      <c r="D6605" s="156" t="s">
        <v>7443</v>
      </c>
      <c r="E6605" s="156" t="s">
        <v>7498</v>
      </c>
      <c r="F6605" s="156" t="s">
        <v>448</v>
      </c>
      <c r="G6605" s="156" t="s">
        <v>3272</v>
      </c>
      <c r="H6605" s="157" t="s">
        <v>212</v>
      </c>
    </row>
    <row r="6606" hidden="1">
      <c r="A6606" s="151" t="s">
        <v>224</v>
      </c>
      <c r="B6606" s="118" t="s">
        <v>170</v>
      </c>
      <c r="C6606" s="118" t="s">
        <v>206</v>
      </c>
      <c r="D6606" s="152" t="s">
        <v>7443</v>
      </c>
      <c r="E6606" s="152" t="s">
        <v>7499</v>
      </c>
      <c r="F6606" s="152" t="s">
        <v>453</v>
      </c>
      <c r="G6606" s="152" t="s">
        <v>3919</v>
      </c>
      <c r="H6606" s="153" t="s">
        <v>213</v>
      </c>
    </row>
    <row r="6607" hidden="1">
      <c r="A6607" s="154" t="s">
        <v>224</v>
      </c>
      <c r="B6607" s="155" t="s">
        <v>170</v>
      </c>
      <c r="C6607" s="155" t="s">
        <v>206</v>
      </c>
      <c r="D6607" s="156" t="s">
        <v>7443</v>
      </c>
      <c r="E6607" s="156" t="s">
        <v>7500</v>
      </c>
      <c r="F6607" s="156" t="s">
        <v>1929</v>
      </c>
      <c r="G6607" s="156" t="s">
        <v>4442</v>
      </c>
      <c r="H6607" s="157" t="s">
        <v>214</v>
      </c>
    </row>
    <row r="6608" hidden="1">
      <c r="A6608" s="151" t="s">
        <v>224</v>
      </c>
      <c r="B6608" s="118" t="s">
        <v>170</v>
      </c>
      <c r="C6608" s="118" t="s">
        <v>206</v>
      </c>
      <c r="D6608" s="152" t="s">
        <v>7443</v>
      </c>
      <c r="E6608" s="152" t="s">
        <v>7501</v>
      </c>
      <c r="F6608" s="152" t="s">
        <v>532</v>
      </c>
      <c r="G6608" s="152" t="s">
        <v>3844</v>
      </c>
      <c r="H6608" s="153" t="s">
        <v>215</v>
      </c>
    </row>
    <row r="6609" hidden="1">
      <c r="A6609" s="154" t="s">
        <v>224</v>
      </c>
      <c r="B6609" s="155" t="s">
        <v>170</v>
      </c>
      <c r="C6609" s="155" t="s">
        <v>206</v>
      </c>
      <c r="D6609" s="156" t="s">
        <v>7443</v>
      </c>
      <c r="E6609" s="156" t="s">
        <v>7502</v>
      </c>
      <c r="F6609" s="156" t="s">
        <v>405</v>
      </c>
      <c r="G6609" s="156" t="s">
        <v>4194</v>
      </c>
      <c r="H6609" s="157" t="s">
        <v>216</v>
      </c>
    </row>
    <row r="6610" hidden="1">
      <c r="A6610" s="151" t="s">
        <v>225</v>
      </c>
      <c r="B6610" s="118" t="s">
        <v>226</v>
      </c>
      <c r="C6610" s="118" t="s">
        <v>206</v>
      </c>
      <c r="D6610" s="152" t="s">
        <v>7443</v>
      </c>
      <c r="E6610" s="152" t="s">
        <v>7503</v>
      </c>
      <c r="F6610" s="152" t="s">
        <v>262</v>
      </c>
      <c r="G6610" s="152" t="s">
        <v>2155</v>
      </c>
      <c r="H6610" s="153" t="s">
        <v>210</v>
      </c>
    </row>
    <row r="6611" hidden="1">
      <c r="A6611" s="154" t="s">
        <v>225</v>
      </c>
      <c r="B6611" s="155" t="s">
        <v>226</v>
      </c>
      <c r="C6611" s="155" t="s">
        <v>206</v>
      </c>
      <c r="D6611" s="156" t="s">
        <v>7443</v>
      </c>
      <c r="E6611" s="156" t="s">
        <v>7504</v>
      </c>
      <c r="F6611" s="156" t="s">
        <v>262</v>
      </c>
      <c r="G6611" s="156" t="s">
        <v>1787</v>
      </c>
      <c r="H6611" s="157" t="s">
        <v>211</v>
      </c>
    </row>
    <row r="6612" hidden="1">
      <c r="A6612" s="151" t="s">
        <v>225</v>
      </c>
      <c r="B6612" s="118" t="s">
        <v>226</v>
      </c>
      <c r="C6612" s="118" t="s">
        <v>206</v>
      </c>
      <c r="D6612" s="152" t="s">
        <v>7443</v>
      </c>
      <c r="E6612" s="152" t="s">
        <v>7505</v>
      </c>
      <c r="F6612" s="152" t="s">
        <v>259</v>
      </c>
      <c r="G6612" s="152" t="s">
        <v>2142</v>
      </c>
      <c r="H6612" s="153" t="s">
        <v>212</v>
      </c>
    </row>
    <row r="6613" hidden="1">
      <c r="A6613" s="154" t="s">
        <v>225</v>
      </c>
      <c r="B6613" s="155" t="s">
        <v>226</v>
      </c>
      <c r="C6613" s="155" t="s">
        <v>206</v>
      </c>
      <c r="D6613" s="156" t="s">
        <v>7443</v>
      </c>
      <c r="E6613" s="156" t="s">
        <v>7506</v>
      </c>
      <c r="F6613" s="156" t="s">
        <v>262</v>
      </c>
      <c r="G6613" s="156" t="s">
        <v>1901</v>
      </c>
      <c r="H6613" s="157" t="s">
        <v>213</v>
      </c>
    </row>
    <row r="6614" hidden="1">
      <c r="A6614" s="151" t="s">
        <v>225</v>
      </c>
      <c r="B6614" s="118" t="s">
        <v>226</v>
      </c>
      <c r="C6614" s="118" t="s">
        <v>206</v>
      </c>
      <c r="D6614" s="152" t="s">
        <v>7443</v>
      </c>
      <c r="E6614" s="152" t="s">
        <v>7507</v>
      </c>
      <c r="F6614" s="152" t="s">
        <v>240</v>
      </c>
      <c r="G6614" s="152" t="s">
        <v>2072</v>
      </c>
      <c r="H6614" s="153" t="s">
        <v>214</v>
      </c>
    </row>
    <row r="6615" hidden="1">
      <c r="A6615" s="154" t="s">
        <v>225</v>
      </c>
      <c r="B6615" s="155" t="s">
        <v>226</v>
      </c>
      <c r="C6615" s="155" t="s">
        <v>206</v>
      </c>
      <c r="D6615" s="156" t="s">
        <v>7443</v>
      </c>
      <c r="E6615" s="156" t="s">
        <v>7508</v>
      </c>
      <c r="F6615" s="156" t="s">
        <v>501</v>
      </c>
      <c r="G6615" s="156" t="s">
        <v>1825</v>
      </c>
      <c r="H6615" s="157" t="s">
        <v>215</v>
      </c>
    </row>
    <row r="6616" hidden="1">
      <c r="A6616" s="151" t="s">
        <v>225</v>
      </c>
      <c r="B6616" s="118" t="s">
        <v>226</v>
      </c>
      <c r="C6616" s="118" t="s">
        <v>206</v>
      </c>
      <c r="D6616" s="152" t="s">
        <v>7443</v>
      </c>
      <c r="E6616" s="152" t="s">
        <v>7509</v>
      </c>
      <c r="F6616" s="152" t="s">
        <v>262</v>
      </c>
      <c r="G6616" s="152" t="s">
        <v>2077</v>
      </c>
      <c r="H6616" s="153" t="s">
        <v>216</v>
      </c>
    </row>
    <row r="6617" hidden="1">
      <c r="A6617" s="154" t="s">
        <v>227</v>
      </c>
      <c r="B6617" s="155" t="s">
        <v>195</v>
      </c>
      <c r="C6617" s="155" t="s">
        <v>206</v>
      </c>
      <c r="D6617" s="156" t="s">
        <v>7443</v>
      </c>
      <c r="E6617" s="156" t="s">
        <v>7510</v>
      </c>
      <c r="F6617" s="156" t="s">
        <v>308</v>
      </c>
      <c r="G6617" s="156" t="s">
        <v>3710</v>
      </c>
      <c r="H6617" s="157" t="s">
        <v>210</v>
      </c>
    </row>
    <row r="6618" hidden="1">
      <c r="A6618" s="151" t="s">
        <v>227</v>
      </c>
      <c r="B6618" s="118" t="s">
        <v>195</v>
      </c>
      <c r="C6618" s="118" t="s">
        <v>206</v>
      </c>
      <c r="D6618" s="152" t="s">
        <v>7443</v>
      </c>
      <c r="E6618" s="152" t="s">
        <v>7511</v>
      </c>
      <c r="F6618" s="152" t="s">
        <v>1551</v>
      </c>
      <c r="G6618" s="152" t="s">
        <v>3108</v>
      </c>
      <c r="H6618" s="153" t="s">
        <v>211</v>
      </c>
    </row>
    <row r="6619" hidden="1">
      <c r="A6619" s="154" t="s">
        <v>227</v>
      </c>
      <c r="B6619" s="155" t="s">
        <v>195</v>
      </c>
      <c r="C6619" s="155" t="s">
        <v>206</v>
      </c>
      <c r="D6619" s="156" t="s">
        <v>7443</v>
      </c>
      <c r="E6619" s="156" t="s">
        <v>7512</v>
      </c>
      <c r="F6619" s="156" t="s">
        <v>331</v>
      </c>
      <c r="G6619" s="156" t="s">
        <v>3718</v>
      </c>
      <c r="H6619" s="157" t="s">
        <v>212</v>
      </c>
    </row>
    <row r="6620" hidden="1">
      <c r="A6620" s="151" t="s">
        <v>227</v>
      </c>
      <c r="B6620" s="118" t="s">
        <v>195</v>
      </c>
      <c r="C6620" s="118" t="s">
        <v>206</v>
      </c>
      <c r="D6620" s="152" t="s">
        <v>7443</v>
      </c>
      <c r="E6620" s="152" t="s">
        <v>7513</v>
      </c>
      <c r="F6620" s="152" t="s">
        <v>534</v>
      </c>
      <c r="G6620" s="152" t="s">
        <v>3059</v>
      </c>
      <c r="H6620" s="153" t="s">
        <v>213</v>
      </c>
    </row>
    <row r="6621" hidden="1">
      <c r="A6621" s="154" t="s">
        <v>227</v>
      </c>
      <c r="B6621" s="155" t="s">
        <v>195</v>
      </c>
      <c r="C6621" s="155" t="s">
        <v>206</v>
      </c>
      <c r="D6621" s="156" t="s">
        <v>7443</v>
      </c>
      <c r="E6621" s="156" t="s">
        <v>7514</v>
      </c>
      <c r="F6621" s="156" t="s">
        <v>269</v>
      </c>
      <c r="G6621" s="156" t="s">
        <v>3380</v>
      </c>
      <c r="H6621" s="157" t="s">
        <v>214</v>
      </c>
    </row>
    <row r="6622" hidden="1">
      <c r="A6622" s="151" t="s">
        <v>227</v>
      </c>
      <c r="B6622" s="118" t="s">
        <v>195</v>
      </c>
      <c r="C6622" s="118" t="s">
        <v>206</v>
      </c>
      <c r="D6622" s="152" t="s">
        <v>7443</v>
      </c>
      <c r="E6622" s="152" t="s">
        <v>7515</v>
      </c>
      <c r="F6622" s="152" t="s">
        <v>351</v>
      </c>
      <c r="G6622" s="152" t="s">
        <v>3620</v>
      </c>
      <c r="H6622" s="153" t="s">
        <v>215</v>
      </c>
    </row>
    <row r="6623" hidden="1">
      <c r="A6623" s="154" t="s">
        <v>227</v>
      </c>
      <c r="B6623" s="155" t="s">
        <v>195</v>
      </c>
      <c r="C6623" s="155" t="s">
        <v>206</v>
      </c>
      <c r="D6623" s="156" t="s">
        <v>7443</v>
      </c>
      <c r="E6623" s="156" t="s">
        <v>7516</v>
      </c>
      <c r="F6623" s="156" t="s">
        <v>257</v>
      </c>
      <c r="G6623" s="156" t="s">
        <v>3449</v>
      </c>
      <c r="H6623" s="157" t="s">
        <v>216</v>
      </c>
    </row>
    <row r="6624" hidden="1">
      <c r="A6624" s="151" t="s">
        <v>228</v>
      </c>
      <c r="B6624" s="118" t="s">
        <v>138</v>
      </c>
      <c r="C6624" s="118" t="s">
        <v>206</v>
      </c>
      <c r="D6624" s="152" t="s">
        <v>7443</v>
      </c>
      <c r="E6624" s="152" t="s">
        <v>7517</v>
      </c>
      <c r="F6624" s="152" t="s">
        <v>310</v>
      </c>
      <c r="G6624" s="152" t="s">
        <v>1860</v>
      </c>
      <c r="H6624" s="153" t="s">
        <v>210</v>
      </c>
    </row>
    <row r="6625" hidden="1">
      <c r="A6625" s="154" t="s">
        <v>228</v>
      </c>
      <c r="B6625" s="155" t="s">
        <v>138</v>
      </c>
      <c r="C6625" s="155" t="s">
        <v>206</v>
      </c>
      <c r="D6625" s="156" t="s">
        <v>7443</v>
      </c>
      <c r="E6625" s="156" t="s">
        <v>7518</v>
      </c>
      <c r="F6625" s="156" t="s">
        <v>357</v>
      </c>
      <c r="G6625" s="156" t="s">
        <v>3389</v>
      </c>
      <c r="H6625" s="157" t="s">
        <v>211</v>
      </c>
    </row>
    <row r="6626" hidden="1">
      <c r="A6626" s="151" t="s">
        <v>228</v>
      </c>
      <c r="B6626" s="118" t="s">
        <v>138</v>
      </c>
      <c r="C6626" s="118" t="s">
        <v>206</v>
      </c>
      <c r="D6626" s="152" t="s">
        <v>7443</v>
      </c>
      <c r="E6626" s="152" t="s">
        <v>7519</v>
      </c>
      <c r="F6626" s="152" t="s">
        <v>1530</v>
      </c>
      <c r="G6626" s="152" t="s">
        <v>2107</v>
      </c>
      <c r="H6626" s="153" t="s">
        <v>212</v>
      </c>
    </row>
    <row r="6627" hidden="1">
      <c r="A6627" s="154" t="s">
        <v>228</v>
      </c>
      <c r="B6627" s="155" t="s">
        <v>138</v>
      </c>
      <c r="C6627" s="155" t="s">
        <v>206</v>
      </c>
      <c r="D6627" s="156" t="s">
        <v>7443</v>
      </c>
      <c r="E6627" s="156" t="s">
        <v>7520</v>
      </c>
      <c r="F6627" s="156" t="s">
        <v>246</v>
      </c>
      <c r="G6627" s="156" t="s">
        <v>2109</v>
      </c>
      <c r="H6627" s="157" t="s">
        <v>213</v>
      </c>
    </row>
    <row r="6628" hidden="1">
      <c r="A6628" s="151" t="s">
        <v>228</v>
      </c>
      <c r="B6628" s="118" t="s">
        <v>138</v>
      </c>
      <c r="C6628" s="118" t="s">
        <v>206</v>
      </c>
      <c r="D6628" s="152" t="s">
        <v>7443</v>
      </c>
      <c r="E6628" s="152" t="s">
        <v>7521</v>
      </c>
      <c r="F6628" s="152" t="s">
        <v>262</v>
      </c>
      <c r="G6628" s="152" t="s">
        <v>2091</v>
      </c>
      <c r="H6628" s="153" t="s">
        <v>214</v>
      </c>
    </row>
    <row r="6629" hidden="1">
      <c r="A6629" s="154" t="s">
        <v>228</v>
      </c>
      <c r="B6629" s="155" t="s">
        <v>138</v>
      </c>
      <c r="C6629" s="155" t="s">
        <v>206</v>
      </c>
      <c r="D6629" s="156" t="s">
        <v>7443</v>
      </c>
      <c r="E6629" s="156" t="s">
        <v>7522</v>
      </c>
      <c r="F6629" s="156" t="s">
        <v>204</v>
      </c>
      <c r="G6629" s="156" t="s">
        <v>1759</v>
      </c>
      <c r="H6629" s="157" t="s">
        <v>215</v>
      </c>
    </row>
    <row r="6630" hidden="1">
      <c r="A6630" s="151" t="s">
        <v>228</v>
      </c>
      <c r="B6630" s="118" t="s">
        <v>138</v>
      </c>
      <c r="C6630" s="118" t="s">
        <v>206</v>
      </c>
      <c r="D6630" s="152" t="s">
        <v>7443</v>
      </c>
      <c r="E6630" s="152" t="s">
        <v>7523</v>
      </c>
      <c r="F6630" s="152" t="s">
        <v>321</v>
      </c>
      <c r="G6630" s="152" t="s">
        <v>2472</v>
      </c>
      <c r="H6630" s="153" t="s">
        <v>216</v>
      </c>
    </row>
    <row r="6631" hidden="1">
      <c r="A6631" s="154" t="s">
        <v>229</v>
      </c>
      <c r="B6631" s="155" t="s">
        <v>193</v>
      </c>
      <c r="C6631" s="155" t="s">
        <v>206</v>
      </c>
      <c r="D6631" s="156" t="s">
        <v>7443</v>
      </c>
      <c r="E6631" s="156" t="s">
        <v>7524</v>
      </c>
      <c r="F6631" s="156" t="s">
        <v>305</v>
      </c>
      <c r="G6631" s="156" t="s">
        <v>3136</v>
      </c>
      <c r="H6631" s="157" t="s">
        <v>210</v>
      </c>
    </row>
    <row r="6632" hidden="1">
      <c r="A6632" s="151" t="s">
        <v>229</v>
      </c>
      <c r="B6632" s="118" t="s">
        <v>193</v>
      </c>
      <c r="C6632" s="118" t="s">
        <v>206</v>
      </c>
      <c r="D6632" s="152" t="s">
        <v>7443</v>
      </c>
      <c r="E6632" s="152" t="s">
        <v>7525</v>
      </c>
      <c r="F6632" s="152" t="s">
        <v>725</v>
      </c>
      <c r="G6632" s="152" t="s">
        <v>3400</v>
      </c>
      <c r="H6632" s="153" t="s">
        <v>211</v>
      </c>
    </row>
    <row r="6633" hidden="1">
      <c r="A6633" s="154" t="s">
        <v>229</v>
      </c>
      <c r="B6633" s="155" t="s">
        <v>193</v>
      </c>
      <c r="C6633" s="155" t="s">
        <v>206</v>
      </c>
      <c r="D6633" s="156" t="s">
        <v>7443</v>
      </c>
      <c r="E6633" s="156" t="s">
        <v>7526</v>
      </c>
      <c r="F6633" s="156" t="s">
        <v>305</v>
      </c>
      <c r="G6633" s="156" t="s">
        <v>3142</v>
      </c>
      <c r="H6633" s="157" t="s">
        <v>212</v>
      </c>
    </row>
    <row r="6634" hidden="1">
      <c r="A6634" s="151" t="s">
        <v>229</v>
      </c>
      <c r="B6634" s="118" t="s">
        <v>193</v>
      </c>
      <c r="C6634" s="118" t="s">
        <v>206</v>
      </c>
      <c r="D6634" s="152" t="s">
        <v>7443</v>
      </c>
      <c r="E6634" s="152" t="s">
        <v>7527</v>
      </c>
      <c r="F6634" s="152" t="s">
        <v>329</v>
      </c>
      <c r="G6634" s="152" t="s">
        <v>3412</v>
      </c>
      <c r="H6634" s="153" t="s">
        <v>213</v>
      </c>
    </row>
    <row r="6635" hidden="1">
      <c r="A6635" s="154" t="s">
        <v>229</v>
      </c>
      <c r="B6635" s="155" t="s">
        <v>193</v>
      </c>
      <c r="C6635" s="155" t="s">
        <v>206</v>
      </c>
      <c r="D6635" s="156" t="s">
        <v>7443</v>
      </c>
      <c r="E6635" s="156" t="s">
        <v>7528</v>
      </c>
      <c r="F6635" s="156" t="s">
        <v>3218</v>
      </c>
      <c r="G6635" s="156" t="s">
        <v>3449</v>
      </c>
      <c r="H6635" s="157" t="s">
        <v>214</v>
      </c>
    </row>
    <row r="6636" hidden="1">
      <c r="A6636" s="151" t="s">
        <v>229</v>
      </c>
      <c r="B6636" s="118" t="s">
        <v>193</v>
      </c>
      <c r="C6636" s="118" t="s">
        <v>206</v>
      </c>
      <c r="D6636" s="152" t="s">
        <v>7443</v>
      </c>
      <c r="E6636" s="152" t="s">
        <v>7529</v>
      </c>
      <c r="F6636" s="152" t="s">
        <v>325</v>
      </c>
      <c r="G6636" s="152" t="s">
        <v>1932</v>
      </c>
      <c r="H6636" s="153" t="s">
        <v>215</v>
      </c>
    </row>
    <row r="6637" hidden="1">
      <c r="A6637" s="154" t="s">
        <v>229</v>
      </c>
      <c r="B6637" s="155" t="s">
        <v>193</v>
      </c>
      <c r="C6637" s="155" t="s">
        <v>206</v>
      </c>
      <c r="D6637" s="156" t="s">
        <v>7443</v>
      </c>
      <c r="E6637" s="156" t="s">
        <v>7530</v>
      </c>
      <c r="F6637" s="156" t="s">
        <v>425</v>
      </c>
      <c r="G6637" s="156" t="s">
        <v>2346</v>
      </c>
      <c r="H6637" s="157" t="s">
        <v>216</v>
      </c>
    </row>
    <row r="6638" hidden="1">
      <c r="A6638" s="151" t="s">
        <v>230</v>
      </c>
      <c r="B6638" s="118" t="s">
        <v>194</v>
      </c>
      <c r="C6638" s="118" t="s">
        <v>206</v>
      </c>
      <c r="D6638" s="152" t="s">
        <v>7443</v>
      </c>
      <c r="E6638" s="152" t="s">
        <v>7531</v>
      </c>
      <c r="F6638" s="152" t="s">
        <v>425</v>
      </c>
      <c r="G6638" s="152" t="s">
        <v>1834</v>
      </c>
      <c r="H6638" s="153" t="s">
        <v>210</v>
      </c>
    </row>
    <row r="6639" hidden="1">
      <c r="A6639" s="154" t="s">
        <v>230</v>
      </c>
      <c r="B6639" s="155" t="s">
        <v>194</v>
      </c>
      <c r="C6639" s="155" t="s">
        <v>206</v>
      </c>
      <c r="D6639" s="156" t="s">
        <v>7443</v>
      </c>
      <c r="E6639" s="156" t="s">
        <v>7532</v>
      </c>
      <c r="F6639" s="156" t="s">
        <v>351</v>
      </c>
      <c r="G6639" s="156" t="s">
        <v>2790</v>
      </c>
      <c r="H6639" s="157" t="s">
        <v>211</v>
      </c>
    </row>
    <row r="6640" hidden="1">
      <c r="A6640" s="151" t="s">
        <v>230</v>
      </c>
      <c r="B6640" s="118" t="s">
        <v>194</v>
      </c>
      <c r="C6640" s="118" t="s">
        <v>206</v>
      </c>
      <c r="D6640" s="152" t="s">
        <v>7443</v>
      </c>
      <c r="E6640" s="152" t="s">
        <v>7533</v>
      </c>
      <c r="F6640" s="152" t="s">
        <v>725</v>
      </c>
      <c r="G6640" s="152" t="s">
        <v>2557</v>
      </c>
      <c r="H6640" s="153" t="s">
        <v>212</v>
      </c>
    </row>
    <row r="6641" hidden="1">
      <c r="A6641" s="154" t="s">
        <v>230</v>
      </c>
      <c r="B6641" s="155" t="s">
        <v>194</v>
      </c>
      <c r="C6641" s="155" t="s">
        <v>206</v>
      </c>
      <c r="D6641" s="156" t="s">
        <v>7443</v>
      </c>
      <c r="E6641" s="156" t="s">
        <v>7534</v>
      </c>
      <c r="F6641" s="156" t="s">
        <v>310</v>
      </c>
      <c r="G6641" s="156" t="s">
        <v>2557</v>
      </c>
      <c r="H6641" s="157" t="s">
        <v>213</v>
      </c>
    </row>
    <row r="6642" hidden="1">
      <c r="A6642" s="151" t="s">
        <v>230</v>
      </c>
      <c r="B6642" s="118" t="s">
        <v>194</v>
      </c>
      <c r="C6642" s="118" t="s">
        <v>206</v>
      </c>
      <c r="D6642" s="152" t="s">
        <v>7443</v>
      </c>
      <c r="E6642" s="152" t="s">
        <v>7535</v>
      </c>
      <c r="F6642" s="152" t="s">
        <v>427</v>
      </c>
      <c r="G6642" s="152" t="s">
        <v>2686</v>
      </c>
      <c r="H6642" s="153" t="s">
        <v>214</v>
      </c>
    </row>
    <row r="6643" hidden="1">
      <c r="A6643" s="154" t="s">
        <v>230</v>
      </c>
      <c r="B6643" s="155" t="s">
        <v>194</v>
      </c>
      <c r="C6643" s="155" t="s">
        <v>206</v>
      </c>
      <c r="D6643" s="156" t="s">
        <v>7443</v>
      </c>
      <c r="E6643" s="156" t="s">
        <v>7536</v>
      </c>
      <c r="F6643" s="156" t="s">
        <v>427</v>
      </c>
      <c r="G6643" s="156" t="s">
        <v>2331</v>
      </c>
      <c r="H6643" s="157" t="s">
        <v>215</v>
      </c>
    </row>
    <row r="6644" hidden="1">
      <c r="A6644" s="151" t="s">
        <v>230</v>
      </c>
      <c r="B6644" s="118" t="s">
        <v>194</v>
      </c>
      <c r="C6644" s="118" t="s">
        <v>206</v>
      </c>
      <c r="D6644" s="152" t="s">
        <v>7443</v>
      </c>
      <c r="E6644" s="152" t="s">
        <v>7537</v>
      </c>
      <c r="F6644" s="152" t="s">
        <v>336</v>
      </c>
      <c r="G6644" s="152" t="s">
        <v>2542</v>
      </c>
      <c r="H6644" s="153" t="s">
        <v>216</v>
      </c>
    </row>
    <row r="6645" hidden="1">
      <c r="A6645" s="158" t="s">
        <v>231</v>
      </c>
      <c r="B6645" s="159"/>
      <c r="C6645" s="155" t="s">
        <v>232</v>
      </c>
      <c r="D6645" s="156" t="s">
        <v>7443</v>
      </c>
      <c r="E6645" s="156" t="s">
        <v>7538</v>
      </c>
      <c r="F6645" s="156" t="s">
        <v>269</v>
      </c>
      <c r="G6645" s="156" t="s">
        <v>4331</v>
      </c>
      <c r="H6645" s="157" t="s">
        <v>210</v>
      </c>
    </row>
    <row r="6646" hidden="1">
      <c r="A6646" s="160" t="s">
        <v>231</v>
      </c>
      <c r="B6646" s="72"/>
      <c r="C6646" s="118" t="s">
        <v>232</v>
      </c>
      <c r="D6646" s="152" t="s">
        <v>7443</v>
      </c>
      <c r="E6646" s="152" t="s">
        <v>7539</v>
      </c>
      <c r="F6646" s="152" t="s">
        <v>351</v>
      </c>
      <c r="G6646" s="152" t="s">
        <v>4167</v>
      </c>
      <c r="H6646" s="153" t="s">
        <v>211</v>
      </c>
    </row>
    <row r="6647" hidden="1">
      <c r="A6647" s="158" t="s">
        <v>231</v>
      </c>
      <c r="B6647" s="159"/>
      <c r="C6647" s="155" t="s">
        <v>232</v>
      </c>
      <c r="D6647" s="156" t="s">
        <v>7443</v>
      </c>
      <c r="E6647" s="156" t="s">
        <v>7540</v>
      </c>
      <c r="F6647" s="156" t="s">
        <v>269</v>
      </c>
      <c r="G6647" s="156" t="s">
        <v>2008</v>
      </c>
      <c r="H6647" s="157" t="s">
        <v>212</v>
      </c>
    </row>
    <row r="6648" hidden="1">
      <c r="A6648" s="160" t="s">
        <v>231</v>
      </c>
      <c r="B6648" s="72"/>
      <c r="C6648" s="118" t="s">
        <v>232</v>
      </c>
      <c r="D6648" s="152" t="s">
        <v>7443</v>
      </c>
      <c r="E6648" s="152" t="s">
        <v>7541</v>
      </c>
      <c r="F6648" s="152" t="s">
        <v>314</v>
      </c>
      <c r="G6648" s="152" t="s">
        <v>3532</v>
      </c>
      <c r="H6648" s="153" t="s">
        <v>213</v>
      </c>
    </row>
    <row r="6649" hidden="1">
      <c r="A6649" s="158" t="s">
        <v>231</v>
      </c>
      <c r="B6649" s="159"/>
      <c r="C6649" s="155" t="s">
        <v>232</v>
      </c>
      <c r="D6649" s="156" t="s">
        <v>7443</v>
      </c>
      <c r="E6649" s="156" t="s">
        <v>7542</v>
      </c>
      <c r="F6649" s="156" t="s">
        <v>310</v>
      </c>
      <c r="G6649" s="156" t="s">
        <v>4582</v>
      </c>
      <c r="H6649" s="157" t="s">
        <v>214</v>
      </c>
    </row>
    <row r="6650" hidden="1">
      <c r="A6650" s="160" t="s">
        <v>231</v>
      </c>
      <c r="B6650" s="72"/>
      <c r="C6650" s="118" t="s">
        <v>232</v>
      </c>
      <c r="D6650" s="152" t="s">
        <v>7443</v>
      </c>
      <c r="E6650" s="152" t="s">
        <v>7543</v>
      </c>
      <c r="F6650" s="152" t="s">
        <v>425</v>
      </c>
      <c r="G6650" s="152" t="s">
        <v>4268</v>
      </c>
      <c r="H6650" s="153" t="s">
        <v>215</v>
      </c>
    </row>
    <row r="6651" hidden="1">
      <c r="A6651" s="158" t="s">
        <v>231</v>
      </c>
      <c r="B6651" s="159"/>
      <c r="C6651" s="155" t="s">
        <v>232</v>
      </c>
      <c r="D6651" s="156" t="s">
        <v>7443</v>
      </c>
      <c r="E6651" s="156" t="s">
        <v>7544</v>
      </c>
      <c r="F6651" s="156" t="s">
        <v>285</v>
      </c>
      <c r="G6651" s="156" t="s">
        <v>4085</v>
      </c>
      <c r="H6651" s="157" t="s">
        <v>216</v>
      </c>
    </row>
    <row r="6652" hidden="1">
      <c r="A6652" s="160" t="s">
        <v>233</v>
      </c>
      <c r="B6652" s="72"/>
      <c r="C6652" s="118" t="s">
        <v>232</v>
      </c>
      <c r="D6652" s="152" t="s">
        <v>7443</v>
      </c>
      <c r="E6652" s="152" t="s">
        <v>7545</v>
      </c>
      <c r="F6652" s="152" t="s">
        <v>577</v>
      </c>
      <c r="G6652" s="152" t="s">
        <v>2006</v>
      </c>
      <c r="H6652" s="153" t="s">
        <v>210</v>
      </c>
    </row>
    <row r="6653" hidden="1">
      <c r="A6653" s="158" t="s">
        <v>233</v>
      </c>
      <c r="B6653" s="159"/>
      <c r="C6653" s="155" t="s">
        <v>232</v>
      </c>
      <c r="D6653" s="156" t="s">
        <v>7443</v>
      </c>
      <c r="E6653" s="156" t="s">
        <v>7546</v>
      </c>
      <c r="F6653" s="156" t="s">
        <v>799</v>
      </c>
      <c r="G6653" s="156" t="s">
        <v>2348</v>
      </c>
      <c r="H6653" s="157" t="s">
        <v>211</v>
      </c>
    </row>
    <row r="6654" hidden="1">
      <c r="A6654" s="160" t="s">
        <v>233</v>
      </c>
      <c r="B6654" s="72"/>
      <c r="C6654" s="118" t="s">
        <v>232</v>
      </c>
      <c r="D6654" s="152" t="s">
        <v>7443</v>
      </c>
      <c r="E6654" s="152" t="s">
        <v>7547</v>
      </c>
      <c r="F6654" s="152" t="s">
        <v>725</v>
      </c>
      <c r="G6654" s="152" t="s">
        <v>3117</v>
      </c>
      <c r="H6654" s="153" t="s">
        <v>212</v>
      </c>
    </row>
    <row r="6655" hidden="1">
      <c r="A6655" s="158" t="s">
        <v>233</v>
      </c>
      <c r="B6655" s="159"/>
      <c r="C6655" s="155" t="s">
        <v>232</v>
      </c>
      <c r="D6655" s="156" t="s">
        <v>7443</v>
      </c>
      <c r="E6655" s="156" t="s">
        <v>7548</v>
      </c>
      <c r="F6655" s="156" t="s">
        <v>494</v>
      </c>
      <c r="G6655" s="156" t="s">
        <v>2667</v>
      </c>
      <c r="H6655" s="157" t="s">
        <v>213</v>
      </c>
    </row>
    <row r="6656" hidden="1">
      <c r="A6656" s="160" t="s">
        <v>233</v>
      </c>
      <c r="B6656" s="72"/>
      <c r="C6656" s="118" t="s">
        <v>232</v>
      </c>
      <c r="D6656" s="152" t="s">
        <v>7443</v>
      </c>
      <c r="E6656" s="152" t="s">
        <v>7549</v>
      </c>
      <c r="F6656" s="152" t="s">
        <v>312</v>
      </c>
      <c r="G6656" s="152" t="s">
        <v>2820</v>
      </c>
      <c r="H6656" s="153" t="s">
        <v>214</v>
      </c>
    </row>
    <row r="6657" hidden="1">
      <c r="A6657" s="158" t="s">
        <v>233</v>
      </c>
      <c r="B6657" s="159"/>
      <c r="C6657" s="155" t="s">
        <v>232</v>
      </c>
      <c r="D6657" s="156" t="s">
        <v>7443</v>
      </c>
      <c r="E6657" s="156" t="s">
        <v>7550</v>
      </c>
      <c r="F6657" s="156" t="s">
        <v>718</v>
      </c>
      <c r="G6657" s="156" t="s">
        <v>3400</v>
      </c>
      <c r="H6657" s="157" t="s">
        <v>215</v>
      </c>
    </row>
    <row r="6658" hidden="1">
      <c r="A6658" s="160" t="s">
        <v>233</v>
      </c>
      <c r="B6658" s="72"/>
      <c r="C6658" s="118" t="s">
        <v>232</v>
      </c>
      <c r="D6658" s="152" t="s">
        <v>7443</v>
      </c>
      <c r="E6658" s="152" t="s">
        <v>7551</v>
      </c>
      <c r="F6658" s="152" t="s">
        <v>478</v>
      </c>
      <c r="G6658" s="152" t="s">
        <v>3558</v>
      </c>
      <c r="H6658" s="153" t="s">
        <v>216</v>
      </c>
    </row>
    <row r="6659" hidden="1">
      <c r="A6659" s="158" t="s">
        <v>234</v>
      </c>
      <c r="B6659" s="159"/>
      <c r="C6659" s="155" t="s">
        <v>232</v>
      </c>
      <c r="D6659" s="156" t="s">
        <v>7443</v>
      </c>
      <c r="E6659" s="156" t="s">
        <v>7552</v>
      </c>
      <c r="F6659" s="156" t="s">
        <v>427</v>
      </c>
      <c r="G6659" s="156" t="s">
        <v>1852</v>
      </c>
      <c r="H6659" s="157" t="s">
        <v>210</v>
      </c>
    </row>
    <row r="6660" hidden="1">
      <c r="A6660" s="160" t="s">
        <v>234</v>
      </c>
      <c r="B6660" s="72"/>
      <c r="C6660" s="118" t="s">
        <v>232</v>
      </c>
      <c r="D6660" s="152" t="s">
        <v>7443</v>
      </c>
      <c r="E6660" s="152" t="s">
        <v>7553</v>
      </c>
      <c r="F6660" s="152" t="s">
        <v>427</v>
      </c>
      <c r="G6660" s="152" t="s">
        <v>2557</v>
      </c>
      <c r="H6660" s="153" t="s">
        <v>211</v>
      </c>
    </row>
    <row r="6661" hidden="1">
      <c r="A6661" s="158" t="s">
        <v>234</v>
      </c>
      <c r="B6661" s="159"/>
      <c r="C6661" s="155" t="s">
        <v>232</v>
      </c>
      <c r="D6661" s="156" t="s">
        <v>7443</v>
      </c>
      <c r="E6661" s="156" t="s">
        <v>7554</v>
      </c>
      <c r="F6661" s="156" t="s">
        <v>725</v>
      </c>
      <c r="G6661" s="156" t="s">
        <v>2211</v>
      </c>
      <c r="H6661" s="157" t="s">
        <v>212</v>
      </c>
    </row>
    <row r="6662" hidden="1">
      <c r="A6662" s="160" t="s">
        <v>234</v>
      </c>
      <c r="B6662" s="72"/>
      <c r="C6662" s="118" t="s">
        <v>232</v>
      </c>
      <c r="D6662" s="152" t="s">
        <v>7443</v>
      </c>
      <c r="E6662" s="152" t="s">
        <v>7555</v>
      </c>
      <c r="F6662" s="152" t="s">
        <v>427</v>
      </c>
      <c r="G6662" s="152" t="s">
        <v>2299</v>
      </c>
      <c r="H6662" s="153" t="s">
        <v>213</v>
      </c>
    </row>
    <row r="6663" hidden="1">
      <c r="A6663" s="158" t="s">
        <v>234</v>
      </c>
      <c r="B6663" s="159"/>
      <c r="C6663" s="155" t="s">
        <v>232</v>
      </c>
      <c r="D6663" s="156" t="s">
        <v>7443</v>
      </c>
      <c r="E6663" s="156" t="s">
        <v>7556</v>
      </c>
      <c r="F6663" s="156" t="s">
        <v>534</v>
      </c>
      <c r="G6663" s="156" t="s">
        <v>3487</v>
      </c>
      <c r="H6663" s="157" t="s">
        <v>214</v>
      </c>
    </row>
    <row r="6664" hidden="1">
      <c r="A6664" s="160" t="s">
        <v>234</v>
      </c>
      <c r="B6664" s="72"/>
      <c r="C6664" s="118" t="s">
        <v>232</v>
      </c>
      <c r="D6664" s="152" t="s">
        <v>7443</v>
      </c>
      <c r="E6664" s="152" t="s">
        <v>7557</v>
      </c>
      <c r="F6664" s="152" t="s">
        <v>483</v>
      </c>
      <c r="G6664" s="152" t="s">
        <v>2132</v>
      </c>
      <c r="H6664" s="153" t="s">
        <v>215</v>
      </c>
    </row>
    <row r="6665" hidden="1">
      <c r="A6665" s="158" t="s">
        <v>234</v>
      </c>
      <c r="B6665" s="159"/>
      <c r="C6665" s="155" t="s">
        <v>232</v>
      </c>
      <c r="D6665" s="156" t="s">
        <v>7443</v>
      </c>
      <c r="E6665" s="156" t="s">
        <v>7558</v>
      </c>
      <c r="F6665" s="156" t="s">
        <v>427</v>
      </c>
      <c r="G6665" s="156" t="s">
        <v>2790</v>
      </c>
      <c r="H6665" s="157" t="s">
        <v>216</v>
      </c>
    </row>
    <row r="6666" hidden="1">
      <c r="A6666" s="160" t="s">
        <v>235</v>
      </c>
      <c r="B6666" s="72"/>
      <c r="C6666" s="118" t="s">
        <v>236</v>
      </c>
      <c r="D6666" s="152" t="s">
        <v>7443</v>
      </c>
      <c r="E6666" s="152" t="s">
        <v>7559</v>
      </c>
      <c r="F6666" s="152" t="s">
        <v>478</v>
      </c>
      <c r="G6666" s="152" t="s">
        <v>3844</v>
      </c>
      <c r="H6666" s="153" t="s">
        <v>210</v>
      </c>
    </row>
    <row r="6667" hidden="1">
      <c r="A6667" s="158" t="s">
        <v>235</v>
      </c>
      <c r="B6667" s="159"/>
      <c r="C6667" s="155" t="s">
        <v>236</v>
      </c>
      <c r="D6667" s="156" t="s">
        <v>7443</v>
      </c>
      <c r="E6667" s="156" t="s">
        <v>7560</v>
      </c>
      <c r="F6667" s="156" t="s">
        <v>312</v>
      </c>
      <c r="G6667" s="156" t="s">
        <v>3300</v>
      </c>
      <c r="H6667" s="157" t="s">
        <v>211</v>
      </c>
    </row>
    <row r="6668" hidden="1">
      <c r="A6668" s="160" t="s">
        <v>235</v>
      </c>
      <c r="B6668" s="72"/>
      <c r="C6668" s="118" t="s">
        <v>236</v>
      </c>
      <c r="D6668" s="152" t="s">
        <v>7443</v>
      </c>
      <c r="E6668" s="152" t="s">
        <v>7561</v>
      </c>
      <c r="F6668" s="152" t="s">
        <v>494</v>
      </c>
      <c r="G6668" s="152" t="s">
        <v>3915</v>
      </c>
      <c r="H6668" s="153" t="s">
        <v>212</v>
      </c>
    </row>
    <row r="6669" hidden="1">
      <c r="A6669" s="158" t="s">
        <v>235</v>
      </c>
      <c r="B6669" s="159"/>
      <c r="C6669" s="155" t="s">
        <v>236</v>
      </c>
      <c r="D6669" s="156" t="s">
        <v>7443</v>
      </c>
      <c r="E6669" s="156" t="s">
        <v>7562</v>
      </c>
      <c r="F6669" s="156" t="s">
        <v>478</v>
      </c>
      <c r="G6669" s="156" t="s">
        <v>3900</v>
      </c>
      <c r="H6669" s="157" t="s">
        <v>213</v>
      </c>
    </row>
    <row r="6670" hidden="1">
      <c r="A6670" s="160" t="s">
        <v>235</v>
      </c>
      <c r="B6670" s="72"/>
      <c r="C6670" s="118" t="s">
        <v>236</v>
      </c>
      <c r="D6670" s="152" t="s">
        <v>7443</v>
      </c>
      <c r="E6670" s="152" t="s">
        <v>7563</v>
      </c>
      <c r="F6670" s="152" t="s">
        <v>423</v>
      </c>
      <c r="G6670" s="152" t="s">
        <v>2008</v>
      </c>
      <c r="H6670" s="153" t="s">
        <v>214</v>
      </c>
    </row>
    <row r="6671" hidden="1">
      <c r="A6671" s="158" t="s">
        <v>235</v>
      </c>
      <c r="B6671" s="159"/>
      <c r="C6671" s="155" t="s">
        <v>236</v>
      </c>
      <c r="D6671" s="156" t="s">
        <v>7443</v>
      </c>
      <c r="E6671" s="156" t="s">
        <v>7564</v>
      </c>
      <c r="F6671" s="156" t="s">
        <v>1532</v>
      </c>
      <c r="G6671" s="156" t="s">
        <v>2348</v>
      </c>
      <c r="H6671" s="157" t="s">
        <v>215</v>
      </c>
    </row>
    <row r="6672" hidden="1">
      <c r="A6672" s="160" t="s">
        <v>235</v>
      </c>
      <c r="B6672" s="72"/>
      <c r="C6672" s="118" t="s">
        <v>236</v>
      </c>
      <c r="D6672" s="152" t="s">
        <v>7443</v>
      </c>
      <c r="E6672" s="152" t="s">
        <v>7565</v>
      </c>
      <c r="F6672" s="152" t="s">
        <v>312</v>
      </c>
      <c r="G6672" s="152" t="s">
        <v>3108</v>
      </c>
      <c r="H6672" s="153" t="s">
        <v>216</v>
      </c>
    </row>
    <row r="6673" hidden="1">
      <c r="A6673" s="158" t="s">
        <v>237</v>
      </c>
      <c r="B6673" s="159"/>
      <c r="C6673" s="155" t="s">
        <v>236</v>
      </c>
      <c r="D6673" s="156" t="s">
        <v>7443</v>
      </c>
      <c r="E6673" s="156" t="s">
        <v>7566</v>
      </c>
      <c r="F6673" s="156" t="s">
        <v>305</v>
      </c>
      <c r="G6673" s="156" t="s">
        <v>2557</v>
      </c>
      <c r="H6673" s="157" t="s">
        <v>210</v>
      </c>
    </row>
    <row r="6674" hidden="1">
      <c r="A6674" s="160" t="s">
        <v>237</v>
      </c>
      <c r="B6674" s="72"/>
      <c r="C6674" s="118" t="s">
        <v>236</v>
      </c>
      <c r="D6674" s="152" t="s">
        <v>7443</v>
      </c>
      <c r="E6674" s="152" t="s">
        <v>7567</v>
      </c>
      <c r="F6674" s="152" t="s">
        <v>244</v>
      </c>
      <c r="G6674" s="152" t="s">
        <v>2413</v>
      </c>
      <c r="H6674" s="153" t="s">
        <v>211</v>
      </c>
    </row>
    <row r="6675" hidden="1">
      <c r="A6675" s="158" t="s">
        <v>237</v>
      </c>
      <c r="B6675" s="159"/>
      <c r="C6675" s="155" t="s">
        <v>236</v>
      </c>
      <c r="D6675" s="156" t="s">
        <v>7443</v>
      </c>
      <c r="E6675" s="156" t="s">
        <v>7568</v>
      </c>
      <c r="F6675" s="156" t="s">
        <v>305</v>
      </c>
      <c r="G6675" s="156" t="s">
        <v>2567</v>
      </c>
      <c r="H6675" s="157" t="s">
        <v>212</v>
      </c>
    </row>
    <row r="6676" hidden="1">
      <c r="A6676" s="160" t="s">
        <v>237</v>
      </c>
      <c r="B6676" s="72"/>
      <c r="C6676" s="118" t="s">
        <v>236</v>
      </c>
      <c r="D6676" s="152" t="s">
        <v>7443</v>
      </c>
      <c r="E6676" s="152" t="s">
        <v>7569</v>
      </c>
      <c r="F6676" s="152" t="s">
        <v>323</v>
      </c>
      <c r="G6676" s="152" t="s">
        <v>2303</v>
      </c>
      <c r="H6676" s="153" t="s">
        <v>213</v>
      </c>
    </row>
    <row r="6677" hidden="1">
      <c r="A6677" s="158" t="s">
        <v>237</v>
      </c>
      <c r="B6677" s="159"/>
      <c r="C6677" s="155" t="s">
        <v>236</v>
      </c>
      <c r="D6677" s="156" t="s">
        <v>7443</v>
      </c>
      <c r="E6677" s="156" t="s">
        <v>7570</v>
      </c>
      <c r="F6677" s="156" t="s">
        <v>244</v>
      </c>
      <c r="G6677" s="156" t="s">
        <v>1864</v>
      </c>
      <c r="H6677" s="157" t="s">
        <v>214</v>
      </c>
    </row>
    <row r="6678" hidden="1">
      <c r="A6678" s="160" t="s">
        <v>237</v>
      </c>
      <c r="B6678" s="72"/>
      <c r="C6678" s="118" t="s">
        <v>236</v>
      </c>
      <c r="D6678" s="152" t="s">
        <v>7443</v>
      </c>
      <c r="E6678" s="152" t="s">
        <v>7571</v>
      </c>
      <c r="F6678" s="152" t="s">
        <v>310</v>
      </c>
      <c r="G6678" s="152" t="s">
        <v>2146</v>
      </c>
      <c r="H6678" s="153" t="s">
        <v>215</v>
      </c>
    </row>
    <row r="6679" hidden="1">
      <c r="A6679" s="158" t="s">
        <v>237</v>
      </c>
      <c r="B6679" s="159"/>
      <c r="C6679" s="155" t="s">
        <v>236</v>
      </c>
      <c r="D6679" s="156" t="s">
        <v>7443</v>
      </c>
      <c r="E6679" s="156" t="s">
        <v>7572</v>
      </c>
      <c r="F6679" s="156" t="s">
        <v>321</v>
      </c>
      <c r="G6679" s="156" t="s">
        <v>2563</v>
      </c>
      <c r="H6679" s="157" t="s">
        <v>216</v>
      </c>
    </row>
    <row r="6680" hidden="1">
      <c r="A6680" s="151" t="s">
        <v>204</v>
      </c>
      <c r="B6680" s="118" t="s">
        <v>205</v>
      </c>
      <c r="C6680" s="118" t="s">
        <v>206</v>
      </c>
      <c r="D6680" s="152" t="s">
        <v>7573</v>
      </c>
      <c r="E6680" s="152" t="s">
        <v>7574</v>
      </c>
      <c r="F6680" s="152" t="s">
        <v>339</v>
      </c>
      <c r="G6680" s="152" t="s">
        <v>3408</v>
      </c>
      <c r="H6680" s="153" t="s">
        <v>210</v>
      </c>
    </row>
    <row r="6681" hidden="1">
      <c r="A6681" s="154" t="s">
        <v>204</v>
      </c>
      <c r="B6681" s="155" t="s">
        <v>205</v>
      </c>
      <c r="C6681" s="155" t="s">
        <v>206</v>
      </c>
      <c r="D6681" s="156" t="s">
        <v>7573</v>
      </c>
      <c r="E6681" s="156" t="s">
        <v>7575</v>
      </c>
      <c r="F6681" s="156" t="s">
        <v>305</v>
      </c>
      <c r="G6681" s="156" t="s">
        <v>3449</v>
      </c>
      <c r="H6681" s="157" t="s">
        <v>211</v>
      </c>
    </row>
    <row r="6682" hidden="1">
      <c r="A6682" s="151" t="s">
        <v>204</v>
      </c>
      <c r="B6682" s="118" t="s">
        <v>205</v>
      </c>
      <c r="C6682" s="118" t="s">
        <v>206</v>
      </c>
      <c r="D6682" s="152" t="s">
        <v>7573</v>
      </c>
      <c r="E6682" s="152" t="s">
        <v>7576</v>
      </c>
      <c r="F6682" s="152" t="s">
        <v>310</v>
      </c>
      <c r="G6682" s="152" t="s">
        <v>2519</v>
      </c>
      <c r="H6682" s="153" t="s">
        <v>212</v>
      </c>
    </row>
    <row r="6683" hidden="1">
      <c r="A6683" s="154" t="s">
        <v>204</v>
      </c>
      <c r="B6683" s="155" t="s">
        <v>205</v>
      </c>
      <c r="C6683" s="155" t="s">
        <v>206</v>
      </c>
      <c r="D6683" s="156" t="s">
        <v>7573</v>
      </c>
      <c r="E6683" s="156" t="s">
        <v>7577</v>
      </c>
      <c r="F6683" s="156" t="s">
        <v>305</v>
      </c>
      <c r="G6683" s="156" t="s">
        <v>3410</v>
      </c>
      <c r="H6683" s="157" t="s">
        <v>213</v>
      </c>
    </row>
    <row r="6684" hidden="1">
      <c r="A6684" s="151" t="s">
        <v>204</v>
      </c>
      <c r="B6684" s="118" t="s">
        <v>205</v>
      </c>
      <c r="C6684" s="118" t="s">
        <v>206</v>
      </c>
      <c r="D6684" s="152" t="s">
        <v>7573</v>
      </c>
      <c r="E6684" s="152" t="s">
        <v>7578</v>
      </c>
      <c r="F6684" s="152" t="s">
        <v>336</v>
      </c>
      <c r="G6684" s="152" t="s">
        <v>3900</v>
      </c>
      <c r="H6684" s="153" t="s">
        <v>214</v>
      </c>
    </row>
    <row r="6685" hidden="1">
      <c r="A6685" s="154" t="s">
        <v>204</v>
      </c>
      <c r="B6685" s="155" t="s">
        <v>205</v>
      </c>
      <c r="C6685" s="155" t="s">
        <v>206</v>
      </c>
      <c r="D6685" s="156" t="s">
        <v>7573</v>
      </c>
      <c r="E6685" s="156" t="s">
        <v>7579</v>
      </c>
      <c r="F6685" s="156" t="s">
        <v>427</v>
      </c>
      <c r="G6685" s="156" t="s">
        <v>3718</v>
      </c>
      <c r="H6685" s="157" t="s">
        <v>215</v>
      </c>
    </row>
    <row r="6686" hidden="1">
      <c r="A6686" s="151" t="s">
        <v>204</v>
      </c>
      <c r="B6686" s="118" t="s">
        <v>205</v>
      </c>
      <c r="C6686" s="118" t="s">
        <v>206</v>
      </c>
      <c r="D6686" s="152" t="s">
        <v>7573</v>
      </c>
      <c r="E6686" s="152" t="s">
        <v>7580</v>
      </c>
      <c r="F6686" s="152" t="s">
        <v>351</v>
      </c>
      <c r="G6686" s="152" t="s">
        <v>1791</v>
      </c>
      <c r="H6686" s="153" t="s">
        <v>216</v>
      </c>
    </row>
    <row r="6687" hidden="1">
      <c r="A6687" s="154" t="s">
        <v>217</v>
      </c>
      <c r="B6687" s="155" t="s">
        <v>191</v>
      </c>
      <c r="C6687" s="155" t="s">
        <v>206</v>
      </c>
      <c r="D6687" s="156" t="s">
        <v>7573</v>
      </c>
      <c r="E6687" s="156" t="s">
        <v>7581</v>
      </c>
      <c r="F6687" s="156" t="s">
        <v>310</v>
      </c>
      <c r="G6687" s="156" t="s">
        <v>2671</v>
      </c>
      <c r="H6687" s="157" t="s">
        <v>210</v>
      </c>
    </row>
    <row r="6688" hidden="1">
      <c r="A6688" s="151" t="s">
        <v>217</v>
      </c>
      <c r="B6688" s="118" t="s">
        <v>191</v>
      </c>
      <c r="C6688" s="118" t="s">
        <v>206</v>
      </c>
      <c r="D6688" s="152" t="s">
        <v>7573</v>
      </c>
      <c r="E6688" s="152" t="s">
        <v>7582</v>
      </c>
      <c r="F6688" s="152" t="s">
        <v>310</v>
      </c>
      <c r="G6688" s="152" t="s">
        <v>2189</v>
      </c>
      <c r="H6688" s="153" t="s">
        <v>211</v>
      </c>
    </row>
    <row r="6689" hidden="1">
      <c r="A6689" s="154" t="s">
        <v>217</v>
      </c>
      <c r="B6689" s="155" t="s">
        <v>191</v>
      </c>
      <c r="C6689" s="155" t="s">
        <v>206</v>
      </c>
      <c r="D6689" s="156" t="s">
        <v>7573</v>
      </c>
      <c r="E6689" s="156" t="s">
        <v>7583</v>
      </c>
      <c r="F6689" s="156" t="s">
        <v>308</v>
      </c>
      <c r="G6689" s="156" t="s">
        <v>3968</v>
      </c>
      <c r="H6689" s="157" t="s">
        <v>212</v>
      </c>
    </row>
    <row r="6690" hidden="1">
      <c r="A6690" s="151" t="s">
        <v>217</v>
      </c>
      <c r="B6690" s="118" t="s">
        <v>191</v>
      </c>
      <c r="C6690" s="118" t="s">
        <v>206</v>
      </c>
      <c r="D6690" s="152" t="s">
        <v>7573</v>
      </c>
      <c r="E6690" s="152" t="s">
        <v>7584</v>
      </c>
      <c r="F6690" s="152" t="s">
        <v>351</v>
      </c>
      <c r="G6690" s="152" t="s">
        <v>3572</v>
      </c>
      <c r="H6690" s="153" t="s">
        <v>213</v>
      </c>
    </row>
    <row r="6691" hidden="1">
      <c r="A6691" s="154" t="s">
        <v>217</v>
      </c>
      <c r="B6691" s="155" t="s">
        <v>191</v>
      </c>
      <c r="C6691" s="155" t="s">
        <v>206</v>
      </c>
      <c r="D6691" s="156" t="s">
        <v>7573</v>
      </c>
      <c r="E6691" s="156" t="s">
        <v>7585</v>
      </c>
      <c r="F6691" s="156" t="s">
        <v>339</v>
      </c>
      <c r="G6691" s="156" t="s">
        <v>1995</v>
      </c>
      <c r="H6691" s="157" t="s">
        <v>214</v>
      </c>
    </row>
    <row r="6692" hidden="1">
      <c r="A6692" s="151" t="s">
        <v>217</v>
      </c>
      <c r="B6692" s="118" t="s">
        <v>191</v>
      </c>
      <c r="C6692" s="118" t="s">
        <v>206</v>
      </c>
      <c r="D6692" s="152" t="s">
        <v>7573</v>
      </c>
      <c r="E6692" s="152" t="s">
        <v>7586</v>
      </c>
      <c r="F6692" s="152" t="s">
        <v>310</v>
      </c>
      <c r="G6692" s="152" t="s">
        <v>2177</v>
      </c>
      <c r="H6692" s="153" t="s">
        <v>215</v>
      </c>
    </row>
    <row r="6693" hidden="1">
      <c r="A6693" s="154" t="s">
        <v>217</v>
      </c>
      <c r="B6693" s="155" t="s">
        <v>191</v>
      </c>
      <c r="C6693" s="155" t="s">
        <v>206</v>
      </c>
      <c r="D6693" s="156" t="s">
        <v>7573</v>
      </c>
      <c r="E6693" s="156" t="s">
        <v>7587</v>
      </c>
      <c r="F6693" s="156" t="s">
        <v>310</v>
      </c>
      <c r="G6693" s="156" t="s">
        <v>3200</v>
      </c>
      <c r="H6693" s="157" t="s">
        <v>216</v>
      </c>
    </row>
    <row r="6694" hidden="1">
      <c r="A6694" s="151" t="s">
        <v>218</v>
      </c>
      <c r="B6694" s="118" t="s">
        <v>219</v>
      </c>
      <c r="C6694" s="118" t="s">
        <v>206</v>
      </c>
      <c r="D6694" s="152" t="s">
        <v>7573</v>
      </c>
      <c r="E6694" s="152" t="s">
        <v>7588</v>
      </c>
      <c r="F6694" s="152" t="s">
        <v>301</v>
      </c>
      <c r="G6694" s="152" t="s">
        <v>2995</v>
      </c>
      <c r="H6694" s="153" t="s">
        <v>210</v>
      </c>
    </row>
    <row r="6695" hidden="1">
      <c r="A6695" s="154" t="s">
        <v>218</v>
      </c>
      <c r="B6695" s="155" t="s">
        <v>219</v>
      </c>
      <c r="C6695" s="155" t="s">
        <v>206</v>
      </c>
      <c r="D6695" s="156" t="s">
        <v>7573</v>
      </c>
      <c r="E6695" s="156" t="s">
        <v>7589</v>
      </c>
      <c r="F6695" s="156" t="s">
        <v>323</v>
      </c>
      <c r="G6695" s="156" t="s">
        <v>3142</v>
      </c>
      <c r="H6695" s="157" t="s">
        <v>211</v>
      </c>
    </row>
    <row r="6696" hidden="1">
      <c r="A6696" s="151" t="s">
        <v>218</v>
      </c>
      <c r="B6696" s="118" t="s">
        <v>219</v>
      </c>
      <c r="C6696" s="118" t="s">
        <v>206</v>
      </c>
      <c r="D6696" s="152" t="s">
        <v>7573</v>
      </c>
      <c r="E6696" s="152" t="s">
        <v>7590</v>
      </c>
      <c r="F6696" s="152" t="s">
        <v>269</v>
      </c>
      <c r="G6696" s="152" t="s">
        <v>3558</v>
      </c>
      <c r="H6696" s="153" t="s">
        <v>212</v>
      </c>
    </row>
    <row r="6697" hidden="1">
      <c r="A6697" s="154" t="s">
        <v>218</v>
      </c>
      <c r="B6697" s="155" t="s">
        <v>219</v>
      </c>
      <c r="C6697" s="155" t="s">
        <v>206</v>
      </c>
      <c r="D6697" s="156" t="s">
        <v>7573</v>
      </c>
      <c r="E6697" s="156" t="s">
        <v>7591</v>
      </c>
      <c r="F6697" s="156" t="s">
        <v>365</v>
      </c>
      <c r="G6697" s="156" t="s">
        <v>2506</v>
      </c>
      <c r="H6697" s="157" t="s">
        <v>213</v>
      </c>
    </row>
    <row r="6698" hidden="1">
      <c r="A6698" s="151" t="s">
        <v>218</v>
      </c>
      <c r="B6698" s="118" t="s">
        <v>219</v>
      </c>
      <c r="C6698" s="118" t="s">
        <v>206</v>
      </c>
      <c r="D6698" s="152" t="s">
        <v>7573</v>
      </c>
      <c r="E6698" s="152" t="s">
        <v>7592</v>
      </c>
      <c r="F6698" s="152" t="s">
        <v>323</v>
      </c>
      <c r="G6698" s="152" t="s">
        <v>2671</v>
      </c>
      <c r="H6698" s="153" t="s">
        <v>214</v>
      </c>
    </row>
    <row r="6699" hidden="1">
      <c r="A6699" s="154" t="s">
        <v>218</v>
      </c>
      <c r="B6699" s="155" t="s">
        <v>219</v>
      </c>
      <c r="C6699" s="155" t="s">
        <v>206</v>
      </c>
      <c r="D6699" s="156" t="s">
        <v>7573</v>
      </c>
      <c r="E6699" s="156" t="s">
        <v>7593</v>
      </c>
      <c r="F6699" s="156" t="s">
        <v>246</v>
      </c>
      <c r="G6699" s="156" t="s">
        <v>4013</v>
      </c>
      <c r="H6699" s="157" t="s">
        <v>215</v>
      </c>
    </row>
    <row r="6700" hidden="1">
      <c r="A6700" s="151" t="s">
        <v>218</v>
      </c>
      <c r="B6700" s="118" t="s">
        <v>219</v>
      </c>
      <c r="C6700" s="118" t="s">
        <v>206</v>
      </c>
      <c r="D6700" s="152" t="s">
        <v>7573</v>
      </c>
      <c r="E6700" s="152" t="s">
        <v>7594</v>
      </c>
      <c r="F6700" s="152" t="s">
        <v>246</v>
      </c>
      <c r="G6700" s="152" t="s">
        <v>3691</v>
      </c>
      <c r="H6700" s="153" t="s">
        <v>216</v>
      </c>
    </row>
    <row r="6701" hidden="1">
      <c r="A6701" s="154" t="s">
        <v>220</v>
      </c>
      <c r="B6701" s="155" t="s">
        <v>190</v>
      </c>
      <c r="C6701" s="155" t="s">
        <v>206</v>
      </c>
      <c r="D6701" s="156" t="s">
        <v>7573</v>
      </c>
      <c r="E6701" s="156" t="s">
        <v>7595</v>
      </c>
      <c r="F6701" s="156" t="s">
        <v>458</v>
      </c>
      <c r="G6701" s="156" t="s">
        <v>3629</v>
      </c>
      <c r="H6701" s="157" t="s">
        <v>210</v>
      </c>
    </row>
    <row r="6702" hidden="1">
      <c r="A6702" s="151" t="s">
        <v>220</v>
      </c>
      <c r="B6702" s="118" t="s">
        <v>190</v>
      </c>
      <c r="C6702" s="118" t="s">
        <v>206</v>
      </c>
      <c r="D6702" s="152" t="s">
        <v>7573</v>
      </c>
      <c r="E6702" s="152" t="s">
        <v>7596</v>
      </c>
      <c r="F6702" s="152" t="s">
        <v>427</v>
      </c>
      <c r="G6702" s="152" t="s">
        <v>7597</v>
      </c>
      <c r="H6702" s="153" t="s">
        <v>211</v>
      </c>
    </row>
    <row r="6703" hidden="1">
      <c r="A6703" s="154" t="s">
        <v>220</v>
      </c>
      <c r="B6703" s="155" t="s">
        <v>190</v>
      </c>
      <c r="C6703" s="155" t="s">
        <v>206</v>
      </c>
      <c r="D6703" s="156" t="s">
        <v>7573</v>
      </c>
      <c r="E6703" s="156" t="s">
        <v>7598</v>
      </c>
      <c r="F6703" s="156" t="s">
        <v>2994</v>
      </c>
      <c r="G6703" s="156" t="s">
        <v>1785</v>
      </c>
      <c r="H6703" s="157" t="s">
        <v>212</v>
      </c>
    </row>
    <row r="6704" hidden="1">
      <c r="A6704" s="151" t="s">
        <v>220</v>
      </c>
      <c r="B6704" s="118" t="s">
        <v>190</v>
      </c>
      <c r="C6704" s="118" t="s">
        <v>206</v>
      </c>
      <c r="D6704" s="152" t="s">
        <v>7573</v>
      </c>
      <c r="E6704" s="152" t="s">
        <v>7599</v>
      </c>
      <c r="F6704" s="152" t="s">
        <v>351</v>
      </c>
      <c r="G6704" s="152" t="s">
        <v>7600</v>
      </c>
      <c r="H6704" s="153" t="s">
        <v>213</v>
      </c>
    </row>
    <row r="6705" hidden="1">
      <c r="A6705" s="154" t="s">
        <v>220</v>
      </c>
      <c r="B6705" s="155" t="s">
        <v>190</v>
      </c>
      <c r="C6705" s="155" t="s">
        <v>206</v>
      </c>
      <c r="D6705" s="156" t="s">
        <v>7573</v>
      </c>
      <c r="E6705" s="156" t="s">
        <v>7601</v>
      </c>
      <c r="F6705" s="156" t="s">
        <v>249</v>
      </c>
      <c r="G6705" s="156" t="s">
        <v>7602</v>
      </c>
      <c r="H6705" s="157" t="s">
        <v>214</v>
      </c>
    </row>
    <row r="6706" hidden="1">
      <c r="A6706" s="151" t="s">
        <v>220</v>
      </c>
      <c r="B6706" s="118" t="s">
        <v>190</v>
      </c>
      <c r="C6706" s="118" t="s">
        <v>206</v>
      </c>
      <c r="D6706" s="152" t="s">
        <v>7573</v>
      </c>
      <c r="E6706" s="152" t="s">
        <v>7603</v>
      </c>
      <c r="F6706" s="152" t="s">
        <v>3218</v>
      </c>
      <c r="G6706" s="152" t="s">
        <v>4627</v>
      </c>
      <c r="H6706" s="153" t="s">
        <v>215</v>
      </c>
    </row>
    <row r="6707" hidden="1">
      <c r="A6707" s="154" t="s">
        <v>220</v>
      </c>
      <c r="B6707" s="155" t="s">
        <v>190</v>
      </c>
      <c r="C6707" s="155" t="s">
        <v>206</v>
      </c>
      <c r="D6707" s="156" t="s">
        <v>7573</v>
      </c>
      <c r="E6707" s="156" t="s">
        <v>7604</v>
      </c>
      <c r="F6707" s="156" t="s">
        <v>323</v>
      </c>
      <c r="G6707" s="156" t="s">
        <v>7605</v>
      </c>
      <c r="H6707" s="157" t="s">
        <v>216</v>
      </c>
    </row>
    <row r="6708" hidden="1">
      <c r="A6708" s="151" t="s">
        <v>221</v>
      </c>
      <c r="B6708" s="118" t="s">
        <v>189</v>
      </c>
      <c r="C6708" s="118" t="s">
        <v>206</v>
      </c>
      <c r="D6708" s="152" t="s">
        <v>7573</v>
      </c>
      <c r="E6708" s="152" t="s">
        <v>7606</v>
      </c>
      <c r="F6708" s="152" t="s">
        <v>308</v>
      </c>
      <c r="G6708" s="152" t="s">
        <v>1722</v>
      </c>
      <c r="H6708" s="153" t="s">
        <v>210</v>
      </c>
    </row>
    <row r="6709" hidden="1">
      <c r="A6709" s="154" t="s">
        <v>221</v>
      </c>
      <c r="B6709" s="155" t="s">
        <v>189</v>
      </c>
      <c r="C6709" s="155" t="s">
        <v>206</v>
      </c>
      <c r="D6709" s="156" t="s">
        <v>7573</v>
      </c>
      <c r="E6709" s="156" t="s">
        <v>7607</v>
      </c>
      <c r="F6709" s="156" t="s">
        <v>246</v>
      </c>
      <c r="G6709" s="156" t="s">
        <v>2680</v>
      </c>
      <c r="H6709" s="157" t="s">
        <v>211</v>
      </c>
    </row>
    <row r="6710" hidden="1">
      <c r="A6710" s="151" t="s">
        <v>221</v>
      </c>
      <c r="B6710" s="118" t="s">
        <v>189</v>
      </c>
      <c r="C6710" s="118" t="s">
        <v>206</v>
      </c>
      <c r="D6710" s="152" t="s">
        <v>7573</v>
      </c>
      <c r="E6710" s="152" t="s">
        <v>7608</v>
      </c>
      <c r="F6710" s="152" t="s">
        <v>331</v>
      </c>
      <c r="G6710" s="152" t="s">
        <v>2838</v>
      </c>
      <c r="H6710" s="153" t="s">
        <v>212</v>
      </c>
    </row>
    <row r="6711" hidden="1">
      <c r="A6711" s="154" t="s">
        <v>221</v>
      </c>
      <c r="B6711" s="155" t="s">
        <v>189</v>
      </c>
      <c r="C6711" s="155" t="s">
        <v>206</v>
      </c>
      <c r="D6711" s="156" t="s">
        <v>7573</v>
      </c>
      <c r="E6711" s="156" t="s">
        <v>7609</v>
      </c>
      <c r="F6711" s="156" t="s">
        <v>246</v>
      </c>
      <c r="G6711" s="156" t="s">
        <v>2034</v>
      </c>
      <c r="H6711" s="157" t="s">
        <v>213</v>
      </c>
    </row>
    <row r="6712" hidden="1">
      <c r="A6712" s="151" t="s">
        <v>221</v>
      </c>
      <c r="B6712" s="118" t="s">
        <v>189</v>
      </c>
      <c r="C6712" s="118" t="s">
        <v>206</v>
      </c>
      <c r="D6712" s="152" t="s">
        <v>7573</v>
      </c>
      <c r="E6712" s="152" t="s">
        <v>7610</v>
      </c>
      <c r="F6712" s="152" t="s">
        <v>274</v>
      </c>
      <c r="G6712" s="152" t="s">
        <v>2542</v>
      </c>
      <c r="H6712" s="153" t="s">
        <v>214</v>
      </c>
    </row>
    <row r="6713" hidden="1">
      <c r="A6713" s="154" t="s">
        <v>221</v>
      </c>
      <c r="B6713" s="155" t="s">
        <v>189</v>
      </c>
      <c r="C6713" s="155" t="s">
        <v>206</v>
      </c>
      <c r="D6713" s="156" t="s">
        <v>7573</v>
      </c>
      <c r="E6713" s="156" t="s">
        <v>7611</v>
      </c>
      <c r="F6713" s="156" t="s">
        <v>257</v>
      </c>
      <c r="G6713" s="156" t="s">
        <v>2790</v>
      </c>
      <c r="H6713" s="157" t="s">
        <v>215</v>
      </c>
    </row>
    <row r="6714" hidden="1">
      <c r="A6714" s="151" t="s">
        <v>221</v>
      </c>
      <c r="B6714" s="118" t="s">
        <v>189</v>
      </c>
      <c r="C6714" s="118" t="s">
        <v>206</v>
      </c>
      <c r="D6714" s="152" t="s">
        <v>7573</v>
      </c>
      <c r="E6714" s="152" t="s">
        <v>7612</v>
      </c>
      <c r="F6714" s="152" t="s">
        <v>365</v>
      </c>
      <c r="G6714" s="152" t="s">
        <v>2530</v>
      </c>
      <c r="H6714" s="153" t="s">
        <v>216</v>
      </c>
    </row>
    <row r="6715" hidden="1">
      <c r="A6715" s="154" t="s">
        <v>222</v>
      </c>
      <c r="B6715" s="155" t="s">
        <v>192</v>
      </c>
      <c r="C6715" s="155" t="s">
        <v>206</v>
      </c>
      <c r="D6715" s="156" t="s">
        <v>7573</v>
      </c>
      <c r="E6715" s="156" t="s">
        <v>7613</v>
      </c>
      <c r="F6715" s="156" t="s">
        <v>285</v>
      </c>
      <c r="G6715" s="156" t="s">
        <v>3820</v>
      </c>
      <c r="H6715" s="157" t="s">
        <v>210</v>
      </c>
    </row>
    <row r="6716" hidden="1">
      <c r="A6716" s="151" t="s">
        <v>222</v>
      </c>
      <c r="B6716" s="118" t="s">
        <v>192</v>
      </c>
      <c r="C6716" s="118" t="s">
        <v>206</v>
      </c>
      <c r="D6716" s="152" t="s">
        <v>7573</v>
      </c>
      <c r="E6716" s="152" t="s">
        <v>7614</v>
      </c>
      <c r="F6716" s="152" t="s">
        <v>249</v>
      </c>
      <c r="G6716" s="152" t="s">
        <v>3570</v>
      </c>
      <c r="H6716" s="153" t="s">
        <v>211</v>
      </c>
    </row>
    <row r="6717" hidden="1">
      <c r="A6717" s="154" t="s">
        <v>222</v>
      </c>
      <c r="B6717" s="155" t="s">
        <v>192</v>
      </c>
      <c r="C6717" s="155" t="s">
        <v>206</v>
      </c>
      <c r="D6717" s="156" t="s">
        <v>7573</v>
      </c>
      <c r="E6717" s="156" t="s">
        <v>7615</v>
      </c>
      <c r="F6717" s="156" t="s">
        <v>269</v>
      </c>
      <c r="G6717" s="156" t="s">
        <v>3989</v>
      </c>
      <c r="H6717" s="157" t="s">
        <v>212</v>
      </c>
    </row>
    <row r="6718" hidden="1">
      <c r="A6718" s="151" t="s">
        <v>222</v>
      </c>
      <c r="B6718" s="118" t="s">
        <v>192</v>
      </c>
      <c r="C6718" s="118" t="s">
        <v>206</v>
      </c>
      <c r="D6718" s="152" t="s">
        <v>7573</v>
      </c>
      <c r="E6718" s="152" t="s">
        <v>7616</v>
      </c>
      <c r="F6718" s="152" t="s">
        <v>321</v>
      </c>
      <c r="G6718" s="152" t="s">
        <v>3574</v>
      </c>
      <c r="H6718" s="153" t="s">
        <v>213</v>
      </c>
    </row>
    <row r="6719" hidden="1">
      <c r="A6719" s="154" t="s">
        <v>222</v>
      </c>
      <c r="B6719" s="155" t="s">
        <v>192</v>
      </c>
      <c r="C6719" s="155" t="s">
        <v>206</v>
      </c>
      <c r="D6719" s="156" t="s">
        <v>7573</v>
      </c>
      <c r="E6719" s="156" t="s">
        <v>7617</v>
      </c>
      <c r="F6719" s="156" t="s">
        <v>310</v>
      </c>
      <c r="G6719" s="156" t="s">
        <v>2665</v>
      </c>
      <c r="H6719" s="157" t="s">
        <v>214</v>
      </c>
    </row>
    <row r="6720" hidden="1">
      <c r="A6720" s="151" t="s">
        <v>222</v>
      </c>
      <c r="B6720" s="118" t="s">
        <v>192</v>
      </c>
      <c r="C6720" s="118" t="s">
        <v>206</v>
      </c>
      <c r="D6720" s="152" t="s">
        <v>7573</v>
      </c>
      <c r="E6720" s="152" t="s">
        <v>7618</v>
      </c>
      <c r="F6720" s="152" t="s">
        <v>285</v>
      </c>
      <c r="G6720" s="152" t="s">
        <v>2189</v>
      </c>
      <c r="H6720" s="153" t="s">
        <v>215</v>
      </c>
    </row>
    <row r="6721" hidden="1">
      <c r="A6721" s="154" t="s">
        <v>222</v>
      </c>
      <c r="B6721" s="155" t="s">
        <v>192</v>
      </c>
      <c r="C6721" s="155" t="s">
        <v>206</v>
      </c>
      <c r="D6721" s="156" t="s">
        <v>7573</v>
      </c>
      <c r="E6721" s="156" t="s">
        <v>7619</v>
      </c>
      <c r="F6721" s="156" t="s">
        <v>314</v>
      </c>
      <c r="G6721" s="156" t="s">
        <v>3815</v>
      </c>
      <c r="H6721" s="157" t="s">
        <v>216</v>
      </c>
    </row>
    <row r="6722" hidden="1">
      <c r="A6722" s="151" t="s">
        <v>223</v>
      </c>
      <c r="B6722" s="118" t="s">
        <v>144</v>
      </c>
      <c r="C6722" s="118" t="s">
        <v>206</v>
      </c>
      <c r="D6722" s="152" t="s">
        <v>7573</v>
      </c>
      <c r="E6722" s="152" t="s">
        <v>7620</v>
      </c>
      <c r="F6722" s="152" t="s">
        <v>1532</v>
      </c>
      <c r="G6722" s="152" t="s">
        <v>3554</v>
      </c>
      <c r="H6722" s="153" t="s">
        <v>210</v>
      </c>
    </row>
    <row r="6723" hidden="1">
      <c r="A6723" s="154" t="s">
        <v>223</v>
      </c>
      <c r="B6723" s="155" t="s">
        <v>144</v>
      </c>
      <c r="C6723" s="155" t="s">
        <v>206</v>
      </c>
      <c r="D6723" s="156" t="s">
        <v>7573</v>
      </c>
      <c r="E6723" s="156" t="s">
        <v>7621</v>
      </c>
      <c r="F6723" s="156" t="s">
        <v>354</v>
      </c>
      <c r="G6723" s="156" t="s">
        <v>4073</v>
      </c>
      <c r="H6723" s="157" t="s">
        <v>211</v>
      </c>
    </row>
    <row r="6724" hidden="1">
      <c r="A6724" s="151" t="s">
        <v>223</v>
      </c>
      <c r="B6724" s="118" t="s">
        <v>144</v>
      </c>
      <c r="C6724" s="118" t="s">
        <v>206</v>
      </c>
      <c r="D6724" s="152" t="s">
        <v>7573</v>
      </c>
      <c r="E6724" s="152" t="s">
        <v>7622</v>
      </c>
      <c r="F6724" s="152" t="s">
        <v>425</v>
      </c>
      <c r="G6724" s="152" t="s">
        <v>4002</v>
      </c>
      <c r="H6724" s="153" t="s">
        <v>212</v>
      </c>
    </row>
    <row r="6725" hidden="1">
      <c r="A6725" s="154" t="s">
        <v>223</v>
      </c>
      <c r="B6725" s="155" t="s">
        <v>144</v>
      </c>
      <c r="C6725" s="155" t="s">
        <v>206</v>
      </c>
      <c r="D6725" s="156" t="s">
        <v>7573</v>
      </c>
      <c r="E6725" s="156" t="s">
        <v>7623</v>
      </c>
      <c r="F6725" s="156" t="s">
        <v>577</v>
      </c>
      <c r="G6725" s="156" t="s">
        <v>4320</v>
      </c>
      <c r="H6725" s="157" t="s">
        <v>213</v>
      </c>
    </row>
    <row r="6726" hidden="1">
      <c r="A6726" s="151" t="s">
        <v>223</v>
      </c>
      <c r="B6726" s="118" t="s">
        <v>144</v>
      </c>
      <c r="C6726" s="118" t="s">
        <v>206</v>
      </c>
      <c r="D6726" s="152" t="s">
        <v>7573</v>
      </c>
      <c r="E6726" s="152" t="s">
        <v>7624</v>
      </c>
      <c r="F6726" s="152" t="s">
        <v>677</v>
      </c>
      <c r="G6726" s="152" t="s">
        <v>4060</v>
      </c>
      <c r="H6726" s="153" t="s">
        <v>214</v>
      </c>
    </row>
    <row r="6727" hidden="1">
      <c r="A6727" s="154" t="s">
        <v>223</v>
      </c>
      <c r="B6727" s="155" t="s">
        <v>144</v>
      </c>
      <c r="C6727" s="155" t="s">
        <v>206</v>
      </c>
      <c r="D6727" s="156" t="s">
        <v>7573</v>
      </c>
      <c r="E6727" s="156" t="s">
        <v>7625</v>
      </c>
      <c r="F6727" s="156" t="s">
        <v>799</v>
      </c>
      <c r="G6727" s="156" t="s">
        <v>3154</v>
      </c>
      <c r="H6727" s="157" t="s">
        <v>215</v>
      </c>
    </row>
    <row r="6728" hidden="1">
      <c r="A6728" s="151" t="s">
        <v>223</v>
      </c>
      <c r="B6728" s="118" t="s">
        <v>144</v>
      </c>
      <c r="C6728" s="118" t="s">
        <v>206</v>
      </c>
      <c r="D6728" s="152" t="s">
        <v>7573</v>
      </c>
      <c r="E6728" s="152" t="s">
        <v>7626</v>
      </c>
      <c r="F6728" s="152" t="s">
        <v>577</v>
      </c>
      <c r="G6728" s="152" t="s">
        <v>2965</v>
      </c>
      <c r="H6728" s="153" t="s">
        <v>216</v>
      </c>
    </row>
    <row r="6729" hidden="1">
      <c r="A6729" s="154" t="s">
        <v>224</v>
      </c>
      <c r="B6729" s="155" t="s">
        <v>170</v>
      </c>
      <c r="C6729" s="155" t="s">
        <v>206</v>
      </c>
      <c r="D6729" s="156" t="s">
        <v>7573</v>
      </c>
      <c r="E6729" s="156" t="s">
        <v>7627</v>
      </c>
      <c r="F6729" s="156" t="s">
        <v>2994</v>
      </c>
      <c r="G6729" s="156" t="s">
        <v>4024</v>
      </c>
      <c r="H6729" s="157" t="s">
        <v>210</v>
      </c>
    </row>
    <row r="6730" hidden="1">
      <c r="A6730" s="151" t="s">
        <v>224</v>
      </c>
      <c r="B6730" s="118" t="s">
        <v>170</v>
      </c>
      <c r="C6730" s="118" t="s">
        <v>206</v>
      </c>
      <c r="D6730" s="152" t="s">
        <v>7573</v>
      </c>
      <c r="E6730" s="152" t="s">
        <v>7628</v>
      </c>
      <c r="F6730" s="152" t="s">
        <v>3218</v>
      </c>
      <c r="G6730" s="152" t="s">
        <v>4446</v>
      </c>
      <c r="H6730" s="153" t="s">
        <v>211</v>
      </c>
    </row>
    <row r="6731" hidden="1">
      <c r="A6731" s="154" t="s">
        <v>224</v>
      </c>
      <c r="B6731" s="155" t="s">
        <v>170</v>
      </c>
      <c r="C6731" s="155" t="s">
        <v>206</v>
      </c>
      <c r="D6731" s="156" t="s">
        <v>7573</v>
      </c>
      <c r="E6731" s="156" t="s">
        <v>7629</v>
      </c>
      <c r="F6731" s="156" t="s">
        <v>725</v>
      </c>
      <c r="G6731" s="156" t="s">
        <v>4209</v>
      </c>
      <c r="H6731" s="157" t="s">
        <v>212</v>
      </c>
    </row>
    <row r="6732" hidden="1">
      <c r="A6732" s="151" t="s">
        <v>224</v>
      </c>
      <c r="B6732" s="118" t="s">
        <v>170</v>
      </c>
      <c r="C6732" s="118" t="s">
        <v>206</v>
      </c>
      <c r="D6732" s="152" t="s">
        <v>7573</v>
      </c>
      <c r="E6732" s="152" t="s">
        <v>7630</v>
      </c>
      <c r="F6732" s="152" t="s">
        <v>532</v>
      </c>
      <c r="G6732" s="152" t="s">
        <v>3302</v>
      </c>
      <c r="H6732" s="153" t="s">
        <v>213</v>
      </c>
    </row>
    <row r="6733" hidden="1">
      <c r="A6733" s="154" t="s">
        <v>224</v>
      </c>
      <c r="B6733" s="155" t="s">
        <v>170</v>
      </c>
      <c r="C6733" s="155" t="s">
        <v>206</v>
      </c>
      <c r="D6733" s="156" t="s">
        <v>7573</v>
      </c>
      <c r="E6733" s="156" t="s">
        <v>7631</v>
      </c>
      <c r="F6733" s="156" t="s">
        <v>2215</v>
      </c>
      <c r="G6733" s="156" t="s">
        <v>7341</v>
      </c>
      <c r="H6733" s="157" t="s">
        <v>214</v>
      </c>
    </row>
    <row r="6734" hidden="1">
      <c r="A6734" s="151" t="s">
        <v>224</v>
      </c>
      <c r="B6734" s="118" t="s">
        <v>170</v>
      </c>
      <c r="C6734" s="118" t="s">
        <v>206</v>
      </c>
      <c r="D6734" s="152" t="s">
        <v>7573</v>
      </c>
      <c r="E6734" s="152" t="s">
        <v>7632</v>
      </c>
      <c r="F6734" s="152" t="s">
        <v>673</v>
      </c>
      <c r="G6734" s="152" t="s">
        <v>3537</v>
      </c>
      <c r="H6734" s="153" t="s">
        <v>215</v>
      </c>
    </row>
    <row r="6735" hidden="1">
      <c r="A6735" s="154" t="s">
        <v>224</v>
      </c>
      <c r="B6735" s="155" t="s">
        <v>170</v>
      </c>
      <c r="C6735" s="155" t="s">
        <v>206</v>
      </c>
      <c r="D6735" s="156" t="s">
        <v>7573</v>
      </c>
      <c r="E6735" s="156" t="s">
        <v>7633</v>
      </c>
      <c r="F6735" s="156" t="s">
        <v>448</v>
      </c>
      <c r="G6735" s="156" t="s">
        <v>4215</v>
      </c>
      <c r="H6735" s="157" t="s">
        <v>216</v>
      </c>
    </row>
    <row r="6736" hidden="1">
      <c r="A6736" s="151" t="s">
        <v>225</v>
      </c>
      <c r="B6736" s="118" t="s">
        <v>226</v>
      </c>
      <c r="C6736" s="118" t="s">
        <v>206</v>
      </c>
      <c r="D6736" s="152" t="s">
        <v>7573</v>
      </c>
      <c r="E6736" s="152" t="s">
        <v>7634</v>
      </c>
      <c r="F6736" s="152" t="s">
        <v>246</v>
      </c>
      <c r="G6736" s="152" t="s">
        <v>1778</v>
      </c>
      <c r="H6736" s="153" t="s">
        <v>210</v>
      </c>
    </row>
    <row r="6737" hidden="1">
      <c r="A6737" s="154" t="s">
        <v>225</v>
      </c>
      <c r="B6737" s="155" t="s">
        <v>226</v>
      </c>
      <c r="C6737" s="155" t="s">
        <v>206</v>
      </c>
      <c r="D6737" s="156" t="s">
        <v>7573</v>
      </c>
      <c r="E6737" s="156" t="s">
        <v>7635</v>
      </c>
      <c r="F6737" s="156" t="s">
        <v>458</v>
      </c>
      <c r="G6737" s="156" t="s">
        <v>1737</v>
      </c>
      <c r="H6737" s="157" t="s">
        <v>211</v>
      </c>
    </row>
    <row r="6738" hidden="1">
      <c r="A6738" s="151" t="s">
        <v>225</v>
      </c>
      <c r="B6738" s="118" t="s">
        <v>226</v>
      </c>
      <c r="C6738" s="118" t="s">
        <v>206</v>
      </c>
      <c r="D6738" s="152" t="s">
        <v>7573</v>
      </c>
      <c r="E6738" s="152" t="s">
        <v>7636</v>
      </c>
      <c r="F6738" s="152" t="s">
        <v>257</v>
      </c>
      <c r="G6738" s="152" t="s">
        <v>1808</v>
      </c>
      <c r="H6738" s="153" t="s">
        <v>212</v>
      </c>
    </row>
    <row r="6739" hidden="1">
      <c r="A6739" s="154" t="s">
        <v>225</v>
      </c>
      <c r="B6739" s="155" t="s">
        <v>226</v>
      </c>
      <c r="C6739" s="155" t="s">
        <v>206</v>
      </c>
      <c r="D6739" s="156" t="s">
        <v>7573</v>
      </c>
      <c r="E6739" s="156" t="s">
        <v>7637</v>
      </c>
      <c r="F6739" s="156" t="s">
        <v>262</v>
      </c>
      <c r="G6739" s="156" t="s">
        <v>1936</v>
      </c>
      <c r="H6739" s="157" t="s">
        <v>213</v>
      </c>
    </row>
    <row r="6740" hidden="1">
      <c r="A6740" s="151" t="s">
        <v>225</v>
      </c>
      <c r="B6740" s="118" t="s">
        <v>226</v>
      </c>
      <c r="C6740" s="118" t="s">
        <v>206</v>
      </c>
      <c r="D6740" s="152" t="s">
        <v>7573</v>
      </c>
      <c r="E6740" s="152" t="s">
        <v>7638</v>
      </c>
      <c r="F6740" s="152" t="s">
        <v>458</v>
      </c>
      <c r="G6740" s="152" t="s">
        <v>1827</v>
      </c>
      <c r="H6740" s="153" t="s">
        <v>214</v>
      </c>
    </row>
    <row r="6741" hidden="1">
      <c r="A6741" s="154" t="s">
        <v>225</v>
      </c>
      <c r="B6741" s="155" t="s">
        <v>226</v>
      </c>
      <c r="C6741" s="155" t="s">
        <v>206</v>
      </c>
      <c r="D6741" s="156" t="s">
        <v>7573</v>
      </c>
      <c r="E6741" s="156" t="s">
        <v>7639</v>
      </c>
      <c r="F6741" s="156" t="s">
        <v>246</v>
      </c>
      <c r="G6741" s="156" t="s">
        <v>1846</v>
      </c>
      <c r="H6741" s="157" t="s">
        <v>215</v>
      </c>
    </row>
    <row r="6742" hidden="1">
      <c r="A6742" s="151" t="s">
        <v>225</v>
      </c>
      <c r="B6742" s="118" t="s">
        <v>226</v>
      </c>
      <c r="C6742" s="118" t="s">
        <v>206</v>
      </c>
      <c r="D6742" s="152" t="s">
        <v>7573</v>
      </c>
      <c r="E6742" s="152" t="s">
        <v>7640</v>
      </c>
      <c r="F6742" s="152" t="s">
        <v>255</v>
      </c>
      <c r="G6742" s="152" t="s">
        <v>1936</v>
      </c>
      <c r="H6742" s="153" t="s">
        <v>216</v>
      </c>
    </row>
    <row r="6743" hidden="1">
      <c r="A6743" s="154" t="s">
        <v>227</v>
      </c>
      <c r="B6743" s="155" t="s">
        <v>195</v>
      </c>
      <c r="C6743" s="155" t="s">
        <v>206</v>
      </c>
      <c r="D6743" s="156" t="s">
        <v>7573</v>
      </c>
      <c r="E6743" s="156" t="s">
        <v>7641</v>
      </c>
      <c r="F6743" s="156" t="s">
        <v>325</v>
      </c>
      <c r="G6743" s="156" t="s">
        <v>4194</v>
      </c>
      <c r="H6743" s="157" t="s">
        <v>210</v>
      </c>
    </row>
    <row r="6744" hidden="1">
      <c r="A6744" s="151" t="s">
        <v>227</v>
      </c>
      <c r="B6744" s="118" t="s">
        <v>195</v>
      </c>
      <c r="C6744" s="118" t="s">
        <v>206</v>
      </c>
      <c r="D6744" s="152" t="s">
        <v>7573</v>
      </c>
      <c r="E6744" s="152" t="s">
        <v>7642</v>
      </c>
      <c r="F6744" s="152" t="s">
        <v>314</v>
      </c>
      <c r="G6744" s="152" t="s">
        <v>2515</v>
      </c>
      <c r="H6744" s="153" t="s">
        <v>211</v>
      </c>
    </row>
    <row r="6745" hidden="1">
      <c r="A6745" s="154" t="s">
        <v>227</v>
      </c>
      <c r="B6745" s="155" t="s">
        <v>195</v>
      </c>
      <c r="C6745" s="155" t="s">
        <v>206</v>
      </c>
      <c r="D6745" s="156" t="s">
        <v>7573</v>
      </c>
      <c r="E6745" s="156" t="s">
        <v>7643</v>
      </c>
      <c r="F6745" s="156" t="s">
        <v>339</v>
      </c>
      <c r="G6745" s="156" t="s">
        <v>2224</v>
      </c>
      <c r="H6745" s="157" t="s">
        <v>212</v>
      </c>
    </row>
    <row r="6746" hidden="1">
      <c r="A6746" s="151" t="s">
        <v>227</v>
      </c>
      <c r="B6746" s="118" t="s">
        <v>195</v>
      </c>
      <c r="C6746" s="118" t="s">
        <v>206</v>
      </c>
      <c r="D6746" s="152" t="s">
        <v>7573</v>
      </c>
      <c r="E6746" s="152" t="s">
        <v>7644</v>
      </c>
      <c r="F6746" s="152" t="s">
        <v>314</v>
      </c>
      <c r="G6746" s="152" t="s">
        <v>3485</v>
      </c>
      <c r="H6746" s="153" t="s">
        <v>213</v>
      </c>
    </row>
    <row r="6747" hidden="1">
      <c r="A6747" s="154" t="s">
        <v>227</v>
      </c>
      <c r="B6747" s="155" t="s">
        <v>195</v>
      </c>
      <c r="C6747" s="155" t="s">
        <v>206</v>
      </c>
      <c r="D6747" s="156" t="s">
        <v>7573</v>
      </c>
      <c r="E6747" s="156" t="s">
        <v>7645</v>
      </c>
      <c r="F6747" s="156" t="s">
        <v>427</v>
      </c>
      <c r="G6747" s="156" t="s">
        <v>2762</v>
      </c>
      <c r="H6747" s="157" t="s">
        <v>214</v>
      </c>
    </row>
    <row r="6748" hidden="1">
      <c r="A6748" s="151" t="s">
        <v>227</v>
      </c>
      <c r="B6748" s="118" t="s">
        <v>195</v>
      </c>
      <c r="C6748" s="118" t="s">
        <v>206</v>
      </c>
      <c r="D6748" s="152" t="s">
        <v>7573</v>
      </c>
      <c r="E6748" s="152" t="s">
        <v>7646</v>
      </c>
      <c r="F6748" s="152" t="s">
        <v>285</v>
      </c>
      <c r="G6748" s="152" t="s">
        <v>2605</v>
      </c>
      <c r="H6748" s="153" t="s">
        <v>215</v>
      </c>
    </row>
    <row r="6749" hidden="1">
      <c r="A6749" s="154" t="s">
        <v>227</v>
      </c>
      <c r="B6749" s="155" t="s">
        <v>195</v>
      </c>
      <c r="C6749" s="155" t="s">
        <v>206</v>
      </c>
      <c r="D6749" s="156" t="s">
        <v>7573</v>
      </c>
      <c r="E6749" s="156" t="s">
        <v>7647</v>
      </c>
      <c r="F6749" s="156" t="s">
        <v>310</v>
      </c>
      <c r="G6749" s="156" t="s">
        <v>2348</v>
      </c>
      <c r="H6749" s="157" t="s">
        <v>216</v>
      </c>
    </row>
    <row r="6750" hidden="1">
      <c r="A6750" s="151" t="s">
        <v>228</v>
      </c>
      <c r="B6750" s="118" t="s">
        <v>138</v>
      </c>
      <c r="C6750" s="118" t="s">
        <v>206</v>
      </c>
      <c r="D6750" s="152" t="s">
        <v>7573</v>
      </c>
      <c r="E6750" s="152" t="s">
        <v>7648</v>
      </c>
      <c r="F6750" s="152" t="s">
        <v>308</v>
      </c>
      <c r="G6750" s="152" t="s">
        <v>2065</v>
      </c>
      <c r="H6750" s="153" t="s">
        <v>210</v>
      </c>
    </row>
    <row r="6751" hidden="1">
      <c r="A6751" s="154" t="s">
        <v>228</v>
      </c>
      <c r="B6751" s="155" t="s">
        <v>138</v>
      </c>
      <c r="C6751" s="155" t="s">
        <v>206</v>
      </c>
      <c r="D6751" s="156" t="s">
        <v>7573</v>
      </c>
      <c r="E6751" s="156" t="s">
        <v>7649</v>
      </c>
      <c r="F6751" s="156" t="s">
        <v>357</v>
      </c>
      <c r="G6751" s="156" t="s">
        <v>3237</v>
      </c>
      <c r="H6751" s="157" t="s">
        <v>211</v>
      </c>
    </row>
    <row r="6752" hidden="1">
      <c r="A6752" s="151" t="s">
        <v>228</v>
      </c>
      <c r="B6752" s="118" t="s">
        <v>138</v>
      </c>
      <c r="C6752" s="118" t="s">
        <v>206</v>
      </c>
      <c r="D6752" s="152" t="s">
        <v>7573</v>
      </c>
      <c r="E6752" s="152" t="s">
        <v>7519</v>
      </c>
      <c r="F6752" s="152" t="s">
        <v>204</v>
      </c>
      <c r="G6752" s="152" t="s">
        <v>1944</v>
      </c>
      <c r="H6752" s="153" t="s">
        <v>212</v>
      </c>
    </row>
    <row r="6753" hidden="1">
      <c r="A6753" s="154" t="s">
        <v>228</v>
      </c>
      <c r="B6753" s="155" t="s">
        <v>138</v>
      </c>
      <c r="C6753" s="155" t="s">
        <v>206</v>
      </c>
      <c r="D6753" s="156" t="s">
        <v>7573</v>
      </c>
      <c r="E6753" s="156" t="s">
        <v>7650</v>
      </c>
      <c r="F6753" s="156" t="s">
        <v>276</v>
      </c>
      <c r="G6753" s="156" t="s">
        <v>2992</v>
      </c>
      <c r="H6753" s="157" t="s">
        <v>213</v>
      </c>
    </row>
    <row r="6754" hidden="1">
      <c r="A6754" s="151" t="s">
        <v>228</v>
      </c>
      <c r="B6754" s="118" t="s">
        <v>138</v>
      </c>
      <c r="C6754" s="118" t="s">
        <v>206</v>
      </c>
      <c r="D6754" s="152" t="s">
        <v>7573</v>
      </c>
      <c r="E6754" s="152" t="s">
        <v>7651</v>
      </c>
      <c r="F6754" s="152" t="s">
        <v>735</v>
      </c>
      <c r="G6754" s="152" t="s">
        <v>2025</v>
      </c>
      <c r="H6754" s="153" t="s">
        <v>214</v>
      </c>
    </row>
    <row r="6755" hidden="1">
      <c r="A6755" s="154" t="s">
        <v>228</v>
      </c>
      <c r="B6755" s="155" t="s">
        <v>138</v>
      </c>
      <c r="C6755" s="155" t="s">
        <v>206</v>
      </c>
      <c r="D6755" s="156" t="s">
        <v>7573</v>
      </c>
      <c r="E6755" s="156" t="s">
        <v>7652</v>
      </c>
      <c r="F6755" s="156" t="s">
        <v>314</v>
      </c>
      <c r="G6755" s="156" t="s">
        <v>1753</v>
      </c>
      <c r="H6755" s="157" t="s">
        <v>215</v>
      </c>
    </row>
    <row r="6756" hidden="1">
      <c r="A6756" s="151" t="s">
        <v>228</v>
      </c>
      <c r="B6756" s="118" t="s">
        <v>138</v>
      </c>
      <c r="C6756" s="118" t="s">
        <v>206</v>
      </c>
      <c r="D6756" s="152" t="s">
        <v>7573</v>
      </c>
      <c r="E6756" s="152" t="s">
        <v>7653</v>
      </c>
      <c r="F6756" s="152" t="s">
        <v>359</v>
      </c>
      <c r="G6756" s="152" t="s">
        <v>2999</v>
      </c>
      <c r="H6756" s="153" t="s">
        <v>216</v>
      </c>
    </row>
    <row r="6757" hidden="1">
      <c r="A6757" s="154" t="s">
        <v>229</v>
      </c>
      <c r="B6757" s="155" t="s">
        <v>193</v>
      </c>
      <c r="C6757" s="155" t="s">
        <v>206</v>
      </c>
      <c r="D6757" s="156" t="s">
        <v>7573</v>
      </c>
      <c r="E6757" s="156" t="s">
        <v>7654</v>
      </c>
      <c r="F6757" s="156" t="s">
        <v>725</v>
      </c>
      <c r="G6757" s="156" t="s">
        <v>3574</v>
      </c>
      <c r="H6757" s="157" t="s">
        <v>210</v>
      </c>
    </row>
    <row r="6758" hidden="1">
      <c r="A6758" s="151" t="s">
        <v>229</v>
      </c>
      <c r="B6758" s="118" t="s">
        <v>193</v>
      </c>
      <c r="C6758" s="118" t="s">
        <v>206</v>
      </c>
      <c r="D6758" s="152" t="s">
        <v>7573</v>
      </c>
      <c r="E6758" s="152" t="s">
        <v>7655</v>
      </c>
      <c r="F6758" s="152" t="s">
        <v>308</v>
      </c>
      <c r="G6758" s="152" t="s">
        <v>3707</v>
      </c>
      <c r="H6758" s="153" t="s">
        <v>211</v>
      </c>
    </row>
    <row r="6759" hidden="1">
      <c r="A6759" s="154" t="s">
        <v>229</v>
      </c>
      <c r="B6759" s="155" t="s">
        <v>193</v>
      </c>
      <c r="C6759" s="155" t="s">
        <v>206</v>
      </c>
      <c r="D6759" s="156" t="s">
        <v>7573</v>
      </c>
      <c r="E6759" s="156" t="s">
        <v>7656</v>
      </c>
      <c r="F6759" s="156" t="s">
        <v>314</v>
      </c>
      <c r="G6759" s="156" t="s">
        <v>2818</v>
      </c>
      <c r="H6759" s="157" t="s">
        <v>212</v>
      </c>
    </row>
    <row r="6760" hidden="1">
      <c r="A6760" s="151" t="s">
        <v>229</v>
      </c>
      <c r="B6760" s="118" t="s">
        <v>193</v>
      </c>
      <c r="C6760" s="118" t="s">
        <v>206</v>
      </c>
      <c r="D6760" s="152" t="s">
        <v>7573</v>
      </c>
      <c r="E6760" s="152" t="s">
        <v>7657</v>
      </c>
      <c r="F6760" s="152" t="s">
        <v>494</v>
      </c>
      <c r="G6760" s="152" t="s">
        <v>2667</v>
      </c>
      <c r="H6760" s="153" t="s">
        <v>213</v>
      </c>
    </row>
    <row r="6761" hidden="1">
      <c r="A6761" s="154" t="s">
        <v>229</v>
      </c>
      <c r="B6761" s="155" t="s">
        <v>193</v>
      </c>
      <c r="C6761" s="155" t="s">
        <v>206</v>
      </c>
      <c r="D6761" s="156" t="s">
        <v>7573</v>
      </c>
      <c r="E6761" s="156" t="s">
        <v>7658</v>
      </c>
      <c r="F6761" s="156" t="s">
        <v>725</v>
      </c>
      <c r="G6761" s="156" t="s">
        <v>3872</v>
      </c>
      <c r="H6761" s="157" t="s">
        <v>214</v>
      </c>
    </row>
    <row r="6762" hidden="1">
      <c r="A6762" s="151" t="s">
        <v>229</v>
      </c>
      <c r="B6762" s="118" t="s">
        <v>193</v>
      </c>
      <c r="C6762" s="118" t="s">
        <v>206</v>
      </c>
      <c r="D6762" s="152" t="s">
        <v>7573</v>
      </c>
      <c r="E6762" s="152" t="s">
        <v>7659</v>
      </c>
      <c r="F6762" s="152" t="s">
        <v>450</v>
      </c>
      <c r="G6762" s="152" t="s">
        <v>2602</v>
      </c>
      <c r="H6762" s="153" t="s">
        <v>215</v>
      </c>
    </row>
    <row r="6763" hidden="1">
      <c r="A6763" s="154" t="s">
        <v>229</v>
      </c>
      <c r="B6763" s="155" t="s">
        <v>193</v>
      </c>
      <c r="C6763" s="155" t="s">
        <v>206</v>
      </c>
      <c r="D6763" s="156" t="s">
        <v>7573</v>
      </c>
      <c r="E6763" s="156" t="s">
        <v>7660</v>
      </c>
      <c r="F6763" s="156" t="s">
        <v>450</v>
      </c>
      <c r="G6763" s="156" t="s">
        <v>1791</v>
      </c>
      <c r="H6763" s="157" t="s">
        <v>216</v>
      </c>
    </row>
    <row r="6764" hidden="1">
      <c r="A6764" s="151" t="s">
        <v>230</v>
      </c>
      <c r="B6764" s="118" t="s">
        <v>194</v>
      </c>
      <c r="C6764" s="118" t="s">
        <v>206</v>
      </c>
      <c r="D6764" s="152" t="s">
        <v>7573</v>
      </c>
      <c r="E6764" s="152" t="s">
        <v>7661</v>
      </c>
      <c r="F6764" s="152" t="s">
        <v>321</v>
      </c>
      <c r="G6764" s="152" t="s">
        <v>3284</v>
      </c>
      <c r="H6764" s="153" t="s">
        <v>210</v>
      </c>
    </row>
    <row r="6765" hidden="1">
      <c r="A6765" s="154" t="s">
        <v>230</v>
      </c>
      <c r="B6765" s="155" t="s">
        <v>194</v>
      </c>
      <c r="C6765" s="155" t="s">
        <v>206</v>
      </c>
      <c r="D6765" s="156" t="s">
        <v>7573</v>
      </c>
      <c r="E6765" s="156" t="s">
        <v>7662</v>
      </c>
      <c r="F6765" s="156" t="s">
        <v>336</v>
      </c>
      <c r="G6765" s="156" t="s">
        <v>2132</v>
      </c>
      <c r="H6765" s="157" t="s">
        <v>211</v>
      </c>
    </row>
    <row r="6766" hidden="1">
      <c r="A6766" s="151" t="s">
        <v>230</v>
      </c>
      <c r="B6766" s="118" t="s">
        <v>194</v>
      </c>
      <c r="C6766" s="118" t="s">
        <v>206</v>
      </c>
      <c r="D6766" s="152" t="s">
        <v>7573</v>
      </c>
      <c r="E6766" s="152" t="s">
        <v>7663</v>
      </c>
      <c r="F6766" s="152" t="s">
        <v>331</v>
      </c>
      <c r="G6766" s="152" t="s">
        <v>2413</v>
      </c>
      <c r="H6766" s="153" t="s">
        <v>212</v>
      </c>
    </row>
    <row r="6767" hidden="1">
      <c r="A6767" s="154" t="s">
        <v>230</v>
      </c>
      <c r="B6767" s="155" t="s">
        <v>194</v>
      </c>
      <c r="C6767" s="155" t="s">
        <v>206</v>
      </c>
      <c r="D6767" s="156" t="s">
        <v>7573</v>
      </c>
      <c r="E6767" s="156" t="s">
        <v>7664</v>
      </c>
      <c r="F6767" s="156" t="s">
        <v>305</v>
      </c>
      <c r="G6767" s="156" t="s">
        <v>2470</v>
      </c>
      <c r="H6767" s="157" t="s">
        <v>213</v>
      </c>
    </row>
    <row r="6768" hidden="1">
      <c r="A6768" s="151" t="s">
        <v>230</v>
      </c>
      <c r="B6768" s="118" t="s">
        <v>194</v>
      </c>
      <c r="C6768" s="118" t="s">
        <v>206</v>
      </c>
      <c r="D6768" s="152" t="s">
        <v>7573</v>
      </c>
      <c r="E6768" s="152" t="s">
        <v>7665</v>
      </c>
      <c r="F6768" s="152" t="s">
        <v>365</v>
      </c>
      <c r="G6768" s="152" t="s">
        <v>1820</v>
      </c>
      <c r="H6768" s="153" t="s">
        <v>214</v>
      </c>
    </row>
    <row r="6769" hidden="1">
      <c r="A6769" s="154" t="s">
        <v>230</v>
      </c>
      <c r="B6769" s="155" t="s">
        <v>194</v>
      </c>
      <c r="C6769" s="155" t="s">
        <v>206</v>
      </c>
      <c r="D6769" s="156" t="s">
        <v>7573</v>
      </c>
      <c r="E6769" s="156" t="s">
        <v>7666</v>
      </c>
      <c r="F6769" s="156" t="s">
        <v>357</v>
      </c>
      <c r="G6769" s="156" t="s">
        <v>1814</v>
      </c>
      <c r="H6769" s="157" t="s">
        <v>215</v>
      </c>
    </row>
    <row r="6770" hidden="1">
      <c r="A6770" s="151" t="s">
        <v>230</v>
      </c>
      <c r="B6770" s="118" t="s">
        <v>194</v>
      </c>
      <c r="C6770" s="118" t="s">
        <v>206</v>
      </c>
      <c r="D6770" s="152" t="s">
        <v>7573</v>
      </c>
      <c r="E6770" s="152" t="s">
        <v>7667</v>
      </c>
      <c r="F6770" s="152" t="s">
        <v>290</v>
      </c>
      <c r="G6770" s="152" t="s">
        <v>2467</v>
      </c>
      <c r="H6770" s="153" t="s">
        <v>216</v>
      </c>
    </row>
    <row r="6771" hidden="1">
      <c r="A6771" s="158" t="s">
        <v>231</v>
      </c>
      <c r="B6771" s="159"/>
      <c r="C6771" s="155" t="s">
        <v>232</v>
      </c>
      <c r="D6771" s="156" t="s">
        <v>7573</v>
      </c>
      <c r="E6771" s="156" t="s">
        <v>7668</v>
      </c>
      <c r="F6771" s="156" t="s">
        <v>436</v>
      </c>
      <c r="G6771" s="156" t="s">
        <v>3966</v>
      </c>
      <c r="H6771" s="157" t="s">
        <v>210</v>
      </c>
    </row>
    <row r="6772" hidden="1">
      <c r="A6772" s="160" t="s">
        <v>231</v>
      </c>
      <c r="B6772" s="72"/>
      <c r="C6772" s="118" t="s">
        <v>232</v>
      </c>
      <c r="D6772" s="152" t="s">
        <v>7573</v>
      </c>
      <c r="E6772" s="152" t="s">
        <v>7669</v>
      </c>
      <c r="F6772" s="152" t="s">
        <v>314</v>
      </c>
      <c r="G6772" s="152" t="s">
        <v>4428</v>
      </c>
      <c r="H6772" s="153" t="s">
        <v>211</v>
      </c>
    </row>
    <row r="6773" hidden="1">
      <c r="A6773" s="158" t="s">
        <v>231</v>
      </c>
      <c r="B6773" s="159"/>
      <c r="C6773" s="155" t="s">
        <v>232</v>
      </c>
      <c r="D6773" s="156" t="s">
        <v>7573</v>
      </c>
      <c r="E6773" s="156" t="s">
        <v>7670</v>
      </c>
      <c r="F6773" s="156" t="s">
        <v>425</v>
      </c>
      <c r="G6773" s="156" t="s">
        <v>4209</v>
      </c>
      <c r="H6773" s="157" t="s">
        <v>212</v>
      </c>
    </row>
    <row r="6774" hidden="1">
      <c r="A6774" s="160" t="s">
        <v>231</v>
      </c>
      <c r="B6774" s="72"/>
      <c r="C6774" s="118" t="s">
        <v>232</v>
      </c>
      <c r="D6774" s="152" t="s">
        <v>7573</v>
      </c>
      <c r="E6774" s="152" t="s">
        <v>7671</v>
      </c>
      <c r="F6774" s="152" t="s">
        <v>321</v>
      </c>
      <c r="G6774" s="152" t="s">
        <v>3616</v>
      </c>
      <c r="H6774" s="153" t="s">
        <v>213</v>
      </c>
    </row>
    <row r="6775" hidden="1">
      <c r="A6775" s="158" t="s">
        <v>231</v>
      </c>
      <c r="B6775" s="159"/>
      <c r="C6775" s="155" t="s">
        <v>232</v>
      </c>
      <c r="D6775" s="156" t="s">
        <v>7573</v>
      </c>
      <c r="E6775" s="156" t="s">
        <v>7672</v>
      </c>
      <c r="F6775" s="156" t="s">
        <v>285</v>
      </c>
      <c r="G6775" s="156" t="s">
        <v>3905</v>
      </c>
      <c r="H6775" s="157" t="s">
        <v>214</v>
      </c>
    </row>
    <row r="6776" hidden="1">
      <c r="A6776" s="160" t="s">
        <v>231</v>
      </c>
      <c r="B6776" s="72"/>
      <c r="C6776" s="118" t="s">
        <v>232</v>
      </c>
      <c r="D6776" s="152" t="s">
        <v>7573</v>
      </c>
      <c r="E6776" s="152" t="s">
        <v>7673</v>
      </c>
      <c r="F6776" s="152" t="s">
        <v>577</v>
      </c>
      <c r="G6776" s="152" t="s">
        <v>3607</v>
      </c>
      <c r="H6776" s="153" t="s">
        <v>215</v>
      </c>
    </row>
    <row r="6777" hidden="1">
      <c r="A6777" s="158" t="s">
        <v>231</v>
      </c>
      <c r="B6777" s="159"/>
      <c r="C6777" s="155" t="s">
        <v>232</v>
      </c>
      <c r="D6777" s="156" t="s">
        <v>7573</v>
      </c>
      <c r="E6777" s="156" t="s">
        <v>7674</v>
      </c>
      <c r="F6777" s="156" t="s">
        <v>257</v>
      </c>
      <c r="G6777" s="156" t="s">
        <v>4116</v>
      </c>
      <c r="H6777" s="157" t="s">
        <v>216</v>
      </c>
    </row>
    <row r="6778" hidden="1">
      <c r="A6778" s="160" t="s">
        <v>233</v>
      </c>
      <c r="B6778" s="72"/>
      <c r="C6778" s="118" t="s">
        <v>232</v>
      </c>
      <c r="D6778" s="152" t="s">
        <v>7573</v>
      </c>
      <c r="E6778" s="152" t="s">
        <v>7675</v>
      </c>
      <c r="F6778" s="152" t="s">
        <v>336</v>
      </c>
      <c r="G6778" s="152" t="s">
        <v>2513</v>
      </c>
      <c r="H6778" s="153" t="s">
        <v>210</v>
      </c>
    </row>
    <row r="6779" hidden="1">
      <c r="A6779" s="158" t="s">
        <v>233</v>
      </c>
      <c r="B6779" s="159"/>
      <c r="C6779" s="155" t="s">
        <v>232</v>
      </c>
      <c r="D6779" s="156" t="s">
        <v>7573</v>
      </c>
      <c r="E6779" s="156" t="s">
        <v>7676</v>
      </c>
      <c r="F6779" s="156" t="s">
        <v>339</v>
      </c>
      <c r="G6779" s="156" t="s">
        <v>2352</v>
      </c>
      <c r="H6779" s="157" t="s">
        <v>211</v>
      </c>
    </row>
    <row r="6780" hidden="1">
      <c r="A6780" s="160" t="s">
        <v>233</v>
      </c>
      <c r="B6780" s="72"/>
      <c r="C6780" s="118" t="s">
        <v>232</v>
      </c>
      <c r="D6780" s="152" t="s">
        <v>7573</v>
      </c>
      <c r="E6780" s="152" t="s">
        <v>7677</v>
      </c>
      <c r="F6780" s="152" t="s">
        <v>534</v>
      </c>
      <c r="G6780" s="152" t="s">
        <v>3989</v>
      </c>
      <c r="H6780" s="153" t="s">
        <v>212</v>
      </c>
    </row>
    <row r="6781" hidden="1">
      <c r="A6781" s="158" t="s">
        <v>233</v>
      </c>
      <c r="B6781" s="159"/>
      <c r="C6781" s="155" t="s">
        <v>232</v>
      </c>
      <c r="D6781" s="156" t="s">
        <v>7573</v>
      </c>
      <c r="E6781" s="156" t="s">
        <v>7678</v>
      </c>
      <c r="F6781" s="156" t="s">
        <v>427</v>
      </c>
      <c r="G6781" s="156" t="s">
        <v>3900</v>
      </c>
      <c r="H6781" s="157" t="s">
        <v>213</v>
      </c>
    </row>
    <row r="6782" hidden="1">
      <c r="A6782" s="160" t="s">
        <v>233</v>
      </c>
      <c r="B6782" s="72"/>
      <c r="C6782" s="118" t="s">
        <v>232</v>
      </c>
      <c r="D6782" s="152" t="s">
        <v>7573</v>
      </c>
      <c r="E6782" s="152" t="s">
        <v>7679</v>
      </c>
      <c r="F6782" s="152" t="s">
        <v>425</v>
      </c>
      <c r="G6782" s="152" t="s">
        <v>3790</v>
      </c>
      <c r="H6782" s="153" t="s">
        <v>214</v>
      </c>
    </row>
    <row r="6783" hidden="1">
      <c r="A6783" s="158" t="s">
        <v>233</v>
      </c>
      <c r="B6783" s="159"/>
      <c r="C6783" s="155" t="s">
        <v>232</v>
      </c>
      <c r="D6783" s="156" t="s">
        <v>7573</v>
      </c>
      <c r="E6783" s="156" t="s">
        <v>7680</v>
      </c>
      <c r="F6783" s="156" t="s">
        <v>351</v>
      </c>
      <c r="G6783" s="156" t="s">
        <v>2818</v>
      </c>
      <c r="H6783" s="157" t="s">
        <v>215</v>
      </c>
    </row>
    <row r="6784" hidden="1">
      <c r="A6784" s="160" t="s">
        <v>233</v>
      </c>
      <c r="B6784" s="72"/>
      <c r="C6784" s="118" t="s">
        <v>232</v>
      </c>
      <c r="D6784" s="152" t="s">
        <v>7573</v>
      </c>
      <c r="E6784" s="152" t="s">
        <v>7681</v>
      </c>
      <c r="F6784" s="152" t="s">
        <v>427</v>
      </c>
      <c r="G6784" s="152" t="s">
        <v>2189</v>
      </c>
      <c r="H6784" s="153" t="s">
        <v>216</v>
      </c>
    </row>
    <row r="6785" hidden="1">
      <c r="A6785" s="158" t="s">
        <v>234</v>
      </c>
      <c r="B6785" s="159"/>
      <c r="C6785" s="155" t="s">
        <v>232</v>
      </c>
      <c r="D6785" s="156" t="s">
        <v>7573</v>
      </c>
      <c r="E6785" s="156" t="s">
        <v>7682</v>
      </c>
      <c r="F6785" s="156" t="s">
        <v>478</v>
      </c>
      <c r="G6785" s="156" t="s">
        <v>2132</v>
      </c>
      <c r="H6785" s="157" t="s">
        <v>210</v>
      </c>
    </row>
    <row r="6786" hidden="1">
      <c r="A6786" s="160" t="s">
        <v>234</v>
      </c>
      <c r="B6786" s="72"/>
      <c r="C6786" s="118" t="s">
        <v>232</v>
      </c>
      <c r="D6786" s="152" t="s">
        <v>7573</v>
      </c>
      <c r="E6786" s="152" t="s">
        <v>7683</v>
      </c>
      <c r="F6786" s="152" t="s">
        <v>310</v>
      </c>
      <c r="G6786" s="152" t="s">
        <v>3487</v>
      </c>
      <c r="H6786" s="153" t="s">
        <v>211</v>
      </c>
    </row>
    <row r="6787" hidden="1">
      <c r="A6787" s="158" t="s">
        <v>234</v>
      </c>
      <c r="B6787" s="159"/>
      <c r="C6787" s="155" t="s">
        <v>232</v>
      </c>
      <c r="D6787" s="156" t="s">
        <v>7573</v>
      </c>
      <c r="E6787" s="156" t="s">
        <v>7684</v>
      </c>
      <c r="F6787" s="156" t="s">
        <v>310</v>
      </c>
      <c r="G6787" s="156" t="s">
        <v>2045</v>
      </c>
      <c r="H6787" s="157" t="s">
        <v>212</v>
      </c>
    </row>
    <row r="6788" hidden="1">
      <c r="A6788" s="160" t="s">
        <v>234</v>
      </c>
      <c r="B6788" s="72"/>
      <c r="C6788" s="118" t="s">
        <v>232</v>
      </c>
      <c r="D6788" s="152" t="s">
        <v>7573</v>
      </c>
      <c r="E6788" s="152" t="s">
        <v>7685</v>
      </c>
      <c r="F6788" s="152" t="s">
        <v>308</v>
      </c>
      <c r="G6788" s="152" t="s">
        <v>2779</v>
      </c>
      <c r="H6788" s="153" t="s">
        <v>213</v>
      </c>
    </row>
    <row r="6789" hidden="1">
      <c r="A6789" s="158" t="s">
        <v>234</v>
      </c>
      <c r="B6789" s="159"/>
      <c r="C6789" s="155" t="s">
        <v>232</v>
      </c>
      <c r="D6789" s="156" t="s">
        <v>7573</v>
      </c>
      <c r="E6789" s="156" t="s">
        <v>7686</v>
      </c>
      <c r="F6789" s="156" t="s">
        <v>427</v>
      </c>
      <c r="G6789" s="156" t="s">
        <v>2999</v>
      </c>
      <c r="H6789" s="157" t="s">
        <v>214</v>
      </c>
    </row>
    <row r="6790" hidden="1">
      <c r="A6790" s="160" t="s">
        <v>234</v>
      </c>
      <c r="B6790" s="72"/>
      <c r="C6790" s="118" t="s">
        <v>232</v>
      </c>
      <c r="D6790" s="152" t="s">
        <v>7573</v>
      </c>
      <c r="E6790" s="152" t="s">
        <v>7687</v>
      </c>
      <c r="F6790" s="152" t="s">
        <v>336</v>
      </c>
      <c r="G6790" s="152" t="s">
        <v>2309</v>
      </c>
      <c r="H6790" s="153" t="s">
        <v>215</v>
      </c>
    </row>
    <row r="6791" hidden="1">
      <c r="A6791" s="158" t="s">
        <v>234</v>
      </c>
      <c r="B6791" s="159"/>
      <c r="C6791" s="155" t="s">
        <v>232</v>
      </c>
      <c r="D6791" s="156" t="s">
        <v>7573</v>
      </c>
      <c r="E6791" s="156" t="s">
        <v>7688</v>
      </c>
      <c r="F6791" s="156" t="s">
        <v>325</v>
      </c>
      <c r="G6791" s="156" t="s">
        <v>1864</v>
      </c>
      <c r="H6791" s="157" t="s">
        <v>216</v>
      </c>
    </row>
    <row r="6792" hidden="1">
      <c r="A6792" s="160" t="s">
        <v>235</v>
      </c>
      <c r="B6792" s="72"/>
      <c r="C6792" s="118" t="s">
        <v>236</v>
      </c>
      <c r="D6792" s="152" t="s">
        <v>7573</v>
      </c>
      <c r="E6792" s="152" t="s">
        <v>7689</v>
      </c>
      <c r="F6792" s="152" t="s">
        <v>339</v>
      </c>
      <c r="G6792" s="152" t="s">
        <v>3790</v>
      </c>
      <c r="H6792" s="153" t="s">
        <v>210</v>
      </c>
    </row>
    <row r="6793" hidden="1">
      <c r="A6793" s="158" t="s">
        <v>235</v>
      </c>
      <c r="B6793" s="159"/>
      <c r="C6793" s="155" t="s">
        <v>236</v>
      </c>
      <c r="D6793" s="156" t="s">
        <v>7573</v>
      </c>
      <c r="E6793" s="156" t="s">
        <v>7690</v>
      </c>
      <c r="F6793" s="156" t="s">
        <v>336</v>
      </c>
      <c r="G6793" s="156" t="s">
        <v>3911</v>
      </c>
      <c r="H6793" s="157" t="s">
        <v>211</v>
      </c>
    </row>
    <row r="6794" hidden="1">
      <c r="A6794" s="160" t="s">
        <v>235</v>
      </c>
      <c r="B6794" s="72"/>
      <c r="C6794" s="118" t="s">
        <v>236</v>
      </c>
      <c r="D6794" s="152" t="s">
        <v>7573</v>
      </c>
      <c r="E6794" s="152" t="s">
        <v>7691</v>
      </c>
      <c r="F6794" s="152" t="s">
        <v>305</v>
      </c>
      <c r="G6794" s="152" t="s">
        <v>3840</v>
      </c>
      <c r="H6794" s="153" t="s">
        <v>212</v>
      </c>
    </row>
    <row r="6795" hidden="1">
      <c r="A6795" s="158" t="s">
        <v>235</v>
      </c>
      <c r="B6795" s="159"/>
      <c r="C6795" s="155" t="s">
        <v>236</v>
      </c>
      <c r="D6795" s="156" t="s">
        <v>7573</v>
      </c>
      <c r="E6795" s="156" t="s">
        <v>7692</v>
      </c>
      <c r="F6795" s="156" t="s">
        <v>427</v>
      </c>
      <c r="G6795" s="156" t="s">
        <v>3915</v>
      </c>
      <c r="H6795" s="157" t="s">
        <v>213</v>
      </c>
    </row>
    <row r="6796" hidden="1">
      <c r="A6796" s="160" t="s">
        <v>235</v>
      </c>
      <c r="B6796" s="72"/>
      <c r="C6796" s="118" t="s">
        <v>236</v>
      </c>
      <c r="D6796" s="152" t="s">
        <v>7573</v>
      </c>
      <c r="E6796" s="152" t="s">
        <v>7693</v>
      </c>
      <c r="F6796" s="152" t="s">
        <v>483</v>
      </c>
      <c r="G6796" s="152" t="s">
        <v>4116</v>
      </c>
      <c r="H6796" s="153" t="s">
        <v>214</v>
      </c>
    </row>
    <row r="6797" hidden="1">
      <c r="A6797" s="158" t="s">
        <v>235</v>
      </c>
      <c r="B6797" s="159"/>
      <c r="C6797" s="155" t="s">
        <v>236</v>
      </c>
      <c r="D6797" s="156" t="s">
        <v>7573</v>
      </c>
      <c r="E6797" s="156" t="s">
        <v>7694</v>
      </c>
      <c r="F6797" s="156" t="s">
        <v>325</v>
      </c>
      <c r="G6797" s="156" t="s">
        <v>2008</v>
      </c>
      <c r="H6797" s="157" t="s">
        <v>215</v>
      </c>
    </row>
    <row r="6798" hidden="1">
      <c r="A6798" s="160" t="s">
        <v>235</v>
      </c>
      <c r="B6798" s="72"/>
      <c r="C6798" s="118" t="s">
        <v>236</v>
      </c>
      <c r="D6798" s="152" t="s">
        <v>7573</v>
      </c>
      <c r="E6798" s="152" t="s">
        <v>7695</v>
      </c>
      <c r="F6798" s="152" t="s">
        <v>427</v>
      </c>
      <c r="G6798" s="152" t="s">
        <v>3838</v>
      </c>
      <c r="H6798" s="153" t="s">
        <v>216</v>
      </c>
    </row>
    <row r="6799" hidden="1">
      <c r="A6799" s="158" t="s">
        <v>237</v>
      </c>
      <c r="B6799" s="159"/>
      <c r="C6799" s="155" t="s">
        <v>236</v>
      </c>
      <c r="D6799" s="156" t="s">
        <v>7573</v>
      </c>
      <c r="E6799" s="156" t="s">
        <v>7696</v>
      </c>
      <c r="F6799" s="156" t="s">
        <v>351</v>
      </c>
      <c r="G6799" s="156" t="s">
        <v>3647</v>
      </c>
      <c r="H6799" s="157" t="s">
        <v>210</v>
      </c>
    </row>
    <row r="6800" hidden="1">
      <c r="A6800" s="160" t="s">
        <v>237</v>
      </c>
      <c r="B6800" s="72"/>
      <c r="C6800" s="118" t="s">
        <v>236</v>
      </c>
      <c r="D6800" s="152" t="s">
        <v>7573</v>
      </c>
      <c r="E6800" s="152" t="s">
        <v>7697</v>
      </c>
      <c r="F6800" s="152" t="s">
        <v>323</v>
      </c>
      <c r="G6800" s="152" t="s">
        <v>3487</v>
      </c>
      <c r="H6800" s="153" t="s">
        <v>211</v>
      </c>
    </row>
    <row r="6801" hidden="1">
      <c r="A6801" s="158" t="s">
        <v>237</v>
      </c>
      <c r="B6801" s="159"/>
      <c r="C6801" s="155" t="s">
        <v>236</v>
      </c>
      <c r="D6801" s="156" t="s">
        <v>7573</v>
      </c>
      <c r="E6801" s="156" t="s">
        <v>7698</v>
      </c>
      <c r="F6801" s="156" t="s">
        <v>331</v>
      </c>
      <c r="G6801" s="156" t="s">
        <v>2697</v>
      </c>
      <c r="H6801" s="157" t="s">
        <v>212</v>
      </c>
    </row>
    <row r="6802" hidden="1">
      <c r="A6802" s="160" t="s">
        <v>237</v>
      </c>
      <c r="B6802" s="72"/>
      <c r="C6802" s="118" t="s">
        <v>236</v>
      </c>
      <c r="D6802" s="152" t="s">
        <v>7573</v>
      </c>
      <c r="E6802" s="152" t="s">
        <v>7699</v>
      </c>
      <c r="F6802" s="152" t="s">
        <v>285</v>
      </c>
      <c r="G6802" s="152" t="s">
        <v>2410</v>
      </c>
      <c r="H6802" s="153" t="s">
        <v>213</v>
      </c>
    </row>
    <row r="6803" hidden="1">
      <c r="A6803" s="158" t="s">
        <v>237</v>
      </c>
      <c r="B6803" s="159"/>
      <c r="C6803" s="155" t="s">
        <v>236</v>
      </c>
      <c r="D6803" s="156" t="s">
        <v>7573</v>
      </c>
      <c r="E6803" s="156" t="s">
        <v>7700</v>
      </c>
      <c r="F6803" s="156" t="s">
        <v>321</v>
      </c>
      <c r="G6803" s="156" t="s">
        <v>2067</v>
      </c>
      <c r="H6803" s="157" t="s">
        <v>214</v>
      </c>
    </row>
    <row r="6804" hidden="1">
      <c r="A6804" s="160" t="s">
        <v>237</v>
      </c>
      <c r="B6804" s="72"/>
      <c r="C6804" s="118" t="s">
        <v>236</v>
      </c>
      <c r="D6804" s="152" t="s">
        <v>7573</v>
      </c>
      <c r="E6804" s="152" t="s">
        <v>7701</v>
      </c>
      <c r="F6804" s="152" t="s">
        <v>321</v>
      </c>
      <c r="G6804" s="152" t="s">
        <v>2025</v>
      </c>
      <c r="H6804" s="153" t="s">
        <v>215</v>
      </c>
    </row>
    <row r="6805" hidden="1">
      <c r="A6805" s="158" t="s">
        <v>237</v>
      </c>
      <c r="B6805" s="159"/>
      <c r="C6805" s="155" t="s">
        <v>236</v>
      </c>
      <c r="D6805" s="156" t="s">
        <v>7573</v>
      </c>
      <c r="E6805" s="156" t="s">
        <v>7702</v>
      </c>
      <c r="F6805" s="156" t="s">
        <v>308</v>
      </c>
      <c r="G6805" s="156" t="s">
        <v>2391</v>
      </c>
      <c r="H6805" s="157" t="s">
        <v>216</v>
      </c>
    </row>
    <row r="6806" hidden="1">
      <c r="A6806" s="151" t="s">
        <v>204</v>
      </c>
      <c r="B6806" s="118" t="s">
        <v>205</v>
      </c>
      <c r="C6806" s="118" t="s">
        <v>206</v>
      </c>
      <c r="D6806" s="152" t="s">
        <v>7703</v>
      </c>
      <c r="E6806" s="152" t="s">
        <v>7704</v>
      </c>
      <c r="F6806" s="152" t="s">
        <v>310</v>
      </c>
      <c r="G6806" s="152" t="s">
        <v>3307</v>
      </c>
      <c r="H6806" s="153" t="s">
        <v>210</v>
      </c>
    </row>
    <row r="6807" hidden="1">
      <c r="A6807" s="154" t="s">
        <v>204</v>
      </c>
      <c r="B6807" s="155" t="s">
        <v>205</v>
      </c>
      <c r="C6807" s="155" t="s">
        <v>206</v>
      </c>
      <c r="D6807" s="156" t="s">
        <v>7703</v>
      </c>
      <c r="E6807" s="156" t="s">
        <v>7705</v>
      </c>
      <c r="F6807" s="156" t="s">
        <v>305</v>
      </c>
      <c r="G6807" s="156" t="s">
        <v>3919</v>
      </c>
      <c r="H6807" s="157" t="s">
        <v>211</v>
      </c>
    </row>
    <row r="6808" hidden="1">
      <c r="A6808" s="151" t="s">
        <v>204</v>
      </c>
      <c r="B6808" s="118" t="s">
        <v>205</v>
      </c>
      <c r="C6808" s="118" t="s">
        <v>206</v>
      </c>
      <c r="D6808" s="152" t="s">
        <v>7703</v>
      </c>
      <c r="E6808" s="152" t="s">
        <v>7706</v>
      </c>
      <c r="F6808" s="152" t="s">
        <v>290</v>
      </c>
      <c r="G6808" s="152" t="s">
        <v>2348</v>
      </c>
      <c r="H6808" s="153" t="s">
        <v>212</v>
      </c>
    </row>
    <row r="6809" hidden="1">
      <c r="A6809" s="154" t="s">
        <v>204</v>
      </c>
      <c r="B6809" s="155" t="s">
        <v>205</v>
      </c>
      <c r="C6809" s="155" t="s">
        <v>206</v>
      </c>
      <c r="D6809" s="156" t="s">
        <v>7703</v>
      </c>
      <c r="E6809" s="156" t="s">
        <v>7707</v>
      </c>
      <c r="F6809" s="156" t="s">
        <v>351</v>
      </c>
      <c r="G6809" s="156" t="s">
        <v>3262</v>
      </c>
      <c r="H6809" s="157" t="s">
        <v>213</v>
      </c>
    </row>
    <row r="6810" hidden="1">
      <c r="A6810" s="151" t="s">
        <v>204</v>
      </c>
      <c r="B6810" s="118" t="s">
        <v>205</v>
      </c>
      <c r="C6810" s="118" t="s">
        <v>206</v>
      </c>
      <c r="D6810" s="152" t="s">
        <v>7703</v>
      </c>
      <c r="E6810" s="152" t="s">
        <v>7708</v>
      </c>
      <c r="F6810" s="152" t="s">
        <v>427</v>
      </c>
      <c r="G6810" s="152" t="s">
        <v>4992</v>
      </c>
      <c r="H6810" s="153" t="s">
        <v>214</v>
      </c>
    </row>
    <row r="6811" hidden="1">
      <c r="A6811" s="154" t="s">
        <v>204</v>
      </c>
      <c r="B6811" s="155" t="s">
        <v>205</v>
      </c>
      <c r="C6811" s="155" t="s">
        <v>206</v>
      </c>
      <c r="D6811" s="156" t="s">
        <v>7703</v>
      </c>
      <c r="E6811" s="156" t="s">
        <v>7709</v>
      </c>
      <c r="F6811" s="156" t="s">
        <v>339</v>
      </c>
      <c r="G6811" s="156" t="s">
        <v>2665</v>
      </c>
      <c r="H6811" s="157" t="s">
        <v>215</v>
      </c>
    </row>
    <row r="6812" hidden="1">
      <c r="A6812" s="151" t="s">
        <v>204</v>
      </c>
      <c r="B6812" s="118" t="s">
        <v>205</v>
      </c>
      <c r="C6812" s="118" t="s">
        <v>206</v>
      </c>
      <c r="D6812" s="152" t="s">
        <v>7703</v>
      </c>
      <c r="E6812" s="152" t="s">
        <v>7710</v>
      </c>
      <c r="F6812" s="152" t="s">
        <v>305</v>
      </c>
      <c r="G6812" s="152" t="s">
        <v>2663</v>
      </c>
      <c r="H6812" s="153" t="s">
        <v>216</v>
      </c>
    </row>
    <row r="6813" hidden="1">
      <c r="A6813" s="154" t="s">
        <v>217</v>
      </c>
      <c r="B6813" s="155" t="s">
        <v>191</v>
      </c>
      <c r="C6813" s="155" t="s">
        <v>206</v>
      </c>
      <c r="D6813" s="156" t="s">
        <v>7703</v>
      </c>
      <c r="E6813" s="156" t="s">
        <v>7711</v>
      </c>
      <c r="F6813" s="156" t="s">
        <v>339</v>
      </c>
      <c r="G6813" s="156" t="s">
        <v>2965</v>
      </c>
      <c r="H6813" s="157" t="s">
        <v>210</v>
      </c>
    </row>
    <row r="6814" hidden="1">
      <c r="A6814" s="151" t="s">
        <v>217</v>
      </c>
      <c r="B6814" s="118" t="s">
        <v>191</v>
      </c>
      <c r="C6814" s="118" t="s">
        <v>206</v>
      </c>
      <c r="D6814" s="152" t="s">
        <v>7703</v>
      </c>
      <c r="E6814" s="152" t="s">
        <v>7712</v>
      </c>
      <c r="F6814" s="152" t="s">
        <v>534</v>
      </c>
      <c r="G6814" s="152" t="s">
        <v>3968</v>
      </c>
      <c r="H6814" s="153" t="s">
        <v>211</v>
      </c>
    </row>
    <row r="6815" hidden="1">
      <c r="A6815" s="154" t="s">
        <v>217</v>
      </c>
      <c r="B6815" s="155" t="s">
        <v>191</v>
      </c>
      <c r="C6815" s="155" t="s">
        <v>206</v>
      </c>
      <c r="D6815" s="156" t="s">
        <v>7703</v>
      </c>
      <c r="E6815" s="156" t="s">
        <v>7713</v>
      </c>
      <c r="F6815" s="156" t="s">
        <v>249</v>
      </c>
      <c r="G6815" s="156" t="s">
        <v>3939</v>
      </c>
      <c r="H6815" s="157" t="s">
        <v>212</v>
      </c>
    </row>
    <row r="6816" hidden="1">
      <c r="A6816" s="151" t="s">
        <v>217</v>
      </c>
      <c r="B6816" s="118" t="s">
        <v>191</v>
      </c>
      <c r="C6816" s="118" t="s">
        <v>206</v>
      </c>
      <c r="D6816" s="152" t="s">
        <v>7703</v>
      </c>
      <c r="E6816" s="152" t="s">
        <v>7714</v>
      </c>
      <c r="F6816" s="152" t="s">
        <v>339</v>
      </c>
      <c r="G6816" s="152" t="s">
        <v>3844</v>
      </c>
      <c r="H6816" s="153" t="s">
        <v>213</v>
      </c>
    </row>
    <row r="6817" hidden="1">
      <c r="A6817" s="154" t="s">
        <v>217</v>
      </c>
      <c r="B6817" s="155" t="s">
        <v>191</v>
      </c>
      <c r="C6817" s="155" t="s">
        <v>206</v>
      </c>
      <c r="D6817" s="156" t="s">
        <v>7703</v>
      </c>
      <c r="E6817" s="156" t="s">
        <v>7715</v>
      </c>
      <c r="F6817" s="156" t="s">
        <v>425</v>
      </c>
      <c r="G6817" s="156" t="s">
        <v>3966</v>
      </c>
      <c r="H6817" s="157" t="s">
        <v>214</v>
      </c>
    </row>
    <row r="6818" hidden="1">
      <c r="A6818" s="151" t="s">
        <v>217</v>
      </c>
      <c r="B6818" s="118" t="s">
        <v>191</v>
      </c>
      <c r="C6818" s="118" t="s">
        <v>206</v>
      </c>
      <c r="D6818" s="152" t="s">
        <v>7703</v>
      </c>
      <c r="E6818" s="152" t="s">
        <v>7716</v>
      </c>
      <c r="F6818" s="152" t="s">
        <v>305</v>
      </c>
      <c r="G6818" s="152" t="s">
        <v>2965</v>
      </c>
      <c r="H6818" s="153" t="s">
        <v>215</v>
      </c>
    </row>
    <row r="6819" hidden="1">
      <c r="A6819" s="154" t="s">
        <v>217</v>
      </c>
      <c r="B6819" s="155" t="s">
        <v>191</v>
      </c>
      <c r="C6819" s="155" t="s">
        <v>206</v>
      </c>
      <c r="D6819" s="156" t="s">
        <v>7703</v>
      </c>
      <c r="E6819" s="156" t="s">
        <v>7717</v>
      </c>
      <c r="F6819" s="156" t="s">
        <v>305</v>
      </c>
      <c r="G6819" s="156" t="s">
        <v>3820</v>
      </c>
      <c r="H6819" s="157" t="s">
        <v>216</v>
      </c>
    </row>
    <row r="6820" hidden="1">
      <c r="A6820" s="151" t="s">
        <v>218</v>
      </c>
      <c r="B6820" s="118" t="s">
        <v>219</v>
      </c>
      <c r="C6820" s="118" t="s">
        <v>206</v>
      </c>
      <c r="D6820" s="152" t="s">
        <v>7703</v>
      </c>
      <c r="E6820" s="152" t="s">
        <v>7718</v>
      </c>
      <c r="F6820" s="152" t="s">
        <v>405</v>
      </c>
      <c r="G6820" s="152" t="s">
        <v>4305</v>
      </c>
      <c r="H6820" s="153" t="s">
        <v>210</v>
      </c>
    </row>
    <row r="6821" hidden="1">
      <c r="A6821" s="154" t="s">
        <v>218</v>
      </c>
      <c r="B6821" s="155" t="s">
        <v>219</v>
      </c>
      <c r="C6821" s="155" t="s">
        <v>206</v>
      </c>
      <c r="D6821" s="156" t="s">
        <v>7703</v>
      </c>
      <c r="E6821" s="156" t="s">
        <v>7719</v>
      </c>
      <c r="F6821" s="156" t="s">
        <v>423</v>
      </c>
      <c r="G6821" s="156" t="s">
        <v>2510</v>
      </c>
      <c r="H6821" s="157" t="s">
        <v>211</v>
      </c>
    </row>
    <row r="6822" hidden="1">
      <c r="A6822" s="151" t="s">
        <v>218</v>
      </c>
      <c r="B6822" s="118" t="s">
        <v>219</v>
      </c>
      <c r="C6822" s="118" t="s">
        <v>206</v>
      </c>
      <c r="D6822" s="152" t="s">
        <v>7703</v>
      </c>
      <c r="E6822" s="152" t="s">
        <v>7720</v>
      </c>
      <c r="F6822" s="152" t="s">
        <v>2607</v>
      </c>
      <c r="G6822" s="152" t="s">
        <v>3710</v>
      </c>
      <c r="H6822" s="153" t="s">
        <v>212</v>
      </c>
    </row>
    <row r="6823" hidden="1">
      <c r="A6823" s="154" t="s">
        <v>218</v>
      </c>
      <c r="B6823" s="155" t="s">
        <v>219</v>
      </c>
      <c r="C6823" s="155" t="s">
        <v>206</v>
      </c>
      <c r="D6823" s="156" t="s">
        <v>7703</v>
      </c>
      <c r="E6823" s="156" t="s">
        <v>7721</v>
      </c>
      <c r="F6823" s="156" t="s">
        <v>532</v>
      </c>
      <c r="G6823" s="156" t="s">
        <v>2181</v>
      </c>
      <c r="H6823" s="157" t="s">
        <v>213</v>
      </c>
    </row>
    <row r="6824" hidden="1">
      <c r="A6824" s="151" t="s">
        <v>218</v>
      </c>
      <c r="B6824" s="118" t="s">
        <v>219</v>
      </c>
      <c r="C6824" s="118" t="s">
        <v>206</v>
      </c>
      <c r="D6824" s="152" t="s">
        <v>7703</v>
      </c>
      <c r="E6824" s="152" t="s">
        <v>7722</v>
      </c>
      <c r="F6824" s="152" t="s">
        <v>405</v>
      </c>
      <c r="G6824" s="152" t="s">
        <v>3203</v>
      </c>
      <c r="H6824" s="153" t="s">
        <v>214</v>
      </c>
    </row>
    <row r="6825" hidden="1">
      <c r="A6825" s="154" t="s">
        <v>218</v>
      </c>
      <c r="B6825" s="155" t="s">
        <v>219</v>
      </c>
      <c r="C6825" s="155" t="s">
        <v>206</v>
      </c>
      <c r="D6825" s="156" t="s">
        <v>7703</v>
      </c>
      <c r="E6825" s="156" t="s">
        <v>7723</v>
      </c>
      <c r="F6825" s="156" t="s">
        <v>423</v>
      </c>
      <c r="G6825" s="156" t="s">
        <v>3400</v>
      </c>
      <c r="H6825" s="157" t="s">
        <v>215</v>
      </c>
    </row>
    <row r="6826" hidden="1">
      <c r="A6826" s="151" t="s">
        <v>218</v>
      </c>
      <c r="B6826" s="118" t="s">
        <v>219</v>
      </c>
      <c r="C6826" s="118" t="s">
        <v>206</v>
      </c>
      <c r="D6826" s="152" t="s">
        <v>7703</v>
      </c>
      <c r="E6826" s="152" t="s">
        <v>7724</v>
      </c>
      <c r="F6826" s="152" t="s">
        <v>1999</v>
      </c>
      <c r="G6826" s="152" t="s">
        <v>2506</v>
      </c>
      <c r="H6826" s="153" t="s">
        <v>216</v>
      </c>
    </row>
    <row r="6827" hidden="1">
      <c r="A6827" s="154" t="s">
        <v>220</v>
      </c>
      <c r="B6827" s="155" t="s">
        <v>190</v>
      </c>
      <c r="C6827" s="155" t="s">
        <v>206</v>
      </c>
      <c r="D6827" s="156" t="s">
        <v>7703</v>
      </c>
      <c r="E6827" s="156" t="s">
        <v>7725</v>
      </c>
      <c r="F6827" s="156" t="s">
        <v>425</v>
      </c>
      <c r="G6827" s="156" t="s">
        <v>4712</v>
      </c>
      <c r="H6827" s="157" t="s">
        <v>210</v>
      </c>
    </row>
    <row r="6828" hidden="1">
      <c r="A6828" s="151" t="s">
        <v>220</v>
      </c>
      <c r="B6828" s="118" t="s">
        <v>190</v>
      </c>
      <c r="C6828" s="118" t="s">
        <v>206</v>
      </c>
      <c r="D6828" s="152" t="s">
        <v>7703</v>
      </c>
      <c r="E6828" s="152" t="s">
        <v>7726</v>
      </c>
      <c r="F6828" s="152" t="s">
        <v>305</v>
      </c>
      <c r="G6828" s="152" t="s">
        <v>3541</v>
      </c>
      <c r="H6828" s="153" t="s">
        <v>211</v>
      </c>
    </row>
    <row r="6829" hidden="1">
      <c r="A6829" s="154" t="s">
        <v>220</v>
      </c>
      <c r="B6829" s="155" t="s">
        <v>190</v>
      </c>
      <c r="C6829" s="155" t="s">
        <v>206</v>
      </c>
      <c r="D6829" s="156" t="s">
        <v>7703</v>
      </c>
      <c r="E6829" s="156" t="s">
        <v>7727</v>
      </c>
      <c r="F6829" s="156" t="s">
        <v>246</v>
      </c>
      <c r="G6829" s="156" t="s">
        <v>3696</v>
      </c>
      <c r="H6829" s="157" t="s">
        <v>212</v>
      </c>
    </row>
    <row r="6830" hidden="1">
      <c r="A6830" s="151" t="s">
        <v>220</v>
      </c>
      <c r="B6830" s="118" t="s">
        <v>190</v>
      </c>
      <c r="C6830" s="118" t="s">
        <v>206</v>
      </c>
      <c r="D6830" s="152" t="s">
        <v>7703</v>
      </c>
      <c r="E6830" s="152" t="s">
        <v>7728</v>
      </c>
      <c r="F6830" s="152" t="s">
        <v>314</v>
      </c>
      <c r="G6830" s="152" t="s">
        <v>2183</v>
      </c>
      <c r="H6830" s="153" t="s">
        <v>213</v>
      </c>
    </row>
    <row r="6831" hidden="1">
      <c r="A6831" s="154" t="s">
        <v>220</v>
      </c>
      <c r="B6831" s="155" t="s">
        <v>190</v>
      </c>
      <c r="C6831" s="155" t="s">
        <v>206</v>
      </c>
      <c r="D6831" s="156" t="s">
        <v>7703</v>
      </c>
      <c r="E6831" s="156" t="s">
        <v>7729</v>
      </c>
      <c r="F6831" s="156" t="s">
        <v>329</v>
      </c>
      <c r="G6831" s="156" t="s">
        <v>4775</v>
      </c>
      <c r="H6831" s="157" t="s">
        <v>214</v>
      </c>
    </row>
    <row r="6832" hidden="1">
      <c r="A6832" s="151" t="s">
        <v>220</v>
      </c>
      <c r="B6832" s="118" t="s">
        <v>190</v>
      </c>
      <c r="C6832" s="118" t="s">
        <v>206</v>
      </c>
      <c r="D6832" s="152" t="s">
        <v>7703</v>
      </c>
      <c r="E6832" s="152" t="s">
        <v>7730</v>
      </c>
      <c r="F6832" s="152" t="s">
        <v>351</v>
      </c>
      <c r="G6832" s="152" t="s">
        <v>4083</v>
      </c>
      <c r="H6832" s="153" t="s">
        <v>215</v>
      </c>
    </row>
    <row r="6833" hidden="1">
      <c r="A6833" s="154" t="s">
        <v>220</v>
      </c>
      <c r="B6833" s="155" t="s">
        <v>190</v>
      </c>
      <c r="C6833" s="155" t="s">
        <v>206</v>
      </c>
      <c r="D6833" s="156" t="s">
        <v>7703</v>
      </c>
      <c r="E6833" s="156" t="s">
        <v>7731</v>
      </c>
      <c r="F6833" s="156" t="s">
        <v>427</v>
      </c>
      <c r="G6833" s="156" t="s">
        <v>3304</v>
      </c>
      <c r="H6833" s="157" t="s">
        <v>216</v>
      </c>
    </row>
    <row r="6834" hidden="1">
      <c r="A6834" s="151" t="s">
        <v>221</v>
      </c>
      <c r="B6834" s="118" t="s">
        <v>189</v>
      </c>
      <c r="C6834" s="118" t="s">
        <v>206</v>
      </c>
      <c r="D6834" s="152" t="s">
        <v>7703</v>
      </c>
      <c r="E6834" s="152" t="s">
        <v>7732</v>
      </c>
      <c r="F6834" s="152" t="s">
        <v>285</v>
      </c>
      <c r="G6834" s="152" t="s">
        <v>2034</v>
      </c>
      <c r="H6834" s="153" t="s">
        <v>210</v>
      </c>
    </row>
    <row r="6835" hidden="1">
      <c r="A6835" s="154" t="s">
        <v>221</v>
      </c>
      <c r="B6835" s="155" t="s">
        <v>189</v>
      </c>
      <c r="C6835" s="155" t="s">
        <v>206</v>
      </c>
      <c r="D6835" s="156" t="s">
        <v>7703</v>
      </c>
      <c r="E6835" s="156" t="s">
        <v>7733</v>
      </c>
      <c r="F6835" s="156" t="s">
        <v>249</v>
      </c>
      <c r="G6835" s="156" t="s">
        <v>2546</v>
      </c>
      <c r="H6835" s="157" t="s">
        <v>211</v>
      </c>
    </row>
    <row r="6836" hidden="1">
      <c r="A6836" s="151" t="s">
        <v>221</v>
      </c>
      <c r="B6836" s="118" t="s">
        <v>189</v>
      </c>
      <c r="C6836" s="118" t="s">
        <v>206</v>
      </c>
      <c r="D6836" s="152" t="s">
        <v>7703</v>
      </c>
      <c r="E6836" s="152" t="s">
        <v>7734</v>
      </c>
      <c r="F6836" s="152" t="s">
        <v>365</v>
      </c>
      <c r="G6836" s="152" t="s">
        <v>1976</v>
      </c>
      <c r="H6836" s="153" t="s">
        <v>212</v>
      </c>
    </row>
    <row r="6837" hidden="1">
      <c r="A6837" s="154" t="s">
        <v>221</v>
      </c>
      <c r="B6837" s="155" t="s">
        <v>189</v>
      </c>
      <c r="C6837" s="155" t="s">
        <v>206</v>
      </c>
      <c r="D6837" s="156" t="s">
        <v>7703</v>
      </c>
      <c r="E6837" s="156" t="s">
        <v>7735</v>
      </c>
      <c r="F6837" s="156" t="s">
        <v>725</v>
      </c>
      <c r="G6837" s="156" t="s">
        <v>2039</v>
      </c>
      <c r="H6837" s="157" t="s">
        <v>213</v>
      </c>
    </row>
    <row r="6838" hidden="1">
      <c r="A6838" s="151" t="s">
        <v>221</v>
      </c>
      <c r="B6838" s="118" t="s">
        <v>189</v>
      </c>
      <c r="C6838" s="118" t="s">
        <v>206</v>
      </c>
      <c r="D6838" s="152" t="s">
        <v>7703</v>
      </c>
      <c r="E6838" s="152" t="s">
        <v>7736</v>
      </c>
      <c r="F6838" s="152" t="s">
        <v>310</v>
      </c>
      <c r="G6838" s="152" t="s">
        <v>3007</v>
      </c>
      <c r="H6838" s="153" t="s">
        <v>214</v>
      </c>
    </row>
    <row r="6839" hidden="1">
      <c r="A6839" s="154" t="s">
        <v>221</v>
      </c>
      <c r="B6839" s="155" t="s">
        <v>189</v>
      </c>
      <c r="C6839" s="155" t="s">
        <v>206</v>
      </c>
      <c r="D6839" s="156" t="s">
        <v>7703</v>
      </c>
      <c r="E6839" s="156" t="s">
        <v>7737</v>
      </c>
      <c r="F6839" s="156" t="s">
        <v>240</v>
      </c>
      <c r="G6839" s="156" t="s">
        <v>2688</v>
      </c>
      <c r="H6839" s="157" t="s">
        <v>215</v>
      </c>
    </row>
    <row r="6840" hidden="1">
      <c r="A6840" s="151" t="s">
        <v>221</v>
      </c>
      <c r="B6840" s="118" t="s">
        <v>189</v>
      </c>
      <c r="C6840" s="118" t="s">
        <v>206</v>
      </c>
      <c r="D6840" s="152" t="s">
        <v>7703</v>
      </c>
      <c r="E6840" s="152" t="s">
        <v>7738</v>
      </c>
      <c r="F6840" s="152" t="s">
        <v>321</v>
      </c>
      <c r="G6840" s="152" t="s">
        <v>2025</v>
      </c>
      <c r="H6840" s="153" t="s">
        <v>216</v>
      </c>
    </row>
    <row r="6841" hidden="1">
      <c r="A6841" s="154" t="s">
        <v>222</v>
      </c>
      <c r="B6841" s="155" t="s">
        <v>192</v>
      </c>
      <c r="C6841" s="155" t="s">
        <v>206</v>
      </c>
      <c r="D6841" s="156" t="s">
        <v>7703</v>
      </c>
      <c r="E6841" s="156" t="s">
        <v>7739</v>
      </c>
      <c r="F6841" s="156" t="s">
        <v>351</v>
      </c>
      <c r="G6841" s="156" t="s">
        <v>4206</v>
      </c>
      <c r="H6841" s="157" t="s">
        <v>210</v>
      </c>
    </row>
    <row r="6842" hidden="1">
      <c r="A6842" s="151" t="s">
        <v>222</v>
      </c>
      <c r="B6842" s="118" t="s">
        <v>192</v>
      </c>
      <c r="C6842" s="118" t="s">
        <v>206</v>
      </c>
      <c r="D6842" s="152" t="s">
        <v>7703</v>
      </c>
      <c r="E6842" s="152" t="s">
        <v>7740</v>
      </c>
      <c r="F6842" s="152" t="s">
        <v>310</v>
      </c>
      <c r="G6842" s="152" t="s">
        <v>3307</v>
      </c>
      <c r="H6842" s="153" t="s">
        <v>211</v>
      </c>
    </row>
    <row r="6843" hidden="1">
      <c r="A6843" s="154" t="s">
        <v>222</v>
      </c>
      <c r="B6843" s="155" t="s">
        <v>192</v>
      </c>
      <c r="C6843" s="155" t="s">
        <v>206</v>
      </c>
      <c r="D6843" s="156" t="s">
        <v>7703</v>
      </c>
      <c r="E6843" s="156" t="s">
        <v>7741</v>
      </c>
      <c r="F6843" s="156" t="s">
        <v>339</v>
      </c>
      <c r="G6843" s="156" t="s">
        <v>2506</v>
      </c>
      <c r="H6843" s="157" t="s">
        <v>212</v>
      </c>
    </row>
    <row r="6844" hidden="1">
      <c r="A6844" s="151" t="s">
        <v>222</v>
      </c>
      <c r="B6844" s="118" t="s">
        <v>192</v>
      </c>
      <c r="C6844" s="118" t="s">
        <v>206</v>
      </c>
      <c r="D6844" s="152" t="s">
        <v>7703</v>
      </c>
      <c r="E6844" s="152" t="s">
        <v>7742</v>
      </c>
      <c r="F6844" s="152" t="s">
        <v>351</v>
      </c>
      <c r="G6844" s="152" t="s">
        <v>2006</v>
      </c>
      <c r="H6844" s="153" t="s">
        <v>213</v>
      </c>
    </row>
    <row r="6845" hidden="1">
      <c r="A6845" s="154" t="s">
        <v>222</v>
      </c>
      <c r="B6845" s="155" t="s">
        <v>192</v>
      </c>
      <c r="C6845" s="155" t="s">
        <v>206</v>
      </c>
      <c r="D6845" s="156" t="s">
        <v>7703</v>
      </c>
      <c r="E6845" s="156" t="s">
        <v>7743</v>
      </c>
      <c r="F6845" s="156" t="s">
        <v>427</v>
      </c>
      <c r="G6845" s="156" t="s">
        <v>4206</v>
      </c>
      <c r="H6845" s="157" t="s">
        <v>214</v>
      </c>
    </row>
    <row r="6846" hidden="1">
      <c r="A6846" s="151" t="s">
        <v>222</v>
      </c>
      <c r="B6846" s="118" t="s">
        <v>192</v>
      </c>
      <c r="C6846" s="118" t="s">
        <v>206</v>
      </c>
      <c r="D6846" s="152" t="s">
        <v>7703</v>
      </c>
      <c r="E6846" s="152" t="s">
        <v>7744</v>
      </c>
      <c r="F6846" s="152" t="s">
        <v>339</v>
      </c>
      <c r="G6846" s="152" t="s">
        <v>4002</v>
      </c>
      <c r="H6846" s="153" t="s">
        <v>215</v>
      </c>
    </row>
    <row r="6847" hidden="1">
      <c r="A6847" s="154" t="s">
        <v>222</v>
      </c>
      <c r="B6847" s="155" t="s">
        <v>192</v>
      </c>
      <c r="C6847" s="155" t="s">
        <v>206</v>
      </c>
      <c r="D6847" s="156" t="s">
        <v>7703</v>
      </c>
      <c r="E6847" s="156" t="s">
        <v>7745</v>
      </c>
      <c r="F6847" s="156" t="s">
        <v>305</v>
      </c>
      <c r="G6847" s="156" t="s">
        <v>3572</v>
      </c>
      <c r="H6847" s="157" t="s">
        <v>216</v>
      </c>
    </row>
    <row r="6848" hidden="1">
      <c r="A6848" s="151" t="s">
        <v>223</v>
      </c>
      <c r="B6848" s="118" t="s">
        <v>144</v>
      </c>
      <c r="C6848" s="118" t="s">
        <v>206</v>
      </c>
      <c r="D6848" s="152" t="s">
        <v>7703</v>
      </c>
      <c r="E6848" s="152" t="s">
        <v>7746</v>
      </c>
      <c r="F6848" s="152" t="s">
        <v>285</v>
      </c>
      <c r="G6848" s="152" t="s">
        <v>2006</v>
      </c>
      <c r="H6848" s="153" t="s">
        <v>210</v>
      </c>
    </row>
    <row r="6849" hidden="1">
      <c r="A6849" s="154" t="s">
        <v>223</v>
      </c>
      <c r="B6849" s="155" t="s">
        <v>144</v>
      </c>
      <c r="C6849" s="155" t="s">
        <v>206</v>
      </c>
      <c r="D6849" s="156" t="s">
        <v>7703</v>
      </c>
      <c r="E6849" s="156" t="s">
        <v>7747</v>
      </c>
      <c r="F6849" s="156" t="s">
        <v>483</v>
      </c>
      <c r="G6849" s="156" t="s">
        <v>3812</v>
      </c>
      <c r="H6849" s="157" t="s">
        <v>211</v>
      </c>
    </row>
    <row r="6850" hidden="1">
      <c r="A6850" s="151" t="s">
        <v>223</v>
      </c>
      <c r="B6850" s="118" t="s">
        <v>144</v>
      </c>
      <c r="C6850" s="118" t="s">
        <v>206</v>
      </c>
      <c r="D6850" s="152" t="s">
        <v>7703</v>
      </c>
      <c r="E6850" s="152" t="s">
        <v>7748</v>
      </c>
      <c r="F6850" s="152" t="s">
        <v>725</v>
      </c>
      <c r="G6850" s="152" t="s">
        <v>4464</v>
      </c>
      <c r="H6850" s="153" t="s">
        <v>212</v>
      </c>
    </row>
    <row r="6851" hidden="1">
      <c r="A6851" s="154" t="s">
        <v>223</v>
      </c>
      <c r="B6851" s="155" t="s">
        <v>144</v>
      </c>
      <c r="C6851" s="155" t="s">
        <v>206</v>
      </c>
      <c r="D6851" s="156" t="s">
        <v>7703</v>
      </c>
      <c r="E6851" s="156" t="s">
        <v>7749</v>
      </c>
      <c r="F6851" s="156" t="s">
        <v>478</v>
      </c>
      <c r="G6851" s="156" t="s">
        <v>4161</v>
      </c>
      <c r="H6851" s="157" t="s">
        <v>213</v>
      </c>
    </row>
    <row r="6852" hidden="1">
      <c r="A6852" s="151" t="s">
        <v>223</v>
      </c>
      <c r="B6852" s="118" t="s">
        <v>144</v>
      </c>
      <c r="C6852" s="118" t="s">
        <v>206</v>
      </c>
      <c r="D6852" s="152" t="s">
        <v>7703</v>
      </c>
      <c r="E6852" s="152" t="s">
        <v>7750</v>
      </c>
      <c r="F6852" s="152" t="s">
        <v>329</v>
      </c>
      <c r="G6852" s="152" t="s">
        <v>4161</v>
      </c>
      <c r="H6852" s="153" t="s">
        <v>214</v>
      </c>
    </row>
    <row r="6853" hidden="1">
      <c r="A6853" s="154" t="s">
        <v>223</v>
      </c>
      <c r="B6853" s="155" t="s">
        <v>144</v>
      </c>
      <c r="C6853" s="155" t="s">
        <v>206</v>
      </c>
      <c r="D6853" s="156" t="s">
        <v>7703</v>
      </c>
      <c r="E6853" s="156" t="s">
        <v>7751</v>
      </c>
      <c r="F6853" s="156" t="s">
        <v>308</v>
      </c>
      <c r="G6853" s="156" t="s">
        <v>2665</v>
      </c>
      <c r="H6853" s="157" t="s">
        <v>215</v>
      </c>
    </row>
    <row r="6854" hidden="1">
      <c r="A6854" s="151" t="s">
        <v>223</v>
      </c>
      <c r="B6854" s="118" t="s">
        <v>144</v>
      </c>
      <c r="C6854" s="118" t="s">
        <v>206</v>
      </c>
      <c r="D6854" s="152" t="s">
        <v>7703</v>
      </c>
      <c r="E6854" s="152" t="s">
        <v>7752</v>
      </c>
      <c r="F6854" s="152" t="s">
        <v>305</v>
      </c>
      <c r="G6854" s="152" t="s">
        <v>3900</v>
      </c>
      <c r="H6854" s="153" t="s">
        <v>216</v>
      </c>
    </row>
    <row r="6855" hidden="1">
      <c r="A6855" s="154" t="s">
        <v>224</v>
      </c>
      <c r="B6855" s="155" t="s">
        <v>170</v>
      </c>
      <c r="C6855" s="155" t="s">
        <v>206</v>
      </c>
      <c r="D6855" s="156" t="s">
        <v>7703</v>
      </c>
      <c r="E6855" s="156" t="s">
        <v>7753</v>
      </c>
      <c r="F6855" s="156" t="s">
        <v>351</v>
      </c>
      <c r="G6855" s="156" t="s">
        <v>3786</v>
      </c>
      <c r="H6855" s="157" t="s">
        <v>210</v>
      </c>
    </row>
    <row r="6856" hidden="1">
      <c r="A6856" s="151" t="s">
        <v>224</v>
      </c>
      <c r="B6856" s="118" t="s">
        <v>170</v>
      </c>
      <c r="C6856" s="118" t="s">
        <v>206</v>
      </c>
      <c r="D6856" s="152" t="s">
        <v>7703</v>
      </c>
      <c r="E6856" s="152" t="s">
        <v>7754</v>
      </c>
      <c r="F6856" s="152" t="s">
        <v>305</v>
      </c>
      <c r="G6856" s="152" t="s">
        <v>4223</v>
      </c>
      <c r="H6856" s="153" t="s">
        <v>211</v>
      </c>
    </row>
    <row r="6857" hidden="1">
      <c r="A6857" s="154" t="s">
        <v>224</v>
      </c>
      <c r="B6857" s="155" t="s">
        <v>170</v>
      </c>
      <c r="C6857" s="155" t="s">
        <v>206</v>
      </c>
      <c r="D6857" s="156" t="s">
        <v>7703</v>
      </c>
      <c r="E6857" s="156" t="s">
        <v>7755</v>
      </c>
      <c r="F6857" s="156" t="s">
        <v>308</v>
      </c>
      <c r="G6857" s="156" t="s">
        <v>3267</v>
      </c>
      <c r="H6857" s="157" t="s">
        <v>212</v>
      </c>
    </row>
    <row r="6858" hidden="1">
      <c r="A6858" s="151" t="s">
        <v>224</v>
      </c>
      <c r="B6858" s="118" t="s">
        <v>170</v>
      </c>
      <c r="C6858" s="118" t="s">
        <v>206</v>
      </c>
      <c r="D6858" s="152" t="s">
        <v>7703</v>
      </c>
      <c r="E6858" s="152" t="s">
        <v>7756</v>
      </c>
      <c r="F6858" s="152" t="s">
        <v>351</v>
      </c>
      <c r="G6858" s="152" t="s">
        <v>4167</v>
      </c>
      <c r="H6858" s="153" t="s">
        <v>213</v>
      </c>
    </row>
    <row r="6859" hidden="1">
      <c r="A6859" s="154" t="s">
        <v>224</v>
      </c>
      <c r="B6859" s="155" t="s">
        <v>170</v>
      </c>
      <c r="C6859" s="155" t="s">
        <v>206</v>
      </c>
      <c r="D6859" s="156" t="s">
        <v>7703</v>
      </c>
      <c r="E6859" s="156" t="s">
        <v>7757</v>
      </c>
      <c r="F6859" s="156" t="s">
        <v>365</v>
      </c>
      <c r="G6859" s="156" t="s">
        <v>3462</v>
      </c>
      <c r="H6859" s="157" t="s">
        <v>214</v>
      </c>
    </row>
    <row r="6860" hidden="1">
      <c r="A6860" s="151" t="s">
        <v>224</v>
      </c>
      <c r="B6860" s="118" t="s">
        <v>170</v>
      </c>
      <c r="C6860" s="118" t="s">
        <v>206</v>
      </c>
      <c r="D6860" s="152" t="s">
        <v>7703</v>
      </c>
      <c r="E6860" s="152" t="s">
        <v>7758</v>
      </c>
      <c r="F6860" s="152" t="s">
        <v>423</v>
      </c>
      <c r="G6860" s="152" t="s">
        <v>4331</v>
      </c>
      <c r="H6860" s="153" t="s">
        <v>215</v>
      </c>
    </row>
    <row r="6861" hidden="1">
      <c r="A6861" s="154" t="s">
        <v>224</v>
      </c>
      <c r="B6861" s="155" t="s">
        <v>170</v>
      </c>
      <c r="C6861" s="155" t="s">
        <v>206</v>
      </c>
      <c r="D6861" s="156" t="s">
        <v>7703</v>
      </c>
      <c r="E6861" s="156" t="s">
        <v>7759</v>
      </c>
      <c r="F6861" s="156" t="s">
        <v>351</v>
      </c>
      <c r="G6861" s="156" t="s">
        <v>3265</v>
      </c>
      <c r="H6861" s="157" t="s">
        <v>216</v>
      </c>
    </row>
    <row r="6862" hidden="1">
      <c r="A6862" s="151" t="s">
        <v>225</v>
      </c>
      <c r="B6862" s="118" t="s">
        <v>226</v>
      </c>
      <c r="C6862" s="118" t="s">
        <v>206</v>
      </c>
      <c r="D6862" s="152" t="s">
        <v>7703</v>
      </c>
      <c r="E6862" s="152" t="s">
        <v>7760</v>
      </c>
      <c r="F6862" s="152" t="s">
        <v>348</v>
      </c>
      <c r="G6862" s="152" t="s">
        <v>2534</v>
      </c>
      <c r="H6862" s="153" t="s">
        <v>210</v>
      </c>
    </row>
    <row r="6863" hidden="1">
      <c r="A6863" s="154" t="s">
        <v>225</v>
      </c>
      <c r="B6863" s="155" t="s">
        <v>226</v>
      </c>
      <c r="C6863" s="155" t="s">
        <v>206</v>
      </c>
      <c r="D6863" s="156" t="s">
        <v>7703</v>
      </c>
      <c r="E6863" s="156" t="s">
        <v>7761</v>
      </c>
      <c r="F6863" s="156" t="s">
        <v>3240</v>
      </c>
      <c r="G6863" s="156" t="s">
        <v>2034</v>
      </c>
      <c r="H6863" s="157" t="s">
        <v>211</v>
      </c>
    </row>
    <row r="6864" hidden="1">
      <c r="A6864" s="151" t="s">
        <v>225</v>
      </c>
      <c r="B6864" s="118" t="s">
        <v>226</v>
      </c>
      <c r="C6864" s="118" t="s">
        <v>206</v>
      </c>
      <c r="D6864" s="152" t="s">
        <v>7703</v>
      </c>
      <c r="E6864" s="152" t="s">
        <v>7762</v>
      </c>
      <c r="F6864" s="152" t="s">
        <v>1530</v>
      </c>
      <c r="G6864" s="152" t="s">
        <v>2045</v>
      </c>
      <c r="H6864" s="153" t="s">
        <v>212</v>
      </c>
    </row>
    <row r="6865" hidden="1">
      <c r="A6865" s="154" t="s">
        <v>225</v>
      </c>
      <c r="B6865" s="155" t="s">
        <v>226</v>
      </c>
      <c r="C6865" s="155" t="s">
        <v>206</v>
      </c>
      <c r="D6865" s="156" t="s">
        <v>7703</v>
      </c>
      <c r="E6865" s="156" t="s">
        <v>7763</v>
      </c>
      <c r="F6865" s="156" t="s">
        <v>629</v>
      </c>
      <c r="G6865" s="156" t="s">
        <v>1810</v>
      </c>
      <c r="H6865" s="157" t="s">
        <v>213</v>
      </c>
    </row>
    <row r="6866" hidden="1">
      <c r="A6866" s="151" t="s">
        <v>225</v>
      </c>
      <c r="B6866" s="118" t="s">
        <v>226</v>
      </c>
      <c r="C6866" s="118" t="s">
        <v>206</v>
      </c>
      <c r="D6866" s="152" t="s">
        <v>7703</v>
      </c>
      <c r="E6866" s="152" t="s">
        <v>7764</v>
      </c>
      <c r="F6866" s="152" t="s">
        <v>3240</v>
      </c>
      <c r="G6866" s="152" t="s">
        <v>2299</v>
      </c>
      <c r="H6866" s="153" t="s">
        <v>214</v>
      </c>
    </row>
    <row r="6867" hidden="1">
      <c r="A6867" s="154" t="s">
        <v>225</v>
      </c>
      <c r="B6867" s="155" t="s">
        <v>226</v>
      </c>
      <c r="C6867" s="155" t="s">
        <v>206</v>
      </c>
      <c r="D6867" s="156" t="s">
        <v>7703</v>
      </c>
      <c r="E6867" s="156" t="s">
        <v>7765</v>
      </c>
      <c r="F6867" s="156" t="s">
        <v>3145</v>
      </c>
      <c r="G6867" s="156" t="s">
        <v>2045</v>
      </c>
      <c r="H6867" s="157" t="s">
        <v>215</v>
      </c>
    </row>
    <row r="6868" hidden="1">
      <c r="A6868" s="151" t="s">
        <v>225</v>
      </c>
      <c r="B6868" s="118" t="s">
        <v>226</v>
      </c>
      <c r="C6868" s="118" t="s">
        <v>206</v>
      </c>
      <c r="D6868" s="152" t="s">
        <v>7703</v>
      </c>
      <c r="E6868" s="152" t="s">
        <v>7766</v>
      </c>
      <c r="F6868" s="152" t="s">
        <v>348</v>
      </c>
      <c r="G6868" s="152" t="s">
        <v>2705</v>
      </c>
      <c r="H6868" s="153" t="s">
        <v>216</v>
      </c>
    </row>
    <row r="6869" hidden="1">
      <c r="A6869" s="154" t="s">
        <v>227</v>
      </c>
      <c r="B6869" s="155" t="s">
        <v>195</v>
      </c>
      <c r="C6869" s="155" t="s">
        <v>206</v>
      </c>
      <c r="D6869" s="156" t="s">
        <v>7703</v>
      </c>
      <c r="E6869" s="156" t="s">
        <v>7767</v>
      </c>
      <c r="F6869" s="156" t="s">
        <v>242</v>
      </c>
      <c r="G6869" s="156" t="s">
        <v>3475</v>
      </c>
      <c r="H6869" s="157" t="s">
        <v>210</v>
      </c>
    </row>
    <row r="6870" hidden="1">
      <c r="A6870" s="151" t="s">
        <v>227</v>
      </c>
      <c r="B6870" s="118" t="s">
        <v>195</v>
      </c>
      <c r="C6870" s="118" t="s">
        <v>206</v>
      </c>
      <c r="D6870" s="152" t="s">
        <v>7703</v>
      </c>
      <c r="E6870" s="152" t="s">
        <v>7768</v>
      </c>
      <c r="F6870" s="152" t="s">
        <v>249</v>
      </c>
      <c r="G6870" s="152" t="s">
        <v>2967</v>
      </c>
      <c r="H6870" s="153" t="s">
        <v>211</v>
      </c>
    </row>
    <row r="6871" hidden="1">
      <c r="A6871" s="154" t="s">
        <v>227</v>
      </c>
      <c r="B6871" s="155" t="s">
        <v>195</v>
      </c>
      <c r="C6871" s="155" t="s">
        <v>206</v>
      </c>
      <c r="D6871" s="156" t="s">
        <v>7703</v>
      </c>
      <c r="E6871" s="156" t="s">
        <v>7769</v>
      </c>
      <c r="F6871" s="156" t="s">
        <v>305</v>
      </c>
      <c r="G6871" s="156" t="s">
        <v>3525</v>
      </c>
      <c r="H6871" s="157" t="s">
        <v>212</v>
      </c>
    </row>
    <row r="6872" hidden="1">
      <c r="A6872" s="151" t="s">
        <v>227</v>
      </c>
      <c r="B6872" s="118" t="s">
        <v>195</v>
      </c>
      <c r="C6872" s="118" t="s">
        <v>206</v>
      </c>
      <c r="D6872" s="152" t="s">
        <v>7703</v>
      </c>
      <c r="E6872" s="152" t="s">
        <v>7770</v>
      </c>
      <c r="F6872" s="152" t="s">
        <v>244</v>
      </c>
      <c r="G6872" s="152" t="s">
        <v>2760</v>
      </c>
      <c r="H6872" s="153" t="s">
        <v>213</v>
      </c>
    </row>
    <row r="6873" hidden="1">
      <c r="A6873" s="154" t="s">
        <v>227</v>
      </c>
      <c r="B6873" s="155" t="s">
        <v>195</v>
      </c>
      <c r="C6873" s="155" t="s">
        <v>206</v>
      </c>
      <c r="D6873" s="156" t="s">
        <v>7703</v>
      </c>
      <c r="E6873" s="156" t="s">
        <v>7771</v>
      </c>
      <c r="F6873" s="156" t="s">
        <v>290</v>
      </c>
      <c r="G6873" s="156" t="s">
        <v>3312</v>
      </c>
      <c r="H6873" s="157" t="s">
        <v>214</v>
      </c>
    </row>
    <row r="6874" hidden="1">
      <c r="A6874" s="151" t="s">
        <v>227</v>
      </c>
      <c r="B6874" s="118" t="s">
        <v>195</v>
      </c>
      <c r="C6874" s="118" t="s">
        <v>206</v>
      </c>
      <c r="D6874" s="152" t="s">
        <v>7703</v>
      </c>
      <c r="E6874" s="152" t="s">
        <v>7772</v>
      </c>
      <c r="F6874" s="152" t="s">
        <v>331</v>
      </c>
      <c r="G6874" s="152" t="s">
        <v>3115</v>
      </c>
      <c r="H6874" s="153" t="s">
        <v>215</v>
      </c>
    </row>
    <row r="6875" hidden="1">
      <c r="A6875" s="154" t="s">
        <v>227</v>
      </c>
      <c r="B6875" s="155" t="s">
        <v>195</v>
      </c>
      <c r="C6875" s="155" t="s">
        <v>206</v>
      </c>
      <c r="D6875" s="156" t="s">
        <v>7703</v>
      </c>
      <c r="E6875" s="156" t="s">
        <v>7773</v>
      </c>
      <c r="F6875" s="156" t="s">
        <v>285</v>
      </c>
      <c r="G6875" s="156" t="s">
        <v>3613</v>
      </c>
      <c r="H6875" s="157" t="s">
        <v>216</v>
      </c>
    </row>
    <row r="6876" hidden="1">
      <c r="A6876" s="151" t="s">
        <v>228</v>
      </c>
      <c r="B6876" s="118" t="s">
        <v>138</v>
      </c>
      <c r="C6876" s="118" t="s">
        <v>206</v>
      </c>
      <c r="D6876" s="152" t="s">
        <v>7703</v>
      </c>
      <c r="E6876" s="152" t="s">
        <v>7774</v>
      </c>
      <c r="F6876" s="152" t="s">
        <v>255</v>
      </c>
      <c r="G6876" s="152" t="s">
        <v>3278</v>
      </c>
      <c r="H6876" s="153" t="s">
        <v>210</v>
      </c>
    </row>
    <row r="6877" hidden="1">
      <c r="A6877" s="154" t="s">
        <v>228</v>
      </c>
      <c r="B6877" s="155" t="s">
        <v>138</v>
      </c>
      <c r="C6877" s="155" t="s">
        <v>206</v>
      </c>
      <c r="D6877" s="156" t="s">
        <v>7703</v>
      </c>
      <c r="E6877" s="156" t="s">
        <v>7775</v>
      </c>
      <c r="F6877" s="156" t="s">
        <v>246</v>
      </c>
      <c r="G6877" s="156" t="s">
        <v>3458</v>
      </c>
      <c r="H6877" s="157" t="s">
        <v>211</v>
      </c>
    </row>
    <row r="6878" hidden="1">
      <c r="A6878" s="151" t="s">
        <v>228</v>
      </c>
      <c r="B6878" s="118" t="s">
        <v>138</v>
      </c>
      <c r="C6878" s="118" t="s">
        <v>206</v>
      </c>
      <c r="D6878" s="152" t="s">
        <v>7703</v>
      </c>
      <c r="E6878" s="152" t="s">
        <v>7776</v>
      </c>
      <c r="F6878" s="152" t="s">
        <v>259</v>
      </c>
      <c r="G6878" s="152" t="s">
        <v>2134</v>
      </c>
      <c r="H6878" s="153" t="s">
        <v>212</v>
      </c>
    </row>
    <row r="6879" hidden="1">
      <c r="A6879" s="154" t="s">
        <v>228</v>
      </c>
      <c r="B6879" s="155" t="s">
        <v>138</v>
      </c>
      <c r="C6879" s="155" t="s">
        <v>206</v>
      </c>
      <c r="D6879" s="156" t="s">
        <v>7703</v>
      </c>
      <c r="E6879" s="156" t="s">
        <v>7777</v>
      </c>
      <c r="F6879" s="156" t="s">
        <v>298</v>
      </c>
      <c r="G6879" s="156" t="s">
        <v>2134</v>
      </c>
      <c r="H6879" s="157" t="s">
        <v>213</v>
      </c>
    </row>
    <row r="6880" hidden="1">
      <c r="A6880" s="151" t="s">
        <v>228</v>
      </c>
      <c r="B6880" s="118" t="s">
        <v>138</v>
      </c>
      <c r="C6880" s="118" t="s">
        <v>206</v>
      </c>
      <c r="D6880" s="152" t="s">
        <v>7703</v>
      </c>
      <c r="E6880" s="152" t="s">
        <v>7778</v>
      </c>
      <c r="F6880" s="152" t="s">
        <v>357</v>
      </c>
      <c r="G6880" s="152" t="s">
        <v>2043</v>
      </c>
      <c r="H6880" s="153" t="s">
        <v>214</v>
      </c>
    </row>
    <row r="6881" hidden="1">
      <c r="A6881" s="154" t="s">
        <v>228</v>
      </c>
      <c r="B6881" s="155" t="s">
        <v>138</v>
      </c>
      <c r="C6881" s="155" t="s">
        <v>206</v>
      </c>
      <c r="D6881" s="156" t="s">
        <v>7703</v>
      </c>
      <c r="E6881" s="156" t="s">
        <v>7779</v>
      </c>
      <c r="F6881" s="156" t="s">
        <v>374</v>
      </c>
      <c r="G6881" s="156" t="s">
        <v>2546</v>
      </c>
      <c r="H6881" s="157" t="s">
        <v>215</v>
      </c>
    </row>
    <row r="6882" hidden="1">
      <c r="A6882" s="151" t="s">
        <v>228</v>
      </c>
      <c r="B6882" s="118" t="s">
        <v>138</v>
      </c>
      <c r="C6882" s="118" t="s">
        <v>206</v>
      </c>
      <c r="D6882" s="152" t="s">
        <v>7703</v>
      </c>
      <c r="E6882" s="152" t="s">
        <v>7780</v>
      </c>
      <c r="F6882" s="152" t="s">
        <v>301</v>
      </c>
      <c r="G6882" s="152" t="s">
        <v>3237</v>
      </c>
      <c r="H6882" s="153" t="s">
        <v>216</v>
      </c>
    </row>
    <row r="6883" hidden="1">
      <c r="A6883" s="154" t="s">
        <v>229</v>
      </c>
      <c r="B6883" s="155" t="s">
        <v>193</v>
      </c>
      <c r="C6883" s="155" t="s">
        <v>206</v>
      </c>
      <c r="D6883" s="156" t="s">
        <v>7703</v>
      </c>
      <c r="E6883" s="156" t="s">
        <v>7781</v>
      </c>
      <c r="F6883" s="156" t="s">
        <v>331</v>
      </c>
      <c r="G6883" s="156" t="s">
        <v>2181</v>
      </c>
      <c r="H6883" s="157" t="s">
        <v>210</v>
      </c>
    </row>
    <row r="6884" hidden="1">
      <c r="A6884" s="151" t="s">
        <v>229</v>
      </c>
      <c r="B6884" s="118" t="s">
        <v>193</v>
      </c>
      <c r="C6884" s="118" t="s">
        <v>206</v>
      </c>
      <c r="D6884" s="152" t="s">
        <v>7703</v>
      </c>
      <c r="E6884" s="152" t="s">
        <v>7782</v>
      </c>
      <c r="F6884" s="152" t="s">
        <v>427</v>
      </c>
      <c r="G6884" s="152" t="s">
        <v>2510</v>
      </c>
      <c r="H6884" s="153" t="s">
        <v>211</v>
      </c>
    </row>
    <row r="6885" hidden="1">
      <c r="A6885" s="154" t="s">
        <v>229</v>
      </c>
      <c r="B6885" s="155" t="s">
        <v>193</v>
      </c>
      <c r="C6885" s="155" t="s">
        <v>206</v>
      </c>
      <c r="D6885" s="156" t="s">
        <v>7703</v>
      </c>
      <c r="E6885" s="156" t="s">
        <v>7783</v>
      </c>
      <c r="F6885" s="156" t="s">
        <v>285</v>
      </c>
      <c r="G6885" s="156" t="s">
        <v>2818</v>
      </c>
      <c r="H6885" s="157" t="s">
        <v>212</v>
      </c>
    </row>
    <row r="6886" hidden="1">
      <c r="A6886" s="151" t="s">
        <v>229</v>
      </c>
      <c r="B6886" s="118" t="s">
        <v>193</v>
      </c>
      <c r="C6886" s="118" t="s">
        <v>206</v>
      </c>
      <c r="D6886" s="152" t="s">
        <v>7703</v>
      </c>
      <c r="E6886" s="152" t="s">
        <v>7784</v>
      </c>
      <c r="F6886" s="152" t="s">
        <v>290</v>
      </c>
      <c r="G6886" s="152" t="s">
        <v>2965</v>
      </c>
      <c r="H6886" s="153" t="s">
        <v>213</v>
      </c>
    </row>
    <row r="6887" hidden="1">
      <c r="A6887" s="154" t="s">
        <v>229</v>
      </c>
      <c r="B6887" s="155" t="s">
        <v>193</v>
      </c>
      <c r="C6887" s="155" t="s">
        <v>206</v>
      </c>
      <c r="D6887" s="156" t="s">
        <v>7703</v>
      </c>
      <c r="E6887" s="156" t="s">
        <v>7785</v>
      </c>
      <c r="F6887" s="156" t="s">
        <v>325</v>
      </c>
      <c r="G6887" s="156" t="s">
        <v>3818</v>
      </c>
      <c r="H6887" s="157" t="s">
        <v>214</v>
      </c>
    </row>
    <row r="6888" hidden="1">
      <c r="A6888" s="151" t="s">
        <v>229</v>
      </c>
      <c r="B6888" s="118" t="s">
        <v>193</v>
      </c>
      <c r="C6888" s="118" t="s">
        <v>206</v>
      </c>
      <c r="D6888" s="152" t="s">
        <v>7703</v>
      </c>
      <c r="E6888" s="152" t="s">
        <v>7786</v>
      </c>
      <c r="F6888" s="152" t="s">
        <v>305</v>
      </c>
      <c r="G6888" s="152" t="s">
        <v>1927</v>
      </c>
      <c r="H6888" s="153" t="s">
        <v>215</v>
      </c>
    </row>
    <row r="6889" hidden="1">
      <c r="A6889" s="154" t="s">
        <v>229</v>
      </c>
      <c r="B6889" s="155" t="s">
        <v>193</v>
      </c>
      <c r="C6889" s="155" t="s">
        <v>206</v>
      </c>
      <c r="D6889" s="156" t="s">
        <v>7703</v>
      </c>
      <c r="E6889" s="156" t="s">
        <v>7787</v>
      </c>
      <c r="F6889" s="156" t="s">
        <v>310</v>
      </c>
      <c r="G6889" s="156" t="s">
        <v>3572</v>
      </c>
      <c r="H6889" s="157" t="s">
        <v>216</v>
      </c>
    </row>
    <row r="6890" hidden="1">
      <c r="A6890" s="151" t="s">
        <v>230</v>
      </c>
      <c r="B6890" s="118" t="s">
        <v>194</v>
      </c>
      <c r="C6890" s="118" t="s">
        <v>206</v>
      </c>
      <c r="D6890" s="152" t="s">
        <v>7703</v>
      </c>
      <c r="E6890" s="152" t="s">
        <v>7788</v>
      </c>
      <c r="F6890" s="152" t="s">
        <v>246</v>
      </c>
      <c r="G6890" s="152" t="s">
        <v>2111</v>
      </c>
      <c r="H6890" s="153" t="s">
        <v>210</v>
      </c>
    </row>
    <row r="6891" hidden="1">
      <c r="A6891" s="154" t="s">
        <v>230</v>
      </c>
      <c r="B6891" s="155" t="s">
        <v>194</v>
      </c>
      <c r="C6891" s="155" t="s">
        <v>206</v>
      </c>
      <c r="D6891" s="156" t="s">
        <v>7703</v>
      </c>
      <c r="E6891" s="156" t="s">
        <v>7789</v>
      </c>
      <c r="F6891" s="156" t="s">
        <v>314</v>
      </c>
      <c r="G6891" s="156" t="s">
        <v>1858</v>
      </c>
      <c r="H6891" s="157" t="s">
        <v>211</v>
      </c>
    </row>
    <row r="6892" hidden="1">
      <c r="A6892" s="151" t="s">
        <v>230</v>
      </c>
      <c r="B6892" s="118" t="s">
        <v>194</v>
      </c>
      <c r="C6892" s="118" t="s">
        <v>206</v>
      </c>
      <c r="D6892" s="152" t="s">
        <v>7703</v>
      </c>
      <c r="E6892" s="152" t="s">
        <v>7790</v>
      </c>
      <c r="F6892" s="152" t="s">
        <v>249</v>
      </c>
      <c r="G6892" s="152" t="s">
        <v>2925</v>
      </c>
      <c r="H6892" s="153" t="s">
        <v>212</v>
      </c>
    </row>
    <row r="6893" hidden="1">
      <c r="A6893" s="154" t="s">
        <v>230</v>
      </c>
      <c r="B6893" s="155" t="s">
        <v>194</v>
      </c>
      <c r="C6893" s="155" t="s">
        <v>206</v>
      </c>
      <c r="D6893" s="156" t="s">
        <v>7703</v>
      </c>
      <c r="E6893" s="156" t="s">
        <v>7791</v>
      </c>
      <c r="F6893" s="156" t="s">
        <v>255</v>
      </c>
      <c r="G6893" s="156" t="s">
        <v>2413</v>
      </c>
      <c r="H6893" s="157" t="s">
        <v>213</v>
      </c>
    </row>
    <row r="6894" hidden="1">
      <c r="A6894" s="151" t="s">
        <v>230</v>
      </c>
      <c r="B6894" s="118" t="s">
        <v>194</v>
      </c>
      <c r="C6894" s="118" t="s">
        <v>206</v>
      </c>
      <c r="D6894" s="152" t="s">
        <v>7703</v>
      </c>
      <c r="E6894" s="152" t="s">
        <v>7792</v>
      </c>
      <c r="F6894" s="152" t="s">
        <v>242</v>
      </c>
      <c r="G6894" s="152" t="s">
        <v>2557</v>
      </c>
      <c r="H6894" s="153" t="s">
        <v>214</v>
      </c>
    </row>
    <row r="6895" hidden="1">
      <c r="A6895" s="154" t="s">
        <v>230</v>
      </c>
      <c r="B6895" s="155" t="s">
        <v>194</v>
      </c>
      <c r="C6895" s="155" t="s">
        <v>206</v>
      </c>
      <c r="D6895" s="156" t="s">
        <v>7703</v>
      </c>
      <c r="E6895" s="156" t="s">
        <v>7793</v>
      </c>
      <c r="F6895" s="156" t="s">
        <v>534</v>
      </c>
      <c r="G6895" s="156" t="s">
        <v>1976</v>
      </c>
      <c r="H6895" s="157" t="s">
        <v>215</v>
      </c>
    </row>
    <row r="6896" hidden="1">
      <c r="A6896" s="151" t="s">
        <v>230</v>
      </c>
      <c r="B6896" s="118" t="s">
        <v>194</v>
      </c>
      <c r="C6896" s="118" t="s">
        <v>206</v>
      </c>
      <c r="D6896" s="152" t="s">
        <v>7703</v>
      </c>
      <c r="E6896" s="152" t="s">
        <v>7794</v>
      </c>
      <c r="F6896" s="152" t="s">
        <v>365</v>
      </c>
      <c r="G6896" s="152" t="s">
        <v>2311</v>
      </c>
      <c r="H6896" s="153" t="s">
        <v>216</v>
      </c>
    </row>
    <row r="6897" hidden="1">
      <c r="A6897" s="158" t="s">
        <v>231</v>
      </c>
      <c r="B6897" s="159"/>
      <c r="C6897" s="155" t="s">
        <v>232</v>
      </c>
      <c r="D6897" s="156" t="s">
        <v>7703</v>
      </c>
      <c r="E6897" s="156" t="s">
        <v>7795</v>
      </c>
      <c r="F6897" s="156" t="s">
        <v>265</v>
      </c>
      <c r="G6897" s="156" t="s">
        <v>3270</v>
      </c>
      <c r="H6897" s="157" t="s">
        <v>210</v>
      </c>
    </row>
    <row r="6898" hidden="1">
      <c r="A6898" s="160" t="s">
        <v>231</v>
      </c>
      <c r="B6898" s="72"/>
      <c r="C6898" s="118" t="s">
        <v>232</v>
      </c>
      <c r="D6898" s="152" t="s">
        <v>7703</v>
      </c>
      <c r="E6898" s="152" t="s">
        <v>7796</v>
      </c>
      <c r="F6898" s="152" t="s">
        <v>204</v>
      </c>
      <c r="G6898" s="152" t="s">
        <v>4194</v>
      </c>
      <c r="H6898" s="153" t="s">
        <v>211</v>
      </c>
    </row>
    <row r="6899" hidden="1">
      <c r="A6899" s="158" t="s">
        <v>231</v>
      </c>
      <c r="B6899" s="159"/>
      <c r="C6899" s="155" t="s">
        <v>232</v>
      </c>
      <c r="D6899" s="156" t="s">
        <v>7703</v>
      </c>
      <c r="E6899" s="156" t="s">
        <v>7797</v>
      </c>
      <c r="F6899" s="156" t="s">
        <v>501</v>
      </c>
      <c r="G6899" s="156" t="s">
        <v>3815</v>
      </c>
      <c r="H6899" s="157" t="s">
        <v>212</v>
      </c>
    </row>
    <row r="6900" hidden="1">
      <c r="A6900" s="160" t="s">
        <v>231</v>
      </c>
      <c r="B6900" s="72"/>
      <c r="C6900" s="118" t="s">
        <v>232</v>
      </c>
      <c r="D6900" s="152" t="s">
        <v>7703</v>
      </c>
      <c r="E6900" s="152" t="s">
        <v>7798</v>
      </c>
      <c r="F6900" s="152" t="s">
        <v>204</v>
      </c>
      <c r="G6900" s="152" t="s">
        <v>2826</v>
      </c>
      <c r="H6900" s="153" t="s">
        <v>213</v>
      </c>
    </row>
    <row r="6901" hidden="1">
      <c r="A6901" s="158" t="s">
        <v>231</v>
      </c>
      <c r="B6901" s="159"/>
      <c r="C6901" s="155" t="s">
        <v>232</v>
      </c>
      <c r="D6901" s="156" t="s">
        <v>7703</v>
      </c>
      <c r="E6901" s="156" t="s">
        <v>7799</v>
      </c>
      <c r="F6901" s="156" t="s">
        <v>323</v>
      </c>
      <c r="G6901" s="156" t="s">
        <v>2665</v>
      </c>
      <c r="H6901" s="157" t="s">
        <v>214</v>
      </c>
    </row>
    <row r="6902" hidden="1">
      <c r="A6902" s="160" t="s">
        <v>231</v>
      </c>
      <c r="B6902" s="72"/>
      <c r="C6902" s="118" t="s">
        <v>232</v>
      </c>
      <c r="D6902" s="152" t="s">
        <v>7703</v>
      </c>
      <c r="E6902" s="152" t="s">
        <v>7800</v>
      </c>
      <c r="F6902" s="152" t="s">
        <v>242</v>
      </c>
      <c r="G6902" s="152" t="s">
        <v>4293</v>
      </c>
      <c r="H6902" s="153" t="s">
        <v>215</v>
      </c>
    </row>
    <row r="6903" hidden="1">
      <c r="A6903" s="158" t="s">
        <v>231</v>
      </c>
      <c r="B6903" s="159"/>
      <c r="C6903" s="155" t="s">
        <v>232</v>
      </c>
      <c r="D6903" s="156" t="s">
        <v>7703</v>
      </c>
      <c r="E6903" s="156" t="s">
        <v>7801</v>
      </c>
      <c r="F6903" s="156" t="s">
        <v>262</v>
      </c>
      <c r="G6903" s="156" t="s">
        <v>2517</v>
      </c>
      <c r="H6903" s="157" t="s">
        <v>216</v>
      </c>
    </row>
    <row r="6904" hidden="1">
      <c r="A6904" s="160" t="s">
        <v>233</v>
      </c>
      <c r="B6904" s="72"/>
      <c r="C6904" s="118" t="s">
        <v>232</v>
      </c>
      <c r="D6904" s="152" t="s">
        <v>7703</v>
      </c>
      <c r="E6904" s="152" t="s">
        <v>7802</v>
      </c>
      <c r="F6904" s="152" t="s">
        <v>427</v>
      </c>
      <c r="G6904" s="152" t="s">
        <v>3875</v>
      </c>
      <c r="H6904" s="153" t="s">
        <v>210</v>
      </c>
    </row>
    <row r="6905" hidden="1">
      <c r="A6905" s="158" t="s">
        <v>233</v>
      </c>
      <c r="B6905" s="159"/>
      <c r="C6905" s="155" t="s">
        <v>232</v>
      </c>
      <c r="D6905" s="156" t="s">
        <v>7703</v>
      </c>
      <c r="E6905" s="156" t="s">
        <v>7803</v>
      </c>
      <c r="F6905" s="156" t="s">
        <v>450</v>
      </c>
      <c r="G6905" s="156" t="s">
        <v>4219</v>
      </c>
      <c r="H6905" s="157" t="s">
        <v>211</v>
      </c>
    </row>
    <row r="6906" hidden="1">
      <c r="A6906" s="160" t="s">
        <v>233</v>
      </c>
      <c r="B6906" s="72"/>
      <c r="C6906" s="118" t="s">
        <v>232</v>
      </c>
      <c r="D6906" s="152" t="s">
        <v>7703</v>
      </c>
      <c r="E6906" s="152" t="s">
        <v>7804</v>
      </c>
      <c r="F6906" s="152" t="s">
        <v>339</v>
      </c>
      <c r="G6906" s="152" t="s">
        <v>3968</v>
      </c>
      <c r="H6906" s="153" t="s">
        <v>212</v>
      </c>
    </row>
    <row r="6907" hidden="1">
      <c r="A6907" s="158" t="s">
        <v>233</v>
      </c>
      <c r="B6907" s="159"/>
      <c r="C6907" s="155" t="s">
        <v>232</v>
      </c>
      <c r="D6907" s="156" t="s">
        <v>7703</v>
      </c>
      <c r="E6907" s="156" t="s">
        <v>7805</v>
      </c>
      <c r="F6907" s="156" t="s">
        <v>450</v>
      </c>
      <c r="G6907" s="156" t="s">
        <v>3915</v>
      </c>
      <c r="H6907" s="157" t="s">
        <v>213</v>
      </c>
    </row>
    <row r="6908" hidden="1">
      <c r="A6908" s="160" t="s">
        <v>233</v>
      </c>
      <c r="B6908" s="72"/>
      <c r="C6908" s="118" t="s">
        <v>232</v>
      </c>
      <c r="D6908" s="152" t="s">
        <v>7703</v>
      </c>
      <c r="E6908" s="152" t="s">
        <v>7806</v>
      </c>
      <c r="F6908" s="152" t="s">
        <v>325</v>
      </c>
      <c r="G6908" s="152" t="s">
        <v>4743</v>
      </c>
      <c r="H6908" s="153" t="s">
        <v>214</v>
      </c>
    </row>
    <row r="6909" hidden="1">
      <c r="A6909" s="158" t="s">
        <v>233</v>
      </c>
      <c r="B6909" s="159"/>
      <c r="C6909" s="155" t="s">
        <v>232</v>
      </c>
      <c r="D6909" s="156" t="s">
        <v>7703</v>
      </c>
      <c r="E6909" s="156" t="s">
        <v>7807</v>
      </c>
      <c r="F6909" s="156" t="s">
        <v>336</v>
      </c>
      <c r="G6909" s="156" t="s">
        <v>3618</v>
      </c>
      <c r="H6909" s="157" t="s">
        <v>215</v>
      </c>
    </row>
    <row r="6910" hidden="1">
      <c r="A6910" s="160" t="s">
        <v>233</v>
      </c>
      <c r="B6910" s="72"/>
      <c r="C6910" s="118" t="s">
        <v>232</v>
      </c>
      <c r="D6910" s="152" t="s">
        <v>7703</v>
      </c>
      <c r="E6910" s="152" t="s">
        <v>7808</v>
      </c>
      <c r="F6910" s="152" t="s">
        <v>336</v>
      </c>
      <c r="G6910" s="152" t="s">
        <v>3989</v>
      </c>
      <c r="H6910" s="153" t="s">
        <v>216</v>
      </c>
    </row>
    <row r="6911" hidden="1">
      <c r="A6911" s="158" t="s">
        <v>234</v>
      </c>
      <c r="B6911" s="159"/>
      <c r="C6911" s="155" t="s">
        <v>232</v>
      </c>
      <c r="D6911" s="156" t="s">
        <v>7703</v>
      </c>
      <c r="E6911" s="156" t="s">
        <v>7809</v>
      </c>
      <c r="F6911" s="156" t="s">
        <v>331</v>
      </c>
      <c r="G6911" s="156" t="s">
        <v>2391</v>
      </c>
      <c r="H6911" s="157" t="s">
        <v>210</v>
      </c>
    </row>
    <row r="6912" hidden="1">
      <c r="A6912" s="160" t="s">
        <v>234</v>
      </c>
      <c r="B6912" s="72"/>
      <c r="C6912" s="118" t="s">
        <v>232</v>
      </c>
      <c r="D6912" s="152" t="s">
        <v>7703</v>
      </c>
      <c r="E6912" s="152" t="s">
        <v>7810</v>
      </c>
      <c r="F6912" s="152" t="s">
        <v>427</v>
      </c>
      <c r="G6912" s="152" t="s">
        <v>3503</v>
      </c>
      <c r="H6912" s="153" t="s">
        <v>211</v>
      </c>
    </row>
    <row r="6913" hidden="1">
      <c r="A6913" s="158" t="s">
        <v>234</v>
      </c>
      <c r="B6913" s="159"/>
      <c r="C6913" s="155" t="s">
        <v>232</v>
      </c>
      <c r="D6913" s="156" t="s">
        <v>7703</v>
      </c>
      <c r="E6913" s="156" t="s">
        <v>7811</v>
      </c>
      <c r="F6913" s="156" t="s">
        <v>308</v>
      </c>
      <c r="G6913" s="156" t="s">
        <v>2216</v>
      </c>
      <c r="H6913" s="157" t="s">
        <v>212</v>
      </c>
    </row>
    <row r="6914" hidden="1">
      <c r="A6914" s="160" t="s">
        <v>234</v>
      </c>
      <c r="B6914" s="72"/>
      <c r="C6914" s="118" t="s">
        <v>232</v>
      </c>
      <c r="D6914" s="152" t="s">
        <v>7703</v>
      </c>
      <c r="E6914" s="152" t="s">
        <v>7812</v>
      </c>
      <c r="F6914" s="152" t="s">
        <v>325</v>
      </c>
      <c r="G6914" s="152" t="s">
        <v>3151</v>
      </c>
      <c r="H6914" s="153" t="s">
        <v>213</v>
      </c>
    </row>
    <row r="6915" hidden="1">
      <c r="A6915" s="158" t="s">
        <v>234</v>
      </c>
      <c r="B6915" s="159"/>
      <c r="C6915" s="155" t="s">
        <v>232</v>
      </c>
      <c r="D6915" s="156" t="s">
        <v>7703</v>
      </c>
      <c r="E6915" s="156" t="s">
        <v>7813</v>
      </c>
      <c r="F6915" s="156" t="s">
        <v>427</v>
      </c>
      <c r="G6915" s="156" t="s">
        <v>3282</v>
      </c>
      <c r="H6915" s="157" t="s">
        <v>214</v>
      </c>
    </row>
    <row r="6916" hidden="1">
      <c r="A6916" s="160" t="s">
        <v>234</v>
      </c>
      <c r="B6916" s="72"/>
      <c r="C6916" s="118" t="s">
        <v>232</v>
      </c>
      <c r="D6916" s="152" t="s">
        <v>7703</v>
      </c>
      <c r="E6916" s="152" t="s">
        <v>7814</v>
      </c>
      <c r="F6916" s="152" t="s">
        <v>483</v>
      </c>
      <c r="G6916" s="152" t="s">
        <v>3364</v>
      </c>
      <c r="H6916" s="153" t="s">
        <v>215</v>
      </c>
    </row>
    <row r="6917" hidden="1">
      <c r="A6917" s="158" t="s">
        <v>234</v>
      </c>
      <c r="B6917" s="159"/>
      <c r="C6917" s="155" t="s">
        <v>232</v>
      </c>
      <c r="D6917" s="156" t="s">
        <v>7703</v>
      </c>
      <c r="E6917" s="156" t="s">
        <v>7815</v>
      </c>
      <c r="F6917" s="156" t="s">
        <v>305</v>
      </c>
      <c r="G6917" s="156" t="s">
        <v>2777</v>
      </c>
      <c r="H6917" s="157" t="s">
        <v>216</v>
      </c>
    </row>
    <row r="6918" hidden="1">
      <c r="A6918" s="160" t="s">
        <v>235</v>
      </c>
      <c r="B6918" s="72"/>
      <c r="C6918" s="118" t="s">
        <v>236</v>
      </c>
      <c r="D6918" s="152" t="s">
        <v>7703</v>
      </c>
      <c r="E6918" s="152" t="s">
        <v>7816</v>
      </c>
      <c r="F6918" s="152" t="s">
        <v>427</v>
      </c>
      <c r="G6918" s="152" t="s">
        <v>4219</v>
      </c>
      <c r="H6918" s="153" t="s">
        <v>210</v>
      </c>
    </row>
    <row r="6919" hidden="1">
      <c r="A6919" s="158" t="s">
        <v>235</v>
      </c>
      <c r="B6919" s="159"/>
      <c r="C6919" s="155" t="s">
        <v>236</v>
      </c>
      <c r="D6919" s="156" t="s">
        <v>7703</v>
      </c>
      <c r="E6919" s="156" t="s">
        <v>7817</v>
      </c>
      <c r="F6919" s="156" t="s">
        <v>351</v>
      </c>
      <c r="G6919" s="156" t="s">
        <v>2179</v>
      </c>
      <c r="H6919" s="157" t="s">
        <v>211</v>
      </c>
    </row>
    <row r="6920" hidden="1">
      <c r="A6920" s="160" t="s">
        <v>235</v>
      </c>
      <c r="B6920" s="72"/>
      <c r="C6920" s="118" t="s">
        <v>236</v>
      </c>
      <c r="D6920" s="152" t="s">
        <v>7703</v>
      </c>
      <c r="E6920" s="152" t="s">
        <v>7818</v>
      </c>
      <c r="F6920" s="152" t="s">
        <v>331</v>
      </c>
      <c r="G6920" s="152" t="s">
        <v>3294</v>
      </c>
      <c r="H6920" s="153" t="s">
        <v>212</v>
      </c>
    </row>
    <row r="6921" hidden="1">
      <c r="A6921" s="158" t="s">
        <v>235</v>
      </c>
      <c r="B6921" s="159"/>
      <c r="C6921" s="155" t="s">
        <v>236</v>
      </c>
      <c r="D6921" s="156" t="s">
        <v>7703</v>
      </c>
      <c r="E6921" s="156" t="s">
        <v>7819</v>
      </c>
      <c r="F6921" s="156" t="s">
        <v>351</v>
      </c>
      <c r="G6921" s="156" t="s">
        <v>4320</v>
      </c>
      <c r="H6921" s="157" t="s">
        <v>213</v>
      </c>
    </row>
    <row r="6922" hidden="1">
      <c r="A6922" s="160" t="s">
        <v>235</v>
      </c>
      <c r="B6922" s="72"/>
      <c r="C6922" s="118" t="s">
        <v>236</v>
      </c>
      <c r="D6922" s="152" t="s">
        <v>7703</v>
      </c>
      <c r="E6922" s="152" t="s">
        <v>7820</v>
      </c>
      <c r="F6922" s="152" t="s">
        <v>450</v>
      </c>
      <c r="G6922" s="152" t="s">
        <v>4293</v>
      </c>
      <c r="H6922" s="153" t="s">
        <v>214</v>
      </c>
    </row>
    <row r="6923" hidden="1">
      <c r="A6923" s="158" t="s">
        <v>235</v>
      </c>
      <c r="B6923" s="159"/>
      <c r="C6923" s="155" t="s">
        <v>236</v>
      </c>
      <c r="D6923" s="156" t="s">
        <v>7703</v>
      </c>
      <c r="E6923" s="156" t="s">
        <v>7821</v>
      </c>
      <c r="F6923" s="156" t="s">
        <v>450</v>
      </c>
      <c r="G6923" s="156" t="s">
        <v>4024</v>
      </c>
      <c r="H6923" s="157" t="s">
        <v>215</v>
      </c>
    </row>
    <row r="6924" hidden="1">
      <c r="A6924" s="160" t="s">
        <v>235</v>
      </c>
      <c r="B6924" s="72"/>
      <c r="C6924" s="118" t="s">
        <v>236</v>
      </c>
      <c r="D6924" s="152" t="s">
        <v>7703</v>
      </c>
      <c r="E6924" s="152" t="s">
        <v>7822</v>
      </c>
      <c r="F6924" s="152" t="s">
        <v>339</v>
      </c>
      <c r="G6924" s="152" t="s">
        <v>3616</v>
      </c>
      <c r="H6924" s="153" t="s">
        <v>216</v>
      </c>
    </row>
    <row r="6925" hidden="1">
      <c r="A6925" s="158" t="s">
        <v>237</v>
      </c>
      <c r="B6925" s="159"/>
      <c r="C6925" s="155" t="s">
        <v>236</v>
      </c>
      <c r="D6925" s="156" t="s">
        <v>7703</v>
      </c>
      <c r="E6925" s="156" t="s">
        <v>7823</v>
      </c>
      <c r="F6925" s="156" t="s">
        <v>359</v>
      </c>
      <c r="G6925" s="156" t="s">
        <v>1951</v>
      </c>
      <c r="H6925" s="157" t="s">
        <v>210</v>
      </c>
    </row>
    <row r="6926" hidden="1">
      <c r="A6926" s="160" t="s">
        <v>237</v>
      </c>
      <c r="B6926" s="72"/>
      <c r="C6926" s="118" t="s">
        <v>236</v>
      </c>
      <c r="D6926" s="152" t="s">
        <v>7703</v>
      </c>
      <c r="E6926" s="152" t="s">
        <v>7824</v>
      </c>
      <c r="F6926" s="152" t="s">
        <v>310</v>
      </c>
      <c r="G6926" s="152" t="s">
        <v>3587</v>
      </c>
      <c r="H6926" s="153" t="s">
        <v>211</v>
      </c>
    </row>
    <row r="6927" hidden="1">
      <c r="A6927" s="158" t="s">
        <v>237</v>
      </c>
      <c r="B6927" s="159"/>
      <c r="C6927" s="155" t="s">
        <v>236</v>
      </c>
      <c r="D6927" s="156" t="s">
        <v>7703</v>
      </c>
      <c r="E6927" s="156" t="s">
        <v>7825</v>
      </c>
      <c r="F6927" s="156" t="s">
        <v>534</v>
      </c>
      <c r="G6927" s="156" t="s">
        <v>1864</v>
      </c>
      <c r="H6927" s="157" t="s">
        <v>212</v>
      </c>
    </row>
    <row r="6928" hidden="1">
      <c r="A6928" s="160" t="s">
        <v>237</v>
      </c>
      <c r="B6928" s="72"/>
      <c r="C6928" s="118" t="s">
        <v>236</v>
      </c>
      <c r="D6928" s="152" t="s">
        <v>7703</v>
      </c>
      <c r="E6928" s="152" t="s">
        <v>7826</v>
      </c>
      <c r="F6928" s="152" t="s">
        <v>339</v>
      </c>
      <c r="G6928" s="152" t="s">
        <v>1834</v>
      </c>
      <c r="H6928" s="153" t="s">
        <v>213</v>
      </c>
    </row>
    <row r="6929" hidden="1">
      <c r="A6929" s="158" t="s">
        <v>237</v>
      </c>
      <c r="B6929" s="159"/>
      <c r="C6929" s="155" t="s">
        <v>236</v>
      </c>
      <c r="D6929" s="156" t="s">
        <v>7703</v>
      </c>
      <c r="E6929" s="156" t="s">
        <v>7827</v>
      </c>
      <c r="F6929" s="156" t="s">
        <v>310</v>
      </c>
      <c r="G6929" s="156" t="s">
        <v>2923</v>
      </c>
      <c r="H6929" s="157" t="s">
        <v>214</v>
      </c>
    </row>
    <row r="6930" hidden="1">
      <c r="A6930" s="160" t="s">
        <v>237</v>
      </c>
      <c r="B6930" s="72"/>
      <c r="C6930" s="118" t="s">
        <v>236</v>
      </c>
      <c r="D6930" s="152" t="s">
        <v>7703</v>
      </c>
      <c r="E6930" s="152" t="s">
        <v>7828</v>
      </c>
      <c r="F6930" s="152" t="s">
        <v>308</v>
      </c>
      <c r="G6930" s="152" t="s">
        <v>2043</v>
      </c>
      <c r="H6930" s="153" t="s">
        <v>215</v>
      </c>
    </row>
    <row r="6931" hidden="1">
      <c r="A6931" s="158" t="s">
        <v>237</v>
      </c>
      <c r="B6931" s="159"/>
      <c r="C6931" s="155" t="s">
        <v>236</v>
      </c>
      <c r="D6931" s="156" t="s">
        <v>7703</v>
      </c>
      <c r="E6931" s="156" t="s">
        <v>7829</v>
      </c>
      <c r="F6931" s="156" t="s">
        <v>308</v>
      </c>
      <c r="G6931" s="156" t="s">
        <v>2929</v>
      </c>
      <c r="H6931" s="157" t="s">
        <v>216</v>
      </c>
    </row>
    <row r="6932" hidden="1">
      <c r="A6932" s="151" t="s">
        <v>204</v>
      </c>
      <c r="B6932" s="118" t="s">
        <v>205</v>
      </c>
      <c r="C6932" s="118" t="s">
        <v>206</v>
      </c>
      <c r="D6932" s="152" t="s">
        <v>7830</v>
      </c>
      <c r="E6932" s="152" t="s">
        <v>7831</v>
      </c>
      <c r="F6932" s="152" t="s">
        <v>310</v>
      </c>
      <c r="G6932" s="152" t="s">
        <v>2181</v>
      </c>
      <c r="H6932" s="153" t="s">
        <v>210</v>
      </c>
    </row>
    <row r="6933" hidden="1">
      <c r="A6933" s="154" t="s">
        <v>204</v>
      </c>
      <c r="B6933" s="155" t="s">
        <v>205</v>
      </c>
      <c r="C6933" s="155" t="s">
        <v>206</v>
      </c>
      <c r="D6933" s="156" t="s">
        <v>7830</v>
      </c>
      <c r="E6933" s="156" t="s">
        <v>7832</v>
      </c>
      <c r="F6933" s="156" t="s">
        <v>290</v>
      </c>
      <c r="G6933" s="156" t="s">
        <v>3875</v>
      </c>
      <c r="H6933" s="157" t="s">
        <v>211</v>
      </c>
    </row>
    <row r="6934" hidden="1">
      <c r="A6934" s="151" t="s">
        <v>204</v>
      </c>
      <c r="B6934" s="118" t="s">
        <v>205</v>
      </c>
      <c r="C6934" s="118" t="s">
        <v>206</v>
      </c>
      <c r="D6934" s="152" t="s">
        <v>7830</v>
      </c>
      <c r="E6934" s="152" t="s">
        <v>7833</v>
      </c>
      <c r="F6934" s="152" t="s">
        <v>534</v>
      </c>
      <c r="G6934" s="152" t="s">
        <v>4019</v>
      </c>
      <c r="H6934" s="153" t="s">
        <v>212</v>
      </c>
    </row>
    <row r="6935" hidden="1">
      <c r="A6935" s="154" t="s">
        <v>204</v>
      </c>
      <c r="B6935" s="155" t="s">
        <v>205</v>
      </c>
      <c r="C6935" s="155" t="s">
        <v>206</v>
      </c>
      <c r="D6935" s="156" t="s">
        <v>7830</v>
      </c>
      <c r="E6935" s="156" t="s">
        <v>7834</v>
      </c>
      <c r="F6935" s="156" t="s">
        <v>331</v>
      </c>
      <c r="G6935" s="156" t="s">
        <v>3900</v>
      </c>
      <c r="H6935" s="157" t="s">
        <v>213</v>
      </c>
    </row>
    <row r="6936" hidden="1">
      <c r="A6936" s="151" t="s">
        <v>204</v>
      </c>
      <c r="B6936" s="118" t="s">
        <v>205</v>
      </c>
      <c r="C6936" s="118" t="s">
        <v>206</v>
      </c>
      <c r="D6936" s="152" t="s">
        <v>7830</v>
      </c>
      <c r="E6936" s="152" t="s">
        <v>7835</v>
      </c>
      <c r="F6936" s="152" t="s">
        <v>305</v>
      </c>
      <c r="G6936" s="152" t="s">
        <v>3300</v>
      </c>
      <c r="H6936" s="153" t="s">
        <v>214</v>
      </c>
    </row>
    <row r="6937" hidden="1">
      <c r="A6937" s="154" t="s">
        <v>204</v>
      </c>
      <c r="B6937" s="155" t="s">
        <v>205</v>
      </c>
      <c r="C6937" s="155" t="s">
        <v>206</v>
      </c>
      <c r="D6937" s="156" t="s">
        <v>7830</v>
      </c>
      <c r="E6937" s="156" t="s">
        <v>7836</v>
      </c>
      <c r="F6937" s="156" t="s">
        <v>351</v>
      </c>
      <c r="G6937" s="156" t="s">
        <v>3205</v>
      </c>
      <c r="H6937" s="157" t="s">
        <v>215</v>
      </c>
    </row>
    <row r="6938" hidden="1">
      <c r="A6938" s="151" t="s">
        <v>204</v>
      </c>
      <c r="B6938" s="118" t="s">
        <v>205</v>
      </c>
      <c r="C6938" s="118" t="s">
        <v>206</v>
      </c>
      <c r="D6938" s="152" t="s">
        <v>7830</v>
      </c>
      <c r="E6938" s="152" t="s">
        <v>7837</v>
      </c>
      <c r="F6938" s="152" t="s">
        <v>534</v>
      </c>
      <c r="G6938" s="152" t="s">
        <v>2348</v>
      </c>
      <c r="H6938" s="153" t="s">
        <v>216</v>
      </c>
    </row>
    <row r="6939" hidden="1">
      <c r="A6939" s="154" t="s">
        <v>217</v>
      </c>
      <c r="B6939" s="155" t="s">
        <v>191</v>
      </c>
      <c r="C6939" s="155" t="s">
        <v>206</v>
      </c>
      <c r="D6939" s="156" t="s">
        <v>7830</v>
      </c>
      <c r="E6939" s="156" t="s">
        <v>7838</v>
      </c>
      <c r="F6939" s="156" t="s">
        <v>336</v>
      </c>
      <c r="G6939" s="156" t="s">
        <v>4992</v>
      </c>
      <c r="H6939" s="157" t="s">
        <v>210</v>
      </c>
    </row>
    <row r="6940" hidden="1">
      <c r="A6940" s="151" t="s">
        <v>217</v>
      </c>
      <c r="B6940" s="118" t="s">
        <v>191</v>
      </c>
      <c r="C6940" s="118" t="s">
        <v>206</v>
      </c>
      <c r="D6940" s="152" t="s">
        <v>7830</v>
      </c>
      <c r="E6940" s="152" t="s">
        <v>7839</v>
      </c>
      <c r="F6940" s="152" t="s">
        <v>351</v>
      </c>
      <c r="G6940" s="152" t="s">
        <v>3786</v>
      </c>
      <c r="H6940" s="153" t="s">
        <v>211</v>
      </c>
    </row>
    <row r="6941" hidden="1">
      <c r="A6941" s="154" t="s">
        <v>217</v>
      </c>
      <c r="B6941" s="155" t="s">
        <v>191</v>
      </c>
      <c r="C6941" s="155" t="s">
        <v>206</v>
      </c>
      <c r="D6941" s="156" t="s">
        <v>7830</v>
      </c>
      <c r="E6941" s="156" t="s">
        <v>7840</v>
      </c>
      <c r="F6941" s="156" t="s">
        <v>534</v>
      </c>
      <c r="G6941" s="156" t="s">
        <v>4026</v>
      </c>
      <c r="H6941" s="157" t="s">
        <v>212</v>
      </c>
    </row>
    <row r="6942" hidden="1">
      <c r="A6942" s="151" t="s">
        <v>217</v>
      </c>
      <c r="B6942" s="118" t="s">
        <v>191</v>
      </c>
      <c r="C6942" s="118" t="s">
        <v>206</v>
      </c>
      <c r="D6942" s="152" t="s">
        <v>7830</v>
      </c>
      <c r="E6942" s="152" t="s">
        <v>7841</v>
      </c>
      <c r="F6942" s="152" t="s">
        <v>331</v>
      </c>
      <c r="G6942" s="152" t="s">
        <v>3616</v>
      </c>
      <c r="H6942" s="153" t="s">
        <v>213</v>
      </c>
    </row>
    <row r="6943" hidden="1">
      <c r="A6943" s="154" t="s">
        <v>217</v>
      </c>
      <c r="B6943" s="155" t="s">
        <v>191</v>
      </c>
      <c r="C6943" s="155" t="s">
        <v>206</v>
      </c>
      <c r="D6943" s="156" t="s">
        <v>7830</v>
      </c>
      <c r="E6943" s="156" t="s">
        <v>7842</v>
      </c>
      <c r="F6943" s="156" t="s">
        <v>351</v>
      </c>
      <c r="G6943" s="156" t="s">
        <v>4293</v>
      </c>
      <c r="H6943" s="157" t="s">
        <v>214</v>
      </c>
    </row>
    <row r="6944" hidden="1">
      <c r="A6944" s="151" t="s">
        <v>217</v>
      </c>
      <c r="B6944" s="118" t="s">
        <v>191</v>
      </c>
      <c r="C6944" s="118" t="s">
        <v>206</v>
      </c>
      <c r="D6944" s="152" t="s">
        <v>7830</v>
      </c>
      <c r="E6944" s="152" t="s">
        <v>7843</v>
      </c>
      <c r="F6944" s="152" t="s">
        <v>329</v>
      </c>
      <c r="G6944" s="152" t="s">
        <v>3844</v>
      </c>
      <c r="H6944" s="153" t="s">
        <v>215</v>
      </c>
    </row>
    <row r="6945" hidden="1">
      <c r="A6945" s="154" t="s">
        <v>217</v>
      </c>
      <c r="B6945" s="155" t="s">
        <v>191</v>
      </c>
      <c r="C6945" s="155" t="s">
        <v>206</v>
      </c>
      <c r="D6945" s="156" t="s">
        <v>7830</v>
      </c>
      <c r="E6945" s="156" t="s">
        <v>7844</v>
      </c>
      <c r="F6945" s="156" t="s">
        <v>339</v>
      </c>
      <c r="G6945" s="156" t="s">
        <v>1779</v>
      </c>
      <c r="H6945" s="157" t="s">
        <v>216</v>
      </c>
    </row>
    <row r="6946" hidden="1">
      <c r="A6946" s="151" t="s">
        <v>218</v>
      </c>
      <c r="B6946" s="118" t="s">
        <v>219</v>
      </c>
      <c r="C6946" s="118" t="s">
        <v>206</v>
      </c>
      <c r="D6946" s="152" t="s">
        <v>7830</v>
      </c>
      <c r="E6946" s="152" t="s">
        <v>7845</v>
      </c>
      <c r="F6946" s="152" t="s">
        <v>427</v>
      </c>
      <c r="G6946" s="152" t="s">
        <v>2663</v>
      </c>
      <c r="H6946" s="153" t="s">
        <v>210</v>
      </c>
    </row>
    <row r="6947" hidden="1">
      <c r="A6947" s="154" t="s">
        <v>218</v>
      </c>
      <c r="B6947" s="155" t="s">
        <v>219</v>
      </c>
      <c r="C6947" s="155" t="s">
        <v>206</v>
      </c>
      <c r="D6947" s="156" t="s">
        <v>7830</v>
      </c>
      <c r="E6947" s="156" t="s">
        <v>7846</v>
      </c>
      <c r="F6947" s="156" t="s">
        <v>331</v>
      </c>
      <c r="G6947" s="156" t="s">
        <v>3270</v>
      </c>
      <c r="H6947" s="157" t="s">
        <v>211</v>
      </c>
    </row>
    <row r="6948" hidden="1">
      <c r="A6948" s="151" t="s">
        <v>218</v>
      </c>
      <c r="B6948" s="118" t="s">
        <v>219</v>
      </c>
      <c r="C6948" s="118" t="s">
        <v>206</v>
      </c>
      <c r="D6948" s="152" t="s">
        <v>7830</v>
      </c>
      <c r="E6948" s="152" t="s">
        <v>7847</v>
      </c>
      <c r="F6948" s="152" t="s">
        <v>323</v>
      </c>
      <c r="G6948" s="152" t="s">
        <v>2508</v>
      </c>
      <c r="H6948" s="153" t="s">
        <v>212</v>
      </c>
    </row>
    <row r="6949" hidden="1">
      <c r="A6949" s="154" t="s">
        <v>218</v>
      </c>
      <c r="B6949" s="155" t="s">
        <v>219</v>
      </c>
      <c r="C6949" s="155" t="s">
        <v>206</v>
      </c>
      <c r="D6949" s="156" t="s">
        <v>7830</v>
      </c>
      <c r="E6949" s="156" t="s">
        <v>7848</v>
      </c>
      <c r="F6949" s="156" t="s">
        <v>351</v>
      </c>
      <c r="G6949" s="156" t="s">
        <v>2508</v>
      </c>
      <c r="H6949" s="157" t="s">
        <v>213</v>
      </c>
    </row>
    <row r="6950" hidden="1">
      <c r="A6950" s="151" t="s">
        <v>218</v>
      </c>
      <c r="B6950" s="118" t="s">
        <v>219</v>
      </c>
      <c r="C6950" s="118" t="s">
        <v>206</v>
      </c>
      <c r="D6950" s="152" t="s">
        <v>7830</v>
      </c>
      <c r="E6950" s="152" t="s">
        <v>7849</v>
      </c>
      <c r="F6950" s="152" t="s">
        <v>323</v>
      </c>
      <c r="G6950" s="152" t="s">
        <v>3449</v>
      </c>
      <c r="H6950" s="153" t="s">
        <v>214</v>
      </c>
    </row>
    <row r="6951" hidden="1">
      <c r="A6951" s="154" t="s">
        <v>218</v>
      </c>
      <c r="B6951" s="155" t="s">
        <v>219</v>
      </c>
      <c r="C6951" s="155" t="s">
        <v>206</v>
      </c>
      <c r="D6951" s="156" t="s">
        <v>7830</v>
      </c>
      <c r="E6951" s="156" t="s">
        <v>7850</v>
      </c>
      <c r="F6951" s="156" t="s">
        <v>249</v>
      </c>
      <c r="G6951" s="156" t="s">
        <v>3154</v>
      </c>
      <c r="H6951" s="157" t="s">
        <v>215</v>
      </c>
    </row>
    <row r="6952" hidden="1">
      <c r="A6952" s="151" t="s">
        <v>218</v>
      </c>
      <c r="B6952" s="118" t="s">
        <v>219</v>
      </c>
      <c r="C6952" s="118" t="s">
        <v>206</v>
      </c>
      <c r="D6952" s="152" t="s">
        <v>7830</v>
      </c>
      <c r="E6952" s="152" t="s">
        <v>7851</v>
      </c>
      <c r="F6952" s="152" t="s">
        <v>310</v>
      </c>
      <c r="G6952" s="152" t="s">
        <v>2513</v>
      </c>
      <c r="H6952" s="153" t="s">
        <v>216</v>
      </c>
    </row>
    <row r="6953" hidden="1">
      <c r="A6953" s="154" t="s">
        <v>220</v>
      </c>
      <c r="B6953" s="155" t="s">
        <v>190</v>
      </c>
      <c r="C6953" s="155" t="s">
        <v>206</v>
      </c>
      <c r="D6953" s="156" t="s">
        <v>7830</v>
      </c>
      <c r="E6953" s="156" t="s">
        <v>7852</v>
      </c>
      <c r="F6953" s="156" t="s">
        <v>492</v>
      </c>
      <c r="G6953" s="156" t="s">
        <v>3937</v>
      </c>
      <c r="H6953" s="157" t="s">
        <v>210</v>
      </c>
    </row>
    <row r="6954" hidden="1">
      <c r="A6954" s="151" t="s">
        <v>220</v>
      </c>
      <c r="B6954" s="118" t="s">
        <v>190</v>
      </c>
      <c r="C6954" s="118" t="s">
        <v>206</v>
      </c>
      <c r="D6954" s="152" t="s">
        <v>7830</v>
      </c>
      <c r="E6954" s="152" t="s">
        <v>7853</v>
      </c>
      <c r="F6954" s="152" t="s">
        <v>301</v>
      </c>
      <c r="G6954" s="152" t="s">
        <v>4491</v>
      </c>
      <c r="H6954" s="153" t="s">
        <v>211</v>
      </c>
    </row>
    <row r="6955" hidden="1">
      <c r="A6955" s="154" t="s">
        <v>220</v>
      </c>
      <c r="B6955" s="155" t="s">
        <v>190</v>
      </c>
      <c r="C6955" s="155" t="s">
        <v>206</v>
      </c>
      <c r="D6955" s="156" t="s">
        <v>7830</v>
      </c>
      <c r="E6955" s="156" t="s">
        <v>7854</v>
      </c>
      <c r="F6955" s="156" t="s">
        <v>305</v>
      </c>
      <c r="G6955" s="156" t="s">
        <v>3911</v>
      </c>
      <c r="H6955" s="157" t="s">
        <v>212</v>
      </c>
    </row>
    <row r="6956" hidden="1">
      <c r="A6956" s="151" t="s">
        <v>220</v>
      </c>
      <c r="B6956" s="118" t="s">
        <v>190</v>
      </c>
      <c r="C6956" s="118" t="s">
        <v>206</v>
      </c>
      <c r="D6956" s="152" t="s">
        <v>7830</v>
      </c>
      <c r="E6956" s="152" t="s">
        <v>7855</v>
      </c>
      <c r="F6956" s="152" t="s">
        <v>244</v>
      </c>
      <c r="G6956" s="152" t="s">
        <v>4116</v>
      </c>
      <c r="H6956" s="153" t="s">
        <v>213</v>
      </c>
    </row>
    <row r="6957" hidden="1">
      <c r="A6957" s="154" t="s">
        <v>220</v>
      </c>
      <c r="B6957" s="155" t="s">
        <v>190</v>
      </c>
      <c r="C6957" s="155" t="s">
        <v>206</v>
      </c>
      <c r="D6957" s="156" t="s">
        <v>7830</v>
      </c>
      <c r="E6957" s="156" t="s">
        <v>7856</v>
      </c>
      <c r="F6957" s="156" t="s">
        <v>351</v>
      </c>
      <c r="G6957" s="156" t="s">
        <v>3541</v>
      </c>
      <c r="H6957" s="157" t="s">
        <v>214</v>
      </c>
    </row>
    <row r="6958" hidden="1">
      <c r="A6958" s="151" t="s">
        <v>220</v>
      </c>
      <c r="B6958" s="118" t="s">
        <v>190</v>
      </c>
      <c r="C6958" s="118" t="s">
        <v>206</v>
      </c>
      <c r="D6958" s="152" t="s">
        <v>7830</v>
      </c>
      <c r="E6958" s="152" t="s">
        <v>7857</v>
      </c>
      <c r="F6958" s="152" t="s">
        <v>450</v>
      </c>
      <c r="G6958" s="152" t="s">
        <v>3265</v>
      </c>
      <c r="H6958" s="153" t="s">
        <v>215</v>
      </c>
    </row>
    <row r="6959" hidden="1">
      <c r="A6959" s="154" t="s">
        <v>220</v>
      </c>
      <c r="B6959" s="155" t="s">
        <v>190</v>
      </c>
      <c r="C6959" s="155" t="s">
        <v>206</v>
      </c>
      <c r="D6959" s="156" t="s">
        <v>7830</v>
      </c>
      <c r="E6959" s="156" t="s">
        <v>7858</v>
      </c>
      <c r="F6959" s="156" t="s">
        <v>269</v>
      </c>
      <c r="G6959" s="156" t="s">
        <v>3535</v>
      </c>
      <c r="H6959" s="157" t="s">
        <v>216</v>
      </c>
    </row>
    <row r="6960" hidden="1">
      <c r="A6960" s="151" t="s">
        <v>221</v>
      </c>
      <c r="B6960" s="118" t="s">
        <v>189</v>
      </c>
      <c r="C6960" s="118" t="s">
        <v>206</v>
      </c>
      <c r="D6960" s="152" t="s">
        <v>7830</v>
      </c>
      <c r="E6960" s="152" t="s">
        <v>7859</v>
      </c>
      <c r="F6960" s="152" t="s">
        <v>336</v>
      </c>
      <c r="G6960" s="152" t="s">
        <v>2043</v>
      </c>
      <c r="H6960" s="153" t="s">
        <v>210</v>
      </c>
    </row>
    <row r="6961" hidden="1">
      <c r="A6961" s="154" t="s">
        <v>221</v>
      </c>
      <c r="B6961" s="155" t="s">
        <v>189</v>
      </c>
      <c r="C6961" s="155" t="s">
        <v>206</v>
      </c>
      <c r="D6961" s="156" t="s">
        <v>7830</v>
      </c>
      <c r="E6961" s="156" t="s">
        <v>7860</v>
      </c>
      <c r="F6961" s="156" t="s">
        <v>321</v>
      </c>
      <c r="G6961" s="156" t="s">
        <v>2703</v>
      </c>
      <c r="H6961" s="157" t="s">
        <v>211</v>
      </c>
    </row>
    <row r="6962" hidden="1">
      <c r="A6962" s="151" t="s">
        <v>221</v>
      </c>
      <c r="B6962" s="118" t="s">
        <v>189</v>
      </c>
      <c r="C6962" s="118" t="s">
        <v>206</v>
      </c>
      <c r="D6962" s="152" t="s">
        <v>7830</v>
      </c>
      <c r="E6962" s="152" t="s">
        <v>7861</v>
      </c>
      <c r="F6962" s="152" t="s">
        <v>242</v>
      </c>
      <c r="G6962" s="152" t="s">
        <v>2398</v>
      </c>
      <c r="H6962" s="153" t="s">
        <v>212</v>
      </c>
    </row>
    <row r="6963" hidden="1">
      <c r="A6963" s="154" t="s">
        <v>221</v>
      </c>
      <c r="B6963" s="155" t="s">
        <v>189</v>
      </c>
      <c r="C6963" s="155" t="s">
        <v>206</v>
      </c>
      <c r="D6963" s="156" t="s">
        <v>7830</v>
      </c>
      <c r="E6963" s="156" t="s">
        <v>7862</v>
      </c>
      <c r="F6963" s="156" t="s">
        <v>269</v>
      </c>
      <c r="G6963" s="156" t="s">
        <v>2129</v>
      </c>
      <c r="H6963" s="157" t="s">
        <v>213</v>
      </c>
    </row>
    <row r="6964" hidden="1">
      <c r="A6964" s="151" t="s">
        <v>221</v>
      </c>
      <c r="B6964" s="118" t="s">
        <v>189</v>
      </c>
      <c r="C6964" s="118" t="s">
        <v>206</v>
      </c>
      <c r="D6964" s="152" t="s">
        <v>7830</v>
      </c>
      <c r="E6964" s="152" t="s">
        <v>7863</v>
      </c>
      <c r="F6964" s="152" t="s">
        <v>314</v>
      </c>
      <c r="G6964" s="152" t="s">
        <v>2405</v>
      </c>
      <c r="H6964" s="153" t="s">
        <v>214</v>
      </c>
    </row>
    <row r="6965" hidden="1">
      <c r="A6965" s="154" t="s">
        <v>221</v>
      </c>
      <c r="B6965" s="155" t="s">
        <v>189</v>
      </c>
      <c r="C6965" s="155" t="s">
        <v>206</v>
      </c>
      <c r="D6965" s="156" t="s">
        <v>7830</v>
      </c>
      <c r="E6965" s="156" t="s">
        <v>7864</v>
      </c>
      <c r="F6965" s="156" t="s">
        <v>534</v>
      </c>
      <c r="G6965" s="156" t="s">
        <v>1810</v>
      </c>
      <c r="H6965" s="157" t="s">
        <v>215</v>
      </c>
    </row>
    <row r="6966" hidden="1">
      <c r="A6966" s="151" t="s">
        <v>221</v>
      </c>
      <c r="B6966" s="118" t="s">
        <v>189</v>
      </c>
      <c r="C6966" s="118" t="s">
        <v>206</v>
      </c>
      <c r="D6966" s="152" t="s">
        <v>7830</v>
      </c>
      <c r="E6966" s="152" t="s">
        <v>7865</v>
      </c>
      <c r="F6966" s="152" t="s">
        <v>290</v>
      </c>
      <c r="G6966" s="152" t="s">
        <v>2852</v>
      </c>
      <c r="H6966" s="153" t="s">
        <v>216</v>
      </c>
    </row>
    <row r="6967" hidden="1">
      <c r="A6967" s="154" t="s">
        <v>222</v>
      </c>
      <c r="B6967" s="155" t="s">
        <v>192</v>
      </c>
      <c r="C6967" s="155" t="s">
        <v>206</v>
      </c>
      <c r="D6967" s="156" t="s">
        <v>7830</v>
      </c>
      <c r="E6967" s="156" t="s">
        <v>7866</v>
      </c>
      <c r="F6967" s="156" t="s">
        <v>308</v>
      </c>
      <c r="G6967" s="156" t="s">
        <v>3570</v>
      </c>
      <c r="H6967" s="157" t="s">
        <v>210</v>
      </c>
    </row>
    <row r="6968" hidden="1">
      <c r="A6968" s="151" t="s">
        <v>222</v>
      </c>
      <c r="B6968" s="118" t="s">
        <v>192</v>
      </c>
      <c r="C6968" s="118" t="s">
        <v>206</v>
      </c>
      <c r="D6968" s="152" t="s">
        <v>7830</v>
      </c>
      <c r="E6968" s="152" t="s">
        <v>7867</v>
      </c>
      <c r="F6968" s="152" t="s">
        <v>308</v>
      </c>
      <c r="G6968" s="152" t="s">
        <v>3142</v>
      </c>
      <c r="H6968" s="153" t="s">
        <v>211</v>
      </c>
    </row>
    <row r="6969" hidden="1">
      <c r="A6969" s="154" t="s">
        <v>222</v>
      </c>
      <c r="B6969" s="155" t="s">
        <v>192</v>
      </c>
      <c r="C6969" s="155" t="s">
        <v>206</v>
      </c>
      <c r="D6969" s="156" t="s">
        <v>7830</v>
      </c>
      <c r="E6969" s="156" t="s">
        <v>7868</v>
      </c>
      <c r="F6969" s="156" t="s">
        <v>290</v>
      </c>
      <c r="G6969" s="156" t="s">
        <v>2506</v>
      </c>
      <c r="H6969" s="157" t="s">
        <v>212</v>
      </c>
    </row>
    <row r="6970" hidden="1">
      <c r="A6970" s="151" t="s">
        <v>222</v>
      </c>
      <c r="B6970" s="118" t="s">
        <v>192</v>
      </c>
      <c r="C6970" s="118" t="s">
        <v>206</v>
      </c>
      <c r="D6970" s="152" t="s">
        <v>7830</v>
      </c>
      <c r="E6970" s="152" t="s">
        <v>7869</v>
      </c>
      <c r="F6970" s="152" t="s">
        <v>359</v>
      </c>
      <c r="G6970" s="152" t="s">
        <v>3402</v>
      </c>
      <c r="H6970" s="153" t="s">
        <v>213</v>
      </c>
    </row>
    <row r="6971" hidden="1">
      <c r="A6971" s="154" t="s">
        <v>222</v>
      </c>
      <c r="B6971" s="155" t="s">
        <v>192</v>
      </c>
      <c r="C6971" s="155" t="s">
        <v>206</v>
      </c>
      <c r="D6971" s="156" t="s">
        <v>7830</v>
      </c>
      <c r="E6971" s="156" t="s">
        <v>7870</v>
      </c>
      <c r="F6971" s="156" t="s">
        <v>305</v>
      </c>
      <c r="G6971" s="156" t="s">
        <v>3262</v>
      </c>
      <c r="H6971" s="157" t="s">
        <v>214</v>
      </c>
    </row>
    <row r="6972" hidden="1">
      <c r="A6972" s="151" t="s">
        <v>222</v>
      </c>
      <c r="B6972" s="118" t="s">
        <v>192</v>
      </c>
      <c r="C6972" s="118" t="s">
        <v>206</v>
      </c>
      <c r="D6972" s="152" t="s">
        <v>7830</v>
      </c>
      <c r="E6972" s="152" t="s">
        <v>7871</v>
      </c>
      <c r="F6972" s="152" t="s">
        <v>534</v>
      </c>
      <c r="G6972" s="152" t="s">
        <v>2663</v>
      </c>
      <c r="H6972" s="153" t="s">
        <v>215</v>
      </c>
    </row>
    <row r="6973" hidden="1">
      <c r="A6973" s="154" t="s">
        <v>222</v>
      </c>
      <c r="B6973" s="155" t="s">
        <v>192</v>
      </c>
      <c r="C6973" s="155" t="s">
        <v>206</v>
      </c>
      <c r="D6973" s="156" t="s">
        <v>7830</v>
      </c>
      <c r="E6973" s="156" t="s">
        <v>7872</v>
      </c>
      <c r="F6973" s="156" t="s">
        <v>308</v>
      </c>
      <c r="G6973" s="156" t="s">
        <v>3154</v>
      </c>
      <c r="H6973" s="157" t="s">
        <v>216</v>
      </c>
    </row>
    <row r="6974" hidden="1">
      <c r="A6974" s="151" t="s">
        <v>223</v>
      </c>
      <c r="B6974" s="118" t="s">
        <v>144</v>
      </c>
      <c r="C6974" s="118" t="s">
        <v>206</v>
      </c>
      <c r="D6974" s="152" t="s">
        <v>7830</v>
      </c>
      <c r="E6974" s="152" t="s">
        <v>7873</v>
      </c>
      <c r="F6974" s="152" t="s">
        <v>290</v>
      </c>
      <c r="G6974" s="152" t="s">
        <v>3558</v>
      </c>
      <c r="H6974" s="153" t="s">
        <v>210</v>
      </c>
    </row>
    <row r="6975" hidden="1">
      <c r="A6975" s="154" t="s">
        <v>223</v>
      </c>
      <c r="B6975" s="155" t="s">
        <v>144</v>
      </c>
      <c r="C6975" s="155" t="s">
        <v>206</v>
      </c>
      <c r="D6975" s="156" t="s">
        <v>7830</v>
      </c>
      <c r="E6975" s="156" t="s">
        <v>7874</v>
      </c>
      <c r="F6975" s="156" t="s">
        <v>478</v>
      </c>
      <c r="G6975" s="156" t="s">
        <v>3911</v>
      </c>
      <c r="H6975" s="157" t="s">
        <v>211</v>
      </c>
    </row>
    <row r="6976" hidden="1">
      <c r="A6976" s="151" t="s">
        <v>223</v>
      </c>
      <c r="B6976" s="118" t="s">
        <v>144</v>
      </c>
      <c r="C6976" s="118" t="s">
        <v>206</v>
      </c>
      <c r="D6976" s="152" t="s">
        <v>7830</v>
      </c>
      <c r="E6976" s="152" t="s">
        <v>7875</v>
      </c>
      <c r="F6976" s="152" t="s">
        <v>494</v>
      </c>
      <c r="G6976" s="152" t="s">
        <v>4215</v>
      </c>
      <c r="H6976" s="153" t="s">
        <v>212</v>
      </c>
    </row>
    <row r="6977" hidden="1">
      <c r="A6977" s="154" t="s">
        <v>223</v>
      </c>
      <c r="B6977" s="155" t="s">
        <v>144</v>
      </c>
      <c r="C6977" s="155" t="s">
        <v>206</v>
      </c>
      <c r="D6977" s="156" t="s">
        <v>7830</v>
      </c>
      <c r="E6977" s="156" t="s">
        <v>7876</v>
      </c>
      <c r="F6977" s="156" t="s">
        <v>799</v>
      </c>
      <c r="G6977" s="156" t="s">
        <v>3113</v>
      </c>
      <c r="H6977" s="157" t="s">
        <v>213</v>
      </c>
    </row>
    <row r="6978" hidden="1">
      <c r="A6978" s="151" t="s">
        <v>223</v>
      </c>
      <c r="B6978" s="118" t="s">
        <v>144</v>
      </c>
      <c r="C6978" s="118" t="s">
        <v>206</v>
      </c>
      <c r="D6978" s="152" t="s">
        <v>7830</v>
      </c>
      <c r="E6978" s="152" t="s">
        <v>7877</v>
      </c>
      <c r="F6978" s="152" t="s">
        <v>718</v>
      </c>
      <c r="G6978" s="152" t="s">
        <v>4842</v>
      </c>
      <c r="H6978" s="153" t="s">
        <v>214</v>
      </c>
    </row>
    <row r="6979" hidden="1">
      <c r="A6979" s="154" t="s">
        <v>223</v>
      </c>
      <c r="B6979" s="155" t="s">
        <v>144</v>
      </c>
      <c r="C6979" s="155" t="s">
        <v>206</v>
      </c>
      <c r="D6979" s="156" t="s">
        <v>7830</v>
      </c>
      <c r="E6979" s="156" t="s">
        <v>7878</v>
      </c>
      <c r="F6979" s="156" t="s">
        <v>425</v>
      </c>
      <c r="G6979" s="156" t="s">
        <v>1995</v>
      </c>
      <c r="H6979" s="157" t="s">
        <v>215</v>
      </c>
    </row>
    <row r="6980" hidden="1">
      <c r="A6980" s="151" t="s">
        <v>223</v>
      </c>
      <c r="B6980" s="118" t="s">
        <v>144</v>
      </c>
      <c r="C6980" s="118" t="s">
        <v>206</v>
      </c>
      <c r="D6980" s="152" t="s">
        <v>7830</v>
      </c>
      <c r="E6980" s="152" t="s">
        <v>7879</v>
      </c>
      <c r="F6980" s="152" t="s">
        <v>325</v>
      </c>
      <c r="G6980" s="152" t="s">
        <v>3812</v>
      </c>
      <c r="H6980" s="153" t="s">
        <v>216</v>
      </c>
    </row>
    <row r="6981" hidden="1">
      <c r="A6981" s="154" t="s">
        <v>224</v>
      </c>
      <c r="B6981" s="155" t="s">
        <v>170</v>
      </c>
      <c r="C6981" s="155" t="s">
        <v>206</v>
      </c>
      <c r="D6981" s="156" t="s">
        <v>7830</v>
      </c>
      <c r="E6981" s="156" t="s">
        <v>7880</v>
      </c>
      <c r="F6981" s="156" t="s">
        <v>257</v>
      </c>
      <c r="G6981" s="156" t="s">
        <v>4116</v>
      </c>
      <c r="H6981" s="157" t="s">
        <v>210</v>
      </c>
    </row>
    <row r="6982" hidden="1">
      <c r="A6982" s="151" t="s">
        <v>224</v>
      </c>
      <c r="B6982" s="118" t="s">
        <v>170</v>
      </c>
      <c r="C6982" s="118" t="s">
        <v>206</v>
      </c>
      <c r="D6982" s="152" t="s">
        <v>7830</v>
      </c>
      <c r="E6982" s="152" t="s">
        <v>7881</v>
      </c>
      <c r="F6982" s="152" t="s">
        <v>290</v>
      </c>
      <c r="G6982" s="152" t="s">
        <v>4685</v>
      </c>
      <c r="H6982" s="153" t="s">
        <v>211</v>
      </c>
    </row>
    <row r="6983" hidden="1">
      <c r="A6983" s="154" t="s">
        <v>224</v>
      </c>
      <c r="B6983" s="155" t="s">
        <v>170</v>
      </c>
      <c r="C6983" s="155" t="s">
        <v>206</v>
      </c>
      <c r="D6983" s="156" t="s">
        <v>7830</v>
      </c>
      <c r="E6983" s="156" t="s">
        <v>7882</v>
      </c>
      <c r="F6983" s="156" t="s">
        <v>290</v>
      </c>
      <c r="G6983" s="156" t="s">
        <v>4376</v>
      </c>
      <c r="H6983" s="157" t="s">
        <v>212</v>
      </c>
    </row>
    <row r="6984" hidden="1">
      <c r="A6984" s="151" t="s">
        <v>224</v>
      </c>
      <c r="B6984" s="118" t="s">
        <v>170</v>
      </c>
      <c r="C6984" s="118" t="s">
        <v>206</v>
      </c>
      <c r="D6984" s="152" t="s">
        <v>7830</v>
      </c>
      <c r="E6984" s="152" t="s">
        <v>7883</v>
      </c>
      <c r="F6984" s="152" t="s">
        <v>308</v>
      </c>
      <c r="G6984" s="152" t="s">
        <v>4085</v>
      </c>
      <c r="H6984" s="153" t="s">
        <v>213</v>
      </c>
    </row>
    <row r="6985" hidden="1">
      <c r="A6985" s="154" t="s">
        <v>224</v>
      </c>
      <c r="B6985" s="155" t="s">
        <v>170</v>
      </c>
      <c r="C6985" s="155" t="s">
        <v>206</v>
      </c>
      <c r="D6985" s="156" t="s">
        <v>7830</v>
      </c>
      <c r="E6985" s="156" t="s">
        <v>7884</v>
      </c>
      <c r="F6985" s="156" t="s">
        <v>331</v>
      </c>
      <c r="G6985" s="156" t="s">
        <v>7885</v>
      </c>
      <c r="H6985" s="157" t="s">
        <v>214</v>
      </c>
    </row>
    <row r="6986" hidden="1">
      <c r="A6986" s="151" t="s">
        <v>224</v>
      </c>
      <c r="B6986" s="118" t="s">
        <v>170</v>
      </c>
      <c r="C6986" s="118" t="s">
        <v>206</v>
      </c>
      <c r="D6986" s="152" t="s">
        <v>7830</v>
      </c>
      <c r="E6986" s="152" t="s">
        <v>7886</v>
      </c>
      <c r="F6986" s="152" t="s">
        <v>314</v>
      </c>
      <c r="G6986" s="152" t="s">
        <v>3701</v>
      </c>
      <c r="H6986" s="153" t="s">
        <v>215</v>
      </c>
    </row>
    <row r="6987" hidden="1">
      <c r="A6987" s="154" t="s">
        <v>224</v>
      </c>
      <c r="B6987" s="155" t="s">
        <v>170</v>
      </c>
      <c r="C6987" s="155" t="s">
        <v>206</v>
      </c>
      <c r="D6987" s="156" t="s">
        <v>7830</v>
      </c>
      <c r="E6987" s="156" t="s">
        <v>7887</v>
      </c>
      <c r="F6987" s="156" t="s">
        <v>359</v>
      </c>
      <c r="G6987" s="156" t="s">
        <v>4176</v>
      </c>
      <c r="H6987" s="157" t="s">
        <v>216</v>
      </c>
    </row>
    <row r="6988" hidden="1">
      <c r="A6988" s="151" t="s">
        <v>225</v>
      </c>
      <c r="B6988" s="118" t="s">
        <v>226</v>
      </c>
      <c r="C6988" s="118" t="s">
        <v>206</v>
      </c>
      <c r="D6988" s="152" t="s">
        <v>7830</v>
      </c>
      <c r="E6988" s="152" t="s">
        <v>7888</v>
      </c>
      <c r="F6988" s="152" t="s">
        <v>436</v>
      </c>
      <c r="G6988" s="152" t="s">
        <v>1961</v>
      </c>
      <c r="H6988" s="153" t="s">
        <v>210</v>
      </c>
    </row>
    <row r="6989" hidden="1">
      <c r="A6989" s="154" t="s">
        <v>225</v>
      </c>
      <c r="B6989" s="155" t="s">
        <v>226</v>
      </c>
      <c r="C6989" s="155" t="s">
        <v>206</v>
      </c>
      <c r="D6989" s="156" t="s">
        <v>7830</v>
      </c>
      <c r="E6989" s="156" t="s">
        <v>7889</v>
      </c>
      <c r="F6989" s="156" t="s">
        <v>276</v>
      </c>
      <c r="G6989" s="156" t="s">
        <v>1818</v>
      </c>
      <c r="H6989" s="157" t="s">
        <v>211</v>
      </c>
    </row>
    <row r="6990" hidden="1">
      <c r="A6990" s="151" t="s">
        <v>225</v>
      </c>
      <c r="B6990" s="118" t="s">
        <v>226</v>
      </c>
      <c r="C6990" s="118" t="s">
        <v>206</v>
      </c>
      <c r="D6990" s="152" t="s">
        <v>7830</v>
      </c>
      <c r="E6990" s="152" t="s">
        <v>7890</v>
      </c>
      <c r="F6990" s="152" t="s">
        <v>240</v>
      </c>
      <c r="G6990" s="152" t="s">
        <v>2311</v>
      </c>
      <c r="H6990" s="153" t="s">
        <v>212</v>
      </c>
    </row>
    <row r="6991" hidden="1">
      <c r="A6991" s="154" t="s">
        <v>225</v>
      </c>
      <c r="B6991" s="155" t="s">
        <v>226</v>
      </c>
      <c r="C6991" s="155" t="s">
        <v>206</v>
      </c>
      <c r="D6991" s="156" t="s">
        <v>7830</v>
      </c>
      <c r="E6991" s="156" t="s">
        <v>7891</v>
      </c>
      <c r="F6991" s="156" t="s">
        <v>323</v>
      </c>
      <c r="G6991" s="156" t="s">
        <v>2718</v>
      </c>
      <c r="H6991" s="157" t="s">
        <v>213</v>
      </c>
    </row>
    <row r="6992" hidden="1">
      <c r="A6992" s="151" t="s">
        <v>225</v>
      </c>
      <c r="B6992" s="118" t="s">
        <v>226</v>
      </c>
      <c r="C6992" s="118" t="s">
        <v>206</v>
      </c>
      <c r="D6992" s="152" t="s">
        <v>7830</v>
      </c>
      <c r="E6992" s="152" t="s">
        <v>7892</v>
      </c>
      <c r="F6992" s="152" t="s">
        <v>433</v>
      </c>
      <c r="G6992" s="152" t="s">
        <v>2401</v>
      </c>
      <c r="H6992" s="153" t="s">
        <v>214</v>
      </c>
    </row>
    <row r="6993" hidden="1">
      <c r="A6993" s="154" t="s">
        <v>225</v>
      </c>
      <c r="B6993" s="155" t="s">
        <v>226</v>
      </c>
      <c r="C6993" s="155" t="s">
        <v>206</v>
      </c>
      <c r="D6993" s="156" t="s">
        <v>7830</v>
      </c>
      <c r="E6993" s="156" t="s">
        <v>7893</v>
      </c>
      <c r="F6993" s="156" t="s">
        <v>458</v>
      </c>
      <c r="G6993" s="156" t="s">
        <v>2138</v>
      </c>
      <c r="H6993" s="157" t="s">
        <v>215</v>
      </c>
    </row>
    <row r="6994" hidden="1">
      <c r="A6994" s="151" t="s">
        <v>225</v>
      </c>
      <c r="B6994" s="118" t="s">
        <v>226</v>
      </c>
      <c r="C6994" s="118" t="s">
        <v>206</v>
      </c>
      <c r="D6994" s="152" t="s">
        <v>7830</v>
      </c>
      <c r="E6994" s="152" t="s">
        <v>7894</v>
      </c>
      <c r="F6994" s="152" t="s">
        <v>298</v>
      </c>
      <c r="G6994" s="152" t="s">
        <v>2790</v>
      </c>
      <c r="H6994" s="153" t="s">
        <v>216</v>
      </c>
    </row>
    <row r="6995" hidden="1">
      <c r="A6995" s="154" t="s">
        <v>227</v>
      </c>
      <c r="B6995" s="155" t="s">
        <v>195</v>
      </c>
      <c r="C6995" s="155" t="s">
        <v>206</v>
      </c>
      <c r="D6995" s="156" t="s">
        <v>7830</v>
      </c>
      <c r="E6995" s="156" t="s">
        <v>7895</v>
      </c>
      <c r="F6995" s="156" t="s">
        <v>425</v>
      </c>
      <c r="G6995" s="156" t="s">
        <v>3908</v>
      </c>
      <c r="H6995" s="157" t="s">
        <v>210</v>
      </c>
    </row>
    <row r="6996" hidden="1">
      <c r="A6996" s="151" t="s">
        <v>227</v>
      </c>
      <c r="B6996" s="118" t="s">
        <v>195</v>
      </c>
      <c r="C6996" s="118" t="s">
        <v>206</v>
      </c>
      <c r="D6996" s="152" t="s">
        <v>7830</v>
      </c>
      <c r="E6996" s="152" t="s">
        <v>7896</v>
      </c>
      <c r="F6996" s="152" t="s">
        <v>357</v>
      </c>
      <c r="G6996" s="152" t="s">
        <v>3205</v>
      </c>
      <c r="H6996" s="153" t="s">
        <v>211</v>
      </c>
    </row>
    <row r="6997" hidden="1">
      <c r="A6997" s="154" t="s">
        <v>227</v>
      </c>
      <c r="B6997" s="155" t="s">
        <v>195</v>
      </c>
      <c r="C6997" s="155" t="s">
        <v>206</v>
      </c>
      <c r="D6997" s="156" t="s">
        <v>7830</v>
      </c>
      <c r="E6997" s="156" t="s">
        <v>7897</v>
      </c>
      <c r="F6997" s="156" t="s">
        <v>310</v>
      </c>
      <c r="G6997" s="156" t="s">
        <v>3136</v>
      </c>
      <c r="H6997" s="157" t="s">
        <v>212</v>
      </c>
    </row>
    <row r="6998" hidden="1">
      <c r="A6998" s="151" t="s">
        <v>227</v>
      </c>
      <c r="B6998" s="118" t="s">
        <v>195</v>
      </c>
      <c r="C6998" s="118" t="s">
        <v>206</v>
      </c>
      <c r="D6998" s="152" t="s">
        <v>7830</v>
      </c>
      <c r="E6998" s="152" t="s">
        <v>7898</v>
      </c>
      <c r="F6998" s="152" t="s">
        <v>336</v>
      </c>
      <c r="G6998" s="152" t="s">
        <v>2605</v>
      </c>
      <c r="H6998" s="153" t="s">
        <v>213</v>
      </c>
    </row>
    <row r="6999" hidden="1">
      <c r="A6999" s="154" t="s">
        <v>227</v>
      </c>
      <c r="B6999" s="155" t="s">
        <v>195</v>
      </c>
      <c r="C6999" s="155" t="s">
        <v>206</v>
      </c>
      <c r="D6999" s="156" t="s">
        <v>7830</v>
      </c>
      <c r="E6999" s="156" t="s">
        <v>7899</v>
      </c>
      <c r="F6999" s="156" t="s">
        <v>305</v>
      </c>
      <c r="G6999" s="156" t="s">
        <v>2219</v>
      </c>
      <c r="H6999" s="157" t="s">
        <v>214</v>
      </c>
    </row>
    <row r="7000" hidden="1">
      <c r="A7000" s="151" t="s">
        <v>227</v>
      </c>
      <c r="B7000" s="118" t="s">
        <v>195</v>
      </c>
      <c r="C7000" s="118" t="s">
        <v>206</v>
      </c>
      <c r="D7000" s="152" t="s">
        <v>7830</v>
      </c>
      <c r="E7000" s="152" t="s">
        <v>7900</v>
      </c>
      <c r="F7000" s="152" t="s">
        <v>336</v>
      </c>
      <c r="G7000" s="152" t="s">
        <v>3278</v>
      </c>
      <c r="H7000" s="153" t="s">
        <v>215</v>
      </c>
    </row>
    <row r="7001" hidden="1">
      <c r="A7001" s="154" t="s">
        <v>227</v>
      </c>
      <c r="B7001" s="155" t="s">
        <v>195</v>
      </c>
      <c r="C7001" s="155" t="s">
        <v>206</v>
      </c>
      <c r="D7001" s="156" t="s">
        <v>7830</v>
      </c>
      <c r="E7001" s="156" t="s">
        <v>7901</v>
      </c>
      <c r="F7001" s="156" t="s">
        <v>310</v>
      </c>
      <c r="G7001" s="156" t="s">
        <v>2818</v>
      </c>
      <c r="H7001" s="157" t="s">
        <v>216</v>
      </c>
    </row>
    <row r="7002" hidden="1">
      <c r="A7002" s="151" t="s">
        <v>228</v>
      </c>
      <c r="B7002" s="118" t="s">
        <v>138</v>
      </c>
      <c r="C7002" s="118" t="s">
        <v>206</v>
      </c>
      <c r="D7002" s="152" t="s">
        <v>7830</v>
      </c>
      <c r="E7002" s="152" t="s">
        <v>7902</v>
      </c>
      <c r="F7002" s="152" t="s">
        <v>425</v>
      </c>
      <c r="G7002" s="152" t="s">
        <v>3307</v>
      </c>
      <c r="H7002" s="153" t="s">
        <v>210</v>
      </c>
    </row>
    <row r="7003" hidden="1">
      <c r="A7003" s="154" t="s">
        <v>228</v>
      </c>
      <c r="B7003" s="155" t="s">
        <v>138</v>
      </c>
      <c r="C7003" s="155" t="s">
        <v>206</v>
      </c>
      <c r="D7003" s="156" t="s">
        <v>7830</v>
      </c>
      <c r="E7003" s="156" t="s">
        <v>7903</v>
      </c>
      <c r="F7003" s="156" t="s">
        <v>240</v>
      </c>
      <c r="G7003" s="156" t="s">
        <v>2609</v>
      </c>
      <c r="H7003" s="157" t="s">
        <v>211</v>
      </c>
    </row>
    <row r="7004" hidden="1">
      <c r="A7004" s="151" t="s">
        <v>228</v>
      </c>
      <c r="B7004" s="118" t="s">
        <v>138</v>
      </c>
      <c r="C7004" s="118" t="s">
        <v>206</v>
      </c>
      <c r="D7004" s="152" t="s">
        <v>7830</v>
      </c>
      <c r="E7004" s="152" t="s">
        <v>7904</v>
      </c>
      <c r="F7004" s="152" t="s">
        <v>458</v>
      </c>
      <c r="G7004" s="152" t="s">
        <v>2847</v>
      </c>
      <c r="H7004" s="153" t="s">
        <v>212</v>
      </c>
    </row>
    <row r="7005" hidden="1">
      <c r="A7005" s="154" t="s">
        <v>228</v>
      </c>
      <c r="B7005" s="155" t="s">
        <v>138</v>
      </c>
      <c r="C7005" s="155" t="s">
        <v>206</v>
      </c>
      <c r="D7005" s="156" t="s">
        <v>7830</v>
      </c>
      <c r="E7005" s="156" t="s">
        <v>7905</v>
      </c>
      <c r="F7005" s="156" t="s">
        <v>259</v>
      </c>
      <c r="G7005" s="156" t="s">
        <v>2216</v>
      </c>
      <c r="H7005" s="157" t="s">
        <v>213</v>
      </c>
    </row>
    <row r="7006" hidden="1">
      <c r="A7006" s="151" t="s">
        <v>228</v>
      </c>
      <c r="B7006" s="118" t="s">
        <v>138</v>
      </c>
      <c r="C7006" s="118" t="s">
        <v>206</v>
      </c>
      <c r="D7006" s="152" t="s">
        <v>7830</v>
      </c>
      <c r="E7006" s="152" t="s">
        <v>7906</v>
      </c>
      <c r="F7006" s="152" t="s">
        <v>287</v>
      </c>
      <c r="G7006" s="152" t="s">
        <v>2467</v>
      </c>
      <c r="H7006" s="153" t="s">
        <v>214</v>
      </c>
    </row>
    <row r="7007" hidden="1">
      <c r="A7007" s="154" t="s">
        <v>228</v>
      </c>
      <c r="B7007" s="155" t="s">
        <v>138</v>
      </c>
      <c r="C7007" s="155" t="s">
        <v>206</v>
      </c>
      <c r="D7007" s="156" t="s">
        <v>7830</v>
      </c>
      <c r="E7007" s="156" t="s">
        <v>7907</v>
      </c>
      <c r="F7007" s="156" t="s">
        <v>321</v>
      </c>
      <c r="G7007" s="156" t="s">
        <v>1858</v>
      </c>
      <c r="H7007" s="157" t="s">
        <v>215</v>
      </c>
    </row>
    <row r="7008" hidden="1">
      <c r="A7008" s="151" t="s">
        <v>228</v>
      </c>
      <c r="B7008" s="118" t="s">
        <v>138</v>
      </c>
      <c r="C7008" s="118" t="s">
        <v>206</v>
      </c>
      <c r="D7008" s="152" t="s">
        <v>7830</v>
      </c>
      <c r="E7008" s="152" t="s">
        <v>7908</v>
      </c>
      <c r="F7008" s="152" t="s">
        <v>321</v>
      </c>
      <c r="G7008" s="152" t="s">
        <v>1782</v>
      </c>
      <c r="H7008" s="153" t="s">
        <v>216</v>
      </c>
    </row>
    <row r="7009" hidden="1">
      <c r="A7009" s="154" t="s">
        <v>229</v>
      </c>
      <c r="B7009" s="155" t="s">
        <v>193</v>
      </c>
      <c r="C7009" s="155" t="s">
        <v>206</v>
      </c>
      <c r="D7009" s="156" t="s">
        <v>7830</v>
      </c>
      <c r="E7009" s="156" t="s">
        <v>7909</v>
      </c>
      <c r="F7009" s="156" t="s">
        <v>1999</v>
      </c>
      <c r="G7009" s="156" t="s">
        <v>4196</v>
      </c>
      <c r="H7009" s="157" t="s">
        <v>210</v>
      </c>
    </row>
    <row r="7010" hidden="1">
      <c r="A7010" s="151" t="s">
        <v>229</v>
      </c>
      <c r="B7010" s="118" t="s">
        <v>193</v>
      </c>
      <c r="C7010" s="118" t="s">
        <v>206</v>
      </c>
      <c r="D7010" s="152" t="s">
        <v>7830</v>
      </c>
      <c r="E7010" s="152" t="s">
        <v>7910</v>
      </c>
      <c r="F7010" s="152" t="s">
        <v>425</v>
      </c>
      <c r="G7010" s="152" t="s">
        <v>2517</v>
      </c>
      <c r="H7010" s="153" t="s">
        <v>211</v>
      </c>
    </row>
    <row r="7011" hidden="1">
      <c r="A7011" s="154" t="s">
        <v>229</v>
      </c>
      <c r="B7011" s="155" t="s">
        <v>193</v>
      </c>
      <c r="C7011" s="155" t="s">
        <v>206</v>
      </c>
      <c r="D7011" s="156" t="s">
        <v>7830</v>
      </c>
      <c r="E7011" s="156" t="s">
        <v>7911</v>
      </c>
      <c r="F7011" s="156" t="s">
        <v>725</v>
      </c>
      <c r="G7011" s="156" t="s">
        <v>3900</v>
      </c>
      <c r="H7011" s="157" t="s">
        <v>212</v>
      </c>
    </row>
    <row r="7012" hidden="1">
      <c r="A7012" s="151" t="s">
        <v>229</v>
      </c>
      <c r="B7012" s="118" t="s">
        <v>193</v>
      </c>
      <c r="C7012" s="118" t="s">
        <v>206</v>
      </c>
      <c r="D7012" s="152" t="s">
        <v>7830</v>
      </c>
      <c r="E7012" s="152" t="s">
        <v>7912</v>
      </c>
      <c r="F7012" s="152" t="s">
        <v>725</v>
      </c>
      <c r="G7012" s="152" t="s">
        <v>3812</v>
      </c>
      <c r="H7012" s="153" t="s">
        <v>213</v>
      </c>
    </row>
    <row r="7013" hidden="1">
      <c r="A7013" s="154" t="s">
        <v>229</v>
      </c>
      <c r="B7013" s="155" t="s">
        <v>193</v>
      </c>
      <c r="C7013" s="155" t="s">
        <v>206</v>
      </c>
      <c r="D7013" s="156" t="s">
        <v>7830</v>
      </c>
      <c r="E7013" s="156" t="s">
        <v>7913</v>
      </c>
      <c r="F7013" s="156" t="s">
        <v>494</v>
      </c>
      <c r="G7013" s="156" t="s">
        <v>3543</v>
      </c>
      <c r="H7013" s="157" t="s">
        <v>214</v>
      </c>
    </row>
    <row r="7014" hidden="1">
      <c r="A7014" s="151" t="s">
        <v>229</v>
      </c>
      <c r="B7014" s="118" t="s">
        <v>193</v>
      </c>
      <c r="C7014" s="118" t="s">
        <v>206</v>
      </c>
      <c r="D7014" s="152" t="s">
        <v>7830</v>
      </c>
      <c r="E7014" s="152" t="s">
        <v>7914</v>
      </c>
      <c r="F7014" s="152" t="s">
        <v>677</v>
      </c>
      <c r="G7014" s="152" t="s">
        <v>3394</v>
      </c>
      <c r="H7014" s="153" t="s">
        <v>215</v>
      </c>
    </row>
    <row r="7015" hidden="1">
      <c r="A7015" s="154" t="s">
        <v>229</v>
      </c>
      <c r="B7015" s="155" t="s">
        <v>193</v>
      </c>
      <c r="C7015" s="155" t="s">
        <v>206</v>
      </c>
      <c r="D7015" s="156" t="s">
        <v>7830</v>
      </c>
      <c r="E7015" s="156" t="s">
        <v>7915</v>
      </c>
      <c r="F7015" s="156" t="s">
        <v>577</v>
      </c>
      <c r="G7015" s="156" t="s">
        <v>2967</v>
      </c>
      <c r="H7015" s="157" t="s">
        <v>216</v>
      </c>
    </row>
    <row r="7016" hidden="1">
      <c r="A7016" s="151" t="s">
        <v>230</v>
      </c>
      <c r="B7016" s="118" t="s">
        <v>194</v>
      </c>
      <c r="C7016" s="118" t="s">
        <v>206</v>
      </c>
      <c r="D7016" s="152" t="s">
        <v>7830</v>
      </c>
      <c r="E7016" s="152" t="s">
        <v>7916</v>
      </c>
      <c r="F7016" s="152" t="s">
        <v>450</v>
      </c>
      <c r="G7016" s="152" t="s">
        <v>2457</v>
      </c>
      <c r="H7016" s="153" t="s">
        <v>210</v>
      </c>
    </row>
    <row r="7017" hidden="1">
      <c r="A7017" s="154" t="s">
        <v>230</v>
      </c>
      <c r="B7017" s="155" t="s">
        <v>194</v>
      </c>
      <c r="C7017" s="155" t="s">
        <v>206</v>
      </c>
      <c r="D7017" s="156" t="s">
        <v>7830</v>
      </c>
      <c r="E7017" s="156" t="s">
        <v>7917</v>
      </c>
      <c r="F7017" s="156" t="s">
        <v>534</v>
      </c>
      <c r="G7017" s="156" t="s">
        <v>2045</v>
      </c>
      <c r="H7017" s="157" t="s">
        <v>211</v>
      </c>
    </row>
    <row r="7018" hidden="1">
      <c r="A7018" s="151" t="s">
        <v>230</v>
      </c>
      <c r="B7018" s="118" t="s">
        <v>194</v>
      </c>
      <c r="C7018" s="118" t="s">
        <v>206</v>
      </c>
      <c r="D7018" s="152" t="s">
        <v>7830</v>
      </c>
      <c r="E7018" s="152" t="s">
        <v>7918</v>
      </c>
      <c r="F7018" s="152" t="s">
        <v>308</v>
      </c>
      <c r="G7018" s="152" t="s">
        <v>2859</v>
      </c>
      <c r="H7018" s="153" t="s">
        <v>212</v>
      </c>
    </row>
    <row r="7019" hidden="1">
      <c r="A7019" s="154" t="s">
        <v>230</v>
      </c>
      <c r="B7019" s="155" t="s">
        <v>194</v>
      </c>
      <c r="C7019" s="155" t="s">
        <v>206</v>
      </c>
      <c r="D7019" s="156" t="s">
        <v>7830</v>
      </c>
      <c r="E7019" s="156" t="s">
        <v>7919</v>
      </c>
      <c r="F7019" s="156" t="s">
        <v>321</v>
      </c>
      <c r="G7019" s="156" t="s">
        <v>2070</v>
      </c>
      <c r="H7019" s="157" t="s">
        <v>213</v>
      </c>
    </row>
    <row r="7020" hidden="1">
      <c r="A7020" s="151" t="s">
        <v>230</v>
      </c>
      <c r="B7020" s="118" t="s">
        <v>194</v>
      </c>
      <c r="C7020" s="118" t="s">
        <v>206</v>
      </c>
      <c r="D7020" s="152" t="s">
        <v>7830</v>
      </c>
      <c r="E7020" s="152" t="s">
        <v>7920</v>
      </c>
      <c r="F7020" s="152" t="s">
        <v>357</v>
      </c>
      <c r="G7020" s="152" t="s">
        <v>2546</v>
      </c>
      <c r="H7020" s="153" t="s">
        <v>214</v>
      </c>
    </row>
    <row r="7021" hidden="1">
      <c r="A7021" s="154" t="s">
        <v>230</v>
      </c>
      <c r="B7021" s="155" t="s">
        <v>194</v>
      </c>
      <c r="C7021" s="155" t="s">
        <v>206</v>
      </c>
      <c r="D7021" s="156" t="s">
        <v>7830</v>
      </c>
      <c r="E7021" s="156" t="s">
        <v>7921</v>
      </c>
      <c r="F7021" s="156" t="s">
        <v>331</v>
      </c>
      <c r="G7021" s="156" t="s">
        <v>2864</v>
      </c>
      <c r="H7021" s="157" t="s">
        <v>215</v>
      </c>
    </row>
    <row r="7022" hidden="1">
      <c r="A7022" s="151" t="s">
        <v>230</v>
      </c>
      <c r="B7022" s="118" t="s">
        <v>194</v>
      </c>
      <c r="C7022" s="118" t="s">
        <v>206</v>
      </c>
      <c r="D7022" s="152" t="s">
        <v>7830</v>
      </c>
      <c r="E7022" s="152" t="s">
        <v>7922</v>
      </c>
      <c r="F7022" s="152" t="s">
        <v>305</v>
      </c>
      <c r="G7022" s="152" t="s">
        <v>2929</v>
      </c>
      <c r="H7022" s="153" t="s">
        <v>216</v>
      </c>
    </row>
    <row r="7023" hidden="1">
      <c r="A7023" s="158" t="s">
        <v>231</v>
      </c>
      <c r="B7023" s="159"/>
      <c r="C7023" s="155" t="s">
        <v>232</v>
      </c>
      <c r="D7023" s="156" t="s">
        <v>7830</v>
      </c>
      <c r="E7023" s="156" t="s">
        <v>7923</v>
      </c>
      <c r="F7023" s="156" t="s">
        <v>312</v>
      </c>
      <c r="G7023" s="156" t="s">
        <v>4287</v>
      </c>
      <c r="H7023" s="157" t="s">
        <v>210</v>
      </c>
    </row>
    <row r="7024" hidden="1">
      <c r="A7024" s="160" t="s">
        <v>231</v>
      </c>
      <c r="B7024" s="72"/>
      <c r="C7024" s="118" t="s">
        <v>232</v>
      </c>
      <c r="D7024" s="152" t="s">
        <v>7830</v>
      </c>
      <c r="E7024" s="152" t="s">
        <v>7924</v>
      </c>
      <c r="F7024" s="152" t="s">
        <v>1532</v>
      </c>
      <c r="G7024" s="152" t="s">
        <v>3111</v>
      </c>
      <c r="H7024" s="153" t="s">
        <v>211</v>
      </c>
    </row>
    <row r="7025" hidden="1">
      <c r="A7025" s="158" t="s">
        <v>231</v>
      </c>
      <c r="B7025" s="159"/>
      <c r="C7025" s="155" t="s">
        <v>232</v>
      </c>
      <c r="D7025" s="156" t="s">
        <v>7830</v>
      </c>
      <c r="E7025" s="156" t="s">
        <v>7925</v>
      </c>
      <c r="F7025" s="156" t="s">
        <v>354</v>
      </c>
      <c r="G7025" s="156" t="s">
        <v>3812</v>
      </c>
      <c r="H7025" s="157" t="s">
        <v>212</v>
      </c>
    </row>
    <row r="7026" hidden="1">
      <c r="A7026" s="160" t="s">
        <v>231</v>
      </c>
      <c r="B7026" s="72"/>
      <c r="C7026" s="118" t="s">
        <v>232</v>
      </c>
      <c r="D7026" s="152" t="s">
        <v>7830</v>
      </c>
      <c r="E7026" s="152" t="s">
        <v>7926</v>
      </c>
      <c r="F7026" s="152" t="s">
        <v>425</v>
      </c>
      <c r="G7026" s="152" t="s">
        <v>3272</v>
      </c>
      <c r="H7026" s="153" t="s">
        <v>213</v>
      </c>
    </row>
    <row r="7027" hidden="1">
      <c r="A7027" s="158" t="s">
        <v>231</v>
      </c>
      <c r="B7027" s="159"/>
      <c r="C7027" s="155" t="s">
        <v>232</v>
      </c>
      <c r="D7027" s="156" t="s">
        <v>7830</v>
      </c>
      <c r="E7027" s="156" t="s">
        <v>7927</v>
      </c>
      <c r="F7027" s="156" t="s">
        <v>405</v>
      </c>
      <c r="G7027" s="156" t="s">
        <v>3117</v>
      </c>
      <c r="H7027" s="157" t="s">
        <v>214</v>
      </c>
    </row>
    <row r="7028" hidden="1">
      <c r="A7028" s="160" t="s">
        <v>231</v>
      </c>
      <c r="B7028" s="72"/>
      <c r="C7028" s="118" t="s">
        <v>232</v>
      </c>
      <c r="D7028" s="152" t="s">
        <v>7830</v>
      </c>
      <c r="E7028" s="152" t="s">
        <v>7928</v>
      </c>
      <c r="F7028" s="152" t="s">
        <v>312</v>
      </c>
      <c r="G7028" s="152" t="s">
        <v>4491</v>
      </c>
      <c r="H7028" s="153" t="s">
        <v>215</v>
      </c>
    </row>
    <row r="7029" hidden="1">
      <c r="A7029" s="158" t="s">
        <v>231</v>
      </c>
      <c r="B7029" s="159"/>
      <c r="C7029" s="155" t="s">
        <v>232</v>
      </c>
      <c r="D7029" s="156" t="s">
        <v>7830</v>
      </c>
      <c r="E7029" s="156" t="s">
        <v>7929</v>
      </c>
      <c r="F7029" s="156" t="s">
        <v>677</v>
      </c>
      <c r="G7029" s="156" t="s">
        <v>4743</v>
      </c>
      <c r="H7029" s="157" t="s">
        <v>216</v>
      </c>
    </row>
    <row r="7030" hidden="1">
      <c r="A7030" s="160" t="s">
        <v>233</v>
      </c>
      <c r="B7030" s="72"/>
      <c r="C7030" s="118" t="s">
        <v>232</v>
      </c>
      <c r="D7030" s="152" t="s">
        <v>7830</v>
      </c>
      <c r="E7030" s="152" t="s">
        <v>7930</v>
      </c>
      <c r="F7030" s="152" t="s">
        <v>339</v>
      </c>
      <c r="G7030" s="152" t="s">
        <v>3915</v>
      </c>
      <c r="H7030" s="153" t="s">
        <v>210</v>
      </c>
    </row>
    <row r="7031" hidden="1">
      <c r="A7031" s="158" t="s">
        <v>233</v>
      </c>
      <c r="B7031" s="159"/>
      <c r="C7031" s="155" t="s">
        <v>232</v>
      </c>
      <c r="D7031" s="156" t="s">
        <v>7830</v>
      </c>
      <c r="E7031" s="156" t="s">
        <v>7931</v>
      </c>
      <c r="F7031" s="156" t="s">
        <v>308</v>
      </c>
      <c r="G7031" s="156" t="s">
        <v>3968</v>
      </c>
      <c r="H7031" s="157" t="s">
        <v>211</v>
      </c>
    </row>
    <row r="7032" hidden="1">
      <c r="A7032" s="160" t="s">
        <v>233</v>
      </c>
      <c r="B7032" s="72"/>
      <c r="C7032" s="118" t="s">
        <v>232</v>
      </c>
      <c r="D7032" s="152" t="s">
        <v>7830</v>
      </c>
      <c r="E7032" s="152" t="s">
        <v>7932</v>
      </c>
      <c r="F7032" s="152" t="s">
        <v>310</v>
      </c>
      <c r="G7032" s="152" t="s">
        <v>1997</v>
      </c>
      <c r="H7032" s="153" t="s">
        <v>212</v>
      </c>
    </row>
    <row r="7033" hidden="1">
      <c r="A7033" s="158" t="s">
        <v>233</v>
      </c>
      <c r="B7033" s="159"/>
      <c r="C7033" s="155" t="s">
        <v>232</v>
      </c>
      <c r="D7033" s="156" t="s">
        <v>7830</v>
      </c>
      <c r="E7033" s="156" t="s">
        <v>7933</v>
      </c>
      <c r="F7033" s="156" t="s">
        <v>290</v>
      </c>
      <c r="G7033" s="156" t="s">
        <v>3300</v>
      </c>
      <c r="H7033" s="157" t="s">
        <v>213</v>
      </c>
    </row>
    <row r="7034" hidden="1">
      <c r="A7034" s="160" t="s">
        <v>233</v>
      </c>
      <c r="B7034" s="72"/>
      <c r="C7034" s="118" t="s">
        <v>232</v>
      </c>
      <c r="D7034" s="152" t="s">
        <v>7830</v>
      </c>
      <c r="E7034" s="152" t="s">
        <v>7934</v>
      </c>
      <c r="F7034" s="152" t="s">
        <v>339</v>
      </c>
      <c r="G7034" s="152" t="s">
        <v>3783</v>
      </c>
      <c r="H7034" s="153" t="s">
        <v>214</v>
      </c>
    </row>
    <row r="7035" hidden="1">
      <c r="A7035" s="158" t="s">
        <v>233</v>
      </c>
      <c r="B7035" s="159"/>
      <c r="C7035" s="155" t="s">
        <v>232</v>
      </c>
      <c r="D7035" s="156" t="s">
        <v>7830</v>
      </c>
      <c r="E7035" s="156" t="s">
        <v>7935</v>
      </c>
      <c r="F7035" s="156" t="s">
        <v>325</v>
      </c>
      <c r="G7035" s="156" t="s">
        <v>4194</v>
      </c>
      <c r="H7035" s="157" t="s">
        <v>215</v>
      </c>
    </row>
    <row r="7036" hidden="1">
      <c r="A7036" s="160" t="s">
        <v>233</v>
      </c>
      <c r="B7036" s="72"/>
      <c r="C7036" s="118" t="s">
        <v>232</v>
      </c>
      <c r="D7036" s="152" t="s">
        <v>7830</v>
      </c>
      <c r="E7036" s="152" t="s">
        <v>7936</v>
      </c>
      <c r="F7036" s="152" t="s">
        <v>310</v>
      </c>
      <c r="G7036" s="152" t="s">
        <v>3996</v>
      </c>
      <c r="H7036" s="153" t="s">
        <v>216</v>
      </c>
    </row>
    <row r="7037" hidden="1">
      <c r="A7037" s="158" t="s">
        <v>234</v>
      </c>
      <c r="B7037" s="159"/>
      <c r="C7037" s="155" t="s">
        <v>232</v>
      </c>
      <c r="D7037" s="156" t="s">
        <v>7830</v>
      </c>
      <c r="E7037" s="156" t="s">
        <v>7937</v>
      </c>
      <c r="F7037" s="156" t="s">
        <v>269</v>
      </c>
      <c r="G7037" s="156" t="s">
        <v>3007</v>
      </c>
      <c r="H7037" s="157" t="s">
        <v>210</v>
      </c>
    </row>
    <row r="7038" hidden="1">
      <c r="A7038" s="160" t="s">
        <v>234</v>
      </c>
      <c r="B7038" s="72"/>
      <c r="C7038" s="118" t="s">
        <v>232</v>
      </c>
      <c r="D7038" s="152" t="s">
        <v>7830</v>
      </c>
      <c r="E7038" s="152" t="s">
        <v>7938</v>
      </c>
      <c r="F7038" s="152" t="s">
        <v>242</v>
      </c>
      <c r="G7038" s="152" t="s">
        <v>3389</v>
      </c>
      <c r="H7038" s="153" t="s">
        <v>211</v>
      </c>
    </row>
    <row r="7039" hidden="1">
      <c r="A7039" s="158" t="s">
        <v>234</v>
      </c>
      <c r="B7039" s="159"/>
      <c r="C7039" s="155" t="s">
        <v>232</v>
      </c>
      <c r="D7039" s="156" t="s">
        <v>7830</v>
      </c>
      <c r="E7039" s="156" t="s">
        <v>7939</v>
      </c>
      <c r="F7039" s="156" t="s">
        <v>287</v>
      </c>
      <c r="G7039" s="156" t="s">
        <v>2845</v>
      </c>
      <c r="H7039" s="157" t="s">
        <v>212</v>
      </c>
    </row>
    <row r="7040" hidden="1">
      <c r="A7040" s="160" t="s">
        <v>234</v>
      </c>
      <c r="B7040" s="72"/>
      <c r="C7040" s="118" t="s">
        <v>232</v>
      </c>
      <c r="D7040" s="152" t="s">
        <v>7830</v>
      </c>
      <c r="E7040" s="152" t="s">
        <v>7940</v>
      </c>
      <c r="F7040" s="152" t="s">
        <v>246</v>
      </c>
      <c r="G7040" s="152" t="s">
        <v>3237</v>
      </c>
      <c r="H7040" s="153" t="s">
        <v>213</v>
      </c>
    </row>
    <row r="7041" hidden="1">
      <c r="A7041" s="158" t="s">
        <v>234</v>
      </c>
      <c r="B7041" s="159"/>
      <c r="C7041" s="155" t="s">
        <v>232</v>
      </c>
      <c r="D7041" s="156" t="s">
        <v>7830</v>
      </c>
      <c r="E7041" s="156" t="s">
        <v>7941</v>
      </c>
      <c r="F7041" s="156" t="s">
        <v>259</v>
      </c>
      <c r="G7041" s="156" t="s">
        <v>2912</v>
      </c>
      <c r="H7041" s="157" t="s">
        <v>214</v>
      </c>
    </row>
    <row r="7042" hidden="1">
      <c r="A7042" s="160" t="s">
        <v>234</v>
      </c>
      <c r="B7042" s="72"/>
      <c r="C7042" s="118" t="s">
        <v>232</v>
      </c>
      <c r="D7042" s="152" t="s">
        <v>7830</v>
      </c>
      <c r="E7042" s="152" t="s">
        <v>7942</v>
      </c>
      <c r="F7042" s="152" t="s">
        <v>240</v>
      </c>
      <c r="G7042" s="152" t="s">
        <v>3458</v>
      </c>
      <c r="H7042" s="153" t="s">
        <v>215</v>
      </c>
    </row>
    <row r="7043" hidden="1">
      <c r="A7043" s="158" t="s">
        <v>234</v>
      </c>
      <c r="B7043" s="159"/>
      <c r="C7043" s="155" t="s">
        <v>232</v>
      </c>
      <c r="D7043" s="156" t="s">
        <v>7830</v>
      </c>
      <c r="E7043" s="156" t="s">
        <v>7943</v>
      </c>
      <c r="F7043" s="156" t="s">
        <v>287</v>
      </c>
      <c r="G7043" s="156" t="s">
        <v>2134</v>
      </c>
      <c r="H7043" s="157" t="s">
        <v>216</v>
      </c>
    </row>
    <row r="7044" hidden="1">
      <c r="A7044" s="160" t="s">
        <v>235</v>
      </c>
      <c r="B7044" s="72"/>
      <c r="C7044" s="118" t="s">
        <v>236</v>
      </c>
      <c r="D7044" s="152" t="s">
        <v>7830</v>
      </c>
      <c r="E7044" s="152" t="s">
        <v>7944</v>
      </c>
      <c r="F7044" s="152" t="s">
        <v>331</v>
      </c>
      <c r="G7044" s="152" t="s">
        <v>3294</v>
      </c>
      <c r="H7044" s="153" t="s">
        <v>210</v>
      </c>
    </row>
    <row r="7045" hidden="1">
      <c r="A7045" s="158" t="s">
        <v>235</v>
      </c>
      <c r="B7045" s="159"/>
      <c r="C7045" s="155" t="s">
        <v>236</v>
      </c>
      <c r="D7045" s="156" t="s">
        <v>7830</v>
      </c>
      <c r="E7045" s="156" t="s">
        <v>7945</v>
      </c>
      <c r="F7045" s="156" t="s">
        <v>290</v>
      </c>
      <c r="G7045" s="156" t="s">
        <v>3111</v>
      </c>
      <c r="H7045" s="157" t="s">
        <v>211</v>
      </c>
    </row>
    <row r="7046" hidden="1">
      <c r="A7046" s="160" t="s">
        <v>235</v>
      </c>
      <c r="B7046" s="72"/>
      <c r="C7046" s="118" t="s">
        <v>236</v>
      </c>
      <c r="D7046" s="152" t="s">
        <v>7830</v>
      </c>
      <c r="E7046" s="152" t="s">
        <v>7946</v>
      </c>
      <c r="F7046" s="152" t="s">
        <v>305</v>
      </c>
      <c r="G7046" s="152" t="s">
        <v>4209</v>
      </c>
      <c r="H7046" s="153" t="s">
        <v>212</v>
      </c>
    </row>
    <row r="7047" hidden="1">
      <c r="A7047" s="158" t="s">
        <v>235</v>
      </c>
      <c r="B7047" s="159"/>
      <c r="C7047" s="155" t="s">
        <v>236</v>
      </c>
      <c r="D7047" s="156" t="s">
        <v>7830</v>
      </c>
      <c r="E7047" s="156" t="s">
        <v>7947</v>
      </c>
      <c r="F7047" s="156" t="s">
        <v>331</v>
      </c>
      <c r="G7047" s="156" t="s">
        <v>4317</v>
      </c>
      <c r="H7047" s="157" t="s">
        <v>213</v>
      </c>
    </row>
    <row r="7048" hidden="1">
      <c r="A7048" s="160" t="s">
        <v>235</v>
      </c>
      <c r="B7048" s="72"/>
      <c r="C7048" s="118" t="s">
        <v>236</v>
      </c>
      <c r="D7048" s="152" t="s">
        <v>7830</v>
      </c>
      <c r="E7048" s="152" t="s">
        <v>7948</v>
      </c>
      <c r="F7048" s="152" t="s">
        <v>427</v>
      </c>
      <c r="G7048" s="152" t="s">
        <v>3543</v>
      </c>
      <c r="H7048" s="153" t="s">
        <v>214</v>
      </c>
    </row>
    <row r="7049" hidden="1">
      <c r="A7049" s="158" t="s">
        <v>235</v>
      </c>
      <c r="B7049" s="159"/>
      <c r="C7049" s="155" t="s">
        <v>236</v>
      </c>
      <c r="D7049" s="156" t="s">
        <v>7830</v>
      </c>
      <c r="E7049" s="156" t="s">
        <v>7949</v>
      </c>
      <c r="F7049" s="156" t="s">
        <v>339</v>
      </c>
      <c r="G7049" s="156" t="s">
        <v>4024</v>
      </c>
      <c r="H7049" s="157" t="s">
        <v>215</v>
      </c>
    </row>
    <row r="7050" hidden="1">
      <c r="A7050" s="160" t="s">
        <v>235</v>
      </c>
      <c r="B7050" s="72"/>
      <c r="C7050" s="118" t="s">
        <v>236</v>
      </c>
      <c r="D7050" s="152" t="s">
        <v>7830</v>
      </c>
      <c r="E7050" s="152" t="s">
        <v>7950</v>
      </c>
      <c r="F7050" s="152" t="s">
        <v>290</v>
      </c>
      <c r="G7050" s="152" t="s">
        <v>4209</v>
      </c>
      <c r="H7050" s="153" t="s">
        <v>216</v>
      </c>
    </row>
    <row r="7051" hidden="1">
      <c r="A7051" s="158" t="s">
        <v>237</v>
      </c>
      <c r="B7051" s="159"/>
      <c r="C7051" s="155" t="s">
        <v>236</v>
      </c>
      <c r="D7051" s="156" t="s">
        <v>7830</v>
      </c>
      <c r="E7051" s="156" t="s">
        <v>7951</v>
      </c>
      <c r="F7051" s="156" t="s">
        <v>336</v>
      </c>
      <c r="G7051" s="156" t="s">
        <v>3389</v>
      </c>
      <c r="H7051" s="157" t="s">
        <v>210</v>
      </c>
    </row>
    <row r="7052" hidden="1">
      <c r="A7052" s="160" t="s">
        <v>237</v>
      </c>
      <c r="B7052" s="72"/>
      <c r="C7052" s="118" t="s">
        <v>236</v>
      </c>
      <c r="D7052" s="152" t="s">
        <v>7830</v>
      </c>
      <c r="E7052" s="152" t="s">
        <v>7952</v>
      </c>
      <c r="F7052" s="152" t="s">
        <v>308</v>
      </c>
      <c r="G7052" s="152" t="s">
        <v>2624</v>
      </c>
      <c r="H7052" s="153" t="s">
        <v>211</v>
      </c>
    </row>
    <row r="7053" hidden="1">
      <c r="A7053" s="158" t="s">
        <v>237</v>
      </c>
      <c r="B7053" s="159"/>
      <c r="C7053" s="155" t="s">
        <v>236</v>
      </c>
      <c r="D7053" s="156" t="s">
        <v>7830</v>
      </c>
      <c r="E7053" s="156" t="s">
        <v>7953</v>
      </c>
      <c r="F7053" s="156" t="s">
        <v>365</v>
      </c>
      <c r="G7053" s="156" t="s">
        <v>2859</v>
      </c>
      <c r="H7053" s="157" t="s">
        <v>212</v>
      </c>
    </row>
    <row r="7054" hidden="1">
      <c r="A7054" s="160" t="s">
        <v>237</v>
      </c>
      <c r="B7054" s="72"/>
      <c r="C7054" s="118" t="s">
        <v>236</v>
      </c>
      <c r="D7054" s="152" t="s">
        <v>7830</v>
      </c>
      <c r="E7054" s="152" t="s">
        <v>7954</v>
      </c>
      <c r="F7054" s="152" t="s">
        <v>321</v>
      </c>
      <c r="G7054" s="152" t="s">
        <v>2452</v>
      </c>
      <c r="H7054" s="153" t="s">
        <v>213</v>
      </c>
    </row>
    <row r="7055" hidden="1">
      <c r="A7055" s="158" t="s">
        <v>237</v>
      </c>
      <c r="B7055" s="159"/>
      <c r="C7055" s="155" t="s">
        <v>236</v>
      </c>
      <c r="D7055" s="156" t="s">
        <v>7830</v>
      </c>
      <c r="E7055" s="156" t="s">
        <v>7955</v>
      </c>
      <c r="F7055" s="156" t="s">
        <v>285</v>
      </c>
      <c r="G7055" s="156" t="s">
        <v>2119</v>
      </c>
      <c r="H7055" s="157" t="s">
        <v>214</v>
      </c>
    </row>
    <row r="7056" hidden="1">
      <c r="A7056" s="160" t="s">
        <v>237</v>
      </c>
      <c r="B7056" s="72"/>
      <c r="C7056" s="118" t="s">
        <v>236</v>
      </c>
      <c r="D7056" s="152" t="s">
        <v>7830</v>
      </c>
      <c r="E7056" s="152" t="s">
        <v>7956</v>
      </c>
      <c r="F7056" s="152" t="s">
        <v>351</v>
      </c>
      <c r="G7056" s="152" t="s">
        <v>3341</v>
      </c>
      <c r="H7056" s="153" t="s">
        <v>215</v>
      </c>
    </row>
    <row r="7057" hidden="1">
      <c r="A7057" s="158" t="s">
        <v>237</v>
      </c>
      <c r="B7057" s="159"/>
      <c r="C7057" s="155" t="s">
        <v>236</v>
      </c>
      <c r="D7057" s="156" t="s">
        <v>7830</v>
      </c>
      <c r="E7057" s="156" t="s">
        <v>7957</v>
      </c>
      <c r="F7057" s="156" t="s">
        <v>310</v>
      </c>
      <c r="G7057" s="156" t="s">
        <v>3360</v>
      </c>
      <c r="H7057" s="157" t="s">
        <v>216</v>
      </c>
    </row>
    <row r="7058" hidden="1">
      <c r="A7058" s="151" t="s">
        <v>204</v>
      </c>
      <c r="B7058" s="118" t="s">
        <v>205</v>
      </c>
      <c r="C7058" s="118" t="s">
        <v>206</v>
      </c>
      <c r="D7058" s="152" t="s">
        <v>7958</v>
      </c>
      <c r="E7058" s="152" t="s">
        <v>7959</v>
      </c>
      <c r="F7058" s="152" t="s">
        <v>249</v>
      </c>
      <c r="G7058" s="152" t="s">
        <v>3572</v>
      </c>
      <c r="H7058" s="153" t="s">
        <v>210</v>
      </c>
    </row>
    <row r="7059" hidden="1">
      <c r="A7059" s="154" t="s">
        <v>204</v>
      </c>
      <c r="B7059" s="155" t="s">
        <v>205</v>
      </c>
      <c r="C7059" s="155" t="s">
        <v>206</v>
      </c>
      <c r="D7059" s="156" t="s">
        <v>7958</v>
      </c>
      <c r="E7059" s="156" t="s">
        <v>7960</v>
      </c>
      <c r="F7059" s="156" t="s">
        <v>359</v>
      </c>
      <c r="G7059" s="156" t="s">
        <v>3734</v>
      </c>
      <c r="H7059" s="157" t="s">
        <v>211</v>
      </c>
    </row>
    <row r="7060" hidden="1">
      <c r="A7060" s="151" t="s">
        <v>204</v>
      </c>
      <c r="B7060" s="118" t="s">
        <v>205</v>
      </c>
      <c r="C7060" s="118" t="s">
        <v>206</v>
      </c>
      <c r="D7060" s="152" t="s">
        <v>7958</v>
      </c>
      <c r="E7060" s="152" t="s">
        <v>7961</v>
      </c>
      <c r="F7060" s="152" t="s">
        <v>308</v>
      </c>
      <c r="G7060" s="152" t="s">
        <v>3844</v>
      </c>
      <c r="H7060" s="153" t="s">
        <v>212</v>
      </c>
    </row>
    <row r="7061" hidden="1">
      <c r="A7061" s="154" t="s">
        <v>204</v>
      </c>
      <c r="B7061" s="155" t="s">
        <v>205</v>
      </c>
      <c r="C7061" s="155" t="s">
        <v>206</v>
      </c>
      <c r="D7061" s="156" t="s">
        <v>7958</v>
      </c>
      <c r="E7061" s="156" t="s">
        <v>7962</v>
      </c>
      <c r="F7061" s="156" t="s">
        <v>314</v>
      </c>
      <c r="G7061" s="156" t="s">
        <v>3710</v>
      </c>
      <c r="H7061" s="157" t="s">
        <v>213</v>
      </c>
    </row>
    <row r="7062" hidden="1">
      <c r="A7062" s="151" t="s">
        <v>204</v>
      </c>
      <c r="B7062" s="118" t="s">
        <v>205</v>
      </c>
      <c r="C7062" s="118" t="s">
        <v>206</v>
      </c>
      <c r="D7062" s="152" t="s">
        <v>7958</v>
      </c>
      <c r="E7062" s="152" t="s">
        <v>7963</v>
      </c>
      <c r="F7062" s="152" t="s">
        <v>242</v>
      </c>
      <c r="G7062" s="152" t="s">
        <v>4992</v>
      </c>
      <c r="H7062" s="153" t="s">
        <v>214</v>
      </c>
    </row>
    <row r="7063" hidden="1">
      <c r="A7063" s="154" t="s">
        <v>204</v>
      </c>
      <c r="B7063" s="155" t="s">
        <v>205</v>
      </c>
      <c r="C7063" s="155" t="s">
        <v>206</v>
      </c>
      <c r="D7063" s="156" t="s">
        <v>7958</v>
      </c>
      <c r="E7063" s="156" t="s">
        <v>7964</v>
      </c>
      <c r="F7063" s="156" t="s">
        <v>339</v>
      </c>
      <c r="G7063" s="156" t="s">
        <v>3815</v>
      </c>
      <c r="H7063" s="157" t="s">
        <v>215</v>
      </c>
    </row>
    <row r="7064" hidden="1">
      <c r="A7064" s="151" t="s">
        <v>204</v>
      </c>
      <c r="B7064" s="118" t="s">
        <v>205</v>
      </c>
      <c r="C7064" s="118" t="s">
        <v>206</v>
      </c>
      <c r="D7064" s="152" t="s">
        <v>7958</v>
      </c>
      <c r="E7064" s="152" t="s">
        <v>7965</v>
      </c>
      <c r="F7064" s="152" t="s">
        <v>321</v>
      </c>
      <c r="G7064" s="152" t="s">
        <v>4206</v>
      </c>
      <c r="H7064" s="153" t="s">
        <v>216</v>
      </c>
    </row>
    <row r="7065" hidden="1">
      <c r="A7065" s="154" t="s">
        <v>217</v>
      </c>
      <c r="B7065" s="155" t="s">
        <v>191</v>
      </c>
      <c r="C7065" s="155" t="s">
        <v>206</v>
      </c>
      <c r="D7065" s="156" t="s">
        <v>7958</v>
      </c>
      <c r="E7065" s="156" t="s">
        <v>7966</v>
      </c>
      <c r="F7065" s="156" t="s">
        <v>287</v>
      </c>
      <c r="G7065" s="156" t="s">
        <v>2181</v>
      </c>
      <c r="H7065" s="157" t="s">
        <v>210</v>
      </c>
    </row>
    <row r="7066" hidden="1">
      <c r="A7066" s="151" t="s">
        <v>217</v>
      </c>
      <c r="B7066" s="118" t="s">
        <v>191</v>
      </c>
      <c r="C7066" s="118" t="s">
        <v>206</v>
      </c>
      <c r="D7066" s="152" t="s">
        <v>7958</v>
      </c>
      <c r="E7066" s="152" t="s">
        <v>7967</v>
      </c>
      <c r="F7066" s="152" t="s">
        <v>240</v>
      </c>
      <c r="G7066" s="152" t="s">
        <v>3371</v>
      </c>
      <c r="H7066" s="153" t="s">
        <v>211</v>
      </c>
    </row>
    <row r="7067" hidden="1">
      <c r="A7067" s="154" t="s">
        <v>217</v>
      </c>
      <c r="B7067" s="155" t="s">
        <v>191</v>
      </c>
      <c r="C7067" s="155" t="s">
        <v>206</v>
      </c>
      <c r="D7067" s="156" t="s">
        <v>7958</v>
      </c>
      <c r="E7067" s="156" t="s">
        <v>7968</v>
      </c>
      <c r="F7067" s="156" t="s">
        <v>365</v>
      </c>
      <c r="G7067" s="156" t="s">
        <v>4743</v>
      </c>
      <c r="H7067" s="157" t="s">
        <v>212</v>
      </c>
    </row>
    <row r="7068" hidden="1">
      <c r="A7068" s="151" t="s">
        <v>217</v>
      </c>
      <c r="B7068" s="118" t="s">
        <v>191</v>
      </c>
      <c r="C7068" s="118" t="s">
        <v>206</v>
      </c>
      <c r="D7068" s="152" t="s">
        <v>7958</v>
      </c>
      <c r="E7068" s="152" t="s">
        <v>7969</v>
      </c>
      <c r="F7068" s="152" t="s">
        <v>257</v>
      </c>
      <c r="G7068" s="152" t="s">
        <v>4386</v>
      </c>
      <c r="H7068" s="153" t="s">
        <v>213</v>
      </c>
    </row>
    <row r="7069" hidden="1">
      <c r="A7069" s="154" t="s">
        <v>217</v>
      </c>
      <c r="B7069" s="155" t="s">
        <v>191</v>
      </c>
      <c r="C7069" s="155" t="s">
        <v>206</v>
      </c>
      <c r="D7069" s="156" t="s">
        <v>7958</v>
      </c>
      <c r="E7069" s="156" t="s">
        <v>7970</v>
      </c>
      <c r="F7069" s="156" t="s">
        <v>301</v>
      </c>
      <c r="G7069" s="156" t="s">
        <v>3764</v>
      </c>
      <c r="H7069" s="157" t="s">
        <v>214</v>
      </c>
    </row>
    <row r="7070" hidden="1">
      <c r="A7070" s="151" t="s">
        <v>217</v>
      </c>
      <c r="B7070" s="118" t="s">
        <v>191</v>
      </c>
      <c r="C7070" s="118" t="s">
        <v>206</v>
      </c>
      <c r="D7070" s="152" t="s">
        <v>7958</v>
      </c>
      <c r="E7070" s="152" t="s">
        <v>7971</v>
      </c>
      <c r="F7070" s="152" t="s">
        <v>339</v>
      </c>
      <c r="G7070" s="152" t="s">
        <v>2508</v>
      </c>
      <c r="H7070" s="153" t="s">
        <v>215</v>
      </c>
    </row>
    <row r="7071" hidden="1">
      <c r="A7071" s="154" t="s">
        <v>217</v>
      </c>
      <c r="B7071" s="155" t="s">
        <v>191</v>
      </c>
      <c r="C7071" s="155" t="s">
        <v>206</v>
      </c>
      <c r="D7071" s="156" t="s">
        <v>7958</v>
      </c>
      <c r="E7071" s="156" t="s">
        <v>7972</v>
      </c>
      <c r="F7071" s="156" t="s">
        <v>257</v>
      </c>
      <c r="G7071" s="156" t="s">
        <v>2508</v>
      </c>
      <c r="H7071" s="157" t="s">
        <v>216</v>
      </c>
    </row>
    <row r="7072" hidden="1">
      <c r="A7072" s="151" t="s">
        <v>218</v>
      </c>
      <c r="B7072" s="118" t="s">
        <v>219</v>
      </c>
      <c r="C7072" s="118" t="s">
        <v>206</v>
      </c>
      <c r="D7072" s="152" t="s">
        <v>7958</v>
      </c>
      <c r="E7072" s="152" t="s">
        <v>7973</v>
      </c>
      <c r="F7072" s="152" t="s">
        <v>242</v>
      </c>
      <c r="G7072" s="152" t="s">
        <v>3262</v>
      </c>
      <c r="H7072" s="153" t="s">
        <v>210</v>
      </c>
    </row>
    <row r="7073" hidden="1">
      <c r="A7073" s="154" t="s">
        <v>218</v>
      </c>
      <c r="B7073" s="155" t="s">
        <v>219</v>
      </c>
      <c r="C7073" s="155" t="s">
        <v>206</v>
      </c>
      <c r="D7073" s="156" t="s">
        <v>7958</v>
      </c>
      <c r="E7073" s="156" t="s">
        <v>7974</v>
      </c>
      <c r="F7073" s="156" t="s">
        <v>323</v>
      </c>
      <c r="G7073" s="156" t="s">
        <v>3913</v>
      </c>
      <c r="H7073" s="157" t="s">
        <v>211</v>
      </c>
    </row>
    <row r="7074" hidden="1">
      <c r="A7074" s="151" t="s">
        <v>218</v>
      </c>
      <c r="B7074" s="118" t="s">
        <v>219</v>
      </c>
      <c r="C7074" s="118" t="s">
        <v>206</v>
      </c>
      <c r="D7074" s="152" t="s">
        <v>7958</v>
      </c>
      <c r="E7074" s="152" t="s">
        <v>7975</v>
      </c>
      <c r="F7074" s="152" t="s">
        <v>483</v>
      </c>
      <c r="G7074" s="152" t="s">
        <v>3840</v>
      </c>
      <c r="H7074" s="153" t="s">
        <v>212</v>
      </c>
    </row>
    <row r="7075" hidden="1">
      <c r="A7075" s="154" t="s">
        <v>218</v>
      </c>
      <c r="B7075" s="155" t="s">
        <v>219</v>
      </c>
      <c r="C7075" s="155" t="s">
        <v>206</v>
      </c>
      <c r="D7075" s="156" t="s">
        <v>7958</v>
      </c>
      <c r="E7075" s="156" t="s">
        <v>7976</v>
      </c>
      <c r="F7075" s="156" t="s">
        <v>323</v>
      </c>
      <c r="G7075" s="156" t="s">
        <v>4386</v>
      </c>
      <c r="H7075" s="157" t="s">
        <v>213</v>
      </c>
    </row>
    <row r="7076" hidden="1">
      <c r="A7076" s="151" t="s">
        <v>218</v>
      </c>
      <c r="B7076" s="118" t="s">
        <v>219</v>
      </c>
      <c r="C7076" s="118" t="s">
        <v>206</v>
      </c>
      <c r="D7076" s="152" t="s">
        <v>7958</v>
      </c>
      <c r="E7076" s="152" t="s">
        <v>7977</v>
      </c>
      <c r="F7076" s="152" t="s">
        <v>257</v>
      </c>
      <c r="G7076" s="152" t="s">
        <v>3618</v>
      </c>
      <c r="H7076" s="153" t="s">
        <v>214</v>
      </c>
    </row>
    <row r="7077" hidden="1">
      <c r="A7077" s="154" t="s">
        <v>218</v>
      </c>
      <c r="B7077" s="155" t="s">
        <v>219</v>
      </c>
      <c r="C7077" s="155" t="s">
        <v>206</v>
      </c>
      <c r="D7077" s="156" t="s">
        <v>7958</v>
      </c>
      <c r="E7077" s="156" t="s">
        <v>7978</v>
      </c>
      <c r="F7077" s="156" t="s">
        <v>246</v>
      </c>
      <c r="G7077" s="156" t="s">
        <v>3574</v>
      </c>
      <c r="H7077" s="157" t="s">
        <v>215</v>
      </c>
    </row>
    <row r="7078" hidden="1">
      <c r="A7078" s="151" t="s">
        <v>218</v>
      </c>
      <c r="B7078" s="118" t="s">
        <v>219</v>
      </c>
      <c r="C7078" s="118" t="s">
        <v>206</v>
      </c>
      <c r="D7078" s="152" t="s">
        <v>7958</v>
      </c>
      <c r="E7078" s="152" t="s">
        <v>7979</v>
      </c>
      <c r="F7078" s="152" t="s">
        <v>365</v>
      </c>
      <c r="G7078" s="152" t="s">
        <v>2517</v>
      </c>
      <c r="H7078" s="153" t="s">
        <v>216</v>
      </c>
    </row>
    <row r="7079" hidden="1">
      <c r="A7079" s="154" t="s">
        <v>220</v>
      </c>
      <c r="B7079" s="155" t="s">
        <v>190</v>
      </c>
      <c r="C7079" s="155" t="s">
        <v>206</v>
      </c>
      <c r="D7079" s="156" t="s">
        <v>7958</v>
      </c>
      <c r="E7079" s="156" t="s">
        <v>7980</v>
      </c>
      <c r="F7079" s="156" t="s">
        <v>425</v>
      </c>
      <c r="G7079" s="156" t="s">
        <v>4685</v>
      </c>
      <c r="H7079" s="157" t="s">
        <v>210</v>
      </c>
    </row>
    <row r="7080" hidden="1">
      <c r="A7080" s="151" t="s">
        <v>220</v>
      </c>
      <c r="B7080" s="118" t="s">
        <v>190</v>
      </c>
      <c r="C7080" s="118" t="s">
        <v>206</v>
      </c>
      <c r="D7080" s="152" t="s">
        <v>7958</v>
      </c>
      <c r="E7080" s="152" t="s">
        <v>7981</v>
      </c>
      <c r="F7080" s="152" t="s">
        <v>331</v>
      </c>
      <c r="G7080" s="152" t="s">
        <v>3296</v>
      </c>
      <c r="H7080" s="153" t="s">
        <v>211</v>
      </c>
    </row>
    <row r="7081" hidden="1">
      <c r="A7081" s="154" t="s">
        <v>220</v>
      </c>
      <c r="B7081" s="155" t="s">
        <v>190</v>
      </c>
      <c r="C7081" s="155" t="s">
        <v>206</v>
      </c>
      <c r="D7081" s="156" t="s">
        <v>7958</v>
      </c>
      <c r="E7081" s="156" t="s">
        <v>7982</v>
      </c>
      <c r="F7081" s="156" t="s">
        <v>423</v>
      </c>
      <c r="G7081" s="156" t="s">
        <v>4467</v>
      </c>
      <c r="H7081" s="157" t="s">
        <v>212</v>
      </c>
    </row>
    <row r="7082" hidden="1">
      <c r="A7082" s="151" t="s">
        <v>220</v>
      </c>
      <c r="B7082" s="118" t="s">
        <v>190</v>
      </c>
      <c r="C7082" s="118" t="s">
        <v>206</v>
      </c>
      <c r="D7082" s="152" t="s">
        <v>7958</v>
      </c>
      <c r="E7082" s="152" t="s">
        <v>7983</v>
      </c>
      <c r="F7082" s="152" t="s">
        <v>427</v>
      </c>
      <c r="G7082" s="152" t="s">
        <v>3783</v>
      </c>
      <c r="H7082" s="153" t="s">
        <v>213</v>
      </c>
    </row>
    <row r="7083" hidden="1">
      <c r="A7083" s="154" t="s">
        <v>220</v>
      </c>
      <c r="B7083" s="155" t="s">
        <v>190</v>
      </c>
      <c r="C7083" s="155" t="s">
        <v>206</v>
      </c>
      <c r="D7083" s="156" t="s">
        <v>7958</v>
      </c>
      <c r="E7083" s="156" t="s">
        <v>7984</v>
      </c>
      <c r="F7083" s="156" t="s">
        <v>365</v>
      </c>
      <c r="G7083" s="156" t="s">
        <v>4178</v>
      </c>
      <c r="H7083" s="157" t="s">
        <v>214</v>
      </c>
    </row>
    <row r="7084" hidden="1">
      <c r="A7084" s="151" t="s">
        <v>220</v>
      </c>
      <c r="B7084" s="118" t="s">
        <v>190</v>
      </c>
      <c r="C7084" s="118" t="s">
        <v>206</v>
      </c>
      <c r="D7084" s="152" t="s">
        <v>7958</v>
      </c>
      <c r="E7084" s="152" t="s">
        <v>7985</v>
      </c>
      <c r="F7084" s="152" t="s">
        <v>534</v>
      </c>
      <c r="G7084" s="152" t="s">
        <v>3298</v>
      </c>
      <c r="H7084" s="153" t="s">
        <v>215</v>
      </c>
    </row>
    <row r="7085" hidden="1">
      <c r="A7085" s="154" t="s">
        <v>220</v>
      </c>
      <c r="B7085" s="155" t="s">
        <v>190</v>
      </c>
      <c r="C7085" s="155" t="s">
        <v>206</v>
      </c>
      <c r="D7085" s="156" t="s">
        <v>7958</v>
      </c>
      <c r="E7085" s="156" t="s">
        <v>7986</v>
      </c>
      <c r="F7085" s="156" t="s">
        <v>339</v>
      </c>
      <c r="G7085" s="156" t="s">
        <v>4085</v>
      </c>
      <c r="H7085" s="157" t="s">
        <v>216</v>
      </c>
    </row>
    <row r="7086" hidden="1">
      <c r="A7086" s="151" t="s">
        <v>221</v>
      </c>
      <c r="B7086" s="118" t="s">
        <v>189</v>
      </c>
      <c r="C7086" s="118" t="s">
        <v>206</v>
      </c>
      <c r="D7086" s="152" t="s">
        <v>7958</v>
      </c>
      <c r="E7086" s="152" t="s">
        <v>7987</v>
      </c>
      <c r="F7086" s="152" t="s">
        <v>290</v>
      </c>
      <c r="G7086" s="152" t="s">
        <v>2303</v>
      </c>
      <c r="H7086" s="153" t="s">
        <v>210</v>
      </c>
    </row>
    <row r="7087" hidden="1">
      <c r="A7087" s="154" t="s">
        <v>221</v>
      </c>
      <c r="B7087" s="155" t="s">
        <v>189</v>
      </c>
      <c r="C7087" s="155" t="s">
        <v>206</v>
      </c>
      <c r="D7087" s="156" t="s">
        <v>7958</v>
      </c>
      <c r="E7087" s="156" t="s">
        <v>7988</v>
      </c>
      <c r="F7087" s="156" t="s">
        <v>2166</v>
      </c>
      <c r="G7087" s="156" t="s">
        <v>2142</v>
      </c>
      <c r="H7087" s="157" t="s">
        <v>211</v>
      </c>
    </row>
    <row r="7088" hidden="1">
      <c r="A7088" s="151" t="s">
        <v>221</v>
      </c>
      <c r="B7088" s="118" t="s">
        <v>189</v>
      </c>
      <c r="C7088" s="118" t="s">
        <v>206</v>
      </c>
      <c r="D7088" s="152" t="s">
        <v>7958</v>
      </c>
      <c r="E7088" s="152" t="s">
        <v>7989</v>
      </c>
      <c r="F7088" s="152" t="s">
        <v>308</v>
      </c>
      <c r="G7088" s="152" t="s">
        <v>2852</v>
      </c>
      <c r="H7088" s="153" t="s">
        <v>212</v>
      </c>
    </row>
    <row r="7089" hidden="1">
      <c r="A7089" s="154" t="s">
        <v>221</v>
      </c>
      <c r="B7089" s="155" t="s">
        <v>189</v>
      </c>
      <c r="C7089" s="155" t="s">
        <v>206</v>
      </c>
      <c r="D7089" s="156" t="s">
        <v>7958</v>
      </c>
      <c r="E7089" s="156" t="s">
        <v>7990</v>
      </c>
      <c r="F7089" s="156" t="s">
        <v>374</v>
      </c>
      <c r="G7089" s="156" t="s">
        <v>2539</v>
      </c>
      <c r="H7089" s="157" t="s">
        <v>213</v>
      </c>
    </row>
    <row r="7090" hidden="1">
      <c r="A7090" s="151" t="s">
        <v>221</v>
      </c>
      <c r="B7090" s="118" t="s">
        <v>189</v>
      </c>
      <c r="C7090" s="118" t="s">
        <v>206</v>
      </c>
      <c r="D7090" s="152" t="s">
        <v>7958</v>
      </c>
      <c r="E7090" s="152" t="s">
        <v>7991</v>
      </c>
      <c r="F7090" s="152" t="s">
        <v>7992</v>
      </c>
      <c r="G7090" s="152" t="s">
        <v>2401</v>
      </c>
      <c r="H7090" s="153" t="s">
        <v>214</v>
      </c>
    </row>
    <row r="7091" hidden="1">
      <c r="A7091" s="154" t="s">
        <v>221</v>
      </c>
      <c r="B7091" s="155" t="s">
        <v>189</v>
      </c>
      <c r="C7091" s="155" t="s">
        <v>206</v>
      </c>
      <c r="D7091" s="156" t="s">
        <v>7958</v>
      </c>
      <c r="E7091" s="156" t="s">
        <v>7993</v>
      </c>
      <c r="F7091" s="156" t="s">
        <v>325</v>
      </c>
      <c r="G7091" s="156" t="s">
        <v>2718</v>
      </c>
      <c r="H7091" s="157" t="s">
        <v>215</v>
      </c>
    </row>
    <row r="7092" hidden="1">
      <c r="A7092" s="151" t="s">
        <v>221</v>
      </c>
      <c r="B7092" s="118" t="s">
        <v>189</v>
      </c>
      <c r="C7092" s="118" t="s">
        <v>206</v>
      </c>
      <c r="D7092" s="152" t="s">
        <v>7958</v>
      </c>
      <c r="E7092" s="152" t="s">
        <v>7994</v>
      </c>
      <c r="F7092" s="152" t="s">
        <v>301</v>
      </c>
      <c r="G7092" s="152" t="s">
        <v>2539</v>
      </c>
      <c r="H7092" s="153" t="s">
        <v>216</v>
      </c>
    </row>
    <row r="7093" hidden="1">
      <c r="A7093" s="154" t="s">
        <v>222</v>
      </c>
      <c r="B7093" s="155" t="s">
        <v>192</v>
      </c>
      <c r="C7093" s="155" t="s">
        <v>206</v>
      </c>
      <c r="D7093" s="156" t="s">
        <v>7958</v>
      </c>
      <c r="E7093" s="156" t="s">
        <v>7995</v>
      </c>
      <c r="F7093" s="156" t="s">
        <v>534</v>
      </c>
      <c r="G7093" s="156" t="s">
        <v>3307</v>
      </c>
      <c r="H7093" s="157" t="s">
        <v>210</v>
      </c>
    </row>
    <row r="7094" hidden="1">
      <c r="A7094" s="151" t="s">
        <v>222</v>
      </c>
      <c r="B7094" s="118" t="s">
        <v>192</v>
      </c>
      <c r="C7094" s="118" t="s">
        <v>206</v>
      </c>
      <c r="D7094" s="152" t="s">
        <v>7958</v>
      </c>
      <c r="E7094" s="152" t="s">
        <v>7996</v>
      </c>
      <c r="F7094" s="152" t="s">
        <v>427</v>
      </c>
      <c r="G7094" s="152" t="s">
        <v>3478</v>
      </c>
      <c r="H7094" s="153" t="s">
        <v>211</v>
      </c>
    </row>
    <row r="7095" hidden="1">
      <c r="A7095" s="154" t="s">
        <v>222</v>
      </c>
      <c r="B7095" s="155" t="s">
        <v>192</v>
      </c>
      <c r="C7095" s="155" t="s">
        <v>206</v>
      </c>
      <c r="D7095" s="156" t="s">
        <v>7958</v>
      </c>
      <c r="E7095" s="156" t="s">
        <v>7997</v>
      </c>
      <c r="F7095" s="156" t="s">
        <v>450</v>
      </c>
      <c r="G7095" s="156" t="s">
        <v>3410</v>
      </c>
      <c r="H7095" s="157" t="s">
        <v>212</v>
      </c>
    </row>
    <row r="7096" hidden="1">
      <c r="A7096" s="151" t="s">
        <v>222</v>
      </c>
      <c r="B7096" s="118" t="s">
        <v>192</v>
      </c>
      <c r="C7096" s="118" t="s">
        <v>206</v>
      </c>
      <c r="D7096" s="152" t="s">
        <v>7958</v>
      </c>
      <c r="E7096" s="152" t="s">
        <v>7998</v>
      </c>
      <c r="F7096" s="152" t="s">
        <v>351</v>
      </c>
      <c r="G7096" s="152" t="s">
        <v>3400</v>
      </c>
      <c r="H7096" s="153" t="s">
        <v>213</v>
      </c>
    </row>
    <row r="7097" hidden="1">
      <c r="A7097" s="154" t="s">
        <v>222</v>
      </c>
      <c r="B7097" s="155" t="s">
        <v>192</v>
      </c>
      <c r="C7097" s="155" t="s">
        <v>206</v>
      </c>
      <c r="D7097" s="156" t="s">
        <v>7958</v>
      </c>
      <c r="E7097" s="156" t="s">
        <v>7999</v>
      </c>
      <c r="F7097" s="156" t="s">
        <v>450</v>
      </c>
      <c r="G7097" s="156" t="s">
        <v>2663</v>
      </c>
      <c r="H7097" s="157" t="s">
        <v>214</v>
      </c>
    </row>
    <row r="7098" hidden="1">
      <c r="A7098" s="151" t="s">
        <v>222</v>
      </c>
      <c r="B7098" s="118" t="s">
        <v>192</v>
      </c>
      <c r="C7098" s="118" t="s">
        <v>206</v>
      </c>
      <c r="D7098" s="152" t="s">
        <v>7958</v>
      </c>
      <c r="E7098" s="152" t="s">
        <v>8000</v>
      </c>
      <c r="F7098" s="152" t="s">
        <v>450</v>
      </c>
      <c r="G7098" s="152" t="s">
        <v>3613</v>
      </c>
      <c r="H7098" s="153" t="s">
        <v>215</v>
      </c>
    </row>
    <row r="7099" hidden="1">
      <c r="A7099" s="154" t="s">
        <v>222</v>
      </c>
      <c r="B7099" s="155" t="s">
        <v>192</v>
      </c>
      <c r="C7099" s="155" t="s">
        <v>206</v>
      </c>
      <c r="D7099" s="156" t="s">
        <v>7958</v>
      </c>
      <c r="E7099" s="156" t="s">
        <v>8001</v>
      </c>
      <c r="F7099" s="156" t="s">
        <v>351</v>
      </c>
      <c r="G7099" s="156" t="s">
        <v>3209</v>
      </c>
      <c r="H7099" s="157" t="s">
        <v>216</v>
      </c>
    </row>
    <row r="7100" hidden="1">
      <c r="A7100" s="151" t="s">
        <v>223</v>
      </c>
      <c r="B7100" s="118" t="s">
        <v>144</v>
      </c>
      <c r="C7100" s="118" t="s">
        <v>206</v>
      </c>
      <c r="D7100" s="152" t="s">
        <v>7958</v>
      </c>
      <c r="E7100" s="152" t="s">
        <v>8002</v>
      </c>
      <c r="F7100" s="152" t="s">
        <v>312</v>
      </c>
      <c r="G7100" s="152" t="s">
        <v>3272</v>
      </c>
      <c r="H7100" s="153" t="s">
        <v>210</v>
      </c>
    </row>
    <row r="7101" hidden="1">
      <c r="A7101" s="154" t="s">
        <v>223</v>
      </c>
      <c r="B7101" s="155" t="s">
        <v>144</v>
      </c>
      <c r="C7101" s="155" t="s">
        <v>206</v>
      </c>
      <c r="D7101" s="156" t="s">
        <v>7958</v>
      </c>
      <c r="E7101" s="156" t="s">
        <v>8003</v>
      </c>
      <c r="F7101" s="156" t="s">
        <v>425</v>
      </c>
      <c r="G7101" s="156" t="s">
        <v>4215</v>
      </c>
      <c r="H7101" s="157" t="s">
        <v>211</v>
      </c>
    </row>
    <row r="7102" hidden="1">
      <c r="A7102" s="151" t="s">
        <v>223</v>
      </c>
      <c r="B7102" s="118" t="s">
        <v>144</v>
      </c>
      <c r="C7102" s="118" t="s">
        <v>206</v>
      </c>
      <c r="D7102" s="152" t="s">
        <v>7958</v>
      </c>
      <c r="E7102" s="152" t="s">
        <v>8004</v>
      </c>
      <c r="F7102" s="152" t="s">
        <v>339</v>
      </c>
      <c r="G7102" s="152" t="s">
        <v>4029</v>
      </c>
      <c r="H7102" s="153" t="s">
        <v>212</v>
      </c>
    </row>
    <row r="7103" hidden="1">
      <c r="A7103" s="154" t="s">
        <v>223</v>
      </c>
      <c r="B7103" s="155" t="s">
        <v>144</v>
      </c>
      <c r="C7103" s="155" t="s">
        <v>206</v>
      </c>
      <c r="D7103" s="156" t="s">
        <v>7958</v>
      </c>
      <c r="E7103" s="156" t="s">
        <v>8005</v>
      </c>
      <c r="F7103" s="156" t="s">
        <v>351</v>
      </c>
      <c r="G7103" s="156" t="s">
        <v>4077</v>
      </c>
      <c r="H7103" s="157" t="s">
        <v>213</v>
      </c>
    </row>
    <row r="7104" hidden="1">
      <c r="A7104" s="151" t="s">
        <v>223</v>
      </c>
      <c r="B7104" s="118" t="s">
        <v>144</v>
      </c>
      <c r="C7104" s="118" t="s">
        <v>206</v>
      </c>
      <c r="D7104" s="152" t="s">
        <v>7958</v>
      </c>
      <c r="E7104" s="152" t="s">
        <v>8006</v>
      </c>
      <c r="F7104" s="152" t="s">
        <v>329</v>
      </c>
      <c r="G7104" s="152" t="s">
        <v>4367</v>
      </c>
      <c r="H7104" s="153" t="s">
        <v>214</v>
      </c>
    </row>
    <row r="7105" hidden="1">
      <c r="A7105" s="154" t="s">
        <v>223</v>
      </c>
      <c r="B7105" s="155" t="s">
        <v>144</v>
      </c>
      <c r="C7105" s="155" t="s">
        <v>206</v>
      </c>
      <c r="D7105" s="156" t="s">
        <v>7958</v>
      </c>
      <c r="E7105" s="156" t="s">
        <v>8007</v>
      </c>
      <c r="F7105" s="156" t="s">
        <v>483</v>
      </c>
      <c r="G7105" s="156" t="s">
        <v>2008</v>
      </c>
      <c r="H7105" s="157" t="s">
        <v>215</v>
      </c>
    </row>
    <row r="7106" hidden="1">
      <c r="A7106" s="151" t="s">
        <v>223</v>
      </c>
      <c r="B7106" s="118" t="s">
        <v>144</v>
      </c>
      <c r="C7106" s="118" t="s">
        <v>206</v>
      </c>
      <c r="D7106" s="152" t="s">
        <v>7958</v>
      </c>
      <c r="E7106" s="152" t="s">
        <v>8008</v>
      </c>
      <c r="F7106" s="152" t="s">
        <v>799</v>
      </c>
      <c r="G7106" s="152" t="s">
        <v>3294</v>
      </c>
      <c r="H7106" s="153" t="s">
        <v>216</v>
      </c>
    </row>
    <row r="7107" hidden="1">
      <c r="A7107" s="154" t="s">
        <v>224</v>
      </c>
      <c r="B7107" s="155" t="s">
        <v>170</v>
      </c>
      <c r="C7107" s="155" t="s">
        <v>206</v>
      </c>
      <c r="D7107" s="156" t="s">
        <v>7958</v>
      </c>
      <c r="E7107" s="156" t="s">
        <v>8009</v>
      </c>
      <c r="F7107" s="156" t="s">
        <v>359</v>
      </c>
      <c r="G7107" s="156" t="s">
        <v>4209</v>
      </c>
      <c r="H7107" s="157" t="s">
        <v>210</v>
      </c>
    </row>
    <row r="7108" hidden="1">
      <c r="A7108" s="151" t="s">
        <v>224</v>
      </c>
      <c r="B7108" s="118" t="s">
        <v>170</v>
      </c>
      <c r="C7108" s="118" t="s">
        <v>206</v>
      </c>
      <c r="D7108" s="152" t="s">
        <v>7958</v>
      </c>
      <c r="E7108" s="152" t="s">
        <v>8010</v>
      </c>
      <c r="F7108" s="152" t="s">
        <v>359</v>
      </c>
      <c r="G7108" s="152" t="s">
        <v>3923</v>
      </c>
      <c r="H7108" s="153" t="s">
        <v>211</v>
      </c>
    </row>
    <row r="7109" hidden="1">
      <c r="A7109" s="154" t="s">
        <v>224</v>
      </c>
      <c r="B7109" s="155" t="s">
        <v>170</v>
      </c>
      <c r="C7109" s="155" t="s">
        <v>206</v>
      </c>
      <c r="D7109" s="156" t="s">
        <v>7958</v>
      </c>
      <c r="E7109" s="156" t="s">
        <v>8011</v>
      </c>
      <c r="F7109" s="156" t="s">
        <v>534</v>
      </c>
      <c r="G7109" s="156" t="s">
        <v>4263</v>
      </c>
      <c r="H7109" s="157" t="s">
        <v>212</v>
      </c>
    </row>
    <row r="7110" hidden="1">
      <c r="A7110" s="151" t="s">
        <v>224</v>
      </c>
      <c r="B7110" s="118" t="s">
        <v>170</v>
      </c>
      <c r="C7110" s="118" t="s">
        <v>206</v>
      </c>
      <c r="D7110" s="152" t="s">
        <v>7958</v>
      </c>
      <c r="E7110" s="152" t="s">
        <v>8012</v>
      </c>
      <c r="F7110" s="152" t="s">
        <v>357</v>
      </c>
      <c r="G7110" s="152" t="s">
        <v>2183</v>
      </c>
      <c r="H7110" s="153" t="s">
        <v>213</v>
      </c>
    </row>
    <row r="7111" hidden="1">
      <c r="A7111" s="154" t="s">
        <v>224</v>
      </c>
      <c r="B7111" s="155" t="s">
        <v>170</v>
      </c>
      <c r="C7111" s="155" t="s">
        <v>206</v>
      </c>
      <c r="D7111" s="156" t="s">
        <v>7958</v>
      </c>
      <c r="E7111" s="156" t="s">
        <v>8013</v>
      </c>
      <c r="F7111" s="156" t="s">
        <v>308</v>
      </c>
      <c r="G7111" s="156" t="s">
        <v>3464</v>
      </c>
      <c r="H7111" s="157" t="s">
        <v>214</v>
      </c>
    </row>
    <row r="7112" hidden="1">
      <c r="A7112" s="151" t="s">
        <v>224</v>
      </c>
      <c r="B7112" s="118" t="s">
        <v>170</v>
      </c>
      <c r="C7112" s="118" t="s">
        <v>206</v>
      </c>
      <c r="D7112" s="152" t="s">
        <v>7958</v>
      </c>
      <c r="E7112" s="152" t="s">
        <v>8014</v>
      </c>
      <c r="F7112" s="152" t="s">
        <v>329</v>
      </c>
      <c r="G7112" s="152" t="s">
        <v>3631</v>
      </c>
      <c r="H7112" s="153" t="s">
        <v>215</v>
      </c>
    </row>
    <row r="7113" hidden="1">
      <c r="A7113" s="154" t="s">
        <v>224</v>
      </c>
      <c r="B7113" s="155" t="s">
        <v>170</v>
      </c>
      <c r="C7113" s="155" t="s">
        <v>206</v>
      </c>
      <c r="D7113" s="156" t="s">
        <v>7958</v>
      </c>
      <c r="E7113" s="156" t="s">
        <v>8015</v>
      </c>
      <c r="F7113" s="156" t="s">
        <v>314</v>
      </c>
      <c r="G7113" s="156" t="s">
        <v>4367</v>
      </c>
      <c r="H7113" s="157" t="s">
        <v>216</v>
      </c>
    </row>
    <row r="7114" hidden="1">
      <c r="A7114" s="151" t="s">
        <v>225</v>
      </c>
      <c r="B7114" s="118" t="s">
        <v>226</v>
      </c>
      <c r="C7114" s="118" t="s">
        <v>206</v>
      </c>
      <c r="D7114" s="152" t="s">
        <v>7958</v>
      </c>
      <c r="E7114" s="152" t="s">
        <v>8016</v>
      </c>
      <c r="F7114" s="152" t="s">
        <v>1114</v>
      </c>
      <c r="G7114" s="152" t="s">
        <v>2637</v>
      </c>
      <c r="H7114" s="153" t="s">
        <v>210</v>
      </c>
    </row>
    <row r="7115" hidden="1">
      <c r="A7115" s="154" t="s">
        <v>225</v>
      </c>
      <c r="B7115" s="155" t="s">
        <v>226</v>
      </c>
      <c r="C7115" s="155" t="s">
        <v>206</v>
      </c>
      <c r="D7115" s="156" t="s">
        <v>7958</v>
      </c>
      <c r="E7115" s="156" t="s">
        <v>8017</v>
      </c>
      <c r="F7115" s="156" t="s">
        <v>501</v>
      </c>
      <c r="G7115" s="156" t="s">
        <v>1976</v>
      </c>
      <c r="H7115" s="157" t="s">
        <v>211</v>
      </c>
    </row>
    <row r="7116" hidden="1">
      <c r="A7116" s="151" t="s">
        <v>225</v>
      </c>
      <c r="B7116" s="118" t="s">
        <v>226</v>
      </c>
      <c r="C7116" s="118" t="s">
        <v>206</v>
      </c>
      <c r="D7116" s="152" t="s">
        <v>7958</v>
      </c>
      <c r="E7116" s="152" t="s">
        <v>8018</v>
      </c>
      <c r="F7116" s="152" t="s">
        <v>1236</v>
      </c>
      <c r="G7116" s="152" t="s">
        <v>1942</v>
      </c>
      <c r="H7116" s="153" t="s">
        <v>212</v>
      </c>
    </row>
    <row r="7117" hidden="1">
      <c r="A7117" s="154" t="s">
        <v>225</v>
      </c>
      <c r="B7117" s="155" t="s">
        <v>226</v>
      </c>
      <c r="C7117" s="155" t="s">
        <v>206</v>
      </c>
      <c r="D7117" s="156" t="s">
        <v>7958</v>
      </c>
      <c r="E7117" s="156" t="s">
        <v>8019</v>
      </c>
      <c r="F7117" s="156" t="s">
        <v>262</v>
      </c>
      <c r="G7117" s="156" t="s">
        <v>2703</v>
      </c>
      <c r="H7117" s="157" t="s">
        <v>213</v>
      </c>
    </row>
    <row r="7118" hidden="1">
      <c r="A7118" s="151" t="s">
        <v>225</v>
      </c>
      <c r="B7118" s="118" t="s">
        <v>226</v>
      </c>
      <c r="C7118" s="118" t="s">
        <v>206</v>
      </c>
      <c r="D7118" s="152" t="s">
        <v>7958</v>
      </c>
      <c r="E7118" s="152" t="s">
        <v>8020</v>
      </c>
      <c r="F7118" s="152" t="s">
        <v>287</v>
      </c>
      <c r="G7118" s="152" t="s">
        <v>1856</v>
      </c>
      <c r="H7118" s="153" t="s">
        <v>214</v>
      </c>
    </row>
    <row r="7119" hidden="1">
      <c r="A7119" s="154" t="s">
        <v>225</v>
      </c>
      <c r="B7119" s="155" t="s">
        <v>226</v>
      </c>
      <c r="C7119" s="155" t="s">
        <v>206</v>
      </c>
      <c r="D7119" s="156" t="s">
        <v>7958</v>
      </c>
      <c r="E7119" s="156" t="s">
        <v>8021</v>
      </c>
      <c r="F7119" s="156" t="s">
        <v>458</v>
      </c>
      <c r="G7119" s="156" t="s">
        <v>1843</v>
      </c>
      <c r="H7119" s="157" t="s">
        <v>215</v>
      </c>
    </row>
    <row r="7120" hidden="1">
      <c r="A7120" s="151" t="s">
        <v>225</v>
      </c>
      <c r="B7120" s="118" t="s">
        <v>226</v>
      </c>
      <c r="C7120" s="118" t="s">
        <v>206</v>
      </c>
      <c r="D7120" s="152" t="s">
        <v>7958</v>
      </c>
      <c r="E7120" s="152" t="s">
        <v>8022</v>
      </c>
      <c r="F7120" s="152" t="s">
        <v>1181</v>
      </c>
      <c r="G7120" s="152" t="s">
        <v>2366</v>
      </c>
      <c r="H7120" s="153" t="s">
        <v>216</v>
      </c>
    </row>
    <row r="7121" hidden="1">
      <c r="A7121" s="154" t="s">
        <v>227</v>
      </c>
      <c r="B7121" s="155" t="s">
        <v>195</v>
      </c>
      <c r="C7121" s="155" t="s">
        <v>206</v>
      </c>
      <c r="D7121" s="156" t="s">
        <v>7958</v>
      </c>
      <c r="E7121" s="156" t="s">
        <v>8023</v>
      </c>
      <c r="F7121" s="156" t="s">
        <v>325</v>
      </c>
      <c r="G7121" s="156" t="s">
        <v>2519</v>
      </c>
      <c r="H7121" s="157" t="s">
        <v>210</v>
      </c>
    </row>
    <row r="7122" hidden="1">
      <c r="A7122" s="151" t="s">
        <v>227</v>
      </c>
      <c r="B7122" s="118" t="s">
        <v>195</v>
      </c>
      <c r="C7122" s="118" t="s">
        <v>206</v>
      </c>
      <c r="D7122" s="152" t="s">
        <v>7958</v>
      </c>
      <c r="E7122" s="152" t="s">
        <v>8024</v>
      </c>
      <c r="F7122" s="152" t="s">
        <v>450</v>
      </c>
      <c r="G7122" s="152" t="s">
        <v>2816</v>
      </c>
      <c r="H7122" s="153" t="s">
        <v>211</v>
      </c>
    </row>
    <row r="7123" hidden="1">
      <c r="A7123" s="154" t="s">
        <v>227</v>
      </c>
      <c r="B7123" s="155" t="s">
        <v>195</v>
      </c>
      <c r="C7123" s="155" t="s">
        <v>206</v>
      </c>
      <c r="D7123" s="156" t="s">
        <v>7958</v>
      </c>
      <c r="E7123" s="156" t="s">
        <v>8025</v>
      </c>
      <c r="F7123" s="156" t="s">
        <v>534</v>
      </c>
      <c r="G7123" s="156" t="s">
        <v>3138</v>
      </c>
      <c r="H7123" s="157" t="s">
        <v>212</v>
      </c>
    </row>
    <row r="7124" hidden="1">
      <c r="A7124" s="151" t="s">
        <v>227</v>
      </c>
      <c r="B7124" s="118" t="s">
        <v>195</v>
      </c>
      <c r="C7124" s="118" t="s">
        <v>206</v>
      </c>
      <c r="D7124" s="152" t="s">
        <v>7958</v>
      </c>
      <c r="E7124" s="152" t="s">
        <v>8026</v>
      </c>
      <c r="F7124" s="152" t="s">
        <v>577</v>
      </c>
      <c r="G7124" s="152" t="s">
        <v>3525</v>
      </c>
      <c r="H7124" s="153" t="s">
        <v>213</v>
      </c>
    </row>
    <row r="7125" hidden="1">
      <c r="A7125" s="154" t="s">
        <v>227</v>
      </c>
      <c r="B7125" s="155" t="s">
        <v>195</v>
      </c>
      <c r="C7125" s="155" t="s">
        <v>206</v>
      </c>
      <c r="D7125" s="156" t="s">
        <v>7958</v>
      </c>
      <c r="E7125" s="156" t="s">
        <v>8027</v>
      </c>
      <c r="F7125" s="156" t="s">
        <v>308</v>
      </c>
      <c r="G7125" s="156" t="s">
        <v>3059</v>
      </c>
      <c r="H7125" s="157" t="s">
        <v>214</v>
      </c>
    </row>
    <row r="7126" hidden="1">
      <c r="A7126" s="151" t="s">
        <v>227</v>
      </c>
      <c r="B7126" s="118" t="s">
        <v>195</v>
      </c>
      <c r="C7126" s="118" t="s">
        <v>206</v>
      </c>
      <c r="D7126" s="152" t="s">
        <v>7958</v>
      </c>
      <c r="E7126" s="152" t="s">
        <v>8028</v>
      </c>
      <c r="F7126" s="152" t="s">
        <v>339</v>
      </c>
      <c r="G7126" s="152" t="s">
        <v>3226</v>
      </c>
      <c r="H7126" s="153" t="s">
        <v>215</v>
      </c>
    </row>
    <row r="7127" hidden="1">
      <c r="A7127" s="154" t="s">
        <v>227</v>
      </c>
      <c r="B7127" s="155" t="s">
        <v>195</v>
      </c>
      <c r="C7127" s="155" t="s">
        <v>206</v>
      </c>
      <c r="D7127" s="156" t="s">
        <v>7958</v>
      </c>
      <c r="E7127" s="156" t="s">
        <v>8029</v>
      </c>
      <c r="F7127" s="156" t="s">
        <v>450</v>
      </c>
      <c r="G7127" s="156" t="s">
        <v>3574</v>
      </c>
      <c r="H7127" s="157" t="s">
        <v>216</v>
      </c>
    </row>
    <row r="7128" hidden="1">
      <c r="A7128" s="151" t="s">
        <v>228</v>
      </c>
      <c r="B7128" s="118" t="s">
        <v>138</v>
      </c>
      <c r="C7128" s="118" t="s">
        <v>206</v>
      </c>
      <c r="D7128" s="152" t="s">
        <v>7958</v>
      </c>
      <c r="E7128" s="152" t="s">
        <v>8030</v>
      </c>
      <c r="F7128" s="152" t="s">
        <v>494</v>
      </c>
      <c r="G7128" s="152" t="s">
        <v>3820</v>
      </c>
      <c r="H7128" s="153" t="s">
        <v>210</v>
      </c>
    </row>
    <row r="7129" hidden="1">
      <c r="A7129" s="154" t="s">
        <v>228</v>
      </c>
      <c r="B7129" s="155" t="s">
        <v>138</v>
      </c>
      <c r="C7129" s="155" t="s">
        <v>206</v>
      </c>
      <c r="D7129" s="156" t="s">
        <v>7958</v>
      </c>
      <c r="E7129" s="156" t="s">
        <v>8031</v>
      </c>
      <c r="F7129" s="156" t="s">
        <v>478</v>
      </c>
      <c r="G7129" s="156" t="s">
        <v>3138</v>
      </c>
      <c r="H7129" s="157" t="s">
        <v>211</v>
      </c>
    </row>
    <row r="7130" hidden="1">
      <c r="A7130" s="151" t="s">
        <v>228</v>
      </c>
      <c r="B7130" s="118" t="s">
        <v>138</v>
      </c>
      <c r="C7130" s="118" t="s">
        <v>206</v>
      </c>
      <c r="D7130" s="152" t="s">
        <v>7958</v>
      </c>
      <c r="E7130" s="152" t="s">
        <v>8032</v>
      </c>
      <c r="F7130" s="152" t="s">
        <v>269</v>
      </c>
      <c r="G7130" s="152" t="s">
        <v>2242</v>
      </c>
      <c r="H7130" s="153" t="s">
        <v>212</v>
      </c>
    </row>
    <row r="7131" hidden="1">
      <c r="A7131" s="154" t="s">
        <v>228</v>
      </c>
      <c r="B7131" s="155" t="s">
        <v>138</v>
      </c>
      <c r="C7131" s="155" t="s">
        <v>206</v>
      </c>
      <c r="D7131" s="156" t="s">
        <v>7958</v>
      </c>
      <c r="E7131" s="156" t="s">
        <v>8033</v>
      </c>
      <c r="F7131" s="156" t="s">
        <v>1929</v>
      </c>
      <c r="G7131" s="156" t="s">
        <v>2279</v>
      </c>
      <c r="H7131" s="157" t="s">
        <v>213</v>
      </c>
    </row>
    <row r="7132" hidden="1">
      <c r="A7132" s="151" t="s">
        <v>228</v>
      </c>
      <c r="B7132" s="118" t="s">
        <v>138</v>
      </c>
      <c r="C7132" s="118" t="s">
        <v>206</v>
      </c>
      <c r="D7132" s="152" t="s">
        <v>7958</v>
      </c>
      <c r="E7132" s="152" t="s">
        <v>8034</v>
      </c>
      <c r="F7132" s="152" t="s">
        <v>244</v>
      </c>
      <c r="G7132" s="152" t="s">
        <v>2472</v>
      </c>
      <c r="H7132" s="153" t="s">
        <v>214</v>
      </c>
    </row>
    <row r="7133" hidden="1">
      <c r="A7133" s="154" t="s">
        <v>228</v>
      </c>
      <c r="B7133" s="155" t="s">
        <v>138</v>
      </c>
      <c r="C7133" s="155" t="s">
        <v>206</v>
      </c>
      <c r="D7133" s="156" t="s">
        <v>7958</v>
      </c>
      <c r="E7133" s="156" t="s">
        <v>8035</v>
      </c>
      <c r="F7133" s="156" t="s">
        <v>244</v>
      </c>
      <c r="G7133" s="156" t="s">
        <v>1843</v>
      </c>
      <c r="H7133" s="157" t="s">
        <v>215</v>
      </c>
    </row>
    <row r="7134" hidden="1">
      <c r="A7134" s="151" t="s">
        <v>228</v>
      </c>
      <c r="B7134" s="118" t="s">
        <v>138</v>
      </c>
      <c r="C7134" s="118" t="s">
        <v>206</v>
      </c>
      <c r="D7134" s="152" t="s">
        <v>7958</v>
      </c>
      <c r="E7134" s="152" t="s">
        <v>8036</v>
      </c>
      <c r="F7134" s="152" t="s">
        <v>799</v>
      </c>
      <c r="G7134" s="152" t="s">
        <v>2006</v>
      </c>
      <c r="H7134" s="153" t="s">
        <v>216</v>
      </c>
    </row>
    <row r="7135" hidden="1">
      <c r="A7135" s="154" t="s">
        <v>229</v>
      </c>
      <c r="B7135" s="155" t="s">
        <v>193</v>
      </c>
      <c r="C7135" s="155" t="s">
        <v>206</v>
      </c>
      <c r="D7135" s="156" t="s">
        <v>7958</v>
      </c>
      <c r="E7135" s="156" t="s">
        <v>8037</v>
      </c>
      <c r="F7135" s="156" t="s">
        <v>365</v>
      </c>
      <c r="G7135" s="156" t="s">
        <v>3840</v>
      </c>
      <c r="H7135" s="157" t="s">
        <v>210</v>
      </c>
    </row>
    <row r="7136" hidden="1">
      <c r="A7136" s="151" t="s">
        <v>229</v>
      </c>
      <c r="B7136" s="118" t="s">
        <v>193</v>
      </c>
      <c r="C7136" s="118" t="s">
        <v>206</v>
      </c>
      <c r="D7136" s="152" t="s">
        <v>7958</v>
      </c>
      <c r="E7136" s="152" t="s">
        <v>8038</v>
      </c>
      <c r="F7136" s="152" t="s">
        <v>799</v>
      </c>
      <c r="G7136" s="152" t="s">
        <v>3917</v>
      </c>
      <c r="H7136" s="153" t="s">
        <v>211</v>
      </c>
    </row>
    <row r="7137" hidden="1">
      <c r="A7137" s="154" t="s">
        <v>229</v>
      </c>
      <c r="B7137" s="155" t="s">
        <v>193</v>
      </c>
      <c r="C7137" s="155" t="s">
        <v>206</v>
      </c>
      <c r="D7137" s="156" t="s">
        <v>7958</v>
      </c>
      <c r="E7137" s="156" t="s">
        <v>8039</v>
      </c>
      <c r="F7137" s="156" t="s">
        <v>365</v>
      </c>
      <c r="G7137" s="156" t="s">
        <v>3941</v>
      </c>
      <c r="H7137" s="157" t="s">
        <v>212</v>
      </c>
    </row>
    <row r="7138" hidden="1">
      <c r="A7138" s="151" t="s">
        <v>229</v>
      </c>
      <c r="B7138" s="118" t="s">
        <v>193</v>
      </c>
      <c r="C7138" s="118" t="s">
        <v>206</v>
      </c>
      <c r="D7138" s="152" t="s">
        <v>7958</v>
      </c>
      <c r="E7138" s="152" t="s">
        <v>8040</v>
      </c>
      <c r="F7138" s="152" t="s">
        <v>339</v>
      </c>
      <c r="G7138" s="152" t="s">
        <v>4317</v>
      </c>
      <c r="H7138" s="153" t="s">
        <v>213</v>
      </c>
    </row>
    <row r="7139" hidden="1">
      <c r="A7139" s="154" t="s">
        <v>229</v>
      </c>
      <c r="B7139" s="155" t="s">
        <v>193</v>
      </c>
      <c r="C7139" s="155" t="s">
        <v>206</v>
      </c>
      <c r="D7139" s="156" t="s">
        <v>7958</v>
      </c>
      <c r="E7139" s="156" t="s">
        <v>8041</v>
      </c>
      <c r="F7139" s="156" t="s">
        <v>285</v>
      </c>
      <c r="G7139" s="156" t="s">
        <v>4367</v>
      </c>
      <c r="H7139" s="157" t="s">
        <v>214</v>
      </c>
    </row>
    <row r="7140" hidden="1">
      <c r="A7140" s="151" t="s">
        <v>229</v>
      </c>
      <c r="B7140" s="118" t="s">
        <v>193</v>
      </c>
      <c r="C7140" s="118" t="s">
        <v>206</v>
      </c>
      <c r="D7140" s="152" t="s">
        <v>7958</v>
      </c>
      <c r="E7140" s="152" t="s">
        <v>8042</v>
      </c>
      <c r="F7140" s="152" t="s">
        <v>325</v>
      </c>
      <c r="G7140" s="152" t="s">
        <v>2354</v>
      </c>
      <c r="H7140" s="153" t="s">
        <v>215</v>
      </c>
    </row>
    <row r="7141" hidden="1">
      <c r="A7141" s="154" t="s">
        <v>229</v>
      </c>
      <c r="B7141" s="155" t="s">
        <v>193</v>
      </c>
      <c r="C7141" s="155" t="s">
        <v>206</v>
      </c>
      <c r="D7141" s="156" t="s">
        <v>7958</v>
      </c>
      <c r="E7141" s="156" t="s">
        <v>8043</v>
      </c>
      <c r="F7141" s="156" t="s">
        <v>290</v>
      </c>
      <c r="G7141" s="156" t="s">
        <v>3968</v>
      </c>
      <c r="H7141" s="157" t="s">
        <v>216</v>
      </c>
    </row>
    <row r="7142" hidden="1">
      <c r="A7142" s="151" t="s">
        <v>230</v>
      </c>
      <c r="B7142" s="118" t="s">
        <v>194</v>
      </c>
      <c r="C7142" s="118" t="s">
        <v>206</v>
      </c>
      <c r="D7142" s="152" t="s">
        <v>7958</v>
      </c>
      <c r="E7142" s="152" t="s">
        <v>8044</v>
      </c>
      <c r="F7142" s="152" t="s">
        <v>310</v>
      </c>
      <c r="G7142" s="152" t="s">
        <v>2221</v>
      </c>
      <c r="H7142" s="153" t="s">
        <v>210</v>
      </c>
    </row>
    <row r="7143" hidden="1">
      <c r="A7143" s="154" t="s">
        <v>230</v>
      </c>
      <c r="B7143" s="155" t="s">
        <v>194</v>
      </c>
      <c r="C7143" s="155" t="s">
        <v>206</v>
      </c>
      <c r="D7143" s="156" t="s">
        <v>7958</v>
      </c>
      <c r="E7143" s="156" t="s">
        <v>8045</v>
      </c>
      <c r="F7143" s="156" t="s">
        <v>336</v>
      </c>
      <c r="G7143" s="156" t="s">
        <v>1951</v>
      </c>
      <c r="H7143" s="157" t="s">
        <v>211</v>
      </c>
    </row>
    <row r="7144" hidden="1">
      <c r="A7144" s="151" t="s">
        <v>230</v>
      </c>
      <c r="B7144" s="118" t="s">
        <v>194</v>
      </c>
      <c r="C7144" s="118" t="s">
        <v>206</v>
      </c>
      <c r="D7144" s="152" t="s">
        <v>7958</v>
      </c>
      <c r="E7144" s="152" t="s">
        <v>8046</v>
      </c>
      <c r="F7144" s="152" t="s">
        <v>339</v>
      </c>
      <c r="G7144" s="152" t="s">
        <v>2472</v>
      </c>
      <c r="H7144" s="153" t="s">
        <v>212</v>
      </c>
    </row>
    <row r="7145" hidden="1">
      <c r="A7145" s="154" t="s">
        <v>230</v>
      </c>
      <c r="B7145" s="155" t="s">
        <v>194</v>
      </c>
      <c r="C7145" s="155" t="s">
        <v>206</v>
      </c>
      <c r="D7145" s="156" t="s">
        <v>7958</v>
      </c>
      <c r="E7145" s="156" t="s">
        <v>8047</v>
      </c>
      <c r="F7145" s="156" t="s">
        <v>534</v>
      </c>
      <c r="G7145" s="156" t="s">
        <v>1923</v>
      </c>
      <c r="H7145" s="157" t="s">
        <v>213</v>
      </c>
    </row>
    <row r="7146" hidden="1">
      <c r="A7146" s="151" t="s">
        <v>230</v>
      </c>
      <c r="B7146" s="118" t="s">
        <v>194</v>
      </c>
      <c r="C7146" s="118" t="s">
        <v>206</v>
      </c>
      <c r="D7146" s="152" t="s">
        <v>7958</v>
      </c>
      <c r="E7146" s="152" t="s">
        <v>8048</v>
      </c>
      <c r="F7146" s="152" t="s">
        <v>290</v>
      </c>
      <c r="G7146" s="152" t="s">
        <v>1836</v>
      </c>
      <c r="H7146" s="153" t="s">
        <v>214</v>
      </c>
    </row>
    <row r="7147" hidden="1">
      <c r="A7147" s="154" t="s">
        <v>230</v>
      </c>
      <c r="B7147" s="155" t="s">
        <v>194</v>
      </c>
      <c r="C7147" s="155" t="s">
        <v>206</v>
      </c>
      <c r="D7147" s="156" t="s">
        <v>7958</v>
      </c>
      <c r="E7147" s="156" t="s">
        <v>8049</v>
      </c>
      <c r="F7147" s="156" t="s">
        <v>450</v>
      </c>
      <c r="G7147" s="156" t="s">
        <v>2243</v>
      </c>
      <c r="H7147" s="157" t="s">
        <v>215</v>
      </c>
    </row>
    <row r="7148" hidden="1">
      <c r="A7148" s="151" t="s">
        <v>230</v>
      </c>
      <c r="B7148" s="118" t="s">
        <v>194</v>
      </c>
      <c r="C7148" s="118" t="s">
        <v>206</v>
      </c>
      <c r="D7148" s="152" t="s">
        <v>7958</v>
      </c>
      <c r="E7148" s="152" t="s">
        <v>8050</v>
      </c>
      <c r="F7148" s="152" t="s">
        <v>351</v>
      </c>
      <c r="G7148" s="152" t="s">
        <v>2929</v>
      </c>
      <c r="H7148" s="153" t="s">
        <v>216</v>
      </c>
    </row>
    <row r="7149" hidden="1">
      <c r="A7149" s="158" t="s">
        <v>231</v>
      </c>
      <c r="B7149" s="159"/>
      <c r="C7149" s="155" t="s">
        <v>232</v>
      </c>
      <c r="D7149" s="156" t="s">
        <v>7958</v>
      </c>
      <c r="E7149" s="156" t="s">
        <v>8051</v>
      </c>
      <c r="F7149" s="156" t="s">
        <v>259</v>
      </c>
      <c r="G7149" s="156" t="s">
        <v>2822</v>
      </c>
      <c r="H7149" s="157" t="s">
        <v>210</v>
      </c>
    </row>
    <row r="7150" hidden="1">
      <c r="A7150" s="160" t="s">
        <v>231</v>
      </c>
      <c r="B7150" s="72"/>
      <c r="C7150" s="118" t="s">
        <v>232</v>
      </c>
      <c r="D7150" s="152" t="s">
        <v>7958</v>
      </c>
      <c r="E7150" s="152" t="s">
        <v>8052</v>
      </c>
      <c r="F7150" s="152" t="s">
        <v>279</v>
      </c>
      <c r="G7150" s="152" t="s">
        <v>4073</v>
      </c>
      <c r="H7150" s="153" t="s">
        <v>211</v>
      </c>
    </row>
    <row r="7151" hidden="1">
      <c r="A7151" s="158" t="s">
        <v>231</v>
      </c>
      <c r="B7151" s="159"/>
      <c r="C7151" s="155" t="s">
        <v>232</v>
      </c>
      <c r="D7151" s="156" t="s">
        <v>7958</v>
      </c>
      <c r="E7151" s="156" t="s">
        <v>8053</v>
      </c>
      <c r="F7151" s="156" t="s">
        <v>321</v>
      </c>
      <c r="G7151" s="156" t="s">
        <v>2352</v>
      </c>
      <c r="H7151" s="157" t="s">
        <v>212</v>
      </c>
    </row>
    <row r="7152" hidden="1">
      <c r="A7152" s="160" t="s">
        <v>231</v>
      </c>
      <c r="B7152" s="72"/>
      <c r="C7152" s="118" t="s">
        <v>232</v>
      </c>
      <c r="D7152" s="152" t="s">
        <v>7958</v>
      </c>
      <c r="E7152" s="152" t="s">
        <v>8054</v>
      </c>
      <c r="F7152" s="152" t="s">
        <v>301</v>
      </c>
      <c r="G7152" s="152" t="s">
        <v>2665</v>
      </c>
      <c r="H7152" s="153" t="s">
        <v>213</v>
      </c>
    </row>
    <row r="7153" hidden="1">
      <c r="A7153" s="158" t="s">
        <v>231</v>
      </c>
      <c r="B7153" s="159"/>
      <c r="C7153" s="155" t="s">
        <v>232</v>
      </c>
      <c r="D7153" s="156" t="s">
        <v>7958</v>
      </c>
      <c r="E7153" s="156" t="s">
        <v>8055</v>
      </c>
      <c r="F7153" s="156" t="s">
        <v>1114</v>
      </c>
      <c r="G7153" s="156" t="s">
        <v>3546</v>
      </c>
      <c r="H7153" s="157" t="s">
        <v>214</v>
      </c>
    </row>
    <row r="7154" hidden="1">
      <c r="A7154" s="160" t="s">
        <v>231</v>
      </c>
      <c r="B7154" s="72"/>
      <c r="C7154" s="118" t="s">
        <v>232</v>
      </c>
      <c r="D7154" s="152" t="s">
        <v>7958</v>
      </c>
      <c r="E7154" s="152" t="s">
        <v>8056</v>
      </c>
      <c r="F7154" s="152" t="s">
        <v>314</v>
      </c>
      <c r="G7154" s="152" t="s">
        <v>3818</v>
      </c>
      <c r="H7154" s="153" t="s">
        <v>215</v>
      </c>
    </row>
    <row r="7155" hidden="1">
      <c r="A7155" s="158" t="s">
        <v>231</v>
      </c>
      <c r="B7155" s="159"/>
      <c r="C7155" s="155" t="s">
        <v>232</v>
      </c>
      <c r="D7155" s="156" t="s">
        <v>7958</v>
      </c>
      <c r="E7155" s="156" t="s">
        <v>8057</v>
      </c>
      <c r="F7155" s="156" t="s">
        <v>492</v>
      </c>
      <c r="G7155" s="156" t="s">
        <v>4019</v>
      </c>
      <c r="H7155" s="157" t="s">
        <v>216</v>
      </c>
    </row>
    <row r="7156" hidden="1">
      <c r="A7156" s="160" t="s">
        <v>233</v>
      </c>
      <c r="B7156" s="72"/>
      <c r="C7156" s="118" t="s">
        <v>232</v>
      </c>
      <c r="D7156" s="152" t="s">
        <v>7958</v>
      </c>
      <c r="E7156" s="152" t="s">
        <v>8058</v>
      </c>
      <c r="F7156" s="152" t="s">
        <v>310</v>
      </c>
      <c r="G7156" s="152" t="s">
        <v>3812</v>
      </c>
      <c r="H7156" s="153" t="s">
        <v>210</v>
      </c>
    </row>
    <row r="7157" hidden="1">
      <c r="A7157" s="158" t="s">
        <v>233</v>
      </c>
      <c r="B7157" s="159"/>
      <c r="C7157" s="155" t="s">
        <v>232</v>
      </c>
      <c r="D7157" s="156" t="s">
        <v>7958</v>
      </c>
      <c r="E7157" s="156" t="s">
        <v>8059</v>
      </c>
      <c r="F7157" s="156" t="s">
        <v>305</v>
      </c>
      <c r="G7157" s="156" t="s">
        <v>1779</v>
      </c>
      <c r="H7157" s="157" t="s">
        <v>211</v>
      </c>
    </row>
    <row r="7158" hidden="1">
      <c r="A7158" s="160" t="s">
        <v>233</v>
      </c>
      <c r="B7158" s="72"/>
      <c r="C7158" s="118" t="s">
        <v>232</v>
      </c>
      <c r="D7158" s="152" t="s">
        <v>7958</v>
      </c>
      <c r="E7158" s="152" t="s">
        <v>8060</v>
      </c>
      <c r="F7158" s="152" t="s">
        <v>534</v>
      </c>
      <c r="G7158" s="152" t="s">
        <v>4464</v>
      </c>
      <c r="H7158" s="153" t="s">
        <v>212</v>
      </c>
    </row>
    <row r="7159" hidden="1">
      <c r="A7159" s="158" t="s">
        <v>233</v>
      </c>
      <c r="B7159" s="159"/>
      <c r="C7159" s="155" t="s">
        <v>232</v>
      </c>
      <c r="D7159" s="156" t="s">
        <v>7958</v>
      </c>
      <c r="E7159" s="156" t="s">
        <v>8061</v>
      </c>
      <c r="F7159" s="156" t="s">
        <v>331</v>
      </c>
      <c r="G7159" s="156" t="s">
        <v>3872</v>
      </c>
      <c r="H7159" s="157" t="s">
        <v>213</v>
      </c>
    </row>
    <row r="7160" hidden="1">
      <c r="A7160" s="160" t="s">
        <v>233</v>
      </c>
      <c r="B7160" s="72"/>
      <c r="C7160" s="118" t="s">
        <v>232</v>
      </c>
      <c r="D7160" s="152" t="s">
        <v>7958</v>
      </c>
      <c r="E7160" s="152" t="s">
        <v>8062</v>
      </c>
      <c r="F7160" s="152" t="s">
        <v>534</v>
      </c>
      <c r="G7160" s="152" t="s">
        <v>3756</v>
      </c>
      <c r="H7160" s="153" t="s">
        <v>214</v>
      </c>
    </row>
    <row r="7161" hidden="1">
      <c r="A7161" s="158" t="s">
        <v>233</v>
      </c>
      <c r="B7161" s="159"/>
      <c r="C7161" s="155" t="s">
        <v>232</v>
      </c>
      <c r="D7161" s="156" t="s">
        <v>7958</v>
      </c>
      <c r="E7161" s="156" t="s">
        <v>8063</v>
      </c>
      <c r="F7161" s="156" t="s">
        <v>425</v>
      </c>
      <c r="G7161" s="156" t="s">
        <v>3820</v>
      </c>
      <c r="H7161" s="157" t="s">
        <v>215</v>
      </c>
    </row>
    <row r="7162" hidden="1">
      <c r="A7162" s="160" t="s">
        <v>233</v>
      </c>
      <c r="B7162" s="72"/>
      <c r="C7162" s="118" t="s">
        <v>232</v>
      </c>
      <c r="D7162" s="152" t="s">
        <v>7958</v>
      </c>
      <c r="E7162" s="152" t="s">
        <v>8064</v>
      </c>
      <c r="F7162" s="152" t="s">
        <v>310</v>
      </c>
      <c r="G7162" s="152" t="s">
        <v>3872</v>
      </c>
      <c r="H7162" s="153" t="s">
        <v>216</v>
      </c>
    </row>
    <row r="7163" hidden="1">
      <c r="A7163" s="158" t="s">
        <v>234</v>
      </c>
      <c r="B7163" s="159"/>
      <c r="C7163" s="155" t="s">
        <v>232</v>
      </c>
      <c r="D7163" s="156" t="s">
        <v>7958</v>
      </c>
      <c r="E7163" s="156" t="s">
        <v>8065</v>
      </c>
      <c r="F7163" s="156" t="s">
        <v>357</v>
      </c>
      <c r="G7163" s="156" t="s">
        <v>2929</v>
      </c>
      <c r="H7163" s="157" t="s">
        <v>210</v>
      </c>
    </row>
    <row r="7164" hidden="1">
      <c r="A7164" s="160" t="s">
        <v>234</v>
      </c>
      <c r="B7164" s="72"/>
      <c r="C7164" s="118" t="s">
        <v>232</v>
      </c>
      <c r="D7164" s="152" t="s">
        <v>7958</v>
      </c>
      <c r="E7164" s="152" t="s">
        <v>8066</v>
      </c>
      <c r="F7164" s="152" t="s">
        <v>436</v>
      </c>
      <c r="G7164" s="152" t="s">
        <v>2923</v>
      </c>
      <c r="H7164" s="153" t="s">
        <v>211</v>
      </c>
    </row>
    <row r="7165" hidden="1">
      <c r="A7165" s="158" t="s">
        <v>234</v>
      </c>
      <c r="B7165" s="159"/>
      <c r="C7165" s="155" t="s">
        <v>232</v>
      </c>
      <c r="D7165" s="156" t="s">
        <v>7958</v>
      </c>
      <c r="E7165" s="156" t="s">
        <v>8067</v>
      </c>
      <c r="F7165" s="156" t="s">
        <v>244</v>
      </c>
      <c r="G7165" s="156" t="s">
        <v>3360</v>
      </c>
      <c r="H7165" s="157" t="s">
        <v>212</v>
      </c>
    </row>
    <row r="7166" hidden="1">
      <c r="A7166" s="160" t="s">
        <v>234</v>
      </c>
      <c r="B7166" s="72"/>
      <c r="C7166" s="118" t="s">
        <v>232</v>
      </c>
      <c r="D7166" s="152" t="s">
        <v>7958</v>
      </c>
      <c r="E7166" s="152" t="s">
        <v>8068</v>
      </c>
      <c r="F7166" s="152" t="s">
        <v>287</v>
      </c>
      <c r="G7166" s="152" t="s">
        <v>2119</v>
      </c>
      <c r="H7166" s="153" t="s">
        <v>213</v>
      </c>
    </row>
    <row r="7167" hidden="1">
      <c r="A7167" s="158" t="s">
        <v>234</v>
      </c>
      <c r="B7167" s="159"/>
      <c r="C7167" s="155" t="s">
        <v>232</v>
      </c>
      <c r="D7167" s="156" t="s">
        <v>7958</v>
      </c>
      <c r="E7167" s="156" t="s">
        <v>8069</v>
      </c>
      <c r="F7167" s="156" t="s">
        <v>1992</v>
      </c>
      <c r="G7167" s="156" t="s">
        <v>2287</v>
      </c>
      <c r="H7167" s="157" t="s">
        <v>214</v>
      </c>
    </row>
    <row r="7168" hidden="1">
      <c r="A7168" s="160" t="s">
        <v>234</v>
      </c>
      <c r="B7168" s="72"/>
      <c r="C7168" s="118" t="s">
        <v>232</v>
      </c>
      <c r="D7168" s="152" t="s">
        <v>7958</v>
      </c>
      <c r="E7168" s="152" t="s">
        <v>8070</v>
      </c>
      <c r="F7168" s="152" t="s">
        <v>285</v>
      </c>
      <c r="G7168" s="152" t="s">
        <v>3278</v>
      </c>
      <c r="H7168" s="153" t="s">
        <v>215</v>
      </c>
    </row>
    <row r="7169" hidden="1">
      <c r="A7169" s="158" t="s">
        <v>234</v>
      </c>
      <c r="B7169" s="159"/>
      <c r="C7169" s="155" t="s">
        <v>232</v>
      </c>
      <c r="D7169" s="156" t="s">
        <v>7958</v>
      </c>
      <c r="E7169" s="156" t="s">
        <v>8071</v>
      </c>
      <c r="F7169" s="156" t="s">
        <v>301</v>
      </c>
      <c r="G7169" s="156" t="s">
        <v>2847</v>
      </c>
      <c r="H7169" s="157" t="s">
        <v>216</v>
      </c>
    </row>
    <row r="7170" hidden="1">
      <c r="A7170" s="160" t="s">
        <v>235</v>
      </c>
      <c r="B7170" s="72"/>
      <c r="C7170" s="118" t="s">
        <v>236</v>
      </c>
      <c r="D7170" s="152" t="s">
        <v>7958</v>
      </c>
      <c r="E7170" s="152" t="s">
        <v>8072</v>
      </c>
      <c r="F7170" s="152" t="s">
        <v>321</v>
      </c>
      <c r="G7170" s="152" t="s">
        <v>3872</v>
      </c>
      <c r="H7170" s="153" t="s">
        <v>210</v>
      </c>
    </row>
    <row r="7171" hidden="1">
      <c r="A7171" s="158" t="s">
        <v>235</v>
      </c>
      <c r="B7171" s="159"/>
      <c r="C7171" s="155" t="s">
        <v>236</v>
      </c>
      <c r="D7171" s="156" t="s">
        <v>7958</v>
      </c>
      <c r="E7171" s="156" t="s">
        <v>8073</v>
      </c>
      <c r="F7171" s="156" t="s">
        <v>314</v>
      </c>
      <c r="G7171" s="156" t="s">
        <v>3532</v>
      </c>
      <c r="H7171" s="157" t="s">
        <v>211</v>
      </c>
    </row>
    <row r="7172" hidden="1">
      <c r="A7172" s="160" t="s">
        <v>235</v>
      </c>
      <c r="B7172" s="72"/>
      <c r="C7172" s="118" t="s">
        <v>236</v>
      </c>
      <c r="D7172" s="152" t="s">
        <v>7958</v>
      </c>
      <c r="E7172" s="152" t="s">
        <v>8074</v>
      </c>
      <c r="F7172" s="152" t="s">
        <v>308</v>
      </c>
      <c r="G7172" s="152" t="s">
        <v>4209</v>
      </c>
      <c r="H7172" s="153" t="s">
        <v>212</v>
      </c>
    </row>
    <row r="7173" hidden="1">
      <c r="A7173" s="158" t="s">
        <v>235</v>
      </c>
      <c r="B7173" s="159"/>
      <c r="C7173" s="155" t="s">
        <v>236</v>
      </c>
      <c r="D7173" s="156" t="s">
        <v>7958</v>
      </c>
      <c r="E7173" s="156" t="s">
        <v>8075</v>
      </c>
      <c r="F7173" s="156" t="s">
        <v>314</v>
      </c>
      <c r="G7173" s="156" t="s">
        <v>3838</v>
      </c>
      <c r="H7173" s="157" t="s">
        <v>213</v>
      </c>
    </row>
    <row r="7174" hidden="1">
      <c r="A7174" s="160" t="s">
        <v>235</v>
      </c>
      <c r="B7174" s="72"/>
      <c r="C7174" s="118" t="s">
        <v>236</v>
      </c>
      <c r="D7174" s="152" t="s">
        <v>7958</v>
      </c>
      <c r="E7174" s="152" t="s">
        <v>8076</v>
      </c>
      <c r="F7174" s="152" t="s">
        <v>285</v>
      </c>
      <c r="G7174" s="152" t="s">
        <v>4659</v>
      </c>
      <c r="H7174" s="153" t="s">
        <v>214</v>
      </c>
    </row>
    <row r="7175" hidden="1">
      <c r="A7175" s="158" t="s">
        <v>235</v>
      </c>
      <c r="B7175" s="159"/>
      <c r="C7175" s="155" t="s">
        <v>236</v>
      </c>
      <c r="D7175" s="156" t="s">
        <v>7958</v>
      </c>
      <c r="E7175" s="156" t="s">
        <v>8077</v>
      </c>
      <c r="F7175" s="156" t="s">
        <v>351</v>
      </c>
      <c r="G7175" s="156" t="s">
        <v>3764</v>
      </c>
      <c r="H7175" s="157" t="s">
        <v>215</v>
      </c>
    </row>
    <row r="7176" hidden="1">
      <c r="A7176" s="160" t="s">
        <v>235</v>
      </c>
      <c r="B7176" s="72"/>
      <c r="C7176" s="118" t="s">
        <v>236</v>
      </c>
      <c r="D7176" s="152" t="s">
        <v>7958</v>
      </c>
      <c r="E7176" s="152" t="s">
        <v>8078</v>
      </c>
      <c r="F7176" s="152" t="s">
        <v>321</v>
      </c>
      <c r="G7176" s="152" t="s">
        <v>4317</v>
      </c>
      <c r="H7176" s="153" t="s">
        <v>216</v>
      </c>
    </row>
    <row r="7177" hidden="1">
      <c r="A7177" s="158" t="s">
        <v>237</v>
      </c>
      <c r="B7177" s="159"/>
      <c r="C7177" s="155" t="s">
        <v>236</v>
      </c>
      <c r="D7177" s="156" t="s">
        <v>7958</v>
      </c>
      <c r="E7177" s="156" t="s">
        <v>8079</v>
      </c>
      <c r="F7177" s="156" t="s">
        <v>308</v>
      </c>
      <c r="G7177" s="156" t="s">
        <v>2609</v>
      </c>
      <c r="H7177" s="157" t="s">
        <v>210</v>
      </c>
    </row>
    <row r="7178" hidden="1">
      <c r="A7178" s="160" t="s">
        <v>237</v>
      </c>
      <c r="B7178" s="72"/>
      <c r="C7178" s="118" t="s">
        <v>236</v>
      </c>
      <c r="D7178" s="152" t="s">
        <v>7958</v>
      </c>
      <c r="E7178" s="152" t="s">
        <v>8080</v>
      </c>
      <c r="F7178" s="152" t="s">
        <v>357</v>
      </c>
      <c r="G7178" s="152" t="s">
        <v>2393</v>
      </c>
      <c r="H7178" s="153" t="s">
        <v>211</v>
      </c>
    </row>
    <row r="7179" hidden="1">
      <c r="A7179" s="158" t="s">
        <v>237</v>
      </c>
      <c r="B7179" s="159"/>
      <c r="C7179" s="155" t="s">
        <v>236</v>
      </c>
      <c r="D7179" s="156" t="s">
        <v>7958</v>
      </c>
      <c r="E7179" s="156" t="s">
        <v>8081</v>
      </c>
      <c r="F7179" s="156" t="s">
        <v>331</v>
      </c>
      <c r="G7179" s="156" t="s">
        <v>2221</v>
      </c>
      <c r="H7179" s="157" t="s">
        <v>212</v>
      </c>
    </row>
    <row r="7180" hidden="1">
      <c r="A7180" s="160" t="s">
        <v>237</v>
      </c>
      <c r="B7180" s="72"/>
      <c r="C7180" s="118" t="s">
        <v>236</v>
      </c>
      <c r="D7180" s="152" t="s">
        <v>7958</v>
      </c>
      <c r="E7180" s="152" t="s">
        <v>8082</v>
      </c>
      <c r="F7180" s="152" t="s">
        <v>285</v>
      </c>
      <c r="G7180" s="152" t="s">
        <v>2845</v>
      </c>
      <c r="H7180" s="153" t="s">
        <v>213</v>
      </c>
    </row>
    <row r="7181" hidden="1">
      <c r="A7181" s="158" t="s">
        <v>237</v>
      </c>
      <c r="B7181" s="159"/>
      <c r="C7181" s="155" t="s">
        <v>236</v>
      </c>
      <c r="D7181" s="156" t="s">
        <v>7958</v>
      </c>
      <c r="E7181" s="156" t="s">
        <v>8083</v>
      </c>
      <c r="F7181" s="156" t="s">
        <v>262</v>
      </c>
      <c r="G7181" s="156" t="s">
        <v>2845</v>
      </c>
      <c r="H7181" s="157" t="s">
        <v>214</v>
      </c>
    </row>
    <row r="7182" hidden="1">
      <c r="A7182" s="160" t="s">
        <v>237</v>
      </c>
      <c r="B7182" s="72"/>
      <c r="C7182" s="118" t="s">
        <v>236</v>
      </c>
      <c r="D7182" s="152" t="s">
        <v>7958</v>
      </c>
      <c r="E7182" s="152" t="s">
        <v>8084</v>
      </c>
      <c r="F7182" s="152" t="s">
        <v>336</v>
      </c>
      <c r="G7182" s="152" t="s">
        <v>2242</v>
      </c>
      <c r="H7182" s="153" t="s">
        <v>215</v>
      </c>
    </row>
    <row r="7183" hidden="1">
      <c r="A7183" s="158" t="s">
        <v>237</v>
      </c>
      <c r="B7183" s="159"/>
      <c r="C7183" s="155" t="s">
        <v>236</v>
      </c>
      <c r="D7183" s="156" t="s">
        <v>7958</v>
      </c>
      <c r="E7183" s="156" t="s">
        <v>8085</v>
      </c>
      <c r="F7183" s="156" t="s">
        <v>359</v>
      </c>
      <c r="G7183" s="156" t="s">
        <v>2457</v>
      </c>
      <c r="H7183" s="157" t="s">
        <v>216</v>
      </c>
    </row>
    <row r="7184" hidden="1">
      <c r="A7184" s="151" t="s">
        <v>204</v>
      </c>
      <c r="B7184" s="118" t="s">
        <v>205</v>
      </c>
      <c r="C7184" s="118" t="s">
        <v>206</v>
      </c>
      <c r="D7184" s="152" t="s">
        <v>8086</v>
      </c>
      <c r="E7184" s="152" t="s">
        <v>8087</v>
      </c>
      <c r="F7184" s="152" t="s">
        <v>325</v>
      </c>
      <c r="G7184" s="152" t="s">
        <v>3710</v>
      </c>
      <c r="H7184" s="153" t="s">
        <v>210</v>
      </c>
    </row>
    <row r="7185" hidden="1">
      <c r="A7185" s="154" t="s">
        <v>204</v>
      </c>
      <c r="B7185" s="155" t="s">
        <v>205</v>
      </c>
      <c r="C7185" s="155" t="s">
        <v>206</v>
      </c>
      <c r="D7185" s="156" t="s">
        <v>8086</v>
      </c>
      <c r="E7185" s="156" t="s">
        <v>8088</v>
      </c>
      <c r="F7185" s="156" t="s">
        <v>339</v>
      </c>
      <c r="G7185" s="156" t="s">
        <v>3820</v>
      </c>
      <c r="H7185" s="157" t="s">
        <v>211</v>
      </c>
    </row>
    <row r="7186" hidden="1">
      <c r="A7186" s="151" t="s">
        <v>204</v>
      </c>
      <c r="B7186" s="118" t="s">
        <v>205</v>
      </c>
      <c r="C7186" s="118" t="s">
        <v>206</v>
      </c>
      <c r="D7186" s="152" t="s">
        <v>8086</v>
      </c>
      <c r="E7186" s="152" t="s">
        <v>8089</v>
      </c>
      <c r="F7186" s="152" t="s">
        <v>331</v>
      </c>
      <c r="G7186" s="152" t="s">
        <v>3941</v>
      </c>
      <c r="H7186" s="153" t="s">
        <v>212</v>
      </c>
    </row>
    <row r="7187" hidden="1">
      <c r="A7187" s="154" t="s">
        <v>204</v>
      </c>
      <c r="B7187" s="155" t="s">
        <v>205</v>
      </c>
      <c r="C7187" s="155" t="s">
        <v>206</v>
      </c>
      <c r="D7187" s="156" t="s">
        <v>8086</v>
      </c>
      <c r="E7187" s="156" t="s">
        <v>8090</v>
      </c>
      <c r="F7187" s="156" t="s">
        <v>351</v>
      </c>
      <c r="G7187" s="156" t="s">
        <v>4073</v>
      </c>
      <c r="H7187" s="157" t="s">
        <v>213</v>
      </c>
    </row>
    <row r="7188" hidden="1">
      <c r="A7188" s="151" t="s">
        <v>204</v>
      </c>
      <c r="B7188" s="118" t="s">
        <v>205</v>
      </c>
      <c r="C7188" s="118" t="s">
        <v>206</v>
      </c>
      <c r="D7188" s="152" t="s">
        <v>8086</v>
      </c>
      <c r="E7188" s="152" t="s">
        <v>8091</v>
      </c>
      <c r="F7188" s="152" t="s">
        <v>290</v>
      </c>
      <c r="G7188" s="152" t="s">
        <v>3941</v>
      </c>
      <c r="H7188" s="153" t="s">
        <v>214</v>
      </c>
    </row>
    <row r="7189" hidden="1">
      <c r="A7189" s="154" t="s">
        <v>204</v>
      </c>
      <c r="B7189" s="155" t="s">
        <v>205</v>
      </c>
      <c r="C7189" s="155" t="s">
        <v>206</v>
      </c>
      <c r="D7189" s="156" t="s">
        <v>8086</v>
      </c>
      <c r="E7189" s="156" t="s">
        <v>8092</v>
      </c>
      <c r="F7189" s="156" t="s">
        <v>450</v>
      </c>
      <c r="G7189" s="156" t="s">
        <v>3844</v>
      </c>
      <c r="H7189" s="157" t="s">
        <v>215</v>
      </c>
    </row>
    <row r="7190" hidden="1">
      <c r="A7190" s="151" t="s">
        <v>204</v>
      </c>
      <c r="B7190" s="118" t="s">
        <v>205</v>
      </c>
      <c r="C7190" s="118" t="s">
        <v>206</v>
      </c>
      <c r="D7190" s="152" t="s">
        <v>8086</v>
      </c>
      <c r="E7190" s="152" t="s">
        <v>8093</v>
      </c>
      <c r="F7190" s="152" t="s">
        <v>427</v>
      </c>
      <c r="G7190" s="152" t="s">
        <v>2189</v>
      </c>
      <c r="H7190" s="153" t="s">
        <v>216</v>
      </c>
    </row>
    <row r="7191" hidden="1">
      <c r="A7191" s="154" t="s">
        <v>217</v>
      </c>
      <c r="B7191" s="155" t="s">
        <v>191</v>
      </c>
      <c r="C7191" s="155" t="s">
        <v>206</v>
      </c>
      <c r="D7191" s="156" t="s">
        <v>8086</v>
      </c>
      <c r="E7191" s="156" t="s">
        <v>8094</v>
      </c>
      <c r="F7191" s="156" t="s">
        <v>351</v>
      </c>
      <c r="G7191" s="156" t="s">
        <v>3893</v>
      </c>
      <c r="H7191" s="157" t="s">
        <v>210</v>
      </c>
    </row>
    <row r="7192" hidden="1">
      <c r="A7192" s="151" t="s">
        <v>217</v>
      </c>
      <c r="B7192" s="118" t="s">
        <v>191</v>
      </c>
      <c r="C7192" s="118" t="s">
        <v>206</v>
      </c>
      <c r="D7192" s="152" t="s">
        <v>8086</v>
      </c>
      <c r="E7192" s="152" t="s">
        <v>8095</v>
      </c>
      <c r="F7192" s="152" t="s">
        <v>308</v>
      </c>
      <c r="G7192" s="152" t="s">
        <v>3790</v>
      </c>
      <c r="H7192" s="153" t="s">
        <v>211</v>
      </c>
    </row>
    <row r="7193" hidden="1">
      <c r="A7193" s="154" t="s">
        <v>217</v>
      </c>
      <c r="B7193" s="155" t="s">
        <v>191</v>
      </c>
      <c r="C7193" s="155" t="s">
        <v>206</v>
      </c>
      <c r="D7193" s="156" t="s">
        <v>8086</v>
      </c>
      <c r="E7193" s="156" t="s">
        <v>8096</v>
      </c>
      <c r="F7193" s="156" t="s">
        <v>314</v>
      </c>
      <c r="G7193" s="156" t="s">
        <v>3838</v>
      </c>
      <c r="H7193" s="157" t="s">
        <v>212</v>
      </c>
    </row>
    <row r="7194" hidden="1">
      <c r="A7194" s="151" t="s">
        <v>217</v>
      </c>
      <c r="B7194" s="118" t="s">
        <v>191</v>
      </c>
      <c r="C7194" s="118" t="s">
        <v>206</v>
      </c>
      <c r="D7194" s="152" t="s">
        <v>8086</v>
      </c>
      <c r="E7194" s="152" t="s">
        <v>8097</v>
      </c>
      <c r="F7194" s="152" t="s">
        <v>249</v>
      </c>
      <c r="G7194" s="152" t="s">
        <v>2967</v>
      </c>
      <c r="H7194" s="153" t="s">
        <v>213</v>
      </c>
    </row>
    <row r="7195" hidden="1">
      <c r="A7195" s="154" t="s">
        <v>217</v>
      </c>
      <c r="B7195" s="155" t="s">
        <v>191</v>
      </c>
      <c r="C7195" s="155" t="s">
        <v>206</v>
      </c>
      <c r="D7195" s="156" t="s">
        <v>8086</v>
      </c>
      <c r="E7195" s="156" t="s">
        <v>8098</v>
      </c>
      <c r="F7195" s="156" t="s">
        <v>314</v>
      </c>
      <c r="G7195" s="156" t="s">
        <v>3996</v>
      </c>
      <c r="H7195" s="157" t="s">
        <v>214</v>
      </c>
    </row>
    <row r="7196" hidden="1">
      <c r="A7196" s="151" t="s">
        <v>217</v>
      </c>
      <c r="B7196" s="118" t="s">
        <v>191</v>
      </c>
      <c r="C7196" s="118" t="s">
        <v>206</v>
      </c>
      <c r="D7196" s="152" t="s">
        <v>8086</v>
      </c>
      <c r="E7196" s="152" t="s">
        <v>8099</v>
      </c>
      <c r="F7196" s="152" t="s">
        <v>351</v>
      </c>
      <c r="G7196" s="152" t="s">
        <v>3989</v>
      </c>
      <c r="H7196" s="153" t="s">
        <v>215</v>
      </c>
    </row>
    <row r="7197" hidden="1">
      <c r="A7197" s="154" t="s">
        <v>217</v>
      </c>
      <c r="B7197" s="155" t="s">
        <v>191</v>
      </c>
      <c r="C7197" s="155" t="s">
        <v>206</v>
      </c>
      <c r="D7197" s="156" t="s">
        <v>8086</v>
      </c>
      <c r="E7197" s="156" t="s">
        <v>8100</v>
      </c>
      <c r="F7197" s="156" t="s">
        <v>290</v>
      </c>
      <c r="G7197" s="156" t="s">
        <v>2508</v>
      </c>
      <c r="H7197" s="157" t="s">
        <v>216</v>
      </c>
    </row>
    <row r="7198" hidden="1">
      <c r="A7198" s="151" t="s">
        <v>218</v>
      </c>
      <c r="B7198" s="118" t="s">
        <v>219</v>
      </c>
      <c r="C7198" s="118" t="s">
        <v>206</v>
      </c>
      <c r="D7198" s="152" t="s">
        <v>8086</v>
      </c>
      <c r="E7198" s="152" t="s">
        <v>8101</v>
      </c>
      <c r="F7198" s="152" t="s">
        <v>390</v>
      </c>
      <c r="G7198" s="152" t="s">
        <v>3820</v>
      </c>
      <c r="H7198" s="153" t="s">
        <v>210</v>
      </c>
    </row>
    <row r="7199" hidden="1">
      <c r="A7199" s="154" t="s">
        <v>218</v>
      </c>
      <c r="B7199" s="155" t="s">
        <v>219</v>
      </c>
      <c r="C7199" s="155" t="s">
        <v>206</v>
      </c>
      <c r="D7199" s="156" t="s">
        <v>8086</v>
      </c>
      <c r="E7199" s="156" t="s">
        <v>8102</v>
      </c>
      <c r="F7199" s="156" t="s">
        <v>3218</v>
      </c>
      <c r="G7199" s="156" t="s">
        <v>3968</v>
      </c>
      <c r="H7199" s="157" t="s">
        <v>211</v>
      </c>
    </row>
    <row r="7200" hidden="1">
      <c r="A7200" s="151" t="s">
        <v>218</v>
      </c>
      <c r="B7200" s="118" t="s">
        <v>219</v>
      </c>
      <c r="C7200" s="118" t="s">
        <v>206</v>
      </c>
      <c r="D7200" s="152" t="s">
        <v>8086</v>
      </c>
      <c r="E7200" s="152" t="s">
        <v>8103</v>
      </c>
      <c r="F7200" s="152" t="s">
        <v>532</v>
      </c>
      <c r="G7200" s="152" t="s">
        <v>4116</v>
      </c>
      <c r="H7200" s="153" t="s">
        <v>212</v>
      </c>
    </row>
    <row r="7201" hidden="1">
      <c r="A7201" s="154" t="s">
        <v>218</v>
      </c>
      <c r="B7201" s="155" t="s">
        <v>219</v>
      </c>
      <c r="C7201" s="155" t="s">
        <v>206</v>
      </c>
      <c r="D7201" s="156" t="s">
        <v>8086</v>
      </c>
      <c r="E7201" s="156" t="s">
        <v>8104</v>
      </c>
      <c r="F7201" s="156" t="s">
        <v>405</v>
      </c>
      <c r="G7201" s="156" t="s">
        <v>4464</v>
      </c>
      <c r="H7201" s="157" t="s">
        <v>213</v>
      </c>
    </row>
    <row r="7202" hidden="1">
      <c r="A7202" s="151" t="s">
        <v>218</v>
      </c>
      <c r="B7202" s="118" t="s">
        <v>219</v>
      </c>
      <c r="C7202" s="118" t="s">
        <v>206</v>
      </c>
      <c r="D7202" s="152" t="s">
        <v>8086</v>
      </c>
      <c r="E7202" s="152" t="s">
        <v>8105</v>
      </c>
      <c r="F7202" s="152" t="s">
        <v>3218</v>
      </c>
      <c r="G7202" s="152" t="s">
        <v>2508</v>
      </c>
      <c r="H7202" s="153" t="s">
        <v>214</v>
      </c>
    </row>
    <row r="7203" hidden="1">
      <c r="A7203" s="154" t="s">
        <v>218</v>
      </c>
      <c r="B7203" s="155" t="s">
        <v>219</v>
      </c>
      <c r="C7203" s="155" t="s">
        <v>206</v>
      </c>
      <c r="D7203" s="156" t="s">
        <v>8086</v>
      </c>
      <c r="E7203" s="156" t="s">
        <v>8106</v>
      </c>
      <c r="F7203" s="156" t="s">
        <v>673</v>
      </c>
      <c r="G7203" s="156" t="s">
        <v>3618</v>
      </c>
      <c r="H7203" s="157" t="s">
        <v>215</v>
      </c>
    </row>
    <row r="7204" hidden="1">
      <c r="A7204" s="151" t="s">
        <v>218</v>
      </c>
      <c r="B7204" s="118" t="s">
        <v>219</v>
      </c>
      <c r="C7204" s="118" t="s">
        <v>206</v>
      </c>
      <c r="D7204" s="152" t="s">
        <v>8086</v>
      </c>
      <c r="E7204" s="152" t="s">
        <v>8107</v>
      </c>
      <c r="F7204" s="152" t="s">
        <v>735</v>
      </c>
      <c r="G7204" s="152" t="s">
        <v>3915</v>
      </c>
      <c r="H7204" s="153" t="s">
        <v>216</v>
      </c>
    </row>
    <row r="7205" hidden="1">
      <c r="A7205" s="154" t="s">
        <v>220</v>
      </c>
      <c r="B7205" s="155" t="s">
        <v>190</v>
      </c>
      <c r="C7205" s="155" t="s">
        <v>206</v>
      </c>
      <c r="D7205" s="156" t="s">
        <v>8086</v>
      </c>
      <c r="E7205" s="156" t="s">
        <v>8108</v>
      </c>
      <c r="F7205" s="156" t="s">
        <v>629</v>
      </c>
      <c r="G7205" s="156" t="s">
        <v>3440</v>
      </c>
      <c r="H7205" s="157" t="s">
        <v>210</v>
      </c>
    </row>
    <row r="7206" hidden="1">
      <c r="A7206" s="151" t="s">
        <v>220</v>
      </c>
      <c r="B7206" s="118" t="s">
        <v>190</v>
      </c>
      <c r="C7206" s="118" t="s">
        <v>206</v>
      </c>
      <c r="D7206" s="152" t="s">
        <v>8086</v>
      </c>
      <c r="E7206" s="152" t="s">
        <v>8109</v>
      </c>
      <c r="F7206" s="152" t="s">
        <v>1999</v>
      </c>
      <c r="G7206" s="152" t="s">
        <v>4412</v>
      </c>
      <c r="H7206" s="153" t="s">
        <v>211</v>
      </c>
    </row>
    <row r="7207" hidden="1">
      <c r="A7207" s="154" t="s">
        <v>220</v>
      </c>
      <c r="B7207" s="155" t="s">
        <v>190</v>
      </c>
      <c r="C7207" s="155" t="s">
        <v>206</v>
      </c>
      <c r="D7207" s="156" t="s">
        <v>8086</v>
      </c>
      <c r="E7207" s="156" t="s">
        <v>8110</v>
      </c>
      <c r="F7207" s="156" t="s">
        <v>483</v>
      </c>
      <c r="G7207" s="156" t="s">
        <v>4085</v>
      </c>
      <c r="H7207" s="157" t="s">
        <v>212</v>
      </c>
    </row>
    <row r="7208" hidden="1">
      <c r="A7208" s="151" t="s">
        <v>220</v>
      </c>
      <c r="B7208" s="118" t="s">
        <v>190</v>
      </c>
      <c r="C7208" s="118" t="s">
        <v>206</v>
      </c>
      <c r="D7208" s="152" t="s">
        <v>8086</v>
      </c>
      <c r="E7208" s="152" t="s">
        <v>8111</v>
      </c>
      <c r="F7208" s="152" t="s">
        <v>448</v>
      </c>
      <c r="G7208" s="152" t="s">
        <v>4709</v>
      </c>
      <c r="H7208" s="153" t="s">
        <v>213</v>
      </c>
    </row>
    <row r="7209" hidden="1">
      <c r="A7209" s="154" t="s">
        <v>220</v>
      </c>
      <c r="B7209" s="155" t="s">
        <v>190</v>
      </c>
      <c r="C7209" s="155" t="s">
        <v>206</v>
      </c>
      <c r="D7209" s="156" t="s">
        <v>8086</v>
      </c>
      <c r="E7209" s="156" t="s">
        <v>8112</v>
      </c>
      <c r="F7209" s="156" t="s">
        <v>735</v>
      </c>
      <c r="G7209" s="156" t="s">
        <v>3111</v>
      </c>
      <c r="H7209" s="157" t="s">
        <v>214</v>
      </c>
    </row>
    <row r="7210" hidden="1">
      <c r="A7210" s="151" t="s">
        <v>220</v>
      </c>
      <c r="B7210" s="118" t="s">
        <v>190</v>
      </c>
      <c r="C7210" s="118" t="s">
        <v>206</v>
      </c>
      <c r="D7210" s="152" t="s">
        <v>8086</v>
      </c>
      <c r="E7210" s="152" t="s">
        <v>8113</v>
      </c>
      <c r="F7210" s="152" t="s">
        <v>718</v>
      </c>
      <c r="G7210" s="152" t="s">
        <v>4075</v>
      </c>
      <c r="H7210" s="153" t="s">
        <v>215</v>
      </c>
    </row>
    <row r="7211" hidden="1">
      <c r="A7211" s="154" t="s">
        <v>220</v>
      </c>
      <c r="B7211" s="155" t="s">
        <v>190</v>
      </c>
      <c r="C7211" s="155" t="s">
        <v>206</v>
      </c>
      <c r="D7211" s="156" t="s">
        <v>8086</v>
      </c>
      <c r="E7211" s="156" t="s">
        <v>8114</v>
      </c>
      <c r="F7211" s="156" t="s">
        <v>448</v>
      </c>
      <c r="G7211" s="156" t="s">
        <v>4364</v>
      </c>
      <c r="H7211" s="157" t="s">
        <v>216</v>
      </c>
    </row>
    <row r="7212" hidden="1">
      <c r="A7212" s="151" t="s">
        <v>221</v>
      </c>
      <c r="B7212" s="118" t="s">
        <v>189</v>
      </c>
      <c r="C7212" s="118" t="s">
        <v>206</v>
      </c>
      <c r="D7212" s="152" t="s">
        <v>8086</v>
      </c>
      <c r="E7212" s="152" t="s">
        <v>8115</v>
      </c>
      <c r="F7212" s="152" t="s">
        <v>287</v>
      </c>
      <c r="G7212" s="152" t="s">
        <v>2039</v>
      </c>
      <c r="H7212" s="153" t="s">
        <v>210</v>
      </c>
    </row>
    <row r="7213" hidden="1">
      <c r="A7213" s="154" t="s">
        <v>221</v>
      </c>
      <c r="B7213" s="155" t="s">
        <v>189</v>
      </c>
      <c r="C7213" s="155" t="s">
        <v>206</v>
      </c>
      <c r="D7213" s="156" t="s">
        <v>8086</v>
      </c>
      <c r="E7213" s="156" t="s">
        <v>8116</v>
      </c>
      <c r="F7213" s="156" t="s">
        <v>314</v>
      </c>
      <c r="G7213" s="156" t="s">
        <v>2633</v>
      </c>
      <c r="H7213" s="157" t="s">
        <v>211</v>
      </c>
    </row>
    <row r="7214" hidden="1">
      <c r="A7214" s="151" t="s">
        <v>221</v>
      </c>
      <c r="B7214" s="118" t="s">
        <v>189</v>
      </c>
      <c r="C7214" s="118" t="s">
        <v>206</v>
      </c>
      <c r="D7214" s="152" t="s">
        <v>8086</v>
      </c>
      <c r="E7214" s="152" t="s">
        <v>8117</v>
      </c>
      <c r="F7214" s="152" t="s">
        <v>249</v>
      </c>
      <c r="G7214" s="152" t="s">
        <v>2925</v>
      </c>
      <c r="H7214" s="153" t="s">
        <v>212</v>
      </c>
    </row>
    <row r="7215" hidden="1">
      <c r="A7215" s="154" t="s">
        <v>221</v>
      </c>
      <c r="B7215" s="155" t="s">
        <v>189</v>
      </c>
      <c r="C7215" s="155" t="s">
        <v>206</v>
      </c>
      <c r="D7215" s="156" t="s">
        <v>8086</v>
      </c>
      <c r="E7215" s="156" t="s">
        <v>8118</v>
      </c>
      <c r="F7215" s="156" t="s">
        <v>242</v>
      </c>
      <c r="G7215" s="156" t="s">
        <v>2563</v>
      </c>
      <c r="H7215" s="157" t="s">
        <v>213</v>
      </c>
    </row>
    <row r="7216" hidden="1">
      <c r="A7216" s="151" t="s">
        <v>221</v>
      </c>
      <c r="B7216" s="118" t="s">
        <v>189</v>
      </c>
      <c r="C7216" s="118" t="s">
        <v>206</v>
      </c>
      <c r="D7216" s="152" t="s">
        <v>8086</v>
      </c>
      <c r="E7216" s="152" t="s">
        <v>8119</v>
      </c>
      <c r="F7216" s="152" t="s">
        <v>359</v>
      </c>
      <c r="G7216" s="152" t="s">
        <v>2530</v>
      </c>
      <c r="H7216" s="153" t="s">
        <v>214</v>
      </c>
    </row>
    <row r="7217" hidden="1">
      <c r="A7217" s="154" t="s">
        <v>221</v>
      </c>
      <c r="B7217" s="155" t="s">
        <v>189</v>
      </c>
      <c r="C7217" s="155" t="s">
        <v>206</v>
      </c>
      <c r="D7217" s="156" t="s">
        <v>8086</v>
      </c>
      <c r="E7217" s="156" t="s">
        <v>8120</v>
      </c>
      <c r="F7217" s="156" t="s">
        <v>310</v>
      </c>
      <c r="G7217" s="156" t="s">
        <v>1832</v>
      </c>
      <c r="H7217" s="157" t="s">
        <v>215</v>
      </c>
    </row>
    <row r="7218" hidden="1">
      <c r="A7218" s="151" t="s">
        <v>221</v>
      </c>
      <c r="B7218" s="118" t="s">
        <v>189</v>
      </c>
      <c r="C7218" s="118" t="s">
        <v>206</v>
      </c>
      <c r="D7218" s="152" t="s">
        <v>8086</v>
      </c>
      <c r="E7218" s="152" t="s">
        <v>8121</v>
      </c>
      <c r="F7218" s="152" t="s">
        <v>357</v>
      </c>
      <c r="G7218" s="152" t="s">
        <v>2470</v>
      </c>
      <c r="H7218" s="153" t="s">
        <v>216</v>
      </c>
    </row>
    <row r="7219" hidden="1">
      <c r="A7219" s="154" t="s">
        <v>222</v>
      </c>
      <c r="B7219" s="155" t="s">
        <v>192</v>
      </c>
      <c r="C7219" s="155" t="s">
        <v>206</v>
      </c>
      <c r="D7219" s="156" t="s">
        <v>8086</v>
      </c>
      <c r="E7219" s="156" t="s">
        <v>8122</v>
      </c>
      <c r="F7219" s="156" t="s">
        <v>425</v>
      </c>
      <c r="G7219" s="156" t="s">
        <v>2510</v>
      </c>
      <c r="H7219" s="157" t="s">
        <v>210</v>
      </c>
    </row>
    <row r="7220" hidden="1">
      <c r="A7220" s="151" t="s">
        <v>222</v>
      </c>
      <c r="B7220" s="118" t="s">
        <v>192</v>
      </c>
      <c r="C7220" s="118" t="s">
        <v>206</v>
      </c>
      <c r="D7220" s="152" t="s">
        <v>8086</v>
      </c>
      <c r="E7220" s="152" t="s">
        <v>8123</v>
      </c>
      <c r="F7220" s="152" t="s">
        <v>305</v>
      </c>
      <c r="G7220" s="152" t="s">
        <v>3410</v>
      </c>
      <c r="H7220" s="153" t="s">
        <v>211</v>
      </c>
    </row>
    <row r="7221" hidden="1">
      <c r="A7221" s="154" t="s">
        <v>222</v>
      </c>
      <c r="B7221" s="155" t="s">
        <v>192</v>
      </c>
      <c r="C7221" s="155" t="s">
        <v>206</v>
      </c>
      <c r="D7221" s="156" t="s">
        <v>8086</v>
      </c>
      <c r="E7221" s="156" t="s">
        <v>8124</v>
      </c>
      <c r="F7221" s="156" t="s">
        <v>323</v>
      </c>
      <c r="G7221" s="156" t="s">
        <v>2824</v>
      </c>
      <c r="H7221" s="157" t="s">
        <v>212</v>
      </c>
    </row>
    <row r="7222" hidden="1">
      <c r="A7222" s="151" t="s">
        <v>222</v>
      </c>
      <c r="B7222" s="118" t="s">
        <v>192</v>
      </c>
      <c r="C7222" s="118" t="s">
        <v>206</v>
      </c>
      <c r="D7222" s="152" t="s">
        <v>8086</v>
      </c>
      <c r="E7222" s="152" t="s">
        <v>8125</v>
      </c>
      <c r="F7222" s="152" t="s">
        <v>325</v>
      </c>
      <c r="G7222" s="152" t="s">
        <v>2665</v>
      </c>
      <c r="H7222" s="153" t="s">
        <v>213</v>
      </c>
    </row>
    <row r="7223" hidden="1">
      <c r="A7223" s="154" t="s">
        <v>222</v>
      </c>
      <c r="B7223" s="155" t="s">
        <v>192</v>
      </c>
      <c r="C7223" s="155" t="s">
        <v>206</v>
      </c>
      <c r="D7223" s="156" t="s">
        <v>8086</v>
      </c>
      <c r="E7223" s="156" t="s">
        <v>8126</v>
      </c>
      <c r="F7223" s="156" t="s">
        <v>290</v>
      </c>
      <c r="G7223" s="156" t="s">
        <v>2513</v>
      </c>
      <c r="H7223" s="157" t="s">
        <v>214</v>
      </c>
    </row>
    <row r="7224" hidden="1">
      <c r="A7224" s="151" t="s">
        <v>222</v>
      </c>
      <c r="B7224" s="118" t="s">
        <v>192</v>
      </c>
      <c r="C7224" s="118" t="s">
        <v>206</v>
      </c>
      <c r="D7224" s="152" t="s">
        <v>8086</v>
      </c>
      <c r="E7224" s="152" t="s">
        <v>8127</v>
      </c>
      <c r="F7224" s="152" t="s">
        <v>351</v>
      </c>
      <c r="G7224" s="152" t="s">
        <v>3893</v>
      </c>
      <c r="H7224" s="153" t="s">
        <v>215</v>
      </c>
    </row>
    <row r="7225" hidden="1">
      <c r="A7225" s="154" t="s">
        <v>222</v>
      </c>
      <c r="B7225" s="155" t="s">
        <v>192</v>
      </c>
      <c r="C7225" s="155" t="s">
        <v>206</v>
      </c>
      <c r="D7225" s="156" t="s">
        <v>8086</v>
      </c>
      <c r="E7225" s="156" t="s">
        <v>8128</v>
      </c>
      <c r="F7225" s="156" t="s">
        <v>427</v>
      </c>
      <c r="G7225" s="156" t="s">
        <v>2667</v>
      </c>
      <c r="H7225" s="157" t="s">
        <v>216</v>
      </c>
    </row>
    <row r="7226" hidden="1">
      <c r="A7226" s="151" t="s">
        <v>223</v>
      </c>
      <c r="B7226" s="118" t="s">
        <v>144</v>
      </c>
      <c r="C7226" s="118" t="s">
        <v>206</v>
      </c>
      <c r="D7226" s="152" t="s">
        <v>8086</v>
      </c>
      <c r="E7226" s="152" t="s">
        <v>8129</v>
      </c>
      <c r="F7226" s="152" t="s">
        <v>312</v>
      </c>
      <c r="G7226" s="152" t="s">
        <v>4196</v>
      </c>
      <c r="H7226" s="153" t="s">
        <v>210</v>
      </c>
    </row>
    <row r="7227" hidden="1">
      <c r="A7227" s="154" t="s">
        <v>223</v>
      </c>
      <c r="B7227" s="155" t="s">
        <v>144</v>
      </c>
      <c r="C7227" s="155" t="s">
        <v>206</v>
      </c>
      <c r="D7227" s="156" t="s">
        <v>8086</v>
      </c>
      <c r="E7227" s="156" t="s">
        <v>8130</v>
      </c>
      <c r="F7227" s="156" t="s">
        <v>799</v>
      </c>
      <c r="G7227" s="156" t="s">
        <v>2185</v>
      </c>
      <c r="H7227" s="157" t="s">
        <v>211</v>
      </c>
    </row>
    <row r="7228" hidden="1">
      <c r="A7228" s="151" t="s">
        <v>223</v>
      </c>
      <c r="B7228" s="118" t="s">
        <v>144</v>
      </c>
      <c r="C7228" s="118" t="s">
        <v>206</v>
      </c>
      <c r="D7228" s="152" t="s">
        <v>8086</v>
      </c>
      <c r="E7228" s="152" t="s">
        <v>8131</v>
      </c>
      <c r="F7228" s="152" t="s">
        <v>339</v>
      </c>
      <c r="G7228" s="152" t="s">
        <v>4491</v>
      </c>
      <c r="H7228" s="153" t="s">
        <v>212</v>
      </c>
    </row>
    <row r="7229" hidden="1">
      <c r="A7229" s="154" t="s">
        <v>223</v>
      </c>
      <c r="B7229" s="155" t="s">
        <v>144</v>
      </c>
      <c r="C7229" s="155" t="s">
        <v>206</v>
      </c>
      <c r="D7229" s="156" t="s">
        <v>8086</v>
      </c>
      <c r="E7229" s="156" t="s">
        <v>8132</v>
      </c>
      <c r="F7229" s="156" t="s">
        <v>336</v>
      </c>
      <c r="G7229" s="156" t="s">
        <v>4608</v>
      </c>
      <c r="H7229" s="157" t="s">
        <v>213</v>
      </c>
    </row>
    <row r="7230" hidden="1">
      <c r="A7230" s="151" t="s">
        <v>223</v>
      </c>
      <c r="B7230" s="118" t="s">
        <v>144</v>
      </c>
      <c r="C7230" s="118" t="s">
        <v>206</v>
      </c>
      <c r="D7230" s="152" t="s">
        <v>8086</v>
      </c>
      <c r="E7230" s="152" t="s">
        <v>8133</v>
      </c>
      <c r="F7230" s="152" t="s">
        <v>325</v>
      </c>
      <c r="G7230" s="152" t="s">
        <v>2183</v>
      </c>
      <c r="H7230" s="153" t="s">
        <v>214</v>
      </c>
    </row>
    <row r="7231" hidden="1">
      <c r="A7231" s="154" t="s">
        <v>223</v>
      </c>
      <c r="B7231" s="155" t="s">
        <v>144</v>
      </c>
      <c r="C7231" s="155" t="s">
        <v>206</v>
      </c>
      <c r="D7231" s="156" t="s">
        <v>8086</v>
      </c>
      <c r="E7231" s="156" t="s">
        <v>8134</v>
      </c>
      <c r="F7231" s="156" t="s">
        <v>427</v>
      </c>
      <c r="G7231" s="156" t="s">
        <v>4002</v>
      </c>
      <c r="H7231" s="157" t="s">
        <v>215</v>
      </c>
    </row>
    <row r="7232" hidden="1">
      <c r="A7232" s="151" t="s">
        <v>223</v>
      </c>
      <c r="B7232" s="118" t="s">
        <v>144</v>
      </c>
      <c r="C7232" s="118" t="s">
        <v>206</v>
      </c>
      <c r="D7232" s="152" t="s">
        <v>8086</v>
      </c>
      <c r="E7232" s="152" t="s">
        <v>8135</v>
      </c>
      <c r="F7232" s="152" t="s">
        <v>354</v>
      </c>
      <c r="G7232" s="152" t="s">
        <v>4851</v>
      </c>
      <c r="H7232" s="153" t="s">
        <v>216</v>
      </c>
    </row>
    <row r="7233" hidden="1">
      <c r="A7233" s="154" t="s">
        <v>224</v>
      </c>
      <c r="B7233" s="155" t="s">
        <v>170</v>
      </c>
      <c r="C7233" s="155" t="s">
        <v>206</v>
      </c>
      <c r="D7233" s="156" t="s">
        <v>8086</v>
      </c>
      <c r="E7233" s="156" t="s">
        <v>8136</v>
      </c>
      <c r="F7233" s="156" t="s">
        <v>450</v>
      </c>
      <c r="G7233" s="156" t="s">
        <v>4851</v>
      </c>
      <c r="H7233" s="157" t="s">
        <v>210</v>
      </c>
    </row>
    <row r="7234" hidden="1">
      <c r="A7234" s="151" t="s">
        <v>224</v>
      </c>
      <c r="B7234" s="118" t="s">
        <v>170</v>
      </c>
      <c r="C7234" s="118" t="s">
        <v>206</v>
      </c>
      <c r="D7234" s="152" t="s">
        <v>8086</v>
      </c>
      <c r="E7234" s="152" t="s">
        <v>8137</v>
      </c>
      <c r="F7234" s="152" t="s">
        <v>308</v>
      </c>
      <c r="G7234" s="152" t="s">
        <v>4085</v>
      </c>
      <c r="H7234" s="153" t="s">
        <v>211</v>
      </c>
    </row>
    <row r="7235" hidden="1">
      <c r="A7235" s="154" t="s">
        <v>224</v>
      </c>
      <c r="B7235" s="155" t="s">
        <v>170</v>
      </c>
      <c r="C7235" s="155" t="s">
        <v>206</v>
      </c>
      <c r="D7235" s="156" t="s">
        <v>8086</v>
      </c>
      <c r="E7235" s="156" t="s">
        <v>8138</v>
      </c>
      <c r="F7235" s="156" t="s">
        <v>285</v>
      </c>
      <c r="G7235" s="156" t="s">
        <v>3113</v>
      </c>
      <c r="H7235" s="157" t="s">
        <v>212</v>
      </c>
    </row>
    <row r="7236" hidden="1">
      <c r="A7236" s="151" t="s">
        <v>224</v>
      </c>
      <c r="B7236" s="118" t="s">
        <v>170</v>
      </c>
      <c r="C7236" s="118" t="s">
        <v>206</v>
      </c>
      <c r="D7236" s="152" t="s">
        <v>8086</v>
      </c>
      <c r="E7236" s="152" t="s">
        <v>8139</v>
      </c>
      <c r="F7236" s="152" t="s">
        <v>285</v>
      </c>
      <c r="G7236" s="152" t="s">
        <v>3265</v>
      </c>
      <c r="H7236" s="153" t="s">
        <v>213</v>
      </c>
    </row>
    <row r="7237" hidden="1">
      <c r="A7237" s="154" t="s">
        <v>224</v>
      </c>
      <c r="B7237" s="155" t="s">
        <v>170</v>
      </c>
      <c r="C7237" s="155" t="s">
        <v>206</v>
      </c>
      <c r="D7237" s="156" t="s">
        <v>8086</v>
      </c>
      <c r="E7237" s="156" t="s">
        <v>8140</v>
      </c>
      <c r="F7237" s="156" t="s">
        <v>244</v>
      </c>
      <c r="G7237" s="156" t="s">
        <v>4075</v>
      </c>
      <c r="H7237" s="157" t="s">
        <v>214</v>
      </c>
    </row>
    <row r="7238" hidden="1">
      <c r="A7238" s="151" t="s">
        <v>224</v>
      </c>
      <c r="B7238" s="118" t="s">
        <v>170</v>
      </c>
      <c r="C7238" s="118" t="s">
        <v>206</v>
      </c>
      <c r="D7238" s="152" t="s">
        <v>8086</v>
      </c>
      <c r="E7238" s="152" t="s">
        <v>8141</v>
      </c>
      <c r="F7238" s="152" t="s">
        <v>290</v>
      </c>
      <c r="G7238" s="152" t="s">
        <v>4231</v>
      </c>
      <c r="H7238" s="153" t="s">
        <v>215</v>
      </c>
    </row>
    <row r="7239" hidden="1">
      <c r="A7239" s="154" t="s">
        <v>224</v>
      </c>
      <c r="B7239" s="155" t="s">
        <v>170</v>
      </c>
      <c r="C7239" s="155" t="s">
        <v>206</v>
      </c>
      <c r="D7239" s="156" t="s">
        <v>8086</v>
      </c>
      <c r="E7239" s="156" t="s">
        <v>8142</v>
      </c>
      <c r="F7239" s="156" t="s">
        <v>534</v>
      </c>
      <c r="G7239" s="156" t="s">
        <v>3267</v>
      </c>
      <c r="H7239" s="157" t="s">
        <v>216</v>
      </c>
    </row>
    <row r="7240" hidden="1">
      <c r="A7240" s="151" t="s">
        <v>225</v>
      </c>
      <c r="B7240" s="118" t="s">
        <v>226</v>
      </c>
      <c r="C7240" s="118" t="s">
        <v>206</v>
      </c>
      <c r="D7240" s="152" t="s">
        <v>8086</v>
      </c>
      <c r="E7240" s="152" t="s">
        <v>8143</v>
      </c>
      <c r="F7240" s="152" t="s">
        <v>425</v>
      </c>
      <c r="G7240" s="152" t="s">
        <v>1866</v>
      </c>
      <c r="H7240" s="153" t="s">
        <v>210</v>
      </c>
    </row>
    <row r="7241" hidden="1">
      <c r="A7241" s="154" t="s">
        <v>225</v>
      </c>
      <c r="B7241" s="155" t="s">
        <v>226</v>
      </c>
      <c r="C7241" s="155" t="s">
        <v>206</v>
      </c>
      <c r="D7241" s="156" t="s">
        <v>8086</v>
      </c>
      <c r="E7241" s="156" t="s">
        <v>8144</v>
      </c>
      <c r="F7241" s="156" t="s">
        <v>244</v>
      </c>
      <c r="G7241" s="156" t="s">
        <v>2705</v>
      </c>
      <c r="H7241" s="157" t="s">
        <v>211</v>
      </c>
    </row>
    <row r="7242" hidden="1">
      <c r="A7242" s="151" t="s">
        <v>225</v>
      </c>
      <c r="B7242" s="118" t="s">
        <v>226</v>
      </c>
      <c r="C7242" s="118" t="s">
        <v>206</v>
      </c>
      <c r="D7242" s="152" t="s">
        <v>8086</v>
      </c>
      <c r="E7242" s="152" t="s">
        <v>8145</v>
      </c>
      <c r="F7242" s="152" t="s">
        <v>310</v>
      </c>
      <c r="G7242" s="152" t="s">
        <v>3335</v>
      </c>
      <c r="H7242" s="153" t="s">
        <v>212</v>
      </c>
    </row>
    <row r="7243" hidden="1">
      <c r="A7243" s="154" t="s">
        <v>225</v>
      </c>
      <c r="B7243" s="155" t="s">
        <v>226</v>
      </c>
      <c r="C7243" s="155" t="s">
        <v>206</v>
      </c>
      <c r="D7243" s="156" t="s">
        <v>8086</v>
      </c>
      <c r="E7243" s="156" t="s">
        <v>8146</v>
      </c>
      <c r="F7243" s="156" t="s">
        <v>255</v>
      </c>
      <c r="G7243" s="156" t="s">
        <v>2925</v>
      </c>
      <c r="H7243" s="157" t="s">
        <v>213</v>
      </c>
    </row>
    <row r="7244" hidden="1">
      <c r="A7244" s="151" t="s">
        <v>225</v>
      </c>
      <c r="B7244" s="118" t="s">
        <v>226</v>
      </c>
      <c r="C7244" s="118" t="s">
        <v>206</v>
      </c>
      <c r="D7244" s="152" t="s">
        <v>8086</v>
      </c>
      <c r="E7244" s="152" t="s">
        <v>8147</v>
      </c>
      <c r="F7244" s="152" t="s">
        <v>357</v>
      </c>
      <c r="G7244" s="152" t="s">
        <v>1868</v>
      </c>
      <c r="H7244" s="153" t="s">
        <v>214</v>
      </c>
    </row>
    <row r="7245" hidden="1">
      <c r="A7245" s="154" t="s">
        <v>225</v>
      </c>
      <c r="B7245" s="155" t="s">
        <v>226</v>
      </c>
      <c r="C7245" s="155" t="s">
        <v>206</v>
      </c>
      <c r="D7245" s="156" t="s">
        <v>8086</v>
      </c>
      <c r="E7245" s="156" t="s">
        <v>8148</v>
      </c>
      <c r="F7245" s="156" t="s">
        <v>450</v>
      </c>
      <c r="G7245" s="156" t="s">
        <v>1949</v>
      </c>
      <c r="H7245" s="157" t="s">
        <v>215</v>
      </c>
    </row>
    <row r="7246" hidden="1">
      <c r="A7246" s="151" t="s">
        <v>225</v>
      </c>
      <c r="B7246" s="118" t="s">
        <v>226</v>
      </c>
      <c r="C7246" s="118" t="s">
        <v>206</v>
      </c>
      <c r="D7246" s="152" t="s">
        <v>8086</v>
      </c>
      <c r="E7246" s="152" t="s">
        <v>8149</v>
      </c>
      <c r="F7246" s="152" t="s">
        <v>331</v>
      </c>
      <c r="G7246" s="152" t="s">
        <v>2703</v>
      </c>
      <c r="H7246" s="153" t="s">
        <v>216</v>
      </c>
    </row>
    <row r="7247" hidden="1">
      <c r="A7247" s="154" t="s">
        <v>227</v>
      </c>
      <c r="B7247" s="155" t="s">
        <v>195</v>
      </c>
      <c r="C7247" s="155" t="s">
        <v>206</v>
      </c>
      <c r="D7247" s="156" t="s">
        <v>8086</v>
      </c>
      <c r="E7247" s="156" t="s">
        <v>8150</v>
      </c>
      <c r="F7247" s="156" t="s">
        <v>339</v>
      </c>
      <c r="G7247" s="156" t="s">
        <v>1995</v>
      </c>
      <c r="H7247" s="157" t="s">
        <v>210</v>
      </c>
    </row>
    <row r="7248" hidden="1">
      <c r="A7248" s="151" t="s">
        <v>227</v>
      </c>
      <c r="B7248" s="118" t="s">
        <v>195</v>
      </c>
      <c r="C7248" s="118" t="s">
        <v>206</v>
      </c>
      <c r="D7248" s="152" t="s">
        <v>8086</v>
      </c>
      <c r="E7248" s="152" t="s">
        <v>8151</v>
      </c>
      <c r="F7248" s="152" t="s">
        <v>494</v>
      </c>
      <c r="G7248" s="152" t="s">
        <v>4196</v>
      </c>
      <c r="H7248" s="153" t="s">
        <v>211</v>
      </c>
    </row>
    <row r="7249" hidden="1">
      <c r="A7249" s="154" t="s">
        <v>227</v>
      </c>
      <c r="B7249" s="155" t="s">
        <v>195</v>
      </c>
      <c r="C7249" s="155" t="s">
        <v>206</v>
      </c>
      <c r="D7249" s="156" t="s">
        <v>8086</v>
      </c>
      <c r="E7249" s="156" t="s">
        <v>8152</v>
      </c>
      <c r="F7249" s="156" t="s">
        <v>305</v>
      </c>
      <c r="G7249" s="156" t="s">
        <v>3404</v>
      </c>
      <c r="H7249" s="157" t="s">
        <v>212</v>
      </c>
    </row>
    <row r="7250" hidden="1">
      <c r="A7250" s="151" t="s">
        <v>227</v>
      </c>
      <c r="B7250" s="118" t="s">
        <v>195</v>
      </c>
      <c r="C7250" s="118" t="s">
        <v>206</v>
      </c>
      <c r="D7250" s="152" t="s">
        <v>8086</v>
      </c>
      <c r="E7250" s="152" t="s">
        <v>8153</v>
      </c>
      <c r="F7250" s="152" t="s">
        <v>450</v>
      </c>
      <c r="G7250" s="152" t="s">
        <v>3396</v>
      </c>
      <c r="H7250" s="153" t="s">
        <v>213</v>
      </c>
    </row>
    <row r="7251" hidden="1">
      <c r="A7251" s="154" t="s">
        <v>227</v>
      </c>
      <c r="B7251" s="155" t="s">
        <v>195</v>
      </c>
      <c r="C7251" s="155" t="s">
        <v>206</v>
      </c>
      <c r="D7251" s="156" t="s">
        <v>8086</v>
      </c>
      <c r="E7251" s="156" t="s">
        <v>8154</v>
      </c>
      <c r="F7251" s="156" t="s">
        <v>359</v>
      </c>
      <c r="G7251" s="156" t="s">
        <v>2113</v>
      </c>
      <c r="H7251" s="157" t="s">
        <v>214</v>
      </c>
    </row>
    <row r="7252" hidden="1">
      <c r="A7252" s="151" t="s">
        <v>227</v>
      </c>
      <c r="B7252" s="118" t="s">
        <v>195</v>
      </c>
      <c r="C7252" s="118" t="s">
        <v>206</v>
      </c>
      <c r="D7252" s="152" t="s">
        <v>8086</v>
      </c>
      <c r="E7252" s="152" t="s">
        <v>8155</v>
      </c>
      <c r="F7252" s="152" t="s">
        <v>405</v>
      </c>
      <c r="G7252" s="152" t="s">
        <v>3443</v>
      </c>
      <c r="H7252" s="153" t="s">
        <v>215</v>
      </c>
    </row>
    <row r="7253" hidden="1">
      <c r="A7253" s="154" t="s">
        <v>227</v>
      </c>
      <c r="B7253" s="155" t="s">
        <v>195</v>
      </c>
      <c r="C7253" s="155" t="s">
        <v>206</v>
      </c>
      <c r="D7253" s="156" t="s">
        <v>8086</v>
      </c>
      <c r="E7253" s="156" t="s">
        <v>8156</v>
      </c>
      <c r="F7253" s="156" t="s">
        <v>325</v>
      </c>
      <c r="G7253" s="156" t="s">
        <v>3900</v>
      </c>
      <c r="H7253" s="157" t="s">
        <v>216</v>
      </c>
    </row>
    <row r="7254" hidden="1">
      <c r="A7254" s="151" t="s">
        <v>228</v>
      </c>
      <c r="B7254" s="118" t="s">
        <v>138</v>
      </c>
      <c r="C7254" s="118" t="s">
        <v>206</v>
      </c>
      <c r="D7254" s="152" t="s">
        <v>8086</v>
      </c>
      <c r="E7254" s="152" t="s">
        <v>8157</v>
      </c>
      <c r="F7254" s="152" t="s">
        <v>450</v>
      </c>
      <c r="G7254" s="152" t="s">
        <v>4851</v>
      </c>
      <c r="H7254" s="153" t="s">
        <v>210</v>
      </c>
    </row>
    <row r="7255" hidden="1">
      <c r="A7255" s="154" t="s">
        <v>228</v>
      </c>
      <c r="B7255" s="155" t="s">
        <v>138</v>
      </c>
      <c r="C7255" s="155" t="s">
        <v>206</v>
      </c>
      <c r="D7255" s="156" t="s">
        <v>8086</v>
      </c>
      <c r="E7255" s="156" t="s">
        <v>8158</v>
      </c>
      <c r="F7255" s="156" t="s">
        <v>290</v>
      </c>
      <c r="G7255" s="156" t="s">
        <v>2663</v>
      </c>
      <c r="H7255" s="157" t="s">
        <v>211</v>
      </c>
    </row>
    <row r="7256" hidden="1">
      <c r="A7256" s="151" t="s">
        <v>228</v>
      </c>
      <c r="B7256" s="118" t="s">
        <v>138</v>
      </c>
      <c r="C7256" s="118" t="s">
        <v>206</v>
      </c>
      <c r="D7256" s="152" t="s">
        <v>8086</v>
      </c>
      <c r="E7256" s="152" t="s">
        <v>8159</v>
      </c>
      <c r="F7256" s="152" t="s">
        <v>323</v>
      </c>
      <c r="G7256" s="152" t="s">
        <v>2287</v>
      </c>
      <c r="H7256" s="153" t="s">
        <v>212</v>
      </c>
    </row>
    <row r="7257" hidden="1">
      <c r="A7257" s="154" t="s">
        <v>228</v>
      </c>
      <c r="B7257" s="155" t="s">
        <v>138</v>
      </c>
      <c r="C7257" s="155" t="s">
        <v>206</v>
      </c>
      <c r="D7257" s="156" t="s">
        <v>8086</v>
      </c>
      <c r="E7257" s="156" t="s">
        <v>8160</v>
      </c>
      <c r="F7257" s="156" t="s">
        <v>359</v>
      </c>
      <c r="G7257" s="156" t="s">
        <v>3207</v>
      </c>
      <c r="H7257" s="157" t="s">
        <v>213</v>
      </c>
    </row>
    <row r="7258" hidden="1">
      <c r="A7258" s="151" t="s">
        <v>228</v>
      </c>
      <c r="B7258" s="118" t="s">
        <v>138</v>
      </c>
      <c r="C7258" s="118" t="s">
        <v>206</v>
      </c>
      <c r="D7258" s="152" t="s">
        <v>8086</v>
      </c>
      <c r="E7258" s="152" t="s">
        <v>8161</v>
      </c>
      <c r="F7258" s="152" t="s">
        <v>308</v>
      </c>
      <c r="G7258" s="152" t="s">
        <v>2221</v>
      </c>
      <c r="H7258" s="153" t="s">
        <v>214</v>
      </c>
    </row>
    <row r="7259" hidden="1">
      <c r="A7259" s="154" t="s">
        <v>228</v>
      </c>
      <c r="B7259" s="155" t="s">
        <v>138</v>
      </c>
      <c r="C7259" s="155" t="s">
        <v>206</v>
      </c>
      <c r="D7259" s="156" t="s">
        <v>8086</v>
      </c>
      <c r="E7259" s="156" t="s">
        <v>8162</v>
      </c>
      <c r="F7259" s="156" t="s">
        <v>240</v>
      </c>
      <c r="G7259" s="156" t="s">
        <v>2221</v>
      </c>
      <c r="H7259" s="157" t="s">
        <v>215</v>
      </c>
    </row>
    <row r="7260" hidden="1">
      <c r="A7260" s="151" t="s">
        <v>228</v>
      </c>
      <c r="B7260" s="118" t="s">
        <v>138</v>
      </c>
      <c r="C7260" s="118" t="s">
        <v>206</v>
      </c>
      <c r="D7260" s="152" t="s">
        <v>8086</v>
      </c>
      <c r="E7260" s="152" t="s">
        <v>8163</v>
      </c>
      <c r="F7260" s="152" t="s">
        <v>310</v>
      </c>
      <c r="G7260" s="152" t="s">
        <v>3270</v>
      </c>
      <c r="H7260" s="153" t="s">
        <v>216</v>
      </c>
    </row>
    <row r="7261" hidden="1">
      <c r="A7261" s="154" t="s">
        <v>229</v>
      </c>
      <c r="B7261" s="155" t="s">
        <v>193</v>
      </c>
      <c r="C7261" s="155" t="s">
        <v>206</v>
      </c>
      <c r="D7261" s="156" t="s">
        <v>8086</v>
      </c>
      <c r="E7261" s="156" t="s">
        <v>8164</v>
      </c>
      <c r="F7261" s="156" t="s">
        <v>725</v>
      </c>
      <c r="G7261" s="156" t="s">
        <v>4502</v>
      </c>
      <c r="H7261" s="157" t="s">
        <v>210</v>
      </c>
    </row>
    <row r="7262" hidden="1">
      <c r="A7262" s="151" t="s">
        <v>229</v>
      </c>
      <c r="B7262" s="118" t="s">
        <v>193</v>
      </c>
      <c r="C7262" s="118" t="s">
        <v>206</v>
      </c>
      <c r="D7262" s="152" t="s">
        <v>8086</v>
      </c>
      <c r="E7262" s="152" t="s">
        <v>8165</v>
      </c>
      <c r="F7262" s="152" t="s">
        <v>425</v>
      </c>
      <c r="G7262" s="152" t="s">
        <v>4024</v>
      </c>
      <c r="H7262" s="153" t="s">
        <v>211</v>
      </c>
    </row>
    <row r="7263" hidden="1">
      <c r="A7263" s="154" t="s">
        <v>229</v>
      </c>
      <c r="B7263" s="155" t="s">
        <v>193</v>
      </c>
      <c r="C7263" s="155" t="s">
        <v>206</v>
      </c>
      <c r="D7263" s="156" t="s">
        <v>8086</v>
      </c>
      <c r="E7263" s="156" t="s">
        <v>8166</v>
      </c>
      <c r="F7263" s="156" t="s">
        <v>427</v>
      </c>
      <c r="G7263" s="156" t="s">
        <v>4073</v>
      </c>
      <c r="H7263" s="157" t="s">
        <v>212</v>
      </c>
    </row>
    <row r="7264" hidden="1">
      <c r="A7264" s="151" t="s">
        <v>229</v>
      </c>
      <c r="B7264" s="118" t="s">
        <v>193</v>
      </c>
      <c r="C7264" s="118" t="s">
        <v>206</v>
      </c>
      <c r="D7264" s="152" t="s">
        <v>8086</v>
      </c>
      <c r="E7264" s="152" t="s">
        <v>8167</v>
      </c>
      <c r="F7264" s="152" t="s">
        <v>336</v>
      </c>
      <c r="G7264" s="152" t="s">
        <v>4376</v>
      </c>
      <c r="H7264" s="153" t="s">
        <v>213</v>
      </c>
    </row>
    <row r="7265" hidden="1">
      <c r="A7265" s="154" t="s">
        <v>229</v>
      </c>
      <c r="B7265" s="155" t="s">
        <v>193</v>
      </c>
      <c r="C7265" s="155" t="s">
        <v>206</v>
      </c>
      <c r="D7265" s="156" t="s">
        <v>8086</v>
      </c>
      <c r="E7265" s="156" t="s">
        <v>8168</v>
      </c>
      <c r="F7265" s="156" t="s">
        <v>285</v>
      </c>
      <c r="G7265" s="156" t="s">
        <v>4290</v>
      </c>
      <c r="H7265" s="157" t="s">
        <v>214</v>
      </c>
    </row>
    <row r="7266" hidden="1">
      <c r="A7266" s="151" t="s">
        <v>229</v>
      </c>
      <c r="B7266" s="118" t="s">
        <v>193</v>
      </c>
      <c r="C7266" s="118" t="s">
        <v>206</v>
      </c>
      <c r="D7266" s="152" t="s">
        <v>8086</v>
      </c>
      <c r="E7266" s="152" t="s">
        <v>8169</v>
      </c>
      <c r="F7266" s="152" t="s">
        <v>478</v>
      </c>
      <c r="G7266" s="152" t="s">
        <v>3790</v>
      </c>
      <c r="H7266" s="153" t="s">
        <v>215</v>
      </c>
    </row>
    <row r="7267" hidden="1">
      <c r="A7267" s="154" t="s">
        <v>229</v>
      </c>
      <c r="B7267" s="155" t="s">
        <v>193</v>
      </c>
      <c r="C7267" s="155" t="s">
        <v>206</v>
      </c>
      <c r="D7267" s="156" t="s">
        <v>8086</v>
      </c>
      <c r="E7267" s="156" t="s">
        <v>8170</v>
      </c>
      <c r="F7267" s="156" t="s">
        <v>329</v>
      </c>
      <c r="G7267" s="156" t="s">
        <v>3783</v>
      </c>
      <c r="H7267" s="157" t="s">
        <v>216</v>
      </c>
    </row>
    <row r="7268" hidden="1">
      <c r="A7268" s="151" t="s">
        <v>230</v>
      </c>
      <c r="B7268" s="118" t="s">
        <v>194</v>
      </c>
      <c r="C7268" s="118" t="s">
        <v>206</v>
      </c>
      <c r="D7268" s="152" t="s">
        <v>8086</v>
      </c>
      <c r="E7268" s="152" t="s">
        <v>8171</v>
      </c>
      <c r="F7268" s="152" t="s">
        <v>242</v>
      </c>
      <c r="G7268" s="152" t="s">
        <v>1951</v>
      </c>
      <c r="H7268" s="153" t="s">
        <v>210</v>
      </c>
    </row>
    <row r="7269" hidden="1">
      <c r="A7269" s="154" t="s">
        <v>230</v>
      </c>
      <c r="B7269" s="155" t="s">
        <v>194</v>
      </c>
      <c r="C7269" s="155" t="s">
        <v>206</v>
      </c>
      <c r="D7269" s="156" t="s">
        <v>8086</v>
      </c>
      <c r="E7269" s="156" t="s">
        <v>8172</v>
      </c>
      <c r="F7269" s="156" t="s">
        <v>365</v>
      </c>
      <c r="G7269" s="156" t="s">
        <v>2600</v>
      </c>
      <c r="H7269" s="157" t="s">
        <v>211</v>
      </c>
    </row>
    <row r="7270" hidden="1">
      <c r="A7270" s="151" t="s">
        <v>230</v>
      </c>
      <c r="B7270" s="118" t="s">
        <v>194</v>
      </c>
      <c r="C7270" s="118" t="s">
        <v>206</v>
      </c>
      <c r="D7270" s="152" t="s">
        <v>8086</v>
      </c>
      <c r="E7270" s="152" t="s">
        <v>8173</v>
      </c>
      <c r="F7270" s="152" t="s">
        <v>351</v>
      </c>
      <c r="G7270" s="152" t="s">
        <v>2305</v>
      </c>
      <c r="H7270" s="153" t="s">
        <v>212</v>
      </c>
    </row>
    <row r="7271" hidden="1">
      <c r="A7271" s="154" t="s">
        <v>230</v>
      </c>
      <c r="B7271" s="155" t="s">
        <v>194</v>
      </c>
      <c r="C7271" s="155" t="s">
        <v>206</v>
      </c>
      <c r="D7271" s="156" t="s">
        <v>8086</v>
      </c>
      <c r="E7271" s="156" t="s">
        <v>8174</v>
      </c>
      <c r="F7271" s="156" t="s">
        <v>310</v>
      </c>
      <c r="G7271" s="156" t="s">
        <v>2405</v>
      </c>
      <c r="H7271" s="157" t="s">
        <v>213</v>
      </c>
    </row>
    <row r="7272" hidden="1">
      <c r="A7272" s="151" t="s">
        <v>230</v>
      </c>
      <c r="B7272" s="118" t="s">
        <v>194</v>
      </c>
      <c r="C7272" s="118" t="s">
        <v>206</v>
      </c>
      <c r="D7272" s="152" t="s">
        <v>8086</v>
      </c>
      <c r="E7272" s="152" t="s">
        <v>8175</v>
      </c>
      <c r="F7272" s="152" t="s">
        <v>323</v>
      </c>
      <c r="G7272" s="152" t="s">
        <v>3341</v>
      </c>
      <c r="H7272" s="153" t="s">
        <v>214</v>
      </c>
    </row>
    <row r="7273" hidden="1">
      <c r="A7273" s="154" t="s">
        <v>230</v>
      </c>
      <c r="B7273" s="155" t="s">
        <v>194</v>
      </c>
      <c r="C7273" s="155" t="s">
        <v>206</v>
      </c>
      <c r="D7273" s="156" t="s">
        <v>8086</v>
      </c>
      <c r="E7273" s="156" t="s">
        <v>8176</v>
      </c>
      <c r="F7273" s="156" t="s">
        <v>450</v>
      </c>
      <c r="G7273" s="156" t="s">
        <v>2309</v>
      </c>
      <c r="H7273" s="157" t="s">
        <v>215</v>
      </c>
    </row>
    <row r="7274" hidden="1">
      <c r="A7274" s="151" t="s">
        <v>230</v>
      </c>
      <c r="B7274" s="118" t="s">
        <v>194</v>
      </c>
      <c r="C7274" s="118" t="s">
        <v>206</v>
      </c>
      <c r="D7274" s="152" t="s">
        <v>8086</v>
      </c>
      <c r="E7274" s="152" t="s">
        <v>8177</v>
      </c>
      <c r="F7274" s="152" t="s">
        <v>285</v>
      </c>
      <c r="G7274" s="152" t="s">
        <v>2385</v>
      </c>
      <c r="H7274" s="153" t="s">
        <v>216</v>
      </c>
    </row>
    <row r="7275" hidden="1">
      <c r="A7275" s="158" t="s">
        <v>231</v>
      </c>
      <c r="B7275" s="159"/>
      <c r="C7275" s="155" t="s">
        <v>232</v>
      </c>
      <c r="D7275" s="156" t="s">
        <v>8086</v>
      </c>
      <c r="E7275" s="156" t="s">
        <v>8178</v>
      </c>
      <c r="F7275" s="156" t="s">
        <v>3359</v>
      </c>
      <c r="G7275" s="156" t="s">
        <v>2513</v>
      </c>
      <c r="H7275" s="157" t="s">
        <v>210</v>
      </c>
    </row>
    <row r="7276" hidden="1">
      <c r="A7276" s="160" t="s">
        <v>231</v>
      </c>
      <c r="B7276" s="72"/>
      <c r="C7276" s="118" t="s">
        <v>232</v>
      </c>
      <c r="D7276" s="152" t="s">
        <v>8086</v>
      </c>
      <c r="E7276" s="152" t="s">
        <v>8179</v>
      </c>
      <c r="F7276" s="152" t="s">
        <v>1999</v>
      </c>
      <c r="G7276" s="152" t="s">
        <v>2820</v>
      </c>
      <c r="H7276" s="153" t="s">
        <v>211</v>
      </c>
    </row>
    <row r="7277" hidden="1">
      <c r="A7277" s="158" t="s">
        <v>231</v>
      </c>
      <c r="B7277" s="159"/>
      <c r="C7277" s="155" t="s">
        <v>232</v>
      </c>
      <c r="D7277" s="156" t="s">
        <v>8086</v>
      </c>
      <c r="E7277" s="156" t="s">
        <v>8180</v>
      </c>
      <c r="F7277" s="156" t="s">
        <v>331</v>
      </c>
      <c r="G7277" s="156" t="s">
        <v>3475</v>
      </c>
      <c r="H7277" s="157" t="s">
        <v>212</v>
      </c>
    </row>
    <row r="7278" hidden="1">
      <c r="A7278" s="160" t="s">
        <v>231</v>
      </c>
      <c r="B7278" s="72"/>
      <c r="C7278" s="118" t="s">
        <v>232</v>
      </c>
      <c r="D7278" s="152" t="s">
        <v>8086</v>
      </c>
      <c r="E7278" s="152" t="s">
        <v>8181</v>
      </c>
      <c r="F7278" s="152" t="s">
        <v>1999</v>
      </c>
      <c r="G7278" s="152" t="s">
        <v>2177</v>
      </c>
      <c r="H7278" s="153" t="s">
        <v>213</v>
      </c>
    </row>
    <row r="7279" hidden="1">
      <c r="A7279" s="158" t="s">
        <v>231</v>
      </c>
      <c r="B7279" s="159"/>
      <c r="C7279" s="155" t="s">
        <v>232</v>
      </c>
      <c r="D7279" s="156" t="s">
        <v>8086</v>
      </c>
      <c r="E7279" s="156" t="s">
        <v>8182</v>
      </c>
      <c r="F7279" s="156" t="s">
        <v>348</v>
      </c>
      <c r="G7279" s="156" t="s">
        <v>2113</v>
      </c>
      <c r="H7279" s="157" t="s">
        <v>214</v>
      </c>
    </row>
    <row r="7280" hidden="1">
      <c r="A7280" s="160" t="s">
        <v>231</v>
      </c>
      <c r="B7280" s="72"/>
      <c r="C7280" s="118" t="s">
        <v>232</v>
      </c>
      <c r="D7280" s="152" t="s">
        <v>8086</v>
      </c>
      <c r="E7280" s="152" t="s">
        <v>8183</v>
      </c>
      <c r="F7280" s="152" t="s">
        <v>1532</v>
      </c>
      <c r="G7280" s="152" t="s">
        <v>3756</v>
      </c>
      <c r="H7280" s="153" t="s">
        <v>215</v>
      </c>
    </row>
    <row r="7281" hidden="1">
      <c r="A7281" s="158" t="s">
        <v>231</v>
      </c>
      <c r="B7281" s="159"/>
      <c r="C7281" s="155" t="s">
        <v>232</v>
      </c>
      <c r="D7281" s="156" t="s">
        <v>8086</v>
      </c>
      <c r="E7281" s="156" t="s">
        <v>8184</v>
      </c>
      <c r="F7281" s="156" t="s">
        <v>760</v>
      </c>
      <c r="G7281" s="156" t="s">
        <v>3449</v>
      </c>
      <c r="H7281" s="157" t="s">
        <v>216</v>
      </c>
    </row>
    <row r="7282" hidden="1">
      <c r="A7282" s="160" t="s">
        <v>233</v>
      </c>
      <c r="B7282" s="72"/>
      <c r="C7282" s="118" t="s">
        <v>232</v>
      </c>
      <c r="D7282" s="152" t="s">
        <v>8086</v>
      </c>
      <c r="E7282" s="152" t="s">
        <v>8185</v>
      </c>
      <c r="F7282" s="152" t="s">
        <v>339</v>
      </c>
      <c r="G7282" s="152" t="s">
        <v>3838</v>
      </c>
      <c r="H7282" s="153" t="s">
        <v>210</v>
      </c>
    </row>
    <row r="7283" hidden="1">
      <c r="A7283" s="158" t="s">
        <v>233</v>
      </c>
      <c r="B7283" s="159"/>
      <c r="C7283" s="155" t="s">
        <v>232</v>
      </c>
      <c r="D7283" s="156" t="s">
        <v>8086</v>
      </c>
      <c r="E7283" s="156" t="s">
        <v>8186</v>
      </c>
      <c r="F7283" s="156" t="s">
        <v>305</v>
      </c>
      <c r="G7283" s="156" t="s">
        <v>4161</v>
      </c>
      <c r="H7283" s="157" t="s">
        <v>211</v>
      </c>
    </row>
    <row r="7284" hidden="1">
      <c r="A7284" s="160" t="s">
        <v>233</v>
      </c>
      <c r="B7284" s="72"/>
      <c r="C7284" s="118" t="s">
        <v>232</v>
      </c>
      <c r="D7284" s="152" t="s">
        <v>8086</v>
      </c>
      <c r="E7284" s="152" t="s">
        <v>8187</v>
      </c>
      <c r="F7284" s="152" t="s">
        <v>534</v>
      </c>
      <c r="G7284" s="152" t="s">
        <v>3616</v>
      </c>
      <c r="H7284" s="153" t="s">
        <v>212</v>
      </c>
    </row>
    <row r="7285" hidden="1">
      <c r="A7285" s="158" t="s">
        <v>233</v>
      </c>
      <c r="B7285" s="159"/>
      <c r="C7285" s="155" t="s">
        <v>232</v>
      </c>
      <c r="D7285" s="156" t="s">
        <v>8086</v>
      </c>
      <c r="E7285" s="156" t="s">
        <v>8188</v>
      </c>
      <c r="F7285" s="156" t="s">
        <v>305</v>
      </c>
      <c r="G7285" s="156" t="s">
        <v>4161</v>
      </c>
      <c r="H7285" s="157" t="s">
        <v>213</v>
      </c>
    </row>
    <row r="7286" hidden="1">
      <c r="A7286" s="160" t="s">
        <v>233</v>
      </c>
      <c r="B7286" s="72"/>
      <c r="C7286" s="118" t="s">
        <v>232</v>
      </c>
      <c r="D7286" s="152" t="s">
        <v>8086</v>
      </c>
      <c r="E7286" s="152" t="s">
        <v>8189</v>
      </c>
      <c r="F7286" s="152" t="s">
        <v>321</v>
      </c>
      <c r="G7286" s="152" t="s">
        <v>3905</v>
      </c>
      <c r="H7286" s="153" t="s">
        <v>214</v>
      </c>
    </row>
    <row r="7287" hidden="1">
      <c r="A7287" s="158" t="s">
        <v>233</v>
      </c>
      <c r="B7287" s="159"/>
      <c r="C7287" s="155" t="s">
        <v>232</v>
      </c>
      <c r="D7287" s="156" t="s">
        <v>8086</v>
      </c>
      <c r="E7287" s="156" t="s">
        <v>8190</v>
      </c>
      <c r="F7287" s="156" t="s">
        <v>425</v>
      </c>
      <c r="G7287" s="156" t="s">
        <v>3838</v>
      </c>
      <c r="H7287" s="157" t="s">
        <v>215</v>
      </c>
    </row>
    <row r="7288" hidden="1">
      <c r="A7288" s="160" t="s">
        <v>233</v>
      </c>
      <c r="B7288" s="72"/>
      <c r="C7288" s="118" t="s">
        <v>232</v>
      </c>
      <c r="D7288" s="152" t="s">
        <v>8086</v>
      </c>
      <c r="E7288" s="152" t="s">
        <v>8191</v>
      </c>
      <c r="F7288" s="152" t="s">
        <v>351</v>
      </c>
      <c r="G7288" s="152" t="s">
        <v>3616</v>
      </c>
      <c r="H7288" s="153" t="s">
        <v>216</v>
      </c>
    </row>
    <row r="7289" hidden="1">
      <c r="A7289" s="158" t="s">
        <v>234</v>
      </c>
      <c r="B7289" s="159"/>
      <c r="C7289" s="155" t="s">
        <v>232</v>
      </c>
      <c r="D7289" s="156" t="s">
        <v>8086</v>
      </c>
      <c r="E7289" s="156" t="s">
        <v>8192</v>
      </c>
      <c r="F7289" s="156" t="s">
        <v>427</v>
      </c>
      <c r="G7289" s="156" t="s">
        <v>3360</v>
      </c>
      <c r="H7289" s="157" t="s">
        <v>210</v>
      </c>
    </row>
    <row r="7290" hidden="1">
      <c r="A7290" s="160" t="s">
        <v>234</v>
      </c>
      <c r="B7290" s="72"/>
      <c r="C7290" s="118" t="s">
        <v>232</v>
      </c>
      <c r="D7290" s="152" t="s">
        <v>8086</v>
      </c>
      <c r="E7290" s="152" t="s">
        <v>8193</v>
      </c>
      <c r="F7290" s="152" t="s">
        <v>331</v>
      </c>
      <c r="G7290" s="152" t="s">
        <v>2393</v>
      </c>
      <c r="H7290" s="153" t="s">
        <v>211</v>
      </c>
    </row>
    <row r="7291" hidden="1">
      <c r="A7291" s="158" t="s">
        <v>234</v>
      </c>
      <c r="B7291" s="159"/>
      <c r="C7291" s="155" t="s">
        <v>232</v>
      </c>
      <c r="D7291" s="156" t="s">
        <v>8086</v>
      </c>
      <c r="E7291" s="156" t="s">
        <v>8194</v>
      </c>
      <c r="F7291" s="156" t="s">
        <v>365</v>
      </c>
      <c r="G7291" s="156" t="s">
        <v>2999</v>
      </c>
      <c r="H7291" s="157" t="s">
        <v>212</v>
      </c>
    </row>
    <row r="7292" hidden="1">
      <c r="A7292" s="160" t="s">
        <v>234</v>
      </c>
      <c r="B7292" s="72"/>
      <c r="C7292" s="118" t="s">
        <v>232</v>
      </c>
      <c r="D7292" s="152" t="s">
        <v>8086</v>
      </c>
      <c r="E7292" s="152" t="s">
        <v>8195</v>
      </c>
      <c r="F7292" s="152" t="s">
        <v>365</v>
      </c>
      <c r="G7292" s="152" t="s">
        <v>2450</v>
      </c>
      <c r="H7292" s="153" t="s">
        <v>213</v>
      </c>
    </row>
    <row r="7293" hidden="1">
      <c r="A7293" s="158" t="s">
        <v>234</v>
      </c>
      <c r="B7293" s="159"/>
      <c r="C7293" s="155" t="s">
        <v>232</v>
      </c>
      <c r="D7293" s="156" t="s">
        <v>8086</v>
      </c>
      <c r="E7293" s="156" t="s">
        <v>8196</v>
      </c>
      <c r="F7293" s="156" t="s">
        <v>365</v>
      </c>
      <c r="G7293" s="156" t="s">
        <v>1932</v>
      </c>
      <c r="H7293" s="157" t="s">
        <v>214</v>
      </c>
    </row>
    <row r="7294" hidden="1">
      <c r="A7294" s="160" t="s">
        <v>234</v>
      </c>
      <c r="B7294" s="72"/>
      <c r="C7294" s="118" t="s">
        <v>232</v>
      </c>
      <c r="D7294" s="152" t="s">
        <v>8086</v>
      </c>
      <c r="E7294" s="152" t="s">
        <v>8197</v>
      </c>
      <c r="F7294" s="152" t="s">
        <v>285</v>
      </c>
      <c r="G7294" s="152" t="s">
        <v>2762</v>
      </c>
      <c r="H7294" s="153" t="s">
        <v>215</v>
      </c>
    </row>
    <row r="7295" hidden="1">
      <c r="A7295" s="158" t="s">
        <v>234</v>
      </c>
      <c r="B7295" s="159"/>
      <c r="C7295" s="155" t="s">
        <v>232</v>
      </c>
      <c r="D7295" s="156" t="s">
        <v>8086</v>
      </c>
      <c r="E7295" s="156" t="s">
        <v>8198</v>
      </c>
      <c r="F7295" s="156" t="s">
        <v>534</v>
      </c>
      <c r="G7295" s="156" t="s">
        <v>2999</v>
      </c>
      <c r="H7295" s="157" t="s">
        <v>216</v>
      </c>
    </row>
    <row r="7296" hidden="1">
      <c r="A7296" s="160" t="s">
        <v>235</v>
      </c>
      <c r="B7296" s="72"/>
      <c r="C7296" s="118" t="s">
        <v>236</v>
      </c>
      <c r="D7296" s="152" t="s">
        <v>8086</v>
      </c>
      <c r="E7296" s="152" t="s">
        <v>8199</v>
      </c>
      <c r="F7296" s="152" t="s">
        <v>450</v>
      </c>
      <c r="G7296" s="152" t="s">
        <v>3790</v>
      </c>
      <c r="H7296" s="153" t="s">
        <v>210</v>
      </c>
    </row>
    <row r="7297" hidden="1">
      <c r="A7297" s="158" t="s">
        <v>235</v>
      </c>
      <c r="B7297" s="159"/>
      <c r="C7297" s="155" t="s">
        <v>236</v>
      </c>
      <c r="D7297" s="156" t="s">
        <v>8086</v>
      </c>
      <c r="E7297" s="156" t="s">
        <v>8200</v>
      </c>
      <c r="F7297" s="156" t="s">
        <v>351</v>
      </c>
      <c r="G7297" s="156" t="s">
        <v>3911</v>
      </c>
      <c r="H7297" s="157" t="s">
        <v>211</v>
      </c>
    </row>
    <row r="7298" hidden="1">
      <c r="A7298" s="160" t="s">
        <v>235</v>
      </c>
      <c r="B7298" s="72"/>
      <c r="C7298" s="118" t="s">
        <v>236</v>
      </c>
      <c r="D7298" s="152" t="s">
        <v>8086</v>
      </c>
      <c r="E7298" s="152" t="s">
        <v>8201</v>
      </c>
      <c r="F7298" s="152" t="s">
        <v>308</v>
      </c>
      <c r="G7298" s="152" t="s">
        <v>4196</v>
      </c>
      <c r="H7298" s="153" t="s">
        <v>212</v>
      </c>
    </row>
    <row r="7299" hidden="1">
      <c r="A7299" s="158" t="s">
        <v>235</v>
      </c>
      <c r="B7299" s="159"/>
      <c r="C7299" s="155" t="s">
        <v>236</v>
      </c>
      <c r="D7299" s="156" t="s">
        <v>8086</v>
      </c>
      <c r="E7299" s="156" t="s">
        <v>8202</v>
      </c>
      <c r="F7299" s="156" t="s">
        <v>351</v>
      </c>
      <c r="G7299" s="156" t="s">
        <v>3840</v>
      </c>
      <c r="H7299" s="157" t="s">
        <v>213</v>
      </c>
    </row>
    <row r="7300" hidden="1">
      <c r="A7300" s="160" t="s">
        <v>235</v>
      </c>
      <c r="B7300" s="72"/>
      <c r="C7300" s="118" t="s">
        <v>236</v>
      </c>
      <c r="D7300" s="152" t="s">
        <v>8086</v>
      </c>
      <c r="E7300" s="152" t="s">
        <v>8203</v>
      </c>
      <c r="F7300" s="152" t="s">
        <v>534</v>
      </c>
      <c r="G7300" s="152" t="s">
        <v>3532</v>
      </c>
      <c r="H7300" s="153" t="s">
        <v>214</v>
      </c>
    </row>
    <row r="7301" hidden="1">
      <c r="A7301" s="158" t="s">
        <v>235</v>
      </c>
      <c r="B7301" s="159"/>
      <c r="C7301" s="155" t="s">
        <v>236</v>
      </c>
      <c r="D7301" s="156" t="s">
        <v>8086</v>
      </c>
      <c r="E7301" s="156" t="s">
        <v>8204</v>
      </c>
      <c r="F7301" s="156" t="s">
        <v>325</v>
      </c>
      <c r="G7301" s="156" t="s">
        <v>4743</v>
      </c>
      <c r="H7301" s="157" t="s">
        <v>215</v>
      </c>
    </row>
    <row r="7302" hidden="1">
      <c r="A7302" s="160" t="s">
        <v>235</v>
      </c>
      <c r="B7302" s="72"/>
      <c r="C7302" s="118" t="s">
        <v>236</v>
      </c>
      <c r="D7302" s="152" t="s">
        <v>8086</v>
      </c>
      <c r="E7302" s="152" t="s">
        <v>8205</v>
      </c>
      <c r="F7302" s="152" t="s">
        <v>427</v>
      </c>
      <c r="G7302" s="152" t="s">
        <v>1779</v>
      </c>
      <c r="H7302" s="153" t="s">
        <v>216</v>
      </c>
    </row>
    <row r="7303" hidden="1">
      <c r="A7303" s="158" t="s">
        <v>237</v>
      </c>
      <c r="B7303" s="159"/>
      <c r="C7303" s="155" t="s">
        <v>236</v>
      </c>
      <c r="D7303" s="156" t="s">
        <v>8086</v>
      </c>
      <c r="E7303" s="156" t="s">
        <v>8206</v>
      </c>
      <c r="F7303" s="156" t="s">
        <v>329</v>
      </c>
      <c r="G7303" s="156" t="s">
        <v>3620</v>
      </c>
      <c r="H7303" s="157" t="s">
        <v>210</v>
      </c>
    </row>
    <row r="7304" hidden="1">
      <c r="A7304" s="160" t="s">
        <v>237</v>
      </c>
      <c r="B7304" s="72"/>
      <c r="C7304" s="118" t="s">
        <v>236</v>
      </c>
      <c r="D7304" s="152" t="s">
        <v>8086</v>
      </c>
      <c r="E7304" s="152" t="s">
        <v>8207</v>
      </c>
      <c r="F7304" s="152" t="s">
        <v>450</v>
      </c>
      <c r="G7304" s="152" t="s">
        <v>3312</v>
      </c>
      <c r="H7304" s="153" t="s">
        <v>211</v>
      </c>
    </row>
    <row r="7305" hidden="1">
      <c r="A7305" s="158" t="s">
        <v>237</v>
      </c>
      <c r="B7305" s="159"/>
      <c r="C7305" s="155" t="s">
        <v>236</v>
      </c>
      <c r="D7305" s="156" t="s">
        <v>8086</v>
      </c>
      <c r="E7305" s="156" t="s">
        <v>8208</v>
      </c>
      <c r="F7305" s="156" t="s">
        <v>339</v>
      </c>
      <c r="G7305" s="156" t="s">
        <v>3226</v>
      </c>
      <c r="H7305" s="157" t="s">
        <v>212</v>
      </c>
    </row>
    <row r="7306" hidden="1">
      <c r="A7306" s="160" t="s">
        <v>237</v>
      </c>
      <c r="B7306" s="72"/>
      <c r="C7306" s="118" t="s">
        <v>236</v>
      </c>
      <c r="D7306" s="152" t="s">
        <v>8086</v>
      </c>
      <c r="E7306" s="152" t="s">
        <v>8209</v>
      </c>
      <c r="F7306" s="152" t="s">
        <v>534</v>
      </c>
      <c r="G7306" s="152" t="s">
        <v>2455</v>
      </c>
      <c r="H7306" s="153" t="s">
        <v>213</v>
      </c>
    </row>
    <row r="7307" hidden="1">
      <c r="A7307" s="158" t="s">
        <v>237</v>
      </c>
      <c r="B7307" s="159"/>
      <c r="C7307" s="155" t="s">
        <v>236</v>
      </c>
      <c r="D7307" s="156" t="s">
        <v>8086</v>
      </c>
      <c r="E7307" s="156" t="s">
        <v>8210</v>
      </c>
      <c r="F7307" s="156" t="s">
        <v>359</v>
      </c>
      <c r="G7307" s="156" t="s">
        <v>1932</v>
      </c>
      <c r="H7307" s="157" t="s">
        <v>214</v>
      </c>
    </row>
    <row r="7308" hidden="1">
      <c r="A7308" s="160" t="s">
        <v>237</v>
      </c>
      <c r="B7308" s="72"/>
      <c r="C7308" s="118" t="s">
        <v>236</v>
      </c>
      <c r="D7308" s="152" t="s">
        <v>8086</v>
      </c>
      <c r="E7308" s="152" t="s">
        <v>8211</v>
      </c>
      <c r="F7308" s="152" t="s">
        <v>336</v>
      </c>
      <c r="G7308" s="152" t="s">
        <v>2450</v>
      </c>
      <c r="H7308" s="153" t="s">
        <v>215</v>
      </c>
    </row>
    <row r="7309" hidden="1">
      <c r="A7309" s="158" t="s">
        <v>237</v>
      </c>
      <c r="B7309" s="159"/>
      <c r="C7309" s="155" t="s">
        <v>236</v>
      </c>
      <c r="D7309" s="156" t="s">
        <v>8086</v>
      </c>
      <c r="E7309" s="156" t="s">
        <v>8212</v>
      </c>
      <c r="F7309" s="156" t="s">
        <v>450</v>
      </c>
      <c r="G7309" s="156" t="s">
        <v>3523</v>
      </c>
      <c r="H7309" s="157" t="s">
        <v>216</v>
      </c>
    </row>
    <row r="7310" hidden="1">
      <c r="A7310" s="151" t="s">
        <v>204</v>
      </c>
      <c r="B7310" s="118" t="s">
        <v>205</v>
      </c>
      <c r="C7310" s="118" t="s">
        <v>206</v>
      </c>
      <c r="D7310" s="152" t="s">
        <v>8213</v>
      </c>
      <c r="E7310" s="152" t="s">
        <v>8214</v>
      </c>
      <c r="F7310" s="152" t="s">
        <v>325</v>
      </c>
      <c r="G7310" s="152" t="s">
        <v>3900</v>
      </c>
      <c r="H7310" s="153" t="s">
        <v>210</v>
      </c>
    </row>
    <row r="7311" hidden="1">
      <c r="A7311" s="154" t="s">
        <v>204</v>
      </c>
      <c r="B7311" s="155" t="s">
        <v>205</v>
      </c>
      <c r="C7311" s="155" t="s">
        <v>206</v>
      </c>
      <c r="D7311" s="156" t="s">
        <v>8213</v>
      </c>
      <c r="E7311" s="156" t="s">
        <v>8215</v>
      </c>
      <c r="F7311" s="156" t="s">
        <v>339</v>
      </c>
      <c r="G7311" s="156" t="s">
        <v>1995</v>
      </c>
      <c r="H7311" s="157" t="s">
        <v>211</v>
      </c>
    </row>
    <row r="7312" hidden="1">
      <c r="A7312" s="151" t="s">
        <v>204</v>
      </c>
      <c r="B7312" s="118" t="s">
        <v>205</v>
      </c>
      <c r="C7312" s="118" t="s">
        <v>206</v>
      </c>
      <c r="D7312" s="152" t="s">
        <v>8213</v>
      </c>
      <c r="E7312" s="152" t="s">
        <v>8216</v>
      </c>
      <c r="F7312" s="152" t="s">
        <v>427</v>
      </c>
      <c r="G7312" s="152" t="s">
        <v>1995</v>
      </c>
      <c r="H7312" s="153" t="s">
        <v>212</v>
      </c>
    </row>
    <row r="7313" hidden="1">
      <c r="A7313" s="154" t="s">
        <v>204</v>
      </c>
      <c r="B7313" s="155" t="s">
        <v>205</v>
      </c>
      <c r="C7313" s="155" t="s">
        <v>206</v>
      </c>
      <c r="D7313" s="156" t="s">
        <v>8213</v>
      </c>
      <c r="E7313" s="156" t="s">
        <v>8217</v>
      </c>
      <c r="F7313" s="156" t="s">
        <v>305</v>
      </c>
      <c r="G7313" s="156" t="s">
        <v>2348</v>
      </c>
      <c r="H7313" s="157" t="s">
        <v>213</v>
      </c>
    </row>
    <row r="7314" hidden="1">
      <c r="A7314" s="151" t="s">
        <v>204</v>
      </c>
      <c r="B7314" s="118" t="s">
        <v>205</v>
      </c>
      <c r="C7314" s="118" t="s">
        <v>206</v>
      </c>
      <c r="D7314" s="152" t="s">
        <v>8213</v>
      </c>
      <c r="E7314" s="152" t="s">
        <v>8218</v>
      </c>
      <c r="F7314" s="152" t="s">
        <v>310</v>
      </c>
      <c r="G7314" s="152" t="s">
        <v>3919</v>
      </c>
      <c r="H7314" s="153" t="s">
        <v>214</v>
      </c>
    </row>
    <row r="7315" hidden="1">
      <c r="A7315" s="154" t="s">
        <v>204</v>
      </c>
      <c r="B7315" s="155" t="s">
        <v>205</v>
      </c>
      <c r="C7315" s="155" t="s">
        <v>206</v>
      </c>
      <c r="D7315" s="156" t="s">
        <v>8213</v>
      </c>
      <c r="E7315" s="156" t="s">
        <v>8219</v>
      </c>
      <c r="F7315" s="156" t="s">
        <v>290</v>
      </c>
      <c r="G7315" s="156" t="s">
        <v>4194</v>
      </c>
      <c r="H7315" s="157" t="s">
        <v>215</v>
      </c>
    </row>
    <row r="7316" hidden="1">
      <c r="A7316" s="151" t="s">
        <v>204</v>
      </c>
      <c r="B7316" s="118" t="s">
        <v>205</v>
      </c>
      <c r="C7316" s="118" t="s">
        <v>206</v>
      </c>
      <c r="D7316" s="152" t="s">
        <v>8213</v>
      </c>
      <c r="E7316" s="152" t="s">
        <v>8220</v>
      </c>
      <c r="F7316" s="152" t="s">
        <v>427</v>
      </c>
      <c r="G7316" s="152" t="s">
        <v>3270</v>
      </c>
      <c r="H7316" s="153" t="s">
        <v>216</v>
      </c>
    </row>
    <row r="7317" hidden="1">
      <c r="A7317" s="154" t="s">
        <v>217</v>
      </c>
      <c r="B7317" s="155" t="s">
        <v>191</v>
      </c>
      <c r="C7317" s="155" t="s">
        <v>206</v>
      </c>
      <c r="D7317" s="156" t="s">
        <v>8213</v>
      </c>
      <c r="E7317" s="156" t="s">
        <v>8221</v>
      </c>
      <c r="F7317" s="156" t="s">
        <v>336</v>
      </c>
      <c r="G7317" s="156" t="s">
        <v>2354</v>
      </c>
      <c r="H7317" s="157" t="s">
        <v>210</v>
      </c>
    </row>
    <row r="7318" hidden="1">
      <c r="A7318" s="151" t="s">
        <v>217</v>
      </c>
      <c r="B7318" s="118" t="s">
        <v>191</v>
      </c>
      <c r="C7318" s="118" t="s">
        <v>206</v>
      </c>
      <c r="D7318" s="152" t="s">
        <v>8213</v>
      </c>
      <c r="E7318" s="152" t="s">
        <v>8222</v>
      </c>
      <c r="F7318" s="152" t="s">
        <v>339</v>
      </c>
      <c r="G7318" s="152" t="s">
        <v>3844</v>
      </c>
      <c r="H7318" s="153" t="s">
        <v>211</v>
      </c>
    </row>
    <row r="7319" hidden="1">
      <c r="A7319" s="154" t="s">
        <v>217</v>
      </c>
      <c r="B7319" s="155" t="s">
        <v>191</v>
      </c>
      <c r="C7319" s="155" t="s">
        <v>206</v>
      </c>
      <c r="D7319" s="156" t="s">
        <v>8213</v>
      </c>
      <c r="E7319" s="156" t="s">
        <v>8223</v>
      </c>
      <c r="F7319" s="156" t="s">
        <v>305</v>
      </c>
      <c r="G7319" s="156" t="s">
        <v>2352</v>
      </c>
      <c r="H7319" s="157" t="s">
        <v>212</v>
      </c>
    </row>
    <row r="7320" hidden="1">
      <c r="A7320" s="151" t="s">
        <v>217</v>
      </c>
      <c r="B7320" s="118" t="s">
        <v>191</v>
      </c>
      <c r="C7320" s="118" t="s">
        <v>206</v>
      </c>
      <c r="D7320" s="152" t="s">
        <v>8213</v>
      </c>
      <c r="E7320" s="152" t="s">
        <v>8224</v>
      </c>
      <c r="F7320" s="152" t="s">
        <v>336</v>
      </c>
      <c r="G7320" s="152" t="s">
        <v>2820</v>
      </c>
      <c r="H7320" s="153" t="s">
        <v>213</v>
      </c>
    </row>
    <row r="7321" hidden="1">
      <c r="A7321" s="154" t="s">
        <v>217</v>
      </c>
      <c r="B7321" s="155" t="s">
        <v>191</v>
      </c>
      <c r="C7321" s="155" t="s">
        <v>206</v>
      </c>
      <c r="D7321" s="156" t="s">
        <v>8213</v>
      </c>
      <c r="E7321" s="156" t="s">
        <v>8225</v>
      </c>
      <c r="F7321" s="156" t="s">
        <v>321</v>
      </c>
      <c r="G7321" s="156" t="s">
        <v>1995</v>
      </c>
      <c r="H7321" s="157" t="s">
        <v>214</v>
      </c>
    </row>
    <row r="7322" hidden="1">
      <c r="A7322" s="151" t="s">
        <v>217</v>
      </c>
      <c r="B7322" s="118" t="s">
        <v>191</v>
      </c>
      <c r="C7322" s="118" t="s">
        <v>206</v>
      </c>
      <c r="D7322" s="152" t="s">
        <v>8213</v>
      </c>
      <c r="E7322" s="152" t="s">
        <v>8226</v>
      </c>
      <c r="F7322" s="152" t="s">
        <v>290</v>
      </c>
      <c r="G7322" s="152" t="s">
        <v>2348</v>
      </c>
      <c r="H7322" s="153" t="s">
        <v>215</v>
      </c>
    </row>
    <row r="7323" hidden="1">
      <c r="A7323" s="154" t="s">
        <v>217</v>
      </c>
      <c r="B7323" s="155" t="s">
        <v>191</v>
      </c>
      <c r="C7323" s="155" t="s">
        <v>206</v>
      </c>
      <c r="D7323" s="156" t="s">
        <v>8213</v>
      </c>
      <c r="E7323" s="156" t="s">
        <v>8227</v>
      </c>
      <c r="F7323" s="156" t="s">
        <v>339</v>
      </c>
      <c r="G7323" s="156" t="s">
        <v>4206</v>
      </c>
      <c r="H7323" s="157" t="s">
        <v>216</v>
      </c>
    </row>
    <row r="7324" hidden="1">
      <c r="A7324" s="151" t="s">
        <v>218</v>
      </c>
      <c r="B7324" s="118" t="s">
        <v>219</v>
      </c>
      <c r="C7324" s="118" t="s">
        <v>206</v>
      </c>
      <c r="D7324" s="152" t="s">
        <v>8213</v>
      </c>
      <c r="E7324" s="152" t="s">
        <v>8228</v>
      </c>
      <c r="F7324" s="152" t="s">
        <v>287</v>
      </c>
      <c r="G7324" s="152" t="s">
        <v>2517</v>
      </c>
      <c r="H7324" s="153" t="s">
        <v>210</v>
      </c>
    </row>
    <row r="7325" hidden="1">
      <c r="A7325" s="154" t="s">
        <v>218</v>
      </c>
      <c r="B7325" s="155" t="s">
        <v>219</v>
      </c>
      <c r="C7325" s="155" t="s">
        <v>206</v>
      </c>
      <c r="D7325" s="156" t="s">
        <v>8213</v>
      </c>
      <c r="E7325" s="156" t="s">
        <v>8229</v>
      </c>
      <c r="F7325" s="156" t="s">
        <v>290</v>
      </c>
      <c r="G7325" s="156" t="s">
        <v>4464</v>
      </c>
      <c r="H7325" s="157" t="s">
        <v>211</v>
      </c>
    </row>
    <row r="7326" hidden="1">
      <c r="A7326" s="151" t="s">
        <v>218</v>
      </c>
      <c r="B7326" s="118" t="s">
        <v>219</v>
      </c>
      <c r="C7326" s="118" t="s">
        <v>206</v>
      </c>
      <c r="D7326" s="152" t="s">
        <v>8213</v>
      </c>
      <c r="E7326" s="152" t="s">
        <v>8230</v>
      </c>
      <c r="F7326" s="152" t="s">
        <v>290</v>
      </c>
      <c r="G7326" s="152" t="s">
        <v>3543</v>
      </c>
      <c r="H7326" s="153" t="s">
        <v>212</v>
      </c>
    </row>
    <row r="7327" hidden="1">
      <c r="A7327" s="154" t="s">
        <v>218</v>
      </c>
      <c r="B7327" s="155" t="s">
        <v>219</v>
      </c>
      <c r="C7327" s="155" t="s">
        <v>206</v>
      </c>
      <c r="D7327" s="156" t="s">
        <v>8213</v>
      </c>
      <c r="E7327" s="156" t="s">
        <v>8231</v>
      </c>
      <c r="F7327" s="156" t="s">
        <v>308</v>
      </c>
      <c r="G7327" s="156" t="s">
        <v>4491</v>
      </c>
      <c r="H7327" s="157" t="s">
        <v>213</v>
      </c>
    </row>
    <row r="7328" hidden="1">
      <c r="A7328" s="151" t="s">
        <v>218</v>
      </c>
      <c r="B7328" s="118" t="s">
        <v>219</v>
      </c>
      <c r="C7328" s="118" t="s">
        <v>206</v>
      </c>
      <c r="D7328" s="152" t="s">
        <v>8213</v>
      </c>
      <c r="E7328" s="152" t="s">
        <v>8232</v>
      </c>
      <c r="F7328" s="152" t="s">
        <v>331</v>
      </c>
      <c r="G7328" s="152" t="s">
        <v>3790</v>
      </c>
      <c r="H7328" s="153" t="s">
        <v>214</v>
      </c>
    </row>
    <row r="7329" hidden="1">
      <c r="A7329" s="154" t="s">
        <v>218</v>
      </c>
      <c r="B7329" s="155" t="s">
        <v>219</v>
      </c>
      <c r="C7329" s="155" t="s">
        <v>206</v>
      </c>
      <c r="D7329" s="156" t="s">
        <v>8213</v>
      </c>
      <c r="E7329" s="156" t="s">
        <v>8233</v>
      </c>
      <c r="F7329" s="156" t="s">
        <v>323</v>
      </c>
      <c r="G7329" s="156" t="s">
        <v>4992</v>
      </c>
      <c r="H7329" s="157" t="s">
        <v>215</v>
      </c>
    </row>
    <row r="7330" hidden="1">
      <c r="A7330" s="151" t="s">
        <v>218</v>
      </c>
      <c r="B7330" s="118" t="s">
        <v>219</v>
      </c>
      <c r="C7330" s="118" t="s">
        <v>206</v>
      </c>
      <c r="D7330" s="152" t="s">
        <v>8213</v>
      </c>
      <c r="E7330" s="152" t="s">
        <v>8234</v>
      </c>
      <c r="F7330" s="152" t="s">
        <v>285</v>
      </c>
      <c r="G7330" s="152" t="s">
        <v>4386</v>
      </c>
      <c r="H7330" s="153" t="s">
        <v>216</v>
      </c>
    </row>
    <row r="7331" hidden="1">
      <c r="A7331" s="154" t="s">
        <v>220</v>
      </c>
      <c r="B7331" s="155" t="s">
        <v>190</v>
      </c>
      <c r="C7331" s="155" t="s">
        <v>206</v>
      </c>
      <c r="D7331" s="156" t="s">
        <v>8213</v>
      </c>
      <c r="E7331" s="156" t="s">
        <v>8235</v>
      </c>
      <c r="F7331" s="156" t="s">
        <v>673</v>
      </c>
      <c r="G7331" s="156" t="s">
        <v>3541</v>
      </c>
      <c r="H7331" s="157" t="s">
        <v>210</v>
      </c>
    </row>
    <row r="7332" hidden="1">
      <c r="A7332" s="151" t="s">
        <v>220</v>
      </c>
      <c r="B7332" s="118" t="s">
        <v>190</v>
      </c>
      <c r="C7332" s="118" t="s">
        <v>206</v>
      </c>
      <c r="D7332" s="152" t="s">
        <v>8213</v>
      </c>
      <c r="E7332" s="152" t="s">
        <v>8236</v>
      </c>
      <c r="F7332" s="152" t="s">
        <v>478</v>
      </c>
      <c r="G7332" s="152" t="s">
        <v>3905</v>
      </c>
      <c r="H7332" s="153" t="s">
        <v>211</v>
      </c>
    </row>
    <row r="7333" hidden="1">
      <c r="A7333" s="154" t="s">
        <v>220</v>
      </c>
      <c r="B7333" s="155" t="s">
        <v>190</v>
      </c>
      <c r="C7333" s="155" t="s">
        <v>206</v>
      </c>
      <c r="D7333" s="156" t="s">
        <v>8213</v>
      </c>
      <c r="E7333" s="156" t="s">
        <v>8237</v>
      </c>
      <c r="F7333" s="156" t="s">
        <v>766</v>
      </c>
      <c r="G7333" s="156" t="s">
        <v>4685</v>
      </c>
      <c r="H7333" s="157" t="s">
        <v>212</v>
      </c>
    </row>
    <row r="7334" hidden="1">
      <c r="A7334" s="151" t="s">
        <v>220</v>
      </c>
      <c r="B7334" s="118" t="s">
        <v>190</v>
      </c>
      <c r="C7334" s="118" t="s">
        <v>206</v>
      </c>
      <c r="D7334" s="152" t="s">
        <v>8213</v>
      </c>
      <c r="E7334" s="152" t="s">
        <v>8238</v>
      </c>
      <c r="F7334" s="152" t="s">
        <v>329</v>
      </c>
      <c r="G7334" s="152" t="s">
        <v>4263</v>
      </c>
      <c r="H7334" s="153" t="s">
        <v>213</v>
      </c>
    </row>
    <row r="7335" hidden="1">
      <c r="A7335" s="154" t="s">
        <v>220</v>
      </c>
      <c r="B7335" s="155" t="s">
        <v>190</v>
      </c>
      <c r="C7335" s="155" t="s">
        <v>206</v>
      </c>
      <c r="D7335" s="156" t="s">
        <v>8213</v>
      </c>
      <c r="E7335" s="156" t="s">
        <v>8239</v>
      </c>
      <c r="F7335" s="156" t="s">
        <v>308</v>
      </c>
      <c r="G7335" s="156" t="s">
        <v>4297</v>
      </c>
      <c r="H7335" s="157" t="s">
        <v>214</v>
      </c>
    </row>
    <row r="7336" hidden="1">
      <c r="A7336" s="151" t="s">
        <v>220</v>
      </c>
      <c r="B7336" s="118" t="s">
        <v>190</v>
      </c>
      <c r="C7336" s="118" t="s">
        <v>206</v>
      </c>
      <c r="D7336" s="152" t="s">
        <v>8213</v>
      </c>
      <c r="E7336" s="152" t="s">
        <v>8240</v>
      </c>
      <c r="F7336" s="152" t="s">
        <v>425</v>
      </c>
      <c r="G7336" s="152" t="s">
        <v>3466</v>
      </c>
      <c r="H7336" s="153" t="s">
        <v>215</v>
      </c>
    </row>
    <row r="7337" hidden="1">
      <c r="A7337" s="154" t="s">
        <v>220</v>
      </c>
      <c r="B7337" s="155" t="s">
        <v>190</v>
      </c>
      <c r="C7337" s="155" t="s">
        <v>206</v>
      </c>
      <c r="D7337" s="156" t="s">
        <v>8213</v>
      </c>
      <c r="E7337" s="156" t="s">
        <v>8241</v>
      </c>
      <c r="F7337" s="156" t="s">
        <v>718</v>
      </c>
      <c r="G7337" s="156" t="s">
        <v>3265</v>
      </c>
      <c r="H7337" s="157" t="s">
        <v>216</v>
      </c>
    </row>
    <row r="7338" hidden="1">
      <c r="A7338" s="151" t="s">
        <v>221</v>
      </c>
      <c r="B7338" s="118" t="s">
        <v>189</v>
      </c>
      <c r="C7338" s="118" t="s">
        <v>206</v>
      </c>
      <c r="D7338" s="152" t="s">
        <v>8213</v>
      </c>
      <c r="E7338" s="152" t="s">
        <v>8242</v>
      </c>
      <c r="F7338" s="152" t="s">
        <v>290</v>
      </c>
      <c r="G7338" s="152" t="s">
        <v>2925</v>
      </c>
      <c r="H7338" s="153" t="s">
        <v>210</v>
      </c>
    </row>
    <row r="7339" hidden="1">
      <c r="A7339" s="154" t="s">
        <v>221</v>
      </c>
      <c r="B7339" s="155" t="s">
        <v>189</v>
      </c>
      <c r="C7339" s="155" t="s">
        <v>206</v>
      </c>
      <c r="D7339" s="156" t="s">
        <v>8213</v>
      </c>
      <c r="E7339" s="156" t="s">
        <v>8243</v>
      </c>
      <c r="F7339" s="156" t="s">
        <v>365</v>
      </c>
      <c r="G7339" s="156" t="s">
        <v>1729</v>
      </c>
      <c r="H7339" s="157" t="s">
        <v>211</v>
      </c>
    </row>
    <row r="7340" hidden="1">
      <c r="A7340" s="151" t="s">
        <v>221</v>
      </c>
      <c r="B7340" s="118" t="s">
        <v>189</v>
      </c>
      <c r="C7340" s="118" t="s">
        <v>206</v>
      </c>
      <c r="D7340" s="152" t="s">
        <v>8213</v>
      </c>
      <c r="E7340" s="152" t="s">
        <v>8244</v>
      </c>
      <c r="F7340" s="152" t="s">
        <v>242</v>
      </c>
      <c r="G7340" s="152" t="s">
        <v>2070</v>
      </c>
      <c r="H7340" s="153" t="s">
        <v>212</v>
      </c>
    </row>
    <row r="7341" hidden="1">
      <c r="A7341" s="154" t="s">
        <v>221</v>
      </c>
      <c r="B7341" s="155" t="s">
        <v>189</v>
      </c>
      <c r="C7341" s="155" t="s">
        <v>206</v>
      </c>
      <c r="D7341" s="156" t="s">
        <v>8213</v>
      </c>
      <c r="E7341" s="156" t="s">
        <v>8245</v>
      </c>
      <c r="F7341" s="156" t="s">
        <v>287</v>
      </c>
      <c r="G7341" s="156" t="s">
        <v>2563</v>
      </c>
      <c r="H7341" s="157" t="s">
        <v>213</v>
      </c>
    </row>
    <row r="7342" hidden="1">
      <c r="A7342" s="151" t="s">
        <v>221</v>
      </c>
      <c r="B7342" s="118" t="s">
        <v>189</v>
      </c>
      <c r="C7342" s="118" t="s">
        <v>206</v>
      </c>
      <c r="D7342" s="152" t="s">
        <v>8213</v>
      </c>
      <c r="E7342" s="152" t="s">
        <v>8246</v>
      </c>
      <c r="F7342" s="152" t="s">
        <v>577</v>
      </c>
      <c r="G7342" s="152" t="s">
        <v>2398</v>
      </c>
      <c r="H7342" s="153" t="s">
        <v>214</v>
      </c>
    </row>
    <row r="7343" hidden="1">
      <c r="A7343" s="154" t="s">
        <v>221</v>
      </c>
      <c r="B7343" s="155" t="s">
        <v>189</v>
      </c>
      <c r="C7343" s="155" t="s">
        <v>206</v>
      </c>
      <c r="D7343" s="156" t="s">
        <v>8213</v>
      </c>
      <c r="E7343" s="156" t="s">
        <v>8247</v>
      </c>
      <c r="F7343" s="156" t="s">
        <v>365</v>
      </c>
      <c r="G7343" s="156" t="s">
        <v>3647</v>
      </c>
      <c r="H7343" s="157" t="s">
        <v>215</v>
      </c>
    </row>
    <row r="7344" hidden="1">
      <c r="A7344" s="151" t="s">
        <v>221</v>
      </c>
      <c r="B7344" s="118" t="s">
        <v>189</v>
      </c>
      <c r="C7344" s="118" t="s">
        <v>206</v>
      </c>
      <c r="D7344" s="152" t="s">
        <v>8213</v>
      </c>
      <c r="E7344" s="152" t="s">
        <v>8248</v>
      </c>
      <c r="F7344" s="152" t="s">
        <v>321</v>
      </c>
      <c r="G7344" s="152" t="s">
        <v>2703</v>
      </c>
      <c r="H7344" s="153" t="s">
        <v>216</v>
      </c>
    </row>
    <row r="7345" hidden="1">
      <c r="A7345" s="154" t="s">
        <v>222</v>
      </c>
      <c r="B7345" s="155" t="s">
        <v>192</v>
      </c>
      <c r="C7345" s="155" t="s">
        <v>206</v>
      </c>
      <c r="D7345" s="156" t="s">
        <v>8213</v>
      </c>
      <c r="E7345" s="156" t="s">
        <v>8249</v>
      </c>
      <c r="F7345" s="156" t="s">
        <v>331</v>
      </c>
      <c r="G7345" s="156" t="s">
        <v>3207</v>
      </c>
      <c r="H7345" s="157" t="s">
        <v>210</v>
      </c>
    </row>
    <row r="7346" hidden="1">
      <c r="A7346" s="151" t="s">
        <v>222</v>
      </c>
      <c r="B7346" s="118" t="s">
        <v>192</v>
      </c>
      <c r="C7346" s="118" t="s">
        <v>206</v>
      </c>
      <c r="D7346" s="152" t="s">
        <v>8213</v>
      </c>
      <c r="E7346" s="152" t="s">
        <v>8250</v>
      </c>
      <c r="F7346" s="152" t="s">
        <v>308</v>
      </c>
      <c r="G7346" s="152" t="s">
        <v>3408</v>
      </c>
      <c r="H7346" s="153" t="s">
        <v>211</v>
      </c>
    </row>
    <row r="7347" hidden="1">
      <c r="A7347" s="154" t="s">
        <v>222</v>
      </c>
      <c r="B7347" s="155" t="s">
        <v>192</v>
      </c>
      <c r="C7347" s="155" t="s">
        <v>206</v>
      </c>
      <c r="D7347" s="156" t="s">
        <v>8213</v>
      </c>
      <c r="E7347" s="156" t="s">
        <v>8251</v>
      </c>
      <c r="F7347" s="156" t="s">
        <v>321</v>
      </c>
      <c r="G7347" s="156" t="s">
        <v>3523</v>
      </c>
      <c r="H7347" s="157" t="s">
        <v>212</v>
      </c>
    </row>
    <row r="7348" hidden="1">
      <c r="A7348" s="151" t="s">
        <v>222</v>
      </c>
      <c r="B7348" s="118" t="s">
        <v>192</v>
      </c>
      <c r="C7348" s="118" t="s">
        <v>206</v>
      </c>
      <c r="D7348" s="152" t="s">
        <v>8213</v>
      </c>
      <c r="E7348" s="152" t="s">
        <v>8252</v>
      </c>
      <c r="F7348" s="152" t="s">
        <v>308</v>
      </c>
      <c r="G7348" s="152" t="s">
        <v>3207</v>
      </c>
      <c r="H7348" s="153" t="s">
        <v>213</v>
      </c>
    </row>
    <row r="7349" hidden="1">
      <c r="A7349" s="154" t="s">
        <v>222</v>
      </c>
      <c r="B7349" s="155" t="s">
        <v>192</v>
      </c>
      <c r="C7349" s="155" t="s">
        <v>206</v>
      </c>
      <c r="D7349" s="156" t="s">
        <v>8213</v>
      </c>
      <c r="E7349" s="156" t="s">
        <v>8253</v>
      </c>
      <c r="F7349" s="156" t="s">
        <v>308</v>
      </c>
      <c r="G7349" s="156" t="s">
        <v>3558</v>
      </c>
      <c r="H7349" s="157" t="s">
        <v>214</v>
      </c>
    </row>
    <row r="7350" hidden="1">
      <c r="A7350" s="151" t="s">
        <v>222</v>
      </c>
      <c r="B7350" s="118" t="s">
        <v>192</v>
      </c>
      <c r="C7350" s="118" t="s">
        <v>206</v>
      </c>
      <c r="D7350" s="152" t="s">
        <v>8213</v>
      </c>
      <c r="E7350" s="152" t="s">
        <v>8254</v>
      </c>
      <c r="F7350" s="152" t="s">
        <v>427</v>
      </c>
      <c r="G7350" s="152" t="s">
        <v>2181</v>
      </c>
      <c r="H7350" s="153" t="s">
        <v>215</v>
      </c>
    </row>
    <row r="7351" hidden="1">
      <c r="A7351" s="154" t="s">
        <v>222</v>
      </c>
      <c r="B7351" s="155" t="s">
        <v>192</v>
      </c>
      <c r="C7351" s="155" t="s">
        <v>206</v>
      </c>
      <c r="D7351" s="156" t="s">
        <v>8213</v>
      </c>
      <c r="E7351" s="156" t="s">
        <v>8255</v>
      </c>
      <c r="F7351" s="156" t="s">
        <v>331</v>
      </c>
      <c r="G7351" s="156" t="s">
        <v>2970</v>
      </c>
      <c r="H7351" s="157" t="s">
        <v>216</v>
      </c>
    </row>
    <row r="7352" hidden="1">
      <c r="A7352" s="151" t="s">
        <v>223</v>
      </c>
      <c r="B7352" s="118" t="s">
        <v>144</v>
      </c>
      <c r="C7352" s="118" t="s">
        <v>206</v>
      </c>
      <c r="D7352" s="152" t="s">
        <v>8213</v>
      </c>
      <c r="E7352" s="152" t="s">
        <v>8256</v>
      </c>
      <c r="F7352" s="152" t="s">
        <v>405</v>
      </c>
      <c r="G7352" s="152" t="s">
        <v>4077</v>
      </c>
      <c r="H7352" s="153" t="s">
        <v>210</v>
      </c>
    </row>
    <row r="7353" hidden="1">
      <c r="A7353" s="154" t="s">
        <v>223</v>
      </c>
      <c r="B7353" s="155" t="s">
        <v>144</v>
      </c>
      <c r="C7353" s="155" t="s">
        <v>206</v>
      </c>
      <c r="D7353" s="156" t="s">
        <v>8213</v>
      </c>
      <c r="E7353" s="156" t="s">
        <v>8257</v>
      </c>
      <c r="F7353" s="156" t="s">
        <v>354</v>
      </c>
      <c r="G7353" s="156" t="s">
        <v>3696</v>
      </c>
      <c r="H7353" s="157" t="s">
        <v>211</v>
      </c>
    </row>
    <row r="7354" hidden="1">
      <c r="A7354" s="151" t="s">
        <v>223</v>
      </c>
      <c r="B7354" s="118" t="s">
        <v>144</v>
      </c>
      <c r="C7354" s="118" t="s">
        <v>206</v>
      </c>
      <c r="D7354" s="152" t="s">
        <v>8213</v>
      </c>
      <c r="E7354" s="152" t="s">
        <v>8258</v>
      </c>
      <c r="F7354" s="152" t="s">
        <v>427</v>
      </c>
      <c r="G7354" s="152" t="s">
        <v>5821</v>
      </c>
      <c r="H7354" s="153" t="s">
        <v>212</v>
      </c>
    </row>
    <row r="7355" hidden="1">
      <c r="A7355" s="154" t="s">
        <v>223</v>
      </c>
      <c r="B7355" s="155" t="s">
        <v>144</v>
      </c>
      <c r="C7355" s="155" t="s">
        <v>206</v>
      </c>
      <c r="D7355" s="156" t="s">
        <v>8213</v>
      </c>
      <c r="E7355" s="156" t="s">
        <v>8259</v>
      </c>
      <c r="F7355" s="156" t="s">
        <v>305</v>
      </c>
      <c r="G7355" s="156" t="s">
        <v>5821</v>
      </c>
      <c r="H7355" s="157" t="s">
        <v>213</v>
      </c>
    </row>
    <row r="7356" hidden="1">
      <c r="A7356" s="151" t="s">
        <v>223</v>
      </c>
      <c r="B7356" s="118" t="s">
        <v>144</v>
      </c>
      <c r="C7356" s="118" t="s">
        <v>206</v>
      </c>
      <c r="D7356" s="152" t="s">
        <v>8213</v>
      </c>
      <c r="E7356" s="152" t="s">
        <v>8260</v>
      </c>
      <c r="F7356" s="152" t="s">
        <v>325</v>
      </c>
      <c r="G7356" s="152" t="s">
        <v>4376</v>
      </c>
      <c r="H7356" s="153" t="s">
        <v>214</v>
      </c>
    </row>
    <row r="7357" hidden="1">
      <c r="A7357" s="154" t="s">
        <v>223</v>
      </c>
      <c r="B7357" s="155" t="s">
        <v>144</v>
      </c>
      <c r="C7357" s="155" t="s">
        <v>206</v>
      </c>
      <c r="D7357" s="156" t="s">
        <v>8213</v>
      </c>
      <c r="E7357" s="156" t="s">
        <v>8261</v>
      </c>
      <c r="F7357" s="156" t="s">
        <v>325</v>
      </c>
      <c r="G7357" s="156" t="s">
        <v>3989</v>
      </c>
      <c r="H7357" s="157" t="s">
        <v>215</v>
      </c>
    </row>
    <row r="7358" hidden="1">
      <c r="A7358" s="151" t="s">
        <v>223</v>
      </c>
      <c r="B7358" s="118" t="s">
        <v>144</v>
      </c>
      <c r="C7358" s="118" t="s">
        <v>206</v>
      </c>
      <c r="D7358" s="152" t="s">
        <v>8213</v>
      </c>
      <c r="E7358" s="152" t="s">
        <v>8262</v>
      </c>
      <c r="F7358" s="152" t="s">
        <v>312</v>
      </c>
      <c r="G7358" s="152" t="s">
        <v>4029</v>
      </c>
      <c r="H7358" s="153" t="s">
        <v>216</v>
      </c>
    </row>
    <row r="7359" hidden="1">
      <c r="A7359" s="154" t="s">
        <v>224</v>
      </c>
      <c r="B7359" s="155" t="s">
        <v>170</v>
      </c>
      <c r="C7359" s="155" t="s">
        <v>206</v>
      </c>
      <c r="D7359" s="156" t="s">
        <v>8213</v>
      </c>
      <c r="E7359" s="156" t="s">
        <v>8263</v>
      </c>
      <c r="F7359" s="156" t="s">
        <v>305</v>
      </c>
      <c r="G7359" s="156" t="s">
        <v>3840</v>
      </c>
      <c r="H7359" s="157" t="s">
        <v>210</v>
      </c>
    </row>
    <row r="7360" hidden="1">
      <c r="A7360" s="151" t="s">
        <v>224</v>
      </c>
      <c r="B7360" s="118" t="s">
        <v>170</v>
      </c>
      <c r="C7360" s="118" t="s">
        <v>206</v>
      </c>
      <c r="D7360" s="152" t="s">
        <v>8213</v>
      </c>
      <c r="E7360" s="152" t="s">
        <v>8264</v>
      </c>
      <c r="F7360" s="152" t="s">
        <v>290</v>
      </c>
      <c r="G7360" s="152" t="s">
        <v>3267</v>
      </c>
      <c r="H7360" s="153" t="s">
        <v>211</v>
      </c>
    </row>
    <row r="7361" hidden="1">
      <c r="A7361" s="154" t="s">
        <v>224</v>
      </c>
      <c r="B7361" s="155" t="s">
        <v>170</v>
      </c>
      <c r="C7361" s="155" t="s">
        <v>206</v>
      </c>
      <c r="D7361" s="156" t="s">
        <v>8213</v>
      </c>
      <c r="E7361" s="156" t="s">
        <v>8265</v>
      </c>
      <c r="F7361" s="156" t="s">
        <v>483</v>
      </c>
      <c r="G7361" s="156" t="s">
        <v>4842</v>
      </c>
      <c r="H7361" s="157" t="s">
        <v>212</v>
      </c>
    </row>
    <row r="7362" hidden="1">
      <c r="A7362" s="151" t="s">
        <v>224</v>
      </c>
      <c r="B7362" s="118" t="s">
        <v>170</v>
      </c>
      <c r="C7362" s="118" t="s">
        <v>206</v>
      </c>
      <c r="D7362" s="152" t="s">
        <v>8213</v>
      </c>
      <c r="E7362" s="152" t="s">
        <v>8266</v>
      </c>
      <c r="F7362" s="152" t="s">
        <v>321</v>
      </c>
      <c r="G7362" s="152" t="s">
        <v>4842</v>
      </c>
      <c r="H7362" s="153" t="s">
        <v>213</v>
      </c>
    </row>
    <row r="7363" hidden="1">
      <c r="A7363" s="154" t="s">
        <v>224</v>
      </c>
      <c r="B7363" s="155" t="s">
        <v>170</v>
      </c>
      <c r="C7363" s="155" t="s">
        <v>206</v>
      </c>
      <c r="D7363" s="156" t="s">
        <v>8213</v>
      </c>
      <c r="E7363" s="156" t="s">
        <v>8267</v>
      </c>
      <c r="F7363" s="156" t="s">
        <v>339</v>
      </c>
      <c r="G7363" s="156" t="s">
        <v>4223</v>
      </c>
      <c r="H7363" s="157" t="s">
        <v>214</v>
      </c>
    </row>
    <row r="7364" hidden="1">
      <c r="A7364" s="151" t="s">
        <v>224</v>
      </c>
      <c r="B7364" s="118" t="s">
        <v>170</v>
      </c>
      <c r="C7364" s="118" t="s">
        <v>206</v>
      </c>
      <c r="D7364" s="152" t="s">
        <v>8213</v>
      </c>
      <c r="E7364" s="152" t="s">
        <v>8268</v>
      </c>
      <c r="F7364" s="152" t="s">
        <v>310</v>
      </c>
      <c r="G7364" s="152" t="s">
        <v>8269</v>
      </c>
      <c r="H7364" s="153" t="s">
        <v>215</v>
      </c>
    </row>
    <row r="7365" hidden="1">
      <c r="A7365" s="154" t="s">
        <v>224</v>
      </c>
      <c r="B7365" s="155" t="s">
        <v>170</v>
      </c>
      <c r="C7365" s="155" t="s">
        <v>206</v>
      </c>
      <c r="D7365" s="156" t="s">
        <v>8213</v>
      </c>
      <c r="E7365" s="156" t="s">
        <v>8270</v>
      </c>
      <c r="F7365" s="156" t="s">
        <v>310</v>
      </c>
      <c r="G7365" s="156" t="s">
        <v>4293</v>
      </c>
      <c r="H7365" s="157" t="s">
        <v>216</v>
      </c>
    </row>
    <row r="7366" hidden="1">
      <c r="A7366" s="151" t="s">
        <v>225</v>
      </c>
      <c r="B7366" s="118" t="s">
        <v>226</v>
      </c>
      <c r="C7366" s="118" t="s">
        <v>206</v>
      </c>
      <c r="D7366" s="152" t="s">
        <v>8213</v>
      </c>
      <c r="E7366" s="152" t="s">
        <v>8271</v>
      </c>
      <c r="F7366" s="152" t="s">
        <v>255</v>
      </c>
      <c r="G7366" s="152" t="s">
        <v>2303</v>
      </c>
      <c r="H7366" s="153" t="s">
        <v>210</v>
      </c>
    </row>
    <row r="7367" hidden="1">
      <c r="A7367" s="154" t="s">
        <v>225</v>
      </c>
      <c r="B7367" s="155" t="s">
        <v>226</v>
      </c>
      <c r="C7367" s="155" t="s">
        <v>206</v>
      </c>
      <c r="D7367" s="156" t="s">
        <v>8213</v>
      </c>
      <c r="E7367" s="156" t="s">
        <v>8272</v>
      </c>
      <c r="F7367" s="156" t="s">
        <v>257</v>
      </c>
      <c r="G7367" s="156" t="s">
        <v>2060</v>
      </c>
      <c r="H7367" s="157" t="s">
        <v>211</v>
      </c>
    </row>
    <row r="7368" hidden="1">
      <c r="A7368" s="151" t="s">
        <v>225</v>
      </c>
      <c r="B7368" s="118" t="s">
        <v>226</v>
      </c>
      <c r="C7368" s="118" t="s">
        <v>206</v>
      </c>
      <c r="D7368" s="152" t="s">
        <v>8213</v>
      </c>
      <c r="E7368" s="152" t="s">
        <v>8273</v>
      </c>
      <c r="F7368" s="152" t="s">
        <v>269</v>
      </c>
      <c r="G7368" s="152" t="s">
        <v>1944</v>
      </c>
      <c r="H7368" s="153" t="s">
        <v>212</v>
      </c>
    </row>
    <row r="7369" hidden="1">
      <c r="A7369" s="154" t="s">
        <v>225</v>
      </c>
      <c r="B7369" s="155" t="s">
        <v>226</v>
      </c>
      <c r="C7369" s="155" t="s">
        <v>206</v>
      </c>
      <c r="D7369" s="156" t="s">
        <v>8213</v>
      </c>
      <c r="E7369" s="156" t="s">
        <v>8274</v>
      </c>
      <c r="F7369" s="156" t="s">
        <v>259</v>
      </c>
      <c r="G7369" s="156" t="s">
        <v>3284</v>
      </c>
      <c r="H7369" s="157" t="s">
        <v>213</v>
      </c>
    </row>
    <row r="7370" hidden="1">
      <c r="A7370" s="151" t="s">
        <v>225</v>
      </c>
      <c r="B7370" s="118" t="s">
        <v>226</v>
      </c>
      <c r="C7370" s="118" t="s">
        <v>206</v>
      </c>
      <c r="D7370" s="152" t="s">
        <v>8213</v>
      </c>
      <c r="E7370" s="152" t="s">
        <v>8275</v>
      </c>
      <c r="F7370" s="152" t="s">
        <v>240</v>
      </c>
      <c r="G7370" s="152" t="s">
        <v>1942</v>
      </c>
      <c r="H7370" s="153" t="s">
        <v>214</v>
      </c>
    </row>
    <row r="7371" hidden="1">
      <c r="A7371" s="154" t="s">
        <v>225</v>
      </c>
      <c r="B7371" s="155" t="s">
        <v>226</v>
      </c>
      <c r="C7371" s="155" t="s">
        <v>206</v>
      </c>
      <c r="D7371" s="156" t="s">
        <v>8213</v>
      </c>
      <c r="E7371" s="156" t="s">
        <v>8276</v>
      </c>
      <c r="F7371" s="156" t="s">
        <v>458</v>
      </c>
      <c r="G7371" s="156" t="s">
        <v>2111</v>
      </c>
      <c r="H7371" s="157" t="s">
        <v>215</v>
      </c>
    </row>
    <row r="7372" hidden="1">
      <c r="A7372" s="151" t="s">
        <v>225</v>
      </c>
      <c r="B7372" s="118" t="s">
        <v>226</v>
      </c>
      <c r="C7372" s="118" t="s">
        <v>206</v>
      </c>
      <c r="D7372" s="152" t="s">
        <v>8213</v>
      </c>
      <c r="E7372" s="152" t="s">
        <v>8277</v>
      </c>
      <c r="F7372" s="152" t="s">
        <v>301</v>
      </c>
      <c r="G7372" s="152" t="s">
        <v>2243</v>
      </c>
      <c r="H7372" s="153" t="s">
        <v>216</v>
      </c>
    </row>
    <row r="7373" hidden="1">
      <c r="A7373" s="154" t="s">
        <v>227</v>
      </c>
      <c r="B7373" s="155" t="s">
        <v>195</v>
      </c>
      <c r="C7373" s="155" t="s">
        <v>206</v>
      </c>
      <c r="D7373" s="156" t="s">
        <v>8213</v>
      </c>
      <c r="E7373" s="156" t="s">
        <v>8278</v>
      </c>
      <c r="F7373" s="156" t="s">
        <v>577</v>
      </c>
      <c r="G7373" s="156" t="s">
        <v>4320</v>
      </c>
      <c r="H7373" s="157" t="s">
        <v>210</v>
      </c>
    </row>
    <row r="7374" hidden="1">
      <c r="A7374" s="151" t="s">
        <v>227</v>
      </c>
      <c r="B7374" s="118" t="s">
        <v>195</v>
      </c>
      <c r="C7374" s="118" t="s">
        <v>206</v>
      </c>
      <c r="D7374" s="152" t="s">
        <v>8213</v>
      </c>
      <c r="E7374" s="152" t="s">
        <v>8279</v>
      </c>
      <c r="F7374" s="152" t="s">
        <v>305</v>
      </c>
      <c r="G7374" s="152" t="s">
        <v>1779</v>
      </c>
      <c r="H7374" s="153" t="s">
        <v>211</v>
      </c>
    </row>
    <row r="7375" hidden="1">
      <c r="A7375" s="154" t="s">
        <v>227</v>
      </c>
      <c r="B7375" s="155" t="s">
        <v>195</v>
      </c>
      <c r="C7375" s="155" t="s">
        <v>206</v>
      </c>
      <c r="D7375" s="156" t="s">
        <v>8213</v>
      </c>
      <c r="E7375" s="156" t="s">
        <v>8280</v>
      </c>
      <c r="F7375" s="156" t="s">
        <v>325</v>
      </c>
      <c r="G7375" s="156" t="s">
        <v>3554</v>
      </c>
      <c r="H7375" s="157" t="s">
        <v>212</v>
      </c>
    </row>
    <row r="7376" hidden="1">
      <c r="A7376" s="151" t="s">
        <v>227</v>
      </c>
      <c r="B7376" s="118" t="s">
        <v>195</v>
      </c>
      <c r="C7376" s="118" t="s">
        <v>206</v>
      </c>
      <c r="D7376" s="152" t="s">
        <v>8213</v>
      </c>
      <c r="E7376" s="152" t="s">
        <v>8281</v>
      </c>
      <c r="F7376" s="152" t="s">
        <v>577</v>
      </c>
      <c r="G7376" s="152" t="s">
        <v>4206</v>
      </c>
      <c r="H7376" s="153" t="s">
        <v>213</v>
      </c>
    </row>
    <row r="7377" hidden="1">
      <c r="A7377" s="154" t="s">
        <v>227</v>
      </c>
      <c r="B7377" s="155" t="s">
        <v>195</v>
      </c>
      <c r="C7377" s="155" t="s">
        <v>206</v>
      </c>
      <c r="D7377" s="156" t="s">
        <v>8213</v>
      </c>
      <c r="E7377" s="156" t="s">
        <v>8282</v>
      </c>
      <c r="F7377" s="156" t="s">
        <v>450</v>
      </c>
      <c r="G7377" s="156" t="s">
        <v>4006</v>
      </c>
      <c r="H7377" s="157" t="s">
        <v>214</v>
      </c>
    </row>
    <row r="7378" hidden="1">
      <c r="A7378" s="151" t="s">
        <v>227</v>
      </c>
      <c r="B7378" s="118" t="s">
        <v>195</v>
      </c>
      <c r="C7378" s="118" t="s">
        <v>206</v>
      </c>
      <c r="D7378" s="152" t="s">
        <v>8213</v>
      </c>
      <c r="E7378" s="152" t="s">
        <v>8283</v>
      </c>
      <c r="F7378" s="152" t="s">
        <v>246</v>
      </c>
      <c r="G7378" s="152" t="s">
        <v>3412</v>
      </c>
      <c r="H7378" s="153" t="s">
        <v>215</v>
      </c>
    </row>
    <row r="7379" hidden="1">
      <c r="A7379" s="154" t="s">
        <v>227</v>
      </c>
      <c r="B7379" s="155" t="s">
        <v>195</v>
      </c>
      <c r="C7379" s="155" t="s">
        <v>206</v>
      </c>
      <c r="D7379" s="156" t="s">
        <v>8213</v>
      </c>
      <c r="E7379" s="156" t="s">
        <v>8284</v>
      </c>
      <c r="F7379" s="156" t="s">
        <v>483</v>
      </c>
      <c r="G7379" s="156" t="s">
        <v>4002</v>
      </c>
      <c r="H7379" s="157" t="s">
        <v>216</v>
      </c>
    </row>
    <row r="7380" hidden="1">
      <c r="A7380" s="151" t="s">
        <v>228</v>
      </c>
      <c r="B7380" s="118" t="s">
        <v>138</v>
      </c>
      <c r="C7380" s="118" t="s">
        <v>206</v>
      </c>
      <c r="D7380" s="152" t="s">
        <v>8213</v>
      </c>
      <c r="E7380" s="152" t="s">
        <v>8285</v>
      </c>
      <c r="F7380" s="152" t="s">
        <v>255</v>
      </c>
      <c r="G7380" s="152" t="s">
        <v>3368</v>
      </c>
      <c r="H7380" s="153" t="s">
        <v>210</v>
      </c>
    </row>
    <row r="7381" hidden="1">
      <c r="A7381" s="154" t="s">
        <v>228</v>
      </c>
      <c r="B7381" s="155" t="s">
        <v>138</v>
      </c>
      <c r="C7381" s="155" t="s">
        <v>206</v>
      </c>
      <c r="D7381" s="156" t="s">
        <v>8213</v>
      </c>
      <c r="E7381" s="156" t="s">
        <v>8286</v>
      </c>
      <c r="F7381" s="156" t="s">
        <v>365</v>
      </c>
      <c r="G7381" s="156" t="s">
        <v>4019</v>
      </c>
      <c r="H7381" s="157" t="s">
        <v>211</v>
      </c>
    </row>
    <row r="7382" hidden="1">
      <c r="A7382" s="151" t="s">
        <v>228</v>
      </c>
      <c r="B7382" s="118" t="s">
        <v>138</v>
      </c>
      <c r="C7382" s="118" t="s">
        <v>206</v>
      </c>
      <c r="D7382" s="152" t="s">
        <v>8213</v>
      </c>
      <c r="E7382" s="152" t="s">
        <v>8287</v>
      </c>
      <c r="F7382" s="152" t="s">
        <v>458</v>
      </c>
      <c r="G7382" s="152" t="s">
        <v>2287</v>
      </c>
      <c r="H7382" s="153" t="s">
        <v>212</v>
      </c>
    </row>
    <row r="7383" hidden="1">
      <c r="A7383" s="154" t="s">
        <v>228</v>
      </c>
      <c r="B7383" s="155" t="s">
        <v>138</v>
      </c>
      <c r="C7383" s="155" t="s">
        <v>206</v>
      </c>
      <c r="D7383" s="156" t="s">
        <v>8213</v>
      </c>
      <c r="E7383" s="156" t="s">
        <v>8288</v>
      </c>
      <c r="F7383" s="156" t="s">
        <v>259</v>
      </c>
      <c r="G7383" s="156" t="s">
        <v>2006</v>
      </c>
      <c r="H7383" s="157" t="s">
        <v>213</v>
      </c>
    </row>
    <row r="7384" hidden="1">
      <c r="A7384" s="151" t="s">
        <v>228</v>
      </c>
      <c r="B7384" s="118" t="s">
        <v>138</v>
      </c>
      <c r="C7384" s="118" t="s">
        <v>206</v>
      </c>
      <c r="D7384" s="152" t="s">
        <v>8213</v>
      </c>
      <c r="E7384" s="152" t="s">
        <v>8289</v>
      </c>
      <c r="F7384" s="152" t="s">
        <v>329</v>
      </c>
      <c r="G7384" s="152" t="s">
        <v>3278</v>
      </c>
      <c r="H7384" s="153" t="s">
        <v>214</v>
      </c>
    </row>
    <row r="7385" hidden="1">
      <c r="A7385" s="154" t="s">
        <v>228</v>
      </c>
      <c r="B7385" s="155" t="s">
        <v>138</v>
      </c>
      <c r="C7385" s="155" t="s">
        <v>206</v>
      </c>
      <c r="D7385" s="156" t="s">
        <v>8213</v>
      </c>
      <c r="E7385" s="156" t="s">
        <v>8290</v>
      </c>
      <c r="F7385" s="156" t="s">
        <v>301</v>
      </c>
      <c r="G7385" s="156" t="s">
        <v>1949</v>
      </c>
      <c r="H7385" s="157" t="s">
        <v>215</v>
      </c>
    </row>
    <row r="7386" hidden="1">
      <c r="A7386" s="151" t="s">
        <v>228</v>
      </c>
      <c r="B7386" s="118" t="s">
        <v>138</v>
      </c>
      <c r="C7386" s="118" t="s">
        <v>206</v>
      </c>
      <c r="D7386" s="152" t="s">
        <v>8213</v>
      </c>
      <c r="E7386" s="152" t="s">
        <v>8291</v>
      </c>
      <c r="F7386" s="152" t="s">
        <v>287</v>
      </c>
      <c r="G7386" s="152" t="s">
        <v>3108</v>
      </c>
      <c r="H7386" s="153" t="s">
        <v>216</v>
      </c>
    </row>
    <row r="7387" hidden="1">
      <c r="A7387" s="154" t="s">
        <v>229</v>
      </c>
      <c r="B7387" s="155" t="s">
        <v>193</v>
      </c>
      <c r="C7387" s="155" t="s">
        <v>206</v>
      </c>
      <c r="D7387" s="156" t="s">
        <v>8213</v>
      </c>
      <c r="E7387" s="156" t="s">
        <v>8292</v>
      </c>
      <c r="F7387" s="156" t="s">
        <v>329</v>
      </c>
      <c r="G7387" s="156" t="s">
        <v>3438</v>
      </c>
      <c r="H7387" s="157" t="s">
        <v>210</v>
      </c>
    </row>
    <row r="7388" hidden="1">
      <c r="A7388" s="151" t="s">
        <v>229</v>
      </c>
      <c r="B7388" s="118" t="s">
        <v>193</v>
      </c>
      <c r="C7388" s="118" t="s">
        <v>206</v>
      </c>
      <c r="D7388" s="152" t="s">
        <v>8213</v>
      </c>
      <c r="E7388" s="152" t="s">
        <v>8293</v>
      </c>
      <c r="F7388" s="152" t="s">
        <v>478</v>
      </c>
      <c r="G7388" s="152" t="s">
        <v>4034</v>
      </c>
      <c r="H7388" s="153" t="s">
        <v>211</v>
      </c>
    </row>
    <row r="7389" hidden="1">
      <c r="A7389" s="154" t="s">
        <v>229</v>
      </c>
      <c r="B7389" s="155" t="s">
        <v>193</v>
      </c>
      <c r="C7389" s="155" t="s">
        <v>206</v>
      </c>
      <c r="D7389" s="156" t="s">
        <v>8213</v>
      </c>
      <c r="E7389" s="156" t="s">
        <v>8294</v>
      </c>
      <c r="F7389" s="156" t="s">
        <v>677</v>
      </c>
      <c r="G7389" s="156" t="s">
        <v>4209</v>
      </c>
      <c r="H7389" s="157" t="s">
        <v>212</v>
      </c>
    </row>
    <row r="7390" hidden="1">
      <c r="A7390" s="151" t="s">
        <v>229</v>
      </c>
      <c r="B7390" s="118" t="s">
        <v>193</v>
      </c>
      <c r="C7390" s="118" t="s">
        <v>206</v>
      </c>
      <c r="D7390" s="152" t="s">
        <v>8213</v>
      </c>
      <c r="E7390" s="152" t="s">
        <v>8295</v>
      </c>
      <c r="F7390" s="152" t="s">
        <v>305</v>
      </c>
      <c r="G7390" s="152" t="s">
        <v>3296</v>
      </c>
      <c r="H7390" s="153" t="s">
        <v>213</v>
      </c>
    </row>
    <row r="7391" hidden="1">
      <c r="A7391" s="154" t="s">
        <v>229</v>
      </c>
      <c r="B7391" s="155" t="s">
        <v>193</v>
      </c>
      <c r="C7391" s="155" t="s">
        <v>206</v>
      </c>
      <c r="D7391" s="156" t="s">
        <v>8213</v>
      </c>
      <c r="E7391" s="156" t="s">
        <v>8296</v>
      </c>
      <c r="F7391" s="156" t="s">
        <v>305</v>
      </c>
      <c r="G7391" s="156" t="s">
        <v>3265</v>
      </c>
      <c r="H7391" s="157" t="s">
        <v>214</v>
      </c>
    </row>
    <row r="7392" hidden="1">
      <c r="A7392" s="151" t="s">
        <v>229</v>
      </c>
      <c r="B7392" s="118" t="s">
        <v>193</v>
      </c>
      <c r="C7392" s="118" t="s">
        <v>206</v>
      </c>
      <c r="D7392" s="152" t="s">
        <v>8213</v>
      </c>
      <c r="E7392" s="152" t="s">
        <v>8297</v>
      </c>
      <c r="F7392" s="152" t="s">
        <v>351</v>
      </c>
      <c r="G7392" s="152" t="s">
        <v>3294</v>
      </c>
      <c r="H7392" s="153" t="s">
        <v>215</v>
      </c>
    </row>
    <row r="7393" hidden="1">
      <c r="A7393" s="154" t="s">
        <v>229</v>
      </c>
      <c r="B7393" s="155" t="s">
        <v>193</v>
      </c>
      <c r="C7393" s="155" t="s">
        <v>206</v>
      </c>
      <c r="D7393" s="156" t="s">
        <v>8213</v>
      </c>
      <c r="E7393" s="156" t="s">
        <v>8298</v>
      </c>
      <c r="F7393" s="156" t="s">
        <v>329</v>
      </c>
      <c r="G7393" s="156" t="s">
        <v>3595</v>
      </c>
      <c r="H7393" s="157" t="s">
        <v>216</v>
      </c>
    </row>
    <row r="7394" hidden="1">
      <c r="A7394" s="151" t="s">
        <v>230</v>
      </c>
      <c r="B7394" s="118" t="s">
        <v>194</v>
      </c>
      <c r="C7394" s="118" t="s">
        <v>206</v>
      </c>
      <c r="D7394" s="152" t="s">
        <v>8213</v>
      </c>
      <c r="E7394" s="152" t="s">
        <v>8299</v>
      </c>
      <c r="F7394" s="152" t="s">
        <v>425</v>
      </c>
      <c r="G7394" s="152" t="s">
        <v>2111</v>
      </c>
      <c r="H7394" s="153" t="s">
        <v>210</v>
      </c>
    </row>
    <row r="7395" hidden="1">
      <c r="A7395" s="154" t="s">
        <v>230</v>
      </c>
      <c r="B7395" s="155" t="s">
        <v>194</v>
      </c>
      <c r="C7395" s="155" t="s">
        <v>206</v>
      </c>
      <c r="D7395" s="156" t="s">
        <v>8213</v>
      </c>
      <c r="E7395" s="156" t="s">
        <v>8300</v>
      </c>
      <c r="F7395" s="156" t="s">
        <v>290</v>
      </c>
      <c r="G7395" s="156" t="s">
        <v>2923</v>
      </c>
      <c r="H7395" s="157" t="s">
        <v>211</v>
      </c>
    </row>
    <row r="7396" hidden="1">
      <c r="A7396" s="151" t="s">
        <v>230</v>
      </c>
      <c r="B7396" s="118" t="s">
        <v>194</v>
      </c>
      <c r="C7396" s="118" t="s">
        <v>206</v>
      </c>
      <c r="D7396" s="152" t="s">
        <v>8213</v>
      </c>
      <c r="E7396" s="152" t="s">
        <v>8301</v>
      </c>
      <c r="F7396" s="152" t="s">
        <v>359</v>
      </c>
      <c r="G7396" s="152" t="s">
        <v>2242</v>
      </c>
      <c r="H7396" s="153" t="s">
        <v>212</v>
      </c>
    </row>
    <row r="7397" hidden="1">
      <c r="A7397" s="154" t="s">
        <v>230</v>
      </c>
      <c r="B7397" s="155" t="s">
        <v>194</v>
      </c>
      <c r="C7397" s="155" t="s">
        <v>206</v>
      </c>
      <c r="D7397" s="156" t="s">
        <v>8213</v>
      </c>
      <c r="E7397" s="156" t="s">
        <v>8302</v>
      </c>
      <c r="F7397" s="156" t="s">
        <v>305</v>
      </c>
      <c r="G7397" s="156" t="s">
        <v>3287</v>
      </c>
      <c r="H7397" s="157" t="s">
        <v>213</v>
      </c>
    </row>
    <row r="7398" hidden="1">
      <c r="A7398" s="151" t="s">
        <v>230</v>
      </c>
      <c r="B7398" s="118" t="s">
        <v>194</v>
      </c>
      <c r="C7398" s="118" t="s">
        <v>206</v>
      </c>
      <c r="D7398" s="152" t="s">
        <v>8213</v>
      </c>
      <c r="E7398" s="152" t="s">
        <v>8303</v>
      </c>
      <c r="F7398" s="152" t="s">
        <v>534</v>
      </c>
      <c r="G7398" s="152" t="s">
        <v>3647</v>
      </c>
      <c r="H7398" s="153" t="s">
        <v>214</v>
      </c>
    </row>
    <row r="7399" hidden="1">
      <c r="A7399" s="154" t="s">
        <v>230</v>
      </c>
      <c r="B7399" s="155" t="s">
        <v>194</v>
      </c>
      <c r="C7399" s="155" t="s">
        <v>206</v>
      </c>
      <c r="D7399" s="156" t="s">
        <v>8213</v>
      </c>
      <c r="E7399" s="156" t="s">
        <v>8304</v>
      </c>
      <c r="F7399" s="156" t="s">
        <v>290</v>
      </c>
      <c r="G7399" s="156" t="s">
        <v>2107</v>
      </c>
      <c r="H7399" s="157" t="s">
        <v>215</v>
      </c>
    </row>
    <row r="7400" hidden="1">
      <c r="A7400" s="151" t="s">
        <v>230</v>
      </c>
      <c r="B7400" s="118" t="s">
        <v>194</v>
      </c>
      <c r="C7400" s="118" t="s">
        <v>206</v>
      </c>
      <c r="D7400" s="152" t="s">
        <v>8213</v>
      </c>
      <c r="E7400" s="152" t="s">
        <v>8305</v>
      </c>
      <c r="F7400" s="152" t="s">
        <v>351</v>
      </c>
      <c r="G7400" s="152" t="s">
        <v>2845</v>
      </c>
      <c r="H7400" s="153" t="s">
        <v>216</v>
      </c>
    </row>
    <row r="7401" hidden="1">
      <c r="A7401" s="158" t="s">
        <v>231</v>
      </c>
      <c r="B7401" s="159"/>
      <c r="C7401" s="155" t="s">
        <v>232</v>
      </c>
      <c r="D7401" s="156" t="s">
        <v>8213</v>
      </c>
      <c r="E7401" s="156" t="s">
        <v>8306</v>
      </c>
      <c r="F7401" s="156" t="s">
        <v>2005</v>
      </c>
      <c r="G7401" s="156" t="s">
        <v>3270</v>
      </c>
      <c r="H7401" s="157" t="s">
        <v>210</v>
      </c>
    </row>
    <row r="7402" hidden="1">
      <c r="A7402" s="160" t="s">
        <v>231</v>
      </c>
      <c r="B7402" s="72"/>
      <c r="C7402" s="118" t="s">
        <v>232</v>
      </c>
      <c r="D7402" s="152" t="s">
        <v>8213</v>
      </c>
      <c r="E7402" s="152" t="s">
        <v>8307</v>
      </c>
      <c r="F7402" s="152" t="s">
        <v>3340</v>
      </c>
      <c r="G7402" s="152" t="s">
        <v>3142</v>
      </c>
      <c r="H7402" s="153" t="s">
        <v>211</v>
      </c>
    </row>
    <row r="7403" hidden="1">
      <c r="A7403" s="158" t="s">
        <v>231</v>
      </c>
      <c r="B7403" s="159"/>
      <c r="C7403" s="155" t="s">
        <v>232</v>
      </c>
      <c r="D7403" s="156" t="s">
        <v>8213</v>
      </c>
      <c r="E7403" s="156" t="s">
        <v>8308</v>
      </c>
      <c r="F7403" s="156" t="s">
        <v>758</v>
      </c>
      <c r="G7403" s="156" t="s">
        <v>2995</v>
      </c>
      <c r="H7403" s="157" t="s">
        <v>212</v>
      </c>
    </row>
    <row r="7404" hidden="1">
      <c r="A7404" s="160" t="s">
        <v>231</v>
      </c>
      <c r="B7404" s="72"/>
      <c r="C7404" s="118" t="s">
        <v>232</v>
      </c>
      <c r="D7404" s="152" t="s">
        <v>8213</v>
      </c>
      <c r="E7404" s="152" t="s">
        <v>8309</v>
      </c>
      <c r="F7404" s="152" t="s">
        <v>629</v>
      </c>
      <c r="G7404" s="152" t="s">
        <v>3237</v>
      </c>
      <c r="H7404" s="153" t="s">
        <v>213</v>
      </c>
    </row>
    <row r="7405" hidden="1">
      <c r="A7405" s="158" t="s">
        <v>231</v>
      </c>
      <c r="B7405" s="159"/>
      <c r="C7405" s="155" t="s">
        <v>232</v>
      </c>
      <c r="D7405" s="156" t="s">
        <v>8213</v>
      </c>
      <c r="E7405" s="156" t="s">
        <v>8310</v>
      </c>
      <c r="F7405" s="156" t="s">
        <v>677</v>
      </c>
      <c r="G7405" s="156" t="s">
        <v>3226</v>
      </c>
      <c r="H7405" s="157" t="s">
        <v>214</v>
      </c>
    </row>
    <row r="7406" hidden="1">
      <c r="A7406" s="160" t="s">
        <v>231</v>
      </c>
      <c r="B7406" s="72"/>
      <c r="C7406" s="118" t="s">
        <v>232</v>
      </c>
      <c r="D7406" s="152" t="s">
        <v>8213</v>
      </c>
      <c r="E7406" s="152" t="s">
        <v>8311</v>
      </c>
      <c r="F7406" s="152" t="s">
        <v>478</v>
      </c>
      <c r="G7406" s="152" t="s">
        <v>3996</v>
      </c>
      <c r="H7406" s="153" t="s">
        <v>215</v>
      </c>
    </row>
    <row r="7407" hidden="1">
      <c r="A7407" s="158" t="s">
        <v>231</v>
      </c>
      <c r="B7407" s="159"/>
      <c r="C7407" s="155" t="s">
        <v>232</v>
      </c>
      <c r="D7407" s="156" t="s">
        <v>8213</v>
      </c>
      <c r="E7407" s="156" t="s">
        <v>8312</v>
      </c>
      <c r="F7407" s="156" t="s">
        <v>2228</v>
      </c>
      <c r="G7407" s="156" t="s">
        <v>1791</v>
      </c>
      <c r="H7407" s="157" t="s">
        <v>216</v>
      </c>
    </row>
    <row r="7408" hidden="1">
      <c r="A7408" s="160" t="s">
        <v>233</v>
      </c>
      <c r="B7408" s="72"/>
      <c r="C7408" s="118" t="s">
        <v>232</v>
      </c>
      <c r="D7408" s="152" t="s">
        <v>8213</v>
      </c>
      <c r="E7408" s="152" t="s">
        <v>8313</v>
      </c>
      <c r="F7408" s="152" t="s">
        <v>351</v>
      </c>
      <c r="G7408" s="152" t="s">
        <v>4219</v>
      </c>
      <c r="H7408" s="153" t="s">
        <v>210</v>
      </c>
    </row>
    <row r="7409" hidden="1">
      <c r="A7409" s="158" t="s">
        <v>233</v>
      </c>
      <c r="B7409" s="159"/>
      <c r="C7409" s="155" t="s">
        <v>232</v>
      </c>
      <c r="D7409" s="156" t="s">
        <v>8213</v>
      </c>
      <c r="E7409" s="156" t="s">
        <v>8314</v>
      </c>
      <c r="F7409" s="156" t="s">
        <v>310</v>
      </c>
      <c r="G7409" s="156" t="s">
        <v>3840</v>
      </c>
      <c r="H7409" s="157" t="s">
        <v>211</v>
      </c>
    </row>
    <row r="7410" hidden="1">
      <c r="A7410" s="160" t="s">
        <v>233</v>
      </c>
      <c r="B7410" s="72"/>
      <c r="C7410" s="118" t="s">
        <v>232</v>
      </c>
      <c r="D7410" s="152" t="s">
        <v>8213</v>
      </c>
      <c r="E7410" s="152" t="s">
        <v>8315</v>
      </c>
      <c r="F7410" s="152" t="s">
        <v>339</v>
      </c>
      <c r="G7410" s="152" t="s">
        <v>3616</v>
      </c>
      <c r="H7410" s="153" t="s">
        <v>212</v>
      </c>
    </row>
    <row r="7411" hidden="1">
      <c r="A7411" s="158" t="s">
        <v>233</v>
      </c>
      <c r="B7411" s="159"/>
      <c r="C7411" s="155" t="s">
        <v>232</v>
      </c>
      <c r="D7411" s="156" t="s">
        <v>8213</v>
      </c>
      <c r="E7411" s="156" t="s">
        <v>8316</v>
      </c>
      <c r="F7411" s="156" t="s">
        <v>310</v>
      </c>
      <c r="G7411" s="156" t="s">
        <v>4464</v>
      </c>
      <c r="H7411" s="157" t="s">
        <v>213</v>
      </c>
    </row>
    <row r="7412" hidden="1">
      <c r="A7412" s="160" t="s">
        <v>233</v>
      </c>
      <c r="B7412" s="72"/>
      <c r="C7412" s="118" t="s">
        <v>232</v>
      </c>
      <c r="D7412" s="152" t="s">
        <v>8213</v>
      </c>
      <c r="E7412" s="152" t="s">
        <v>8317</v>
      </c>
      <c r="F7412" s="152" t="s">
        <v>331</v>
      </c>
      <c r="G7412" s="152" t="s">
        <v>3532</v>
      </c>
      <c r="H7412" s="153" t="s">
        <v>214</v>
      </c>
    </row>
    <row r="7413" hidden="1">
      <c r="A7413" s="158" t="s">
        <v>233</v>
      </c>
      <c r="B7413" s="159"/>
      <c r="C7413" s="155" t="s">
        <v>232</v>
      </c>
      <c r="D7413" s="156" t="s">
        <v>8213</v>
      </c>
      <c r="E7413" s="156" t="s">
        <v>8318</v>
      </c>
      <c r="F7413" s="156" t="s">
        <v>310</v>
      </c>
      <c r="G7413" s="156" t="s">
        <v>4196</v>
      </c>
      <c r="H7413" s="157" t="s">
        <v>215</v>
      </c>
    </row>
    <row r="7414" hidden="1">
      <c r="A7414" s="160" t="s">
        <v>233</v>
      </c>
      <c r="B7414" s="72"/>
      <c r="C7414" s="118" t="s">
        <v>232</v>
      </c>
      <c r="D7414" s="152" t="s">
        <v>8213</v>
      </c>
      <c r="E7414" s="152" t="s">
        <v>8319</v>
      </c>
      <c r="F7414" s="152" t="s">
        <v>305</v>
      </c>
      <c r="G7414" s="152" t="s">
        <v>1997</v>
      </c>
      <c r="H7414" s="153" t="s">
        <v>216</v>
      </c>
    </row>
    <row r="7415" hidden="1">
      <c r="A7415" s="158" t="s">
        <v>234</v>
      </c>
      <c r="B7415" s="159"/>
      <c r="C7415" s="155" t="s">
        <v>232</v>
      </c>
      <c r="D7415" s="156" t="s">
        <v>8213</v>
      </c>
      <c r="E7415" s="156" t="s">
        <v>8320</v>
      </c>
      <c r="F7415" s="156" t="s">
        <v>323</v>
      </c>
      <c r="G7415" s="156" t="s">
        <v>3226</v>
      </c>
      <c r="H7415" s="157" t="s">
        <v>210</v>
      </c>
    </row>
    <row r="7416" hidden="1">
      <c r="A7416" s="160" t="s">
        <v>234</v>
      </c>
      <c r="B7416" s="72"/>
      <c r="C7416" s="118" t="s">
        <v>232</v>
      </c>
      <c r="D7416" s="152" t="s">
        <v>8213</v>
      </c>
      <c r="E7416" s="152" t="s">
        <v>8321</v>
      </c>
      <c r="F7416" s="152" t="s">
        <v>357</v>
      </c>
      <c r="G7416" s="152" t="s">
        <v>2393</v>
      </c>
      <c r="H7416" s="153" t="s">
        <v>211</v>
      </c>
    </row>
    <row r="7417" hidden="1">
      <c r="A7417" s="158" t="s">
        <v>234</v>
      </c>
      <c r="B7417" s="159"/>
      <c r="C7417" s="155" t="s">
        <v>232</v>
      </c>
      <c r="D7417" s="156" t="s">
        <v>8213</v>
      </c>
      <c r="E7417" s="156" t="s">
        <v>8322</v>
      </c>
      <c r="F7417" s="156" t="s">
        <v>242</v>
      </c>
      <c r="G7417" s="156" t="s">
        <v>2119</v>
      </c>
      <c r="H7417" s="157" t="s">
        <v>212</v>
      </c>
    </row>
    <row r="7418" hidden="1">
      <c r="A7418" s="160" t="s">
        <v>234</v>
      </c>
      <c r="B7418" s="72"/>
      <c r="C7418" s="118" t="s">
        <v>232</v>
      </c>
      <c r="D7418" s="152" t="s">
        <v>8213</v>
      </c>
      <c r="E7418" s="152" t="s">
        <v>8323</v>
      </c>
      <c r="F7418" s="152" t="s">
        <v>301</v>
      </c>
      <c r="G7418" s="152" t="s">
        <v>3230</v>
      </c>
      <c r="H7418" s="153" t="s">
        <v>213</v>
      </c>
    </row>
    <row r="7419" hidden="1">
      <c r="A7419" s="158" t="s">
        <v>234</v>
      </c>
      <c r="B7419" s="159"/>
      <c r="C7419" s="155" t="s">
        <v>232</v>
      </c>
      <c r="D7419" s="156" t="s">
        <v>8213</v>
      </c>
      <c r="E7419" s="156" t="s">
        <v>8324</v>
      </c>
      <c r="F7419" s="156" t="s">
        <v>310</v>
      </c>
      <c r="G7419" s="156" t="s">
        <v>2986</v>
      </c>
      <c r="H7419" s="157" t="s">
        <v>214</v>
      </c>
    </row>
    <row r="7420" hidden="1">
      <c r="A7420" s="160" t="s">
        <v>234</v>
      </c>
      <c r="B7420" s="72"/>
      <c r="C7420" s="118" t="s">
        <v>232</v>
      </c>
      <c r="D7420" s="152" t="s">
        <v>8213</v>
      </c>
      <c r="E7420" s="152" t="s">
        <v>8325</v>
      </c>
      <c r="F7420" s="152" t="s">
        <v>259</v>
      </c>
      <c r="G7420" s="152" t="s">
        <v>3458</v>
      </c>
      <c r="H7420" s="153" t="s">
        <v>215</v>
      </c>
    </row>
    <row r="7421" hidden="1">
      <c r="A7421" s="158" t="s">
        <v>234</v>
      </c>
      <c r="B7421" s="159"/>
      <c r="C7421" s="155" t="s">
        <v>232</v>
      </c>
      <c r="D7421" s="156" t="s">
        <v>8213</v>
      </c>
      <c r="E7421" s="156" t="s">
        <v>8326</v>
      </c>
      <c r="F7421" s="156" t="s">
        <v>357</v>
      </c>
      <c r="G7421" s="156" t="s">
        <v>3389</v>
      </c>
      <c r="H7421" s="157" t="s">
        <v>216</v>
      </c>
    </row>
    <row r="7422" hidden="1">
      <c r="A7422" s="160" t="s">
        <v>235</v>
      </c>
      <c r="B7422" s="72"/>
      <c r="C7422" s="118" t="s">
        <v>236</v>
      </c>
      <c r="D7422" s="152" t="s">
        <v>8213</v>
      </c>
      <c r="E7422" s="152" t="s">
        <v>8327</v>
      </c>
      <c r="F7422" s="152" t="s">
        <v>325</v>
      </c>
      <c r="G7422" s="152" t="s">
        <v>3108</v>
      </c>
      <c r="H7422" s="153" t="s">
        <v>210</v>
      </c>
    </row>
    <row r="7423" hidden="1">
      <c r="A7423" s="158" t="s">
        <v>235</v>
      </c>
      <c r="B7423" s="159"/>
      <c r="C7423" s="155" t="s">
        <v>236</v>
      </c>
      <c r="D7423" s="156" t="s">
        <v>8213</v>
      </c>
      <c r="E7423" s="156" t="s">
        <v>8328</v>
      </c>
      <c r="F7423" s="156" t="s">
        <v>336</v>
      </c>
      <c r="G7423" s="156" t="s">
        <v>3371</v>
      </c>
      <c r="H7423" s="157" t="s">
        <v>211</v>
      </c>
    </row>
    <row r="7424" hidden="1">
      <c r="A7424" s="160" t="s">
        <v>235</v>
      </c>
      <c r="B7424" s="72"/>
      <c r="C7424" s="118" t="s">
        <v>236</v>
      </c>
      <c r="D7424" s="152" t="s">
        <v>8213</v>
      </c>
      <c r="E7424" s="152" t="s">
        <v>8329</v>
      </c>
      <c r="F7424" s="152" t="s">
        <v>450</v>
      </c>
      <c r="G7424" s="152" t="s">
        <v>3300</v>
      </c>
      <c r="H7424" s="153" t="s">
        <v>212</v>
      </c>
    </row>
    <row r="7425" hidden="1">
      <c r="A7425" s="158" t="s">
        <v>235</v>
      </c>
      <c r="B7425" s="159"/>
      <c r="C7425" s="155" t="s">
        <v>236</v>
      </c>
      <c r="D7425" s="156" t="s">
        <v>8213</v>
      </c>
      <c r="E7425" s="156" t="s">
        <v>8330</v>
      </c>
      <c r="F7425" s="156" t="s">
        <v>427</v>
      </c>
      <c r="G7425" s="156" t="s">
        <v>2008</v>
      </c>
      <c r="H7425" s="157" t="s">
        <v>213</v>
      </c>
    </row>
    <row r="7426" hidden="1">
      <c r="A7426" s="160" t="s">
        <v>235</v>
      </c>
      <c r="B7426" s="72"/>
      <c r="C7426" s="118" t="s">
        <v>236</v>
      </c>
      <c r="D7426" s="152" t="s">
        <v>8213</v>
      </c>
      <c r="E7426" s="152" t="s">
        <v>8331</v>
      </c>
      <c r="F7426" s="152" t="s">
        <v>331</v>
      </c>
      <c r="G7426" s="152" t="s">
        <v>3371</v>
      </c>
      <c r="H7426" s="153" t="s">
        <v>214</v>
      </c>
    </row>
    <row r="7427" hidden="1">
      <c r="A7427" s="158" t="s">
        <v>235</v>
      </c>
      <c r="B7427" s="159"/>
      <c r="C7427" s="155" t="s">
        <v>236</v>
      </c>
      <c r="D7427" s="156" t="s">
        <v>8213</v>
      </c>
      <c r="E7427" s="156" t="s">
        <v>8332</v>
      </c>
      <c r="F7427" s="156" t="s">
        <v>534</v>
      </c>
      <c r="G7427" s="156" t="s">
        <v>1997</v>
      </c>
      <c r="H7427" s="157" t="s">
        <v>215</v>
      </c>
    </row>
    <row r="7428" hidden="1">
      <c r="A7428" s="160" t="s">
        <v>235</v>
      </c>
      <c r="B7428" s="72"/>
      <c r="C7428" s="118" t="s">
        <v>236</v>
      </c>
      <c r="D7428" s="152" t="s">
        <v>8213</v>
      </c>
      <c r="E7428" s="152" t="s">
        <v>8333</v>
      </c>
      <c r="F7428" s="152" t="s">
        <v>336</v>
      </c>
      <c r="G7428" s="152" t="s">
        <v>2008</v>
      </c>
      <c r="H7428" s="153" t="s">
        <v>216</v>
      </c>
    </row>
    <row r="7429" hidden="1">
      <c r="A7429" s="158" t="s">
        <v>237</v>
      </c>
      <c r="B7429" s="159"/>
      <c r="C7429" s="155" t="s">
        <v>236</v>
      </c>
      <c r="D7429" s="156" t="s">
        <v>8213</v>
      </c>
      <c r="E7429" s="156" t="s">
        <v>8334</v>
      </c>
      <c r="F7429" s="156" t="s">
        <v>325</v>
      </c>
      <c r="G7429" s="156" t="s">
        <v>3307</v>
      </c>
      <c r="H7429" s="157" t="s">
        <v>210</v>
      </c>
    </row>
    <row r="7430" hidden="1">
      <c r="A7430" s="160" t="s">
        <v>237</v>
      </c>
      <c r="B7430" s="72"/>
      <c r="C7430" s="118" t="s">
        <v>236</v>
      </c>
      <c r="D7430" s="152" t="s">
        <v>8213</v>
      </c>
      <c r="E7430" s="152" t="s">
        <v>8335</v>
      </c>
      <c r="F7430" s="152" t="s">
        <v>290</v>
      </c>
      <c r="G7430" s="152" t="s">
        <v>3282</v>
      </c>
      <c r="H7430" s="153" t="s">
        <v>211</v>
      </c>
    </row>
    <row r="7431" hidden="1">
      <c r="A7431" s="158" t="s">
        <v>237</v>
      </c>
      <c r="B7431" s="159"/>
      <c r="C7431" s="155" t="s">
        <v>236</v>
      </c>
      <c r="D7431" s="156" t="s">
        <v>8213</v>
      </c>
      <c r="E7431" s="156" t="s">
        <v>8336</v>
      </c>
      <c r="F7431" s="156" t="s">
        <v>331</v>
      </c>
      <c r="G7431" s="156" t="s">
        <v>3312</v>
      </c>
      <c r="H7431" s="157" t="s">
        <v>212</v>
      </c>
    </row>
    <row r="7432" hidden="1">
      <c r="A7432" s="160" t="s">
        <v>237</v>
      </c>
      <c r="B7432" s="72"/>
      <c r="C7432" s="118" t="s">
        <v>236</v>
      </c>
      <c r="D7432" s="152" t="s">
        <v>8213</v>
      </c>
      <c r="E7432" s="152" t="s">
        <v>8337</v>
      </c>
      <c r="F7432" s="152" t="s">
        <v>359</v>
      </c>
      <c r="G7432" s="152" t="s">
        <v>2762</v>
      </c>
      <c r="H7432" s="153" t="s">
        <v>213</v>
      </c>
    </row>
    <row r="7433" hidden="1">
      <c r="A7433" s="158" t="s">
        <v>237</v>
      </c>
      <c r="B7433" s="159"/>
      <c r="C7433" s="155" t="s">
        <v>236</v>
      </c>
      <c r="D7433" s="156" t="s">
        <v>8213</v>
      </c>
      <c r="E7433" s="156" t="s">
        <v>8338</v>
      </c>
      <c r="F7433" s="156" t="s">
        <v>425</v>
      </c>
      <c r="G7433" s="156" t="s">
        <v>2609</v>
      </c>
      <c r="H7433" s="157" t="s">
        <v>214</v>
      </c>
    </row>
    <row r="7434" hidden="1">
      <c r="A7434" s="160" t="s">
        <v>237</v>
      </c>
      <c r="B7434" s="72"/>
      <c r="C7434" s="118" t="s">
        <v>236</v>
      </c>
      <c r="D7434" s="152" t="s">
        <v>8213</v>
      </c>
      <c r="E7434" s="152" t="s">
        <v>8339</v>
      </c>
      <c r="F7434" s="152" t="s">
        <v>314</v>
      </c>
      <c r="G7434" s="152" t="s">
        <v>1921</v>
      </c>
      <c r="H7434" s="153" t="s">
        <v>215</v>
      </c>
    </row>
    <row r="7435" hidden="1">
      <c r="A7435" s="158" t="s">
        <v>237</v>
      </c>
      <c r="B7435" s="159"/>
      <c r="C7435" s="155" t="s">
        <v>236</v>
      </c>
      <c r="D7435" s="156" t="s">
        <v>8213</v>
      </c>
      <c r="E7435" s="156" t="s">
        <v>8340</v>
      </c>
      <c r="F7435" s="156" t="s">
        <v>351</v>
      </c>
      <c r="G7435" s="156" t="s">
        <v>4013</v>
      </c>
      <c r="H7435" s="157" t="s">
        <v>216</v>
      </c>
    </row>
    <row r="7436" hidden="1">
      <c r="A7436" s="151" t="s">
        <v>204</v>
      </c>
      <c r="B7436" s="118" t="s">
        <v>205</v>
      </c>
      <c r="C7436" s="118" t="s">
        <v>206</v>
      </c>
      <c r="D7436" s="152" t="s">
        <v>8341</v>
      </c>
      <c r="E7436" s="152" t="s">
        <v>8342</v>
      </c>
      <c r="F7436" s="152" t="s">
        <v>359</v>
      </c>
      <c r="G7436" s="152" t="s">
        <v>2816</v>
      </c>
      <c r="H7436" s="153" t="s">
        <v>210</v>
      </c>
    </row>
    <row r="7437" hidden="1">
      <c r="A7437" s="154" t="s">
        <v>204</v>
      </c>
      <c r="B7437" s="155" t="s">
        <v>205</v>
      </c>
      <c r="C7437" s="155" t="s">
        <v>206</v>
      </c>
      <c r="D7437" s="156" t="s">
        <v>8341</v>
      </c>
      <c r="E7437" s="156" t="s">
        <v>8343</v>
      </c>
      <c r="F7437" s="156" t="s">
        <v>331</v>
      </c>
      <c r="G7437" s="156" t="s">
        <v>4206</v>
      </c>
      <c r="H7437" s="157" t="s">
        <v>211</v>
      </c>
    </row>
    <row r="7438" hidden="1">
      <c r="A7438" s="151" t="s">
        <v>204</v>
      </c>
      <c r="B7438" s="118" t="s">
        <v>205</v>
      </c>
      <c r="C7438" s="118" t="s">
        <v>206</v>
      </c>
      <c r="D7438" s="152" t="s">
        <v>8341</v>
      </c>
      <c r="E7438" s="152" t="s">
        <v>8344</v>
      </c>
      <c r="F7438" s="152" t="s">
        <v>534</v>
      </c>
      <c r="G7438" s="152" t="s">
        <v>3815</v>
      </c>
      <c r="H7438" s="153" t="s">
        <v>212</v>
      </c>
    </row>
    <row r="7439" hidden="1">
      <c r="A7439" s="154" t="s">
        <v>204</v>
      </c>
      <c r="B7439" s="155" t="s">
        <v>205</v>
      </c>
      <c r="C7439" s="155" t="s">
        <v>206</v>
      </c>
      <c r="D7439" s="156" t="s">
        <v>8341</v>
      </c>
      <c r="E7439" s="156" t="s">
        <v>8345</v>
      </c>
      <c r="F7439" s="156" t="s">
        <v>308</v>
      </c>
      <c r="G7439" s="156" t="s">
        <v>2513</v>
      </c>
      <c r="H7439" s="157" t="s">
        <v>213</v>
      </c>
    </row>
    <row r="7440" hidden="1">
      <c r="A7440" s="151" t="s">
        <v>204</v>
      </c>
      <c r="B7440" s="118" t="s">
        <v>205</v>
      </c>
      <c r="C7440" s="118" t="s">
        <v>206</v>
      </c>
      <c r="D7440" s="152" t="s">
        <v>8341</v>
      </c>
      <c r="E7440" s="152" t="s">
        <v>8346</v>
      </c>
      <c r="F7440" s="152" t="s">
        <v>308</v>
      </c>
      <c r="G7440" s="152" t="s">
        <v>2513</v>
      </c>
      <c r="H7440" s="153" t="s">
        <v>214</v>
      </c>
    </row>
    <row r="7441" hidden="1">
      <c r="A7441" s="154" t="s">
        <v>204</v>
      </c>
      <c r="B7441" s="155" t="s">
        <v>205</v>
      </c>
      <c r="C7441" s="155" t="s">
        <v>206</v>
      </c>
      <c r="D7441" s="156" t="s">
        <v>8341</v>
      </c>
      <c r="E7441" s="156" t="s">
        <v>8347</v>
      </c>
      <c r="F7441" s="156" t="s">
        <v>285</v>
      </c>
      <c r="G7441" s="156" t="s">
        <v>2820</v>
      </c>
      <c r="H7441" s="157" t="s">
        <v>215</v>
      </c>
    </row>
    <row r="7442" hidden="1">
      <c r="A7442" s="151" t="s">
        <v>204</v>
      </c>
      <c r="B7442" s="118" t="s">
        <v>205</v>
      </c>
      <c r="C7442" s="118" t="s">
        <v>206</v>
      </c>
      <c r="D7442" s="152" t="s">
        <v>8341</v>
      </c>
      <c r="E7442" s="152" t="s">
        <v>8348</v>
      </c>
      <c r="F7442" s="152" t="s">
        <v>321</v>
      </c>
      <c r="G7442" s="152" t="s">
        <v>2513</v>
      </c>
      <c r="H7442" s="153" t="s">
        <v>216</v>
      </c>
    </row>
    <row r="7443" hidden="1">
      <c r="A7443" s="154" t="s">
        <v>217</v>
      </c>
      <c r="B7443" s="155" t="s">
        <v>191</v>
      </c>
      <c r="C7443" s="155" t="s">
        <v>206</v>
      </c>
      <c r="D7443" s="156" t="s">
        <v>8341</v>
      </c>
      <c r="E7443" s="156" t="s">
        <v>8349</v>
      </c>
      <c r="F7443" s="156" t="s">
        <v>242</v>
      </c>
      <c r="G7443" s="156" t="s">
        <v>1791</v>
      </c>
      <c r="H7443" s="157" t="s">
        <v>210</v>
      </c>
    </row>
    <row r="7444" hidden="1">
      <c r="A7444" s="151" t="s">
        <v>217</v>
      </c>
      <c r="B7444" s="118" t="s">
        <v>191</v>
      </c>
      <c r="C7444" s="118" t="s">
        <v>206</v>
      </c>
      <c r="D7444" s="152" t="s">
        <v>8341</v>
      </c>
      <c r="E7444" s="152" t="s">
        <v>8350</v>
      </c>
      <c r="F7444" s="152" t="s">
        <v>359</v>
      </c>
      <c r="G7444" s="152" t="s">
        <v>2348</v>
      </c>
      <c r="H7444" s="153" t="s">
        <v>211</v>
      </c>
    </row>
    <row r="7445" hidden="1">
      <c r="A7445" s="154" t="s">
        <v>217</v>
      </c>
      <c r="B7445" s="155" t="s">
        <v>191</v>
      </c>
      <c r="C7445" s="155" t="s">
        <v>206</v>
      </c>
      <c r="D7445" s="156" t="s">
        <v>8341</v>
      </c>
      <c r="E7445" s="156" t="s">
        <v>8351</v>
      </c>
      <c r="F7445" s="156" t="s">
        <v>308</v>
      </c>
      <c r="G7445" s="156" t="s">
        <v>4073</v>
      </c>
      <c r="H7445" s="157" t="s">
        <v>212</v>
      </c>
    </row>
    <row r="7446" hidden="1">
      <c r="A7446" s="151" t="s">
        <v>217</v>
      </c>
      <c r="B7446" s="118" t="s">
        <v>191</v>
      </c>
      <c r="C7446" s="118" t="s">
        <v>206</v>
      </c>
      <c r="D7446" s="152" t="s">
        <v>8341</v>
      </c>
      <c r="E7446" s="152" t="s">
        <v>8352</v>
      </c>
      <c r="F7446" s="152" t="s">
        <v>314</v>
      </c>
      <c r="G7446" s="152" t="s">
        <v>3919</v>
      </c>
      <c r="H7446" s="153" t="s">
        <v>213</v>
      </c>
    </row>
    <row r="7447" hidden="1">
      <c r="A7447" s="154" t="s">
        <v>217</v>
      </c>
      <c r="B7447" s="155" t="s">
        <v>191</v>
      </c>
      <c r="C7447" s="155" t="s">
        <v>206</v>
      </c>
      <c r="D7447" s="156" t="s">
        <v>8341</v>
      </c>
      <c r="E7447" s="156" t="s">
        <v>8353</v>
      </c>
      <c r="F7447" s="156" t="s">
        <v>308</v>
      </c>
      <c r="G7447" s="156" t="s">
        <v>2517</v>
      </c>
      <c r="H7447" s="157" t="s">
        <v>214</v>
      </c>
    </row>
    <row r="7448" hidden="1">
      <c r="A7448" s="151" t="s">
        <v>217</v>
      </c>
      <c r="B7448" s="118" t="s">
        <v>191</v>
      </c>
      <c r="C7448" s="118" t="s">
        <v>206</v>
      </c>
      <c r="D7448" s="152" t="s">
        <v>8341</v>
      </c>
      <c r="E7448" s="152" t="s">
        <v>8354</v>
      </c>
      <c r="F7448" s="152" t="s">
        <v>242</v>
      </c>
      <c r="G7448" s="152" t="s">
        <v>3200</v>
      </c>
      <c r="H7448" s="153" t="s">
        <v>215</v>
      </c>
    </row>
    <row r="7449" hidden="1">
      <c r="A7449" s="154" t="s">
        <v>217</v>
      </c>
      <c r="B7449" s="155" t="s">
        <v>191</v>
      </c>
      <c r="C7449" s="155" t="s">
        <v>206</v>
      </c>
      <c r="D7449" s="156" t="s">
        <v>8341</v>
      </c>
      <c r="E7449" s="156" t="s">
        <v>8355</v>
      </c>
      <c r="F7449" s="156" t="s">
        <v>323</v>
      </c>
      <c r="G7449" s="156" t="s">
        <v>2965</v>
      </c>
      <c r="H7449" s="157" t="s">
        <v>216</v>
      </c>
    </row>
    <row r="7450" hidden="1">
      <c r="A7450" s="151" t="s">
        <v>218</v>
      </c>
      <c r="B7450" s="118" t="s">
        <v>219</v>
      </c>
      <c r="C7450" s="118" t="s">
        <v>206</v>
      </c>
      <c r="D7450" s="152" t="s">
        <v>8341</v>
      </c>
      <c r="E7450" s="152" t="s">
        <v>8356</v>
      </c>
      <c r="F7450" s="152" t="s">
        <v>259</v>
      </c>
      <c r="G7450" s="152" t="s">
        <v>3203</v>
      </c>
      <c r="H7450" s="153" t="s">
        <v>210</v>
      </c>
    </row>
    <row r="7451" hidden="1">
      <c r="A7451" s="154" t="s">
        <v>218</v>
      </c>
      <c r="B7451" s="155" t="s">
        <v>219</v>
      </c>
      <c r="C7451" s="155" t="s">
        <v>206</v>
      </c>
      <c r="D7451" s="156" t="s">
        <v>8341</v>
      </c>
      <c r="E7451" s="156" t="s">
        <v>8357</v>
      </c>
      <c r="F7451" s="156" t="s">
        <v>301</v>
      </c>
      <c r="G7451" s="156" t="s">
        <v>3913</v>
      </c>
      <c r="H7451" s="157" t="s">
        <v>211</v>
      </c>
    </row>
    <row r="7452" hidden="1">
      <c r="A7452" s="151" t="s">
        <v>218</v>
      </c>
      <c r="B7452" s="118" t="s">
        <v>219</v>
      </c>
      <c r="C7452" s="118" t="s">
        <v>206</v>
      </c>
      <c r="D7452" s="152" t="s">
        <v>8341</v>
      </c>
      <c r="E7452" s="152" t="s">
        <v>8358</v>
      </c>
      <c r="F7452" s="152" t="s">
        <v>290</v>
      </c>
      <c r="G7452" s="152" t="s">
        <v>4029</v>
      </c>
      <c r="H7452" s="153" t="s">
        <v>212</v>
      </c>
    </row>
    <row r="7453" hidden="1">
      <c r="A7453" s="154" t="s">
        <v>218</v>
      </c>
      <c r="B7453" s="155" t="s">
        <v>219</v>
      </c>
      <c r="C7453" s="155" t="s">
        <v>206</v>
      </c>
      <c r="D7453" s="156" t="s">
        <v>8341</v>
      </c>
      <c r="E7453" s="156" t="s">
        <v>8359</v>
      </c>
      <c r="F7453" s="156" t="s">
        <v>257</v>
      </c>
      <c r="G7453" s="156" t="s">
        <v>4146</v>
      </c>
      <c r="H7453" s="157" t="s">
        <v>213</v>
      </c>
    </row>
    <row r="7454" hidden="1">
      <c r="A7454" s="151" t="s">
        <v>218</v>
      </c>
      <c r="B7454" s="118" t="s">
        <v>219</v>
      </c>
      <c r="C7454" s="118" t="s">
        <v>206</v>
      </c>
      <c r="D7454" s="152" t="s">
        <v>8341</v>
      </c>
      <c r="E7454" s="152" t="s">
        <v>8360</v>
      </c>
      <c r="F7454" s="152" t="s">
        <v>301</v>
      </c>
      <c r="G7454" s="152" t="s">
        <v>1995</v>
      </c>
      <c r="H7454" s="153" t="s">
        <v>214</v>
      </c>
    </row>
    <row r="7455" hidden="1">
      <c r="A7455" s="154" t="s">
        <v>218</v>
      </c>
      <c r="B7455" s="155" t="s">
        <v>219</v>
      </c>
      <c r="C7455" s="155" t="s">
        <v>206</v>
      </c>
      <c r="D7455" s="156" t="s">
        <v>8341</v>
      </c>
      <c r="E7455" s="156" t="s">
        <v>8361</v>
      </c>
      <c r="F7455" s="156" t="s">
        <v>265</v>
      </c>
      <c r="G7455" s="156" t="s">
        <v>2510</v>
      </c>
      <c r="H7455" s="157" t="s">
        <v>215</v>
      </c>
    </row>
    <row r="7456" hidden="1">
      <c r="A7456" s="151" t="s">
        <v>218</v>
      </c>
      <c r="B7456" s="118" t="s">
        <v>219</v>
      </c>
      <c r="C7456" s="118" t="s">
        <v>206</v>
      </c>
      <c r="D7456" s="152" t="s">
        <v>8341</v>
      </c>
      <c r="E7456" s="152" t="s">
        <v>8362</v>
      </c>
      <c r="F7456" s="152" t="s">
        <v>301</v>
      </c>
      <c r="G7456" s="152" t="s">
        <v>2517</v>
      </c>
      <c r="H7456" s="153" t="s">
        <v>216</v>
      </c>
    </row>
    <row r="7457" hidden="1">
      <c r="A7457" s="154" t="s">
        <v>220</v>
      </c>
      <c r="B7457" s="155" t="s">
        <v>190</v>
      </c>
      <c r="C7457" s="155" t="s">
        <v>206</v>
      </c>
      <c r="D7457" s="156" t="s">
        <v>8341</v>
      </c>
      <c r="E7457" s="156" t="s">
        <v>8363</v>
      </c>
      <c r="F7457" s="156" t="s">
        <v>351</v>
      </c>
      <c r="G7457" s="156" t="s">
        <v>1788</v>
      </c>
      <c r="H7457" s="157" t="s">
        <v>210</v>
      </c>
    </row>
    <row r="7458" hidden="1">
      <c r="A7458" s="151" t="s">
        <v>220</v>
      </c>
      <c r="B7458" s="118" t="s">
        <v>190</v>
      </c>
      <c r="C7458" s="118" t="s">
        <v>206</v>
      </c>
      <c r="D7458" s="152" t="s">
        <v>8341</v>
      </c>
      <c r="E7458" s="152" t="s">
        <v>8364</v>
      </c>
      <c r="F7458" s="152" t="s">
        <v>405</v>
      </c>
      <c r="G7458" s="152" t="s">
        <v>3696</v>
      </c>
      <c r="H7458" s="153" t="s">
        <v>211</v>
      </c>
    </row>
    <row r="7459" hidden="1">
      <c r="A7459" s="154" t="s">
        <v>220</v>
      </c>
      <c r="B7459" s="155" t="s">
        <v>190</v>
      </c>
      <c r="C7459" s="155" t="s">
        <v>206</v>
      </c>
      <c r="D7459" s="156" t="s">
        <v>8341</v>
      </c>
      <c r="E7459" s="156" t="s">
        <v>8365</v>
      </c>
      <c r="F7459" s="156" t="s">
        <v>339</v>
      </c>
      <c r="G7459" s="156" t="s">
        <v>4364</v>
      </c>
      <c r="H7459" s="157" t="s">
        <v>212</v>
      </c>
    </row>
    <row r="7460" hidden="1">
      <c r="A7460" s="151" t="s">
        <v>220</v>
      </c>
      <c r="B7460" s="118" t="s">
        <v>190</v>
      </c>
      <c r="C7460" s="118" t="s">
        <v>206</v>
      </c>
      <c r="D7460" s="152" t="s">
        <v>8341</v>
      </c>
      <c r="E7460" s="152" t="s">
        <v>8366</v>
      </c>
      <c r="F7460" s="152" t="s">
        <v>799</v>
      </c>
      <c r="G7460" s="152" t="s">
        <v>3905</v>
      </c>
      <c r="H7460" s="153" t="s">
        <v>213</v>
      </c>
    </row>
    <row r="7461" hidden="1">
      <c r="A7461" s="154" t="s">
        <v>220</v>
      </c>
      <c r="B7461" s="155" t="s">
        <v>190</v>
      </c>
      <c r="C7461" s="155" t="s">
        <v>206</v>
      </c>
      <c r="D7461" s="156" t="s">
        <v>8341</v>
      </c>
      <c r="E7461" s="156" t="s">
        <v>8367</v>
      </c>
      <c r="F7461" s="156" t="s">
        <v>314</v>
      </c>
      <c r="G7461" s="156" t="s">
        <v>3838</v>
      </c>
      <c r="H7461" s="157" t="s">
        <v>214</v>
      </c>
    </row>
    <row r="7462" hidden="1">
      <c r="A7462" s="151" t="s">
        <v>220</v>
      </c>
      <c r="B7462" s="118" t="s">
        <v>190</v>
      </c>
      <c r="C7462" s="118" t="s">
        <v>206</v>
      </c>
      <c r="D7462" s="152" t="s">
        <v>8341</v>
      </c>
      <c r="E7462" s="152" t="s">
        <v>8368</v>
      </c>
      <c r="F7462" s="152" t="s">
        <v>290</v>
      </c>
      <c r="G7462" s="152" t="s">
        <v>4412</v>
      </c>
      <c r="H7462" s="153" t="s">
        <v>215</v>
      </c>
    </row>
    <row r="7463" hidden="1">
      <c r="A7463" s="154" t="s">
        <v>220</v>
      </c>
      <c r="B7463" s="155" t="s">
        <v>190</v>
      </c>
      <c r="C7463" s="155" t="s">
        <v>206</v>
      </c>
      <c r="D7463" s="156" t="s">
        <v>8341</v>
      </c>
      <c r="E7463" s="156" t="s">
        <v>8369</v>
      </c>
      <c r="F7463" s="156" t="s">
        <v>329</v>
      </c>
      <c r="G7463" s="156" t="s">
        <v>4446</v>
      </c>
      <c r="H7463" s="157" t="s">
        <v>216</v>
      </c>
    </row>
    <row r="7464" hidden="1">
      <c r="A7464" s="151" t="s">
        <v>221</v>
      </c>
      <c r="B7464" s="118" t="s">
        <v>189</v>
      </c>
      <c r="C7464" s="118" t="s">
        <v>206</v>
      </c>
      <c r="D7464" s="152" t="s">
        <v>8341</v>
      </c>
      <c r="E7464" s="152" t="s">
        <v>8370</v>
      </c>
      <c r="F7464" s="152" t="s">
        <v>242</v>
      </c>
      <c r="G7464" s="152" t="s">
        <v>2039</v>
      </c>
      <c r="H7464" s="153" t="s">
        <v>210</v>
      </c>
    </row>
    <row r="7465" hidden="1">
      <c r="A7465" s="154" t="s">
        <v>221</v>
      </c>
      <c r="B7465" s="155" t="s">
        <v>189</v>
      </c>
      <c r="C7465" s="155" t="s">
        <v>206</v>
      </c>
      <c r="D7465" s="156" t="s">
        <v>8341</v>
      </c>
      <c r="E7465" s="156" t="s">
        <v>8371</v>
      </c>
      <c r="F7465" s="156" t="s">
        <v>308</v>
      </c>
      <c r="G7465" s="156" t="s">
        <v>1957</v>
      </c>
      <c r="H7465" s="157" t="s">
        <v>211</v>
      </c>
    </row>
    <row r="7466" hidden="1">
      <c r="A7466" s="151" t="s">
        <v>221</v>
      </c>
      <c r="B7466" s="118" t="s">
        <v>189</v>
      </c>
      <c r="C7466" s="118" t="s">
        <v>206</v>
      </c>
      <c r="D7466" s="152" t="s">
        <v>8341</v>
      </c>
      <c r="E7466" s="152" t="s">
        <v>8372</v>
      </c>
      <c r="F7466" s="152" t="s">
        <v>534</v>
      </c>
      <c r="G7466" s="152" t="s">
        <v>1868</v>
      </c>
      <c r="H7466" s="153" t="s">
        <v>212</v>
      </c>
    </row>
    <row r="7467" hidden="1">
      <c r="A7467" s="154" t="s">
        <v>221</v>
      </c>
      <c r="B7467" s="155" t="s">
        <v>189</v>
      </c>
      <c r="C7467" s="155" t="s">
        <v>206</v>
      </c>
      <c r="D7467" s="156" t="s">
        <v>8341</v>
      </c>
      <c r="E7467" s="156" t="s">
        <v>8373</v>
      </c>
      <c r="F7467" s="156" t="s">
        <v>249</v>
      </c>
      <c r="G7467" s="156" t="s">
        <v>1923</v>
      </c>
      <c r="H7467" s="157" t="s">
        <v>213</v>
      </c>
    </row>
    <row r="7468" hidden="1">
      <c r="A7468" s="151" t="s">
        <v>221</v>
      </c>
      <c r="B7468" s="118" t="s">
        <v>189</v>
      </c>
      <c r="C7468" s="118" t="s">
        <v>206</v>
      </c>
      <c r="D7468" s="152" t="s">
        <v>8341</v>
      </c>
      <c r="E7468" s="152" t="s">
        <v>8374</v>
      </c>
      <c r="F7468" s="152" t="s">
        <v>244</v>
      </c>
      <c r="G7468" s="152" t="s">
        <v>2705</v>
      </c>
      <c r="H7468" s="153" t="s">
        <v>214</v>
      </c>
    </row>
    <row r="7469" hidden="1">
      <c r="A7469" s="154" t="s">
        <v>221</v>
      </c>
      <c r="B7469" s="155" t="s">
        <v>189</v>
      </c>
      <c r="C7469" s="155" t="s">
        <v>206</v>
      </c>
      <c r="D7469" s="156" t="s">
        <v>8341</v>
      </c>
      <c r="E7469" s="156" t="s">
        <v>8375</v>
      </c>
      <c r="F7469" s="156" t="s">
        <v>242</v>
      </c>
      <c r="G7469" s="156" t="s">
        <v>1864</v>
      </c>
      <c r="H7469" s="157" t="s">
        <v>215</v>
      </c>
    </row>
    <row r="7470" hidden="1">
      <c r="A7470" s="151" t="s">
        <v>221</v>
      </c>
      <c r="B7470" s="118" t="s">
        <v>189</v>
      </c>
      <c r="C7470" s="118" t="s">
        <v>206</v>
      </c>
      <c r="D7470" s="152" t="s">
        <v>8341</v>
      </c>
      <c r="E7470" s="152" t="s">
        <v>8376</v>
      </c>
      <c r="F7470" s="152" t="s">
        <v>285</v>
      </c>
      <c r="G7470" s="152" t="s">
        <v>2864</v>
      </c>
      <c r="H7470" s="153" t="s">
        <v>216</v>
      </c>
    </row>
    <row r="7471" hidden="1">
      <c r="A7471" s="154" t="s">
        <v>222</v>
      </c>
      <c r="B7471" s="155" t="s">
        <v>192</v>
      </c>
      <c r="C7471" s="155" t="s">
        <v>206</v>
      </c>
      <c r="D7471" s="156" t="s">
        <v>8341</v>
      </c>
      <c r="E7471" s="156" t="s">
        <v>8377</v>
      </c>
      <c r="F7471" s="156" t="s">
        <v>331</v>
      </c>
      <c r="G7471" s="156" t="s">
        <v>2285</v>
      </c>
      <c r="H7471" s="157" t="s">
        <v>210</v>
      </c>
    </row>
    <row r="7472" hidden="1">
      <c r="A7472" s="151" t="s">
        <v>222</v>
      </c>
      <c r="B7472" s="118" t="s">
        <v>192</v>
      </c>
      <c r="C7472" s="118" t="s">
        <v>206</v>
      </c>
      <c r="D7472" s="152" t="s">
        <v>8341</v>
      </c>
      <c r="E7472" s="152" t="s">
        <v>8378</v>
      </c>
      <c r="F7472" s="152" t="s">
        <v>249</v>
      </c>
      <c r="G7472" s="152" t="s">
        <v>2285</v>
      </c>
      <c r="H7472" s="153" t="s">
        <v>211</v>
      </c>
    </row>
    <row r="7473" hidden="1">
      <c r="A7473" s="154" t="s">
        <v>222</v>
      </c>
      <c r="B7473" s="155" t="s">
        <v>192</v>
      </c>
      <c r="C7473" s="155" t="s">
        <v>206</v>
      </c>
      <c r="D7473" s="156" t="s">
        <v>8341</v>
      </c>
      <c r="E7473" s="156" t="s">
        <v>8379</v>
      </c>
      <c r="F7473" s="156" t="s">
        <v>308</v>
      </c>
      <c r="G7473" s="156" t="s">
        <v>2281</v>
      </c>
      <c r="H7473" s="157" t="s">
        <v>212</v>
      </c>
    </row>
    <row r="7474" hidden="1">
      <c r="A7474" s="151" t="s">
        <v>222</v>
      </c>
      <c r="B7474" s="118" t="s">
        <v>192</v>
      </c>
      <c r="C7474" s="118" t="s">
        <v>206</v>
      </c>
      <c r="D7474" s="152" t="s">
        <v>8341</v>
      </c>
      <c r="E7474" s="152" t="s">
        <v>8380</v>
      </c>
      <c r="F7474" s="152" t="s">
        <v>321</v>
      </c>
      <c r="G7474" s="152" t="s">
        <v>3059</v>
      </c>
      <c r="H7474" s="153" t="s">
        <v>213</v>
      </c>
    </row>
    <row r="7475" hidden="1">
      <c r="A7475" s="154" t="s">
        <v>222</v>
      </c>
      <c r="B7475" s="155" t="s">
        <v>192</v>
      </c>
      <c r="C7475" s="155" t="s">
        <v>206</v>
      </c>
      <c r="D7475" s="156" t="s">
        <v>8341</v>
      </c>
      <c r="E7475" s="156" t="s">
        <v>8381</v>
      </c>
      <c r="F7475" s="156" t="s">
        <v>249</v>
      </c>
      <c r="G7475" s="156" t="s">
        <v>3209</v>
      </c>
      <c r="H7475" s="157" t="s">
        <v>214</v>
      </c>
    </row>
    <row r="7476" hidden="1">
      <c r="A7476" s="151" t="s">
        <v>222</v>
      </c>
      <c r="B7476" s="118" t="s">
        <v>192</v>
      </c>
      <c r="C7476" s="118" t="s">
        <v>206</v>
      </c>
      <c r="D7476" s="152" t="s">
        <v>8341</v>
      </c>
      <c r="E7476" s="152" t="s">
        <v>8382</v>
      </c>
      <c r="F7476" s="152" t="s">
        <v>310</v>
      </c>
      <c r="G7476" s="152" t="s">
        <v>3410</v>
      </c>
      <c r="H7476" s="153" t="s">
        <v>215</v>
      </c>
    </row>
    <row r="7477" hidden="1">
      <c r="A7477" s="154" t="s">
        <v>222</v>
      </c>
      <c r="B7477" s="155" t="s">
        <v>192</v>
      </c>
      <c r="C7477" s="155" t="s">
        <v>206</v>
      </c>
      <c r="D7477" s="156" t="s">
        <v>8341</v>
      </c>
      <c r="E7477" s="156" t="s">
        <v>8383</v>
      </c>
      <c r="F7477" s="156" t="s">
        <v>308</v>
      </c>
      <c r="G7477" s="156" t="s">
        <v>3396</v>
      </c>
      <c r="H7477" s="157" t="s">
        <v>216</v>
      </c>
    </row>
    <row r="7478" hidden="1">
      <c r="A7478" s="151" t="s">
        <v>223</v>
      </c>
      <c r="B7478" s="118" t="s">
        <v>144</v>
      </c>
      <c r="C7478" s="118" t="s">
        <v>206</v>
      </c>
      <c r="D7478" s="152" t="s">
        <v>8341</v>
      </c>
      <c r="E7478" s="152" t="s">
        <v>8384</v>
      </c>
      <c r="F7478" s="152" t="s">
        <v>323</v>
      </c>
      <c r="G7478" s="152" t="s">
        <v>4283</v>
      </c>
      <c r="H7478" s="153" t="s">
        <v>210</v>
      </c>
    </row>
    <row r="7479" hidden="1">
      <c r="A7479" s="154" t="s">
        <v>223</v>
      </c>
      <c r="B7479" s="155" t="s">
        <v>144</v>
      </c>
      <c r="C7479" s="155" t="s">
        <v>206</v>
      </c>
      <c r="D7479" s="156" t="s">
        <v>8341</v>
      </c>
      <c r="E7479" s="156" t="s">
        <v>8385</v>
      </c>
      <c r="F7479" s="156" t="s">
        <v>321</v>
      </c>
      <c r="G7479" s="156" t="s">
        <v>4659</v>
      </c>
      <c r="H7479" s="157" t="s">
        <v>211</v>
      </c>
    </row>
    <row r="7480" hidden="1">
      <c r="A7480" s="151" t="s">
        <v>223</v>
      </c>
      <c r="B7480" s="118" t="s">
        <v>144</v>
      </c>
      <c r="C7480" s="118" t="s">
        <v>206</v>
      </c>
      <c r="D7480" s="152" t="s">
        <v>8341</v>
      </c>
      <c r="E7480" s="152" t="s">
        <v>8386</v>
      </c>
      <c r="F7480" s="152" t="s">
        <v>339</v>
      </c>
      <c r="G7480" s="152" t="s">
        <v>3905</v>
      </c>
      <c r="H7480" s="153" t="s">
        <v>212</v>
      </c>
    </row>
    <row r="7481" hidden="1">
      <c r="A7481" s="154" t="s">
        <v>223</v>
      </c>
      <c r="B7481" s="155" t="s">
        <v>144</v>
      </c>
      <c r="C7481" s="155" t="s">
        <v>206</v>
      </c>
      <c r="D7481" s="156" t="s">
        <v>8341</v>
      </c>
      <c r="E7481" s="156" t="s">
        <v>8387</v>
      </c>
      <c r="F7481" s="156" t="s">
        <v>331</v>
      </c>
      <c r="G7481" s="156" t="s">
        <v>4464</v>
      </c>
      <c r="H7481" s="157" t="s">
        <v>213</v>
      </c>
    </row>
    <row r="7482" hidden="1">
      <c r="A7482" s="151" t="s">
        <v>223</v>
      </c>
      <c r="B7482" s="118" t="s">
        <v>144</v>
      </c>
      <c r="C7482" s="118" t="s">
        <v>206</v>
      </c>
      <c r="D7482" s="152" t="s">
        <v>8341</v>
      </c>
      <c r="E7482" s="152" t="s">
        <v>8388</v>
      </c>
      <c r="F7482" s="152" t="s">
        <v>290</v>
      </c>
      <c r="G7482" s="152" t="s">
        <v>3113</v>
      </c>
      <c r="H7482" s="153" t="s">
        <v>214</v>
      </c>
    </row>
    <row r="7483" hidden="1">
      <c r="A7483" s="154" t="s">
        <v>223</v>
      </c>
      <c r="B7483" s="155" t="s">
        <v>144</v>
      </c>
      <c r="C7483" s="155" t="s">
        <v>206</v>
      </c>
      <c r="D7483" s="156" t="s">
        <v>8341</v>
      </c>
      <c r="E7483" s="156" t="s">
        <v>8389</v>
      </c>
      <c r="F7483" s="156" t="s">
        <v>339</v>
      </c>
      <c r="G7483" s="156" t="s">
        <v>3790</v>
      </c>
      <c r="H7483" s="157" t="s">
        <v>215</v>
      </c>
    </row>
    <row r="7484" hidden="1">
      <c r="A7484" s="151" t="s">
        <v>223</v>
      </c>
      <c r="B7484" s="118" t="s">
        <v>144</v>
      </c>
      <c r="C7484" s="118" t="s">
        <v>206</v>
      </c>
      <c r="D7484" s="152" t="s">
        <v>8341</v>
      </c>
      <c r="E7484" s="152" t="s">
        <v>8390</v>
      </c>
      <c r="F7484" s="152" t="s">
        <v>314</v>
      </c>
      <c r="G7484" s="152" t="s">
        <v>3786</v>
      </c>
      <c r="H7484" s="153" t="s">
        <v>216</v>
      </c>
    </row>
    <row r="7485" hidden="1">
      <c r="A7485" s="154" t="s">
        <v>224</v>
      </c>
      <c r="B7485" s="155" t="s">
        <v>170</v>
      </c>
      <c r="C7485" s="155" t="s">
        <v>206</v>
      </c>
      <c r="D7485" s="156" t="s">
        <v>8341</v>
      </c>
      <c r="E7485" s="156" t="s">
        <v>8391</v>
      </c>
      <c r="F7485" s="156" t="s">
        <v>244</v>
      </c>
      <c r="G7485" s="156" t="s">
        <v>3820</v>
      </c>
      <c r="H7485" s="157" t="s">
        <v>210</v>
      </c>
    </row>
    <row r="7486" hidden="1">
      <c r="A7486" s="151" t="s">
        <v>224</v>
      </c>
      <c r="B7486" s="118" t="s">
        <v>170</v>
      </c>
      <c r="C7486" s="118" t="s">
        <v>206</v>
      </c>
      <c r="D7486" s="152" t="s">
        <v>8341</v>
      </c>
      <c r="E7486" s="152" t="s">
        <v>8392</v>
      </c>
      <c r="F7486" s="152" t="s">
        <v>359</v>
      </c>
      <c r="G7486" s="152" t="s">
        <v>3113</v>
      </c>
      <c r="H7486" s="153" t="s">
        <v>211</v>
      </c>
    </row>
    <row r="7487" hidden="1">
      <c r="A7487" s="154" t="s">
        <v>224</v>
      </c>
      <c r="B7487" s="155" t="s">
        <v>170</v>
      </c>
      <c r="C7487" s="155" t="s">
        <v>206</v>
      </c>
      <c r="D7487" s="156" t="s">
        <v>8341</v>
      </c>
      <c r="E7487" s="156" t="s">
        <v>8393</v>
      </c>
      <c r="F7487" s="156" t="s">
        <v>325</v>
      </c>
      <c r="G7487" s="156" t="s">
        <v>4215</v>
      </c>
      <c r="H7487" s="157" t="s">
        <v>212</v>
      </c>
    </row>
    <row r="7488" hidden="1">
      <c r="A7488" s="151" t="s">
        <v>224</v>
      </c>
      <c r="B7488" s="118" t="s">
        <v>170</v>
      </c>
      <c r="C7488" s="118" t="s">
        <v>206</v>
      </c>
      <c r="D7488" s="152" t="s">
        <v>8341</v>
      </c>
      <c r="E7488" s="152" t="s">
        <v>8394</v>
      </c>
      <c r="F7488" s="152" t="s">
        <v>314</v>
      </c>
      <c r="G7488" s="152" t="s">
        <v>4034</v>
      </c>
      <c r="H7488" s="153" t="s">
        <v>213</v>
      </c>
    </row>
    <row r="7489" hidden="1">
      <c r="A7489" s="154" t="s">
        <v>224</v>
      </c>
      <c r="B7489" s="155" t="s">
        <v>170</v>
      </c>
      <c r="C7489" s="155" t="s">
        <v>206</v>
      </c>
      <c r="D7489" s="156" t="s">
        <v>8341</v>
      </c>
      <c r="E7489" s="156" t="s">
        <v>8395</v>
      </c>
      <c r="F7489" s="156" t="s">
        <v>305</v>
      </c>
      <c r="G7489" s="156" t="s">
        <v>3432</v>
      </c>
      <c r="H7489" s="157" t="s">
        <v>214</v>
      </c>
    </row>
    <row r="7490" hidden="1">
      <c r="A7490" s="151" t="s">
        <v>224</v>
      </c>
      <c r="B7490" s="118" t="s">
        <v>170</v>
      </c>
      <c r="C7490" s="118" t="s">
        <v>206</v>
      </c>
      <c r="D7490" s="152" t="s">
        <v>8341</v>
      </c>
      <c r="E7490" s="152" t="s">
        <v>8396</v>
      </c>
      <c r="F7490" s="152" t="s">
        <v>310</v>
      </c>
      <c r="G7490" s="152" t="s">
        <v>8269</v>
      </c>
      <c r="H7490" s="153" t="s">
        <v>215</v>
      </c>
    </row>
    <row r="7491" hidden="1">
      <c r="A7491" s="154" t="s">
        <v>224</v>
      </c>
      <c r="B7491" s="155" t="s">
        <v>170</v>
      </c>
      <c r="C7491" s="155" t="s">
        <v>206</v>
      </c>
      <c r="D7491" s="156" t="s">
        <v>8341</v>
      </c>
      <c r="E7491" s="156" t="s">
        <v>8397</v>
      </c>
      <c r="F7491" s="156" t="s">
        <v>285</v>
      </c>
      <c r="G7491" s="156" t="s">
        <v>4161</v>
      </c>
      <c r="H7491" s="157" t="s">
        <v>216</v>
      </c>
    </row>
    <row r="7492" hidden="1">
      <c r="A7492" s="151" t="s">
        <v>225</v>
      </c>
      <c r="B7492" s="118" t="s">
        <v>226</v>
      </c>
      <c r="C7492" s="118" t="s">
        <v>206</v>
      </c>
      <c r="D7492" s="152" t="s">
        <v>8341</v>
      </c>
      <c r="E7492" s="152" t="s">
        <v>8398</v>
      </c>
      <c r="F7492" s="152" t="s">
        <v>279</v>
      </c>
      <c r="G7492" s="152" t="s">
        <v>2694</v>
      </c>
      <c r="H7492" s="153" t="s">
        <v>210</v>
      </c>
    </row>
    <row r="7493" hidden="1">
      <c r="A7493" s="154" t="s">
        <v>225</v>
      </c>
      <c r="B7493" s="155" t="s">
        <v>226</v>
      </c>
      <c r="C7493" s="155" t="s">
        <v>206</v>
      </c>
      <c r="D7493" s="156" t="s">
        <v>8341</v>
      </c>
      <c r="E7493" s="156" t="s">
        <v>8399</v>
      </c>
      <c r="F7493" s="156" t="s">
        <v>323</v>
      </c>
      <c r="G7493" s="156" t="s">
        <v>2129</v>
      </c>
      <c r="H7493" s="157" t="s">
        <v>211</v>
      </c>
    </row>
    <row r="7494" hidden="1">
      <c r="A7494" s="151" t="s">
        <v>225</v>
      </c>
      <c r="B7494" s="118" t="s">
        <v>226</v>
      </c>
      <c r="C7494" s="118" t="s">
        <v>206</v>
      </c>
      <c r="D7494" s="152" t="s">
        <v>8341</v>
      </c>
      <c r="E7494" s="152" t="s">
        <v>8400</v>
      </c>
      <c r="F7494" s="152" t="s">
        <v>298</v>
      </c>
      <c r="G7494" s="152" t="s">
        <v>3221</v>
      </c>
      <c r="H7494" s="153" t="s">
        <v>212</v>
      </c>
    </row>
    <row r="7495" hidden="1">
      <c r="A7495" s="154" t="s">
        <v>225</v>
      </c>
      <c r="B7495" s="155" t="s">
        <v>226</v>
      </c>
      <c r="C7495" s="155" t="s">
        <v>206</v>
      </c>
      <c r="D7495" s="156" t="s">
        <v>8341</v>
      </c>
      <c r="E7495" s="156" t="s">
        <v>8401</v>
      </c>
      <c r="F7495" s="156" t="s">
        <v>244</v>
      </c>
      <c r="G7495" s="156" t="s">
        <v>2309</v>
      </c>
      <c r="H7495" s="157" t="s">
        <v>213</v>
      </c>
    </row>
    <row r="7496" hidden="1">
      <c r="A7496" s="151" t="s">
        <v>225</v>
      </c>
      <c r="B7496" s="118" t="s">
        <v>226</v>
      </c>
      <c r="C7496" s="118" t="s">
        <v>206</v>
      </c>
      <c r="D7496" s="152" t="s">
        <v>8341</v>
      </c>
      <c r="E7496" s="152" t="s">
        <v>8402</v>
      </c>
      <c r="F7496" s="152" t="s">
        <v>298</v>
      </c>
      <c r="G7496" s="152" t="s">
        <v>1839</v>
      </c>
      <c r="H7496" s="153" t="s">
        <v>214</v>
      </c>
    </row>
    <row r="7497" hidden="1">
      <c r="A7497" s="154" t="s">
        <v>225</v>
      </c>
      <c r="B7497" s="155" t="s">
        <v>226</v>
      </c>
      <c r="C7497" s="155" t="s">
        <v>206</v>
      </c>
      <c r="D7497" s="156" t="s">
        <v>8341</v>
      </c>
      <c r="E7497" s="156" t="s">
        <v>8403</v>
      </c>
      <c r="F7497" s="156" t="s">
        <v>458</v>
      </c>
      <c r="G7497" s="156" t="s">
        <v>2117</v>
      </c>
      <c r="H7497" s="157" t="s">
        <v>215</v>
      </c>
    </row>
    <row r="7498" hidden="1">
      <c r="A7498" s="151" t="s">
        <v>225</v>
      </c>
      <c r="B7498" s="118" t="s">
        <v>226</v>
      </c>
      <c r="C7498" s="118" t="s">
        <v>206</v>
      </c>
      <c r="D7498" s="152" t="s">
        <v>8341</v>
      </c>
      <c r="E7498" s="152" t="s">
        <v>8404</v>
      </c>
      <c r="F7498" s="152" t="s">
        <v>265</v>
      </c>
      <c r="G7498" s="152" t="s">
        <v>3647</v>
      </c>
      <c r="H7498" s="153" t="s">
        <v>216</v>
      </c>
    </row>
    <row r="7499" hidden="1">
      <c r="A7499" s="154" t="s">
        <v>227</v>
      </c>
      <c r="B7499" s="155" t="s">
        <v>195</v>
      </c>
      <c r="C7499" s="155" t="s">
        <v>206</v>
      </c>
      <c r="D7499" s="156" t="s">
        <v>8341</v>
      </c>
      <c r="E7499" s="156" t="s">
        <v>8405</v>
      </c>
      <c r="F7499" s="156" t="s">
        <v>259</v>
      </c>
      <c r="G7499" s="156" t="s">
        <v>3570</v>
      </c>
      <c r="H7499" s="157" t="s">
        <v>210</v>
      </c>
    </row>
    <row r="7500" hidden="1">
      <c r="A7500" s="151" t="s">
        <v>227</v>
      </c>
      <c r="B7500" s="118" t="s">
        <v>195</v>
      </c>
      <c r="C7500" s="118" t="s">
        <v>206</v>
      </c>
      <c r="D7500" s="152" t="s">
        <v>8341</v>
      </c>
      <c r="E7500" s="152" t="s">
        <v>8406</v>
      </c>
      <c r="F7500" s="152" t="s">
        <v>357</v>
      </c>
      <c r="G7500" s="152" t="s">
        <v>4206</v>
      </c>
      <c r="H7500" s="153" t="s">
        <v>211</v>
      </c>
    </row>
    <row r="7501" hidden="1">
      <c r="A7501" s="154" t="s">
        <v>227</v>
      </c>
      <c r="B7501" s="155" t="s">
        <v>195</v>
      </c>
      <c r="C7501" s="155" t="s">
        <v>206</v>
      </c>
      <c r="D7501" s="156" t="s">
        <v>8341</v>
      </c>
      <c r="E7501" s="156" t="s">
        <v>8407</v>
      </c>
      <c r="F7501" s="156" t="s">
        <v>285</v>
      </c>
      <c r="G7501" s="156" t="s">
        <v>3003</v>
      </c>
      <c r="H7501" s="157" t="s">
        <v>212</v>
      </c>
    </row>
    <row r="7502" hidden="1">
      <c r="A7502" s="151" t="s">
        <v>227</v>
      </c>
      <c r="B7502" s="118" t="s">
        <v>195</v>
      </c>
      <c r="C7502" s="118" t="s">
        <v>206</v>
      </c>
      <c r="D7502" s="152" t="s">
        <v>8341</v>
      </c>
      <c r="E7502" s="152" t="s">
        <v>8408</v>
      </c>
      <c r="F7502" s="152" t="s">
        <v>242</v>
      </c>
      <c r="G7502" s="152" t="s">
        <v>1791</v>
      </c>
      <c r="H7502" s="153" t="s">
        <v>213</v>
      </c>
    </row>
    <row r="7503" hidden="1">
      <c r="A7503" s="154" t="s">
        <v>227</v>
      </c>
      <c r="B7503" s="155" t="s">
        <v>195</v>
      </c>
      <c r="C7503" s="155" t="s">
        <v>206</v>
      </c>
      <c r="D7503" s="156" t="s">
        <v>8341</v>
      </c>
      <c r="E7503" s="156" t="s">
        <v>8409</v>
      </c>
      <c r="F7503" s="156" t="s">
        <v>321</v>
      </c>
      <c r="G7503" s="156" t="s">
        <v>3380</v>
      </c>
      <c r="H7503" s="157" t="s">
        <v>214</v>
      </c>
    </row>
    <row r="7504" hidden="1">
      <c r="A7504" s="151" t="s">
        <v>227</v>
      </c>
      <c r="B7504" s="118" t="s">
        <v>195</v>
      </c>
      <c r="C7504" s="118" t="s">
        <v>206</v>
      </c>
      <c r="D7504" s="152" t="s">
        <v>8341</v>
      </c>
      <c r="E7504" s="152" t="s">
        <v>8410</v>
      </c>
      <c r="F7504" s="152" t="s">
        <v>301</v>
      </c>
      <c r="G7504" s="152" t="s">
        <v>3396</v>
      </c>
      <c r="H7504" s="153" t="s">
        <v>215</v>
      </c>
    </row>
    <row r="7505" hidden="1">
      <c r="A7505" s="154" t="s">
        <v>227</v>
      </c>
      <c r="B7505" s="155" t="s">
        <v>195</v>
      </c>
      <c r="C7505" s="155" t="s">
        <v>206</v>
      </c>
      <c r="D7505" s="156" t="s">
        <v>8341</v>
      </c>
      <c r="E7505" s="156" t="s">
        <v>8411</v>
      </c>
      <c r="F7505" s="156" t="s">
        <v>257</v>
      </c>
      <c r="G7505" s="156" t="s">
        <v>1791</v>
      </c>
      <c r="H7505" s="157" t="s">
        <v>216</v>
      </c>
    </row>
    <row r="7506" hidden="1">
      <c r="A7506" s="151" t="s">
        <v>228</v>
      </c>
      <c r="B7506" s="118" t="s">
        <v>138</v>
      </c>
      <c r="C7506" s="118" t="s">
        <v>206</v>
      </c>
      <c r="D7506" s="152" t="s">
        <v>8341</v>
      </c>
      <c r="E7506" s="152" t="s">
        <v>8412</v>
      </c>
      <c r="F7506" s="152" t="s">
        <v>298</v>
      </c>
      <c r="G7506" s="152" t="s">
        <v>4659</v>
      </c>
      <c r="H7506" s="153" t="s">
        <v>210</v>
      </c>
    </row>
    <row r="7507" hidden="1">
      <c r="A7507" s="154" t="s">
        <v>228</v>
      </c>
      <c r="B7507" s="155" t="s">
        <v>138</v>
      </c>
      <c r="C7507" s="155" t="s">
        <v>206</v>
      </c>
      <c r="D7507" s="156" t="s">
        <v>8341</v>
      </c>
      <c r="E7507" s="156" t="s">
        <v>8413</v>
      </c>
      <c r="F7507" s="156" t="s">
        <v>244</v>
      </c>
      <c r="G7507" s="156" t="s">
        <v>2008</v>
      </c>
      <c r="H7507" s="157" t="s">
        <v>211</v>
      </c>
    </row>
    <row r="7508" hidden="1">
      <c r="A7508" s="151" t="s">
        <v>228</v>
      </c>
      <c r="B7508" s="118" t="s">
        <v>138</v>
      </c>
      <c r="C7508" s="118" t="s">
        <v>206</v>
      </c>
      <c r="D7508" s="152" t="s">
        <v>8341</v>
      </c>
      <c r="E7508" s="152" t="s">
        <v>8414</v>
      </c>
      <c r="F7508" s="152" t="s">
        <v>204</v>
      </c>
      <c r="G7508" s="152" t="s">
        <v>3356</v>
      </c>
      <c r="H7508" s="153" t="s">
        <v>212</v>
      </c>
    </row>
    <row r="7509" hidden="1">
      <c r="A7509" s="154" t="s">
        <v>228</v>
      </c>
      <c r="B7509" s="155" t="s">
        <v>138</v>
      </c>
      <c r="C7509" s="155" t="s">
        <v>206</v>
      </c>
      <c r="D7509" s="156" t="s">
        <v>8341</v>
      </c>
      <c r="E7509" s="156" t="s">
        <v>8415</v>
      </c>
      <c r="F7509" s="156" t="s">
        <v>492</v>
      </c>
      <c r="G7509" s="156" t="s">
        <v>3570</v>
      </c>
      <c r="H7509" s="157" t="s">
        <v>213</v>
      </c>
    </row>
    <row r="7510" hidden="1">
      <c r="A7510" s="151" t="s">
        <v>228</v>
      </c>
      <c r="B7510" s="118" t="s">
        <v>138</v>
      </c>
      <c r="C7510" s="118" t="s">
        <v>206</v>
      </c>
      <c r="D7510" s="152" t="s">
        <v>8341</v>
      </c>
      <c r="E7510" s="152" t="s">
        <v>8416</v>
      </c>
      <c r="F7510" s="152" t="s">
        <v>242</v>
      </c>
      <c r="G7510" s="152" t="s">
        <v>2762</v>
      </c>
      <c r="H7510" s="153" t="s">
        <v>214</v>
      </c>
    </row>
    <row r="7511" hidden="1">
      <c r="A7511" s="154" t="s">
        <v>228</v>
      </c>
      <c r="B7511" s="155" t="s">
        <v>138</v>
      </c>
      <c r="C7511" s="155" t="s">
        <v>206</v>
      </c>
      <c r="D7511" s="156" t="s">
        <v>8341</v>
      </c>
      <c r="E7511" s="156" t="s">
        <v>8417</v>
      </c>
      <c r="F7511" s="156" t="s">
        <v>262</v>
      </c>
      <c r="G7511" s="156" t="s">
        <v>2117</v>
      </c>
      <c r="H7511" s="157" t="s">
        <v>215</v>
      </c>
    </row>
    <row r="7512" hidden="1">
      <c r="A7512" s="151" t="s">
        <v>228</v>
      </c>
      <c r="B7512" s="118" t="s">
        <v>138</v>
      </c>
      <c r="C7512" s="118" t="s">
        <v>206</v>
      </c>
      <c r="D7512" s="152" t="s">
        <v>8341</v>
      </c>
      <c r="E7512" s="152" t="s">
        <v>8418</v>
      </c>
      <c r="F7512" s="152" t="s">
        <v>265</v>
      </c>
      <c r="G7512" s="152" t="s">
        <v>3915</v>
      </c>
      <c r="H7512" s="153" t="s">
        <v>216</v>
      </c>
    </row>
    <row r="7513" hidden="1">
      <c r="A7513" s="154" t="s">
        <v>229</v>
      </c>
      <c r="B7513" s="155" t="s">
        <v>193</v>
      </c>
      <c r="C7513" s="155" t="s">
        <v>206</v>
      </c>
      <c r="D7513" s="156" t="s">
        <v>8341</v>
      </c>
      <c r="E7513" s="156" t="s">
        <v>8419</v>
      </c>
      <c r="F7513" s="156" t="s">
        <v>448</v>
      </c>
      <c r="G7513" s="156" t="s">
        <v>3460</v>
      </c>
      <c r="H7513" s="157" t="s">
        <v>210</v>
      </c>
    </row>
    <row r="7514" hidden="1">
      <c r="A7514" s="151" t="s">
        <v>229</v>
      </c>
      <c r="B7514" s="118" t="s">
        <v>193</v>
      </c>
      <c r="C7514" s="118" t="s">
        <v>206</v>
      </c>
      <c r="D7514" s="152" t="s">
        <v>8341</v>
      </c>
      <c r="E7514" s="152" t="s">
        <v>8420</v>
      </c>
      <c r="F7514" s="152" t="s">
        <v>494</v>
      </c>
      <c r="G7514" s="152" t="s">
        <v>2185</v>
      </c>
      <c r="H7514" s="153" t="s">
        <v>211</v>
      </c>
    </row>
    <row r="7515" hidden="1">
      <c r="A7515" s="154" t="s">
        <v>229</v>
      </c>
      <c r="B7515" s="155" t="s">
        <v>193</v>
      </c>
      <c r="C7515" s="155" t="s">
        <v>206</v>
      </c>
      <c r="D7515" s="156" t="s">
        <v>8341</v>
      </c>
      <c r="E7515" s="156" t="s">
        <v>8421</v>
      </c>
      <c r="F7515" s="156" t="s">
        <v>673</v>
      </c>
      <c r="G7515" s="156" t="s">
        <v>3696</v>
      </c>
      <c r="H7515" s="157" t="s">
        <v>212</v>
      </c>
    </row>
    <row r="7516" hidden="1">
      <c r="A7516" s="151" t="s">
        <v>229</v>
      </c>
      <c r="B7516" s="118" t="s">
        <v>193</v>
      </c>
      <c r="C7516" s="118" t="s">
        <v>206</v>
      </c>
      <c r="D7516" s="152" t="s">
        <v>8341</v>
      </c>
      <c r="E7516" s="152" t="s">
        <v>8422</v>
      </c>
      <c r="F7516" s="152" t="s">
        <v>339</v>
      </c>
      <c r="G7516" s="152" t="s">
        <v>4842</v>
      </c>
      <c r="H7516" s="153" t="s">
        <v>213</v>
      </c>
    </row>
    <row r="7517" hidden="1">
      <c r="A7517" s="154" t="s">
        <v>229</v>
      </c>
      <c r="B7517" s="155" t="s">
        <v>193</v>
      </c>
      <c r="C7517" s="155" t="s">
        <v>206</v>
      </c>
      <c r="D7517" s="156" t="s">
        <v>8341</v>
      </c>
      <c r="E7517" s="156" t="s">
        <v>8423</v>
      </c>
      <c r="F7517" s="156" t="s">
        <v>329</v>
      </c>
      <c r="G7517" s="156" t="s">
        <v>4054</v>
      </c>
      <c r="H7517" s="157" t="s">
        <v>214</v>
      </c>
    </row>
    <row r="7518" hidden="1">
      <c r="A7518" s="151" t="s">
        <v>229</v>
      </c>
      <c r="B7518" s="118" t="s">
        <v>193</v>
      </c>
      <c r="C7518" s="118" t="s">
        <v>206</v>
      </c>
      <c r="D7518" s="152" t="s">
        <v>8341</v>
      </c>
      <c r="E7518" s="152" t="s">
        <v>8424</v>
      </c>
      <c r="F7518" s="152" t="s">
        <v>323</v>
      </c>
      <c r="G7518" s="152" t="s">
        <v>3840</v>
      </c>
      <c r="H7518" s="153" t="s">
        <v>215</v>
      </c>
    </row>
    <row r="7519" hidden="1">
      <c r="A7519" s="154" t="s">
        <v>229</v>
      </c>
      <c r="B7519" s="155" t="s">
        <v>193</v>
      </c>
      <c r="C7519" s="155" t="s">
        <v>206</v>
      </c>
      <c r="D7519" s="156" t="s">
        <v>8341</v>
      </c>
      <c r="E7519" s="156" t="s">
        <v>8425</v>
      </c>
      <c r="F7519" s="156" t="s">
        <v>423</v>
      </c>
      <c r="G7519" s="156" t="s">
        <v>4290</v>
      </c>
      <c r="H7519" s="157" t="s">
        <v>216</v>
      </c>
    </row>
    <row r="7520" hidden="1">
      <c r="A7520" s="151" t="s">
        <v>230</v>
      </c>
      <c r="B7520" s="118" t="s">
        <v>194</v>
      </c>
      <c r="C7520" s="118" t="s">
        <v>206</v>
      </c>
      <c r="D7520" s="152" t="s">
        <v>8341</v>
      </c>
      <c r="E7520" s="152" t="s">
        <v>8426</v>
      </c>
      <c r="F7520" s="152" t="s">
        <v>365</v>
      </c>
      <c r="G7520" s="152" t="s">
        <v>2107</v>
      </c>
      <c r="H7520" s="153" t="s">
        <v>210</v>
      </c>
    </row>
    <row r="7521" hidden="1">
      <c r="A7521" s="154" t="s">
        <v>230</v>
      </c>
      <c r="B7521" s="155" t="s">
        <v>194</v>
      </c>
      <c r="C7521" s="155" t="s">
        <v>206</v>
      </c>
      <c r="D7521" s="156" t="s">
        <v>8341</v>
      </c>
      <c r="E7521" s="156" t="s">
        <v>8427</v>
      </c>
      <c r="F7521" s="156" t="s">
        <v>357</v>
      </c>
      <c r="G7521" s="156" t="s">
        <v>2389</v>
      </c>
      <c r="H7521" s="157" t="s">
        <v>211</v>
      </c>
    </row>
    <row r="7522" hidden="1">
      <c r="A7522" s="151" t="s">
        <v>230</v>
      </c>
      <c r="B7522" s="118" t="s">
        <v>194</v>
      </c>
      <c r="C7522" s="118" t="s">
        <v>206</v>
      </c>
      <c r="D7522" s="152" t="s">
        <v>8341</v>
      </c>
      <c r="E7522" s="152" t="s">
        <v>8428</v>
      </c>
      <c r="F7522" s="152" t="s">
        <v>285</v>
      </c>
      <c r="G7522" s="152" t="s">
        <v>2301</v>
      </c>
      <c r="H7522" s="153" t="s">
        <v>212</v>
      </c>
    </row>
    <row r="7523" hidden="1">
      <c r="A7523" s="154" t="s">
        <v>230</v>
      </c>
      <c r="B7523" s="155" t="s">
        <v>194</v>
      </c>
      <c r="C7523" s="155" t="s">
        <v>206</v>
      </c>
      <c r="D7523" s="156" t="s">
        <v>8341</v>
      </c>
      <c r="E7523" s="156" t="s">
        <v>8429</v>
      </c>
      <c r="F7523" s="156" t="s">
        <v>290</v>
      </c>
      <c r="G7523" s="156" t="s">
        <v>3221</v>
      </c>
      <c r="H7523" s="157" t="s">
        <v>213</v>
      </c>
    </row>
    <row r="7524" hidden="1">
      <c r="A7524" s="151" t="s">
        <v>230</v>
      </c>
      <c r="B7524" s="118" t="s">
        <v>194</v>
      </c>
      <c r="C7524" s="118" t="s">
        <v>206</v>
      </c>
      <c r="D7524" s="152" t="s">
        <v>8341</v>
      </c>
      <c r="E7524" s="152" t="s">
        <v>8430</v>
      </c>
      <c r="F7524" s="152" t="s">
        <v>249</v>
      </c>
      <c r="G7524" s="152" t="s">
        <v>2472</v>
      </c>
      <c r="H7524" s="153" t="s">
        <v>214</v>
      </c>
    </row>
    <row r="7525" hidden="1">
      <c r="A7525" s="154" t="s">
        <v>230</v>
      </c>
      <c r="B7525" s="155" t="s">
        <v>194</v>
      </c>
      <c r="C7525" s="155" t="s">
        <v>206</v>
      </c>
      <c r="D7525" s="156" t="s">
        <v>8341</v>
      </c>
      <c r="E7525" s="156" t="s">
        <v>8431</v>
      </c>
      <c r="F7525" s="156" t="s">
        <v>357</v>
      </c>
      <c r="G7525" s="156" t="s">
        <v>2620</v>
      </c>
      <c r="H7525" s="157" t="s">
        <v>215</v>
      </c>
    </row>
    <row r="7526" hidden="1">
      <c r="A7526" s="151" t="s">
        <v>230</v>
      </c>
      <c r="B7526" s="118" t="s">
        <v>194</v>
      </c>
      <c r="C7526" s="118" t="s">
        <v>206</v>
      </c>
      <c r="D7526" s="152" t="s">
        <v>8341</v>
      </c>
      <c r="E7526" s="152" t="s">
        <v>8432</v>
      </c>
      <c r="F7526" s="152" t="s">
        <v>365</v>
      </c>
      <c r="G7526" s="152" t="s">
        <v>2600</v>
      </c>
      <c r="H7526" s="153" t="s">
        <v>216</v>
      </c>
    </row>
    <row r="7527" hidden="1">
      <c r="A7527" s="158" t="s">
        <v>231</v>
      </c>
      <c r="B7527" s="159"/>
      <c r="C7527" s="155" t="s">
        <v>232</v>
      </c>
      <c r="D7527" s="156" t="s">
        <v>8341</v>
      </c>
      <c r="E7527" s="156" t="s">
        <v>8433</v>
      </c>
      <c r="F7527" s="156" t="s">
        <v>5987</v>
      </c>
      <c r="G7527" s="156" t="s">
        <v>2818</v>
      </c>
      <c r="H7527" s="157" t="s">
        <v>210</v>
      </c>
    </row>
    <row r="7528" hidden="1">
      <c r="A7528" s="160" t="s">
        <v>231</v>
      </c>
      <c r="B7528" s="72"/>
      <c r="C7528" s="118" t="s">
        <v>232</v>
      </c>
      <c r="D7528" s="152" t="s">
        <v>8341</v>
      </c>
      <c r="E7528" s="152" t="s">
        <v>8434</v>
      </c>
      <c r="F7528" s="152" t="s">
        <v>359</v>
      </c>
      <c r="G7528" s="152" t="s">
        <v>2814</v>
      </c>
      <c r="H7528" s="153" t="s">
        <v>211</v>
      </c>
    </row>
    <row r="7529" hidden="1">
      <c r="A7529" s="158" t="s">
        <v>231</v>
      </c>
      <c r="B7529" s="159"/>
      <c r="C7529" s="155" t="s">
        <v>232</v>
      </c>
      <c r="D7529" s="156" t="s">
        <v>8341</v>
      </c>
      <c r="E7529" s="156" t="s">
        <v>8435</v>
      </c>
      <c r="F7529" s="156" t="s">
        <v>323</v>
      </c>
      <c r="G7529" s="156" t="s">
        <v>3384</v>
      </c>
      <c r="H7529" s="157" t="s">
        <v>212</v>
      </c>
    </row>
    <row r="7530" hidden="1">
      <c r="A7530" s="160" t="s">
        <v>231</v>
      </c>
      <c r="B7530" s="72"/>
      <c r="C7530" s="118" t="s">
        <v>232</v>
      </c>
      <c r="D7530" s="152" t="s">
        <v>8341</v>
      </c>
      <c r="E7530" s="152" t="s">
        <v>8436</v>
      </c>
      <c r="F7530" s="152" t="s">
        <v>314</v>
      </c>
      <c r="G7530" s="152" t="s">
        <v>3003</v>
      </c>
      <c r="H7530" s="153" t="s">
        <v>213</v>
      </c>
    </row>
    <row r="7531" hidden="1">
      <c r="A7531" s="158" t="s">
        <v>231</v>
      </c>
      <c r="B7531" s="159"/>
      <c r="C7531" s="155" t="s">
        <v>232</v>
      </c>
      <c r="D7531" s="156" t="s">
        <v>8341</v>
      </c>
      <c r="E7531" s="156" t="s">
        <v>8437</v>
      </c>
      <c r="F7531" s="156" t="s">
        <v>287</v>
      </c>
      <c r="G7531" s="156" t="s">
        <v>3360</v>
      </c>
      <c r="H7531" s="157" t="s">
        <v>214</v>
      </c>
    </row>
    <row r="7532" hidden="1">
      <c r="A7532" s="160" t="s">
        <v>231</v>
      </c>
      <c r="B7532" s="72"/>
      <c r="C7532" s="118" t="s">
        <v>232</v>
      </c>
      <c r="D7532" s="152" t="s">
        <v>8341</v>
      </c>
      <c r="E7532" s="152" t="s">
        <v>8438</v>
      </c>
      <c r="F7532" s="152" t="s">
        <v>534</v>
      </c>
      <c r="G7532" s="152" t="s">
        <v>3117</v>
      </c>
      <c r="H7532" s="153" t="s">
        <v>215</v>
      </c>
    </row>
    <row r="7533" hidden="1">
      <c r="A7533" s="158" t="s">
        <v>231</v>
      </c>
      <c r="B7533" s="159"/>
      <c r="C7533" s="155" t="s">
        <v>232</v>
      </c>
      <c r="D7533" s="156" t="s">
        <v>8341</v>
      </c>
      <c r="E7533" s="156" t="s">
        <v>8439</v>
      </c>
      <c r="F7533" s="156" t="s">
        <v>262</v>
      </c>
      <c r="G7533" s="156" t="s">
        <v>3138</v>
      </c>
      <c r="H7533" s="157" t="s">
        <v>216</v>
      </c>
    </row>
    <row r="7534" hidden="1">
      <c r="A7534" s="160" t="s">
        <v>233</v>
      </c>
      <c r="B7534" s="72"/>
      <c r="C7534" s="118" t="s">
        <v>232</v>
      </c>
      <c r="D7534" s="152" t="s">
        <v>8341</v>
      </c>
      <c r="E7534" s="152" t="s">
        <v>8440</v>
      </c>
      <c r="F7534" s="152" t="s">
        <v>351</v>
      </c>
      <c r="G7534" s="152" t="s">
        <v>2008</v>
      </c>
      <c r="H7534" s="153" t="s">
        <v>210</v>
      </c>
    </row>
    <row r="7535" hidden="1">
      <c r="A7535" s="158" t="s">
        <v>233</v>
      </c>
      <c r="B7535" s="159"/>
      <c r="C7535" s="155" t="s">
        <v>232</v>
      </c>
      <c r="D7535" s="156" t="s">
        <v>8341</v>
      </c>
      <c r="E7535" s="156" t="s">
        <v>8441</v>
      </c>
      <c r="F7535" s="156" t="s">
        <v>351</v>
      </c>
      <c r="G7535" s="156" t="s">
        <v>4219</v>
      </c>
      <c r="H7535" s="157" t="s">
        <v>211</v>
      </c>
    </row>
    <row r="7536" hidden="1">
      <c r="A7536" s="160" t="s">
        <v>233</v>
      </c>
      <c r="B7536" s="72"/>
      <c r="C7536" s="118" t="s">
        <v>232</v>
      </c>
      <c r="D7536" s="152" t="s">
        <v>8341</v>
      </c>
      <c r="E7536" s="152" t="s">
        <v>8442</v>
      </c>
      <c r="F7536" s="152" t="s">
        <v>427</v>
      </c>
      <c r="G7536" s="152" t="s">
        <v>4196</v>
      </c>
      <c r="H7536" s="153" t="s">
        <v>212</v>
      </c>
    </row>
    <row r="7537" hidden="1">
      <c r="A7537" s="158" t="s">
        <v>233</v>
      </c>
      <c r="B7537" s="159"/>
      <c r="C7537" s="155" t="s">
        <v>232</v>
      </c>
      <c r="D7537" s="156" t="s">
        <v>8341</v>
      </c>
      <c r="E7537" s="156" t="s">
        <v>8443</v>
      </c>
      <c r="F7537" s="156" t="s">
        <v>534</v>
      </c>
      <c r="G7537" s="156" t="s">
        <v>4320</v>
      </c>
      <c r="H7537" s="157" t="s">
        <v>213</v>
      </c>
    </row>
    <row r="7538" hidden="1">
      <c r="A7538" s="160" t="s">
        <v>233</v>
      </c>
      <c r="B7538" s="72"/>
      <c r="C7538" s="118" t="s">
        <v>232</v>
      </c>
      <c r="D7538" s="152" t="s">
        <v>8341</v>
      </c>
      <c r="E7538" s="152" t="s">
        <v>8444</v>
      </c>
      <c r="F7538" s="152" t="s">
        <v>305</v>
      </c>
      <c r="G7538" s="152" t="s">
        <v>3616</v>
      </c>
      <c r="H7538" s="153" t="s">
        <v>214</v>
      </c>
    </row>
    <row r="7539" hidden="1">
      <c r="A7539" s="158" t="s">
        <v>233</v>
      </c>
      <c r="B7539" s="159"/>
      <c r="C7539" s="155" t="s">
        <v>232</v>
      </c>
      <c r="D7539" s="156" t="s">
        <v>8341</v>
      </c>
      <c r="E7539" s="156" t="s">
        <v>8445</v>
      </c>
      <c r="F7539" s="156" t="s">
        <v>314</v>
      </c>
      <c r="G7539" s="156" t="s">
        <v>3996</v>
      </c>
      <c r="H7539" s="157" t="s">
        <v>215</v>
      </c>
    </row>
    <row r="7540" hidden="1">
      <c r="A7540" s="160" t="s">
        <v>233</v>
      </c>
      <c r="B7540" s="72"/>
      <c r="C7540" s="118" t="s">
        <v>232</v>
      </c>
      <c r="D7540" s="152" t="s">
        <v>8341</v>
      </c>
      <c r="E7540" s="152" t="s">
        <v>8446</v>
      </c>
      <c r="F7540" s="152" t="s">
        <v>351</v>
      </c>
      <c r="G7540" s="152" t="s">
        <v>3872</v>
      </c>
      <c r="H7540" s="153" t="s">
        <v>216</v>
      </c>
    </row>
    <row r="7541" hidden="1">
      <c r="A7541" s="158" t="s">
        <v>234</v>
      </c>
      <c r="B7541" s="159"/>
      <c r="C7541" s="155" t="s">
        <v>232</v>
      </c>
      <c r="D7541" s="156" t="s">
        <v>8341</v>
      </c>
      <c r="E7541" s="156" t="s">
        <v>8447</v>
      </c>
      <c r="F7541" s="156" t="s">
        <v>265</v>
      </c>
      <c r="G7541" s="156" t="s">
        <v>3226</v>
      </c>
      <c r="H7541" s="157" t="s">
        <v>210</v>
      </c>
    </row>
    <row r="7542" hidden="1">
      <c r="A7542" s="160" t="s">
        <v>234</v>
      </c>
      <c r="B7542" s="72"/>
      <c r="C7542" s="118" t="s">
        <v>232</v>
      </c>
      <c r="D7542" s="152" t="s">
        <v>8341</v>
      </c>
      <c r="E7542" s="152" t="s">
        <v>8448</v>
      </c>
      <c r="F7542" s="152" t="s">
        <v>269</v>
      </c>
      <c r="G7542" s="152" t="s">
        <v>3151</v>
      </c>
      <c r="H7542" s="153" t="s">
        <v>211</v>
      </c>
    </row>
    <row r="7543" hidden="1">
      <c r="A7543" s="158" t="s">
        <v>234</v>
      </c>
      <c r="B7543" s="159"/>
      <c r="C7543" s="155" t="s">
        <v>232</v>
      </c>
      <c r="D7543" s="156" t="s">
        <v>8341</v>
      </c>
      <c r="E7543" s="156" t="s">
        <v>8449</v>
      </c>
      <c r="F7543" s="156" t="s">
        <v>287</v>
      </c>
      <c r="G7543" s="156" t="s">
        <v>2624</v>
      </c>
      <c r="H7543" s="157" t="s">
        <v>212</v>
      </c>
    </row>
    <row r="7544" hidden="1">
      <c r="A7544" s="160" t="s">
        <v>234</v>
      </c>
      <c r="B7544" s="72"/>
      <c r="C7544" s="118" t="s">
        <v>232</v>
      </c>
      <c r="D7544" s="152" t="s">
        <v>8341</v>
      </c>
      <c r="E7544" s="152" t="s">
        <v>8450</v>
      </c>
      <c r="F7544" s="152" t="s">
        <v>246</v>
      </c>
      <c r="G7544" s="152" t="s">
        <v>2609</v>
      </c>
      <c r="H7544" s="153" t="s">
        <v>213</v>
      </c>
    </row>
    <row r="7545" hidden="1">
      <c r="A7545" s="158" t="s">
        <v>234</v>
      </c>
      <c r="B7545" s="159"/>
      <c r="C7545" s="155" t="s">
        <v>232</v>
      </c>
      <c r="D7545" s="156" t="s">
        <v>8341</v>
      </c>
      <c r="E7545" s="156" t="s">
        <v>8451</v>
      </c>
      <c r="F7545" s="156" t="s">
        <v>240</v>
      </c>
      <c r="G7545" s="156" t="s">
        <v>3237</v>
      </c>
      <c r="H7545" s="157" t="s">
        <v>214</v>
      </c>
    </row>
    <row r="7546" hidden="1">
      <c r="A7546" s="160" t="s">
        <v>234</v>
      </c>
      <c r="B7546" s="72"/>
      <c r="C7546" s="118" t="s">
        <v>232</v>
      </c>
      <c r="D7546" s="152" t="s">
        <v>8341</v>
      </c>
      <c r="E7546" s="152" t="s">
        <v>8452</v>
      </c>
      <c r="F7546" s="152" t="s">
        <v>265</v>
      </c>
      <c r="G7546" s="152" t="s">
        <v>2393</v>
      </c>
      <c r="H7546" s="153" t="s">
        <v>215</v>
      </c>
    </row>
    <row r="7547" hidden="1">
      <c r="A7547" s="158" t="s">
        <v>234</v>
      </c>
      <c r="B7547" s="159"/>
      <c r="C7547" s="155" t="s">
        <v>232</v>
      </c>
      <c r="D7547" s="156" t="s">
        <v>8341</v>
      </c>
      <c r="E7547" s="156" t="s">
        <v>8453</v>
      </c>
      <c r="F7547" s="156" t="s">
        <v>255</v>
      </c>
      <c r="G7547" s="156" t="s">
        <v>2230</v>
      </c>
      <c r="H7547" s="157" t="s">
        <v>216</v>
      </c>
    </row>
    <row r="7548" hidden="1">
      <c r="A7548" s="160" t="s">
        <v>235</v>
      </c>
      <c r="B7548" s="72"/>
      <c r="C7548" s="118" t="s">
        <v>236</v>
      </c>
      <c r="D7548" s="152" t="s">
        <v>8341</v>
      </c>
      <c r="E7548" s="152" t="s">
        <v>8454</v>
      </c>
      <c r="F7548" s="152" t="s">
        <v>285</v>
      </c>
      <c r="G7548" s="152" t="s">
        <v>3117</v>
      </c>
      <c r="H7548" s="153" t="s">
        <v>210</v>
      </c>
    </row>
    <row r="7549" hidden="1">
      <c r="A7549" s="158" t="s">
        <v>235</v>
      </c>
      <c r="B7549" s="159"/>
      <c r="C7549" s="155" t="s">
        <v>236</v>
      </c>
      <c r="D7549" s="156" t="s">
        <v>8341</v>
      </c>
      <c r="E7549" s="156" t="s">
        <v>8455</v>
      </c>
      <c r="F7549" s="156" t="s">
        <v>290</v>
      </c>
      <c r="G7549" s="156" t="s">
        <v>3989</v>
      </c>
      <c r="H7549" s="157" t="s">
        <v>211</v>
      </c>
    </row>
    <row r="7550" hidden="1">
      <c r="A7550" s="160" t="s">
        <v>235</v>
      </c>
      <c r="B7550" s="72"/>
      <c r="C7550" s="118" t="s">
        <v>236</v>
      </c>
      <c r="D7550" s="152" t="s">
        <v>8341</v>
      </c>
      <c r="E7550" s="152" t="s">
        <v>8456</v>
      </c>
      <c r="F7550" s="152" t="s">
        <v>534</v>
      </c>
      <c r="G7550" s="152" t="s">
        <v>3913</v>
      </c>
      <c r="H7550" s="153" t="s">
        <v>212</v>
      </c>
    </row>
    <row r="7551" hidden="1">
      <c r="A7551" s="158" t="s">
        <v>235</v>
      </c>
      <c r="B7551" s="159"/>
      <c r="C7551" s="155" t="s">
        <v>236</v>
      </c>
      <c r="D7551" s="156" t="s">
        <v>8341</v>
      </c>
      <c r="E7551" s="156" t="s">
        <v>8457</v>
      </c>
      <c r="F7551" s="156" t="s">
        <v>331</v>
      </c>
      <c r="G7551" s="156" t="s">
        <v>4060</v>
      </c>
      <c r="H7551" s="157" t="s">
        <v>213</v>
      </c>
    </row>
    <row r="7552" hidden="1">
      <c r="A7552" s="160" t="s">
        <v>235</v>
      </c>
      <c r="B7552" s="72"/>
      <c r="C7552" s="118" t="s">
        <v>236</v>
      </c>
      <c r="D7552" s="152" t="s">
        <v>8341</v>
      </c>
      <c r="E7552" s="152" t="s">
        <v>8458</v>
      </c>
      <c r="F7552" s="152" t="s">
        <v>308</v>
      </c>
      <c r="G7552" s="152" t="s">
        <v>3917</v>
      </c>
      <c r="H7552" s="153" t="s">
        <v>214</v>
      </c>
    </row>
    <row r="7553" hidden="1">
      <c r="A7553" s="158" t="s">
        <v>235</v>
      </c>
      <c r="B7553" s="159"/>
      <c r="C7553" s="155" t="s">
        <v>236</v>
      </c>
      <c r="D7553" s="156" t="s">
        <v>8341</v>
      </c>
      <c r="E7553" s="156" t="s">
        <v>8459</v>
      </c>
      <c r="F7553" s="156" t="s">
        <v>359</v>
      </c>
      <c r="G7553" s="156" t="s">
        <v>2008</v>
      </c>
      <c r="H7553" s="157" t="s">
        <v>215</v>
      </c>
    </row>
    <row r="7554" hidden="1">
      <c r="A7554" s="160" t="s">
        <v>235</v>
      </c>
      <c r="B7554" s="72"/>
      <c r="C7554" s="118" t="s">
        <v>236</v>
      </c>
      <c r="D7554" s="152" t="s">
        <v>8341</v>
      </c>
      <c r="E7554" s="152" t="s">
        <v>8460</v>
      </c>
      <c r="F7554" s="152" t="s">
        <v>321</v>
      </c>
      <c r="G7554" s="152" t="s">
        <v>3913</v>
      </c>
      <c r="H7554" s="153" t="s">
        <v>216</v>
      </c>
    </row>
    <row r="7555" hidden="1">
      <c r="A7555" s="158" t="s">
        <v>237</v>
      </c>
      <c r="B7555" s="159"/>
      <c r="C7555" s="155" t="s">
        <v>236</v>
      </c>
      <c r="D7555" s="156" t="s">
        <v>8341</v>
      </c>
      <c r="E7555" s="156" t="s">
        <v>8461</v>
      </c>
      <c r="F7555" s="156" t="s">
        <v>314</v>
      </c>
      <c r="G7555" s="156" t="s">
        <v>3443</v>
      </c>
      <c r="H7555" s="157" t="s">
        <v>210</v>
      </c>
    </row>
    <row r="7556" hidden="1">
      <c r="A7556" s="160" t="s">
        <v>237</v>
      </c>
      <c r="B7556" s="72"/>
      <c r="C7556" s="118" t="s">
        <v>236</v>
      </c>
      <c r="D7556" s="152" t="s">
        <v>8341</v>
      </c>
      <c r="E7556" s="152" t="s">
        <v>8462</v>
      </c>
      <c r="F7556" s="152" t="s">
        <v>249</v>
      </c>
      <c r="G7556" s="152" t="s">
        <v>3523</v>
      </c>
      <c r="H7556" s="153" t="s">
        <v>211</v>
      </c>
    </row>
    <row r="7557" hidden="1">
      <c r="A7557" s="158" t="s">
        <v>237</v>
      </c>
      <c r="B7557" s="159"/>
      <c r="C7557" s="155" t="s">
        <v>236</v>
      </c>
      <c r="D7557" s="156" t="s">
        <v>8341</v>
      </c>
      <c r="E7557" s="156" t="s">
        <v>8463</v>
      </c>
      <c r="F7557" s="156" t="s">
        <v>331</v>
      </c>
      <c r="G7557" s="156" t="s">
        <v>2762</v>
      </c>
      <c r="H7557" s="157" t="s">
        <v>212</v>
      </c>
    </row>
    <row r="7558" hidden="1">
      <c r="A7558" s="160" t="s">
        <v>237</v>
      </c>
      <c r="B7558" s="72"/>
      <c r="C7558" s="118" t="s">
        <v>236</v>
      </c>
      <c r="D7558" s="152" t="s">
        <v>8341</v>
      </c>
      <c r="E7558" s="152" t="s">
        <v>8464</v>
      </c>
      <c r="F7558" s="152" t="s">
        <v>359</v>
      </c>
      <c r="G7558" s="152" t="s">
        <v>3485</v>
      </c>
      <c r="H7558" s="153" t="s">
        <v>213</v>
      </c>
    </row>
    <row r="7559" hidden="1">
      <c r="A7559" s="158" t="s">
        <v>237</v>
      </c>
      <c r="B7559" s="159"/>
      <c r="C7559" s="155" t="s">
        <v>236</v>
      </c>
      <c r="D7559" s="156" t="s">
        <v>8341</v>
      </c>
      <c r="E7559" s="156" t="s">
        <v>8465</v>
      </c>
      <c r="F7559" s="156" t="s">
        <v>314</v>
      </c>
      <c r="G7559" s="156" t="s">
        <v>3230</v>
      </c>
      <c r="H7559" s="157" t="s">
        <v>214</v>
      </c>
    </row>
    <row r="7560" hidden="1">
      <c r="A7560" s="160" t="s">
        <v>237</v>
      </c>
      <c r="B7560" s="72"/>
      <c r="C7560" s="118" t="s">
        <v>236</v>
      </c>
      <c r="D7560" s="152" t="s">
        <v>8341</v>
      </c>
      <c r="E7560" s="152" t="s">
        <v>8466</v>
      </c>
      <c r="F7560" s="152" t="s">
        <v>242</v>
      </c>
      <c r="G7560" s="152" t="s">
        <v>3003</v>
      </c>
      <c r="H7560" s="153" t="s">
        <v>215</v>
      </c>
    </row>
    <row r="7561" hidden="1">
      <c r="A7561" s="158" t="s">
        <v>237</v>
      </c>
      <c r="B7561" s="159"/>
      <c r="C7561" s="155" t="s">
        <v>236</v>
      </c>
      <c r="D7561" s="156" t="s">
        <v>8341</v>
      </c>
      <c r="E7561" s="156" t="s">
        <v>8467</v>
      </c>
      <c r="F7561" s="156" t="s">
        <v>314</v>
      </c>
      <c r="G7561" s="156" t="s">
        <v>3513</v>
      </c>
      <c r="H7561" s="157" t="s">
        <v>216</v>
      </c>
    </row>
    <row r="7562" hidden="1">
      <c r="A7562" s="151" t="s">
        <v>204</v>
      </c>
      <c r="B7562" s="118" t="s">
        <v>205</v>
      </c>
      <c r="C7562" s="118" t="s">
        <v>206</v>
      </c>
      <c r="D7562" s="152" t="s">
        <v>8468</v>
      </c>
      <c r="E7562" s="152" t="s">
        <v>8469</v>
      </c>
      <c r="F7562" s="152" t="s">
        <v>329</v>
      </c>
      <c r="G7562" s="152" t="s">
        <v>4206</v>
      </c>
      <c r="H7562" s="153" t="s">
        <v>210</v>
      </c>
    </row>
    <row r="7563" hidden="1">
      <c r="A7563" s="154" t="s">
        <v>204</v>
      </c>
      <c r="B7563" s="155" t="s">
        <v>205</v>
      </c>
      <c r="C7563" s="155" t="s">
        <v>206</v>
      </c>
      <c r="D7563" s="156" t="s">
        <v>8468</v>
      </c>
      <c r="E7563" s="156" t="s">
        <v>8470</v>
      </c>
      <c r="F7563" s="156" t="s">
        <v>427</v>
      </c>
      <c r="G7563" s="156" t="s">
        <v>2965</v>
      </c>
      <c r="H7563" s="157" t="s">
        <v>211</v>
      </c>
    </row>
    <row r="7564" hidden="1">
      <c r="A7564" s="151" t="s">
        <v>204</v>
      </c>
      <c r="B7564" s="118" t="s">
        <v>205</v>
      </c>
      <c r="C7564" s="118" t="s">
        <v>206</v>
      </c>
      <c r="D7564" s="152" t="s">
        <v>8468</v>
      </c>
      <c r="E7564" s="152" t="s">
        <v>8471</v>
      </c>
      <c r="F7564" s="152" t="s">
        <v>494</v>
      </c>
      <c r="G7564" s="152" t="s">
        <v>2665</v>
      </c>
      <c r="H7564" s="153" t="s">
        <v>212</v>
      </c>
    </row>
    <row r="7565" hidden="1">
      <c r="A7565" s="154" t="s">
        <v>204</v>
      </c>
      <c r="B7565" s="155" t="s">
        <v>205</v>
      </c>
      <c r="C7565" s="155" t="s">
        <v>206</v>
      </c>
      <c r="D7565" s="156" t="s">
        <v>8468</v>
      </c>
      <c r="E7565" s="156" t="s">
        <v>8472</v>
      </c>
      <c r="F7565" s="156" t="s">
        <v>483</v>
      </c>
      <c r="G7565" s="156" t="s">
        <v>3449</v>
      </c>
      <c r="H7565" s="157" t="s">
        <v>213</v>
      </c>
    </row>
    <row r="7566" hidden="1">
      <c r="A7566" s="151" t="s">
        <v>204</v>
      </c>
      <c r="B7566" s="118" t="s">
        <v>205</v>
      </c>
      <c r="C7566" s="118" t="s">
        <v>206</v>
      </c>
      <c r="D7566" s="152" t="s">
        <v>8468</v>
      </c>
      <c r="E7566" s="152" t="s">
        <v>8473</v>
      </c>
      <c r="F7566" s="152" t="s">
        <v>425</v>
      </c>
      <c r="G7566" s="152" t="s">
        <v>3205</v>
      </c>
      <c r="H7566" s="153" t="s">
        <v>214</v>
      </c>
    </row>
    <row r="7567" hidden="1">
      <c r="A7567" s="154" t="s">
        <v>204</v>
      </c>
      <c r="B7567" s="155" t="s">
        <v>205</v>
      </c>
      <c r="C7567" s="155" t="s">
        <v>206</v>
      </c>
      <c r="D7567" s="156" t="s">
        <v>8468</v>
      </c>
      <c r="E7567" s="156" t="s">
        <v>8474</v>
      </c>
      <c r="F7567" s="156" t="s">
        <v>310</v>
      </c>
      <c r="G7567" s="156" t="s">
        <v>3618</v>
      </c>
      <c r="H7567" s="157" t="s">
        <v>215</v>
      </c>
    </row>
    <row r="7568" hidden="1">
      <c r="A7568" s="151" t="s">
        <v>204</v>
      </c>
      <c r="B7568" s="118" t="s">
        <v>205</v>
      </c>
      <c r="C7568" s="118" t="s">
        <v>206</v>
      </c>
      <c r="D7568" s="152" t="s">
        <v>8468</v>
      </c>
      <c r="E7568" s="152" t="s">
        <v>8475</v>
      </c>
      <c r="F7568" s="152" t="s">
        <v>325</v>
      </c>
      <c r="G7568" s="152" t="s">
        <v>2816</v>
      </c>
      <c r="H7568" s="153" t="s">
        <v>216</v>
      </c>
    </row>
    <row r="7569" hidden="1">
      <c r="A7569" s="154" t="s">
        <v>217</v>
      </c>
      <c r="B7569" s="155" t="s">
        <v>191</v>
      </c>
      <c r="C7569" s="155" t="s">
        <v>206</v>
      </c>
      <c r="D7569" s="156" t="s">
        <v>8468</v>
      </c>
      <c r="E7569" s="156" t="s">
        <v>8476</v>
      </c>
      <c r="F7569" s="156" t="s">
        <v>425</v>
      </c>
      <c r="G7569" s="156" t="s">
        <v>2181</v>
      </c>
      <c r="H7569" s="157" t="s">
        <v>210</v>
      </c>
    </row>
    <row r="7570" hidden="1">
      <c r="A7570" s="151" t="s">
        <v>217</v>
      </c>
      <c r="B7570" s="118" t="s">
        <v>191</v>
      </c>
      <c r="C7570" s="118" t="s">
        <v>206</v>
      </c>
      <c r="D7570" s="152" t="s">
        <v>8468</v>
      </c>
      <c r="E7570" s="152" t="s">
        <v>8477</v>
      </c>
      <c r="F7570" s="152" t="s">
        <v>478</v>
      </c>
      <c r="G7570" s="152" t="s">
        <v>3449</v>
      </c>
      <c r="H7570" s="153" t="s">
        <v>211</v>
      </c>
    </row>
    <row r="7571" hidden="1">
      <c r="A7571" s="154" t="s">
        <v>217</v>
      </c>
      <c r="B7571" s="155" t="s">
        <v>191</v>
      </c>
      <c r="C7571" s="155" t="s">
        <v>206</v>
      </c>
      <c r="D7571" s="156" t="s">
        <v>8468</v>
      </c>
      <c r="E7571" s="156" t="s">
        <v>8478</v>
      </c>
      <c r="F7571" s="156" t="s">
        <v>673</v>
      </c>
      <c r="G7571" s="156" t="s">
        <v>2506</v>
      </c>
      <c r="H7571" s="157" t="s">
        <v>212</v>
      </c>
    </row>
    <row r="7572" hidden="1">
      <c r="A7572" s="151" t="s">
        <v>217</v>
      </c>
      <c r="B7572" s="118" t="s">
        <v>191</v>
      </c>
      <c r="C7572" s="118" t="s">
        <v>206</v>
      </c>
      <c r="D7572" s="152" t="s">
        <v>8468</v>
      </c>
      <c r="E7572" s="152" t="s">
        <v>8479</v>
      </c>
      <c r="F7572" s="152" t="s">
        <v>312</v>
      </c>
      <c r="G7572" s="152" t="s">
        <v>2667</v>
      </c>
      <c r="H7572" s="153" t="s">
        <v>213</v>
      </c>
    </row>
    <row r="7573" hidden="1">
      <c r="A7573" s="154" t="s">
        <v>217</v>
      </c>
      <c r="B7573" s="155" t="s">
        <v>191</v>
      </c>
      <c r="C7573" s="155" t="s">
        <v>206</v>
      </c>
      <c r="D7573" s="156" t="s">
        <v>8468</v>
      </c>
      <c r="E7573" s="156" t="s">
        <v>8480</v>
      </c>
      <c r="F7573" s="156" t="s">
        <v>494</v>
      </c>
      <c r="G7573" s="156" t="s">
        <v>3572</v>
      </c>
      <c r="H7573" s="157" t="s">
        <v>214</v>
      </c>
    </row>
    <row r="7574" hidden="1">
      <c r="A7574" s="151" t="s">
        <v>217</v>
      </c>
      <c r="B7574" s="118" t="s">
        <v>191</v>
      </c>
      <c r="C7574" s="118" t="s">
        <v>206</v>
      </c>
      <c r="D7574" s="152" t="s">
        <v>8468</v>
      </c>
      <c r="E7574" s="152" t="s">
        <v>8481</v>
      </c>
      <c r="F7574" s="152" t="s">
        <v>534</v>
      </c>
      <c r="G7574" s="152" t="s">
        <v>3558</v>
      </c>
      <c r="H7574" s="153" t="s">
        <v>215</v>
      </c>
    </row>
    <row r="7575" hidden="1">
      <c r="A7575" s="154" t="s">
        <v>217</v>
      </c>
      <c r="B7575" s="155" t="s">
        <v>191</v>
      </c>
      <c r="C7575" s="155" t="s">
        <v>206</v>
      </c>
      <c r="D7575" s="156" t="s">
        <v>8468</v>
      </c>
      <c r="E7575" s="156" t="s">
        <v>8482</v>
      </c>
      <c r="F7575" s="156" t="s">
        <v>354</v>
      </c>
      <c r="G7575" s="156" t="s">
        <v>3908</v>
      </c>
      <c r="H7575" s="157" t="s">
        <v>216</v>
      </c>
    </row>
    <row r="7576" hidden="1">
      <c r="A7576" s="151" t="s">
        <v>218</v>
      </c>
      <c r="B7576" s="118" t="s">
        <v>219</v>
      </c>
      <c r="C7576" s="118" t="s">
        <v>206</v>
      </c>
      <c r="D7576" s="152" t="s">
        <v>8468</v>
      </c>
      <c r="E7576" s="152" t="s">
        <v>8483</v>
      </c>
      <c r="F7576" s="152" t="s">
        <v>532</v>
      </c>
      <c r="G7576" s="152" t="s">
        <v>2508</v>
      </c>
      <c r="H7576" s="153" t="s">
        <v>210</v>
      </c>
    </row>
    <row r="7577" hidden="1">
      <c r="A7577" s="154" t="s">
        <v>218</v>
      </c>
      <c r="B7577" s="155" t="s">
        <v>219</v>
      </c>
      <c r="C7577" s="155" t="s">
        <v>206</v>
      </c>
      <c r="D7577" s="156" t="s">
        <v>8468</v>
      </c>
      <c r="E7577" s="156" t="s">
        <v>8484</v>
      </c>
      <c r="F7577" s="156" t="s">
        <v>405</v>
      </c>
      <c r="G7577" s="156" t="s">
        <v>4317</v>
      </c>
      <c r="H7577" s="157" t="s">
        <v>211</v>
      </c>
    </row>
    <row r="7578" hidden="1">
      <c r="A7578" s="151" t="s">
        <v>218</v>
      </c>
      <c r="B7578" s="118" t="s">
        <v>219</v>
      </c>
      <c r="C7578" s="118" t="s">
        <v>206</v>
      </c>
      <c r="D7578" s="152" t="s">
        <v>8468</v>
      </c>
      <c r="E7578" s="152" t="s">
        <v>8485</v>
      </c>
      <c r="F7578" s="152" t="s">
        <v>1530</v>
      </c>
      <c r="G7578" s="152" t="s">
        <v>3537</v>
      </c>
      <c r="H7578" s="153" t="s">
        <v>212</v>
      </c>
    </row>
    <row r="7579" hidden="1">
      <c r="A7579" s="154" t="s">
        <v>218</v>
      </c>
      <c r="B7579" s="155" t="s">
        <v>219</v>
      </c>
      <c r="C7579" s="155" t="s">
        <v>206</v>
      </c>
      <c r="D7579" s="156" t="s">
        <v>8468</v>
      </c>
      <c r="E7579" s="156" t="s">
        <v>8486</v>
      </c>
      <c r="F7579" s="156" t="s">
        <v>1532</v>
      </c>
      <c r="G7579" s="156" t="s">
        <v>3911</v>
      </c>
      <c r="H7579" s="157" t="s">
        <v>213</v>
      </c>
    </row>
    <row r="7580" hidden="1">
      <c r="A7580" s="151" t="s">
        <v>218</v>
      </c>
      <c r="B7580" s="118" t="s">
        <v>219</v>
      </c>
      <c r="C7580" s="118" t="s">
        <v>206</v>
      </c>
      <c r="D7580" s="152" t="s">
        <v>8468</v>
      </c>
      <c r="E7580" s="152" t="s">
        <v>8487</v>
      </c>
      <c r="F7580" s="152" t="s">
        <v>532</v>
      </c>
      <c r="G7580" s="152" t="s">
        <v>4002</v>
      </c>
      <c r="H7580" s="153" t="s">
        <v>214</v>
      </c>
    </row>
    <row r="7581" hidden="1">
      <c r="A7581" s="154" t="s">
        <v>218</v>
      </c>
      <c r="B7581" s="155" t="s">
        <v>219</v>
      </c>
      <c r="C7581" s="155" t="s">
        <v>206</v>
      </c>
      <c r="D7581" s="156" t="s">
        <v>8468</v>
      </c>
      <c r="E7581" s="156" t="s">
        <v>8488</v>
      </c>
      <c r="F7581" s="156" t="s">
        <v>577</v>
      </c>
      <c r="G7581" s="156" t="s">
        <v>3205</v>
      </c>
      <c r="H7581" s="157" t="s">
        <v>215</v>
      </c>
    </row>
    <row r="7582" hidden="1">
      <c r="A7582" s="151" t="s">
        <v>218</v>
      </c>
      <c r="B7582" s="118" t="s">
        <v>219</v>
      </c>
      <c r="C7582" s="118" t="s">
        <v>206</v>
      </c>
      <c r="D7582" s="152" t="s">
        <v>8468</v>
      </c>
      <c r="E7582" s="152" t="s">
        <v>8489</v>
      </c>
      <c r="F7582" s="152" t="s">
        <v>453</v>
      </c>
      <c r="G7582" s="152" t="s">
        <v>3300</v>
      </c>
      <c r="H7582" s="153" t="s">
        <v>216</v>
      </c>
    </row>
    <row r="7583" hidden="1">
      <c r="A7583" s="154" t="s">
        <v>220</v>
      </c>
      <c r="B7583" s="155" t="s">
        <v>190</v>
      </c>
      <c r="C7583" s="155" t="s">
        <v>206</v>
      </c>
      <c r="D7583" s="156" t="s">
        <v>8468</v>
      </c>
      <c r="E7583" s="156" t="s">
        <v>8490</v>
      </c>
      <c r="F7583" s="156" t="s">
        <v>453</v>
      </c>
      <c r="G7583" s="156" t="s">
        <v>8269</v>
      </c>
      <c r="H7583" s="157" t="s">
        <v>210</v>
      </c>
    </row>
    <row r="7584" hidden="1">
      <c r="A7584" s="151" t="s">
        <v>220</v>
      </c>
      <c r="B7584" s="118" t="s">
        <v>190</v>
      </c>
      <c r="C7584" s="118" t="s">
        <v>206</v>
      </c>
      <c r="D7584" s="152" t="s">
        <v>8468</v>
      </c>
      <c r="E7584" s="152" t="s">
        <v>8491</v>
      </c>
      <c r="F7584" s="152" t="s">
        <v>450</v>
      </c>
      <c r="G7584" s="152" t="s">
        <v>4412</v>
      </c>
      <c r="H7584" s="153" t="s">
        <v>211</v>
      </c>
    </row>
    <row r="7585" hidden="1">
      <c r="A7585" s="154" t="s">
        <v>220</v>
      </c>
      <c r="B7585" s="155" t="s">
        <v>190</v>
      </c>
      <c r="C7585" s="155" t="s">
        <v>206</v>
      </c>
      <c r="D7585" s="156" t="s">
        <v>8468</v>
      </c>
      <c r="E7585" s="156" t="s">
        <v>8492</v>
      </c>
      <c r="F7585" s="156" t="s">
        <v>1532</v>
      </c>
      <c r="G7585" s="156" t="s">
        <v>4167</v>
      </c>
      <c r="H7585" s="157" t="s">
        <v>212</v>
      </c>
    </row>
    <row r="7586" hidden="1">
      <c r="A7586" s="151" t="s">
        <v>220</v>
      </c>
      <c r="B7586" s="118" t="s">
        <v>190</v>
      </c>
      <c r="C7586" s="118" t="s">
        <v>206</v>
      </c>
      <c r="D7586" s="152" t="s">
        <v>8468</v>
      </c>
      <c r="E7586" s="152" t="s">
        <v>8493</v>
      </c>
      <c r="F7586" s="152" t="s">
        <v>677</v>
      </c>
      <c r="G7586" s="152" t="s">
        <v>2185</v>
      </c>
      <c r="H7586" s="153" t="s">
        <v>213</v>
      </c>
    </row>
    <row r="7587" hidden="1">
      <c r="A7587" s="154" t="s">
        <v>220</v>
      </c>
      <c r="B7587" s="155" t="s">
        <v>190</v>
      </c>
      <c r="C7587" s="155" t="s">
        <v>206</v>
      </c>
      <c r="D7587" s="156" t="s">
        <v>8468</v>
      </c>
      <c r="E7587" s="156" t="s">
        <v>8494</v>
      </c>
      <c r="F7587" s="156" t="s">
        <v>760</v>
      </c>
      <c r="G7587" s="156" t="s">
        <v>3267</v>
      </c>
      <c r="H7587" s="157" t="s">
        <v>214</v>
      </c>
    </row>
    <row r="7588" hidden="1">
      <c r="A7588" s="151" t="s">
        <v>220</v>
      </c>
      <c r="B7588" s="118" t="s">
        <v>190</v>
      </c>
      <c r="C7588" s="118" t="s">
        <v>206</v>
      </c>
      <c r="D7588" s="152" t="s">
        <v>8468</v>
      </c>
      <c r="E7588" s="152" t="s">
        <v>8495</v>
      </c>
      <c r="F7588" s="152" t="s">
        <v>483</v>
      </c>
      <c r="G7588" s="152" t="s">
        <v>4472</v>
      </c>
      <c r="H7588" s="153" t="s">
        <v>215</v>
      </c>
    </row>
    <row r="7589" hidden="1">
      <c r="A7589" s="154" t="s">
        <v>220</v>
      </c>
      <c r="B7589" s="155" t="s">
        <v>190</v>
      </c>
      <c r="C7589" s="155" t="s">
        <v>206</v>
      </c>
      <c r="D7589" s="156" t="s">
        <v>8468</v>
      </c>
      <c r="E7589" s="156" t="s">
        <v>8496</v>
      </c>
      <c r="F7589" s="156" t="s">
        <v>577</v>
      </c>
      <c r="G7589" s="156" t="s">
        <v>3541</v>
      </c>
      <c r="H7589" s="157" t="s">
        <v>216</v>
      </c>
    </row>
    <row r="7590" hidden="1">
      <c r="A7590" s="151" t="s">
        <v>221</v>
      </c>
      <c r="B7590" s="118" t="s">
        <v>189</v>
      </c>
      <c r="C7590" s="118" t="s">
        <v>206</v>
      </c>
      <c r="D7590" s="152" t="s">
        <v>8468</v>
      </c>
      <c r="E7590" s="152" t="s">
        <v>8497</v>
      </c>
      <c r="F7590" s="152" t="s">
        <v>321</v>
      </c>
      <c r="G7590" s="152" t="s">
        <v>2470</v>
      </c>
      <c r="H7590" s="153" t="s">
        <v>210</v>
      </c>
    </row>
    <row r="7591" hidden="1">
      <c r="A7591" s="154" t="s">
        <v>221</v>
      </c>
      <c r="B7591" s="155" t="s">
        <v>189</v>
      </c>
      <c r="C7591" s="155" t="s">
        <v>206</v>
      </c>
      <c r="D7591" s="156" t="s">
        <v>8468</v>
      </c>
      <c r="E7591" s="156" t="s">
        <v>8498</v>
      </c>
      <c r="F7591" s="156" t="s">
        <v>357</v>
      </c>
      <c r="G7591" s="156" t="s">
        <v>1849</v>
      </c>
      <c r="H7591" s="157" t="s">
        <v>211</v>
      </c>
    </row>
    <row r="7592" hidden="1">
      <c r="A7592" s="151" t="s">
        <v>221</v>
      </c>
      <c r="B7592" s="118" t="s">
        <v>189</v>
      </c>
      <c r="C7592" s="118" t="s">
        <v>206</v>
      </c>
      <c r="D7592" s="152" t="s">
        <v>8468</v>
      </c>
      <c r="E7592" s="152" t="s">
        <v>8499</v>
      </c>
      <c r="F7592" s="152" t="s">
        <v>244</v>
      </c>
      <c r="G7592" s="152" t="s">
        <v>1868</v>
      </c>
      <c r="H7592" s="153" t="s">
        <v>212</v>
      </c>
    </row>
    <row r="7593" hidden="1">
      <c r="A7593" s="154" t="s">
        <v>221</v>
      </c>
      <c r="B7593" s="155" t="s">
        <v>189</v>
      </c>
      <c r="C7593" s="155" t="s">
        <v>206</v>
      </c>
      <c r="D7593" s="156" t="s">
        <v>8468</v>
      </c>
      <c r="E7593" s="156" t="s">
        <v>8500</v>
      </c>
      <c r="F7593" s="156" t="s">
        <v>246</v>
      </c>
      <c r="G7593" s="156" t="s">
        <v>2062</v>
      </c>
      <c r="H7593" s="157" t="s">
        <v>213</v>
      </c>
    </row>
    <row r="7594" hidden="1">
      <c r="A7594" s="151" t="s">
        <v>221</v>
      </c>
      <c r="B7594" s="118" t="s">
        <v>189</v>
      </c>
      <c r="C7594" s="118" t="s">
        <v>206</v>
      </c>
      <c r="D7594" s="152" t="s">
        <v>8468</v>
      </c>
      <c r="E7594" s="152" t="s">
        <v>8501</v>
      </c>
      <c r="F7594" s="152" t="s">
        <v>240</v>
      </c>
      <c r="G7594" s="152" t="s">
        <v>2790</v>
      </c>
      <c r="H7594" s="153" t="s">
        <v>214</v>
      </c>
    </row>
    <row r="7595" hidden="1">
      <c r="A7595" s="154" t="s">
        <v>221</v>
      </c>
      <c r="B7595" s="155" t="s">
        <v>189</v>
      </c>
      <c r="C7595" s="155" t="s">
        <v>206</v>
      </c>
      <c r="D7595" s="156" t="s">
        <v>8468</v>
      </c>
      <c r="E7595" s="156" t="s">
        <v>8502</v>
      </c>
      <c r="F7595" s="156" t="s">
        <v>357</v>
      </c>
      <c r="G7595" s="156" t="s">
        <v>2467</v>
      </c>
      <c r="H7595" s="157" t="s">
        <v>215</v>
      </c>
    </row>
    <row r="7596" hidden="1">
      <c r="A7596" s="151" t="s">
        <v>221</v>
      </c>
      <c r="B7596" s="118" t="s">
        <v>189</v>
      </c>
      <c r="C7596" s="118" t="s">
        <v>206</v>
      </c>
      <c r="D7596" s="152" t="s">
        <v>8468</v>
      </c>
      <c r="E7596" s="152" t="s">
        <v>8503</v>
      </c>
      <c r="F7596" s="152" t="s">
        <v>323</v>
      </c>
      <c r="G7596" s="152" t="s">
        <v>2567</v>
      </c>
      <c r="H7596" s="153" t="s">
        <v>216</v>
      </c>
    </row>
    <row r="7597" hidden="1">
      <c r="A7597" s="154" t="s">
        <v>222</v>
      </c>
      <c r="B7597" s="155" t="s">
        <v>192</v>
      </c>
      <c r="C7597" s="155" t="s">
        <v>206</v>
      </c>
      <c r="D7597" s="156" t="s">
        <v>8468</v>
      </c>
      <c r="E7597" s="156" t="s">
        <v>8504</v>
      </c>
      <c r="F7597" s="156" t="s">
        <v>427</v>
      </c>
      <c r="G7597" s="156" t="s">
        <v>3718</v>
      </c>
      <c r="H7597" s="157" t="s">
        <v>210</v>
      </c>
    </row>
    <row r="7598" hidden="1">
      <c r="A7598" s="151" t="s">
        <v>222</v>
      </c>
      <c r="B7598" s="118" t="s">
        <v>192</v>
      </c>
      <c r="C7598" s="118" t="s">
        <v>206</v>
      </c>
      <c r="D7598" s="152" t="s">
        <v>8468</v>
      </c>
      <c r="E7598" s="152" t="s">
        <v>8505</v>
      </c>
      <c r="F7598" s="152" t="s">
        <v>339</v>
      </c>
      <c r="G7598" s="152" t="s">
        <v>2814</v>
      </c>
      <c r="H7598" s="153" t="s">
        <v>211</v>
      </c>
    </row>
    <row r="7599" hidden="1">
      <c r="A7599" s="154" t="s">
        <v>222</v>
      </c>
      <c r="B7599" s="155" t="s">
        <v>192</v>
      </c>
      <c r="C7599" s="155" t="s">
        <v>206</v>
      </c>
      <c r="D7599" s="156" t="s">
        <v>8468</v>
      </c>
      <c r="E7599" s="156" t="s">
        <v>8506</v>
      </c>
      <c r="F7599" s="156" t="s">
        <v>290</v>
      </c>
      <c r="G7599" s="156" t="s">
        <v>2762</v>
      </c>
      <c r="H7599" s="157" t="s">
        <v>212</v>
      </c>
    </row>
    <row r="7600" hidden="1">
      <c r="A7600" s="151" t="s">
        <v>222</v>
      </c>
      <c r="B7600" s="118" t="s">
        <v>192</v>
      </c>
      <c r="C7600" s="118" t="s">
        <v>206</v>
      </c>
      <c r="D7600" s="152" t="s">
        <v>8468</v>
      </c>
      <c r="E7600" s="152" t="s">
        <v>8507</v>
      </c>
      <c r="F7600" s="152" t="s">
        <v>331</v>
      </c>
      <c r="G7600" s="152" t="s">
        <v>2910</v>
      </c>
      <c r="H7600" s="153" t="s">
        <v>213</v>
      </c>
    </row>
    <row r="7601" hidden="1">
      <c r="A7601" s="154" t="s">
        <v>222</v>
      </c>
      <c r="B7601" s="155" t="s">
        <v>192</v>
      </c>
      <c r="C7601" s="155" t="s">
        <v>206</v>
      </c>
      <c r="D7601" s="156" t="s">
        <v>8468</v>
      </c>
      <c r="E7601" s="156" t="s">
        <v>8508</v>
      </c>
      <c r="F7601" s="156" t="s">
        <v>427</v>
      </c>
      <c r="G7601" s="156" t="s">
        <v>3570</v>
      </c>
      <c r="H7601" s="157" t="s">
        <v>214</v>
      </c>
    </row>
    <row r="7602" hidden="1">
      <c r="A7602" s="151" t="s">
        <v>222</v>
      </c>
      <c r="B7602" s="118" t="s">
        <v>192</v>
      </c>
      <c r="C7602" s="118" t="s">
        <v>206</v>
      </c>
      <c r="D7602" s="152" t="s">
        <v>8468</v>
      </c>
      <c r="E7602" s="152" t="s">
        <v>8509</v>
      </c>
      <c r="F7602" s="152" t="s">
        <v>339</v>
      </c>
      <c r="G7602" s="152" t="s">
        <v>2818</v>
      </c>
      <c r="H7602" s="153" t="s">
        <v>215</v>
      </c>
    </row>
    <row r="7603" hidden="1">
      <c r="A7603" s="154" t="s">
        <v>222</v>
      </c>
      <c r="B7603" s="155" t="s">
        <v>192</v>
      </c>
      <c r="C7603" s="155" t="s">
        <v>206</v>
      </c>
      <c r="D7603" s="156" t="s">
        <v>8468</v>
      </c>
      <c r="E7603" s="156" t="s">
        <v>8510</v>
      </c>
      <c r="F7603" s="156" t="s">
        <v>339</v>
      </c>
      <c r="G7603" s="156" t="s">
        <v>3138</v>
      </c>
      <c r="H7603" s="157" t="s">
        <v>216</v>
      </c>
    </row>
    <row r="7604" hidden="1">
      <c r="A7604" s="151" t="s">
        <v>223</v>
      </c>
      <c r="B7604" s="118" t="s">
        <v>144</v>
      </c>
      <c r="C7604" s="118" t="s">
        <v>206</v>
      </c>
      <c r="D7604" s="152" t="s">
        <v>8468</v>
      </c>
      <c r="E7604" s="152" t="s">
        <v>8511</v>
      </c>
      <c r="F7604" s="152" t="s">
        <v>298</v>
      </c>
      <c r="G7604" s="152" t="s">
        <v>2816</v>
      </c>
      <c r="H7604" s="153" t="s">
        <v>210</v>
      </c>
    </row>
    <row r="7605" hidden="1">
      <c r="A7605" s="154" t="s">
        <v>223</v>
      </c>
      <c r="B7605" s="155" t="s">
        <v>144</v>
      </c>
      <c r="C7605" s="155" t="s">
        <v>206</v>
      </c>
      <c r="D7605" s="156" t="s">
        <v>8468</v>
      </c>
      <c r="E7605" s="156" t="s">
        <v>8512</v>
      </c>
      <c r="F7605" s="156" t="s">
        <v>298</v>
      </c>
      <c r="G7605" s="156" t="s">
        <v>4194</v>
      </c>
      <c r="H7605" s="157" t="s">
        <v>211</v>
      </c>
    </row>
    <row r="7606" hidden="1">
      <c r="A7606" s="151" t="s">
        <v>223</v>
      </c>
      <c r="B7606" s="118" t="s">
        <v>144</v>
      </c>
      <c r="C7606" s="118" t="s">
        <v>206</v>
      </c>
      <c r="D7606" s="152" t="s">
        <v>8468</v>
      </c>
      <c r="E7606" s="152" t="s">
        <v>8513</v>
      </c>
      <c r="F7606" s="152" t="s">
        <v>259</v>
      </c>
      <c r="G7606" s="152" t="s">
        <v>4073</v>
      </c>
      <c r="H7606" s="153" t="s">
        <v>212</v>
      </c>
    </row>
    <row r="7607" hidden="1">
      <c r="A7607" s="154" t="s">
        <v>223</v>
      </c>
      <c r="B7607" s="155" t="s">
        <v>144</v>
      </c>
      <c r="C7607" s="155" t="s">
        <v>206</v>
      </c>
      <c r="D7607" s="156" t="s">
        <v>8468</v>
      </c>
      <c r="E7607" s="156" t="s">
        <v>8514</v>
      </c>
      <c r="F7607" s="156" t="s">
        <v>259</v>
      </c>
      <c r="G7607" s="156" t="s">
        <v>3270</v>
      </c>
      <c r="H7607" s="157" t="s">
        <v>213</v>
      </c>
    </row>
    <row r="7608" hidden="1">
      <c r="A7608" s="151" t="s">
        <v>223</v>
      </c>
      <c r="B7608" s="118" t="s">
        <v>144</v>
      </c>
      <c r="C7608" s="118" t="s">
        <v>206</v>
      </c>
      <c r="D7608" s="152" t="s">
        <v>8468</v>
      </c>
      <c r="E7608" s="152" t="s">
        <v>8515</v>
      </c>
      <c r="F7608" s="152" t="s">
        <v>259</v>
      </c>
      <c r="G7608" s="152" t="s">
        <v>2822</v>
      </c>
      <c r="H7608" s="153" t="s">
        <v>214</v>
      </c>
    </row>
    <row r="7609" hidden="1">
      <c r="A7609" s="154" t="s">
        <v>223</v>
      </c>
      <c r="B7609" s="155" t="s">
        <v>144</v>
      </c>
      <c r="C7609" s="155" t="s">
        <v>206</v>
      </c>
      <c r="D7609" s="156" t="s">
        <v>8468</v>
      </c>
      <c r="E7609" s="156" t="s">
        <v>8516</v>
      </c>
      <c r="F7609" s="156" t="s">
        <v>262</v>
      </c>
      <c r="G7609" s="156" t="s">
        <v>2816</v>
      </c>
      <c r="H7609" s="157" t="s">
        <v>215</v>
      </c>
    </row>
    <row r="7610" hidden="1">
      <c r="A7610" s="151" t="s">
        <v>223</v>
      </c>
      <c r="B7610" s="118" t="s">
        <v>144</v>
      </c>
      <c r="C7610" s="118" t="s">
        <v>206</v>
      </c>
      <c r="D7610" s="152" t="s">
        <v>8468</v>
      </c>
      <c r="E7610" s="152" t="s">
        <v>8517</v>
      </c>
      <c r="F7610" s="152" t="s">
        <v>262</v>
      </c>
      <c r="G7610" s="152" t="s">
        <v>2348</v>
      </c>
      <c r="H7610" s="153" t="s">
        <v>216</v>
      </c>
    </row>
    <row r="7611" hidden="1">
      <c r="A7611" s="154" t="s">
        <v>224</v>
      </c>
      <c r="B7611" s="155" t="s">
        <v>170</v>
      </c>
      <c r="C7611" s="155" t="s">
        <v>206</v>
      </c>
      <c r="D7611" s="156" t="s">
        <v>8468</v>
      </c>
      <c r="E7611" s="156" t="s">
        <v>8518</v>
      </c>
      <c r="F7611" s="156" t="s">
        <v>629</v>
      </c>
      <c r="G7611" s="156" t="s">
        <v>4320</v>
      </c>
      <c r="H7611" s="157" t="s">
        <v>210</v>
      </c>
    </row>
    <row r="7612" hidden="1">
      <c r="A7612" s="151" t="s">
        <v>224</v>
      </c>
      <c r="B7612" s="118" t="s">
        <v>170</v>
      </c>
      <c r="C7612" s="118" t="s">
        <v>206</v>
      </c>
      <c r="D7612" s="152" t="s">
        <v>8468</v>
      </c>
      <c r="E7612" s="152" t="s">
        <v>8519</v>
      </c>
      <c r="F7612" s="152" t="s">
        <v>336</v>
      </c>
      <c r="G7612" s="152" t="s">
        <v>4851</v>
      </c>
      <c r="H7612" s="153" t="s">
        <v>211</v>
      </c>
    </row>
    <row r="7613" hidden="1">
      <c r="A7613" s="154" t="s">
        <v>224</v>
      </c>
      <c r="B7613" s="155" t="s">
        <v>170</v>
      </c>
      <c r="C7613" s="155" t="s">
        <v>206</v>
      </c>
      <c r="D7613" s="156" t="s">
        <v>8468</v>
      </c>
      <c r="E7613" s="156" t="s">
        <v>8520</v>
      </c>
      <c r="F7613" s="156" t="s">
        <v>305</v>
      </c>
      <c r="G7613" s="156" t="s">
        <v>3756</v>
      </c>
      <c r="H7613" s="157" t="s">
        <v>212</v>
      </c>
    </row>
    <row r="7614" hidden="1">
      <c r="A7614" s="151" t="s">
        <v>224</v>
      </c>
      <c r="B7614" s="118" t="s">
        <v>170</v>
      </c>
      <c r="C7614" s="118" t="s">
        <v>206</v>
      </c>
      <c r="D7614" s="152" t="s">
        <v>8468</v>
      </c>
      <c r="E7614" s="152" t="s">
        <v>8521</v>
      </c>
      <c r="F7614" s="152" t="s">
        <v>336</v>
      </c>
      <c r="G7614" s="152" t="s">
        <v>4317</v>
      </c>
      <c r="H7614" s="153" t="s">
        <v>213</v>
      </c>
    </row>
    <row r="7615" hidden="1">
      <c r="A7615" s="154" t="s">
        <v>224</v>
      </c>
      <c r="B7615" s="155" t="s">
        <v>170</v>
      </c>
      <c r="C7615" s="155" t="s">
        <v>206</v>
      </c>
      <c r="D7615" s="156" t="s">
        <v>8468</v>
      </c>
      <c r="E7615" s="156" t="s">
        <v>8522</v>
      </c>
      <c r="F7615" s="156" t="s">
        <v>450</v>
      </c>
      <c r="G7615" s="156" t="s">
        <v>3696</v>
      </c>
      <c r="H7615" s="157" t="s">
        <v>214</v>
      </c>
    </row>
    <row r="7616" hidden="1">
      <c r="A7616" s="151" t="s">
        <v>224</v>
      </c>
      <c r="B7616" s="118" t="s">
        <v>170</v>
      </c>
      <c r="C7616" s="118" t="s">
        <v>206</v>
      </c>
      <c r="D7616" s="152" t="s">
        <v>8468</v>
      </c>
      <c r="E7616" s="152" t="s">
        <v>8523</v>
      </c>
      <c r="F7616" s="152" t="s">
        <v>325</v>
      </c>
      <c r="G7616" s="152" t="s">
        <v>4709</v>
      </c>
      <c r="H7616" s="153" t="s">
        <v>215</v>
      </c>
    </row>
    <row r="7617" hidden="1">
      <c r="A7617" s="154" t="s">
        <v>224</v>
      </c>
      <c r="B7617" s="155" t="s">
        <v>170</v>
      </c>
      <c r="C7617" s="155" t="s">
        <v>206</v>
      </c>
      <c r="D7617" s="156" t="s">
        <v>8468</v>
      </c>
      <c r="E7617" s="156" t="s">
        <v>8524</v>
      </c>
      <c r="F7617" s="156" t="s">
        <v>677</v>
      </c>
      <c r="G7617" s="156" t="s">
        <v>4161</v>
      </c>
      <c r="H7617" s="157" t="s">
        <v>216</v>
      </c>
    </row>
    <row r="7618" hidden="1">
      <c r="A7618" s="151" t="s">
        <v>225</v>
      </c>
      <c r="B7618" s="118" t="s">
        <v>226</v>
      </c>
      <c r="C7618" s="118" t="s">
        <v>206</v>
      </c>
      <c r="D7618" s="152" t="s">
        <v>8468</v>
      </c>
      <c r="E7618" s="152" t="s">
        <v>8525</v>
      </c>
      <c r="F7618" s="152" t="s">
        <v>257</v>
      </c>
      <c r="G7618" s="152" t="s">
        <v>1951</v>
      </c>
      <c r="H7618" s="153" t="s">
        <v>210</v>
      </c>
    </row>
    <row r="7619" hidden="1">
      <c r="A7619" s="154" t="s">
        <v>225</v>
      </c>
      <c r="B7619" s="155" t="s">
        <v>226</v>
      </c>
      <c r="C7619" s="155" t="s">
        <v>206</v>
      </c>
      <c r="D7619" s="156" t="s">
        <v>8468</v>
      </c>
      <c r="E7619" s="156" t="s">
        <v>8526</v>
      </c>
      <c r="F7619" s="156" t="s">
        <v>365</v>
      </c>
      <c r="G7619" s="156" t="s">
        <v>2859</v>
      </c>
      <c r="H7619" s="157" t="s">
        <v>211</v>
      </c>
    </row>
    <row r="7620" hidden="1">
      <c r="A7620" s="151" t="s">
        <v>225</v>
      </c>
      <c r="B7620" s="118" t="s">
        <v>226</v>
      </c>
      <c r="C7620" s="118" t="s">
        <v>206</v>
      </c>
      <c r="D7620" s="152" t="s">
        <v>8468</v>
      </c>
      <c r="E7620" s="152" t="s">
        <v>8527</v>
      </c>
      <c r="F7620" s="152" t="s">
        <v>323</v>
      </c>
      <c r="G7620" s="152" t="s">
        <v>2393</v>
      </c>
      <c r="H7620" s="153" t="s">
        <v>212</v>
      </c>
    </row>
    <row r="7621" hidden="1">
      <c r="A7621" s="154" t="s">
        <v>225</v>
      </c>
      <c r="B7621" s="155" t="s">
        <v>226</v>
      </c>
      <c r="C7621" s="155" t="s">
        <v>206</v>
      </c>
      <c r="D7621" s="156" t="s">
        <v>8468</v>
      </c>
      <c r="E7621" s="156" t="s">
        <v>8528</v>
      </c>
      <c r="F7621" s="156" t="s">
        <v>285</v>
      </c>
      <c r="G7621" s="156" t="s">
        <v>2393</v>
      </c>
      <c r="H7621" s="157" t="s">
        <v>213</v>
      </c>
    </row>
    <row r="7622" hidden="1">
      <c r="A7622" s="151" t="s">
        <v>225</v>
      </c>
      <c r="B7622" s="118" t="s">
        <v>226</v>
      </c>
      <c r="C7622" s="118" t="s">
        <v>206</v>
      </c>
      <c r="D7622" s="152" t="s">
        <v>8468</v>
      </c>
      <c r="E7622" s="152" t="s">
        <v>8529</v>
      </c>
      <c r="F7622" s="152" t="s">
        <v>314</v>
      </c>
      <c r="G7622" s="152" t="s">
        <v>3284</v>
      </c>
      <c r="H7622" s="153" t="s">
        <v>214</v>
      </c>
    </row>
    <row r="7623" hidden="1">
      <c r="A7623" s="154" t="s">
        <v>225</v>
      </c>
      <c r="B7623" s="155" t="s">
        <v>226</v>
      </c>
      <c r="C7623" s="155" t="s">
        <v>206</v>
      </c>
      <c r="D7623" s="156" t="s">
        <v>8468</v>
      </c>
      <c r="E7623" s="156" t="s">
        <v>8530</v>
      </c>
      <c r="F7623" s="156" t="s">
        <v>285</v>
      </c>
      <c r="G7623" s="156" t="s">
        <v>2758</v>
      </c>
      <c r="H7623" s="157" t="s">
        <v>215</v>
      </c>
    </row>
    <row r="7624" hidden="1">
      <c r="A7624" s="151" t="s">
        <v>225</v>
      </c>
      <c r="B7624" s="118" t="s">
        <v>226</v>
      </c>
      <c r="C7624" s="118" t="s">
        <v>206</v>
      </c>
      <c r="D7624" s="152" t="s">
        <v>8468</v>
      </c>
      <c r="E7624" s="152" t="s">
        <v>8531</v>
      </c>
      <c r="F7624" s="152" t="s">
        <v>242</v>
      </c>
      <c r="G7624" s="152" t="s">
        <v>2777</v>
      </c>
      <c r="H7624" s="153" t="s">
        <v>216</v>
      </c>
    </row>
    <row r="7625" hidden="1">
      <c r="A7625" s="154" t="s">
        <v>227</v>
      </c>
      <c r="B7625" s="155" t="s">
        <v>195</v>
      </c>
      <c r="C7625" s="155" t="s">
        <v>206</v>
      </c>
      <c r="D7625" s="156" t="s">
        <v>8468</v>
      </c>
      <c r="E7625" s="156" t="s">
        <v>8532</v>
      </c>
      <c r="F7625" s="156" t="s">
        <v>725</v>
      </c>
      <c r="G7625" s="156" t="s">
        <v>3154</v>
      </c>
      <c r="H7625" s="157" t="s">
        <v>210</v>
      </c>
    </row>
    <row r="7626" hidden="1">
      <c r="A7626" s="151" t="s">
        <v>227</v>
      </c>
      <c r="B7626" s="118" t="s">
        <v>195</v>
      </c>
      <c r="C7626" s="118" t="s">
        <v>206</v>
      </c>
      <c r="D7626" s="152" t="s">
        <v>8468</v>
      </c>
      <c r="E7626" s="152" t="s">
        <v>8533</v>
      </c>
      <c r="F7626" s="152" t="s">
        <v>427</v>
      </c>
      <c r="G7626" s="152" t="s">
        <v>3400</v>
      </c>
      <c r="H7626" s="153" t="s">
        <v>211</v>
      </c>
    </row>
    <row r="7627" hidden="1">
      <c r="A7627" s="154" t="s">
        <v>227</v>
      </c>
      <c r="B7627" s="155" t="s">
        <v>195</v>
      </c>
      <c r="C7627" s="155" t="s">
        <v>206</v>
      </c>
      <c r="D7627" s="156" t="s">
        <v>8468</v>
      </c>
      <c r="E7627" s="156" t="s">
        <v>8534</v>
      </c>
      <c r="F7627" s="156" t="s">
        <v>249</v>
      </c>
      <c r="G7627" s="156" t="s">
        <v>3384</v>
      </c>
      <c r="H7627" s="157" t="s">
        <v>212</v>
      </c>
    </row>
    <row r="7628" hidden="1">
      <c r="A7628" s="151" t="s">
        <v>227</v>
      </c>
      <c r="B7628" s="118" t="s">
        <v>195</v>
      </c>
      <c r="C7628" s="118" t="s">
        <v>206</v>
      </c>
      <c r="D7628" s="152" t="s">
        <v>8468</v>
      </c>
      <c r="E7628" s="152" t="s">
        <v>8535</v>
      </c>
      <c r="F7628" s="152" t="s">
        <v>336</v>
      </c>
      <c r="G7628" s="152" t="s">
        <v>3142</v>
      </c>
      <c r="H7628" s="153" t="s">
        <v>213</v>
      </c>
    </row>
    <row r="7629" hidden="1">
      <c r="A7629" s="154" t="s">
        <v>227</v>
      </c>
      <c r="B7629" s="155" t="s">
        <v>195</v>
      </c>
      <c r="C7629" s="155" t="s">
        <v>206</v>
      </c>
      <c r="D7629" s="156" t="s">
        <v>8468</v>
      </c>
      <c r="E7629" s="156" t="s">
        <v>8536</v>
      </c>
      <c r="F7629" s="156" t="s">
        <v>483</v>
      </c>
      <c r="G7629" s="156" t="s">
        <v>2912</v>
      </c>
      <c r="H7629" s="157" t="s">
        <v>214</v>
      </c>
    </row>
    <row r="7630" hidden="1">
      <c r="A7630" s="151" t="s">
        <v>227</v>
      </c>
      <c r="B7630" s="118" t="s">
        <v>195</v>
      </c>
      <c r="C7630" s="118" t="s">
        <v>206</v>
      </c>
      <c r="D7630" s="152" t="s">
        <v>8468</v>
      </c>
      <c r="E7630" s="152" t="s">
        <v>8537</v>
      </c>
      <c r="F7630" s="152" t="s">
        <v>305</v>
      </c>
      <c r="G7630" s="152" t="s">
        <v>3554</v>
      </c>
      <c r="H7630" s="153" t="s">
        <v>215</v>
      </c>
    </row>
    <row r="7631" hidden="1">
      <c r="A7631" s="154" t="s">
        <v>227</v>
      </c>
      <c r="B7631" s="155" t="s">
        <v>195</v>
      </c>
      <c r="C7631" s="155" t="s">
        <v>206</v>
      </c>
      <c r="D7631" s="156" t="s">
        <v>8468</v>
      </c>
      <c r="E7631" s="156" t="s">
        <v>8538</v>
      </c>
      <c r="F7631" s="156" t="s">
        <v>483</v>
      </c>
      <c r="G7631" s="156" t="s">
        <v>2970</v>
      </c>
      <c r="H7631" s="157" t="s">
        <v>216</v>
      </c>
    </row>
    <row r="7632" hidden="1">
      <c r="A7632" s="151" t="s">
        <v>228</v>
      </c>
      <c r="B7632" s="118" t="s">
        <v>138</v>
      </c>
      <c r="C7632" s="118" t="s">
        <v>206</v>
      </c>
      <c r="D7632" s="152" t="s">
        <v>8468</v>
      </c>
      <c r="E7632" s="152" t="s">
        <v>8539</v>
      </c>
      <c r="F7632" s="152" t="s">
        <v>246</v>
      </c>
      <c r="G7632" s="152" t="s">
        <v>4367</v>
      </c>
      <c r="H7632" s="153" t="s">
        <v>210</v>
      </c>
    </row>
    <row r="7633" hidden="1">
      <c r="A7633" s="154" t="s">
        <v>228</v>
      </c>
      <c r="B7633" s="155" t="s">
        <v>138</v>
      </c>
      <c r="C7633" s="155" t="s">
        <v>206</v>
      </c>
      <c r="D7633" s="156" t="s">
        <v>8468</v>
      </c>
      <c r="E7633" s="156" t="s">
        <v>8540</v>
      </c>
      <c r="F7633" s="156" t="s">
        <v>262</v>
      </c>
      <c r="G7633" s="156" t="s">
        <v>3996</v>
      </c>
      <c r="H7633" s="157" t="s">
        <v>211</v>
      </c>
    </row>
    <row r="7634" hidden="1">
      <c r="A7634" s="151" t="s">
        <v>228</v>
      </c>
      <c r="B7634" s="118" t="s">
        <v>138</v>
      </c>
      <c r="C7634" s="118" t="s">
        <v>206</v>
      </c>
      <c r="D7634" s="152" t="s">
        <v>8468</v>
      </c>
      <c r="E7634" s="152" t="s">
        <v>8541</v>
      </c>
      <c r="F7634" s="152" t="s">
        <v>374</v>
      </c>
      <c r="G7634" s="152" t="s">
        <v>2450</v>
      </c>
      <c r="H7634" s="153" t="s">
        <v>212</v>
      </c>
    </row>
    <row r="7635" hidden="1">
      <c r="A7635" s="154" t="s">
        <v>228</v>
      </c>
      <c r="B7635" s="155" t="s">
        <v>138</v>
      </c>
      <c r="C7635" s="155" t="s">
        <v>206</v>
      </c>
      <c r="D7635" s="156" t="s">
        <v>8468</v>
      </c>
      <c r="E7635" s="156" t="s">
        <v>8542</v>
      </c>
      <c r="F7635" s="156" t="s">
        <v>204</v>
      </c>
      <c r="G7635" s="156" t="s">
        <v>3154</v>
      </c>
      <c r="H7635" s="157" t="s">
        <v>213</v>
      </c>
    </row>
    <row r="7636" hidden="1">
      <c r="A7636" s="151" t="s">
        <v>228</v>
      </c>
      <c r="B7636" s="118" t="s">
        <v>138</v>
      </c>
      <c r="C7636" s="118" t="s">
        <v>206</v>
      </c>
      <c r="D7636" s="152" t="s">
        <v>8468</v>
      </c>
      <c r="E7636" s="152" t="s">
        <v>8543</v>
      </c>
      <c r="F7636" s="152" t="s">
        <v>255</v>
      </c>
      <c r="G7636" s="152" t="s">
        <v>3523</v>
      </c>
      <c r="H7636" s="153" t="s">
        <v>214</v>
      </c>
    </row>
    <row r="7637" hidden="1">
      <c r="A7637" s="154" t="s">
        <v>228</v>
      </c>
      <c r="B7637" s="155" t="s">
        <v>138</v>
      </c>
      <c r="C7637" s="155" t="s">
        <v>206</v>
      </c>
      <c r="D7637" s="156" t="s">
        <v>8468</v>
      </c>
      <c r="E7637" s="156" t="s">
        <v>8417</v>
      </c>
      <c r="F7637" s="156" t="s">
        <v>204</v>
      </c>
      <c r="G7637" s="156" t="s">
        <v>2457</v>
      </c>
      <c r="H7637" s="157" t="s">
        <v>215</v>
      </c>
    </row>
    <row r="7638" hidden="1">
      <c r="A7638" s="151" t="s">
        <v>228</v>
      </c>
      <c r="B7638" s="118" t="s">
        <v>138</v>
      </c>
      <c r="C7638" s="118" t="s">
        <v>206</v>
      </c>
      <c r="D7638" s="152" t="s">
        <v>8468</v>
      </c>
      <c r="E7638" s="152" t="s">
        <v>8544</v>
      </c>
      <c r="F7638" s="152" t="s">
        <v>255</v>
      </c>
      <c r="G7638" s="152" t="s">
        <v>4196</v>
      </c>
      <c r="H7638" s="153" t="s">
        <v>216</v>
      </c>
    </row>
    <row r="7639" hidden="1">
      <c r="A7639" s="154" t="s">
        <v>229</v>
      </c>
      <c r="B7639" s="155" t="s">
        <v>193</v>
      </c>
      <c r="C7639" s="155" t="s">
        <v>206</v>
      </c>
      <c r="D7639" s="156" t="s">
        <v>8468</v>
      </c>
      <c r="E7639" s="156" t="s">
        <v>8545</v>
      </c>
      <c r="F7639" s="156" t="s">
        <v>2994</v>
      </c>
      <c r="G7639" s="156" t="s">
        <v>4326</v>
      </c>
      <c r="H7639" s="157" t="s">
        <v>210</v>
      </c>
    </row>
    <row r="7640" hidden="1">
      <c r="A7640" s="151" t="s">
        <v>229</v>
      </c>
      <c r="B7640" s="118" t="s">
        <v>193</v>
      </c>
      <c r="C7640" s="118" t="s">
        <v>206</v>
      </c>
      <c r="D7640" s="152" t="s">
        <v>8468</v>
      </c>
      <c r="E7640" s="152" t="s">
        <v>8546</v>
      </c>
      <c r="F7640" s="152" t="s">
        <v>478</v>
      </c>
      <c r="G7640" s="152" t="s">
        <v>4582</v>
      </c>
      <c r="H7640" s="153" t="s">
        <v>211</v>
      </c>
    </row>
    <row r="7641" hidden="1">
      <c r="A7641" s="154" t="s">
        <v>229</v>
      </c>
      <c r="B7641" s="155" t="s">
        <v>193</v>
      </c>
      <c r="C7641" s="155" t="s">
        <v>206</v>
      </c>
      <c r="D7641" s="156" t="s">
        <v>8468</v>
      </c>
      <c r="E7641" s="156" t="s">
        <v>8547</v>
      </c>
      <c r="F7641" s="156" t="s">
        <v>3150</v>
      </c>
      <c r="G7641" s="156" t="s">
        <v>4685</v>
      </c>
      <c r="H7641" s="157" t="s">
        <v>212</v>
      </c>
    </row>
    <row r="7642" hidden="1">
      <c r="A7642" s="151" t="s">
        <v>229</v>
      </c>
      <c r="B7642" s="118" t="s">
        <v>193</v>
      </c>
      <c r="C7642" s="118" t="s">
        <v>206</v>
      </c>
      <c r="D7642" s="152" t="s">
        <v>8468</v>
      </c>
      <c r="E7642" s="152" t="s">
        <v>8548</v>
      </c>
      <c r="F7642" s="152" t="s">
        <v>497</v>
      </c>
      <c r="G7642" s="152" t="s">
        <v>3930</v>
      </c>
      <c r="H7642" s="153" t="s">
        <v>213</v>
      </c>
    </row>
    <row r="7643" hidden="1">
      <c r="A7643" s="154" t="s">
        <v>229</v>
      </c>
      <c r="B7643" s="155" t="s">
        <v>193</v>
      </c>
      <c r="C7643" s="155" t="s">
        <v>206</v>
      </c>
      <c r="D7643" s="156" t="s">
        <v>8468</v>
      </c>
      <c r="E7643" s="156" t="s">
        <v>8549</v>
      </c>
      <c r="F7643" s="156" t="s">
        <v>735</v>
      </c>
      <c r="G7643" s="156" t="s">
        <v>4472</v>
      </c>
      <c r="H7643" s="157" t="s">
        <v>214</v>
      </c>
    </row>
    <row r="7644" hidden="1">
      <c r="A7644" s="151" t="s">
        <v>229</v>
      </c>
      <c r="B7644" s="118" t="s">
        <v>193</v>
      </c>
      <c r="C7644" s="118" t="s">
        <v>206</v>
      </c>
      <c r="D7644" s="152" t="s">
        <v>8468</v>
      </c>
      <c r="E7644" s="152" t="s">
        <v>8550</v>
      </c>
      <c r="F7644" s="152" t="s">
        <v>312</v>
      </c>
      <c r="G7644" s="152" t="s">
        <v>3113</v>
      </c>
      <c r="H7644" s="153" t="s">
        <v>215</v>
      </c>
    </row>
    <row r="7645" hidden="1">
      <c r="A7645" s="154" t="s">
        <v>229</v>
      </c>
      <c r="B7645" s="155" t="s">
        <v>193</v>
      </c>
      <c r="C7645" s="155" t="s">
        <v>206</v>
      </c>
      <c r="D7645" s="156" t="s">
        <v>8468</v>
      </c>
      <c r="E7645" s="156" t="s">
        <v>8551</v>
      </c>
      <c r="F7645" s="156" t="s">
        <v>735</v>
      </c>
      <c r="G7645" s="156" t="s">
        <v>4712</v>
      </c>
      <c r="H7645" s="157" t="s">
        <v>216</v>
      </c>
    </row>
    <row r="7646" hidden="1">
      <c r="A7646" s="151" t="s">
        <v>230</v>
      </c>
      <c r="B7646" s="118" t="s">
        <v>194</v>
      </c>
      <c r="C7646" s="118" t="s">
        <v>206</v>
      </c>
      <c r="D7646" s="152" t="s">
        <v>8468</v>
      </c>
      <c r="E7646" s="152" t="s">
        <v>8552</v>
      </c>
      <c r="F7646" s="152" t="s">
        <v>290</v>
      </c>
      <c r="G7646" s="152" t="s">
        <v>1949</v>
      </c>
      <c r="H7646" s="153" t="s">
        <v>210</v>
      </c>
    </row>
    <row r="7647" hidden="1">
      <c r="A7647" s="154" t="s">
        <v>230</v>
      </c>
      <c r="B7647" s="155" t="s">
        <v>194</v>
      </c>
      <c r="C7647" s="155" t="s">
        <v>206</v>
      </c>
      <c r="D7647" s="156" t="s">
        <v>8468</v>
      </c>
      <c r="E7647" s="156" t="s">
        <v>8553</v>
      </c>
      <c r="F7647" s="156" t="s">
        <v>336</v>
      </c>
      <c r="G7647" s="156" t="s">
        <v>3237</v>
      </c>
      <c r="H7647" s="157" t="s">
        <v>211</v>
      </c>
    </row>
    <row r="7648" hidden="1">
      <c r="A7648" s="151" t="s">
        <v>230</v>
      </c>
      <c r="B7648" s="118" t="s">
        <v>194</v>
      </c>
      <c r="C7648" s="118" t="s">
        <v>206</v>
      </c>
      <c r="D7648" s="152" t="s">
        <v>8468</v>
      </c>
      <c r="E7648" s="152" t="s">
        <v>8554</v>
      </c>
      <c r="F7648" s="152" t="s">
        <v>534</v>
      </c>
      <c r="G7648" s="152" t="s">
        <v>2065</v>
      </c>
      <c r="H7648" s="153" t="s">
        <v>212</v>
      </c>
    </row>
    <row r="7649" hidden="1">
      <c r="A7649" s="154" t="s">
        <v>230</v>
      </c>
      <c r="B7649" s="155" t="s">
        <v>194</v>
      </c>
      <c r="C7649" s="155" t="s">
        <v>206</v>
      </c>
      <c r="D7649" s="156" t="s">
        <v>8468</v>
      </c>
      <c r="E7649" s="156" t="s">
        <v>8555</v>
      </c>
      <c r="F7649" s="156" t="s">
        <v>336</v>
      </c>
      <c r="G7649" s="156" t="s">
        <v>2117</v>
      </c>
      <c r="H7649" s="157" t="s">
        <v>213</v>
      </c>
    </row>
    <row r="7650" hidden="1">
      <c r="A7650" s="151" t="s">
        <v>230</v>
      </c>
      <c r="B7650" s="118" t="s">
        <v>194</v>
      </c>
      <c r="C7650" s="118" t="s">
        <v>206</v>
      </c>
      <c r="D7650" s="152" t="s">
        <v>8468</v>
      </c>
      <c r="E7650" s="152" t="s">
        <v>8556</v>
      </c>
      <c r="F7650" s="152" t="s">
        <v>425</v>
      </c>
      <c r="G7650" s="152" t="s">
        <v>3587</v>
      </c>
      <c r="H7650" s="153" t="s">
        <v>214</v>
      </c>
    </row>
    <row r="7651" hidden="1">
      <c r="A7651" s="154" t="s">
        <v>230</v>
      </c>
      <c r="B7651" s="155" t="s">
        <v>194</v>
      </c>
      <c r="C7651" s="155" t="s">
        <v>206</v>
      </c>
      <c r="D7651" s="156" t="s">
        <v>8468</v>
      </c>
      <c r="E7651" s="156" t="s">
        <v>8557</v>
      </c>
      <c r="F7651" s="156" t="s">
        <v>285</v>
      </c>
      <c r="G7651" s="156" t="s">
        <v>2620</v>
      </c>
      <c r="H7651" s="157" t="s">
        <v>215</v>
      </c>
    </row>
    <row r="7652" hidden="1">
      <c r="A7652" s="151" t="s">
        <v>230</v>
      </c>
      <c r="B7652" s="118" t="s">
        <v>194</v>
      </c>
      <c r="C7652" s="118" t="s">
        <v>206</v>
      </c>
      <c r="D7652" s="152" t="s">
        <v>8468</v>
      </c>
      <c r="E7652" s="152" t="s">
        <v>8558</v>
      </c>
      <c r="F7652" s="152" t="s">
        <v>305</v>
      </c>
      <c r="G7652" s="152" t="s">
        <v>2117</v>
      </c>
      <c r="H7652" s="153" t="s">
        <v>216</v>
      </c>
    </row>
    <row r="7653" hidden="1">
      <c r="A7653" s="158" t="s">
        <v>231</v>
      </c>
      <c r="B7653" s="159"/>
      <c r="C7653" s="155" t="s">
        <v>232</v>
      </c>
      <c r="D7653" s="156" t="s">
        <v>8468</v>
      </c>
      <c r="E7653" s="156" t="s">
        <v>8559</v>
      </c>
      <c r="F7653" s="156" t="s">
        <v>423</v>
      </c>
      <c r="G7653" s="156" t="s">
        <v>3913</v>
      </c>
      <c r="H7653" s="157" t="s">
        <v>210</v>
      </c>
    </row>
    <row r="7654" hidden="1">
      <c r="A7654" s="160" t="s">
        <v>231</v>
      </c>
      <c r="B7654" s="72"/>
      <c r="C7654" s="118" t="s">
        <v>232</v>
      </c>
      <c r="D7654" s="152" t="s">
        <v>8468</v>
      </c>
      <c r="E7654" s="152" t="s">
        <v>8560</v>
      </c>
      <c r="F7654" s="152" t="s">
        <v>249</v>
      </c>
      <c r="G7654" s="152" t="s">
        <v>2506</v>
      </c>
      <c r="H7654" s="153" t="s">
        <v>211</v>
      </c>
    </row>
    <row r="7655" hidden="1">
      <c r="A7655" s="158" t="s">
        <v>231</v>
      </c>
      <c r="B7655" s="159"/>
      <c r="C7655" s="155" t="s">
        <v>232</v>
      </c>
      <c r="D7655" s="156" t="s">
        <v>8468</v>
      </c>
      <c r="E7655" s="156" t="s">
        <v>8561</v>
      </c>
      <c r="F7655" s="156" t="s">
        <v>425</v>
      </c>
      <c r="G7655" s="156" t="s">
        <v>3485</v>
      </c>
      <c r="H7655" s="157" t="s">
        <v>212</v>
      </c>
    </row>
    <row r="7656" hidden="1">
      <c r="A7656" s="160" t="s">
        <v>231</v>
      </c>
      <c r="B7656" s="72"/>
      <c r="C7656" s="118" t="s">
        <v>232</v>
      </c>
      <c r="D7656" s="152" t="s">
        <v>8468</v>
      </c>
      <c r="E7656" s="152" t="s">
        <v>8562</v>
      </c>
      <c r="F7656" s="152" t="s">
        <v>321</v>
      </c>
      <c r="G7656" s="152" t="s">
        <v>1925</v>
      </c>
      <c r="H7656" s="153" t="s">
        <v>213</v>
      </c>
    </row>
    <row r="7657" hidden="1">
      <c r="A7657" s="158" t="s">
        <v>231</v>
      </c>
      <c r="B7657" s="159"/>
      <c r="C7657" s="155" t="s">
        <v>232</v>
      </c>
      <c r="D7657" s="156" t="s">
        <v>8468</v>
      </c>
      <c r="E7657" s="156" t="s">
        <v>8563</v>
      </c>
      <c r="F7657" s="156" t="s">
        <v>323</v>
      </c>
      <c r="G7657" s="156" t="s">
        <v>2602</v>
      </c>
      <c r="H7657" s="157" t="s">
        <v>214</v>
      </c>
    </row>
    <row r="7658" hidden="1">
      <c r="A7658" s="160" t="s">
        <v>231</v>
      </c>
      <c r="B7658" s="72"/>
      <c r="C7658" s="118" t="s">
        <v>232</v>
      </c>
      <c r="D7658" s="152" t="s">
        <v>8468</v>
      </c>
      <c r="E7658" s="152" t="s">
        <v>8564</v>
      </c>
      <c r="F7658" s="152" t="s">
        <v>308</v>
      </c>
      <c r="G7658" s="152" t="s">
        <v>4196</v>
      </c>
      <c r="H7658" s="153" t="s">
        <v>215</v>
      </c>
    </row>
    <row r="7659" hidden="1">
      <c r="A7659" s="158" t="s">
        <v>231</v>
      </c>
      <c r="B7659" s="159"/>
      <c r="C7659" s="155" t="s">
        <v>232</v>
      </c>
      <c r="D7659" s="156" t="s">
        <v>8468</v>
      </c>
      <c r="E7659" s="156" t="s">
        <v>8565</v>
      </c>
      <c r="F7659" s="156" t="s">
        <v>450</v>
      </c>
      <c r="G7659" s="156" t="s">
        <v>3572</v>
      </c>
      <c r="H7659" s="157" t="s">
        <v>216</v>
      </c>
    </row>
    <row r="7660" hidden="1">
      <c r="A7660" s="160" t="s">
        <v>233</v>
      </c>
      <c r="B7660" s="72"/>
      <c r="C7660" s="118" t="s">
        <v>232</v>
      </c>
      <c r="D7660" s="152" t="s">
        <v>8468</v>
      </c>
      <c r="E7660" s="152" t="s">
        <v>8566</v>
      </c>
      <c r="F7660" s="152" t="s">
        <v>478</v>
      </c>
      <c r="G7660" s="152" t="s">
        <v>3300</v>
      </c>
      <c r="H7660" s="153" t="s">
        <v>210</v>
      </c>
    </row>
    <row r="7661" hidden="1">
      <c r="A7661" s="158" t="s">
        <v>233</v>
      </c>
      <c r="B7661" s="159"/>
      <c r="C7661" s="155" t="s">
        <v>232</v>
      </c>
      <c r="D7661" s="156" t="s">
        <v>8468</v>
      </c>
      <c r="E7661" s="156" t="s">
        <v>8567</v>
      </c>
      <c r="F7661" s="156" t="s">
        <v>329</v>
      </c>
      <c r="G7661" s="156" t="s">
        <v>3812</v>
      </c>
      <c r="H7661" s="157" t="s">
        <v>211</v>
      </c>
    </row>
    <row r="7662" hidden="1">
      <c r="A7662" s="160" t="s">
        <v>233</v>
      </c>
      <c r="B7662" s="72"/>
      <c r="C7662" s="118" t="s">
        <v>232</v>
      </c>
      <c r="D7662" s="152" t="s">
        <v>8468</v>
      </c>
      <c r="E7662" s="152" t="s">
        <v>8568</v>
      </c>
      <c r="F7662" s="152" t="s">
        <v>718</v>
      </c>
      <c r="G7662" s="152" t="s">
        <v>3108</v>
      </c>
      <c r="H7662" s="153" t="s">
        <v>212</v>
      </c>
    </row>
    <row r="7663" hidden="1">
      <c r="A7663" s="158" t="s">
        <v>233</v>
      </c>
      <c r="B7663" s="159"/>
      <c r="C7663" s="155" t="s">
        <v>232</v>
      </c>
      <c r="D7663" s="156" t="s">
        <v>8468</v>
      </c>
      <c r="E7663" s="156" t="s">
        <v>8569</v>
      </c>
      <c r="F7663" s="156" t="s">
        <v>577</v>
      </c>
      <c r="G7663" s="156" t="s">
        <v>2008</v>
      </c>
      <c r="H7663" s="157" t="s">
        <v>213</v>
      </c>
    </row>
    <row r="7664" hidden="1">
      <c r="A7664" s="160" t="s">
        <v>233</v>
      </c>
      <c r="B7664" s="72"/>
      <c r="C7664" s="118" t="s">
        <v>232</v>
      </c>
      <c r="D7664" s="152" t="s">
        <v>8468</v>
      </c>
      <c r="E7664" s="152" t="s">
        <v>8570</v>
      </c>
      <c r="F7664" s="152" t="s">
        <v>677</v>
      </c>
      <c r="G7664" s="152" t="s">
        <v>3968</v>
      </c>
      <c r="H7664" s="153" t="s">
        <v>214</v>
      </c>
    </row>
    <row r="7665" hidden="1">
      <c r="A7665" s="158" t="s">
        <v>233</v>
      </c>
      <c r="B7665" s="159"/>
      <c r="C7665" s="155" t="s">
        <v>232</v>
      </c>
      <c r="D7665" s="156" t="s">
        <v>8468</v>
      </c>
      <c r="E7665" s="156" t="s">
        <v>8571</v>
      </c>
      <c r="F7665" s="156" t="s">
        <v>427</v>
      </c>
      <c r="G7665" s="156" t="s">
        <v>4146</v>
      </c>
      <c r="H7665" s="157" t="s">
        <v>215</v>
      </c>
    </row>
    <row r="7666" hidden="1">
      <c r="A7666" s="160" t="s">
        <v>233</v>
      </c>
      <c r="B7666" s="72"/>
      <c r="C7666" s="118" t="s">
        <v>232</v>
      </c>
      <c r="D7666" s="152" t="s">
        <v>8468</v>
      </c>
      <c r="E7666" s="152" t="s">
        <v>8572</v>
      </c>
      <c r="F7666" s="152" t="s">
        <v>494</v>
      </c>
      <c r="G7666" s="152" t="s">
        <v>2008</v>
      </c>
      <c r="H7666" s="153" t="s">
        <v>216</v>
      </c>
    </row>
    <row r="7667" hidden="1">
      <c r="A7667" s="158" t="s">
        <v>234</v>
      </c>
      <c r="B7667" s="159"/>
      <c r="C7667" s="155" t="s">
        <v>232</v>
      </c>
      <c r="D7667" s="156" t="s">
        <v>8468</v>
      </c>
      <c r="E7667" s="156" t="s">
        <v>8573</v>
      </c>
      <c r="F7667" s="156" t="s">
        <v>246</v>
      </c>
      <c r="G7667" s="156" t="s">
        <v>3151</v>
      </c>
      <c r="H7667" s="157" t="s">
        <v>210</v>
      </c>
    </row>
    <row r="7668" hidden="1">
      <c r="A7668" s="160" t="s">
        <v>234</v>
      </c>
      <c r="B7668" s="72"/>
      <c r="C7668" s="118" t="s">
        <v>232</v>
      </c>
      <c r="D7668" s="152" t="s">
        <v>8468</v>
      </c>
      <c r="E7668" s="152" t="s">
        <v>8574</v>
      </c>
      <c r="F7668" s="152" t="s">
        <v>357</v>
      </c>
      <c r="G7668" s="152" t="s">
        <v>2620</v>
      </c>
      <c r="H7668" s="153" t="s">
        <v>211</v>
      </c>
    </row>
    <row r="7669" hidden="1">
      <c r="A7669" s="158" t="s">
        <v>234</v>
      </c>
      <c r="B7669" s="159"/>
      <c r="C7669" s="155" t="s">
        <v>232</v>
      </c>
      <c r="D7669" s="156" t="s">
        <v>8468</v>
      </c>
      <c r="E7669" s="156" t="s">
        <v>8575</v>
      </c>
      <c r="F7669" s="156" t="s">
        <v>287</v>
      </c>
      <c r="G7669" s="156" t="s">
        <v>2600</v>
      </c>
      <c r="H7669" s="157" t="s">
        <v>212</v>
      </c>
    </row>
    <row r="7670" hidden="1">
      <c r="A7670" s="160" t="s">
        <v>234</v>
      </c>
      <c r="B7670" s="72"/>
      <c r="C7670" s="118" t="s">
        <v>232</v>
      </c>
      <c r="D7670" s="152" t="s">
        <v>8468</v>
      </c>
      <c r="E7670" s="152" t="s">
        <v>8576</v>
      </c>
      <c r="F7670" s="152" t="s">
        <v>365</v>
      </c>
      <c r="G7670" s="152" t="s">
        <v>2455</v>
      </c>
      <c r="H7670" s="153" t="s">
        <v>213</v>
      </c>
    </row>
    <row r="7671" hidden="1">
      <c r="A7671" s="158" t="s">
        <v>234</v>
      </c>
      <c r="B7671" s="159"/>
      <c r="C7671" s="155" t="s">
        <v>232</v>
      </c>
      <c r="D7671" s="156" t="s">
        <v>8468</v>
      </c>
      <c r="E7671" s="156" t="s">
        <v>8577</v>
      </c>
      <c r="F7671" s="156" t="s">
        <v>287</v>
      </c>
      <c r="G7671" s="156" t="s">
        <v>2923</v>
      </c>
      <c r="H7671" s="157" t="s">
        <v>214</v>
      </c>
    </row>
    <row r="7672" hidden="1">
      <c r="A7672" s="160" t="s">
        <v>234</v>
      </c>
      <c r="B7672" s="72"/>
      <c r="C7672" s="118" t="s">
        <v>232</v>
      </c>
      <c r="D7672" s="152" t="s">
        <v>8468</v>
      </c>
      <c r="E7672" s="152" t="s">
        <v>8578</v>
      </c>
      <c r="F7672" s="152" t="s">
        <v>244</v>
      </c>
      <c r="G7672" s="152" t="s">
        <v>3503</v>
      </c>
      <c r="H7672" s="153" t="s">
        <v>215</v>
      </c>
    </row>
    <row r="7673" hidden="1">
      <c r="A7673" s="158" t="s">
        <v>234</v>
      </c>
      <c r="B7673" s="159"/>
      <c r="C7673" s="155" t="s">
        <v>232</v>
      </c>
      <c r="D7673" s="156" t="s">
        <v>8468</v>
      </c>
      <c r="E7673" s="156" t="s">
        <v>8579</v>
      </c>
      <c r="F7673" s="156" t="s">
        <v>244</v>
      </c>
      <c r="G7673" s="156" t="s">
        <v>2305</v>
      </c>
      <c r="H7673" s="157" t="s">
        <v>216</v>
      </c>
    </row>
    <row r="7674" hidden="1">
      <c r="A7674" s="160" t="s">
        <v>235</v>
      </c>
      <c r="B7674" s="72"/>
      <c r="C7674" s="118" t="s">
        <v>236</v>
      </c>
      <c r="D7674" s="152" t="s">
        <v>8468</v>
      </c>
      <c r="E7674" s="152" t="s">
        <v>8580</v>
      </c>
      <c r="F7674" s="152" t="s">
        <v>425</v>
      </c>
      <c r="G7674" s="152" t="s">
        <v>4060</v>
      </c>
      <c r="H7674" s="153" t="s">
        <v>210</v>
      </c>
    </row>
    <row r="7675" hidden="1">
      <c r="A7675" s="158" t="s">
        <v>235</v>
      </c>
      <c r="B7675" s="159"/>
      <c r="C7675" s="155" t="s">
        <v>236</v>
      </c>
      <c r="D7675" s="156" t="s">
        <v>8468</v>
      </c>
      <c r="E7675" s="156" t="s">
        <v>8581</v>
      </c>
      <c r="F7675" s="156" t="s">
        <v>336</v>
      </c>
      <c r="G7675" s="156" t="s">
        <v>3844</v>
      </c>
      <c r="H7675" s="157" t="s">
        <v>211</v>
      </c>
    </row>
    <row r="7676" hidden="1">
      <c r="A7676" s="160" t="s">
        <v>235</v>
      </c>
      <c r="B7676" s="72"/>
      <c r="C7676" s="118" t="s">
        <v>236</v>
      </c>
      <c r="D7676" s="152" t="s">
        <v>8468</v>
      </c>
      <c r="E7676" s="152" t="s">
        <v>8582</v>
      </c>
      <c r="F7676" s="152" t="s">
        <v>577</v>
      </c>
      <c r="G7676" s="152" t="s">
        <v>3618</v>
      </c>
      <c r="H7676" s="153" t="s">
        <v>212</v>
      </c>
    </row>
    <row r="7677" hidden="1">
      <c r="A7677" s="158" t="s">
        <v>235</v>
      </c>
      <c r="B7677" s="159"/>
      <c r="C7677" s="155" t="s">
        <v>236</v>
      </c>
      <c r="D7677" s="156" t="s">
        <v>8468</v>
      </c>
      <c r="E7677" s="156" t="s">
        <v>8583</v>
      </c>
      <c r="F7677" s="156" t="s">
        <v>799</v>
      </c>
      <c r="G7677" s="156" t="s">
        <v>3875</v>
      </c>
      <c r="H7677" s="157" t="s">
        <v>213</v>
      </c>
    </row>
    <row r="7678" hidden="1">
      <c r="A7678" s="160" t="s">
        <v>235</v>
      </c>
      <c r="B7678" s="72"/>
      <c r="C7678" s="118" t="s">
        <v>236</v>
      </c>
      <c r="D7678" s="152" t="s">
        <v>8468</v>
      </c>
      <c r="E7678" s="152" t="s">
        <v>8584</v>
      </c>
      <c r="F7678" s="152" t="s">
        <v>799</v>
      </c>
      <c r="G7678" s="152" t="s">
        <v>2967</v>
      </c>
      <c r="H7678" s="153" t="s">
        <v>214</v>
      </c>
    </row>
    <row r="7679" hidden="1">
      <c r="A7679" s="158" t="s">
        <v>235</v>
      </c>
      <c r="B7679" s="159"/>
      <c r="C7679" s="155" t="s">
        <v>236</v>
      </c>
      <c r="D7679" s="156" t="s">
        <v>8468</v>
      </c>
      <c r="E7679" s="156" t="s">
        <v>8585</v>
      </c>
      <c r="F7679" s="156" t="s">
        <v>305</v>
      </c>
      <c r="G7679" s="156" t="s">
        <v>3917</v>
      </c>
      <c r="H7679" s="157" t="s">
        <v>215</v>
      </c>
    </row>
    <row r="7680" hidden="1">
      <c r="A7680" s="160" t="s">
        <v>235</v>
      </c>
      <c r="B7680" s="72"/>
      <c r="C7680" s="118" t="s">
        <v>236</v>
      </c>
      <c r="D7680" s="152" t="s">
        <v>8468</v>
      </c>
      <c r="E7680" s="152" t="s">
        <v>8586</v>
      </c>
      <c r="F7680" s="152" t="s">
        <v>425</v>
      </c>
      <c r="G7680" s="152" t="s">
        <v>3913</v>
      </c>
      <c r="H7680" s="153" t="s">
        <v>216</v>
      </c>
    </row>
    <row r="7681" hidden="1">
      <c r="A7681" s="158" t="s">
        <v>237</v>
      </c>
      <c r="B7681" s="159"/>
      <c r="C7681" s="155" t="s">
        <v>236</v>
      </c>
      <c r="D7681" s="156" t="s">
        <v>8468</v>
      </c>
      <c r="E7681" s="156" t="s">
        <v>8587</v>
      </c>
      <c r="F7681" s="156" t="s">
        <v>354</v>
      </c>
      <c r="G7681" s="156" t="s">
        <v>2970</v>
      </c>
      <c r="H7681" s="157" t="s">
        <v>210</v>
      </c>
    </row>
    <row r="7682" hidden="1">
      <c r="A7682" s="160" t="s">
        <v>237</v>
      </c>
      <c r="B7682" s="72"/>
      <c r="C7682" s="118" t="s">
        <v>236</v>
      </c>
      <c r="D7682" s="152" t="s">
        <v>8468</v>
      </c>
      <c r="E7682" s="152" t="s">
        <v>8588</v>
      </c>
      <c r="F7682" s="152" t="s">
        <v>305</v>
      </c>
      <c r="G7682" s="152" t="s">
        <v>3485</v>
      </c>
      <c r="H7682" s="153" t="s">
        <v>211</v>
      </c>
    </row>
    <row r="7683" hidden="1">
      <c r="A7683" s="158" t="s">
        <v>237</v>
      </c>
      <c r="B7683" s="159"/>
      <c r="C7683" s="155" t="s">
        <v>236</v>
      </c>
      <c r="D7683" s="156" t="s">
        <v>8468</v>
      </c>
      <c r="E7683" s="156" t="s">
        <v>8589</v>
      </c>
      <c r="F7683" s="156" t="s">
        <v>331</v>
      </c>
      <c r="G7683" s="156" t="s">
        <v>2602</v>
      </c>
      <c r="H7683" s="157" t="s">
        <v>212</v>
      </c>
    </row>
    <row r="7684" hidden="1">
      <c r="A7684" s="160" t="s">
        <v>237</v>
      </c>
      <c r="B7684" s="72"/>
      <c r="C7684" s="118" t="s">
        <v>236</v>
      </c>
      <c r="D7684" s="152" t="s">
        <v>8468</v>
      </c>
      <c r="E7684" s="152" t="s">
        <v>8590</v>
      </c>
      <c r="F7684" s="152" t="s">
        <v>427</v>
      </c>
      <c r="G7684" s="152" t="s">
        <v>1782</v>
      </c>
      <c r="H7684" s="153" t="s">
        <v>213</v>
      </c>
    </row>
    <row r="7685" hidden="1">
      <c r="A7685" s="158" t="s">
        <v>237</v>
      </c>
      <c r="B7685" s="159"/>
      <c r="C7685" s="155" t="s">
        <v>236</v>
      </c>
      <c r="D7685" s="156" t="s">
        <v>8468</v>
      </c>
      <c r="E7685" s="156" t="s">
        <v>8591</v>
      </c>
      <c r="F7685" s="156" t="s">
        <v>310</v>
      </c>
      <c r="G7685" s="156" t="s">
        <v>2307</v>
      </c>
      <c r="H7685" s="157" t="s">
        <v>214</v>
      </c>
    </row>
    <row r="7686" hidden="1">
      <c r="A7686" s="160" t="s">
        <v>237</v>
      </c>
      <c r="B7686" s="72"/>
      <c r="C7686" s="118" t="s">
        <v>236</v>
      </c>
      <c r="D7686" s="152" t="s">
        <v>8468</v>
      </c>
      <c r="E7686" s="152" t="s">
        <v>8592</v>
      </c>
      <c r="F7686" s="152" t="s">
        <v>249</v>
      </c>
      <c r="G7686" s="152" t="s">
        <v>2992</v>
      </c>
      <c r="H7686" s="153" t="s">
        <v>215</v>
      </c>
    </row>
    <row r="7687" hidden="1">
      <c r="A7687" s="158" t="s">
        <v>237</v>
      </c>
      <c r="B7687" s="159"/>
      <c r="C7687" s="155" t="s">
        <v>236</v>
      </c>
      <c r="D7687" s="156" t="s">
        <v>8468</v>
      </c>
      <c r="E7687" s="156" t="s">
        <v>8593</v>
      </c>
      <c r="F7687" s="156" t="s">
        <v>450</v>
      </c>
      <c r="G7687" s="156" t="s">
        <v>2910</v>
      </c>
      <c r="H7687" s="157" t="s">
        <v>216</v>
      </c>
    </row>
    <row r="7688" hidden="1">
      <c r="A7688" s="151" t="s">
        <v>204</v>
      </c>
      <c r="B7688" s="118" t="s">
        <v>205</v>
      </c>
      <c r="C7688" s="118" t="s">
        <v>206</v>
      </c>
      <c r="D7688" s="152" t="s">
        <v>8594</v>
      </c>
      <c r="E7688" s="152" t="s">
        <v>8595</v>
      </c>
      <c r="F7688" s="152" t="s">
        <v>425</v>
      </c>
      <c r="G7688" s="152" t="s">
        <v>3734</v>
      </c>
      <c r="H7688" s="153" t="s">
        <v>210</v>
      </c>
    </row>
    <row r="7689" hidden="1">
      <c r="A7689" s="154" t="s">
        <v>204</v>
      </c>
      <c r="B7689" s="155" t="s">
        <v>205</v>
      </c>
      <c r="C7689" s="155" t="s">
        <v>206</v>
      </c>
      <c r="D7689" s="156" t="s">
        <v>8594</v>
      </c>
      <c r="E7689" s="156" t="s">
        <v>8596</v>
      </c>
      <c r="F7689" s="156" t="s">
        <v>325</v>
      </c>
      <c r="G7689" s="156" t="s">
        <v>3611</v>
      </c>
      <c r="H7689" s="157" t="s">
        <v>211</v>
      </c>
    </row>
    <row r="7690" hidden="1">
      <c r="A7690" s="151" t="s">
        <v>204</v>
      </c>
      <c r="B7690" s="118" t="s">
        <v>205</v>
      </c>
      <c r="C7690" s="118" t="s">
        <v>206</v>
      </c>
      <c r="D7690" s="152" t="s">
        <v>8594</v>
      </c>
      <c r="E7690" s="152" t="s">
        <v>8597</v>
      </c>
      <c r="F7690" s="152" t="s">
        <v>339</v>
      </c>
      <c r="G7690" s="152" t="s">
        <v>3154</v>
      </c>
      <c r="H7690" s="153" t="s">
        <v>212</v>
      </c>
    </row>
    <row r="7691" hidden="1">
      <c r="A7691" s="154" t="s">
        <v>204</v>
      </c>
      <c r="B7691" s="155" t="s">
        <v>205</v>
      </c>
      <c r="C7691" s="155" t="s">
        <v>206</v>
      </c>
      <c r="D7691" s="156" t="s">
        <v>8594</v>
      </c>
      <c r="E7691" s="156" t="s">
        <v>8598</v>
      </c>
      <c r="F7691" s="156" t="s">
        <v>483</v>
      </c>
      <c r="G7691" s="156" t="s">
        <v>2818</v>
      </c>
      <c r="H7691" s="157" t="s">
        <v>213</v>
      </c>
    </row>
    <row r="7692" hidden="1">
      <c r="A7692" s="151" t="s">
        <v>204</v>
      </c>
      <c r="B7692" s="118" t="s">
        <v>205</v>
      </c>
      <c r="C7692" s="118" t="s">
        <v>206</v>
      </c>
      <c r="D7692" s="152" t="s">
        <v>8594</v>
      </c>
      <c r="E7692" s="152" t="s">
        <v>8599</v>
      </c>
      <c r="F7692" s="152" t="s">
        <v>329</v>
      </c>
      <c r="G7692" s="152" t="s">
        <v>3572</v>
      </c>
      <c r="H7692" s="153" t="s">
        <v>214</v>
      </c>
    </row>
    <row r="7693" hidden="1">
      <c r="A7693" s="154" t="s">
        <v>204</v>
      </c>
      <c r="B7693" s="155" t="s">
        <v>205</v>
      </c>
      <c r="C7693" s="155" t="s">
        <v>206</v>
      </c>
      <c r="D7693" s="156" t="s">
        <v>8594</v>
      </c>
      <c r="E7693" s="156" t="s">
        <v>8600</v>
      </c>
      <c r="F7693" s="156" t="s">
        <v>336</v>
      </c>
      <c r="G7693" s="156" t="s">
        <v>2816</v>
      </c>
      <c r="H7693" s="157" t="s">
        <v>215</v>
      </c>
    </row>
    <row r="7694" hidden="1">
      <c r="A7694" s="151" t="s">
        <v>204</v>
      </c>
      <c r="B7694" s="118" t="s">
        <v>205</v>
      </c>
      <c r="C7694" s="118" t="s">
        <v>206</v>
      </c>
      <c r="D7694" s="152" t="s">
        <v>8594</v>
      </c>
      <c r="E7694" s="152" t="s">
        <v>8601</v>
      </c>
      <c r="F7694" s="152" t="s">
        <v>425</v>
      </c>
      <c r="G7694" s="152" t="s">
        <v>3262</v>
      </c>
      <c r="H7694" s="153" t="s">
        <v>216</v>
      </c>
    </row>
    <row r="7695" hidden="1">
      <c r="A7695" s="154" t="s">
        <v>217</v>
      </c>
      <c r="B7695" s="155" t="s">
        <v>191</v>
      </c>
      <c r="C7695" s="155" t="s">
        <v>206</v>
      </c>
      <c r="D7695" s="156" t="s">
        <v>8594</v>
      </c>
      <c r="E7695" s="156" t="s">
        <v>8602</v>
      </c>
      <c r="F7695" s="156" t="s">
        <v>532</v>
      </c>
      <c r="G7695" s="156" t="s">
        <v>3270</v>
      </c>
      <c r="H7695" s="157" t="s">
        <v>210</v>
      </c>
    </row>
    <row r="7696" hidden="1">
      <c r="A7696" s="151" t="s">
        <v>217</v>
      </c>
      <c r="B7696" s="118" t="s">
        <v>191</v>
      </c>
      <c r="C7696" s="118" t="s">
        <v>206</v>
      </c>
      <c r="D7696" s="152" t="s">
        <v>8594</v>
      </c>
      <c r="E7696" s="152" t="s">
        <v>8603</v>
      </c>
      <c r="F7696" s="152" t="s">
        <v>423</v>
      </c>
      <c r="G7696" s="152" t="s">
        <v>3558</v>
      </c>
      <c r="H7696" s="153" t="s">
        <v>211</v>
      </c>
    </row>
    <row r="7697" hidden="1">
      <c r="A7697" s="154" t="s">
        <v>217</v>
      </c>
      <c r="B7697" s="155" t="s">
        <v>191</v>
      </c>
      <c r="C7697" s="155" t="s">
        <v>206</v>
      </c>
      <c r="D7697" s="156" t="s">
        <v>8594</v>
      </c>
      <c r="E7697" s="156" t="s">
        <v>8604</v>
      </c>
      <c r="F7697" s="156" t="s">
        <v>325</v>
      </c>
      <c r="G7697" s="156" t="s">
        <v>3691</v>
      </c>
      <c r="H7697" s="157" t="s">
        <v>212</v>
      </c>
    </row>
    <row r="7698" hidden="1">
      <c r="A7698" s="151" t="s">
        <v>217</v>
      </c>
      <c r="B7698" s="118" t="s">
        <v>191</v>
      </c>
      <c r="C7698" s="118" t="s">
        <v>206</v>
      </c>
      <c r="D7698" s="152" t="s">
        <v>8594</v>
      </c>
      <c r="E7698" s="152" t="s">
        <v>8605</v>
      </c>
      <c r="F7698" s="152" t="s">
        <v>423</v>
      </c>
      <c r="G7698" s="152" t="s">
        <v>3570</v>
      </c>
      <c r="H7698" s="153" t="s">
        <v>213</v>
      </c>
    </row>
    <row r="7699" hidden="1">
      <c r="A7699" s="154" t="s">
        <v>217</v>
      </c>
      <c r="B7699" s="155" t="s">
        <v>191</v>
      </c>
      <c r="C7699" s="155" t="s">
        <v>206</v>
      </c>
      <c r="D7699" s="156" t="s">
        <v>8594</v>
      </c>
      <c r="E7699" s="156" t="s">
        <v>8606</v>
      </c>
      <c r="F7699" s="156" t="s">
        <v>799</v>
      </c>
      <c r="G7699" s="156" t="s">
        <v>3570</v>
      </c>
      <c r="H7699" s="157" t="s">
        <v>214</v>
      </c>
    </row>
    <row r="7700" hidden="1">
      <c r="A7700" s="151" t="s">
        <v>217</v>
      </c>
      <c r="B7700" s="118" t="s">
        <v>191</v>
      </c>
      <c r="C7700" s="118" t="s">
        <v>206</v>
      </c>
      <c r="D7700" s="152" t="s">
        <v>8594</v>
      </c>
      <c r="E7700" s="152" t="s">
        <v>8607</v>
      </c>
      <c r="F7700" s="152" t="s">
        <v>450</v>
      </c>
      <c r="G7700" s="152" t="s">
        <v>3572</v>
      </c>
      <c r="H7700" s="153" t="s">
        <v>215</v>
      </c>
    </row>
    <row r="7701" hidden="1">
      <c r="A7701" s="154" t="s">
        <v>217</v>
      </c>
      <c r="B7701" s="155" t="s">
        <v>191</v>
      </c>
      <c r="C7701" s="155" t="s">
        <v>206</v>
      </c>
      <c r="D7701" s="156" t="s">
        <v>8594</v>
      </c>
      <c r="E7701" s="156" t="s">
        <v>8608</v>
      </c>
      <c r="F7701" s="156" t="s">
        <v>677</v>
      </c>
      <c r="G7701" s="156" t="s">
        <v>2965</v>
      </c>
      <c r="H7701" s="157" t="s">
        <v>216</v>
      </c>
    </row>
    <row r="7702" hidden="1">
      <c r="A7702" s="151" t="s">
        <v>218</v>
      </c>
      <c r="B7702" s="118" t="s">
        <v>219</v>
      </c>
      <c r="C7702" s="118" t="s">
        <v>206</v>
      </c>
      <c r="D7702" s="152" t="s">
        <v>8594</v>
      </c>
      <c r="E7702" s="152" t="s">
        <v>8609</v>
      </c>
      <c r="F7702" s="152" t="s">
        <v>246</v>
      </c>
      <c r="G7702" s="152" t="s">
        <v>2665</v>
      </c>
      <c r="H7702" s="153" t="s">
        <v>210</v>
      </c>
    </row>
    <row r="7703" hidden="1">
      <c r="A7703" s="154" t="s">
        <v>218</v>
      </c>
      <c r="B7703" s="155" t="s">
        <v>219</v>
      </c>
      <c r="C7703" s="155" t="s">
        <v>206</v>
      </c>
      <c r="D7703" s="156" t="s">
        <v>8594</v>
      </c>
      <c r="E7703" s="156" t="s">
        <v>8610</v>
      </c>
      <c r="F7703" s="156" t="s">
        <v>323</v>
      </c>
      <c r="G7703" s="156" t="s">
        <v>3734</v>
      </c>
      <c r="H7703" s="157" t="s">
        <v>211</v>
      </c>
    </row>
    <row r="7704" hidden="1">
      <c r="A7704" s="151" t="s">
        <v>218</v>
      </c>
      <c r="B7704" s="118" t="s">
        <v>219</v>
      </c>
      <c r="C7704" s="118" t="s">
        <v>206</v>
      </c>
      <c r="D7704" s="152" t="s">
        <v>8594</v>
      </c>
      <c r="E7704" s="152" t="s">
        <v>8611</v>
      </c>
      <c r="F7704" s="152" t="s">
        <v>365</v>
      </c>
      <c r="G7704" s="152" t="s">
        <v>3818</v>
      </c>
      <c r="H7704" s="153" t="s">
        <v>212</v>
      </c>
    </row>
    <row r="7705" hidden="1">
      <c r="A7705" s="154" t="s">
        <v>218</v>
      </c>
      <c r="B7705" s="155" t="s">
        <v>219</v>
      </c>
      <c r="C7705" s="155" t="s">
        <v>206</v>
      </c>
      <c r="D7705" s="156" t="s">
        <v>8594</v>
      </c>
      <c r="E7705" s="156" t="s">
        <v>8612</v>
      </c>
      <c r="F7705" s="156" t="s">
        <v>246</v>
      </c>
      <c r="G7705" s="156" t="s">
        <v>2189</v>
      </c>
      <c r="H7705" s="157" t="s">
        <v>213</v>
      </c>
    </row>
    <row r="7706" hidden="1">
      <c r="A7706" s="151" t="s">
        <v>218</v>
      </c>
      <c r="B7706" s="118" t="s">
        <v>219</v>
      </c>
      <c r="C7706" s="118" t="s">
        <v>206</v>
      </c>
      <c r="D7706" s="152" t="s">
        <v>8594</v>
      </c>
      <c r="E7706" s="152" t="s">
        <v>8613</v>
      </c>
      <c r="F7706" s="152" t="s">
        <v>246</v>
      </c>
      <c r="G7706" s="152" t="s">
        <v>3572</v>
      </c>
      <c r="H7706" s="153" t="s">
        <v>214</v>
      </c>
    </row>
    <row r="7707" hidden="1">
      <c r="A7707" s="154" t="s">
        <v>218</v>
      </c>
      <c r="B7707" s="155" t="s">
        <v>219</v>
      </c>
      <c r="C7707" s="155" t="s">
        <v>206</v>
      </c>
      <c r="D7707" s="156" t="s">
        <v>8594</v>
      </c>
      <c r="E7707" s="156" t="s">
        <v>8614</v>
      </c>
      <c r="F7707" s="156" t="s">
        <v>244</v>
      </c>
      <c r="G7707" s="156" t="s">
        <v>3207</v>
      </c>
      <c r="H7707" s="157" t="s">
        <v>215</v>
      </c>
    </row>
    <row r="7708" hidden="1">
      <c r="A7708" s="151" t="s">
        <v>218</v>
      </c>
      <c r="B7708" s="118" t="s">
        <v>219</v>
      </c>
      <c r="C7708" s="118" t="s">
        <v>206</v>
      </c>
      <c r="D7708" s="152" t="s">
        <v>8594</v>
      </c>
      <c r="E7708" s="152" t="s">
        <v>8615</v>
      </c>
      <c r="F7708" s="152" t="s">
        <v>242</v>
      </c>
      <c r="G7708" s="152" t="s">
        <v>3893</v>
      </c>
      <c r="H7708" s="153" t="s">
        <v>216</v>
      </c>
    </row>
    <row r="7709" hidden="1">
      <c r="A7709" s="154" t="s">
        <v>220</v>
      </c>
      <c r="B7709" s="155" t="s">
        <v>190</v>
      </c>
      <c r="C7709" s="155" t="s">
        <v>206</v>
      </c>
      <c r="D7709" s="156" t="s">
        <v>8594</v>
      </c>
      <c r="E7709" s="156" t="s">
        <v>8616</v>
      </c>
      <c r="F7709" s="156" t="s">
        <v>365</v>
      </c>
      <c r="G7709" s="156" t="s">
        <v>8617</v>
      </c>
      <c r="H7709" s="157" t="s">
        <v>210</v>
      </c>
    </row>
    <row r="7710" hidden="1">
      <c r="A7710" s="151" t="s">
        <v>220</v>
      </c>
      <c r="B7710" s="118" t="s">
        <v>190</v>
      </c>
      <c r="C7710" s="118" t="s">
        <v>206</v>
      </c>
      <c r="D7710" s="152" t="s">
        <v>8594</v>
      </c>
      <c r="E7710" s="152" t="s">
        <v>8618</v>
      </c>
      <c r="F7710" s="152" t="s">
        <v>249</v>
      </c>
      <c r="G7710" s="152" t="s">
        <v>3298</v>
      </c>
      <c r="H7710" s="153" t="s">
        <v>211</v>
      </c>
    </row>
    <row r="7711" hidden="1">
      <c r="A7711" s="154" t="s">
        <v>220</v>
      </c>
      <c r="B7711" s="155" t="s">
        <v>190</v>
      </c>
      <c r="C7711" s="155" t="s">
        <v>206</v>
      </c>
      <c r="D7711" s="156" t="s">
        <v>8594</v>
      </c>
      <c r="E7711" s="156" t="s">
        <v>8619</v>
      </c>
      <c r="F7711" s="156" t="s">
        <v>314</v>
      </c>
      <c r="G7711" s="156" t="s">
        <v>3440</v>
      </c>
      <c r="H7711" s="157" t="s">
        <v>212</v>
      </c>
    </row>
    <row r="7712" hidden="1">
      <c r="A7712" s="151" t="s">
        <v>220</v>
      </c>
      <c r="B7712" s="118" t="s">
        <v>190</v>
      </c>
      <c r="C7712" s="118" t="s">
        <v>206</v>
      </c>
      <c r="D7712" s="152" t="s">
        <v>8594</v>
      </c>
      <c r="E7712" s="152" t="s">
        <v>8620</v>
      </c>
      <c r="F7712" s="152" t="s">
        <v>351</v>
      </c>
      <c r="G7712" s="152" t="s">
        <v>4026</v>
      </c>
      <c r="H7712" s="153" t="s">
        <v>213</v>
      </c>
    </row>
    <row r="7713" hidden="1">
      <c r="A7713" s="154" t="s">
        <v>220</v>
      </c>
      <c r="B7713" s="155" t="s">
        <v>190</v>
      </c>
      <c r="C7713" s="155" t="s">
        <v>206</v>
      </c>
      <c r="D7713" s="156" t="s">
        <v>8594</v>
      </c>
      <c r="E7713" s="156" t="s">
        <v>8621</v>
      </c>
      <c r="F7713" s="156" t="s">
        <v>331</v>
      </c>
      <c r="G7713" s="156" t="s">
        <v>4026</v>
      </c>
      <c r="H7713" s="157" t="s">
        <v>214</v>
      </c>
    </row>
    <row r="7714" hidden="1">
      <c r="A7714" s="151" t="s">
        <v>220</v>
      </c>
      <c r="B7714" s="118" t="s">
        <v>190</v>
      </c>
      <c r="C7714" s="118" t="s">
        <v>206</v>
      </c>
      <c r="D7714" s="152" t="s">
        <v>8594</v>
      </c>
      <c r="E7714" s="152" t="s">
        <v>8622</v>
      </c>
      <c r="F7714" s="152" t="s">
        <v>351</v>
      </c>
      <c r="G7714" s="152" t="s">
        <v>4079</v>
      </c>
      <c r="H7714" s="153" t="s">
        <v>215</v>
      </c>
    </row>
    <row r="7715" hidden="1">
      <c r="A7715" s="154" t="s">
        <v>220</v>
      </c>
      <c r="B7715" s="155" t="s">
        <v>190</v>
      </c>
      <c r="C7715" s="155" t="s">
        <v>206</v>
      </c>
      <c r="D7715" s="156" t="s">
        <v>8594</v>
      </c>
      <c r="E7715" s="156" t="s">
        <v>8623</v>
      </c>
      <c r="F7715" s="156" t="s">
        <v>314</v>
      </c>
      <c r="G7715" s="156" t="s">
        <v>4685</v>
      </c>
      <c r="H7715" s="157" t="s">
        <v>216</v>
      </c>
    </row>
    <row r="7716" hidden="1">
      <c r="A7716" s="151" t="s">
        <v>221</v>
      </c>
      <c r="B7716" s="118" t="s">
        <v>189</v>
      </c>
      <c r="C7716" s="118" t="s">
        <v>206</v>
      </c>
      <c r="D7716" s="152" t="s">
        <v>8594</v>
      </c>
      <c r="E7716" s="152" t="s">
        <v>8624</v>
      </c>
      <c r="F7716" s="152" t="s">
        <v>255</v>
      </c>
      <c r="G7716" s="152" t="s">
        <v>2718</v>
      </c>
      <c r="H7716" s="153" t="s">
        <v>210</v>
      </c>
    </row>
    <row r="7717" hidden="1">
      <c r="A7717" s="154" t="s">
        <v>221</v>
      </c>
      <c r="B7717" s="155" t="s">
        <v>189</v>
      </c>
      <c r="C7717" s="155" t="s">
        <v>206</v>
      </c>
      <c r="D7717" s="156" t="s">
        <v>8594</v>
      </c>
      <c r="E7717" s="156" t="s">
        <v>8625</v>
      </c>
      <c r="F7717" s="156" t="s">
        <v>323</v>
      </c>
      <c r="G7717" s="156" t="s">
        <v>1749</v>
      </c>
      <c r="H7717" s="157" t="s">
        <v>211</v>
      </c>
    </row>
    <row r="7718" hidden="1">
      <c r="A7718" s="151" t="s">
        <v>221</v>
      </c>
      <c r="B7718" s="118" t="s">
        <v>189</v>
      </c>
      <c r="C7718" s="118" t="s">
        <v>206</v>
      </c>
      <c r="D7718" s="152" t="s">
        <v>8594</v>
      </c>
      <c r="E7718" s="152" t="s">
        <v>8626</v>
      </c>
      <c r="F7718" s="152" t="s">
        <v>321</v>
      </c>
      <c r="G7718" s="152" t="s">
        <v>3341</v>
      </c>
      <c r="H7718" s="153" t="s">
        <v>212</v>
      </c>
    </row>
    <row r="7719" hidden="1">
      <c r="A7719" s="154" t="s">
        <v>221</v>
      </c>
      <c r="B7719" s="155" t="s">
        <v>189</v>
      </c>
      <c r="C7719" s="155" t="s">
        <v>206</v>
      </c>
      <c r="D7719" s="156" t="s">
        <v>8594</v>
      </c>
      <c r="E7719" s="156" t="s">
        <v>8627</v>
      </c>
      <c r="F7719" s="156" t="s">
        <v>323</v>
      </c>
      <c r="G7719" s="156" t="s">
        <v>2686</v>
      </c>
      <c r="H7719" s="157" t="s">
        <v>213</v>
      </c>
    </row>
    <row r="7720" hidden="1">
      <c r="A7720" s="151" t="s">
        <v>221</v>
      </c>
      <c r="B7720" s="118" t="s">
        <v>189</v>
      </c>
      <c r="C7720" s="118" t="s">
        <v>206</v>
      </c>
      <c r="D7720" s="152" t="s">
        <v>8594</v>
      </c>
      <c r="E7720" s="152" t="s">
        <v>8628</v>
      </c>
      <c r="F7720" s="152" t="s">
        <v>534</v>
      </c>
      <c r="G7720" s="152" t="s">
        <v>2376</v>
      </c>
      <c r="H7720" s="153" t="s">
        <v>214</v>
      </c>
    </row>
    <row r="7721" hidden="1">
      <c r="A7721" s="154" t="s">
        <v>221</v>
      </c>
      <c r="B7721" s="155" t="s">
        <v>189</v>
      </c>
      <c r="C7721" s="155" t="s">
        <v>206</v>
      </c>
      <c r="D7721" s="156" t="s">
        <v>8594</v>
      </c>
      <c r="E7721" s="156" t="s">
        <v>8629</v>
      </c>
      <c r="F7721" s="156" t="s">
        <v>494</v>
      </c>
      <c r="G7721" s="156" t="s">
        <v>2216</v>
      </c>
      <c r="H7721" s="157" t="s">
        <v>215</v>
      </c>
    </row>
    <row r="7722" hidden="1">
      <c r="A7722" s="151" t="s">
        <v>221</v>
      </c>
      <c r="B7722" s="118" t="s">
        <v>189</v>
      </c>
      <c r="C7722" s="118" t="s">
        <v>206</v>
      </c>
      <c r="D7722" s="152" t="s">
        <v>8594</v>
      </c>
      <c r="E7722" s="152" t="s">
        <v>8630</v>
      </c>
      <c r="F7722" s="152" t="s">
        <v>242</v>
      </c>
      <c r="G7722" s="152" t="s">
        <v>2539</v>
      </c>
      <c r="H7722" s="153" t="s">
        <v>216</v>
      </c>
    </row>
    <row r="7723" hidden="1">
      <c r="A7723" s="154" t="s">
        <v>222</v>
      </c>
      <c r="B7723" s="155" t="s">
        <v>192</v>
      </c>
      <c r="C7723" s="155" t="s">
        <v>206</v>
      </c>
      <c r="D7723" s="156" t="s">
        <v>8594</v>
      </c>
      <c r="E7723" s="156" t="s">
        <v>8631</v>
      </c>
      <c r="F7723" s="156" t="s">
        <v>336</v>
      </c>
      <c r="G7723" s="156" t="s">
        <v>2818</v>
      </c>
      <c r="H7723" s="157" t="s">
        <v>210</v>
      </c>
    </row>
    <row r="7724" hidden="1">
      <c r="A7724" s="151" t="s">
        <v>222</v>
      </c>
      <c r="B7724" s="118" t="s">
        <v>192</v>
      </c>
      <c r="C7724" s="118" t="s">
        <v>206</v>
      </c>
      <c r="D7724" s="152" t="s">
        <v>8594</v>
      </c>
      <c r="E7724" s="152" t="s">
        <v>8632</v>
      </c>
      <c r="F7724" s="152" t="s">
        <v>534</v>
      </c>
      <c r="G7724" s="152" t="s">
        <v>3546</v>
      </c>
      <c r="H7724" s="153" t="s">
        <v>211</v>
      </c>
    </row>
    <row r="7725" hidden="1">
      <c r="A7725" s="154" t="s">
        <v>222</v>
      </c>
      <c r="B7725" s="155" t="s">
        <v>192</v>
      </c>
      <c r="C7725" s="155" t="s">
        <v>206</v>
      </c>
      <c r="D7725" s="156" t="s">
        <v>8594</v>
      </c>
      <c r="E7725" s="156" t="s">
        <v>8633</v>
      </c>
      <c r="F7725" s="156" t="s">
        <v>310</v>
      </c>
      <c r="G7725" s="156" t="s">
        <v>2992</v>
      </c>
      <c r="H7725" s="157" t="s">
        <v>212</v>
      </c>
    </row>
    <row r="7726" hidden="1">
      <c r="A7726" s="151" t="s">
        <v>222</v>
      </c>
      <c r="B7726" s="118" t="s">
        <v>192</v>
      </c>
      <c r="C7726" s="118" t="s">
        <v>206</v>
      </c>
      <c r="D7726" s="152" t="s">
        <v>8594</v>
      </c>
      <c r="E7726" s="152" t="s">
        <v>8634</v>
      </c>
      <c r="F7726" s="152" t="s">
        <v>450</v>
      </c>
      <c r="G7726" s="152" t="s">
        <v>3396</v>
      </c>
      <c r="H7726" s="153" t="s">
        <v>213</v>
      </c>
    </row>
    <row r="7727" hidden="1">
      <c r="A7727" s="154" t="s">
        <v>222</v>
      </c>
      <c r="B7727" s="155" t="s">
        <v>192</v>
      </c>
      <c r="C7727" s="155" t="s">
        <v>206</v>
      </c>
      <c r="D7727" s="156" t="s">
        <v>8594</v>
      </c>
      <c r="E7727" s="156" t="s">
        <v>8635</v>
      </c>
      <c r="F7727" s="156" t="s">
        <v>351</v>
      </c>
      <c r="G7727" s="156" t="s">
        <v>2671</v>
      </c>
      <c r="H7727" s="157" t="s">
        <v>214</v>
      </c>
    </row>
    <row r="7728" hidden="1">
      <c r="A7728" s="151" t="s">
        <v>222</v>
      </c>
      <c r="B7728" s="118" t="s">
        <v>192</v>
      </c>
      <c r="C7728" s="118" t="s">
        <v>206</v>
      </c>
      <c r="D7728" s="152" t="s">
        <v>8594</v>
      </c>
      <c r="E7728" s="152" t="s">
        <v>8636</v>
      </c>
      <c r="F7728" s="152" t="s">
        <v>321</v>
      </c>
      <c r="G7728" s="152" t="s">
        <v>3138</v>
      </c>
      <c r="H7728" s="153" t="s">
        <v>215</v>
      </c>
    </row>
    <row r="7729" hidden="1">
      <c r="A7729" s="154" t="s">
        <v>222</v>
      </c>
      <c r="B7729" s="155" t="s">
        <v>192</v>
      </c>
      <c r="C7729" s="155" t="s">
        <v>206</v>
      </c>
      <c r="D7729" s="156" t="s">
        <v>8594</v>
      </c>
      <c r="E7729" s="156" t="s">
        <v>8637</v>
      </c>
      <c r="F7729" s="156" t="s">
        <v>351</v>
      </c>
      <c r="G7729" s="156" t="s">
        <v>3554</v>
      </c>
      <c r="H7729" s="157" t="s">
        <v>216</v>
      </c>
    </row>
    <row r="7730" hidden="1">
      <c r="A7730" s="151" t="s">
        <v>223</v>
      </c>
      <c r="B7730" s="118" t="s">
        <v>144</v>
      </c>
      <c r="C7730" s="118" t="s">
        <v>206</v>
      </c>
      <c r="D7730" s="152" t="s">
        <v>8594</v>
      </c>
      <c r="E7730" s="152" t="s">
        <v>8638</v>
      </c>
      <c r="F7730" s="152" t="s">
        <v>677</v>
      </c>
      <c r="G7730" s="152" t="s">
        <v>3272</v>
      </c>
      <c r="H7730" s="153" t="s">
        <v>210</v>
      </c>
    </row>
    <row r="7731" hidden="1">
      <c r="A7731" s="154" t="s">
        <v>223</v>
      </c>
      <c r="B7731" s="155" t="s">
        <v>144</v>
      </c>
      <c r="C7731" s="155" t="s">
        <v>206</v>
      </c>
      <c r="D7731" s="156" t="s">
        <v>8594</v>
      </c>
      <c r="E7731" s="156" t="s">
        <v>8639</v>
      </c>
      <c r="F7731" s="156" t="s">
        <v>450</v>
      </c>
      <c r="G7731" s="156" t="s">
        <v>3820</v>
      </c>
      <c r="H7731" s="157" t="s">
        <v>211</v>
      </c>
    </row>
    <row r="7732" hidden="1">
      <c r="A7732" s="151" t="s">
        <v>223</v>
      </c>
      <c r="B7732" s="118" t="s">
        <v>144</v>
      </c>
      <c r="C7732" s="118" t="s">
        <v>206</v>
      </c>
      <c r="D7732" s="152" t="s">
        <v>8594</v>
      </c>
      <c r="E7732" s="152" t="s">
        <v>8640</v>
      </c>
      <c r="F7732" s="152" t="s">
        <v>339</v>
      </c>
      <c r="G7732" s="152" t="s">
        <v>3941</v>
      </c>
      <c r="H7732" s="153" t="s">
        <v>212</v>
      </c>
    </row>
    <row r="7733" hidden="1">
      <c r="A7733" s="154" t="s">
        <v>223</v>
      </c>
      <c r="B7733" s="155" t="s">
        <v>144</v>
      </c>
      <c r="C7733" s="155" t="s">
        <v>206</v>
      </c>
      <c r="D7733" s="156" t="s">
        <v>8594</v>
      </c>
      <c r="E7733" s="156" t="s">
        <v>8641</v>
      </c>
      <c r="F7733" s="156" t="s">
        <v>310</v>
      </c>
      <c r="G7733" s="156" t="s">
        <v>3410</v>
      </c>
      <c r="H7733" s="157" t="s">
        <v>213</v>
      </c>
    </row>
    <row r="7734" hidden="1">
      <c r="A7734" s="151" t="s">
        <v>223</v>
      </c>
      <c r="B7734" s="118" t="s">
        <v>144</v>
      </c>
      <c r="C7734" s="118" t="s">
        <v>206</v>
      </c>
      <c r="D7734" s="152" t="s">
        <v>8594</v>
      </c>
      <c r="E7734" s="152" t="s">
        <v>8642</v>
      </c>
      <c r="F7734" s="152" t="s">
        <v>450</v>
      </c>
      <c r="G7734" s="152" t="s">
        <v>2967</v>
      </c>
      <c r="H7734" s="153" t="s">
        <v>214</v>
      </c>
    </row>
    <row r="7735" hidden="1">
      <c r="A7735" s="154" t="s">
        <v>223</v>
      </c>
      <c r="B7735" s="155" t="s">
        <v>144</v>
      </c>
      <c r="C7735" s="155" t="s">
        <v>206</v>
      </c>
      <c r="D7735" s="156" t="s">
        <v>8594</v>
      </c>
      <c r="E7735" s="156" t="s">
        <v>8643</v>
      </c>
      <c r="F7735" s="156" t="s">
        <v>339</v>
      </c>
      <c r="G7735" s="156" t="s">
        <v>3815</v>
      </c>
      <c r="H7735" s="157" t="s">
        <v>215</v>
      </c>
    </row>
    <row r="7736" hidden="1">
      <c r="A7736" s="151" t="s">
        <v>223</v>
      </c>
      <c r="B7736" s="118" t="s">
        <v>144</v>
      </c>
      <c r="C7736" s="118" t="s">
        <v>206</v>
      </c>
      <c r="D7736" s="152" t="s">
        <v>8594</v>
      </c>
      <c r="E7736" s="152" t="s">
        <v>8644</v>
      </c>
      <c r="F7736" s="152" t="s">
        <v>329</v>
      </c>
      <c r="G7736" s="152" t="s">
        <v>4019</v>
      </c>
      <c r="H7736" s="153" t="s">
        <v>216</v>
      </c>
    </row>
    <row r="7737" hidden="1">
      <c r="A7737" s="154" t="s">
        <v>224</v>
      </c>
      <c r="B7737" s="155" t="s">
        <v>170</v>
      </c>
      <c r="C7737" s="155" t="s">
        <v>206</v>
      </c>
      <c r="D7737" s="156" t="s">
        <v>8594</v>
      </c>
      <c r="E7737" s="156" t="s">
        <v>8645</v>
      </c>
      <c r="F7737" s="156" t="s">
        <v>365</v>
      </c>
      <c r="G7737" s="156" t="s">
        <v>3812</v>
      </c>
      <c r="H7737" s="157" t="s">
        <v>210</v>
      </c>
    </row>
    <row r="7738" hidden="1">
      <c r="A7738" s="151" t="s">
        <v>224</v>
      </c>
      <c r="B7738" s="118" t="s">
        <v>170</v>
      </c>
      <c r="C7738" s="118" t="s">
        <v>206</v>
      </c>
      <c r="D7738" s="152" t="s">
        <v>8594</v>
      </c>
      <c r="E7738" s="152" t="s">
        <v>8646</v>
      </c>
      <c r="F7738" s="152" t="s">
        <v>427</v>
      </c>
      <c r="G7738" s="152" t="s">
        <v>3790</v>
      </c>
      <c r="H7738" s="153" t="s">
        <v>211</v>
      </c>
    </row>
    <row r="7739" hidden="1">
      <c r="A7739" s="154" t="s">
        <v>224</v>
      </c>
      <c r="B7739" s="155" t="s">
        <v>170</v>
      </c>
      <c r="C7739" s="155" t="s">
        <v>206</v>
      </c>
      <c r="D7739" s="156" t="s">
        <v>8594</v>
      </c>
      <c r="E7739" s="156" t="s">
        <v>8647</v>
      </c>
      <c r="F7739" s="156" t="s">
        <v>310</v>
      </c>
      <c r="G7739" s="156" t="s">
        <v>3989</v>
      </c>
      <c r="H7739" s="157" t="s">
        <v>212</v>
      </c>
    </row>
    <row r="7740" hidden="1">
      <c r="A7740" s="151" t="s">
        <v>224</v>
      </c>
      <c r="B7740" s="118" t="s">
        <v>170</v>
      </c>
      <c r="C7740" s="118" t="s">
        <v>206</v>
      </c>
      <c r="D7740" s="152" t="s">
        <v>8594</v>
      </c>
      <c r="E7740" s="152" t="s">
        <v>8648</v>
      </c>
      <c r="F7740" s="152" t="s">
        <v>308</v>
      </c>
      <c r="G7740" s="152" t="s">
        <v>3908</v>
      </c>
      <c r="H7740" s="153" t="s">
        <v>213</v>
      </c>
    </row>
    <row r="7741" hidden="1">
      <c r="A7741" s="154" t="s">
        <v>224</v>
      </c>
      <c r="B7741" s="155" t="s">
        <v>170</v>
      </c>
      <c r="C7741" s="155" t="s">
        <v>206</v>
      </c>
      <c r="D7741" s="156" t="s">
        <v>8594</v>
      </c>
      <c r="E7741" s="156" t="s">
        <v>8649</v>
      </c>
      <c r="F7741" s="156" t="s">
        <v>351</v>
      </c>
      <c r="G7741" s="156" t="s">
        <v>4280</v>
      </c>
      <c r="H7741" s="157" t="s">
        <v>214</v>
      </c>
    </row>
    <row r="7742" hidden="1">
      <c r="A7742" s="151" t="s">
        <v>224</v>
      </c>
      <c r="B7742" s="118" t="s">
        <v>170</v>
      </c>
      <c r="C7742" s="118" t="s">
        <v>206</v>
      </c>
      <c r="D7742" s="152" t="s">
        <v>8594</v>
      </c>
      <c r="E7742" s="152" t="s">
        <v>8650</v>
      </c>
      <c r="F7742" s="152" t="s">
        <v>427</v>
      </c>
      <c r="G7742" s="152" t="s">
        <v>4851</v>
      </c>
      <c r="H7742" s="153" t="s">
        <v>215</v>
      </c>
    </row>
    <row r="7743" hidden="1">
      <c r="A7743" s="154" t="s">
        <v>224</v>
      </c>
      <c r="B7743" s="155" t="s">
        <v>170</v>
      </c>
      <c r="C7743" s="155" t="s">
        <v>206</v>
      </c>
      <c r="D7743" s="156" t="s">
        <v>8594</v>
      </c>
      <c r="E7743" s="156" t="s">
        <v>8651</v>
      </c>
      <c r="F7743" s="156" t="s">
        <v>331</v>
      </c>
      <c r="G7743" s="156" t="s">
        <v>2008</v>
      </c>
      <c r="H7743" s="157" t="s">
        <v>216</v>
      </c>
    </row>
    <row r="7744" hidden="1">
      <c r="A7744" s="151" t="s">
        <v>225</v>
      </c>
      <c r="B7744" s="118" t="s">
        <v>226</v>
      </c>
      <c r="C7744" s="118" t="s">
        <v>206</v>
      </c>
      <c r="D7744" s="152" t="s">
        <v>8594</v>
      </c>
      <c r="E7744" s="152" t="s">
        <v>8652</v>
      </c>
      <c r="F7744" s="152" t="s">
        <v>3145</v>
      </c>
      <c r="G7744" s="152" t="s">
        <v>2530</v>
      </c>
      <c r="H7744" s="153" t="s">
        <v>210</v>
      </c>
    </row>
    <row r="7745" hidden="1">
      <c r="A7745" s="154" t="s">
        <v>225</v>
      </c>
      <c r="B7745" s="155" t="s">
        <v>226</v>
      </c>
      <c r="C7745" s="155" t="s">
        <v>206</v>
      </c>
      <c r="D7745" s="156" t="s">
        <v>8594</v>
      </c>
      <c r="E7745" s="156" t="s">
        <v>8653</v>
      </c>
      <c r="F7745" s="156" t="s">
        <v>390</v>
      </c>
      <c r="G7745" s="156" t="s">
        <v>1753</v>
      </c>
      <c r="H7745" s="157" t="s">
        <v>211</v>
      </c>
    </row>
    <row r="7746" hidden="1">
      <c r="A7746" s="151" t="s">
        <v>225</v>
      </c>
      <c r="B7746" s="118" t="s">
        <v>226</v>
      </c>
      <c r="C7746" s="118" t="s">
        <v>206</v>
      </c>
      <c r="D7746" s="152" t="s">
        <v>8594</v>
      </c>
      <c r="E7746" s="152" t="s">
        <v>8654</v>
      </c>
      <c r="F7746" s="152" t="s">
        <v>3198</v>
      </c>
      <c r="G7746" s="152" t="s">
        <v>2243</v>
      </c>
      <c r="H7746" s="153" t="s">
        <v>212</v>
      </c>
    </row>
    <row r="7747" hidden="1">
      <c r="A7747" s="154" t="s">
        <v>225</v>
      </c>
      <c r="B7747" s="155" t="s">
        <v>226</v>
      </c>
      <c r="C7747" s="155" t="s">
        <v>206</v>
      </c>
      <c r="D7747" s="156" t="s">
        <v>8594</v>
      </c>
      <c r="E7747" s="156" t="s">
        <v>8655</v>
      </c>
      <c r="F7747" s="156" t="s">
        <v>763</v>
      </c>
      <c r="G7747" s="156" t="s">
        <v>2534</v>
      </c>
      <c r="H7747" s="157" t="s">
        <v>213</v>
      </c>
    </row>
    <row r="7748" hidden="1">
      <c r="A7748" s="151" t="s">
        <v>225</v>
      </c>
      <c r="B7748" s="118" t="s">
        <v>226</v>
      </c>
      <c r="C7748" s="118" t="s">
        <v>206</v>
      </c>
      <c r="D7748" s="152" t="s">
        <v>8594</v>
      </c>
      <c r="E7748" s="152" t="s">
        <v>8656</v>
      </c>
      <c r="F7748" s="152" t="s">
        <v>3198</v>
      </c>
      <c r="G7748" s="152" t="s">
        <v>1818</v>
      </c>
      <c r="H7748" s="153" t="s">
        <v>214</v>
      </c>
    </row>
    <row r="7749" hidden="1">
      <c r="A7749" s="154" t="s">
        <v>225</v>
      </c>
      <c r="B7749" s="155" t="s">
        <v>226</v>
      </c>
      <c r="C7749" s="155" t="s">
        <v>206</v>
      </c>
      <c r="D7749" s="156" t="s">
        <v>8594</v>
      </c>
      <c r="E7749" s="156" t="s">
        <v>8657</v>
      </c>
      <c r="F7749" s="156" t="s">
        <v>2994</v>
      </c>
      <c r="G7749" s="156" t="s">
        <v>2060</v>
      </c>
      <c r="H7749" s="157" t="s">
        <v>215</v>
      </c>
    </row>
    <row r="7750" hidden="1">
      <c r="A7750" s="151" t="s">
        <v>225</v>
      </c>
      <c r="B7750" s="118" t="s">
        <v>226</v>
      </c>
      <c r="C7750" s="118" t="s">
        <v>206</v>
      </c>
      <c r="D7750" s="152" t="s">
        <v>8594</v>
      </c>
      <c r="E7750" s="152" t="s">
        <v>8658</v>
      </c>
      <c r="F7750" s="152" t="s">
        <v>691</v>
      </c>
      <c r="G7750" s="152" t="s">
        <v>2034</v>
      </c>
      <c r="H7750" s="153" t="s">
        <v>216</v>
      </c>
    </row>
    <row r="7751" hidden="1">
      <c r="A7751" s="154" t="s">
        <v>227</v>
      </c>
      <c r="B7751" s="155" t="s">
        <v>195</v>
      </c>
      <c r="C7751" s="155" t="s">
        <v>206</v>
      </c>
      <c r="D7751" s="156" t="s">
        <v>8594</v>
      </c>
      <c r="E7751" s="156" t="s">
        <v>8659</v>
      </c>
      <c r="F7751" s="156" t="s">
        <v>718</v>
      </c>
      <c r="G7751" s="156" t="s">
        <v>2354</v>
      </c>
      <c r="H7751" s="157" t="s">
        <v>210</v>
      </c>
    </row>
    <row r="7752" hidden="1">
      <c r="A7752" s="151" t="s">
        <v>227</v>
      </c>
      <c r="B7752" s="118" t="s">
        <v>195</v>
      </c>
      <c r="C7752" s="118" t="s">
        <v>206</v>
      </c>
      <c r="D7752" s="152" t="s">
        <v>8594</v>
      </c>
      <c r="E7752" s="152" t="s">
        <v>8660</v>
      </c>
      <c r="F7752" s="152" t="s">
        <v>351</v>
      </c>
      <c r="G7752" s="152" t="s">
        <v>3059</v>
      </c>
      <c r="H7752" s="153" t="s">
        <v>211</v>
      </c>
    </row>
    <row r="7753" hidden="1">
      <c r="A7753" s="154" t="s">
        <v>227</v>
      </c>
      <c r="B7753" s="155" t="s">
        <v>195</v>
      </c>
      <c r="C7753" s="155" t="s">
        <v>206</v>
      </c>
      <c r="D7753" s="156" t="s">
        <v>8594</v>
      </c>
      <c r="E7753" s="156" t="s">
        <v>8661</v>
      </c>
      <c r="F7753" s="156" t="s">
        <v>310</v>
      </c>
      <c r="G7753" s="156" t="s">
        <v>2758</v>
      </c>
      <c r="H7753" s="157" t="s">
        <v>212</v>
      </c>
    </row>
    <row r="7754" hidden="1">
      <c r="A7754" s="151" t="s">
        <v>227</v>
      </c>
      <c r="B7754" s="118" t="s">
        <v>195</v>
      </c>
      <c r="C7754" s="118" t="s">
        <v>206</v>
      </c>
      <c r="D7754" s="152" t="s">
        <v>8594</v>
      </c>
      <c r="E7754" s="152" t="s">
        <v>8662</v>
      </c>
      <c r="F7754" s="152" t="s">
        <v>339</v>
      </c>
      <c r="G7754" s="152" t="s">
        <v>2285</v>
      </c>
      <c r="H7754" s="153" t="s">
        <v>213</v>
      </c>
    </row>
    <row r="7755" hidden="1">
      <c r="A7755" s="154" t="s">
        <v>227</v>
      </c>
      <c r="B7755" s="155" t="s">
        <v>195</v>
      </c>
      <c r="C7755" s="155" t="s">
        <v>206</v>
      </c>
      <c r="D7755" s="156" t="s">
        <v>8594</v>
      </c>
      <c r="E7755" s="156" t="s">
        <v>8663</v>
      </c>
      <c r="F7755" s="156" t="s">
        <v>3218</v>
      </c>
      <c r="G7755" s="156" t="s">
        <v>2187</v>
      </c>
      <c r="H7755" s="157" t="s">
        <v>214</v>
      </c>
    </row>
    <row r="7756" hidden="1">
      <c r="A7756" s="151" t="s">
        <v>227</v>
      </c>
      <c r="B7756" s="118" t="s">
        <v>195</v>
      </c>
      <c r="C7756" s="118" t="s">
        <v>206</v>
      </c>
      <c r="D7756" s="152" t="s">
        <v>8594</v>
      </c>
      <c r="E7756" s="152" t="s">
        <v>8664</v>
      </c>
      <c r="F7756" s="152" t="s">
        <v>534</v>
      </c>
      <c r="G7756" s="152" t="s">
        <v>4013</v>
      </c>
      <c r="H7756" s="153" t="s">
        <v>215</v>
      </c>
    </row>
    <row r="7757" hidden="1">
      <c r="A7757" s="154" t="s">
        <v>227</v>
      </c>
      <c r="B7757" s="155" t="s">
        <v>195</v>
      </c>
      <c r="C7757" s="155" t="s">
        <v>206</v>
      </c>
      <c r="D7757" s="156" t="s">
        <v>8594</v>
      </c>
      <c r="E7757" s="156" t="s">
        <v>8665</v>
      </c>
      <c r="F7757" s="156" t="s">
        <v>799</v>
      </c>
      <c r="G7757" s="156" t="s">
        <v>3691</v>
      </c>
      <c r="H7757" s="157" t="s">
        <v>216</v>
      </c>
    </row>
    <row r="7758" hidden="1">
      <c r="A7758" s="151" t="s">
        <v>228</v>
      </c>
      <c r="B7758" s="118" t="s">
        <v>138</v>
      </c>
      <c r="C7758" s="118" t="s">
        <v>206</v>
      </c>
      <c r="D7758" s="152" t="s">
        <v>8594</v>
      </c>
      <c r="E7758" s="152" t="s">
        <v>8666</v>
      </c>
      <c r="F7758" s="152" t="s">
        <v>374</v>
      </c>
      <c r="G7758" s="152" t="s">
        <v>4688</v>
      </c>
      <c r="H7758" s="153" t="s">
        <v>210</v>
      </c>
    </row>
    <row r="7759" hidden="1">
      <c r="A7759" s="154" t="s">
        <v>228</v>
      </c>
      <c r="B7759" s="155" t="s">
        <v>138</v>
      </c>
      <c r="C7759" s="155" t="s">
        <v>206</v>
      </c>
      <c r="D7759" s="156" t="s">
        <v>8594</v>
      </c>
      <c r="E7759" s="156" t="s">
        <v>8667</v>
      </c>
      <c r="F7759" s="156" t="s">
        <v>374</v>
      </c>
      <c r="G7759" s="156" t="s">
        <v>3764</v>
      </c>
      <c r="H7759" s="157" t="s">
        <v>211</v>
      </c>
    </row>
    <row r="7760" hidden="1">
      <c r="A7760" s="151" t="s">
        <v>228</v>
      </c>
      <c r="B7760" s="118" t="s">
        <v>138</v>
      </c>
      <c r="C7760" s="118" t="s">
        <v>206</v>
      </c>
      <c r="D7760" s="152" t="s">
        <v>8594</v>
      </c>
      <c r="E7760" s="152" t="s">
        <v>8668</v>
      </c>
      <c r="F7760" s="152" t="s">
        <v>262</v>
      </c>
      <c r="G7760" s="152" t="s">
        <v>1921</v>
      </c>
      <c r="H7760" s="153" t="s">
        <v>212</v>
      </c>
    </row>
    <row r="7761" hidden="1">
      <c r="A7761" s="154" t="s">
        <v>228</v>
      </c>
      <c r="B7761" s="155" t="s">
        <v>138</v>
      </c>
      <c r="C7761" s="155" t="s">
        <v>206</v>
      </c>
      <c r="D7761" s="156" t="s">
        <v>8594</v>
      </c>
      <c r="E7761" s="156" t="s">
        <v>8669</v>
      </c>
      <c r="F7761" s="156" t="s">
        <v>240</v>
      </c>
      <c r="G7761" s="156" t="s">
        <v>3554</v>
      </c>
      <c r="H7761" s="157" t="s">
        <v>213</v>
      </c>
    </row>
    <row r="7762" hidden="1">
      <c r="A7762" s="151" t="s">
        <v>228</v>
      </c>
      <c r="B7762" s="118" t="s">
        <v>138</v>
      </c>
      <c r="C7762" s="118" t="s">
        <v>206</v>
      </c>
      <c r="D7762" s="152" t="s">
        <v>8594</v>
      </c>
      <c r="E7762" s="152" t="s">
        <v>8670</v>
      </c>
      <c r="F7762" s="152" t="s">
        <v>259</v>
      </c>
      <c r="G7762" s="152" t="s">
        <v>2910</v>
      </c>
      <c r="H7762" s="153" t="s">
        <v>214</v>
      </c>
    </row>
    <row r="7763" hidden="1">
      <c r="A7763" s="154" t="s">
        <v>228</v>
      </c>
      <c r="B7763" s="155" t="s">
        <v>138</v>
      </c>
      <c r="C7763" s="155" t="s">
        <v>206</v>
      </c>
      <c r="D7763" s="156" t="s">
        <v>8594</v>
      </c>
      <c r="E7763" s="156" t="s">
        <v>8671</v>
      </c>
      <c r="F7763" s="156" t="s">
        <v>276</v>
      </c>
      <c r="G7763" s="156" t="s">
        <v>2301</v>
      </c>
      <c r="H7763" s="157" t="s">
        <v>215</v>
      </c>
    </row>
    <row r="7764" hidden="1">
      <c r="A7764" s="151" t="s">
        <v>228</v>
      </c>
      <c r="B7764" s="118" t="s">
        <v>138</v>
      </c>
      <c r="C7764" s="118" t="s">
        <v>206</v>
      </c>
      <c r="D7764" s="152" t="s">
        <v>8594</v>
      </c>
      <c r="E7764" s="152" t="s">
        <v>8672</v>
      </c>
      <c r="F7764" s="152" t="s">
        <v>265</v>
      </c>
      <c r="G7764" s="152" t="s">
        <v>1779</v>
      </c>
      <c r="H7764" s="153" t="s">
        <v>216</v>
      </c>
    </row>
    <row r="7765" hidden="1">
      <c r="A7765" s="154" t="s">
        <v>229</v>
      </c>
      <c r="B7765" s="155" t="s">
        <v>193</v>
      </c>
      <c r="C7765" s="155" t="s">
        <v>206</v>
      </c>
      <c r="D7765" s="156" t="s">
        <v>8594</v>
      </c>
      <c r="E7765" s="156" t="s">
        <v>8673</v>
      </c>
      <c r="F7765" s="156" t="s">
        <v>735</v>
      </c>
      <c r="G7765" s="156" t="s">
        <v>2001</v>
      </c>
      <c r="H7765" s="157" t="s">
        <v>210</v>
      </c>
    </row>
    <row r="7766" hidden="1">
      <c r="A7766" s="151" t="s">
        <v>229</v>
      </c>
      <c r="B7766" s="118" t="s">
        <v>193</v>
      </c>
      <c r="C7766" s="118" t="s">
        <v>206</v>
      </c>
      <c r="D7766" s="152" t="s">
        <v>8594</v>
      </c>
      <c r="E7766" s="152" t="s">
        <v>8674</v>
      </c>
      <c r="F7766" s="152" t="s">
        <v>677</v>
      </c>
      <c r="G7766" s="152" t="s">
        <v>2183</v>
      </c>
      <c r="H7766" s="153" t="s">
        <v>211</v>
      </c>
    </row>
    <row r="7767" hidden="1">
      <c r="A7767" s="154" t="s">
        <v>229</v>
      </c>
      <c r="B7767" s="155" t="s">
        <v>193</v>
      </c>
      <c r="C7767" s="155" t="s">
        <v>206</v>
      </c>
      <c r="D7767" s="156" t="s">
        <v>8594</v>
      </c>
      <c r="E7767" s="156" t="s">
        <v>8675</v>
      </c>
      <c r="F7767" s="156" t="s">
        <v>1999</v>
      </c>
      <c r="G7767" s="156" t="s">
        <v>3468</v>
      </c>
      <c r="H7767" s="157" t="s">
        <v>212</v>
      </c>
    </row>
    <row r="7768" hidden="1">
      <c r="A7768" s="151" t="s">
        <v>229</v>
      </c>
      <c r="B7768" s="118" t="s">
        <v>193</v>
      </c>
      <c r="C7768" s="118" t="s">
        <v>206</v>
      </c>
      <c r="D7768" s="152" t="s">
        <v>8594</v>
      </c>
      <c r="E7768" s="152" t="s">
        <v>8676</v>
      </c>
      <c r="F7768" s="152" t="s">
        <v>453</v>
      </c>
      <c r="G7768" s="152" t="s">
        <v>3304</v>
      </c>
      <c r="H7768" s="153" t="s">
        <v>213</v>
      </c>
    </row>
    <row r="7769" hidden="1">
      <c r="A7769" s="154" t="s">
        <v>229</v>
      </c>
      <c r="B7769" s="155" t="s">
        <v>193</v>
      </c>
      <c r="C7769" s="155" t="s">
        <v>206</v>
      </c>
      <c r="D7769" s="156" t="s">
        <v>8594</v>
      </c>
      <c r="E7769" s="156" t="s">
        <v>8677</v>
      </c>
      <c r="F7769" s="156" t="s">
        <v>675</v>
      </c>
      <c r="G7769" s="156" t="s">
        <v>3472</v>
      </c>
      <c r="H7769" s="157" t="s">
        <v>214</v>
      </c>
    </row>
    <row r="7770" hidden="1">
      <c r="A7770" s="151" t="s">
        <v>229</v>
      </c>
      <c r="B7770" s="118" t="s">
        <v>193</v>
      </c>
      <c r="C7770" s="118" t="s">
        <v>206</v>
      </c>
      <c r="D7770" s="152" t="s">
        <v>8594</v>
      </c>
      <c r="E7770" s="152" t="s">
        <v>8678</v>
      </c>
      <c r="F7770" s="152" t="s">
        <v>1530</v>
      </c>
      <c r="G7770" s="152" t="s">
        <v>1785</v>
      </c>
      <c r="H7770" s="153" t="s">
        <v>215</v>
      </c>
    </row>
    <row r="7771" hidden="1">
      <c r="A7771" s="154" t="s">
        <v>229</v>
      </c>
      <c r="B7771" s="155" t="s">
        <v>193</v>
      </c>
      <c r="C7771" s="155" t="s">
        <v>206</v>
      </c>
      <c r="D7771" s="156" t="s">
        <v>8594</v>
      </c>
      <c r="E7771" s="156" t="s">
        <v>8679</v>
      </c>
      <c r="F7771" s="156" t="s">
        <v>405</v>
      </c>
      <c r="G7771" s="156" t="s">
        <v>4083</v>
      </c>
      <c r="H7771" s="157" t="s">
        <v>216</v>
      </c>
    </row>
    <row r="7772" hidden="1">
      <c r="A7772" s="151" t="s">
        <v>230</v>
      </c>
      <c r="B7772" s="118" t="s">
        <v>194</v>
      </c>
      <c r="C7772" s="118" t="s">
        <v>206</v>
      </c>
      <c r="D7772" s="152" t="s">
        <v>8594</v>
      </c>
      <c r="E7772" s="152" t="s">
        <v>8680</v>
      </c>
      <c r="F7772" s="152" t="s">
        <v>677</v>
      </c>
      <c r="G7772" s="152" t="s">
        <v>3384</v>
      </c>
      <c r="H7772" s="153" t="s">
        <v>210</v>
      </c>
    </row>
    <row r="7773" hidden="1">
      <c r="A7773" s="154" t="s">
        <v>230</v>
      </c>
      <c r="B7773" s="155" t="s">
        <v>194</v>
      </c>
      <c r="C7773" s="155" t="s">
        <v>206</v>
      </c>
      <c r="D7773" s="156" t="s">
        <v>8594</v>
      </c>
      <c r="E7773" s="156" t="s">
        <v>8681</v>
      </c>
      <c r="F7773" s="156" t="s">
        <v>325</v>
      </c>
      <c r="G7773" s="156" t="s">
        <v>2762</v>
      </c>
      <c r="H7773" s="157" t="s">
        <v>211</v>
      </c>
    </row>
    <row r="7774" hidden="1">
      <c r="A7774" s="151" t="s">
        <v>230</v>
      </c>
      <c r="B7774" s="118" t="s">
        <v>194</v>
      </c>
      <c r="C7774" s="118" t="s">
        <v>206</v>
      </c>
      <c r="D7774" s="152" t="s">
        <v>8594</v>
      </c>
      <c r="E7774" s="152" t="s">
        <v>8682</v>
      </c>
      <c r="F7774" s="152" t="s">
        <v>534</v>
      </c>
      <c r="G7774" s="152" t="s">
        <v>2109</v>
      </c>
      <c r="H7774" s="153" t="s">
        <v>212</v>
      </c>
    </row>
    <row r="7775" hidden="1">
      <c r="A7775" s="154" t="s">
        <v>230</v>
      </c>
      <c r="B7775" s="155" t="s">
        <v>194</v>
      </c>
      <c r="C7775" s="155" t="s">
        <v>206</v>
      </c>
      <c r="D7775" s="156" t="s">
        <v>8594</v>
      </c>
      <c r="E7775" s="156" t="s">
        <v>8683</v>
      </c>
      <c r="F7775" s="156" t="s">
        <v>677</v>
      </c>
      <c r="G7775" s="156" t="s">
        <v>3282</v>
      </c>
      <c r="H7775" s="157" t="s">
        <v>213</v>
      </c>
    </row>
    <row r="7776" hidden="1">
      <c r="A7776" s="151" t="s">
        <v>230</v>
      </c>
      <c r="B7776" s="118" t="s">
        <v>194</v>
      </c>
      <c r="C7776" s="118" t="s">
        <v>206</v>
      </c>
      <c r="D7776" s="152" t="s">
        <v>8594</v>
      </c>
      <c r="E7776" s="152" t="s">
        <v>8684</v>
      </c>
      <c r="F7776" s="152" t="s">
        <v>336</v>
      </c>
      <c r="G7776" s="152" t="s">
        <v>2230</v>
      </c>
      <c r="H7776" s="153" t="s">
        <v>214</v>
      </c>
    </row>
    <row r="7777" hidden="1">
      <c r="A7777" s="154" t="s">
        <v>230</v>
      </c>
      <c r="B7777" s="155" t="s">
        <v>194</v>
      </c>
      <c r="C7777" s="155" t="s">
        <v>206</v>
      </c>
      <c r="D7777" s="156" t="s">
        <v>8594</v>
      </c>
      <c r="E7777" s="156" t="s">
        <v>8685</v>
      </c>
      <c r="F7777" s="156" t="s">
        <v>305</v>
      </c>
      <c r="G7777" s="156" t="s">
        <v>3389</v>
      </c>
      <c r="H7777" s="157" t="s">
        <v>215</v>
      </c>
    </row>
    <row r="7778" hidden="1">
      <c r="A7778" s="151" t="s">
        <v>230</v>
      </c>
      <c r="B7778" s="118" t="s">
        <v>194</v>
      </c>
      <c r="C7778" s="118" t="s">
        <v>206</v>
      </c>
      <c r="D7778" s="152" t="s">
        <v>8594</v>
      </c>
      <c r="E7778" s="152" t="s">
        <v>8686</v>
      </c>
      <c r="F7778" s="152" t="s">
        <v>354</v>
      </c>
      <c r="G7778" s="152" t="s">
        <v>2762</v>
      </c>
      <c r="H7778" s="153" t="s">
        <v>216</v>
      </c>
    </row>
    <row r="7779" hidden="1">
      <c r="A7779" s="158" t="s">
        <v>231</v>
      </c>
      <c r="B7779" s="159"/>
      <c r="C7779" s="155" t="s">
        <v>232</v>
      </c>
      <c r="D7779" s="156" t="s">
        <v>8594</v>
      </c>
      <c r="E7779" s="156" t="s">
        <v>8687</v>
      </c>
      <c r="F7779" s="156" t="s">
        <v>780</v>
      </c>
      <c r="G7779" s="156" t="s">
        <v>4709</v>
      </c>
      <c r="H7779" s="157" t="s">
        <v>210</v>
      </c>
    </row>
    <row r="7780" hidden="1">
      <c r="A7780" s="160" t="s">
        <v>231</v>
      </c>
      <c r="B7780" s="72"/>
      <c r="C7780" s="118" t="s">
        <v>232</v>
      </c>
      <c r="D7780" s="152" t="s">
        <v>8594</v>
      </c>
      <c r="E7780" s="152" t="s">
        <v>8688</v>
      </c>
      <c r="F7780" s="152" t="s">
        <v>2005</v>
      </c>
      <c r="G7780" s="152" t="s">
        <v>2515</v>
      </c>
      <c r="H7780" s="153" t="s">
        <v>211</v>
      </c>
    </row>
    <row r="7781" hidden="1">
      <c r="A7781" s="158" t="s">
        <v>231</v>
      </c>
      <c r="B7781" s="159"/>
      <c r="C7781" s="155" t="s">
        <v>232</v>
      </c>
      <c r="D7781" s="156" t="s">
        <v>8594</v>
      </c>
      <c r="E7781" s="156" t="s">
        <v>8689</v>
      </c>
      <c r="F7781" s="156" t="s">
        <v>1929</v>
      </c>
      <c r="G7781" s="156" t="s">
        <v>3207</v>
      </c>
      <c r="H7781" s="157" t="s">
        <v>212</v>
      </c>
    </row>
    <row r="7782" hidden="1">
      <c r="A7782" s="160" t="s">
        <v>231</v>
      </c>
      <c r="B7782" s="72"/>
      <c r="C7782" s="118" t="s">
        <v>232</v>
      </c>
      <c r="D7782" s="152" t="s">
        <v>8594</v>
      </c>
      <c r="E7782" s="152" t="s">
        <v>8690</v>
      </c>
      <c r="F7782" s="152" t="s">
        <v>2005</v>
      </c>
      <c r="G7782" s="152" t="s">
        <v>3574</v>
      </c>
      <c r="H7782" s="153" t="s">
        <v>213</v>
      </c>
    </row>
    <row r="7783" hidden="1">
      <c r="A7783" s="158" t="s">
        <v>231</v>
      </c>
      <c r="B7783" s="159"/>
      <c r="C7783" s="155" t="s">
        <v>232</v>
      </c>
      <c r="D7783" s="156" t="s">
        <v>8594</v>
      </c>
      <c r="E7783" s="156" t="s">
        <v>8691</v>
      </c>
      <c r="F7783" s="156" t="s">
        <v>675</v>
      </c>
      <c r="G7783" s="156" t="s">
        <v>3718</v>
      </c>
      <c r="H7783" s="157" t="s">
        <v>214</v>
      </c>
    </row>
    <row r="7784" hidden="1">
      <c r="A7784" s="160" t="s">
        <v>231</v>
      </c>
      <c r="B7784" s="72"/>
      <c r="C7784" s="118" t="s">
        <v>232</v>
      </c>
      <c r="D7784" s="152" t="s">
        <v>8594</v>
      </c>
      <c r="E7784" s="152" t="s">
        <v>8692</v>
      </c>
      <c r="F7784" s="152" t="s">
        <v>483</v>
      </c>
      <c r="G7784" s="152" t="s">
        <v>3616</v>
      </c>
      <c r="H7784" s="153" t="s">
        <v>215</v>
      </c>
    </row>
    <row r="7785" hidden="1">
      <c r="A7785" s="158" t="s">
        <v>231</v>
      </c>
      <c r="B7785" s="159"/>
      <c r="C7785" s="155" t="s">
        <v>232</v>
      </c>
      <c r="D7785" s="156" t="s">
        <v>8594</v>
      </c>
      <c r="E7785" s="156" t="s">
        <v>8693</v>
      </c>
      <c r="F7785" s="156" t="s">
        <v>3148</v>
      </c>
      <c r="G7785" s="156" t="s">
        <v>4283</v>
      </c>
      <c r="H7785" s="157" t="s">
        <v>216</v>
      </c>
    </row>
    <row r="7786" hidden="1">
      <c r="A7786" s="160" t="s">
        <v>233</v>
      </c>
      <c r="B7786" s="72"/>
      <c r="C7786" s="118" t="s">
        <v>232</v>
      </c>
      <c r="D7786" s="152" t="s">
        <v>8594</v>
      </c>
      <c r="E7786" s="152" t="s">
        <v>8694</v>
      </c>
      <c r="F7786" s="152" t="s">
        <v>351</v>
      </c>
      <c r="G7786" s="152" t="s">
        <v>3996</v>
      </c>
      <c r="H7786" s="153" t="s">
        <v>210</v>
      </c>
    </row>
    <row r="7787" hidden="1">
      <c r="A7787" s="158" t="s">
        <v>233</v>
      </c>
      <c r="B7787" s="159"/>
      <c r="C7787" s="155" t="s">
        <v>232</v>
      </c>
      <c r="D7787" s="156" t="s">
        <v>8594</v>
      </c>
      <c r="E7787" s="156" t="s">
        <v>8695</v>
      </c>
      <c r="F7787" s="156" t="s">
        <v>310</v>
      </c>
      <c r="G7787" s="156" t="s">
        <v>1995</v>
      </c>
      <c r="H7787" s="157" t="s">
        <v>211</v>
      </c>
    </row>
    <row r="7788" hidden="1">
      <c r="A7788" s="160" t="s">
        <v>233</v>
      </c>
      <c r="B7788" s="72"/>
      <c r="C7788" s="118" t="s">
        <v>232</v>
      </c>
      <c r="D7788" s="152" t="s">
        <v>8594</v>
      </c>
      <c r="E7788" s="152" t="s">
        <v>8696</v>
      </c>
      <c r="F7788" s="152" t="s">
        <v>534</v>
      </c>
      <c r="G7788" s="152" t="s">
        <v>3919</v>
      </c>
      <c r="H7788" s="153" t="s">
        <v>212</v>
      </c>
    </row>
    <row r="7789" hidden="1">
      <c r="A7789" s="158" t="s">
        <v>233</v>
      </c>
      <c r="B7789" s="159"/>
      <c r="C7789" s="155" t="s">
        <v>232</v>
      </c>
      <c r="D7789" s="156" t="s">
        <v>8594</v>
      </c>
      <c r="E7789" s="156" t="s">
        <v>8697</v>
      </c>
      <c r="F7789" s="156" t="s">
        <v>427</v>
      </c>
      <c r="G7789" s="156" t="s">
        <v>4194</v>
      </c>
      <c r="H7789" s="157" t="s">
        <v>213</v>
      </c>
    </row>
    <row r="7790" hidden="1">
      <c r="A7790" s="160" t="s">
        <v>233</v>
      </c>
      <c r="B7790" s="72"/>
      <c r="C7790" s="118" t="s">
        <v>232</v>
      </c>
      <c r="D7790" s="152" t="s">
        <v>8594</v>
      </c>
      <c r="E7790" s="152" t="s">
        <v>8698</v>
      </c>
      <c r="F7790" s="152" t="s">
        <v>450</v>
      </c>
      <c r="G7790" s="152" t="s">
        <v>3790</v>
      </c>
      <c r="H7790" s="153" t="s">
        <v>214</v>
      </c>
    </row>
    <row r="7791" hidden="1">
      <c r="A7791" s="158" t="s">
        <v>233</v>
      </c>
      <c r="B7791" s="159"/>
      <c r="C7791" s="155" t="s">
        <v>232</v>
      </c>
      <c r="D7791" s="156" t="s">
        <v>8594</v>
      </c>
      <c r="E7791" s="156" t="s">
        <v>8699</v>
      </c>
      <c r="F7791" s="156" t="s">
        <v>325</v>
      </c>
      <c r="G7791" s="156" t="s">
        <v>3300</v>
      </c>
      <c r="H7791" s="157" t="s">
        <v>215</v>
      </c>
    </row>
    <row r="7792" hidden="1">
      <c r="A7792" s="160" t="s">
        <v>233</v>
      </c>
      <c r="B7792" s="72"/>
      <c r="C7792" s="118" t="s">
        <v>232</v>
      </c>
      <c r="D7792" s="152" t="s">
        <v>8594</v>
      </c>
      <c r="E7792" s="152" t="s">
        <v>8700</v>
      </c>
      <c r="F7792" s="152" t="s">
        <v>351</v>
      </c>
      <c r="G7792" s="152" t="s">
        <v>3108</v>
      </c>
      <c r="H7792" s="153" t="s">
        <v>216</v>
      </c>
    </row>
    <row r="7793" hidden="1">
      <c r="A7793" s="158" t="s">
        <v>234</v>
      </c>
      <c r="B7793" s="159"/>
      <c r="C7793" s="155" t="s">
        <v>232</v>
      </c>
      <c r="D7793" s="156" t="s">
        <v>8594</v>
      </c>
      <c r="E7793" s="156" t="s">
        <v>8701</v>
      </c>
      <c r="F7793" s="156" t="s">
        <v>534</v>
      </c>
      <c r="G7793" s="156" t="s">
        <v>3287</v>
      </c>
      <c r="H7793" s="157" t="s">
        <v>210</v>
      </c>
    </row>
    <row r="7794" hidden="1">
      <c r="A7794" s="160" t="s">
        <v>234</v>
      </c>
      <c r="B7794" s="72"/>
      <c r="C7794" s="118" t="s">
        <v>232</v>
      </c>
      <c r="D7794" s="152" t="s">
        <v>8594</v>
      </c>
      <c r="E7794" s="152" t="s">
        <v>8702</v>
      </c>
      <c r="F7794" s="152" t="s">
        <v>249</v>
      </c>
      <c r="G7794" s="152" t="s">
        <v>2062</v>
      </c>
      <c r="H7794" s="153" t="s">
        <v>211</v>
      </c>
    </row>
    <row r="7795" hidden="1">
      <c r="A7795" s="158" t="s">
        <v>234</v>
      </c>
      <c r="B7795" s="159"/>
      <c r="C7795" s="155" t="s">
        <v>232</v>
      </c>
      <c r="D7795" s="156" t="s">
        <v>8594</v>
      </c>
      <c r="E7795" s="156" t="s">
        <v>8703</v>
      </c>
      <c r="F7795" s="156" t="s">
        <v>310</v>
      </c>
      <c r="G7795" s="156" t="s">
        <v>2779</v>
      </c>
      <c r="H7795" s="157" t="s">
        <v>212</v>
      </c>
    </row>
    <row r="7796" hidden="1">
      <c r="A7796" s="160" t="s">
        <v>234</v>
      </c>
      <c r="B7796" s="72"/>
      <c r="C7796" s="118" t="s">
        <v>232</v>
      </c>
      <c r="D7796" s="152" t="s">
        <v>8594</v>
      </c>
      <c r="E7796" s="152" t="s">
        <v>8704</v>
      </c>
      <c r="F7796" s="152" t="s">
        <v>365</v>
      </c>
      <c r="G7796" s="152" t="s">
        <v>2391</v>
      </c>
      <c r="H7796" s="153" t="s">
        <v>213</v>
      </c>
    </row>
    <row r="7797" hidden="1">
      <c r="A7797" s="158" t="s">
        <v>234</v>
      </c>
      <c r="B7797" s="159"/>
      <c r="C7797" s="155" t="s">
        <v>232</v>
      </c>
      <c r="D7797" s="156" t="s">
        <v>8594</v>
      </c>
      <c r="E7797" s="156" t="s">
        <v>8705</v>
      </c>
      <c r="F7797" s="156" t="s">
        <v>308</v>
      </c>
      <c r="G7797" s="156" t="s">
        <v>2138</v>
      </c>
      <c r="H7797" s="157" t="s">
        <v>214</v>
      </c>
    </row>
    <row r="7798" hidden="1">
      <c r="A7798" s="160" t="s">
        <v>234</v>
      </c>
      <c r="B7798" s="72"/>
      <c r="C7798" s="118" t="s">
        <v>232</v>
      </c>
      <c r="D7798" s="152" t="s">
        <v>8594</v>
      </c>
      <c r="E7798" s="152" t="s">
        <v>8706</v>
      </c>
      <c r="F7798" s="152" t="s">
        <v>249</v>
      </c>
      <c r="G7798" s="152" t="s">
        <v>2138</v>
      </c>
      <c r="H7798" s="153" t="s">
        <v>215</v>
      </c>
    </row>
    <row r="7799" hidden="1">
      <c r="A7799" s="158" t="s">
        <v>234</v>
      </c>
      <c r="B7799" s="159"/>
      <c r="C7799" s="155" t="s">
        <v>232</v>
      </c>
      <c r="D7799" s="156" t="s">
        <v>8594</v>
      </c>
      <c r="E7799" s="156" t="s">
        <v>8707</v>
      </c>
      <c r="F7799" s="156" t="s">
        <v>331</v>
      </c>
      <c r="G7799" s="156" t="s">
        <v>3335</v>
      </c>
      <c r="H7799" s="157" t="s">
        <v>216</v>
      </c>
    </row>
    <row r="7800" hidden="1">
      <c r="A7800" s="160" t="s">
        <v>235</v>
      </c>
      <c r="B7800" s="72"/>
      <c r="C7800" s="118" t="s">
        <v>236</v>
      </c>
      <c r="D7800" s="152" t="s">
        <v>8594</v>
      </c>
      <c r="E7800" s="152" t="s">
        <v>8708</v>
      </c>
      <c r="F7800" s="152" t="s">
        <v>425</v>
      </c>
      <c r="G7800" s="152" t="s">
        <v>3812</v>
      </c>
      <c r="H7800" s="153" t="s">
        <v>210</v>
      </c>
    </row>
    <row r="7801" hidden="1">
      <c r="A7801" s="158" t="s">
        <v>235</v>
      </c>
      <c r="B7801" s="159"/>
      <c r="C7801" s="155" t="s">
        <v>236</v>
      </c>
      <c r="D7801" s="156" t="s">
        <v>8594</v>
      </c>
      <c r="E7801" s="156" t="s">
        <v>8709</v>
      </c>
      <c r="F7801" s="156" t="s">
        <v>325</v>
      </c>
      <c r="G7801" s="156" t="s">
        <v>3270</v>
      </c>
      <c r="H7801" s="157" t="s">
        <v>211</v>
      </c>
    </row>
    <row r="7802" hidden="1">
      <c r="A7802" s="160" t="s">
        <v>235</v>
      </c>
      <c r="B7802" s="72"/>
      <c r="C7802" s="118" t="s">
        <v>236</v>
      </c>
      <c r="D7802" s="152" t="s">
        <v>8594</v>
      </c>
      <c r="E7802" s="152" t="s">
        <v>8710</v>
      </c>
      <c r="F7802" s="152" t="s">
        <v>351</v>
      </c>
      <c r="G7802" s="152" t="s">
        <v>3200</v>
      </c>
      <c r="H7802" s="153" t="s">
        <v>212</v>
      </c>
    </row>
    <row r="7803" hidden="1">
      <c r="A7803" s="158" t="s">
        <v>235</v>
      </c>
      <c r="B7803" s="159"/>
      <c r="C7803" s="155" t="s">
        <v>236</v>
      </c>
      <c r="D7803" s="156" t="s">
        <v>8594</v>
      </c>
      <c r="E7803" s="156" t="s">
        <v>8711</v>
      </c>
      <c r="F7803" s="156" t="s">
        <v>329</v>
      </c>
      <c r="G7803" s="156" t="s">
        <v>3618</v>
      </c>
      <c r="H7803" s="157" t="s">
        <v>213</v>
      </c>
    </row>
    <row r="7804" hidden="1">
      <c r="A7804" s="160" t="s">
        <v>235</v>
      </c>
      <c r="B7804" s="72"/>
      <c r="C7804" s="118" t="s">
        <v>236</v>
      </c>
      <c r="D7804" s="152" t="s">
        <v>8594</v>
      </c>
      <c r="E7804" s="152" t="s">
        <v>8712</v>
      </c>
      <c r="F7804" s="152" t="s">
        <v>336</v>
      </c>
      <c r="G7804" s="152" t="s">
        <v>3875</v>
      </c>
      <c r="H7804" s="153" t="s">
        <v>214</v>
      </c>
    </row>
    <row r="7805" hidden="1">
      <c r="A7805" s="158" t="s">
        <v>235</v>
      </c>
      <c r="B7805" s="159"/>
      <c r="C7805" s="155" t="s">
        <v>236</v>
      </c>
      <c r="D7805" s="156" t="s">
        <v>8594</v>
      </c>
      <c r="E7805" s="156" t="s">
        <v>8713</v>
      </c>
      <c r="F7805" s="156" t="s">
        <v>427</v>
      </c>
      <c r="G7805" s="156" t="s">
        <v>4060</v>
      </c>
      <c r="H7805" s="157" t="s">
        <v>215</v>
      </c>
    </row>
    <row r="7806" hidden="1">
      <c r="A7806" s="160" t="s">
        <v>235</v>
      </c>
      <c r="B7806" s="72"/>
      <c r="C7806" s="118" t="s">
        <v>236</v>
      </c>
      <c r="D7806" s="152" t="s">
        <v>8594</v>
      </c>
      <c r="E7806" s="152" t="s">
        <v>8714</v>
      </c>
      <c r="F7806" s="152" t="s">
        <v>325</v>
      </c>
      <c r="G7806" s="152" t="s">
        <v>4073</v>
      </c>
      <c r="H7806" s="153" t="s">
        <v>216</v>
      </c>
    </row>
    <row r="7807" hidden="1">
      <c r="A7807" s="158" t="s">
        <v>237</v>
      </c>
      <c r="B7807" s="159"/>
      <c r="C7807" s="155" t="s">
        <v>236</v>
      </c>
      <c r="D7807" s="156" t="s">
        <v>8594</v>
      </c>
      <c r="E7807" s="156" t="s">
        <v>8715</v>
      </c>
      <c r="F7807" s="156" t="s">
        <v>425</v>
      </c>
      <c r="G7807" s="156" t="s">
        <v>2818</v>
      </c>
      <c r="H7807" s="157" t="s">
        <v>210</v>
      </c>
    </row>
    <row r="7808" hidden="1">
      <c r="A7808" s="160" t="s">
        <v>237</v>
      </c>
      <c r="B7808" s="72"/>
      <c r="C7808" s="118" t="s">
        <v>236</v>
      </c>
      <c r="D7808" s="152" t="s">
        <v>8594</v>
      </c>
      <c r="E7808" s="152" t="s">
        <v>8716</v>
      </c>
      <c r="F7808" s="152" t="s">
        <v>329</v>
      </c>
      <c r="G7808" s="152" t="s">
        <v>2602</v>
      </c>
      <c r="H7808" s="153" t="s">
        <v>211</v>
      </c>
    </row>
    <row r="7809" hidden="1">
      <c r="A7809" s="158" t="s">
        <v>237</v>
      </c>
      <c r="B7809" s="159"/>
      <c r="C7809" s="155" t="s">
        <v>236</v>
      </c>
      <c r="D7809" s="156" t="s">
        <v>8594</v>
      </c>
      <c r="E7809" s="156" t="s">
        <v>8717</v>
      </c>
      <c r="F7809" s="156" t="s">
        <v>425</v>
      </c>
      <c r="G7809" s="156" t="s">
        <v>3485</v>
      </c>
      <c r="H7809" s="157" t="s">
        <v>212</v>
      </c>
    </row>
    <row r="7810" hidden="1">
      <c r="A7810" s="160" t="s">
        <v>237</v>
      </c>
      <c r="B7810" s="72"/>
      <c r="C7810" s="118" t="s">
        <v>236</v>
      </c>
      <c r="D7810" s="152" t="s">
        <v>8594</v>
      </c>
      <c r="E7810" s="152" t="s">
        <v>8718</v>
      </c>
      <c r="F7810" s="152" t="s">
        <v>325</v>
      </c>
      <c r="G7810" s="152" t="s">
        <v>1932</v>
      </c>
      <c r="H7810" s="153" t="s">
        <v>213</v>
      </c>
    </row>
    <row r="7811" hidden="1">
      <c r="A7811" s="158" t="s">
        <v>237</v>
      </c>
      <c r="B7811" s="159"/>
      <c r="C7811" s="155" t="s">
        <v>236</v>
      </c>
      <c r="D7811" s="156" t="s">
        <v>8594</v>
      </c>
      <c r="E7811" s="156" t="s">
        <v>8719</v>
      </c>
      <c r="F7811" s="156" t="s">
        <v>3218</v>
      </c>
      <c r="G7811" s="156" t="s">
        <v>3312</v>
      </c>
      <c r="H7811" s="157" t="s">
        <v>214</v>
      </c>
    </row>
    <row r="7812" hidden="1">
      <c r="A7812" s="160" t="s">
        <v>237</v>
      </c>
      <c r="B7812" s="72"/>
      <c r="C7812" s="118" t="s">
        <v>236</v>
      </c>
      <c r="D7812" s="152" t="s">
        <v>8594</v>
      </c>
      <c r="E7812" s="152" t="s">
        <v>8720</v>
      </c>
      <c r="F7812" s="152" t="s">
        <v>483</v>
      </c>
      <c r="G7812" s="152" t="s">
        <v>3278</v>
      </c>
      <c r="H7812" s="153" t="s">
        <v>215</v>
      </c>
    </row>
    <row r="7813" hidden="1">
      <c r="A7813" s="158" t="s">
        <v>237</v>
      </c>
      <c r="B7813" s="159"/>
      <c r="C7813" s="155" t="s">
        <v>236</v>
      </c>
      <c r="D7813" s="156" t="s">
        <v>8594</v>
      </c>
      <c r="E7813" s="156" t="s">
        <v>8721</v>
      </c>
      <c r="F7813" s="156" t="s">
        <v>483</v>
      </c>
      <c r="G7813" s="156" t="s">
        <v>2224</v>
      </c>
      <c r="H7813" s="157" t="s">
        <v>216</v>
      </c>
    </row>
    <row r="7814" hidden="1">
      <c r="A7814" s="151" t="s">
        <v>204</v>
      </c>
      <c r="B7814" s="118" t="s">
        <v>205</v>
      </c>
      <c r="C7814" s="118" t="s">
        <v>206</v>
      </c>
      <c r="D7814" s="152" t="s">
        <v>8722</v>
      </c>
      <c r="E7814" s="152" t="s">
        <v>8723</v>
      </c>
      <c r="F7814" s="152" t="s">
        <v>478</v>
      </c>
      <c r="G7814" s="152" t="s">
        <v>4992</v>
      </c>
      <c r="H7814" s="153" t="s">
        <v>210</v>
      </c>
    </row>
    <row r="7815" hidden="1">
      <c r="A7815" s="154" t="s">
        <v>204</v>
      </c>
      <c r="B7815" s="155" t="s">
        <v>205</v>
      </c>
      <c r="C7815" s="155" t="s">
        <v>206</v>
      </c>
      <c r="D7815" s="156" t="s">
        <v>8722</v>
      </c>
      <c r="E7815" s="156" t="s">
        <v>8724</v>
      </c>
      <c r="F7815" s="156" t="s">
        <v>312</v>
      </c>
      <c r="G7815" s="156" t="s">
        <v>3893</v>
      </c>
      <c r="H7815" s="157" t="s">
        <v>211</v>
      </c>
    </row>
    <row r="7816" hidden="1">
      <c r="A7816" s="151" t="s">
        <v>204</v>
      </c>
      <c r="B7816" s="118" t="s">
        <v>205</v>
      </c>
      <c r="C7816" s="118" t="s">
        <v>206</v>
      </c>
      <c r="D7816" s="152" t="s">
        <v>8722</v>
      </c>
      <c r="E7816" s="152" t="s">
        <v>8725</v>
      </c>
      <c r="F7816" s="152" t="s">
        <v>423</v>
      </c>
      <c r="G7816" s="152" t="s">
        <v>3203</v>
      </c>
      <c r="H7816" s="153" t="s">
        <v>212</v>
      </c>
    </row>
    <row r="7817" hidden="1">
      <c r="A7817" s="154" t="s">
        <v>204</v>
      </c>
      <c r="B7817" s="155" t="s">
        <v>205</v>
      </c>
      <c r="C7817" s="155" t="s">
        <v>206</v>
      </c>
      <c r="D7817" s="156" t="s">
        <v>8722</v>
      </c>
      <c r="E7817" s="156" t="s">
        <v>8726</v>
      </c>
      <c r="F7817" s="156" t="s">
        <v>677</v>
      </c>
      <c r="G7817" s="156" t="s">
        <v>2816</v>
      </c>
      <c r="H7817" s="157" t="s">
        <v>213</v>
      </c>
    </row>
    <row r="7818" hidden="1">
      <c r="A7818" s="151" t="s">
        <v>204</v>
      </c>
      <c r="B7818" s="118" t="s">
        <v>205</v>
      </c>
      <c r="C7818" s="118" t="s">
        <v>206</v>
      </c>
      <c r="D7818" s="152" t="s">
        <v>8722</v>
      </c>
      <c r="E7818" s="152" t="s">
        <v>8727</v>
      </c>
      <c r="F7818" s="152" t="s">
        <v>453</v>
      </c>
      <c r="G7818" s="152" t="s">
        <v>3900</v>
      </c>
      <c r="H7818" s="153" t="s">
        <v>214</v>
      </c>
    </row>
    <row r="7819" hidden="1">
      <c r="A7819" s="154" t="s">
        <v>204</v>
      </c>
      <c r="B7819" s="155" t="s">
        <v>205</v>
      </c>
      <c r="C7819" s="155" t="s">
        <v>206</v>
      </c>
      <c r="D7819" s="156" t="s">
        <v>8722</v>
      </c>
      <c r="E7819" s="156" t="s">
        <v>8728</v>
      </c>
      <c r="F7819" s="156" t="s">
        <v>577</v>
      </c>
      <c r="G7819" s="156" t="s">
        <v>1995</v>
      </c>
      <c r="H7819" s="157" t="s">
        <v>215</v>
      </c>
    </row>
    <row r="7820" hidden="1">
      <c r="A7820" s="151" t="s">
        <v>204</v>
      </c>
      <c r="B7820" s="118" t="s">
        <v>205</v>
      </c>
      <c r="C7820" s="118" t="s">
        <v>206</v>
      </c>
      <c r="D7820" s="152" t="s">
        <v>8722</v>
      </c>
      <c r="E7820" s="152" t="s">
        <v>8729</v>
      </c>
      <c r="F7820" s="152" t="s">
        <v>312</v>
      </c>
      <c r="G7820" s="152" t="s">
        <v>1995</v>
      </c>
      <c r="H7820" s="153" t="s">
        <v>216</v>
      </c>
    </row>
    <row r="7821" hidden="1">
      <c r="A7821" s="154" t="s">
        <v>217</v>
      </c>
      <c r="B7821" s="155" t="s">
        <v>191</v>
      </c>
      <c r="C7821" s="155" t="s">
        <v>206</v>
      </c>
      <c r="D7821" s="156" t="s">
        <v>8722</v>
      </c>
      <c r="E7821" s="156" t="s">
        <v>8730</v>
      </c>
      <c r="F7821" s="156" t="s">
        <v>730</v>
      </c>
      <c r="G7821" s="156" t="s">
        <v>3111</v>
      </c>
      <c r="H7821" s="157" t="s">
        <v>210</v>
      </c>
    </row>
    <row r="7822" hidden="1">
      <c r="A7822" s="151" t="s">
        <v>217</v>
      </c>
      <c r="B7822" s="118" t="s">
        <v>191</v>
      </c>
      <c r="C7822" s="118" t="s">
        <v>206</v>
      </c>
      <c r="D7822" s="152" t="s">
        <v>8722</v>
      </c>
      <c r="E7822" s="152" t="s">
        <v>8731</v>
      </c>
      <c r="F7822" s="152" t="s">
        <v>629</v>
      </c>
      <c r="G7822" s="152" t="s">
        <v>2967</v>
      </c>
      <c r="H7822" s="153" t="s">
        <v>211</v>
      </c>
    </row>
    <row r="7823" hidden="1">
      <c r="A7823" s="154" t="s">
        <v>217</v>
      </c>
      <c r="B7823" s="155" t="s">
        <v>191</v>
      </c>
      <c r="C7823" s="155" t="s">
        <v>206</v>
      </c>
      <c r="D7823" s="156" t="s">
        <v>8722</v>
      </c>
      <c r="E7823" s="156" t="s">
        <v>8732</v>
      </c>
      <c r="F7823" s="156" t="s">
        <v>2994</v>
      </c>
      <c r="G7823" s="156" t="s">
        <v>3558</v>
      </c>
      <c r="H7823" s="157" t="s">
        <v>212</v>
      </c>
    </row>
    <row r="7824" hidden="1">
      <c r="A7824" s="151" t="s">
        <v>217</v>
      </c>
      <c r="B7824" s="118" t="s">
        <v>191</v>
      </c>
      <c r="C7824" s="118" t="s">
        <v>206</v>
      </c>
      <c r="D7824" s="152" t="s">
        <v>8722</v>
      </c>
      <c r="E7824" s="152" t="s">
        <v>8733</v>
      </c>
      <c r="F7824" s="152" t="s">
        <v>2994</v>
      </c>
      <c r="G7824" s="152" t="s">
        <v>1995</v>
      </c>
      <c r="H7824" s="153" t="s">
        <v>213</v>
      </c>
    </row>
    <row r="7825" hidden="1">
      <c r="A7825" s="154" t="s">
        <v>217</v>
      </c>
      <c r="B7825" s="155" t="s">
        <v>191</v>
      </c>
      <c r="C7825" s="155" t="s">
        <v>206</v>
      </c>
      <c r="D7825" s="156" t="s">
        <v>8722</v>
      </c>
      <c r="E7825" s="156" t="s">
        <v>8734</v>
      </c>
      <c r="F7825" s="156" t="s">
        <v>691</v>
      </c>
      <c r="G7825" s="156" t="s">
        <v>3989</v>
      </c>
      <c r="H7825" s="157" t="s">
        <v>214</v>
      </c>
    </row>
    <row r="7826" hidden="1">
      <c r="A7826" s="151" t="s">
        <v>217</v>
      </c>
      <c r="B7826" s="118" t="s">
        <v>191</v>
      </c>
      <c r="C7826" s="118" t="s">
        <v>206</v>
      </c>
      <c r="D7826" s="152" t="s">
        <v>8722</v>
      </c>
      <c r="E7826" s="152" t="s">
        <v>8735</v>
      </c>
      <c r="F7826" s="152" t="s">
        <v>448</v>
      </c>
      <c r="G7826" s="152" t="s">
        <v>1995</v>
      </c>
      <c r="H7826" s="153" t="s">
        <v>215</v>
      </c>
    </row>
    <row r="7827" hidden="1">
      <c r="A7827" s="154" t="s">
        <v>217</v>
      </c>
      <c r="B7827" s="155" t="s">
        <v>191</v>
      </c>
      <c r="C7827" s="155" t="s">
        <v>206</v>
      </c>
      <c r="D7827" s="156" t="s">
        <v>8722</v>
      </c>
      <c r="E7827" s="156" t="s">
        <v>8736</v>
      </c>
      <c r="F7827" s="156" t="s">
        <v>691</v>
      </c>
      <c r="G7827" s="156" t="s">
        <v>3371</v>
      </c>
      <c r="H7827" s="157" t="s">
        <v>216</v>
      </c>
    </row>
    <row r="7828" hidden="1">
      <c r="A7828" s="151" t="s">
        <v>218</v>
      </c>
      <c r="B7828" s="118" t="s">
        <v>219</v>
      </c>
      <c r="C7828" s="118" t="s">
        <v>206</v>
      </c>
      <c r="D7828" s="152" t="s">
        <v>8722</v>
      </c>
      <c r="E7828" s="152" t="s">
        <v>8737</v>
      </c>
      <c r="F7828" s="152" t="s">
        <v>308</v>
      </c>
      <c r="G7828" s="152" t="s">
        <v>3154</v>
      </c>
      <c r="H7828" s="153" t="s">
        <v>210</v>
      </c>
    </row>
    <row r="7829" hidden="1">
      <c r="A7829" s="154" t="s">
        <v>218</v>
      </c>
      <c r="B7829" s="155" t="s">
        <v>219</v>
      </c>
      <c r="C7829" s="155" t="s">
        <v>206</v>
      </c>
      <c r="D7829" s="156" t="s">
        <v>8722</v>
      </c>
      <c r="E7829" s="156" t="s">
        <v>8738</v>
      </c>
      <c r="F7829" s="156" t="s">
        <v>314</v>
      </c>
      <c r="G7829" s="156" t="s">
        <v>2816</v>
      </c>
      <c r="H7829" s="157" t="s">
        <v>211</v>
      </c>
    </row>
    <row r="7830" hidden="1">
      <c r="A7830" s="151" t="s">
        <v>218</v>
      </c>
      <c r="B7830" s="118" t="s">
        <v>219</v>
      </c>
      <c r="C7830" s="118" t="s">
        <v>206</v>
      </c>
      <c r="D7830" s="152" t="s">
        <v>8722</v>
      </c>
      <c r="E7830" s="152" t="s">
        <v>8739</v>
      </c>
      <c r="F7830" s="152" t="s">
        <v>483</v>
      </c>
      <c r="G7830" s="152" t="s">
        <v>4491</v>
      </c>
      <c r="H7830" s="153" t="s">
        <v>212</v>
      </c>
    </row>
    <row r="7831" hidden="1">
      <c r="A7831" s="154" t="s">
        <v>218</v>
      </c>
      <c r="B7831" s="155" t="s">
        <v>219</v>
      </c>
      <c r="C7831" s="155" t="s">
        <v>206</v>
      </c>
      <c r="D7831" s="156" t="s">
        <v>8722</v>
      </c>
      <c r="E7831" s="156" t="s">
        <v>8740</v>
      </c>
      <c r="F7831" s="156" t="s">
        <v>331</v>
      </c>
      <c r="G7831" s="156" t="s">
        <v>3449</v>
      </c>
      <c r="H7831" s="157" t="s">
        <v>213</v>
      </c>
    </row>
    <row r="7832" hidden="1">
      <c r="A7832" s="151" t="s">
        <v>218</v>
      </c>
      <c r="B7832" s="118" t="s">
        <v>219</v>
      </c>
      <c r="C7832" s="118" t="s">
        <v>206</v>
      </c>
      <c r="D7832" s="152" t="s">
        <v>8722</v>
      </c>
      <c r="E7832" s="152" t="s">
        <v>8741</v>
      </c>
      <c r="F7832" s="152" t="s">
        <v>290</v>
      </c>
      <c r="G7832" s="152" t="s">
        <v>2506</v>
      </c>
      <c r="H7832" s="153" t="s">
        <v>214</v>
      </c>
    </row>
    <row r="7833" hidden="1">
      <c r="A7833" s="154" t="s">
        <v>218</v>
      </c>
      <c r="B7833" s="155" t="s">
        <v>219</v>
      </c>
      <c r="C7833" s="155" t="s">
        <v>206</v>
      </c>
      <c r="D7833" s="156" t="s">
        <v>8722</v>
      </c>
      <c r="E7833" s="156" t="s">
        <v>8742</v>
      </c>
      <c r="F7833" s="156" t="s">
        <v>321</v>
      </c>
      <c r="G7833" s="156" t="s">
        <v>3136</v>
      </c>
      <c r="H7833" s="157" t="s">
        <v>215</v>
      </c>
    </row>
    <row r="7834" hidden="1">
      <c r="A7834" s="151" t="s">
        <v>218</v>
      </c>
      <c r="B7834" s="118" t="s">
        <v>219</v>
      </c>
      <c r="C7834" s="118" t="s">
        <v>206</v>
      </c>
      <c r="D7834" s="152" t="s">
        <v>8722</v>
      </c>
      <c r="E7834" s="152" t="s">
        <v>8743</v>
      </c>
      <c r="F7834" s="152" t="s">
        <v>308</v>
      </c>
      <c r="G7834" s="152" t="s">
        <v>2665</v>
      </c>
      <c r="H7834" s="153" t="s">
        <v>216</v>
      </c>
    </row>
    <row r="7835" hidden="1">
      <c r="A7835" s="154" t="s">
        <v>220</v>
      </c>
      <c r="B7835" s="155" t="s">
        <v>190</v>
      </c>
      <c r="C7835" s="155" t="s">
        <v>206</v>
      </c>
      <c r="D7835" s="156" t="s">
        <v>8722</v>
      </c>
      <c r="E7835" s="156" t="s">
        <v>8744</v>
      </c>
      <c r="F7835" s="156" t="s">
        <v>290</v>
      </c>
      <c r="G7835" s="156" t="s">
        <v>8745</v>
      </c>
      <c r="H7835" s="157" t="s">
        <v>210</v>
      </c>
    </row>
    <row r="7836" hidden="1">
      <c r="A7836" s="151" t="s">
        <v>220</v>
      </c>
      <c r="B7836" s="118" t="s">
        <v>190</v>
      </c>
      <c r="C7836" s="118" t="s">
        <v>206</v>
      </c>
      <c r="D7836" s="152" t="s">
        <v>8722</v>
      </c>
      <c r="E7836" s="152" t="s">
        <v>8746</v>
      </c>
      <c r="F7836" s="152" t="s">
        <v>425</v>
      </c>
      <c r="G7836" s="152" t="s">
        <v>4223</v>
      </c>
      <c r="H7836" s="153" t="s">
        <v>211</v>
      </c>
    </row>
    <row r="7837" hidden="1">
      <c r="A7837" s="154" t="s">
        <v>220</v>
      </c>
      <c r="B7837" s="155" t="s">
        <v>190</v>
      </c>
      <c r="C7837" s="155" t="s">
        <v>206</v>
      </c>
      <c r="D7837" s="156" t="s">
        <v>8722</v>
      </c>
      <c r="E7837" s="156" t="s">
        <v>8747</v>
      </c>
      <c r="F7837" s="156" t="s">
        <v>310</v>
      </c>
      <c r="G7837" s="156" t="s">
        <v>3432</v>
      </c>
      <c r="H7837" s="157" t="s">
        <v>212</v>
      </c>
    </row>
    <row r="7838" hidden="1">
      <c r="A7838" s="151" t="s">
        <v>220</v>
      </c>
      <c r="B7838" s="118" t="s">
        <v>190</v>
      </c>
      <c r="C7838" s="118" t="s">
        <v>206</v>
      </c>
      <c r="D7838" s="152" t="s">
        <v>8722</v>
      </c>
      <c r="E7838" s="152" t="s">
        <v>8748</v>
      </c>
      <c r="F7838" s="152" t="s">
        <v>351</v>
      </c>
      <c r="G7838" s="152" t="s">
        <v>4077</v>
      </c>
      <c r="H7838" s="153" t="s">
        <v>213</v>
      </c>
    </row>
    <row r="7839" hidden="1">
      <c r="A7839" s="154" t="s">
        <v>220</v>
      </c>
      <c r="B7839" s="155" t="s">
        <v>190</v>
      </c>
      <c r="C7839" s="155" t="s">
        <v>206</v>
      </c>
      <c r="D7839" s="156" t="s">
        <v>8722</v>
      </c>
      <c r="E7839" s="156" t="s">
        <v>8749</v>
      </c>
      <c r="F7839" s="156" t="s">
        <v>450</v>
      </c>
      <c r="G7839" s="156" t="s">
        <v>4209</v>
      </c>
      <c r="H7839" s="157" t="s">
        <v>214</v>
      </c>
    </row>
    <row r="7840" hidden="1">
      <c r="A7840" s="151" t="s">
        <v>220</v>
      </c>
      <c r="B7840" s="118" t="s">
        <v>190</v>
      </c>
      <c r="C7840" s="118" t="s">
        <v>206</v>
      </c>
      <c r="D7840" s="152" t="s">
        <v>8722</v>
      </c>
      <c r="E7840" s="152" t="s">
        <v>8750</v>
      </c>
      <c r="F7840" s="152" t="s">
        <v>1532</v>
      </c>
      <c r="G7840" s="152" t="s">
        <v>4515</v>
      </c>
      <c r="H7840" s="153" t="s">
        <v>215</v>
      </c>
    </row>
    <row r="7841" hidden="1">
      <c r="A7841" s="154" t="s">
        <v>220</v>
      </c>
      <c r="B7841" s="155" t="s">
        <v>190</v>
      </c>
      <c r="C7841" s="155" t="s">
        <v>206</v>
      </c>
      <c r="D7841" s="156" t="s">
        <v>8722</v>
      </c>
      <c r="E7841" s="156" t="s">
        <v>8751</v>
      </c>
      <c r="F7841" s="156" t="s">
        <v>339</v>
      </c>
      <c r="G7841" s="156" t="s">
        <v>8269</v>
      </c>
      <c r="H7841" s="157" t="s">
        <v>216</v>
      </c>
    </row>
    <row r="7842" hidden="1">
      <c r="A7842" s="151" t="s">
        <v>221</v>
      </c>
      <c r="B7842" s="118" t="s">
        <v>189</v>
      </c>
      <c r="C7842" s="118" t="s">
        <v>206</v>
      </c>
      <c r="D7842" s="152" t="s">
        <v>8722</v>
      </c>
      <c r="E7842" s="152" t="s">
        <v>8752</v>
      </c>
      <c r="F7842" s="152" t="s">
        <v>321</v>
      </c>
      <c r="G7842" s="152" t="s">
        <v>2925</v>
      </c>
      <c r="H7842" s="153" t="s">
        <v>210</v>
      </c>
    </row>
    <row r="7843" hidden="1">
      <c r="A7843" s="154" t="s">
        <v>221</v>
      </c>
      <c r="B7843" s="155" t="s">
        <v>189</v>
      </c>
      <c r="C7843" s="155" t="s">
        <v>206</v>
      </c>
      <c r="D7843" s="156" t="s">
        <v>8722</v>
      </c>
      <c r="E7843" s="156" t="s">
        <v>8753</v>
      </c>
      <c r="F7843" s="156" t="s">
        <v>450</v>
      </c>
      <c r="G7843" s="156" t="s">
        <v>2688</v>
      </c>
      <c r="H7843" s="157" t="s">
        <v>211</v>
      </c>
    </row>
    <row r="7844" hidden="1">
      <c r="A7844" s="151" t="s">
        <v>221</v>
      </c>
      <c r="B7844" s="118" t="s">
        <v>189</v>
      </c>
      <c r="C7844" s="118" t="s">
        <v>206</v>
      </c>
      <c r="D7844" s="152" t="s">
        <v>8722</v>
      </c>
      <c r="E7844" s="152" t="s">
        <v>8754</v>
      </c>
      <c r="F7844" s="152" t="s">
        <v>321</v>
      </c>
      <c r="G7844" s="152" t="s">
        <v>2405</v>
      </c>
      <c r="H7844" s="153" t="s">
        <v>212</v>
      </c>
    </row>
    <row r="7845" hidden="1">
      <c r="A7845" s="154" t="s">
        <v>221</v>
      </c>
      <c r="B7845" s="155" t="s">
        <v>189</v>
      </c>
      <c r="C7845" s="155" t="s">
        <v>206</v>
      </c>
      <c r="D7845" s="156" t="s">
        <v>8722</v>
      </c>
      <c r="E7845" s="156" t="s">
        <v>8755</v>
      </c>
      <c r="F7845" s="156" t="s">
        <v>298</v>
      </c>
      <c r="G7845" s="156" t="s">
        <v>2366</v>
      </c>
      <c r="H7845" s="157" t="s">
        <v>213</v>
      </c>
    </row>
    <row r="7846" hidden="1">
      <c r="A7846" s="151" t="s">
        <v>221</v>
      </c>
      <c r="B7846" s="118" t="s">
        <v>189</v>
      </c>
      <c r="C7846" s="118" t="s">
        <v>206</v>
      </c>
      <c r="D7846" s="152" t="s">
        <v>8722</v>
      </c>
      <c r="E7846" s="152" t="s">
        <v>8756</v>
      </c>
      <c r="F7846" s="152" t="s">
        <v>483</v>
      </c>
      <c r="G7846" s="152" t="s">
        <v>2633</v>
      </c>
      <c r="H7846" s="153" t="s">
        <v>214</v>
      </c>
    </row>
    <row r="7847" hidden="1">
      <c r="A7847" s="154" t="s">
        <v>221</v>
      </c>
      <c r="B7847" s="155" t="s">
        <v>189</v>
      </c>
      <c r="C7847" s="155" t="s">
        <v>206</v>
      </c>
      <c r="D7847" s="156" t="s">
        <v>8722</v>
      </c>
      <c r="E7847" s="156" t="s">
        <v>8757</v>
      </c>
      <c r="F7847" s="156" t="s">
        <v>290</v>
      </c>
      <c r="G7847" s="156" t="s">
        <v>2624</v>
      </c>
      <c r="H7847" s="157" t="s">
        <v>215</v>
      </c>
    </row>
    <row r="7848" hidden="1">
      <c r="A7848" s="151" t="s">
        <v>221</v>
      </c>
      <c r="B7848" s="118" t="s">
        <v>189</v>
      </c>
      <c r="C7848" s="118" t="s">
        <v>206</v>
      </c>
      <c r="D7848" s="152" t="s">
        <v>8722</v>
      </c>
      <c r="E7848" s="152" t="s">
        <v>8758</v>
      </c>
      <c r="F7848" s="152" t="s">
        <v>331</v>
      </c>
      <c r="G7848" s="152" t="s">
        <v>2211</v>
      </c>
      <c r="H7848" s="153" t="s">
        <v>216</v>
      </c>
    </row>
    <row r="7849" hidden="1">
      <c r="A7849" s="154" t="s">
        <v>222</v>
      </c>
      <c r="B7849" s="155" t="s">
        <v>192</v>
      </c>
      <c r="C7849" s="155" t="s">
        <v>206</v>
      </c>
      <c r="D7849" s="156" t="s">
        <v>8722</v>
      </c>
      <c r="E7849" s="156" t="s">
        <v>8759</v>
      </c>
      <c r="F7849" s="156" t="s">
        <v>354</v>
      </c>
      <c r="G7849" s="156" t="s">
        <v>3478</v>
      </c>
      <c r="H7849" s="157" t="s">
        <v>210</v>
      </c>
    </row>
    <row r="7850" hidden="1">
      <c r="A7850" s="151" t="s">
        <v>222</v>
      </c>
      <c r="B7850" s="118" t="s">
        <v>192</v>
      </c>
      <c r="C7850" s="118" t="s">
        <v>206</v>
      </c>
      <c r="D7850" s="152" t="s">
        <v>8722</v>
      </c>
      <c r="E7850" s="152" t="s">
        <v>8760</v>
      </c>
      <c r="F7850" s="152" t="s">
        <v>312</v>
      </c>
      <c r="G7850" s="152" t="s">
        <v>2970</v>
      </c>
      <c r="H7850" s="153" t="s">
        <v>211</v>
      </c>
    </row>
    <row r="7851" hidden="1">
      <c r="A7851" s="154" t="s">
        <v>222</v>
      </c>
      <c r="B7851" s="155" t="s">
        <v>192</v>
      </c>
      <c r="C7851" s="155" t="s">
        <v>206</v>
      </c>
      <c r="D7851" s="156" t="s">
        <v>8722</v>
      </c>
      <c r="E7851" s="156" t="s">
        <v>8761</v>
      </c>
      <c r="F7851" s="156" t="s">
        <v>577</v>
      </c>
      <c r="G7851" s="156" t="s">
        <v>1782</v>
      </c>
      <c r="H7851" s="157" t="s">
        <v>212</v>
      </c>
    </row>
    <row r="7852" hidden="1">
      <c r="A7852" s="151" t="s">
        <v>222</v>
      </c>
      <c r="B7852" s="118" t="s">
        <v>192</v>
      </c>
      <c r="C7852" s="118" t="s">
        <v>206</v>
      </c>
      <c r="D7852" s="152" t="s">
        <v>8722</v>
      </c>
      <c r="E7852" s="152" t="s">
        <v>8762</v>
      </c>
      <c r="F7852" s="152" t="s">
        <v>799</v>
      </c>
      <c r="G7852" s="152" t="s">
        <v>4006</v>
      </c>
      <c r="H7852" s="153" t="s">
        <v>213</v>
      </c>
    </row>
    <row r="7853" hidden="1">
      <c r="A7853" s="154" t="s">
        <v>222</v>
      </c>
      <c r="B7853" s="155" t="s">
        <v>192</v>
      </c>
      <c r="C7853" s="155" t="s">
        <v>206</v>
      </c>
      <c r="D7853" s="156" t="s">
        <v>8722</v>
      </c>
      <c r="E7853" s="156" t="s">
        <v>8763</v>
      </c>
      <c r="F7853" s="156" t="s">
        <v>354</v>
      </c>
      <c r="G7853" s="156" t="s">
        <v>2671</v>
      </c>
      <c r="H7853" s="157" t="s">
        <v>214</v>
      </c>
    </row>
    <row r="7854" hidden="1">
      <c r="A7854" s="151" t="s">
        <v>222</v>
      </c>
      <c r="B7854" s="118" t="s">
        <v>192</v>
      </c>
      <c r="C7854" s="118" t="s">
        <v>206</v>
      </c>
      <c r="D7854" s="152" t="s">
        <v>8722</v>
      </c>
      <c r="E7854" s="152" t="s">
        <v>8764</v>
      </c>
      <c r="F7854" s="152" t="s">
        <v>450</v>
      </c>
      <c r="G7854" s="152" t="s">
        <v>2814</v>
      </c>
      <c r="H7854" s="153" t="s">
        <v>215</v>
      </c>
    </row>
    <row r="7855" hidden="1">
      <c r="A7855" s="154" t="s">
        <v>222</v>
      </c>
      <c r="B7855" s="155" t="s">
        <v>192</v>
      </c>
      <c r="C7855" s="155" t="s">
        <v>206</v>
      </c>
      <c r="D7855" s="156" t="s">
        <v>8722</v>
      </c>
      <c r="E7855" s="156" t="s">
        <v>8765</v>
      </c>
      <c r="F7855" s="156" t="s">
        <v>494</v>
      </c>
      <c r="G7855" s="156" t="s">
        <v>3207</v>
      </c>
      <c r="H7855" s="157" t="s">
        <v>216</v>
      </c>
    </row>
    <row r="7856" hidden="1">
      <c r="A7856" s="151" t="s">
        <v>223</v>
      </c>
      <c r="B7856" s="118" t="s">
        <v>144</v>
      </c>
      <c r="C7856" s="118" t="s">
        <v>206</v>
      </c>
      <c r="D7856" s="152" t="s">
        <v>8722</v>
      </c>
      <c r="E7856" s="152" t="s">
        <v>8766</v>
      </c>
      <c r="F7856" s="152" t="s">
        <v>310</v>
      </c>
      <c r="G7856" s="152" t="s">
        <v>3844</v>
      </c>
      <c r="H7856" s="153" t="s">
        <v>210</v>
      </c>
    </row>
    <row r="7857" hidden="1">
      <c r="A7857" s="154" t="s">
        <v>223</v>
      </c>
      <c r="B7857" s="155" t="s">
        <v>144</v>
      </c>
      <c r="C7857" s="155" t="s">
        <v>206</v>
      </c>
      <c r="D7857" s="156" t="s">
        <v>8722</v>
      </c>
      <c r="E7857" s="156" t="s">
        <v>8767</v>
      </c>
      <c r="F7857" s="156" t="s">
        <v>325</v>
      </c>
      <c r="G7857" s="156" t="s">
        <v>2508</v>
      </c>
      <c r="H7857" s="157" t="s">
        <v>211</v>
      </c>
    </row>
    <row r="7858" hidden="1">
      <c r="A7858" s="151" t="s">
        <v>223</v>
      </c>
      <c r="B7858" s="118" t="s">
        <v>144</v>
      </c>
      <c r="C7858" s="118" t="s">
        <v>206</v>
      </c>
      <c r="D7858" s="152" t="s">
        <v>8722</v>
      </c>
      <c r="E7858" s="152" t="s">
        <v>8768</v>
      </c>
      <c r="F7858" s="152" t="s">
        <v>577</v>
      </c>
      <c r="G7858" s="152" t="s">
        <v>2181</v>
      </c>
      <c r="H7858" s="153" t="s">
        <v>212</v>
      </c>
    </row>
    <row r="7859" hidden="1">
      <c r="A7859" s="154" t="s">
        <v>223</v>
      </c>
      <c r="B7859" s="155" t="s">
        <v>144</v>
      </c>
      <c r="C7859" s="155" t="s">
        <v>206</v>
      </c>
      <c r="D7859" s="156" t="s">
        <v>8722</v>
      </c>
      <c r="E7859" s="156" t="s">
        <v>8769</v>
      </c>
      <c r="F7859" s="156" t="s">
        <v>354</v>
      </c>
      <c r="G7859" s="156" t="s">
        <v>3262</v>
      </c>
      <c r="H7859" s="157" t="s">
        <v>213</v>
      </c>
    </row>
    <row r="7860" hidden="1">
      <c r="A7860" s="151" t="s">
        <v>223</v>
      </c>
      <c r="B7860" s="118" t="s">
        <v>144</v>
      </c>
      <c r="C7860" s="118" t="s">
        <v>206</v>
      </c>
      <c r="D7860" s="152" t="s">
        <v>8722</v>
      </c>
      <c r="E7860" s="152" t="s">
        <v>8770</v>
      </c>
      <c r="F7860" s="152" t="s">
        <v>354</v>
      </c>
      <c r="G7860" s="152" t="s">
        <v>3300</v>
      </c>
      <c r="H7860" s="153" t="s">
        <v>214</v>
      </c>
    </row>
    <row r="7861" hidden="1">
      <c r="A7861" s="154" t="s">
        <v>223</v>
      </c>
      <c r="B7861" s="155" t="s">
        <v>144</v>
      </c>
      <c r="C7861" s="155" t="s">
        <v>206</v>
      </c>
      <c r="D7861" s="156" t="s">
        <v>8722</v>
      </c>
      <c r="E7861" s="156" t="s">
        <v>8771</v>
      </c>
      <c r="F7861" s="156" t="s">
        <v>494</v>
      </c>
      <c r="G7861" s="156" t="s">
        <v>3449</v>
      </c>
      <c r="H7861" s="157" t="s">
        <v>215</v>
      </c>
    </row>
    <row r="7862" hidden="1">
      <c r="A7862" s="151" t="s">
        <v>223</v>
      </c>
      <c r="B7862" s="118" t="s">
        <v>144</v>
      </c>
      <c r="C7862" s="118" t="s">
        <v>206</v>
      </c>
      <c r="D7862" s="152" t="s">
        <v>8722</v>
      </c>
      <c r="E7862" s="152" t="s">
        <v>8772</v>
      </c>
      <c r="F7862" s="152" t="s">
        <v>336</v>
      </c>
      <c r="G7862" s="152" t="s">
        <v>4073</v>
      </c>
      <c r="H7862" s="153" t="s">
        <v>216</v>
      </c>
    </row>
    <row r="7863" hidden="1">
      <c r="A7863" s="154" t="s">
        <v>224</v>
      </c>
      <c r="B7863" s="155" t="s">
        <v>170</v>
      </c>
      <c r="C7863" s="155" t="s">
        <v>206</v>
      </c>
      <c r="D7863" s="156" t="s">
        <v>8722</v>
      </c>
      <c r="E7863" s="156" t="s">
        <v>8773</v>
      </c>
      <c r="F7863" s="156" t="s">
        <v>329</v>
      </c>
      <c r="G7863" s="156" t="s">
        <v>3272</v>
      </c>
      <c r="H7863" s="157" t="s">
        <v>210</v>
      </c>
    </row>
    <row r="7864" hidden="1">
      <c r="A7864" s="151" t="s">
        <v>224</v>
      </c>
      <c r="B7864" s="118" t="s">
        <v>170</v>
      </c>
      <c r="C7864" s="118" t="s">
        <v>206</v>
      </c>
      <c r="D7864" s="152" t="s">
        <v>8722</v>
      </c>
      <c r="E7864" s="152" t="s">
        <v>8774</v>
      </c>
      <c r="F7864" s="152" t="s">
        <v>1999</v>
      </c>
      <c r="G7864" s="152" t="s">
        <v>3838</v>
      </c>
      <c r="H7864" s="153" t="s">
        <v>211</v>
      </c>
    </row>
    <row r="7865" hidden="1">
      <c r="A7865" s="154" t="s">
        <v>224</v>
      </c>
      <c r="B7865" s="155" t="s">
        <v>170</v>
      </c>
      <c r="C7865" s="155" t="s">
        <v>206</v>
      </c>
      <c r="D7865" s="156" t="s">
        <v>8722</v>
      </c>
      <c r="E7865" s="156" t="s">
        <v>8775</v>
      </c>
      <c r="F7865" s="156" t="s">
        <v>673</v>
      </c>
      <c r="G7865" s="156" t="s">
        <v>3968</v>
      </c>
      <c r="H7865" s="157" t="s">
        <v>212</v>
      </c>
    </row>
    <row r="7866" hidden="1">
      <c r="A7866" s="151" t="s">
        <v>224</v>
      </c>
      <c r="B7866" s="118" t="s">
        <v>170</v>
      </c>
      <c r="C7866" s="118" t="s">
        <v>206</v>
      </c>
      <c r="D7866" s="152" t="s">
        <v>8722</v>
      </c>
      <c r="E7866" s="152" t="s">
        <v>8776</v>
      </c>
      <c r="F7866" s="152" t="s">
        <v>405</v>
      </c>
      <c r="G7866" s="152" t="s">
        <v>4194</v>
      </c>
      <c r="H7866" s="153" t="s">
        <v>213</v>
      </c>
    </row>
    <row r="7867" hidden="1">
      <c r="A7867" s="154" t="s">
        <v>224</v>
      </c>
      <c r="B7867" s="155" t="s">
        <v>170</v>
      </c>
      <c r="C7867" s="155" t="s">
        <v>206</v>
      </c>
      <c r="D7867" s="156" t="s">
        <v>8722</v>
      </c>
      <c r="E7867" s="156" t="s">
        <v>8777</v>
      </c>
      <c r="F7867" s="156" t="s">
        <v>1530</v>
      </c>
      <c r="G7867" s="156" t="s">
        <v>4491</v>
      </c>
      <c r="H7867" s="157" t="s">
        <v>214</v>
      </c>
    </row>
    <row r="7868" hidden="1">
      <c r="A7868" s="151" t="s">
        <v>224</v>
      </c>
      <c r="B7868" s="118" t="s">
        <v>170</v>
      </c>
      <c r="C7868" s="118" t="s">
        <v>206</v>
      </c>
      <c r="D7868" s="152" t="s">
        <v>8722</v>
      </c>
      <c r="E7868" s="152" t="s">
        <v>8778</v>
      </c>
      <c r="F7868" s="152" t="s">
        <v>453</v>
      </c>
      <c r="G7868" s="152" t="s">
        <v>3368</v>
      </c>
      <c r="H7868" s="153" t="s">
        <v>215</v>
      </c>
    </row>
    <row r="7869" hidden="1">
      <c r="A7869" s="154" t="s">
        <v>224</v>
      </c>
      <c r="B7869" s="155" t="s">
        <v>170</v>
      </c>
      <c r="C7869" s="155" t="s">
        <v>206</v>
      </c>
      <c r="D7869" s="156" t="s">
        <v>8722</v>
      </c>
      <c r="E7869" s="156" t="s">
        <v>8779</v>
      </c>
      <c r="F7869" s="156" t="s">
        <v>677</v>
      </c>
      <c r="G7869" s="156" t="s">
        <v>4386</v>
      </c>
      <c r="H7869" s="157" t="s">
        <v>216</v>
      </c>
    </row>
    <row r="7870" hidden="1">
      <c r="A7870" s="151" t="s">
        <v>225</v>
      </c>
      <c r="B7870" s="118" t="s">
        <v>226</v>
      </c>
      <c r="C7870" s="118" t="s">
        <v>206</v>
      </c>
      <c r="D7870" s="152" t="s">
        <v>8722</v>
      </c>
      <c r="E7870" s="152" t="s">
        <v>8780</v>
      </c>
      <c r="F7870" s="152" t="s">
        <v>246</v>
      </c>
      <c r="G7870" s="152" t="s">
        <v>1808</v>
      </c>
      <c r="H7870" s="153" t="s">
        <v>210</v>
      </c>
    </row>
    <row r="7871" hidden="1">
      <c r="A7871" s="154" t="s">
        <v>225</v>
      </c>
      <c r="B7871" s="155" t="s">
        <v>226</v>
      </c>
      <c r="C7871" s="155" t="s">
        <v>206</v>
      </c>
      <c r="D7871" s="156" t="s">
        <v>8722</v>
      </c>
      <c r="E7871" s="156" t="s">
        <v>8781</v>
      </c>
      <c r="F7871" s="156" t="s">
        <v>301</v>
      </c>
      <c r="G7871" s="156" t="s">
        <v>2093</v>
      </c>
      <c r="H7871" s="157" t="s">
        <v>211</v>
      </c>
    </row>
    <row r="7872" hidden="1">
      <c r="A7872" s="151" t="s">
        <v>225</v>
      </c>
      <c r="B7872" s="118" t="s">
        <v>226</v>
      </c>
      <c r="C7872" s="118" t="s">
        <v>206</v>
      </c>
      <c r="D7872" s="152" t="s">
        <v>8722</v>
      </c>
      <c r="E7872" s="152" t="s">
        <v>8782</v>
      </c>
      <c r="F7872" s="152" t="s">
        <v>246</v>
      </c>
      <c r="G7872" s="152" t="s">
        <v>1866</v>
      </c>
      <c r="H7872" s="153" t="s">
        <v>212</v>
      </c>
    </row>
    <row r="7873" hidden="1">
      <c r="A7873" s="154" t="s">
        <v>225</v>
      </c>
      <c r="B7873" s="155" t="s">
        <v>226</v>
      </c>
      <c r="C7873" s="155" t="s">
        <v>206</v>
      </c>
      <c r="D7873" s="156" t="s">
        <v>8722</v>
      </c>
      <c r="E7873" s="156" t="s">
        <v>8203</v>
      </c>
      <c r="F7873" s="156" t="s">
        <v>357</v>
      </c>
      <c r="G7873" s="156" t="s">
        <v>2057</v>
      </c>
      <c r="H7873" s="157" t="s">
        <v>213</v>
      </c>
    </row>
    <row r="7874" hidden="1">
      <c r="A7874" s="151" t="s">
        <v>225</v>
      </c>
      <c r="B7874" s="118" t="s">
        <v>226</v>
      </c>
      <c r="C7874" s="118" t="s">
        <v>206</v>
      </c>
      <c r="D7874" s="152" t="s">
        <v>8722</v>
      </c>
      <c r="E7874" s="152" t="s">
        <v>8783</v>
      </c>
      <c r="F7874" s="152" t="s">
        <v>308</v>
      </c>
      <c r="G7874" s="152" t="s">
        <v>2697</v>
      </c>
      <c r="H7874" s="153" t="s">
        <v>214</v>
      </c>
    </row>
    <row r="7875" hidden="1">
      <c r="A7875" s="154" t="s">
        <v>225</v>
      </c>
      <c r="B7875" s="155" t="s">
        <v>226</v>
      </c>
      <c r="C7875" s="155" t="s">
        <v>206</v>
      </c>
      <c r="D7875" s="156" t="s">
        <v>8722</v>
      </c>
      <c r="E7875" s="156" t="s">
        <v>8784</v>
      </c>
      <c r="F7875" s="156" t="s">
        <v>492</v>
      </c>
      <c r="G7875" s="156" t="s">
        <v>2838</v>
      </c>
      <c r="H7875" s="157" t="s">
        <v>215</v>
      </c>
    </row>
    <row r="7876" hidden="1">
      <c r="A7876" s="151" t="s">
        <v>225</v>
      </c>
      <c r="B7876" s="118" t="s">
        <v>226</v>
      </c>
      <c r="C7876" s="118" t="s">
        <v>206</v>
      </c>
      <c r="D7876" s="152" t="s">
        <v>8722</v>
      </c>
      <c r="E7876" s="152" t="s">
        <v>8785</v>
      </c>
      <c r="F7876" s="152" t="s">
        <v>257</v>
      </c>
      <c r="G7876" s="152" t="s">
        <v>2530</v>
      </c>
      <c r="H7876" s="153" t="s">
        <v>216</v>
      </c>
    </row>
    <row r="7877" hidden="1">
      <c r="A7877" s="154" t="s">
        <v>227</v>
      </c>
      <c r="B7877" s="155" t="s">
        <v>195</v>
      </c>
      <c r="C7877" s="155" t="s">
        <v>206</v>
      </c>
      <c r="D7877" s="156" t="s">
        <v>8722</v>
      </c>
      <c r="E7877" s="156" t="s">
        <v>8786</v>
      </c>
      <c r="F7877" s="156" t="s">
        <v>287</v>
      </c>
      <c r="G7877" s="156" t="s">
        <v>3718</v>
      </c>
      <c r="H7877" s="157" t="s">
        <v>210</v>
      </c>
    </row>
    <row r="7878" hidden="1">
      <c r="A7878" s="151" t="s">
        <v>227</v>
      </c>
      <c r="B7878" s="118" t="s">
        <v>195</v>
      </c>
      <c r="C7878" s="118" t="s">
        <v>206</v>
      </c>
      <c r="D7878" s="152" t="s">
        <v>8722</v>
      </c>
      <c r="E7878" s="152" t="s">
        <v>8787</v>
      </c>
      <c r="F7878" s="152" t="s">
        <v>314</v>
      </c>
      <c r="G7878" s="152" t="s">
        <v>4006</v>
      </c>
      <c r="H7878" s="153" t="s">
        <v>211</v>
      </c>
    </row>
    <row r="7879" hidden="1">
      <c r="A7879" s="154" t="s">
        <v>227</v>
      </c>
      <c r="B7879" s="155" t="s">
        <v>195</v>
      </c>
      <c r="C7879" s="155" t="s">
        <v>206</v>
      </c>
      <c r="D7879" s="156" t="s">
        <v>8722</v>
      </c>
      <c r="E7879" s="156" t="s">
        <v>8788</v>
      </c>
      <c r="F7879" s="156" t="s">
        <v>329</v>
      </c>
      <c r="G7879" s="156" t="s">
        <v>2912</v>
      </c>
      <c r="H7879" s="157" t="s">
        <v>212</v>
      </c>
    </row>
    <row r="7880" hidden="1">
      <c r="A7880" s="151" t="s">
        <v>227</v>
      </c>
      <c r="B7880" s="118" t="s">
        <v>195</v>
      </c>
      <c r="C7880" s="118" t="s">
        <v>206</v>
      </c>
      <c r="D7880" s="152" t="s">
        <v>8722</v>
      </c>
      <c r="E7880" s="152" t="s">
        <v>8789</v>
      </c>
      <c r="F7880" s="152" t="s">
        <v>799</v>
      </c>
      <c r="G7880" s="152" t="s">
        <v>3718</v>
      </c>
      <c r="H7880" s="153" t="s">
        <v>213</v>
      </c>
    </row>
    <row r="7881" hidden="1">
      <c r="A7881" s="154" t="s">
        <v>227</v>
      </c>
      <c r="B7881" s="155" t="s">
        <v>195</v>
      </c>
      <c r="C7881" s="155" t="s">
        <v>206</v>
      </c>
      <c r="D7881" s="156" t="s">
        <v>8722</v>
      </c>
      <c r="E7881" s="156" t="s">
        <v>8790</v>
      </c>
      <c r="F7881" s="156" t="s">
        <v>427</v>
      </c>
      <c r="G7881" s="156" t="s">
        <v>2181</v>
      </c>
      <c r="H7881" s="157" t="s">
        <v>214</v>
      </c>
    </row>
    <row r="7882" hidden="1">
      <c r="A7882" s="151" t="s">
        <v>227</v>
      </c>
      <c r="B7882" s="118" t="s">
        <v>195</v>
      </c>
      <c r="C7882" s="118" t="s">
        <v>206</v>
      </c>
      <c r="D7882" s="152" t="s">
        <v>8722</v>
      </c>
      <c r="E7882" s="152" t="s">
        <v>8791</v>
      </c>
      <c r="F7882" s="152" t="s">
        <v>483</v>
      </c>
      <c r="G7882" s="152" t="s">
        <v>3445</v>
      </c>
      <c r="H7882" s="153" t="s">
        <v>215</v>
      </c>
    </row>
    <row r="7883" hidden="1">
      <c r="A7883" s="154" t="s">
        <v>227</v>
      </c>
      <c r="B7883" s="155" t="s">
        <v>195</v>
      </c>
      <c r="C7883" s="155" t="s">
        <v>206</v>
      </c>
      <c r="D7883" s="156" t="s">
        <v>8722</v>
      </c>
      <c r="E7883" s="156" t="s">
        <v>8792</v>
      </c>
      <c r="F7883" s="156" t="s">
        <v>359</v>
      </c>
      <c r="G7883" s="156" t="s">
        <v>3691</v>
      </c>
      <c r="H7883" s="157" t="s">
        <v>216</v>
      </c>
    </row>
    <row r="7884" hidden="1">
      <c r="A7884" s="151" t="s">
        <v>228</v>
      </c>
      <c r="B7884" s="118" t="s">
        <v>138</v>
      </c>
      <c r="C7884" s="118" t="s">
        <v>206</v>
      </c>
      <c r="D7884" s="152" t="s">
        <v>8722</v>
      </c>
      <c r="E7884" s="152" t="s">
        <v>8793</v>
      </c>
      <c r="F7884" s="152" t="s">
        <v>365</v>
      </c>
      <c r="G7884" s="152" t="s">
        <v>3466</v>
      </c>
      <c r="H7884" s="153" t="s">
        <v>210</v>
      </c>
    </row>
    <row r="7885" hidden="1">
      <c r="A7885" s="154" t="s">
        <v>228</v>
      </c>
      <c r="B7885" s="155" t="s">
        <v>138</v>
      </c>
      <c r="C7885" s="155" t="s">
        <v>206</v>
      </c>
      <c r="D7885" s="156" t="s">
        <v>8722</v>
      </c>
      <c r="E7885" s="156" t="s">
        <v>8794</v>
      </c>
      <c r="F7885" s="156" t="s">
        <v>308</v>
      </c>
      <c r="G7885" s="156" t="s">
        <v>3595</v>
      </c>
      <c r="H7885" s="157" t="s">
        <v>211</v>
      </c>
    </row>
    <row r="7886" hidden="1">
      <c r="A7886" s="151" t="s">
        <v>228</v>
      </c>
      <c r="B7886" s="118" t="s">
        <v>138</v>
      </c>
      <c r="C7886" s="118" t="s">
        <v>206</v>
      </c>
      <c r="D7886" s="152" t="s">
        <v>8722</v>
      </c>
      <c r="E7886" s="152" t="s">
        <v>8795</v>
      </c>
      <c r="F7886" s="152" t="s">
        <v>3240</v>
      </c>
      <c r="G7886" s="152" t="s">
        <v>2506</v>
      </c>
      <c r="H7886" s="153" t="s">
        <v>212</v>
      </c>
    </row>
    <row r="7887" hidden="1">
      <c r="A7887" s="154" t="s">
        <v>228</v>
      </c>
      <c r="B7887" s="155" t="s">
        <v>138</v>
      </c>
      <c r="C7887" s="155" t="s">
        <v>206</v>
      </c>
      <c r="D7887" s="156" t="s">
        <v>8722</v>
      </c>
      <c r="E7887" s="156" t="s">
        <v>8796</v>
      </c>
      <c r="F7887" s="156" t="s">
        <v>494</v>
      </c>
      <c r="G7887" s="156" t="s">
        <v>3844</v>
      </c>
      <c r="H7887" s="157" t="s">
        <v>213</v>
      </c>
    </row>
    <row r="7888" hidden="1">
      <c r="A7888" s="151" t="s">
        <v>228</v>
      </c>
      <c r="B7888" s="118" t="s">
        <v>138</v>
      </c>
      <c r="C7888" s="118" t="s">
        <v>206</v>
      </c>
      <c r="D7888" s="152" t="s">
        <v>8722</v>
      </c>
      <c r="E7888" s="152" t="s">
        <v>8797</v>
      </c>
      <c r="F7888" s="152" t="s">
        <v>359</v>
      </c>
      <c r="G7888" s="152" t="s">
        <v>3443</v>
      </c>
      <c r="H7888" s="153" t="s">
        <v>214</v>
      </c>
    </row>
    <row r="7889" hidden="1">
      <c r="A7889" s="154" t="s">
        <v>228</v>
      </c>
      <c r="B7889" s="155" t="s">
        <v>138</v>
      </c>
      <c r="C7889" s="155" t="s">
        <v>206</v>
      </c>
      <c r="D7889" s="156" t="s">
        <v>8722</v>
      </c>
      <c r="E7889" s="156" t="s">
        <v>8798</v>
      </c>
      <c r="F7889" s="156" t="s">
        <v>359</v>
      </c>
      <c r="G7889" s="156" t="s">
        <v>2758</v>
      </c>
      <c r="H7889" s="157" t="s">
        <v>215</v>
      </c>
    </row>
    <row r="7890" hidden="1">
      <c r="A7890" s="151" t="s">
        <v>228</v>
      </c>
      <c r="B7890" s="118" t="s">
        <v>138</v>
      </c>
      <c r="C7890" s="118" t="s">
        <v>206</v>
      </c>
      <c r="D7890" s="152" t="s">
        <v>8722</v>
      </c>
      <c r="E7890" s="152" t="s">
        <v>8799</v>
      </c>
      <c r="F7890" s="152" t="s">
        <v>249</v>
      </c>
      <c r="G7890" s="152" t="s">
        <v>2185</v>
      </c>
      <c r="H7890" s="153" t="s">
        <v>216</v>
      </c>
    </row>
    <row r="7891" hidden="1">
      <c r="A7891" s="154" t="s">
        <v>229</v>
      </c>
      <c r="B7891" s="155" t="s">
        <v>193</v>
      </c>
      <c r="C7891" s="155" t="s">
        <v>206</v>
      </c>
      <c r="D7891" s="156" t="s">
        <v>8722</v>
      </c>
      <c r="E7891" s="156" t="s">
        <v>8800</v>
      </c>
      <c r="F7891" s="156" t="s">
        <v>494</v>
      </c>
      <c r="G7891" s="156" t="s">
        <v>4331</v>
      </c>
      <c r="H7891" s="157" t="s">
        <v>210</v>
      </c>
    </row>
    <row r="7892" hidden="1">
      <c r="A7892" s="151" t="s">
        <v>229</v>
      </c>
      <c r="B7892" s="118" t="s">
        <v>193</v>
      </c>
      <c r="C7892" s="118" t="s">
        <v>206</v>
      </c>
      <c r="D7892" s="152" t="s">
        <v>8722</v>
      </c>
      <c r="E7892" s="152" t="s">
        <v>8801</v>
      </c>
      <c r="F7892" s="152" t="s">
        <v>534</v>
      </c>
      <c r="G7892" s="152" t="s">
        <v>4491</v>
      </c>
      <c r="H7892" s="153" t="s">
        <v>211</v>
      </c>
    </row>
    <row r="7893" hidden="1">
      <c r="A7893" s="154" t="s">
        <v>229</v>
      </c>
      <c r="B7893" s="155" t="s">
        <v>193</v>
      </c>
      <c r="C7893" s="155" t="s">
        <v>206</v>
      </c>
      <c r="D7893" s="156" t="s">
        <v>8722</v>
      </c>
      <c r="E7893" s="156" t="s">
        <v>8802</v>
      </c>
      <c r="F7893" s="156" t="s">
        <v>354</v>
      </c>
      <c r="G7893" s="156" t="s">
        <v>4712</v>
      </c>
      <c r="H7893" s="157" t="s">
        <v>212</v>
      </c>
    </row>
    <row r="7894" hidden="1">
      <c r="A7894" s="151" t="s">
        <v>229</v>
      </c>
      <c r="B7894" s="118" t="s">
        <v>193</v>
      </c>
      <c r="C7894" s="118" t="s">
        <v>206</v>
      </c>
      <c r="D7894" s="152" t="s">
        <v>8722</v>
      </c>
      <c r="E7894" s="152" t="s">
        <v>8803</v>
      </c>
      <c r="F7894" s="152" t="s">
        <v>1929</v>
      </c>
      <c r="G7894" s="152" t="s">
        <v>4493</v>
      </c>
      <c r="H7894" s="153" t="s">
        <v>213</v>
      </c>
    </row>
    <row r="7895" hidden="1">
      <c r="A7895" s="154" t="s">
        <v>229</v>
      </c>
      <c r="B7895" s="155" t="s">
        <v>193</v>
      </c>
      <c r="C7895" s="155" t="s">
        <v>206</v>
      </c>
      <c r="D7895" s="156" t="s">
        <v>8722</v>
      </c>
      <c r="E7895" s="156" t="s">
        <v>8804</v>
      </c>
      <c r="F7895" s="156" t="s">
        <v>1530</v>
      </c>
      <c r="G7895" s="156" t="s">
        <v>8617</v>
      </c>
      <c r="H7895" s="157" t="s">
        <v>214</v>
      </c>
    </row>
    <row r="7896" hidden="1">
      <c r="A7896" s="151" t="s">
        <v>229</v>
      </c>
      <c r="B7896" s="118" t="s">
        <v>193</v>
      </c>
      <c r="C7896" s="118" t="s">
        <v>206</v>
      </c>
      <c r="D7896" s="152" t="s">
        <v>8722</v>
      </c>
      <c r="E7896" s="152" t="s">
        <v>8805</v>
      </c>
      <c r="F7896" s="152" t="s">
        <v>691</v>
      </c>
      <c r="G7896" s="152" t="s">
        <v>3925</v>
      </c>
      <c r="H7896" s="153" t="s">
        <v>215</v>
      </c>
    </row>
    <row r="7897" hidden="1">
      <c r="A7897" s="154" t="s">
        <v>229</v>
      </c>
      <c r="B7897" s="155" t="s">
        <v>193</v>
      </c>
      <c r="C7897" s="155" t="s">
        <v>206</v>
      </c>
      <c r="D7897" s="156" t="s">
        <v>8722</v>
      </c>
      <c r="E7897" s="156" t="s">
        <v>8806</v>
      </c>
      <c r="F7897" s="156" t="s">
        <v>354</v>
      </c>
      <c r="G7897" s="156" t="s">
        <v>4171</v>
      </c>
      <c r="H7897" s="157" t="s">
        <v>216</v>
      </c>
    </row>
    <row r="7898" hidden="1">
      <c r="A7898" s="151" t="s">
        <v>230</v>
      </c>
      <c r="B7898" s="118" t="s">
        <v>194</v>
      </c>
      <c r="C7898" s="118" t="s">
        <v>206</v>
      </c>
      <c r="D7898" s="152" t="s">
        <v>8722</v>
      </c>
      <c r="E7898" s="152" t="s">
        <v>8807</v>
      </c>
      <c r="F7898" s="152" t="s">
        <v>494</v>
      </c>
      <c r="G7898" s="152" t="s">
        <v>3525</v>
      </c>
      <c r="H7898" s="153" t="s">
        <v>210</v>
      </c>
    </row>
    <row r="7899" hidden="1">
      <c r="A7899" s="154" t="s">
        <v>230</v>
      </c>
      <c r="B7899" s="155" t="s">
        <v>194</v>
      </c>
      <c r="C7899" s="155" t="s">
        <v>206</v>
      </c>
      <c r="D7899" s="156" t="s">
        <v>8722</v>
      </c>
      <c r="E7899" s="156" t="s">
        <v>8808</v>
      </c>
      <c r="F7899" s="156" t="s">
        <v>799</v>
      </c>
      <c r="G7899" s="156" t="s">
        <v>2219</v>
      </c>
      <c r="H7899" s="157" t="s">
        <v>211</v>
      </c>
    </row>
    <row r="7900" hidden="1">
      <c r="A7900" s="151" t="s">
        <v>230</v>
      </c>
      <c r="B7900" s="118" t="s">
        <v>194</v>
      </c>
      <c r="C7900" s="118" t="s">
        <v>206</v>
      </c>
      <c r="D7900" s="152" t="s">
        <v>8722</v>
      </c>
      <c r="E7900" s="152" t="s">
        <v>8809</v>
      </c>
      <c r="F7900" s="152" t="s">
        <v>483</v>
      </c>
      <c r="G7900" s="152" t="s">
        <v>3523</v>
      </c>
      <c r="H7900" s="153" t="s">
        <v>212</v>
      </c>
    </row>
    <row r="7901" hidden="1">
      <c r="A7901" s="154" t="s">
        <v>230</v>
      </c>
      <c r="B7901" s="155" t="s">
        <v>194</v>
      </c>
      <c r="C7901" s="155" t="s">
        <v>206</v>
      </c>
      <c r="D7901" s="156" t="s">
        <v>8722</v>
      </c>
      <c r="E7901" s="156" t="s">
        <v>8810</v>
      </c>
      <c r="F7901" s="156" t="s">
        <v>494</v>
      </c>
      <c r="G7901" s="156" t="s">
        <v>3396</v>
      </c>
      <c r="H7901" s="157" t="s">
        <v>213</v>
      </c>
    </row>
    <row r="7902" hidden="1">
      <c r="A7902" s="151" t="s">
        <v>230</v>
      </c>
      <c r="B7902" s="118" t="s">
        <v>194</v>
      </c>
      <c r="C7902" s="118" t="s">
        <v>206</v>
      </c>
      <c r="D7902" s="152" t="s">
        <v>8722</v>
      </c>
      <c r="E7902" s="152" t="s">
        <v>8811</v>
      </c>
      <c r="F7902" s="152" t="s">
        <v>677</v>
      </c>
      <c r="G7902" s="152" t="s">
        <v>2986</v>
      </c>
      <c r="H7902" s="153" t="s">
        <v>214</v>
      </c>
    </row>
    <row r="7903" hidden="1">
      <c r="A7903" s="154" t="s">
        <v>230</v>
      </c>
      <c r="B7903" s="155" t="s">
        <v>194</v>
      </c>
      <c r="C7903" s="155" t="s">
        <v>206</v>
      </c>
      <c r="D7903" s="156" t="s">
        <v>8722</v>
      </c>
      <c r="E7903" s="156" t="s">
        <v>8812</v>
      </c>
      <c r="F7903" s="156" t="s">
        <v>483</v>
      </c>
      <c r="G7903" s="156" t="s">
        <v>2758</v>
      </c>
      <c r="H7903" s="157" t="s">
        <v>215</v>
      </c>
    </row>
    <row r="7904" hidden="1">
      <c r="A7904" s="151" t="s">
        <v>230</v>
      </c>
      <c r="B7904" s="118" t="s">
        <v>194</v>
      </c>
      <c r="C7904" s="118" t="s">
        <v>206</v>
      </c>
      <c r="D7904" s="152" t="s">
        <v>8722</v>
      </c>
      <c r="E7904" s="152" t="s">
        <v>8813</v>
      </c>
      <c r="F7904" s="152" t="s">
        <v>354</v>
      </c>
      <c r="G7904" s="152" t="s">
        <v>1927</v>
      </c>
      <c r="H7904" s="153" t="s">
        <v>216</v>
      </c>
    </row>
    <row r="7905" hidden="1">
      <c r="A7905" s="158" t="s">
        <v>231</v>
      </c>
      <c r="B7905" s="159"/>
      <c r="C7905" s="155" t="s">
        <v>232</v>
      </c>
      <c r="D7905" s="156" t="s">
        <v>8722</v>
      </c>
      <c r="E7905" s="156" t="s">
        <v>8814</v>
      </c>
      <c r="F7905" s="156" t="s">
        <v>3243</v>
      </c>
      <c r="G7905" s="156" t="s">
        <v>6645</v>
      </c>
      <c r="H7905" s="157" t="s">
        <v>210</v>
      </c>
    </row>
    <row r="7906" hidden="1">
      <c r="A7906" s="160" t="s">
        <v>231</v>
      </c>
      <c r="B7906" s="72"/>
      <c r="C7906" s="118" t="s">
        <v>232</v>
      </c>
      <c r="D7906" s="152" t="s">
        <v>8722</v>
      </c>
      <c r="E7906" s="152" t="s">
        <v>8815</v>
      </c>
      <c r="F7906" s="152" t="s">
        <v>675</v>
      </c>
      <c r="G7906" s="152" t="s">
        <v>4075</v>
      </c>
      <c r="H7906" s="153" t="s">
        <v>211</v>
      </c>
    </row>
    <row r="7907" hidden="1">
      <c r="A7907" s="158" t="s">
        <v>231</v>
      </c>
      <c r="B7907" s="159"/>
      <c r="C7907" s="155" t="s">
        <v>232</v>
      </c>
      <c r="D7907" s="156" t="s">
        <v>8722</v>
      </c>
      <c r="E7907" s="156" t="s">
        <v>8816</v>
      </c>
      <c r="F7907" s="156" t="s">
        <v>444</v>
      </c>
      <c r="G7907" s="156" t="s">
        <v>3812</v>
      </c>
      <c r="H7907" s="157" t="s">
        <v>212</v>
      </c>
    </row>
    <row r="7908" hidden="1">
      <c r="A7908" s="160" t="s">
        <v>231</v>
      </c>
      <c r="B7908" s="72"/>
      <c r="C7908" s="118" t="s">
        <v>232</v>
      </c>
      <c r="D7908" s="152" t="s">
        <v>8722</v>
      </c>
      <c r="E7908" s="152" t="s">
        <v>8817</v>
      </c>
      <c r="F7908" s="152" t="s">
        <v>444</v>
      </c>
      <c r="G7908" s="152" t="s">
        <v>4491</v>
      </c>
      <c r="H7908" s="153" t="s">
        <v>213</v>
      </c>
    </row>
    <row r="7909" hidden="1">
      <c r="A7909" s="158" t="s">
        <v>231</v>
      </c>
      <c r="B7909" s="159"/>
      <c r="C7909" s="155" t="s">
        <v>232</v>
      </c>
      <c r="D7909" s="156" t="s">
        <v>8722</v>
      </c>
      <c r="E7909" s="156" t="s">
        <v>8818</v>
      </c>
      <c r="F7909" s="156" t="s">
        <v>2226</v>
      </c>
      <c r="G7909" s="156" t="s">
        <v>3300</v>
      </c>
      <c r="H7909" s="157" t="s">
        <v>214</v>
      </c>
    </row>
    <row r="7910" hidden="1">
      <c r="A7910" s="160" t="s">
        <v>231</v>
      </c>
      <c r="B7910" s="72"/>
      <c r="C7910" s="118" t="s">
        <v>232</v>
      </c>
      <c r="D7910" s="152" t="s">
        <v>8722</v>
      </c>
      <c r="E7910" s="152" t="s">
        <v>8819</v>
      </c>
      <c r="F7910" s="152" t="s">
        <v>3240</v>
      </c>
      <c r="G7910" s="152" t="s">
        <v>4287</v>
      </c>
      <c r="H7910" s="153" t="s">
        <v>215</v>
      </c>
    </row>
    <row r="7911" hidden="1">
      <c r="A7911" s="158" t="s">
        <v>231</v>
      </c>
      <c r="B7911" s="159"/>
      <c r="C7911" s="155" t="s">
        <v>232</v>
      </c>
      <c r="D7911" s="156" t="s">
        <v>8722</v>
      </c>
      <c r="E7911" s="156" t="s">
        <v>8820</v>
      </c>
      <c r="F7911" s="156" t="s">
        <v>444</v>
      </c>
      <c r="G7911" s="156" t="s">
        <v>3460</v>
      </c>
      <c r="H7911" s="157" t="s">
        <v>216</v>
      </c>
    </row>
    <row r="7912" hidden="1">
      <c r="A7912" s="160" t="s">
        <v>233</v>
      </c>
      <c r="B7912" s="72"/>
      <c r="C7912" s="118" t="s">
        <v>232</v>
      </c>
      <c r="D7912" s="152" t="s">
        <v>8722</v>
      </c>
      <c r="E7912" s="152" t="s">
        <v>8821</v>
      </c>
      <c r="F7912" s="152" t="s">
        <v>725</v>
      </c>
      <c r="G7912" s="152" t="s">
        <v>3371</v>
      </c>
      <c r="H7912" s="153" t="s">
        <v>210</v>
      </c>
    </row>
    <row r="7913" hidden="1">
      <c r="A7913" s="158" t="s">
        <v>233</v>
      </c>
      <c r="B7913" s="159"/>
      <c r="C7913" s="155" t="s">
        <v>232</v>
      </c>
      <c r="D7913" s="156" t="s">
        <v>8722</v>
      </c>
      <c r="E7913" s="156" t="s">
        <v>8822</v>
      </c>
      <c r="F7913" s="156" t="s">
        <v>799</v>
      </c>
      <c r="G7913" s="156" t="s">
        <v>3117</v>
      </c>
      <c r="H7913" s="157" t="s">
        <v>211</v>
      </c>
    </row>
    <row r="7914" hidden="1">
      <c r="A7914" s="160" t="s">
        <v>233</v>
      </c>
      <c r="B7914" s="72"/>
      <c r="C7914" s="118" t="s">
        <v>232</v>
      </c>
      <c r="D7914" s="152" t="s">
        <v>8722</v>
      </c>
      <c r="E7914" s="152" t="s">
        <v>8823</v>
      </c>
      <c r="F7914" s="152" t="s">
        <v>312</v>
      </c>
      <c r="G7914" s="152" t="s">
        <v>3117</v>
      </c>
      <c r="H7914" s="153" t="s">
        <v>212</v>
      </c>
    </row>
    <row r="7915" hidden="1">
      <c r="A7915" s="158" t="s">
        <v>233</v>
      </c>
      <c r="B7915" s="159"/>
      <c r="C7915" s="155" t="s">
        <v>232</v>
      </c>
      <c r="D7915" s="156" t="s">
        <v>8722</v>
      </c>
      <c r="E7915" s="156" t="s">
        <v>8824</v>
      </c>
      <c r="F7915" s="156" t="s">
        <v>478</v>
      </c>
      <c r="G7915" s="156" t="s">
        <v>2822</v>
      </c>
      <c r="H7915" s="157" t="s">
        <v>213</v>
      </c>
    </row>
    <row r="7916" hidden="1">
      <c r="A7916" s="160" t="s">
        <v>233</v>
      </c>
      <c r="B7916" s="72"/>
      <c r="C7916" s="118" t="s">
        <v>232</v>
      </c>
      <c r="D7916" s="152" t="s">
        <v>8722</v>
      </c>
      <c r="E7916" s="152" t="s">
        <v>8825</v>
      </c>
      <c r="F7916" s="152" t="s">
        <v>532</v>
      </c>
      <c r="G7916" s="152" t="s">
        <v>3616</v>
      </c>
      <c r="H7916" s="153" t="s">
        <v>214</v>
      </c>
    </row>
    <row r="7917" hidden="1">
      <c r="A7917" s="158" t="s">
        <v>233</v>
      </c>
      <c r="B7917" s="159"/>
      <c r="C7917" s="155" t="s">
        <v>232</v>
      </c>
      <c r="D7917" s="156" t="s">
        <v>8722</v>
      </c>
      <c r="E7917" s="156" t="s">
        <v>8826</v>
      </c>
      <c r="F7917" s="156" t="s">
        <v>478</v>
      </c>
      <c r="G7917" s="156" t="s">
        <v>3968</v>
      </c>
      <c r="H7917" s="157" t="s">
        <v>215</v>
      </c>
    </row>
    <row r="7918" hidden="1">
      <c r="A7918" s="160" t="s">
        <v>233</v>
      </c>
      <c r="B7918" s="72"/>
      <c r="C7918" s="118" t="s">
        <v>232</v>
      </c>
      <c r="D7918" s="152" t="s">
        <v>8722</v>
      </c>
      <c r="E7918" s="152" t="s">
        <v>8827</v>
      </c>
      <c r="F7918" s="152" t="s">
        <v>725</v>
      </c>
      <c r="G7918" s="152" t="s">
        <v>3989</v>
      </c>
      <c r="H7918" s="153" t="s">
        <v>216</v>
      </c>
    </row>
    <row r="7919" hidden="1">
      <c r="A7919" s="158" t="s">
        <v>234</v>
      </c>
      <c r="B7919" s="159"/>
      <c r="C7919" s="155" t="s">
        <v>232</v>
      </c>
      <c r="D7919" s="156" t="s">
        <v>8722</v>
      </c>
      <c r="E7919" s="156" t="s">
        <v>8828</v>
      </c>
      <c r="F7919" s="156" t="s">
        <v>314</v>
      </c>
      <c r="G7919" s="156" t="s">
        <v>2389</v>
      </c>
      <c r="H7919" s="157" t="s">
        <v>210</v>
      </c>
    </row>
    <row r="7920" hidden="1">
      <c r="A7920" s="160" t="s">
        <v>234</v>
      </c>
      <c r="B7920" s="72"/>
      <c r="C7920" s="118" t="s">
        <v>232</v>
      </c>
      <c r="D7920" s="152" t="s">
        <v>8722</v>
      </c>
      <c r="E7920" s="152" t="s">
        <v>8829</v>
      </c>
      <c r="F7920" s="152" t="s">
        <v>450</v>
      </c>
      <c r="G7920" s="152" t="s">
        <v>2859</v>
      </c>
      <c r="H7920" s="153" t="s">
        <v>211</v>
      </c>
    </row>
    <row r="7921" hidden="1">
      <c r="A7921" s="158" t="s">
        <v>234</v>
      </c>
      <c r="B7921" s="159"/>
      <c r="C7921" s="155" t="s">
        <v>232</v>
      </c>
      <c r="D7921" s="156" t="s">
        <v>8722</v>
      </c>
      <c r="E7921" s="156" t="s">
        <v>8830</v>
      </c>
      <c r="F7921" s="156" t="s">
        <v>351</v>
      </c>
      <c r="G7921" s="156" t="s">
        <v>2472</v>
      </c>
      <c r="H7921" s="157" t="s">
        <v>212</v>
      </c>
    </row>
    <row r="7922" hidden="1">
      <c r="A7922" s="160" t="s">
        <v>234</v>
      </c>
      <c r="B7922" s="72"/>
      <c r="C7922" s="118" t="s">
        <v>232</v>
      </c>
      <c r="D7922" s="152" t="s">
        <v>8722</v>
      </c>
      <c r="E7922" s="152" t="s">
        <v>8831</v>
      </c>
      <c r="F7922" s="152" t="s">
        <v>331</v>
      </c>
      <c r="G7922" s="152" t="s">
        <v>1832</v>
      </c>
      <c r="H7922" s="153" t="s">
        <v>213</v>
      </c>
    </row>
    <row r="7923" hidden="1">
      <c r="A7923" s="158" t="s">
        <v>234</v>
      </c>
      <c r="B7923" s="159"/>
      <c r="C7923" s="155" t="s">
        <v>232</v>
      </c>
      <c r="D7923" s="156" t="s">
        <v>8722</v>
      </c>
      <c r="E7923" s="156" t="s">
        <v>8832</v>
      </c>
      <c r="F7923" s="156" t="s">
        <v>354</v>
      </c>
      <c r="G7923" s="156" t="s">
        <v>1860</v>
      </c>
      <c r="H7923" s="157" t="s">
        <v>214</v>
      </c>
    </row>
    <row r="7924" hidden="1">
      <c r="A7924" s="160" t="s">
        <v>234</v>
      </c>
      <c r="B7924" s="72"/>
      <c r="C7924" s="118" t="s">
        <v>232</v>
      </c>
      <c r="D7924" s="152" t="s">
        <v>8722</v>
      </c>
      <c r="E7924" s="152" t="s">
        <v>8833</v>
      </c>
      <c r="F7924" s="152" t="s">
        <v>494</v>
      </c>
      <c r="G7924" s="152" t="s">
        <v>2107</v>
      </c>
      <c r="H7924" s="153" t="s">
        <v>215</v>
      </c>
    </row>
    <row r="7925" hidden="1">
      <c r="A7925" s="158" t="s">
        <v>234</v>
      </c>
      <c r="B7925" s="159"/>
      <c r="C7925" s="155" t="s">
        <v>232</v>
      </c>
      <c r="D7925" s="156" t="s">
        <v>8722</v>
      </c>
      <c r="E7925" s="156" t="s">
        <v>8834</v>
      </c>
      <c r="F7925" s="156" t="s">
        <v>310</v>
      </c>
      <c r="G7925" s="156" t="s">
        <v>2777</v>
      </c>
      <c r="H7925" s="157" t="s">
        <v>216</v>
      </c>
    </row>
    <row r="7926" hidden="1">
      <c r="A7926" s="160" t="s">
        <v>235</v>
      </c>
      <c r="B7926" s="72"/>
      <c r="C7926" s="118" t="s">
        <v>236</v>
      </c>
      <c r="D7926" s="152" t="s">
        <v>8722</v>
      </c>
      <c r="E7926" s="152" t="s">
        <v>8835</v>
      </c>
      <c r="F7926" s="152" t="s">
        <v>673</v>
      </c>
      <c r="G7926" s="152" t="s">
        <v>3840</v>
      </c>
      <c r="H7926" s="153" t="s">
        <v>210</v>
      </c>
    </row>
    <row r="7927" hidden="1">
      <c r="A7927" s="158" t="s">
        <v>235</v>
      </c>
      <c r="B7927" s="159"/>
      <c r="C7927" s="155" t="s">
        <v>236</v>
      </c>
      <c r="D7927" s="156" t="s">
        <v>8722</v>
      </c>
      <c r="E7927" s="156" t="s">
        <v>8836</v>
      </c>
      <c r="F7927" s="156" t="s">
        <v>532</v>
      </c>
      <c r="G7927" s="156" t="s">
        <v>4002</v>
      </c>
      <c r="H7927" s="157" t="s">
        <v>211</v>
      </c>
    </row>
    <row r="7928" hidden="1">
      <c r="A7928" s="160" t="s">
        <v>235</v>
      </c>
      <c r="B7928" s="72"/>
      <c r="C7928" s="118" t="s">
        <v>236</v>
      </c>
      <c r="D7928" s="152" t="s">
        <v>8722</v>
      </c>
      <c r="E7928" s="152" t="s">
        <v>8837</v>
      </c>
      <c r="F7928" s="152" t="s">
        <v>453</v>
      </c>
      <c r="G7928" s="152" t="s">
        <v>3900</v>
      </c>
      <c r="H7928" s="153" t="s">
        <v>212</v>
      </c>
    </row>
    <row r="7929" hidden="1">
      <c r="A7929" s="158" t="s">
        <v>235</v>
      </c>
      <c r="B7929" s="159"/>
      <c r="C7929" s="155" t="s">
        <v>236</v>
      </c>
      <c r="D7929" s="156" t="s">
        <v>8722</v>
      </c>
      <c r="E7929" s="156" t="s">
        <v>8838</v>
      </c>
      <c r="F7929" s="156" t="s">
        <v>453</v>
      </c>
      <c r="G7929" s="156" t="s">
        <v>3108</v>
      </c>
      <c r="H7929" s="157" t="s">
        <v>213</v>
      </c>
    </row>
    <row r="7930" hidden="1">
      <c r="A7930" s="160" t="s">
        <v>235</v>
      </c>
      <c r="B7930" s="72"/>
      <c r="C7930" s="118" t="s">
        <v>236</v>
      </c>
      <c r="D7930" s="152" t="s">
        <v>8722</v>
      </c>
      <c r="E7930" s="152" t="s">
        <v>8839</v>
      </c>
      <c r="F7930" s="152" t="s">
        <v>673</v>
      </c>
      <c r="G7930" s="152" t="s">
        <v>3996</v>
      </c>
      <c r="H7930" s="153" t="s">
        <v>214</v>
      </c>
    </row>
    <row r="7931" hidden="1">
      <c r="A7931" s="158" t="s">
        <v>235</v>
      </c>
      <c r="B7931" s="159"/>
      <c r="C7931" s="155" t="s">
        <v>236</v>
      </c>
      <c r="D7931" s="156" t="s">
        <v>8722</v>
      </c>
      <c r="E7931" s="156" t="s">
        <v>8840</v>
      </c>
      <c r="F7931" s="156" t="s">
        <v>423</v>
      </c>
      <c r="G7931" s="156" t="s">
        <v>2008</v>
      </c>
      <c r="H7931" s="157" t="s">
        <v>215</v>
      </c>
    </row>
    <row r="7932" hidden="1">
      <c r="A7932" s="160" t="s">
        <v>235</v>
      </c>
      <c r="B7932" s="72"/>
      <c r="C7932" s="118" t="s">
        <v>236</v>
      </c>
      <c r="D7932" s="152" t="s">
        <v>8722</v>
      </c>
      <c r="E7932" s="152" t="s">
        <v>8841</v>
      </c>
      <c r="F7932" s="152" t="s">
        <v>1999</v>
      </c>
      <c r="G7932" s="152" t="s">
        <v>3790</v>
      </c>
      <c r="H7932" s="153" t="s">
        <v>216</v>
      </c>
    </row>
    <row r="7933" hidden="1">
      <c r="A7933" s="158" t="s">
        <v>237</v>
      </c>
      <c r="B7933" s="159"/>
      <c r="C7933" s="155" t="s">
        <v>236</v>
      </c>
      <c r="D7933" s="156" t="s">
        <v>8722</v>
      </c>
      <c r="E7933" s="156" t="s">
        <v>8842</v>
      </c>
      <c r="F7933" s="156" t="s">
        <v>359</v>
      </c>
      <c r="G7933" s="156" t="s">
        <v>3707</v>
      </c>
      <c r="H7933" s="157" t="s">
        <v>210</v>
      </c>
    </row>
    <row r="7934" hidden="1">
      <c r="A7934" s="160" t="s">
        <v>237</v>
      </c>
      <c r="B7934" s="72"/>
      <c r="C7934" s="118" t="s">
        <v>236</v>
      </c>
      <c r="D7934" s="152" t="s">
        <v>8722</v>
      </c>
      <c r="E7934" s="152" t="s">
        <v>8843</v>
      </c>
      <c r="F7934" s="152" t="s">
        <v>534</v>
      </c>
      <c r="G7934" s="152" t="s">
        <v>2912</v>
      </c>
      <c r="H7934" s="153" t="s">
        <v>211</v>
      </c>
    </row>
    <row r="7935" hidden="1">
      <c r="A7935" s="158" t="s">
        <v>237</v>
      </c>
      <c r="B7935" s="159"/>
      <c r="C7935" s="155" t="s">
        <v>236</v>
      </c>
      <c r="D7935" s="156" t="s">
        <v>8722</v>
      </c>
      <c r="E7935" s="156" t="s">
        <v>8844</v>
      </c>
      <c r="F7935" s="156" t="s">
        <v>310</v>
      </c>
      <c r="G7935" s="156" t="s">
        <v>2762</v>
      </c>
      <c r="H7935" s="157" t="s">
        <v>212</v>
      </c>
    </row>
    <row r="7936" hidden="1">
      <c r="A7936" s="160" t="s">
        <v>237</v>
      </c>
      <c r="B7936" s="72"/>
      <c r="C7936" s="118" t="s">
        <v>236</v>
      </c>
      <c r="D7936" s="152" t="s">
        <v>8722</v>
      </c>
      <c r="E7936" s="152" t="s">
        <v>8845</v>
      </c>
      <c r="F7936" s="152" t="s">
        <v>308</v>
      </c>
      <c r="G7936" s="152" t="s">
        <v>2289</v>
      </c>
      <c r="H7936" s="153" t="s">
        <v>213</v>
      </c>
    </row>
    <row r="7937" hidden="1">
      <c r="A7937" s="158" t="s">
        <v>237</v>
      </c>
      <c r="B7937" s="159"/>
      <c r="C7937" s="155" t="s">
        <v>236</v>
      </c>
      <c r="D7937" s="156" t="s">
        <v>8722</v>
      </c>
      <c r="E7937" s="156" t="s">
        <v>8846</v>
      </c>
      <c r="F7937" s="156" t="s">
        <v>799</v>
      </c>
      <c r="G7937" s="156" t="s">
        <v>3485</v>
      </c>
      <c r="H7937" s="157" t="s">
        <v>214</v>
      </c>
    </row>
    <row r="7938" hidden="1">
      <c r="A7938" s="160" t="s">
        <v>237</v>
      </c>
      <c r="B7938" s="72"/>
      <c r="C7938" s="118" t="s">
        <v>236</v>
      </c>
      <c r="D7938" s="152" t="s">
        <v>8722</v>
      </c>
      <c r="E7938" s="152" t="s">
        <v>8847</v>
      </c>
      <c r="F7938" s="152" t="s">
        <v>494</v>
      </c>
      <c r="G7938" s="152" t="s">
        <v>2995</v>
      </c>
      <c r="H7938" s="153" t="s">
        <v>215</v>
      </c>
    </row>
    <row r="7939" hidden="1">
      <c r="A7939" s="158" t="s">
        <v>237</v>
      </c>
      <c r="B7939" s="159"/>
      <c r="C7939" s="155" t="s">
        <v>236</v>
      </c>
      <c r="D7939" s="156" t="s">
        <v>8722</v>
      </c>
      <c r="E7939" s="156" t="s">
        <v>8848</v>
      </c>
      <c r="F7939" s="156" t="s">
        <v>331</v>
      </c>
      <c r="G7939" s="156" t="s">
        <v>3136</v>
      </c>
      <c r="H7939" s="157" t="s">
        <v>216</v>
      </c>
    </row>
    <row r="7940" hidden="1">
      <c r="A7940" s="151" t="s">
        <v>204</v>
      </c>
      <c r="B7940" s="118" t="s">
        <v>205</v>
      </c>
      <c r="C7940" s="118" t="s">
        <v>206</v>
      </c>
      <c r="D7940" s="152" t="s">
        <v>8849</v>
      </c>
      <c r="E7940" s="152" t="s">
        <v>8850</v>
      </c>
      <c r="F7940" s="152" t="s">
        <v>629</v>
      </c>
      <c r="G7940" s="152" t="s">
        <v>3968</v>
      </c>
      <c r="H7940" s="153" t="s">
        <v>210</v>
      </c>
    </row>
    <row r="7941" hidden="1">
      <c r="A7941" s="154" t="s">
        <v>204</v>
      </c>
      <c r="B7941" s="155" t="s">
        <v>205</v>
      </c>
      <c r="C7941" s="155" t="s">
        <v>206</v>
      </c>
      <c r="D7941" s="156" t="s">
        <v>8849</v>
      </c>
      <c r="E7941" s="156" t="s">
        <v>8851</v>
      </c>
      <c r="F7941" s="156" t="s">
        <v>763</v>
      </c>
      <c r="G7941" s="156" t="s">
        <v>3913</v>
      </c>
      <c r="H7941" s="157" t="s">
        <v>211</v>
      </c>
    </row>
    <row r="7942" hidden="1">
      <c r="A7942" s="151" t="s">
        <v>204</v>
      </c>
      <c r="B7942" s="118" t="s">
        <v>205</v>
      </c>
      <c r="C7942" s="118" t="s">
        <v>206</v>
      </c>
      <c r="D7942" s="152" t="s">
        <v>8849</v>
      </c>
      <c r="E7942" s="152" t="s">
        <v>8852</v>
      </c>
      <c r="F7942" s="152" t="s">
        <v>2607</v>
      </c>
      <c r="G7942" s="152" t="s">
        <v>4320</v>
      </c>
      <c r="H7942" s="153" t="s">
        <v>212</v>
      </c>
    </row>
    <row r="7943" hidden="1">
      <c r="A7943" s="154" t="s">
        <v>204</v>
      </c>
      <c r="B7943" s="155" t="s">
        <v>205</v>
      </c>
      <c r="C7943" s="155" t="s">
        <v>206</v>
      </c>
      <c r="D7943" s="156" t="s">
        <v>8849</v>
      </c>
      <c r="E7943" s="156" t="s">
        <v>8853</v>
      </c>
      <c r="F7943" s="156" t="s">
        <v>758</v>
      </c>
      <c r="G7943" s="156" t="s">
        <v>3915</v>
      </c>
      <c r="H7943" s="157" t="s">
        <v>213</v>
      </c>
    </row>
    <row r="7944" hidden="1">
      <c r="A7944" s="151" t="s">
        <v>204</v>
      </c>
      <c r="B7944" s="118" t="s">
        <v>205</v>
      </c>
      <c r="C7944" s="118" t="s">
        <v>206</v>
      </c>
      <c r="D7944" s="152" t="s">
        <v>8849</v>
      </c>
      <c r="E7944" s="152" t="s">
        <v>8854</v>
      </c>
      <c r="F7944" s="152" t="s">
        <v>758</v>
      </c>
      <c r="G7944" s="152" t="s">
        <v>3872</v>
      </c>
      <c r="H7944" s="153" t="s">
        <v>214</v>
      </c>
    </row>
    <row r="7945" hidden="1">
      <c r="A7945" s="154" t="s">
        <v>204</v>
      </c>
      <c r="B7945" s="155" t="s">
        <v>205</v>
      </c>
      <c r="C7945" s="155" t="s">
        <v>206</v>
      </c>
      <c r="D7945" s="156" t="s">
        <v>8849</v>
      </c>
      <c r="E7945" s="156" t="s">
        <v>8855</v>
      </c>
      <c r="F7945" s="156" t="s">
        <v>3340</v>
      </c>
      <c r="G7945" s="156" t="s">
        <v>4464</v>
      </c>
      <c r="H7945" s="157" t="s">
        <v>215</v>
      </c>
    </row>
    <row r="7946" hidden="1">
      <c r="A7946" s="151" t="s">
        <v>204</v>
      </c>
      <c r="B7946" s="118" t="s">
        <v>205</v>
      </c>
      <c r="C7946" s="118" t="s">
        <v>206</v>
      </c>
      <c r="D7946" s="152" t="s">
        <v>8849</v>
      </c>
      <c r="E7946" s="152" t="s">
        <v>8856</v>
      </c>
      <c r="F7946" s="152" t="s">
        <v>629</v>
      </c>
      <c r="G7946" s="152" t="s">
        <v>3300</v>
      </c>
      <c r="H7946" s="153" t="s">
        <v>216</v>
      </c>
    </row>
    <row r="7947" hidden="1">
      <c r="A7947" s="154" t="s">
        <v>217</v>
      </c>
      <c r="B7947" s="155" t="s">
        <v>191</v>
      </c>
      <c r="C7947" s="155" t="s">
        <v>206</v>
      </c>
      <c r="D7947" s="156" t="s">
        <v>8849</v>
      </c>
      <c r="E7947" s="156" t="s">
        <v>8857</v>
      </c>
      <c r="F7947" s="156" t="s">
        <v>1530</v>
      </c>
      <c r="G7947" s="156" t="s">
        <v>3595</v>
      </c>
      <c r="H7947" s="157" t="s">
        <v>210</v>
      </c>
    </row>
    <row r="7948" hidden="1">
      <c r="A7948" s="151" t="s">
        <v>217</v>
      </c>
      <c r="B7948" s="118" t="s">
        <v>191</v>
      </c>
      <c r="C7948" s="118" t="s">
        <v>206</v>
      </c>
      <c r="D7948" s="152" t="s">
        <v>8849</v>
      </c>
      <c r="E7948" s="152" t="s">
        <v>8858</v>
      </c>
      <c r="F7948" s="152" t="s">
        <v>3346</v>
      </c>
      <c r="G7948" s="152" t="s">
        <v>4283</v>
      </c>
      <c r="H7948" s="153" t="s">
        <v>211</v>
      </c>
    </row>
    <row r="7949" hidden="1">
      <c r="A7949" s="154" t="s">
        <v>217</v>
      </c>
      <c r="B7949" s="155" t="s">
        <v>191</v>
      </c>
      <c r="C7949" s="155" t="s">
        <v>206</v>
      </c>
      <c r="D7949" s="156" t="s">
        <v>8849</v>
      </c>
      <c r="E7949" s="156" t="s">
        <v>8859</v>
      </c>
      <c r="F7949" s="156" t="s">
        <v>2215</v>
      </c>
      <c r="G7949" s="156" t="s">
        <v>3764</v>
      </c>
      <c r="H7949" s="157" t="s">
        <v>212</v>
      </c>
    </row>
    <row r="7950" hidden="1">
      <c r="A7950" s="151" t="s">
        <v>217</v>
      </c>
      <c r="B7950" s="118" t="s">
        <v>191</v>
      </c>
      <c r="C7950" s="118" t="s">
        <v>206</v>
      </c>
      <c r="D7950" s="152" t="s">
        <v>8849</v>
      </c>
      <c r="E7950" s="152" t="s">
        <v>8860</v>
      </c>
      <c r="F7950" s="152" t="s">
        <v>675</v>
      </c>
      <c r="G7950" s="152" t="s">
        <v>3368</v>
      </c>
      <c r="H7950" s="153" t="s">
        <v>213</v>
      </c>
    </row>
    <row r="7951" hidden="1">
      <c r="A7951" s="154" t="s">
        <v>217</v>
      </c>
      <c r="B7951" s="155" t="s">
        <v>191</v>
      </c>
      <c r="C7951" s="155" t="s">
        <v>206</v>
      </c>
      <c r="D7951" s="156" t="s">
        <v>8849</v>
      </c>
      <c r="E7951" s="156" t="s">
        <v>8861</v>
      </c>
      <c r="F7951" s="156" t="s">
        <v>1931</v>
      </c>
      <c r="G7951" s="156" t="s">
        <v>3696</v>
      </c>
      <c r="H7951" s="157" t="s">
        <v>214</v>
      </c>
    </row>
    <row r="7952" hidden="1">
      <c r="A7952" s="151" t="s">
        <v>217</v>
      </c>
      <c r="B7952" s="118" t="s">
        <v>191</v>
      </c>
      <c r="C7952" s="118" t="s">
        <v>206</v>
      </c>
      <c r="D7952" s="152" t="s">
        <v>8849</v>
      </c>
      <c r="E7952" s="152" t="s">
        <v>8862</v>
      </c>
      <c r="F7952" s="152" t="s">
        <v>780</v>
      </c>
      <c r="G7952" s="152" t="s">
        <v>4293</v>
      </c>
      <c r="H7952" s="153" t="s">
        <v>215</v>
      </c>
    </row>
    <row r="7953" hidden="1">
      <c r="A7953" s="154" t="s">
        <v>217</v>
      </c>
      <c r="B7953" s="155" t="s">
        <v>191</v>
      </c>
      <c r="C7953" s="155" t="s">
        <v>206</v>
      </c>
      <c r="D7953" s="156" t="s">
        <v>8849</v>
      </c>
      <c r="E7953" s="156" t="s">
        <v>8863</v>
      </c>
      <c r="F7953" s="156" t="s">
        <v>2607</v>
      </c>
      <c r="G7953" s="156" t="s">
        <v>4659</v>
      </c>
      <c r="H7953" s="157" t="s">
        <v>216</v>
      </c>
    </row>
    <row r="7954" hidden="1">
      <c r="A7954" s="151" t="s">
        <v>218</v>
      </c>
      <c r="B7954" s="118" t="s">
        <v>219</v>
      </c>
      <c r="C7954" s="118" t="s">
        <v>206</v>
      </c>
      <c r="D7954" s="152" t="s">
        <v>8849</v>
      </c>
      <c r="E7954" s="152" t="s">
        <v>8864</v>
      </c>
      <c r="F7954" s="152" t="s">
        <v>448</v>
      </c>
      <c r="G7954" s="152" t="s">
        <v>3707</v>
      </c>
      <c r="H7954" s="153" t="s">
        <v>210</v>
      </c>
    </row>
    <row r="7955" hidden="1">
      <c r="A7955" s="154" t="s">
        <v>218</v>
      </c>
      <c r="B7955" s="155" t="s">
        <v>219</v>
      </c>
      <c r="C7955" s="155" t="s">
        <v>206</v>
      </c>
      <c r="D7955" s="156" t="s">
        <v>8849</v>
      </c>
      <c r="E7955" s="156" t="s">
        <v>8865</v>
      </c>
      <c r="F7955" s="156" t="s">
        <v>3218</v>
      </c>
      <c r="G7955" s="156" t="s">
        <v>3574</v>
      </c>
      <c r="H7955" s="157" t="s">
        <v>211</v>
      </c>
    </row>
    <row r="7956" hidden="1">
      <c r="A7956" s="151" t="s">
        <v>218</v>
      </c>
      <c r="B7956" s="118" t="s">
        <v>219</v>
      </c>
      <c r="C7956" s="118" t="s">
        <v>206</v>
      </c>
      <c r="D7956" s="152" t="s">
        <v>8849</v>
      </c>
      <c r="E7956" s="152" t="s">
        <v>8866</v>
      </c>
      <c r="F7956" s="152" t="s">
        <v>325</v>
      </c>
      <c r="G7956" s="152" t="s">
        <v>1779</v>
      </c>
      <c r="H7956" s="153" t="s">
        <v>212</v>
      </c>
    </row>
    <row r="7957" hidden="1">
      <c r="A7957" s="154" t="s">
        <v>218</v>
      </c>
      <c r="B7957" s="155" t="s">
        <v>219</v>
      </c>
      <c r="C7957" s="155" t="s">
        <v>206</v>
      </c>
      <c r="D7957" s="156" t="s">
        <v>8849</v>
      </c>
      <c r="E7957" s="156" t="s">
        <v>8867</v>
      </c>
      <c r="F7957" s="156" t="s">
        <v>532</v>
      </c>
      <c r="G7957" s="156" t="s">
        <v>3613</v>
      </c>
      <c r="H7957" s="157" t="s">
        <v>213</v>
      </c>
    </row>
    <row r="7958" hidden="1">
      <c r="A7958" s="151" t="s">
        <v>218</v>
      </c>
      <c r="B7958" s="118" t="s">
        <v>219</v>
      </c>
      <c r="C7958" s="118" t="s">
        <v>206</v>
      </c>
      <c r="D7958" s="152" t="s">
        <v>8849</v>
      </c>
      <c r="E7958" s="152" t="s">
        <v>8868</v>
      </c>
      <c r="F7958" s="152" t="s">
        <v>1530</v>
      </c>
      <c r="G7958" s="152" t="s">
        <v>3707</v>
      </c>
      <c r="H7958" s="153" t="s">
        <v>214</v>
      </c>
    </row>
    <row r="7959" hidden="1">
      <c r="A7959" s="154" t="s">
        <v>218</v>
      </c>
      <c r="B7959" s="155" t="s">
        <v>219</v>
      </c>
      <c r="C7959" s="155" t="s">
        <v>206</v>
      </c>
      <c r="D7959" s="156" t="s">
        <v>8849</v>
      </c>
      <c r="E7959" s="156" t="s">
        <v>8869</v>
      </c>
      <c r="F7959" s="156" t="s">
        <v>758</v>
      </c>
      <c r="G7959" s="156" t="s">
        <v>3402</v>
      </c>
      <c r="H7959" s="157" t="s">
        <v>215</v>
      </c>
    </row>
    <row r="7960" hidden="1">
      <c r="A7960" s="151" t="s">
        <v>218</v>
      </c>
      <c r="B7960" s="118" t="s">
        <v>219</v>
      </c>
      <c r="C7960" s="118" t="s">
        <v>206</v>
      </c>
      <c r="D7960" s="152" t="s">
        <v>8849</v>
      </c>
      <c r="E7960" s="152" t="s">
        <v>8870</v>
      </c>
      <c r="F7960" s="152" t="s">
        <v>405</v>
      </c>
      <c r="G7960" s="152" t="s">
        <v>1791</v>
      </c>
      <c r="H7960" s="153" t="s">
        <v>216</v>
      </c>
    </row>
    <row r="7961" hidden="1">
      <c r="A7961" s="154" t="s">
        <v>220</v>
      </c>
      <c r="B7961" s="155" t="s">
        <v>190</v>
      </c>
      <c r="C7961" s="155" t="s">
        <v>206</v>
      </c>
      <c r="D7961" s="156" t="s">
        <v>8849</v>
      </c>
      <c r="E7961" s="156" t="s">
        <v>8871</v>
      </c>
      <c r="F7961" s="156" t="s">
        <v>1784</v>
      </c>
      <c r="G7961" s="156" t="s">
        <v>5452</v>
      </c>
      <c r="H7961" s="157" t="s">
        <v>210</v>
      </c>
    </row>
    <row r="7962" hidden="1">
      <c r="A7962" s="151" t="s">
        <v>220</v>
      </c>
      <c r="B7962" s="118" t="s">
        <v>190</v>
      </c>
      <c r="C7962" s="118" t="s">
        <v>206</v>
      </c>
      <c r="D7962" s="152" t="s">
        <v>8849</v>
      </c>
      <c r="E7962" s="152" t="s">
        <v>8872</v>
      </c>
      <c r="F7962" s="152" t="s">
        <v>1931</v>
      </c>
      <c r="G7962" s="152" t="s">
        <v>4231</v>
      </c>
      <c r="H7962" s="153" t="s">
        <v>211</v>
      </c>
    </row>
    <row r="7963" hidden="1">
      <c r="A7963" s="154" t="s">
        <v>220</v>
      </c>
      <c r="B7963" s="155" t="s">
        <v>190</v>
      </c>
      <c r="C7963" s="155" t="s">
        <v>206</v>
      </c>
      <c r="D7963" s="156" t="s">
        <v>8849</v>
      </c>
      <c r="E7963" s="156" t="s">
        <v>8873</v>
      </c>
      <c r="F7963" s="156" t="s">
        <v>691</v>
      </c>
      <c r="G7963" s="156" t="s">
        <v>3462</v>
      </c>
      <c r="H7963" s="157" t="s">
        <v>212</v>
      </c>
    </row>
    <row r="7964" hidden="1">
      <c r="A7964" s="151" t="s">
        <v>220</v>
      </c>
      <c r="B7964" s="118" t="s">
        <v>190</v>
      </c>
      <c r="C7964" s="118" t="s">
        <v>206</v>
      </c>
      <c r="D7964" s="152" t="s">
        <v>8849</v>
      </c>
      <c r="E7964" s="152" t="s">
        <v>8874</v>
      </c>
      <c r="F7964" s="152" t="s">
        <v>760</v>
      </c>
      <c r="G7964" s="152" t="s">
        <v>3535</v>
      </c>
      <c r="H7964" s="153" t="s">
        <v>213</v>
      </c>
    </row>
    <row r="7965" hidden="1">
      <c r="A7965" s="154" t="s">
        <v>220</v>
      </c>
      <c r="B7965" s="155" t="s">
        <v>190</v>
      </c>
      <c r="C7965" s="155" t="s">
        <v>206</v>
      </c>
      <c r="D7965" s="156" t="s">
        <v>8849</v>
      </c>
      <c r="E7965" s="156" t="s">
        <v>8875</v>
      </c>
      <c r="F7965" s="156" t="s">
        <v>3359</v>
      </c>
      <c r="G7965" s="156" t="s">
        <v>4582</v>
      </c>
      <c r="H7965" s="157" t="s">
        <v>214</v>
      </c>
    </row>
    <row r="7966" hidden="1">
      <c r="A7966" s="151" t="s">
        <v>220</v>
      </c>
      <c r="B7966" s="118" t="s">
        <v>190</v>
      </c>
      <c r="C7966" s="118" t="s">
        <v>206</v>
      </c>
      <c r="D7966" s="152" t="s">
        <v>8849</v>
      </c>
      <c r="E7966" s="152" t="s">
        <v>8876</v>
      </c>
      <c r="F7966" s="152" t="s">
        <v>3145</v>
      </c>
      <c r="G7966" s="152" t="s">
        <v>5035</v>
      </c>
      <c r="H7966" s="153" t="s">
        <v>215</v>
      </c>
    </row>
    <row r="7967" hidden="1">
      <c r="A7967" s="154" t="s">
        <v>220</v>
      </c>
      <c r="B7967" s="155" t="s">
        <v>190</v>
      </c>
      <c r="C7967" s="155" t="s">
        <v>206</v>
      </c>
      <c r="D7967" s="156" t="s">
        <v>8849</v>
      </c>
      <c r="E7967" s="156" t="s">
        <v>8877</v>
      </c>
      <c r="F7967" s="156" t="s">
        <v>641</v>
      </c>
      <c r="G7967" s="156" t="s">
        <v>3930</v>
      </c>
      <c r="H7967" s="157" t="s">
        <v>216</v>
      </c>
    </row>
    <row r="7968" hidden="1">
      <c r="A7968" s="151" t="s">
        <v>221</v>
      </c>
      <c r="B7968" s="118" t="s">
        <v>189</v>
      </c>
      <c r="C7968" s="118" t="s">
        <v>206</v>
      </c>
      <c r="D7968" s="152" t="s">
        <v>8849</v>
      </c>
      <c r="E7968" s="152" t="s">
        <v>8878</v>
      </c>
      <c r="F7968" s="152" t="s">
        <v>444</v>
      </c>
      <c r="G7968" s="152" t="s">
        <v>2992</v>
      </c>
      <c r="H7968" s="153" t="s">
        <v>210</v>
      </c>
    </row>
    <row r="7969" hidden="1">
      <c r="A7969" s="154" t="s">
        <v>221</v>
      </c>
      <c r="B7969" s="155" t="s">
        <v>189</v>
      </c>
      <c r="C7969" s="155" t="s">
        <v>206</v>
      </c>
      <c r="D7969" s="156" t="s">
        <v>8849</v>
      </c>
      <c r="E7969" s="156" t="s">
        <v>8879</v>
      </c>
      <c r="F7969" s="156" t="s">
        <v>448</v>
      </c>
      <c r="G7969" s="156" t="s">
        <v>1864</v>
      </c>
      <c r="H7969" s="157" t="s">
        <v>211</v>
      </c>
    </row>
    <row r="7970" hidden="1">
      <c r="A7970" s="151" t="s">
        <v>221</v>
      </c>
      <c r="B7970" s="118" t="s">
        <v>189</v>
      </c>
      <c r="C7970" s="118" t="s">
        <v>206</v>
      </c>
      <c r="D7970" s="152" t="s">
        <v>8849</v>
      </c>
      <c r="E7970" s="152" t="s">
        <v>8880</v>
      </c>
      <c r="F7970" s="152" t="s">
        <v>2420</v>
      </c>
      <c r="G7970" s="152" t="s">
        <v>3117</v>
      </c>
      <c r="H7970" s="153" t="s">
        <v>212</v>
      </c>
    </row>
    <row r="7971" hidden="1">
      <c r="A7971" s="154" t="s">
        <v>221</v>
      </c>
      <c r="B7971" s="155" t="s">
        <v>189</v>
      </c>
      <c r="C7971" s="155" t="s">
        <v>206</v>
      </c>
      <c r="D7971" s="156" t="s">
        <v>8849</v>
      </c>
      <c r="E7971" s="156" t="s">
        <v>8881</v>
      </c>
      <c r="F7971" s="156" t="s">
        <v>3218</v>
      </c>
      <c r="G7971" s="156" t="s">
        <v>1868</v>
      </c>
      <c r="H7971" s="157" t="s">
        <v>213</v>
      </c>
    </row>
    <row r="7972" hidden="1">
      <c r="A7972" s="151" t="s">
        <v>221</v>
      </c>
      <c r="B7972" s="118" t="s">
        <v>189</v>
      </c>
      <c r="C7972" s="118" t="s">
        <v>206</v>
      </c>
      <c r="D7972" s="152" t="s">
        <v>8849</v>
      </c>
      <c r="E7972" s="152" t="s">
        <v>8882</v>
      </c>
      <c r="F7972" s="152" t="s">
        <v>2994</v>
      </c>
      <c r="G7972" s="152" t="s">
        <v>2542</v>
      </c>
      <c r="H7972" s="153" t="s">
        <v>214</v>
      </c>
    </row>
    <row r="7973" hidden="1">
      <c r="A7973" s="154" t="s">
        <v>221</v>
      </c>
      <c r="B7973" s="155" t="s">
        <v>189</v>
      </c>
      <c r="C7973" s="155" t="s">
        <v>206</v>
      </c>
      <c r="D7973" s="156" t="s">
        <v>8849</v>
      </c>
      <c r="E7973" s="156" t="s">
        <v>8883</v>
      </c>
      <c r="F7973" s="156" t="s">
        <v>3148</v>
      </c>
      <c r="G7973" s="156" t="s">
        <v>3443</v>
      </c>
      <c r="H7973" s="157" t="s">
        <v>215</v>
      </c>
    </row>
    <row r="7974" hidden="1">
      <c r="A7974" s="151" t="s">
        <v>221</v>
      </c>
      <c r="B7974" s="118" t="s">
        <v>189</v>
      </c>
      <c r="C7974" s="118" t="s">
        <v>206</v>
      </c>
      <c r="D7974" s="152" t="s">
        <v>8849</v>
      </c>
      <c r="E7974" s="152" t="s">
        <v>8884</v>
      </c>
      <c r="F7974" s="152" t="s">
        <v>2215</v>
      </c>
      <c r="G7974" s="152" t="s">
        <v>2111</v>
      </c>
      <c r="H7974" s="153" t="s">
        <v>216</v>
      </c>
    </row>
    <row r="7975" hidden="1">
      <c r="A7975" s="154" t="s">
        <v>222</v>
      </c>
      <c r="B7975" s="155" t="s">
        <v>192</v>
      </c>
      <c r="C7975" s="155" t="s">
        <v>206</v>
      </c>
      <c r="D7975" s="156" t="s">
        <v>8849</v>
      </c>
      <c r="E7975" s="156" t="s">
        <v>8885</v>
      </c>
      <c r="F7975" s="156" t="s">
        <v>354</v>
      </c>
      <c r="G7975" s="156" t="s">
        <v>3611</v>
      </c>
      <c r="H7975" s="157" t="s">
        <v>210</v>
      </c>
    </row>
    <row r="7976" hidden="1">
      <c r="A7976" s="151" t="s">
        <v>222</v>
      </c>
      <c r="B7976" s="118" t="s">
        <v>192</v>
      </c>
      <c r="C7976" s="118" t="s">
        <v>206</v>
      </c>
      <c r="D7976" s="152" t="s">
        <v>8849</v>
      </c>
      <c r="E7976" s="152" t="s">
        <v>8886</v>
      </c>
      <c r="F7976" s="152" t="s">
        <v>478</v>
      </c>
      <c r="G7976" s="152" t="s">
        <v>2818</v>
      </c>
      <c r="H7976" s="153" t="s">
        <v>211</v>
      </c>
    </row>
    <row r="7977" hidden="1">
      <c r="A7977" s="154" t="s">
        <v>222</v>
      </c>
      <c r="B7977" s="155" t="s">
        <v>192</v>
      </c>
      <c r="C7977" s="155" t="s">
        <v>206</v>
      </c>
      <c r="D7977" s="156" t="s">
        <v>8849</v>
      </c>
      <c r="E7977" s="156" t="s">
        <v>8887</v>
      </c>
      <c r="F7977" s="156" t="s">
        <v>450</v>
      </c>
      <c r="G7977" s="156" t="s">
        <v>2115</v>
      </c>
      <c r="H7977" s="157" t="s">
        <v>212</v>
      </c>
    </row>
    <row r="7978" hidden="1">
      <c r="A7978" s="151" t="s">
        <v>222</v>
      </c>
      <c r="B7978" s="118" t="s">
        <v>192</v>
      </c>
      <c r="C7978" s="118" t="s">
        <v>206</v>
      </c>
      <c r="D7978" s="152" t="s">
        <v>8849</v>
      </c>
      <c r="E7978" s="152" t="s">
        <v>8888</v>
      </c>
      <c r="F7978" s="152" t="s">
        <v>494</v>
      </c>
      <c r="G7978" s="152" t="s">
        <v>3691</v>
      </c>
      <c r="H7978" s="153" t="s">
        <v>213</v>
      </c>
    </row>
    <row r="7979" hidden="1">
      <c r="A7979" s="154" t="s">
        <v>222</v>
      </c>
      <c r="B7979" s="155" t="s">
        <v>192</v>
      </c>
      <c r="C7979" s="155" t="s">
        <v>206</v>
      </c>
      <c r="D7979" s="156" t="s">
        <v>8849</v>
      </c>
      <c r="E7979" s="156" t="s">
        <v>8889</v>
      </c>
      <c r="F7979" s="156" t="s">
        <v>532</v>
      </c>
      <c r="G7979" s="156" t="s">
        <v>3611</v>
      </c>
      <c r="H7979" s="157" t="s">
        <v>214</v>
      </c>
    </row>
    <row r="7980" hidden="1">
      <c r="A7980" s="151" t="s">
        <v>222</v>
      </c>
      <c r="B7980" s="118" t="s">
        <v>192</v>
      </c>
      <c r="C7980" s="118" t="s">
        <v>206</v>
      </c>
      <c r="D7980" s="152" t="s">
        <v>8849</v>
      </c>
      <c r="E7980" s="152" t="s">
        <v>8890</v>
      </c>
      <c r="F7980" s="152" t="s">
        <v>425</v>
      </c>
      <c r="G7980" s="152" t="s">
        <v>2818</v>
      </c>
      <c r="H7980" s="153" t="s">
        <v>215</v>
      </c>
    </row>
    <row r="7981" hidden="1">
      <c r="A7981" s="154" t="s">
        <v>222</v>
      </c>
      <c r="B7981" s="155" t="s">
        <v>192</v>
      </c>
      <c r="C7981" s="155" t="s">
        <v>206</v>
      </c>
      <c r="D7981" s="156" t="s">
        <v>8849</v>
      </c>
      <c r="E7981" s="156" t="s">
        <v>8891</v>
      </c>
      <c r="F7981" s="156" t="s">
        <v>494</v>
      </c>
      <c r="G7981" s="156" t="s">
        <v>2818</v>
      </c>
      <c r="H7981" s="157" t="s">
        <v>216</v>
      </c>
    </row>
    <row r="7982" hidden="1">
      <c r="A7982" s="151" t="s">
        <v>223</v>
      </c>
      <c r="B7982" s="118" t="s">
        <v>144</v>
      </c>
      <c r="C7982" s="118" t="s">
        <v>206</v>
      </c>
      <c r="D7982" s="152" t="s">
        <v>8849</v>
      </c>
      <c r="E7982" s="152" t="s">
        <v>8892</v>
      </c>
      <c r="F7982" s="152" t="s">
        <v>1999</v>
      </c>
      <c r="G7982" s="152" t="s">
        <v>4320</v>
      </c>
      <c r="H7982" s="153" t="s">
        <v>210</v>
      </c>
    </row>
    <row r="7983" hidden="1">
      <c r="A7983" s="154" t="s">
        <v>223</v>
      </c>
      <c r="B7983" s="155" t="s">
        <v>144</v>
      </c>
      <c r="C7983" s="155" t="s">
        <v>206</v>
      </c>
      <c r="D7983" s="156" t="s">
        <v>8849</v>
      </c>
      <c r="E7983" s="156" t="s">
        <v>8893</v>
      </c>
      <c r="F7983" s="156" t="s">
        <v>494</v>
      </c>
      <c r="G7983" s="156" t="s">
        <v>2822</v>
      </c>
      <c r="H7983" s="157" t="s">
        <v>211</v>
      </c>
    </row>
    <row r="7984" hidden="1">
      <c r="A7984" s="151" t="s">
        <v>223</v>
      </c>
      <c r="B7984" s="118" t="s">
        <v>144</v>
      </c>
      <c r="C7984" s="118" t="s">
        <v>206</v>
      </c>
      <c r="D7984" s="152" t="s">
        <v>8849</v>
      </c>
      <c r="E7984" s="152" t="s">
        <v>8894</v>
      </c>
      <c r="F7984" s="152" t="s">
        <v>725</v>
      </c>
      <c r="G7984" s="152" t="s">
        <v>4019</v>
      </c>
      <c r="H7984" s="153" t="s">
        <v>212</v>
      </c>
    </row>
    <row r="7985" hidden="1">
      <c r="A7985" s="154" t="s">
        <v>223</v>
      </c>
      <c r="B7985" s="155" t="s">
        <v>144</v>
      </c>
      <c r="C7985" s="155" t="s">
        <v>206</v>
      </c>
      <c r="D7985" s="156" t="s">
        <v>8849</v>
      </c>
      <c r="E7985" s="156" t="s">
        <v>8895</v>
      </c>
      <c r="F7985" s="156" t="s">
        <v>532</v>
      </c>
      <c r="G7985" s="156" t="s">
        <v>4073</v>
      </c>
      <c r="H7985" s="157" t="s">
        <v>213</v>
      </c>
    </row>
    <row r="7986" hidden="1">
      <c r="A7986" s="151" t="s">
        <v>223</v>
      </c>
      <c r="B7986" s="118" t="s">
        <v>144</v>
      </c>
      <c r="C7986" s="118" t="s">
        <v>206</v>
      </c>
      <c r="D7986" s="152" t="s">
        <v>8849</v>
      </c>
      <c r="E7986" s="152" t="s">
        <v>8896</v>
      </c>
      <c r="F7986" s="152" t="s">
        <v>354</v>
      </c>
      <c r="G7986" s="152" t="s">
        <v>4219</v>
      </c>
      <c r="H7986" s="153" t="s">
        <v>214</v>
      </c>
    </row>
    <row r="7987" hidden="1">
      <c r="A7987" s="154" t="s">
        <v>223</v>
      </c>
      <c r="B7987" s="155" t="s">
        <v>144</v>
      </c>
      <c r="C7987" s="155" t="s">
        <v>206</v>
      </c>
      <c r="D7987" s="156" t="s">
        <v>8849</v>
      </c>
      <c r="E7987" s="156" t="s">
        <v>8897</v>
      </c>
      <c r="F7987" s="156" t="s">
        <v>677</v>
      </c>
      <c r="G7987" s="156" t="s">
        <v>3941</v>
      </c>
      <c r="H7987" s="157" t="s">
        <v>215</v>
      </c>
    </row>
    <row r="7988" hidden="1">
      <c r="A7988" s="151" t="s">
        <v>223</v>
      </c>
      <c r="B7988" s="118" t="s">
        <v>144</v>
      </c>
      <c r="C7988" s="118" t="s">
        <v>206</v>
      </c>
      <c r="D7988" s="152" t="s">
        <v>8849</v>
      </c>
      <c r="E7988" s="152" t="s">
        <v>8898</v>
      </c>
      <c r="F7988" s="152" t="s">
        <v>423</v>
      </c>
      <c r="G7988" s="152" t="s">
        <v>3989</v>
      </c>
      <c r="H7988" s="153" t="s">
        <v>216</v>
      </c>
    </row>
    <row r="7989" hidden="1">
      <c r="A7989" s="154" t="s">
        <v>224</v>
      </c>
      <c r="B7989" s="155" t="s">
        <v>170</v>
      </c>
      <c r="C7989" s="155" t="s">
        <v>206</v>
      </c>
      <c r="D7989" s="156" t="s">
        <v>8849</v>
      </c>
      <c r="E7989" s="156" t="s">
        <v>8899</v>
      </c>
      <c r="F7989" s="156" t="s">
        <v>423</v>
      </c>
      <c r="G7989" s="156" t="s">
        <v>4146</v>
      </c>
      <c r="H7989" s="157" t="s">
        <v>210</v>
      </c>
    </row>
    <row r="7990" hidden="1">
      <c r="A7990" s="151" t="s">
        <v>224</v>
      </c>
      <c r="B7990" s="118" t="s">
        <v>170</v>
      </c>
      <c r="C7990" s="118" t="s">
        <v>206</v>
      </c>
      <c r="D7990" s="152" t="s">
        <v>8849</v>
      </c>
      <c r="E7990" s="152" t="s">
        <v>8900</v>
      </c>
      <c r="F7990" s="152" t="s">
        <v>1999</v>
      </c>
      <c r="G7990" s="152" t="s">
        <v>4161</v>
      </c>
      <c r="H7990" s="153" t="s">
        <v>211</v>
      </c>
    </row>
    <row r="7991" hidden="1">
      <c r="A7991" s="154" t="s">
        <v>224</v>
      </c>
      <c r="B7991" s="155" t="s">
        <v>170</v>
      </c>
      <c r="C7991" s="155" t="s">
        <v>206</v>
      </c>
      <c r="D7991" s="156" t="s">
        <v>8849</v>
      </c>
      <c r="E7991" s="156" t="s">
        <v>8901</v>
      </c>
      <c r="F7991" s="156" t="s">
        <v>497</v>
      </c>
      <c r="G7991" s="156" t="s">
        <v>4031</v>
      </c>
      <c r="H7991" s="157" t="s">
        <v>212</v>
      </c>
    </row>
    <row r="7992" hidden="1">
      <c r="A7992" s="151" t="s">
        <v>224</v>
      </c>
      <c r="B7992" s="118" t="s">
        <v>170</v>
      </c>
      <c r="C7992" s="118" t="s">
        <v>206</v>
      </c>
      <c r="D7992" s="152" t="s">
        <v>8849</v>
      </c>
      <c r="E7992" s="152" t="s">
        <v>8902</v>
      </c>
      <c r="F7992" s="152" t="s">
        <v>1530</v>
      </c>
      <c r="G7992" s="152" t="s">
        <v>3272</v>
      </c>
      <c r="H7992" s="153" t="s">
        <v>213</v>
      </c>
    </row>
    <row r="7993" hidden="1">
      <c r="A7993" s="154" t="s">
        <v>224</v>
      </c>
      <c r="B7993" s="155" t="s">
        <v>170</v>
      </c>
      <c r="C7993" s="155" t="s">
        <v>206</v>
      </c>
      <c r="D7993" s="156" t="s">
        <v>8849</v>
      </c>
      <c r="E7993" s="156" t="s">
        <v>8903</v>
      </c>
      <c r="F7993" s="156" t="s">
        <v>763</v>
      </c>
      <c r="G7993" s="156" t="s">
        <v>3265</v>
      </c>
      <c r="H7993" s="157" t="s">
        <v>214</v>
      </c>
    </row>
    <row r="7994" hidden="1">
      <c r="A7994" s="151" t="s">
        <v>224</v>
      </c>
      <c r="B7994" s="118" t="s">
        <v>170</v>
      </c>
      <c r="C7994" s="118" t="s">
        <v>206</v>
      </c>
      <c r="D7994" s="152" t="s">
        <v>8849</v>
      </c>
      <c r="E7994" s="152" t="s">
        <v>8904</v>
      </c>
      <c r="F7994" s="152" t="s">
        <v>677</v>
      </c>
      <c r="G7994" s="152" t="s">
        <v>3535</v>
      </c>
      <c r="H7994" s="153" t="s">
        <v>215</v>
      </c>
    </row>
    <row r="7995" hidden="1">
      <c r="A7995" s="154" t="s">
        <v>224</v>
      </c>
      <c r="B7995" s="155" t="s">
        <v>170</v>
      </c>
      <c r="C7995" s="155" t="s">
        <v>206</v>
      </c>
      <c r="D7995" s="156" t="s">
        <v>8849</v>
      </c>
      <c r="E7995" s="156" t="s">
        <v>8905</v>
      </c>
      <c r="F7995" s="156" t="s">
        <v>1999</v>
      </c>
      <c r="G7995" s="156" t="s">
        <v>3840</v>
      </c>
      <c r="H7995" s="157" t="s">
        <v>216</v>
      </c>
    </row>
    <row r="7996" hidden="1">
      <c r="A7996" s="151" t="s">
        <v>225</v>
      </c>
      <c r="B7996" s="118" t="s">
        <v>226</v>
      </c>
      <c r="C7996" s="118" t="s">
        <v>206</v>
      </c>
      <c r="D7996" s="152" t="s">
        <v>8849</v>
      </c>
      <c r="E7996" s="152" t="s">
        <v>8906</v>
      </c>
      <c r="F7996" s="152" t="s">
        <v>357</v>
      </c>
      <c r="G7996" s="152" t="s">
        <v>2557</v>
      </c>
      <c r="H7996" s="153" t="s">
        <v>210</v>
      </c>
    </row>
    <row r="7997" hidden="1">
      <c r="A7997" s="154" t="s">
        <v>225</v>
      </c>
      <c r="B7997" s="155" t="s">
        <v>226</v>
      </c>
      <c r="C7997" s="155" t="s">
        <v>206</v>
      </c>
      <c r="D7997" s="156" t="s">
        <v>8849</v>
      </c>
      <c r="E7997" s="156" t="s">
        <v>8907</v>
      </c>
      <c r="F7997" s="156" t="s">
        <v>1999</v>
      </c>
      <c r="G7997" s="156" t="s">
        <v>1868</v>
      </c>
      <c r="H7997" s="157" t="s">
        <v>211</v>
      </c>
    </row>
    <row r="7998" hidden="1">
      <c r="A7998" s="151" t="s">
        <v>225</v>
      </c>
      <c r="B7998" s="118" t="s">
        <v>226</v>
      </c>
      <c r="C7998" s="118" t="s">
        <v>206</v>
      </c>
      <c r="D7998" s="152" t="s">
        <v>8849</v>
      </c>
      <c r="E7998" s="152" t="s">
        <v>8908</v>
      </c>
      <c r="F7998" s="152" t="s">
        <v>478</v>
      </c>
      <c r="G7998" s="152" t="s">
        <v>2062</v>
      </c>
      <c r="H7998" s="153" t="s">
        <v>212</v>
      </c>
    </row>
    <row r="7999" hidden="1">
      <c r="A7999" s="154" t="s">
        <v>225</v>
      </c>
      <c r="B7999" s="155" t="s">
        <v>226</v>
      </c>
      <c r="C7999" s="155" t="s">
        <v>206</v>
      </c>
      <c r="D7999" s="156" t="s">
        <v>8849</v>
      </c>
      <c r="E7999" s="156" t="s">
        <v>8909</v>
      </c>
      <c r="F7999" s="156" t="s">
        <v>483</v>
      </c>
      <c r="G7999" s="156" t="s">
        <v>2467</v>
      </c>
      <c r="H7999" s="157" t="s">
        <v>213</v>
      </c>
    </row>
    <row r="8000" hidden="1">
      <c r="A8000" s="151" t="s">
        <v>225</v>
      </c>
      <c r="B8000" s="118" t="s">
        <v>226</v>
      </c>
      <c r="C8000" s="118" t="s">
        <v>206</v>
      </c>
      <c r="D8000" s="152" t="s">
        <v>8849</v>
      </c>
      <c r="E8000" s="152" t="s">
        <v>8910</v>
      </c>
      <c r="F8000" s="152" t="s">
        <v>323</v>
      </c>
      <c r="G8000" s="152" t="s">
        <v>2299</v>
      </c>
      <c r="H8000" s="153" t="s">
        <v>214</v>
      </c>
    </row>
    <row r="8001" hidden="1">
      <c r="A8001" s="154" t="s">
        <v>225</v>
      </c>
      <c r="B8001" s="155" t="s">
        <v>226</v>
      </c>
      <c r="C8001" s="155" t="s">
        <v>206</v>
      </c>
      <c r="D8001" s="156" t="s">
        <v>8849</v>
      </c>
      <c r="E8001" s="156" t="s">
        <v>8911</v>
      </c>
      <c r="F8001" s="156" t="s">
        <v>249</v>
      </c>
      <c r="G8001" s="156" t="s">
        <v>2398</v>
      </c>
      <c r="H8001" s="157" t="s">
        <v>215</v>
      </c>
    </row>
    <row r="8002" hidden="1">
      <c r="A8002" s="151" t="s">
        <v>225</v>
      </c>
      <c r="B8002" s="118" t="s">
        <v>226</v>
      </c>
      <c r="C8002" s="118" t="s">
        <v>206</v>
      </c>
      <c r="D8002" s="152" t="s">
        <v>8849</v>
      </c>
      <c r="E8002" s="152" t="s">
        <v>8912</v>
      </c>
      <c r="F8002" s="152" t="s">
        <v>339</v>
      </c>
      <c r="G8002" s="152" t="s">
        <v>2852</v>
      </c>
      <c r="H8002" s="153" t="s">
        <v>216</v>
      </c>
    </row>
    <row r="8003" hidden="1">
      <c r="A8003" s="154" t="s">
        <v>227</v>
      </c>
      <c r="B8003" s="155" t="s">
        <v>195</v>
      </c>
      <c r="C8003" s="155" t="s">
        <v>206</v>
      </c>
      <c r="D8003" s="156" t="s">
        <v>8849</v>
      </c>
      <c r="E8003" s="156" t="s">
        <v>8913</v>
      </c>
      <c r="F8003" s="156" t="s">
        <v>314</v>
      </c>
      <c r="G8003" s="156" t="s">
        <v>3402</v>
      </c>
      <c r="H8003" s="157" t="s">
        <v>210</v>
      </c>
    </row>
    <row r="8004" hidden="1">
      <c r="A8004" s="151" t="s">
        <v>227</v>
      </c>
      <c r="B8004" s="118" t="s">
        <v>195</v>
      </c>
      <c r="C8004" s="118" t="s">
        <v>206</v>
      </c>
      <c r="D8004" s="152" t="s">
        <v>8849</v>
      </c>
      <c r="E8004" s="152" t="s">
        <v>8914</v>
      </c>
      <c r="F8004" s="152" t="s">
        <v>725</v>
      </c>
      <c r="G8004" s="152" t="s">
        <v>1949</v>
      </c>
      <c r="H8004" s="153" t="s">
        <v>211</v>
      </c>
    </row>
    <row r="8005" hidden="1">
      <c r="A8005" s="154" t="s">
        <v>227</v>
      </c>
      <c r="B8005" s="155" t="s">
        <v>195</v>
      </c>
      <c r="C8005" s="155" t="s">
        <v>206</v>
      </c>
      <c r="D8005" s="156" t="s">
        <v>8849</v>
      </c>
      <c r="E8005" s="156" t="s">
        <v>8915</v>
      </c>
      <c r="F8005" s="156" t="s">
        <v>534</v>
      </c>
      <c r="G8005" s="156" t="s">
        <v>2995</v>
      </c>
      <c r="H8005" s="157" t="s">
        <v>212</v>
      </c>
    </row>
    <row r="8006" hidden="1">
      <c r="A8006" s="151" t="s">
        <v>227</v>
      </c>
      <c r="B8006" s="118" t="s">
        <v>195</v>
      </c>
      <c r="C8006" s="118" t="s">
        <v>206</v>
      </c>
      <c r="D8006" s="152" t="s">
        <v>8849</v>
      </c>
      <c r="E8006" s="152" t="s">
        <v>8916</v>
      </c>
      <c r="F8006" s="152" t="s">
        <v>351</v>
      </c>
      <c r="G8006" s="152" t="s">
        <v>3154</v>
      </c>
      <c r="H8006" s="153" t="s">
        <v>213</v>
      </c>
    </row>
    <row r="8007" hidden="1">
      <c r="A8007" s="154" t="s">
        <v>227</v>
      </c>
      <c r="B8007" s="155" t="s">
        <v>195</v>
      </c>
      <c r="C8007" s="155" t="s">
        <v>206</v>
      </c>
      <c r="D8007" s="156" t="s">
        <v>8849</v>
      </c>
      <c r="E8007" s="156" t="s">
        <v>8917</v>
      </c>
      <c r="F8007" s="156" t="s">
        <v>351</v>
      </c>
      <c r="G8007" s="156" t="s">
        <v>3404</v>
      </c>
      <c r="H8007" s="157" t="s">
        <v>214</v>
      </c>
    </row>
    <row r="8008" hidden="1">
      <c r="A8008" s="151" t="s">
        <v>227</v>
      </c>
      <c r="B8008" s="118" t="s">
        <v>195</v>
      </c>
      <c r="C8008" s="118" t="s">
        <v>206</v>
      </c>
      <c r="D8008" s="152" t="s">
        <v>8849</v>
      </c>
      <c r="E8008" s="152" t="s">
        <v>8918</v>
      </c>
      <c r="F8008" s="152" t="s">
        <v>354</v>
      </c>
      <c r="G8008" s="152" t="s">
        <v>3620</v>
      </c>
      <c r="H8008" s="153" t="s">
        <v>215</v>
      </c>
    </row>
    <row r="8009" hidden="1">
      <c r="A8009" s="154" t="s">
        <v>227</v>
      </c>
      <c r="B8009" s="155" t="s">
        <v>195</v>
      </c>
      <c r="C8009" s="155" t="s">
        <v>206</v>
      </c>
      <c r="D8009" s="156" t="s">
        <v>8849</v>
      </c>
      <c r="E8009" s="156" t="s">
        <v>8919</v>
      </c>
      <c r="F8009" s="156" t="s">
        <v>351</v>
      </c>
      <c r="G8009" s="156" t="s">
        <v>3482</v>
      </c>
      <c r="H8009" s="157" t="s">
        <v>216</v>
      </c>
    </row>
    <row r="8010" hidden="1">
      <c r="A8010" s="151" t="s">
        <v>228</v>
      </c>
      <c r="B8010" s="118" t="s">
        <v>138</v>
      </c>
      <c r="C8010" s="118" t="s">
        <v>206</v>
      </c>
      <c r="D8010" s="152" t="s">
        <v>8849</v>
      </c>
      <c r="E8010" s="152" t="s">
        <v>8920</v>
      </c>
      <c r="F8010" s="152" t="s">
        <v>1881</v>
      </c>
      <c r="G8010" s="152" t="s">
        <v>3872</v>
      </c>
      <c r="H8010" s="153" t="s">
        <v>210</v>
      </c>
    </row>
    <row r="8011" hidden="1">
      <c r="A8011" s="154" t="s">
        <v>228</v>
      </c>
      <c r="B8011" s="155" t="s">
        <v>138</v>
      </c>
      <c r="C8011" s="155" t="s">
        <v>206</v>
      </c>
      <c r="D8011" s="156" t="s">
        <v>8849</v>
      </c>
      <c r="E8011" s="156" t="s">
        <v>8921</v>
      </c>
      <c r="F8011" s="156" t="s">
        <v>2142</v>
      </c>
      <c r="G8011" s="156" t="s">
        <v>4320</v>
      </c>
      <c r="H8011" s="157" t="s">
        <v>211</v>
      </c>
    </row>
    <row r="8012" hidden="1">
      <c r="A8012" s="151" t="s">
        <v>228</v>
      </c>
      <c r="B8012" s="118" t="s">
        <v>138</v>
      </c>
      <c r="C8012" s="118" t="s">
        <v>206</v>
      </c>
      <c r="D8012" s="152" t="s">
        <v>8849</v>
      </c>
      <c r="E8012" s="152" t="s">
        <v>8922</v>
      </c>
      <c r="F8012" s="152" t="s">
        <v>1814</v>
      </c>
      <c r="G8012" s="152" t="s">
        <v>3815</v>
      </c>
      <c r="H8012" s="153" t="s">
        <v>212</v>
      </c>
    </row>
    <row r="8013" hidden="1">
      <c r="A8013" s="154" t="s">
        <v>228</v>
      </c>
      <c r="B8013" s="155" t="s">
        <v>138</v>
      </c>
      <c r="C8013" s="155" t="s">
        <v>206</v>
      </c>
      <c r="D8013" s="156" t="s">
        <v>8849</v>
      </c>
      <c r="E8013" s="156" t="s">
        <v>8923</v>
      </c>
      <c r="F8013" s="156" t="s">
        <v>1787</v>
      </c>
      <c r="G8013" s="156" t="s">
        <v>2661</v>
      </c>
      <c r="H8013" s="157" t="s">
        <v>213</v>
      </c>
    </row>
    <row r="8014" hidden="1">
      <c r="A8014" s="151" t="s">
        <v>228</v>
      </c>
      <c r="B8014" s="118" t="s">
        <v>138</v>
      </c>
      <c r="C8014" s="118" t="s">
        <v>206</v>
      </c>
      <c r="D8014" s="152" t="s">
        <v>8849</v>
      </c>
      <c r="E8014" s="152" t="s">
        <v>8924</v>
      </c>
      <c r="F8014" s="152" t="s">
        <v>2435</v>
      </c>
      <c r="G8014" s="152" t="s">
        <v>3546</v>
      </c>
      <c r="H8014" s="153" t="s">
        <v>214</v>
      </c>
    </row>
    <row r="8015" hidden="1">
      <c r="A8015" s="154" t="s">
        <v>228</v>
      </c>
      <c r="B8015" s="155" t="s">
        <v>138</v>
      </c>
      <c r="C8015" s="155" t="s">
        <v>206</v>
      </c>
      <c r="D8015" s="156" t="s">
        <v>8849</v>
      </c>
      <c r="E8015" s="156" t="s">
        <v>8925</v>
      </c>
      <c r="F8015" s="156" t="s">
        <v>3523</v>
      </c>
      <c r="G8015" s="156" t="s">
        <v>4367</v>
      </c>
      <c r="H8015" s="157" t="s">
        <v>215</v>
      </c>
    </row>
    <row r="8016" hidden="1">
      <c r="A8016" s="151" t="s">
        <v>228</v>
      </c>
      <c r="B8016" s="118" t="s">
        <v>138</v>
      </c>
      <c r="C8016" s="118" t="s">
        <v>206</v>
      </c>
      <c r="D8016" s="152" t="s">
        <v>8849</v>
      </c>
      <c r="E8016" s="152" t="s">
        <v>8926</v>
      </c>
      <c r="F8016" s="152" t="s">
        <v>1846</v>
      </c>
      <c r="G8016" s="152" t="s">
        <v>2967</v>
      </c>
      <c r="H8016" s="153" t="s">
        <v>216</v>
      </c>
    </row>
    <row r="8017" hidden="1">
      <c r="A8017" s="154" t="s">
        <v>229</v>
      </c>
      <c r="B8017" s="155" t="s">
        <v>193</v>
      </c>
      <c r="C8017" s="155" t="s">
        <v>206</v>
      </c>
      <c r="D8017" s="156" t="s">
        <v>8849</v>
      </c>
      <c r="E8017" s="156" t="s">
        <v>8927</v>
      </c>
      <c r="F8017" s="156" t="s">
        <v>673</v>
      </c>
      <c r="G8017" s="156" t="s">
        <v>8928</v>
      </c>
      <c r="H8017" s="157" t="s">
        <v>210</v>
      </c>
    </row>
    <row r="8018" hidden="1">
      <c r="A8018" s="151" t="s">
        <v>229</v>
      </c>
      <c r="B8018" s="118" t="s">
        <v>193</v>
      </c>
      <c r="C8018" s="118" t="s">
        <v>206</v>
      </c>
      <c r="D8018" s="152" t="s">
        <v>8849</v>
      </c>
      <c r="E8018" s="152" t="s">
        <v>8929</v>
      </c>
      <c r="F8018" s="152" t="s">
        <v>532</v>
      </c>
      <c r="G8018" s="152" t="s">
        <v>4688</v>
      </c>
      <c r="H8018" s="153" t="s">
        <v>211</v>
      </c>
    </row>
    <row r="8019" hidden="1">
      <c r="A8019" s="154" t="s">
        <v>229</v>
      </c>
      <c r="B8019" s="155" t="s">
        <v>193</v>
      </c>
      <c r="C8019" s="155" t="s">
        <v>206</v>
      </c>
      <c r="D8019" s="156" t="s">
        <v>8849</v>
      </c>
      <c r="E8019" s="156" t="s">
        <v>8930</v>
      </c>
      <c r="F8019" s="156" t="s">
        <v>478</v>
      </c>
      <c r="G8019" s="156" t="s">
        <v>4075</v>
      </c>
      <c r="H8019" s="157" t="s">
        <v>212</v>
      </c>
    </row>
    <row r="8020" hidden="1">
      <c r="A8020" s="151" t="s">
        <v>229</v>
      </c>
      <c r="B8020" s="118" t="s">
        <v>193</v>
      </c>
      <c r="C8020" s="118" t="s">
        <v>206</v>
      </c>
      <c r="D8020" s="152" t="s">
        <v>8849</v>
      </c>
      <c r="E8020" s="152" t="s">
        <v>8931</v>
      </c>
      <c r="F8020" s="152" t="s">
        <v>718</v>
      </c>
      <c r="G8020" s="152" t="s">
        <v>7341</v>
      </c>
      <c r="H8020" s="153" t="s">
        <v>213</v>
      </c>
    </row>
    <row r="8021" hidden="1">
      <c r="A8021" s="154" t="s">
        <v>229</v>
      </c>
      <c r="B8021" s="155" t="s">
        <v>193</v>
      </c>
      <c r="C8021" s="155" t="s">
        <v>206</v>
      </c>
      <c r="D8021" s="156" t="s">
        <v>8849</v>
      </c>
      <c r="E8021" s="156" t="s">
        <v>8932</v>
      </c>
      <c r="F8021" s="156" t="s">
        <v>312</v>
      </c>
      <c r="G8021" s="156" t="s">
        <v>3434</v>
      </c>
      <c r="H8021" s="157" t="s">
        <v>214</v>
      </c>
    </row>
    <row r="8022" hidden="1">
      <c r="A8022" s="151" t="s">
        <v>229</v>
      </c>
      <c r="B8022" s="118" t="s">
        <v>193</v>
      </c>
      <c r="C8022" s="118" t="s">
        <v>206</v>
      </c>
      <c r="D8022" s="152" t="s">
        <v>8849</v>
      </c>
      <c r="E8022" s="152" t="s">
        <v>8933</v>
      </c>
      <c r="F8022" s="152" t="s">
        <v>760</v>
      </c>
      <c r="G8022" s="152" t="s">
        <v>3921</v>
      </c>
      <c r="H8022" s="153" t="s">
        <v>215</v>
      </c>
    </row>
    <row r="8023" hidden="1">
      <c r="A8023" s="154" t="s">
        <v>229</v>
      </c>
      <c r="B8023" s="155" t="s">
        <v>193</v>
      </c>
      <c r="C8023" s="155" t="s">
        <v>206</v>
      </c>
      <c r="D8023" s="156" t="s">
        <v>8849</v>
      </c>
      <c r="E8023" s="156" t="s">
        <v>8934</v>
      </c>
      <c r="F8023" s="156" t="s">
        <v>453</v>
      </c>
      <c r="G8023" s="156" t="s">
        <v>3699</v>
      </c>
      <c r="H8023" s="157" t="s">
        <v>216</v>
      </c>
    </row>
    <row r="8024" hidden="1">
      <c r="A8024" s="151" t="s">
        <v>230</v>
      </c>
      <c r="B8024" s="118" t="s">
        <v>194</v>
      </c>
      <c r="C8024" s="118" t="s">
        <v>206</v>
      </c>
      <c r="D8024" s="152" t="s">
        <v>8849</v>
      </c>
      <c r="E8024" s="152" t="s">
        <v>8935</v>
      </c>
      <c r="F8024" s="152" t="s">
        <v>735</v>
      </c>
      <c r="G8024" s="152" t="s">
        <v>3410</v>
      </c>
      <c r="H8024" s="153" t="s">
        <v>210</v>
      </c>
    </row>
    <row r="8025" hidden="1">
      <c r="A8025" s="154" t="s">
        <v>230</v>
      </c>
      <c r="B8025" s="155" t="s">
        <v>194</v>
      </c>
      <c r="C8025" s="155" t="s">
        <v>206</v>
      </c>
      <c r="D8025" s="156" t="s">
        <v>8849</v>
      </c>
      <c r="E8025" s="156" t="s">
        <v>8936</v>
      </c>
      <c r="F8025" s="156" t="s">
        <v>718</v>
      </c>
      <c r="G8025" s="156" t="s">
        <v>4305</v>
      </c>
      <c r="H8025" s="157" t="s">
        <v>211</v>
      </c>
    </row>
    <row r="8026" hidden="1">
      <c r="A8026" s="151" t="s">
        <v>230</v>
      </c>
      <c r="B8026" s="118" t="s">
        <v>194</v>
      </c>
      <c r="C8026" s="118" t="s">
        <v>206</v>
      </c>
      <c r="D8026" s="152" t="s">
        <v>8849</v>
      </c>
      <c r="E8026" s="152" t="s">
        <v>8937</v>
      </c>
      <c r="F8026" s="152" t="s">
        <v>1532</v>
      </c>
      <c r="G8026" s="152" t="s">
        <v>2970</v>
      </c>
      <c r="H8026" s="153" t="s">
        <v>212</v>
      </c>
    </row>
    <row r="8027" hidden="1">
      <c r="A8027" s="154" t="s">
        <v>230</v>
      </c>
      <c r="B8027" s="155" t="s">
        <v>194</v>
      </c>
      <c r="C8027" s="155" t="s">
        <v>206</v>
      </c>
      <c r="D8027" s="156" t="s">
        <v>8849</v>
      </c>
      <c r="E8027" s="156" t="s">
        <v>8938</v>
      </c>
      <c r="F8027" s="156" t="s">
        <v>577</v>
      </c>
      <c r="G8027" s="156" t="s">
        <v>3142</v>
      </c>
      <c r="H8027" s="157" t="s">
        <v>213</v>
      </c>
    </row>
    <row r="8028" hidden="1">
      <c r="A8028" s="151" t="s">
        <v>230</v>
      </c>
      <c r="B8028" s="118" t="s">
        <v>194</v>
      </c>
      <c r="C8028" s="118" t="s">
        <v>206</v>
      </c>
      <c r="D8028" s="152" t="s">
        <v>8849</v>
      </c>
      <c r="E8028" s="152" t="s">
        <v>8939</v>
      </c>
      <c r="F8028" s="152" t="s">
        <v>1999</v>
      </c>
      <c r="G8028" s="152" t="s">
        <v>3057</v>
      </c>
      <c r="H8028" s="153" t="s">
        <v>214</v>
      </c>
    </row>
    <row r="8029" hidden="1">
      <c r="A8029" s="154" t="s">
        <v>230</v>
      </c>
      <c r="B8029" s="155" t="s">
        <v>194</v>
      </c>
      <c r="C8029" s="155" t="s">
        <v>206</v>
      </c>
      <c r="D8029" s="156" t="s">
        <v>8849</v>
      </c>
      <c r="E8029" s="156" t="s">
        <v>8940</v>
      </c>
      <c r="F8029" s="156" t="s">
        <v>766</v>
      </c>
      <c r="G8029" s="156" t="s">
        <v>3478</v>
      </c>
      <c r="H8029" s="157" t="s">
        <v>215</v>
      </c>
    </row>
    <row r="8030" hidden="1">
      <c r="A8030" s="151" t="s">
        <v>230</v>
      </c>
      <c r="B8030" s="118" t="s">
        <v>194</v>
      </c>
      <c r="C8030" s="118" t="s">
        <v>206</v>
      </c>
      <c r="D8030" s="152" t="s">
        <v>8849</v>
      </c>
      <c r="E8030" s="152" t="s">
        <v>8941</v>
      </c>
      <c r="F8030" s="152" t="s">
        <v>1999</v>
      </c>
      <c r="G8030" s="152" t="s">
        <v>2006</v>
      </c>
      <c r="H8030" s="153" t="s">
        <v>216</v>
      </c>
    </row>
    <row r="8031" hidden="1">
      <c r="A8031" s="158" t="s">
        <v>231</v>
      </c>
      <c r="B8031" s="159"/>
      <c r="C8031" s="155" t="s">
        <v>232</v>
      </c>
      <c r="D8031" s="156" t="s">
        <v>8849</v>
      </c>
      <c r="E8031" s="156" t="s">
        <v>8942</v>
      </c>
      <c r="F8031" s="156" t="s">
        <v>1530</v>
      </c>
      <c r="G8031" s="156" t="s">
        <v>4054</v>
      </c>
      <c r="H8031" s="157" t="s">
        <v>210</v>
      </c>
    </row>
    <row r="8032" hidden="1">
      <c r="A8032" s="160" t="s">
        <v>231</v>
      </c>
      <c r="B8032" s="72"/>
      <c r="C8032" s="118" t="s">
        <v>232</v>
      </c>
      <c r="D8032" s="152" t="s">
        <v>8849</v>
      </c>
      <c r="E8032" s="152" t="s">
        <v>8943</v>
      </c>
      <c r="F8032" s="152" t="s">
        <v>760</v>
      </c>
      <c r="G8032" s="152" t="s">
        <v>3701</v>
      </c>
      <c r="H8032" s="153" t="s">
        <v>211</v>
      </c>
    </row>
    <row r="8033" hidden="1">
      <c r="A8033" s="158" t="s">
        <v>231</v>
      </c>
      <c r="B8033" s="159"/>
      <c r="C8033" s="155" t="s">
        <v>232</v>
      </c>
      <c r="D8033" s="156" t="s">
        <v>8849</v>
      </c>
      <c r="E8033" s="156" t="s">
        <v>8944</v>
      </c>
      <c r="F8033" s="156" t="s">
        <v>766</v>
      </c>
      <c r="G8033" s="156" t="s">
        <v>4442</v>
      </c>
      <c r="H8033" s="157" t="s">
        <v>212</v>
      </c>
    </row>
    <row r="8034" hidden="1">
      <c r="A8034" s="160" t="s">
        <v>231</v>
      </c>
      <c r="B8034" s="72"/>
      <c r="C8034" s="118" t="s">
        <v>232</v>
      </c>
      <c r="D8034" s="152" t="s">
        <v>8849</v>
      </c>
      <c r="E8034" s="152" t="s">
        <v>8945</v>
      </c>
      <c r="F8034" s="152" t="s">
        <v>725</v>
      </c>
      <c r="G8034" s="152" t="s">
        <v>4582</v>
      </c>
      <c r="H8034" s="153" t="s">
        <v>213</v>
      </c>
    </row>
    <row r="8035" hidden="1">
      <c r="A8035" s="158" t="s">
        <v>231</v>
      </c>
      <c r="B8035" s="159"/>
      <c r="C8035" s="155" t="s">
        <v>232</v>
      </c>
      <c r="D8035" s="156" t="s">
        <v>8849</v>
      </c>
      <c r="E8035" s="156" t="s">
        <v>8946</v>
      </c>
      <c r="F8035" s="156" t="s">
        <v>735</v>
      </c>
      <c r="G8035" s="156" t="s">
        <v>4176</v>
      </c>
      <c r="H8035" s="157" t="s">
        <v>214</v>
      </c>
    </row>
    <row r="8036" hidden="1">
      <c r="A8036" s="160" t="s">
        <v>231</v>
      </c>
      <c r="B8036" s="72"/>
      <c r="C8036" s="118" t="s">
        <v>232</v>
      </c>
      <c r="D8036" s="152" t="s">
        <v>8849</v>
      </c>
      <c r="E8036" s="152" t="s">
        <v>8947</v>
      </c>
      <c r="F8036" s="152" t="s">
        <v>1790</v>
      </c>
      <c r="G8036" s="152" t="s">
        <v>3636</v>
      </c>
      <c r="H8036" s="153" t="s">
        <v>215</v>
      </c>
    </row>
    <row r="8037" hidden="1">
      <c r="A8037" s="158" t="s">
        <v>231</v>
      </c>
      <c r="B8037" s="159"/>
      <c r="C8037" s="155" t="s">
        <v>232</v>
      </c>
      <c r="D8037" s="156" t="s">
        <v>8849</v>
      </c>
      <c r="E8037" s="156" t="s">
        <v>8948</v>
      </c>
      <c r="F8037" s="156" t="s">
        <v>390</v>
      </c>
      <c r="G8037" s="156" t="s">
        <v>3694</v>
      </c>
      <c r="H8037" s="157" t="s">
        <v>216</v>
      </c>
    </row>
    <row r="8038" hidden="1">
      <c r="A8038" s="160" t="s">
        <v>233</v>
      </c>
      <c r="B8038" s="72"/>
      <c r="C8038" s="118" t="s">
        <v>232</v>
      </c>
      <c r="D8038" s="152" t="s">
        <v>8849</v>
      </c>
      <c r="E8038" s="152" t="s">
        <v>8949</v>
      </c>
      <c r="F8038" s="152" t="s">
        <v>1530</v>
      </c>
      <c r="G8038" s="152" t="s">
        <v>4851</v>
      </c>
      <c r="H8038" s="153" t="s">
        <v>210</v>
      </c>
    </row>
    <row r="8039" hidden="1">
      <c r="A8039" s="158" t="s">
        <v>233</v>
      </c>
      <c r="B8039" s="159"/>
      <c r="C8039" s="155" t="s">
        <v>232</v>
      </c>
      <c r="D8039" s="156" t="s">
        <v>8849</v>
      </c>
      <c r="E8039" s="156" t="s">
        <v>8950</v>
      </c>
      <c r="F8039" s="156" t="s">
        <v>1929</v>
      </c>
      <c r="G8039" s="156" t="s">
        <v>3300</v>
      </c>
      <c r="H8039" s="157" t="s">
        <v>211</v>
      </c>
    </row>
    <row r="8040" hidden="1">
      <c r="A8040" s="160" t="s">
        <v>233</v>
      </c>
      <c r="B8040" s="72"/>
      <c r="C8040" s="118" t="s">
        <v>232</v>
      </c>
      <c r="D8040" s="152" t="s">
        <v>8849</v>
      </c>
      <c r="E8040" s="152" t="s">
        <v>8951</v>
      </c>
      <c r="F8040" s="152" t="s">
        <v>1530</v>
      </c>
      <c r="G8040" s="152" t="s">
        <v>3840</v>
      </c>
      <c r="H8040" s="153" t="s">
        <v>212</v>
      </c>
    </row>
    <row r="8041" hidden="1">
      <c r="A8041" s="158" t="s">
        <v>233</v>
      </c>
      <c r="B8041" s="159"/>
      <c r="C8041" s="155" t="s">
        <v>232</v>
      </c>
      <c r="D8041" s="156" t="s">
        <v>8849</v>
      </c>
      <c r="E8041" s="156" t="s">
        <v>8952</v>
      </c>
      <c r="F8041" s="156" t="s">
        <v>3240</v>
      </c>
      <c r="G8041" s="156" t="s">
        <v>3532</v>
      </c>
      <c r="H8041" s="157" t="s">
        <v>213</v>
      </c>
    </row>
    <row r="8042" hidden="1">
      <c r="A8042" s="160" t="s">
        <v>233</v>
      </c>
      <c r="B8042" s="72"/>
      <c r="C8042" s="118" t="s">
        <v>232</v>
      </c>
      <c r="D8042" s="152" t="s">
        <v>8849</v>
      </c>
      <c r="E8042" s="152" t="s">
        <v>8953</v>
      </c>
      <c r="F8042" s="152" t="s">
        <v>629</v>
      </c>
      <c r="G8042" s="152" t="s">
        <v>4659</v>
      </c>
      <c r="H8042" s="153" t="s">
        <v>214</v>
      </c>
    </row>
    <row r="8043" hidden="1">
      <c r="A8043" s="158" t="s">
        <v>233</v>
      </c>
      <c r="B8043" s="159"/>
      <c r="C8043" s="155" t="s">
        <v>232</v>
      </c>
      <c r="D8043" s="156" t="s">
        <v>8849</v>
      </c>
      <c r="E8043" s="156" t="s">
        <v>8954</v>
      </c>
      <c r="F8043" s="156" t="s">
        <v>3240</v>
      </c>
      <c r="G8043" s="156" t="s">
        <v>3113</v>
      </c>
      <c r="H8043" s="157" t="s">
        <v>215</v>
      </c>
    </row>
    <row r="8044" hidden="1">
      <c r="A8044" s="160" t="s">
        <v>233</v>
      </c>
      <c r="B8044" s="72"/>
      <c r="C8044" s="118" t="s">
        <v>232</v>
      </c>
      <c r="D8044" s="152" t="s">
        <v>8849</v>
      </c>
      <c r="E8044" s="152" t="s">
        <v>8955</v>
      </c>
      <c r="F8044" s="152" t="s">
        <v>760</v>
      </c>
      <c r="G8044" s="152" t="s">
        <v>4464</v>
      </c>
      <c r="H8044" s="153" t="s">
        <v>216</v>
      </c>
    </row>
    <row r="8045" hidden="1">
      <c r="A8045" s="158" t="s">
        <v>234</v>
      </c>
      <c r="B8045" s="159"/>
      <c r="C8045" s="155" t="s">
        <v>232</v>
      </c>
      <c r="D8045" s="156" t="s">
        <v>8849</v>
      </c>
      <c r="E8045" s="156" t="s">
        <v>8956</v>
      </c>
      <c r="F8045" s="156" t="s">
        <v>1931</v>
      </c>
      <c r="G8045" s="156" t="s">
        <v>2912</v>
      </c>
      <c r="H8045" s="157" t="s">
        <v>210</v>
      </c>
    </row>
    <row r="8046" hidden="1">
      <c r="A8046" s="160" t="s">
        <v>234</v>
      </c>
      <c r="B8046" s="72"/>
      <c r="C8046" s="118" t="s">
        <v>232</v>
      </c>
      <c r="D8046" s="152" t="s">
        <v>8849</v>
      </c>
      <c r="E8046" s="152" t="s">
        <v>8957</v>
      </c>
      <c r="F8046" s="152" t="s">
        <v>3340</v>
      </c>
      <c r="G8046" s="152" t="s">
        <v>2230</v>
      </c>
      <c r="H8046" s="153" t="s">
        <v>211</v>
      </c>
    </row>
    <row r="8047" hidden="1">
      <c r="A8047" s="158" t="s">
        <v>234</v>
      </c>
      <c r="B8047" s="159"/>
      <c r="C8047" s="155" t="s">
        <v>232</v>
      </c>
      <c r="D8047" s="156" t="s">
        <v>8849</v>
      </c>
      <c r="E8047" s="156" t="s">
        <v>8958</v>
      </c>
      <c r="F8047" s="156" t="s">
        <v>2657</v>
      </c>
      <c r="G8047" s="156" t="s">
        <v>3207</v>
      </c>
      <c r="H8047" s="157" t="s">
        <v>212</v>
      </c>
    </row>
    <row r="8048" hidden="1">
      <c r="A8048" s="160" t="s">
        <v>234</v>
      </c>
      <c r="B8048" s="72"/>
      <c r="C8048" s="118" t="s">
        <v>232</v>
      </c>
      <c r="D8048" s="152" t="s">
        <v>8849</v>
      </c>
      <c r="E8048" s="152" t="s">
        <v>8959</v>
      </c>
      <c r="F8048" s="152" t="s">
        <v>3198</v>
      </c>
      <c r="G8048" s="152" t="s">
        <v>2221</v>
      </c>
      <c r="H8048" s="153" t="s">
        <v>213</v>
      </c>
    </row>
    <row r="8049" hidden="1">
      <c r="A8049" s="158" t="s">
        <v>234</v>
      </c>
      <c r="B8049" s="159"/>
      <c r="C8049" s="155" t="s">
        <v>232</v>
      </c>
      <c r="D8049" s="156" t="s">
        <v>8849</v>
      </c>
      <c r="E8049" s="156" t="s">
        <v>8960</v>
      </c>
      <c r="F8049" s="156" t="s">
        <v>2215</v>
      </c>
      <c r="G8049" s="156" t="s">
        <v>2305</v>
      </c>
      <c r="H8049" s="157" t="s">
        <v>214</v>
      </c>
    </row>
    <row r="8050" hidden="1">
      <c r="A8050" s="160" t="s">
        <v>234</v>
      </c>
      <c r="B8050" s="72"/>
      <c r="C8050" s="118" t="s">
        <v>232</v>
      </c>
      <c r="D8050" s="152" t="s">
        <v>8849</v>
      </c>
      <c r="E8050" s="152" t="s">
        <v>8961</v>
      </c>
      <c r="F8050" s="152" t="s">
        <v>3243</v>
      </c>
      <c r="G8050" s="152" t="s">
        <v>2760</v>
      </c>
      <c r="H8050" s="153" t="s">
        <v>215</v>
      </c>
    </row>
    <row r="8051" hidden="1">
      <c r="A8051" s="158" t="s">
        <v>234</v>
      </c>
      <c r="B8051" s="159"/>
      <c r="C8051" s="155" t="s">
        <v>232</v>
      </c>
      <c r="D8051" s="156" t="s">
        <v>8849</v>
      </c>
      <c r="E8051" s="156" t="s">
        <v>8962</v>
      </c>
      <c r="F8051" s="156" t="s">
        <v>444</v>
      </c>
      <c r="G8051" s="156" t="s">
        <v>2609</v>
      </c>
      <c r="H8051" s="157" t="s">
        <v>216</v>
      </c>
    </row>
    <row r="8052" hidden="1">
      <c r="A8052" s="160" t="s">
        <v>235</v>
      </c>
      <c r="B8052" s="72"/>
      <c r="C8052" s="118" t="s">
        <v>236</v>
      </c>
      <c r="D8052" s="152" t="s">
        <v>8849</v>
      </c>
      <c r="E8052" s="152" t="s">
        <v>8963</v>
      </c>
      <c r="F8052" s="152" t="s">
        <v>1929</v>
      </c>
      <c r="G8052" s="152" t="s">
        <v>4209</v>
      </c>
      <c r="H8052" s="153" t="s">
        <v>210</v>
      </c>
    </row>
    <row r="8053" hidden="1">
      <c r="A8053" s="158" t="s">
        <v>235</v>
      </c>
      <c r="B8053" s="159"/>
      <c r="C8053" s="155" t="s">
        <v>236</v>
      </c>
      <c r="D8053" s="156" t="s">
        <v>8849</v>
      </c>
      <c r="E8053" s="156" t="s">
        <v>8964</v>
      </c>
      <c r="F8053" s="156" t="s">
        <v>766</v>
      </c>
      <c r="G8053" s="156" t="s">
        <v>4464</v>
      </c>
      <c r="H8053" s="157" t="s">
        <v>211</v>
      </c>
    </row>
    <row r="8054" hidden="1">
      <c r="A8054" s="160" t="s">
        <v>235</v>
      </c>
      <c r="B8054" s="72"/>
      <c r="C8054" s="118" t="s">
        <v>236</v>
      </c>
      <c r="D8054" s="152" t="s">
        <v>8849</v>
      </c>
      <c r="E8054" s="152" t="s">
        <v>8965</v>
      </c>
      <c r="F8054" s="152" t="s">
        <v>763</v>
      </c>
      <c r="G8054" s="152" t="s">
        <v>1997</v>
      </c>
      <c r="H8054" s="153" t="s">
        <v>212</v>
      </c>
    </row>
    <row r="8055" hidden="1">
      <c r="A8055" s="158" t="s">
        <v>235</v>
      </c>
      <c r="B8055" s="159"/>
      <c r="C8055" s="155" t="s">
        <v>236</v>
      </c>
      <c r="D8055" s="156" t="s">
        <v>8849</v>
      </c>
      <c r="E8055" s="156" t="s">
        <v>8966</v>
      </c>
      <c r="F8055" s="156" t="s">
        <v>758</v>
      </c>
      <c r="G8055" s="156" t="s">
        <v>4209</v>
      </c>
      <c r="H8055" s="157" t="s">
        <v>213</v>
      </c>
    </row>
    <row r="8056" hidden="1">
      <c r="A8056" s="160" t="s">
        <v>235</v>
      </c>
      <c r="B8056" s="72"/>
      <c r="C8056" s="118" t="s">
        <v>236</v>
      </c>
      <c r="D8056" s="152" t="s">
        <v>8849</v>
      </c>
      <c r="E8056" s="152" t="s">
        <v>8967</v>
      </c>
      <c r="F8056" s="152" t="s">
        <v>3240</v>
      </c>
      <c r="G8056" s="152" t="s">
        <v>3756</v>
      </c>
      <c r="H8056" s="153" t="s">
        <v>214</v>
      </c>
    </row>
    <row r="8057" hidden="1">
      <c r="A8057" s="158" t="s">
        <v>235</v>
      </c>
      <c r="B8057" s="159"/>
      <c r="C8057" s="155" t="s">
        <v>236</v>
      </c>
      <c r="D8057" s="156" t="s">
        <v>8849</v>
      </c>
      <c r="E8057" s="156" t="s">
        <v>8968</v>
      </c>
      <c r="F8057" s="156" t="s">
        <v>3340</v>
      </c>
      <c r="G8057" s="156" t="s">
        <v>3783</v>
      </c>
      <c r="H8057" s="157" t="s">
        <v>215</v>
      </c>
    </row>
    <row r="8058" hidden="1">
      <c r="A8058" s="160" t="s">
        <v>235</v>
      </c>
      <c r="B8058" s="72"/>
      <c r="C8058" s="118" t="s">
        <v>236</v>
      </c>
      <c r="D8058" s="152" t="s">
        <v>8849</v>
      </c>
      <c r="E8058" s="152" t="s">
        <v>8969</v>
      </c>
      <c r="F8058" s="152" t="s">
        <v>629</v>
      </c>
      <c r="G8058" s="152" t="s">
        <v>3532</v>
      </c>
      <c r="H8058" s="153" t="s">
        <v>216</v>
      </c>
    </row>
    <row r="8059" hidden="1">
      <c r="A8059" s="158" t="s">
        <v>237</v>
      </c>
      <c r="B8059" s="159"/>
      <c r="C8059" s="155" t="s">
        <v>236</v>
      </c>
      <c r="D8059" s="156" t="s">
        <v>8849</v>
      </c>
      <c r="E8059" s="156" t="s">
        <v>8970</v>
      </c>
      <c r="F8059" s="156" t="s">
        <v>348</v>
      </c>
      <c r="G8059" s="156" t="s">
        <v>1995</v>
      </c>
      <c r="H8059" s="157" t="s">
        <v>210</v>
      </c>
    </row>
    <row r="8060" hidden="1">
      <c r="A8060" s="160" t="s">
        <v>237</v>
      </c>
      <c r="B8060" s="72"/>
      <c r="C8060" s="118" t="s">
        <v>236</v>
      </c>
      <c r="D8060" s="152" t="s">
        <v>8849</v>
      </c>
      <c r="E8060" s="152" t="s">
        <v>8971</v>
      </c>
      <c r="F8060" s="152" t="s">
        <v>405</v>
      </c>
      <c r="G8060" s="152" t="s">
        <v>3950</v>
      </c>
      <c r="H8060" s="153" t="s">
        <v>211</v>
      </c>
    </row>
    <row r="8061" hidden="1">
      <c r="A8061" s="158" t="s">
        <v>237</v>
      </c>
      <c r="B8061" s="159"/>
      <c r="C8061" s="155" t="s">
        <v>236</v>
      </c>
      <c r="D8061" s="156" t="s">
        <v>8849</v>
      </c>
      <c r="E8061" s="156" t="s">
        <v>8972</v>
      </c>
      <c r="F8061" s="156" t="s">
        <v>292</v>
      </c>
      <c r="G8061" s="156" t="s">
        <v>3270</v>
      </c>
      <c r="H8061" s="157" t="s">
        <v>212</v>
      </c>
    </row>
    <row r="8062" hidden="1">
      <c r="A8062" s="160" t="s">
        <v>237</v>
      </c>
      <c r="B8062" s="72"/>
      <c r="C8062" s="118" t="s">
        <v>236</v>
      </c>
      <c r="D8062" s="152" t="s">
        <v>8849</v>
      </c>
      <c r="E8062" s="152" t="s">
        <v>8973</v>
      </c>
      <c r="F8062" s="152" t="s">
        <v>758</v>
      </c>
      <c r="G8062" s="152" t="s">
        <v>3950</v>
      </c>
      <c r="H8062" s="153" t="s">
        <v>213</v>
      </c>
    </row>
    <row r="8063" hidden="1">
      <c r="A8063" s="158" t="s">
        <v>237</v>
      </c>
      <c r="B8063" s="159"/>
      <c r="C8063" s="155" t="s">
        <v>236</v>
      </c>
      <c r="D8063" s="156" t="s">
        <v>8849</v>
      </c>
      <c r="E8063" s="156" t="s">
        <v>8974</v>
      </c>
      <c r="F8063" s="156" t="s">
        <v>673</v>
      </c>
      <c r="G8063" s="156" t="s">
        <v>4006</v>
      </c>
      <c r="H8063" s="157" t="s">
        <v>214</v>
      </c>
    </row>
    <row r="8064" hidden="1">
      <c r="A8064" s="160" t="s">
        <v>237</v>
      </c>
      <c r="B8064" s="72"/>
      <c r="C8064" s="118" t="s">
        <v>236</v>
      </c>
      <c r="D8064" s="152" t="s">
        <v>8849</v>
      </c>
      <c r="E8064" s="152" t="s">
        <v>8975</v>
      </c>
      <c r="F8064" s="152" t="s">
        <v>2215</v>
      </c>
      <c r="G8064" s="152" t="s">
        <v>2965</v>
      </c>
      <c r="H8064" s="153" t="s">
        <v>215</v>
      </c>
    </row>
    <row r="8065" hidden="1">
      <c r="A8065" s="158" t="s">
        <v>237</v>
      </c>
      <c r="B8065" s="159"/>
      <c r="C8065" s="155" t="s">
        <v>236</v>
      </c>
      <c r="D8065" s="156" t="s">
        <v>8849</v>
      </c>
      <c r="E8065" s="156" t="s">
        <v>8976</v>
      </c>
      <c r="F8065" s="156" t="s">
        <v>629</v>
      </c>
      <c r="G8065" s="156" t="s">
        <v>3707</v>
      </c>
      <c r="H8065" s="157" t="s">
        <v>216</v>
      </c>
    </row>
    <row r="8066" hidden="1">
      <c r="A8066" s="151" t="s">
        <v>204</v>
      </c>
      <c r="B8066" s="118" t="s">
        <v>205</v>
      </c>
      <c r="C8066" s="118" t="s">
        <v>206</v>
      </c>
      <c r="D8066" s="152" t="s">
        <v>8977</v>
      </c>
      <c r="E8066" s="152" t="s">
        <v>8978</v>
      </c>
      <c r="F8066" s="152" t="s">
        <v>390</v>
      </c>
      <c r="G8066" s="152" t="s">
        <v>3786</v>
      </c>
      <c r="H8066" s="153" t="s">
        <v>210</v>
      </c>
    </row>
    <row r="8067" hidden="1">
      <c r="A8067" s="154" t="s">
        <v>204</v>
      </c>
      <c r="B8067" s="155" t="s">
        <v>205</v>
      </c>
      <c r="C8067" s="155" t="s">
        <v>206</v>
      </c>
      <c r="D8067" s="156" t="s">
        <v>8977</v>
      </c>
      <c r="E8067" s="156" t="s">
        <v>8979</v>
      </c>
      <c r="F8067" s="156" t="s">
        <v>735</v>
      </c>
      <c r="G8067" s="156" t="s">
        <v>3764</v>
      </c>
      <c r="H8067" s="157" t="s">
        <v>211</v>
      </c>
    </row>
    <row r="8068" hidden="1">
      <c r="A8068" s="151" t="s">
        <v>204</v>
      </c>
      <c r="B8068" s="118" t="s">
        <v>205</v>
      </c>
      <c r="C8068" s="118" t="s">
        <v>206</v>
      </c>
      <c r="D8068" s="152" t="s">
        <v>8977</v>
      </c>
      <c r="E8068" s="152" t="s">
        <v>8980</v>
      </c>
      <c r="F8068" s="152" t="s">
        <v>448</v>
      </c>
      <c r="G8068" s="152" t="s">
        <v>4116</v>
      </c>
      <c r="H8068" s="153" t="s">
        <v>212</v>
      </c>
    </row>
    <row r="8069" hidden="1">
      <c r="A8069" s="154" t="s">
        <v>204</v>
      </c>
      <c r="B8069" s="155" t="s">
        <v>205</v>
      </c>
      <c r="C8069" s="155" t="s">
        <v>206</v>
      </c>
      <c r="D8069" s="156" t="s">
        <v>8977</v>
      </c>
      <c r="E8069" s="156" t="s">
        <v>8981</v>
      </c>
      <c r="F8069" s="156" t="s">
        <v>760</v>
      </c>
      <c r="G8069" s="156" t="s">
        <v>3302</v>
      </c>
      <c r="H8069" s="157" t="s">
        <v>213</v>
      </c>
    </row>
    <row r="8070" hidden="1">
      <c r="A8070" s="151" t="s">
        <v>204</v>
      </c>
      <c r="B8070" s="118" t="s">
        <v>205</v>
      </c>
      <c r="C8070" s="118" t="s">
        <v>206</v>
      </c>
      <c r="D8070" s="152" t="s">
        <v>8977</v>
      </c>
      <c r="E8070" s="152" t="s">
        <v>8982</v>
      </c>
      <c r="F8070" s="152" t="s">
        <v>673</v>
      </c>
      <c r="G8070" s="152" t="s">
        <v>2179</v>
      </c>
      <c r="H8070" s="153" t="s">
        <v>214</v>
      </c>
    </row>
    <row r="8071" hidden="1">
      <c r="A8071" s="154" t="s">
        <v>204</v>
      </c>
      <c r="B8071" s="155" t="s">
        <v>205</v>
      </c>
      <c r="C8071" s="155" t="s">
        <v>206</v>
      </c>
      <c r="D8071" s="156" t="s">
        <v>8977</v>
      </c>
      <c r="E8071" s="156" t="s">
        <v>8983</v>
      </c>
      <c r="F8071" s="156" t="s">
        <v>735</v>
      </c>
      <c r="G8071" s="156" t="s">
        <v>3786</v>
      </c>
      <c r="H8071" s="157" t="s">
        <v>215</v>
      </c>
    </row>
    <row r="8072" hidden="1">
      <c r="A8072" s="151" t="s">
        <v>204</v>
      </c>
      <c r="B8072" s="118" t="s">
        <v>205</v>
      </c>
      <c r="C8072" s="118" t="s">
        <v>206</v>
      </c>
      <c r="D8072" s="152" t="s">
        <v>8977</v>
      </c>
      <c r="E8072" s="152" t="s">
        <v>8984</v>
      </c>
      <c r="F8072" s="152" t="s">
        <v>448</v>
      </c>
      <c r="G8072" s="152" t="s">
        <v>2179</v>
      </c>
      <c r="H8072" s="153" t="s">
        <v>216</v>
      </c>
    </row>
    <row r="8073" hidden="1">
      <c r="A8073" s="154" t="s">
        <v>217</v>
      </c>
      <c r="B8073" s="155" t="s">
        <v>191</v>
      </c>
      <c r="C8073" s="155" t="s">
        <v>206</v>
      </c>
      <c r="D8073" s="156" t="s">
        <v>8977</v>
      </c>
      <c r="E8073" s="156" t="s">
        <v>8985</v>
      </c>
      <c r="F8073" s="156" t="s">
        <v>735</v>
      </c>
      <c r="G8073" s="156" t="s">
        <v>4688</v>
      </c>
      <c r="H8073" s="157" t="s">
        <v>210</v>
      </c>
    </row>
    <row r="8074" hidden="1">
      <c r="A8074" s="151" t="s">
        <v>217</v>
      </c>
      <c r="B8074" s="118" t="s">
        <v>191</v>
      </c>
      <c r="C8074" s="118" t="s">
        <v>206</v>
      </c>
      <c r="D8074" s="152" t="s">
        <v>8977</v>
      </c>
      <c r="E8074" s="152" t="s">
        <v>8986</v>
      </c>
      <c r="F8074" s="152" t="s">
        <v>1999</v>
      </c>
      <c r="G8074" s="152" t="s">
        <v>4442</v>
      </c>
      <c r="H8074" s="153" t="s">
        <v>211</v>
      </c>
    </row>
    <row r="8075" hidden="1">
      <c r="A8075" s="154" t="s">
        <v>217</v>
      </c>
      <c r="B8075" s="155" t="s">
        <v>191</v>
      </c>
      <c r="C8075" s="155" t="s">
        <v>206</v>
      </c>
      <c r="D8075" s="156" t="s">
        <v>8977</v>
      </c>
      <c r="E8075" s="156" t="s">
        <v>8987</v>
      </c>
      <c r="F8075" s="156" t="s">
        <v>760</v>
      </c>
      <c r="G8075" s="156" t="s">
        <v>4029</v>
      </c>
      <c r="H8075" s="157" t="s">
        <v>212</v>
      </c>
    </row>
    <row r="8076" hidden="1">
      <c r="A8076" s="151" t="s">
        <v>217</v>
      </c>
      <c r="B8076" s="118" t="s">
        <v>191</v>
      </c>
      <c r="C8076" s="118" t="s">
        <v>206</v>
      </c>
      <c r="D8076" s="152" t="s">
        <v>8977</v>
      </c>
      <c r="E8076" s="152" t="s">
        <v>8988</v>
      </c>
      <c r="F8076" s="152" t="s">
        <v>2994</v>
      </c>
      <c r="G8076" s="152" t="s">
        <v>3932</v>
      </c>
      <c r="H8076" s="153" t="s">
        <v>213</v>
      </c>
    </row>
    <row r="8077" hidden="1">
      <c r="A8077" s="154" t="s">
        <v>217</v>
      </c>
      <c r="B8077" s="155" t="s">
        <v>191</v>
      </c>
      <c r="C8077" s="155" t="s">
        <v>206</v>
      </c>
      <c r="D8077" s="156" t="s">
        <v>8977</v>
      </c>
      <c r="E8077" s="156" t="s">
        <v>8989</v>
      </c>
      <c r="F8077" s="156" t="s">
        <v>3218</v>
      </c>
      <c r="G8077" s="156" t="s">
        <v>2003</v>
      </c>
      <c r="H8077" s="157" t="s">
        <v>214</v>
      </c>
    </row>
    <row r="8078" hidden="1">
      <c r="A8078" s="151" t="s">
        <v>217</v>
      </c>
      <c r="B8078" s="118" t="s">
        <v>191</v>
      </c>
      <c r="C8078" s="118" t="s">
        <v>206</v>
      </c>
      <c r="D8078" s="152" t="s">
        <v>8977</v>
      </c>
      <c r="E8078" s="152" t="s">
        <v>8990</v>
      </c>
      <c r="F8078" s="152" t="s">
        <v>629</v>
      </c>
      <c r="G8078" s="152" t="s">
        <v>4085</v>
      </c>
      <c r="H8078" s="153" t="s">
        <v>215</v>
      </c>
    </row>
    <row r="8079" hidden="1">
      <c r="A8079" s="154" t="s">
        <v>217</v>
      </c>
      <c r="B8079" s="155" t="s">
        <v>191</v>
      </c>
      <c r="C8079" s="155" t="s">
        <v>206</v>
      </c>
      <c r="D8079" s="156" t="s">
        <v>8977</v>
      </c>
      <c r="E8079" s="156" t="s">
        <v>8991</v>
      </c>
      <c r="F8079" s="156" t="s">
        <v>735</v>
      </c>
      <c r="G8079" s="156" t="s">
        <v>4376</v>
      </c>
      <c r="H8079" s="157" t="s">
        <v>216</v>
      </c>
    </row>
    <row r="8080" hidden="1">
      <c r="A8080" s="151" t="s">
        <v>218</v>
      </c>
      <c r="B8080" s="118" t="s">
        <v>219</v>
      </c>
      <c r="C8080" s="118" t="s">
        <v>206</v>
      </c>
      <c r="D8080" s="152" t="s">
        <v>8977</v>
      </c>
      <c r="E8080" s="152" t="s">
        <v>8992</v>
      </c>
      <c r="F8080" s="152" t="s">
        <v>339</v>
      </c>
      <c r="G8080" s="152" t="s">
        <v>3718</v>
      </c>
      <c r="H8080" s="153" t="s">
        <v>210</v>
      </c>
    </row>
    <row r="8081" hidden="1">
      <c r="A8081" s="154" t="s">
        <v>218</v>
      </c>
      <c r="B8081" s="155" t="s">
        <v>219</v>
      </c>
      <c r="C8081" s="155" t="s">
        <v>206</v>
      </c>
      <c r="D8081" s="156" t="s">
        <v>8977</v>
      </c>
      <c r="E8081" s="156" t="s">
        <v>8993</v>
      </c>
      <c r="F8081" s="156" t="s">
        <v>427</v>
      </c>
      <c r="G8081" s="156" t="s">
        <v>3611</v>
      </c>
      <c r="H8081" s="157" t="s">
        <v>211</v>
      </c>
    </row>
    <row r="8082" hidden="1">
      <c r="A8082" s="151" t="s">
        <v>218</v>
      </c>
      <c r="B8082" s="118" t="s">
        <v>219</v>
      </c>
      <c r="C8082" s="118" t="s">
        <v>206</v>
      </c>
      <c r="D8082" s="152" t="s">
        <v>8977</v>
      </c>
      <c r="E8082" s="152" t="s">
        <v>8994</v>
      </c>
      <c r="F8082" s="152" t="s">
        <v>305</v>
      </c>
      <c r="G8082" s="152" t="s">
        <v>1776</v>
      </c>
      <c r="H8082" s="153" t="s">
        <v>212</v>
      </c>
    </row>
    <row r="8083" hidden="1">
      <c r="A8083" s="154" t="s">
        <v>218</v>
      </c>
      <c r="B8083" s="155" t="s">
        <v>219</v>
      </c>
      <c r="C8083" s="155" t="s">
        <v>206</v>
      </c>
      <c r="D8083" s="156" t="s">
        <v>8977</v>
      </c>
      <c r="E8083" s="156" t="s">
        <v>8995</v>
      </c>
      <c r="F8083" s="156" t="s">
        <v>305</v>
      </c>
      <c r="G8083" s="156" t="s">
        <v>3613</v>
      </c>
      <c r="H8083" s="157" t="s">
        <v>213</v>
      </c>
    </row>
    <row r="8084" hidden="1">
      <c r="A8084" s="151" t="s">
        <v>218</v>
      </c>
      <c r="B8084" s="118" t="s">
        <v>219</v>
      </c>
      <c r="C8084" s="118" t="s">
        <v>206</v>
      </c>
      <c r="D8084" s="152" t="s">
        <v>8977</v>
      </c>
      <c r="E8084" s="152" t="s">
        <v>8996</v>
      </c>
      <c r="F8084" s="152" t="s">
        <v>310</v>
      </c>
      <c r="G8084" s="152" t="s">
        <v>3718</v>
      </c>
      <c r="H8084" s="153" t="s">
        <v>214</v>
      </c>
    </row>
    <row r="8085" hidden="1">
      <c r="A8085" s="154" t="s">
        <v>218</v>
      </c>
      <c r="B8085" s="155" t="s">
        <v>219</v>
      </c>
      <c r="C8085" s="155" t="s">
        <v>206</v>
      </c>
      <c r="D8085" s="156" t="s">
        <v>8977</v>
      </c>
      <c r="E8085" s="156" t="s">
        <v>8997</v>
      </c>
      <c r="F8085" s="156" t="s">
        <v>359</v>
      </c>
      <c r="G8085" s="156" t="s">
        <v>3445</v>
      </c>
      <c r="H8085" s="157" t="s">
        <v>215</v>
      </c>
    </row>
    <row r="8086" hidden="1">
      <c r="A8086" s="151" t="s">
        <v>218</v>
      </c>
      <c r="B8086" s="118" t="s">
        <v>219</v>
      </c>
      <c r="C8086" s="118" t="s">
        <v>206</v>
      </c>
      <c r="D8086" s="152" t="s">
        <v>8977</v>
      </c>
      <c r="E8086" s="152" t="s">
        <v>8998</v>
      </c>
      <c r="F8086" s="152" t="s">
        <v>351</v>
      </c>
      <c r="G8086" s="152" t="s">
        <v>3154</v>
      </c>
      <c r="H8086" s="153" t="s">
        <v>216</v>
      </c>
    </row>
    <row r="8087" hidden="1">
      <c r="A8087" s="154" t="s">
        <v>220</v>
      </c>
      <c r="B8087" s="155" t="s">
        <v>190</v>
      </c>
      <c r="C8087" s="155" t="s">
        <v>206</v>
      </c>
      <c r="D8087" s="156" t="s">
        <v>8977</v>
      </c>
      <c r="E8087" s="156" t="s">
        <v>8999</v>
      </c>
      <c r="F8087" s="156" t="s">
        <v>2654</v>
      </c>
      <c r="G8087" s="156" t="s">
        <v>5170</v>
      </c>
      <c r="H8087" s="157" t="s">
        <v>210</v>
      </c>
    </row>
    <row r="8088" hidden="1">
      <c r="A8088" s="151" t="s">
        <v>220</v>
      </c>
      <c r="B8088" s="118" t="s">
        <v>190</v>
      </c>
      <c r="C8088" s="118" t="s">
        <v>206</v>
      </c>
      <c r="D8088" s="152" t="s">
        <v>8977</v>
      </c>
      <c r="E8088" s="152" t="s">
        <v>9000</v>
      </c>
      <c r="F8088" s="152" t="s">
        <v>587</v>
      </c>
      <c r="G8088" s="152" t="s">
        <v>4328</v>
      </c>
      <c r="H8088" s="153" t="s">
        <v>211</v>
      </c>
    </row>
    <row r="8089" hidden="1">
      <c r="A8089" s="154" t="s">
        <v>220</v>
      </c>
      <c r="B8089" s="155" t="s">
        <v>190</v>
      </c>
      <c r="C8089" s="155" t="s">
        <v>206</v>
      </c>
      <c r="D8089" s="156" t="s">
        <v>8977</v>
      </c>
      <c r="E8089" s="156" t="s">
        <v>9001</v>
      </c>
      <c r="F8089" s="156" t="s">
        <v>3145</v>
      </c>
      <c r="G8089" s="156" t="s">
        <v>5430</v>
      </c>
      <c r="H8089" s="157" t="s">
        <v>212</v>
      </c>
    </row>
    <row r="8090" hidden="1">
      <c r="A8090" s="151" t="s">
        <v>220</v>
      </c>
      <c r="B8090" s="118" t="s">
        <v>190</v>
      </c>
      <c r="C8090" s="118" t="s">
        <v>206</v>
      </c>
      <c r="D8090" s="152" t="s">
        <v>8977</v>
      </c>
      <c r="E8090" s="152" t="s">
        <v>9002</v>
      </c>
      <c r="F8090" s="152" t="s">
        <v>641</v>
      </c>
      <c r="G8090" s="152" t="s">
        <v>4653</v>
      </c>
      <c r="H8090" s="153" t="s">
        <v>213</v>
      </c>
    </row>
    <row r="8091" hidden="1">
      <c r="A8091" s="154" t="s">
        <v>220</v>
      </c>
      <c r="B8091" s="155" t="s">
        <v>190</v>
      </c>
      <c r="C8091" s="155" t="s">
        <v>206</v>
      </c>
      <c r="D8091" s="156" t="s">
        <v>8977</v>
      </c>
      <c r="E8091" s="156" t="s">
        <v>9003</v>
      </c>
      <c r="F8091" s="156" t="s">
        <v>732</v>
      </c>
      <c r="G8091" s="156" t="s">
        <v>4231</v>
      </c>
      <c r="H8091" s="157" t="s">
        <v>214</v>
      </c>
    </row>
    <row r="8092" hidden="1">
      <c r="A8092" s="151" t="s">
        <v>220</v>
      </c>
      <c r="B8092" s="118" t="s">
        <v>190</v>
      </c>
      <c r="C8092" s="118" t="s">
        <v>206</v>
      </c>
      <c r="D8092" s="152" t="s">
        <v>8977</v>
      </c>
      <c r="E8092" s="152" t="s">
        <v>9004</v>
      </c>
      <c r="F8092" s="152" t="s">
        <v>780</v>
      </c>
      <c r="G8092" s="152" t="s">
        <v>6769</v>
      </c>
      <c r="H8092" s="153" t="s">
        <v>215</v>
      </c>
    </row>
    <row r="8093" hidden="1">
      <c r="A8093" s="154" t="s">
        <v>220</v>
      </c>
      <c r="B8093" s="155" t="s">
        <v>190</v>
      </c>
      <c r="C8093" s="155" t="s">
        <v>206</v>
      </c>
      <c r="D8093" s="156" t="s">
        <v>8977</v>
      </c>
      <c r="E8093" s="156" t="s">
        <v>9005</v>
      </c>
      <c r="F8093" s="156" t="s">
        <v>2339</v>
      </c>
      <c r="G8093" s="156" t="s">
        <v>3638</v>
      </c>
      <c r="H8093" s="157" t="s">
        <v>216</v>
      </c>
    </row>
    <row r="8094" hidden="1">
      <c r="A8094" s="151" t="s">
        <v>221</v>
      </c>
      <c r="B8094" s="118" t="s">
        <v>189</v>
      </c>
      <c r="C8094" s="118" t="s">
        <v>206</v>
      </c>
      <c r="D8094" s="152" t="s">
        <v>8977</v>
      </c>
      <c r="E8094" s="152" t="s">
        <v>9006</v>
      </c>
      <c r="F8094" s="152" t="s">
        <v>577</v>
      </c>
      <c r="G8094" s="152" t="s">
        <v>3059</v>
      </c>
      <c r="H8094" s="153" t="s">
        <v>210</v>
      </c>
    </row>
    <row r="8095" hidden="1">
      <c r="A8095" s="154" t="s">
        <v>221</v>
      </c>
      <c r="B8095" s="155" t="s">
        <v>189</v>
      </c>
      <c r="C8095" s="155" t="s">
        <v>206</v>
      </c>
      <c r="D8095" s="156" t="s">
        <v>8977</v>
      </c>
      <c r="E8095" s="156" t="s">
        <v>9007</v>
      </c>
      <c r="F8095" s="156" t="s">
        <v>483</v>
      </c>
      <c r="G8095" s="156" t="s">
        <v>2472</v>
      </c>
      <c r="H8095" s="157" t="s">
        <v>211</v>
      </c>
    </row>
    <row r="8096" hidden="1">
      <c r="A8096" s="151" t="s">
        <v>221</v>
      </c>
      <c r="B8096" s="118" t="s">
        <v>189</v>
      </c>
      <c r="C8096" s="118" t="s">
        <v>206</v>
      </c>
      <c r="D8096" s="152" t="s">
        <v>8977</v>
      </c>
      <c r="E8096" s="152" t="s">
        <v>9008</v>
      </c>
      <c r="F8096" s="152" t="s">
        <v>673</v>
      </c>
      <c r="G8096" s="152" t="s">
        <v>4992</v>
      </c>
      <c r="H8096" s="153" t="s">
        <v>212</v>
      </c>
    </row>
    <row r="8097" hidden="1">
      <c r="A8097" s="154" t="s">
        <v>221</v>
      </c>
      <c r="B8097" s="155" t="s">
        <v>189</v>
      </c>
      <c r="C8097" s="155" t="s">
        <v>206</v>
      </c>
      <c r="D8097" s="156" t="s">
        <v>8977</v>
      </c>
      <c r="E8097" s="156" t="s">
        <v>9009</v>
      </c>
      <c r="F8097" s="156" t="s">
        <v>577</v>
      </c>
      <c r="G8097" s="156" t="s">
        <v>1942</v>
      </c>
      <c r="H8097" s="157" t="s">
        <v>213</v>
      </c>
    </row>
    <row r="8098" hidden="1">
      <c r="A8098" s="151" t="s">
        <v>221</v>
      </c>
      <c r="B8098" s="118" t="s">
        <v>189</v>
      </c>
      <c r="C8098" s="118" t="s">
        <v>206</v>
      </c>
      <c r="D8098" s="152" t="s">
        <v>8977</v>
      </c>
      <c r="E8098" s="152" t="s">
        <v>9010</v>
      </c>
      <c r="F8098" s="152" t="s">
        <v>325</v>
      </c>
      <c r="G8098" s="152" t="s">
        <v>3341</v>
      </c>
      <c r="H8098" s="153" t="s">
        <v>214</v>
      </c>
    </row>
    <row r="8099" hidden="1">
      <c r="A8099" s="154" t="s">
        <v>221</v>
      </c>
      <c r="B8099" s="155" t="s">
        <v>189</v>
      </c>
      <c r="C8099" s="155" t="s">
        <v>206</v>
      </c>
      <c r="D8099" s="156" t="s">
        <v>8977</v>
      </c>
      <c r="E8099" s="156" t="s">
        <v>9011</v>
      </c>
      <c r="F8099" s="156" t="s">
        <v>453</v>
      </c>
      <c r="G8099" s="156" t="s">
        <v>3475</v>
      </c>
      <c r="H8099" s="157" t="s">
        <v>215</v>
      </c>
    </row>
    <row r="8100" hidden="1">
      <c r="A8100" s="151" t="s">
        <v>221</v>
      </c>
      <c r="B8100" s="118" t="s">
        <v>189</v>
      </c>
      <c r="C8100" s="118" t="s">
        <v>206</v>
      </c>
      <c r="D8100" s="152" t="s">
        <v>8977</v>
      </c>
      <c r="E8100" s="152" t="s">
        <v>9012</v>
      </c>
      <c r="F8100" s="152" t="s">
        <v>478</v>
      </c>
      <c r="G8100" s="152" t="s">
        <v>2065</v>
      </c>
      <c r="H8100" s="153" t="s">
        <v>216</v>
      </c>
    </row>
    <row r="8101" hidden="1">
      <c r="A8101" s="154" t="s">
        <v>222</v>
      </c>
      <c r="B8101" s="155" t="s">
        <v>192</v>
      </c>
      <c r="C8101" s="155" t="s">
        <v>206</v>
      </c>
      <c r="D8101" s="156" t="s">
        <v>8977</v>
      </c>
      <c r="E8101" s="156" t="s">
        <v>9013</v>
      </c>
      <c r="F8101" s="156" t="s">
        <v>1999</v>
      </c>
      <c r="G8101" s="156" t="s">
        <v>3262</v>
      </c>
      <c r="H8101" s="157" t="s">
        <v>210</v>
      </c>
    </row>
    <row r="8102" hidden="1">
      <c r="A8102" s="151" t="s">
        <v>222</v>
      </c>
      <c r="B8102" s="118" t="s">
        <v>192</v>
      </c>
      <c r="C8102" s="118" t="s">
        <v>206</v>
      </c>
      <c r="D8102" s="152" t="s">
        <v>8977</v>
      </c>
      <c r="E8102" s="152" t="s">
        <v>9014</v>
      </c>
      <c r="F8102" s="152" t="s">
        <v>1999</v>
      </c>
      <c r="G8102" s="152" t="s">
        <v>2965</v>
      </c>
      <c r="H8102" s="153" t="s">
        <v>211</v>
      </c>
    </row>
    <row r="8103" hidden="1">
      <c r="A8103" s="154" t="s">
        <v>222</v>
      </c>
      <c r="B8103" s="155" t="s">
        <v>192</v>
      </c>
      <c r="C8103" s="155" t="s">
        <v>206</v>
      </c>
      <c r="D8103" s="156" t="s">
        <v>8977</v>
      </c>
      <c r="E8103" s="156" t="s">
        <v>9015</v>
      </c>
      <c r="F8103" s="156" t="s">
        <v>1999</v>
      </c>
      <c r="G8103" s="156" t="s">
        <v>3402</v>
      </c>
      <c r="H8103" s="157" t="s">
        <v>212</v>
      </c>
    </row>
    <row r="8104" hidden="1">
      <c r="A8104" s="151" t="s">
        <v>222</v>
      </c>
      <c r="B8104" s="118" t="s">
        <v>192</v>
      </c>
      <c r="C8104" s="118" t="s">
        <v>206</v>
      </c>
      <c r="D8104" s="152" t="s">
        <v>8977</v>
      </c>
      <c r="E8104" s="152" t="s">
        <v>9016</v>
      </c>
      <c r="F8104" s="152" t="s">
        <v>405</v>
      </c>
      <c r="G8104" s="152" t="s">
        <v>3203</v>
      </c>
      <c r="H8104" s="153" t="s">
        <v>213</v>
      </c>
    </row>
    <row r="8105" hidden="1">
      <c r="A8105" s="154" t="s">
        <v>222</v>
      </c>
      <c r="B8105" s="155" t="s">
        <v>192</v>
      </c>
      <c r="C8105" s="155" t="s">
        <v>206</v>
      </c>
      <c r="D8105" s="156" t="s">
        <v>8977</v>
      </c>
      <c r="E8105" s="156" t="s">
        <v>9017</v>
      </c>
      <c r="F8105" s="156" t="s">
        <v>448</v>
      </c>
      <c r="G8105" s="156" t="s">
        <v>4002</v>
      </c>
      <c r="H8105" s="157" t="s">
        <v>214</v>
      </c>
    </row>
    <row r="8106" hidden="1">
      <c r="A8106" s="151" t="s">
        <v>222</v>
      </c>
      <c r="B8106" s="118" t="s">
        <v>192</v>
      </c>
      <c r="C8106" s="118" t="s">
        <v>206</v>
      </c>
      <c r="D8106" s="152" t="s">
        <v>8977</v>
      </c>
      <c r="E8106" s="152" t="s">
        <v>9018</v>
      </c>
      <c r="F8106" s="152" t="s">
        <v>799</v>
      </c>
      <c r="G8106" s="152" t="s">
        <v>3475</v>
      </c>
      <c r="H8106" s="153" t="s">
        <v>215</v>
      </c>
    </row>
    <row r="8107" hidden="1">
      <c r="A8107" s="154" t="s">
        <v>222</v>
      </c>
      <c r="B8107" s="155" t="s">
        <v>192</v>
      </c>
      <c r="C8107" s="155" t="s">
        <v>206</v>
      </c>
      <c r="D8107" s="156" t="s">
        <v>8977</v>
      </c>
      <c r="E8107" s="156" t="s">
        <v>9019</v>
      </c>
      <c r="F8107" s="156" t="s">
        <v>1999</v>
      </c>
      <c r="G8107" s="156" t="s">
        <v>2181</v>
      </c>
      <c r="H8107" s="157" t="s">
        <v>216</v>
      </c>
    </row>
    <row r="8108" hidden="1">
      <c r="A8108" s="151" t="s">
        <v>223</v>
      </c>
      <c r="B8108" s="118" t="s">
        <v>144</v>
      </c>
      <c r="C8108" s="118" t="s">
        <v>206</v>
      </c>
      <c r="D8108" s="152" t="s">
        <v>8977</v>
      </c>
      <c r="E8108" s="152" t="s">
        <v>9020</v>
      </c>
      <c r="F8108" s="152" t="s">
        <v>390</v>
      </c>
      <c r="G8108" s="152" t="s">
        <v>3756</v>
      </c>
      <c r="H8108" s="153" t="s">
        <v>210</v>
      </c>
    </row>
    <row r="8109" hidden="1">
      <c r="A8109" s="154" t="s">
        <v>223</v>
      </c>
      <c r="B8109" s="155" t="s">
        <v>144</v>
      </c>
      <c r="C8109" s="155" t="s">
        <v>206</v>
      </c>
      <c r="D8109" s="156" t="s">
        <v>8977</v>
      </c>
      <c r="E8109" s="156" t="s">
        <v>9021</v>
      </c>
      <c r="F8109" s="156" t="s">
        <v>758</v>
      </c>
      <c r="G8109" s="156" t="s">
        <v>4743</v>
      </c>
      <c r="H8109" s="157" t="s">
        <v>211</v>
      </c>
    </row>
    <row r="8110" hidden="1">
      <c r="A8110" s="151" t="s">
        <v>223</v>
      </c>
      <c r="B8110" s="118" t="s">
        <v>144</v>
      </c>
      <c r="C8110" s="118" t="s">
        <v>206</v>
      </c>
      <c r="D8110" s="152" t="s">
        <v>8977</v>
      </c>
      <c r="E8110" s="152" t="s">
        <v>9022</v>
      </c>
      <c r="F8110" s="152" t="s">
        <v>2994</v>
      </c>
      <c r="G8110" s="152" t="s">
        <v>3818</v>
      </c>
      <c r="H8110" s="153" t="s">
        <v>212</v>
      </c>
    </row>
    <row r="8111" hidden="1">
      <c r="A8111" s="154" t="s">
        <v>223</v>
      </c>
      <c r="B8111" s="155" t="s">
        <v>144</v>
      </c>
      <c r="C8111" s="155" t="s">
        <v>206</v>
      </c>
      <c r="D8111" s="156" t="s">
        <v>8977</v>
      </c>
      <c r="E8111" s="156" t="s">
        <v>9023</v>
      </c>
      <c r="F8111" s="156" t="s">
        <v>453</v>
      </c>
      <c r="G8111" s="156" t="s">
        <v>4219</v>
      </c>
      <c r="H8111" s="157" t="s">
        <v>213</v>
      </c>
    </row>
    <row r="8112" hidden="1">
      <c r="A8112" s="151" t="s">
        <v>223</v>
      </c>
      <c r="B8112" s="118" t="s">
        <v>144</v>
      </c>
      <c r="C8112" s="118" t="s">
        <v>206</v>
      </c>
      <c r="D8112" s="152" t="s">
        <v>8977</v>
      </c>
      <c r="E8112" s="152" t="s">
        <v>9024</v>
      </c>
      <c r="F8112" s="152" t="s">
        <v>348</v>
      </c>
      <c r="G8112" s="152" t="s">
        <v>4077</v>
      </c>
      <c r="H8112" s="153" t="s">
        <v>214</v>
      </c>
    </row>
    <row r="8113" hidden="1">
      <c r="A8113" s="154" t="s">
        <v>223</v>
      </c>
      <c r="B8113" s="155" t="s">
        <v>144</v>
      </c>
      <c r="C8113" s="155" t="s">
        <v>206</v>
      </c>
      <c r="D8113" s="156" t="s">
        <v>8977</v>
      </c>
      <c r="E8113" s="156" t="s">
        <v>9025</v>
      </c>
      <c r="F8113" s="156" t="s">
        <v>405</v>
      </c>
      <c r="G8113" s="156" t="s">
        <v>2967</v>
      </c>
      <c r="H8113" s="157" t="s">
        <v>215</v>
      </c>
    </row>
    <row r="8114" hidden="1">
      <c r="A8114" s="151" t="s">
        <v>223</v>
      </c>
      <c r="B8114" s="118" t="s">
        <v>144</v>
      </c>
      <c r="C8114" s="118" t="s">
        <v>206</v>
      </c>
      <c r="D8114" s="152" t="s">
        <v>8977</v>
      </c>
      <c r="E8114" s="152" t="s">
        <v>9026</v>
      </c>
      <c r="F8114" s="152" t="s">
        <v>760</v>
      </c>
      <c r="G8114" s="152" t="s">
        <v>4280</v>
      </c>
      <c r="H8114" s="153" t="s">
        <v>216</v>
      </c>
    </row>
    <row r="8115" hidden="1">
      <c r="A8115" s="154" t="s">
        <v>224</v>
      </c>
      <c r="B8115" s="155" t="s">
        <v>170</v>
      </c>
      <c r="C8115" s="155" t="s">
        <v>206</v>
      </c>
      <c r="D8115" s="156" t="s">
        <v>8977</v>
      </c>
      <c r="E8115" s="156" t="s">
        <v>9027</v>
      </c>
      <c r="F8115" s="156" t="s">
        <v>448</v>
      </c>
      <c r="G8115" s="156" t="s">
        <v>1997</v>
      </c>
      <c r="H8115" s="157" t="s">
        <v>210</v>
      </c>
    </row>
    <row r="8116" hidden="1">
      <c r="A8116" s="151" t="s">
        <v>224</v>
      </c>
      <c r="B8116" s="118" t="s">
        <v>170</v>
      </c>
      <c r="C8116" s="118" t="s">
        <v>206</v>
      </c>
      <c r="D8116" s="152" t="s">
        <v>8977</v>
      </c>
      <c r="E8116" s="152" t="s">
        <v>9028</v>
      </c>
      <c r="F8116" s="152" t="s">
        <v>677</v>
      </c>
      <c r="G8116" s="152" t="s">
        <v>3872</v>
      </c>
      <c r="H8116" s="153" t="s">
        <v>211</v>
      </c>
    </row>
    <row r="8117" hidden="1">
      <c r="A8117" s="154" t="s">
        <v>224</v>
      </c>
      <c r="B8117" s="155" t="s">
        <v>170</v>
      </c>
      <c r="C8117" s="155" t="s">
        <v>206</v>
      </c>
      <c r="D8117" s="156" t="s">
        <v>8977</v>
      </c>
      <c r="E8117" s="156" t="s">
        <v>9029</v>
      </c>
      <c r="F8117" s="156" t="s">
        <v>329</v>
      </c>
      <c r="G8117" s="156" t="s">
        <v>3111</v>
      </c>
      <c r="H8117" s="157" t="s">
        <v>212</v>
      </c>
    </row>
    <row r="8118" hidden="1">
      <c r="A8118" s="151" t="s">
        <v>224</v>
      </c>
      <c r="B8118" s="118" t="s">
        <v>170</v>
      </c>
      <c r="C8118" s="118" t="s">
        <v>206</v>
      </c>
      <c r="D8118" s="152" t="s">
        <v>8977</v>
      </c>
      <c r="E8118" s="152" t="s">
        <v>9030</v>
      </c>
      <c r="F8118" s="152" t="s">
        <v>718</v>
      </c>
      <c r="G8118" s="152" t="s">
        <v>4019</v>
      </c>
      <c r="H8118" s="153" t="s">
        <v>213</v>
      </c>
    </row>
    <row r="8119" hidden="1">
      <c r="A8119" s="154" t="s">
        <v>224</v>
      </c>
      <c r="B8119" s="155" t="s">
        <v>170</v>
      </c>
      <c r="C8119" s="155" t="s">
        <v>206</v>
      </c>
      <c r="D8119" s="156" t="s">
        <v>8977</v>
      </c>
      <c r="E8119" s="156" t="s">
        <v>9031</v>
      </c>
      <c r="F8119" s="156" t="s">
        <v>453</v>
      </c>
      <c r="G8119" s="156" t="s">
        <v>3296</v>
      </c>
      <c r="H8119" s="157" t="s">
        <v>214</v>
      </c>
    </row>
    <row r="8120" hidden="1">
      <c r="A8120" s="151" t="s">
        <v>224</v>
      </c>
      <c r="B8120" s="118" t="s">
        <v>170</v>
      </c>
      <c r="C8120" s="118" t="s">
        <v>206</v>
      </c>
      <c r="D8120" s="152" t="s">
        <v>8977</v>
      </c>
      <c r="E8120" s="152" t="s">
        <v>9032</v>
      </c>
      <c r="F8120" s="152" t="s">
        <v>478</v>
      </c>
      <c r="G8120" s="152" t="s">
        <v>4608</v>
      </c>
      <c r="H8120" s="153" t="s">
        <v>215</v>
      </c>
    </row>
    <row r="8121" hidden="1">
      <c r="A8121" s="154" t="s">
        <v>224</v>
      </c>
      <c r="B8121" s="155" t="s">
        <v>170</v>
      </c>
      <c r="C8121" s="155" t="s">
        <v>206</v>
      </c>
      <c r="D8121" s="156" t="s">
        <v>8977</v>
      </c>
      <c r="E8121" s="156" t="s">
        <v>9033</v>
      </c>
      <c r="F8121" s="156" t="s">
        <v>1532</v>
      </c>
      <c r="G8121" s="156" t="s">
        <v>3764</v>
      </c>
      <c r="H8121" s="157" t="s">
        <v>216</v>
      </c>
    </row>
    <row r="8122" hidden="1">
      <c r="A8122" s="151" t="s">
        <v>225</v>
      </c>
      <c r="B8122" s="118" t="s">
        <v>226</v>
      </c>
      <c r="C8122" s="118" t="s">
        <v>206</v>
      </c>
      <c r="D8122" s="152" t="s">
        <v>8977</v>
      </c>
      <c r="E8122" s="152" t="s">
        <v>9034</v>
      </c>
      <c r="F8122" s="152" t="s">
        <v>494</v>
      </c>
      <c r="G8122" s="152" t="s">
        <v>2859</v>
      </c>
      <c r="H8122" s="153" t="s">
        <v>210</v>
      </c>
    </row>
    <row r="8123" hidden="1">
      <c r="A8123" s="154" t="s">
        <v>225</v>
      </c>
      <c r="B8123" s="155" t="s">
        <v>226</v>
      </c>
      <c r="C8123" s="155" t="s">
        <v>206</v>
      </c>
      <c r="D8123" s="156" t="s">
        <v>8977</v>
      </c>
      <c r="E8123" s="156" t="s">
        <v>9035</v>
      </c>
      <c r="F8123" s="156" t="s">
        <v>290</v>
      </c>
      <c r="G8123" s="156" t="s">
        <v>2859</v>
      </c>
      <c r="H8123" s="157" t="s">
        <v>211</v>
      </c>
    </row>
    <row r="8124" hidden="1">
      <c r="A8124" s="151" t="s">
        <v>225</v>
      </c>
      <c r="B8124" s="118" t="s">
        <v>226</v>
      </c>
      <c r="C8124" s="118" t="s">
        <v>206</v>
      </c>
      <c r="D8124" s="152" t="s">
        <v>8977</v>
      </c>
      <c r="E8124" s="152" t="s">
        <v>9036</v>
      </c>
      <c r="F8124" s="152" t="s">
        <v>339</v>
      </c>
      <c r="G8124" s="152" t="s">
        <v>3287</v>
      </c>
      <c r="H8124" s="153" t="s">
        <v>212</v>
      </c>
    </row>
    <row r="8125" hidden="1">
      <c r="A8125" s="154" t="s">
        <v>225</v>
      </c>
      <c r="B8125" s="155" t="s">
        <v>226</v>
      </c>
      <c r="C8125" s="155" t="s">
        <v>206</v>
      </c>
      <c r="D8125" s="156" t="s">
        <v>8977</v>
      </c>
      <c r="E8125" s="156" t="s">
        <v>9037</v>
      </c>
      <c r="F8125" s="156" t="s">
        <v>305</v>
      </c>
      <c r="G8125" s="156" t="s">
        <v>2777</v>
      </c>
      <c r="H8125" s="157" t="s">
        <v>213</v>
      </c>
    </row>
    <row r="8126" hidden="1">
      <c r="A8126" s="151" t="s">
        <v>225</v>
      </c>
      <c r="B8126" s="118" t="s">
        <v>226</v>
      </c>
      <c r="C8126" s="118" t="s">
        <v>206</v>
      </c>
      <c r="D8126" s="152" t="s">
        <v>8977</v>
      </c>
      <c r="E8126" s="152" t="s">
        <v>9038</v>
      </c>
      <c r="F8126" s="152" t="s">
        <v>339</v>
      </c>
      <c r="G8126" s="152" t="s">
        <v>2138</v>
      </c>
      <c r="H8126" s="153" t="s">
        <v>214</v>
      </c>
    </row>
    <row r="8127" hidden="1">
      <c r="A8127" s="154" t="s">
        <v>225</v>
      </c>
      <c r="B8127" s="155" t="s">
        <v>226</v>
      </c>
      <c r="C8127" s="155" t="s">
        <v>206</v>
      </c>
      <c r="D8127" s="156" t="s">
        <v>8977</v>
      </c>
      <c r="E8127" s="156" t="s">
        <v>9039</v>
      </c>
      <c r="F8127" s="156" t="s">
        <v>336</v>
      </c>
      <c r="G8127" s="156" t="s">
        <v>3007</v>
      </c>
      <c r="H8127" s="157" t="s">
        <v>215</v>
      </c>
    </row>
    <row r="8128" hidden="1">
      <c r="A8128" s="151" t="s">
        <v>225</v>
      </c>
      <c r="B8128" s="118" t="s">
        <v>226</v>
      </c>
      <c r="C8128" s="118" t="s">
        <v>206</v>
      </c>
      <c r="D8128" s="152" t="s">
        <v>8977</v>
      </c>
      <c r="E8128" s="152" t="s">
        <v>9040</v>
      </c>
      <c r="F8128" s="152" t="s">
        <v>450</v>
      </c>
      <c r="G8128" s="152" t="s">
        <v>3335</v>
      </c>
      <c r="H8128" s="153" t="s">
        <v>216</v>
      </c>
    </row>
    <row r="8129" hidden="1">
      <c r="A8129" s="154" t="s">
        <v>227</v>
      </c>
      <c r="B8129" s="155" t="s">
        <v>195</v>
      </c>
      <c r="C8129" s="155" t="s">
        <v>206</v>
      </c>
      <c r="D8129" s="156" t="s">
        <v>8977</v>
      </c>
      <c r="E8129" s="156" t="s">
        <v>9041</v>
      </c>
      <c r="F8129" s="156" t="s">
        <v>673</v>
      </c>
      <c r="G8129" s="156" t="s">
        <v>3908</v>
      </c>
      <c r="H8129" s="157" t="s">
        <v>210</v>
      </c>
    </row>
    <row r="8130" hidden="1">
      <c r="A8130" s="151" t="s">
        <v>227</v>
      </c>
      <c r="B8130" s="118" t="s">
        <v>195</v>
      </c>
      <c r="C8130" s="118" t="s">
        <v>206</v>
      </c>
      <c r="D8130" s="152" t="s">
        <v>8977</v>
      </c>
      <c r="E8130" s="152" t="s">
        <v>9042</v>
      </c>
      <c r="F8130" s="152" t="s">
        <v>577</v>
      </c>
      <c r="G8130" s="152" t="s">
        <v>3691</v>
      </c>
      <c r="H8130" s="153" t="s">
        <v>211</v>
      </c>
    </row>
    <row r="8131" hidden="1">
      <c r="A8131" s="154" t="s">
        <v>227</v>
      </c>
      <c r="B8131" s="155" t="s">
        <v>195</v>
      </c>
      <c r="C8131" s="155" t="s">
        <v>206</v>
      </c>
      <c r="D8131" s="156" t="s">
        <v>8977</v>
      </c>
      <c r="E8131" s="156" t="s">
        <v>9043</v>
      </c>
      <c r="F8131" s="156" t="s">
        <v>494</v>
      </c>
      <c r="G8131" s="156" t="s">
        <v>2187</v>
      </c>
      <c r="H8131" s="157" t="s">
        <v>212</v>
      </c>
    </row>
    <row r="8132" hidden="1">
      <c r="A8132" s="151" t="s">
        <v>227</v>
      </c>
      <c r="B8132" s="118" t="s">
        <v>195</v>
      </c>
      <c r="C8132" s="118" t="s">
        <v>206</v>
      </c>
      <c r="D8132" s="152" t="s">
        <v>8977</v>
      </c>
      <c r="E8132" s="152" t="s">
        <v>9044</v>
      </c>
      <c r="F8132" s="152" t="s">
        <v>1530</v>
      </c>
      <c r="G8132" s="152" t="s">
        <v>4019</v>
      </c>
      <c r="H8132" s="153" t="s">
        <v>213</v>
      </c>
    </row>
    <row r="8133" hidden="1">
      <c r="A8133" s="154" t="s">
        <v>227</v>
      </c>
      <c r="B8133" s="155" t="s">
        <v>195</v>
      </c>
      <c r="C8133" s="155" t="s">
        <v>206</v>
      </c>
      <c r="D8133" s="156" t="s">
        <v>8977</v>
      </c>
      <c r="E8133" s="156" t="s">
        <v>9045</v>
      </c>
      <c r="F8133" s="156" t="s">
        <v>427</v>
      </c>
      <c r="G8133" s="156" t="s">
        <v>3574</v>
      </c>
      <c r="H8133" s="157" t="s">
        <v>214</v>
      </c>
    </row>
    <row r="8134" hidden="1">
      <c r="A8134" s="151" t="s">
        <v>227</v>
      </c>
      <c r="B8134" s="118" t="s">
        <v>195</v>
      </c>
      <c r="C8134" s="118" t="s">
        <v>206</v>
      </c>
      <c r="D8134" s="152" t="s">
        <v>8977</v>
      </c>
      <c r="E8134" s="152" t="s">
        <v>9046</v>
      </c>
      <c r="F8134" s="152" t="s">
        <v>483</v>
      </c>
      <c r="G8134" s="152" t="s">
        <v>3394</v>
      </c>
      <c r="H8134" s="153" t="s">
        <v>215</v>
      </c>
    </row>
    <row r="8135" hidden="1">
      <c r="A8135" s="154" t="s">
        <v>227</v>
      </c>
      <c r="B8135" s="155" t="s">
        <v>195</v>
      </c>
      <c r="C8135" s="155" t="s">
        <v>206</v>
      </c>
      <c r="D8135" s="156" t="s">
        <v>8977</v>
      </c>
      <c r="E8135" s="156" t="s">
        <v>9047</v>
      </c>
      <c r="F8135" s="156" t="s">
        <v>532</v>
      </c>
      <c r="G8135" s="156" t="s">
        <v>2818</v>
      </c>
      <c r="H8135" s="157" t="s">
        <v>216</v>
      </c>
    </row>
    <row r="8136" hidden="1">
      <c r="A8136" s="151" t="s">
        <v>228</v>
      </c>
      <c r="B8136" s="118" t="s">
        <v>138</v>
      </c>
      <c r="C8136" s="118" t="s">
        <v>206</v>
      </c>
      <c r="D8136" s="152" t="s">
        <v>8977</v>
      </c>
      <c r="E8136" s="152" t="s">
        <v>9048</v>
      </c>
      <c r="F8136" s="152" t="s">
        <v>427</v>
      </c>
      <c r="G8136" s="152" t="s">
        <v>4196</v>
      </c>
      <c r="H8136" s="153" t="s">
        <v>210</v>
      </c>
    </row>
    <row r="8137" hidden="1">
      <c r="A8137" s="154" t="s">
        <v>228</v>
      </c>
      <c r="B8137" s="155" t="s">
        <v>138</v>
      </c>
      <c r="C8137" s="155" t="s">
        <v>206</v>
      </c>
      <c r="D8137" s="156" t="s">
        <v>8977</v>
      </c>
      <c r="E8137" s="156" t="s">
        <v>9049</v>
      </c>
      <c r="F8137" s="156" t="s">
        <v>329</v>
      </c>
      <c r="G8137" s="156" t="s">
        <v>4491</v>
      </c>
      <c r="H8137" s="157" t="s">
        <v>211</v>
      </c>
    </row>
    <row r="8138" hidden="1">
      <c r="A8138" s="151" t="s">
        <v>228</v>
      </c>
      <c r="B8138" s="118" t="s">
        <v>138</v>
      </c>
      <c r="C8138" s="118" t="s">
        <v>206</v>
      </c>
      <c r="D8138" s="152" t="s">
        <v>8977</v>
      </c>
      <c r="E8138" s="152" t="s">
        <v>9050</v>
      </c>
      <c r="F8138" s="152" t="s">
        <v>290</v>
      </c>
      <c r="G8138" s="152" t="s">
        <v>2187</v>
      </c>
      <c r="H8138" s="153" t="s">
        <v>212</v>
      </c>
    </row>
    <row r="8139" hidden="1">
      <c r="A8139" s="154" t="s">
        <v>228</v>
      </c>
      <c r="B8139" s="155" t="s">
        <v>138</v>
      </c>
      <c r="C8139" s="155" t="s">
        <v>206</v>
      </c>
      <c r="D8139" s="156" t="s">
        <v>8977</v>
      </c>
      <c r="E8139" s="156" t="s">
        <v>9051</v>
      </c>
      <c r="F8139" s="156" t="s">
        <v>354</v>
      </c>
      <c r="G8139" s="156" t="s">
        <v>3478</v>
      </c>
      <c r="H8139" s="157" t="s">
        <v>213</v>
      </c>
    </row>
    <row r="8140" hidden="1">
      <c r="A8140" s="151" t="s">
        <v>228</v>
      </c>
      <c r="B8140" s="118" t="s">
        <v>138</v>
      </c>
      <c r="C8140" s="118" t="s">
        <v>206</v>
      </c>
      <c r="D8140" s="152" t="s">
        <v>8977</v>
      </c>
      <c r="E8140" s="152" t="s">
        <v>9052</v>
      </c>
      <c r="F8140" s="152" t="s">
        <v>3218</v>
      </c>
      <c r="G8140" s="152" t="s">
        <v>2822</v>
      </c>
      <c r="H8140" s="153" t="s">
        <v>214</v>
      </c>
    </row>
    <row r="8141" hidden="1">
      <c r="A8141" s="154" t="s">
        <v>228</v>
      </c>
      <c r="B8141" s="155" t="s">
        <v>138</v>
      </c>
      <c r="C8141" s="155" t="s">
        <v>206</v>
      </c>
      <c r="D8141" s="156" t="s">
        <v>8977</v>
      </c>
      <c r="E8141" s="156" t="s">
        <v>9053</v>
      </c>
      <c r="F8141" s="156" t="s">
        <v>242</v>
      </c>
      <c r="G8141" s="156" t="s">
        <v>1788</v>
      </c>
      <c r="H8141" s="157" t="s">
        <v>215</v>
      </c>
    </row>
    <row r="8142" hidden="1">
      <c r="A8142" s="151" t="s">
        <v>228</v>
      </c>
      <c r="B8142" s="118" t="s">
        <v>138</v>
      </c>
      <c r="C8142" s="118" t="s">
        <v>206</v>
      </c>
      <c r="D8142" s="152" t="s">
        <v>8977</v>
      </c>
      <c r="E8142" s="152" t="s">
        <v>9054</v>
      </c>
      <c r="F8142" s="152" t="s">
        <v>450</v>
      </c>
      <c r="G8142" s="152" t="s">
        <v>3838</v>
      </c>
      <c r="H8142" s="153" t="s">
        <v>216</v>
      </c>
    </row>
    <row r="8143" hidden="1">
      <c r="A8143" s="154" t="s">
        <v>229</v>
      </c>
      <c r="B8143" s="155" t="s">
        <v>193</v>
      </c>
      <c r="C8143" s="155" t="s">
        <v>206</v>
      </c>
      <c r="D8143" s="156" t="s">
        <v>8977</v>
      </c>
      <c r="E8143" s="156" t="s">
        <v>9055</v>
      </c>
      <c r="F8143" s="156" t="s">
        <v>758</v>
      </c>
      <c r="G8143" s="156" t="s">
        <v>9056</v>
      </c>
      <c r="H8143" s="157" t="s">
        <v>210</v>
      </c>
    </row>
    <row r="8144" hidden="1">
      <c r="A8144" s="151" t="s">
        <v>229</v>
      </c>
      <c r="B8144" s="118" t="s">
        <v>193</v>
      </c>
      <c r="C8144" s="118" t="s">
        <v>206</v>
      </c>
      <c r="D8144" s="152" t="s">
        <v>8977</v>
      </c>
      <c r="E8144" s="152" t="s">
        <v>9057</v>
      </c>
      <c r="F8144" s="152" t="s">
        <v>3243</v>
      </c>
      <c r="G8144" s="152" t="s">
        <v>2001</v>
      </c>
      <c r="H8144" s="153" t="s">
        <v>211</v>
      </c>
    </row>
    <row r="8145" hidden="1">
      <c r="A8145" s="154" t="s">
        <v>229</v>
      </c>
      <c r="B8145" s="155" t="s">
        <v>193</v>
      </c>
      <c r="C8145" s="155" t="s">
        <v>206</v>
      </c>
      <c r="D8145" s="156" t="s">
        <v>8977</v>
      </c>
      <c r="E8145" s="156" t="s">
        <v>9058</v>
      </c>
      <c r="F8145" s="156" t="s">
        <v>691</v>
      </c>
      <c r="G8145" s="156" t="s">
        <v>3638</v>
      </c>
      <c r="H8145" s="157" t="s">
        <v>212</v>
      </c>
    </row>
    <row r="8146" hidden="1">
      <c r="A8146" s="151" t="s">
        <v>229</v>
      </c>
      <c r="B8146" s="118" t="s">
        <v>193</v>
      </c>
      <c r="C8146" s="118" t="s">
        <v>206</v>
      </c>
      <c r="D8146" s="152" t="s">
        <v>8977</v>
      </c>
      <c r="E8146" s="152" t="s">
        <v>9059</v>
      </c>
      <c r="F8146" s="152" t="s">
        <v>760</v>
      </c>
      <c r="G8146" s="152" t="s">
        <v>3601</v>
      </c>
      <c r="H8146" s="153" t="s">
        <v>213</v>
      </c>
    </row>
    <row r="8147" hidden="1">
      <c r="A8147" s="154" t="s">
        <v>229</v>
      </c>
      <c r="B8147" s="155" t="s">
        <v>193</v>
      </c>
      <c r="C8147" s="155" t="s">
        <v>206</v>
      </c>
      <c r="D8147" s="156" t="s">
        <v>8977</v>
      </c>
      <c r="E8147" s="156" t="s">
        <v>9060</v>
      </c>
      <c r="F8147" s="156" t="s">
        <v>766</v>
      </c>
      <c r="G8147" s="156" t="s">
        <v>5175</v>
      </c>
      <c r="H8147" s="157" t="s">
        <v>214</v>
      </c>
    </row>
    <row r="8148" hidden="1">
      <c r="A8148" s="151" t="s">
        <v>229</v>
      </c>
      <c r="B8148" s="118" t="s">
        <v>193</v>
      </c>
      <c r="C8148" s="118" t="s">
        <v>206</v>
      </c>
      <c r="D8148" s="152" t="s">
        <v>8977</v>
      </c>
      <c r="E8148" s="152" t="s">
        <v>9061</v>
      </c>
      <c r="F8148" s="152" t="s">
        <v>3346</v>
      </c>
      <c r="G8148" s="152" t="s">
        <v>9062</v>
      </c>
      <c r="H8148" s="153" t="s">
        <v>215</v>
      </c>
    </row>
    <row r="8149" hidden="1">
      <c r="A8149" s="154" t="s">
        <v>229</v>
      </c>
      <c r="B8149" s="155" t="s">
        <v>193</v>
      </c>
      <c r="C8149" s="155" t="s">
        <v>206</v>
      </c>
      <c r="D8149" s="156" t="s">
        <v>8977</v>
      </c>
      <c r="E8149" s="156" t="s">
        <v>9063</v>
      </c>
      <c r="F8149" s="156" t="s">
        <v>3198</v>
      </c>
      <c r="G8149" s="156" t="s">
        <v>3638</v>
      </c>
      <c r="H8149" s="157" t="s">
        <v>216</v>
      </c>
    </row>
    <row r="8150" hidden="1">
      <c r="A8150" s="151" t="s">
        <v>230</v>
      </c>
      <c r="B8150" s="118" t="s">
        <v>194</v>
      </c>
      <c r="C8150" s="118" t="s">
        <v>206</v>
      </c>
      <c r="D8150" s="152" t="s">
        <v>8977</v>
      </c>
      <c r="E8150" s="152" t="s">
        <v>9064</v>
      </c>
      <c r="F8150" s="152" t="s">
        <v>677</v>
      </c>
      <c r="G8150" s="152" t="s">
        <v>2181</v>
      </c>
      <c r="H8150" s="153" t="s">
        <v>210</v>
      </c>
    </row>
    <row r="8151" hidden="1">
      <c r="A8151" s="154" t="s">
        <v>230</v>
      </c>
      <c r="B8151" s="155" t="s">
        <v>194</v>
      </c>
      <c r="C8151" s="155" t="s">
        <v>206</v>
      </c>
      <c r="D8151" s="156" t="s">
        <v>8977</v>
      </c>
      <c r="E8151" s="156" t="s">
        <v>9065</v>
      </c>
      <c r="F8151" s="156" t="s">
        <v>1999</v>
      </c>
      <c r="G8151" s="156" t="s">
        <v>2965</v>
      </c>
      <c r="H8151" s="157" t="s">
        <v>211</v>
      </c>
    </row>
    <row r="8152" hidden="1">
      <c r="A8152" s="151" t="s">
        <v>230</v>
      </c>
      <c r="B8152" s="118" t="s">
        <v>194</v>
      </c>
      <c r="C8152" s="118" t="s">
        <v>206</v>
      </c>
      <c r="D8152" s="152" t="s">
        <v>8977</v>
      </c>
      <c r="E8152" s="152" t="s">
        <v>9066</v>
      </c>
      <c r="F8152" s="152" t="s">
        <v>3218</v>
      </c>
      <c r="G8152" s="152" t="s">
        <v>2826</v>
      </c>
      <c r="H8152" s="153" t="s">
        <v>212</v>
      </c>
    </row>
    <row r="8153" hidden="1">
      <c r="A8153" s="154" t="s">
        <v>230</v>
      </c>
      <c r="B8153" s="155" t="s">
        <v>194</v>
      </c>
      <c r="C8153" s="155" t="s">
        <v>206</v>
      </c>
      <c r="D8153" s="156" t="s">
        <v>8977</v>
      </c>
      <c r="E8153" s="156" t="s">
        <v>9067</v>
      </c>
      <c r="F8153" s="156" t="s">
        <v>448</v>
      </c>
      <c r="G8153" s="156" t="s">
        <v>3919</v>
      </c>
      <c r="H8153" s="157" t="s">
        <v>213</v>
      </c>
    </row>
    <row r="8154" hidden="1">
      <c r="A8154" s="151" t="s">
        <v>230</v>
      </c>
      <c r="B8154" s="118" t="s">
        <v>194</v>
      </c>
      <c r="C8154" s="118" t="s">
        <v>206</v>
      </c>
      <c r="D8154" s="152" t="s">
        <v>8977</v>
      </c>
      <c r="E8154" s="152" t="s">
        <v>9068</v>
      </c>
      <c r="F8154" s="152" t="s">
        <v>1532</v>
      </c>
      <c r="G8154" s="152" t="s">
        <v>3443</v>
      </c>
      <c r="H8154" s="153" t="s">
        <v>214</v>
      </c>
    </row>
    <row r="8155" hidden="1">
      <c r="A8155" s="154" t="s">
        <v>230</v>
      </c>
      <c r="B8155" s="155" t="s">
        <v>194</v>
      </c>
      <c r="C8155" s="155" t="s">
        <v>206</v>
      </c>
      <c r="D8155" s="156" t="s">
        <v>8977</v>
      </c>
      <c r="E8155" s="156" t="s">
        <v>9069</v>
      </c>
      <c r="F8155" s="156" t="s">
        <v>453</v>
      </c>
      <c r="G8155" s="156" t="s">
        <v>3205</v>
      </c>
      <c r="H8155" s="157" t="s">
        <v>215</v>
      </c>
    </row>
    <row r="8156" hidden="1">
      <c r="A8156" s="151" t="s">
        <v>230</v>
      </c>
      <c r="B8156" s="118" t="s">
        <v>194</v>
      </c>
      <c r="C8156" s="118" t="s">
        <v>206</v>
      </c>
      <c r="D8156" s="152" t="s">
        <v>8977</v>
      </c>
      <c r="E8156" s="152" t="s">
        <v>9070</v>
      </c>
      <c r="F8156" s="152" t="s">
        <v>1532</v>
      </c>
      <c r="G8156" s="152" t="s">
        <v>3908</v>
      </c>
      <c r="H8156" s="153" t="s">
        <v>216</v>
      </c>
    </row>
    <row r="8157" hidden="1">
      <c r="A8157" s="158" t="s">
        <v>231</v>
      </c>
      <c r="B8157" s="159"/>
      <c r="C8157" s="155" t="s">
        <v>232</v>
      </c>
      <c r="D8157" s="156" t="s">
        <v>8977</v>
      </c>
      <c r="E8157" s="156" t="s">
        <v>9071</v>
      </c>
      <c r="F8157" s="156" t="s">
        <v>735</v>
      </c>
      <c r="G8157" s="156" t="s">
        <v>9072</v>
      </c>
      <c r="H8157" s="157" t="s">
        <v>210</v>
      </c>
    </row>
    <row r="8158" hidden="1">
      <c r="A8158" s="160" t="s">
        <v>231</v>
      </c>
      <c r="B8158" s="72"/>
      <c r="C8158" s="118" t="s">
        <v>232</v>
      </c>
      <c r="D8158" s="152" t="s">
        <v>8977</v>
      </c>
      <c r="E8158" s="152" t="s">
        <v>9073</v>
      </c>
      <c r="F8158" s="152" t="s">
        <v>329</v>
      </c>
      <c r="G8158" s="152" t="s">
        <v>9074</v>
      </c>
      <c r="H8158" s="153" t="s">
        <v>211</v>
      </c>
    </row>
    <row r="8159" hidden="1">
      <c r="A8159" s="158" t="s">
        <v>231</v>
      </c>
      <c r="B8159" s="159"/>
      <c r="C8159" s="155" t="s">
        <v>232</v>
      </c>
      <c r="D8159" s="156" t="s">
        <v>8977</v>
      </c>
      <c r="E8159" s="156" t="s">
        <v>9075</v>
      </c>
      <c r="F8159" s="156" t="s">
        <v>673</v>
      </c>
      <c r="G8159" s="156" t="s">
        <v>4775</v>
      </c>
      <c r="H8159" s="157" t="s">
        <v>212</v>
      </c>
    </row>
    <row r="8160" hidden="1">
      <c r="A8160" s="160" t="s">
        <v>231</v>
      </c>
      <c r="B8160" s="72"/>
      <c r="C8160" s="118" t="s">
        <v>232</v>
      </c>
      <c r="D8160" s="152" t="s">
        <v>8977</v>
      </c>
      <c r="E8160" s="152" t="s">
        <v>9076</v>
      </c>
      <c r="F8160" s="152" t="s">
        <v>2215</v>
      </c>
      <c r="G8160" s="152" t="s">
        <v>4374</v>
      </c>
      <c r="H8160" s="153" t="s">
        <v>213</v>
      </c>
    </row>
    <row r="8161" hidden="1">
      <c r="A8161" s="158" t="s">
        <v>231</v>
      </c>
      <c r="B8161" s="159"/>
      <c r="C8161" s="155" t="s">
        <v>232</v>
      </c>
      <c r="D8161" s="156" t="s">
        <v>8977</v>
      </c>
      <c r="E8161" s="156" t="s">
        <v>9077</v>
      </c>
      <c r="F8161" s="156" t="s">
        <v>453</v>
      </c>
      <c r="G8161" s="156" t="s">
        <v>4075</v>
      </c>
      <c r="H8161" s="157" t="s">
        <v>214</v>
      </c>
    </row>
    <row r="8162" hidden="1">
      <c r="A8162" s="160" t="s">
        <v>231</v>
      </c>
      <c r="B8162" s="72"/>
      <c r="C8162" s="118" t="s">
        <v>232</v>
      </c>
      <c r="D8162" s="152" t="s">
        <v>8977</v>
      </c>
      <c r="E8162" s="152" t="s">
        <v>9078</v>
      </c>
      <c r="F8162" s="152" t="s">
        <v>3240</v>
      </c>
      <c r="G8162" s="152" t="s">
        <v>7600</v>
      </c>
      <c r="H8162" s="153" t="s">
        <v>215</v>
      </c>
    </row>
    <row r="8163" hidden="1">
      <c r="A8163" s="158" t="s">
        <v>231</v>
      </c>
      <c r="B8163" s="159"/>
      <c r="C8163" s="155" t="s">
        <v>232</v>
      </c>
      <c r="D8163" s="156" t="s">
        <v>8977</v>
      </c>
      <c r="E8163" s="156" t="s">
        <v>9079</v>
      </c>
      <c r="F8163" s="156" t="s">
        <v>453</v>
      </c>
      <c r="G8163" s="156" t="s">
        <v>5436</v>
      </c>
      <c r="H8163" s="157" t="s">
        <v>216</v>
      </c>
    </row>
    <row r="8164" hidden="1">
      <c r="A8164" s="160" t="s">
        <v>233</v>
      </c>
      <c r="B8164" s="72"/>
      <c r="C8164" s="118" t="s">
        <v>232</v>
      </c>
      <c r="D8164" s="152" t="s">
        <v>8977</v>
      </c>
      <c r="E8164" s="152" t="s">
        <v>9080</v>
      </c>
      <c r="F8164" s="152" t="s">
        <v>348</v>
      </c>
      <c r="G8164" s="152" t="s">
        <v>4031</v>
      </c>
      <c r="H8164" s="153" t="s">
        <v>210</v>
      </c>
    </row>
    <row r="8165" hidden="1">
      <c r="A8165" s="158" t="s">
        <v>233</v>
      </c>
      <c r="B8165" s="159"/>
      <c r="C8165" s="155" t="s">
        <v>232</v>
      </c>
      <c r="D8165" s="156" t="s">
        <v>8977</v>
      </c>
      <c r="E8165" s="156" t="s">
        <v>9081</v>
      </c>
      <c r="F8165" s="156" t="s">
        <v>1929</v>
      </c>
      <c r="G8165" s="156" t="s">
        <v>4280</v>
      </c>
      <c r="H8165" s="157" t="s">
        <v>211</v>
      </c>
    </row>
    <row r="8166" hidden="1">
      <c r="A8166" s="160" t="s">
        <v>233</v>
      </c>
      <c r="B8166" s="72"/>
      <c r="C8166" s="118" t="s">
        <v>232</v>
      </c>
      <c r="D8166" s="152" t="s">
        <v>8977</v>
      </c>
      <c r="E8166" s="152" t="s">
        <v>9082</v>
      </c>
      <c r="F8166" s="152" t="s">
        <v>1929</v>
      </c>
      <c r="G8166" s="152" t="s">
        <v>4659</v>
      </c>
      <c r="H8166" s="153" t="s">
        <v>212</v>
      </c>
    </row>
    <row r="8167" hidden="1">
      <c r="A8167" s="158" t="s">
        <v>233</v>
      </c>
      <c r="B8167" s="159"/>
      <c r="C8167" s="155" t="s">
        <v>232</v>
      </c>
      <c r="D8167" s="156" t="s">
        <v>8977</v>
      </c>
      <c r="E8167" s="156" t="s">
        <v>9083</v>
      </c>
      <c r="F8167" s="156" t="s">
        <v>1929</v>
      </c>
      <c r="G8167" s="156" t="s">
        <v>4077</v>
      </c>
      <c r="H8167" s="157" t="s">
        <v>213</v>
      </c>
    </row>
    <row r="8168" hidden="1">
      <c r="A8168" s="160" t="s">
        <v>233</v>
      </c>
      <c r="B8168" s="72"/>
      <c r="C8168" s="118" t="s">
        <v>232</v>
      </c>
      <c r="D8168" s="152" t="s">
        <v>8977</v>
      </c>
      <c r="E8168" s="152" t="s">
        <v>9084</v>
      </c>
      <c r="F8168" s="152" t="s">
        <v>390</v>
      </c>
      <c r="G8168" s="152" t="s">
        <v>4582</v>
      </c>
      <c r="H8168" s="153" t="s">
        <v>214</v>
      </c>
    </row>
    <row r="8169" hidden="1">
      <c r="A8169" s="158" t="s">
        <v>233</v>
      </c>
      <c r="B8169" s="159"/>
      <c r="C8169" s="155" t="s">
        <v>232</v>
      </c>
      <c r="D8169" s="156" t="s">
        <v>8977</v>
      </c>
      <c r="E8169" s="156" t="s">
        <v>9085</v>
      </c>
      <c r="F8169" s="156" t="s">
        <v>1530</v>
      </c>
      <c r="G8169" s="156" t="s">
        <v>3696</v>
      </c>
      <c r="H8169" s="157" t="s">
        <v>215</v>
      </c>
    </row>
    <row r="8170" hidden="1">
      <c r="A8170" s="160" t="s">
        <v>233</v>
      </c>
      <c r="B8170" s="72"/>
      <c r="C8170" s="118" t="s">
        <v>232</v>
      </c>
      <c r="D8170" s="152" t="s">
        <v>8977</v>
      </c>
      <c r="E8170" s="152" t="s">
        <v>9086</v>
      </c>
      <c r="F8170" s="152" t="s">
        <v>629</v>
      </c>
      <c r="G8170" s="152" t="s">
        <v>3296</v>
      </c>
      <c r="H8170" s="153" t="s">
        <v>216</v>
      </c>
    </row>
    <row r="8171" hidden="1">
      <c r="A8171" s="158" t="s">
        <v>234</v>
      </c>
      <c r="B8171" s="159"/>
      <c r="C8171" s="155" t="s">
        <v>232</v>
      </c>
      <c r="D8171" s="156" t="s">
        <v>8977</v>
      </c>
      <c r="E8171" s="156" t="s">
        <v>9087</v>
      </c>
      <c r="F8171" s="156" t="s">
        <v>351</v>
      </c>
      <c r="G8171" s="156" t="s">
        <v>1925</v>
      </c>
      <c r="H8171" s="157" t="s">
        <v>210</v>
      </c>
    </row>
    <row r="8172" hidden="1">
      <c r="A8172" s="160" t="s">
        <v>234</v>
      </c>
      <c r="B8172" s="72"/>
      <c r="C8172" s="118" t="s">
        <v>232</v>
      </c>
      <c r="D8172" s="152" t="s">
        <v>8977</v>
      </c>
      <c r="E8172" s="152" t="s">
        <v>9088</v>
      </c>
      <c r="F8172" s="152" t="s">
        <v>494</v>
      </c>
      <c r="G8172" s="152" t="s">
        <v>2289</v>
      </c>
      <c r="H8172" s="153" t="s">
        <v>211</v>
      </c>
    </row>
    <row r="8173" hidden="1">
      <c r="A8173" s="158" t="s">
        <v>234</v>
      </c>
      <c r="B8173" s="159"/>
      <c r="C8173" s="155" t="s">
        <v>232</v>
      </c>
      <c r="D8173" s="156" t="s">
        <v>8977</v>
      </c>
      <c r="E8173" s="156" t="s">
        <v>9089</v>
      </c>
      <c r="F8173" s="156" t="s">
        <v>799</v>
      </c>
      <c r="G8173" s="156" t="s">
        <v>3400</v>
      </c>
      <c r="H8173" s="157" t="s">
        <v>212</v>
      </c>
    </row>
    <row r="8174" hidden="1">
      <c r="A8174" s="160" t="s">
        <v>234</v>
      </c>
      <c r="B8174" s="72"/>
      <c r="C8174" s="118" t="s">
        <v>232</v>
      </c>
      <c r="D8174" s="152" t="s">
        <v>8977</v>
      </c>
      <c r="E8174" s="152" t="s">
        <v>9090</v>
      </c>
      <c r="F8174" s="152" t="s">
        <v>494</v>
      </c>
      <c r="G8174" s="152" t="s">
        <v>3151</v>
      </c>
      <c r="H8174" s="153" t="s">
        <v>213</v>
      </c>
    </row>
    <row r="8175" hidden="1">
      <c r="A8175" s="158" t="s">
        <v>234</v>
      </c>
      <c r="B8175" s="159"/>
      <c r="C8175" s="155" t="s">
        <v>232</v>
      </c>
      <c r="D8175" s="156" t="s">
        <v>8977</v>
      </c>
      <c r="E8175" s="156" t="s">
        <v>9091</v>
      </c>
      <c r="F8175" s="156" t="s">
        <v>478</v>
      </c>
      <c r="G8175" s="156" t="s">
        <v>2287</v>
      </c>
      <c r="H8175" s="157" t="s">
        <v>214</v>
      </c>
    </row>
    <row r="8176" hidden="1">
      <c r="A8176" s="160" t="s">
        <v>234</v>
      </c>
      <c r="B8176" s="72"/>
      <c r="C8176" s="118" t="s">
        <v>232</v>
      </c>
      <c r="D8176" s="152" t="s">
        <v>8977</v>
      </c>
      <c r="E8176" s="152" t="s">
        <v>9092</v>
      </c>
      <c r="F8176" s="152" t="s">
        <v>494</v>
      </c>
      <c r="G8176" s="152" t="s">
        <v>1782</v>
      </c>
      <c r="H8176" s="153" t="s">
        <v>215</v>
      </c>
    </row>
    <row r="8177" hidden="1">
      <c r="A8177" s="158" t="s">
        <v>234</v>
      </c>
      <c r="B8177" s="159"/>
      <c r="C8177" s="155" t="s">
        <v>232</v>
      </c>
      <c r="D8177" s="156" t="s">
        <v>8977</v>
      </c>
      <c r="E8177" s="156" t="s">
        <v>9093</v>
      </c>
      <c r="F8177" s="156" t="s">
        <v>425</v>
      </c>
      <c r="G8177" s="156" t="s">
        <v>3312</v>
      </c>
      <c r="H8177" s="157" t="s">
        <v>216</v>
      </c>
    </row>
    <row r="8178" hidden="1">
      <c r="A8178" s="160" t="s">
        <v>235</v>
      </c>
      <c r="B8178" s="72"/>
      <c r="C8178" s="118" t="s">
        <v>236</v>
      </c>
      <c r="D8178" s="152" t="s">
        <v>8977</v>
      </c>
      <c r="E8178" s="152" t="s">
        <v>9094</v>
      </c>
      <c r="F8178" s="152" t="s">
        <v>629</v>
      </c>
      <c r="G8178" s="152" t="s">
        <v>4077</v>
      </c>
      <c r="H8178" s="153" t="s">
        <v>210</v>
      </c>
    </row>
    <row r="8179" hidden="1">
      <c r="A8179" s="158" t="s">
        <v>235</v>
      </c>
      <c r="B8179" s="159"/>
      <c r="C8179" s="155" t="s">
        <v>236</v>
      </c>
      <c r="D8179" s="156" t="s">
        <v>8977</v>
      </c>
      <c r="E8179" s="156" t="s">
        <v>9095</v>
      </c>
      <c r="F8179" s="156" t="s">
        <v>1530</v>
      </c>
      <c r="G8179" s="156" t="s">
        <v>4297</v>
      </c>
      <c r="H8179" s="157" t="s">
        <v>211</v>
      </c>
    </row>
    <row r="8180" hidden="1">
      <c r="A8180" s="160" t="s">
        <v>235</v>
      </c>
      <c r="B8180" s="72"/>
      <c r="C8180" s="118" t="s">
        <v>236</v>
      </c>
      <c r="D8180" s="152" t="s">
        <v>8977</v>
      </c>
      <c r="E8180" s="152" t="s">
        <v>9096</v>
      </c>
      <c r="F8180" s="152" t="s">
        <v>2994</v>
      </c>
      <c r="G8180" s="152" t="s">
        <v>3783</v>
      </c>
      <c r="H8180" s="153" t="s">
        <v>212</v>
      </c>
    </row>
    <row r="8181" hidden="1">
      <c r="A8181" s="158" t="s">
        <v>235</v>
      </c>
      <c r="B8181" s="159"/>
      <c r="C8181" s="155" t="s">
        <v>236</v>
      </c>
      <c r="D8181" s="156" t="s">
        <v>8977</v>
      </c>
      <c r="E8181" s="156" t="s">
        <v>9097</v>
      </c>
      <c r="F8181" s="156" t="s">
        <v>766</v>
      </c>
      <c r="G8181" s="156" t="s">
        <v>3537</v>
      </c>
      <c r="H8181" s="157" t="s">
        <v>213</v>
      </c>
    </row>
    <row r="8182" hidden="1">
      <c r="A8182" s="160" t="s">
        <v>235</v>
      </c>
      <c r="B8182" s="72"/>
      <c r="C8182" s="118" t="s">
        <v>236</v>
      </c>
      <c r="D8182" s="152" t="s">
        <v>8977</v>
      </c>
      <c r="E8182" s="152" t="s">
        <v>9098</v>
      </c>
      <c r="F8182" s="152" t="s">
        <v>390</v>
      </c>
      <c r="G8182" s="152" t="s">
        <v>4442</v>
      </c>
      <c r="H8182" s="153" t="s">
        <v>214</v>
      </c>
    </row>
    <row r="8183" hidden="1">
      <c r="A8183" s="158" t="s">
        <v>235</v>
      </c>
      <c r="B8183" s="159"/>
      <c r="C8183" s="155" t="s">
        <v>236</v>
      </c>
      <c r="D8183" s="156" t="s">
        <v>8977</v>
      </c>
      <c r="E8183" s="156" t="s">
        <v>9099</v>
      </c>
      <c r="F8183" s="156" t="s">
        <v>2994</v>
      </c>
      <c r="G8183" s="156" t="s">
        <v>4077</v>
      </c>
      <c r="H8183" s="157" t="s">
        <v>215</v>
      </c>
    </row>
    <row r="8184" hidden="1">
      <c r="A8184" s="160" t="s">
        <v>235</v>
      </c>
      <c r="B8184" s="72"/>
      <c r="C8184" s="118" t="s">
        <v>236</v>
      </c>
      <c r="D8184" s="152" t="s">
        <v>8977</v>
      </c>
      <c r="E8184" s="152" t="s">
        <v>9100</v>
      </c>
      <c r="F8184" s="152" t="s">
        <v>760</v>
      </c>
      <c r="G8184" s="152" t="s">
        <v>2185</v>
      </c>
      <c r="H8184" s="153" t="s">
        <v>216</v>
      </c>
    </row>
    <row r="8185" hidden="1">
      <c r="A8185" s="158" t="s">
        <v>237</v>
      </c>
      <c r="B8185" s="159"/>
      <c r="C8185" s="155" t="s">
        <v>236</v>
      </c>
      <c r="D8185" s="156" t="s">
        <v>8977</v>
      </c>
      <c r="E8185" s="156" t="s">
        <v>9101</v>
      </c>
      <c r="F8185" s="156" t="s">
        <v>532</v>
      </c>
      <c r="G8185" s="156" t="s">
        <v>3790</v>
      </c>
      <c r="H8185" s="157" t="s">
        <v>210</v>
      </c>
    </row>
    <row r="8186" hidden="1">
      <c r="A8186" s="160" t="s">
        <v>237</v>
      </c>
      <c r="B8186" s="72"/>
      <c r="C8186" s="118" t="s">
        <v>236</v>
      </c>
      <c r="D8186" s="152" t="s">
        <v>8977</v>
      </c>
      <c r="E8186" s="152" t="s">
        <v>9102</v>
      </c>
      <c r="F8186" s="152" t="s">
        <v>532</v>
      </c>
      <c r="G8186" s="152" t="s">
        <v>2826</v>
      </c>
      <c r="H8186" s="153" t="s">
        <v>211</v>
      </c>
    </row>
    <row r="8187" hidden="1">
      <c r="A8187" s="158" t="s">
        <v>237</v>
      </c>
      <c r="B8187" s="159"/>
      <c r="C8187" s="155" t="s">
        <v>236</v>
      </c>
      <c r="D8187" s="156" t="s">
        <v>8977</v>
      </c>
      <c r="E8187" s="156" t="s">
        <v>9103</v>
      </c>
      <c r="F8187" s="156" t="s">
        <v>677</v>
      </c>
      <c r="G8187" s="156" t="s">
        <v>1776</v>
      </c>
      <c r="H8187" s="157" t="s">
        <v>212</v>
      </c>
    </row>
    <row r="8188" hidden="1">
      <c r="A8188" s="160" t="s">
        <v>237</v>
      </c>
      <c r="B8188" s="72"/>
      <c r="C8188" s="118" t="s">
        <v>236</v>
      </c>
      <c r="D8188" s="152" t="s">
        <v>8977</v>
      </c>
      <c r="E8188" s="152" t="s">
        <v>9104</v>
      </c>
      <c r="F8188" s="152" t="s">
        <v>354</v>
      </c>
      <c r="G8188" s="152" t="s">
        <v>3138</v>
      </c>
      <c r="H8188" s="153" t="s">
        <v>213</v>
      </c>
    </row>
    <row r="8189" hidden="1">
      <c r="A8189" s="158" t="s">
        <v>237</v>
      </c>
      <c r="B8189" s="159"/>
      <c r="C8189" s="155" t="s">
        <v>236</v>
      </c>
      <c r="D8189" s="156" t="s">
        <v>8977</v>
      </c>
      <c r="E8189" s="156" t="s">
        <v>9105</v>
      </c>
      <c r="F8189" s="156" t="s">
        <v>312</v>
      </c>
      <c r="G8189" s="156" t="s">
        <v>2826</v>
      </c>
      <c r="H8189" s="157" t="s">
        <v>214</v>
      </c>
    </row>
    <row r="8190" hidden="1">
      <c r="A8190" s="160" t="s">
        <v>237</v>
      </c>
      <c r="B8190" s="72"/>
      <c r="C8190" s="118" t="s">
        <v>236</v>
      </c>
      <c r="D8190" s="152" t="s">
        <v>8977</v>
      </c>
      <c r="E8190" s="152" t="s">
        <v>9106</v>
      </c>
      <c r="F8190" s="152" t="s">
        <v>725</v>
      </c>
      <c r="G8190" s="152" t="s">
        <v>2189</v>
      </c>
      <c r="H8190" s="153" t="s">
        <v>215</v>
      </c>
    </row>
    <row r="8191" hidden="1">
      <c r="A8191" s="158" t="s">
        <v>237</v>
      </c>
      <c r="B8191" s="159"/>
      <c r="C8191" s="155" t="s">
        <v>236</v>
      </c>
      <c r="D8191" s="156" t="s">
        <v>8977</v>
      </c>
      <c r="E8191" s="156" t="s">
        <v>9107</v>
      </c>
      <c r="F8191" s="156" t="s">
        <v>718</v>
      </c>
      <c r="G8191" s="156" t="s">
        <v>3919</v>
      </c>
      <c r="H8191" s="157" t="s">
        <v>216</v>
      </c>
    </row>
    <row r="8192" hidden="1">
      <c r="A8192" s="151" t="s">
        <v>204</v>
      </c>
      <c r="B8192" s="118" t="s">
        <v>205</v>
      </c>
      <c r="C8192" s="118" t="s">
        <v>206</v>
      </c>
      <c r="D8192" s="152" t="s">
        <v>9108</v>
      </c>
      <c r="E8192" s="152" t="s">
        <v>9109</v>
      </c>
      <c r="F8192" s="152" t="s">
        <v>577</v>
      </c>
      <c r="G8192" s="152" t="s">
        <v>4442</v>
      </c>
      <c r="H8192" s="153" t="s">
        <v>210</v>
      </c>
    </row>
    <row r="8193" hidden="1">
      <c r="A8193" s="154" t="s">
        <v>204</v>
      </c>
      <c r="B8193" s="155" t="s">
        <v>205</v>
      </c>
      <c r="C8193" s="155" t="s">
        <v>206</v>
      </c>
      <c r="D8193" s="156" t="s">
        <v>9108</v>
      </c>
      <c r="E8193" s="156" t="s">
        <v>9110</v>
      </c>
      <c r="F8193" s="156" t="s">
        <v>1532</v>
      </c>
      <c r="G8193" s="156" t="s">
        <v>4026</v>
      </c>
      <c r="H8193" s="157" t="s">
        <v>211</v>
      </c>
    </row>
    <row r="8194" hidden="1">
      <c r="A8194" s="151" t="s">
        <v>204</v>
      </c>
      <c r="B8194" s="118" t="s">
        <v>205</v>
      </c>
      <c r="C8194" s="118" t="s">
        <v>206</v>
      </c>
      <c r="D8194" s="152" t="s">
        <v>9108</v>
      </c>
      <c r="E8194" s="152" t="s">
        <v>9111</v>
      </c>
      <c r="F8194" s="152" t="s">
        <v>1532</v>
      </c>
      <c r="G8194" s="152" t="s">
        <v>4031</v>
      </c>
      <c r="H8194" s="153" t="s">
        <v>212</v>
      </c>
    </row>
    <row r="8195" hidden="1">
      <c r="A8195" s="154" t="s">
        <v>204</v>
      </c>
      <c r="B8195" s="155" t="s">
        <v>205</v>
      </c>
      <c r="C8195" s="155" t="s">
        <v>206</v>
      </c>
      <c r="D8195" s="156" t="s">
        <v>9108</v>
      </c>
      <c r="E8195" s="156" t="s">
        <v>9112</v>
      </c>
      <c r="F8195" s="156" t="s">
        <v>3218</v>
      </c>
      <c r="G8195" s="156" t="s">
        <v>3535</v>
      </c>
      <c r="H8195" s="157" t="s">
        <v>213</v>
      </c>
    </row>
    <row r="8196" hidden="1">
      <c r="A8196" s="151" t="s">
        <v>204</v>
      </c>
      <c r="B8196" s="118" t="s">
        <v>205</v>
      </c>
      <c r="C8196" s="118" t="s">
        <v>206</v>
      </c>
      <c r="D8196" s="152" t="s">
        <v>9108</v>
      </c>
      <c r="E8196" s="152" t="s">
        <v>9113</v>
      </c>
      <c r="F8196" s="152" t="s">
        <v>532</v>
      </c>
      <c r="G8196" s="152" t="s">
        <v>3296</v>
      </c>
      <c r="H8196" s="153" t="s">
        <v>214</v>
      </c>
    </row>
    <row r="8197" hidden="1">
      <c r="A8197" s="154" t="s">
        <v>204</v>
      </c>
      <c r="B8197" s="155" t="s">
        <v>205</v>
      </c>
      <c r="C8197" s="155" t="s">
        <v>206</v>
      </c>
      <c r="D8197" s="156" t="s">
        <v>9108</v>
      </c>
      <c r="E8197" s="156" t="s">
        <v>9114</v>
      </c>
      <c r="F8197" s="156" t="s">
        <v>677</v>
      </c>
      <c r="G8197" s="156" t="s">
        <v>4077</v>
      </c>
      <c r="H8197" s="157" t="s">
        <v>215</v>
      </c>
    </row>
    <row r="8198" hidden="1">
      <c r="A8198" s="151" t="s">
        <v>204</v>
      </c>
      <c r="B8198" s="118" t="s">
        <v>205</v>
      </c>
      <c r="C8198" s="118" t="s">
        <v>206</v>
      </c>
      <c r="D8198" s="152" t="s">
        <v>9108</v>
      </c>
      <c r="E8198" s="152" t="s">
        <v>9115</v>
      </c>
      <c r="F8198" s="152" t="s">
        <v>718</v>
      </c>
      <c r="G8198" s="152" t="s">
        <v>4263</v>
      </c>
      <c r="H8198" s="153" t="s">
        <v>216</v>
      </c>
    </row>
    <row r="8199" hidden="1">
      <c r="A8199" s="154" t="s">
        <v>217</v>
      </c>
      <c r="B8199" s="155" t="s">
        <v>191</v>
      </c>
      <c r="C8199" s="155" t="s">
        <v>206</v>
      </c>
      <c r="D8199" s="156" t="s">
        <v>9108</v>
      </c>
      <c r="E8199" s="156" t="s">
        <v>9116</v>
      </c>
      <c r="F8199" s="156" t="s">
        <v>494</v>
      </c>
      <c r="G8199" s="156" t="s">
        <v>4709</v>
      </c>
      <c r="H8199" s="157" t="s">
        <v>210</v>
      </c>
    </row>
    <row r="8200" hidden="1">
      <c r="A8200" s="151" t="s">
        <v>217</v>
      </c>
      <c r="B8200" s="118" t="s">
        <v>191</v>
      </c>
      <c r="C8200" s="118" t="s">
        <v>206</v>
      </c>
      <c r="D8200" s="152" t="s">
        <v>9108</v>
      </c>
      <c r="E8200" s="152" t="s">
        <v>9117</v>
      </c>
      <c r="F8200" s="152" t="s">
        <v>494</v>
      </c>
      <c r="G8200" s="152" t="s">
        <v>3298</v>
      </c>
      <c r="H8200" s="153" t="s">
        <v>211</v>
      </c>
    </row>
    <row r="8201" hidden="1">
      <c r="A8201" s="154" t="s">
        <v>217</v>
      </c>
      <c r="B8201" s="155" t="s">
        <v>191</v>
      </c>
      <c r="C8201" s="155" t="s">
        <v>206</v>
      </c>
      <c r="D8201" s="156" t="s">
        <v>9108</v>
      </c>
      <c r="E8201" s="156" t="s">
        <v>9118</v>
      </c>
      <c r="F8201" s="156" t="s">
        <v>718</v>
      </c>
      <c r="G8201" s="156" t="s">
        <v>4709</v>
      </c>
      <c r="H8201" s="157" t="s">
        <v>212</v>
      </c>
    </row>
    <row r="8202" hidden="1">
      <c r="A8202" s="151" t="s">
        <v>217</v>
      </c>
      <c r="B8202" s="118" t="s">
        <v>191</v>
      </c>
      <c r="C8202" s="118" t="s">
        <v>206</v>
      </c>
      <c r="D8202" s="152" t="s">
        <v>9108</v>
      </c>
      <c r="E8202" s="152" t="s">
        <v>9119</v>
      </c>
      <c r="F8202" s="152" t="s">
        <v>312</v>
      </c>
      <c r="G8202" s="152" t="s">
        <v>4083</v>
      </c>
      <c r="H8202" s="153" t="s">
        <v>213</v>
      </c>
    </row>
    <row r="8203" hidden="1">
      <c r="A8203" s="154" t="s">
        <v>217</v>
      </c>
      <c r="B8203" s="155" t="s">
        <v>191</v>
      </c>
      <c r="C8203" s="155" t="s">
        <v>206</v>
      </c>
      <c r="D8203" s="156" t="s">
        <v>9108</v>
      </c>
      <c r="E8203" s="156" t="s">
        <v>9120</v>
      </c>
      <c r="F8203" s="156" t="s">
        <v>483</v>
      </c>
      <c r="G8203" s="156" t="s">
        <v>3937</v>
      </c>
      <c r="H8203" s="157" t="s">
        <v>214</v>
      </c>
    </row>
    <row r="8204" hidden="1">
      <c r="A8204" s="151" t="s">
        <v>217</v>
      </c>
      <c r="B8204" s="118" t="s">
        <v>191</v>
      </c>
      <c r="C8204" s="118" t="s">
        <v>206</v>
      </c>
      <c r="D8204" s="152" t="s">
        <v>9108</v>
      </c>
      <c r="E8204" s="152" t="s">
        <v>9121</v>
      </c>
      <c r="F8204" s="152" t="s">
        <v>478</v>
      </c>
      <c r="G8204" s="152" t="s">
        <v>4952</v>
      </c>
      <c r="H8204" s="153" t="s">
        <v>215</v>
      </c>
    </row>
    <row r="8205" hidden="1">
      <c r="A8205" s="154" t="s">
        <v>217</v>
      </c>
      <c r="B8205" s="155" t="s">
        <v>191</v>
      </c>
      <c r="C8205" s="155" t="s">
        <v>206</v>
      </c>
      <c r="D8205" s="156" t="s">
        <v>9108</v>
      </c>
      <c r="E8205" s="156" t="s">
        <v>9122</v>
      </c>
      <c r="F8205" s="156" t="s">
        <v>494</v>
      </c>
      <c r="G8205" s="156" t="s">
        <v>3937</v>
      </c>
      <c r="H8205" s="157" t="s">
        <v>216</v>
      </c>
    </row>
    <row r="8206" hidden="1">
      <c r="A8206" s="151" t="s">
        <v>218</v>
      </c>
      <c r="B8206" s="118" t="s">
        <v>219</v>
      </c>
      <c r="C8206" s="118" t="s">
        <v>206</v>
      </c>
      <c r="D8206" s="152" t="s">
        <v>9108</v>
      </c>
      <c r="E8206" s="152" t="s">
        <v>9123</v>
      </c>
      <c r="F8206" s="152" t="s">
        <v>1999</v>
      </c>
      <c r="G8206" s="152" t="s">
        <v>4992</v>
      </c>
      <c r="H8206" s="153" t="s">
        <v>210</v>
      </c>
    </row>
    <row r="8207" hidden="1">
      <c r="A8207" s="154" t="s">
        <v>218</v>
      </c>
      <c r="B8207" s="155" t="s">
        <v>219</v>
      </c>
      <c r="C8207" s="155" t="s">
        <v>206</v>
      </c>
      <c r="D8207" s="156" t="s">
        <v>9108</v>
      </c>
      <c r="E8207" s="156" t="s">
        <v>9124</v>
      </c>
      <c r="F8207" s="156" t="s">
        <v>1532</v>
      </c>
      <c r="G8207" s="156" t="s">
        <v>4002</v>
      </c>
      <c r="H8207" s="157" t="s">
        <v>211</v>
      </c>
    </row>
    <row r="8208" hidden="1">
      <c r="A8208" s="151" t="s">
        <v>218</v>
      </c>
      <c r="B8208" s="118" t="s">
        <v>219</v>
      </c>
      <c r="C8208" s="118" t="s">
        <v>206</v>
      </c>
      <c r="D8208" s="152" t="s">
        <v>9108</v>
      </c>
      <c r="E8208" s="152" t="s">
        <v>9125</v>
      </c>
      <c r="F8208" s="152" t="s">
        <v>1948</v>
      </c>
      <c r="G8208" s="152" t="s">
        <v>4054</v>
      </c>
      <c r="H8208" s="153" t="s">
        <v>212</v>
      </c>
    </row>
    <row r="8209" hidden="1">
      <c r="A8209" s="154" t="s">
        <v>218</v>
      </c>
      <c r="B8209" s="155" t="s">
        <v>219</v>
      </c>
      <c r="C8209" s="155" t="s">
        <v>206</v>
      </c>
      <c r="D8209" s="156" t="s">
        <v>9108</v>
      </c>
      <c r="E8209" s="156" t="s">
        <v>9126</v>
      </c>
      <c r="F8209" s="156" t="s">
        <v>1929</v>
      </c>
      <c r="G8209" s="156" t="s">
        <v>1793</v>
      </c>
      <c r="H8209" s="157" t="s">
        <v>213</v>
      </c>
    </row>
    <row r="8210" hidden="1">
      <c r="A8210" s="151" t="s">
        <v>218</v>
      </c>
      <c r="B8210" s="118" t="s">
        <v>219</v>
      </c>
      <c r="C8210" s="118" t="s">
        <v>206</v>
      </c>
      <c r="D8210" s="152" t="s">
        <v>9108</v>
      </c>
      <c r="E8210" s="152" t="s">
        <v>9127</v>
      </c>
      <c r="F8210" s="152" t="s">
        <v>1929</v>
      </c>
      <c r="G8210" s="152" t="s">
        <v>4060</v>
      </c>
      <c r="H8210" s="153" t="s">
        <v>214</v>
      </c>
    </row>
    <row r="8211" hidden="1">
      <c r="A8211" s="154" t="s">
        <v>218</v>
      </c>
      <c r="B8211" s="155" t="s">
        <v>219</v>
      </c>
      <c r="C8211" s="155" t="s">
        <v>206</v>
      </c>
      <c r="D8211" s="156" t="s">
        <v>9108</v>
      </c>
      <c r="E8211" s="156" t="s">
        <v>9128</v>
      </c>
      <c r="F8211" s="156" t="s">
        <v>1532</v>
      </c>
      <c r="G8211" s="156" t="s">
        <v>3200</v>
      </c>
      <c r="H8211" s="157" t="s">
        <v>215</v>
      </c>
    </row>
    <row r="8212" hidden="1">
      <c r="A8212" s="151" t="s">
        <v>218</v>
      </c>
      <c r="B8212" s="118" t="s">
        <v>219</v>
      </c>
      <c r="C8212" s="118" t="s">
        <v>206</v>
      </c>
      <c r="D8212" s="152" t="s">
        <v>9108</v>
      </c>
      <c r="E8212" s="152" t="s">
        <v>9129</v>
      </c>
      <c r="F8212" s="152" t="s">
        <v>405</v>
      </c>
      <c r="G8212" s="152" t="s">
        <v>3812</v>
      </c>
      <c r="H8212" s="153" t="s">
        <v>216</v>
      </c>
    </row>
    <row r="8213" hidden="1">
      <c r="A8213" s="154" t="s">
        <v>220</v>
      </c>
      <c r="B8213" s="155" t="s">
        <v>190</v>
      </c>
      <c r="C8213" s="155" t="s">
        <v>206</v>
      </c>
      <c r="D8213" s="156" t="s">
        <v>9108</v>
      </c>
      <c r="E8213" s="156" t="s">
        <v>9130</v>
      </c>
      <c r="F8213" s="156" t="s">
        <v>423</v>
      </c>
      <c r="G8213" s="156" t="s">
        <v>9131</v>
      </c>
      <c r="H8213" s="157" t="s">
        <v>210</v>
      </c>
    </row>
    <row r="8214" hidden="1">
      <c r="A8214" s="151" t="s">
        <v>220</v>
      </c>
      <c r="B8214" s="118" t="s">
        <v>190</v>
      </c>
      <c r="C8214" s="118" t="s">
        <v>206</v>
      </c>
      <c r="D8214" s="152" t="s">
        <v>9108</v>
      </c>
      <c r="E8214" s="152" t="s">
        <v>9132</v>
      </c>
      <c r="F8214" s="152" t="s">
        <v>629</v>
      </c>
      <c r="G8214" s="152" t="s">
        <v>9133</v>
      </c>
      <c r="H8214" s="153" t="s">
        <v>211</v>
      </c>
    </row>
    <row r="8215" hidden="1">
      <c r="A8215" s="154" t="s">
        <v>220</v>
      </c>
      <c r="B8215" s="155" t="s">
        <v>190</v>
      </c>
      <c r="C8215" s="155" t="s">
        <v>206</v>
      </c>
      <c r="D8215" s="156" t="s">
        <v>9108</v>
      </c>
      <c r="E8215" s="156" t="s">
        <v>9134</v>
      </c>
      <c r="F8215" s="156" t="s">
        <v>312</v>
      </c>
      <c r="G8215" s="156" t="s">
        <v>9135</v>
      </c>
      <c r="H8215" s="157" t="s">
        <v>212</v>
      </c>
    </row>
    <row r="8216" hidden="1">
      <c r="A8216" s="151" t="s">
        <v>220</v>
      </c>
      <c r="B8216" s="118" t="s">
        <v>190</v>
      </c>
      <c r="C8216" s="118" t="s">
        <v>206</v>
      </c>
      <c r="D8216" s="152" t="s">
        <v>9108</v>
      </c>
      <c r="E8216" s="152" t="s">
        <v>9136</v>
      </c>
      <c r="F8216" s="152" t="s">
        <v>718</v>
      </c>
      <c r="G8216" s="152" t="s">
        <v>6645</v>
      </c>
      <c r="H8216" s="153" t="s">
        <v>213</v>
      </c>
    </row>
    <row r="8217" hidden="1">
      <c r="A8217" s="154" t="s">
        <v>220</v>
      </c>
      <c r="B8217" s="155" t="s">
        <v>190</v>
      </c>
      <c r="C8217" s="155" t="s">
        <v>206</v>
      </c>
      <c r="D8217" s="156" t="s">
        <v>9108</v>
      </c>
      <c r="E8217" s="156" t="s">
        <v>9137</v>
      </c>
      <c r="F8217" s="156" t="s">
        <v>2226</v>
      </c>
      <c r="G8217" s="156" t="s">
        <v>9056</v>
      </c>
      <c r="H8217" s="157" t="s">
        <v>214</v>
      </c>
    </row>
    <row r="8218" hidden="1">
      <c r="A8218" s="151" t="s">
        <v>220</v>
      </c>
      <c r="B8218" s="118" t="s">
        <v>190</v>
      </c>
      <c r="C8218" s="118" t="s">
        <v>206</v>
      </c>
      <c r="D8218" s="152" t="s">
        <v>9108</v>
      </c>
      <c r="E8218" s="152" t="s">
        <v>9138</v>
      </c>
      <c r="F8218" s="152" t="s">
        <v>2994</v>
      </c>
      <c r="G8218" s="152" t="s">
        <v>9139</v>
      </c>
      <c r="H8218" s="153" t="s">
        <v>215</v>
      </c>
    </row>
    <row r="8219" hidden="1">
      <c r="A8219" s="154" t="s">
        <v>220</v>
      </c>
      <c r="B8219" s="155" t="s">
        <v>190</v>
      </c>
      <c r="C8219" s="155" t="s">
        <v>206</v>
      </c>
      <c r="D8219" s="156" t="s">
        <v>9108</v>
      </c>
      <c r="E8219" s="156" t="s">
        <v>9140</v>
      </c>
      <c r="F8219" s="156" t="s">
        <v>673</v>
      </c>
      <c r="G8219" s="156" t="s">
        <v>9141</v>
      </c>
      <c r="H8219" s="157" t="s">
        <v>216</v>
      </c>
    </row>
    <row r="8220" hidden="1">
      <c r="A8220" s="151" t="s">
        <v>221</v>
      </c>
      <c r="B8220" s="118" t="s">
        <v>189</v>
      </c>
      <c r="C8220" s="118" t="s">
        <v>206</v>
      </c>
      <c r="D8220" s="152" t="s">
        <v>9108</v>
      </c>
      <c r="E8220" s="152" t="s">
        <v>9142</v>
      </c>
      <c r="F8220" s="152" t="s">
        <v>331</v>
      </c>
      <c r="G8220" s="152" t="s">
        <v>1927</v>
      </c>
      <c r="H8220" s="153" t="s">
        <v>210</v>
      </c>
    </row>
    <row r="8221" hidden="1">
      <c r="A8221" s="154" t="s">
        <v>221</v>
      </c>
      <c r="B8221" s="155" t="s">
        <v>189</v>
      </c>
      <c r="C8221" s="155" t="s">
        <v>206</v>
      </c>
      <c r="D8221" s="156" t="s">
        <v>9108</v>
      </c>
      <c r="E8221" s="156" t="s">
        <v>9143</v>
      </c>
      <c r="F8221" s="156" t="s">
        <v>351</v>
      </c>
      <c r="G8221" s="156" t="s">
        <v>2134</v>
      </c>
      <c r="H8221" s="157" t="s">
        <v>211</v>
      </c>
    </row>
    <row r="8222" hidden="1">
      <c r="A8222" s="151" t="s">
        <v>221</v>
      </c>
      <c r="B8222" s="118" t="s">
        <v>189</v>
      </c>
      <c r="C8222" s="118" t="s">
        <v>206</v>
      </c>
      <c r="D8222" s="152" t="s">
        <v>9108</v>
      </c>
      <c r="E8222" s="152" t="s">
        <v>9144</v>
      </c>
      <c r="F8222" s="152" t="s">
        <v>532</v>
      </c>
      <c r="G8222" s="152" t="s">
        <v>3939</v>
      </c>
      <c r="H8222" s="153" t="s">
        <v>212</v>
      </c>
    </row>
    <row r="8223" hidden="1">
      <c r="A8223" s="154" t="s">
        <v>221</v>
      </c>
      <c r="B8223" s="155" t="s">
        <v>189</v>
      </c>
      <c r="C8223" s="155" t="s">
        <v>206</v>
      </c>
      <c r="D8223" s="156" t="s">
        <v>9108</v>
      </c>
      <c r="E8223" s="156" t="s">
        <v>9145</v>
      </c>
      <c r="F8223" s="156" t="s">
        <v>228</v>
      </c>
      <c r="G8223" s="156" t="s">
        <v>3059</v>
      </c>
      <c r="H8223" s="157" t="s">
        <v>213</v>
      </c>
    </row>
    <row r="8224" hidden="1">
      <c r="A8224" s="151" t="s">
        <v>221</v>
      </c>
      <c r="B8224" s="118" t="s">
        <v>189</v>
      </c>
      <c r="C8224" s="118" t="s">
        <v>206</v>
      </c>
      <c r="D8224" s="152" t="s">
        <v>9108</v>
      </c>
      <c r="E8224" s="152" t="s">
        <v>9146</v>
      </c>
      <c r="F8224" s="152" t="s">
        <v>365</v>
      </c>
      <c r="G8224" s="152" t="s">
        <v>2600</v>
      </c>
      <c r="H8224" s="153" t="s">
        <v>214</v>
      </c>
    </row>
    <row r="8225" hidden="1">
      <c r="A8225" s="154" t="s">
        <v>221</v>
      </c>
      <c r="B8225" s="155" t="s">
        <v>189</v>
      </c>
      <c r="C8225" s="155" t="s">
        <v>206</v>
      </c>
      <c r="D8225" s="156" t="s">
        <v>9108</v>
      </c>
      <c r="E8225" s="156" t="s">
        <v>9147</v>
      </c>
      <c r="F8225" s="156" t="s">
        <v>314</v>
      </c>
      <c r="G8225" s="156" t="s">
        <v>3574</v>
      </c>
      <c r="H8225" s="157" t="s">
        <v>215</v>
      </c>
    </row>
    <row r="8226" hidden="1">
      <c r="A8226" s="151" t="s">
        <v>221</v>
      </c>
      <c r="B8226" s="118" t="s">
        <v>189</v>
      </c>
      <c r="C8226" s="118" t="s">
        <v>206</v>
      </c>
      <c r="D8226" s="152" t="s">
        <v>9108</v>
      </c>
      <c r="E8226" s="152" t="s">
        <v>9148</v>
      </c>
      <c r="F8226" s="152" t="s">
        <v>336</v>
      </c>
      <c r="G8226" s="152" t="s">
        <v>2762</v>
      </c>
      <c r="H8226" s="153" t="s">
        <v>216</v>
      </c>
    </row>
    <row r="8227" hidden="1">
      <c r="A8227" s="154" t="s">
        <v>222</v>
      </c>
      <c r="B8227" s="155" t="s">
        <v>192</v>
      </c>
      <c r="C8227" s="155" t="s">
        <v>206</v>
      </c>
      <c r="D8227" s="156" t="s">
        <v>9108</v>
      </c>
      <c r="E8227" s="156" t="s">
        <v>9149</v>
      </c>
      <c r="F8227" s="156" t="s">
        <v>1532</v>
      </c>
      <c r="G8227" s="156" t="s">
        <v>3790</v>
      </c>
      <c r="H8227" s="157" t="s">
        <v>210</v>
      </c>
    </row>
    <row r="8228" hidden="1">
      <c r="A8228" s="151" t="s">
        <v>222</v>
      </c>
      <c r="B8228" s="118" t="s">
        <v>192</v>
      </c>
      <c r="C8228" s="118" t="s">
        <v>206</v>
      </c>
      <c r="D8228" s="152" t="s">
        <v>9108</v>
      </c>
      <c r="E8228" s="152" t="s">
        <v>9150</v>
      </c>
      <c r="F8228" s="152" t="s">
        <v>3218</v>
      </c>
      <c r="G8228" s="152" t="s">
        <v>3917</v>
      </c>
      <c r="H8228" s="153" t="s">
        <v>211</v>
      </c>
    </row>
    <row r="8229" hidden="1">
      <c r="A8229" s="154" t="s">
        <v>222</v>
      </c>
      <c r="B8229" s="155" t="s">
        <v>192</v>
      </c>
      <c r="C8229" s="155" t="s">
        <v>206</v>
      </c>
      <c r="D8229" s="156" t="s">
        <v>9108</v>
      </c>
      <c r="E8229" s="156" t="s">
        <v>9151</v>
      </c>
      <c r="F8229" s="156" t="s">
        <v>423</v>
      </c>
      <c r="G8229" s="156" t="s">
        <v>2820</v>
      </c>
      <c r="H8229" s="157" t="s">
        <v>212</v>
      </c>
    </row>
    <row r="8230" hidden="1">
      <c r="A8230" s="151" t="s">
        <v>222</v>
      </c>
      <c r="B8230" s="118" t="s">
        <v>192</v>
      </c>
      <c r="C8230" s="118" t="s">
        <v>206</v>
      </c>
      <c r="D8230" s="152" t="s">
        <v>9108</v>
      </c>
      <c r="E8230" s="152" t="s">
        <v>9152</v>
      </c>
      <c r="F8230" s="152" t="s">
        <v>405</v>
      </c>
      <c r="G8230" s="152" t="s">
        <v>1776</v>
      </c>
      <c r="H8230" s="153" t="s">
        <v>213</v>
      </c>
    </row>
    <row r="8231" hidden="1">
      <c r="A8231" s="154" t="s">
        <v>222</v>
      </c>
      <c r="B8231" s="155" t="s">
        <v>192</v>
      </c>
      <c r="C8231" s="155" t="s">
        <v>206</v>
      </c>
      <c r="D8231" s="156" t="s">
        <v>9108</v>
      </c>
      <c r="E8231" s="156" t="s">
        <v>9153</v>
      </c>
      <c r="F8231" s="156" t="s">
        <v>478</v>
      </c>
      <c r="G8231" s="156" t="s">
        <v>3966</v>
      </c>
      <c r="H8231" s="157" t="s">
        <v>214</v>
      </c>
    </row>
    <row r="8232" hidden="1">
      <c r="A8232" s="151" t="s">
        <v>222</v>
      </c>
      <c r="B8232" s="118" t="s">
        <v>192</v>
      </c>
      <c r="C8232" s="118" t="s">
        <v>206</v>
      </c>
      <c r="D8232" s="152" t="s">
        <v>9108</v>
      </c>
      <c r="E8232" s="152" t="s">
        <v>9154</v>
      </c>
      <c r="F8232" s="152" t="s">
        <v>577</v>
      </c>
      <c r="G8232" s="152" t="s">
        <v>3618</v>
      </c>
      <c r="H8232" s="153" t="s">
        <v>215</v>
      </c>
    </row>
    <row r="8233" hidden="1">
      <c r="A8233" s="154" t="s">
        <v>222</v>
      </c>
      <c r="B8233" s="155" t="s">
        <v>192</v>
      </c>
      <c r="C8233" s="155" t="s">
        <v>206</v>
      </c>
      <c r="D8233" s="156" t="s">
        <v>9108</v>
      </c>
      <c r="E8233" s="156" t="s">
        <v>9155</v>
      </c>
      <c r="F8233" s="156" t="s">
        <v>453</v>
      </c>
      <c r="G8233" s="156" t="s">
        <v>3917</v>
      </c>
      <c r="H8233" s="157" t="s">
        <v>216</v>
      </c>
    </row>
    <row r="8234" hidden="1">
      <c r="A8234" s="151" t="s">
        <v>223</v>
      </c>
      <c r="B8234" s="118" t="s">
        <v>144</v>
      </c>
      <c r="C8234" s="118" t="s">
        <v>206</v>
      </c>
      <c r="D8234" s="152" t="s">
        <v>9108</v>
      </c>
      <c r="E8234" s="152" t="s">
        <v>9156</v>
      </c>
      <c r="F8234" s="152" t="s">
        <v>1530</v>
      </c>
      <c r="G8234" s="152" t="s">
        <v>4263</v>
      </c>
      <c r="H8234" s="153" t="s">
        <v>210</v>
      </c>
    </row>
    <row r="8235" hidden="1">
      <c r="A8235" s="154" t="s">
        <v>223</v>
      </c>
      <c r="B8235" s="155" t="s">
        <v>144</v>
      </c>
      <c r="C8235" s="155" t="s">
        <v>206</v>
      </c>
      <c r="D8235" s="156" t="s">
        <v>9108</v>
      </c>
      <c r="E8235" s="156" t="s">
        <v>9157</v>
      </c>
      <c r="F8235" s="156" t="s">
        <v>2994</v>
      </c>
      <c r="G8235" s="156" t="s">
        <v>4442</v>
      </c>
      <c r="H8235" s="157" t="s">
        <v>211</v>
      </c>
    </row>
    <row r="8236" hidden="1">
      <c r="A8236" s="151" t="s">
        <v>223</v>
      </c>
      <c r="B8236" s="118" t="s">
        <v>144</v>
      </c>
      <c r="C8236" s="118" t="s">
        <v>206</v>
      </c>
      <c r="D8236" s="152" t="s">
        <v>9108</v>
      </c>
      <c r="E8236" s="152" t="s">
        <v>9158</v>
      </c>
      <c r="F8236" s="152" t="s">
        <v>1530</v>
      </c>
      <c r="G8236" s="152" t="s">
        <v>4077</v>
      </c>
      <c r="H8236" s="153" t="s">
        <v>212</v>
      </c>
    </row>
    <row r="8237" hidden="1">
      <c r="A8237" s="154" t="s">
        <v>223</v>
      </c>
      <c r="B8237" s="155" t="s">
        <v>144</v>
      </c>
      <c r="C8237" s="155" t="s">
        <v>206</v>
      </c>
      <c r="D8237" s="156" t="s">
        <v>9108</v>
      </c>
      <c r="E8237" s="156" t="s">
        <v>9159</v>
      </c>
      <c r="F8237" s="156" t="s">
        <v>735</v>
      </c>
      <c r="G8237" s="156" t="s">
        <v>3818</v>
      </c>
      <c r="H8237" s="157" t="s">
        <v>213</v>
      </c>
    </row>
    <row r="8238" hidden="1">
      <c r="A8238" s="151" t="s">
        <v>223</v>
      </c>
      <c r="B8238" s="118" t="s">
        <v>144</v>
      </c>
      <c r="C8238" s="118" t="s">
        <v>206</v>
      </c>
      <c r="D8238" s="152" t="s">
        <v>9108</v>
      </c>
      <c r="E8238" s="152" t="s">
        <v>9160</v>
      </c>
      <c r="F8238" s="152" t="s">
        <v>629</v>
      </c>
      <c r="G8238" s="152" t="s">
        <v>1785</v>
      </c>
      <c r="H8238" s="153" t="s">
        <v>214</v>
      </c>
    </row>
    <row r="8239" hidden="1">
      <c r="A8239" s="154" t="s">
        <v>223</v>
      </c>
      <c r="B8239" s="155" t="s">
        <v>144</v>
      </c>
      <c r="C8239" s="155" t="s">
        <v>206</v>
      </c>
      <c r="D8239" s="156" t="s">
        <v>9108</v>
      </c>
      <c r="E8239" s="156" t="s">
        <v>9161</v>
      </c>
      <c r="F8239" s="156" t="s">
        <v>760</v>
      </c>
      <c r="G8239" s="156" t="s">
        <v>4161</v>
      </c>
      <c r="H8239" s="157" t="s">
        <v>215</v>
      </c>
    </row>
    <row r="8240" hidden="1">
      <c r="A8240" s="151" t="s">
        <v>223</v>
      </c>
      <c r="B8240" s="118" t="s">
        <v>144</v>
      </c>
      <c r="C8240" s="118" t="s">
        <v>206</v>
      </c>
      <c r="D8240" s="152" t="s">
        <v>9108</v>
      </c>
      <c r="E8240" s="152" t="s">
        <v>9162</v>
      </c>
      <c r="F8240" s="152" t="s">
        <v>390</v>
      </c>
      <c r="G8240" s="152" t="s">
        <v>4263</v>
      </c>
      <c r="H8240" s="153" t="s">
        <v>216</v>
      </c>
    </row>
    <row r="8241" hidden="1">
      <c r="A8241" s="154" t="s">
        <v>224</v>
      </c>
      <c r="B8241" s="155" t="s">
        <v>170</v>
      </c>
      <c r="C8241" s="155" t="s">
        <v>206</v>
      </c>
      <c r="D8241" s="156" t="s">
        <v>9108</v>
      </c>
      <c r="E8241" s="156" t="s">
        <v>9163</v>
      </c>
      <c r="F8241" s="156" t="s">
        <v>453</v>
      </c>
      <c r="G8241" s="156" t="s">
        <v>4146</v>
      </c>
      <c r="H8241" s="157" t="s">
        <v>210</v>
      </c>
    </row>
    <row r="8242" hidden="1">
      <c r="A8242" s="151" t="s">
        <v>224</v>
      </c>
      <c r="B8242" s="118" t="s">
        <v>170</v>
      </c>
      <c r="C8242" s="118" t="s">
        <v>206</v>
      </c>
      <c r="D8242" s="152" t="s">
        <v>9108</v>
      </c>
      <c r="E8242" s="152" t="s">
        <v>9164</v>
      </c>
      <c r="F8242" s="152" t="s">
        <v>3240</v>
      </c>
      <c r="G8242" s="152" t="s">
        <v>3818</v>
      </c>
      <c r="H8242" s="153" t="s">
        <v>211</v>
      </c>
    </row>
    <row r="8243" hidden="1">
      <c r="A8243" s="154" t="s">
        <v>224</v>
      </c>
      <c r="B8243" s="155" t="s">
        <v>170</v>
      </c>
      <c r="C8243" s="155" t="s">
        <v>206</v>
      </c>
      <c r="D8243" s="156" t="s">
        <v>9108</v>
      </c>
      <c r="E8243" s="156" t="s">
        <v>9165</v>
      </c>
      <c r="F8243" s="156" t="s">
        <v>405</v>
      </c>
      <c r="G8243" s="156" t="s">
        <v>3595</v>
      </c>
      <c r="H8243" s="157" t="s">
        <v>212</v>
      </c>
    </row>
    <row r="8244" hidden="1">
      <c r="A8244" s="151" t="s">
        <v>224</v>
      </c>
      <c r="B8244" s="118" t="s">
        <v>170</v>
      </c>
      <c r="C8244" s="118" t="s">
        <v>206</v>
      </c>
      <c r="D8244" s="152" t="s">
        <v>9108</v>
      </c>
      <c r="E8244" s="152" t="s">
        <v>9166</v>
      </c>
      <c r="F8244" s="152" t="s">
        <v>448</v>
      </c>
      <c r="G8244" s="152" t="s">
        <v>3108</v>
      </c>
      <c r="H8244" s="153" t="s">
        <v>213</v>
      </c>
    </row>
    <row r="8245" hidden="1">
      <c r="A8245" s="154" t="s">
        <v>224</v>
      </c>
      <c r="B8245" s="155" t="s">
        <v>170</v>
      </c>
      <c r="C8245" s="155" t="s">
        <v>206</v>
      </c>
      <c r="D8245" s="156" t="s">
        <v>9108</v>
      </c>
      <c r="E8245" s="156" t="s">
        <v>9167</v>
      </c>
      <c r="F8245" s="156" t="s">
        <v>1530</v>
      </c>
      <c r="G8245" s="156" t="s">
        <v>3302</v>
      </c>
      <c r="H8245" s="157" t="s">
        <v>214</v>
      </c>
    </row>
    <row r="8246" hidden="1">
      <c r="A8246" s="151" t="s">
        <v>224</v>
      </c>
      <c r="B8246" s="118" t="s">
        <v>170</v>
      </c>
      <c r="C8246" s="118" t="s">
        <v>206</v>
      </c>
      <c r="D8246" s="152" t="s">
        <v>9108</v>
      </c>
      <c r="E8246" s="152" t="s">
        <v>9168</v>
      </c>
      <c r="F8246" s="152" t="s">
        <v>3218</v>
      </c>
      <c r="G8246" s="152" t="s">
        <v>3595</v>
      </c>
      <c r="H8246" s="153" t="s">
        <v>215</v>
      </c>
    </row>
    <row r="8247" hidden="1">
      <c r="A8247" s="154" t="s">
        <v>224</v>
      </c>
      <c r="B8247" s="155" t="s">
        <v>170</v>
      </c>
      <c r="C8247" s="155" t="s">
        <v>206</v>
      </c>
      <c r="D8247" s="156" t="s">
        <v>9108</v>
      </c>
      <c r="E8247" s="156" t="s">
        <v>9169</v>
      </c>
      <c r="F8247" s="156" t="s">
        <v>1530</v>
      </c>
      <c r="G8247" s="156" t="s">
        <v>4317</v>
      </c>
      <c r="H8247" s="157" t="s">
        <v>216</v>
      </c>
    </row>
    <row r="8248" hidden="1">
      <c r="A8248" s="151" t="s">
        <v>225</v>
      </c>
      <c r="B8248" s="118" t="s">
        <v>226</v>
      </c>
      <c r="C8248" s="118" t="s">
        <v>206</v>
      </c>
      <c r="D8248" s="152" t="s">
        <v>9108</v>
      </c>
      <c r="E8248" s="152" t="s">
        <v>9170</v>
      </c>
      <c r="F8248" s="152" t="s">
        <v>310</v>
      </c>
      <c r="G8248" s="152" t="s">
        <v>2107</v>
      </c>
      <c r="H8248" s="153" t="s">
        <v>210</v>
      </c>
    </row>
    <row r="8249" hidden="1">
      <c r="A8249" s="154" t="s">
        <v>225</v>
      </c>
      <c r="B8249" s="155" t="s">
        <v>226</v>
      </c>
      <c r="C8249" s="155" t="s">
        <v>206</v>
      </c>
      <c r="D8249" s="156" t="s">
        <v>9108</v>
      </c>
      <c r="E8249" s="156" t="s">
        <v>9171</v>
      </c>
      <c r="F8249" s="156" t="s">
        <v>331</v>
      </c>
      <c r="G8249" s="156" t="s">
        <v>2923</v>
      </c>
      <c r="H8249" s="157" t="s">
        <v>211</v>
      </c>
    </row>
    <row r="8250" hidden="1">
      <c r="A8250" s="151" t="s">
        <v>225</v>
      </c>
      <c r="B8250" s="118" t="s">
        <v>226</v>
      </c>
      <c r="C8250" s="118" t="s">
        <v>206</v>
      </c>
      <c r="D8250" s="152" t="s">
        <v>9108</v>
      </c>
      <c r="E8250" s="152" t="s">
        <v>9172</v>
      </c>
      <c r="F8250" s="152" t="s">
        <v>308</v>
      </c>
      <c r="G8250" s="152" t="s">
        <v>2923</v>
      </c>
      <c r="H8250" s="153" t="s">
        <v>212</v>
      </c>
    </row>
    <row r="8251" hidden="1">
      <c r="A8251" s="154" t="s">
        <v>225</v>
      </c>
      <c r="B8251" s="155" t="s">
        <v>226</v>
      </c>
      <c r="C8251" s="155" t="s">
        <v>206</v>
      </c>
      <c r="D8251" s="156" t="s">
        <v>9108</v>
      </c>
      <c r="E8251" s="156" t="s">
        <v>9173</v>
      </c>
      <c r="F8251" s="156" t="s">
        <v>325</v>
      </c>
      <c r="G8251" s="156" t="s">
        <v>2986</v>
      </c>
      <c r="H8251" s="157" t="s">
        <v>213</v>
      </c>
    </row>
    <row r="8252" hidden="1">
      <c r="A8252" s="151" t="s">
        <v>225</v>
      </c>
      <c r="B8252" s="118" t="s">
        <v>226</v>
      </c>
      <c r="C8252" s="118" t="s">
        <v>206</v>
      </c>
      <c r="D8252" s="152" t="s">
        <v>9108</v>
      </c>
      <c r="E8252" s="152" t="s">
        <v>9174</v>
      </c>
      <c r="F8252" s="152" t="s">
        <v>427</v>
      </c>
      <c r="G8252" s="152" t="s">
        <v>3151</v>
      </c>
      <c r="H8252" s="153" t="s">
        <v>214</v>
      </c>
    </row>
    <row r="8253" hidden="1">
      <c r="A8253" s="154" t="s">
        <v>225</v>
      </c>
      <c r="B8253" s="155" t="s">
        <v>226</v>
      </c>
      <c r="C8253" s="155" t="s">
        <v>206</v>
      </c>
      <c r="D8253" s="156" t="s">
        <v>9108</v>
      </c>
      <c r="E8253" s="156" t="s">
        <v>9175</v>
      </c>
      <c r="F8253" s="156" t="s">
        <v>483</v>
      </c>
      <c r="G8253" s="156" t="s">
        <v>2847</v>
      </c>
      <c r="H8253" s="157" t="s">
        <v>215</v>
      </c>
    </row>
    <row r="8254" hidden="1">
      <c r="A8254" s="151" t="s">
        <v>225</v>
      </c>
      <c r="B8254" s="118" t="s">
        <v>226</v>
      </c>
      <c r="C8254" s="118" t="s">
        <v>206</v>
      </c>
      <c r="D8254" s="152" t="s">
        <v>9108</v>
      </c>
      <c r="E8254" s="152" t="s">
        <v>9176</v>
      </c>
      <c r="F8254" s="152" t="s">
        <v>310</v>
      </c>
      <c r="G8254" s="152" t="s">
        <v>3503</v>
      </c>
      <c r="H8254" s="153" t="s">
        <v>216</v>
      </c>
    </row>
    <row r="8255" hidden="1">
      <c r="A8255" s="154" t="s">
        <v>227</v>
      </c>
      <c r="B8255" s="155" t="s">
        <v>195</v>
      </c>
      <c r="C8255" s="155" t="s">
        <v>206</v>
      </c>
      <c r="D8255" s="156" t="s">
        <v>9108</v>
      </c>
      <c r="E8255" s="156" t="s">
        <v>9177</v>
      </c>
      <c r="F8255" s="156" t="s">
        <v>532</v>
      </c>
      <c r="G8255" s="156" t="s">
        <v>1995</v>
      </c>
      <c r="H8255" s="157" t="s">
        <v>210</v>
      </c>
    </row>
    <row r="8256" hidden="1">
      <c r="A8256" s="151" t="s">
        <v>227</v>
      </c>
      <c r="B8256" s="118" t="s">
        <v>195</v>
      </c>
      <c r="C8256" s="118" t="s">
        <v>206</v>
      </c>
      <c r="D8256" s="152" t="s">
        <v>9108</v>
      </c>
      <c r="E8256" s="152" t="s">
        <v>9178</v>
      </c>
      <c r="F8256" s="152" t="s">
        <v>677</v>
      </c>
      <c r="G8256" s="152" t="s">
        <v>3558</v>
      </c>
      <c r="H8256" s="153" t="s">
        <v>211</v>
      </c>
    </row>
    <row r="8257" hidden="1">
      <c r="A8257" s="154" t="s">
        <v>227</v>
      </c>
      <c r="B8257" s="155" t="s">
        <v>195</v>
      </c>
      <c r="C8257" s="155" t="s">
        <v>206</v>
      </c>
      <c r="D8257" s="156" t="s">
        <v>9108</v>
      </c>
      <c r="E8257" s="156" t="s">
        <v>9179</v>
      </c>
      <c r="F8257" s="156" t="s">
        <v>718</v>
      </c>
      <c r="G8257" s="156" t="s">
        <v>3410</v>
      </c>
      <c r="H8257" s="157" t="s">
        <v>212</v>
      </c>
    </row>
    <row r="8258" hidden="1">
      <c r="A8258" s="151" t="s">
        <v>227</v>
      </c>
      <c r="B8258" s="118" t="s">
        <v>195</v>
      </c>
      <c r="C8258" s="118" t="s">
        <v>206</v>
      </c>
      <c r="D8258" s="152" t="s">
        <v>9108</v>
      </c>
      <c r="E8258" s="152" t="s">
        <v>9180</v>
      </c>
      <c r="F8258" s="152" t="s">
        <v>2215</v>
      </c>
      <c r="G8258" s="152" t="s">
        <v>4608</v>
      </c>
      <c r="H8258" s="153" t="s">
        <v>213</v>
      </c>
    </row>
    <row r="8259" hidden="1">
      <c r="A8259" s="154" t="s">
        <v>227</v>
      </c>
      <c r="B8259" s="155" t="s">
        <v>195</v>
      </c>
      <c r="C8259" s="155" t="s">
        <v>206</v>
      </c>
      <c r="D8259" s="156" t="s">
        <v>9108</v>
      </c>
      <c r="E8259" s="156" t="s">
        <v>9181</v>
      </c>
      <c r="F8259" s="156" t="s">
        <v>799</v>
      </c>
      <c r="G8259" s="156" t="s">
        <v>2663</v>
      </c>
      <c r="H8259" s="157" t="s">
        <v>214</v>
      </c>
    </row>
    <row r="8260" hidden="1">
      <c r="A8260" s="151" t="s">
        <v>227</v>
      </c>
      <c r="B8260" s="118" t="s">
        <v>195</v>
      </c>
      <c r="C8260" s="118" t="s">
        <v>206</v>
      </c>
      <c r="D8260" s="152" t="s">
        <v>9108</v>
      </c>
      <c r="E8260" s="152" t="s">
        <v>9182</v>
      </c>
      <c r="F8260" s="152" t="s">
        <v>532</v>
      </c>
      <c r="G8260" s="152" t="s">
        <v>3449</v>
      </c>
      <c r="H8260" s="153" t="s">
        <v>215</v>
      </c>
    </row>
    <row r="8261" hidden="1">
      <c r="A8261" s="154" t="s">
        <v>227</v>
      </c>
      <c r="B8261" s="155" t="s">
        <v>195</v>
      </c>
      <c r="C8261" s="155" t="s">
        <v>206</v>
      </c>
      <c r="D8261" s="156" t="s">
        <v>9108</v>
      </c>
      <c r="E8261" s="156" t="s">
        <v>9183</v>
      </c>
      <c r="F8261" s="156" t="s">
        <v>532</v>
      </c>
      <c r="G8261" s="156" t="s">
        <v>3710</v>
      </c>
      <c r="H8261" s="157" t="s">
        <v>216</v>
      </c>
    </row>
    <row r="8262" hidden="1">
      <c r="A8262" s="151" t="s">
        <v>228</v>
      </c>
      <c r="B8262" s="118" t="s">
        <v>138</v>
      </c>
      <c r="C8262" s="118" t="s">
        <v>206</v>
      </c>
      <c r="D8262" s="152" t="s">
        <v>9108</v>
      </c>
      <c r="E8262" s="152" t="s">
        <v>9184</v>
      </c>
      <c r="F8262" s="152" t="s">
        <v>339</v>
      </c>
      <c r="G8262" s="152" t="s">
        <v>2515</v>
      </c>
      <c r="H8262" s="153" t="s">
        <v>210</v>
      </c>
    </row>
    <row r="8263" hidden="1">
      <c r="A8263" s="154" t="s">
        <v>228</v>
      </c>
      <c r="B8263" s="155" t="s">
        <v>138</v>
      </c>
      <c r="C8263" s="155" t="s">
        <v>206</v>
      </c>
      <c r="D8263" s="156" t="s">
        <v>9108</v>
      </c>
      <c r="E8263" s="156" t="s">
        <v>9185</v>
      </c>
      <c r="F8263" s="156" t="s">
        <v>325</v>
      </c>
      <c r="G8263" s="156" t="s">
        <v>4502</v>
      </c>
      <c r="H8263" s="157" t="s">
        <v>211</v>
      </c>
    </row>
    <row r="8264" hidden="1">
      <c r="A8264" s="151" t="s">
        <v>228</v>
      </c>
      <c r="B8264" s="118" t="s">
        <v>138</v>
      </c>
      <c r="C8264" s="118" t="s">
        <v>206</v>
      </c>
      <c r="D8264" s="152" t="s">
        <v>9108</v>
      </c>
      <c r="E8264" s="152" t="s">
        <v>9186</v>
      </c>
      <c r="F8264" s="152" t="s">
        <v>427</v>
      </c>
      <c r="G8264" s="152" t="s">
        <v>3919</v>
      </c>
      <c r="H8264" s="153" t="s">
        <v>212</v>
      </c>
    </row>
    <row r="8265" hidden="1">
      <c r="A8265" s="154" t="s">
        <v>228</v>
      </c>
      <c r="B8265" s="155" t="s">
        <v>138</v>
      </c>
      <c r="C8265" s="155" t="s">
        <v>206</v>
      </c>
      <c r="D8265" s="156" t="s">
        <v>9108</v>
      </c>
      <c r="E8265" s="156" t="s">
        <v>9187</v>
      </c>
      <c r="F8265" s="156" t="s">
        <v>298</v>
      </c>
      <c r="G8265" s="156" t="s">
        <v>3478</v>
      </c>
      <c r="H8265" s="157" t="s">
        <v>213</v>
      </c>
    </row>
    <row r="8266" hidden="1">
      <c r="A8266" s="151" t="s">
        <v>228</v>
      </c>
      <c r="B8266" s="118" t="s">
        <v>138</v>
      </c>
      <c r="C8266" s="118" t="s">
        <v>206</v>
      </c>
      <c r="D8266" s="152" t="s">
        <v>9108</v>
      </c>
      <c r="E8266" s="152" t="s">
        <v>9188</v>
      </c>
      <c r="F8266" s="152" t="s">
        <v>329</v>
      </c>
      <c r="G8266" s="152" t="s">
        <v>2816</v>
      </c>
      <c r="H8266" s="153" t="s">
        <v>214</v>
      </c>
    </row>
    <row r="8267" hidden="1">
      <c r="A8267" s="154" t="s">
        <v>228</v>
      </c>
      <c r="B8267" s="155" t="s">
        <v>138</v>
      </c>
      <c r="C8267" s="155" t="s">
        <v>206</v>
      </c>
      <c r="D8267" s="156" t="s">
        <v>9108</v>
      </c>
      <c r="E8267" s="156" t="s">
        <v>9189</v>
      </c>
      <c r="F8267" s="156" t="s">
        <v>242</v>
      </c>
      <c r="G8267" s="156" t="s">
        <v>3937</v>
      </c>
      <c r="H8267" s="157" t="s">
        <v>215</v>
      </c>
    </row>
    <row r="8268" hidden="1">
      <c r="A8268" s="151" t="s">
        <v>228</v>
      </c>
      <c r="B8268" s="118" t="s">
        <v>138</v>
      </c>
      <c r="C8268" s="118" t="s">
        <v>206</v>
      </c>
      <c r="D8268" s="152" t="s">
        <v>9108</v>
      </c>
      <c r="E8268" s="152" t="s">
        <v>9190</v>
      </c>
      <c r="F8268" s="152" t="s">
        <v>305</v>
      </c>
      <c r="G8268" s="152" t="s">
        <v>3818</v>
      </c>
      <c r="H8268" s="153" t="s">
        <v>216</v>
      </c>
    </row>
    <row r="8269" hidden="1">
      <c r="A8269" s="154" t="s">
        <v>229</v>
      </c>
      <c r="B8269" s="155" t="s">
        <v>193</v>
      </c>
      <c r="C8269" s="155" t="s">
        <v>206</v>
      </c>
      <c r="D8269" s="156" t="s">
        <v>9108</v>
      </c>
      <c r="E8269" s="156" t="s">
        <v>9191</v>
      </c>
      <c r="F8269" s="156" t="s">
        <v>532</v>
      </c>
      <c r="G8269" s="156" t="s">
        <v>9192</v>
      </c>
      <c r="H8269" s="157" t="s">
        <v>210</v>
      </c>
    </row>
    <row r="8270" hidden="1">
      <c r="A8270" s="151" t="s">
        <v>229</v>
      </c>
      <c r="B8270" s="118" t="s">
        <v>193</v>
      </c>
      <c r="C8270" s="118" t="s">
        <v>206</v>
      </c>
      <c r="D8270" s="152" t="s">
        <v>9108</v>
      </c>
      <c r="E8270" s="152" t="s">
        <v>9193</v>
      </c>
      <c r="F8270" s="152" t="s">
        <v>448</v>
      </c>
      <c r="G8270" s="152" t="s">
        <v>6262</v>
      </c>
      <c r="H8270" s="153" t="s">
        <v>211</v>
      </c>
    </row>
    <row r="8271" hidden="1">
      <c r="A8271" s="154" t="s">
        <v>229</v>
      </c>
      <c r="B8271" s="155" t="s">
        <v>193</v>
      </c>
      <c r="C8271" s="155" t="s">
        <v>206</v>
      </c>
      <c r="D8271" s="156" t="s">
        <v>9108</v>
      </c>
      <c r="E8271" s="156" t="s">
        <v>9194</v>
      </c>
      <c r="F8271" s="156" t="s">
        <v>348</v>
      </c>
      <c r="G8271" s="156" t="s">
        <v>9195</v>
      </c>
      <c r="H8271" s="157" t="s">
        <v>212</v>
      </c>
    </row>
    <row r="8272" hidden="1">
      <c r="A8272" s="151" t="s">
        <v>229</v>
      </c>
      <c r="B8272" s="118" t="s">
        <v>193</v>
      </c>
      <c r="C8272" s="118" t="s">
        <v>206</v>
      </c>
      <c r="D8272" s="152" t="s">
        <v>9108</v>
      </c>
      <c r="E8272" s="152" t="s">
        <v>9196</v>
      </c>
      <c r="F8272" s="152" t="s">
        <v>760</v>
      </c>
      <c r="G8272" s="152" t="s">
        <v>9197</v>
      </c>
      <c r="H8272" s="153" t="s">
        <v>213</v>
      </c>
    </row>
    <row r="8273" hidden="1">
      <c r="A8273" s="154" t="s">
        <v>229</v>
      </c>
      <c r="B8273" s="155" t="s">
        <v>193</v>
      </c>
      <c r="C8273" s="155" t="s">
        <v>206</v>
      </c>
      <c r="D8273" s="156" t="s">
        <v>9108</v>
      </c>
      <c r="E8273" s="156" t="s">
        <v>9198</v>
      </c>
      <c r="F8273" s="156" t="s">
        <v>763</v>
      </c>
      <c r="G8273" s="156" t="s">
        <v>9197</v>
      </c>
      <c r="H8273" s="157" t="s">
        <v>214</v>
      </c>
    </row>
    <row r="8274" hidden="1">
      <c r="A8274" s="151" t="s">
        <v>229</v>
      </c>
      <c r="B8274" s="118" t="s">
        <v>193</v>
      </c>
      <c r="C8274" s="118" t="s">
        <v>206</v>
      </c>
      <c r="D8274" s="152" t="s">
        <v>9108</v>
      </c>
      <c r="E8274" s="152" t="s">
        <v>9199</v>
      </c>
      <c r="F8274" s="152" t="s">
        <v>336</v>
      </c>
      <c r="G8274" s="152" t="s">
        <v>9200</v>
      </c>
      <c r="H8274" s="153" t="s">
        <v>215</v>
      </c>
    </row>
    <row r="8275" hidden="1">
      <c r="A8275" s="154" t="s">
        <v>229</v>
      </c>
      <c r="B8275" s="155" t="s">
        <v>193</v>
      </c>
      <c r="C8275" s="155" t="s">
        <v>206</v>
      </c>
      <c r="D8275" s="156" t="s">
        <v>9108</v>
      </c>
      <c r="E8275" s="156" t="s">
        <v>9201</v>
      </c>
      <c r="F8275" s="156" t="s">
        <v>405</v>
      </c>
      <c r="G8275" s="156" t="s">
        <v>5170</v>
      </c>
      <c r="H8275" s="157" t="s">
        <v>216</v>
      </c>
    </row>
    <row r="8276" hidden="1">
      <c r="A8276" s="151" t="s">
        <v>230</v>
      </c>
      <c r="B8276" s="118" t="s">
        <v>194</v>
      </c>
      <c r="C8276" s="118" t="s">
        <v>206</v>
      </c>
      <c r="D8276" s="152" t="s">
        <v>9108</v>
      </c>
      <c r="E8276" s="152" t="s">
        <v>9202</v>
      </c>
      <c r="F8276" s="152" t="s">
        <v>494</v>
      </c>
      <c r="G8276" s="152" t="s">
        <v>3820</v>
      </c>
      <c r="H8276" s="153" t="s">
        <v>210</v>
      </c>
    </row>
    <row r="8277" hidden="1">
      <c r="A8277" s="154" t="s">
        <v>230</v>
      </c>
      <c r="B8277" s="155" t="s">
        <v>194</v>
      </c>
      <c r="C8277" s="155" t="s">
        <v>206</v>
      </c>
      <c r="D8277" s="156" t="s">
        <v>9108</v>
      </c>
      <c r="E8277" s="156" t="s">
        <v>9203</v>
      </c>
      <c r="F8277" s="156" t="s">
        <v>725</v>
      </c>
      <c r="G8277" s="156" t="s">
        <v>3710</v>
      </c>
      <c r="H8277" s="157" t="s">
        <v>211</v>
      </c>
    </row>
    <row r="8278" hidden="1">
      <c r="A8278" s="151" t="s">
        <v>230</v>
      </c>
      <c r="B8278" s="118" t="s">
        <v>194</v>
      </c>
      <c r="C8278" s="118" t="s">
        <v>206</v>
      </c>
      <c r="D8278" s="152" t="s">
        <v>9108</v>
      </c>
      <c r="E8278" s="152" t="s">
        <v>9204</v>
      </c>
      <c r="F8278" s="152" t="s">
        <v>718</v>
      </c>
      <c r="G8278" s="152" t="s">
        <v>2348</v>
      </c>
      <c r="H8278" s="153" t="s">
        <v>212</v>
      </c>
    </row>
    <row r="8279" hidden="1">
      <c r="A8279" s="154" t="s">
        <v>230</v>
      </c>
      <c r="B8279" s="155" t="s">
        <v>194</v>
      </c>
      <c r="C8279" s="155" t="s">
        <v>206</v>
      </c>
      <c r="D8279" s="156" t="s">
        <v>9108</v>
      </c>
      <c r="E8279" s="156" t="s">
        <v>9205</v>
      </c>
      <c r="F8279" s="156" t="s">
        <v>423</v>
      </c>
      <c r="G8279" s="156" t="s">
        <v>3989</v>
      </c>
      <c r="H8279" s="157" t="s">
        <v>213</v>
      </c>
    </row>
    <row r="8280" hidden="1">
      <c r="A8280" s="151" t="s">
        <v>230</v>
      </c>
      <c r="B8280" s="118" t="s">
        <v>194</v>
      </c>
      <c r="C8280" s="118" t="s">
        <v>206</v>
      </c>
      <c r="D8280" s="152" t="s">
        <v>9108</v>
      </c>
      <c r="E8280" s="152" t="s">
        <v>9206</v>
      </c>
      <c r="F8280" s="152" t="s">
        <v>532</v>
      </c>
      <c r="G8280" s="152" t="s">
        <v>2517</v>
      </c>
      <c r="H8280" s="153" t="s">
        <v>214</v>
      </c>
    </row>
    <row r="8281" hidden="1">
      <c r="A8281" s="154" t="s">
        <v>230</v>
      </c>
      <c r="B8281" s="155" t="s">
        <v>194</v>
      </c>
      <c r="C8281" s="155" t="s">
        <v>206</v>
      </c>
      <c r="D8281" s="156" t="s">
        <v>9108</v>
      </c>
      <c r="E8281" s="156" t="s">
        <v>9207</v>
      </c>
      <c r="F8281" s="156" t="s">
        <v>577</v>
      </c>
      <c r="G8281" s="156" t="s">
        <v>2008</v>
      </c>
      <c r="H8281" s="157" t="s">
        <v>215</v>
      </c>
    </row>
    <row r="8282" hidden="1">
      <c r="A8282" s="151" t="s">
        <v>230</v>
      </c>
      <c r="B8282" s="118" t="s">
        <v>194</v>
      </c>
      <c r="C8282" s="118" t="s">
        <v>206</v>
      </c>
      <c r="D8282" s="152" t="s">
        <v>9108</v>
      </c>
      <c r="E8282" s="152" t="s">
        <v>9208</v>
      </c>
      <c r="F8282" s="152" t="s">
        <v>478</v>
      </c>
      <c r="G8282" s="152" t="s">
        <v>3941</v>
      </c>
      <c r="H8282" s="153" t="s">
        <v>216</v>
      </c>
    </row>
    <row r="8283" hidden="1">
      <c r="A8283" s="158" t="s">
        <v>231</v>
      </c>
      <c r="B8283" s="159"/>
      <c r="C8283" s="155" t="s">
        <v>232</v>
      </c>
      <c r="D8283" s="156" t="s">
        <v>9108</v>
      </c>
      <c r="E8283" s="156" t="s">
        <v>9209</v>
      </c>
      <c r="F8283" s="156" t="s">
        <v>290</v>
      </c>
      <c r="G8283" s="156" t="s">
        <v>9210</v>
      </c>
      <c r="H8283" s="157" t="s">
        <v>210</v>
      </c>
    </row>
    <row r="8284" hidden="1">
      <c r="A8284" s="160" t="s">
        <v>231</v>
      </c>
      <c r="B8284" s="72"/>
      <c r="C8284" s="118" t="s">
        <v>232</v>
      </c>
      <c r="D8284" s="152" t="s">
        <v>9108</v>
      </c>
      <c r="E8284" s="152" t="s">
        <v>9211</v>
      </c>
      <c r="F8284" s="152" t="s">
        <v>325</v>
      </c>
      <c r="G8284" s="152" t="s">
        <v>4515</v>
      </c>
      <c r="H8284" s="153" t="s">
        <v>211</v>
      </c>
    </row>
    <row r="8285" hidden="1">
      <c r="A8285" s="158" t="s">
        <v>231</v>
      </c>
      <c r="B8285" s="159"/>
      <c r="C8285" s="155" t="s">
        <v>232</v>
      </c>
      <c r="D8285" s="156" t="s">
        <v>9108</v>
      </c>
      <c r="E8285" s="156" t="s">
        <v>9212</v>
      </c>
      <c r="F8285" s="156" t="s">
        <v>351</v>
      </c>
      <c r="G8285" s="156" t="s">
        <v>5452</v>
      </c>
      <c r="H8285" s="157" t="s">
        <v>212</v>
      </c>
    </row>
    <row r="8286" hidden="1">
      <c r="A8286" s="160" t="s">
        <v>231</v>
      </c>
      <c r="B8286" s="72"/>
      <c r="C8286" s="118" t="s">
        <v>232</v>
      </c>
      <c r="D8286" s="152" t="s">
        <v>9108</v>
      </c>
      <c r="E8286" s="152" t="s">
        <v>9213</v>
      </c>
      <c r="F8286" s="152" t="s">
        <v>331</v>
      </c>
      <c r="G8286" s="152" t="s">
        <v>4627</v>
      </c>
      <c r="H8286" s="153" t="s">
        <v>213</v>
      </c>
    </row>
    <row r="8287" hidden="1">
      <c r="A8287" s="158" t="s">
        <v>231</v>
      </c>
      <c r="B8287" s="159"/>
      <c r="C8287" s="155" t="s">
        <v>232</v>
      </c>
      <c r="D8287" s="156" t="s">
        <v>9108</v>
      </c>
      <c r="E8287" s="156" t="s">
        <v>9214</v>
      </c>
      <c r="F8287" s="156" t="s">
        <v>427</v>
      </c>
      <c r="G8287" s="156" t="s">
        <v>3472</v>
      </c>
      <c r="H8287" s="157" t="s">
        <v>214</v>
      </c>
    </row>
    <row r="8288" hidden="1">
      <c r="A8288" s="160" t="s">
        <v>231</v>
      </c>
      <c r="B8288" s="72"/>
      <c r="C8288" s="118" t="s">
        <v>232</v>
      </c>
      <c r="D8288" s="152" t="s">
        <v>9108</v>
      </c>
      <c r="E8288" s="152" t="s">
        <v>9215</v>
      </c>
      <c r="F8288" s="152" t="s">
        <v>3218</v>
      </c>
      <c r="G8288" s="152" t="s">
        <v>7282</v>
      </c>
      <c r="H8288" s="153" t="s">
        <v>215</v>
      </c>
    </row>
    <row r="8289" hidden="1">
      <c r="A8289" s="158" t="s">
        <v>231</v>
      </c>
      <c r="B8289" s="159"/>
      <c r="C8289" s="155" t="s">
        <v>232</v>
      </c>
      <c r="D8289" s="156" t="s">
        <v>9108</v>
      </c>
      <c r="E8289" s="156" t="s">
        <v>9216</v>
      </c>
      <c r="F8289" s="156" t="s">
        <v>339</v>
      </c>
      <c r="G8289" s="156" t="s">
        <v>9217</v>
      </c>
      <c r="H8289" s="157" t="s">
        <v>216</v>
      </c>
    </row>
    <row r="8290" hidden="1">
      <c r="A8290" s="160" t="s">
        <v>233</v>
      </c>
      <c r="B8290" s="72"/>
      <c r="C8290" s="118" t="s">
        <v>232</v>
      </c>
      <c r="D8290" s="152" t="s">
        <v>9108</v>
      </c>
      <c r="E8290" s="152" t="s">
        <v>9218</v>
      </c>
      <c r="F8290" s="152" t="s">
        <v>423</v>
      </c>
      <c r="G8290" s="152" t="s">
        <v>4178</v>
      </c>
      <c r="H8290" s="153" t="s">
        <v>210</v>
      </c>
    </row>
    <row r="8291" hidden="1">
      <c r="A8291" s="158" t="s">
        <v>233</v>
      </c>
      <c r="B8291" s="159"/>
      <c r="C8291" s="155" t="s">
        <v>232</v>
      </c>
      <c r="D8291" s="156" t="s">
        <v>9108</v>
      </c>
      <c r="E8291" s="156" t="s">
        <v>9219</v>
      </c>
      <c r="F8291" s="156" t="s">
        <v>453</v>
      </c>
      <c r="G8291" s="156" t="s">
        <v>3537</v>
      </c>
      <c r="H8291" s="157" t="s">
        <v>211</v>
      </c>
    </row>
    <row r="8292" hidden="1">
      <c r="A8292" s="160" t="s">
        <v>233</v>
      </c>
      <c r="B8292" s="72"/>
      <c r="C8292" s="118" t="s">
        <v>232</v>
      </c>
      <c r="D8292" s="152" t="s">
        <v>9108</v>
      </c>
      <c r="E8292" s="152" t="s">
        <v>9220</v>
      </c>
      <c r="F8292" s="152" t="s">
        <v>453</v>
      </c>
      <c r="G8292" s="152" t="s">
        <v>3932</v>
      </c>
      <c r="H8292" s="153" t="s">
        <v>212</v>
      </c>
    </row>
    <row r="8293" hidden="1">
      <c r="A8293" s="158" t="s">
        <v>233</v>
      </c>
      <c r="B8293" s="159"/>
      <c r="C8293" s="155" t="s">
        <v>232</v>
      </c>
      <c r="D8293" s="156" t="s">
        <v>9108</v>
      </c>
      <c r="E8293" s="156" t="s">
        <v>9221</v>
      </c>
      <c r="F8293" s="156" t="s">
        <v>405</v>
      </c>
      <c r="G8293" s="156" t="s">
        <v>4223</v>
      </c>
      <c r="H8293" s="157" t="s">
        <v>213</v>
      </c>
    </row>
    <row r="8294" hidden="1">
      <c r="A8294" s="160" t="s">
        <v>233</v>
      </c>
      <c r="B8294" s="72"/>
      <c r="C8294" s="118" t="s">
        <v>232</v>
      </c>
      <c r="D8294" s="152" t="s">
        <v>9108</v>
      </c>
      <c r="E8294" s="152" t="s">
        <v>9222</v>
      </c>
      <c r="F8294" s="152" t="s">
        <v>405</v>
      </c>
      <c r="G8294" s="152" t="s">
        <v>4509</v>
      </c>
      <c r="H8294" s="153" t="s">
        <v>214</v>
      </c>
    </row>
    <row r="8295" hidden="1">
      <c r="A8295" s="158" t="s">
        <v>233</v>
      </c>
      <c r="B8295" s="159"/>
      <c r="C8295" s="155" t="s">
        <v>232</v>
      </c>
      <c r="D8295" s="156" t="s">
        <v>9108</v>
      </c>
      <c r="E8295" s="156" t="s">
        <v>9223</v>
      </c>
      <c r="F8295" s="156" t="s">
        <v>577</v>
      </c>
      <c r="G8295" s="156" t="s">
        <v>4178</v>
      </c>
      <c r="H8295" s="157" t="s">
        <v>215</v>
      </c>
    </row>
    <row r="8296" hidden="1">
      <c r="A8296" s="160" t="s">
        <v>233</v>
      </c>
      <c r="B8296" s="72"/>
      <c r="C8296" s="118" t="s">
        <v>232</v>
      </c>
      <c r="D8296" s="152" t="s">
        <v>9108</v>
      </c>
      <c r="E8296" s="152" t="s">
        <v>9224</v>
      </c>
      <c r="F8296" s="152" t="s">
        <v>532</v>
      </c>
      <c r="G8296" s="152" t="s">
        <v>2003</v>
      </c>
      <c r="H8296" s="153" t="s">
        <v>216</v>
      </c>
    </row>
    <row r="8297" hidden="1">
      <c r="A8297" s="158" t="s">
        <v>234</v>
      </c>
      <c r="B8297" s="159"/>
      <c r="C8297" s="155" t="s">
        <v>232</v>
      </c>
      <c r="D8297" s="156" t="s">
        <v>9108</v>
      </c>
      <c r="E8297" s="156" t="s">
        <v>9225</v>
      </c>
      <c r="F8297" s="156" t="s">
        <v>1532</v>
      </c>
      <c r="G8297" s="156" t="s">
        <v>3950</v>
      </c>
      <c r="H8297" s="157" t="s">
        <v>210</v>
      </c>
    </row>
    <row r="8298" hidden="1">
      <c r="A8298" s="160" t="s">
        <v>234</v>
      </c>
      <c r="B8298" s="72"/>
      <c r="C8298" s="118" t="s">
        <v>232</v>
      </c>
      <c r="D8298" s="152" t="s">
        <v>9108</v>
      </c>
      <c r="E8298" s="152" t="s">
        <v>9226</v>
      </c>
      <c r="F8298" s="152" t="s">
        <v>1530</v>
      </c>
      <c r="G8298" s="152" t="s">
        <v>2910</v>
      </c>
      <c r="H8298" s="153" t="s">
        <v>211</v>
      </c>
    </row>
    <row r="8299" hidden="1">
      <c r="A8299" s="158" t="s">
        <v>234</v>
      </c>
      <c r="B8299" s="159"/>
      <c r="C8299" s="155" t="s">
        <v>232</v>
      </c>
      <c r="D8299" s="156" t="s">
        <v>9108</v>
      </c>
      <c r="E8299" s="156" t="s">
        <v>9227</v>
      </c>
      <c r="F8299" s="156" t="s">
        <v>448</v>
      </c>
      <c r="G8299" s="156" t="s">
        <v>3262</v>
      </c>
      <c r="H8299" s="157" t="s">
        <v>212</v>
      </c>
    </row>
    <row r="8300" hidden="1">
      <c r="A8300" s="160" t="s">
        <v>234</v>
      </c>
      <c r="B8300" s="72"/>
      <c r="C8300" s="118" t="s">
        <v>232</v>
      </c>
      <c r="D8300" s="152" t="s">
        <v>9108</v>
      </c>
      <c r="E8300" s="152" t="s">
        <v>9228</v>
      </c>
      <c r="F8300" s="152" t="s">
        <v>3198</v>
      </c>
      <c r="G8300" s="152" t="s">
        <v>4006</v>
      </c>
      <c r="H8300" s="153" t="s">
        <v>213</v>
      </c>
    </row>
    <row r="8301" hidden="1">
      <c r="A8301" s="158" t="s">
        <v>234</v>
      </c>
      <c r="B8301" s="159"/>
      <c r="C8301" s="155" t="s">
        <v>232</v>
      </c>
      <c r="D8301" s="156" t="s">
        <v>9108</v>
      </c>
      <c r="E8301" s="156" t="s">
        <v>9229</v>
      </c>
      <c r="F8301" s="156" t="s">
        <v>725</v>
      </c>
      <c r="G8301" s="156" t="s">
        <v>2109</v>
      </c>
      <c r="H8301" s="157" t="s">
        <v>214</v>
      </c>
    </row>
    <row r="8302" hidden="1">
      <c r="A8302" s="160" t="s">
        <v>234</v>
      </c>
      <c r="B8302" s="72"/>
      <c r="C8302" s="118" t="s">
        <v>232</v>
      </c>
      <c r="D8302" s="152" t="s">
        <v>9108</v>
      </c>
      <c r="E8302" s="152" t="s">
        <v>9230</v>
      </c>
      <c r="F8302" s="152" t="s">
        <v>478</v>
      </c>
      <c r="G8302" s="152" t="s">
        <v>4006</v>
      </c>
      <c r="H8302" s="153" t="s">
        <v>215</v>
      </c>
    </row>
    <row r="8303" hidden="1">
      <c r="A8303" s="158" t="s">
        <v>234</v>
      </c>
      <c r="B8303" s="159"/>
      <c r="C8303" s="155" t="s">
        <v>232</v>
      </c>
      <c r="D8303" s="156" t="s">
        <v>9108</v>
      </c>
      <c r="E8303" s="156" t="s">
        <v>9231</v>
      </c>
      <c r="F8303" s="156" t="s">
        <v>405</v>
      </c>
      <c r="G8303" s="156" t="s">
        <v>2115</v>
      </c>
      <c r="H8303" s="157" t="s">
        <v>216</v>
      </c>
    </row>
    <row r="8304" hidden="1">
      <c r="A8304" s="160" t="s">
        <v>235</v>
      </c>
      <c r="B8304" s="72"/>
      <c r="C8304" s="118" t="s">
        <v>236</v>
      </c>
      <c r="D8304" s="152" t="s">
        <v>9108</v>
      </c>
      <c r="E8304" s="152" t="s">
        <v>9232</v>
      </c>
      <c r="F8304" s="152" t="s">
        <v>718</v>
      </c>
      <c r="G8304" s="152" t="s">
        <v>4119</v>
      </c>
      <c r="H8304" s="153" t="s">
        <v>210</v>
      </c>
    </row>
    <row r="8305" hidden="1">
      <c r="A8305" s="158" t="s">
        <v>235</v>
      </c>
      <c r="B8305" s="159"/>
      <c r="C8305" s="155" t="s">
        <v>236</v>
      </c>
      <c r="D8305" s="156" t="s">
        <v>9108</v>
      </c>
      <c r="E8305" s="156" t="s">
        <v>9233</v>
      </c>
      <c r="F8305" s="156" t="s">
        <v>3218</v>
      </c>
      <c r="G8305" s="156" t="s">
        <v>4367</v>
      </c>
      <c r="H8305" s="157" t="s">
        <v>211</v>
      </c>
    </row>
    <row r="8306" hidden="1">
      <c r="A8306" s="160" t="s">
        <v>235</v>
      </c>
      <c r="B8306" s="72"/>
      <c r="C8306" s="118" t="s">
        <v>236</v>
      </c>
      <c r="D8306" s="152" t="s">
        <v>9108</v>
      </c>
      <c r="E8306" s="152" t="s">
        <v>9234</v>
      </c>
      <c r="F8306" s="152" t="s">
        <v>1999</v>
      </c>
      <c r="G8306" s="152" t="s">
        <v>4176</v>
      </c>
      <c r="H8306" s="153" t="s">
        <v>212</v>
      </c>
    </row>
    <row r="8307" hidden="1">
      <c r="A8307" s="158" t="s">
        <v>235</v>
      </c>
      <c r="B8307" s="159"/>
      <c r="C8307" s="155" t="s">
        <v>236</v>
      </c>
      <c r="D8307" s="156" t="s">
        <v>9108</v>
      </c>
      <c r="E8307" s="156" t="s">
        <v>9235</v>
      </c>
      <c r="F8307" s="156" t="s">
        <v>1532</v>
      </c>
      <c r="G8307" s="156" t="s">
        <v>4171</v>
      </c>
      <c r="H8307" s="157" t="s">
        <v>213</v>
      </c>
    </row>
    <row r="8308" hidden="1">
      <c r="A8308" s="160" t="s">
        <v>235</v>
      </c>
      <c r="B8308" s="72"/>
      <c r="C8308" s="118" t="s">
        <v>236</v>
      </c>
      <c r="D8308" s="152" t="s">
        <v>9108</v>
      </c>
      <c r="E8308" s="152" t="s">
        <v>9236</v>
      </c>
      <c r="F8308" s="152" t="s">
        <v>405</v>
      </c>
      <c r="G8308" s="152" t="s">
        <v>4119</v>
      </c>
      <c r="H8308" s="153" t="s">
        <v>214</v>
      </c>
    </row>
    <row r="8309" hidden="1">
      <c r="A8309" s="158" t="s">
        <v>235</v>
      </c>
      <c r="B8309" s="159"/>
      <c r="C8309" s="155" t="s">
        <v>236</v>
      </c>
      <c r="D8309" s="156" t="s">
        <v>9108</v>
      </c>
      <c r="E8309" s="156" t="s">
        <v>9237</v>
      </c>
      <c r="F8309" s="156" t="s">
        <v>1532</v>
      </c>
      <c r="G8309" s="156" t="s">
        <v>4290</v>
      </c>
      <c r="H8309" s="157" t="s">
        <v>215</v>
      </c>
    </row>
    <row r="8310" hidden="1">
      <c r="A8310" s="160" t="s">
        <v>235</v>
      </c>
      <c r="B8310" s="72"/>
      <c r="C8310" s="118" t="s">
        <v>236</v>
      </c>
      <c r="D8310" s="152" t="s">
        <v>9108</v>
      </c>
      <c r="E8310" s="152" t="s">
        <v>9238</v>
      </c>
      <c r="F8310" s="152" t="s">
        <v>1532</v>
      </c>
      <c r="G8310" s="152" t="s">
        <v>2003</v>
      </c>
      <c r="H8310" s="153" t="s">
        <v>216</v>
      </c>
    </row>
    <row r="8311" hidden="1">
      <c r="A8311" s="158" t="s">
        <v>237</v>
      </c>
      <c r="B8311" s="159"/>
      <c r="C8311" s="155" t="s">
        <v>236</v>
      </c>
      <c r="D8311" s="156" t="s">
        <v>9108</v>
      </c>
      <c r="E8311" s="156" t="s">
        <v>9239</v>
      </c>
      <c r="F8311" s="156" t="s">
        <v>329</v>
      </c>
      <c r="G8311" s="156" t="s">
        <v>1779</v>
      </c>
      <c r="H8311" s="157" t="s">
        <v>210</v>
      </c>
    </row>
    <row r="8312" hidden="1">
      <c r="A8312" s="160" t="s">
        <v>237</v>
      </c>
      <c r="B8312" s="72"/>
      <c r="C8312" s="118" t="s">
        <v>236</v>
      </c>
      <c r="D8312" s="152" t="s">
        <v>9108</v>
      </c>
      <c r="E8312" s="152" t="s">
        <v>9240</v>
      </c>
      <c r="F8312" s="152" t="s">
        <v>354</v>
      </c>
      <c r="G8312" s="152" t="s">
        <v>3710</v>
      </c>
      <c r="H8312" s="153" t="s">
        <v>211</v>
      </c>
    </row>
    <row r="8313" hidden="1">
      <c r="A8313" s="158" t="s">
        <v>237</v>
      </c>
      <c r="B8313" s="159"/>
      <c r="C8313" s="155" t="s">
        <v>236</v>
      </c>
      <c r="D8313" s="156" t="s">
        <v>9108</v>
      </c>
      <c r="E8313" s="156" t="s">
        <v>9241</v>
      </c>
      <c r="F8313" s="156" t="s">
        <v>494</v>
      </c>
      <c r="G8313" s="156" t="s">
        <v>3294</v>
      </c>
      <c r="H8313" s="157" t="s">
        <v>212</v>
      </c>
    </row>
    <row r="8314" hidden="1">
      <c r="A8314" s="160" t="s">
        <v>237</v>
      </c>
      <c r="B8314" s="72"/>
      <c r="C8314" s="118" t="s">
        <v>236</v>
      </c>
      <c r="D8314" s="152" t="s">
        <v>9108</v>
      </c>
      <c r="E8314" s="152" t="s">
        <v>9242</v>
      </c>
      <c r="F8314" s="152" t="s">
        <v>629</v>
      </c>
      <c r="G8314" s="152" t="s">
        <v>4073</v>
      </c>
      <c r="H8314" s="153" t="s">
        <v>213</v>
      </c>
    </row>
    <row r="8315" hidden="1">
      <c r="A8315" s="158" t="s">
        <v>237</v>
      </c>
      <c r="B8315" s="159"/>
      <c r="C8315" s="155" t="s">
        <v>236</v>
      </c>
      <c r="D8315" s="156" t="s">
        <v>9108</v>
      </c>
      <c r="E8315" s="156" t="s">
        <v>9243</v>
      </c>
      <c r="F8315" s="156" t="s">
        <v>325</v>
      </c>
      <c r="G8315" s="156" t="s">
        <v>2181</v>
      </c>
      <c r="H8315" s="157" t="s">
        <v>214</v>
      </c>
    </row>
    <row r="8316" hidden="1">
      <c r="A8316" s="160" t="s">
        <v>237</v>
      </c>
      <c r="B8316" s="72"/>
      <c r="C8316" s="118" t="s">
        <v>236</v>
      </c>
      <c r="D8316" s="152" t="s">
        <v>9108</v>
      </c>
      <c r="E8316" s="152" t="s">
        <v>9244</v>
      </c>
      <c r="F8316" s="152" t="s">
        <v>351</v>
      </c>
      <c r="G8316" s="152" t="s">
        <v>3913</v>
      </c>
      <c r="H8316" s="153" t="s">
        <v>215</v>
      </c>
    </row>
    <row r="8317" hidden="1">
      <c r="A8317" s="158" t="s">
        <v>237</v>
      </c>
      <c r="B8317" s="159"/>
      <c r="C8317" s="155" t="s">
        <v>236</v>
      </c>
      <c r="D8317" s="156" t="s">
        <v>9108</v>
      </c>
      <c r="E8317" s="156" t="s">
        <v>9245</v>
      </c>
      <c r="F8317" s="156" t="s">
        <v>354</v>
      </c>
      <c r="G8317" s="156" t="s">
        <v>2352</v>
      </c>
      <c r="H8317" s="157" t="s">
        <v>216</v>
      </c>
    </row>
    <row r="8318" hidden="1">
      <c r="A8318" s="151" t="s">
        <v>204</v>
      </c>
      <c r="B8318" s="118" t="s">
        <v>205</v>
      </c>
      <c r="C8318" s="118" t="s">
        <v>206</v>
      </c>
      <c r="D8318" s="152" t="s">
        <v>9246</v>
      </c>
      <c r="E8318" s="152" t="s">
        <v>9247</v>
      </c>
      <c r="F8318" s="152" t="s">
        <v>1999</v>
      </c>
      <c r="G8318" s="152" t="s">
        <v>3304</v>
      </c>
      <c r="H8318" s="153" t="s">
        <v>210</v>
      </c>
    </row>
    <row r="8319" hidden="1">
      <c r="A8319" s="154" t="s">
        <v>204</v>
      </c>
      <c r="B8319" s="155" t="s">
        <v>205</v>
      </c>
      <c r="C8319" s="155" t="s">
        <v>206</v>
      </c>
      <c r="D8319" s="156" t="s">
        <v>9246</v>
      </c>
      <c r="E8319" s="156" t="s">
        <v>9248</v>
      </c>
      <c r="F8319" s="156" t="s">
        <v>532</v>
      </c>
      <c r="G8319" s="156" t="s">
        <v>4412</v>
      </c>
      <c r="H8319" s="157" t="s">
        <v>211</v>
      </c>
    </row>
    <row r="8320" hidden="1">
      <c r="A8320" s="151" t="s">
        <v>204</v>
      </c>
      <c r="B8320" s="118" t="s">
        <v>205</v>
      </c>
      <c r="C8320" s="118" t="s">
        <v>206</v>
      </c>
      <c r="D8320" s="152" t="s">
        <v>9246</v>
      </c>
      <c r="E8320" s="152" t="s">
        <v>9249</v>
      </c>
      <c r="F8320" s="152" t="s">
        <v>677</v>
      </c>
      <c r="G8320" s="152" t="s">
        <v>1788</v>
      </c>
      <c r="H8320" s="153" t="s">
        <v>212</v>
      </c>
    </row>
    <row r="8321" hidden="1">
      <c r="A8321" s="154" t="s">
        <v>204</v>
      </c>
      <c r="B8321" s="155" t="s">
        <v>205</v>
      </c>
      <c r="C8321" s="155" t="s">
        <v>206</v>
      </c>
      <c r="D8321" s="156" t="s">
        <v>9246</v>
      </c>
      <c r="E8321" s="156" t="s">
        <v>9250</v>
      </c>
      <c r="F8321" s="156" t="s">
        <v>532</v>
      </c>
      <c r="G8321" s="156" t="s">
        <v>4509</v>
      </c>
      <c r="H8321" s="157" t="s">
        <v>213</v>
      </c>
    </row>
    <row r="8322" hidden="1">
      <c r="A8322" s="151" t="s">
        <v>204</v>
      </c>
      <c r="B8322" s="118" t="s">
        <v>205</v>
      </c>
      <c r="C8322" s="118" t="s">
        <v>206</v>
      </c>
      <c r="D8322" s="152" t="s">
        <v>9246</v>
      </c>
      <c r="E8322" s="152" t="s">
        <v>9251</v>
      </c>
      <c r="F8322" s="152" t="s">
        <v>1532</v>
      </c>
      <c r="G8322" s="152" t="s">
        <v>2003</v>
      </c>
      <c r="H8322" s="153" t="s">
        <v>214</v>
      </c>
    </row>
    <row r="8323" hidden="1">
      <c r="A8323" s="154" t="s">
        <v>204</v>
      </c>
      <c r="B8323" s="155" t="s">
        <v>205</v>
      </c>
      <c r="C8323" s="155" t="s">
        <v>206</v>
      </c>
      <c r="D8323" s="156" t="s">
        <v>9246</v>
      </c>
      <c r="E8323" s="156" t="s">
        <v>9252</v>
      </c>
      <c r="F8323" s="156" t="s">
        <v>718</v>
      </c>
      <c r="G8323" s="156" t="s">
        <v>4085</v>
      </c>
      <c r="H8323" s="157" t="s">
        <v>215</v>
      </c>
    </row>
    <row r="8324" hidden="1">
      <c r="A8324" s="151" t="s">
        <v>204</v>
      </c>
      <c r="B8324" s="118" t="s">
        <v>205</v>
      </c>
      <c r="C8324" s="118" t="s">
        <v>206</v>
      </c>
      <c r="D8324" s="152" t="s">
        <v>9246</v>
      </c>
      <c r="E8324" s="152" t="s">
        <v>9253</v>
      </c>
      <c r="F8324" s="152" t="s">
        <v>1532</v>
      </c>
      <c r="G8324" s="152" t="s">
        <v>4178</v>
      </c>
      <c r="H8324" s="153" t="s">
        <v>216</v>
      </c>
    </row>
    <row r="8325" hidden="1">
      <c r="A8325" s="154" t="s">
        <v>217</v>
      </c>
      <c r="B8325" s="155" t="s">
        <v>191</v>
      </c>
      <c r="C8325" s="155" t="s">
        <v>206</v>
      </c>
      <c r="D8325" s="156" t="s">
        <v>9246</v>
      </c>
      <c r="E8325" s="156" t="s">
        <v>9254</v>
      </c>
      <c r="F8325" s="156" t="s">
        <v>423</v>
      </c>
      <c r="G8325" s="156" t="s">
        <v>3539</v>
      </c>
      <c r="H8325" s="157" t="s">
        <v>210</v>
      </c>
    </row>
    <row r="8326" hidden="1">
      <c r="A8326" s="151" t="s">
        <v>217</v>
      </c>
      <c r="B8326" s="118" t="s">
        <v>191</v>
      </c>
      <c r="C8326" s="118" t="s">
        <v>206</v>
      </c>
      <c r="D8326" s="152" t="s">
        <v>9246</v>
      </c>
      <c r="E8326" s="152" t="s">
        <v>9255</v>
      </c>
      <c r="F8326" s="152" t="s">
        <v>354</v>
      </c>
      <c r="G8326" s="152" t="s">
        <v>4268</v>
      </c>
      <c r="H8326" s="153" t="s">
        <v>211</v>
      </c>
    </row>
    <row r="8327" hidden="1">
      <c r="A8327" s="154" t="s">
        <v>217</v>
      </c>
      <c r="B8327" s="155" t="s">
        <v>191</v>
      </c>
      <c r="C8327" s="155" t="s">
        <v>206</v>
      </c>
      <c r="D8327" s="156" t="s">
        <v>9246</v>
      </c>
      <c r="E8327" s="156" t="s">
        <v>9256</v>
      </c>
      <c r="F8327" s="156" t="s">
        <v>354</v>
      </c>
      <c r="G8327" s="156" t="s">
        <v>3930</v>
      </c>
      <c r="H8327" s="157" t="s">
        <v>212</v>
      </c>
    </row>
    <row r="8328" hidden="1">
      <c r="A8328" s="151" t="s">
        <v>217</v>
      </c>
      <c r="B8328" s="118" t="s">
        <v>191</v>
      </c>
      <c r="C8328" s="118" t="s">
        <v>206</v>
      </c>
      <c r="D8328" s="152" t="s">
        <v>9246</v>
      </c>
      <c r="E8328" s="152" t="s">
        <v>9257</v>
      </c>
      <c r="F8328" s="152" t="s">
        <v>354</v>
      </c>
      <c r="G8328" s="152" t="s">
        <v>3930</v>
      </c>
      <c r="H8328" s="153" t="s">
        <v>213</v>
      </c>
    </row>
    <row r="8329" hidden="1">
      <c r="A8329" s="154" t="s">
        <v>217</v>
      </c>
      <c r="B8329" s="155" t="s">
        <v>191</v>
      </c>
      <c r="C8329" s="155" t="s">
        <v>206</v>
      </c>
      <c r="D8329" s="156" t="s">
        <v>9246</v>
      </c>
      <c r="E8329" s="156" t="s">
        <v>9258</v>
      </c>
      <c r="F8329" s="156" t="s">
        <v>478</v>
      </c>
      <c r="G8329" s="156" t="s">
        <v>3440</v>
      </c>
      <c r="H8329" s="157" t="s">
        <v>214</v>
      </c>
    </row>
    <row r="8330" hidden="1">
      <c r="A8330" s="151" t="s">
        <v>217</v>
      </c>
      <c r="B8330" s="118" t="s">
        <v>191</v>
      </c>
      <c r="C8330" s="118" t="s">
        <v>206</v>
      </c>
      <c r="D8330" s="152" t="s">
        <v>9246</v>
      </c>
      <c r="E8330" s="152" t="s">
        <v>9259</v>
      </c>
      <c r="F8330" s="152" t="s">
        <v>478</v>
      </c>
      <c r="G8330" s="152" t="s">
        <v>3640</v>
      </c>
      <c r="H8330" s="153" t="s">
        <v>215</v>
      </c>
    </row>
    <row r="8331" hidden="1">
      <c r="A8331" s="154" t="s">
        <v>217</v>
      </c>
      <c r="B8331" s="155" t="s">
        <v>191</v>
      </c>
      <c r="C8331" s="155" t="s">
        <v>206</v>
      </c>
      <c r="D8331" s="156" t="s">
        <v>9246</v>
      </c>
      <c r="E8331" s="156" t="s">
        <v>9260</v>
      </c>
      <c r="F8331" s="156" t="s">
        <v>478</v>
      </c>
      <c r="G8331" s="156" t="s">
        <v>5084</v>
      </c>
      <c r="H8331" s="157" t="s">
        <v>216</v>
      </c>
    </row>
    <row r="8332" hidden="1">
      <c r="A8332" s="151" t="s">
        <v>218</v>
      </c>
      <c r="B8332" s="118" t="s">
        <v>219</v>
      </c>
      <c r="C8332" s="118" t="s">
        <v>206</v>
      </c>
      <c r="D8332" s="152" t="s">
        <v>9246</v>
      </c>
      <c r="E8332" s="152" t="s">
        <v>9261</v>
      </c>
      <c r="F8332" s="152" t="s">
        <v>348</v>
      </c>
      <c r="G8332" s="152" t="s">
        <v>1793</v>
      </c>
      <c r="H8332" s="153" t="s">
        <v>210</v>
      </c>
    </row>
    <row r="8333" hidden="1">
      <c r="A8333" s="154" t="s">
        <v>218</v>
      </c>
      <c r="B8333" s="155" t="s">
        <v>219</v>
      </c>
      <c r="C8333" s="155" t="s">
        <v>206</v>
      </c>
      <c r="D8333" s="156" t="s">
        <v>9246</v>
      </c>
      <c r="E8333" s="156" t="s">
        <v>9262</v>
      </c>
      <c r="F8333" s="156" t="s">
        <v>766</v>
      </c>
      <c r="G8333" s="156" t="s">
        <v>4317</v>
      </c>
      <c r="H8333" s="157" t="s">
        <v>211</v>
      </c>
    </row>
    <row r="8334" hidden="1">
      <c r="A8334" s="151" t="s">
        <v>218</v>
      </c>
      <c r="B8334" s="118" t="s">
        <v>219</v>
      </c>
      <c r="C8334" s="118" t="s">
        <v>206</v>
      </c>
      <c r="D8334" s="152" t="s">
        <v>9246</v>
      </c>
      <c r="E8334" s="152" t="s">
        <v>9263</v>
      </c>
      <c r="F8334" s="152" t="s">
        <v>448</v>
      </c>
      <c r="G8334" s="152" t="s">
        <v>3298</v>
      </c>
      <c r="H8334" s="153" t="s">
        <v>212</v>
      </c>
    </row>
    <row r="8335" hidden="1">
      <c r="A8335" s="154" t="s">
        <v>218</v>
      </c>
      <c r="B8335" s="155" t="s">
        <v>219</v>
      </c>
      <c r="C8335" s="155" t="s">
        <v>206</v>
      </c>
      <c r="D8335" s="156" t="s">
        <v>9246</v>
      </c>
      <c r="E8335" s="156" t="s">
        <v>9264</v>
      </c>
      <c r="F8335" s="156" t="s">
        <v>3218</v>
      </c>
      <c r="G8335" s="156" t="s">
        <v>3838</v>
      </c>
      <c r="H8335" s="157" t="s">
        <v>213</v>
      </c>
    </row>
    <row r="8336" hidden="1">
      <c r="A8336" s="151" t="s">
        <v>218</v>
      </c>
      <c r="B8336" s="118" t="s">
        <v>219</v>
      </c>
      <c r="C8336" s="118" t="s">
        <v>206</v>
      </c>
      <c r="D8336" s="152" t="s">
        <v>9246</v>
      </c>
      <c r="E8336" s="152" t="s">
        <v>9265</v>
      </c>
      <c r="F8336" s="152" t="s">
        <v>673</v>
      </c>
      <c r="G8336" s="152" t="s">
        <v>4002</v>
      </c>
      <c r="H8336" s="153" t="s">
        <v>214</v>
      </c>
    </row>
    <row r="8337" hidden="1">
      <c r="A8337" s="154" t="s">
        <v>218</v>
      </c>
      <c r="B8337" s="155" t="s">
        <v>219</v>
      </c>
      <c r="C8337" s="155" t="s">
        <v>206</v>
      </c>
      <c r="D8337" s="156" t="s">
        <v>9246</v>
      </c>
      <c r="E8337" s="156" t="s">
        <v>9266</v>
      </c>
      <c r="F8337" s="156" t="s">
        <v>766</v>
      </c>
      <c r="G8337" s="156" t="s">
        <v>4194</v>
      </c>
      <c r="H8337" s="157" t="s">
        <v>215</v>
      </c>
    </row>
    <row r="8338" hidden="1">
      <c r="A8338" s="151" t="s">
        <v>218</v>
      </c>
      <c r="B8338" s="118" t="s">
        <v>219</v>
      </c>
      <c r="C8338" s="118" t="s">
        <v>206</v>
      </c>
      <c r="D8338" s="152" t="s">
        <v>9246</v>
      </c>
      <c r="E8338" s="152" t="s">
        <v>9267</v>
      </c>
      <c r="F8338" s="152" t="s">
        <v>629</v>
      </c>
      <c r="G8338" s="152" t="s">
        <v>3838</v>
      </c>
      <c r="H8338" s="153" t="s">
        <v>216</v>
      </c>
    </row>
    <row r="8339" hidden="1">
      <c r="A8339" s="154" t="s">
        <v>220</v>
      </c>
      <c r="B8339" s="155" t="s">
        <v>190</v>
      </c>
      <c r="C8339" s="155" t="s">
        <v>206</v>
      </c>
      <c r="D8339" s="156" t="s">
        <v>9246</v>
      </c>
      <c r="E8339" s="156" t="s">
        <v>9268</v>
      </c>
      <c r="F8339" s="156" t="s">
        <v>1999</v>
      </c>
      <c r="G8339" s="156" t="s">
        <v>9269</v>
      </c>
      <c r="H8339" s="157" t="s">
        <v>210</v>
      </c>
    </row>
    <row r="8340" hidden="1">
      <c r="A8340" s="151" t="s">
        <v>220</v>
      </c>
      <c r="B8340" s="118" t="s">
        <v>190</v>
      </c>
      <c r="C8340" s="118" t="s">
        <v>206</v>
      </c>
      <c r="D8340" s="152" t="s">
        <v>9246</v>
      </c>
      <c r="E8340" s="152" t="s">
        <v>9270</v>
      </c>
      <c r="F8340" s="152" t="s">
        <v>1530</v>
      </c>
      <c r="G8340" s="152" t="s">
        <v>3436</v>
      </c>
      <c r="H8340" s="153" t="s">
        <v>211</v>
      </c>
    </row>
    <row r="8341" hidden="1">
      <c r="A8341" s="154" t="s">
        <v>220</v>
      </c>
      <c r="B8341" s="155" t="s">
        <v>190</v>
      </c>
      <c r="C8341" s="155" t="s">
        <v>206</v>
      </c>
      <c r="D8341" s="156" t="s">
        <v>9246</v>
      </c>
      <c r="E8341" s="156" t="s">
        <v>9271</v>
      </c>
      <c r="F8341" s="156" t="s">
        <v>448</v>
      </c>
      <c r="G8341" s="156" t="s">
        <v>9272</v>
      </c>
      <c r="H8341" s="157" t="s">
        <v>212</v>
      </c>
    </row>
    <row r="8342" hidden="1">
      <c r="A8342" s="151" t="s">
        <v>220</v>
      </c>
      <c r="B8342" s="118" t="s">
        <v>190</v>
      </c>
      <c r="C8342" s="118" t="s">
        <v>206</v>
      </c>
      <c r="D8342" s="152" t="s">
        <v>9246</v>
      </c>
      <c r="E8342" s="152" t="s">
        <v>9273</v>
      </c>
      <c r="F8342" s="152" t="s">
        <v>3218</v>
      </c>
      <c r="G8342" s="152" t="s">
        <v>9210</v>
      </c>
      <c r="H8342" s="153" t="s">
        <v>213</v>
      </c>
    </row>
    <row r="8343" hidden="1">
      <c r="A8343" s="154" t="s">
        <v>220</v>
      </c>
      <c r="B8343" s="155" t="s">
        <v>190</v>
      </c>
      <c r="C8343" s="155" t="s">
        <v>206</v>
      </c>
      <c r="D8343" s="156" t="s">
        <v>9246</v>
      </c>
      <c r="E8343" s="156" t="s">
        <v>9274</v>
      </c>
      <c r="F8343" s="156" t="s">
        <v>478</v>
      </c>
      <c r="G8343" s="156" t="s">
        <v>7470</v>
      </c>
      <c r="H8343" s="157" t="s">
        <v>214</v>
      </c>
    </row>
    <row r="8344" hidden="1">
      <c r="A8344" s="151" t="s">
        <v>220</v>
      </c>
      <c r="B8344" s="118" t="s">
        <v>190</v>
      </c>
      <c r="C8344" s="118" t="s">
        <v>206</v>
      </c>
      <c r="D8344" s="152" t="s">
        <v>9246</v>
      </c>
      <c r="E8344" s="152" t="s">
        <v>9275</v>
      </c>
      <c r="F8344" s="152" t="s">
        <v>348</v>
      </c>
      <c r="G8344" s="152" t="s">
        <v>9276</v>
      </c>
      <c r="H8344" s="153" t="s">
        <v>215</v>
      </c>
    </row>
    <row r="8345" hidden="1">
      <c r="A8345" s="154" t="s">
        <v>220</v>
      </c>
      <c r="B8345" s="155" t="s">
        <v>190</v>
      </c>
      <c r="C8345" s="155" t="s">
        <v>206</v>
      </c>
      <c r="D8345" s="156" t="s">
        <v>9246</v>
      </c>
      <c r="E8345" s="156" t="s">
        <v>9277</v>
      </c>
      <c r="F8345" s="156" t="s">
        <v>673</v>
      </c>
      <c r="G8345" s="156" t="s">
        <v>9278</v>
      </c>
      <c r="H8345" s="157" t="s">
        <v>216</v>
      </c>
    </row>
    <row r="8346" hidden="1">
      <c r="A8346" s="151" t="s">
        <v>221</v>
      </c>
      <c r="B8346" s="118" t="s">
        <v>189</v>
      </c>
      <c r="C8346" s="118" t="s">
        <v>206</v>
      </c>
      <c r="D8346" s="152" t="s">
        <v>9246</v>
      </c>
      <c r="E8346" s="152" t="s">
        <v>9279</v>
      </c>
      <c r="F8346" s="152" t="s">
        <v>691</v>
      </c>
      <c r="G8346" s="152" t="s">
        <v>3449</v>
      </c>
      <c r="H8346" s="153" t="s">
        <v>210</v>
      </c>
    </row>
    <row r="8347" hidden="1">
      <c r="A8347" s="154" t="s">
        <v>221</v>
      </c>
      <c r="B8347" s="155" t="s">
        <v>189</v>
      </c>
      <c r="C8347" s="155" t="s">
        <v>206</v>
      </c>
      <c r="D8347" s="156" t="s">
        <v>9246</v>
      </c>
      <c r="E8347" s="156" t="s">
        <v>9280</v>
      </c>
      <c r="F8347" s="156" t="s">
        <v>448</v>
      </c>
      <c r="G8347" s="156" t="s">
        <v>3003</v>
      </c>
      <c r="H8347" s="157" t="s">
        <v>211</v>
      </c>
    </row>
    <row r="8348" hidden="1">
      <c r="A8348" s="151" t="s">
        <v>221</v>
      </c>
      <c r="B8348" s="118" t="s">
        <v>189</v>
      </c>
      <c r="C8348" s="118" t="s">
        <v>206</v>
      </c>
      <c r="D8348" s="152" t="s">
        <v>9246</v>
      </c>
      <c r="E8348" s="152" t="s">
        <v>9281</v>
      </c>
      <c r="F8348" s="152" t="s">
        <v>329</v>
      </c>
      <c r="G8348" s="152" t="s">
        <v>3595</v>
      </c>
      <c r="H8348" s="153" t="s">
        <v>212</v>
      </c>
    </row>
    <row r="8349" hidden="1">
      <c r="A8349" s="154" t="s">
        <v>221</v>
      </c>
      <c r="B8349" s="155" t="s">
        <v>189</v>
      </c>
      <c r="C8349" s="155" t="s">
        <v>206</v>
      </c>
      <c r="D8349" s="156" t="s">
        <v>9246</v>
      </c>
      <c r="E8349" s="156" t="s">
        <v>9282</v>
      </c>
      <c r="F8349" s="156" t="s">
        <v>1931</v>
      </c>
      <c r="G8349" s="156" t="s">
        <v>2354</v>
      </c>
      <c r="H8349" s="157" t="s">
        <v>213</v>
      </c>
    </row>
    <row r="8350" hidden="1">
      <c r="A8350" s="151" t="s">
        <v>221</v>
      </c>
      <c r="B8350" s="118" t="s">
        <v>189</v>
      </c>
      <c r="C8350" s="118" t="s">
        <v>206</v>
      </c>
      <c r="D8350" s="152" t="s">
        <v>9246</v>
      </c>
      <c r="E8350" s="152" t="s">
        <v>9283</v>
      </c>
      <c r="F8350" s="152" t="s">
        <v>763</v>
      </c>
      <c r="G8350" s="152" t="s">
        <v>3380</v>
      </c>
      <c r="H8350" s="153" t="s">
        <v>214</v>
      </c>
    </row>
    <row r="8351" hidden="1">
      <c r="A8351" s="154" t="s">
        <v>221</v>
      </c>
      <c r="B8351" s="155" t="s">
        <v>189</v>
      </c>
      <c r="C8351" s="155" t="s">
        <v>206</v>
      </c>
      <c r="D8351" s="156" t="s">
        <v>9246</v>
      </c>
      <c r="E8351" s="156" t="s">
        <v>9284</v>
      </c>
      <c r="F8351" s="156" t="s">
        <v>423</v>
      </c>
      <c r="G8351" s="156" t="s">
        <v>1776</v>
      </c>
      <c r="H8351" s="157" t="s">
        <v>215</v>
      </c>
    </row>
    <row r="8352" hidden="1">
      <c r="A8352" s="151" t="s">
        <v>221</v>
      </c>
      <c r="B8352" s="118" t="s">
        <v>189</v>
      </c>
      <c r="C8352" s="118" t="s">
        <v>206</v>
      </c>
      <c r="D8352" s="152" t="s">
        <v>9246</v>
      </c>
      <c r="E8352" s="152" t="s">
        <v>9285</v>
      </c>
      <c r="F8352" s="152" t="s">
        <v>758</v>
      </c>
      <c r="G8352" s="152" t="s">
        <v>3478</v>
      </c>
      <c r="H8352" s="153" t="s">
        <v>216</v>
      </c>
    </row>
    <row r="8353" hidden="1">
      <c r="A8353" s="154" t="s">
        <v>222</v>
      </c>
      <c r="B8353" s="155" t="s">
        <v>192</v>
      </c>
      <c r="C8353" s="155" t="s">
        <v>206</v>
      </c>
      <c r="D8353" s="156" t="s">
        <v>9246</v>
      </c>
      <c r="E8353" s="156" t="s">
        <v>9286</v>
      </c>
      <c r="F8353" s="156" t="s">
        <v>2994</v>
      </c>
      <c r="G8353" s="156" t="s">
        <v>4293</v>
      </c>
      <c r="H8353" s="157" t="s">
        <v>210</v>
      </c>
    </row>
    <row r="8354" hidden="1">
      <c r="A8354" s="151" t="s">
        <v>222</v>
      </c>
      <c r="B8354" s="118" t="s">
        <v>192</v>
      </c>
      <c r="C8354" s="118" t="s">
        <v>206</v>
      </c>
      <c r="D8354" s="152" t="s">
        <v>9246</v>
      </c>
      <c r="E8354" s="152" t="s">
        <v>9287</v>
      </c>
      <c r="F8354" s="152" t="s">
        <v>673</v>
      </c>
      <c r="G8354" s="152" t="s">
        <v>4283</v>
      </c>
      <c r="H8354" s="153" t="s">
        <v>211</v>
      </c>
    </row>
    <row r="8355" hidden="1">
      <c r="A8355" s="154" t="s">
        <v>222</v>
      </c>
      <c r="B8355" s="155" t="s">
        <v>192</v>
      </c>
      <c r="C8355" s="155" t="s">
        <v>206</v>
      </c>
      <c r="D8355" s="156" t="s">
        <v>9246</v>
      </c>
      <c r="E8355" s="156" t="s">
        <v>9288</v>
      </c>
      <c r="F8355" s="156" t="s">
        <v>453</v>
      </c>
      <c r="G8355" s="156" t="s">
        <v>3989</v>
      </c>
      <c r="H8355" s="157" t="s">
        <v>212</v>
      </c>
    </row>
    <row r="8356" hidden="1">
      <c r="A8356" s="151" t="s">
        <v>222</v>
      </c>
      <c r="B8356" s="118" t="s">
        <v>192</v>
      </c>
      <c r="C8356" s="118" t="s">
        <v>206</v>
      </c>
      <c r="D8356" s="152" t="s">
        <v>9246</v>
      </c>
      <c r="E8356" s="152" t="s">
        <v>9289</v>
      </c>
      <c r="F8356" s="152" t="s">
        <v>673</v>
      </c>
      <c r="G8356" s="152" t="s">
        <v>4851</v>
      </c>
      <c r="H8356" s="153" t="s">
        <v>213</v>
      </c>
    </row>
    <row r="8357" hidden="1">
      <c r="A8357" s="154" t="s">
        <v>222</v>
      </c>
      <c r="B8357" s="155" t="s">
        <v>192</v>
      </c>
      <c r="C8357" s="155" t="s">
        <v>206</v>
      </c>
      <c r="D8357" s="156" t="s">
        <v>9246</v>
      </c>
      <c r="E8357" s="156" t="s">
        <v>9290</v>
      </c>
      <c r="F8357" s="156" t="s">
        <v>760</v>
      </c>
      <c r="G8357" s="156" t="s">
        <v>3595</v>
      </c>
      <c r="H8357" s="157" t="s">
        <v>214</v>
      </c>
    </row>
    <row r="8358" hidden="1">
      <c r="A8358" s="151" t="s">
        <v>222</v>
      </c>
      <c r="B8358" s="118" t="s">
        <v>192</v>
      </c>
      <c r="C8358" s="118" t="s">
        <v>206</v>
      </c>
      <c r="D8358" s="152" t="s">
        <v>9246</v>
      </c>
      <c r="E8358" s="152" t="s">
        <v>9291</v>
      </c>
      <c r="F8358" s="152" t="s">
        <v>423</v>
      </c>
      <c r="G8358" s="152" t="s">
        <v>4060</v>
      </c>
      <c r="H8358" s="153" t="s">
        <v>215</v>
      </c>
    </row>
    <row r="8359" hidden="1">
      <c r="A8359" s="154" t="s">
        <v>222</v>
      </c>
      <c r="B8359" s="155" t="s">
        <v>192</v>
      </c>
      <c r="C8359" s="155" t="s">
        <v>206</v>
      </c>
      <c r="D8359" s="156" t="s">
        <v>9246</v>
      </c>
      <c r="E8359" s="156" t="s">
        <v>9292</v>
      </c>
      <c r="F8359" s="156" t="s">
        <v>448</v>
      </c>
      <c r="G8359" s="156" t="s">
        <v>4283</v>
      </c>
      <c r="H8359" s="157" t="s">
        <v>216</v>
      </c>
    </row>
    <row r="8360" hidden="1">
      <c r="A8360" s="151" t="s">
        <v>223</v>
      </c>
      <c r="B8360" s="118" t="s">
        <v>144</v>
      </c>
      <c r="C8360" s="118" t="s">
        <v>206</v>
      </c>
      <c r="D8360" s="152" t="s">
        <v>9246</v>
      </c>
      <c r="E8360" s="152" t="s">
        <v>9293</v>
      </c>
      <c r="F8360" s="152" t="s">
        <v>3346</v>
      </c>
      <c r="G8360" s="152" t="s">
        <v>9294</v>
      </c>
      <c r="H8360" s="153" t="s">
        <v>210</v>
      </c>
    </row>
    <row r="8361" hidden="1">
      <c r="A8361" s="154" t="s">
        <v>223</v>
      </c>
      <c r="B8361" s="155" t="s">
        <v>144</v>
      </c>
      <c r="C8361" s="155" t="s">
        <v>206</v>
      </c>
      <c r="D8361" s="156" t="s">
        <v>9246</v>
      </c>
      <c r="E8361" s="156" t="s">
        <v>9295</v>
      </c>
      <c r="F8361" s="156" t="s">
        <v>3240</v>
      </c>
      <c r="G8361" s="156" t="s">
        <v>4952</v>
      </c>
      <c r="H8361" s="157" t="s">
        <v>211</v>
      </c>
    </row>
    <row r="8362" hidden="1">
      <c r="A8362" s="151" t="s">
        <v>223</v>
      </c>
      <c r="B8362" s="118" t="s">
        <v>144</v>
      </c>
      <c r="C8362" s="118" t="s">
        <v>206</v>
      </c>
      <c r="D8362" s="152" t="s">
        <v>9246</v>
      </c>
      <c r="E8362" s="152" t="s">
        <v>9296</v>
      </c>
      <c r="F8362" s="152" t="s">
        <v>758</v>
      </c>
      <c r="G8362" s="152" t="s">
        <v>4709</v>
      </c>
      <c r="H8362" s="153" t="s">
        <v>212</v>
      </c>
    </row>
    <row r="8363" hidden="1">
      <c r="A8363" s="154" t="s">
        <v>223</v>
      </c>
      <c r="B8363" s="155" t="s">
        <v>144</v>
      </c>
      <c r="C8363" s="155" t="s">
        <v>206</v>
      </c>
      <c r="D8363" s="156" t="s">
        <v>9246</v>
      </c>
      <c r="E8363" s="156" t="s">
        <v>9297</v>
      </c>
      <c r="F8363" s="156" t="s">
        <v>3359</v>
      </c>
      <c r="G8363" s="156" t="s">
        <v>4367</v>
      </c>
      <c r="H8363" s="157" t="s">
        <v>213</v>
      </c>
    </row>
    <row r="8364" hidden="1">
      <c r="A8364" s="151" t="s">
        <v>223</v>
      </c>
      <c r="B8364" s="118" t="s">
        <v>144</v>
      </c>
      <c r="C8364" s="118" t="s">
        <v>206</v>
      </c>
      <c r="D8364" s="152" t="s">
        <v>9246</v>
      </c>
      <c r="E8364" s="152" t="s">
        <v>9298</v>
      </c>
      <c r="F8364" s="152" t="s">
        <v>2607</v>
      </c>
      <c r="G8364" s="152" t="s">
        <v>4079</v>
      </c>
      <c r="H8364" s="153" t="s">
        <v>214</v>
      </c>
    </row>
    <row r="8365" hidden="1">
      <c r="A8365" s="154" t="s">
        <v>223</v>
      </c>
      <c r="B8365" s="155" t="s">
        <v>144</v>
      </c>
      <c r="C8365" s="155" t="s">
        <v>206</v>
      </c>
      <c r="D8365" s="156" t="s">
        <v>9246</v>
      </c>
      <c r="E8365" s="156" t="s">
        <v>9299</v>
      </c>
      <c r="F8365" s="156" t="s">
        <v>1929</v>
      </c>
      <c r="G8365" s="156" t="s">
        <v>3599</v>
      </c>
      <c r="H8365" s="157" t="s">
        <v>215</v>
      </c>
    </row>
    <row r="8366" hidden="1">
      <c r="A8366" s="151" t="s">
        <v>223</v>
      </c>
      <c r="B8366" s="118" t="s">
        <v>144</v>
      </c>
      <c r="C8366" s="118" t="s">
        <v>206</v>
      </c>
      <c r="D8366" s="152" t="s">
        <v>9246</v>
      </c>
      <c r="E8366" s="152" t="s">
        <v>9300</v>
      </c>
      <c r="F8366" s="152" t="s">
        <v>3340</v>
      </c>
      <c r="G8366" s="152" t="s">
        <v>8269</v>
      </c>
      <c r="H8366" s="153" t="s">
        <v>216</v>
      </c>
    </row>
    <row r="8367" hidden="1">
      <c r="A8367" s="154" t="s">
        <v>224</v>
      </c>
      <c r="B8367" s="155" t="s">
        <v>170</v>
      </c>
      <c r="C8367" s="155" t="s">
        <v>206</v>
      </c>
      <c r="D8367" s="156" t="s">
        <v>9246</v>
      </c>
      <c r="E8367" s="156" t="s">
        <v>9301</v>
      </c>
      <c r="F8367" s="156" t="s">
        <v>339</v>
      </c>
      <c r="G8367" s="156" t="s">
        <v>3996</v>
      </c>
      <c r="H8367" s="157" t="s">
        <v>210</v>
      </c>
    </row>
    <row r="8368" hidden="1">
      <c r="A8368" s="151" t="s">
        <v>224</v>
      </c>
      <c r="B8368" s="118" t="s">
        <v>170</v>
      </c>
      <c r="C8368" s="118" t="s">
        <v>206</v>
      </c>
      <c r="D8368" s="152" t="s">
        <v>9246</v>
      </c>
      <c r="E8368" s="152" t="s">
        <v>9302</v>
      </c>
      <c r="F8368" s="152" t="s">
        <v>673</v>
      </c>
      <c r="G8368" s="152" t="s">
        <v>3696</v>
      </c>
      <c r="H8368" s="153" t="s">
        <v>211</v>
      </c>
    </row>
    <row r="8369" hidden="1">
      <c r="A8369" s="154" t="s">
        <v>224</v>
      </c>
      <c r="B8369" s="155" t="s">
        <v>170</v>
      </c>
      <c r="C8369" s="155" t="s">
        <v>206</v>
      </c>
      <c r="D8369" s="156" t="s">
        <v>9246</v>
      </c>
      <c r="E8369" s="156" t="s">
        <v>9303</v>
      </c>
      <c r="F8369" s="156" t="s">
        <v>629</v>
      </c>
      <c r="G8369" s="156" t="s">
        <v>3636</v>
      </c>
      <c r="H8369" s="157" t="s">
        <v>212</v>
      </c>
    </row>
    <row r="8370" hidden="1">
      <c r="A8370" s="151" t="s">
        <v>224</v>
      </c>
      <c r="B8370" s="118" t="s">
        <v>170</v>
      </c>
      <c r="C8370" s="118" t="s">
        <v>206</v>
      </c>
      <c r="D8370" s="152" t="s">
        <v>9246</v>
      </c>
      <c r="E8370" s="152" t="s">
        <v>9304</v>
      </c>
      <c r="F8370" s="152" t="s">
        <v>718</v>
      </c>
      <c r="G8370" s="152" t="s">
        <v>1997</v>
      </c>
      <c r="H8370" s="153" t="s">
        <v>213</v>
      </c>
    </row>
    <row r="8371" hidden="1">
      <c r="A8371" s="154" t="s">
        <v>224</v>
      </c>
      <c r="B8371" s="155" t="s">
        <v>170</v>
      </c>
      <c r="C8371" s="155" t="s">
        <v>206</v>
      </c>
      <c r="D8371" s="156" t="s">
        <v>9246</v>
      </c>
      <c r="E8371" s="156" t="s">
        <v>9305</v>
      </c>
      <c r="F8371" s="156" t="s">
        <v>735</v>
      </c>
      <c r="G8371" s="156" t="s">
        <v>3937</v>
      </c>
      <c r="H8371" s="157" t="s">
        <v>214</v>
      </c>
    </row>
    <row r="8372" hidden="1">
      <c r="A8372" s="151" t="s">
        <v>224</v>
      </c>
      <c r="B8372" s="118" t="s">
        <v>170</v>
      </c>
      <c r="C8372" s="118" t="s">
        <v>206</v>
      </c>
      <c r="D8372" s="152" t="s">
        <v>9246</v>
      </c>
      <c r="E8372" s="152" t="s">
        <v>9306</v>
      </c>
      <c r="F8372" s="152" t="s">
        <v>312</v>
      </c>
      <c r="G8372" s="152" t="s">
        <v>3113</v>
      </c>
      <c r="H8372" s="153" t="s">
        <v>215</v>
      </c>
    </row>
    <row r="8373" hidden="1">
      <c r="A8373" s="154" t="s">
        <v>224</v>
      </c>
      <c r="B8373" s="155" t="s">
        <v>170</v>
      </c>
      <c r="C8373" s="155" t="s">
        <v>206</v>
      </c>
      <c r="D8373" s="156" t="s">
        <v>9246</v>
      </c>
      <c r="E8373" s="156" t="s">
        <v>9307</v>
      </c>
      <c r="F8373" s="156" t="s">
        <v>312</v>
      </c>
      <c r="G8373" s="156" t="s">
        <v>3786</v>
      </c>
      <c r="H8373" s="157" t="s">
        <v>216</v>
      </c>
    </row>
    <row r="8374" hidden="1">
      <c r="A8374" s="151" t="s">
        <v>225</v>
      </c>
      <c r="B8374" s="118" t="s">
        <v>226</v>
      </c>
      <c r="C8374" s="118" t="s">
        <v>206</v>
      </c>
      <c r="D8374" s="152" t="s">
        <v>9246</v>
      </c>
      <c r="E8374" s="152" t="s">
        <v>9308</v>
      </c>
      <c r="F8374" s="152" t="s">
        <v>458</v>
      </c>
      <c r="G8374" s="152" t="s">
        <v>2057</v>
      </c>
      <c r="H8374" s="153" t="s">
        <v>210</v>
      </c>
    </row>
    <row r="8375" hidden="1">
      <c r="A8375" s="154" t="s">
        <v>225</v>
      </c>
      <c r="B8375" s="155" t="s">
        <v>226</v>
      </c>
      <c r="C8375" s="155" t="s">
        <v>206</v>
      </c>
      <c r="D8375" s="156" t="s">
        <v>9246</v>
      </c>
      <c r="E8375" s="156" t="s">
        <v>9309</v>
      </c>
      <c r="F8375" s="156" t="s">
        <v>458</v>
      </c>
      <c r="G8375" s="156" t="s">
        <v>1810</v>
      </c>
      <c r="H8375" s="157" t="s">
        <v>211</v>
      </c>
    </row>
    <row r="8376" hidden="1">
      <c r="A8376" s="151" t="s">
        <v>225</v>
      </c>
      <c r="B8376" s="118" t="s">
        <v>226</v>
      </c>
      <c r="C8376" s="118" t="s">
        <v>206</v>
      </c>
      <c r="D8376" s="152" t="s">
        <v>9246</v>
      </c>
      <c r="E8376" s="152" t="s">
        <v>9310</v>
      </c>
      <c r="F8376" s="152" t="s">
        <v>357</v>
      </c>
      <c r="G8376" s="152" t="s">
        <v>2925</v>
      </c>
      <c r="H8376" s="153" t="s">
        <v>212</v>
      </c>
    </row>
    <row r="8377" hidden="1">
      <c r="A8377" s="154" t="s">
        <v>225</v>
      </c>
      <c r="B8377" s="155" t="s">
        <v>226</v>
      </c>
      <c r="C8377" s="155" t="s">
        <v>206</v>
      </c>
      <c r="D8377" s="156" t="s">
        <v>9246</v>
      </c>
      <c r="E8377" s="156" t="s">
        <v>9311</v>
      </c>
      <c r="F8377" s="156" t="s">
        <v>259</v>
      </c>
      <c r="G8377" s="156" t="s">
        <v>3001</v>
      </c>
      <c r="H8377" s="157" t="s">
        <v>213</v>
      </c>
    </row>
    <row r="8378" hidden="1">
      <c r="A8378" s="151" t="s">
        <v>225</v>
      </c>
      <c r="B8378" s="118" t="s">
        <v>226</v>
      </c>
      <c r="C8378" s="118" t="s">
        <v>206</v>
      </c>
      <c r="D8378" s="152" t="s">
        <v>9246</v>
      </c>
      <c r="E8378" s="152" t="s">
        <v>9312</v>
      </c>
      <c r="F8378" s="152" t="s">
        <v>262</v>
      </c>
      <c r="G8378" s="152" t="s">
        <v>2557</v>
      </c>
      <c r="H8378" s="153" t="s">
        <v>214</v>
      </c>
    </row>
    <row r="8379" hidden="1">
      <c r="A8379" s="154" t="s">
        <v>225</v>
      </c>
      <c r="B8379" s="155" t="s">
        <v>226</v>
      </c>
      <c r="C8379" s="155" t="s">
        <v>206</v>
      </c>
      <c r="D8379" s="156" t="s">
        <v>9246</v>
      </c>
      <c r="E8379" s="156" t="s">
        <v>9313</v>
      </c>
      <c r="F8379" s="156" t="s">
        <v>262</v>
      </c>
      <c r="G8379" s="156" t="s">
        <v>2688</v>
      </c>
      <c r="H8379" s="157" t="s">
        <v>215</v>
      </c>
    </row>
    <row r="8380" hidden="1">
      <c r="A8380" s="151" t="s">
        <v>225</v>
      </c>
      <c r="B8380" s="118" t="s">
        <v>226</v>
      </c>
      <c r="C8380" s="118" t="s">
        <v>206</v>
      </c>
      <c r="D8380" s="152" t="s">
        <v>9246</v>
      </c>
      <c r="E8380" s="152" t="s">
        <v>9314</v>
      </c>
      <c r="F8380" s="152" t="s">
        <v>298</v>
      </c>
      <c r="G8380" s="152" t="s">
        <v>2398</v>
      </c>
      <c r="H8380" s="153" t="s">
        <v>216</v>
      </c>
    </row>
    <row r="8381" hidden="1">
      <c r="A8381" s="154" t="s">
        <v>227</v>
      </c>
      <c r="B8381" s="155" t="s">
        <v>195</v>
      </c>
      <c r="C8381" s="155" t="s">
        <v>206</v>
      </c>
      <c r="D8381" s="156" t="s">
        <v>9246</v>
      </c>
      <c r="E8381" s="156" t="s">
        <v>9315</v>
      </c>
      <c r="F8381" s="156" t="s">
        <v>532</v>
      </c>
      <c r="G8381" s="156" t="s">
        <v>3939</v>
      </c>
      <c r="H8381" s="157" t="s">
        <v>210</v>
      </c>
    </row>
    <row r="8382" hidden="1">
      <c r="A8382" s="151" t="s">
        <v>227</v>
      </c>
      <c r="B8382" s="118" t="s">
        <v>195</v>
      </c>
      <c r="C8382" s="118" t="s">
        <v>206</v>
      </c>
      <c r="D8382" s="152" t="s">
        <v>9246</v>
      </c>
      <c r="E8382" s="152" t="s">
        <v>9316</v>
      </c>
      <c r="F8382" s="152" t="s">
        <v>450</v>
      </c>
      <c r="G8382" s="152" t="s">
        <v>3815</v>
      </c>
      <c r="H8382" s="153" t="s">
        <v>211</v>
      </c>
    </row>
    <row r="8383" hidden="1">
      <c r="A8383" s="154" t="s">
        <v>227</v>
      </c>
      <c r="B8383" s="155" t="s">
        <v>195</v>
      </c>
      <c r="C8383" s="155" t="s">
        <v>206</v>
      </c>
      <c r="D8383" s="156" t="s">
        <v>9246</v>
      </c>
      <c r="E8383" s="156" t="s">
        <v>9317</v>
      </c>
      <c r="F8383" s="156" t="s">
        <v>325</v>
      </c>
      <c r="G8383" s="156" t="s">
        <v>3203</v>
      </c>
      <c r="H8383" s="157" t="s">
        <v>212</v>
      </c>
    </row>
    <row r="8384" hidden="1">
      <c r="A8384" s="151" t="s">
        <v>227</v>
      </c>
      <c r="B8384" s="118" t="s">
        <v>195</v>
      </c>
      <c r="C8384" s="118" t="s">
        <v>206</v>
      </c>
      <c r="D8384" s="152" t="s">
        <v>9246</v>
      </c>
      <c r="E8384" s="152" t="s">
        <v>9318</v>
      </c>
      <c r="F8384" s="152" t="s">
        <v>314</v>
      </c>
      <c r="G8384" s="152" t="s">
        <v>4502</v>
      </c>
      <c r="H8384" s="153" t="s">
        <v>213</v>
      </c>
    </row>
    <row r="8385" hidden="1">
      <c r="A8385" s="154" t="s">
        <v>227</v>
      </c>
      <c r="B8385" s="155" t="s">
        <v>195</v>
      </c>
      <c r="C8385" s="155" t="s">
        <v>206</v>
      </c>
      <c r="D8385" s="156" t="s">
        <v>9246</v>
      </c>
      <c r="E8385" s="156" t="s">
        <v>9319</v>
      </c>
      <c r="F8385" s="156" t="s">
        <v>725</v>
      </c>
      <c r="G8385" s="156" t="s">
        <v>4194</v>
      </c>
      <c r="H8385" s="157" t="s">
        <v>214</v>
      </c>
    </row>
    <row r="8386" hidden="1">
      <c r="A8386" s="151" t="s">
        <v>227</v>
      </c>
      <c r="B8386" s="118" t="s">
        <v>195</v>
      </c>
      <c r="C8386" s="118" t="s">
        <v>206</v>
      </c>
      <c r="D8386" s="152" t="s">
        <v>9246</v>
      </c>
      <c r="E8386" s="152" t="s">
        <v>9320</v>
      </c>
      <c r="F8386" s="152" t="s">
        <v>483</v>
      </c>
      <c r="G8386" s="152" t="s">
        <v>2189</v>
      </c>
      <c r="H8386" s="153" t="s">
        <v>215</v>
      </c>
    </row>
    <row r="8387" hidden="1">
      <c r="A8387" s="154" t="s">
        <v>227</v>
      </c>
      <c r="B8387" s="155" t="s">
        <v>195</v>
      </c>
      <c r="C8387" s="155" t="s">
        <v>206</v>
      </c>
      <c r="D8387" s="156" t="s">
        <v>9246</v>
      </c>
      <c r="E8387" s="156" t="s">
        <v>9321</v>
      </c>
      <c r="F8387" s="156" t="s">
        <v>354</v>
      </c>
      <c r="G8387" s="156" t="s">
        <v>3917</v>
      </c>
      <c r="H8387" s="157" t="s">
        <v>216</v>
      </c>
    </row>
    <row r="8388" hidden="1">
      <c r="A8388" s="151" t="s">
        <v>228</v>
      </c>
      <c r="B8388" s="118" t="s">
        <v>138</v>
      </c>
      <c r="C8388" s="118" t="s">
        <v>206</v>
      </c>
      <c r="D8388" s="152" t="s">
        <v>9246</v>
      </c>
      <c r="E8388" s="152" t="s">
        <v>9322</v>
      </c>
      <c r="F8388" s="152" t="s">
        <v>285</v>
      </c>
      <c r="G8388" s="152" t="s">
        <v>3786</v>
      </c>
      <c r="H8388" s="153" t="s">
        <v>210</v>
      </c>
    </row>
    <row r="8389" hidden="1">
      <c r="A8389" s="154" t="s">
        <v>228</v>
      </c>
      <c r="B8389" s="155" t="s">
        <v>138</v>
      </c>
      <c r="C8389" s="155" t="s">
        <v>206</v>
      </c>
      <c r="D8389" s="156" t="s">
        <v>9246</v>
      </c>
      <c r="E8389" s="156" t="s">
        <v>9323</v>
      </c>
      <c r="F8389" s="156" t="s">
        <v>365</v>
      </c>
      <c r="G8389" s="156" t="s">
        <v>4167</v>
      </c>
      <c r="H8389" s="157" t="s">
        <v>211</v>
      </c>
    </row>
    <row r="8390" hidden="1">
      <c r="A8390" s="151" t="s">
        <v>228</v>
      </c>
      <c r="B8390" s="118" t="s">
        <v>138</v>
      </c>
      <c r="C8390" s="118" t="s">
        <v>206</v>
      </c>
      <c r="D8390" s="152" t="s">
        <v>9246</v>
      </c>
      <c r="E8390" s="152" t="s">
        <v>9324</v>
      </c>
      <c r="F8390" s="152" t="s">
        <v>262</v>
      </c>
      <c r="G8390" s="152" t="s">
        <v>2820</v>
      </c>
      <c r="H8390" s="153" t="s">
        <v>212</v>
      </c>
    </row>
    <row r="8391" hidden="1">
      <c r="A8391" s="154" t="s">
        <v>228</v>
      </c>
      <c r="B8391" s="155" t="s">
        <v>138</v>
      </c>
      <c r="C8391" s="155" t="s">
        <v>206</v>
      </c>
      <c r="D8391" s="156" t="s">
        <v>9246</v>
      </c>
      <c r="E8391" s="156" t="s">
        <v>9325</v>
      </c>
      <c r="F8391" s="156" t="s">
        <v>269</v>
      </c>
      <c r="G8391" s="156" t="s">
        <v>3410</v>
      </c>
      <c r="H8391" s="157" t="s">
        <v>213</v>
      </c>
    </row>
    <row r="8392" hidden="1">
      <c r="A8392" s="151" t="s">
        <v>228</v>
      </c>
      <c r="B8392" s="118" t="s">
        <v>138</v>
      </c>
      <c r="C8392" s="118" t="s">
        <v>206</v>
      </c>
      <c r="D8392" s="152" t="s">
        <v>9246</v>
      </c>
      <c r="E8392" s="152" t="s">
        <v>9326</v>
      </c>
      <c r="F8392" s="152" t="s">
        <v>354</v>
      </c>
      <c r="G8392" s="152" t="s">
        <v>3812</v>
      </c>
      <c r="H8392" s="153" t="s">
        <v>214</v>
      </c>
    </row>
    <row r="8393" hidden="1">
      <c r="A8393" s="154" t="s">
        <v>228</v>
      </c>
      <c r="B8393" s="155" t="s">
        <v>138</v>
      </c>
      <c r="C8393" s="155" t="s">
        <v>206</v>
      </c>
      <c r="D8393" s="156" t="s">
        <v>9246</v>
      </c>
      <c r="E8393" s="156" t="s">
        <v>9327</v>
      </c>
      <c r="F8393" s="156" t="s">
        <v>259</v>
      </c>
      <c r="G8393" s="156" t="s">
        <v>3541</v>
      </c>
      <c r="H8393" s="157" t="s">
        <v>215</v>
      </c>
    </row>
    <row r="8394" hidden="1">
      <c r="A8394" s="151" t="s">
        <v>228</v>
      </c>
      <c r="B8394" s="118" t="s">
        <v>138</v>
      </c>
      <c r="C8394" s="118" t="s">
        <v>206</v>
      </c>
      <c r="D8394" s="152" t="s">
        <v>9246</v>
      </c>
      <c r="E8394" s="152" t="s">
        <v>9328</v>
      </c>
      <c r="F8394" s="152" t="s">
        <v>365</v>
      </c>
      <c r="G8394" s="152" t="s">
        <v>3786</v>
      </c>
      <c r="H8394" s="153" t="s">
        <v>216</v>
      </c>
    </row>
    <row r="8395" hidden="1">
      <c r="A8395" s="154" t="s">
        <v>229</v>
      </c>
      <c r="B8395" s="155" t="s">
        <v>193</v>
      </c>
      <c r="C8395" s="155" t="s">
        <v>206</v>
      </c>
      <c r="D8395" s="156" t="s">
        <v>9246</v>
      </c>
      <c r="E8395" s="156" t="s">
        <v>9329</v>
      </c>
      <c r="F8395" s="156" t="s">
        <v>763</v>
      </c>
      <c r="G8395" s="156" t="s">
        <v>9330</v>
      </c>
      <c r="H8395" s="157" t="s">
        <v>210</v>
      </c>
    </row>
    <row r="8396" hidden="1">
      <c r="A8396" s="151" t="s">
        <v>229</v>
      </c>
      <c r="B8396" s="118" t="s">
        <v>193</v>
      </c>
      <c r="C8396" s="118" t="s">
        <v>206</v>
      </c>
      <c r="D8396" s="152" t="s">
        <v>9246</v>
      </c>
      <c r="E8396" s="152" t="s">
        <v>9331</v>
      </c>
      <c r="F8396" s="152" t="s">
        <v>1999</v>
      </c>
      <c r="G8396" s="152" t="s">
        <v>9056</v>
      </c>
      <c r="H8396" s="153" t="s">
        <v>211</v>
      </c>
    </row>
    <row r="8397" hidden="1">
      <c r="A8397" s="154" t="s">
        <v>229</v>
      </c>
      <c r="B8397" s="155" t="s">
        <v>193</v>
      </c>
      <c r="C8397" s="155" t="s">
        <v>206</v>
      </c>
      <c r="D8397" s="156" t="s">
        <v>9246</v>
      </c>
      <c r="E8397" s="156" t="s">
        <v>9332</v>
      </c>
      <c r="F8397" s="156" t="s">
        <v>577</v>
      </c>
      <c r="G8397" s="156" t="s">
        <v>9333</v>
      </c>
      <c r="H8397" s="157" t="s">
        <v>212</v>
      </c>
    </row>
    <row r="8398" hidden="1">
      <c r="A8398" s="151" t="s">
        <v>229</v>
      </c>
      <c r="B8398" s="118" t="s">
        <v>193</v>
      </c>
      <c r="C8398" s="118" t="s">
        <v>206</v>
      </c>
      <c r="D8398" s="152" t="s">
        <v>9246</v>
      </c>
      <c r="E8398" s="152" t="s">
        <v>9334</v>
      </c>
      <c r="F8398" s="152" t="s">
        <v>2215</v>
      </c>
      <c r="G8398" s="152" t="s">
        <v>9335</v>
      </c>
      <c r="H8398" s="153" t="s">
        <v>213</v>
      </c>
    </row>
    <row r="8399" hidden="1">
      <c r="A8399" s="154" t="s">
        <v>229</v>
      </c>
      <c r="B8399" s="155" t="s">
        <v>193</v>
      </c>
      <c r="C8399" s="155" t="s">
        <v>206</v>
      </c>
      <c r="D8399" s="156" t="s">
        <v>9246</v>
      </c>
      <c r="E8399" s="156" t="s">
        <v>9336</v>
      </c>
      <c r="F8399" s="156" t="s">
        <v>390</v>
      </c>
      <c r="G8399" s="156" t="s">
        <v>9337</v>
      </c>
      <c r="H8399" s="157" t="s">
        <v>214</v>
      </c>
    </row>
    <row r="8400" hidden="1">
      <c r="A8400" s="151" t="s">
        <v>229</v>
      </c>
      <c r="B8400" s="118" t="s">
        <v>193</v>
      </c>
      <c r="C8400" s="118" t="s">
        <v>206</v>
      </c>
      <c r="D8400" s="152" t="s">
        <v>9246</v>
      </c>
      <c r="E8400" s="152" t="s">
        <v>9338</v>
      </c>
      <c r="F8400" s="152" t="s">
        <v>348</v>
      </c>
      <c r="G8400" s="152" t="s">
        <v>9339</v>
      </c>
      <c r="H8400" s="153" t="s">
        <v>215</v>
      </c>
    </row>
    <row r="8401" hidden="1">
      <c r="A8401" s="154" t="s">
        <v>229</v>
      </c>
      <c r="B8401" s="155" t="s">
        <v>193</v>
      </c>
      <c r="C8401" s="155" t="s">
        <v>206</v>
      </c>
      <c r="D8401" s="156" t="s">
        <v>9246</v>
      </c>
      <c r="E8401" s="156" t="s">
        <v>9340</v>
      </c>
      <c r="F8401" s="156" t="s">
        <v>390</v>
      </c>
      <c r="G8401" s="156" t="s">
        <v>9341</v>
      </c>
      <c r="H8401" s="157" t="s">
        <v>216</v>
      </c>
    </row>
    <row r="8402" hidden="1">
      <c r="A8402" s="151" t="s">
        <v>230</v>
      </c>
      <c r="B8402" s="118" t="s">
        <v>194</v>
      </c>
      <c r="C8402" s="118" t="s">
        <v>206</v>
      </c>
      <c r="D8402" s="152" t="s">
        <v>9246</v>
      </c>
      <c r="E8402" s="152" t="s">
        <v>9342</v>
      </c>
      <c r="F8402" s="152" t="s">
        <v>1532</v>
      </c>
      <c r="G8402" s="152" t="s">
        <v>3905</v>
      </c>
      <c r="H8402" s="153" t="s">
        <v>210</v>
      </c>
    </row>
    <row r="8403" hidden="1">
      <c r="A8403" s="154" t="s">
        <v>230</v>
      </c>
      <c r="B8403" s="155" t="s">
        <v>194</v>
      </c>
      <c r="C8403" s="155" t="s">
        <v>206</v>
      </c>
      <c r="D8403" s="156" t="s">
        <v>9246</v>
      </c>
      <c r="E8403" s="156" t="s">
        <v>9343</v>
      </c>
      <c r="F8403" s="156" t="s">
        <v>478</v>
      </c>
      <c r="G8403" s="156" t="s">
        <v>4386</v>
      </c>
      <c r="H8403" s="157" t="s">
        <v>211</v>
      </c>
    </row>
    <row r="8404" hidden="1">
      <c r="A8404" s="151" t="s">
        <v>230</v>
      </c>
      <c r="B8404" s="118" t="s">
        <v>194</v>
      </c>
      <c r="C8404" s="118" t="s">
        <v>206</v>
      </c>
      <c r="D8404" s="152" t="s">
        <v>9246</v>
      </c>
      <c r="E8404" s="152" t="s">
        <v>9344</v>
      </c>
      <c r="F8404" s="152" t="s">
        <v>1532</v>
      </c>
      <c r="G8404" s="152" t="s">
        <v>3968</v>
      </c>
      <c r="H8404" s="153" t="s">
        <v>212</v>
      </c>
    </row>
    <row r="8405" hidden="1">
      <c r="A8405" s="154" t="s">
        <v>230</v>
      </c>
      <c r="B8405" s="155" t="s">
        <v>194</v>
      </c>
      <c r="C8405" s="155" t="s">
        <v>206</v>
      </c>
      <c r="D8405" s="156" t="s">
        <v>9246</v>
      </c>
      <c r="E8405" s="156" t="s">
        <v>9345</v>
      </c>
      <c r="F8405" s="156" t="s">
        <v>532</v>
      </c>
      <c r="G8405" s="156" t="s">
        <v>4077</v>
      </c>
      <c r="H8405" s="157" t="s">
        <v>213</v>
      </c>
    </row>
    <row r="8406" hidden="1">
      <c r="A8406" s="151" t="s">
        <v>230</v>
      </c>
      <c r="B8406" s="118" t="s">
        <v>194</v>
      </c>
      <c r="C8406" s="118" t="s">
        <v>206</v>
      </c>
      <c r="D8406" s="152" t="s">
        <v>9246</v>
      </c>
      <c r="E8406" s="152" t="s">
        <v>9346</v>
      </c>
      <c r="F8406" s="152" t="s">
        <v>312</v>
      </c>
      <c r="G8406" s="152" t="s">
        <v>3764</v>
      </c>
      <c r="H8406" s="153" t="s">
        <v>214</v>
      </c>
    </row>
    <row r="8407" hidden="1">
      <c r="A8407" s="154" t="s">
        <v>230</v>
      </c>
      <c r="B8407" s="155" t="s">
        <v>194</v>
      </c>
      <c r="C8407" s="155" t="s">
        <v>206</v>
      </c>
      <c r="D8407" s="156" t="s">
        <v>9246</v>
      </c>
      <c r="E8407" s="156" t="s">
        <v>9347</v>
      </c>
      <c r="F8407" s="156" t="s">
        <v>532</v>
      </c>
      <c r="G8407" s="156" t="s">
        <v>3302</v>
      </c>
      <c r="H8407" s="157" t="s">
        <v>215</v>
      </c>
    </row>
    <row r="8408" hidden="1">
      <c r="A8408" s="151" t="s">
        <v>230</v>
      </c>
      <c r="B8408" s="118" t="s">
        <v>194</v>
      </c>
      <c r="C8408" s="118" t="s">
        <v>206</v>
      </c>
      <c r="D8408" s="152" t="s">
        <v>9246</v>
      </c>
      <c r="E8408" s="152" t="s">
        <v>9348</v>
      </c>
      <c r="F8408" s="152" t="s">
        <v>423</v>
      </c>
      <c r="G8408" s="152" t="s">
        <v>4464</v>
      </c>
      <c r="H8408" s="153" t="s">
        <v>216</v>
      </c>
    </row>
    <row r="8409" hidden="1">
      <c r="A8409" s="158" t="s">
        <v>231</v>
      </c>
      <c r="B8409" s="159"/>
      <c r="C8409" s="155" t="s">
        <v>232</v>
      </c>
      <c r="D8409" s="156" t="s">
        <v>9246</v>
      </c>
      <c r="E8409" s="156" t="s">
        <v>9349</v>
      </c>
      <c r="F8409" s="156" t="s">
        <v>3240</v>
      </c>
      <c r="G8409" s="156" t="s">
        <v>9350</v>
      </c>
      <c r="H8409" s="157" t="s">
        <v>210</v>
      </c>
    </row>
    <row r="8410" hidden="1">
      <c r="A8410" s="160" t="s">
        <v>231</v>
      </c>
      <c r="B8410" s="72"/>
      <c r="C8410" s="118" t="s">
        <v>232</v>
      </c>
      <c r="D8410" s="152" t="s">
        <v>9246</v>
      </c>
      <c r="E8410" s="152" t="s">
        <v>9351</v>
      </c>
      <c r="F8410" s="152" t="s">
        <v>2994</v>
      </c>
      <c r="G8410" s="152" t="s">
        <v>9339</v>
      </c>
      <c r="H8410" s="153" t="s">
        <v>211</v>
      </c>
    </row>
    <row r="8411" hidden="1">
      <c r="A8411" s="158" t="s">
        <v>231</v>
      </c>
      <c r="B8411" s="159"/>
      <c r="C8411" s="155" t="s">
        <v>232</v>
      </c>
      <c r="D8411" s="156" t="s">
        <v>9246</v>
      </c>
      <c r="E8411" s="156" t="s">
        <v>9352</v>
      </c>
      <c r="F8411" s="156" t="s">
        <v>532</v>
      </c>
      <c r="G8411" s="156" t="s">
        <v>9353</v>
      </c>
      <c r="H8411" s="157" t="s">
        <v>212</v>
      </c>
    </row>
    <row r="8412" hidden="1">
      <c r="A8412" s="160" t="s">
        <v>231</v>
      </c>
      <c r="B8412" s="72"/>
      <c r="C8412" s="118" t="s">
        <v>232</v>
      </c>
      <c r="D8412" s="152" t="s">
        <v>9246</v>
      </c>
      <c r="E8412" s="152" t="s">
        <v>9354</v>
      </c>
      <c r="F8412" s="152" t="s">
        <v>1999</v>
      </c>
      <c r="G8412" s="152" t="s">
        <v>3436</v>
      </c>
      <c r="H8412" s="153" t="s">
        <v>213</v>
      </c>
    </row>
    <row r="8413" hidden="1">
      <c r="A8413" s="158" t="s">
        <v>231</v>
      </c>
      <c r="B8413" s="159"/>
      <c r="C8413" s="155" t="s">
        <v>232</v>
      </c>
      <c r="D8413" s="156" t="s">
        <v>9246</v>
      </c>
      <c r="E8413" s="156" t="s">
        <v>9355</v>
      </c>
      <c r="F8413" s="156" t="s">
        <v>3240</v>
      </c>
      <c r="G8413" s="156" t="s">
        <v>9139</v>
      </c>
      <c r="H8413" s="157" t="s">
        <v>214</v>
      </c>
    </row>
    <row r="8414" hidden="1">
      <c r="A8414" s="160" t="s">
        <v>231</v>
      </c>
      <c r="B8414" s="72"/>
      <c r="C8414" s="118" t="s">
        <v>232</v>
      </c>
      <c r="D8414" s="152" t="s">
        <v>9246</v>
      </c>
      <c r="E8414" s="152" t="s">
        <v>9356</v>
      </c>
      <c r="F8414" s="152" t="s">
        <v>448</v>
      </c>
      <c r="G8414" s="152" t="s">
        <v>9357</v>
      </c>
      <c r="H8414" s="153" t="s">
        <v>215</v>
      </c>
    </row>
    <row r="8415" hidden="1">
      <c r="A8415" s="158" t="s">
        <v>231</v>
      </c>
      <c r="B8415" s="159"/>
      <c r="C8415" s="155" t="s">
        <v>232</v>
      </c>
      <c r="D8415" s="156" t="s">
        <v>9246</v>
      </c>
      <c r="E8415" s="156" t="s">
        <v>9358</v>
      </c>
      <c r="F8415" s="156" t="s">
        <v>763</v>
      </c>
      <c r="G8415" s="156" t="s">
        <v>9359</v>
      </c>
      <c r="H8415" s="157" t="s">
        <v>216</v>
      </c>
    </row>
    <row r="8416" hidden="1">
      <c r="A8416" s="160" t="s">
        <v>233</v>
      </c>
      <c r="B8416" s="72"/>
      <c r="C8416" s="118" t="s">
        <v>232</v>
      </c>
      <c r="D8416" s="152" t="s">
        <v>9246</v>
      </c>
      <c r="E8416" s="152" t="s">
        <v>9360</v>
      </c>
      <c r="F8416" s="152" t="s">
        <v>1532</v>
      </c>
      <c r="G8416" s="152" t="s">
        <v>3636</v>
      </c>
      <c r="H8416" s="153" t="s">
        <v>210</v>
      </c>
    </row>
    <row r="8417" hidden="1">
      <c r="A8417" s="158" t="s">
        <v>233</v>
      </c>
      <c r="B8417" s="159"/>
      <c r="C8417" s="155" t="s">
        <v>232</v>
      </c>
      <c r="D8417" s="156" t="s">
        <v>9246</v>
      </c>
      <c r="E8417" s="156" t="s">
        <v>9361</v>
      </c>
      <c r="F8417" s="156" t="s">
        <v>677</v>
      </c>
      <c r="G8417" s="156" t="s">
        <v>4290</v>
      </c>
      <c r="H8417" s="157" t="s">
        <v>211</v>
      </c>
    </row>
    <row r="8418" hidden="1">
      <c r="A8418" s="160" t="s">
        <v>233</v>
      </c>
      <c r="B8418" s="72"/>
      <c r="C8418" s="118" t="s">
        <v>232</v>
      </c>
      <c r="D8418" s="152" t="s">
        <v>9246</v>
      </c>
      <c r="E8418" s="152" t="s">
        <v>9362</v>
      </c>
      <c r="F8418" s="152" t="s">
        <v>423</v>
      </c>
      <c r="G8418" s="152" t="s">
        <v>4472</v>
      </c>
      <c r="H8418" s="153" t="s">
        <v>212</v>
      </c>
    </row>
    <row r="8419" hidden="1">
      <c r="A8419" s="158" t="s">
        <v>233</v>
      </c>
      <c r="B8419" s="159"/>
      <c r="C8419" s="155" t="s">
        <v>232</v>
      </c>
      <c r="D8419" s="156" t="s">
        <v>9246</v>
      </c>
      <c r="E8419" s="156" t="s">
        <v>9363</v>
      </c>
      <c r="F8419" s="156" t="s">
        <v>423</v>
      </c>
      <c r="G8419" s="156" t="s">
        <v>5084</v>
      </c>
      <c r="H8419" s="157" t="s">
        <v>213</v>
      </c>
    </row>
    <row r="8420" hidden="1">
      <c r="A8420" s="160" t="s">
        <v>233</v>
      </c>
      <c r="B8420" s="72"/>
      <c r="C8420" s="118" t="s">
        <v>232</v>
      </c>
      <c r="D8420" s="152" t="s">
        <v>9246</v>
      </c>
      <c r="E8420" s="152" t="s">
        <v>9364</v>
      </c>
      <c r="F8420" s="152" t="s">
        <v>577</v>
      </c>
      <c r="G8420" s="152" t="s">
        <v>5084</v>
      </c>
      <c r="H8420" s="153" t="s">
        <v>214</v>
      </c>
    </row>
    <row r="8421" hidden="1">
      <c r="A8421" s="158" t="s">
        <v>233</v>
      </c>
      <c r="B8421" s="159"/>
      <c r="C8421" s="155" t="s">
        <v>232</v>
      </c>
      <c r="D8421" s="156" t="s">
        <v>9246</v>
      </c>
      <c r="E8421" s="156" t="s">
        <v>9365</v>
      </c>
      <c r="F8421" s="156" t="s">
        <v>423</v>
      </c>
      <c r="G8421" s="156" t="s">
        <v>4685</v>
      </c>
      <c r="H8421" s="157" t="s">
        <v>215</v>
      </c>
    </row>
    <row r="8422" hidden="1">
      <c r="A8422" s="160" t="s">
        <v>233</v>
      </c>
      <c r="B8422" s="72"/>
      <c r="C8422" s="118" t="s">
        <v>232</v>
      </c>
      <c r="D8422" s="152" t="s">
        <v>9246</v>
      </c>
      <c r="E8422" s="152" t="s">
        <v>9366</v>
      </c>
      <c r="F8422" s="152" t="s">
        <v>718</v>
      </c>
      <c r="G8422" s="152" t="s">
        <v>3694</v>
      </c>
      <c r="H8422" s="153" t="s">
        <v>216</v>
      </c>
    </row>
    <row r="8423" hidden="1">
      <c r="A8423" s="158" t="s">
        <v>234</v>
      </c>
      <c r="B8423" s="159"/>
      <c r="C8423" s="155" t="s">
        <v>232</v>
      </c>
      <c r="D8423" s="156" t="s">
        <v>9246</v>
      </c>
      <c r="E8423" s="156" t="s">
        <v>9367</v>
      </c>
      <c r="F8423" s="156" t="s">
        <v>718</v>
      </c>
      <c r="G8423" s="156" t="s">
        <v>3408</v>
      </c>
      <c r="H8423" s="157" t="s">
        <v>210</v>
      </c>
    </row>
    <row r="8424" hidden="1">
      <c r="A8424" s="160" t="s">
        <v>234</v>
      </c>
      <c r="B8424" s="72"/>
      <c r="C8424" s="118" t="s">
        <v>232</v>
      </c>
      <c r="D8424" s="152" t="s">
        <v>9246</v>
      </c>
      <c r="E8424" s="152" t="s">
        <v>9368</v>
      </c>
      <c r="F8424" s="152" t="s">
        <v>1532</v>
      </c>
      <c r="G8424" s="152" t="s">
        <v>2187</v>
      </c>
      <c r="H8424" s="153" t="s">
        <v>211</v>
      </c>
    </row>
    <row r="8425" hidden="1">
      <c r="A8425" s="158" t="s">
        <v>234</v>
      </c>
      <c r="B8425" s="159"/>
      <c r="C8425" s="155" t="s">
        <v>232</v>
      </c>
      <c r="D8425" s="156" t="s">
        <v>9246</v>
      </c>
      <c r="E8425" s="156" t="s">
        <v>9369</v>
      </c>
      <c r="F8425" s="156" t="s">
        <v>725</v>
      </c>
      <c r="G8425" s="156" t="s">
        <v>3272</v>
      </c>
      <c r="H8425" s="157" t="s">
        <v>212</v>
      </c>
    </row>
    <row r="8426" hidden="1">
      <c r="A8426" s="160" t="s">
        <v>234</v>
      </c>
      <c r="B8426" s="72"/>
      <c r="C8426" s="118" t="s">
        <v>232</v>
      </c>
      <c r="D8426" s="152" t="s">
        <v>9246</v>
      </c>
      <c r="E8426" s="152" t="s">
        <v>9370</v>
      </c>
      <c r="F8426" s="152" t="s">
        <v>390</v>
      </c>
      <c r="G8426" s="152" t="s">
        <v>3443</v>
      </c>
      <c r="H8426" s="153" t="s">
        <v>213</v>
      </c>
    </row>
    <row r="8427" hidden="1">
      <c r="A8427" s="158" t="s">
        <v>234</v>
      </c>
      <c r="B8427" s="159"/>
      <c r="C8427" s="155" t="s">
        <v>232</v>
      </c>
      <c r="D8427" s="156" t="s">
        <v>9246</v>
      </c>
      <c r="E8427" s="156" t="s">
        <v>9371</v>
      </c>
      <c r="F8427" s="156" t="s">
        <v>1530</v>
      </c>
      <c r="G8427" s="156" t="s">
        <v>4013</v>
      </c>
      <c r="H8427" s="157" t="s">
        <v>214</v>
      </c>
    </row>
    <row r="8428" hidden="1">
      <c r="A8428" s="160" t="s">
        <v>234</v>
      </c>
      <c r="B8428" s="72"/>
      <c r="C8428" s="118" t="s">
        <v>232</v>
      </c>
      <c r="D8428" s="152" t="s">
        <v>9246</v>
      </c>
      <c r="E8428" s="152" t="s">
        <v>9372</v>
      </c>
      <c r="F8428" s="152" t="s">
        <v>478</v>
      </c>
      <c r="G8428" s="152" t="s">
        <v>3280</v>
      </c>
      <c r="H8428" s="153" t="s">
        <v>215</v>
      </c>
    </row>
    <row r="8429" hidden="1">
      <c r="A8429" s="158" t="s">
        <v>234</v>
      </c>
      <c r="B8429" s="159"/>
      <c r="C8429" s="155" t="s">
        <v>232</v>
      </c>
      <c r="D8429" s="156" t="s">
        <v>9246</v>
      </c>
      <c r="E8429" s="156" t="s">
        <v>9373</v>
      </c>
      <c r="F8429" s="156" t="s">
        <v>1532</v>
      </c>
      <c r="G8429" s="156" t="s">
        <v>3207</v>
      </c>
      <c r="H8429" s="157" t="s">
        <v>216</v>
      </c>
    </row>
    <row r="8430" hidden="1">
      <c r="A8430" s="160" t="s">
        <v>235</v>
      </c>
      <c r="B8430" s="72"/>
      <c r="C8430" s="118" t="s">
        <v>236</v>
      </c>
      <c r="D8430" s="152" t="s">
        <v>9246</v>
      </c>
      <c r="E8430" s="152" t="s">
        <v>9374</v>
      </c>
      <c r="F8430" s="152" t="s">
        <v>718</v>
      </c>
      <c r="G8430" s="152" t="s">
        <v>5084</v>
      </c>
      <c r="H8430" s="153" t="s">
        <v>210</v>
      </c>
    </row>
    <row r="8431" hidden="1">
      <c r="A8431" s="158" t="s">
        <v>235</v>
      </c>
      <c r="B8431" s="159"/>
      <c r="C8431" s="155" t="s">
        <v>236</v>
      </c>
      <c r="D8431" s="156" t="s">
        <v>9246</v>
      </c>
      <c r="E8431" s="156" t="s">
        <v>9375</v>
      </c>
      <c r="F8431" s="156" t="s">
        <v>532</v>
      </c>
      <c r="G8431" s="156" t="s">
        <v>4268</v>
      </c>
      <c r="H8431" s="157" t="s">
        <v>211</v>
      </c>
    </row>
    <row r="8432" hidden="1">
      <c r="A8432" s="160" t="s">
        <v>235</v>
      </c>
      <c r="B8432" s="72"/>
      <c r="C8432" s="118" t="s">
        <v>236</v>
      </c>
      <c r="D8432" s="152" t="s">
        <v>9246</v>
      </c>
      <c r="E8432" s="152" t="s">
        <v>9376</v>
      </c>
      <c r="F8432" s="152" t="s">
        <v>532</v>
      </c>
      <c r="G8432" s="152" t="s">
        <v>3934</v>
      </c>
      <c r="H8432" s="153" t="s">
        <v>212</v>
      </c>
    </row>
    <row r="8433" hidden="1">
      <c r="A8433" s="158" t="s">
        <v>235</v>
      </c>
      <c r="B8433" s="159"/>
      <c r="C8433" s="155" t="s">
        <v>236</v>
      </c>
      <c r="D8433" s="156" t="s">
        <v>9246</v>
      </c>
      <c r="E8433" s="156" t="s">
        <v>9377</v>
      </c>
      <c r="F8433" s="156" t="s">
        <v>718</v>
      </c>
      <c r="G8433" s="156" t="s">
        <v>3925</v>
      </c>
      <c r="H8433" s="157" t="s">
        <v>213</v>
      </c>
    </row>
    <row r="8434" hidden="1">
      <c r="A8434" s="160" t="s">
        <v>235</v>
      </c>
      <c r="B8434" s="72"/>
      <c r="C8434" s="118" t="s">
        <v>236</v>
      </c>
      <c r="D8434" s="152" t="s">
        <v>9246</v>
      </c>
      <c r="E8434" s="152" t="s">
        <v>9378</v>
      </c>
      <c r="F8434" s="152" t="s">
        <v>1532</v>
      </c>
      <c r="G8434" s="152" t="s">
        <v>4685</v>
      </c>
      <c r="H8434" s="153" t="s">
        <v>214</v>
      </c>
    </row>
    <row r="8435" hidden="1">
      <c r="A8435" s="158" t="s">
        <v>235</v>
      </c>
      <c r="B8435" s="159"/>
      <c r="C8435" s="155" t="s">
        <v>236</v>
      </c>
      <c r="D8435" s="156" t="s">
        <v>9246</v>
      </c>
      <c r="E8435" s="156" t="s">
        <v>9379</v>
      </c>
      <c r="F8435" s="156" t="s">
        <v>532</v>
      </c>
      <c r="G8435" s="156" t="s">
        <v>4083</v>
      </c>
      <c r="H8435" s="157" t="s">
        <v>215</v>
      </c>
    </row>
    <row r="8436" hidden="1">
      <c r="A8436" s="160" t="s">
        <v>235</v>
      </c>
      <c r="B8436" s="72"/>
      <c r="C8436" s="118" t="s">
        <v>236</v>
      </c>
      <c r="D8436" s="152" t="s">
        <v>9246</v>
      </c>
      <c r="E8436" s="152" t="s">
        <v>9380</v>
      </c>
      <c r="F8436" s="152" t="s">
        <v>532</v>
      </c>
      <c r="G8436" s="152" t="s">
        <v>4952</v>
      </c>
      <c r="H8436" s="153" t="s">
        <v>216</v>
      </c>
    </row>
    <row r="8437" hidden="1">
      <c r="A8437" s="158" t="s">
        <v>237</v>
      </c>
      <c r="B8437" s="159"/>
      <c r="C8437" s="155" t="s">
        <v>236</v>
      </c>
      <c r="D8437" s="156" t="s">
        <v>9246</v>
      </c>
      <c r="E8437" s="156" t="s">
        <v>9381</v>
      </c>
      <c r="F8437" s="156" t="s">
        <v>390</v>
      </c>
      <c r="G8437" s="156" t="s">
        <v>4367</v>
      </c>
      <c r="H8437" s="157" t="s">
        <v>210</v>
      </c>
    </row>
    <row r="8438" hidden="1">
      <c r="A8438" s="160" t="s">
        <v>237</v>
      </c>
      <c r="B8438" s="72"/>
      <c r="C8438" s="118" t="s">
        <v>236</v>
      </c>
      <c r="D8438" s="152" t="s">
        <v>9246</v>
      </c>
      <c r="E8438" s="152" t="s">
        <v>9382</v>
      </c>
      <c r="F8438" s="152" t="s">
        <v>423</v>
      </c>
      <c r="G8438" s="152" t="s">
        <v>3915</v>
      </c>
      <c r="H8438" s="153" t="s">
        <v>211</v>
      </c>
    </row>
    <row r="8439" hidden="1">
      <c r="A8439" s="158" t="s">
        <v>237</v>
      </c>
      <c r="B8439" s="159"/>
      <c r="C8439" s="155" t="s">
        <v>236</v>
      </c>
      <c r="D8439" s="156" t="s">
        <v>9246</v>
      </c>
      <c r="E8439" s="156" t="s">
        <v>9383</v>
      </c>
      <c r="F8439" s="156" t="s">
        <v>425</v>
      </c>
      <c r="G8439" s="156" t="s">
        <v>4280</v>
      </c>
      <c r="H8439" s="157" t="s">
        <v>212</v>
      </c>
    </row>
    <row r="8440" hidden="1">
      <c r="A8440" s="160" t="s">
        <v>237</v>
      </c>
      <c r="B8440" s="72"/>
      <c r="C8440" s="118" t="s">
        <v>236</v>
      </c>
      <c r="D8440" s="152" t="s">
        <v>9246</v>
      </c>
      <c r="E8440" s="152" t="s">
        <v>9384</v>
      </c>
      <c r="F8440" s="152" t="s">
        <v>405</v>
      </c>
      <c r="G8440" s="152" t="s">
        <v>3764</v>
      </c>
      <c r="H8440" s="153" t="s">
        <v>213</v>
      </c>
    </row>
    <row r="8441" hidden="1">
      <c r="A8441" s="158" t="s">
        <v>237</v>
      </c>
      <c r="B8441" s="159"/>
      <c r="C8441" s="155" t="s">
        <v>236</v>
      </c>
      <c r="D8441" s="156" t="s">
        <v>9246</v>
      </c>
      <c r="E8441" s="156" t="s">
        <v>9385</v>
      </c>
      <c r="F8441" s="156" t="s">
        <v>1532</v>
      </c>
      <c r="G8441" s="156" t="s">
        <v>3844</v>
      </c>
      <c r="H8441" s="157" t="s">
        <v>214</v>
      </c>
    </row>
    <row r="8442" hidden="1">
      <c r="A8442" s="160" t="s">
        <v>237</v>
      </c>
      <c r="B8442" s="72"/>
      <c r="C8442" s="118" t="s">
        <v>236</v>
      </c>
      <c r="D8442" s="152" t="s">
        <v>9246</v>
      </c>
      <c r="E8442" s="152" t="s">
        <v>9386</v>
      </c>
      <c r="F8442" s="152" t="s">
        <v>312</v>
      </c>
      <c r="G8442" s="152" t="s">
        <v>1997</v>
      </c>
      <c r="H8442" s="153" t="s">
        <v>215</v>
      </c>
    </row>
    <row r="8443" hidden="1">
      <c r="A8443" s="158" t="s">
        <v>237</v>
      </c>
      <c r="B8443" s="159"/>
      <c r="C8443" s="155" t="s">
        <v>236</v>
      </c>
      <c r="D8443" s="156" t="s">
        <v>9246</v>
      </c>
      <c r="E8443" s="156" t="s">
        <v>9387</v>
      </c>
      <c r="F8443" s="156" t="s">
        <v>1999</v>
      </c>
      <c r="G8443" s="156" t="s">
        <v>4851</v>
      </c>
      <c r="H8443" s="157" t="s">
        <v>216</v>
      </c>
    </row>
    <row r="8444" hidden="1">
      <c r="A8444" s="151" t="s">
        <v>204</v>
      </c>
      <c r="B8444" s="118" t="s">
        <v>205</v>
      </c>
      <c r="C8444" s="118" t="s">
        <v>206</v>
      </c>
      <c r="D8444" s="152" t="s">
        <v>9388</v>
      </c>
      <c r="E8444" s="152" t="s">
        <v>9389</v>
      </c>
      <c r="F8444" s="152" t="s">
        <v>3340</v>
      </c>
      <c r="G8444" s="152" t="s">
        <v>3597</v>
      </c>
      <c r="H8444" s="153" t="s">
        <v>210</v>
      </c>
    </row>
    <row r="8445" hidden="1">
      <c r="A8445" s="154" t="s">
        <v>204</v>
      </c>
      <c r="B8445" s="155" t="s">
        <v>205</v>
      </c>
      <c r="C8445" s="155" t="s">
        <v>206</v>
      </c>
      <c r="D8445" s="156" t="s">
        <v>9388</v>
      </c>
      <c r="E8445" s="156" t="s">
        <v>9390</v>
      </c>
      <c r="F8445" s="156" t="s">
        <v>691</v>
      </c>
      <c r="G8445" s="156" t="s">
        <v>9391</v>
      </c>
      <c r="H8445" s="157" t="s">
        <v>211</v>
      </c>
    </row>
    <row r="8446" hidden="1">
      <c r="A8446" s="151" t="s">
        <v>204</v>
      </c>
      <c r="B8446" s="118" t="s">
        <v>205</v>
      </c>
      <c r="C8446" s="118" t="s">
        <v>206</v>
      </c>
      <c r="D8446" s="152" t="s">
        <v>9388</v>
      </c>
      <c r="E8446" s="152" t="s">
        <v>9392</v>
      </c>
      <c r="F8446" s="152" t="s">
        <v>3340</v>
      </c>
      <c r="G8446" s="152" t="s">
        <v>6645</v>
      </c>
      <c r="H8446" s="153" t="s">
        <v>212</v>
      </c>
    </row>
    <row r="8447" hidden="1">
      <c r="A8447" s="154" t="s">
        <v>204</v>
      </c>
      <c r="B8447" s="155" t="s">
        <v>205</v>
      </c>
      <c r="C8447" s="155" t="s">
        <v>206</v>
      </c>
      <c r="D8447" s="156" t="s">
        <v>9388</v>
      </c>
      <c r="E8447" s="156" t="s">
        <v>9393</v>
      </c>
      <c r="F8447" s="156" t="s">
        <v>629</v>
      </c>
      <c r="G8447" s="156" t="s">
        <v>8928</v>
      </c>
      <c r="H8447" s="157" t="s">
        <v>213</v>
      </c>
    </row>
    <row r="8448" hidden="1">
      <c r="A8448" s="151" t="s">
        <v>204</v>
      </c>
      <c r="B8448" s="118" t="s">
        <v>205</v>
      </c>
      <c r="C8448" s="118" t="s">
        <v>206</v>
      </c>
      <c r="D8448" s="152" t="s">
        <v>9388</v>
      </c>
      <c r="E8448" s="152" t="s">
        <v>9394</v>
      </c>
      <c r="F8448" s="152" t="s">
        <v>3198</v>
      </c>
      <c r="G8448" s="152" t="s">
        <v>9294</v>
      </c>
      <c r="H8448" s="153" t="s">
        <v>214</v>
      </c>
    </row>
    <row r="8449" hidden="1">
      <c r="A8449" s="154" t="s">
        <v>204</v>
      </c>
      <c r="B8449" s="155" t="s">
        <v>205</v>
      </c>
      <c r="C8449" s="155" t="s">
        <v>206</v>
      </c>
      <c r="D8449" s="156" t="s">
        <v>9388</v>
      </c>
      <c r="E8449" s="156" t="s">
        <v>9395</v>
      </c>
      <c r="F8449" s="156" t="s">
        <v>497</v>
      </c>
      <c r="G8449" s="156" t="s">
        <v>4627</v>
      </c>
      <c r="H8449" s="157" t="s">
        <v>215</v>
      </c>
    </row>
    <row r="8450" hidden="1">
      <c r="A8450" s="151" t="s">
        <v>204</v>
      </c>
      <c r="B8450" s="118" t="s">
        <v>205</v>
      </c>
      <c r="C8450" s="118" t="s">
        <v>206</v>
      </c>
      <c r="D8450" s="152" t="s">
        <v>9388</v>
      </c>
      <c r="E8450" s="152" t="s">
        <v>9396</v>
      </c>
      <c r="F8450" s="152" t="s">
        <v>3340</v>
      </c>
      <c r="G8450" s="152" t="s">
        <v>4627</v>
      </c>
      <c r="H8450" s="153" t="s">
        <v>216</v>
      </c>
    </row>
    <row r="8451" hidden="1">
      <c r="A8451" s="154" t="s">
        <v>217</v>
      </c>
      <c r="B8451" s="155" t="s">
        <v>191</v>
      </c>
      <c r="C8451" s="155" t="s">
        <v>206</v>
      </c>
      <c r="D8451" s="156" t="s">
        <v>9388</v>
      </c>
      <c r="E8451" s="156" t="s">
        <v>9397</v>
      </c>
      <c r="F8451" s="156" t="s">
        <v>735</v>
      </c>
      <c r="G8451" s="156" t="s">
        <v>3462</v>
      </c>
      <c r="H8451" s="157" t="s">
        <v>210</v>
      </c>
    </row>
    <row r="8452" hidden="1">
      <c r="A8452" s="151" t="s">
        <v>217</v>
      </c>
      <c r="B8452" s="118" t="s">
        <v>191</v>
      </c>
      <c r="C8452" s="118" t="s">
        <v>206</v>
      </c>
      <c r="D8452" s="152" t="s">
        <v>9388</v>
      </c>
      <c r="E8452" s="152" t="s">
        <v>9398</v>
      </c>
      <c r="F8452" s="152" t="s">
        <v>1530</v>
      </c>
      <c r="G8452" s="152" t="s">
        <v>3921</v>
      </c>
      <c r="H8452" s="153" t="s">
        <v>211</v>
      </c>
    </row>
    <row r="8453" hidden="1">
      <c r="A8453" s="154" t="s">
        <v>217</v>
      </c>
      <c r="B8453" s="155" t="s">
        <v>191</v>
      </c>
      <c r="C8453" s="155" t="s">
        <v>206</v>
      </c>
      <c r="D8453" s="156" t="s">
        <v>9388</v>
      </c>
      <c r="E8453" s="156" t="s">
        <v>9399</v>
      </c>
      <c r="F8453" s="156" t="s">
        <v>763</v>
      </c>
      <c r="G8453" s="156" t="s">
        <v>9400</v>
      </c>
      <c r="H8453" s="157" t="s">
        <v>212</v>
      </c>
    </row>
    <row r="8454" hidden="1">
      <c r="A8454" s="151" t="s">
        <v>217</v>
      </c>
      <c r="B8454" s="118" t="s">
        <v>191</v>
      </c>
      <c r="C8454" s="118" t="s">
        <v>206</v>
      </c>
      <c r="D8454" s="152" t="s">
        <v>9388</v>
      </c>
      <c r="E8454" s="152" t="s">
        <v>9401</v>
      </c>
      <c r="F8454" s="152" t="s">
        <v>1999</v>
      </c>
      <c r="G8454" s="152" t="s">
        <v>7885</v>
      </c>
      <c r="H8454" s="153" t="s">
        <v>213</v>
      </c>
    </row>
    <row r="8455" hidden="1">
      <c r="A8455" s="154" t="s">
        <v>217</v>
      </c>
      <c r="B8455" s="155" t="s">
        <v>191</v>
      </c>
      <c r="C8455" s="155" t="s">
        <v>206</v>
      </c>
      <c r="D8455" s="156" t="s">
        <v>9388</v>
      </c>
      <c r="E8455" s="156" t="s">
        <v>9402</v>
      </c>
      <c r="F8455" s="156" t="s">
        <v>448</v>
      </c>
      <c r="G8455" s="156" t="s">
        <v>3605</v>
      </c>
      <c r="H8455" s="157" t="s">
        <v>214</v>
      </c>
    </row>
    <row r="8456" hidden="1">
      <c r="A8456" s="151" t="s">
        <v>217</v>
      </c>
      <c r="B8456" s="118" t="s">
        <v>191</v>
      </c>
      <c r="C8456" s="118" t="s">
        <v>206</v>
      </c>
      <c r="D8456" s="152" t="s">
        <v>9388</v>
      </c>
      <c r="E8456" s="152" t="s">
        <v>9403</v>
      </c>
      <c r="F8456" s="152" t="s">
        <v>3198</v>
      </c>
      <c r="G8456" s="152" t="s">
        <v>3638</v>
      </c>
      <c r="H8456" s="153" t="s">
        <v>215</v>
      </c>
    </row>
    <row r="8457" hidden="1">
      <c r="A8457" s="154" t="s">
        <v>217</v>
      </c>
      <c r="B8457" s="155" t="s">
        <v>191</v>
      </c>
      <c r="C8457" s="155" t="s">
        <v>206</v>
      </c>
      <c r="D8457" s="156" t="s">
        <v>9388</v>
      </c>
      <c r="E8457" s="156" t="s">
        <v>9404</v>
      </c>
      <c r="F8457" s="156" t="s">
        <v>448</v>
      </c>
      <c r="G8457" s="156" t="s">
        <v>3633</v>
      </c>
      <c r="H8457" s="157" t="s">
        <v>216</v>
      </c>
    </row>
    <row r="8458" hidden="1">
      <c r="A8458" s="151" t="s">
        <v>218</v>
      </c>
      <c r="B8458" s="118" t="s">
        <v>219</v>
      </c>
      <c r="C8458" s="118" t="s">
        <v>206</v>
      </c>
      <c r="D8458" s="152" t="s">
        <v>9388</v>
      </c>
      <c r="E8458" s="152" t="s">
        <v>9405</v>
      </c>
      <c r="F8458" s="152" t="s">
        <v>1929</v>
      </c>
      <c r="G8458" s="152" t="s">
        <v>5821</v>
      </c>
      <c r="H8458" s="153" t="s">
        <v>210</v>
      </c>
    </row>
    <row r="8459" hidden="1">
      <c r="A8459" s="154" t="s">
        <v>218</v>
      </c>
      <c r="B8459" s="155" t="s">
        <v>219</v>
      </c>
      <c r="C8459" s="155" t="s">
        <v>206</v>
      </c>
      <c r="D8459" s="156" t="s">
        <v>9388</v>
      </c>
      <c r="E8459" s="156" t="s">
        <v>9406</v>
      </c>
      <c r="F8459" s="156" t="s">
        <v>629</v>
      </c>
      <c r="G8459" s="156" t="s">
        <v>4167</v>
      </c>
      <c r="H8459" s="157" t="s">
        <v>211</v>
      </c>
    </row>
    <row r="8460" hidden="1">
      <c r="A8460" s="151" t="s">
        <v>218</v>
      </c>
      <c r="B8460" s="118" t="s">
        <v>219</v>
      </c>
      <c r="C8460" s="118" t="s">
        <v>206</v>
      </c>
      <c r="D8460" s="152" t="s">
        <v>9388</v>
      </c>
      <c r="E8460" s="152" t="s">
        <v>9407</v>
      </c>
      <c r="F8460" s="152" t="s">
        <v>390</v>
      </c>
      <c r="G8460" s="152" t="s">
        <v>9294</v>
      </c>
      <c r="H8460" s="153" t="s">
        <v>212</v>
      </c>
    </row>
    <row r="8461" hidden="1">
      <c r="A8461" s="154" t="s">
        <v>218</v>
      </c>
      <c r="B8461" s="155" t="s">
        <v>219</v>
      </c>
      <c r="C8461" s="155" t="s">
        <v>206</v>
      </c>
      <c r="D8461" s="156" t="s">
        <v>9388</v>
      </c>
      <c r="E8461" s="156" t="s">
        <v>9408</v>
      </c>
      <c r="F8461" s="156" t="s">
        <v>1530</v>
      </c>
      <c r="G8461" s="156" t="s">
        <v>4842</v>
      </c>
      <c r="H8461" s="157" t="s">
        <v>213</v>
      </c>
    </row>
    <row r="8462" hidden="1">
      <c r="A8462" s="151" t="s">
        <v>218</v>
      </c>
      <c r="B8462" s="118" t="s">
        <v>219</v>
      </c>
      <c r="C8462" s="118" t="s">
        <v>206</v>
      </c>
      <c r="D8462" s="152" t="s">
        <v>9388</v>
      </c>
      <c r="E8462" s="152" t="s">
        <v>9409</v>
      </c>
      <c r="F8462" s="152" t="s">
        <v>735</v>
      </c>
      <c r="G8462" s="152" t="s">
        <v>4659</v>
      </c>
      <c r="H8462" s="153" t="s">
        <v>214</v>
      </c>
    </row>
    <row r="8463" hidden="1">
      <c r="A8463" s="154" t="s">
        <v>218</v>
      </c>
      <c r="B8463" s="155" t="s">
        <v>219</v>
      </c>
      <c r="C8463" s="155" t="s">
        <v>206</v>
      </c>
      <c r="D8463" s="156" t="s">
        <v>9388</v>
      </c>
      <c r="E8463" s="156" t="s">
        <v>9410</v>
      </c>
      <c r="F8463" s="156" t="s">
        <v>1532</v>
      </c>
      <c r="G8463" s="156" t="s">
        <v>1997</v>
      </c>
      <c r="H8463" s="157" t="s">
        <v>215</v>
      </c>
    </row>
    <row r="8464" hidden="1">
      <c r="A8464" s="151" t="s">
        <v>218</v>
      </c>
      <c r="B8464" s="118" t="s">
        <v>219</v>
      </c>
      <c r="C8464" s="118" t="s">
        <v>206</v>
      </c>
      <c r="D8464" s="152" t="s">
        <v>9388</v>
      </c>
      <c r="E8464" s="152" t="s">
        <v>9411</v>
      </c>
      <c r="F8464" s="152" t="s">
        <v>760</v>
      </c>
      <c r="G8464" s="152" t="s">
        <v>4442</v>
      </c>
      <c r="H8464" s="153" t="s">
        <v>216</v>
      </c>
    </row>
    <row r="8465" hidden="1">
      <c r="A8465" s="154" t="s">
        <v>220</v>
      </c>
      <c r="B8465" s="155" t="s">
        <v>190</v>
      </c>
      <c r="C8465" s="155" t="s">
        <v>206</v>
      </c>
      <c r="D8465" s="156" t="s">
        <v>9388</v>
      </c>
      <c r="E8465" s="156" t="s">
        <v>9412</v>
      </c>
      <c r="F8465" s="156" t="s">
        <v>3340</v>
      </c>
      <c r="G8465" s="156" t="s">
        <v>9413</v>
      </c>
      <c r="H8465" s="157" t="s">
        <v>210</v>
      </c>
    </row>
    <row r="8466" hidden="1">
      <c r="A8466" s="151" t="s">
        <v>220</v>
      </c>
      <c r="B8466" s="118" t="s">
        <v>190</v>
      </c>
      <c r="C8466" s="118" t="s">
        <v>206</v>
      </c>
      <c r="D8466" s="152" t="s">
        <v>9388</v>
      </c>
      <c r="E8466" s="152" t="s">
        <v>9414</v>
      </c>
      <c r="F8466" s="152" t="s">
        <v>1931</v>
      </c>
      <c r="G8466" s="152" t="s">
        <v>9415</v>
      </c>
      <c r="H8466" s="153" t="s">
        <v>211</v>
      </c>
    </row>
    <row r="8467" hidden="1">
      <c r="A8467" s="154" t="s">
        <v>220</v>
      </c>
      <c r="B8467" s="155" t="s">
        <v>190</v>
      </c>
      <c r="C8467" s="155" t="s">
        <v>206</v>
      </c>
      <c r="D8467" s="156" t="s">
        <v>9388</v>
      </c>
      <c r="E8467" s="156" t="s">
        <v>9416</v>
      </c>
      <c r="F8467" s="156" t="s">
        <v>637</v>
      </c>
      <c r="G8467" s="156" t="s">
        <v>9417</v>
      </c>
      <c r="H8467" s="157" t="s">
        <v>212</v>
      </c>
    </row>
    <row r="8468" hidden="1">
      <c r="A8468" s="151" t="s">
        <v>220</v>
      </c>
      <c r="B8468" s="118" t="s">
        <v>190</v>
      </c>
      <c r="C8468" s="118" t="s">
        <v>206</v>
      </c>
      <c r="D8468" s="152" t="s">
        <v>9388</v>
      </c>
      <c r="E8468" s="152" t="s">
        <v>9418</v>
      </c>
      <c r="F8468" s="152" t="s">
        <v>4052</v>
      </c>
      <c r="G8468" s="152" t="s">
        <v>9419</v>
      </c>
      <c r="H8468" s="153" t="s">
        <v>213</v>
      </c>
    </row>
    <row r="8469" hidden="1">
      <c r="A8469" s="154" t="s">
        <v>220</v>
      </c>
      <c r="B8469" s="155" t="s">
        <v>190</v>
      </c>
      <c r="C8469" s="155" t="s">
        <v>206</v>
      </c>
      <c r="D8469" s="156" t="s">
        <v>9388</v>
      </c>
      <c r="E8469" s="156" t="s">
        <v>9420</v>
      </c>
      <c r="F8469" s="156" t="s">
        <v>3148</v>
      </c>
      <c r="G8469" s="156" t="s">
        <v>9421</v>
      </c>
      <c r="H8469" s="157" t="s">
        <v>214</v>
      </c>
    </row>
    <row r="8470" hidden="1">
      <c r="A8470" s="151" t="s">
        <v>220</v>
      </c>
      <c r="B8470" s="118" t="s">
        <v>190</v>
      </c>
      <c r="C8470" s="118" t="s">
        <v>206</v>
      </c>
      <c r="D8470" s="152" t="s">
        <v>9388</v>
      </c>
      <c r="E8470" s="152" t="s">
        <v>9422</v>
      </c>
      <c r="F8470" s="152" t="s">
        <v>1769</v>
      </c>
      <c r="G8470" s="152" t="s">
        <v>9423</v>
      </c>
      <c r="H8470" s="153" t="s">
        <v>215</v>
      </c>
    </row>
    <row r="8471" hidden="1">
      <c r="A8471" s="154" t="s">
        <v>220</v>
      </c>
      <c r="B8471" s="155" t="s">
        <v>190</v>
      </c>
      <c r="C8471" s="155" t="s">
        <v>206</v>
      </c>
      <c r="D8471" s="156" t="s">
        <v>9388</v>
      </c>
      <c r="E8471" s="156" t="s">
        <v>9424</v>
      </c>
      <c r="F8471" s="156" t="s">
        <v>2226</v>
      </c>
      <c r="G8471" s="156" t="s">
        <v>9425</v>
      </c>
      <c r="H8471" s="157" t="s">
        <v>216</v>
      </c>
    </row>
    <row r="8472" hidden="1">
      <c r="A8472" s="151" t="s">
        <v>221</v>
      </c>
      <c r="B8472" s="118" t="s">
        <v>189</v>
      </c>
      <c r="C8472" s="118" t="s">
        <v>206</v>
      </c>
      <c r="D8472" s="152" t="s">
        <v>9388</v>
      </c>
      <c r="E8472" s="152" t="s">
        <v>9426</v>
      </c>
      <c r="F8472" s="152" t="s">
        <v>312</v>
      </c>
      <c r="G8472" s="152" t="s">
        <v>3734</v>
      </c>
      <c r="H8472" s="153" t="s">
        <v>210</v>
      </c>
    </row>
    <row r="8473" hidden="1">
      <c r="A8473" s="154" t="s">
        <v>221</v>
      </c>
      <c r="B8473" s="155" t="s">
        <v>189</v>
      </c>
      <c r="C8473" s="155" t="s">
        <v>206</v>
      </c>
      <c r="D8473" s="156" t="s">
        <v>9388</v>
      </c>
      <c r="E8473" s="156" t="s">
        <v>9427</v>
      </c>
      <c r="F8473" s="156" t="s">
        <v>483</v>
      </c>
      <c r="G8473" s="156" t="s">
        <v>3525</v>
      </c>
      <c r="H8473" s="157" t="s">
        <v>211</v>
      </c>
    </row>
    <row r="8474" hidden="1">
      <c r="A8474" s="151" t="s">
        <v>221</v>
      </c>
      <c r="B8474" s="118" t="s">
        <v>189</v>
      </c>
      <c r="C8474" s="118" t="s">
        <v>206</v>
      </c>
      <c r="D8474" s="152" t="s">
        <v>9388</v>
      </c>
      <c r="E8474" s="152" t="s">
        <v>9428</v>
      </c>
      <c r="F8474" s="152" t="s">
        <v>1999</v>
      </c>
      <c r="G8474" s="152" t="s">
        <v>4075</v>
      </c>
      <c r="H8474" s="153" t="s">
        <v>212</v>
      </c>
    </row>
    <row r="8475" hidden="1">
      <c r="A8475" s="154" t="s">
        <v>221</v>
      </c>
      <c r="B8475" s="155" t="s">
        <v>189</v>
      </c>
      <c r="C8475" s="155" t="s">
        <v>206</v>
      </c>
      <c r="D8475" s="156" t="s">
        <v>9388</v>
      </c>
      <c r="E8475" s="156" t="s">
        <v>9429</v>
      </c>
      <c r="F8475" s="156" t="s">
        <v>478</v>
      </c>
      <c r="G8475" s="156" t="s">
        <v>3812</v>
      </c>
      <c r="H8475" s="157" t="s">
        <v>213</v>
      </c>
    </row>
    <row r="8476" hidden="1">
      <c r="A8476" s="151" t="s">
        <v>221</v>
      </c>
      <c r="B8476" s="118" t="s">
        <v>189</v>
      </c>
      <c r="C8476" s="118" t="s">
        <v>206</v>
      </c>
      <c r="D8476" s="152" t="s">
        <v>9388</v>
      </c>
      <c r="E8476" s="152" t="s">
        <v>9430</v>
      </c>
      <c r="F8476" s="152" t="s">
        <v>577</v>
      </c>
      <c r="G8476" s="152" t="s">
        <v>4013</v>
      </c>
      <c r="H8476" s="153" t="s">
        <v>214</v>
      </c>
    </row>
    <row r="8477" hidden="1">
      <c r="A8477" s="154" t="s">
        <v>221</v>
      </c>
      <c r="B8477" s="155" t="s">
        <v>189</v>
      </c>
      <c r="C8477" s="155" t="s">
        <v>206</v>
      </c>
      <c r="D8477" s="156" t="s">
        <v>9388</v>
      </c>
      <c r="E8477" s="156" t="s">
        <v>9431</v>
      </c>
      <c r="F8477" s="156" t="s">
        <v>1999</v>
      </c>
      <c r="G8477" s="156" t="s">
        <v>4280</v>
      </c>
      <c r="H8477" s="157" t="s">
        <v>215</v>
      </c>
    </row>
    <row r="8478" hidden="1">
      <c r="A8478" s="151" t="s">
        <v>221</v>
      </c>
      <c r="B8478" s="118" t="s">
        <v>189</v>
      </c>
      <c r="C8478" s="118" t="s">
        <v>206</v>
      </c>
      <c r="D8478" s="152" t="s">
        <v>9388</v>
      </c>
      <c r="E8478" s="152" t="s">
        <v>9432</v>
      </c>
      <c r="F8478" s="152" t="s">
        <v>478</v>
      </c>
      <c r="G8478" s="152" t="s">
        <v>3908</v>
      </c>
      <c r="H8478" s="153" t="s">
        <v>216</v>
      </c>
    </row>
    <row r="8479" hidden="1">
      <c r="A8479" s="154" t="s">
        <v>222</v>
      </c>
      <c r="B8479" s="155" t="s">
        <v>192</v>
      </c>
      <c r="C8479" s="155" t="s">
        <v>206</v>
      </c>
      <c r="D8479" s="156" t="s">
        <v>9388</v>
      </c>
      <c r="E8479" s="156" t="s">
        <v>9433</v>
      </c>
      <c r="F8479" s="156" t="s">
        <v>2407</v>
      </c>
      <c r="G8479" s="156" t="s">
        <v>9434</v>
      </c>
      <c r="H8479" s="157" t="s">
        <v>210</v>
      </c>
    </row>
    <row r="8480" hidden="1">
      <c r="A8480" s="151" t="s">
        <v>222</v>
      </c>
      <c r="B8480" s="118" t="s">
        <v>192</v>
      </c>
      <c r="C8480" s="118" t="s">
        <v>206</v>
      </c>
      <c r="D8480" s="152" t="s">
        <v>9388</v>
      </c>
      <c r="E8480" s="152" t="s">
        <v>9435</v>
      </c>
      <c r="F8480" s="152" t="s">
        <v>1920</v>
      </c>
      <c r="G8480" s="152" t="s">
        <v>8617</v>
      </c>
      <c r="H8480" s="153" t="s">
        <v>211</v>
      </c>
    </row>
    <row r="8481" hidden="1">
      <c r="A8481" s="154" t="s">
        <v>222</v>
      </c>
      <c r="B8481" s="155" t="s">
        <v>192</v>
      </c>
      <c r="C8481" s="155" t="s">
        <v>206</v>
      </c>
      <c r="D8481" s="156" t="s">
        <v>9388</v>
      </c>
      <c r="E8481" s="156" t="s">
        <v>9436</v>
      </c>
      <c r="F8481" s="156" t="s">
        <v>2223</v>
      </c>
      <c r="G8481" s="156" t="s">
        <v>3539</v>
      </c>
      <c r="H8481" s="157" t="s">
        <v>212</v>
      </c>
    </row>
    <row r="8482" hidden="1">
      <c r="A8482" s="151" t="s">
        <v>222</v>
      </c>
      <c r="B8482" s="118" t="s">
        <v>192</v>
      </c>
      <c r="C8482" s="118" t="s">
        <v>206</v>
      </c>
      <c r="D8482" s="152" t="s">
        <v>9388</v>
      </c>
      <c r="E8482" s="152" t="s">
        <v>9437</v>
      </c>
      <c r="F8482" s="152" t="s">
        <v>228</v>
      </c>
      <c r="G8482" s="152" t="s">
        <v>4778</v>
      </c>
      <c r="H8482" s="153" t="s">
        <v>213</v>
      </c>
    </row>
    <row r="8483" hidden="1">
      <c r="A8483" s="154" t="s">
        <v>222</v>
      </c>
      <c r="B8483" s="155" t="s">
        <v>192</v>
      </c>
      <c r="C8483" s="155" t="s">
        <v>206</v>
      </c>
      <c r="D8483" s="156" t="s">
        <v>9388</v>
      </c>
      <c r="E8483" s="156" t="s">
        <v>9438</v>
      </c>
      <c r="F8483" s="156" t="s">
        <v>3145</v>
      </c>
      <c r="G8483" s="156" t="s">
        <v>9074</v>
      </c>
      <c r="H8483" s="157" t="s">
        <v>214</v>
      </c>
    </row>
    <row r="8484" hidden="1">
      <c r="A8484" s="151" t="s">
        <v>222</v>
      </c>
      <c r="B8484" s="118" t="s">
        <v>192</v>
      </c>
      <c r="C8484" s="118" t="s">
        <v>206</v>
      </c>
      <c r="D8484" s="152" t="s">
        <v>9388</v>
      </c>
      <c r="E8484" s="152" t="s">
        <v>9439</v>
      </c>
      <c r="F8484" s="152" t="s">
        <v>2223</v>
      </c>
      <c r="G8484" s="152" t="s">
        <v>4685</v>
      </c>
      <c r="H8484" s="153" t="s">
        <v>215</v>
      </c>
    </row>
    <row r="8485" hidden="1">
      <c r="A8485" s="154" t="s">
        <v>222</v>
      </c>
      <c r="B8485" s="155" t="s">
        <v>192</v>
      </c>
      <c r="C8485" s="155" t="s">
        <v>206</v>
      </c>
      <c r="D8485" s="156" t="s">
        <v>9388</v>
      </c>
      <c r="E8485" s="156" t="s">
        <v>9440</v>
      </c>
      <c r="F8485" s="156" t="s">
        <v>292</v>
      </c>
      <c r="G8485" s="156" t="s">
        <v>3462</v>
      </c>
      <c r="H8485" s="157" t="s">
        <v>216</v>
      </c>
    </row>
    <row r="8486" hidden="1">
      <c r="A8486" s="151" t="s">
        <v>223</v>
      </c>
      <c r="B8486" s="118" t="s">
        <v>144</v>
      </c>
      <c r="C8486" s="118" t="s">
        <v>206</v>
      </c>
      <c r="D8486" s="152" t="s">
        <v>9388</v>
      </c>
      <c r="E8486" s="152" t="s">
        <v>9441</v>
      </c>
      <c r="F8486" s="152" t="s">
        <v>348</v>
      </c>
      <c r="G8486" s="152" t="s">
        <v>9442</v>
      </c>
      <c r="H8486" s="153" t="s">
        <v>210</v>
      </c>
    </row>
    <row r="8487" hidden="1">
      <c r="A8487" s="154" t="s">
        <v>223</v>
      </c>
      <c r="B8487" s="155" t="s">
        <v>144</v>
      </c>
      <c r="C8487" s="155" t="s">
        <v>206</v>
      </c>
      <c r="D8487" s="156" t="s">
        <v>9388</v>
      </c>
      <c r="E8487" s="156" t="s">
        <v>9443</v>
      </c>
      <c r="F8487" s="156" t="s">
        <v>348</v>
      </c>
      <c r="G8487" s="156" t="s">
        <v>9391</v>
      </c>
      <c r="H8487" s="157" t="s">
        <v>211</v>
      </c>
    </row>
    <row r="8488" hidden="1">
      <c r="A8488" s="151" t="s">
        <v>223</v>
      </c>
      <c r="B8488" s="118" t="s">
        <v>144</v>
      </c>
      <c r="C8488" s="118" t="s">
        <v>206</v>
      </c>
      <c r="D8488" s="152" t="s">
        <v>9388</v>
      </c>
      <c r="E8488" s="152" t="s">
        <v>9444</v>
      </c>
      <c r="F8488" s="152" t="s">
        <v>629</v>
      </c>
      <c r="G8488" s="152" t="s">
        <v>4174</v>
      </c>
      <c r="H8488" s="153" t="s">
        <v>212</v>
      </c>
    </row>
    <row r="8489" hidden="1">
      <c r="A8489" s="154" t="s">
        <v>223</v>
      </c>
      <c r="B8489" s="155" t="s">
        <v>144</v>
      </c>
      <c r="C8489" s="155" t="s">
        <v>206</v>
      </c>
      <c r="D8489" s="156" t="s">
        <v>9388</v>
      </c>
      <c r="E8489" s="156" t="s">
        <v>9445</v>
      </c>
      <c r="F8489" s="156" t="s">
        <v>1530</v>
      </c>
      <c r="G8489" s="156" t="s">
        <v>1788</v>
      </c>
      <c r="H8489" s="157" t="s">
        <v>213</v>
      </c>
    </row>
    <row r="8490" hidden="1">
      <c r="A8490" s="151" t="s">
        <v>223</v>
      </c>
      <c r="B8490" s="118" t="s">
        <v>144</v>
      </c>
      <c r="C8490" s="118" t="s">
        <v>206</v>
      </c>
      <c r="D8490" s="152" t="s">
        <v>9388</v>
      </c>
      <c r="E8490" s="152" t="s">
        <v>9446</v>
      </c>
      <c r="F8490" s="152" t="s">
        <v>758</v>
      </c>
      <c r="G8490" s="152" t="s">
        <v>8745</v>
      </c>
      <c r="H8490" s="153" t="s">
        <v>214</v>
      </c>
    </row>
    <row r="8491" hidden="1">
      <c r="A8491" s="154" t="s">
        <v>223</v>
      </c>
      <c r="B8491" s="155" t="s">
        <v>144</v>
      </c>
      <c r="C8491" s="155" t="s">
        <v>206</v>
      </c>
      <c r="D8491" s="156" t="s">
        <v>9388</v>
      </c>
      <c r="E8491" s="156" t="s">
        <v>9447</v>
      </c>
      <c r="F8491" s="156" t="s">
        <v>673</v>
      </c>
      <c r="G8491" s="156" t="s">
        <v>5084</v>
      </c>
      <c r="H8491" s="157" t="s">
        <v>215</v>
      </c>
    </row>
    <row r="8492" hidden="1">
      <c r="A8492" s="151" t="s">
        <v>223</v>
      </c>
      <c r="B8492" s="118" t="s">
        <v>144</v>
      </c>
      <c r="C8492" s="118" t="s">
        <v>206</v>
      </c>
      <c r="D8492" s="152" t="s">
        <v>9388</v>
      </c>
      <c r="E8492" s="152" t="s">
        <v>9448</v>
      </c>
      <c r="F8492" s="152" t="s">
        <v>758</v>
      </c>
      <c r="G8492" s="152" t="s">
        <v>5438</v>
      </c>
      <c r="H8492" s="153" t="s">
        <v>216</v>
      </c>
    </row>
    <row r="8493" hidden="1">
      <c r="A8493" s="154" t="s">
        <v>224</v>
      </c>
      <c r="B8493" s="155" t="s">
        <v>170</v>
      </c>
      <c r="C8493" s="155" t="s">
        <v>206</v>
      </c>
      <c r="D8493" s="156" t="s">
        <v>9388</v>
      </c>
      <c r="E8493" s="156" t="s">
        <v>9449</v>
      </c>
      <c r="F8493" s="156" t="s">
        <v>483</v>
      </c>
      <c r="G8493" s="156" t="s">
        <v>4491</v>
      </c>
      <c r="H8493" s="157" t="s">
        <v>210</v>
      </c>
    </row>
    <row r="8494" hidden="1">
      <c r="A8494" s="151" t="s">
        <v>224</v>
      </c>
      <c r="B8494" s="118" t="s">
        <v>170</v>
      </c>
      <c r="C8494" s="118" t="s">
        <v>206</v>
      </c>
      <c r="D8494" s="152" t="s">
        <v>9388</v>
      </c>
      <c r="E8494" s="152" t="s">
        <v>9450</v>
      </c>
      <c r="F8494" s="152" t="s">
        <v>766</v>
      </c>
      <c r="G8494" s="152" t="s">
        <v>3699</v>
      </c>
      <c r="H8494" s="153" t="s">
        <v>211</v>
      </c>
    </row>
    <row r="8495" hidden="1">
      <c r="A8495" s="154" t="s">
        <v>224</v>
      </c>
      <c r="B8495" s="155" t="s">
        <v>170</v>
      </c>
      <c r="C8495" s="155" t="s">
        <v>206</v>
      </c>
      <c r="D8495" s="156" t="s">
        <v>9388</v>
      </c>
      <c r="E8495" s="156" t="s">
        <v>9451</v>
      </c>
      <c r="F8495" s="156" t="s">
        <v>718</v>
      </c>
      <c r="G8495" s="156" t="s">
        <v>8617</v>
      </c>
      <c r="H8495" s="157" t="s">
        <v>212</v>
      </c>
    </row>
    <row r="8496" hidden="1">
      <c r="A8496" s="151" t="s">
        <v>224</v>
      </c>
      <c r="B8496" s="118" t="s">
        <v>170</v>
      </c>
      <c r="C8496" s="118" t="s">
        <v>206</v>
      </c>
      <c r="D8496" s="152" t="s">
        <v>9388</v>
      </c>
      <c r="E8496" s="152" t="s">
        <v>9452</v>
      </c>
      <c r="F8496" s="152" t="s">
        <v>1999</v>
      </c>
      <c r="G8496" s="152" t="s">
        <v>4029</v>
      </c>
      <c r="H8496" s="153" t="s">
        <v>213</v>
      </c>
    </row>
    <row r="8497" hidden="1">
      <c r="A8497" s="154" t="s">
        <v>224</v>
      </c>
      <c r="B8497" s="155" t="s">
        <v>170</v>
      </c>
      <c r="C8497" s="155" t="s">
        <v>206</v>
      </c>
      <c r="D8497" s="156" t="s">
        <v>9388</v>
      </c>
      <c r="E8497" s="156" t="s">
        <v>9453</v>
      </c>
      <c r="F8497" s="156" t="s">
        <v>2607</v>
      </c>
      <c r="G8497" s="156" t="s">
        <v>4221</v>
      </c>
      <c r="H8497" s="157" t="s">
        <v>214</v>
      </c>
    </row>
    <row r="8498" hidden="1">
      <c r="A8498" s="151" t="s">
        <v>224</v>
      </c>
      <c r="B8498" s="118" t="s">
        <v>170</v>
      </c>
      <c r="C8498" s="118" t="s">
        <v>206</v>
      </c>
      <c r="D8498" s="152" t="s">
        <v>9388</v>
      </c>
      <c r="E8498" s="152" t="s">
        <v>9454</v>
      </c>
      <c r="F8498" s="152" t="s">
        <v>348</v>
      </c>
      <c r="G8498" s="152" t="s">
        <v>3930</v>
      </c>
      <c r="H8498" s="153" t="s">
        <v>215</v>
      </c>
    </row>
    <row r="8499" hidden="1">
      <c r="A8499" s="154" t="s">
        <v>224</v>
      </c>
      <c r="B8499" s="155" t="s">
        <v>170</v>
      </c>
      <c r="C8499" s="155" t="s">
        <v>206</v>
      </c>
      <c r="D8499" s="156" t="s">
        <v>9388</v>
      </c>
      <c r="E8499" s="156" t="s">
        <v>9455</v>
      </c>
      <c r="F8499" s="156" t="s">
        <v>1999</v>
      </c>
      <c r="G8499" s="156" t="s">
        <v>4364</v>
      </c>
      <c r="H8499" s="157" t="s">
        <v>216</v>
      </c>
    </row>
    <row r="8500" hidden="1">
      <c r="A8500" s="151" t="s">
        <v>225</v>
      </c>
      <c r="B8500" s="118" t="s">
        <v>226</v>
      </c>
      <c r="C8500" s="118" t="s">
        <v>206</v>
      </c>
      <c r="D8500" s="152" t="s">
        <v>9388</v>
      </c>
      <c r="E8500" s="152" t="s">
        <v>9456</v>
      </c>
      <c r="F8500" s="152" t="s">
        <v>312</v>
      </c>
      <c r="G8500" s="152" t="s">
        <v>3341</v>
      </c>
      <c r="H8500" s="153" t="s">
        <v>210</v>
      </c>
    </row>
    <row r="8501" hidden="1">
      <c r="A8501" s="154" t="s">
        <v>225</v>
      </c>
      <c r="B8501" s="155" t="s">
        <v>226</v>
      </c>
      <c r="C8501" s="155" t="s">
        <v>206</v>
      </c>
      <c r="D8501" s="156" t="s">
        <v>9388</v>
      </c>
      <c r="E8501" s="156" t="s">
        <v>9457</v>
      </c>
      <c r="F8501" s="156" t="s">
        <v>1530</v>
      </c>
      <c r="G8501" s="156" t="s">
        <v>2107</v>
      </c>
      <c r="H8501" s="157" t="s">
        <v>211</v>
      </c>
    </row>
    <row r="8502" hidden="1">
      <c r="A8502" s="151" t="s">
        <v>225</v>
      </c>
      <c r="B8502" s="118" t="s">
        <v>226</v>
      </c>
      <c r="C8502" s="118" t="s">
        <v>206</v>
      </c>
      <c r="D8502" s="152" t="s">
        <v>9388</v>
      </c>
      <c r="E8502" s="152" t="s">
        <v>9458</v>
      </c>
      <c r="F8502" s="152" t="s">
        <v>629</v>
      </c>
      <c r="G8502" s="152" t="s">
        <v>3356</v>
      </c>
      <c r="H8502" s="153" t="s">
        <v>212</v>
      </c>
    </row>
    <row r="8503" hidden="1">
      <c r="A8503" s="154" t="s">
        <v>225</v>
      </c>
      <c r="B8503" s="155" t="s">
        <v>226</v>
      </c>
      <c r="C8503" s="155" t="s">
        <v>206</v>
      </c>
      <c r="D8503" s="156" t="s">
        <v>9388</v>
      </c>
      <c r="E8503" s="156" t="s">
        <v>9459</v>
      </c>
      <c r="F8503" s="156" t="s">
        <v>448</v>
      </c>
      <c r="G8503" s="156" t="s">
        <v>2923</v>
      </c>
      <c r="H8503" s="157" t="s">
        <v>213</v>
      </c>
    </row>
    <row r="8504" hidden="1">
      <c r="A8504" s="151" t="s">
        <v>225</v>
      </c>
      <c r="B8504" s="118" t="s">
        <v>226</v>
      </c>
      <c r="C8504" s="118" t="s">
        <v>206</v>
      </c>
      <c r="D8504" s="152" t="s">
        <v>9388</v>
      </c>
      <c r="E8504" s="152" t="s">
        <v>9460</v>
      </c>
      <c r="F8504" s="152" t="s">
        <v>3198</v>
      </c>
      <c r="G8504" s="152" t="s">
        <v>3237</v>
      </c>
      <c r="H8504" s="153" t="s">
        <v>214</v>
      </c>
    </row>
    <row r="8505" hidden="1">
      <c r="A8505" s="154" t="s">
        <v>225</v>
      </c>
      <c r="B8505" s="155" t="s">
        <v>226</v>
      </c>
      <c r="C8505" s="155" t="s">
        <v>206</v>
      </c>
      <c r="D8505" s="156" t="s">
        <v>9388</v>
      </c>
      <c r="E8505" s="156" t="s">
        <v>9461</v>
      </c>
      <c r="F8505" s="156" t="s">
        <v>735</v>
      </c>
      <c r="G8505" s="156" t="s">
        <v>3007</v>
      </c>
      <c r="H8505" s="157" t="s">
        <v>215</v>
      </c>
    </row>
    <row r="8506" hidden="1">
      <c r="A8506" s="151" t="s">
        <v>225</v>
      </c>
      <c r="B8506" s="118" t="s">
        <v>226</v>
      </c>
      <c r="C8506" s="118" t="s">
        <v>206</v>
      </c>
      <c r="D8506" s="152" t="s">
        <v>9388</v>
      </c>
      <c r="E8506" s="152" t="s">
        <v>9462</v>
      </c>
      <c r="F8506" s="152" t="s">
        <v>1999</v>
      </c>
      <c r="G8506" s="152" t="s">
        <v>2929</v>
      </c>
      <c r="H8506" s="153" t="s">
        <v>216</v>
      </c>
    </row>
    <row r="8507" hidden="1">
      <c r="A8507" s="154" t="s">
        <v>227</v>
      </c>
      <c r="B8507" s="155" t="s">
        <v>195</v>
      </c>
      <c r="C8507" s="155" t="s">
        <v>206</v>
      </c>
      <c r="D8507" s="156" t="s">
        <v>9388</v>
      </c>
      <c r="E8507" s="156" t="s">
        <v>9463</v>
      </c>
      <c r="F8507" s="156" t="s">
        <v>9464</v>
      </c>
      <c r="G8507" s="156" t="s">
        <v>3597</v>
      </c>
      <c r="H8507" s="157" t="s">
        <v>210</v>
      </c>
    </row>
    <row r="8508" hidden="1">
      <c r="A8508" s="151" t="s">
        <v>227</v>
      </c>
      <c r="B8508" s="118" t="s">
        <v>195</v>
      </c>
      <c r="C8508" s="118" t="s">
        <v>206</v>
      </c>
      <c r="D8508" s="152" t="s">
        <v>9388</v>
      </c>
      <c r="E8508" s="152" t="s">
        <v>9465</v>
      </c>
      <c r="F8508" s="152" t="s">
        <v>4251</v>
      </c>
      <c r="G8508" s="152" t="s">
        <v>4225</v>
      </c>
      <c r="H8508" s="153" t="s">
        <v>211</v>
      </c>
    </row>
    <row r="8509" hidden="1">
      <c r="A8509" s="154" t="s">
        <v>227</v>
      </c>
      <c r="B8509" s="155" t="s">
        <v>195</v>
      </c>
      <c r="C8509" s="155" t="s">
        <v>206</v>
      </c>
      <c r="D8509" s="156" t="s">
        <v>9388</v>
      </c>
      <c r="E8509" s="156" t="s">
        <v>9466</v>
      </c>
      <c r="F8509" s="156" t="s">
        <v>2512</v>
      </c>
      <c r="G8509" s="156" t="s">
        <v>4376</v>
      </c>
      <c r="H8509" s="157" t="s">
        <v>212</v>
      </c>
    </row>
    <row r="8510" hidden="1">
      <c r="A8510" s="151" t="s">
        <v>227</v>
      </c>
      <c r="B8510" s="118" t="s">
        <v>195</v>
      </c>
      <c r="C8510" s="118" t="s">
        <v>206</v>
      </c>
      <c r="D8510" s="152" t="s">
        <v>9388</v>
      </c>
      <c r="E8510" s="152" t="s">
        <v>9467</v>
      </c>
      <c r="F8510" s="152" t="s">
        <v>292</v>
      </c>
      <c r="G8510" s="152" t="s">
        <v>9135</v>
      </c>
      <c r="H8510" s="153" t="s">
        <v>213</v>
      </c>
    </row>
    <row r="8511" hidden="1">
      <c r="A8511" s="154" t="s">
        <v>227</v>
      </c>
      <c r="B8511" s="155" t="s">
        <v>195</v>
      </c>
      <c r="C8511" s="155" t="s">
        <v>206</v>
      </c>
      <c r="D8511" s="156" t="s">
        <v>9388</v>
      </c>
      <c r="E8511" s="156" t="s">
        <v>9468</v>
      </c>
      <c r="F8511" s="156" t="s">
        <v>9469</v>
      </c>
      <c r="G8511" s="156" t="s">
        <v>3607</v>
      </c>
      <c r="H8511" s="157" t="s">
        <v>214</v>
      </c>
    </row>
    <row r="8512" hidden="1">
      <c r="A8512" s="151" t="s">
        <v>227</v>
      </c>
      <c r="B8512" s="118" t="s">
        <v>195</v>
      </c>
      <c r="C8512" s="118" t="s">
        <v>206</v>
      </c>
      <c r="D8512" s="152" t="s">
        <v>9388</v>
      </c>
      <c r="E8512" s="152" t="s">
        <v>9470</v>
      </c>
      <c r="F8512" s="152" t="s">
        <v>2005</v>
      </c>
      <c r="G8512" s="152" t="s">
        <v>3537</v>
      </c>
      <c r="H8512" s="153" t="s">
        <v>215</v>
      </c>
    </row>
    <row r="8513" hidden="1">
      <c r="A8513" s="154" t="s">
        <v>227</v>
      </c>
      <c r="B8513" s="155" t="s">
        <v>195</v>
      </c>
      <c r="C8513" s="155" t="s">
        <v>206</v>
      </c>
      <c r="D8513" s="156" t="s">
        <v>9388</v>
      </c>
      <c r="E8513" s="156" t="s">
        <v>9471</v>
      </c>
      <c r="F8513" s="156" t="s">
        <v>1765</v>
      </c>
      <c r="G8513" s="156" t="s">
        <v>7605</v>
      </c>
      <c r="H8513" s="157" t="s">
        <v>216</v>
      </c>
    </row>
    <row r="8514" hidden="1">
      <c r="A8514" s="151" t="s">
        <v>228</v>
      </c>
      <c r="B8514" s="118" t="s">
        <v>138</v>
      </c>
      <c r="C8514" s="118" t="s">
        <v>206</v>
      </c>
      <c r="D8514" s="152" t="s">
        <v>9388</v>
      </c>
      <c r="E8514" s="152" t="s">
        <v>9472</v>
      </c>
      <c r="F8514" s="152" t="s">
        <v>3346</v>
      </c>
      <c r="G8514" s="152" t="s">
        <v>1788</v>
      </c>
      <c r="H8514" s="153" t="s">
        <v>210</v>
      </c>
    </row>
    <row r="8515" hidden="1">
      <c r="A8515" s="154" t="s">
        <v>228</v>
      </c>
      <c r="B8515" s="155" t="s">
        <v>138</v>
      </c>
      <c r="C8515" s="155" t="s">
        <v>206</v>
      </c>
      <c r="D8515" s="156" t="s">
        <v>9388</v>
      </c>
      <c r="E8515" s="156" t="s">
        <v>9473</v>
      </c>
      <c r="F8515" s="156" t="s">
        <v>325</v>
      </c>
      <c r="G8515" s="156" t="s">
        <v>3636</v>
      </c>
      <c r="H8515" s="157" t="s">
        <v>211</v>
      </c>
    </row>
    <row r="8516" hidden="1">
      <c r="A8516" s="151" t="s">
        <v>228</v>
      </c>
      <c r="B8516" s="118" t="s">
        <v>138</v>
      </c>
      <c r="C8516" s="118" t="s">
        <v>206</v>
      </c>
      <c r="D8516" s="152" t="s">
        <v>9388</v>
      </c>
      <c r="E8516" s="152" t="s">
        <v>9474</v>
      </c>
      <c r="F8516" s="152" t="s">
        <v>336</v>
      </c>
      <c r="G8516" s="152" t="s">
        <v>4317</v>
      </c>
      <c r="H8516" s="153" t="s">
        <v>212</v>
      </c>
    </row>
    <row r="8517" hidden="1">
      <c r="A8517" s="154" t="s">
        <v>228</v>
      </c>
      <c r="B8517" s="155" t="s">
        <v>138</v>
      </c>
      <c r="C8517" s="155" t="s">
        <v>206</v>
      </c>
      <c r="D8517" s="156" t="s">
        <v>9388</v>
      </c>
      <c r="E8517" s="156" t="s">
        <v>9475</v>
      </c>
      <c r="F8517" s="156" t="s">
        <v>494</v>
      </c>
      <c r="G8517" s="156" t="s">
        <v>2352</v>
      </c>
      <c r="H8517" s="157" t="s">
        <v>213</v>
      </c>
    </row>
    <row r="8518" hidden="1">
      <c r="A8518" s="151" t="s">
        <v>228</v>
      </c>
      <c r="B8518" s="118" t="s">
        <v>138</v>
      </c>
      <c r="C8518" s="118" t="s">
        <v>206</v>
      </c>
      <c r="D8518" s="152" t="s">
        <v>9388</v>
      </c>
      <c r="E8518" s="152" t="s">
        <v>9476</v>
      </c>
      <c r="F8518" s="152" t="s">
        <v>730</v>
      </c>
      <c r="G8518" s="152" t="s">
        <v>3694</v>
      </c>
      <c r="H8518" s="153" t="s">
        <v>214</v>
      </c>
    </row>
    <row r="8519" hidden="1">
      <c r="A8519" s="154" t="s">
        <v>228</v>
      </c>
      <c r="B8519" s="155" t="s">
        <v>138</v>
      </c>
      <c r="C8519" s="155" t="s">
        <v>206</v>
      </c>
      <c r="D8519" s="156" t="s">
        <v>9388</v>
      </c>
      <c r="E8519" s="156" t="s">
        <v>9477</v>
      </c>
      <c r="F8519" s="156" t="s">
        <v>577</v>
      </c>
      <c r="G8519" s="156" t="s">
        <v>3640</v>
      </c>
      <c r="H8519" s="157" t="s">
        <v>215</v>
      </c>
    </row>
    <row r="8520" hidden="1">
      <c r="A8520" s="151" t="s">
        <v>228</v>
      </c>
      <c r="B8520" s="118" t="s">
        <v>138</v>
      </c>
      <c r="C8520" s="118" t="s">
        <v>206</v>
      </c>
      <c r="D8520" s="152" t="s">
        <v>9388</v>
      </c>
      <c r="E8520" s="152" t="s">
        <v>9478</v>
      </c>
      <c r="F8520" s="152" t="s">
        <v>1530</v>
      </c>
      <c r="G8520" s="152" t="s">
        <v>3541</v>
      </c>
      <c r="H8520" s="153" t="s">
        <v>216</v>
      </c>
    </row>
    <row r="8521" hidden="1">
      <c r="A8521" s="154" t="s">
        <v>229</v>
      </c>
      <c r="B8521" s="155" t="s">
        <v>193</v>
      </c>
      <c r="C8521" s="155" t="s">
        <v>206</v>
      </c>
      <c r="D8521" s="156" t="s">
        <v>9388</v>
      </c>
      <c r="E8521" s="156" t="s">
        <v>9479</v>
      </c>
      <c r="F8521" s="156" t="s">
        <v>9480</v>
      </c>
      <c r="G8521" s="156" t="s">
        <v>9481</v>
      </c>
      <c r="H8521" s="157" t="s">
        <v>210</v>
      </c>
    </row>
    <row r="8522" hidden="1">
      <c r="A8522" s="151" t="s">
        <v>229</v>
      </c>
      <c r="B8522" s="118" t="s">
        <v>193</v>
      </c>
      <c r="C8522" s="118" t="s">
        <v>206</v>
      </c>
      <c r="D8522" s="152" t="s">
        <v>9388</v>
      </c>
      <c r="E8522" s="152" t="s">
        <v>9482</v>
      </c>
      <c r="F8522" s="152" t="s">
        <v>3145</v>
      </c>
      <c r="G8522" s="152" t="s">
        <v>9335</v>
      </c>
      <c r="H8522" s="153" t="s">
        <v>211</v>
      </c>
    </row>
    <row r="8523" hidden="1">
      <c r="A8523" s="154" t="s">
        <v>229</v>
      </c>
      <c r="B8523" s="155" t="s">
        <v>193</v>
      </c>
      <c r="C8523" s="155" t="s">
        <v>206</v>
      </c>
      <c r="D8523" s="156" t="s">
        <v>9388</v>
      </c>
      <c r="E8523" s="156" t="s">
        <v>9483</v>
      </c>
      <c r="F8523" s="156" t="s">
        <v>730</v>
      </c>
      <c r="G8523" s="156" t="s">
        <v>9484</v>
      </c>
      <c r="H8523" s="157" t="s">
        <v>212</v>
      </c>
    </row>
    <row r="8524" hidden="1">
      <c r="A8524" s="151" t="s">
        <v>229</v>
      </c>
      <c r="B8524" s="118" t="s">
        <v>193</v>
      </c>
      <c r="C8524" s="118" t="s">
        <v>206</v>
      </c>
      <c r="D8524" s="152" t="s">
        <v>9388</v>
      </c>
      <c r="E8524" s="152" t="s">
        <v>9485</v>
      </c>
      <c r="F8524" s="152" t="s">
        <v>758</v>
      </c>
      <c r="G8524" s="152" t="s">
        <v>9486</v>
      </c>
      <c r="H8524" s="153" t="s">
        <v>213</v>
      </c>
    </row>
    <row r="8525" hidden="1">
      <c r="A8525" s="154" t="s">
        <v>229</v>
      </c>
      <c r="B8525" s="155" t="s">
        <v>193</v>
      </c>
      <c r="C8525" s="155" t="s">
        <v>206</v>
      </c>
      <c r="D8525" s="156" t="s">
        <v>9388</v>
      </c>
      <c r="E8525" s="156" t="s">
        <v>9487</v>
      </c>
      <c r="F8525" s="156" t="s">
        <v>2226</v>
      </c>
      <c r="G8525" s="156" t="s">
        <v>9488</v>
      </c>
      <c r="H8525" s="157" t="s">
        <v>214</v>
      </c>
    </row>
    <row r="8526" hidden="1">
      <c r="A8526" s="151" t="s">
        <v>229</v>
      </c>
      <c r="B8526" s="118" t="s">
        <v>193</v>
      </c>
      <c r="C8526" s="118" t="s">
        <v>206</v>
      </c>
      <c r="D8526" s="152" t="s">
        <v>9388</v>
      </c>
      <c r="E8526" s="152" t="s">
        <v>9489</v>
      </c>
      <c r="F8526" s="152" t="s">
        <v>292</v>
      </c>
      <c r="G8526" s="152" t="s">
        <v>9490</v>
      </c>
      <c r="H8526" s="153" t="s">
        <v>215</v>
      </c>
    </row>
    <row r="8527" hidden="1">
      <c r="A8527" s="154" t="s">
        <v>229</v>
      </c>
      <c r="B8527" s="155" t="s">
        <v>193</v>
      </c>
      <c r="C8527" s="155" t="s">
        <v>206</v>
      </c>
      <c r="D8527" s="156" t="s">
        <v>9388</v>
      </c>
      <c r="E8527" s="156" t="s">
        <v>9491</v>
      </c>
      <c r="F8527" s="156" t="s">
        <v>637</v>
      </c>
      <c r="G8527" s="156" t="s">
        <v>9492</v>
      </c>
      <c r="H8527" s="157" t="s">
        <v>216</v>
      </c>
    </row>
    <row r="8528" hidden="1">
      <c r="A8528" s="151" t="s">
        <v>230</v>
      </c>
      <c r="B8528" s="118" t="s">
        <v>194</v>
      </c>
      <c r="C8528" s="118" t="s">
        <v>206</v>
      </c>
      <c r="D8528" s="152" t="s">
        <v>9388</v>
      </c>
      <c r="E8528" s="152" t="s">
        <v>9493</v>
      </c>
      <c r="F8528" s="152" t="s">
        <v>1790</v>
      </c>
      <c r="G8528" s="152" t="s">
        <v>3694</v>
      </c>
      <c r="H8528" s="153" t="s">
        <v>210</v>
      </c>
    </row>
    <row r="8529" hidden="1">
      <c r="A8529" s="154" t="s">
        <v>230</v>
      </c>
      <c r="B8529" s="155" t="s">
        <v>194</v>
      </c>
      <c r="C8529" s="155" t="s">
        <v>206</v>
      </c>
      <c r="D8529" s="156" t="s">
        <v>9388</v>
      </c>
      <c r="E8529" s="156" t="s">
        <v>9494</v>
      </c>
      <c r="F8529" s="156" t="s">
        <v>2228</v>
      </c>
      <c r="G8529" s="156" t="s">
        <v>4167</v>
      </c>
      <c r="H8529" s="157" t="s">
        <v>211</v>
      </c>
    </row>
    <row r="8530" hidden="1">
      <c r="A8530" s="151" t="s">
        <v>230</v>
      </c>
      <c r="B8530" s="118" t="s">
        <v>194</v>
      </c>
      <c r="C8530" s="118" t="s">
        <v>206</v>
      </c>
      <c r="D8530" s="152" t="s">
        <v>9388</v>
      </c>
      <c r="E8530" s="152" t="s">
        <v>9495</v>
      </c>
      <c r="F8530" s="152" t="s">
        <v>2005</v>
      </c>
      <c r="G8530" s="152" t="s">
        <v>5084</v>
      </c>
      <c r="H8530" s="153" t="s">
        <v>212</v>
      </c>
    </row>
    <row r="8531" hidden="1">
      <c r="A8531" s="154" t="s">
        <v>230</v>
      </c>
      <c r="B8531" s="155" t="s">
        <v>194</v>
      </c>
      <c r="C8531" s="155" t="s">
        <v>206</v>
      </c>
      <c r="D8531" s="156" t="s">
        <v>9388</v>
      </c>
      <c r="E8531" s="156" t="s">
        <v>9496</v>
      </c>
      <c r="F8531" s="156" t="s">
        <v>691</v>
      </c>
      <c r="G8531" s="156" t="s">
        <v>3430</v>
      </c>
      <c r="H8531" s="157" t="s">
        <v>213</v>
      </c>
    </row>
    <row r="8532" hidden="1">
      <c r="A8532" s="151" t="s">
        <v>230</v>
      </c>
      <c r="B8532" s="118" t="s">
        <v>194</v>
      </c>
      <c r="C8532" s="118" t="s">
        <v>206</v>
      </c>
      <c r="D8532" s="152" t="s">
        <v>9388</v>
      </c>
      <c r="E8532" s="152" t="s">
        <v>9497</v>
      </c>
      <c r="F8532" s="152" t="s">
        <v>691</v>
      </c>
      <c r="G8532" s="152" t="s">
        <v>3304</v>
      </c>
      <c r="H8532" s="153" t="s">
        <v>214</v>
      </c>
    </row>
    <row r="8533" hidden="1">
      <c r="A8533" s="154" t="s">
        <v>230</v>
      </c>
      <c r="B8533" s="155" t="s">
        <v>194</v>
      </c>
      <c r="C8533" s="155" t="s">
        <v>206</v>
      </c>
      <c r="D8533" s="156" t="s">
        <v>9388</v>
      </c>
      <c r="E8533" s="156" t="s">
        <v>9498</v>
      </c>
      <c r="F8533" s="156" t="s">
        <v>3198</v>
      </c>
      <c r="G8533" s="156" t="s">
        <v>1788</v>
      </c>
      <c r="H8533" s="157" t="s">
        <v>215</v>
      </c>
    </row>
    <row r="8534" hidden="1">
      <c r="A8534" s="151" t="s">
        <v>230</v>
      </c>
      <c r="B8534" s="118" t="s">
        <v>194</v>
      </c>
      <c r="C8534" s="118" t="s">
        <v>206</v>
      </c>
      <c r="D8534" s="152" t="s">
        <v>9388</v>
      </c>
      <c r="E8534" s="152" t="s">
        <v>9499</v>
      </c>
      <c r="F8534" s="152" t="s">
        <v>2228</v>
      </c>
      <c r="G8534" s="152" t="s">
        <v>4509</v>
      </c>
      <c r="H8534" s="153" t="s">
        <v>216</v>
      </c>
    </row>
    <row r="8535" hidden="1">
      <c r="A8535" s="158" t="s">
        <v>231</v>
      </c>
      <c r="B8535" s="159"/>
      <c r="C8535" s="155" t="s">
        <v>232</v>
      </c>
      <c r="D8535" s="156" t="s">
        <v>9388</v>
      </c>
      <c r="E8535" s="156" t="s">
        <v>9500</v>
      </c>
      <c r="F8535" s="156" t="s">
        <v>229</v>
      </c>
      <c r="G8535" s="156" t="s">
        <v>208</v>
      </c>
      <c r="H8535" s="157" t="s">
        <v>210</v>
      </c>
    </row>
    <row r="8536" hidden="1">
      <c r="A8536" s="160" t="s">
        <v>231</v>
      </c>
      <c r="B8536" s="72"/>
      <c r="C8536" s="118" t="s">
        <v>232</v>
      </c>
      <c r="D8536" s="152" t="s">
        <v>9388</v>
      </c>
      <c r="E8536" s="152" t="s">
        <v>9501</v>
      </c>
      <c r="F8536" s="152" t="s">
        <v>2169</v>
      </c>
      <c r="G8536" s="152" t="s">
        <v>9502</v>
      </c>
      <c r="H8536" s="153" t="s">
        <v>211</v>
      </c>
    </row>
    <row r="8537" hidden="1">
      <c r="A8537" s="158" t="s">
        <v>231</v>
      </c>
      <c r="B8537" s="159"/>
      <c r="C8537" s="155" t="s">
        <v>232</v>
      </c>
      <c r="D8537" s="156" t="s">
        <v>9388</v>
      </c>
      <c r="E8537" s="156" t="s">
        <v>9503</v>
      </c>
      <c r="F8537" s="156" t="s">
        <v>732</v>
      </c>
      <c r="G8537" s="156" t="s">
        <v>9504</v>
      </c>
      <c r="H8537" s="157" t="s">
        <v>212</v>
      </c>
    </row>
    <row r="8538" hidden="1">
      <c r="A8538" s="160" t="s">
        <v>231</v>
      </c>
      <c r="B8538" s="72"/>
      <c r="C8538" s="118" t="s">
        <v>232</v>
      </c>
      <c r="D8538" s="152" t="s">
        <v>9388</v>
      </c>
      <c r="E8538" s="152" t="s">
        <v>9505</v>
      </c>
      <c r="F8538" s="152" t="s">
        <v>1920</v>
      </c>
      <c r="G8538" s="152" t="s">
        <v>9417</v>
      </c>
      <c r="H8538" s="153" t="s">
        <v>213</v>
      </c>
    </row>
    <row r="8539" hidden="1">
      <c r="A8539" s="158" t="s">
        <v>231</v>
      </c>
      <c r="B8539" s="159"/>
      <c r="C8539" s="155" t="s">
        <v>232</v>
      </c>
      <c r="D8539" s="156" t="s">
        <v>9388</v>
      </c>
      <c r="E8539" s="156" t="s">
        <v>9506</v>
      </c>
      <c r="F8539" s="156" t="s">
        <v>2169</v>
      </c>
      <c r="G8539" s="156" t="s">
        <v>9421</v>
      </c>
      <c r="H8539" s="157" t="s">
        <v>214</v>
      </c>
    </row>
    <row r="8540" hidden="1">
      <c r="A8540" s="160" t="s">
        <v>231</v>
      </c>
      <c r="B8540" s="72"/>
      <c r="C8540" s="118" t="s">
        <v>232</v>
      </c>
      <c r="D8540" s="152" t="s">
        <v>9388</v>
      </c>
      <c r="E8540" s="152" t="s">
        <v>9507</v>
      </c>
      <c r="F8540" s="152" t="s">
        <v>9508</v>
      </c>
      <c r="G8540" s="152" t="s">
        <v>9509</v>
      </c>
      <c r="H8540" s="153" t="s">
        <v>215</v>
      </c>
    </row>
    <row r="8541" hidden="1">
      <c r="A8541" s="158" t="s">
        <v>231</v>
      </c>
      <c r="B8541" s="159"/>
      <c r="C8541" s="155" t="s">
        <v>232</v>
      </c>
      <c r="D8541" s="156" t="s">
        <v>9388</v>
      </c>
      <c r="E8541" s="156" t="s">
        <v>9510</v>
      </c>
      <c r="F8541" s="156" t="s">
        <v>9480</v>
      </c>
      <c r="G8541" s="156" t="s">
        <v>9511</v>
      </c>
      <c r="H8541" s="157" t="s">
        <v>216</v>
      </c>
    </row>
    <row r="8542" hidden="1">
      <c r="A8542" s="160" t="s">
        <v>233</v>
      </c>
      <c r="B8542" s="72"/>
      <c r="C8542" s="118" t="s">
        <v>232</v>
      </c>
      <c r="D8542" s="152" t="s">
        <v>9388</v>
      </c>
      <c r="E8542" s="152" t="s">
        <v>9512</v>
      </c>
      <c r="F8542" s="152" t="s">
        <v>3340</v>
      </c>
      <c r="G8542" s="152" t="s">
        <v>7282</v>
      </c>
      <c r="H8542" s="153" t="s">
        <v>210</v>
      </c>
    </row>
    <row r="8543" hidden="1">
      <c r="A8543" s="158" t="s">
        <v>233</v>
      </c>
      <c r="B8543" s="159"/>
      <c r="C8543" s="155" t="s">
        <v>232</v>
      </c>
      <c r="D8543" s="156" t="s">
        <v>9388</v>
      </c>
      <c r="E8543" s="156" t="s">
        <v>9513</v>
      </c>
      <c r="F8543" s="156" t="s">
        <v>3198</v>
      </c>
      <c r="G8543" s="156" t="s">
        <v>3633</v>
      </c>
      <c r="H8543" s="157" t="s">
        <v>211</v>
      </c>
    </row>
    <row r="8544" hidden="1">
      <c r="A8544" s="160" t="s">
        <v>233</v>
      </c>
      <c r="B8544" s="72"/>
      <c r="C8544" s="118" t="s">
        <v>232</v>
      </c>
      <c r="D8544" s="152" t="s">
        <v>9388</v>
      </c>
      <c r="E8544" s="152" t="s">
        <v>9514</v>
      </c>
      <c r="F8544" s="152" t="s">
        <v>3359</v>
      </c>
      <c r="G8544" s="152" t="s">
        <v>9515</v>
      </c>
      <c r="H8544" s="153" t="s">
        <v>212</v>
      </c>
    </row>
    <row r="8545" hidden="1">
      <c r="A8545" s="158" t="s">
        <v>233</v>
      </c>
      <c r="B8545" s="159"/>
      <c r="C8545" s="155" t="s">
        <v>232</v>
      </c>
      <c r="D8545" s="156" t="s">
        <v>9388</v>
      </c>
      <c r="E8545" s="156" t="s">
        <v>9516</v>
      </c>
      <c r="F8545" s="156" t="s">
        <v>763</v>
      </c>
      <c r="G8545" s="156" t="s">
        <v>4379</v>
      </c>
      <c r="H8545" s="157" t="s">
        <v>213</v>
      </c>
    </row>
    <row r="8546" hidden="1">
      <c r="A8546" s="160" t="s">
        <v>233</v>
      </c>
      <c r="B8546" s="72"/>
      <c r="C8546" s="118" t="s">
        <v>232</v>
      </c>
      <c r="D8546" s="152" t="s">
        <v>9388</v>
      </c>
      <c r="E8546" s="152" t="s">
        <v>9517</v>
      </c>
      <c r="F8546" s="152" t="s">
        <v>766</v>
      </c>
      <c r="G8546" s="152" t="s">
        <v>7600</v>
      </c>
      <c r="H8546" s="153" t="s">
        <v>214</v>
      </c>
    </row>
    <row r="8547" hidden="1">
      <c r="A8547" s="158" t="s">
        <v>233</v>
      </c>
      <c r="B8547" s="159"/>
      <c r="C8547" s="155" t="s">
        <v>232</v>
      </c>
      <c r="D8547" s="156" t="s">
        <v>9388</v>
      </c>
      <c r="E8547" s="156" t="s">
        <v>9518</v>
      </c>
      <c r="F8547" s="156" t="s">
        <v>3346</v>
      </c>
      <c r="G8547" s="156" t="s">
        <v>9400</v>
      </c>
      <c r="H8547" s="157" t="s">
        <v>215</v>
      </c>
    </row>
    <row r="8548" hidden="1">
      <c r="A8548" s="160" t="s">
        <v>233</v>
      </c>
      <c r="B8548" s="72"/>
      <c r="C8548" s="118" t="s">
        <v>232</v>
      </c>
      <c r="D8548" s="152" t="s">
        <v>9388</v>
      </c>
      <c r="E8548" s="152" t="s">
        <v>9519</v>
      </c>
      <c r="F8548" s="152" t="s">
        <v>3198</v>
      </c>
      <c r="G8548" s="152" t="s">
        <v>6645</v>
      </c>
      <c r="H8548" s="153" t="s">
        <v>216</v>
      </c>
    </row>
    <row r="8549" hidden="1">
      <c r="A8549" s="158" t="s">
        <v>234</v>
      </c>
      <c r="B8549" s="159"/>
      <c r="C8549" s="155" t="s">
        <v>232</v>
      </c>
      <c r="D8549" s="156" t="s">
        <v>9388</v>
      </c>
      <c r="E8549" s="156" t="s">
        <v>9520</v>
      </c>
      <c r="F8549" s="156" t="s">
        <v>312</v>
      </c>
      <c r="G8549" s="156" t="s">
        <v>3710</v>
      </c>
      <c r="H8549" s="157" t="s">
        <v>210</v>
      </c>
    </row>
    <row r="8550" hidden="1">
      <c r="A8550" s="160" t="s">
        <v>234</v>
      </c>
      <c r="B8550" s="72"/>
      <c r="C8550" s="118" t="s">
        <v>232</v>
      </c>
      <c r="D8550" s="152" t="s">
        <v>9388</v>
      </c>
      <c r="E8550" s="152" t="s">
        <v>9521</v>
      </c>
      <c r="F8550" s="152" t="s">
        <v>423</v>
      </c>
      <c r="G8550" s="152" t="s">
        <v>3815</v>
      </c>
      <c r="H8550" s="153" t="s">
        <v>211</v>
      </c>
    </row>
    <row r="8551" hidden="1">
      <c r="A8551" s="158" t="s">
        <v>234</v>
      </c>
      <c r="B8551" s="159"/>
      <c r="C8551" s="155" t="s">
        <v>232</v>
      </c>
      <c r="D8551" s="156" t="s">
        <v>9388</v>
      </c>
      <c r="E8551" s="156" t="s">
        <v>9522</v>
      </c>
      <c r="F8551" s="156" t="s">
        <v>677</v>
      </c>
      <c r="G8551" s="156" t="s">
        <v>4116</v>
      </c>
      <c r="H8551" s="157" t="s">
        <v>212</v>
      </c>
    </row>
    <row r="8552" hidden="1">
      <c r="A8552" s="160" t="s">
        <v>234</v>
      </c>
      <c r="B8552" s="72"/>
      <c r="C8552" s="118" t="s">
        <v>232</v>
      </c>
      <c r="D8552" s="152" t="s">
        <v>9388</v>
      </c>
      <c r="E8552" s="152" t="s">
        <v>9523</v>
      </c>
      <c r="F8552" s="152" t="s">
        <v>354</v>
      </c>
      <c r="G8552" s="152" t="s">
        <v>2820</v>
      </c>
      <c r="H8552" s="153" t="s">
        <v>213</v>
      </c>
    </row>
    <row r="8553" hidden="1">
      <c r="A8553" s="158" t="s">
        <v>234</v>
      </c>
      <c r="B8553" s="159"/>
      <c r="C8553" s="155" t="s">
        <v>232</v>
      </c>
      <c r="D8553" s="156" t="s">
        <v>9388</v>
      </c>
      <c r="E8553" s="156" t="s">
        <v>9524</v>
      </c>
      <c r="F8553" s="156" t="s">
        <v>448</v>
      </c>
      <c r="G8553" s="156" t="s">
        <v>3900</v>
      </c>
      <c r="H8553" s="157" t="s">
        <v>214</v>
      </c>
    </row>
    <row r="8554" hidden="1">
      <c r="A8554" s="160" t="s">
        <v>234</v>
      </c>
      <c r="B8554" s="72"/>
      <c r="C8554" s="118" t="s">
        <v>232</v>
      </c>
      <c r="D8554" s="152" t="s">
        <v>9388</v>
      </c>
      <c r="E8554" s="152" t="s">
        <v>9525</v>
      </c>
      <c r="F8554" s="152" t="s">
        <v>760</v>
      </c>
      <c r="G8554" s="152" t="s">
        <v>3734</v>
      </c>
      <c r="H8554" s="153" t="s">
        <v>215</v>
      </c>
    </row>
    <row r="8555" hidden="1">
      <c r="A8555" s="158" t="s">
        <v>234</v>
      </c>
      <c r="B8555" s="159"/>
      <c r="C8555" s="155" t="s">
        <v>232</v>
      </c>
      <c r="D8555" s="156" t="s">
        <v>9388</v>
      </c>
      <c r="E8555" s="156" t="s">
        <v>9526</v>
      </c>
      <c r="F8555" s="156" t="s">
        <v>677</v>
      </c>
      <c r="G8555" s="156" t="s">
        <v>3919</v>
      </c>
      <c r="H8555" s="157" t="s">
        <v>216</v>
      </c>
    </row>
    <row r="8556" hidden="1">
      <c r="A8556" s="160" t="s">
        <v>235</v>
      </c>
      <c r="B8556" s="72"/>
      <c r="C8556" s="118" t="s">
        <v>236</v>
      </c>
      <c r="D8556" s="152" t="s">
        <v>9388</v>
      </c>
      <c r="E8556" s="152" t="s">
        <v>9527</v>
      </c>
      <c r="F8556" s="152" t="s">
        <v>348</v>
      </c>
      <c r="G8556" s="152" t="s">
        <v>7282</v>
      </c>
      <c r="H8556" s="153" t="s">
        <v>210</v>
      </c>
    </row>
    <row r="8557" hidden="1">
      <c r="A8557" s="158" t="s">
        <v>235</v>
      </c>
      <c r="B8557" s="159"/>
      <c r="C8557" s="155" t="s">
        <v>236</v>
      </c>
      <c r="D8557" s="156" t="s">
        <v>9388</v>
      </c>
      <c r="E8557" s="156" t="s">
        <v>9528</v>
      </c>
      <c r="F8557" s="156" t="s">
        <v>3359</v>
      </c>
      <c r="G8557" s="156" t="s">
        <v>4517</v>
      </c>
      <c r="H8557" s="157" t="s">
        <v>211</v>
      </c>
    </row>
    <row r="8558" hidden="1">
      <c r="A8558" s="160" t="s">
        <v>235</v>
      </c>
      <c r="B8558" s="72"/>
      <c r="C8558" s="118" t="s">
        <v>236</v>
      </c>
      <c r="D8558" s="152" t="s">
        <v>9388</v>
      </c>
      <c r="E8558" s="152" t="s">
        <v>9529</v>
      </c>
      <c r="F8558" s="152" t="s">
        <v>2215</v>
      </c>
      <c r="G8558" s="152" t="s">
        <v>6262</v>
      </c>
      <c r="H8558" s="153" t="s">
        <v>212</v>
      </c>
    </row>
    <row r="8559" hidden="1">
      <c r="A8559" s="158" t="s">
        <v>235</v>
      </c>
      <c r="B8559" s="159"/>
      <c r="C8559" s="155" t="s">
        <v>236</v>
      </c>
      <c r="D8559" s="156" t="s">
        <v>9388</v>
      </c>
      <c r="E8559" s="156" t="s">
        <v>9530</v>
      </c>
      <c r="F8559" s="156" t="s">
        <v>766</v>
      </c>
      <c r="G8559" s="156" t="s">
        <v>9531</v>
      </c>
      <c r="H8559" s="157" t="s">
        <v>213</v>
      </c>
    </row>
    <row r="8560" hidden="1">
      <c r="A8560" s="160" t="s">
        <v>235</v>
      </c>
      <c r="B8560" s="72"/>
      <c r="C8560" s="118" t="s">
        <v>236</v>
      </c>
      <c r="D8560" s="152" t="s">
        <v>9388</v>
      </c>
      <c r="E8560" s="152" t="s">
        <v>9532</v>
      </c>
      <c r="F8560" s="152" t="s">
        <v>2607</v>
      </c>
      <c r="G8560" s="152" t="s">
        <v>9135</v>
      </c>
      <c r="H8560" s="153" t="s">
        <v>214</v>
      </c>
    </row>
    <row r="8561" hidden="1">
      <c r="A8561" s="158" t="s">
        <v>235</v>
      </c>
      <c r="B8561" s="159"/>
      <c r="C8561" s="155" t="s">
        <v>236</v>
      </c>
      <c r="D8561" s="156" t="s">
        <v>9388</v>
      </c>
      <c r="E8561" s="156" t="s">
        <v>9533</v>
      </c>
      <c r="F8561" s="156" t="s">
        <v>444</v>
      </c>
      <c r="G8561" s="156" t="s">
        <v>6262</v>
      </c>
      <c r="H8561" s="157" t="s">
        <v>215</v>
      </c>
    </row>
    <row r="8562" hidden="1">
      <c r="A8562" s="160" t="s">
        <v>235</v>
      </c>
      <c r="B8562" s="72"/>
      <c r="C8562" s="118" t="s">
        <v>236</v>
      </c>
      <c r="D8562" s="152" t="s">
        <v>9388</v>
      </c>
      <c r="E8562" s="152" t="s">
        <v>9534</v>
      </c>
      <c r="F8562" s="152" t="s">
        <v>3198</v>
      </c>
      <c r="G8562" s="152" t="s">
        <v>4521</v>
      </c>
      <c r="H8562" s="153" t="s">
        <v>216</v>
      </c>
    </row>
    <row r="8563" hidden="1">
      <c r="A8563" s="158" t="s">
        <v>237</v>
      </c>
      <c r="B8563" s="159"/>
      <c r="C8563" s="155" t="s">
        <v>236</v>
      </c>
      <c r="D8563" s="156" t="s">
        <v>9388</v>
      </c>
      <c r="E8563" s="156" t="s">
        <v>9535</v>
      </c>
      <c r="F8563" s="156" t="s">
        <v>497</v>
      </c>
      <c r="G8563" s="156" t="s">
        <v>4371</v>
      </c>
      <c r="H8563" s="157" t="s">
        <v>210</v>
      </c>
    </row>
    <row r="8564" hidden="1">
      <c r="A8564" s="160" t="s">
        <v>237</v>
      </c>
      <c r="B8564" s="72"/>
      <c r="C8564" s="118" t="s">
        <v>236</v>
      </c>
      <c r="D8564" s="152" t="s">
        <v>9388</v>
      </c>
      <c r="E8564" s="152" t="s">
        <v>9536</v>
      </c>
      <c r="F8564" s="152" t="s">
        <v>3340</v>
      </c>
      <c r="G8564" s="152" t="s">
        <v>3696</v>
      </c>
      <c r="H8564" s="153" t="s">
        <v>211</v>
      </c>
    </row>
    <row r="8565" hidden="1">
      <c r="A8565" s="158" t="s">
        <v>237</v>
      </c>
      <c r="B8565" s="159"/>
      <c r="C8565" s="155" t="s">
        <v>236</v>
      </c>
      <c r="D8565" s="156" t="s">
        <v>9388</v>
      </c>
      <c r="E8565" s="156" t="s">
        <v>9537</v>
      </c>
      <c r="F8565" s="156" t="s">
        <v>760</v>
      </c>
      <c r="G8565" s="156" t="s">
        <v>4712</v>
      </c>
      <c r="H8565" s="157" t="s">
        <v>212</v>
      </c>
    </row>
    <row r="8566" hidden="1">
      <c r="A8566" s="160" t="s">
        <v>237</v>
      </c>
      <c r="B8566" s="72"/>
      <c r="C8566" s="118" t="s">
        <v>236</v>
      </c>
      <c r="D8566" s="152" t="s">
        <v>9388</v>
      </c>
      <c r="E8566" s="152" t="s">
        <v>9538</v>
      </c>
      <c r="F8566" s="152" t="s">
        <v>448</v>
      </c>
      <c r="G8566" s="152" t="s">
        <v>4582</v>
      </c>
      <c r="H8566" s="153" t="s">
        <v>213</v>
      </c>
    </row>
    <row r="8567" hidden="1">
      <c r="A8567" s="158" t="s">
        <v>237</v>
      </c>
      <c r="B8567" s="159"/>
      <c r="C8567" s="155" t="s">
        <v>236</v>
      </c>
      <c r="D8567" s="156" t="s">
        <v>9388</v>
      </c>
      <c r="E8567" s="156" t="s">
        <v>9539</v>
      </c>
      <c r="F8567" s="156" t="s">
        <v>2215</v>
      </c>
      <c r="G8567" s="156" t="s">
        <v>3696</v>
      </c>
      <c r="H8567" s="157" t="s">
        <v>214</v>
      </c>
    </row>
    <row r="8568" hidden="1">
      <c r="A8568" s="160" t="s">
        <v>237</v>
      </c>
      <c r="B8568" s="72"/>
      <c r="C8568" s="118" t="s">
        <v>236</v>
      </c>
      <c r="D8568" s="152" t="s">
        <v>9388</v>
      </c>
      <c r="E8568" s="152" t="s">
        <v>9540</v>
      </c>
      <c r="F8568" s="152" t="s">
        <v>766</v>
      </c>
      <c r="G8568" s="152" t="s">
        <v>3265</v>
      </c>
      <c r="H8568" s="153" t="s">
        <v>215</v>
      </c>
    </row>
    <row r="8569" hidden="1">
      <c r="A8569" s="158" t="s">
        <v>237</v>
      </c>
      <c r="B8569" s="159"/>
      <c r="C8569" s="155" t="s">
        <v>236</v>
      </c>
      <c r="D8569" s="156" t="s">
        <v>9388</v>
      </c>
      <c r="E8569" s="156" t="s">
        <v>9541</v>
      </c>
      <c r="F8569" s="156" t="s">
        <v>691</v>
      </c>
      <c r="G8569" s="156" t="s">
        <v>3440</v>
      </c>
      <c r="H8569" s="157" t="s">
        <v>216</v>
      </c>
    </row>
    <row r="8570" hidden="1">
      <c r="A8570" s="151" t="s">
        <v>204</v>
      </c>
      <c r="B8570" s="118" t="s">
        <v>205</v>
      </c>
      <c r="C8570" s="118" t="s">
        <v>206</v>
      </c>
      <c r="D8570" s="152" t="s">
        <v>9542</v>
      </c>
      <c r="E8570" s="152" t="s">
        <v>9543</v>
      </c>
      <c r="F8570" s="152" t="s">
        <v>348</v>
      </c>
      <c r="G8570" s="152" t="s">
        <v>7474</v>
      </c>
      <c r="H8570" s="153" t="s">
        <v>210</v>
      </c>
    </row>
    <row r="8571" hidden="1">
      <c r="A8571" s="154" t="s">
        <v>204</v>
      </c>
      <c r="B8571" s="155" t="s">
        <v>205</v>
      </c>
      <c r="C8571" s="155" t="s">
        <v>206</v>
      </c>
      <c r="D8571" s="156" t="s">
        <v>9542</v>
      </c>
      <c r="E8571" s="156" t="s">
        <v>9544</v>
      </c>
      <c r="F8571" s="156" t="s">
        <v>766</v>
      </c>
      <c r="G8571" s="156" t="s">
        <v>9545</v>
      </c>
      <c r="H8571" s="157" t="s">
        <v>211</v>
      </c>
    </row>
    <row r="8572" hidden="1">
      <c r="A8572" s="151" t="s">
        <v>204</v>
      </c>
      <c r="B8572" s="118" t="s">
        <v>205</v>
      </c>
      <c r="C8572" s="118" t="s">
        <v>206</v>
      </c>
      <c r="D8572" s="152" t="s">
        <v>9542</v>
      </c>
      <c r="E8572" s="152" t="s">
        <v>9546</v>
      </c>
      <c r="F8572" s="152" t="s">
        <v>3359</v>
      </c>
      <c r="G8572" s="152" t="s">
        <v>9357</v>
      </c>
      <c r="H8572" s="153" t="s">
        <v>212</v>
      </c>
    </row>
    <row r="8573" hidden="1">
      <c r="A8573" s="154" t="s">
        <v>204</v>
      </c>
      <c r="B8573" s="155" t="s">
        <v>205</v>
      </c>
      <c r="C8573" s="155" t="s">
        <v>206</v>
      </c>
      <c r="D8573" s="156" t="s">
        <v>9542</v>
      </c>
      <c r="E8573" s="156" t="s">
        <v>9547</v>
      </c>
      <c r="F8573" s="156" t="s">
        <v>3359</v>
      </c>
      <c r="G8573" s="156" t="s">
        <v>9548</v>
      </c>
      <c r="H8573" s="157" t="s">
        <v>213</v>
      </c>
    </row>
    <row r="8574" hidden="1">
      <c r="A8574" s="151" t="s">
        <v>204</v>
      </c>
      <c r="B8574" s="118" t="s">
        <v>205</v>
      </c>
      <c r="C8574" s="118" t="s">
        <v>206</v>
      </c>
      <c r="D8574" s="152" t="s">
        <v>9542</v>
      </c>
      <c r="E8574" s="152" t="s">
        <v>9549</v>
      </c>
      <c r="F8574" s="152" t="s">
        <v>1929</v>
      </c>
      <c r="G8574" s="152" t="s">
        <v>9210</v>
      </c>
      <c r="H8574" s="153" t="s">
        <v>214</v>
      </c>
    </row>
    <row r="8575" hidden="1">
      <c r="A8575" s="154" t="s">
        <v>204</v>
      </c>
      <c r="B8575" s="155" t="s">
        <v>205</v>
      </c>
      <c r="C8575" s="155" t="s">
        <v>206</v>
      </c>
      <c r="D8575" s="156" t="s">
        <v>9542</v>
      </c>
      <c r="E8575" s="156" t="s">
        <v>9550</v>
      </c>
      <c r="F8575" s="156" t="s">
        <v>760</v>
      </c>
      <c r="G8575" s="156" t="s">
        <v>9200</v>
      </c>
      <c r="H8575" s="157" t="s">
        <v>215</v>
      </c>
    </row>
    <row r="8576" hidden="1">
      <c r="A8576" s="151" t="s">
        <v>204</v>
      </c>
      <c r="B8576" s="118" t="s">
        <v>205</v>
      </c>
      <c r="C8576" s="118" t="s">
        <v>206</v>
      </c>
      <c r="D8576" s="152" t="s">
        <v>9542</v>
      </c>
      <c r="E8576" s="152" t="s">
        <v>9551</v>
      </c>
      <c r="F8576" s="152" t="s">
        <v>348</v>
      </c>
      <c r="G8576" s="152" t="s">
        <v>9552</v>
      </c>
      <c r="H8576" s="153" t="s">
        <v>216</v>
      </c>
    </row>
    <row r="8577" hidden="1">
      <c r="A8577" s="154" t="s">
        <v>217</v>
      </c>
      <c r="B8577" s="155" t="s">
        <v>191</v>
      </c>
      <c r="C8577" s="155" t="s">
        <v>206</v>
      </c>
      <c r="D8577" s="156" t="s">
        <v>9542</v>
      </c>
      <c r="E8577" s="156" t="s">
        <v>9553</v>
      </c>
      <c r="F8577" s="156" t="s">
        <v>766</v>
      </c>
      <c r="G8577" s="156" t="s">
        <v>9272</v>
      </c>
      <c r="H8577" s="157" t="s">
        <v>210</v>
      </c>
    </row>
    <row r="8578" hidden="1">
      <c r="A8578" s="151" t="s">
        <v>217</v>
      </c>
      <c r="B8578" s="118" t="s">
        <v>191</v>
      </c>
      <c r="C8578" s="118" t="s">
        <v>206</v>
      </c>
      <c r="D8578" s="152" t="s">
        <v>9542</v>
      </c>
      <c r="E8578" s="152" t="s">
        <v>9554</v>
      </c>
      <c r="F8578" s="152" t="s">
        <v>3198</v>
      </c>
      <c r="G8578" s="152" t="s">
        <v>9555</v>
      </c>
      <c r="H8578" s="153" t="s">
        <v>211</v>
      </c>
    </row>
    <row r="8579" hidden="1">
      <c r="A8579" s="154" t="s">
        <v>217</v>
      </c>
      <c r="B8579" s="155" t="s">
        <v>191</v>
      </c>
      <c r="C8579" s="155" t="s">
        <v>206</v>
      </c>
      <c r="D8579" s="156" t="s">
        <v>9542</v>
      </c>
      <c r="E8579" s="156" t="s">
        <v>9556</v>
      </c>
      <c r="F8579" s="156" t="s">
        <v>691</v>
      </c>
      <c r="G8579" s="156" t="s">
        <v>9557</v>
      </c>
      <c r="H8579" s="157" t="s">
        <v>212</v>
      </c>
    </row>
    <row r="8580" hidden="1">
      <c r="A8580" s="151" t="s">
        <v>217</v>
      </c>
      <c r="B8580" s="118" t="s">
        <v>191</v>
      </c>
      <c r="C8580" s="118" t="s">
        <v>206</v>
      </c>
      <c r="D8580" s="152" t="s">
        <v>9542</v>
      </c>
      <c r="E8580" s="152" t="s">
        <v>9558</v>
      </c>
      <c r="F8580" s="152" t="s">
        <v>3240</v>
      </c>
      <c r="G8580" s="152" t="s">
        <v>9337</v>
      </c>
      <c r="H8580" s="153" t="s">
        <v>213</v>
      </c>
    </row>
    <row r="8581" hidden="1">
      <c r="A8581" s="154" t="s">
        <v>217</v>
      </c>
      <c r="B8581" s="155" t="s">
        <v>191</v>
      </c>
      <c r="C8581" s="155" t="s">
        <v>206</v>
      </c>
      <c r="D8581" s="156" t="s">
        <v>9542</v>
      </c>
      <c r="E8581" s="156" t="s">
        <v>9559</v>
      </c>
      <c r="F8581" s="156" t="s">
        <v>3340</v>
      </c>
      <c r="G8581" s="156" t="s">
        <v>9548</v>
      </c>
      <c r="H8581" s="157" t="s">
        <v>214</v>
      </c>
    </row>
    <row r="8582" hidden="1">
      <c r="A8582" s="151" t="s">
        <v>217</v>
      </c>
      <c r="B8582" s="118" t="s">
        <v>191</v>
      </c>
      <c r="C8582" s="118" t="s">
        <v>206</v>
      </c>
      <c r="D8582" s="152" t="s">
        <v>9542</v>
      </c>
      <c r="E8582" s="152" t="s">
        <v>9560</v>
      </c>
      <c r="F8582" s="152" t="s">
        <v>758</v>
      </c>
      <c r="G8582" s="152" t="s">
        <v>7474</v>
      </c>
      <c r="H8582" s="153" t="s">
        <v>215</v>
      </c>
    </row>
    <row r="8583" hidden="1">
      <c r="A8583" s="154" t="s">
        <v>217</v>
      </c>
      <c r="B8583" s="155" t="s">
        <v>191</v>
      </c>
      <c r="C8583" s="155" t="s">
        <v>206</v>
      </c>
      <c r="D8583" s="156" t="s">
        <v>9542</v>
      </c>
      <c r="E8583" s="156" t="s">
        <v>9561</v>
      </c>
      <c r="F8583" s="156" t="s">
        <v>3240</v>
      </c>
      <c r="G8583" s="156" t="s">
        <v>9562</v>
      </c>
      <c r="H8583" s="157" t="s">
        <v>216</v>
      </c>
    </row>
    <row r="8584" hidden="1">
      <c r="A8584" s="151" t="s">
        <v>218</v>
      </c>
      <c r="B8584" s="118" t="s">
        <v>219</v>
      </c>
      <c r="C8584" s="118" t="s">
        <v>206</v>
      </c>
      <c r="D8584" s="152" t="s">
        <v>9542</v>
      </c>
      <c r="E8584" s="152" t="s">
        <v>9563</v>
      </c>
      <c r="F8584" s="152" t="s">
        <v>3198</v>
      </c>
      <c r="G8584" s="152" t="s">
        <v>3472</v>
      </c>
      <c r="H8584" s="153" t="s">
        <v>210</v>
      </c>
    </row>
    <row r="8585" hidden="1">
      <c r="A8585" s="154" t="s">
        <v>218</v>
      </c>
      <c r="B8585" s="155" t="s">
        <v>219</v>
      </c>
      <c r="C8585" s="155" t="s">
        <v>206</v>
      </c>
      <c r="D8585" s="156" t="s">
        <v>9542</v>
      </c>
      <c r="E8585" s="156" t="s">
        <v>9564</v>
      </c>
      <c r="F8585" s="156" t="s">
        <v>758</v>
      </c>
      <c r="G8585" s="156" t="s">
        <v>4328</v>
      </c>
      <c r="H8585" s="157" t="s">
        <v>211</v>
      </c>
    </row>
    <row r="8586" hidden="1">
      <c r="A8586" s="151" t="s">
        <v>218</v>
      </c>
      <c r="B8586" s="118" t="s">
        <v>219</v>
      </c>
      <c r="C8586" s="118" t="s">
        <v>206</v>
      </c>
      <c r="D8586" s="152" t="s">
        <v>9542</v>
      </c>
      <c r="E8586" s="152" t="s">
        <v>9565</v>
      </c>
      <c r="F8586" s="152" t="s">
        <v>1929</v>
      </c>
      <c r="G8586" s="152" t="s">
        <v>6262</v>
      </c>
      <c r="H8586" s="153" t="s">
        <v>212</v>
      </c>
    </row>
    <row r="8587" hidden="1">
      <c r="A8587" s="154" t="s">
        <v>218</v>
      </c>
      <c r="B8587" s="155" t="s">
        <v>219</v>
      </c>
      <c r="C8587" s="155" t="s">
        <v>206</v>
      </c>
      <c r="D8587" s="156" t="s">
        <v>9542</v>
      </c>
      <c r="E8587" s="156" t="s">
        <v>9566</v>
      </c>
      <c r="F8587" s="156" t="s">
        <v>766</v>
      </c>
      <c r="G8587" s="156" t="s">
        <v>3699</v>
      </c>
      <c r="H8587" s="157" t="s">
        <v>213</v>
      </c>
    </row>
    <row r="8588" hidden="1">
      <c r="A8588" s="151" t="s">
        <v>218</v>
      </c>
      <c r="B8588" s="118" t="s">
        <v>219</v>
      </c>
      <c r="C8588" s="118" t="s">
        <v>206</v>
      </c>
      <c r="D8588" s="152" t="s">
        <v>9542</v>
      </c>
      <c r="E8588" s="152" t="s">
        <v>9567</v>
      </c>
      <c r="F8588" s="152" t="s">
        <v>763</v>
      </c>
      <c r="G8588" s="152" t="s">
        <v>3468</v>
      </c>
      <c r="H8588" s="153" t="s">
        <v>214</v>
      </c>
    </row>
    <row r="8589" hidden="1">
      <c r="A8589" s="154" t="s">
        <v>218</v>
      </c>
      <c r="B8589" s="155" t="s">
        <v>219</v>
      </c>
      <c r="C8589" s="155" t="s">
        <v>206</v>
      </c>
      <c r="D8589" s="156" t="s">
        <v>9542</v>
      </c>
      <c r="E8589" s="156" t="s">
        <v>9568</v>
      </c>
      <c r="F8589" s="156" t="s">
        <v>758</v>
      </c>
      <c r="G8589" s="156" t="s">
        <v>4709</v>
      </c>
      <c r="H8589" s="157" t="s">
        <v>215</v>
      </c>
    </row>
    <row r="8590" hidden="1">
      <c r="A8590" s="151" t="s">
        <v>218</v>
      </c>
      <c r="B8590" s="118" t="s">
        <v>219</v>
      </c>
      <c r="C8590" s="118" t="s">
        <v>206</v>
      </c>
      <c r="D8590" s="152" t="s">
        <v>9542</v>
      </c>
      <c r="E8590" s="152" t="s">
        <v>9569</v>
      </c>
      <c r="F8590" s="152" t="s">
        <v>348</v>
      </c>
      <c r="G8590" s="152" t="s">
        <v>4371</v>
      </c>
      <c r="H8590" s="153" t="s">
        <v>216</v>
      </c>
    </row>
    <row r="8591" hidden="1">
      <c r="A8591" s="154" t="s">
        <v>220</v>
      </c>
      <c r="B8591" s="155" t="s">
        <v>190</v>
      </c>
      <c r="C8591" s="155" t="s">
        <v>206</v>
      </c>
      <c r="D8591" s="156" t="s">
        <v>9542</v>
      </c>
      <c r="E8591" s="156" t="s">
        <v>9570</v>
      </c>
      <c r="F8591" s="156" t="s">
        <v>2005</v>
      </c>
      <c r="G8591" s="156" t="s">
        <v>9571</v>
      </c>
      <c r="H8591" s="157" t="s">
        <v>210</v>
      </c>
    </row>
    <row r="8592" hidden="1">
      <c r="A8592" s="151" t="s">
        <v>220</v>
      </c>
      <c r="B8592" s="118" t="s">
        <v>190</v>
      </c>
      <c r="C8592" s="118" t="s">
        <v>206</v>
      </c>
      <c r="D8592" s="152" t="s">
        <v>9542</v>
      </c>
      <c r="E8592" s="152" t="s">
        <v>9572</v>
      </c>
      <c r="F8592" s="152" t="s">
        <v>4052</v>
      </c>
      <c r="G8592" s="152" t="s">
        <v>9573</v>
      </c>
      <c r="H8592" s="153" t="s">
        <v>211</v>
      </c>
    </row>
    <row r="8593" hidden="1">
      <c r="A8593" s="154" t="s">
        <v>220</v>
      </c>
      <c r="B8593" s="155" t="s">
        <v>190</v>
      </c>
      <c r="C8593" s="155" t="s">
        <v>206</v>
      </c>
      <c r="D8593" s="156" t="s">
        <v>9542</v>
      </c>
      <c r="E8593" s="156" t="s">
        <v>9574</v>
      </c>
      <c r="F8593" s="156" t="s">
        <v>3293</v>
      </c>
      <c r="G8593" s="156" t="s">
        <v>9575</v>
      </c>
      <c r="H8593" s="157" t="s">
        <v>212</v>
      </c>
    </row>
    <row r="8594" hidden="1">
      <c r="A8594" s="151" t="s">
        <v>220</v>
      </c>
      <c r="B8594" s="118" t="s">
        <v>190</v>
      </c>
      <c r="C8594" s="118" t="s">
        <v>206</v>
      </c>
      <c r="D8594" s="152" t="s">
        <v>9542</v>
      </c>
      <c r="E8594" s="152" t="s">
        <v>9576</v>
      </c>
      <c r="F8594" s="152" t="s">
        <v>1769</v>
      </c>
      <c r="G8594" s="152" t="s">
        <v>9577</v>
      </c>
      <c r="H8594" s="153" t="s">
        <v>213</v>
      </c>
    </row>
    <row r="8595" hidden="1">
      <c r="A8595" s="154" t="s">
        <v>220</v>
      </c>
      <c r="B8595" s="155" t="s">
        <v>190</v>
      </c>
      <c r="C8595" s="155" t="s">
        <v>206</v>
      </c>
      <c r="D8595" s="156" t="s">
        <v>9542</v>
      </c>
      <c r="E8595" s="156" t="s">
        <v>9578</v>
      </c>
      <c r="F8595" s="156" t="s">
        <v>3145</v>
      </c>
      <c r="G8595" s="156" t="s">
        <v>9579</v>
      </c>
      <c r="H8595" s="157" t="s">
        <v>214</v>
      </c>
    </row>
    <row r="8596" hidden="1">
      <c r="A8596" s="151" t="s">
        <v>220</v>
      </c>
      <c r="B8596" s="118" t="s">
        <v>190</v>
      </c>
      <c r="C8596" s="118" t="s">
        <v>206</v>
      </c>
      <c r="D8596" s="152" t="s">
        <v>9542</v>
      </c>
      <c r="E8596" s="152" t="s">
        <v>9580</v>
      </c>
      <c r="F8596" s="152" t="s">
        <v>3359</v>
      </c>
      <c r="G8596" s="152" t="s">
        <v>9581</v>
      </c>
      <c r="H8596" s="153" t="s">
        <v>215</v>
      </c>
    </row>
    <row r="8597" hidden="1">
      <c r="A8597" s="154" t="s">
        <v>220</v>
      </c>
      <c r="B8597" s="155" t="s">
        <v>190</v>
      </c>
      <c r="C8597" s="155" t="s">
        <v>206</v>
      </c>
      <c r="D8597" s="156" t="s">
        <v>9542</v>
      </c>
      <c r="E8597" s="156" t="s">
        <v>9582</v>
      </c>
      <c r="F8597" s="156" t="s">
        <v>2339</v>
      </c>
      <c r="G8597" s="156" t="s">
        <v>9583</v>
      </c>
      <c r="H8597" s="157" t="s">
        <v>216</v>
      </c>
    </row>
    <row r="8598" hidden="1">
      <c r="A8598" s="151" t="s">
        <v>221</v>
      </c>
      <c r="B8598" s="118" t="s">
        <v>189</v>
      </c>
      <c r="C8598" s="118" t="s">
        <v>206</v>
      </c>
      <c r="D8598" s="152" t="s">
        <v>9542</v>
      </c>
      <c r="E8598" s="152" t="s">
        <v>9584</v>
      </c>
      <c r="F8598" s="152" t="s">
        <v>453</v>
      </c>
      <c r="G8598" s="152" t="s">
        <v>3838</v>
      </c>
      <c r="H8598" s="153" t="s">
        <v>210</v>
      </c>
    </row>
    <row r="8599" hidden="1">
      <c r="A8599" s="154" t="s">
        <v>221</v>
      </c>
      <c r="B8599" s="155" t="s">
        <v>189</v>
      </c>
      <c r="C8599" s="155" t="s">
        <v>206</v>
      </c>
      <c r="D8599" s="156" t="s">
        <v>9542</v>
      </c>
      <c r="E8599" s="156" t="s">
        <v>9585</v>
      </c>
      <c r="F8599" s="156" t="s">
        <v>677</v>
      </c>
      <c r="G8599" s="156" t="s">
        <v>2189</v>
      </c>
      <c r="H8599" s="157" t="s">
        <v>211</v>
      </c>
    </row>
    <row r="8600" hidden="1">
      <c r="A8600" s="151" t="s">
        <v>221</v>
      </c>
      <c r="B8600" s="118" t="s">
        <v>189</v>
      </c>
      <c r="C8600" s="118" t="s">
        <v>206</v>
      </c>
      <c r="D8600" s="152" t="s">
        <v>9542</v>
      </c>
      <c r="E8600" s="152" t="s">
        <v>9586</v>
      </c>
      <c r="F8600" s="152" t="s">
        <v>3346</v>
      </c>
      <c r="G8600" s="152" t="s">
        <v>6901</v>
      </c>
      <c r="H8600" s="153" t="s">
        <v>212</v>
      </c>
    </row>
    <row r="8601" hidden="1">
      <c r="A8601" s="154" t="s">
        <v>221</v>
      </c>
      <c r="B8601" s="155" t="s">
        <v>189</v>
      </c>
      <c r="C8601" s="155" t="s">
        <v>206</v>
      </c>
      <c r="D8601" s="156" t="s">
        <v>9542</v>
      </c>
      <c r="E8601" s="156" t="s">
        <v>9587</v>
      </c>
      <c r="F8601" s="156" t="s">
        <v>2226</v>
      </c>
      <c r="G8601" s="156" t="s">
        <v>5084</v>
      </c>
      <c r="H8601" s="157" t="s">
        <v>213</v>
      </c>
    </row>
    <row r="8602" hidden="1">
      <c r="A8602" s="151" t="s">
        <v>221</v>
      </c>
      <c r="B8602" s="118" t="s">
        <v>189</v>
      </c>
      <c r="C8602" s="118" t="s">
        <v>206</v>
      </c>
      <c r="D8602" s="152" t="s">
        <v>9542</v>
      </c>
      <c r="E8602" s="152" t="s">
        <v>9588</v>
      </c>
      <c r="F8602" s="152" t="s">
        <v>3218</v>
      </c>
      <c r="G8602" s="152" t="s">
        <v>3840</v>
      </c>
      <c r="H8602" s="153" t="s">
        <v>214</v>
      </c>
    </row>
    <row r="8603" hidden="1">
      <c r="A8603" s="154" t="s">
        <v>221</v>
      </c>
      <c r="B8603" s="155" t="s">
        <v>189</v>
      </c>
      <c r="C8603" s="155" t="s">
        <v>206</v>
      </c>
      <c r="D8603" s="156" t="s">
        <v>9542</v>
      </c>
      <c r="E8603" s="156" t="s">
        <v>9589</v>
      </c>
      <c r="F8603" s="156" t="s">
        <v>305</v>
      </c>
      <c r="G8603" s="156" t="s">
        <v>3911</v>
      </c>
      <c r="H8603" s="157" t="s">
        <v>215</v>
      </c>
    </row>
    <row r="8604" hidden="1">
      <c r="A8604" s="151" t="s">
        <v>221</v>
      </c>
      <c r="B8604" s="118" t="s">
        <v>189</v>
      </c>
      <c r="C8604" s="118" t="s">
        <v>206</v>
      </c>
      <c r="D8604" s="152" t="s">
        <v>9542</v>
      </c>
      <c r="E8604" s="152" t="s">
        <v>9590</v>
      </c>
      <c r="F8604" s="152" t="s">
        <v>1999</v>
      </c>
      <c r="G8604" s="152" t="s">
        <v>4024</v>
      </c>
      <c r="H8604" s="153" t="s">
        <v>216</v>
      </c>
    </row>
    <row r="8605" hidden="1">
      <c r="A8605" s="154" t="s">
        <v>222</v>
      </c>
      <c r="B8605" s="155" t="s">
        <v>192</v>
      </c>
      <c r="C8605" s="155" t="s">
        <v>206</v>
      </c>
      <c r="D8605" s="156" t="s">
        <v>9542</v>
      </c>
      <c r="E8605" s="156" t="s">
        <v>9591</v>
      </c>
      <c r="F8605" s="156" t="s">
        <v>730</v>
      </c>
      <c r="G8605" s="156" t="s">
        <v>9195</v>
      </c>
      <c r="H8605" s="157" t="s">
        <v>210</v>
      </c>
    </row>
    <row r="8606" hidden="1">
      <c r="A8606" s="151" t="s">
        <v>222</v>
      </c>
      <c r="B8606" s="118" t="s">
        <v>192</v>
      </c>
      <c r="C8606" s="118" t="s">
        <v>206</v>
      </c>
      <c r="D8606" s="152" t="s">
        <v>9542</v>
      </c>
      <c r="E8606" s="152" t="s">
        <v>9592</v>
      </c>
      <c r="F8606" s="152" t="s">
        <v>444</v>
      </c>
      <c r="G8606" s="152" t="s">
        <v>9593</v>
      </c>
      <c r="H8606" s="153" t="s">
        <v>211</v>
      </c>
    </row>
    <row r="8607" hidden="1">
      <c r="A8607" s="154" t="s">
        <v>222</v>
      </c>
      <c r="B8607" s="155" t="s">
        <v>192</v>
      </c>
      <c r="C8607" s="155" t="s">
        <v>206</v>
      </c>
      <c r="D8607" s="156" t="s">
        <v>9542</v>
      </c>
      <c r="E8607" s="156" t="s">
        <v>9594</v>
      </c>
      <c r="F8607" s="156" t="s">
        <v>730</v>
      </c>
      <c r="G8607" s="156" t="s">
        <v>5168</v>
      </c>
      <c r="H8607" s="157" t="s">
        <v>212</v>
      </c>
    </row>
    <row r="8608" hidden="1">
      <c r="A8608" s="151" t="s">
        <v>222</v>
      </c>
      <c r="B8608" s="118" t="s">
        <v>192</v>
      </c>
      <c r="C8608" s="118" t="s">
        <v>206</v>
      </c>
      <c r="D8608" s="152" t="s">
        <v>9542</v>
      </c>
      <c r="E8608" s="152" t="s">
        <v>9595</v>
      </c>
      <c r="F8608" s="152" t="s">
        <v>2226</v>
      </c>
      <c r="G8608" s="152" t="s">
        <v>9596</v>
      </c>
      <c r="H8608" s="153" t="s">
        <v>213</v>
      </c>
    </row>
    <row r="8609" hidden="1">
      <c r="A8609" s="154" t="s">
        <v>222</v>
      </c>
      <c r="B8609" s="155" t="s">
        <v>192</v>
      </c>
      <c r="C8609" s="155" t="s">
        <v>206</v>
      </c>
      <c r="D8609" s="156" t="s">
        <v>9542</v>
      </c>
      <c r="E8609" s="156" t="s">
        <v>9597</v>
      </c>
      <c r="F8609" s="156" t="s">
        <v>497</v>
      </c>
      <c r="G8609" s="156" t="s">
        <v>9598</v>
      </c>
      <c r="H8609" s="157" t="s">
        <v>214</v>
      </c>
    </row>
    <row r="8610" hidden="1">
      <c r="A8610" s="151" t="s">
        <v>222</v>
      </c>
      <c r="B8610" s="118" t="s">
        <v>192</v>
      </c>
      <c r="C8610" s="118" t="s">
        <v>206</v>
      </c>
      <c r="D8610" s="152" t="s">
        <v>9542</v>
      </c>
      <c r="E8610" s="152" t="s">
        <v>9599</v>
      </c>
      <c r="F8610" s="152" t="s">
        <v>2607</v>
      </c>
      <c r="G8610" s="152" t="s">
        <v>7600</v>
      </c>
      <c r="H8610" s="153" t="s">
        <v>215</v>
      </c>
    </row>
    <row r="8611" hidden="1">
      <c r="A8611" s="154" t="s">
        <v>222</v>
      </c>
      <c r="B8611" s="155" t="s">
        <v>192</v>
      </c>
      <c r="C8611" s="155" t="s">
        <v>206</v>
      </c>
      <c r="D8611" s="156" t="s">
        <v>9542</v>
      </c>
      <c r="E8611" s="156" t="s">
        <v>9600</v>
      </c>
      <c r="F8611" s="156" t="s">
        <v>444</v>
      </c>
      <c r="G8611" s="156" t="s">
        <v>9601</v>
      </c>
      <c r="H8611" s="157" t="s">
        <v>216</v>
      </c>
    </row>
    <row r="8612" hidden="1">
      <c r="A8612" s="151" t="s">
        <v>223</v>
      </c>
      <c r="B8612" s="118" t="s">
        <v>144</v>
      </c>
      <c r="C8612" s="118" t="s">
        <v>206</v>
      </c>
      <c r="D8612" s="152" t="s">
        <v>9542</v>
      </c>
      <c r="E8612" s="152" t="s">
        <v>9602</v>
      </c>
      <c r="F8612" s="152" t="s">
        <v>2994</v>
      </c>
      <c r="G8612" s="152" t="s">
        <v>7474</v>
      </c>
      <c r="H8612" s="153" t="s">
        <v>210</v>
      </c>
    </row>
    <row r="8613" hidden="1">
      <c r="A8613" s="154" t="s">
        <v>223</v>
      </c>
      <c r="B8613" s="155" t="s">
        <v>144</v>
      </c>
      <c r="C8613" s="155" t="s">
        <v>206</v>
      </c>
      <c r="D8613" s="156" t="s">
        <v>9542</v>
      </c>
      <c r="E8613" s="156" t="s">
        <v>9603</v>
      </c>
      <c r="F8613" s="156" t="s">
        <v>1532</v>
      </c>
      <c r="G8613" s="156" t="s">
        <v>6645</v>
      </c>
      <c r="H8613" s="157" t="s">
        <v>211</v>
      </c>
    </row>
    <row r="8614" hidden="1">
      <c r="A8614" s="151" t="s">
        <v>223</v>
      </c>
      <c r="B8614" s="118" t="s">
        <v>144</v>
      </c>
      <c r="C8614" s="118" t="s">
        <v>206</v>
      </c>
      <c r="D8614" s="152" t="s">
        <v>9542</v>
      </c>
      <c r="E8614" s="152" t="s">
        <v>9604</v>
      </c>
      <c r="F8614" s="152" t="s">
        <v>1532</v>
      </c>
      <c r="G8614" s="152" t="s">
        <v>4627</v>
      </c>
      <c r="H8614" s="153" t="s">
        <v>212</v>
      </c>
    </row>
    <row r="8615" hidden="1">
      <c r="A8615" s="154" t="s">
        <v>223</v>
      </c>
      <c r="B8615" s="155" t="s">
        <v>144</v>
      </c>
      <c r="C8615" s="155" t="s">
        <v>206</v>
      </c>
      <c r="D8615" s="156" t="s">
        <v>9542</v>
      </c>
      <c r="E8615" s="156" t="s">
        <v>9605</v>
      </c>
      <c r="F8615" s="156" t="s">
        <v>718</v>
      </c>
      <c r="G8615" s="156" t="s">
        <v>4174</v>
      </c>
      <c r="H8615" s="157" t="s">
        <v>213</v>
      </c>
    </row>
    <row r="8616" hidden="1">
      <c r="A8616" s="151" t="s">
        <v>223</v>
      </c>
      <c r="B8616" s="118" t="s">
        <v>144</v>
      </c>
      <c r="C8616" s="118" t="s">
        <v>206</v>
      </c>
      <c r="D8616" s="152" t="s">
        <v>9542</v>
      </c>
      <c r="E8616" s="152" t="s">
        <v>9606</v>
      </c>
      <c r="F8616" s="152" t="s">
        <v>725</v>
      </c>
      <c r="G8616" s="152" t="s">
        <v>7600</v>
      </c>
      <c r="H8616" s="153" t="s">
        <v>214</v>
      </c>
    </row>
    <row r="8617" hidden="1">
      <c r="A8617" s="154" t="s">
        <v>223</v>
      </c>
      <c r="B8617" s="155" t="s">
        <v>144</v>
      </c>
      <c r="C8617" s="155" t="s">
        <v>206</v>
      </c>
      <c r="D8617" s="156" t="s">
        <v>9542</v>
      </c>
      <c r="E8617" s="156" t="s">
        <v>9607</v>
      </c>
      <c r="F8617" s="156" t="s">
        <v>390</v>
      </c>
      <c r="G8617" s="156" t="s">
        <v>9391</v>
      </c>
      <c r="H8617" s="157" t="s">
        <v>215</v>
      </c>
    </row>
    <row r="8618" hidden="1">
      <c r="A8618" s="151" t="s">
        <v>223</v>
      </c>
      <c r="B8618" s="118" t="s">
        <v>144</v>
      </c>
      <c r="C8618" s="118" t="s">
        <v>206</v>
      </c>
      <c r="D8618" s="152" t="s">
        <v>9542</v>
      </c>
      <c r="E8618" s="152" t="s">
        <v>9608</v>
      </c>
      <c r="F8618" s="152" t="s">
        <v>405</v>
      </c>
      <c r="G8618" s="152" t="s">
        <v>9609</v>
      </c>
      <c r="H8618" s="153" t="s">
        <v>216</v>
      </c>
    </row>
    <row r="8619" hidden="1">
      <c r="A8619" s="154" t="s">
        <v>224</v>
      </c>
      <c r="B8619" s="155" t="s">
        <v>170</v>
      </c>
      <c r="C8619" s="155" t="s">
        <v>206</v>
      </c>
      <c r="D8619" s="156" t="s">
        <v>9542</v>
      </c>
      <c r="E8619" s="156" t="s">
        <v>9610</v>
      </c>
      <c r="F8619" s="156" t="s">
        <v>3243</v>
      </c>
      <c r="G8619" s="156" t="s">
        <v>4905</v>
      </c>
      <c r="H8619" s="157" t="s">
        <v>210</v>
      </c>
    </row>
    <row r="8620" hidden="1">
      <c r="A8620" s="151" t="s">
        <v>224</v>
      </c>
      <c r="B8620" s="118" t="s">
        <v>170</v>
      </c>
      <c r="C8620" s="118" t="s">
        <v>206</v>
      </c>
      <c r="D8620" s="152" t="s">
        <v>9542</v>
      </c>
      <c r="E8620" s="152" t="s">
        <v>9611</v>
      </c>
      <c r="F8620" s="152" t="s">
        <v>735</v>
      </c>
      <c r="G8620" s="152" t="s">
        <v>5175</v>
      </c>
      <c r="H8620" s="153" t="s">
        <v>211</v>
      </c>
    </row>
    <row r="8621" hidden="1">
      <c r="A8621" s="154" t="s">
        <v>224</v>
      </c>
      <c r="B8621" s="155" t="s">
        <v>170</v>
      </c>
      <c r="C8621" s="155" t="s">
        <v>206</v>
      </c>
      <c r="D8621" s="156" t="s">
        <v>9542</v>
      </c>
      <c r="E8621" s="156" t="s">
        <v>9612</v>
      </c>
      <c r="F8621" s="156" t="s">
        <v>1948</v>
      </c>
      <c r="G8621" s="156" t="s">
        <v>9192</v>
      </c>
      <c r="H8621" s="157" t="s">
        <v>212</v>
      </c>
    </row>
    <row r="8622" hidden="1">
      <c r="A8622" s="151" t="s">
        <v>224</v>
      </c>
      <c r="B8622" s="118" t="s">
        <v>170</v>
      </c>
      <c r="C8622" s="118" t="s">
        <v>206</v>
      </c>
      <c r="D8622" s="152" t="s">
        <v>9542</v>
      </c>
      <c r="E8622" s="152" t="s">
        <v>9613</v>
      </c>
      <c r="F8622" s="152" t="s">
        <v>1530</v>
      </c>
      <c r="G8622" s="152" t="s">
        <v>4231</v>
      </c>
      <c r="H8622" s="153" t="s">
        <v>213</v>
      </c>
    </row>
    <row r="8623" hidden="1">
      <c r="A8623" s="154" t="s">
        <v>224</v>
      </c>
      <c r="B8623" s="155" t="s">
        <v>170</v>
      </c>
      <c r="C8623" s="155" t="s">
        <v>206</v>
      </c>
      <c r="D8623" s="156" t="s">
        <v>9542</v>
      </c>
      <c r="E8623" s="156" t="s">
        <v>9614</v>
      </c>
      <c r="F8623" s="156" t="s">
        <v>427</v>
      </c>
      <c r="G8623" s="156" t="s">
        <v>9072</v>
      </c>
      <c r="H8623" s="157" t="s">
        <v>214</v>
      </c>
    </row>
    <row r="8624" hidden="1">
      <c r="A8624" s="151" t="s">
        <v>224</v>
      </c>
      <c r="B8624" s="118" t="s">
        <v>170</v>
      </c>
      <c r="C8624" s="118" t="s">
        <v>206</v>
      </c>
      <c r="D8624" s="152" t="s">
        <v>9542</v>
      </c>
      <c r="E8624" s="152" t="s">
        <v>9615</v>
      </c>
      <c r="F8624" s="152" t="s">
        <v>405</v>
      </c>
      <c r="G8624" s="152" t="s">
        <v>9391</v>
      </c>
      <c r="H8624" s="153" t="s">
        <v>215</v>
      </c>
    </row>
    <row r="8625" hidden="1">
      <c r="A8625" s="154" t="s">
        <v>224</v>
      </c>
      <c r="B8625" s="155" t="s">
        <v>170</v>
      </c>
      <c r="C8625" s="155" t="s">
        <v>206</v>
      </c>
      <c r="D8625" s="156" t="s">
        <v>9542</v>
      </c>
      <c r="E8625" s="156" t="s">
        <v>9616</v>
      </c>
      <c r="F8625" s="156" t="s">
        <v>758</v>
      </c>
      <c r="G8625" s="156" t="s">
        <v>4627</v>
      </c>
      <c r="H8625" s="157" t="s">
        <v>216</v>
      </c>
    </row>
    <row r="8626" hidden="1">
      <c r="A8626" s="151" t="s">
        <v>225</v>
      </c>
      <c r="B8626" s="118" t="s">
        <v>226</v>
      </c>
      <c r="C8626" s="118" t="s">
        <v>206</v>
      </c>
      <c r="D8626" s="152" t="s">
        <v>9542</v>
      </c>
      <c r="E8626" s="152" t="s">
        <v>9617</v>
      </c>
      <c r="F8626" s="152" t="s">
        <v>483</v>
      </c>
      <c r="G8626" s="152" t="s">
        <v>2455</v>
      </c>
      <c r="H8626" s="153" t="s">
        <v>210</v>
      </c>
    </row>
    <row r="8627" hidden="1">
      <c r="A8627" s="154" t="s">
        <v>225</v>
      </c>
      <c r="B8627" s="155" t="s">
        <v>226</v>
      </c>
      <c r="C8627" s="155" t="s">
        <v>206</v>
      </c>
      <c r="D8627" s="156" t="s">
        <v>9542</v>
      </c>
      <c r="E8627" s="156" t="s">
        <v>9618</v>
      </c>
      <c r="F8627" s="156" t="s">
        <v>325</v>
      </c>
      <c r="G8627" s="156" t="s">
        <v>2383</v>
      </c>
      <c r="H8627" s="157" t="s">
        <v>211</v>
      </c>
    </row>
    <row r="8628" hidden="1">
      <c r="A8628" s="151" t="s">
        <v>225</v>
      </c>
      <c r="B8628" s="118" t="s">
        <v>226</v>
      </c>
      <c r="C8628" s="118" t="s">
        <v>206</v>
      </c>
      <c r="D8628" s="152" t="s">
        <v>9542</v>
      </c>
      <c r="E8628" s="152" t="s">
        <v>9619</v>
      </c>
      <c r="F8628" s="152" t="s">
        <v>427</v>
      </c>
      <c r="G8628" s="152" t="s">
        <v>2346</v>
      </c>
      <c r="H8628" s="153" t="s">
        <v>212</v>
      </c>
    </row>
    <row r="8629" hidden="1">
      <c r="A8629" s="154" t="s">
        <v>225</v>
      </c>
      <c r="B8629" s="155" t="s">
        <v>226</v>
      </c>
      <c r="C8629" s="155" t="s">
        <v>206</v>
      </c>
      <c r="D8629" s="156" t="s">
        <v>9542</v>
      </c>
      <c r="E8629" s="156" t="s">
        <v>9620</v>
      </c>
      <c r="F8629" s="156" t="s">
        <v>494</v>
      </c>
      <c r="G8629" s="156" t="s">
        <v>1927</v>
      </c>
      <c r="H8629" s="157" t="s">
        <v>213</v>
      </c>
    </row>
    <row r="8630" hidden="1">
      <c r="A8630" s="151" t="s">
        <v>225</v>
      </c>
      <c r="B8630" s="118" t="s">
        <v>226</v>
      </c>
      <c r="C8630" s="118" t="s">
        <v>206</v>
      </c>
      <c r="D8630" s="152" t="s">
        <v>9542</v>
      </c>
      <c r="E8630" s="152" t="s">
        <v>9621</v>
      </c>
      <c r="F8630" s="152" t="s">
        <v>494</v>
      </c>
      <c r="G8630" s="152" t="s">
        <v>3525</v>
      </c>
      <c r="H8630" s="153" t="s">
        <v>214</v>
      </c>
    </row>
    <row r="8631" hidden="1">
      <c r="A8631" s="154" t="s">
        <v>225</v>
      </c>
      <c r="B8631" s="155" t="s">
        <v>226</v>
      </c>
      <c r="C8631" s="155" t="s">
        <v>206</v>
      </c>
      <c r="D8631" s="156" t="s">
        <v>9542</v>
      </c>
      <c r="E8631" s="156" t="s">
        <v>9622</v>
      </c>
      <c r="F8631" s="156" t="s">
        <v>3218</v>
      </c>
      <c r="G8631" s="156" t="s">
        <v>1921</v>
      </c>
      <c r="H8631" s="157" t="s">
        <v>215</v>
      </c>
    </row>
    <row r="8632" hidden="1">
      <c r="A8632" s="151" t="s">
        <v>225</v>
      </c>
      <c r="B8632" s="118" t="s">
        <v>226</v>
      </c>
      <c r="C8632" s="118" t="s">
        <v>206</v>
      </c>
      <c r="D8632" s="152" t="s">
        <v>9542</v>
      </c>
      <c r="E8632" s="152" t="s">
        <v>9623</v>
      </c>
      <c r="F8632" s="152" t="s">
        <v>329</v>
      </c>
      <c r="G8632" s="152" t="s">
        <v>2762</v>
      </c>
      <c r="H8632" s="153" t="s">
        <v>216</v>
      </c>
    </row>
    <row r="8633" hidden="1">
      <c r="A8633" s="154" t="s">
        <v>227</v>
      </c>
      <c r="B8633" s="155" t="s">
        <v>195</v>
      </c>
      <c r="C8633" s="155" t="s">
        <v>206</v>
      </c>
      <c r="D8633" s="156" t="s">
        <v>9542</v>
      </c>
      <c r="E8633" s="156" t="s">
        <v>9624</v>
      </c>
      <c r="F8633" s="156" t="s">
        <v>718</v>
      </c>
      <c r="G8633" s="156" t="s">
        <v>3601</v>
      </c>
      <c r="H8633" s="157" t="s">
        <v>210</v>
      </c>
    </row>
    <row r="8634" hidden="1">
      <c r="A8634" s="151" t="s">
        <v>227</v>
      </c>
      <c r="B8634" s="118" t="s">
        <v>195</v>
      </c>
      <c r="C8634" s="118" t="s">
        <v>206</v>
      </c>
      <c r="D8634" s="152" t="s">
        <v>9542</v>
      </c>
      <c r="E8634" s="152" t="s">
        <v>9625</v>
      </c>
      <c r="F8634" s="152" t="s">
        <v>483</v>
      </c>
      <c r="G8634" s="152" t="s">
        <v>4778</v>
      </c>
      <c r="H8634" s="153" t="s">
        <v>211</v>
      </c>
    </row>
    <row r="8635" hidden="1">
      <c r="A8635" s="154" t="s">
        <v>227</v>
      </c>
      <c r="B8635" s="155" t="s">
        <v>195</v>
      </c>
      <c r="C8635" s="155" t="s">
        <v>206</v>
      </c>
      <c r="D8635" s="156" t="s">
        <v>9542</v>
      </c>
      <c r="E8635" s="156" t="s">
        <v>9626</v>
      </c>
      <c r="F8635" s="156" t="s">
        <v>453</v>
      </c>
      <c r="G8635" s="156" t="s">
        <v>4952</v>
      </c>
      <c r="H8635" s="157" t="s">
        <v>212</v>
      </c>
    </row>
    <row r="8636" hidden="1">
      <c r="A8636" s="151" t="s">
        <v>227</v>
      </c>
      <c r="B8636" s="118" t="s">
        <v>195</v>
      </c>
      <c r="C8636" s="118" t="s">
        <v>206</v>
      </c>
      <c r="D8636" s="152" t="s">
        <v>9542</v>
      </c>
      <c r="E8636" s="152" t="s">
        <v>9627</v>
      </c>
      <c r="F8636" s="152" t="s">
        <v>3359</v>
      </c>
      <c r="G8636" s="152" t="s">
        <v>9139</v>
      </c>
      <c r="H8636" s="153" t="s">
        <v>213</v>
      </c>
    </row>
    <row r="8637" hidden="1">
      <c r="A8637" s="154" t="s">
        <v>227</v>
      </c>
      <c r="B8637" s="155" t="s">
        <v>195</v>
      </c>
      <c r="C8637" s="155" t="s">
        <v>206</v>
      </c>
      <c r="D8637" s="156" t="s">
        <v>9542</v>
      </c>
      <c r="E8637" s="156" t="s">
        <v>9628</v>
      </c>
      <c r="F8637" s="156" t="s">
        <v>405</v>
      </c>
      <c r="G8637" s="156" t="s">
        <v>7885</v>
      </c>
      <c r="H8637" s="157" t="s">
        <v>214</v>
      </c>
    </row>
    <row r="8638" hidden="1">
      <c r="A8638" s="151" t="s">
        <v>227</v>
      </c>
      <c r="B8638" s="118" t="s">
        <v>195</v>
      </c>
      <c r="C8638" s="118" t="s">
        <v>206</v>
      </c>
      <c r="D8638" s="152" t="s">
        <v>9542</v>
      </c>
      <c r="E8638" s="152" t="s">
        <v>9629</v>
      </c>
      <c r="F8638" s="152" t="s">
        <v>3340</v>
      </c>
      <c r="G8638" s="152" t="s">
        <v>5452</v>
      </c>
      <c r="H8638" s="153" t="s">
        <v>215</v>
      </c>
    </row>
    <row r="8639" hidden="1">
      <c r="A8639" s="154" t="s">
        <v>227</v>
      </c>
      <c r="B8639" s="155" t="s">
        <v>195</v>
      </c>
      <c r="C8639" s="155" t="s">
        <v>206</v>
      </c>
      <c r="D8639" s="156" t="s">
        <v>9542</v>
      </c>
      <c r="E8639" s="156" t="s">
        <v>9630</v>
      </c>
      <c r="F8639" s="156" t="s">
        <v>423</v>
      </c>
      <c r="G8639" s="156" t="s">
        <v>5438</v>
      </c>
      <c r="H8639" s="157" t="s">
        <v>216</v>
      </c>
    </row>
    <row r="8640" hidden="1">
      <c r="A8640" s="151" t="s">
        <v>228</v>
      </c>
      <c r="B8640" s="118" t="s">
        <v>138</v>
      </c>
      <c r="C8640" s="118" t="s">
        <v>206</v>
      </c>
      <c r="D8640" s="152" t="s">
        <v>9542</v>
      </c>
      <c r="E8640" s="152" t="s">
        <v>9631</v>
      </c>
      <c r="F8640" s="152" t="s">
        <v>325</v>
      </c>
      <c r="G8640" s="152" t="s">
        <v>3937</v>
      </c>
      <c r="H8640" s="153" t="s">
        <v>210</v>
      </c>
    </row>
    <row r="8641" hidden="1">
      <c r="A8641" s="154" t="s">
        <v>228</v>
      </c>
      <c r="B8641" s="155" t="s">
        <v>138</v>
      </c>
      <c r="C8641" s="155" t="s">
        <v>206</v>
      </c>
      <c r="D8641" s="156" t="s">
        <v>9542</v>
      </c>
      <c r="E8641" s="156" t="s">
        <v>9632</v>
      </c>
      <c r="F8641" s="156" t="s">
        <v>1929</v>
      </c>
      <c r="G8641" s="156" t="s">
        <v>9391</v>
      </c>
      <c r="H8641" s="157" t="s">
        <v>211</v>
      </c>
    </row>
    <row r="8642" hidden="1">
      <c r="A8642" s="151" t="s">
        <v>228</v>
      </c>
      <c r="B8642" s="118" t="s">
        <v>138</v>
      </c>
      <c r="C8642" s="118" t="s">
        <v>206</v>
      </c>
      <c r="D8642" s="152" t="s">
        <v>9542</v>
      </c>
      <c r="E8642" s="152" t="s">
        <v>9633</v>
      </c>
      <c r="F8642" s="152" t="s">
        <v>494</v>
      </c>
      <c r="G8642" s="152" t="s">
        <v>3696</v>
      </c>
      <c r="H8642" s="153" t="s">
        <v>212</v>
      </c>
    </row>
    <row r="8643" hidden="1">
      <c r="A8643" s="154" t="s">
        <v>228</v>
      </c>
      <c r="B8643" s="155" t="s">
        <v>138</v>
      </c>
      <c r="C8643" s="155" t="s">
        <v>206</v>
      </c>
      <c r="D8643" s="156" t="s">
        <v>9542</v>
      </c>
      <c r="E8643" s="156" t="s">
        <v>9634</v>
      </c>
      <c r="F8643" s="156" t="s">
        <v>677</v>
      </c>
      <c r="G8643" s="156" t="s">
        <v>3919</v>
      </c>
      <c r="H8643" s="157" t="s">
        <v>213</v>
      </c>
    </row>
    <row r="8644" hidden="1">
      <c r="A8644" s="151" t="s">
        <v>228</v>
      </c>
      <c r="B8644" s="118" t="s">
        <v>138</v>
      </c>
      <c r="C8644" s="118" t="s">
        <v>206</v>
      </c>
      <c r="D8644" s="152" t="s">
        <v>9542</v>
      </c>
      <c r="E8644" s="152" t="s">
        <v>9635</v>
      </c>
      <c r="F8644" s="152" t="s">
        <v>1948</v>
      </c>
      <c r="G8644" s="152" t="s">
        <v>9133</v>
      </c>
      <c r="H8644" s="153" t="s">
        <v>214</v>
      </c>
    </row>
    <row r="8645" hidden="1">
      <c r="A8645" s="154" t="s">
        <v>228</v>
      </c>
      <c r="B8645" s="155" t="s">
        <v>138</v>
      </c>
      <c r="C8645" s="155" t="s">
        <v>206</v>
      </c>
      <c r="D8645" s="156" t="s">
        <v>9542</v>
      </c>
      <c r="E8645" s="156" t="s">
        <v>9636</v>
      </c>
      <c r="F8645" s="156" t="s">
        <v>677</v>
      </c>
      <c r="G8645" s="156" t="s">
        <v>5175</v>
      </c>
      <c r="H8645" s="157" t="s">
        <v>215</v>
      </c>
    </row>
    <row r="8646" hidden="1">
      <c r="A8646" s="151" t="s">
        <v>228</v>
      </c>
      <c r="B8646" s="118" t="s">
        <v>138</v>
      </c>
      <c r="C8646" s="118" t="s">
        <v>206</v>
      </c>
      <c r="D8646" s="152" t="s">
        <v>9542</v>
      </c>
      <c r="E8646" s="152" t="s">
        <v>9637</v>
      </c>
      <c r="F8646" s="152" t="s">
        <v>423</v>
      </c>
      <c r="G8646" s="152" t="s">
        <v>4083</v>
      </c>
      <c r="H8646" s="153" t="s">
        <v>216</v>
      </c>
    </row>
    <row r="8647" hidden="1">
      <c r="A8647" s="154" t="s">
        <v>229</v>
      </c>
      <c r="B8647" s="155" t="s">
        <v>193</v>
      </c>
      <c r="C8647" s="155" t="s">
        <v>206</v>
      </c>
      <c r="D8647" s="156" t="s">
        <v>9542</v>
      </c>
      <c r="E8647" s="156" t="s">
        <v>9638</v>
      </c>
      <c r="F8647" s="156" t="s">
        <v>390</v>
      </c>
      <c r="G8647" s="156" t="s">
        <v>9639</v>
      </c>
      <c r="H8647" s="157" t="s">
        <v>210</v>
      </c>
    </row>
    <row r="8648" hidden="1">
      <c r="A8648" s="151" t="s">
        <v>229</v>
      </c>
      <c r="B8648" s="118" t="s">
        <v>193</v>
      </c>
      <c r="C8648" s="118" t="s">
        <v>206</v>
      </c>
      <c r="D8648" s="152" t="s">
        <v>9542</v>
      </c>
      <c r="E8648" s="152" t="s">
        <v>9640</v>
      </c>
      <c r="F8648" s="152" t="s">
        <v>3240</v>
      </c>
      <c r="G8648" s="152" t="s">
        <v>9492</v>
      </c>
      <c r="H8648" s="153" t="s">
        <v>211</v>
      </c>
    </row>
    <row r="8649" hidden="1">
      <c r="A8649" s="154" t="s">
        <v>229</v>
      </c>
      <c r="B8649" s="155" t="s">
        <v>193</v>
      </c>
      <c r="C8649" s="155" t="s">
        <v>206</v>
      </c>
      <c r="D8649" s="156" t="s">
        <v>9542</v>
      </c>
      <c r="E8649" s="156" t="s">
        <v>9641</v>
      </c>
      <c r="F8649" s="156" t="s">
        <v>3240</v>
      </c>
      <c r="G8649" s="156" t="s">
        <v>9642</v>
      </c>
      <c r="H8649" s="157" t="s">
        <v>212</v>
      </c>
    </row>
    <row r="8650" hidden="1">
      <c r="A8650" s="151" t="s">
        <v>229</v>
      </c>
      <c r="B8650" s="118" t="s">
        <v>193</v>
      </c>
      <c r="C8650" s="118" t="s">
        <v>206</v>
      </c>
      <c r="D8650" s="152" t="s">
        <v>9542</v>
      </c>
      <c r="E8650" s="152" t="s">
        <v>9643</v>
      </c>
      <c r="F8650" s="152" t="s">
        <v>2607</v>
      </c>
      <c r="G8650" s="152" t="s">
        <v>9644</v>
      </c>
      <c r="H8650" s="153" t="s">
        <v>213</v>
      </c>
    </row>
    <row r="8651" hidden="1">
      <c r="A8651" s="154" t="s">
        <v>229</v>
      </c>
      <c r="B8651" s="155" t="s">
        <v>193</v>
      </c>
      <c r="C8651" s="155" t="s">
        <v>206</v>
      </c>
      <c r="D8651" s="156" t="s">
        <v>9542</v>
      </c>
      <c r="E8651" s="156" t="s">
        <v>9645</v>
      </c>
      <c r="F8651" s="156" t="s">
        <v>758</v>
      </c>
      <c r="G8651" s="156" t="s">
        <v>9425</v>
      </c>
      <c r="H8651" s="157" t="s">
        <v>214</v>
      </c>
    </row>
    <row r="8652" hidden="1">
      <c r="A8652" s="151" t="s">
        <v>229</v>
      </c>
      <c r="B8652" s="118" t="s">
        <v>193</v>
      </c>
      <c r="C8652" s="118" t="s">
        <v>206</v>
      </c>
      <c r="D8652" s="152" t="s">
        <v>9542</v>
      </c>
      <c r="E8652" s="152" t="s">
        <v>9646</v>
      </c>
      <c r="F8652" s="152" t="s">
        <v>1929</v>
      </c>
      <c r="G8652" s="152" t="s">
        <v>9647</v>
      </c>
      <c r="H8652" s="153" t="s">
        <v>215</v>
      </c>
    </row>
    <row r="8653" hidden="1">
      <c r="A8653" s="154" t="s">
        <v>229</v>
      </c>
      <c r="B8653" s="155" t="s">
        <v>193</v>
      </c>
      <c r="C8653" s="155" t="s">
        <v>206</v>
      </c>
      <c r="D8653" s="156" t="s">
        <v>9542</v>
      </c>
      <c r="E8653" s="156" t="s">
        <v>9648</v>
      </c>
      <c r="F8653" s="156" t="s">
        <v>629</v>
      </c>
      <c r="G8653" s="156" t="s">
        <v>9649</v>
      </c>
      <c r="H8653" s="157" t="s">
        <v>216</v>
      </c>
    </row>
    <row r="8654" hidden="1">
      <c r="A8654" s="151" t="s">
        <v>230</v>
      </c>
      <c r="B8654" s="118" t="s">
        <v>194</v>
      </c>
      <c r="C8654" s="118" t="s">
        <v>206</v>
      </c>
      <c r="D8654" s="152" t="s">
        <v>9542</v>
      </c>
      <c r="E8654" s="152" t="s">
        <v>9650</v>
      </c>
      <c r="F8654" s="152" t="s">
        <v>1790</v>
      </c>
      <c r="G8654" s="152" t="s">
        <v>5175</v>
      </c>
      <c r="H8654" s="153" t="s">
        <v>210</v>
      </c>
    </row>
    <row r="8655" hidden="1">
      <c r="A8655" s="154" t="s">
        <v>230</v>
      </c>
      <c r="B8655" s="155" t="s">
        <v>194</v>
      </c>
      <c r="C8655" s="155" t="s">
        <v>206</v>
      </c>
      <c r="D8655" s="156" t="s">
        <v>9542</v>
      </c>
      <c r="E8655" s="156" t="s">
        <v>9651</v>
      </c>
      <c r="F8655" s="156" t="s">
        <v>732</v>
      </c>
      <c r="G8655" s="156" t="s">
        <v>7600</v>
      </c>
      <c r="H8655" s="157" t="s">
        <v>211</v>
      </c>
    </row>
    <row r="8656" hidden="1">
      <c r="A8656" s="151" t="s">
        <v>230</v>
      </c>
      <c r="B8656" s="118" t="s">
        <v>194</v>
      </c>
      <c r="C8656" s="118" t="s">
        <v>206</v>
      </c>
      <c r="D8656" s="152" t="s">
        <v>9542</v>
      </c>
      <c r="E8656" s="152" t="s">
        <v>9652</v>
      </c>
      <c r="F8656" s="152" t="s">
        <v>732</v>
      </c>
      <c r="G8656" s="152" t="s">
        <v>9062</v>
      </c>
      <c r="H8656" s="153" t="s">
        <v>212</v>
      </c>
    </row>
    <row r="8657" hidden="1">
      <c r="A8657" s="154" t="s">
        <v>230</v>
      </c>
      <c r="B8657" s="155" t="s">
        <v>194</v>
      </c>
      <c r="C8657" s="155" t="s">
        <v>206</v>
      </c>
      <c r="D8657" s="156" t="s">
        <v>9542</v>
      </c>
      <c r="E8657" s="156" t="s">
        <v>9653</v>
      </c>
      <c r="F8657" s="156" t="s">
        <v>497</v>
      </c>
      <c r="G8657" s="156" t="s">
        <v>9353</v>
      </c>
      <c r="H8657" s="157" t="s">
        <v>213</v>
      </c>
    </row>
    <row r="8658" hidden="1">
      <c r="A8658" s="151" t="s">
        <v>230</v>
      </c>
      <c r="B8658" s="118" t="s">
        <v>194</v>
      </c>
      <c r="C8658" s="118" t="s">
        <v>206</v>
      </c>
      <c r="D8658" s="152" t="s">
        <v>9542</v>
      </c>
      <c r="E8658" s="152" t="s">
        <v>9654</v>
      </c>
      <c r="F8658" s="152" t="s">
        <v>497</v>
      </c>
      <c r="G8658" s="152" t="s">
        <v>4521</v>
      </c>
      <c r="H8658" s="153" t="s">
        <v>214</v>
      </c>
    </row>
    <row r="8659" hidden="1">
      <c r="A8659" s="154" t="s">
        <v>230</v>
      </c>
      <c r="B8659" s="155" t="s">
        <v>194</v>
      </c>
      <c r="C8659" s="155" t="s">
        <v>206</v>
      </c>
      <c r="D8659" s="156" t="s">
        <v>9542</v>
      </c>
      <c r="E8659" s="156" t="s">
        <v>9655</v>
      </c>
      <c r="F8659" s="156" t="s">
        <v>444</v>
      </c>
      <c r="G8659" s="156" t="s">
        <v>4379</v>
      </c>
      <c r="H8659" s="157" t="s">
        <v>215</v>
      </c>
    </row>
    <row r="8660" hidden="1">
      <c r="A8660" s="151" t="s">
        <v>230</v>
      </c>
      <c r="B8660" s="118" t="s">
        <v>194</v>
      </c>
      <c r="C8660" s="118" t="s">
        <v>206</v>
      </c>
      <c r="D8660" s="152" t="s">
        <v>9542</v>
      </c>
      <c r="E8660" s="152" t="s">
        <v>9656</v>
      </c>
      <c r="F8660" s="152" t="s">
        <v>675</v>
      </c>
      <c r="G8660" s="152" t="s">
        <v>7282</v>
      </c>
      <c r="H8660" s="153" t="s">
        <v>216</v>
      </c>
    </row>
    <row r="8661" hidden="1">
      <c r="A8661" s="158" t="s">
        <v>231</v>
      </c>
      <c r="B8661" s="159"/>
      <c r="C8661" s="155" t="s">
        <v>232</v>
      </c>
      <c r="D8661" s="156" t="s">
        <v>9542</v>
      </c>
      <c r="E8661" s="156" t="s">
        <v>9657</v>
      </c>
      <c r="F8661" s="156" t="s">
        <v>3340</v>
      </c>
      <c r="G8661" s="156" t="s">
        <v>9658</v>
      </c>
      <c r="H8661" s="157" t="s">
        <v>210</v>
      </c>
    </row>
    <row r="8662" hidden="1">
      <c r="A8662" s="160" t="s">
        <v>231</v>
      </c>
      <c r="B8662" s="72"/>
      <c r="C8662" s="118" t="s">
        <v>232</v>
      </c>
      <c r="D8662" s="152" t="s">
        <v>9542</v>
      </c>
      <c r="E8662" s="152" t="s">
        <v>9659</v>
      </c>
      <c r="F8662" s="152" t="s">
        <v>3150</v>
      </c>
      <c r="G8662" s="152" t="s">
        <v>9660</v>
      </c>
      <c r="H8662" s="153" t="s">
        <v>211</v>
      </c>
    </row>
    <row r="8663" hidden="1">
      <c r="A8663" s="158" t="s">
        <v>231</v>
      </c>
      <c r="B8663" s="159"/>
      <c r="C8663" s="155" t="s">
        <v>232</v>
      </c>
      <c r="D8663" s="156" t="s">
        <v>9542</v>
      </c>
      <c r="E8663" s="156" t="s">
        <v>9661</v>
      </c>
      <c r="F8663" s="156" t="s">
        <v>9662</v>
      </c>
      <c r="G8663" s="156" t="s">
        <v>9663</v>
      </c>
      <c r="H8663" s="157" t="s">
        <v>212</v>
      </c>
    </row>
    <row r="8664" hidden="1">
      <c r="A8664" s="160" t="s">
        <v>231</v>
      </c>
      <c r="B8664" s="72"/>
      <c r="C8664" s="118" t="s">
        <v>232</v>
      </c>
      <c r="D8664" s="152" t="s">
        <v>9542</v>
      </c>
      <c r="E8664" s="152" t="s">
        <v>9664</v>
      </c>
      <c r="F8664" s="152" t="s">
        <v>1769</v>
      </c>
      <c r="G8664" s="152" t="s">
        <v>9665</v>
      </c>
      <c r="H8664" s="153" t="s">
        <v>213</v>
      </c>
    </row>
    <row r="8665" hidden="1">
      <c r="A8665" s="158" t="s">
        <v>231</v>
      </c>
      <c r="B8665" s="159"/>
      <c r="C8665" s="155" t="s">
        <v>232</v>
      </c>
      <c r="D8665" s="156" t="s">
        <v>9542</v>
      </c>
      <c r="E8665" s="156" t="s">
        <v>9666</v>
      </c>
      <c r="F8665" s="156" t="s">
        <v>292</v>
      </c>
      <c r="G8665" s="156" t="s">
        <v>9667</v>
      </c>
      <c r="H8665" s="157" t="s">
        <v>214</v>
      </c>
    </row>
    <row r="8666" hidden="1">
      <c r="A8666" s="160" t="s">
        <v>231</v>
      </c>
      <c r="B8666" s="72"/>
      <c r="C8666" s="118" t="s">
        <v>232</v>
      </c>
      <c r="D8666" s="152" t="s">
        <v>9542</v>
      </c>
      <c r="E8666" s="152" t="s">
        <v>9668</v>
      </c>
      <c r="F8666" s="152" t="s">
        <v>1790</v>
      </c>
      <c r="G8666" s="152" t="s">
        <v>9669</v>
      </c>
      <c r="H8666" s="153" t="s">
        <v>215</v>
      </c>
    </row>
    <row r="8667" hidden="1">
      <c r="A8667" s="158" t="s">
        <v>231</v>
      </c>
      <c r="B8667" s="159"/>
      <c r="C8667" s="155" t="s">
        <v>232</v>
      </c>
      <c r="D8667" s="156" t="s">
        <v>9542</v>
      </c>
      <c r="E8667" s="156" t="s">
        <v>9670</v>
      </c>
      <c r="F8667" s="156" t="s">
        <v>675</v>
      </c>
      <c r="G8667" s="156" t="s">
        <v>9671</v>
      </c>
      <c r="H8667" s="157" t="s">
        <v>216</v>
      </c>
    </row>
    <row r="8668" hidden="1">
      <c r="A8668" s="160" t="s">
        <v>233</v>
      </c>
      <c r="B8668" s="72"/>
      <c r="C8668" s="118" t="s">
        <v>232</v>
      </c>
      <c r="D8668" s="152" t="s">
        <v>9542</v>
      </c>
      <c r="E8668" s="152" t="s">
        <v>9672</v>
      </c>
      <c r="F8668" s="152" t="s">
        <v>766</v>
      </c>
      <c r="G8668" s="152" t="s">
        <v>9272</v>
      </c>
      <c r="H8668" s="153" t="s">
        <v>210</v>
      </c>
    </row>
    <row r="8669" hidden="1">
      <c r="A8669" s="158" t="s">
        <v>233</v>
      </c>
      <c r="B8669" s="159"/>
      <c r="C8669" s="155" t="s">
        <v>232</v>
      </c>
      <c r="D8669" s="156" t="s">
        <v>9542</v>
      </c>
      <c r="E8669" s="156" t="s">
        <v>9673</v>
      </c>
      <c r="F8669" s="156" t="s">
        <v>629</v>
      </c>
      <c r="G8669" s="156" t="s">
        <v>9442</v>
      </c>
      <c r="H8669" s="157" t="s">
        <v>211</v>
      </c>
    </row>
    <row r="8670" hidden="1">
      <c r="A8670" s="160" t="s">
        <v>233</v>
      </c>
      <c r="B8670" s="72"/>
      <c r="C8670" s="118" t="s">
        <v>232</v>
      </c>
      <c r="D8670" s="152" t="s">
        <v>9542</v>
      </c>
      <c r="E8670" s="152" t="s">
        <v>9674</v>
      </c>
      <c r="F8670" s="152" t="s">
        <v>766</v>
      </c>
      <c r="G8670" s="152" t="s">
        <v>9272</v>
      </c>
      <c r="H8670" s="153" t="s">
        <v>212</v>
      </c>
    </row>
    <row r="8671" hidden="1">
      <c r="A8671" s="158" t="s">
        <v>233</v>
      </c>
      <c r="B8671" s="159"/>
      <c r="C8671" s="155" t="s">
        <v>232</v>
      </c>
      <c r="D8671" s="156" t="s">
        <v>9542</v>
      </c>
      <c r="E8671" s="156" t="s">
        <v>9675</v>
      </c>
      <c r="F8671" s="156" t="s">
        <v>3240</v>
      </c>
      <c r="G8671" s="156" t="s">
        <v>9555</v>
      </c>
      <c r="H8671" s="157" t="s">
        <v>213</v>
      </c>
    </row>
    <row r="8672" hidden="1">
      <c r="A8672" s="160" t="s">
        <v>233</v>
      </c>
      <c r="B8672" s="72"/>
      <c r="C8672" s="118" t="s">
        <v>232</v>
      </c>
      <c r="D8672" s="152" t="s">
        <v>9542</v>
      </c>
      <c r="E8672" s="152" t="s">
        <v>9676</v>
      </c>
      <c r="F8672" s="152" t="s">
        <v>390</v>
      </c>
      <c r="G8672" s="152" t="s">
        <v>5432</v>
      </c>
      <c r="H8672" s="153" t="s">
        <v>214</v>
      </c>
    </row>
    <row r="8673" hidden="1">
      <c r="A8673" s="158" t="s">
        <v>233</v>
      </c>
      <c r="B8673" s="159"/>
      <c r="C8673" s="155" t="s">
        <v>232</v>
      </c>
      <c r="D8673" s="156" t="s">
        <v>9542</v>
      </c>
      <c r="E8673" s="156" t="s">
        <v>9677</v>
      </c>
      <c r="F8673" s="156" t="s">
        <v>763</v>
      </c>
      <c r="G8673" s="156" t="s">
        <v>9210</v>
      </c>
      <c r="H8673" s="157" t="s">
        <v>215</v>
      </c>
    </row>
    <row r="8674" hidden="1">
      <c r="A8674" s="160" t="s">
        <v>233</v>
      </c>
      <c r="B8674" s="72"/>
      <c r="C8674" s="118" t="s">
        <v>232</v>
      </c>
      <c r="D8674" s="152" t="s">
        <v>9542</v>
      </c>
      <c r="E8674" s="152" t="s">
        <v>9678</v>
      </c>
      <c r="F8674" s="152" t="s">
        <v>758</v>
      </c>
      <c r="G8674" s="152" t="s">
        <v>5173</v>
      </c>
      <c r="H8674" s="153" t="s">
        <v>216</v>
      </c>
    </row>
    <row r="8675" hidden="1">
      <c r="A8675" s="158" t="s">
        <v>234</v>
      </c>
      <c r="B8675" s="159"/>
      <c r="C8675" s="155" t="s">
        <v>232</v>
      </c>
      <c r="D8675" s="156" t="s">
        <v>9542</v>
      </c>
      <c r="E8675" s="156" t="s">
        <v>9679</v>
      </c>
      <c r="F8675" s="156" t="s">
        <v>758</v>
      </c>
      <c r="G8675" s="156" t="s">
        <v>3786</v>
      </c>
      <c r="H8675" s="157" t="s">
        <v>210</v>
      </c>
    </row>
    <row r="8676" hidden="1">
      <c r="A8676" s="160" t="s">
        <v>234</v>
      </c>
      <c r="B8676" s="72"/>
      <c r="C8676" s="118" t="s">
        <v>232</v>
      </c>
      <c r="D8676" s="152" t="s">
        <v>9542</v>
      </c>
      <c r="E8676" s="152" t="s">
        <v>9680</v>
      </c>
      <c r="F8676" s="152" t="s">
        <v>448</v>
      </c>
      <c r="G8676" s="152" t="s">
        <v>5821</v>
      </c>
      <c r="H8676" s="153" t="s">
        <v>211</v>
      </c>
    </row>
    <row r="8677" hidden="1">
      <c r="A8677" s="158" t="s">
        <v>234</v>
      </c>
      <c r="B8677" s="159"/>
      <c r="C8677" s="155" t="s">
        <v>232</v>
      </c>
      <c r="D8677" s="156" t="s">
        <v>9542</v>
      </c>
      <c r="E8677" s="156" t="s">
        <v>9681</v>
      </c>
      <c r="F8677" s="156" t="s">
        <v>3359</v>
      </c>
      <c r="G8677" s="156" t="s">
        <v>3699</v>
      </c>
      <c r="H8677" s="157" t="s">
        <v>212</v>
      </c>
    </row>
    <row r="8678" hidden="1">
      <c r="A8678" s="160" t="s">
        <v>234</v>
      </c>
      <c r="B8678" s="72"/>
      <c r="C8678" s="118" t="s">
        <v>232</v>
      </c>
      <c r="D8678" s="152" t="s">
        <v>9542</v>
      </c>
      <c r="E8678" s="152" t="s">
        <v>9682</v>
      </c>
      <c r="F8678" s="152" t="s">
        <v>2994</v>
      </c>
      <c r="G8678" s="152" t="s">
        <v>3905</v>
      </c>
      <c r="H8678" s="153" t="s">
        <v>213</v>
      </c>
    </row>
    <row r="8679" hidden="1">
      <c r="A8679" s="158" t="s">
        <v>234</v>
      </c>
      <c r="B8679" s="159"/>
      <c r="C8679" s="155" t="s">
        <v>232</v>
      </c>
      <c r="D8679" s="156" t="s">
        <v>9542</v>
      </c>
      <c r="E8679" s="156" t="s">
        <v>9683</v>
      </c>
      <c r="F8679" s="156" t="s">
        <v>577</v>
      </c>
      <c r="G8679" s="156" t="s">
        <v>3595</v>
      </c>
      <c r="H8679" s="157" t="s">
        <v>214</v>
      </c>
    </row>
    <row r="8680" hidden="1">
      <c r="A8680" s="160" t="s">
        <v>234</v>
      </c>
      <c r="B8680" s="72"/>
      <c r="C8680" s="118" t="s">
        <v>232</v>
      </c>
      <c r="D8680" s="152" t="s">
        <v>9542</v>
      </c>
      <c r="E8680" s="152" t="s">
        <v>9684</v>
      </c>
      <c r="F8680" s="152" t="s">
        <v>494</v>
      </c>
      <c r="G8680" s="152" t="s">
        <v>4320</v>
      </c>
      <c r="H8680" s="153" t="s">
        <v>215</v>
      </c>
    </row>
    <row r="8681" hidden="1">
      <c r="A8681" s="158" t="s">
        <v>234</v>
      </c>
      <c r="B8681" s="159"/>
      <c r="C8681" s="155" t="s">
        <v>232</v>
      </c>
      <c r="D8681" s="156" t="s">
        <v>9542</v>
      </c>
      <c r="E8681" s="156" t="s">
        <v>9685</v>
      </c>
      <c r="F8681" s="156" t="s">
        <v>2994</v>
      </c>
      <c r="G8681" s="156" t="s">
        <v>4659</v>
      </c>
      <c r="H8681" s="157" t="s">
        <v>216</v>
      </c>
    </row>
    <row r="8682" hidden="1">
      <c r="A8682" s="160" t="s">
        <v>235</v>
      </c>
      <c r="B8682" s="72"/>
      <c r="C8682" s="118" t="s">
        <v>236</v>
      </c>
      <c r="D8682" s="152" t="s">
        <v>9542</v>
      </c>
      <c r="E8682" s="152" t="s">
        <v>9686</v>
      </c>
      <c r="F8682" s="152" t="s">
        <v>691</v>
      </c>
      <c r="G8682" s="152" t="s">
        <v>9687</v>
      </c>
      <c r="H8682" s="153" t="s">
        <v>210</v>
      </c>
    </row>
    <row r="8683" hidden="1">
      <c r="A8683" s="158" t="s">
        <v>235</v>
      </c>
      <c r="B8683" s="159"/>
      <c r="C8683" s="155" t="s">
        <v>236</v>
      </c>
      <c r="D8683" s="156" t="s">
        <v>9542</v>
      </c>
      <c r="E8683" s="156" t="s">
        <v>9688</v>
      </c>
      <c r="F8683" s="156" t="s">
        <v>3340</v>
      </c>
      <c r="G8683" s="156" t="s">
        <v>9195</v>
      </c>
      <c r="H8683" s="157" t="s">
        <v>211</v>
      </c>
    </row>
    <row r="8684" hidden="1">
      <c r="A8684" s="160" t="s">
        <v>235</v>
      </c>
      <c r="B8684" s="72"/>
      <c r="C8684" s="118" t="s">
        <v>236</v>
      </c>
      <c r="D8684" s="152" t="s">
        <v>9542</v>
      </c>
      <c r="E8684" s="152" t="s">
        <v>9689</v>
      </c>
      <c r="F8684" s="152" t="s">
        <v>3346</v>
      </c>
      <c r="G8684" s="152" t="s">
        <v>9690</v>
      </c>
      <c r="H8684" s="153" t="s">
        <v>212</v>
      </c>
    </row>
    <row r="8685" hidden="1">
      <c r="A8685" s="158" t="s">
        <v>235</v>
      </c>
      <c r="B8685" s="159"/>
      <c r="C8685" s="155" t="s">
        <v>236</v>
      </c>
      <c r="D8685" s="156" t="s">
        <v>9542</v>
      </c>
      <c r="E8685" s="156" t="s">
        <v>9691</v>
      </c>
      <c r="F8685" s="156" t="s">
        <v>3346</v>
      </c>
      <c r="G8685" s="156" t="s">
        <v>9692</v>
      </c>
      <c r="H8685" s="157" t="s">
        <v>213</v>
      </c>
    </row>
    <row r="8686" hidden="1">
      <c r="A8686" s="160" t="s">
        <v>235</v>
      </c>
      <c r="B8686" s="72"/>
      <c r="C8686" s="118" t="s">
        <v>236</v>
      </c>
      <c r="D8686" s="152" t="s">
        <v>9542</v>
      </c>
      <c r="E8686" s="152" t="s">
        <v>9693</v>
      </c>
      <c r="F8686" s="152" t="s">
        <v>629</v>
      </c>
      <c r="G8686" s="152" t="s">
        <v>9548</v>
      </c>
      <c r="H8686" s="153" t="s">
        <v>214</v>
      </c>
    </row>
    <row r="8687" hidden="1">
      <c r="A8687" s="158" t="s">
        <v>235</v>
      </c>
      <c r="B8687" s="159"/>
      <c r="C8687" s="155" t="s">
        <v>236</v>
      </c>
      <c r="D8687" s="156" t="s">
        <v>9542</v>
      </c>
      <c r="E8687" s="156" t="s">
        <v>9694</v>
      </c>
      <c r="F8687" s="156" t="s">
        <v>766</v>
      </c>
      <c r="G8687" s="156" t="s">
        <v>9272</v>
      </c>
      <c r="H8687" s="157" t="s">
        <v>215</v>
      </c>
    </row>
    <row r="8688" hidden="1">
      <c r="A8688" s="160" t="s">
        <v>235</v>
      </c>
      <c r="B8688" s="72"/>
      <c r="C8688" s="118" t="s">
        <v>236</v>
      </c>
      <c r="D8688" s="152" t="s">
        <v>9542</v>
      </c>
      <c r="E8688" s="152" t="s">
        <v>9695</v>
      </c>
      <c r="F8688" s="152" t="s">
        <v>3340</v>
      </c>
      <c r="G8688" s="152" t="s">
        <v>9696</v>
      </c>
      <c r="H8688" s="153" t="s">
        <v>216</v>
      </c>
    </row>
    <row r="8689" hidden="1">
      <c r="A8689" s="158" t="s">
        <v>237</v>
      </c>
      <c r="B8689" s="159"/>
      <c r="C8689" s="155" t="s">
        <v>236</v>
      </c>
      <c r="D8689" s="156" t="s">
        <v>9542</v>
      </c>
      <c r="E8689" s="156" t="s">
        <v>9697</v>
      </c>
      <c r="F8689" s="156" t="s">
        <v>735</v>
      </c>
      <c r="G8689" s="156" t="s">
        <v>5299</v>
      </c>
      <c r="H8689" s="157" t="s">
        <v>210</v>
      </c>
    </row>
    <row r="8690" hidden="1">
      <c r="A8690" s="160" t="s">
        <v>237</v>
      </c>
      <c r="B8690" s="72"/>
      <c r="C8690" s="118" t="s">
        <v>236</v>
      </c>
      <c r="D8690" s="152" t="s">
        <v>9542</v>
      </c>
      <c r="E8690" s="152" t="s">
        <v>9698</v>
      </c>
      <c r="F8690" s="152" t="s">
        <v>453</v>
      </c>
      <c r="G8690" s="152" t="s">
        <v>3925</v>
      </c>
      <c r="H8690" s="153" t="s">
        <v>211</v>
      </c>
    </row>
    <row r="8691" hidden="1">
      <c r="A8691" s="158" t="s">
        <v>237</v>
      </c>
      <c r="B8691" s="159"/>
      <c r="C8691" s="155" t="s">
        <v>236</v>
      </c>
      <c r="D8691" s="156" t="s">
        <v>9542</v>
      </c>
      <c r="E8691" s="156" t="s">
        <v>9699</v>
      </c>
      <c r="F8691" s="156" t="s">
        <v>760</v>
      </c>
      <c r="G8691" s="156" t="s">
        <v>8928</v>
      </c>
      <c r="H8691" s="157" t="s">
        <v>212</v>
      </c>
    </row>
    <row r="8692" hidden="1">
      <c r="A8692" s="160" t="s">
        <v>237</v>
      </c>
      <c r="B8692" s="72"/>
      <c r="C8692" s="118" t="s">
        <v>236</v>
      </c>
      <c r="D8692" s="152" t="s">
        <v>9542</v>
      </c>
      <c r="E8692" s="152" t="s">
        <v>9700</v>
      </c>
      <c r="F8692" s="152" t="s">
        <v>629</v>
      </c>
      <c r="G8692" s="152" t="s">
        <v>4371</v>
      </c>
      <c r="H8692" s="153" t="s">
        <v>213</v>
      </c>
    </row>
    <row r="8693" hidden="1">
      <c r="A8693" s="158" t="s">
        <v>237</v>
      </c>
      <c r="B8693" s="159"/>
      <c r="C8693" s="155" t="s">
        <v>236</v>
      </c>
      <c r="D8693" s="156" t="s">
        <v>9542</v>
      </c>
      <c r="E8693" s="156" t="s">
        <v>9701</v>
      </c>
      <c r="F8693" s="156" t="s">
        <v>405</v>
      </c>
      <c r="G8693" s="156" t="s">
        <v>7605</v>
      </c>
      <c r="H8693" s="157" t="s">
        <v>214</v>
      </c>
    </row>
    <row r="8694" hidden="1">
      <c r="A8694" s="160" t="s">
        <v>237</v>
      </c>
      <c r="B8694" s="72"/>
      <c r="C8694" s="118" t="s">
        <v>236</v>
      </c>
      <c r="D8694" s="152" t="s">
        <v>9542</v>
      </c>
      <c r="E8694" s="152" t="s">
        <v>9702</v>
      </c>
      <c r="F8694" s="152" t="s">
        <v>577</v>
      </c>
      <c r="G8694" s="152" t="s">
        <v>4171</v>
      </c>
      <c r="H8694" s="153" t="s">
        <v>215</v>
      </c>
    </row>
    <row r="8695" hidden="1">
      <c r="A8695" s="158" t="s">
        <v>237</v>
      </c>
      <c r="B8695" s="159"/>
      <c r="C8695" s="155" t="s">
        <v>236</v>
      </c>
      <c r="D8695" s="156" t="s">
        <v>9542</v>
      </c>
      <c r="E8695" s="156" t="s">
        <v>9703</v>
      </c>
      <c r="F8695" s="156" t="s">
        <v>673</v>
      </c>
      <c r="G8695" s="156" t="s">
        <v>3462</v>
      </c>
      <c r="H8695" s="157" t="s">
        <v>216</v>
      </c>
    </row>
    <row r="8696" hidden="1">
      <c r="A8696" s="151" t="s">
        <v>204</v>
      </c>
      <c r="B8696" s="118" t="s">
        <v>205</v>
      </c>
      <c r="C8696" s="118" t="s">
        <v>206</v>
      </c>
      <c r="D8696" s="152" t="s">
        <v>9704</v>
      </c>
      <c r="E8696" s="152" t="s">
        <v>9705</v>
      </c>
      <c r="F8696" s="152" t="s">
        <v>448</v>
      </c>
      <c r="G8696" s="152" t="s">
        <v>9692</v>
      </c>
      <c r="H8696" s="153" t="s">
        <v>210</v>
      </c>
    </row>
    <row r="8697" hidden="1">
      <c r="A8697" s="154" t="s">
        <v>204</v>
      </c>
      <c r="B8697" s="155" t="s">
        <v>205</v>
      </c>
      <c r="C8697" s="155" t="s">
        <v>206</v>
      </c>
      <c r="D8697" s="156" t="s">
        <v>9704</v>
      </c>
      <c r="E8697" s="156" t="s">
        <v>9706</v>
      </c>
      <c r="F8697" s="156" t="s">
        <v>2994</v>
      </c>
      <c r="G8697" s="156" t="s">
        <v>9690</v>
      </c>
      <c r="H8697" s="157" t="s">
        <v>211</v>
      </c>
    </row>
    <row r="8698" hidden="1">
      <c r="A8698" s="151" t="s">
        <v>204</v>
      </c>
      <c r="B8698" s="118" t="s">
        <v>205</v>
      </c>
      <c r="C8698" s="118" t="s">
        <v>206</v>
      </c>
      <c r="D8698" s="152" t="s">
        <v>9704</v>
      </c>
      <c r="E8698" s="152" t="s">
        <v>9707</v>
      </c>
      <c r="F8698" s="152" t="s">
        <v>758</v>
      </c>
      <c r="G8698" s="152" t="s">
        <v>9708</v>
      </c>
      <c r="H8698" s="153" t="s">
        <v>212</v>
      </c>
    </row>
    <row r="8699" hidden="1">
      <c r="A8699" s="154" t="s">
        <v>204</v>
      </c>
      <c r="B8699" s="155" t="s">
        <v>205</v>
      </c>
      <c r="C8699" s="155" t="s">
        <v>206</v>
      </c>
      <c r="D8699" s="156" t="s">
        <v>9704</v>
      </c>
      <c r="E8699" s="156" t="s">
        <v>9709</v>
      </c>
      <c r="F8699" s="156" t="s">
        <v>1530</v>
      </c>
      <c r="G8699" s="156" t="s">
        <v>9330</v>
      </c>
      <c r="H8699" s="157" t="s">
        <v>213</v>
      </c>
    </row>
    <row r="8700" hidden="1">
      <c r="A8700" s="151" t="s">
        <v>204</v>
      </c>
      <c r="B8700" s="118" t="s">
        <v>205</v>
      </c>
      <c r="C8700" s="118" t="s">
        <v>206</v>
      </c>
      <c r="D8700" s="152" t="s">
        <v>9704</v>
      </c>
      <c r="E8700" s="152" t="s">
        <v>9710</v>
      </c>
      <c r="F8700" s="152" t="s">
        <v>1530</v>
      </c>
      <c r="G8700" s="152" t="s">
        <v>9711</v>
      </c>
      <c r="H8700" s="153" t="s">
        <v>214</v>
      </c>
    </row>
    <row r="8701" hidden="1">
      <c r="A8701" s="154" t="s">
        <v>204</v>
      </c>
      <c r="B8701" s="155" t="s">
        <v>205</v>
      </c>
      <c r="C8701" s="155" t="s">
        <v>206</v>
      </c>
      <c r="D8701" s="156" t="s">
        <v>9704</v>
      </c>
      <c r="E8701" s="156" t="s">
        <v>9712</v>
      </c>
      <c r="F8701" s="156" t="s">
        <v>1530</v>
      </c>
      <c r="G8701" s="156" t="s">
        <v>9713</v>
      </c>
      <c r="H8701" s="157" t="s">
        <v>215</v>
      </c>
    </row>
    <row r="8702" hidden="1">
      <c r="A8702" s="151" t="s">
        <v>204</v>
      </c>
      <c r="B8702" s="118" t="s">
        <v>205</v>
      </c>
      <c r="C8702" s="118" t="s">
        <v>206</v>
      </c>
      <c r="D8702" s="152" t="s">
        <v>9704</v>
      </c>
      <c r="E8702" s="152" t="s">
        <v>9714</v>
      </c>
      <c r="F8702" s="152" t="s">
        <v>390</v>
      </c>
      <c r="G8702" s="152" t="s">
        <v>9715</v>
      </c>
      <c r="H8702" s="153" t="s">
        <v>216</v>
      </c>
    </row>
    <row r="8703" hidden="1">
      <c r="A8703" s="154" t="s">
        <v>217</v>
      </c>
      <c r="B8703" s="155" t="s">
        <v>191</v>
      </c>
      <c r="C8703" s="155" t="s">
        <v>206</v>
      </c>
      <c r="D8703" s="156" t="s">
        <v>9704</v>
      </c>
      <c r="E8703" s="156" t="s">
        <v>9716</v>
      </c>
      <c r="F8703" s="156" t="s">
        <v>3240</v>
      </c>
      <c r="G8703" s="156" t="s">
        <v>9717</v>
      </c>
      <c r="H8703" s="157" t="s">
        <v>210</v>
      </c>
    </row>
    <row r="8704" hidden="1">
      <c r="A8704" s="151" t="s">
        <v>217</v>
      </c>
      <c r="B8704" s="118" t="s">
        <v>191</v>
      </c>
      <c r="C8704" s="118" t="s">
        <v>206</v>
      </c>
      <c r="D8704" s="152" t="s">
        <v>9704</v>
      </c>
      <c r="E8704" s="152" t="s">
        <v>9718</v>
      </c>
      <c r="F8704" s="152" t="s">
        <v>629</v>
      </c>
      <c r="G8704" s="152" t="s">
        <v>9719</v>
      </c>
      <c r="H8704" s="153" t="s">
        <v>211</v>
      </c>
    </row>
    <row r="8705" hidden="1">
      <c r="A8705" s="154" t="s">
        <v>217</v>
      </c>
      <c r="B8705" s="155" t="s">
        <v>191</v>
      </c>
      <c r="C8705" s="155" t="s">
        <v>206</v>
      </c>
      <c r="D8705" s="156" t="s">
        <v>9704</v>
      </c>
      <c r="E8705" s="156" t="s">
        <v>9720</v>
      </c>
      <c r="F8705" s="156" t="s">
        <v>758</v>
      </c>
      <c r="G8705" s="156" t="s">
        <v>9721</v>
      </c>
      <c r="H8705" s="157" t="s">
        <v>212</v>
      </c>
    </row>
    <row r="8706" hidden="1">
      <c r="A8706" s="151" t="s">
        <v>217</v>
      </c>
      <c r="B8706" s="118" t="s">
        <v>191</v>
      </c>
      <c r="C8706" s="118" t="s">
        <v>206</v>
      </c>
      <c r="D8706" s="152" t="s">
        <v>9704</v>
      </c>
      <c r="E8706" s="152" t="s">
        <v>9722</v>
      </c>
      <c r="F8706" s="152" t="s">
        <v>1532</v>
      </c>
      <c r="G8706" s="152" t="s">
        <v>9723</v>
      </c>
      <c r="H8706" s="153" t="s">
        <v>213</v>
      </c>
    </row>
    <row r="8707" hidden="1">
      <c r="A8707" s="154" t="s">
        <v>217</v>
      </c>
      <c r="B8707" s="155" t="s">
        <v>191</v>
      </c>
      <c r="C8707" s="155" t="s">
        <v>206</v>
      </c>
      <c r="D8707" s="156" t="s">
        <v>9704</v>
      </c>
      <c r="E8707" s="156" t="s">
        <v>9724</v>
      </c>
      <c r="F8707" s="156" t="s">
        <v>760</v>
      </c>
      <c r="G8707" s="156" t="s">
        <v>9725</v>
      </c>
      <c r="H8707" s="157" t="s">
        <v>214</v>
      </c>
    </row>
    <row r="8708" hidden="1">
      <c r="A8708" s="151" t="s">
        <v>217</v>
      </c>
      <c r="B8708" s="118" t="s">
        <v>191</v>
      </c>
      <c r="C8708" s="118" t="s">
        <v>206</v>
      </c>
      <c r="D8708" s="152" t="s">
        <v>9704</v>
      </c>
      <c r="E8708" s="152" t="s">
        <v>9726</v>
      </c>
      <c r="F8708" s="152" t="s">
        <v>629</v>
      </c>
      <c r="G8708" s="152" t="s">
        <v>9727</v>
      </c>
      <c r="H8708" s="153" t="s">
        <v>215</v>
      </c>
    </row>
    <row r="8709" hidden="1">
      <c r="A8709" s="154" t="s">
        <v>217</v>
      </c>
      <c r="B8709" s="155" t="s">
        <v>191</v>
      </c>
      <c r="C8709" s="155" t="s">
        <v>206</v>
      </c>
      <c r="D8709" s="156" t="s">
        <v>9704</v>
      </c>
      <c r="E8709" s="156" t="s">
        <v>9728</v>
      </c>
      <c r="F8709" s="156" t="s">
        <v>629</v>
      </c>
      <c r="G8709" s="156" t="s">
        <v>9729</v>
      </c>
      <c r="H8709" s="157" t="s">
        <v>216</v>
      </c>
    </row>
    <row r="8710" hidden="1">
      <c r="A8710" s="151" t="s">
        <v>218</v>
      </c>
      <c r="B8710" s="118" t="s">
        <v>219</v>
      </c>
      <c r="C8710" s="118" t="s">
        <v>206</v>
      </c>
      <c r="D8710" s="152" t="s">
        <v>9704</v>
      </c>
      <c r="E8710" s="152" t="s">
        <v>9730</v>
      </c>
      <c r="F8710" s="152" t="s">
        <v>2339</v>
      </c>
      <c r="G8710" s="152" t="s">
        <v>9609</v>
      </c>
      <c r="H8710" s="153" t="s">
        <v>210</v>
      </c>
    </row>
    <row r="8711" hidden="1">
      <c r="A8711" s="154" t="s">
        <v>218</v>
      </c>
      <c r="B8711" s="155" t="s">
        <v>219</v>
      </c>
      <c r="C8711" s="155" t="s">
        <v>206</v>
      </c>
      <c r="D8711" s="156" t="s">
        <v>9704</v>
      </c>
      <c r="E8711" s="156" t="s">
        <v>9731</v>
      </c>
      <c r="F8711" s="156" t="s">
        <v>675</v>
      </c>
      <c r="G8711" s="156" t="s">
        <v>5037</v>
      </c>
      <c r="H8711" s="157" t="s">
        <v>211</v>
      </c>
    </row>
    <row r="8712" hidden="1">
      <c r="A8712" s="151" t="s">
        <v>218</v>
      </c>
      <c r="B8712" s="118" t="s">
        <v>219</v>
      </c>
      <c r="C8712" s="118" t="s">
        <v>206</v>
      </c>
      <c r="D8712" s="152" t="s">
        <v>9704</v>
      </c>
      <c r="E8712" s="152" t="s">
        <v>9732</v>
      </c>
      <c r="F8712" s="152" t="s">
        <v>3293</v>
      </c>
      <c r="G8712" s="152" t="s">
        <v>9692</v>
      </c>
      <c r="H8712" s="153" t="s">
        <v>212</v>
      </c>
    </row>
    <row r="8713" hidden="1">
      <c r="A8713" s="154" t="s">
        <v>218</v>
      </c>
      <c r="B8713" s="155" t="s">
        <v>219</v>
      </c>
      <c r="C8713" s="155" t="s">
        <v>206</v>
      </c>
      <c r="D8713" s="156" t="s">
        <v>9704</v>
      </c>
      <c r="E8713" s="156" t="s">
        <v>9733</v>
      </c>
      <c r="F8713" s="156" t="s">
        <v>732</v>
      </c>
      <c r="G8713" s="156" t="s">
        <v>6262</v>
      </c>
      <c r="H8713" s="157" t="s">
        <v>213</v>
      </c>
    </row>
    <row r="8714" hidden="1">
      <c r="A8714" s="151" t="s">
        <v>218</v>
      </c>
      <c r="B8714" s="118" t="s">
        <v>219</v>
      </c>
      <c r="C8714" s="118" t="s">
        <v>206</v>
      </c>
      <c r="D8714" s="152" t="s">
        <v>9704</v>
      </c>
      <c r="E8714" s="152" t="s">
        <v>9734</v>
      </c>
      <c r="F8714" s="152" t="s">
        <v>3150</v>
      </c>
      <c r="G8714" s="152" t="s">
        <v>5175</v>
      </c>
      <c r="H8714" s="153" t="s">
        <v>214</v>
      </c>
    </row>
    <row r="8715" hidden="1">
      <c r="A8715" s="154" t="s">
        <v>218</v>
      </c>
      <c r="B8715" s="155" t="s">
        <v>219</v>
      </c>
      <c r="C8715" s="155" t="s">
        <v>206</v>
      </c>
      <c r="D8715" s="156" t="s">
        <v>9704</v>
      </c>
      <c r="E8715" s="156" t="s">
        <v>9735</v>
      </c>
      <c r="F8715" s="156" t="s">
        <v>1931</v>
      </c>
      <c r="G8715" s="156" t="s">
        <v>3921</v>
      </c>
      <c r="H8715" s="157" t="s">
        <v>215</v>
      </c>
    </row>
    <row r="8716" hidden="1">
      <c r="A8716" s="151" t="s">
        <v>218</v>
      </c>
      <c r="B8716" s="118" t="s">
        <v>219</v>
      </c>
      <c r="C8716" s="118" t="s">
        <v>206</v>
      </c>
      <c r="D8716" s="152" t="s">
        <v>9704</v>
      </c>
      <c r="E8716" s="152" t="s">
        <v>9736</v>
      </c>
      <c r="F8716" s="152" t="s">
        <v>3625</v>
      </c>
      <c r="G8716" s="152" t="s">
        <v>5168</v>
      </c>
      <c r="H8716" s="153" t="s">
        <v>216</v>
      </c>
    </row>
    <row r="8717" hidden="1">
      <c r="A8717" s="154" t="s">
        <v>220</v>
      </c>
      <c r="B8717" s="155" t="s">
        <v>190</v>
      </c>
      <c r="C8717" s="155" t="s">
        <v>206</v>
      </c>
      <c r="D8717" s="156" t="s">
        <v>9704</v>
      </c>
      <c r="E8717" s="156" t="s">
        <v>9737</v>
      </c>
      <c r="F8717" s="156" t="s">
        <v>2223</v>
      </c>
      <c r="G8717" s="156" t="s">
        <v>9738</v>
      </c>
      <c r="H8717" s="157" t="s">
        <v>210</v>
      </c>
    </row>
    <row r="8718" hidden="1">
      <c r="A8718" s="151" t="s">
        <v>220</v>
      </c>
      <c r="B8718" s="118" t="s">
        <v>190</v>
      </c>
      <c r="C8718" s="118" t="s">
        <v>206</v>
      </c>
      <c r="D8718" s="152" t="s">
        <v>9704</v>
      </c>
      <c r="E8718" s="152" t="s">
        <v>9739</v>
      </c>
      <c r="F8718" s="152" t="s">
        <v>228</v>
      </c>
      <c r="G8718" s="152" t="s">
        <v>9740</v>
      </c>
      <c r="H8718" s="153" t="s">
        <v>211</v>
      </c>
    </row>
    <row r="8719" hidden="1">
      <c r="A8719" s="154" t="s">
        <v>220</v>
      </c>
      <c r="B8719" s="155" t="s">
        <v>190</v>
      </c>
      <c r="C8719" s="155" t="s">
        <v>206</v>
      </c>
      <c r="D8719" s="156" t="s">
        <v>9704</v>
      </c>
      <c r="E8719" s="156" t="s">
        <v>9741</v>
      </c>
      <c r="F8719" s="156" t="s">
        <v>2407</v>
      </c>
      <c r="G8719" s="156" t="s">
        <v>9742</v>
      </c>
      <c r="H8719" s="157" t="s">
        <v>212</v>
      </c>
    </row>
    <row r="8720" hidden="1">
      <c r="A8720" s="151" t="s">
        <v>220</v>
      </c>
      <c r="B8720" s="118" t="s">
        <v>190</v>
      </c>
      <c r="C8720" s="118" t="s">
        <v>206</v>
      </c>
      <c r="D8720" s="152" t="s">
        <v>9704</v>
      </c>
      <c r="E8720" s="152" t="s">
        <v>9743</v>
      </c>
      <c r="F8720" s="152" t="s">
        <v>9508</v>
      </c>
      <c r="G8720" s="152" t="s">
        <v>9744</v>
      </c>
      <c r="H8720" s="153" t="s">
        <v>213</v>
      </c>
    </row>
    <row r="8721" hidden="1">
      <c r="A8721" s="154" t="s">
        <v>220</v>
      </c>
      <c r="B8721" s="155" t="s">
        <v>190</v>
      </c>
      <c r="C8721" s="155" t="s">
        <v>206</v>
      </c>
      <c r="D8721" s="156" t="s">
        <v>9704</v>
      </c>
      <c r="E8721" s="156" t="s">
        <v>9745</v>
      </c>
      <c r="F8721" s="156" t="s">
        <v>2218</v>
      </c>
      <c r="G8721" s="156" t="s">
        <v>9746</v>
      </c>
      <c r="H8721" s="157" t="s">
        <v>214</v>
      </c>
    </row>
    <row r="8722" hidden="1">
      <c r="A8722" s="151" t="s">
        <v>220</v>
      </c>
      <c r="B8722" s="118" t="s">
        <v>190</v>
      </c>
      <c r="C8722" s="118" t="s">
        <v>206</v>
      </c>
      <c r="D8722" s="152" t="s">
        <v>9704</v>
      </c>
      <c r="E8722" s="152" t="s">
        <v>9747</v>
      </c>
      <c r="F8722" s="152" t="s">
        <v>497</v>
      </c>
      <c r="G8722" s="152" t="s">
        <v>9748</v>
      </c>
      <c r="H8722" s="153" t="s">
        <v>215</v>
      </c>
    </row>
    <row r="8723" hidden="1">
      <c r="A8723" s="154" t="s">
        <v>220</v>
      </c>
      <c r="B8723" s="155" t="s">
        <v>190</v>
      </c>
      <c r="C8723" s="155" t="s">
        <v>206</v>
      </c>
      <c r="D8723" s="156" t="s">
        <v>9704</v>
      </c>
      <c r="E8723" s="156" t="s">
        <v>9749</v>
      </c>
      <c r="F8723" s="156" t="s">
        <v>3293</v>
      </c>
      <c r="G8723" s="156" t="s">
        <v>9750</v>
      </c>
      <c r="H8723" s="157" t="s">
        <v>216</v>
      </c>
    </row>
    <row r="8724" hidden="1">
      <c r="A8724" s="151" t="s">
        <v>221</v>
      </c>
      <c r="B8724" s="118" t="s">
        <v>189</v>
      </c>
      <c r="C8724" s="118" t="s">
        <v>206</v>
      </c>
      <c r="D8724" s="152" t="s">
        <v>9704</v>
      </c>
      <c r="E8724" s="152" t="s">
        <v>9751</v>
      </c>
      <c r="F8724" s="152" t="s">
        <v>359</v>
      </c>
      <c r="G8724" s="152" t="s">
        <v>3818</v>
      </c>
      <c r="H8724" s="153" t="s">
        <v>210</v>
      </c>
    </row>
    <row r="8725" hidden="1">
      <c r="A8725" s="154" t="s">
        <v>221</v>
      </c>
      <c r="B8725" s="155" t="s">
        <v>189</v>
      </c>
      <c r="C8725" s="155" t="s">
        <v>206</v>
      </c>
      <c r="D8725" s="156" t="s">
        <v>9704</v>
      </c>
      <c r="E8725" s="156" t="s">
        <v>9752</v>
      </c>
      <c r="F8725" s="156" t="s">
        <v>351</v>
      </c>
      <c r="G8725" s="156" t="s">
        <v>4992</v>
      </c>
      <c r="H8725" s="157" t="s">
        <v>211</v>
      </c>
    </row>
    <row r="8726" hidden="1">
      <c r="A8726" s="151" t="s">
        <v>221</v>
      </c>
      <c r="B8726" s="118" t="s">
        <v>189</v>
      </c>
      <c r="C8726" s="118" t="s">
        <v>206</v>
      </c>
      <c r="D8726" s="152" t="s">
        <v>9704</v>
      </c>
      <c r="E8726" s="152" t="s">
        <v>9753</v>
      </c>
      <c r="F8726" s="152" t="s">
        <v>1781</v>
      </c>
      <c r="G8726" s="152" t="s">
        <v>9754</v>
      </c>
      <c r="H8726" s="153" t="s">
        <v>212</v>
      </c>
    </row>
    <row r="8727" hidden="1">
      <c r="A8727" s="154" t="s">
        <v>221</v>
      </c>
      <c r="B8727" s="155" t="s">
        <v>189</v>
      </c>
      <c r="C8727" s="155" t="s">
        <v>206</v>
      </c>
      <c r="D8727" s="156" t="s">
        <v>9704</v>
      </c>
      <c r="E8727" s="156" t="s">
        <v>9755</v>
      </c>
      <c r="F8727" s="156" t="s">
        <v>285</v>
      </c>
      <c r="G8727" s="156" t="s">
        <v>3925</v>
      </c>
      <c r="H8727" s="157" t="s">
        <v>213</v>
      </c>
    </row>
    <row r="8728" hidden="1">
      <c r="A8728" s="151" t="s">
        <v>221</v>
      </c>
      <c r="B8728" s="118" t="s">
        <v>189</v>
      </c>
      <c r="C8728" s="118" t="s">
        <v>206</v>
      </c>
      <c r="D8728" s="152" t="s">
        <v>9704</v>
      </c>
      <c r="E8728" s="152" t="s">
        <v>9756</v>
      </c>
      <c r="F8728" s="152" t="s">
        <v>351</v>
      </c>
      <c r="G8728" s="152" t="s">
        <v>4280</v>
      </c>
      <c r="H8728" s="153" t="s">
        <v>214</v>
      </c>
    </row>
    <row r="8729" hidden="1">
      <c r="A8729" s="154" t="s">
        <v>221</v>
      </c>
      <c r="B8729" s="155" t="s">
        <v>189</v>
      </c>
      <c r="C8729" s="155" t="s">
        <v>206</v>
      </c>
      <c r="D8729" s="156" t="s">
        <v>9704</v>
      </c>
      <c r="E8729" s="156" t="s">
        <v>9757</v>
      </c>
      <c r="F8729" s="156" t="s">
        <v>308</v>
      </c>
      <c r="G8729" s="156" t="s">
        <v>3840</v>
      </c>
      <c r="H8729" s="157" t="s">
        <v>215</v>
      </c>
    </row>
    <row r="8730" hidden="1">
      <c r="A8730" s="151" t="s">
        <v>221</v>
      </c>
      <c r="B8730" s="118" t="s">
        <v>189</v>
      </c>
      <c r="C8730" s="118" t="s">
        <v>206</v>
      </c>
      <c r="D8730" s="152" t="s">
        <v>9704</v>
      </c>
      <c r="E8730" s="152" t="s">
        <v>9758</v>
      </c>
      <c r="F8730" s="152" t="s">
        <v>310</v>
      </c>
      <c r="G8730" s="152" t="s">
        <v>4116</v>
      </c>
      <c r="H8730" s="153" t="s">
        <v>216</v>
      </c>
    </row>
    <row r="8731" hidden="1">
      <c r="A8731" s="154" t="s">
        <v>222</v>
      </c>
      <c r="B8731" s="155" t="s">
        <v>192</v>
      </c>
      <c r="C8731" s="155" t="s">
        <v>206</v>
      </c>
      <c r="D8731" s="156" t="s">
        <v>9704</v>
      </c>
      <c r="E8731" s="156" t="s">
        <v>9759</v>
      </c>
      <c r="F8731" s="156" t="s">
        <v>1530</v>
      </c>
      <c r="G8731" s="156" t="s">
        <v>9760</v>
      </c>
      <c r="H8731" s="157" t="s">
        <v>210</v>
      </c>
    </row>
    <row r="8732" hidden="1">
      <c r="A8732" s="151" t="s">
        <v>222</v>
      </c>
      <c r="B8732" s="118" t="s">
        <v>192</v>
      </c>
      <c r="C8732" s="118" t="s">
        <v>206</v>
      </c>
      <c r="D8732" s="152" t="s">
        <v>9704</v>
      </c>
      <c r="E8732" s="152" t="s">
        <v>9761</v>
      </c>
      <c r="F8732" s="152" t="s">
        <v>448</v>
      </c>
      <c r="G8732" s="152" t="s">
        <v>9762</v>
      </c>
      <c r="H8732" s="153" t="s">
        <v>211</v>
      </c>
    </row>
    <row r="8733" hidden="1">
      <c r="A8733" s="154" t="s">
        <v>222</v>
      </c>
      <c r="B8733" s="155" t="s">
        <v>192</v>
      </c>
      <c r="C8733" s="155" t="s">
        <v>206</v>
      </c>
      <c r="D8733" s="156" t="s">
        <v>9704</v>
      </c>
      <c r="E8733" s="156" t="s">
        <v>9763</v>
      </c>
      <c r="F8733" s="156" t="s">
        <v>453</v>
      </c>
      <c r="G8733" s="156" t="s">
        <v>9764</v>
      </c>
      <c r="H8733" s="157" t="s">
        <v>212</v>
      </c>
    </row>
    <row r="8734" hidden="1">
      <c r="A8734" s="151" t="s">
        <v>222</v>
      </c>
      <c r="B8734" s="118" t="s">
        <v>192</v>
      </c>
      <c r="C8734" s="118" t="s">
        <v>206</v>
      </c>
      <c r="D8734" s="152" t="s">
        <v>9704</v>
      </c>
      <c r="E8734" s="152" t="s">
        <v>9765</v>
      </c>
      <c r="F8734" s="152" t="s">
        <v>3218</v>
      </c>
      <c r="G8734" s="152" t="s">
        <v>9341</v>
      </c>
      <c r="H8734" s="153" t="s">
        <v>213</v>
      </c>
    </row>
    <row r="8735" hidden="1">
      <c r="A8735" s="154" t="s">
        <v>222</v>
      </c>
      <c r="B8735" s="155" t="s">
        <v>192</v>
      </c>
      <c r="C8735" s="155" t="s">
        <v>206</v>
      </c>
      <c r="D8735" s="156" t="s">
        <v>9704</v>
      </c>
      <c r="E8735" s="156" t="s">
        <v>9766</v>
      </c>
      <c r="F8735" s="156" t="s">
        <v>766</v>
      </c>
      <c r="G8735" s="156" t="s">
        <v>9767</v>
      </c>
      <c r="H8735" s="157" t="s">
        <v>214</v>
      </c>
    </row>
    <row r="8736" hidden="1">
      <c r="A8736" s="151" t="s">
        <v>222</v>
      </c>
      <c r="B8736" s="118" t="s">
        <v>192</v>
      </c>
      <c r="C8736" s="118" t="s">
        <v>206</v>
      </c>
      <c r="D8736" s="152" t="s">
        <v>9704</v>
      </c>
      <c r="E8736" s="152" t="s">
        <v>9768</v>
      </c>
      <c r="F8736" s="152" t="s">
        <v>760</v>
      </c>
      <c r="G8736" s="152" t="s">
        <v>9056</v>
      </c>
      <c r="H8736" s="153" t="s">
        <v>215</v>
      </c>
    </row>
    <row r="8737" hidden="1">
      <c r="A8737" s="154" t="s">
        <v>222</v>
      </c>
      <c r="B8737" s="155" t="s">
        <v>192</v>
      </c>
      <c r="C8737" s="155" t="s">
        <v>206</v>
      </c>
      <c r="D8737" s="156" t="s">
        <v>9704</v>
      </c>
      <c r="E8737" s="156" t="s">
        <v>9769</v>
      </c>
      <c r="F8737" s="156" t="s">
        <v>448</v>
      </c>
      <c r="G8737" s="156" t="s">
        <v>9278</v>
      </c>
      <c r="H8737" s="157" t="s">
        <v>216</v>
      </c>
    </row>
    <row r="8738" hidden="1">
      <c r="A8738" s="151" t="s">
        <v>223</v>
      </c>
      <c r="B8738" s="118" t="s">
        <v>144</v>
      </c>
      <c r="C8738" s="118" t="s">
        <v>206</v>
      </c>
      <c r="D8738" s="152" t="s">
        <v>9704</v>
      </c>
      <c r="E8738" s="152" t="s">
        <v>9770</v>
      </c>
      <c r="F8738" s="152" t="s">
        <v>425</v>
      </c>
      <c r="G8738" s="152" t="s">
        <v>9771</v>
      </c>
      <c r="H8738" s="153" t="s">
        <v>210</v>
      </c>
    </row>
    <row r="8739" hidden="1">
      <c r="A8739" s="154" t="s">
        <v>223</v>
      </c>
      <c r="B8739" s="155" t="s">
        <v>144</v>
      </c>
      <c r="C8739" s="155" t="s">
        <v>206</v>
      </c>
      <c r="D8739" s="156" t="s">
        <v>9704</v>
      </c>
      <c r="E8739" s="156" t="s">
        <v>9772</v>
      </c>
      <c r="F8739" s="156" t="s">
        <v>799</v>
      </c>
      <c r="G8739" s="156" t="s">
        <v>6645</v>
      </c>
      <c r="H8739" s="157" t="s">
        <v>211</v>
      </c>
    </row>
    <row r="8740" hidden="1">
      <c r="A8740" s="151" t="s">
        <v>223</v>
      </c>
      <c r="B8740" s="118" t="s">
        <v>144</v>
      </c>
      <c r="C8740" s="118" t="s">
        <v>206</v>
      </c>
      <c r="D8740" s="152" t="s">
        <v>9704</v>
      </c>
      <c r="E8740" s="152" t="s">
        <v>9773</v>
      </c>
      <c r="F8740" s="152" t="s">
        <v>1532</v>
      </c>
      <c r="G8740" s="152" t="s">
        <v>9217</v>
      </c>
      <c r="H8740" s="153" t="s">
        <v>212</v>
      </c>
    </row>
    <row r="8741" hidden="1">
      <c r="A8741" s="154" t="s">
        <v>223</v>
      </c>
      <c r="B8741" s="155" t="s">
        <v>144</v>
      </c>
      <c r="C8741" s="155" t="s">
        <v>206</v>
      </c>
      <c r="D8741" s="156" t="s">
        <v>9704</v>
      </c>
      <c r="E8741" s="156" t="s">
        <v>9774</v>
      </c>
      <c r="F8741" s="156" t="s">
        <v>405</v>
      </c>
      <c r="G8741" s="156" t="s">
        <v>3434</v>
      </c>
      <c r="H8741" s="157" t="s">
        <v>213</v>
      </c>
    </row>
    <row r="8742" hidden="1">
      <c r="A8742" s="151" t="s">
        <v>223</v>
      </c>
      <c r="B8742" s="118" t="s">
        <v>144</v>
      </c>
      <c r="C8742" s="118" t="s">
        <v>206</v>
      </c>
      <c r="D8742" s="152" t="s">
        <v>9704</v>
      </c>
      <c r="E8742" s="152" t="s">
        <v>9775</v>
      </c>
      <c r="F8742" s="152" t="s">
        <v>1532</v>
      </c>
      <c r="G8742" s="152" t="s">
        <v>9609</v>
      </c>
      <c r="H8742" s="153" t="s">
        <v>214</v>
      </c>
    </row>
    <row r="8743" hidden="1">
      <c r="A8743" s="154" t="s">
        <v>223</v>
      </c>
      <c r="B8743" s="155" t="s">
        <v>144</v>
      </c>
      <c r="C8743" s="155" t="s">
        <v>206</v>
      </c>
      <c r="D8743" s="156" t="s">
        <v>9704</v>
      </c>
      <c r="E8743" s="156" t="s">
        <v>9776</v>
      </c>
      <c r="F8743" s="156" t="s">
        <v>577</v>
      </c>
      <c r="G8743" s="156" t="s">
        <v>5438</v>
      </c>
      <c r="H8743" s="157" t="s">
        <v>215</v>
      </c>
    </row>
    <row r="8744" hidden="1">
      <c r="A8744" s="151" t="s">
        <v>223</v>
      </c>
      <c r="B8744" s="118" t="s">
        <v>144</v>
      </c>
      <c r="C8744" s="118" t="s">
        <v>206</v>
      </c>
      <c r="D8744" s="152" t="s">
        <v>9704</v>
      </c>
      <c r="E8744" s="152" t="s">
        <v>9777</v>
      </c>
      <c r="F8744" s="152" t="s">
        <v>354</v>
      </c>
      <c r="G8744" s="152" t="s">
        <v>5043</v>
      </c>
      <c r="H8744" s="153" t="s">
        <v>216</v>
      </c>
    </row>
    <row r="8745" hidden="1">
      <c r="A8745" s="154" t="s">
        <v>224</v>
      </c>
      <c r="B8745" s="155" t="s">
        <v>170</v>
      </c>
      <c r="C8745" s="155" t="s">
        <v>206</v>
      </c>
      <c r="D8745" s="156" t="s">
        <v>9704</v>
      </c>
      <c r="E8745" s="156" t="s">
        <v>9778</v>
      </c>
      <c r="F8745" s="156" t="s">
        <v>1929</v>
      </c>
      <c r="G8745" s="156" t="s">
        <v>9400</v>
      </c>
      <c r="H8745" s="157" t="s">
        <v>210</v>
      </c>
    </row>
    <row r="8746" hidden="1">
      <c r="A8746" s="151" t="s">
        <v>224</v>
      </c>
      <c r="B8746" s="118" t="s">
        <v>170</v>
      </c>
      <c r="C8746" s="118" t="s">
        <v>206</v>
      </c>
      <c r="D8746" s="152" t="s">
        <v>9704</v>
      </c>
      <c r="E8746" s="152" t="s">
        <v>9779</v>
      </c>
      <c r="F8746" s="152" t="s">
        <v>453</v>
      </c>
      <c r="G8746" s="152" t="s">
        <v>9780</v>
      </c>
      <c r="H8746" s="153" t="s">
        <v>211</v>
      </c>
    </row>
    <row r="8747" hidden="1">
      <c r="A8747" s="154" t="s">
        <v>224</v>
      </c>
      <c r="B8747" s="155" t="s">
        <v>170</v>
      </c>
      <c r="C8747" s="155" t="s">
        <v>206</v>
      </c>
      <c r="D8747" s="156" t="s">
        <v>9704</v>
      </c>
      <c r="E8747" s="156" t="s">
        <v>9781</v>
      </c>
      <c r="F8747" s="156" t="s">
        <v>677</v>
      </c>
      <c r="G8747" s="156" t="s">
        <v>9715</v>
      </c>
      <c r="H8747" s="157" t="s">
        <v>212</v>
      </c>
    </row>
    <row r="8748" hidden="1">
      <c r="A8748" s="151" t="s">
        <v>224</v>
      </c>
      <c r="B8748" s="118" t="s">
        <v>170</v>
      </c>
      <c r="C8748" s="118" t="s">
        <v>206</v>
      </c>
      <c r="D8748" s="152" t="s">
        <v>9704</v>
      </c>
      <c r="E8748" s="152" t="s">
        <v>9782</v>
      </c>
      <c r="F8748" s="152" t="s">
        <v>629</v>
      </c>
      <c r="G8748" s="152" t="s">
        <v>5168</v>
      </c>
      <c r="H8748" s="153" t="s">
        <v>213</v>
      </c>
    </row>
    <row r="8749" hidden="1">
      <c r="A8749" s="154" t="s">
        <v>224</v>
      </c>
      <c r="B8749" s="155" t="s">
        <v>170</v>
      </c>
      <c r="C8749" s="155" t="s">
        <v>206</v>
      </c>
      <c r="D8749" s="156" t="s">
        <v>9704</v>
      </c>
      <c r="E8749" s="156" t="s">
        <v>9783</v>
      </c>
      <c r="F8749" s="156" t="s">
        <v>427</v>
      </c>
      <c r="G8749" s="156" t="s">
        <v>9784</v>
      </c>
      <c r="H8749" s="157" t="s">
        <v>214</v>
      </c>
    </row>
    <row r="8750" hidden="1">
      <c r="A8750" s="151" t="s">
        <v>224</v>
      </c>
      <c r="B8750" s="118" t="s">
        <v>170</v>
      </c>
      <c r="C8750" s="118" t="s">
        <v>206</v>
      </c>
      <c r="D8750" s="152" t="s">
        <v>9704</v>
      </c>
      <c r="E8750" s="152" t="s">
        <v>9785</v>
      </c>
      <c r="F8750" s="152" t="s">
        <v>453</v>
      </c>
      <c r="G8750" s="152" t="s">
        <v>5305</v>
      </c>
      <c r="H8750" s="153" t="s">
        <v>215</v>
      </c>
    </row>
    <row r="8751" hidden="1">
      <c r="A8751" s="154" t="s">
        <v>224</v>
      </c>
      <c r="B8751" s="155" t="s">
        <v>170</v>
      </c>
      <c r="C8751" s="155" t="s">
        <v>206</v>
      </c>
      <c r="D8751" s="156" t="s">
        <v>9704</v>
      </c>
      <c r="E8751" s="156" t="s">
        <v>9786</v>
      </c>
      <c r="F8751" s="156" t="s">
        <v>673</v>
      </c>
      <c r="G8751" s="156" t="s">
        <v>9787</v>
      </c>
      <c r="H8751" s="157" t="s">
        <v>216</v>
      </c>
    </row>
    <row r="8752" hidden="1">
      <c r="A8752" s="151" t="s">
        <v>225</v>
      </c>
      <c r="B8752" s="118" t="s">
        <v>226</v>
      </c>
      <c r="C8752" s="118" t="s">
        <v>206</v>
      </c>
      <c r="D8752" s="152" t="s">
        <v>9704</v>
      </c>
      <c r="E8752" s="152" t="s">
        <v>9788</v>
      </c>
      <c r="F8752" s="152" t="s">
        <v>285</v>
      </c>
      <c r="G8752" s="152" t="s">
        <v>1949</v>
      </c>
      <c r="H8752" s="153" t="s">
        <v>210</v>
      </c>
    </row>
    <row r="8753" hidden="1">
      <c r="A8753" s="154" t="s">
        <v>225</v>
      </c>
      <c r="B8753" s="155" t="s">
        <v>226</v>
      </c>
      <c r="C8753" s="155" t="s">
        <v>206</v>
      </c>
      <c r="D8753" s="156" t="s">
        <v>9704</v>
      </c>
      <c r="E8753" s="156" t="s">
        <v>9789</v>
      </c>
      <c r="F8753" s="156" t="s">
        <v>314</v>
      </c>
      <c r="G8753" s="156" t="s">
        <v>2219</v>
      </c>
      <c r="H8753" s="157" t="s">
        <v>211</v>
      </c>
    </row>
    <row r="8754" hidden="1">
      <c r="A8754" s="151" t="s">
        <v>225</v>
      </c>
      <c r="B8754" s="118" t="s">
        <v>226</v>
      </c>
      <c r="C8754" s="118" t="s">
        <v>206</v>
      </c>
      <c r="D8754" s="152" t="s">
        <v>9704</v>
      </c>
      <c r="E8754" s="152" t="s">
        <v>9790</v>
      </c>
      <c r="F8754" s="152" t="s">
        <v>321</v>
      </c>
      <c r="G8754" s="152" t="s">
        <v>4013</v>
      </c>
      <c r="H8754" s="153" t="s">
        <v>212</v>
      </c>
    </row>
    <row r="8755" hidden="1">
      <c r="A8755" s="154" t="s">
        <v>225</v>
      </c>
      <c r="B8755" s="155" t="s">
        <v>226</v>
      </c>
      <c r="C8755" s="155" t="s">
        <v>206</v>
      </c>
      <c r="D8755" s="156" t="s">
        <v>9704</v>
      </c>
      <c r="E8755" s="156" t="s">
        <v>9791</v>
      </c>
      <c r="F8755" s="156" t="s">
        <v>310</v>
      </c>
      <c r="G8755" s="156" t="s">
        <v>3691</v>
      </c>
      <c r="H8755" s="157" t="s">
        <v>213</v>
      </c>
    </row>
    <row r="8756" hidden="1">
      <c r="A8756" s="151" t="s">
        <v>225</v>
      </c>
      <c r="B8756" s="118" t="s">
        <v>226</v>
      </c>
      <c r="C8756" s="118" t="s">
        <v>206</v>
      </c>
      <c r="D8756" s="152" t="s">
        <v>9704</v>
      </c>
      <c r="E8756" s="152" t="s">
        <v>9792</v>
      </c>
      <c r="F8756" s="152" t="s">
        <v>450</v>
      </c>
      <c r="G8756" s="152" t="s">
        <v>3691</v>
      </c>
      <c r="H8756" s="153" t="s">
        <v>214</v>
      </c>
    </row>
    <row r="8757" hidden="1">
      <c r="A8757" s="154" t="s">
        <v>225</v>
      </c>
      <c r="B8757" s="155" t="s">
        <v>226</v>
      </c>
      <c r="C8757" s="155" t="s">
        <v>206</v>
      </c>
      <c r="D8757" s="156" t="s">
        <v>9704</v>
      </c>
      <c r="E8757" s="156" t="s">
        <v>9793</v>
      </c>
      <c r="F8757" s="156" t="s">
        <v>339</v>
      </c>
      <c r="G8757" s="156" t="s">
        <v>3230</v>
      </c>
      <c r="H8757" s="157" t="s">
        <v>215</v>
      </c>
    </row>
    <row r="8758" hidden="1">
      <c r="A8758" s="151" t="s">
        <v>225</v>
      </c>
      <c r="B8758" s="118" t="s">
        <v>226</v>
      </c>
      <c r="C8758" s="118" t="s">
        <v>206</v>
      </c>
      <c r="D8758" s="152" t="s">
        <v>9704</v>
      </c>
      <c r="E8758" s="152" t="s">
        <v>9794</v>
      </c>
      <c r="F8758" s="152" t="s">
        <v>321</v>
      </c>
      <c r="G8758" s="152" t="s">
        <v>3380</v>
      </c>
      <c r="H8758" s="153" t="s">
        <v>216</v>
      </c>
    </row>
    <row r="8759" hidden="1">
      <c r="A8759" s="154" t="s">
        <v>227</v>
      </c>
      <c r="B8759" s="155" t="s">
        <v>195</v>
      </c>
      <c r="C8759" s="155" t="s">
        <v>206</v>
      </c>
      <c r="D8759" s="156" t="s">
        <v>9704</v>
      </c>
      <c r="E8759" s="156" t="s">
        <v>9795</v>
      </c>
      <c r="F8759" s="156" t="s">
        <v>677</v>
      </c>
      <c r="G8759" s="156" t="s">
        <v>9796</v>
      </c>
      <c r="H8759" s="157" t="s">
        <v>210</v>
      </c>
    </row>
    <row r="8760" hidden="1">
      <c r="A8760" s="151" t="s">
        <v>227</v>
      </c>
      <c r="B8760" s="118" t="s">
        <v>195</v>
      </c>
      <c r="C8760" s="118" t="s">
        <v>206</v>
      </c>
      <c r="D8760" s="152" t="s">
        <v>9704</v>
      </c>
      <c r="E8760" s="152" t="s">
        <v>9797</v>
      </c>
      <c r="F8760" s="152" t="s">
        <v>673</v>
      </c>
      <c r="G8760" s="152" t="s">
        <v>9072</v>
      </c>
      <c r="H8760" s="153" t="s">
        <v>211</v>
      </c>
    </row>
    <row r="8761" hidden="1">
      <c r="A8761" s="154" t="s">
        <v>227</v>
      </c>
      <c r="B8761" s="155" t="s">
        <v>195</v>
      </c>
      <c r="C8761" s="155" t="s">
        <v>206</v>
      </c>
      <c r="D8761" s="156" t="s">
        <v>9704</v>
      </c>
      <c r="E8761" s="156" t="s">
        <v>9798</v>
      </c>
      <c r="F8761" s="156" t="s">
        <v>354</v>
      </c>
      <c r="G8761" s="156" t="s">
        <v>3468</v>
      </c>
      <c r="H8761" s="157" t="s">
        <v>212</v>
      </c>
    </row>
    <row r="8762" hidden="1">
      <c r="A8762" s="151" t="s">
        <v>227</v>
      </c>
      <c r="B8762" s="118" t="s">
        <v>195</v>
      </c>
      <c r="C8762" s="118" t="s">
        <v>206</v>
      </c>
      <c r="D8762" s="152" t="s">
        <v>9704</v>
      </c>
      <c r="E8762" s="152" t="s">
        <v>9799</v>
      </c>
      <c r="F8762" s="152" t="s">
        <v>354</v>
      </c>
      <c r="G8762" s="152" t="s">
        <v>9800</v>
      </c>
      <c r="H8762" s="153" t="s">
        <v>213</v>
      </c>
    </row>
    <row r="8763" hidden="1">
      <c r="A8763" s="154" t="s">
        <v>227</v>
      </c>
      <c r="B8763" s="155" t="s">
        <v>195</v>
      </c>
      <c r="C8763" s="155" t="s">
        <v>206</v>
      </c>
      <c r="D8763" s="156" t="s">
        <v>9704</v>
      </c>
      <c r="E8763" s="156" t="s">
        <v>9801</v>
      </c>
      <c r="F8763" s="156" t="s">
        <v>673</v>
      </c>
      <c r="G8763" s="156" t="s">
        <v>9210</v>
      </c>
      <c r="H8763" s="157" t="s">
        <v>214</v>
      </c>
    </row>
    <row r="8764" hidden="1">
      <c r="A8764" s="151" t="s">
        <v>227</v>
      </c>
      <c r="B8764" s="118" t="s">
        <v>195</v>
      </c>
      <c r="C8764" s="118" t="s">
        <v>206</v>
      </c>
      <c r="D8764" s="152" t="s">
        <v>9704</v>
      </c>
      <c r="E8764" s="152" t="s">
        <v>9802</v>
      </c>
      <c r="F8764" s="152" t="s">
        <v>1929</v>
      </c>
      <c r="G8764" s="152" t="s">
        <v>3631</v>
      </c>
      <c r="H8764" s="153" t="s">
        <v>215</v>
      </c>
    </row>
    <row r="8765" hidden="1">
      <c r="A8765" s="154" t="s">
        <v>227</v>
      </c>
      <c r="B8765" s="155" t="s">
        <v>195</v>
      </c>
      <c r="C8765" s="155" t="s">
        <v>206</v>
      </c>
      <c r="D8765" s="156" t="s">
        <v>9704</v>
      </c>
      <c r="E8765" s="156" t="s">
        <v>9803</v>
      </c>
      <c r="F8765" s="156" t="s">
        <v>532</v>
      </c>
      <c r="G8765" s="156" t="s">
        <v>9609</v>
      </c>
      <c r="H8765" s="157" t="s">
        <v>216</v>
      </c>
    </row>
    <row r="8766" hidden="1">
      <c r="A8766" s="151" t="s">
        <v>228</v>
      </c>
      <c r="B8766" s="118" t="s">
        <v>138</v>
      </c>
      <c r="C8766" s="118" t="s">
        <v>206</v>
      </c>
      <c r="D8766" s="152" t="s">
        <v>9704</v>
      </c>
      <c r="E8766" s="152" t="s">
        <v>9804</v>
      </c>
      <c r="F8766" s="152" t="s">
        <v>339</v>
      </c>
      <c r="G8766" s="152" t="s">
        <v>4119</v>
      </c>
      <c r="H8766" s="153" t="s">
        <v>210</v>
      </c>
    </row>
    <row r="8767" hidden="1">
      <c r="A8767" s="154" t="s">
        <v>228</v>
      </c>
      <c r="B8767" s="155" t="s">
        <v>138</v>
      </c>
      <c r="C8767" s="155" t="s">
        <v>206</v>
      </c>
      <c r="D8767" s="156" t="s">
        <v>9704</v>
      </c>
      <c r="E8767" s="156" t="s">
        <v>9805</v>
      </c>
      <c r="F8767" s="156" t="s">
        <v>494</v>
      </c>
      <c r="G8767" s="156" t="s">
        <v>9135</v>
      </c>
      <c r="H8767" s="157" t="s">
        <v>211</v>
      </c>
    </row>
    <row r="8768" hidden="1">
      <c r="A8768" s="151" t="s">
        <v>228</v>
      </c>
      <c r="B8768" s="118" t="s">
        <v>138</v>
      </c>
      <c r="C8768" s="118" t="s">
        <v>206</v>
      </c>
      <c r="D8768" s="152" t="s">
        <v>9704</v>
      </c>
      <c r="E8768" s="152" t="s">
        <v>9806</v>
      </c>
      <c r="F8768" s="152" t="s">
        <v>357</v>
      </c>
      <c r="G8768" s="152" t="s">
        <v>4442</v>
      </c>
      <c r="H8768" s="153" t="s">
        <v>212</v>
      </c>
    </row>
    <row r="8769" hidden="1">
      <c r="A8769" s="154" t="s">
        <v>228</v>
      </c>
      <c r="B8769" s="155" t="s">
        <v>138</v>
      </c>
      <c r="C8769" s="155" t="s">
        <v>206</v>
      </c>
      <c r="D8769" s="156" t="s">
        <v>9704</v>
      </c>
      <c r="E8769" s="156" t="s">
        <v>9807</v>
      </c>
      <c r="F8769" s="156" t="s">
        <v>483</v>
      </c>
      <c r="G8769" s="156" t="s">
        <v>2967</v>
      </c>
      <c r="H8769" s="157" t="s">
        <v>213</v>
      </c>
    </row>
    <row r="8770" hidden="1">
      <c r="A8770" s="151" t="s">
        <v>228</v>
      </c>
      <c r="B8770" s="118" t="s">
        <v>138</v>
      </c>
      <c r="C8770" s="118" t="s">
        <v>206</v>
      </c>
      <c r="D8770" s="152" t="s">
        <v>9704</v>
      </c>
      <c r="E8770" s="152" t="s">
        <v>9808</v>
      </c>
      <c r="F8770" s="152" t="s">
        <v>425</v>
      </c>
      <c r="G8770" s="152" t="s">
        <v>5432</v>
      </c>
      <c r="H8770" s="153" t="s">
        <v>214</v>
      </c>
    </row>
    <row r="8771" hidden="1">
      <c r="A8771" s="154" t="s">
        <v>228</v>
      </c>
      <c r="B8771" s="155" t="s">
        <v>138</v>
      </c>
      <c r="C8771" s="155" t="s">
        <v>206</v>
      </c>
      <c r="D8771" s="156" t="s">
        <v>9704</v>
      </c>
      <c r="E8771" s="156" t="s">
        <v>9809</v>
      </c>
      <c r="F8771" s="156" t="s">
        <v>285</v>
      </c>
      <c r="G8771" s="156" t="s">
        <v>5037</v>
      </c>
      <c r="H8771" s="157" t="s">
        <v>215</v>
      </c>
    </row>
    <row r="8772" hidden="1">
      <c r="A8772" s="151" t="s">
        <v>228</v>
      </c>
      <c r="B8772" s="118" t="s">
        <v>138</v>
      </c>
      <c r="C8772" s="118" t="s">
        <v>206</v>
      </c>
      <c r="D8772" s="152" t="s">
        <v>9704</v>
      </c>
      <c r="E8772" s="152" t="s">
        <v>9810</v>
      </c>
      <c r="F8772" s="152" t="s">
        <v>450</v>
      </c>
      <c r="G8772" s="152" t="s">
        <v>3934</v>
      </c>
      <c r="H8772" s="153" t="s">
        <v>216</v>
      </c>
    </row>
    <row r="8773" hidden="1">
      <c r="A8773" s="154" t="s">
        <v>229</v>
      </c>
      <c r="B8773" s="155" t="s">
        <v>193</v>
      </c>
      <c r="C8773" s="155" t="s">
        <v>206</v>
      </c>
      <c r="D8773" s="156" t="s">
        <v>9704</v>
      </c>
      <c r="E8773" s="156" t="s">
        <v>9811</v>
      </c>
      <c r="F8773" s="156" t="s">
        <v>325</v>
      </c>
      <c r="G8773" s="156" t="s">
        <v>9812</v>
      </c>
      <c r="H8773" s="157" t="s">
        <v>210</v>
      </c>
    </row>
    <row r="8774" hidden="1">
      <c r="A8774" s="151" t="s">
        <v>229</v>
      </c>
      <c r="B8774" s="118" t="s">
        <v>193</v>
      </c>
      <c r="C8774" s="118" t="s">
        <v>206</v>
      </c>
      <c r="D8774" s="152" t="s">
        <v>9704</v>
      </c>
      <c r="E8774" s="152" t="s">
        <v>9813</v>
      </c>
      <c r="F8774" s="152" t="s">
        <v>673</v>
      </c>
      <c r="G8774" s="152" t="s">
        <v>9814</v>
      </c>
      <c r="H8774" s="153" t="s">
        <v>211</v>
      </c>
    </row>
    <row r="8775" hidden="1">
      <c r="A8775" s="154" t="s">
        <v>229</v>
      </c>
      <c r="B8775" s="155" t="s">
        <v>193</v>
      </c>
      <c r="C8775" s="155" t="s">
        <v>206</v>
      </c>
      <c r="D8775" s="156" t="s">
        <v>9704</v>
      </c>
      <c r="E8775" s="156" t="s">
        <v>9815</v>
      </c>
      <c r="F8775" s="156" t="s">
        <v>423</v>
      </c>
      <c r="G8775" s="156" t="s">
        <v>9816</v>
      </c>
      <c r="H8775" s="157" t="s">
        <v>212</v>
      </c>
    </row>
    <row r="8776" hidden="1">
      <c r="A8776" s="151" t="s">
        <v>229</v>
      </c>
      <c r="B8776" s="118" t="s">
        <v>193</v>
      </c>
      <c r="C8776" s="118" t="s">
        <v>206</v>
      </c>
      <c r="D8776" s="152" t="s">
        <v>9704</v>
      </c>
      <c r="E8776" s="152" t="s">
        <v>9817</v>
      </c>
      <c r="F8776" s="152" t="s">
        <v>1530</v>
      </c>
      <c r="G8776" s="152" t="s">
        <v>9818</v>
      </c>
      <c r="H8776" s="153" t="s">
        <v>213</v>
      </c>
    </row>
    <row r="8777" hidden="1">
      <c r="A8777" s="154" t="s">
        <v>229</v>
      </c>
      <c r="B8777" s="155" t="s">
        <v>193</v>
      </c>
      <c r="C8777" s="155" t="s">
        <v>206</v>
      </c>
      <c r="D8777" s="156" t="s">
        <v>9704</v>
      </c>
      <c r="E8777" s="156" t="s">
        <v>9819</v>
      </c>
      <c r="F8777" s="156" t="s">
        <v>354</v>
      </c>
      <c r="G8777" s="156" t="s">
        <v>9820</v>
      </c>
      <c r="H8777" s="157" t="s">
        <v>214</v>
      </c>
    </row>
    <row r="8778" hidden="1">
      <c r="A8778" s="151" t="s">
        <v>229</v>
      </c>
      <c r="B8778" s="118" t="s">
        <v>193</v>
      </c>
      <c r="C8778" s="118" t="s">
        <v>206</v>
      </c>
      <c r="D8778" s="152" t="s">
        <v>9704</v>
      </c>
      <c r="E8778" s="152" t="s">
        <v>9821</v>
      </c>
      <c r="F8778" s="152" t="s">
        <v>3198</v>
      </c>
      <c r="G8778" s="152" t="s">
        <v>9822</v>
      </c>
      <c r="H8778" s="153" t="s">
        <v>215</v>
      </c>
    </row>
    <row r="8779" hidden="1">
      <c r="A8779" s="154" t="s">
        <v>229</v>
      </c>
      <c r="B8779" s="155" t="s">
        <v>193</v>
      </c>
      <c r="C8779" s="155" t="s">
        <v>206</v>
      </c>
      <c r="D8779" s="156" t="s">
        <v>9704</v>
      </c>
      <c r="E8779" s="156" t="s">
        <v>9823</v>
      </c>
      <c r="F8779" s="156" t="s">
        <v>577</v>
      </c>
      <c r="G8779" s="156" t="s">
        <v>9824</v>
      </c>
      <c r="H8779" s="157" t="s">
        <v>216</v>
      </c>
    </row>
    <row r="8780" hidden="1">
      <c r="A8780" s="151" t="s">
        <v>230</v>
      </c>
      <c r="B8780" s="118" t="s">
        <v>194</v>
      </c>
      <c r="C8780" s="118" t="s">
        <v>206</v>
      </c>
      <c r="D8780" s="152" t="s">
        <v>9704</v>
      </c>
      <c r="E8780" s="152" t="s">
        <v>9825</v>
      </c>
      <c r="F8780" s="152" t="s">
        <v>348</v>
      </c>
      <c r="G8780" s="152" t="s">
        <v>9557</v>
      </c>
      <c r="H8780" s="153" t="s">
        <v>210</v>
      </c>
    </row>
    <row r="8781" hidden="1">
      <c r="A8781" s="154" t="s">
        <v>230</v>
      </c>
      <c r="B8781" s="155" t="s">
        <v>194</v>
      </c>
      <c r="C8781" s="155" t="s">
        <v>206</v>
      </c>
      <c r="D8781" s="156" t="s">
        <v>9704</v>
      </c>
      <c r="E8781" s="156" t="s">
        <v>9826</v>
      </c>
      <c r="F8781" s="156" t="s">
        <v>629</v>
      </c>
      <c r="G8781" s="156" t="s">
        <v>9272</v>
      </c>
      <c r="H8781" s="157" t="s">
        <v>211</v>
      </c>
    </row>
    <row r="8782" hidden="1">
      <c r="A8782" s="151" t="s">
        <v>230</v>
      </c>
      <c r="B8782" s="118" t="s">
        <v>194</v>
      </c>
      <c r="C8782" s="118" t="s">
        <v>206</v>
      </c>
      <c r="D8782" s="152" t="s">
        <v>9704</v>
      </c>
      <c r="E8782" s="152" t="s">
        <v>9827</v>
      </c>
      <c r="F8782" s="152" t="s">
        <v>3198</v>
      </c>
      <c r="G8782" s="152" t="s">
        <v>9715</v>
      </c>
      <c r="H8782" s="153" t="s">
        <v>212</v>
      </c>
    </row>
    <row r="8783" hidden="1">
      <c r="A8783" s="154" t="s">
        <v>230</v>
      </c>
      <c r="B8783" s="155" t="s">
        <v>194</v>
      </c>
      <c r="C8783" s="155" t="s">
        <v>206</v>
      </c>
      <c r="D8783" s="156" t="s">
        <v>9704</v>
      </c>
      <c r="E8783" s="156" t="s">
        <v>9828</v>
      </c>
      <c r="F8783" s="156" t="s">
        <v>1929</v>
      </c>
      <c r="G8783" s="156" t="s">
        <v>9829</v>
      </c>
      <c r="H8783" s="157" t="s">
        <v>213</v>
      </c>
    </row>
    <row r="8784" hidden="1">
      <c r="A8784" s="151" t="s">
        <v>230</v>
      </c>
      <c r="B8784" s="118" t="s">
        <v>194</v>
      </c>
      <c r="C8784" s="118" t="s">
        <v>206</v>
      </c>
      <c r="D8784" s="152" t="s">
        <v>9704</v>
      </c>
      <c r="E8784" s="152" t="s">
        <v>9830</v>
      </c>
      <c r="F8784" s="152" t="s">
        <v>763</v>
      </c>
      <c r="G8784" s="152" t="s">
        <v>3603</v>
      </c>
      <c r="H8784" s="153" t="s">
        <v>214</v>
      </c>
    </row>
    <row r="8785" hidden="1">
      <c r="A8785" s="154" t="s">
        <v>230</v>
      </c>
      <c r="B8785" s="155" t="s">
        <v>194</v>
      </c>
      <c r="C8785" s="155" t="s">
        <v>206</v>
      </c>
      <c r="D8785" s="156" t="s">
        <v>9704</v>
      </c>
      <c r="E8785" s="156" t="s">
        <v>9831</v>
      </c>
      <c r="F8785" s="156" t="s">
        <v>735</v>
      </c>
      <c r="G8785" s="156" t="s">
        <v>9598</v>
      </c>
      <c r="H8785" s="157" t="s">
        <v>215</v>
      </c>
    </row>
    <row r="8786" hidden="1">
      <c r="A8786" s="151" t="s">
        <v>230</v>
      </c>
      <c r="B8786" s="118" t="s">
        <v>194</v>
      </c>
      <c r="C8786" s="118" t="s">
        <v>206</v>
      </c>
      <c r="D8786" s="152" t="s">
        <v>9704</v>
      </c>
      <c r="E8786" s="152" t="s">
        <v>9832</v>
      </c>
      <c r="F8786" s="152" t="s">
        <v>758</v>
      </c>
      <c r="G8786" s="152" t="s">
        <v>9195</v>
      </c>
      <c r="H8786" s="153" t="s">
        <v>216</v>
      </c>
    </row>
    <row r="8787" hidden="1">
      <c r="A8787" s="158" t="s">
        <v>231</v>
      </c>
      <c r="B8787" s="159"/>
      <c r="C8787" s="155" t="s">
        <v>232</v>
      </c>
      <c r="D8787" s="156" t="s">
        <v>9704</v>
      </c>
      <c r="E8787" s="156" t="s">
        <v>9833</v>
      </c>
      <c r="F8787" s="156" t="s">
        <v>9662</v>
      </c>
      <c r="G8787" s="156" t="s">
        <v>9834</v>
      </c>
      <c r="H8787" s="157" t="s">
        <v>210</v>
      </c>
    </row>
    <row r="8788" hidden="1">
      <c r="A8788" s="160" t="s">
        <v>231</v>
      </c>
      <c r="B8788" s="72"/>
      <c r="C8788" s="118" t="s">
        <v>232</v>
      </c>
      <c r="D8788" s="152" t="s">
        <v>9704</v>
      </c>
      <c r="E8788" s="152" t="s">
        <v>9835</v>
      </c>
      <c r="F8788" s="152" t="s">
        <v>1769</v>
      </c>
      <c r="G8788" s="152" t="s">
        <v>9836</v>
      </c>
      <c r="H8788" s="153" t="s">
        <v>211</v>
      </c>
    </row>
    <row r="8789" hidden="1">
      <c r="A8789" s="158" t="s">
        <v>231</v>
      </c>
      <c r="B8789" s="159"/>
      <c r="C8789" s="155" t="s">
        <v>232</v>
      </c>
      <c r="D8789" s="156" t="s">
        <v>9704</v>
      </c>
      <c r="E8789" s="156" t="s">
        <v>9837</v>
      </c>
      <c r="F8789" s="156" t="s">
        <v>2173</v>
      </c>
      <c r="G8789" s="156" t="s">
        <v>9838</v>
      </c>
      <c r="H8789" s="157" t="s">
        <v>212</v>
      </c>
    </row>
    <row r="8790" hidden="1">
      <c r="A8790" s="160" t="s">
        <v>231</v>
      </c>
      <c r="B8790" s="72"/>
      <c r="C8790" s="118" t="s">
        <v>232</v>
      </c>
      <c r="D8790" s="152" t="s">
        <v>9704</v>
      </c>
      <c r="E8790" s="152" t="s">
        <v>9839</v>
      </c>
      <c r="F8790" s="152" t="s">
        <v>9840</v>
      </c>
      <c r="G8790" s="152" t="s">
        <v>9841</v>
      </c>
      <c r="H8790" s="153" t="s">
        <v>213</v>
      </c>
    </row>
    <row r="8791" hidden="1">
      <c r="A8791" s="158" t="s">
        <v>231</v>
      </c>
      <c r="B8791" s="159"/>
      <c r="C8791" s="155" t="s">
        <v>232</v>
      </c>
      <c r="D8791" s="156" t="s">
        <v>9704</v>
      </c>
      <c r="E8791" s="156" t="s">
        <v>9842</v>
      </c>
      <c r="F8791" s="156" t="s">
        <v>2173</v>
      </c>
      <c r="G8791" s="156" t="s">
        <v>9843</v>
      </c>
      <c r="H8791" s="157" t="s">
        <v>214</v>
      </c>
    </row>
    <row r="8792" hidden="1">
      <c r="A8792" s="160" t="s">
        <v>231</v>
      </c>
      <c r="B8792" s="72"/>
      <c r="C8792" s="118" t="s">
        <v>232</v>
      </c>
      <c r="D8792" s="152" t="s">
        <v>9704</v>
      </c>
      <c r="E8792" s="152" t="s">
        <v>9844</v>
      </c>
      <c r="F8792" s="152" t="s">
        <v>4052</v>
      </c>
      <c r="G8792" s="152" t="s">
        <v>9571</v>
      </c>
      <c r="H8792" s="153" t="s">
        <v>215</v>
      </c>
    </row>
    <row r="8793" hidden="1">
      <c r="A8793" s="158" t="s">
        <v>231</v>
      </c>
      <c r="B8793" s="159"/>
      <c r="C8793" s="155" t="s">
        <v>232</v>
      </c>
      <c r="D8793" s="156" t="s">
        <v>9704</v>
      </c>
      <c r="E8793" s="156" t="s">
        <v>9845</v>
      </c>
      <c r="F8793" s="156" t="s">
        <v>1769</v>
      </c>
      <c r="G8793" s="156" t="s">
        <v>9846</v>
      </c>
      <c r="H8793" s="157" t="s">
        <v>216</v>
      </c>
    </row>
    <row r="8794" hidden="1">
      <c r="A8794" s="160" t="s">
        <v>233</v>
      </c>
      <c r="B8794" s="72"/>
      <c r="C8794" s="118" t="s">
        <v>232</v>
      </c>
      <c r="D8794" s="152" t="s">
        <v>9704</v>
      </c>
      <c r="E8794" s="152" t="s">
        <v>9847</v>
      </c>
      <c r="F8794" s="152" t="s">
        <v>1999</v>
      </c>
      <c r="G8794" s="152" t="s">
        <v>9762</v>
      </c>
      <c r="H8794" s="153" t="s">
        <v>210</v>
      </c>
    </row>
    <row r="8795" hidden="1">
      <c r="A8795" s="158" t="s">
        <v>233</v>
      </c>
      <c r="B8795" s="159"/>
      <c r="C8795" s="155" t="s">
        <v>232</v>
      </c>
      <c r="D8795" s="156" t="s">
        <v>9704</v>
      </c>
      <c r="E8795" s="156" t="s">
        <v>9848</v>
      </c>
      <c r="F8795" s="156" t="s">
        <v>3218</v>
      </c>
      <c r="G8795" s="156" t="s">
        <v>9357</v>
      </c>
      <c r="H8795" s="157" t="s">
        <v>211</v>
      </c>
    </row>
    <row r="8796" hidden="1">
      <c r="A8796" s="160" t="s">
        <v>233</v>
      </c>
      <c r="B8796" s="72"/>
      <c r="C8796" s="118" t="s">
        <v>232</v>
      </c>
      <c r="D8796" s="152" t="s">
        <v>9704</v>
      </c>
      <c r="E8796" s="152" t="s">
        <v>9849</v>
      </c>
      <c r="F8796" s="152" t="s">
        <v>3218</v>
      </c>
      <c r="G8796" s="152" t="s">
        <v>9850</v>
      </c>
      <c r="H8796" s="153" t="s">
        <v>212</v>
      </c>
    </row>
    <row r="8797" hidden="1">
      <c r="A8797" s="158" t="s">
        <v>233</v>
      </c>
      <c r="B8797" s="159"/>
      <c r="C8797" s="155" t="s">
        <v>232</v>
      </c>
      <c r="D8797" s="156" t="s">
        <v>9704</v>
      </c>
      <c r="E8797" s="156" t="s">
        <v>9851</v>
      </c>
      <c r="F8797" s="156" t="s">
        <v>1532</v>
      </c>
      <c r="G8797" s="156" t="s">
        <v>9852</v>
      </c>
      <c r="H8797" s="157" t="s">
        <v>213</v>
      </c>
    </row>
    <row r="8798" hidden="1">
      <c r="A8798" s="160" t="s">
        <v>233</v>
      </c>
      <c r="B8798" s="72"/>
      <c r="C8798" s="118" t="s">
        <v>232</v>
      </c>
      <c r="D8798" s="152" t="s">
        <v>9704</v>
      </c>
      <c r="E8798" s="152" t="s">
        <v>9853</v>
      </c>
      <c r="F8798" s="152" t="s">
        <v>453</v>
      </c>
      <c r="G8798" s="152" t="s">
        <v>9557</v>
      </c>
      <c r="H8798" s="153" t="s">
        <v>214</v>
      </c>
    </row>
    <row r="8799" hidden="1">
      <c r="A8799" s="158" t="s">
        <v>233</v>
      </c>
      <c r="B8799" s="159"/>
      <c r="C8799" s="155" t="s">
        <v>232</v>
      </c>
      <c r="D8799" s="156" t="s">
        <v>9704</v>
      </c>
      <c r="E8799" s="156" t="s">
        <v>9854</v>
      </c>
      <c r="F8799" s="156" t="s">
        <v>3218</v>
      </c>
      <c r="G8799" s="156" t="s">
        <v>9357</v>
      </c>
      <c r="H8799" s="157" t="s">
        <v>215</v>
      </c>
    </row>
    <row r="8800" hidden="1">
      <c r="A8800" s="160" t="s">
        <v>233</v>
      </c>
      <c r="B8800" s="72"/>
      <c r="C8800" s="118" t="s">
        <v>232</v>
      </c>
      <c r="D8800" s="152" t="s">
        <v>9704</v>
      </c>
      <c r="E8800" s="152" t="s">
        <v>9855</v>
      </c>
      <c r="F8800" s="152" t="s">
        <v>1999</v>
      </c>
      <c r="G8800" s="152" t="s">
        <v>9856</v>
      </c>
      <c r="H8800" s="153" t="s">
        <v>216</v>
      </c>
    </row>
    <row r="8801" hidden="1">
      <c r="A8801" s="158" t="s">
        <v>234</v>
      </c>
      <c r="B8801" s="159"/>
      <c r="C8801" s="155" t="s">
        <v>232</v>
      </c>
      <c r="D8801" s="156" t="s">
        <v>9704</v>
      </c>
      <c r="E8801" s="156" t="s">
        <v>9857</v>
      </c>
      <c r="F8801" s="156" t="s">
        <v>799</v>
      </c>
      <c r="G8801" s="156" t="s">
        <v>4215</v>
      </c>
      <c r="H8801" s="157" t="s">
        <v>210</v>
      </c>
    </row>
    <row r="8802" hidden="1">
      <c r="A8802" s="160" t="s">
        <v>234</v>
      </c>
      <c r="B8802" s="72"/>
      <c r="C8802" s="118" t="s">
        <v>232</v>
      </c>
      <c r="D8802" s="152" t="s">
        <v>9704</v>
      </c>
      <c r="E8802" s="152" t="s">
        <v>9858</v>
      </c>
      <c r="F8802" s="152" t="s">
        <v>478</v>
      </c>
      <c r="G8802" s="152" t="s">
        <v>4176</v>
      </c>
      <c r="H8802" s="153" t="s">
        <v>211</v>
      </c>
    </row>
    <row r="8803" hidden="1">
      <c r="A8803" s="158" t="s">
        <v>234</v>
      </c>
      <c r="B8803" s="159"/>
      <c r="C8803" s="155" t="s">
        <v>232</v>
      </c>
      <c r="D8803" s="156" t="s">
        <v>9704</v>
      </c>
      <c r="E8803" s="156" t="s">
        <v>9859</v>
      </c>
      <c r="F8803" s="156" t="s">
        <v>3359</v>
      </c>
      <c r="G8803" s="156" t="s">
        <v>9056</v>
      </c>
      <c r="H8803" s="157" t="s">
        <v>212</v>
      </c>
    </row>
    <row r="8804" hidden="1">
      <c r="A8804" s="160" t="s">
        <v>234</v>
      </c>
      <c r="B8804" s="72"/>
      <c r="C8804" s="118" t="s">
        <v>232</v>
      </c>
      <c r="D8804" s="152" t="s">
        <v>9704</v>
      </c>
      <c r="E8804" s="152" t="s">
        <v>9860</v>
      </c>
      <c r="F8804" s="152" t="s">
        <v>725</v>
      </c>
      <c r="G8804" s="152" t="s">
        <v>4412</v>
      </c>
      <c r="H8804" s="153" t="s">
        <v>213</v>
      </c>
    </row>
    <row r="8805" hidden="1">
      <c r="A8805" s="158" t="s">
        <v>234</v>
      </c>
      <c r="B8805" s="159"/>
      <c r="C8805" s="155" t="s">
        <v>232</v>
      </c>
      <c r="D8805" s="156" t="s">
        <v>9704</v>
      </c>
      <c r="E8805" s="156" t="s">
        <v>9861</v>
      </c>
      <c r="F8805" s="156" t="s">
        <v>483</v>
      </c>
      <c r="G8805" s="156" t="s">
        <v>4119</v>
      </c>
      <c r="H8805" s="157" t="s">
        <v>214</v>
      </c>
    </row>
    <row r="8806" hidden="1">
      <c r="A8806" s="160" t="s">
        <v>234</v>
      </c>
      <c r="B8806" s="72"/>
      <c r="C8806" s="118" t="s">
        <v>232</v>
      </c>
      <c r="D8806" s="152" t="s">
        <v>9704</v>
      </c>
      <c r="E8806" s="152" t="s">
        <v>9862</v>
      </c>
      <c r="F8806" s="152" t="s">
        <v>718</v>
      </c>
      <c r="G8806" s="152" t="s">
        <v>5821</v>
      </c>
      <c r="H8806" s="153" t="s">
        <v>215</v>
      </c>
    </row>
    <row r="8807" hidden="1">
      <c r="A8807" s="158" t="s">
        <v>234</v>
      </c>
      <c r="B8807" s="159"/>
      <c r="C8807" s="155" t="s">
        <v>232</v>
      </c>
      <c r="D8807" s="156" t="s">
        <v>9704</v>
      </c>
      <c r="E8807" s="156" t="s">
        <v>9863</v>
      </c>
      <c r="F8807" s="156" t="s">
        <v>725</v>
      </c>
      <c r="G8807" s="156" t="s">
        <v>4376</v>
      </c>
      <c r="H8807" s="157" t="s">
        <v>216</v>
      </c>
    </row>
    <row r="8808" hidden="1">
      <c r="A8808" s="160" t="s">
        <v>235</v>
      </c>
      <c r="B8808" s="72"/>
      <c r="C8808" s="118" t="s">
        <v>236</v>
      </c>
      <c r="D8808" s="152" t="s">
        <v>9704</v>
      </c>
      <c r="E8808" s="152" t="s">
        <v>9864</v>
      </c>
      <c r="F8808" s="152" t="s">
        <v>3198</v>
      </c>
      <c r="G8808" s="152" t="s">
        <v>9421</v>
      </c>
      <c r="H8808" s="153" t="s">
        <v>210</v>
      </c>
    </row>
    <row r="8809" hidden="1">
      <c r="A8809" s="158" t="s">
        <v>235</v>
      </c>
      <c r="B8809" s="159"/>
      <c r="C8809" s="155" t="s">
        <v>236</v>
      </c>
      <c r="D8809" s="156" t="s">
        <v>9704</v>
      </c>
      <c r="E8809" s="156" t="s">
        <v>9865</v>
      </c>
      <c r="F8809" s="156" t="s">
        <v>758</v>
      </c>
      <c r="G8809" s="156" t="s">
        <v>9866</v>
      </c>
      <c r="H8809" s="157" t="s">
        <v>211</v>
      </c>
    </row>
    <row r="8810" hidden="1">
      <c r="A8810" s="160" t="s">
        <v>235</v>
      </c>
      <c r="B8810" s="72"/>
      <c r="C8810" s="118" t="s">
        <v>236</v>
      </c>
      <c r="D8810" s="152" t="s">
        <v>9704</v>
      </c>
      <c r="E8810" s="152" t="s">
        <v>9867</v>
      </c>
      <c r="F8810" s="152" t="s">
        <v>758</v>
      </c>
      <c r="G8810" s="152" t="s">
        <v>9868</v>
      </c>
      <c r="H8810" s="153" t="s">
        <v>212</v>
      </c>
    </row>
    <row r="8811" hidden="1">
      <c r="A8811" s="158" t="s">
        <v>235</v>
      </c>
      <c r="B8811" s="159"/>
      <c r="C8811" s="155" t="s">
        <v>236</v>
      </c>
      <c r="D8811" s="156" t="s">
        <v>9704</v>
      </c>
      <c r="E8811" s="156" t="s">
        <v>9869</v>
      </c>
      <c r="F8811" s="156" t="s">
        <v>629</v>
      </c>
      <c r="G8811" s="156" t="s">
        <v>9870</v>
      </c>
      <c r="H8811" s="157" t="s">
        <v>213</v>
      </c>
    </row>
    <row r="8812" hidden="1">
      <c r="A8812" s="160" t="s">
        <v>235</v>
      </c>
      <c r="B8812" s="72"/>
      <c r="C8812" s="118" t="s">
        <v>236</v>
      </c>
      <c r="D8812" s="152" t="s">
        <v>9704</v>
      </c>
      <c r="E8812" s="152" t="s">
        <v>9871</v>
      </c>
      <c r="F8812" s="152" t="s">
        <v>629</v>
      </c>
      <c r="G8812" s="152" t="s">
        <v>9717</v>
      </c>
      <c r="H8812" s="153" t="s">
        <v>214</v>
      </c>
    </row>
    <row r="8813" hidden="1">
      <c r="A8813" s="158" t="s">
        <v>235</v>
      </c>
      <c r="B8813" s="159"/>
      <c r="C8813" s="155" t="s">
        <v>236</v>
      </c>
      <c r="D8813" s="156" t="s">
        <v>9704</v>
      </c>
      <c r="E8813" s="156" t="s">
        <v>9872</v>
      </c>
      <c r="F8813" s="156" t="s">
        <v>1929</v>
      </c>
      <c r="G8813" s="156" t="s">
        <v>9873</v>
      </c>
      <c r="H8813" s="157" t="s">
        <v>215</v>
      </c>
    </row>
    <row r="8814" hidden="1">
      <c r="A8814" s="160" t="s">
        <v>235</v>
      </c>
      <c r="B8814" s="72"/>
      <c r="C8814" s="118" t="s">
        <v>236</v>
      </c>
      <c r="D8814" s="152" t="s">
        <v>9704</v>
      </c>
      <c r="E8814" s="152" t="s">
        <v>9874</v>
      </c>
      <c r="F8814" s="152" t="s">
        <v>348</v>
      </c>
      <c r="G8814" s="152" t="s">
        <v>9875</v>
      </c>
      <c r="H8814" s="153" t="s">
        <v>216</v>
      </c>
    </row>
    <row r="8815" hidden="1">
      <c r="A8815" s="158" t="s">
        <v>237</v>
      </c>
      <c r="B8815" s="159"/>
      <c r="C8815" s="155" t="s">
        <v>236</v>
      </c>
      <c r="D8815" s="156" t="s">
        <v>9704</v>
      </c>
      <c r="E8815" s="156" t="s">
        <v>9876</v>
      </c>
      <c r="F8815" s="156" t="s">
        <v>450</v>
      </c>
      <c r="G8815" s="156" t="s">
        <v>9531</v>
      </c>
      <c r="H8815" s="157" t="s">
        <v>210</v>
      </c>
    </row>
    <row r="8816" hidden="1">
      <c r="A8816" s="160" t="s">
        <v>237</v>
      </c>
      <c r="B8816" s="72"/>
      <c r="C8816" s="118" t="s">
        <v>236</v>
      </c>
      <c r="D8816" s="152" t="s">
        <v>9704</v>
      </c>
      <c r="E8816" s="152" t="s">
        <v>9877</v>
      </c>
      <c r="F8816" s="152" t="s">
        <v>478</v>
      </c>
      <c r="G8816" s="152" t="s">
        <v>4775</v>
      </c>
      <c r="H8816" s="153" t="s">
        <v>211</v>
      </c>
    </row>
    <row r="8817" hidden="1">
      <c r="A8817" s="158" t="s">
        <v>237</v>
      </c>
      <c r="B8817" s="159"/>
      <c r="C8817" s="155" t="s">
        <v>236</v>
      </c>
      <c r="D8817" s="156" t="s">
        <v>9704</v>
      </c>
      <c r="E8817" s="156" t="s">
        <v>9878</v>
      </c>
      <c r="F8817" s="156" t="s">
        <v>348</v>
      </c>
      <c r="G8817" s="156" t="s">
        <v>9139</v>
      </c>
      <c r="H8817" s="157" t="s">
        <v>212</v>
      </c>
    </row>
    <row r="8818" hidden="1">
      <c r="A8818" s="160" t="s">
        <v>237</v>
      </c>
      <c r="B8818" s="72"/>
      <c r="C8818" s="118" t="s">
        <v>236</v>
      </c>
      <c r="D8818" s="152" t="s">
        <v>9704</v>
      </c>
      <c r="E8818" s="152" t="s">
        <v>9879</v>
      </c>
      <c r="F8818" s="152" t="s">
        <v>483</v>
      </c>
      <c r="G8818" s="152" t="s">
        <v>3462</v>
      </c>
      <c r="H8818" s="153" t="s">
        <v>213</v>
      </c>
    </row>
    <row r="8819" hidden="1">
      <c r="A8819" s="158" t="s">
        <v>237</v>
      </c>
      <c r="B8819" s="159"/>
      <c r="C8819" s="155" t="s">
        <v>236</v>
      </c>
      <c r="D8819" s="156" t="s">
        <v>9704</v>
      </c>
      <c r="E8819" s="156" t="s">
        <v>9880</v>
      </c>
      <c r="F8819" s="156" t="s">
        <v>325</v>
      </c>
      <c r="G8819" s="156" t="s">
        <v>9135</v>
      </c>
      <c r="H8819" s="157" t="s">
        <v>214</v>
      </c>
    </row>
    <row r="8820" hidden="1">
      <c r="A8820" s="160" t="s">
        <v>237</v>
      </c>
      <c r="B8820" s="72"/>
      <c r="C8820" s="118" t="s">
        <v>236</v>
      </c>
      <c r="D8820" s="152" t="s">
        <v>9704</v>
      </c>
      <c r="E8820" s="152" t="s">
        <v>9881</v>
      </c>
      <c r="F8820" s="152" t="s">
        <v>312</v>
      </c>
      <c r="G8820" s="152" t="s">
        <v>4083</v>
      </c>
      <c r="H8820" s="153" t="s">
        <v>215</v>
      </c>
    </row>
    <row r="8821" hidden="1">
      <c r="A8821" s="158" t="s">
        <v>237</v>
      </c>
      <c r="B8821" s="159"/>
      <c r="C8821" s="155" t="s">
        <v>236</v>
      </c>
      <c r="D8821" s="156" t="s">
        <v>9704</v>
      </c>
      <c r="E8821" s="156" t="s">
        <v>9882</v>
      </c>
      <c r="F8821" s="156" t="s">
        <v>799</v>
      </c>
      <c r="G8821" s="156" t="s">
        <v>3434</v>
      </c>
      <c r="H8821" s="157" t="s">
        <v>216</v>
      </c>
    </row>
    <row r="8822" hidden="1">
      <c r="A8822" s="151" t="s">
        <v>204</v>
      </c>
      <c r="B8822" s="118" t="s">
        <v>205</v>
      </c>
      <c r="C8822" s="118" t="s">
        <v>206</v>
      </c>
      <c r="D8822" s="152" t="s">
        <v>9883</v>
      </c>
      <c r="E8822" s="152" t="s">
        <v>9884</v>
      </c>
      <c r="F8822" s="152" t="s">
        <v>763</v>
      </c>
      <c r="G8822" s="152" t="s">
        <v>9421</v>
      </c>
      <c r="H8822" s="153" t="s">
        <v>210</v>
      </c>
    </row>
    <row r="8823" hidden="1">
      <c r="A8823" s="154" t="s">
        <v>204</v>
      </c>
      <c r="B8823" s="155" t="s">
        <v>205</v>
      </c>
      <c r="C8823" s="155" t="s">
        <v>206</v>
      </c>
      <c r="D8823" s="156" t="s">
        <v>9883</v>
      </c>
      <c r="E8823" s="156" t="s">
        <v>9885</v>
      </c>
      <c r="F8823" s="156" t="s">
        <v>1530</v>
      </c>
      <c r="G8823" s="156" t="s">
        <v>9886</v>
      </c>
      <c r="H8823" s="157" t="s">
        <v>211</v>
      </c>
    </row>
    <row r="8824" hidden="1">
      <c r="A8824" s="151" t="s">
        <v>204</v>
      </c>
      <c r="B8824" s="118" t="s">
        <v>205</v>
      </c>
      <c r="C8824" s="118" t="s">
        <v>206</v>
      </c>
      <c r="D8824" s="152" t="s">
        <v>9883</v>
      </c>
      <c r="E8824" s="152" t="s">
        <v>9887</v>
      </c>
      <c r="F8824" s="152" t="s">
        <v>390</v>
      </c>
      <c r="G8824" s="152" t="s">
        <v>9888</v>
      </c>
      <c r="H8824" s="153" t="s">
        <v>212</v>
      </c>
    </row>
    <row r="8825" hidden="1">
      <c r="A8825" s="154" t="s">
        <v>204</v>
      </c>
      <c r="B8825" s="155" t="s">
        <v>205</v>
      </c>
      <c r="C8825" s="155" t="s">
        <v>206</v>
      </c>
      <c r="D8825" s="156" t="s">
        <v>9883</v>
      </c>
      <c r="E8825" s="156" t="s">
        <v>9889</v>
      </c>
      <c r="F8825" s="156" t="s">
        <v>2994</v>
      </c>
      <c r="G8825" s="156" t="s">
        <v>9890</v>
      </c>
      <c r="H8825" s="157" t="s">
        <v>213</v>
      </c>
    </row>
    <row r="8826" hidden="1">
      <c r="A8826" s="151" t="s">
        <v>204</v>
      </c>
      <c r="B8826" s="118" t="s">
        <v>205</v>
      </c>
      <c r="C8826" s="118" t="s">
        <v>206</v>
      </c>
      <c r="D8826" s="152" t="s">
        <v>9883</v>
      </c>
      <c r="E8826" s="152" t="s">
        <v>9891</v>
      </c>
      <c r="F8826" s="152" t="s">
        <v>448</v>
      </c>
      <c r="G8826" s="152" t="s">
        <v>9892</v>
      </c>
      <c r="H8826" s="153" t="s">
        <v>214</v>
      </c>
    </row>
    <row r="8827" hidden="1">
      <c r="A8827" s="154" t="s">
        <v>204</v>
      </c>
      <c r="B8827" s="155" t="s">
        <v>205</v>
      </c>
      <c r="C8827" s="155" t="s">
        <v>206</v>
      </c>
      <c r="D8827" s="156" t="s">
        <v>9883</v>
      </c>
      <c r="E8827" s="156" t="s">
        <v>9893</v>
      </c>
      <c r="F8827" s="156" t="s">
        <v>763</v>
      </c>
      <c r="G8827" s="156" t="s">
        <v>9729</v>
      </c>
      <c r="H8827" s="157" t="s">
        <v>215</v>
      </c>
    </row>
    <row r="8828" hidden="1">
      <c r="A8828" s="151" t="s">
        <v>204</v>
      </c>
      <c r="B8828" s="118" t="s">
        <v>205</v>
      </c>
      <c r="C8828" s="118" t="s">
        <v>206</v>
      </c>
      <c r="D8828" s="152" t="s">
        <v>9883</v>
      </c>
      <c r="E8828" s="152" t="s">
        <v>9894</v>
      </c>
      <c r="F8828" s="152" t="s">
        <v>2994</v>
      </c>
      <c r="G8828" s="152" t="s">
        <v>9269</v>
      </c>
      <c r="H8828" s="153" t="s">
        <v>216</v>
      </c>
    </row>
    <row r="8829" hidden="1">
      <c r="A8829" s="154" t="s">
        <v>217</v>
      </c>
      <c r="B8829" s="155" t="s">
        <v>191</v>
      </c>
      <c r="C8829" s="155" t="s">
        <v>206</v>
      </c>
      <c r="D8829" s="156" t="s">
        <v>9883</v>
      </c>
      <c r="E8829" s="156" t="s">
        <v>9895</v>
      </c>
      <c r="F8829" s="156" t="s">
        <v>629</v>
      </c>
      <c r="G8829" s="156" t="s">
        <v>9896</v>
      </c>
      <c r="H8829" s="157" t="s">
        <v>210</v>
      </c>
    </row>
    <row r="8830" hidden="1">
      <c r="A8830" s="151" t="s">
        <v>217</v>
      </c>
      <c r="B8830" s="118" t="s">
        <v>191</v>
      </c>
      <c r="C8830" s="118" t="s">
        <v>206</v>
      </c>
      <c r="D8830" s="152" t="s">
        <v>9883</v>
      </c>
      <c r="E8830" s="152" t="s">
        <v>9897</v>
      </c>
      <c r="F8830" s="152" t="s">
        <v>3218</v>
      </c>
      <c r="G8830" s="152" t="s">
        <v>9898</v>
      </c>
      <c r="H8830" s="153" t="s">
        <v>211</v>
      </c>
    </row>
    <row r="8831" hidden="1">
      <c r="A8831" s="154" t="s">
        <v>217</v>
      </c>
      <c r="B8831" s="155" t="s">
        <v>191</v>
      </c>
      <c r="C8831" s="155" t="s">
        <v>206</v>
      </c>
      <c r="D8831" s="156" t="s">
        <v>9883</v>
      </c>
      <c r="E8831" s="156" t="s">
        <v>9899</v>
      </c>
      <c r="F8831" s="156" t="s">
        <v>673</v>
      </c>
      <c r="G8831" s="156" t="s">
        <v>9900</v>
      </c>
      <c r="H8831" s="157" t="s">
        <v>212</v>
      </c>
    </row>
    <row r="8832" hidden="1">
      <c r="A8832" s="151" t="s">
        <v>217</v>
      </c>
      <c r="B8832" s="118" t="s">
        <v>191</v>
      </c>
      <c r="C8832" s="118" t="s">
        <v>206</v>
      </c>
      <c r="D8832" s="152" t="s">
        <v>9883</v>
      </c>
      <c r="E8832" s="152" t="s">
        <v>9901</v>
      </c>
      <c r="F8832" s="152" t="s">
        <v>3218</v>
      </c>
      <c r="G8832" s="152" t="s">
        <v>9902</v>
      </c>
      <c r="H8832" s="153" t="s">
        <v>213</v>
      </c>
    </row>
    <row r="8833" hidden="1">
      <c r="A8833" s="154" t="s">
        <v>217</v>
      </c>
      <c r="B8833" s="155" t="s">
        <v>191</v>
      </c>
      <c r="C8833" s="155" t="s">
        <v>206</v>
      </c>
      <c r="D8833" s="156" t="s">
        <v>9883</v>
      </c>
      <c r="E8833" s="156" t="s">
        <v>9903</v>
      </c>
      <c r="F8833" s="156" t="s">
        <v>735</v>
      </c>
      <c r="G8833" s="156" t="s">
        <v>9904</v>
      </c>
      <c r="H8833" s="157" t="s">
        <v>214</v>
      </c>
    </row>
    <row r="8834" hidden="1">
      <c r="A8834" s="151" t="s">
        <v>217</v>
      </c>
      <c r="B8834" s="118" t="s">
        <v>191</v>
      </c>
      <c r="C8834" s="118" t="s">
        <v>206</v>
      </c>
      <c r="D8834" s="152" t="s">
        <v>9883</v>
      </c>
      <c r="E8834" s="152" t="s">
        <v>9905</v>
      </c>
      <c r="F8834" s="152" t="s">
        <v>2607</v>
      </c>
      <c r="G8834" s="152" t="s">
        <v>9906</v>
      </c>
      <c r="H8834" s="153" t="s">
        <v>215</v>
      </c>
    </row>
    <row r="8835" hidden="1">
      <c r="A8835" s="154" t="s">
        <v>217</v>
      </c>
      <c r="B8835" s="155" t="s">
        <v>191</v>
      </c>
      <c r="C8835" s="155" t="s">
        <v>206</v>
      </c>
      <c r="D8835" s="156" t="s">
        <v>9883</v>
      </c>
      <c r="E8835" s="156" t="s">
        <v>9907</v>
      </c>
      <c r="F8835" s="156" t="s">
        <v>390</v>
      </c>
      <c r="G8835" s="156" t="s">
        <v>9509</v>
      </c>
      <c r="H8835" s="157" t="s">
        <v>216</v>
      </c>
    </row>
    <row r="8836" hidden="1">
      <c r="A8836" s="151" t="s">
        <v>218</v>
      </c>
      <c r="B8836" s="118" t="s">
        <v>219</v>
      </c>
      <c r="C8836" s="118" t="s">
        <v>206</v>
      </c>
      <c r="D8836" s="152" t="s">
        <v>9883</v>
      </c>
      <c r="E8836" s="152" t="s">
        <v>9908</v>
      </c>
      <c r="F8836" s="152" t="s">
        <v>1532</v>
      </c>
      <c r="G8836" s="152" t="s">
        <v>9337</v>
      </c>
      <c r="H8836" s="153" t="s">
        <v>210</v>
      </c>
    </row>
    <row r="8837" hidden="1">
      <c r="A8837" s="154" t="s">
        <v>218</v>
      </c>
      <c r="B8837" s="155" t="s">
        <v>219</v>
      </c>
      <c r="C8837" s="155" t="s">
        <v>206</v>
      </c>
      <c r="D8837" s="156" t="s">
        <v>9883</v>
      </c>
      <c r="E8837" s="156" t="s">
        <v>9909</v>
      </c>
      <c r="F8837" s="156" t="s">
        <v>673</v>
      </c>
      <c r="G8837" s="156" t="s">
        <v>9562</v>
      </c>
      <c r="H8837" s="157" t="s">
        <v>211</v>
      </c>
    </row>
    <row r="8838" hidden="1">
      <c r="A8838" s="151" t="s">
        <v>218</v>
      </c>
      <c r="B8838" s="118" t="s">
        <v>219</v>
      </c>
      <c r="C8838" s="118" t="s">
        <v>206</v>
      </c>
      <c r="D8838" s="152" t="s">
        <v>9883</v>
      </c>
      <c r="E8838" s="152" t="s">
        <v>9910</v>
      </c>
      <c r="F8838" s="152" t="s">
        <v>1999</v>
      </c>
      <c r="G8838" s="152" t="s">
        <v>9708</v>
      </c>
      <c r="H8838" s="153" t="s">
        <v>212</v>
      </c>
    </row>
    <row r="8839" hidden="1">
      <c r="A8839" s="154" t="s">
        <v>218</v>
      </c>
      <c r="B8839" s="155" t="s">
        <v>219</v>
      </c>
      <c r="C8839" s="155" t="s">
        <v>206</v>
      </c>
      <c r="D8839" s="156" t="s">
        <v>9883</v>
      </c>
      <c r="E8839" s="156" t="s">
        <v>9911</v>
      </c>
      <c r="F8839" s="156" t="s">
        <v>532</v>
      </c>
      <c r="G8839" s="156" t="s">
        <v>9800</v>
      </c>
      <c r="H8839" s="157" t="s">
        <v>213</v>
      </c>
    </row>
    <row r="8840" hidden="1">
      <c r="A8840" s="151" t="s">
        <v>218</v>
      </c>
      <c r="B8840" s="118" t="s">
        <v>219</v>
      </c>
      <c r="C8840" s="118" t="s">
        <v>206</v>
      </c>
      <c r="D8840" s="152" t="s">
        <v>9883</v>
      </c>
      <c r="E8840" s="152" t="s">
        <v>9912</v>
      </c>
      <c r="F8840" s="152" t="s">
        <v>725</v>
      </c>
      <c r="G8840" s="152" t="s">
        <v>9913</v>
      </c>
      <c r="H8840" s="153" t="s">
        <v>214</v>
      </c>
    </row>
    <row r="8841" hidden="1">
      <c r="A8841" s="154" t="s">
        <v>218</v>
      </c>
      <c r="B8841" s="155" t="s">
        <v>219</v>
      </c>
      <c r="C8841" s="155" t="s">
        <v>206</v>
      </c>
      <c r="D8841" s="156" t="s">
        <v>9883</v>
      </c>
      <c r="E8841" s="156" t="s">
        <v>9914</v>
      </c>
      <c r="F8841" s="156" t="s">
        <v>718</v>
      </c>
      <c r="G8841" s="156" t="s">
        <v>9609</v>
      </c>
      <c r="H8841" s="157" t="s">
        <v>215</v>
      </c>
    </row>
    <row r="8842" hidden="1">
      <c r="A8842" s="151" t="s">
        <v>218</v>
      </c>
      <c r="B8842" s="118" t="s">
        <v>219</v>
      </c>
      <c r="C8842" s="118" t="s">
        <v>206</v>
      </c>
      <c r="D8842" s="152" t="s">
        <v>9883</v>
      </c>
      <c r="E8842" s="152" t="s">
        <v>9915</v>
      </c>
      <c r="F8842" s="152" t="s">
        <v>453</v>
      </c>
      <c r="G8842" s="152" t="s">
        <v>9916</v>
      </c>
      <c r="H8842" s="153" t="s">
        <v>216</v>
      </c>
    </row>
    <row r="8843" hidden="1">
      <c r="A8843" s="154" t="s">
        <v>220</v>
      </c>
      <c r="B8843" s="155" t="s">
        <v>190</v>
      </c>
      <c r="C8843" s="155" t="s">
        <v>206</v>
      </c>
      <c r="D8843" s="156" t="s">
        <v>9883</v>
      </c>
      <c r="E8843" s="156" t="s">
        <v>9917</v>
      </c>
      <c r="F8843" s="156" t="s">
        <v>629</v>
      </c>
      <c r="G8843" s="156" t="s">
        <v>9918</v>
      </c>
      <c r="H8843" s="157" t="s">
        <v>210</v>
      </c>
    </row>
    <row r="8844" hidden="1">
      <c r="A8844" s="151" t="s">
        <v>220</v>
      </c>
      <c r="B8844" s="118" t="s">
        <v>190</v>
      </c>
      <c r="C8844" s="118" t="s">
        <v>206</v>
      </c>
      <c r="D8844" s="152" t="s">
        <v>9883</v>
      </c>
      <c r="E8844" s="152" t="s">
        <v>9919</v>
      </c>
      <c r="F8844" s="152" t="s">
        <v>766</v>
      </c>
      <c r="G8844" s="152" t="s">
        <v>9920</v>
      </c>
      <c r="H8844" s="153" t="s">
        <v>211</v>
      </c>
    </row>
    <row r="8845" hidden="1">
      <c r="A8845" s="154" t="s">
        <v>220</v>
      </c>
      <c r="B8845" s="155" t="s">
        <v>190</v>
      </c>
      <c r="C8845" s="155" t="s">
        <v>206</v>
      </c>
      <c r="D8845" s="156" t="s">
        <v>9883</v>
      </c>
      <c r="E8845" s="156" t="s">
        <v>9921</v>
      </c>
      <c r="F8845" s="156" t="s">
        <v>2228</v>
      </c>
      <c r="G8845" s="156" t="s">
        <v>9922</v>
      </c>
      <c r="H8845" s="157" t="s">
        <v>212</v>
      </c>
    </row>
    <row r="8846" hidden="1">
      <c r="A8846" s="151" t="s">
        <v>220</v>
      </c>
      <c r="B8846" s="118" t="s">
        <v>190</v>
      </c>
      <c r="C8846" s="118" t="s">
        <v>206</v>
      </c>
      <c r="D8846" s="152" t="s">
        <v>9883</v>
      </c>
      <c r="E8846" s="152" t="s">
        <v>9923</v>
      </c>
      <c r="F8846" s="152" t="s">
        <v>3198</v>
      </c>
      <c r="G8846" s="152" t="s">
        <v>9924</v>
      </c>
      <c r="H8846" s="153" t="s">
        <v>213</v>
      </c>
    </row>
    <row r="8847" hidden="1">
      <c r="A8847" s="154" t="s">
        <v>220</v>
      </c>
      <c r="B8847" s="155" t="s">
        <v>190</v>
      </c>
      <c r="C8847" s="155" t="s">
        <v>206</v>
      </c>
      <c r="D8847" s="156" t="s">
        <v>9883</v>
      </c>
      <c r="E8847" s="156" t="s">
        <v>9925</v>
      </c>
      <c r="F8847" s="156" t="s">
        <v>763</v>
      </c>
      <c r="G8847" s="156" t="s">
        <v>9926</v>
      </c>
      <c r="H8847" s="157" t="s">
        <v>214</v>
      </c>
    </row>
    <row r="8848" hidden="1">
      <c r="A8848" s="151" t="s">
        <v>220</v>
      </c>
      <c r="B8848" s="118" t="s">
        <v>190</v>
      </c>
      <c r="C8848" s="118" t="s">
        <v>206</v>
      </c>
      <c r="D8848" s="152" t="s">
        <v>9883</v>
      </c>
      <c r="E8848" s="152" t="s">
        <v>9927</v>
      </c>
      <c r="F8848" s="152" t="s">
        <v>735</v>
      </c>
      <c r="G8848" s="152" t="s">
        <v>9928</v>
      </c>
      <c r="H8848" s="153" t="s">
        <v>215</v>
      </c>
    </row>
    <row r="8849" hidden="1">
      <c r="A8849" s="154" t="s">
        <v>220</v>
      </c>
      <c r="B8849" s="155" t="s">
        <v>190</v>
      </c>
      <c r="C8849" s="155" t="s">
        <v>206</v>
      </c>
      <c r="D8849" s="156" t="s">
        <v>9883</v>
      </c>
      <c r="E8849" s="156" t="s">
        <v>9929</v>
      </c>
      <c r="F8849" s="156" t="s">
        <v>758</v>
      </c>
      <c r="G8849" s="156" t="s">
        <v>9930</v>
      </c>
      <c r="H8849" s="157" t="s">
        <v>216</v>
      </c>
    </row>
    <row r="8850" hidden="1">
      <c r="A8850" s="151" t="s">
        <v>221</v>
      </c>
      <c r="B8850" s="118" t="s">
        <v>189</v>
      </c>
      <c r="C8850" s="118" t="s">
        <v>206</v>
      </c>
      <c r="D8850" s="152" t="s">
        <v>9883</v>
      </c>
      <c r="E8850" s="152" t="s">
        <v>9931</v>
      </c>
      <c r="F8850" s="152" t="s">
        <v>2228</v>
      </c>
      <c r="G8850" s="152" t="s">
        <v>3466</v>
      </c>
      <c r="H8850" s="153" t="s">
        <v>210</v>
      </c>
    </row>
    <row r="8851" hidden="1">
      <c r="A8851" s="154" t="s">
        <v>221</v>
      </c>
      <c r="B8851" s="155" t="s">
        <v>189</v>
      </c>
      <c r="C8851" s="155" t="s">
        <v>206</v>
      </c>
      <c r="D8851" s="156" t="s">
        <v>9883</v>
      </c>
      <c r="E8851" s="156" t="s">
        <v>9932</v>
      </c>
      <c r="F8851" s="156" t="s">
        <v>629</v>
      </c>
      <c r="G8851" s="156" t="s">
        <v>4077</v>
      </c>
      <c r="H8851" s="157" t="s">
        <v>211</v>
      </c>
    </row>
    <row r="8852" hidden="1">
      <c r="A8852" s="151" t="s">
        <v>221</v>
      </c>
      <c r="B8852" s="118" t="s">
        <v>189</v>
      </c>
      <c r="C8852" s="118" t="s">
        <v>206</v>
      </c>
      <c r="D8852" s="152" t="s">
        <v>9883</v>
      </c>
      <c r="E8852" s="152" t="s">
        <v>9933</v>
      </c>
      <c r="F8852" s="152" t="s">
        <v>691</v>
      </c>
      <c r="G8852" s="152" t="s">
        <v>9934</v>
      </c>
      <c r="H8852" s="153" t="s">
        <v>212</v>
      </c>
    </row>
    <row r="8853" hidden="1">
      <c r="A8853" s="154" t="s">
        <v>221</v>
      </c>
      <c r="B8853" s="155" t="s">
        <v>189</v>
      </c>
      <c r="C8853" s="155" t="s">
        <v>206</v>
      </c>
      <c r="D8853" s="156" t="s">
        <v>9883</v>
      </c>
      <c r="E8853" s="156" t="s">
        <v>9935</v>
      </c>
      <c r="F8853" s="156" t="s">
        <v>497</v>
      </c>
      <c r="G8853" s="156" t="s">
        <v>7470</v>
      </c>
      <c r="H8853" s="157" t="s">
        <v>213</v>
      </c>
    </row>
    <row r="8854" hidden="1">
      <c r="A8854" s="151" t="s">
        <v>221</v>
      </c>
      <c r="B8854" s="118" t="s">
        <v>189</v>
      </c>
      <c r="C8854" s="118" t="s">
        <v>206</v>
      </c>
      <c r="D8854" s="152" t="s">
        <v>9883</v>
      </c>
      <c r="E8854" s="152" t="s">
        <v>9936</v>
      </c>
      <c r="F8854" s="152" t="s">
        <v>390</v>
      </c>
      <c r="G8854" s="152" t="s">
        <v>3595</v>
      </c>
      <c r="H8854" s="153" t="s">
        <v>214</v>
      </c>
    </row>
    <row r="8855" hidden="1">
      <c r="A8855" s="154" t="s">
        <v>221</v>
      </c>
      <c r="B8855" s="155" t="s">
        <v>189</v>
      </c>
      <c r="C8855" s="155" t="s">
        <v>206</v>
      </c>
      <c r="D8855" s="156" t="s">
        <v>9883</v>
      </c>
      <c r="E8855" s="156" t="s">
        <v>9937</v>
      </c>
      <c r="F8855" s="156" t="s">
        <v>766</v>
      </c>
      <c r="G8855" s="156" t="s">
        <v>4709</v>
      </c>
      <c r="H8855" s="157" t="s">
        <v>215</v>
      </c>
    </row>
    <row r="8856" hidden="1">
      <c r="A8856" s="151" t="s">
        <v>221</v>
      </c>
      <c r="B8856" s="118" t="s">
        <v>189</v>
      </c>
      <c r="C8856" s="118" t="s">
        <v>206</v>
      </c>
      <c r="D8856" s="152" t="s">
        <v>9883</v>
      </c>
      <c r="E8856" s="152" t="s">
        <v>9938</v>
      </c>
      <c r="F8856" s="152" t="s">
        <v>691</v>
      </c>
      <c r="G8856" s="152" t="s">
        <v>4685</v>
      </c>
      <c r="H8856" s="153" t="s">
        <v>216</v>
      </c>
    </row>
    <row r="8857" hidden="1">
      <c r="A8857" s="154" t="s">
        <v>222</v>
      </c>
      <c r="B8857" s="155" t="s">
        <v>192</v>
      </c>
      <c r="C8857" s="155" t="s">
        <v>206</v>
      </c>
      <c r="D8857" s="156" t="s">
        <v>9883</v>
      </c>
      <c r="E8857" s="156" t="s">
        <v>9939</v>
      </c>
      <c r="F8857" s="156" t="s">
        <v>799</v>
      </c>
      <c r="G8857" s="156" t="s">
        <v>9875</v>
      </c>
      <c r="H8857" s="157" t="s">
        <v>210</v>
      </c>
    </row>
    <row r="8858" hidden="1">
      <c r="A8858" s="151" t="s">
        <v>222</v>
      </c>
      <c r="B8858" s="118" t="s">
        <v>192</v>
      </c>
      <c r="C8858" s="118" t="s">
        <v>206</v>
      </c>
      <c r="D8858" s="152" t="s">
        <v>9883</v>
      </c>
      <c r="E8858" s="152" t="s">
        <v>9940</v>
      </c>
      <c r="F8858" s="152" t="s">
        <v>1999</v>
      </c>
      <c r="G8858" s="152" t="s">
        <v>9941</v>
      </c>
      <c r="H8858" s="153" t="s">
        <v>211</v>
      </c>
    </row>
    <row r="8859" hidden="1">
      <c r="A8859" s="154" t="s">
        <v>222</v>
      </c>
      <c r="B8859" s="155" t="s">
        <v>192</v>
      </c>
      <c r="C8859" s="155" t="s">
        <v>206</v>
      </c>
      <c r="D8859" s="156" t="s">
        <v>9883</v>
      </c>
      <c r="E8859" s="156" t="s">
        <v>9942</v>
      </c>
      <c r="F8859" s="156" t="s">
        <v>577</v>
      </c>
      <c r="G8859" s="156" t="s">
        <v>9943</v>
      </c>
      <c r="H8859" s="157" t="s">
        <v>212</v>
      </c>
    </row>
    <row r="8860" hidden="1">
      <c r="A8860" s="151" t="s">
        <v>222</v>
      </c>
      <c r="B8860" s="118" t="s">
        <v>192</v>
      </c>
      <c r="C8860" s="118" t="s">
        <v>206</v>
      </c>
      <c r="D8860" s="152" t="s">
        <v>9883</v>
      </c>
      <c r="E8860" s="152" t="s">
        <v>9944</v>
      </c>
      <c r="F8860" s="152" t="s">
        <v>1999</v>
      </c>
      <c r="G8860" s="152" t="s">
        <v>9945</v>
      </c>
      <c r="H8860" s="153" t="s">
        <v>213</v>
      </c>
    </row>
    <row r="8861" hidden="1">
      <c r="A8861" s="154" t="s">
        <v>222</v>
      </c>
      <c r="B8861" s="155" t="s">
        <v>192</v>
      </c>
      <c r="C8861" s="155" t="s">
        <v>206</v>
      </c>
      <c r="D8861" s="156" t="s">
        <v>9883</v>
      </c>
      <c r="E8861" s="156" t="s">
        <v>9946</v>
      </c>
      <c r="F8861" s="156" t="s">
        <v>405</v>
      </c>
      <c r="G8861" s="156" t="s">
        <v>9350</v>
      </c>
      <c r="H8861" s="157" t="s">
        <v>214</v>
      </c>
    </row>
    <row r="8862" hidden="1">
      <c r="A8862" s="151" t="s">
        <v>222</v>
      </c>
      <c r="B8862" s="118" t="s">
        <v>192</v>
      </c>
      <c r="C8862" s="118" t="s">
        <v>206</v>
      </c>
      <c r="D8862" s="152" t="s">
        <v>9883</v>
      </c>
      <c r="E8862" s="152" t="s">
        <v>9947</v>
      </c>
      <c r="F8862" s="152" t="s">
        <v>2994</v>
      </c>
      <c r="G8862" s="152" t="s">
        <v>9341</v>
      </c>
      <c r="H8862" s="153" t="s">
        <v>215</v>
      </c>
    </row>
    <row r="8863" hidden="1">
      <c r="A8863" s="154" t="s">
        <v>222</v>
      </c>
      <c r="B8863" s="155" t="s">
        <v>192</v>
      </c>
      <c r="C8863" s="155" t="s">
        <v>206</v>
      </c>
      <c r="D8863" s="156" t="s">
        <v>9883</v>
      </c>
      <c r="E8863" s="156" t="s">
        <v>9948</v>
      </c>
      <c r="F8863" s="156" t="s">
        <v>677</v>
      </c>
      <c r="G8863" s="156" t="s">
        <v>9708</v>
      </c>
      <c r="H8863" s="157" t="s">
        <v>216</v>
      </c>
    </row>
    <row r="8864" hidden="1">
      <c r="A8864" s="151" t="s">
        <v>223</v>
      </c>
      <c r="B8864" s="118" t="s">
        <v>144</v>
      </c>
      <c r="C8864" s="118" t="s">
        <v>206</v>
      </c>
      <c r="D8864" s="152" t="s">
        <v>9883</v>
      </c>
      <c r="E8864" s="152" t="s">
        <v>9949</v>
      </c>
      <c r="F8864" s="152" t="s">
        <v>3340</v>
      </c>
      <c r="G8864" s="152" t="s">
        <v>9357</v>
      </c>
      <c r="H8864" s="153" t="s">
        <v>210</v>
      </c>
    </row>
    <row r="8865" hidden="1">
      <c r="A8865" s="154" t="s">
        <v>223</v>
      </c>
      <c r="B8865" s="155" t="s">
        <v>144</v>
      </c>
      <c r="C8865" s="155" t="s">
        <v>206</v>
      </c>
      <c r="D8865" s="156" t="s">
        <v>9883</v>
      </c>
      <c r="E8865" s="156" t="s">
        <v>9950</v>
      </c>
      <c r="F8865" s="156" t="s">
        <v>3198</v>
      </c>
      <c r="G8865" s="156" t="s">
        <v>9197</v>
      </c>
      <c r="H8865" s="157" t="s">
        <v>211</v>
      </c>
    </row>
    <row r="8866" hidden="1">
      <c r="A8866" s="151" t="s">
        <v>223</v>
      </c>
      <c r="B8866" s="118" t="s">
        <v>144</v>
      </c>
      <c r="C8866" s="118" t="s">
        <v>206</v>
      </c>
      <c r="D8866" s="152" t="s">
        <v>9883</v>
      </c>
      <c r="E8866" s="152" t="s">
        <v>9951</v>
      </c>
      <c r="F8866" s="152" t="s">
        <v>405</v>
      </c>
      <c r="G8866" s="152" t="s">
        <v>9771</v>
      </c>
      <c r="H8866" s="153" t="s">
        <v>212</v>
      </c>
    </row>
    <row r="8867" hidden="1">
      <c r="A8867" s="154" t="s">
        <v>223</v>
      </c>
      <c r="B8867" s="155" t="s">
        <v>144</v>
      </c>
      <c r="C8867" s="155" t="s">
        <v>206</v>
      </c>
      <c r="D8867" s="156" t="s">
        <v>9883</v>
      </c>
      <c r="E8867" s="156" t="s">
        <v>9952</v>
      </c>
      <c r="F8867" s="156" t="s">
        <v>448</v>
      </c>
      <c r="G8867" s="156" t="s">
        <v>5434</v>
      </c>
      <c r="H8867" s="157" t="s">
        <v>213</v>
      </c>
    </row>
    <row r="8868" hidden="1">
      <c r="A8868" s="151" t="s">
        <v>223</v>
      </c>
      <c r="B8868" s="118" t="s">
        <v>144</v>
      </c>
      <c r="C8868" s="118" t="s">
        <v>206</v>
      </c>
      <c r="D8868" s="152" t="s">
        <v>9883</v>
      </c>
      <c r="E8868" s="152" t="s">
        <v>9953</v>
      </c>
      <c r="F8868" s="152" t="s">
        <v>348</v>
      </c>
      <c r="G8868" s="152" t="s">
        <v>9548</v>
      </c>
      <c r="H8868" s="153" t="s">
        <v>214</v>
      </c>
    </row>
    <row r="8869" hidden="1">
      <c r="A8869" s="154" t="s">
        <v>223</v>
      </c>
      <c r="B8869" s="155" t="s">
        <v>144</v>
      </c>
      <c r="C8869" s="155" t="s">
        <v>206</v>
      </c>
      <c r="D8869" s="156" t="s">
        <v>9883</v>
      </c>
      <c r="E8869" s="156" t="s">
        <v>9954</v>
      </c>
      <c r="F8869" s="156" t="s">
        <v>763</v>
      </c>
      <c r="G8869" s="156" t="s">
        <v>9913</v>
      </c>
      <c r="H8869" s="157" t="s">
        <v>215</v>
      </c>
    </row>
    <row r="8870" hidden="1">
      <c r="A8870" s="151" t="s">
        <v>223</v>
      </c>
      <c r="B8870" s="118" t="s">
        <v>144</v>
      </c>
      <c r="C8870" s="118" t="s">
        <v>206</v>
      </c>
      <c r="D8870" s="152" t="s">
        <v>9883</v>
      </c>
      <c r="E8870" s="152" t="s">
        <v>9955</v>
      </c>
      <c r="F8870" s="152" t="s">
        <v>3240</v>
      </c>
      <c r="G8870" s="152" t="s">
        <v>9593</v>
      </c>
      <c r="H8870" s="153" t="s">
        <v>216</v>
      </c>
    </row>
    <row r="8871" hidden="1">
      <c r="A8871" s="154" t="s">
        <v>224</v>
      </c>
      <c r="B8871" s="155" t="s">
        <v>170</v>
      </c>
      <c r="C8871" s="155" t="s">
        <v>206</v>
      </c>
      <c r="D8871" s="156" t="s">
        <v>9883</v>
      </c>
      <c r="E8871" s="156" t="s">
        <v>9956</v>
      </c>
      <c r="F8871" s="156" t="s">
        <v>427</v>
      </c>
      <c r="G8871" s="156" t="s">
        <v>9957</v>
      </c>
      <c r="H8871" s="157" t="s">
        <v>210</v>
      </c>
    </row>
    <row r="8872" hidden="1">
      <c r="A8872" s="151" t="s">
        <v>224</v>
      </c>
      <c r="B8872" s="118" t="s">
        <v>170</v>
      </c>
      <c r="C8872" s="118" t="s">
        <v>206</v>
      </c>
      <c r="D8872" s="152" t="s">
        <v>9883</v>
      </c>
      <c r="E8872" s="152" t="s">
        <v>9958</v>
      </c>
      <c r="F8872" s="152" t="s">
        <v>577</v>
      </c>
      <c r="G8872" s="152" t="s">
        <v>9195</v>
      </c>
      <c r="H8872" s="153" t="s">
        <v>211</v>
      </c>
    </row>
    <row r="8873" hidden="1">
      <c r="A8873" s="154" t="s">
        <v>224</v>
      </c>
      <c r="B8873" s="155" t="s">
        <v>170</v>
      </c>
      <c r="C8873" s="155" t="s">
        <v>206</v>
      </c>
      <c r="D8873" s="156" t="s">
        <v>9883</v>
      </c>
      <c r="E8873" s="156" t="s">
        <v>9959</v>
      </c>
      <c r="F8873" s="156" t="s">
        <v>2994</v>
      </c>
      <c r="G8873" s="156" t="s">
        <v>9725</v>
      </c>
      <c r="H8873" s="157" t="s">
        <v>212</v>
      </c>
    </row>
    <row r="8874" hidden="1">
      <c r="A8874" s="151" t="s">
        <v>224</v>
      </c>
      <c r="B8874" s="118" t="s">
        <v>170</v>
      </c>
      <c r="C8874" s="118" t="s">
        <v>206</v>
      </c>
      <c r="D8874" s="152" t="s">
        <v>9883</v>
      </c>
      <c r="E8874" s="152" t="s">
        <v>9960</v>
      </c>
      <c r="F8874" s="152" t="s">
        <v>3218</v>
      </c>
      <c r="G8874" s="152" t="s">
        <v>3436</v>
      </c>
      <c r="H8874" s="153" t="s">
        <v>213</v>
      </c>
    </row>
    <row r="8875" hidden="1">
      <c r="A8875" s="154" t="s">
        <v>224</v>
      </c>
      <c r="B8875" s="155" t="s">
        <v>170</v>
      </c>
      <c r="C8875" s="155" t="s">
        <v>206</v>
      </c>
      <c r="D8875" s="156" t="s">
        <v>9883</v>
      </c>
      <c r="E8875" s="156" t="s">
        <v>9961</v>
      </c>
      <c r="F8875" s="156" t="s">
        <v>760</v>
      </c>
      <c r="G8875" s="156" t="s">
        <v>9962</v>
      </c>
      <c r="H8875" s="157" t="s">
        <v>214</v>
      </c>
    </row>
    <row r="8876" hidden="1">
      <c r="A8876" s="151" t="s">
        <v>224</v>
      </c>
      <c r="B8876" s="118" t="s">
        <v>170</v>
      </c>
      <c r="C8876" s="118" t="s">
        <v>206</v>
      </c>
      <c r="D8876" s="152" t="s">
        <v>9883</v>
      </c>
      <c r="E8876" s="152" t="s">
        <v>9963</v>
      </c>
      <c r="F8876" s="152" t="s">
        <v>718</v>
      </c>
      <c r="G8876" s="152" t="s">
        <v>9210</v>
      </c>
      <c r="H8876" s="153" t="s">
        <v>215</v>
      </c>
    </row>
    <row r="8877" hidden="1">
      <c r="A8877" s="154" t="s">
        <v>224</v>
      </c>
      <c r="B8877" s="155" t="s">
        <v>170</v>
      </c>
      <c r="C8877" s="155" t="s">
        <v>206</v>
      </c>
      <c r="D8877" s="156" t="s">
        <v>9883</v>
      </c>
      <c r="E8877" s="156" t="s">
        <v>9964</v>
      </c>
      <c r="F8877" s="156" t="s">
        <v>725</v>
      </c>
      <c r="G8877" s="156" t="s">
        <v>7470</v>
      </c>
      <c r="H8877" s="157" t="s">
        <v>216</v>
      </c>
    </row>
    <row r="8878" hidden="1">
      <c r="A8878" s="151" t="s">
        <v>225</v>
      </c>
      <c r="B8878" s="118" t="s">
        <v>226</v>
      </c>
      <c r="C8878" s="118" t="s">
        <v>206</v>
      </c>
      <c r="D8878" s="152" t="s">
        <v>9883</v>
      </c>
      <c r="E8878" s="152" t="s">
        <v>9965</v>
      </c>
      <c r="F8878" s="152" t="s">
        <v>1784</v>
      </c>
      <c r="G8878" s="152" t="s">
        <v>4320</v>
      </c>
      <c r="H8878" s="153" t="s">
        <v>210</v>
      </c>
    </row>
    <row r="8879" hidden="1">
      <c r="A8879" s="154" t="s">
        <v>225</v>
      </c>
      <c r="B8879" s="155" t="s">
        <v>226</v>
      </c>
      <c r="C8879" s="155" t="s">
        <v>206</v>
      </c>
      <c r="D8879" s="156" t="s">
        <v>9883</v>
      </c>
      <c r="E8879" s="156" t="s">
        <v>9966</v>
      </c>
      <c r="F8879" s="156" t="s">
        <v>229</v>
      </c>
      <c r="G8879" s="156" t="s">
        <v>3764</v>
      </c>
      <c r="H8879" s="157" t="s">
        <v>211</v>
      </c>
    </row>
    <row r="8880" hidden="1">
      <c r="A8880" s="151" t="s">
        <v>225</v>
      </c>
      <c r="B8880" s="118" t="s">
        <v>226</v>
      </c>
      <c r="C8880" s="118" t="s">
        <v>206</v>
      </c>
      <c r="D8880" s="152" t="s">
        <v>9883</v>
      </c>
      <c r="E8880" s="152" t="s">
        <v>9967</v>
      </c>
      <c r="F8880" s="152" t="s">
        <v>1989</v>
      </c>
      <c r="G8880" s="152" t="s">
        <v>4026</v>
      </c>
      <c r="H8880" s="153" t="s">
        <v>212</v>
      </c>
    </row>
    <row r="8881" hidden="1">
      <c r="A8881" s="154" t="s">
        <v>225</v>
      </c>
      <c r="B8881" s="155" t="s">
        <v>226</v>
      </c>
      <c r="C8881" s="155" t="s">
        <v>206</v>
      </c>
      <c r="D8881" s="156" t="s">
        <v>9883</v>
      </c>
      <c r="E8881" s="156" t="s">
        <v>9968</v>
      </c>
      <c r="F8881" s="156" t="s">
        <v>9508</v>
      </c>
      <c r="G8881" s="156" t="s">
        <v>4029</v>
      </c>
      <c r="H8881" s="157" t="s">
        <v>213</v>
      </c>
    </row>
    <row r="8882" hidden="1">
      <c r="A8882" s="151" t="s">
        <v>225</v>
      </c>
      <c r="B8882" s="118" t="s">
        <v>226</v>
      </c>
      <c r="C8882" s="118" t="s">
        <v>206</v>
      </c>
      <c r="D8882" s="152" t="s">
        <v>9883</v>
      </c>
      <c r="E8882" s="152" t="s">
        <v>9969</v>
      </c>
      <c r="F8882" s="152" t="s">
        <v>2654</v>
      </c>
      <c r="G8882" s="152" t="s">
        <v>3368</v>
      </c>
      <c r="H8882" s="153" t="s">
        <v>214</v>
      </c>
    </row>
    <row r="8883" hidden="1">
      <c r="A8883" s="154" t="s">
        <v>225</v>
      </c>
      <c r="B8883" s="155" t="s">
        <v>226</v>
      </c>
      <c r="C8883" s="155" t="s">
        <v>206</v>
      </c>
      <c r="D8883" s="156" t="s">
        <v>9883</v>
      </c>
      <c r="E8883" s="156" t="s">
        <v>9970</v>
      </c>
      <c r="F8883" s="156" t="s">
        <v>2407</v>
      </c>
      <c r="G8883" s="156" t="s">
        <v>3790</v>
      </c>
      <c r="H8883" s="157" t="s">
        <v>215</v>
      </c>
    </row>
    <row r="8884" hidden="1">
      <c r="A8884" s="151" t="s">
        <v>225</v>
      </c>
      <c r="B8884" s="118" t="s">
        <v>226</v>
      </c>
      <c r="C8884" s="118" t="s">
        <v>206</v>
      </c>
      <c r="D8884" s="152" t="s">
        <v>9883</v>
      </c>
      <c r="E8884" s="152" t="s">
        <v>9971</v>
      </c>
      <c r="F8884" s="152" t="s">
        <v>2169</v>
      </c>
      <c r="G8884" s="152" t="s">
        <v>4317</v>
      </c>
      <c r="H8884" s="153" t="s">
        <v>216</v>
      </c>
    </row>
    <row r="8885" hidden="1">
      <c r="A8885" s="154" t="s">
        <v>227</v>
      </c>
      <c r="B8885" s="155" t="s">
        <v>195</v>
      </c>
      <c r="C8885" s="155" t="s">
        <v>206</v>
      </c>
      <c r="D8885" s="156" t="s">
        <v>9883</v>
      </c>
      <c r="E8885" s="156" t="s">
        <v>9972</v>
      </c>
      <c r="F8885" s="156" t="s">
        <v>1532</v>
      </c>
      <c r="G8885" s="156" t="s">
        <v>5432</v>
      </c>
      <c r="H8885" s="157" t="s">
        <v>210</v>
      </c>
    </row>
    <row r="8886" hidden="1">
      <c r="A8886" s="151" t="s">
        <v>227</v>
      </c>
      <c r="B8886" s="118" t="s">
        <v>195</v>
      </c>
      <c r="C8886" s="118" t="s">
        <v>206</v>
      </c>
      <c r="D8886" s="152" t="s">
        <v>9883</v>
      </c>
      <c r="E8886" s="152" t="s">
        <v>9973</v>
      </c>
      <c r="F8886" s="152" t="s">
        <v>448</v>
      </c>
      <c r="G8886" s="152" t="s">
        <v>9197</v>
      </c>
      <c r="H8886" s="153" t="s">
        <v>211</v>
      </c>
    </row>
    <row r="8887" hidden="1">
      <c r="A8887" s="154" t="s">
        <v>227</v>
      </c>
      <c r="B8887" s="155" t="s">
        <v>195</v>
      </c>
      <c r="C8887" s="155" t="s">
        <v>206</v>
      </c>
      <c r="D8887" s="156" t="s">
        <v>9883</v>
      </c>
      <c r="E8887" s="156" t="s">
        <v>9974</v>
      </c>
      <c r="F8887" s="156" t="s">
        <v>725</v>
      </c>
      <c r="G8887" s="156" t="s">
        <v>3472</v>
      </c>
      <c r="H8887" s="157" t="s">
        <v>212</v>
      </c>
    </row>
    <row r="8888" hidden="1">
      <c r="A8888" s="151" t="s">
        <v>227</v>
      </c>
      <c r="B8888" s="118" t="s">
        <v>195</v>
      </c>
      <c r="C8888" s="118" t="s">
        <v>206</v>
      </c>
      <c r="D8888" s="152" t="s">
        <v>9883</v>
      </c>
      <c r="E8888" s="152" t="s">
        <v>9975</v>
      </c>
      <c r="F8888" s="152" t="s">
        <v>2607</v>
      </c>
      <c r="G8888" s="152" t="s">
        <v>9976</v>
      </c>
      <c r="H8888" s="153" t="s">
        <v>213</v>
      </c>
    </row>
    <row r="8889" hidden="1">
      <c r="A8889" s="154" t="s">
        <v>227</v>
      </c>
      <c r="B8889" s="155" t="s">
        <v>195</v>
      </c>
      <c r="C8889" s="155" t="s">
        <v>206</v>
      </c>
      <c r="D8889" s="156" t="s">
        <v>9883</v>
      </c>
      <c r="E8889" s="156" t="s">
        <v>9977</v>
      </c>
      <c r="F8889" s="156" t="s">
        <v>725</v>
      </c>
      <c r="G8889" s="156" t="s">
        <v>9596</v>
      </c>
      <c r="H8889" s="157" t="s">
        <v>214</v>
      </c>
    </row>
    <row r="8890" hidden="1">
      <c r="A8890" s="151" t="s">
        <v>227</v>
      </c>
      <c r="B8890" s="118" t="s">
        <v>195</v>
      </c>
      <c r="C8890" s="118" t="s">
        <v>206</v>
      </c>
      <c r="D8890" s="152" t="s">
        <v>9883</v>
      </c>
      <c r="E8890" s="152" t="s">
        <v>9978</v>
      </c>
      <c r="F8890" s="152" t="s">
        <v>758</v>
      </c>
      <c r="G8890" s="152" t="s">
        <v>9210</v>
      </c>
      <c r="H8890" s="153" t="s">
        <v>215</v>
      </c>
    </row>
    <row r="8891" hidden="1">
      <c r="A8891" s="154" t="s">
        <v>227</v>
      </c>
      <c r="B8891" s="155" t="s">
        <v>195</v>
      </c>
      <c r="C8891" s="155" t="s">
        <v>206</v>
      </c>
      <c r="D8891" s="156" t="s">
        <v>9883</v>
      </c>
      <c r="E8891" s="156" t="s">
        <v>9979</v>
      </c>
      <c r="F8891" s="156" t="s">
        <v>3218</v>
      </c>
      <c r="G8891" s="156" t="s">
        <v>5432</v>
      </c>
      <c r="H8891" s="157" t="s">
        <v>216</v>
      </c>
    </row>
    <row r="8892" hidden="1">
      <c r="A8892" s="151" t="s">
        <v>228</v>
      </c>
      <c r="B8892" s="118" t="s">
        <v>138</v>
      </c>
      <c r="C8892" s="118" t="s">
        <v>206</v>
      </c>
      <c r="D8892" s="152" t="s">
        <v>9883</v>
      </c>
      <c r="E8892" s="152" t="s">
        <v>9980</v>
      </c>
      <c r="F8892" s="152" t="s">
        <v>228</v>
      </c>
      <c r="G8892" s="152" t="s">
        <v>5173</v>
      </c>
      <c r="H8892" s="153" t="s">
        <v>210</v>
      </c>
    </row>
    <row r="8893" hidden="1">
      <c r="A8893" s="154" t="s">
        <v>228</v>
      </c>
      <c r="B8893" s="155" t="s">
        <v>138</v>
      </c>
      <c r="C8893" s="155" t="s">
        <v>206</v>
      </c>
      <c r="D8893" s="156" t="s">
        <v>9883</v>
      </c>
      <c r="E8893" s="156" t="s">
        <v>9981</v>
      </c>
      <c r="F8893" s="156" t="s">
        <v>1999</v>
      </c>
      <c r="G8893" s="156" t="s">
        <v>9192</v>
      </c>
      <c r="H8893" s="157" t="s">
        <v>211</v>
      </c>
    </row>
    <row r="8894" hidden="1">
      <c r="A8894" s="151" t="s">
        <v>228</v>
      </c>
      <c r="B8894" s="118" t="s">
        <v>138</v>
      </c>
      <c r="C8894" s="118" t="s">
        <v>206</v>
      </c>
      <c r="D8894" s="152" t="s">
        <v>9883</v>
      </c>
      <c r="E8894" s="152" t="s">
        <v>9982</v>
      </c>
      <c r="F8894" s="152" t="s">
        <v>374</v>
      </c>
      <c r="G8894" s="152" t="s">
        <v>4582</v>
      </c>
      <c r="H8894" s="153" t="s">
        <v>212</v>
      </c>
    </row>
    <row r="8895" hidden="1">
      <c r="A8895" s="154" t="s">
        <v>228</v>
      </c>
      <c r="B8895" s="155" t="s">
        <v>138</v>
      </c>
      <c r="C8895" s="155" t="s">
        <v>206</v>
      </c>
      <c r="D8895" s="156" t="s">
        <v>9883</v>
      </c>
      <c r="E8895" s="156" t="s">
        <v>9983</v>
      </c>
      <c r="F8895" s="156" t="s">
        <v>336</v>
      </c>
      <c r="G8895" s="156" t="s">
        <v>4851</v>
      </c>
      <c r="H8895" s="157" t="s">
        <v>213</v>
      </c>
    </row>
    <row r="8896" hidden="1">
      <c r="A8896" s="151" t="s">
        <v>228</v>
      </c>
      <c r="B8896" s="118" t="s">
        <v>138</v>
      </c>
      <c r="C8896" s="118" t="s">
        <v>206</v>
      </c>
      <c r="D8896" s="152" t="s">
        <v>9883</v>
      </c>
      <c r="E8896" s="152" t="s">
        <v>9984</v>
      </c>
      <c r="F8896" s="152" t="s">
        <v>359</v>
      </c>
      <c r="G8896" s="152" t="s">
        <v>6776</v>
      </c>
      <c r="H8896" s="153" t="s">
        <v>214</v>
      </c>
    </row>
    <row r="8897" hidden="1">
      <c r="A8897" s="154" t="s">
        <v>228</v>
      </c>
      <c r="B8897" s="155" t="s">
        <v>138</v>
      </c>
      <c r="C8897" s="155" t="s">
        <v>206</v>
      </c>
      <c r="D8897" s="156" t="s">
        <v>9883</v>
      </c>
      <c r="E8897" s="156" t="s">
        <v>9985</v>
      </c>
      <c r="F8897" s="156" t="s">
        <v>336</v>
      </c>
      <c r="G8897" s="156" t="s">
        <v>5039</v>
      </c>
      <c r="H8897" s="157" t="s">
        <v>215</v>
      </c>
    </row>
    <row r="8898" hidden="1">
      <c r="A8898" s="151" t="s">
        <v>228</v>
      </c>
      <c r="B8898" s="118" t="s">
        <v>138</v>
      </c>
      <c r="C8898" s="118" t="s">
        <v>206</v>
      </c>
      <c r="D8898" s="152" t="s">
        <v>9883</v>
      </c>
      <c r="E8898" s="152" t="s">
        <v>9986</v>
      </c>
      <c r="F8898" s="152" t="s">
        <v>3240</v>
      </c>
      <c r="G8898" s="152" t="s">
        <v>9200</v>
      </c>
      <c r="H8898" s="153" t="s">
        <v>216</v>
      </c>
    </row>
    <row r="8899" hidden="1">
      <c r="A8899" s="154" t="s">
        <v>229</v>
      </c>
      <c r="B8899" s="155" t="s">
        <v>193</v>
      </c>
      <c r="C8899" s="155" t="s">
        <v>206</v>
      </c>
      <c r="D8899" s="156" t="s">
        <v>9883</v>
      </c>
      <c r="E8899" s="156" t="s">
        <v>9987</v>
      </c>
      <c r="F8899" s="156" t="s">
        <v>497</v>
      </c>
      <c r="G8899" s="156" t="s">
        <v>9988</v>
      </c>
      <c r="H8899" s="157" t="s">
        <v>210</v>
      </c>
    </row>
    <row r="8900" hidden="1">
      <c r="A8900" s="151" t="s">
        <v>229</v>
      </c>
      <c r="B8900" s="118" t="s">
        <v>193</v>
      </c>
      <c r="C8900" s="118" t="s">
        <v>206</v>
      </c>
      <c r="D8900" s="152" t="s">
        <v>9883</v>
      </c>
      <c r="E8900" s="152" t="s">
        <v>9989</v>
      </c>
      <c r="F8900" s="152" t="s">
        <v>2607</v>
      </c>
      <c r="G8900" s="152" t="s">
        <v>9990</v>
      </c>
      <c r="H8900" s="153" t="s">
        <v>211</v>
      </c>
    </row>
    <row r="8901" hidden="1">
      <c r="A8901" s="154" t="s">
        <v>229</v>
      </c>
      <c r="B8901" s="155" t="s">
        <v>193</v>
      </c>
      <c r="C8901" s="155" t="s">
        <v>206</v>
      </c>
      <c r="D8901" s="156" t="s">
        <v>9883</v>
      </c>
      <c r="E8901" s="156" t="s">
        <v>9991</v>
      </c>
      <c r="F8901" s="156" t="s">
        <v>3240</v>
      </c>
      <c r="G8901" s="156" t="s">
        <v>9992</v>
      </c>
      <c r="H8901" s="157" t="s">
        <v>212</v>
      </c>
    </row>
    <row r="8902" hidden="1">
      <c r="A8902" s="151" t="s">
        <v>229</v>
      </c>
      <c r="B8902" s="118" t="s">
        <v>193</v>
      </c>
      <c r="C8902" s="118" t="s">
        <v>206</v>
      </c>
      <c r="D8902" s="152" t="s">
        <v>9883</v>
      </c>
      <c r="E8902" s="152" t="s">
        <v>9993</v>
      </c>
      <c r="F8902" s="152" t="s">
        <v>348</v>
      </c>
      <c r="G8902" s="152" t="s">
        <v>9994</v>
      </c>
      <c r="H8902" s="153" t="s">
        <v>213</v>
      </c>
    </row>
    <row r="8903" hidden="1">
      <c r="A8903" s="154" t="s">
        <v>229</v>
      </c>
      <c r="B8903" s="155" t="s">
        <v>193</v>
      </c>
      <c r="C8903" s="155" t="s">
        <v>206</v>
      </c>
      <c r="D8903" s="156" t="s">
        <v>9883</v>
      </c>
      <c r="E8903" s="156" t="s">
        <v>9995</v>
      </c>
      <c r="F8903" s="156" t="s">
        <v>577</v>
      </c>
      <c r="G8903" s="156" t="s">
        <v>9996</v>
      </c>
      <c r="H8903" s="157" t="s">
        <v>214</v>
      </c>
    </row>
    <row r="8904" hidden="1">
      <c r="A8904" s="151" t="s">
        <v>229</v>
      </c>
      <c r="B8904" s="118" t="s">
        <v>193</v>
      </c>
      <c r="C8904" s="118" t="s">
        <v>206</v>
      </c>
      <c r="D8904" s="152" t="s">
        <v>9883</v>
      </c>
      <c r="E8904" s="152" t="s">
        <v>9997</v>
      </c>
      <c r="F8904" s="152" t="s">
        <v>2215</v>
      </c>
      <c r="G8904" s="152" t="s">
        <v>9998</v>
      </c>
      <c r="H8904" s="153" t="s">
        <v>215</v>
      </c>
    </row>
    <row r="8905" hidden="1">
      <c r="A8905" s="154" t="s">
        <v>229</v>
      </c>
      <c r="B8905" s="155" t="s">
        <v>193</v>
      </c>
      <c r="C8905" s="155" t="s">
        <v>206</v>
      </c>
      <c r="D8905" s="156" t="s">
        <v>9883</v>
      </c>
      <c r="E8905" s="156" t="s">
        <v>9999</v>
      </c>
      <c r="F8905" s="156" t="s">
        <v>3340</v>
      </c>
      <c r="G8905" s="156" t="s">
        <v>10000</v>
      </c>
      <c r="H8905" s="157" t="s">
        <v>216</v>
      </c>
    </row>
    <row r="8906" hidden="1">
      <c r="A8906" s="151" t="s">
        <v>230</v>
      </c>
      <c r="B8906" s="118" t="s">
        <v>194</v>
      </c>
      <c r="C8906" s="118" t="s">
        <v>206</v>
      </c>
      <c r="D8906" s="152" t="s">
        <v>9883</v>
      </c>
      <c r="E8906" s="152" t="s">
        <v>10001</v>
      </c>
      <c r="F8906" s="152" t="s">
        <v>448</v>
      </c>
      <c r="G8906" s="152" t="s">
        <v>10002</v>
      </c>
      <c r="H8906" s="153" t="s">
        <v>210</v>
      </c>
    </row>
    <row r="8907" hidden="1">
      <c r="A8907" s="154" t="s">
        <v>230</v>
      </c>
      <c r="B8907" s="155" t="s">
        <v>194</v>
      </c>
      <c r="C8907" s="155" t="s">
        <v>206</v>
      </c>
      <c r="D8907" s="156" t="s">
        <v>9883</v>
      </c>
      <c r="E8907" s="156" t="s">
        <v>10003</v>
      </c>
      <c r="F8907" s="156" t="s">
        <v>405</v>
      </c>
      <c r="G8907" s="156" t="s">
        <v>9873</v>
      </c>
      <c r="H8907" s="157" t="s">
        <v>211</v>
      </c>
    </row>
    <row r="8908" hidden="1">
      <c r="A8908" s="151" t="s">
        <v>230</v>
      </c>
      <c r="B8908" s="118" t="s">
        <v>194</v>
      </c>
      <c r="C8908" s="118" t="s">
        <v>206</v>
      </c>
      <c r="D8908" s="152" t="s">
        <v>9883</v>
      </c>
      <c r="E8908" s="152" t="s">
        <v>10004</v>
      </c>
      <c r="F8908" s="152" t="s">
        <v>390</v>
      </c>
      <c r="G8908" s="152" t="s">
        <v>9868</v>
      </c>
      <c r="H8908" s="153" t="s">
        <v>212</v>
      </c>
    </row>
    <row r="8909" hidden="1">
      <c r="A8909" s="154" t="s">
        <v>230</v>
      </c>
      <c r="B8909" s="155" t="s">
        <v>194</v>
      </c>
      <c r="C8909" s="155" t="s">
        <v>206</v>
      </c>
      <c r="D8909" s="156" t="s">
        <v>9883</v>
      </c>
      <c r="E8909" s="156" t="s">
        <v>10005</v>
      </c>
      <c r="F8909" s="156" t="s">
        <v>758</v>
      </c>
      <c r="G8909" s="156" t="s">
        <v>10006</v>
      </c>
      <c r="H8909" s="157" t="s">
        <v>213</v>
      </c>
    </row>
    <row r="8910" hidden="1">
      <c r="A8910" s="151" t="s">
        <v>230</v>
      </c>
      <c r="B8910" s="118" t="s">
        <v>194</v>
      </c>
      <c r="C8910" s="118" t="s">
        <v>206</v>
      </c>
      <c r="D8910" s="152" t="s">
        <v>9883</v>
      </c>
      <c r="E8910" s="152" t="s">
        <v>10007</v>
      </c>
      <c r="F8910" s="152" t="s">
        <v>448</v>
      </c>
      <c r="G8910" s="152" t="s">
        <v>10008</v>
      </c>
      <c r="H8910" s="153" t="s">
        <v>214</v>
      </c>
    </row>
    <row r="8911" hidden="1">
      <c r="A8911" s="154" t="s">
        <v>230</v>
      </c>
      <c r="B8911" s="155" t="s">
        <v>194</v>
      </c>
      <c r="C8911" s="155" t="s">
        <v>206</v>
      </c>
      <c r="D8911" s="156" t="s">
        <v>9883</v>
      </c>
      <c r="E8911" s="156" t="s">
        <v>10009</v>
      </c>
      <c r="F8911" s="156" t="s">
        <v>2407</v>
      </c>
      <c r="G8911" s="156" t="s">
        <v>10010</v>
      </c>
      <c r="H8911" s="157" t="s">
        <v>215</v>
      </c>
    </row>
    <row r="8912" hidden="1">
      <c r="A8912" s="151" t="s">
        <v>230</v>
      </c>
      <c r="B8912" s="118" t="s">
        <v>194</v>
      </c>
      <c r="C8912" s="118" t="s">
        <v>206</v>
      </c>
      <c r="D8912" s="152" t="s">
        <v>9883</v>
      </c>
      <c r="E8912" s="152" t="s">
        <v>10011</v>
      </c>
      <c r="F8912" s="152" t="s">
        <v>1530</v>
      </c>
      <c r="G8912" s="152" t="s">
        <v>10002</v>
      </c>
      <c r="H8912" s="153" t="s">
        <v>216</v>
      </c>
    </row>
    <row r="8913" hidden="1">
      <c r="A8913" s="158" t="s">
        <v>231</v>
      </c>
      <c r="B8913" s="159"/>
      <c r="C8913" s="155" t="s">
        <v>232</v>
      </c>
      <c r="D8913" s="156" t="s">
        <v>9883</v>
      </c>
      <c r="E8913" s="156" t="s">
        <v>10012</v>
      </c>
      <c r="F8913" s="156" t="s">
        <v>675</v>
      </c>
      <c r="G8913" s="156" t="s">
        <v>10013</v>
      </c>
      <c r="H8913" s="157" t="s">
        <v>210</v>
      </c>
    </row>
    <row r="8914" hidden="1">
      <c r="A8914" s="160" t="s">
        <v>231</v>
      </c>
      <c r="B8914" s="72"/>
      <c r="C8914" s="118" t="s">
        <v>232</v>
      </c>
      <c r="D8914" s="152" t="s">
        <v>9883</v>
      </c>
      <c r="E8914" s="152" t="s">
        <v>10014</v>
      </c>
      <c r="F8914" s="152" t="s">
        <v>3145</v>
      </c>
      <c r="G8914" s="152" t="s">
        <v>10015</v>
      </c>
      <c r="H8914" s="153" t="s">
        <v>211</v>
      </c>
    </row>
    <row r="8915" hidden="1">
      <c r="A8915" s="158" t="s">
        <v>231</v>
      </c>
      <c r="B8915" s="159"/>
      <c r="C8915" s="155" t="s">
        <v>232</v>
      </c>
      <c r="D8915" s="156" t="s">
        <v>9883</v>
      </c>
      <c r="E8915" s="156" t="s">
        <v>10016</v>
      </c>
      <c r="F8915" s="156" t="s">
        <v>9508</v>
      </c>
      <c r="G8915" s="156" t="s">
        <v>10017</v>
      </c>
      <c r="H8915" s="157" t="s">
        <v>212</v>
      </c>
    </row>
    <row r="8916" hidden="1">
      <c r="A8916" s="160" t="s">
        <v>231</v>
      </c>
      <c r="B8916" s="72"/>
      <c r="C8916" s="118" t="s">
        <v>232</v>
      </c>
      <c r="D8916" s="152" t="s">
        <v>9883</v>
      </c>
      <c r="E8916" s="152" t="s">
        <v>10018</v>
      </c>
      <c r="F8916" s="152" t="s">
        <v>2654</v>
      </c>
      <c r="G8916" s="152" t="s">
        <v>10019</v>
      </c>
      <c r="H8916" s="153" t="s">
        <v>213</v>
      </c>
    </row>
    <row r="8917" hidden="1">
      <c r="A8917" s="158" t="s">
        <v>231</v>
      </c>
      <c r="B8917" s="159"/>
      <c r="C8917" s="155" t="s">
        <v>232</v>
      </c>
      <c r="D8917" s="156" t="s">
        <v>9883</v>
      </c>
      <c r="E8917" s="156" t="s">
        <v>10020</v>
      </c>
      <c r="F8917" s="156" t="s">
        <v>2512</v>
      </c>
      <c r="G8917" s="156" t="s">
        <v>10021</v>
      </c>
      <c r="H8917" s="157" t="s">
        <v>214</v>
      </c>
    </row>
    <row r="8918" hidden="1">
      <c r="A8918" s="160" t="s">
        <v>231</v>
      </c>
      <c r="B8918" s="72"/>
      <c r="C8918" s="118" t="s">
        <v>232</v>
      </c>
      <c r="D8918" s="152" t="s">
        <v>9883</v>
      </c>
      <c r="E8918" s="152" t="s">
        <v>10022</v>
      </c>
      <c r="F8918" s="152" t="s">
        <v>3340</v>
      </c>
      <c r="G8918" s="152" t="s">
        <v>9744</v>
      </c>
      <c r="H8918" s="153" t="s">
        <v>215</v>
      </c>
    </row>
    <row r="8919" hidden="1">
      <c r="A8919" s="158" t="s">
        <v>231</v>
      </c>
      <c r="B8919" s="159"/>
      <c r="C8919" s="155" t="s">
        <v>232</v>
      </c>
      <c r="D8919" s="156" t="s">
        <v>9883</v>
      </c>
      <c r="E8919" s="156" t="s">
        <v>10023</v>
      </c>
      <c r="F8919" s="156" t="s">
        <v>3148</v>
      </c>
      <c r="G8919" s="156" t="s">
        <v>10024</v>
      </c>
      <c r="H8919" s="157" t="s">
        <v>216</v>
      </c>
    </row>
    <row r="8920" hidden="1">
      <c r="A8920" s="160" t="s">
        <v>233</v>
      </c>
      <c r="B8920" s="72"/>
      <c r="C8920" s="118" t="s">
        <v>232</v>
      </c>
      <c r="D8920" s="152" t="s">
        <v>9883</v>
      </c>
      <c r="E8920" s="152" t="s">
        <v>10025</v>
      </c>
      <c r="F8920" s="152" t="s">
        <v>673</v>
      </c>
      <c r="G8920" s="152" t="s">
        <v>10026</v>
      </c>
      <c r="H8920" s="153" t="s">
        <v>210</v>
      </c>
    </row>
    <row r="8921" hidden="1">
      <c r="A8921" s="158" t="s">
        <v>233</v>
      </c>
      <c r="B8921" s="159"/>
      <c r="C8921" s="155" t="s">
        <v>232</v>
      </c>
      <c r="D8921" s="156" t="s">
        <v>9883</v>
      </c>
      <c r="E8921" s="156" t="s">
        <v>10027</v>
      </c>
      <c r="F8921" s="156" t="s">
        <v>453</v>
      </c>
      <c r="G8921" s="156" t="s">
        <v>9943</v>
      </c>
      <c r="H8921" s="157" t="s">
        <v>211</v>
      </c>
    </row>
    <row r="8922" hidden="1">
      <c r="A8922" s="160" t="s">
        <v>233</v>
      </c>
      <c r="B8922" s="72"/>
      <c r="C8922" s="118" t="s">
        <v>232</v>
      </c>
      <c r="D8922" s="152" t="s">
        <v>9883</v>
      </c>
      <c r="E8922" s="152" t="s">
        <v>10028</v>
      </c>
      <c r="F8922" s="152" t="s">
        <v>677</v>
      </c>
      <c r="G8922" s="152" t="s">
        <v>9725</v>
      </c>
      <c r="H8922" s="153" t="s">
        <v>212</v>
      </c>
    </row>
    <row r="8923" hidden="1">
      <c r="A8923" s="158" t="s">
        <v>233</v>
      </c>
      <c r="B8923" s="159"/>
      <c r="C8923" s="155" t="s">
        <v>232</v>
      </c>
      <c r="D8923" s="156" t="s">
        <v>9883</v>
      </c>
      <c r="E8923" s="156" t="s">
        <v>10029</v>
      </c>
      <c r="F8923" s="156" t="s">
        <v>718</v>
      </c>
      <c r="G8923" s="156" t="s">
        <v>9945</v>
      </c>
      <c r="H8923" s="157" t="s">
        <v>213</v>
      </c>
    </row>
    <row r="8924" hidden="1">
      <c r="A8924" s="160" t="s">
        <v>233</v>
      </c>
      <c r="B8924" s="72"/>
      <c r="C8924" s="118" t="s">
        <v>232</v>
      </c>
      <c r="D8924" s="152" t="s">
        <v>9883</v>
      </c>
      <c r="E8924" s="152" t="s">
        <v>10030</v>
      </c>
      <c r="F8924" s="152" t="s">
        <v>312</v>
      </c>
      <c r="G8924" s="152" t="s">
        <v>9333</v>
      </c>
      <c r="H8924" s="153" t="s">
        <v>214</v>
      </c>
    </row>
    <row r="8925" hidden="1">
      <c r="A8925" s="158" t="s">
        <v>233</v>
      </c>
      <c r="B8925" s="159"/>
      <c r="C8925" s="155" t="s">
        <v>232</v>
      </c>
      <c r="D8925" s="156" t="s">
        <v>9883</v>
      </c>
      <c r="E8925" s="156" t="s">
        <v>10031</v>
      </c>
      <c r="F8925" s="156" t="s">
        <v>1929</v>
      </c>
      <c r="G8925" s="156" t="s">
        <v>10032</v>
      </c>
      <c r="H8925" s="157" t="s">
        <v>215</v>
      </c>
    </row>
    <row r="8926" hidden="1">
      <c r="A8926" s="160" t="s">
        <v>233</v>
      </c>
      <c r="B8926" s="72"/>
      <c r="C8926" s="118" t="s">
        <v>232</v>
      </c>
      <c r="D8926" s="152" t="s">
        <v>9883</v>
      </c>
      <c r="E8926" s="152" t="s">
        <v>10033</v>
      </c>
      <c r="F8926" s="152" t="s">
        <v>1999</v>
      </c>
      <c r="G8926" s="152" t="s">
        <v>9717</v>
      </c>
      <c r="H8926" s="153" t="s">
        <v>216</v>
      </c>
    </row>
    <row r="8927" hidden="1">
      <c r="A8927" s="158" t="s">
        <v>234</v>
      </c>
      <c r="B8927" s="159"/>
      <c r="C8927" s="155" t="s">
        <v>232</v>
      </c>
      <c r="D8927" s="156" t="s">
        <v>9883</v>
      </c>
      <c r="E8927" s="156" t="s">
        <v>10034</v>
      </c>
      <c r="F8927" s="156" t="s">
        <v>3346</v>
      </c>
      <c r="G8927" s="156" t="s">
        <v>4653</v>
      </c>
      <c r="H8927" s="157" t="s">
        <v>210</v>
      </c>
    </row>
    <row r="8928" hidden="1">
      <c r="A8928" s="160" t="s">
        <v>234</v>
      </c>
      <c r="B8928" s="72"/>
      <c r="C8928" s="118" t="s">
        <v>232</v>
      </c>
      <c r="D8928" s="152" t="s">
        <v>9883</v>
      </c>
      <c r="E8928" s="152" t="s">
        <v>10035</v>
      </c>
      <c r="F8928" s="152" t="s">
        <v>766</v>
      </c>
      <c r="G8928" s="152" t="s">
        <v>4627</v>
      </c>
      <c r="H8928" s="153" t="s">
        <v>211</v>
      </c>
    </row>
    <row r="8929" hidden="1">
      <c r="A8929" s="158" t="s">
        <v>234</v>
      </c>
      <c r="B8929" s="159"/>
      <c r="C8929" s="155" t="s">
        <v>232</v>
      </c>
      <c r="D8929" s="156" t="s">
        <v>9883</v>
      </c>
      <c r="E8929" s="156" t="s">
        <v>10036</v>
      </c>
      <c r="F8929" s="156" t="s">
        <v>3346</v>
      </c>
      <c r="G8929" s="156" t="s">
        <v>9421</v>
      </c>
      <c r="H8929" s="157" t="s">
        <v>212</v>
      </c>
    </row>
    <row r="8930" hidden="1">
      <c r="A8930" s="160" t="s">
        <v>234</v>
      </c>
      <c r="B8930" s="72"/>
      <c r="C8930" s="118" t="s">
        <v>232</v>
      </c>
      <c r="D8930" s="152" t="s">
        <v>9883</v>
      </c>
      <c r="E8930" s="152" t="s">
        <v>10037</v>
      </c>
      <c r="F8930" s="152" t="s">
        <v>3340</v>
      </c>
      <c r="G8930" s="152" t="s">
        <v>4517</v>
      </c>
      <c r="H8930" s="153" t="s">
        <v>213</v>
      </c>
    </row>
    <row r="8931" hidden="1">
      <c r="A8931" s="158" t="s">
        <v>234</v>
      </c>
      <c r="B8931" s="159"/>
      <c r="C8931" s="155" t="s">
        <v>232</v>
      </c>
      <c r="D8931" s="156" t="s">
        <v>9883</v>
      </c>
      <c r="E8931" s="156" t="s">
        <v>10038</v>
      </c>
      <c r="F8931" s="156" t="s">
        <v>766</v>
      </c>
      <c r="G8931" s="156" t="s">
        <v>4225</v>
      </c>
      <c r="H8931" s="157" t="s">
        <v>214</v>
      </c>
    </row>
    <row r="8932" hidden="1">
      <c r="A8932" s="160" t="s">
        <v>234</v>
      </c>
      <c r="B8932" s="72"/>
      <c r="C8932" s="118" t="s">
        <v>232</v>
      </c>
      <c r="D8932" s="152" t="s">
        <v>9883</v>
      </c>
      <c r="E8932" s="152" t="s">
        <v>10039</v>
      </c>
      <c r="F8932" s="152" t="s">
        <v>1929</v>
      </c>
      <c r="G8932" s="152" t="s">
        <v>3631</v>
      </c>
      <c r="H8932" s="153" t="s">
        <v>215</v>
      </c>
    </row>
    <row r="8933" hidden="1">
      <c r="A8933" s="158" t="s">
        <v>234</v>
      </c>
      <c r="B8933" s="159"/>
      <c r="C8933" s="155" t="s">
        <v>232</v>
      </c>
      <c r="D8933" s="156" t="s">
        <v>9883</v>
      </c>
      <c r="E8933" s="156" t="s">
        <v>10040</v>
      </c>
      <c r="F8933" s="156" t="s">
        <v>3340</v>
      </c>
      <c r="G8933" s="156" t="s">
        <v>3776</v>
      </c>
      <c r="H8933" s="157" t="s">
        <v>216</v>
      </c>
    </row>
    <row r="8934" hidden="1">
      <c r="A8934" s="160" t="s">
        <v>235</v>
      </c>
      <c r="B8934" s="72"/>
      <c r="C8934" s="118" t="s">
        <v>236</v>
      </c>
      <c r="D8934" s="152" t="s">
        <v>9883</v>
      </c>
      <c r="E8934" s="152" t="s">
        <v>10041</v>
      </c>
      <c r="F8934" s="152" t="s">
        <v>673</v>
      </c>
      <c r="G8934" s="152" t="s">
        <v>9509</v>
      </c>
      <c r="H8934" s="153" t="s">
        <v>210</v>
      </c>
    </row>
    <row r="8935" hidden="1">
      <c r="A8935" s="158" t="s">
        <v>235</v>
      </c>
      <c r="B8935" s="159"/>
      <c r="C8935" s="155" t="s">
        <v>236</v>
      </c>
      <c r="D8935" s="156" t="s">
        <v>9883</v>
      </c>
      <c r="E8935" s="156" t="s">
        <v>10042</v>
      </c>
      <c r="F8935" s="156" t="s">
        <v>735</v>
      </c>
      <c r="G8935" s="156" t="s">
        <v>10043</v>
      </c>
      <c r="H8935" s="157" t="s">
        <v>211</v>
      </c>
    </row>
    <row r="8936" hidden="1">
      <c r="A8936" s="160" t="s">
        <v>235</v>
      </c>
      <c r="B8936" s="72"/>
      <c r="C8936" s="118" t="s">
        <v>236</v>
      </c>
      <c r="D8936" s="152" t="s">
        <v>9883</v>
      </c>
      <c r="E8936" s="152" t="s">
        <v>10044</v>
      </c>
      <c r="F8936" s="152" t="s">
        <v>1530</v>
      </c>
      <c r="G8936" s="152" t="s">
        <v>10045</v>
      </c>
      <c r="H8936" s="153" t="s">
        <v>212</v>
      </c>
    </row>
    <row r="8937" hidden="1">
      <c r="A8937" s="158" t="s">
        <v>235</v>
      </c>
      <c r="B8937" s="159"/>
      <c r="C8937" s="155" t="s">
        <v>236</v>
      </c>
      <c r="D8937" s="156" t="s">
        <v>9883</v>
      </c>
      <c r="E8937" s="156" t="s">
        <v>10046</v>
      </c>
      <c r="F8937" s="156" t="s">
        <v>673</v>
      </c>
      <c r="G8937" s="156" t="s">
        <v>10047</v>
      </c>
      <c r="H8937" s="157" t="s">
        <v>213</v>
      </c>
    </row>
    <row r="8938" hidden="1">
      <c r="A8938" s="160" t="s">
        <v>235</v>
      </c>
      <c r="B8938" s="72"/>
      <c r="C8938" s="118" t="s">
        <v>236</v>
      </c>
      <c r="D8938" s="152" t="s">
        <v>9883</v>
      </c>
      <c r="E8938" s="152" t="s">
        <v>10048</v>
      </c>
      <c r="F8938" s="152" t="s">
        <v>735</v>
      </c>
      <c r="G8938" s="152" t="s">
        <v>10049</v>
      </c>
      <c r="H8938" s="153" t="s">
        <v>214</v>
      </c>
    </row>
    <row r="8939" hidden="1">
      <c r="A8939" s="158" t="s">
        <v>235</v>
      </c>
      <c r="B8939" s="159"/>
      <c r="C8939" s="155" t="s">
        <v>236</v>
      </c>
      <c r="D8939" s="156" t="s">
        <v>9883</v>
      </c>
      <c r="E8939" s="156" t="s">
        <v>10050</v>
      </c>
      <c r="F8939" s="156" t="s">
        <v>1929</v>
      </c>
      <c r="G8939" s="156" t="s">
        <v>10051</v>
      </c>
      <c r="H8939" s="157" t="s">
        <v>215</v>
      </c>
    </row>
    <row r="8940" hidden="1">
      <c r="A8940" s="160" t="s">
        <v>235</v>
      </c>
      <c r="B8940" s="72"/>
      <c r="C8940" s="118" t="s">
        <v>236</v>
      </c>
      <c r="D8940" s="152" t="s">
        <v>9883</v>
      </c>
      <c r="E8940" s="152" t="s">
        <v>10052</v>
      </c>
      <c r="F8940" s="152" t="s">
        <v>735</v>
      </c>
      <c r="G8940" s="152" t="s">
        <v>10053</v>
      </c>
      <c r="H8940" s="153" t="s">
        <v>216</v>
      </c>
    </row>
    <row r="8941" hidden="1">
      <c r="A8941" s="158" t="s">
        <v>237</v>
      </c>
      <c r="B8941" s="159"/>
      <c r="C8941" s="155" t="s">
        <v>236</v>
      </c>
      <c r="D8941" s="156" t="s">
        <v>9883</v>
      </c>
      <c r="E8941" s="156" t="s">
        <v>10054</v>
      </c>
      <c r="F8941" s="156" t="s">
        <v>497</v>
      </c>
      <c r="G8941" s="156" t="s">
        <v>3603</v>
      </c>
      <c r="H8941" s="157" t="s">
        <v>210</v>
      </c>
    </row>
    <row r="8942" hidden="1">
      <c r="A8942" s="160" t="s">
        <v>237</v>
      </c>
      <c r="B8942" s="72"/>
      <c r="C8942" s="118" t="s">
        <v>236</v>
      </c>
      <c r="D8942" s="152" t="s">
        <v>9883</v>
      </c>
      <c r="E8942" s="152" t="s">
        <v>10055</v>
      </c>
      <c r="F8942" s="152" t="s">
        <v>766</v>
      </c>
      <c r="G8942" s="152" t="s">
        <v>5037</v>
      </c>
      <c r="H8942" s="153" t="s">
        <v>211</v>
      </c>
    </row>
    <row r="8943" hidden="1">
      <c r="A8943" s="158" t="s">
        <v>237</v>
      </c>
      <c r="B8943" s="159"/>
      <c r="C8943" s="155" t="s">
        <v>236</v>
      </c>
      <c r="D8943" s="156" t="s">
        <v>9883</v>
      </c>
      <c r="E8943" s="156" t="s">
        <v>10056</v>
      </c>
      <c r="F8943" s="156" t="s">
        <v>758</v>
      </c>
      <c r="G8943" s="156" t="s">
        <v>10057</v>
      </c>
      <c r="H8943" s="157" t="s">
        <v>212</v>
      </c>
    </row>
    <row r="8944" hidden="1">
      <c r="A8944" s="160" t="s">
        <v>237</v>
      </c>
      <c r="B8944" s="72"/>
      <c r="C8944" s="118" t="s">
        <v>236</v>
      </c>
      <c r="D8944" s="152" t="s">
        <v>9883</v>
      </c>
      <c r="E8944" s="152" t="s">
        <v>10058</v>
      </c>
      <c r="F8944" s="152" t="s">
        <v>2228</v>
      </c>
      <c r="G8944" s="152" t="s">
        <v>9357</v>
      </c>
      <c r="H8944" s="153" t="s">
        <v>213</v>
      </c>
    </row>
    <row r="8945" hidden="1">
      <c r="A8945" s="158" t="s">
        <v>237</v>
      </c>
      <c r="B8945" s="159"/>
      <c r="C8945" s="155" t="s">
        <v>236</v>
      </c>
      <c r="D8945" s="156" t="s">
        <v>9883</v>
      </c>
      <c r="E8945" s="156" t="s">
        <v>10059</v>
      </c>
      <c r="F8945" s="156" t="s">
        <v>390</v>
      </c>
      <c r="G8945" s="156" t="s">
        <v>9598</v>
      </c>
      <c r="H8945" s="157" t="s">
        <v>214</v>
      </c>
    </row>
    <row r="8946" hidden="1">
      <c r="A8946" s="160" t="s">
        <v>237</v>
      </c>
      <c r="B8946" s="72"/>
      <c r="C8946" s="118" t="s">
        <v>236</v>
      </c>
      <c r="D8946" s="152" t="s">
        <v>9883</v>
      </c>
      <c r="E8946" s="152" t="s">
        <v>10060</v>
      </c>
      <c r="F8946" s="152" t="s">
        <v>758</v>
      </c>
      <c r="G8946" s="152" t="s">
        <v>4521</v>
      </c>
      <c r="H8946" s="153" t="s">
        <v>215</v>
      </c>
    </row>
    <row r="8947" hidden="1">
      <c r="A8947" s="158" t="s">
        <v>237</v>
      </c>
      <c r="B8947" s="159"/>
      <c r="C8947" s="155" t="s">
        <v>236</v>
      </c>
      <c r="D8947" s="156" t="s">
        <v>9883</v>
      </c>
      <c r="E8947" s="156" t="s">
        <v>10061</v>
      </c>
      <c r="F8947" s="156" t="s">
        <v>3340</v>
      </c>
      <c r="G8947" s="156" t="s">
        <v>5173</v>
      </c>
      <c r="H8947" s="157" t="s">
        <v>216</v>
      </c>
    </row>
    <row r="8948" hidden="1">
      <c r="A8948" s="151" t="s">
        <v>204</v>
      </c>
      <c r="B8948" s="118" t="s">
        <v>205</v>
      </c>
      <c r="C8948" s="118" t="s">
        <v>206</v>
      </c>
      <c r="D8948" s="152" t="s">
        <v>10062</v>
      </c>
      <c r="E8948" s="152" t="s">
        <v>10063</v>
      </c>
      <c r="F8948" s="152" t="s">
        <v>423</v>
      </c>
      <c r="G8948" s="152" t="s">
        <v>10064</v>
      </c>
      <c r="H8948" s="153" t="s">
        <v>210</v>
      </c>
    </row>
    <row r="8949" hidden="1">
      <c r="A8949" s="154" t="s">
        <v>204</v>
      </c>
      <c r="B8949" s="155" t="s">
        <v>205</v>
      </c>
      <c r="C8949" s="155" t="s">
        <v>206</v>
      </c>
      <c r="D8949" s="156" t="s">
        <v>10062</v>
      </c>
      <c r="E8949" s="156" t="s">
        <v>10065</v>
      </c>
      <c r="F8949" s="156" t="s">
        <v>677</v>
      </c>
      <c r="G8949" s="156" t="s">
        <v>9417</v>
      </c>
      <c r="H8949" s="157" t="s">
        <v>211</v>
      </c>
    </row>
    <row r="8950" hidden="1">
      <c r="A8950" s="151" t="s">
        <v>204</v>
      </c>
      <c r="B8950" s="118" t="s">
        <v>205</v>
      </c>
      <c r="C8950" s="118" t="s">
        <v>206</v>
      </c>
      <c r="D8950" s="152" t="s">
        <v>10062</v>
      </c>
      <c r="E8950" s="152" t="s">
        <v>10066</v>
      </c>
      <c r="F8950" s="152" t="s">
        <v>725</v>
      </c>
      <c r="G8950" s="152" t="s">
        <v>10067</v>
      </c>
      <c r="H8950" s="153" t="s">
        <v>212</v>
      </c>
    </row>
    <row r="8951" hidden="1">
      <c r="A8951" s="154" t="s">
        <v>204</v>
      </c>
      <c r="B8951" s="155" t="s">
        <v>205</v>
      </c>
      <c r="C8951" s="155" t="s">
        <v>206</v>
      </c>
      <c r="D8951" s="156" t="s">
        <v>10062</v>
      </c>
      <c r="E8951" s="156" t="s">
        <v>10068</v>
      </c>
      <c r="F8951" s="156" t="s">
        <v>478</v>
      </c>
      <c r="G8951" s="156" t="s">
        <v>10069</v>
      </c>
      <c r="H8951" s="157" t="s">
        <v>213</v>
      </c>
    </row>
    <row r="8952" hidden="1">
      <c r="A8952" s="151" t="s">
        <v>204</v>
      </c>
      <c r="B8952" s="118" t="s">
        <v>205</v>
      </c>
      <c r="C8952" s="118" t="s">
        <v>206</v>
      </c>
      <c r="D8952" s="152" t="s">
        <v>10062</v>
      </c>
      <c r="E8952" s="152" t="s">
        <v>10070</v>
      </c>
      <c r="F8952" s="152" t="s">
        <v>677</v>
      </c>
      <c r="G8952" s="152" t="s">
        <v>10071</v>
      </c>
      <c r="H8952" s="153" t="s">
        <v>214</v>
      </c>
    </row>
    <row r="8953" hidden="1">
      <c r="A8953" s="154" t="s">
        <v>204</v>
      </c>
      <c r="B8953" s="155" t="s">
        <v>205</v>
      </c>
      <c r="C8953" s="155" t="s">
        <v>206</v>
      </c>
      <c r="D8953" s="156" t="s">
        <v>10062</v>
      </c>
      <c r="E8953" s="156" t="s">
        <v>10072</v>
      </c>
      <c r="F8953" s="156" t="s">
        <v>677</v>
      </c>
      <c r="G8953" s="156" t="s">
        <v>9509</v>
      </c>
      <c r="H8953" s="157" t="s">
        <v>215</v>
      </c>
    </row>
    <row r="8954" hidden="1">
      <c r="A8954" s="151" t="s">
        <v>204</v>
      </c>
      <c r="B8954" s="118" t="s">
        <v>205</v>
      </c>
      <c r="C8954" s="118" t="s">
        <v>206</v>
      </c>
      <c r="D8954" s="152" t="s">
        <v>10062</v>
      </c>
      <c r="E8954" s="152" t="s">
        <v>10073</v>
      </c>
      <c r="F8954" s="152" t="s">
        <v>677</v>
      </c>
      <c r="G8954" s="152" t="s">
        <v>9888</v>
      </c>
      <c r="H8954" s="153" t="s">
        <v>216</v>
      </c>
    </row>
    <row r="8955" hidden="1">
      <c r="A8955" s="154" t="s">
        <v>217</v>
      </c>
      <c r="B8955" s="155" t="s">
        <v>191</v>
      </c>
      <c r="C8955" s="155" t="s">
        <v>206</v>
      </c>
      <c r="D8955" s="156" t="s">
        <v>10062</v>
      </c>
      <c r="E8955" s="156" t="s">
        <v>10074</v>
      </c>
      <c r="F8955" s="156" t="s">
        <v>310</v>
      </c>
      <c r="G8955" s="156" t="s">
        <v>10075</v>
      </c>
      <c r="H8955" s="157" t="s">
        <v>210</v>
      </c>
    </row>
    <row r="8956" hidden="1">
      <c r="A8956" s="151" t="s">
        <v>217</v>
      </c>
      <c r="B8956" s="118" t="s">
        <v>191</v>
      </c>
      <c r="C8956" s="118" t="s">
        <v>206</v>
      </c>
      <c r="D8956" s="152" t="s">
        <v>10062</v>
      </c>
      <c r="E8956" s="152" t="s">
        <v>10076</v>
      </c>
      <c r="F8956" s="152" t="s">
        <v>425</v>
      </c>
      <c r="G8956" s="152" t="s">
        <v>10077</v>
      </c>
      <c r="H8956" s="153" t="s">
        <v>211</v>
      </c>
    </row>
    <row r="8957" hidden="1">
      <c r="A8957" s="154" t="s">
        <v>217</v>
      </c>
      <c r="B8957" s="155" t="s">
        <v>191</v>
      </c>
      <c r="C8957" s="155" t="s">
        <v>206</v>
      </c>
      <c r="D8957" s="156" t="s">
        <v>10062</v>
      </c>
      <c r="E8957" s="156" t="s">
        <v>10078</v>
      </c>
      <c r="F8957" s="156" t="s">
        <v>336</v>
      </c>
      <c r="G8957" s="156" t="s">
        <v>10079</v>
      </c>
      <c r="H8957" s="157" t="s">
        <v>212</v>
      </c>
    </row>
    <row r="8958" hidden="1">
      <c r="A8958" s="151" t="s">
        <v>217</v>
      </c>
      <c r="B8958" s="118" t="s">
        <v>191</v>
      </c>
      <c r="C8958" s="118" t="s">
        <v>206</v>
      </c>
      <c r="D8958" s="152" t="s">
        <v>10062</v>
      </c>
      <c r="E8958" s="152" t="s">
        <v>10080</v>
      </c>
      <c r="F8958" s="152" t="s">
        <v>425</v>
      </c>
      <c r="G8958" s="152" t="s">
        <v>9888</v>
      </c>
      <c r="H8958" s="153" t="s">
        <v>213</v>
      </c>
    </row>
    <row r="8959" hidden="1">
      <c r="A8959" s="154" t="s">
        <v>217</v>
      </c>
      <c r="B8959" s="155" t="s">
        <v>191</v>
      </c>
      <c r="C8959" s="155" t="s">
        <v>206</v>
      </c>
      <c r="D8959" s="156" t="s">
        <v>10062</v>
      </c>
      <c r="E8959" s="156" t="s">
        <v>10081</v>
      </c>
      <c r="F8959" s="156" t="s">
        <v>336</v>
      </c>
      <c r="G8959" s="156" t="s">
        <v>10082</v>
      </c>
      <c r="H8959" s="157" t="s">
        <v>214</v>
      </c>
    </row>
    <row r="8960" hidden="1">
      <c r="A8960" s="151" t="s">
        <v>217</v>
      </c>
      <c r="B8960" s="118" t="s">
        <v>191</v>
      </c>
      <c r="C8960" s="118" t="s">
        <v>206</v>
      </c>
      <c r="D8960" s="152" t="s">
        <v>10062</v>
      </c>
      <c r="E8960" s="152" t="s">
        <v>10083</v>
      </c>
      <c r="F8960" s="152" t="s">
        <v>425</v>
      </c>
      <c r="G8960" s="152" t="s">
        <v>9425</v>
      </c>
      <c r="H8960" s="153" t="s">
        <v>215</v>
      </c>
    </row>
    <row r="8961" hidden="1">
      <c r="A8961" s="154" t="s">
        <v>217</v>
      </c>
      <c r="B8961" s="155" t="s">
        <v>191</v>
      </c>
      <c r="C8961" s="155" t="s">
        <v>206</v>
      </c>
      <c r="D8961" s="156" t="s">
        <v>10062</v>
      </c>
      <c r="E8961" s="156" t="s">
        <v>10084</v>
      </c>
      <c r="F8961" s="156" t="s">
        <v>427</v>
      </c>
      <c r="G8961" s="156" t="s">
        <v>9502</v>
      </c>
      <c r="H8961" s="157" t="s">
        <v>216</v>
      </c>
    </row>
    <row r="8962" hidden="1">
      <c r="A8962" s="151" t="s">
        <v>218</v>
      </c>
      <c r="B8962" s="118" t="s">
        <v>219</v>
      </c>
      <c r="C8962" s="118" t="s">
        <v>206</v>
      </c>
      <c r="D8962" s="152" t="s">
        <v>10062</v>
      </c>
      <c r="E8962" s="152" t="s">
        <v>10085</v>
      </c>
      <c r="F8962" s="152" t="s">
        <v>405</v>
      </c>
      <c r="G8962" s="152" t="s">
        <v>9868</v>
      </c>
      <c r="H8962" s="153" t="s">
        <v>210</v>
      </c>
    </row>
    <row r="8963" hidden="1">
      <c r="A8963" s="154" t="s">
        <v>218</v>
      </c>
      <c r="B8963" s="155" t="s">
        <v>219</v>
      </c>
      <c r="C8963" s="155" t="s">
        <v>206</v>
      </c>
      <c r="D8963" s="156" t="s">
        <v>10062</v>
      </c>
      <c r="E8963" s="156" t="s">
        <v>10086</v>
      </c>
      <c r="F8963" s="156" t="s">
        <v>3240</v>
      </c>
      <c r="G8963" s="156" t="s">
        <v>10087</v>
      </c>
      <c r="H8963" s="157" t="s">
        <v>211</v>
      </c>
    </row>
    <row r="8964" hidden="1">
      <c r="A8964" s="151" t="s">
        <v>218</v>
      </c>
      <c r="B8964" s="118" t="s">
        <v>219</v>
      </c>
      <c r="C8964" s="118" t="s">
        <v>206</v>
      </c>
      <c r="D8964" s="152" t="s">
        <v>10062</v>
      </c>
      <c r="E8964" s="152" t="s">
        <v>10088</v>
      </c>
      <c r="F8964" s="152" t="s">
        <v>763</v>
      </c>
      <c r="G8964" s="152" t="s">
        <v>10045</v>
      </c>
      <c r="H8964" s="153" t="s">
        <v>212</v>
      </c>
    </row>
    <row r="8965" hidden="1">
      <c r="A8965" s="154" t="s">
        <v>218</v>
      </c>
      <c r="B8965" s="155" t="s">
        <v>219</v>
      </c>
      <c r="C8965" s="155" t="s">
        <v>206</v>
      </c>
      <c r="D8965" s="156" t="s">
        <v>10062</v>
      </c>
      <c r="E8965" s="156" t="s">
        <v>10089</v>
      </c>
      <c r="F8965" s="156" t="s">
        <v>390</v>
      </c>
      <c r="G8965" s="156" t="s">
        <v>10032</v>
      </c>
      <c r="H8965" s="157" t="s">
        <v>213</v>
      </c>
    </row>
    <row r="8966" hidden="1">
      <c r="A8966" s="151" t="s">
        <v>218</v>
      </c>
      <c r="B8966" s="118" t="s">
        <v>219</v>
      </c>
      <c r="C8966" s="118" t="s">
        <v>206</v>
      </c>
      <c r="D8966" s="152" t="s">
        <v>10062</v>
      </c>
      <c r="E8966" s="152" t="s">
        <v>10090</v>
      </c>
      <c r="F8966" s="152" t="s">
        <v>629</v>
      </c>
      <c r="G8966" s="152" t="s">
        <v>10091</v>
      </c>
      <c r="H8966" s="153" t="s">
        <v>214</v>
      </c>
    </row>
    <row r="8967" hidden="1">
      <c r="A8967" s="154" t="s">
        <v>218</v>
      </c>
      <c r="B8967" s="155" t="s">
        <v>219</v>
      </c>
      <c r="C8967" s="155" t="s">
        <v>206</v>
      </c>
      <c r="D8967" s="156" t="s">
        <v>10062</v>
      </c>
      <c r="E8967" s="156" t="s">
        <v>10092</v>
      </c>
      <c r="F8967" s="156" t="s">
        <v>1929</v>
      </c>
      <c r="G8967" s="156" t="s">
        <v>9943</v>
      </c>
      <c r="H8967" s="157" t="s">
        <v>215</v>
      </c>
    </row>
    <row r="8968" hidden="1">
      <c r="A8968" s="151" t="s">
        <v>218</v>
      </c>
      <c r="B8968" s="118" t="s">
        <v>219</v>
      </c>
      <c r="C8968" s="118" t="s">
        <v>206</v>
      </c>
      <c r="D8968" s="152" t="s">
        <v>10062</v>
      </c>
      <c r="E8968" s="152" t="s">
        <v>10093</v>
      </c>
      <c r="F8968" s="152" t="s">
        <v>2994</v>
      </c>
      <c r="G8968" s="152" t="s">
        <v>10094</v>
      </c>
      <c r="H8968" s="153" t="s">
        <v>216</v>
      </c>
    </row>
    <row r="8969" hidden="1">
      <c r="A8969" s="154" t="s">
        <v>220</v>
      </c>
      <c r="B8969" s="155" t="s">
        <v>190</v>
      </c>
      <c r="C8969" s="155" t="s">
        <v>206</v>
      </c>
      <c r="D8969" s="156" t="s">
        <v>10062</v>
      </c>
      <c r="E8969" s="156" t="s">
        <v>10095</v>
      </c>
      <c r="F8969" s="156" t="s">
        <v>329</v>
      </c>
      <c r="G8969" s="156" t="s">
        <v>10024</v>
      </c>
      <c r="H8969" s="157" t="s">
        <v>210</v>
      </c>
    </row>
    <row r="8970" hidden="1">
      <c r="A8970" s="151" t="s">
        <v>220</v>
      </c>
      <c r="B8970" s="118" t="s">
        <v>190</v>
      </c>
      <c r="C8970" s="118" t="s">
        <v>206</v>
      </c>
      <c r="D8970" s="152" t="s">
        <v>10062</v>
      </c>
      <c r="E8970" s="152" t="s">
        <v>10096</v>
      </c>
      <c r="F8970" s="152" t="s">
        <v>677</v>
      </c>
      <c r="G8970" s="152" t="s">
        <v>10097</v>
      </c>
      <c r="H8970" s="153" t="s">
        <v>211</v>
      </c>
    </row>
    <row r="8971" hidden="1">
      <c r="A8971" s="154" t="s">
        <v>220</v>
      </c>
      <c r="B8971" s="155" t="s">
        <v>190</v>
      </c>
      <c r="C8971" s="155" t="s">
        <v>206</v>
      </c>
      <c r="D8971" s="156" t="s">
        <v>10062</v>
      </c>
      <c r="E8971" s="156" t="s">
        <v>10098</v>
      </c>
      <c r="F8971" s="156" t="s">
        <v>325</v>
      </c>
      <c r="G8971" s="156" t="s">
        <v>9740</v>
      </c>
      <c r="H8971" s="157" t="s">
        <v>212</v>
      </c>
    </row>
    <row r="8972" hidden="1">
      <c r="A8972" s="151" t="s">
        <v>220</v>
      </c>
      <c r="B8972" s="118" t="s">
        <v>190</v>
      </c>
      <c r="C8972" s="118" t="s">
        <v>206</v>
      </c>
      <c r="D8972" s="152" t="s">
        <v>10062</v>
      </c>
      <c r="E8972" s="152" t="s">
        <v>10099</v>
      </c>
      <c r="F8972" s="152" t="s">
        <v>312</v>
      </c>
      <c r="G8972" s="152" t="s">
        <v>10100</v>
      </c>
      <c r="H8972" s="153" t="s">
        <v>213</v>
      </c>
    </row>
    <row r="8973" hidden="1">
      <c r="A8973" s="154" t="s">
        <v>220</v>
      </c>
      <c r="B8973" s="155" t="s">
        <v>190</v>
      </c>
      <c r="C8973" s="155" t="s">
        <v>206</v>
      </c>
      <c r="D8973" s="156" t="s">
        <v>10062</v>
      </c>
      <c r="E8973" s="156" t="s">
        <v>10101</v>
      </c>
      <c r="F8973" s="156" t="s">
        <v>725</v>
      </c>
      <c r="G8973" s="156" t="s">
        <v>10102</v>
      </c>
      <c r="H8973" s="157" t="s">
        <v>214</v>
      </c>
    </row>
    <row r="8974" hidden="1">
      <c r="A8974" s="151" t="s">
        <v>220</v>
      </c>
      <c r="B8974" s="118" t="s">
        <v>190</v>
      </c>
      <c r="C8974" s="118" t="s">
        <v>206</v>
      </c>
      <c r="D8974" s="152" t="s">
        <v>10062</v>
      </c>
      <c r="E8974" s="152" t="s">
        <v>10103</v>
      </c>
      <c r="F8974" s="152" t="s">
        <v>532</v>
      </c>
      <c r="G8974" s="152" t="s">
        <v>10104</v>
      </c>
      <c r="H8974" s="153" t="s">
        <v>215</v>
      </c>
    </row>
    <row r="8975" hidden="1">
      <c r="A8975" s="154" t="s">
        <v>220</v>
      </c>
      <c r="B8975" s="155" t="s">
        <v>190</v>
      </c>
      <c r="C8975" s="155" t="s">
        <v>206</v>
      </c>
      <c r="D8975" s="156" t="s">
        <v>10062</v>
      </c>
      <c r="E8975" s="156" t="s">
        <v>10105</v>
      </c>
      <c r="F8975" s="156" t="s">
        <v>725</v>
      </c>
      <c r="G8975" s="156" t="s">
        <v>9918</v>
      </c>
      <c r="H8975" s="157" t="s">
        <v>216</v>
      </c>
    </row>
    <row r="8976" hidden="1">
      <c r="A8976" s="151" t="s">
        <v>221</v>
      </c>
      <c r="B8976" s="118" t="s">
        <v>189</v>
      </c>
      <c r="C8976" s="118" t="s">
        <v>206</v>
      </c>
      <c r="D8976" s="152" t="s">
        <v>10062</v>
      </c>
      <c r="E8976" s="152" t="s">
        <v>10106</v>
      </c>
      <c r="F8976" s="152" t="s">
        <v>2654</v>
      </c>
      <c r="G8976" s="152" t="s">
        <v>3436</v>
      </c>
      <c r="H8976" s="153" t="s">
        <v>210</v>
      </c>
    </row>
    <row r="8977" hidden="1">
      <c r="A8977" s="154" t="s">
        <v>221</v>
      </c>
      <c r="B8977" s="155" t="s">
        <v>189</v>
      </c>
      <c r="C8977" s="155" t="s">
        <v>206</v>
      </c>
      <c r="D8977" s="156" t="s">
        <v>10062</v>
      </c>
      <c r="E8977" s="156" t="s">
        <v>10107</v>
      </c>
      <c r="F8977" s="156" t="s">
        <v>2215</v>
      </c>
      <c r="G8977" s="156" t="s">
        <v>3430</v>
      </c>
      <c r="H8977" s="157" t="s">
        <v>211</v>
      </c>
    </row>
    <row r="8978" hidden="1">
      <c r="A8978" s="151" t="s">
        <v>221</v>
      </c>
      <c r="B8978" s="118" t="s">
        <v>189</v>
      </c>
      <c r="C8978" s="118" t="s">
        <v>206</v>
      </c>
      <c r="D8978" s="152" t="s">
        <v>10062</v>
      </c>
      <c r="E8978" s="152" t="s">
        <v>10108</v>
      </c>
      <c r="F8978" s="152" t="s">
        <v>348</v>
      </c>
      <c r="G8978" s="152" t="s">
        <v>10109</v>
      </c>
      <c r="H8978" s="153" t="s">
        <v>212</v>
      </c>
    </row>
    <row r="8979" hidden="1">
      <c r="A8979" s="154" t="s">
        <v>221</v>
      </c>
      <c r="B8979" s="155" t="s">
        <v>189</v>
      </c>
      <c r="C8979" s="155" t="s">
        <v>206</v>
      </c>
      <c r="D8979" s="156" t="s">
        <v>10062</v>
      </c>
      <c r="E8979" s="156" t="s">
        <v>10110</v>
      </c>
      <c r="F8979" s="156" t="s">
        <v>735</v>
      </c>
      <c r="G8979" s="156" t="s">
        <v>9278</v>
      </c>
      <c r="H8979" s="157" t="s">
        <v>213</v>
      </c>
    </row>
    <row r="8980" hidden="1">
      <c r="A8980" s="151" t="s">
        <v>221</v>
      </c>
      <c r="B8980" s="118" t="s">
        <v>189</v>
      </c>
      <c r="C8980" s="118" t="s">
        <v>206</v>
      </c>
      <c r="D8980" s="152" t="s">
        <v>10062</v>
      </c>
      <c r="E8980" s="152" t="s">
        <v>10111</v>
      </c>
      <c r="F8980" s="152" t="s">
        <v>494</v>
      </c>
      <c r="G8980" s="152" t="s">
        <v>3304</v>
      </c>
      <c r="H8980" s="153" t="s">
        <v>214</v>
      </c>
    </row>
    <row r="8981" hidden="1">
      <c r="A8981" s="154" t="s">
        <v>221</v>
      </c>
      <c r="B8981" s="155" t="s">
        <v>189</v>
      </c>
      <c r="C8981" s="155" t="s">
        <v>206</v>
      </c>
      <c r="D8981" s="156" t="s">
        <v>10062</v>
      </c>
      <c r="E8981" s="156" t="s">
        <v>10112</v>
      </c>
      <c r="F8981" s="156" t="s">
        <v>390</v>
      </c>
      <c r="G8981" s="156" t="s">
        <v>3434</v>
      </c>
      <c r="H8981" s="157" t="s">
        <v>215</v>
      </c>
    </row>
    <row r="8982" hidden="1">
      <c r="A8982" s="151" t="s">
        <v>221</v>
      </c>
      <c r="B8982" s="118" t="s">
        <v>189</v>
      </c>
      <c r="C8982" s="118" t="s">
        <v>206</v>
      </c>
      <c r="D8982" s="152" t="s">
        <v>10062</v>
      </c>
      <c r="E8982" s="152" t="s">
        <v>10113</v>
      </c>
      <c r="F8982" s="152" t="s">
        <v>675</v>
      </c>
      <c r="G8982" s="152" t="s">
        <v>5303</v>
      </c>
      <c r="H8982" s="153" t="s">
        <v>216</v>
      </c>
    </row>
    <row r="8983" hidden="1">
      <c r="A8983" s="154" t="s">
        <v>222</v>
      </c>
      <c r="B8983" s="155" t="s">
        <v>192</v>
      </c>
      <c r="C8983" s="155" t="s">
        <v>206</v>
      </c>
      <c r="D8983" s="156" t="s">
        <v>10062</v>
      </c>
      <c r="E8983" s="156" t="s">
        <v>10114</v>
      </c>
      <c r="F8983" s="156" t="s">
        <v>3218</v>
      </c>
      <c r="G8983" s="156" t="s">
        <v>10115</v>
      </c>
      <c r="H8983" s="157" t="s">
        <v>210</v>
      </c>
    </row>
    <row r="8984" hidden="1">
      <c r="A8984" s="151" t="s">
        <v>222</v>
      </c>
      <c r="B8984" s="118" t="s">
        <v>192</v>
      </c>
      <c r="C8984" s="118" t="s">
        <v>206</v>
      </c>
      <c r="D8984" s="152" t="s">
        <v>10062</v>
      </c>
      <c r="E8984" s="152" t="s">
        <v>10116</v>
      </c>
      <c r="F8984" s="152" t="s">
        <v>1999</v>
      </c>
      <c r="G8984" s="152" t="s">
        <v>10117</v>
      </c>
      <c r="H8984" s="153" t="s">
        <v>211</v>
      </c>
    </row>
    <row r="8985" hidden="1">
      <c r="A8985" s="154" t="s">
        <v>222</v>
      </c>
      <c r="B8985" s="155" t="s">
        <v>192</v>
      </c>
      <c r="C8985" s="155" t="s">
        <v>206</v>
      </c>
      <c r="D8985" s="156" t="s">
        <v>10062</v>
      </c>
      <c r="E8985" s="156" t="s">
        <v>10118</v>
      </c>
      <c r="F8985" s="156" t="s">
        <v>677</v>
      </c>
      <c r="G8985" s="156" t="s">
        <v>9941</v>
      </c>
      <c r="H8985" s="157" t="s">
        <v>212</v>
      </c>
    </row>
    <row r="8986" hidden="1">
      <c r="A8986" s="151" t="s">
        <v>222</v>
      </c>
      <c r="B8986" s="118" t="s">
        <v>192</v>
      </c>
      <c r="C8986" s="118" t="s">
        <v>206</v>
      </c>
      <c r="D8986" s="152" t="s">
        <v>10062</v>
      </c>
      <c r="E8986" s="152" t="s">
        <v>10119</v>
      </c>
      <c r="F8986" s="152" t="s">
        <v>478</v>
      </c>
      <c r="G8986" s="152" t="s">
        <v>10087</v>
      </c>
      <c r="H8986" s="153" t="s">
        <v>213</v>
      </c>
    </row>
    <row r="8987" hidden="1">
      <c r="A8987" s="154" t="s">
        <v>222</v>
      </c>
      <c r="B8987" s="155" t="s">
        <v>192</v>
      </c>
      <c r="C8987" s="155" t="s">
        <v>206</v>
      </c>
      <c r="D8987" s="156" t="s">
        <v>10062</v>
      </c>
      <c r="E8987" s="156" t="s">
        <v>10120</v>
      </c>
      <c r="F8987" s="156" t="s">
        <v>532</v>
      </c>
      <c r="G8987" s="156" t="s">
        <v>10121</v>
      </c>
      <c r="H8987" s="157" t="s">
        <v>214</v>
      </c>
    </row>
    <row r="8988" hidden="1">
      <c r="A8988" s="151" t="s">
        <v>222</v>
      </c>
      <c r="B8988" s="118" t="s">
        <v>192</v>
      </c>
      <c r="C8988" s="118" t="s">
        <v>206</v>
      </c>
      <c r="D8988" s="152" t="s">
        <v>10062</v>
      </c>
      <c r="E8988" s="152" t="s">
        <v>10122</v>
      </c>
      <c r="F8988" s="152" t="s">
        <v>453</v>
      </c>
      <c r="G8988" s="152" t="s">
        <v>9723</v>
      </c>
      <c r="H8988" s="153" t="s">
        <v>215</v>
      </c>
    </row>
    <row r="8989" hidden="1">
      <c r="A8989" s="154" t="s">
        <v>222</v>
      </c>
      <c r="B8989" s="155" t="s">
        <v>192</v>
      </c>
      <c r="C8989" s="155" t="s">
        <v>206</v>
      </c>
      <c r="D8989" s="156" t="s">
        <v>10062</v>
      </c>
      <c r="E8989" s="156" t="s">
        <v>10123</v>
      </c>
      <c r="F8989" s="156" t="s">
        <v>453</v>
      </c>
      <c r="G8989" s="156" t="s">
        <v>10124</v>
      </c>
      <c r="H8989" s="157" t="s">
        <v>216</v>
      </c>
    </row>
    <row r="8990" hidden="1">
      <c r="A8990" s="151" t="s">
        <v>223</v>
      </c>
      <c r="B8990" s="118" t="s">
        <v>144</v>
      </c>
      <c r="C8990" s="118" t="s">
        <v>206</v>
      </c>
      <c r="D8990" s="152" t="s">
        <v>10062</v>
      </c>
      <c r="E8990" s="152" t="s">
        <v>10125</v>
      </c>
      <c r="F8990" s="152" t="s">
        <v>305</v>
      </c>
      <c r="G8990" s="152" t="s">
        <v>9856</v>
      </c>
      <c r="H8990" s="153" t="s">
        <v>210</v>
      </c>
    </row>
    <row r="8991" hidden="1">
      <c r="A8991" s="154" t="s">
        <v>223</v>
      </c>
      <c r="B8991" s="155" t="s">
        <v>144</v>
      </c>
      <c r="C8991" s="155" t="s">
        <v>206</v>
      </c>
      <c r="D8991" s="156" t="s">
        <v>10062</v>
      </c>
      <c r="E8991" s="156" t="s">
        <v>10126</v>
      </c>
      <c r="F8991" s="156" t="s">
        <v>725</v>
      </c>
      <c r="G8991" s="156" t="s">
        <v>9962</v>
      </c>
      <c r="H8991" s="157" t="s">
        <v>211</v>
      </c>
    </row>
    <row r="8992" hidden="1">
      <c r="A8992" s="151" t="s">
        <v>223</v>
      </c>
      <c r="B8992" s="118" t="s">
        <v>144</v>
      </c>
      <c r="C8992" s="118" t="s">
        <v>206</v>
      </c>
      <c r="D8992" s="152" t="s">
        <v>10062</v>
      </c>
      <c r="E8992" s="152" t="s">
        <v>10127</v>
      </c>
      <c r="F8992" s="152" t="s">
        <v>718</v>
      </c>
      <c r="G8992" s="152" t="s">
        <v>10128</v>
      </c>
      <c r="H8992" s="153" t="s">
        <v>212</v>
      </c>
    </row>
    <row r="8993" hidden="1">
      <c r="A8993" s="154" t="s">
        <v>223</v>
      </c>
      <c r="B8993" s="155" t="s">
        <v>144</v>
      </c>
      <c r="C8993" s="155" t="s">
        <v>206</v>
      </c>
      <c r="D8993" s="156" t="s">
        <v>10062</v>
      </c>
      <c r="E8993" s="156" t="s">
        <v>10129</v>
      </c>
      <c r="F8993" s="156" t="s">
        <v>405</v>
      </c>
      <c r="G8993" s="156" t="s">
        <v>10130</v>
      </c>
      <c r="H8993" s="157" t="s">
        <v>213</v>
      </c>
    </row>
    <row r="8994" hidden="1">
      <c r="A8994" s="151" t="s">
        <v>223</v>
      </c>
      <c r="B8994" s="118" t="s">
        <v>144</v>
      </c>
      <c r="C8994" s="118" t="s">
        <v>206</v>
      </c>
      <c r="D8994" s="152" t="s">
        <v>10062</v>
      </c>
      <c r="E8994" s="152" t="s">
        <v>10131</v>
      </c>
      <c r="F8994" s="152" t="s">
        <v>532</v>
      </c>
      <c r="G8994" s="152" t="s">
        <v>7466</v>
      </c>
      <c r="H8994" s="153" t="s">
        <v>214</v>
      </c>
    </row>
    <row r="8995" hidden="1">
      <c r="A8995" s="154" t="s">
        <v>223</v>
      </c>
      <c r="B8995" s="155" t="s">
        <v>144</v>
      </c>
      <c r="C8995" s="155" t="s">
        <v>206</v>
      </c>
      <c r="D8995" s="156" t="s">
        <v>10062</v>
      </c>
      <c r="E8995" s="156" t="s">
        <v>10132</v>
      </c>
      <c r="F8995" s="156" t="s">
        <v>354</v>
      </c>
      <c r="G8995" s="156" t="s">
        <v>7602</v>
      </c>
      <c r="H8995" s="157" t="s">
        <v>215</v>
      </c>
    </row>
    <row r="8996" hidden="1">
      <c r="A8996" s="151" t="s">
        <v>223</v>
      </c>
      <c r="B8996" s="118" t="s">
        <v>144</v>
      </c>
      <c r="C8996" s="118" t="s">
        <v>206</v>
      </c>
      <c r="D8996" s="152" t="s">
        <v>10062</v>
      </c>
      <c r="E8996" s="152" t="s">
        <v>10133</v>
      </c>
      <c r="F8996" s="152" t="s">
        <v>329</v>
      </c>
      <c r="G8996" s="152" t="s">
        <v>10134</v>
      </c>
      <c r="H8996" s="153" t="s">
        <v>216</v>
      </c>
    </row>
    <row r="8997" hidden="1">
      <c r="A8997" s="154" t="s">
        <v>224</v>
      </c>
      <c r="B8997" s="155" t="s">
        <v>170</v>
      </c>
      <c r="C8997" s="155" t="s">
        <v>206</v>
      </c>
      <c r="D8997" s="156" t="s">
        <v>10062</v>
      </c>
      <c r="E8997" s="156" t="s">
        <v>10135</v>
      </c>
      <c r="F8997" s="156" t="s">
        <v>2607</v>
      </c>
      <c r="G8997" s="156" t="s">
        <v>9715</v>
      </c>
      <c r="H8997" s="157" t="s">
        <v>210</v>
      </c>
    </row>
    <row r="8998" hidden="1">
      <c r="A8998" s="151" t="s">
        <v>224</v>
      </c>
      <c r="B8998" s="118" t="s">
        <v>170</v>
      </c>
      <c r="C8998" s="118" t="s">
        <v>206</v>
      </c>
      <c r="D8998" s="152" t="s">
        <v>10062</v>
      </c>
      <c r="E8998" s="152" t="s">
        <v>10136</v>
      </c>
      <c r="F8998" s="152" t="s">
        <v>532</v>
      </c>
      <c r="G8998" s="152" t="s">
        <v>9717</v>
      </c>
      <c r="H8998" s="153" t="s">
        <v>211</v>
      </c>
    </row>
    <row r="8999" hidden="1">
      <c r="A8999" s="154" t="s">
        <v>224</v>
      </c>
      <c r="B8999" s="155" t="s">
        <v>170</v>
      </c>
      <c r="C8999" s="155" t="s">
        <v>206</v>
      </c>
      <c r="D8999" s="156" t="s">
        <v>10062</v>
      </c>
      <c r="E8999" s="156" t="s">
        <v>10137</v>
      </c>
      <c r="F8999" s="156" t="s">
        <v>478</v>
      </c>
      <c r="G8999" s="156" t="s">
        <v>10138</v>
      </c>
      <c r="H8999" s="157" t="s">
        <v>212</v>
      </c>
    </row>
    <row r="9000" hidden="1">
      <c r="A9000" s="151" t="s">
        <v>224</v>
      </c>
      <c r="B9000" s="118" t="s">
        <v>170</v>
      </c>
      <c r="C9000" s="118" t="s">
        <v>206</v>
      </c>
      <c r="D9000" s="152" t="s">
        <v>10062</v>
      </c>
      <c r="E9000" s="152" t="s">
        <v>10139</v>
      </c>
      <c r="F9000" s="152" t="s">
        <v>718</v>
      </c>
      <c r="G9000" s="152" t="s">
        <v>9760</v>
      </c>
      <c r="H9000" s="153" t="s">
        <v>213</v>
      </c>
    </row>
    <row r="9001" hidden="1">
      <c r="A9001" s="154" t="s">
        <v>224</v>
      </c>
      <c r="B9001" s="155" t="s">
        <v>170</v>
      </c>
      <c r="C9001" s="155" t="s">
        <v>206</v>
      </c>
      <c r="D9001" s="156" t="s">
        <v>10062</v>
      </c>
      <c r="E9001" s="156" t="s">
        <v>10140</v>
      </c>
      <c r="F9001" s="156" t="s">
        <v>735</v>
      </c>
      <c r="G9001" s="156" t="s">
        <v>10141</v>
      </c>
      <c r="H9001" s="157" t="s">
        <v>214</v>
      </c>
    </row>
    <row r="9002" hidden="1">
      <c r="A9002" s="151" t="s">
        <v>224</v>
      </c>
      <c r="B9002" s="118" t="s">
        <v>170</v>
      </c>
      <c r="C9002" s="118" t="s">
        <v>206</v>
      </c>
      <c r="D9002" s="152" t="s">
        <v>10062</v>
      </c>
      <c r="E9002" s="152" t="s">
        <v>10142</v>
      </c>
      <c r="F9002" s="152" t="s">
        <v>673</v>
      </c>
      <c r="G9002" s="152" t="s">
        <v>10143</v>
      </c>
      <c r="H9002" s="153" t="s">
        <v>215</v>
      </c>
    </row>
    <row r="9003" hidden="1">
      <c r="A9003" s="154" t="s">
        <v>224</v>
      </c>
      <c r="B9003" s="155" t="s">
        <v>170</v>
      </c>
      <c r="C9003" s="155" t="s">
        <v>206</v>
      </c>
      <c r="D9003" s="156" t="s">
        <v>10062</v>
      </c>
      <c r="E9003" s="156" t="s">
        <v>10144</v>
      </c>
      <c r="F9003" s="156" t="s">
        <v>1530</v>
      </c>
      <c r="G9003" s="156" t="s">
        <v>10145</v>
      </c>
      <c r="H9003" s="157" t="s">
        <v>216</v>
      </c>
    </row>
    <row r="9004" hidden="1">
      <c r="A9004" s="151" t="s">
        <v>225</v>
      </c>
      <c r="B9004" s="118" t="s">
        <v>226</v>
      </c>
      <c r="C9004" s="118" t="s">
        <v>206</v>
      </c>
      <c r="D9004" s="152" t="s">
        <v>10062</v>
      </c>
      <c r="E9004" s="152" t="s">
        <v>10146</v>
      </c>
      <c r="F9004" s="152" t="s">
        <v>405</v>
      </c>
      <c r="G9004" s="152" t="s">
        <v>4509</v>
      </c>
      <c r="H9004" s="153" t="s">
        <v>210</v>
      </c>
    </row>
    <row r="9005" hidden="1">
      <c r="A9005" s="154" t="s">
        <v>225</v>
      </c>
      <c r="B9005" s="155" t="s">
        <v>226</v>
      </c>
      <c r="C9005" s="155" t="s">
        <v>206</v>
      </c>
      <c r="D9005" s="156" t="s">
        <v>10062</v>
      </c>
      <c r="E9005" s="156" t="s">
        <v>10147</v>
      </c>
      <c r="F9005" s="156" t="s">
        <v>3359</v>
      </c>
      <c r="G9005" s="156" t="s">
        <v>3304</v>
      </c>
      <c r="H9005" s="157" t="s">
        <v>211</v>
      </c>
    </row>
    <row r="9006" hidden="1">
      <c r="A9006" s="151" t="s">
        <v>225</v>
      </c>
      <c r="B9006" s="118" t="s">
        <v>226</v>
      </c>
      <c r="C9006" s="118" t="s">
        <v>206</v>
      </c>
      <c r="D9006" s="152" t="s">
        <v>10062</v>
      </c>
      <c r="E9006" s="152" t="s">
        <v>10148</v>
      </c>
      <c r="F9006" s="152" t="s">
        <v>1999</v>
      </c>
      <c r="G9006" s="152" t="s">
        <v>3468</v>
      </c>
      <c r="H9006" s="153" t="s">
        <v>212</v>
      </c>
    </row>
    <row r="9007" hidden="1">
      <c r="A9007" s="154" t="s">
        <v>225</v>
      </c>
      <c r="B9007" s="155" t="s">
        <v>226</v>
      </c>
      <c r="C9007" s="155" t="s">
        <v>206</v>
      </c>
      <c r="D9007" s="156" t="s">
        <v>10062</v>
      </c>
      <c r="E9007" s="156" t="s">
        <v>10149</v>
      </c>
      <c r="F9007" s="156" t="s">
        <v>494</v>
      </c>
      <c r="G9007" s="156" t="s">
        <v>1788</v>
      </c>
      <c r="H9007" s="157" t="s">
        <v>213</v>
      </c>
    </row>
    <row r="9008" hidden="1">
      <c r="A9008" s="151" t="s">
        <v>225</v>
      </c>
      <c r="B9008" s="118" t="s">
        <v>226</v>
      </c>
      <c r="C9008" s="118" t="s">
        <v>206</v>
      </c>
      <c r="D9008" s="152" t="s">
        <v>10062</v>
      </c>
      <c r="E9008" s="152" t="s">
        <v>10150</v>
      </c>
      <c r="F9008" s="152" t="s">
        <v>691</v>
      </c>
      <c r="G9008" s="152" t="s">
        <v>3464</v>
      </c>
      <c r="H9008" s="153" t="s">
        <v>214</v>
      </c>
    </row>
    <row r="9009" hidden="1">
      <c r="A9009" s="154" t="s">
        <v>225</v>
      </c>
      <c r="B9009" s="155" t="s">
        <v>226</v>
      </c>
      <c r="C9009" s="155" t="s">
        <v>206</v>
      </c>
      <c r="D9009" s="156" t="s">
        <v>10062</v>
      </c>
      <c r="E9009" s="156" t="s">
        <v>10151</v>
      </c>
      <c r="F9009" s="156" t="s">
        <v>760</v>
      </c>
      <c r="G9009" s="156" t="s">
        <v>4054</v>
      </c>
      <c r="H9009" s="157" t="s">
        <v>215</v>
      </c>
    </row>
    <row r="9010" hidden="1">
      <c r="A9010" s="151" t="s">
        <v>225</v>
      </c>
      <c r="B9010" s="118" t="s">
        <v>226</v>
      </c>
      <c r="C9010" s="118" t="s">
        <v>206</v>
      </c>
      <c r="D9010" s="152" t="s">
        <v>10062</v>
      </c>
      <c r="E9010" s="152" t="s">
        <v>10152</v>
      </c>
      <c r="F9010" s="152" t="s">
        <v>760</v>
      </c>
      <c r="G9010" s="152" t="s">
        <v>4268</v>
      </c>
      <c r="H9010" s="153" t="s">
        <v>216</v>
      </c>
    </row>
    <row r="9011" hidden="1">
      <c r="A9011" s="154" t="s">
        <v>227</v>
      </c>
      <c r="B9011" s="155" t="s">
        <v>195</v>
      </c>
      <c r="C9011" s="155" t="s">
        <v>206</v>
      </c>
      <c r="D9011" s="156" t="s">
        <v>10062</v>
      </c>
      <c r="E9011" s="156" t="s">
        <v>10153</v>
      </c>
      <c r="F9011" s="156" t="s">
        <v>354</v>
      </c>
      <c r="G9011" s="156" t="s">
        <v>9767</v>
      </c>
      <c r="H9011" s="157" t="s">
        <v>210</v>
      </c>
    </row>
    <row r="9012" hidden="1">
      <c r="A9012" s="151" t="s">
        <v>227</v>
      </c>
      <c r="B9012" s="118" t="s">
        <v>195</v>
      </c>
      <c r="C9012" s="118" t="s">
        <v>206</v>
      </c>
      <c r="D9012" s="152" t="s">
        <v>10062</v>
      </c>
      <c r="E9012" s="152" t="s">
        <v>10154</v>
      </c>
      <c r="F9012" s="152" t="s">
        <v>339</v>
      </c>
      <c r="G9012" s="152" t="s">
        <v>9548</v>
      </c>
      <c r="H9012" s="153" t="s">
        <v>211</v>
      </c>
    </row>
    <row r="9013" hidden="1">
      <c r="A9013" s="154" t="s">
        <v>227</v>
      </c>
      <c r="B9013" s="155" t="s">
        <v>195</v>
      </c>
      <c r="C9013" s="155" t="s">
        <v>206</v>
      </c>
      <c r="D9013" s="156" t="s">
        <v>10062</v>
      </c>
      <c r="E9013" s="156" t="s">
        <v>10155</v>
      </c>
      <c r="F9013" s="156" t="s">
        <v>760</v>
      </c>
      <c r="G9013" s="156" t="s">
        <v>9784</v>
      </c>
      <c r="H9013" s="157" t="s">
        <v>212</v>
      </c>
    </row>
    <row r="9014" hidden="1">
      <c r="A9014" s="151" t="s">
        <v>227</v>
      </c>
      <c r="B9014" s="118" t="s">
        <v>195</v>
      </c>
      <c r="C9014" s="118" t="s">
        <v>206</v>
      </c>
      <c r="D9014" s="152" t="s">
        <v>10062</v>
      </c>
      <c r="E9014" s="152" t="s">
        <v>10156</v>
      </c>
      <c r="F9014" s="152" t="s">
        <v>336</v>
      </c>
      <c r="G9014" s="152" t="s">
        <v>9335</v>
      </c>
      <c r="H9014" s="153" t="s">
        <v>213</v>
      </c>
    </row>
    <row r="9015" hidden="1">
      <c r="A9015" s="154" t="s">
        <v>227</v>
      </c>
      <c r="B9015" s="155" t="s">
        <v>195</v>
      </c>
      <c r="C9015" s="155" t="s">
        <v>206</v>
      </c>
      <c r="D9015" s="156" t="s">
        <v>10062</v>
      </c>
      <c r="E9015" s="156" t="s">
        <v>10157</v>
      </c>
      <c r="F9015" s="156" t="s">
        <v>3359</v>
      </c>
      <c r="G9015" s="156" t="s">
        <v>10158</v>
      </c>
      <c r="H9015" s="157" t="s">
        <v>214</v>
      </c>
    </row>
    <row r="9016" hidden="1">
      <c r="A9016" s="151" t="s">
        <v>227</v>
      </c>
      <c r="B9016" s="118" t="s">
        <v>195</v>
      </c>
      <c r="C9016" s="118" t="s">
        <v>206</v>
      </c>
      <c r="D9016" s="152" t="s">
        <v>10062</v>
      </c>
      <c r="E9016" s="152" t="s">
        <v>10159</v>
      </c>
      <c r="F9016" s="152" t="s">
        <v>336</v>
      </c>
      <c r="G9016" s="152" t="s">
        <v>10160</v>
      </c>
      <c r="H9016" s="153" t="s">
        <v>215</v>
      </c>
    </row>
    <row r="9017" hidden="1">
      <c r="A9017" s="154" t="s">
        <v>227</v>
      </c>
      <c r="B9017" s="155" t="s">
        <v>195</v>
      </c>
      <c r="C9017" s="155" t="s">
        <v>206</v>
      </c>
      <c r="D9017" s="156" t="s">
        <v>10062</v>
      </c>
      <c r="E9017" s="156" t="s">
        <v>10161</v>
      </c>
      <c r="F9017" s="156" t="s">
        <v>799</v>
      </c>
      <c r="G9017" s="156" t="s">
        <v>10143</v>
      </c>
      <c r="H9017" s="157" t="s">
        <v>216</v>
      </c>
    </row>
    <row r="9018" hidden="1">
      <c r="A9018" s="151" t="s">
        <v>228</v>
      </c>
      <c r="B9018" s="118" t="s">
        <v>138</v>
      </c>
      <c r="C9018" s="118" t="s">
        <v>206</v>
      </c>
      <c r="D9018" s="152" t="s">
        <v>10062</v>
      </c>
      <c r="E9018" s="152" t="s">
        <v>10162</v>
      </c>
      <c r="F9018" s="152" t="s">
        <v>336</v>
      </c>
      <c r="G9018" s="152" t="s">
        <v>7466</v>
      </c>
      <c r="H9018" s="153" t="s">
        <v>210</v>
      </c>
    </row>
    <row r="9019" hidden="1">
      <c r="A9019" s="154" t="s">
        <v>228</v>
      </c>
      <c r="B9019" s="155" t="s">
        <v>138</v>
      </c>
      <c r="C9019" s="155" t="s">
        <v>206</v>
      </c>
      <c r="D9019" s="156" t="s">
        <v>10062</v>
      </c>
      <c r="E9019" s="156" t="s">
        <v>10163</v>
      </c>
      <c r="F9019" s="156" t="s">
        <v>423</v>
      </c>
      <c r="G9019" s="156" t="s">
        <v>10164</v>
      </c>
      <c r="H9019" s="157" t="s">
        <v>211</v>
      </c>
    </row>
    <row r="9020" hidden="1">
      <c r="A9020" s="151" t="s">
        <v>228</v>
      </c>
      <c r="B9020" s="118" t="s">
        <v>138</v>
      </c>
      <c r="C9020" s="118" t="s">
        <v>206</v>
      </c>
      <c r="D9020" s="152" t="s">
        <v>10062</v>
      </c>
      <c r="E9020" s="152" t="s">
        <v>10165</v>
      </c>
      <c r="F9020" s="152" t="s">
        <v>374</v>
      </c>
      <c r="G9020" s="152" t="s">
        <v>2003</v>
      </c>
      <c r="H9020" s="153" t="s">
        <v>212</v>
      </c>
    </row>
    <row r="9021" hidden="1">
      <c r="A9021" s="154" t="s">
        <v>228</v>
      </c>
      <c r="B9021" s="155" t="s">
        <v>138</v>
      </c>
      <c r="C9021" s="155" t="s">
        <v>206</v>
      </c>
      <c r="D9021" s="156" t="s">
        <v>10062</v>
      </c>
      <c r="E9021" s="156" t="s">
        <v>10166</v>
      </c>
      <c r="F9021" s="156" t="s">
        <v>257</v>
      </c>
      <c r="G9021" s="156" t="s">
        <v>3368</v>
      </c>
      <c r="H9021" s="157" t="s">
        <v>213</v>
      </c>
    </row>
    <row r="9022" hidden="1">
      <c r="A9022" s="151" t="s">
        <v>228</v>
      </c>
      <c r="B9022" s="118" t="s">
        <v>138</v>
      </c>
      <c r="C9022" s="118" t="s">
        <v>206</v>
      </c>
      <c r="D9022" s="152" t="s">
        <v>10062</v>
      </c>
      <c r="E9022" s="152" t="s">
        <v>10167</v>
      </c>
      <c r="F9022" s="152" t="s">
        <v>760</v>
      </c>
      <c r="G9022" s="152" t="s">
        <v>9856</v>
      </c>
      <c r="H9022" s="153" t="s">
        <v>214</v>
      </c>
    </row>
    <row r="9023" hidden="1">
      <c r="A9023" s="154" t="s">
        <v>228</v>
      </c>
      <c r="B9023" s="155" t="s">
        <v>138</v>
      </c>
      <c r="C9023" s="155" t="s">
        <v>206</v>
      </c>
      <c r="D9023" s="156" t="s">
        <v>10062</v>
      </c>
      <c r="E9023" s="156" t="s">
        <v>10168</v>
      </c>
      <c r="F9023" s="156" t="s">
        <v>374</v>
      </c>
      <c r="G9023" s="156" t="s">
        <v>9555</v>
      </c>
      <c r="H9023" s="157" t="s">
        <v>215</v>
      </c>
    </row>
    <row r="9024" hidden="1">
      <c r="A9024" s="151" t="s">
        <v>228</v>
      </c>
      <c r="B9024" s="118" t="s">
        <v>138</v>
      </c>
      <c r="C9024" s="118" t="s">
        <v>206</v>
      </c>
      <c r="D9024" s="152" t="s">
        <v>10062</v>
      </c>
      <c r="E9024" s="152" t="s">
        <v>10169</v>
      </c>
      <c r="F9024" s="152" t="s">
        <v>325</v>
      </c>
      <c r="G9024" s="152" t="s">
        <v>10130</v>
      </c>
      <c r="H9024" s="153" t="s">
        <v>216</v>
      </c>
    </row>
    <row r="9025" hidden="1">
      <c r="A9025" s="154" t="s">
        <v>229</v>
      </c>
      <c r="B9025" s="155" t="s">
        <v>193</v>
      </c>
      <c r="C9025" s="155" t="s">
        <v>206</v>
      </c>
      <c r="D9025" s="156" t="s">
        <v>10062</v>
      </c>
      <c r="E9025" s="156" t="s">
        <v>10170</v>
      </c>
      <c r="F9025" s="156" t="s">
        <v>1999</v>
      </c>
      <c r="G9025" s="156" t="s">
        <v>9573</v>
      </c>
      <c r="H9025" s="157" t="s">
        <v>210</v>
      </c>
    </row>
    <row r="9026" hidden="1">
      <c r="A9026" s="151" t="s">
        <v>229</v>
      </c>
      <c r="B9026" s="118" t="s">
        <v>193</v>
      </c>
      <c r="C9026" s="118" t="s">
        <v>206</v>
      </c>
      <c r="D9026" s="152" t="s">
        <v>10062</v>
      </c>
      <c r="E9026" s="152" t="s">
        <v>10171</v>
      </c>
      <c r="F9026" s="152" t="s">
        <v>735</v>
      </c>
      <c r="G9026" s="152" t="s">
        <v>10172</v>
      </c>
      <c r="H9026" s="153" t="s">
        <v>211</v>
      </c>
    </row>
    <row r="9027" hidden="1">
      <c r="A9027" s="154" t="s">
        <v>229</v>
      </c>
      <c r="B9027" s="155" t="s">
        <v>193</v>
      </c>
      <c r="C9027" s="155" t="s">
        <v>206</v>
      </c>
      <c r="D9027" s="156" t="s">
        <v>10062</v>
      </c>
      <c r="E9027" s="156" t="s">
        <v>10173</v>
      </c>
      <c r="F9027" s="156" t="s">
        <v>718</v>
      </c>
      <c r="G9027" s="156" t="s">
        <v>10174</v>
      </c>
      <c r="H9027" s="157" t="s">
        <v>212</v>
      </c>
    </row>
    <row r="9028" hidden="1">
      <c r="A9028" s="151" t="s">
        <v>229</v>
      </c>
      <c r="B9028" s="118" t="s">
        <v>193</v>
      </c>
      <c r="C9028" s="118" t="s">
        <v>206</v>
      </c>
      <c r="D9028" s="152" t="s">
        <v>10062</v>
      </c>
      <c r="E9028" s="152" t="s">
        <v>10175</v>
      </c>
      <c r="F9028" s="152" t="s">
        <v>478</v>
      </c>
      <c r="G9028" s="152" t="s">
        <v>9998</v>
      </c>
      <c r="H9028" s="153" t="s">
        <v>213</v>
      </c>
    </row>
    <row r="9029" hidden="1">
      <c r="A9029" s="154" t="s">
        <v>229</v>
      </c>
      <c r="B9029" s="155" t="s">
        <v>193</v>
      </c>
      <c r="C9029" s="155" t="s">
        <v>206</v>
      </c>
      <c r="D9029" s="156" t="s">
        <v>10062</v>
      </c>
      <c r="E9029" s="156" t="s">
        <v>10176</v>
      </c>
      <c r="F9029" s="156" t="s">
        <v>354</v>
      </c>
      <c r="G9029" s="156" t="s">
        <v>10177</v>
      </c>
      <c r="H9029" s="157" t="s">
        <v>214</v>
      </c>
    </row>
    <row r="9030" hidden="1">
      <c r="A9030" s="151" t="s">
        <v>229</v>
      </c>
      <c r="B9030" s="118" t="s">
        <v>193</v>
      </c>
      <c r="C9030" s="118" t="s">
        <v>206</v>
      </c>
      <c r="D9030" s="152" t="s">
        <v>10062</v>
      </c>
      <c r="E9030" s="152" t="s">
        <v>10178</v>
      </c>
      <c r="F9030" s="152" t="s">
        <v>735</v>
      </c>
      <c r="G9030" s="152" t="s">
        <v>10179</v>
      </c>
      <c r="H9030" s="153" t="s">
        <v>215</v>
      </c>
    </row>
    <row r="9031" hidden="1">
      <c r="A9031" s="154" t="s">
        <v>229</v>
      </c>
      <c r="B9031" s="155" t="s">
        <v>193</v>
      </c>
      <c r="C9031" s="155" t="s">
        <v>206</v>
      </c>
      <c r="D9031" s="156" t="s">
        <v>10062</v>
      </c>
      <c r="E9031" s="156" t="s">
        <v>10180</v>
      </c>
      <c r="F9031" s="156" t="s">
        <v>1999</v>
      </c>
      <c r="G9031" s="156" t="s">
        <v>10181</v>
      </c>
      <c r="H9031" s="157" t="s">
        <v>216</v>
      </c>
    </row>
    <row r="9032" hidden="1">
      <c r="A9032" s="151" t="s">
        <v>230</v>
      </c>
      <c r="B9032" s="118" t="s">
        <v>194</v>
      </c>
      <c r="C9032" s="118" t="s">
        <v>206</v>
      </c>
      <c r="D9032" s="152" t="s">
        <v>10062</v>
      </c>
      <c r="E9032" s="152" t="s">
        <v>10182</v>
      </c>
      <c r="F9032" s="152" t="s">
        <v>735</v>
      </c>
      <c r="G9032" s="152" t="s">
        <v>10047</v>
      </c>
      <c r="H9032" s="153" t="s">
        <v>210</v>
      </c>
    </row>
    <row r="9033" hidden="1">
      <c r="A9033" s="154" t="s">
        <v>230</v>
      </c>
      <c r="B9033" s="155" t="s">
        <v>194</v>
      </c>
      <c r="C9033" s="155" t="s">
        <v>206</v>
      </c>
      <c r="D9033" s="156" t="s">
        <v>10062</v>
      </c>
      <c r="E9033" s="156" t="s">
        <v>10183</v>
      </c>
      <c r="F9033" s="156" t="s">
        <v>405</v>
      </c>
      <c r="G9033" s="156" t="s">
        <v>10043</v>
      </c>
      <c r="H9033" s="157" t="s">
        <v>211</v>
      </c>
    </row>
    <row r="9034" hidden="1">
      <c r="A9034" s="151" t="s">
        <v>230</v>
      </c>
      <c r="B9034" s="118" t="s">
        <v>194</v>
      </c>
      <c r="C9034" s="118" t="s">
        <v>206</v>
      </c>
      <c r="D9034" s="152" t="s">
        <v>10062</v>
      </c>
      <c r="E9034" s="152" t="s">
        <v>10184</v>
      </c>
      <c r="F9034" s="152" t="s">
        <v>312</v>
      </c>
      <c r="G9034" s="152" t="s">
        <v>10185</v>
      </c>
      <c r="H9034" s="153" t="s">
        <v>212</v>
      </c>
    </row>
    <row r="9035" hidden="1">
      <c r="A9035" s="154" t="s">
        <v>230</v>
      </c>
      <c r="B9035" s="155" t="s">
        <v>194</v>
      </c>
      <c r="C9035" s="155" t="s">
        <v>206</v>
      </c>
      <c r="D9035" s="156" t="s">
        <v>10062</v>
      </c>
      <c r="E9035" s="156" t="s">
        <v>10186</v>
      </c>
      <c r="F9035" s="156" t="s">
        <v>760</v>
      </c>
      <c r="G9035" s="156" t="s">
        <v>10187</v>
      </c>
      <c r="H9035" s="157" t="s">
        <v>213</v>
      </c>
    </row>
    <row r="9036" hidden="1">
      <c r="A9036" s="151" t="s">
        <v>230</v>
      </c>
      <c r="B9036" s="118" t="s">
        <v>194</v>
      </c>
      <c r="C9036" s="118" t="s">
        <v>206</v>
      </c>
      <c r="D9036" s="152" t="s">
        <v>10062</v>
      </c>
      <c r="E9036" s="152" t="s">
        <v>10188</v>
      </c>
      <c r="F9036" s="152" t="s">
        <v>3359</v>
      </c>
      <c r="G9036" s="152" t="s">
        <v>9481</v>
      </c>
      <c r="H9036" s="153" t="s">
        <v>214</v>
      </c>
    </row>
    <row r="9037" hidden="1">
      <c r="A9037" s="154" t="s">
        <v>230</v>
      </c>
      <c r="B9037" s="155" t="s">
        <v>194</v>
      </c>
      <c r="C9037" s="155" t="s">
        <v>206</v>
      </c>
      <c r="D9037" s="156" t="s">
        <v>10062</v>
      </c>
      <c r="E9037" s="156" t="s">
        <v>10189</v>
      </c>
      <c r="F9037" s="156" t="s">
        <v>423</v>
      </c>
      <c r="G9037" s="156" t="s">
        <v>10190</v>
      </c>
      <c r="H9037" s="157" t="s">
        <v>215</v>
      </c>
    </row>
    <row r="9038" hidden="1">
      <c r="A9038" s="151" t="s">
        <v>230</v>
      </c>
      <c r="B9038" s="118" t="s">
        <v>194</v>
      </c>
      <c r="C9038" s="118" t="s">
        <v>206</v>
      </c>
      <c r="D9038" s="152" t="s">
        <v>10062</v>
      </c>
      <c r="E9038" s="152" t="s">
        <v>10191</v>
      </c>
      <c r="F9038" s="152" t="s">
        <v>673</v>
      </c>
      <c r="G9038" s="152" t="s">
        <v>10192</v>
      </c>
      <c r="H9038" s="153" t="s">
        <v>216</v>
      </c>
    </row>
    <row r="9039" hidden="1">
      <c r="A9039" s="158" t="s">
        <v>231</v>
      </c>
      <c r="B9039" s="159"/>
      <c r="C9039" s="155" t="s">
        <v>232</v>
      </c>
      <c r="D9039" s="156" t="s">
        <v>10062</v>
      </c>
      <c r="E9039" s="156" t="s">
        <v>10193</v>
      </c>
      <c r="F9039" s="156" t="s">
        <v>450</v>
      </c>
      <c r="G9039" s="156" t="s">
        <v>10194</v>
      </c>
      <c r="H9039" s="157" t="s">
        <v>210</v>
      </c>
    </row>
    <row r="9040" hidden="1">
      <c r="A9040" s="160" t="s">
        <v>231</v>
      </c>
      <c r="B9040" s="72"/>
      <c r="C9040" s="118" t="s">
        <v>232</v>
      </c>
      <c r="D9040" s="152" t="s">
        <v>10062</v>
      </c>
      <c r="E9040" s="152" t="s">
        <v>10195</v>
      </c>
      <c r="F9040" s="152" t="s">
        <v>478</v>
      </c>
      <c r="G9040" s="152" t="s">
        <v>10019</v>
      </c>
      <c r="H9040" s="153" t="s">
        <v>211</v>
      </c>
    </row>
    <row r="9041" hidden="1">
      <c r="A9041" s="158" t="s">
        <v>231</v>
      </c>
      <c r="B9041" s="159"/>
      <c r="C9041" s="155" t="s">
        <v>232</v>
      </c>
      <c r="D9041" s="156" t="s">
        <v>10062</v>
      </c>
      <c r="E9041" s="156" t="s">
        <v>10196</v>
      </c>
      <c r="F9041" s="156" t="s">
        <v>329</v>
      </c>
      <c r="G9041" s="156" t="s">
        <v>10197</v>
      </c>
      <c r="H9041" s="157" t="s">
        <v>212</v>
      </c>
    </row>
    <row r="9042" hidden="1">
      <c r="A9042" s="160" t="s">
        <v>231</v>
      </c>
      <c r="B9042" s="72"/>
      <c r="C9042" s="118" t="s">
        <v>232</v>
      </c>
      <c r="D9042" s="152" t="s">
        <v>10062</v>
      </c>
      <c r="E9042" s="152" t="s">
        <v>10198</v>
      </c>
      <c r="F9042" s="152" t="s">
        <v>799</v>
      </c>
      <c r="G9042" s="152" t="s">
        <v>10199</v>
      </c>
      <c r="H9042" s="153" t="s">
        <v>213</v>
      </c>
    </row>
    <row r="9043" hidden="1">
      <c r="A9043" s="158" t="s">
        <v>231</v>
      </c>
      <c r="B9043" s="159"/>
      <c r="C9043" s="155" t="s">
        <v>232</v>
      </c>
      <c r="D9043" s="156" t="s">
        <v>10062</v>
      </c>
      <c r="E9043" s="156" t="s">
        <v>10200</v>
      </c>
      <c r="F9043" s="156" t="s">
        <v>427</v>
      </c>
      <c r="G9043" s="156" t="s">
        <v>10201</v>
      </c>
      <c r="H9043" s="157" t="s">
        <v>214</v>
      </c>
    </row>
    <row r="9044" hidden="1">
      <c r="A9044" s="160" t="s">
        <v>231</v>
      </c>
      <c r="B9044" s="72"/>
      <c r="C9044" s="118" t="s">
        <v>232</v>
      </c>
      <c r="D9044" s="152" t="s">
        <v>10062</v>
      </c>
      <c r="E9044" s="152" t="s">
        <v>10202</v>
      </c>
      <c r="F9044" s="152" t="s">
        <v>1999</v>
      </c>
      <c r="G9044" s="152" t="s">
        <v>10203</v>
      </c>
      <c r="H9044" s="153" t="s">
        <v>215</v>
      </c>
    </row>
    <row r="9045" hidden="1">
      <c r="A9045" s="158" t="s">
        <v>231</v>
      </c>
      <c r="B9045" s="159"/>
      <c r="C9045" s="155" t="s">
        <v>232</v>
      </c>
      <c r="D9045" s="156" t="s">
        <v>10062</v>
      </c>
      <c r="E9045" s="156" t="s">
        <v>10204</v>
      </c>
      <c r="F9045" s="156" t="s">
        <v>329</v>
      </c>
      <c r="G9045" s="156" t="s">
        <v>10205</v>
      </c>
      <c r="H9045" s="157" t="s">
        <v>216</v>
      </c>
    </row>
    <row r="9046" hidden="1">
      <c r="A9046" s="160" t="s">
        <v>233</v>
      </c>
      <c r="B9046" s="72"/>
      <c r="C9046" s="118" t="s">
        <v>232</v>
      </c>
      <c r="D9046" s="152" t="s">
        <v>10062</v>
      </c>
      <c r="E9046" s="152" t="s">
        <v>10206</v>
      </c>
      <c r="F9046" s="152" t="s">
        <v>677</v>
      </c>
      <c r="G9046" s="152" t="s">
        <v>10087</v>
      </c>
      <c r="H9046" s="153" t="s">
        <v>210</v>
      </c>
    </row>
    <row r="9047" hidden="1">
      <c r="A9047" s="158" t="s">
        <v>233</v>
      </c>
      <c r="B9047" s="159"/>
      <c r="C9047" s="155" t="s">
        <v>232</v>
      </c>
      <c r="D9047" s="156" t="s">
        <v>10062</v>
      </c>
      <c r="E9047" s="156" t="s">
        <v>10207</v>
      </c>
      <c r="F9047" s="156" t="s">
        <v>312</v>
      </c>
      <c r="G9047" s="156" t="s">
        <v>10208</v>
      </c>
      <c r="H9047" s="157" t="s">
        <v>211</v>
      </c>
    </row>
    <row r="9048" hidden="1">
      <c r="A9048" s="160" t="s">
        <v>233</v>
      </c>
      <c r="B9048" s="72"/>
      <c r="C9048" s="118" t="s">
        <v>232</v>
      </c>
      <c r="D9048" s="152" t="s">
        <v>10062</v>
      </c>
      <c r="E9048" s="152" t="s">
        <v>10209</v>
      </c>
      <c r="F9048" s="152" t="s">
        <v>354</v>
      </c>
      <c r="G9048" s="152" t="s">
        <v>10138</v>
      </c>
      <c r="H9048" s="153" t="s">
        <v>212</v>
      </c>
    </row>
    <row r="9049" hidden="1">
      <c r="A9049" s="158" t="s">
        <v>233</v>
      </c>
      <c r="B9049" s="159"/>
      <c r="C9049" s="155" t="s">
        <v>232</v>
      </c>
      <c r="D9049" s="156" t="s">
        <v>10062</v>
      </c>
      <c r="E9049" s="156" t="s">
        <v>10210</v>
      </c>
      <c r="F9049" s="156" t="s">
        <v>725</v>
      </c>
      <c r="G9049" s="156" t="s">
        <v>10094</v>
      </c>
      <c r="H9049" s="157" t="s">
        <v>213</v>
      </c>
    </row>
    <row r="9050" hidden="1">
      <c r="A9050" s="160" t="s">
        <v>233</v>
      </c>
      <c r="B9050" s="72"/>
      <c r="C9050" s="118" t="s">
        <v>232</v>
      </c>
      <c r="D9050" s="152" t="s">
        <v>10062</v>
      </c>
      <c r="E9050" s="152" t="s">
        <v>10211</v>
      </c>
      <c r="F9050" s="152" t="s">
        <v>677</v>
      </c>
      <c r="G9050" s="152" t="s">
        <v>9350</v>
      </c>
      <c r="H9050" s="153" t="s">
        <v>214</v>
      </c>
    </row>
    <row r="9051" hidden="1">
      <c r="A9051" s="158" t="s">
        <v>233</v>
      </c>
      <c r="B9051" s="159"/>
      <c r="C9051" s="155" t="s">
        <v>232</v>
      </c>
      <c r="D9051" s="156" t="s">
        <v>10062</v>
      </c>
      <c r="E9051" s="156" t="s">
        <v>10212</v>
      </c>
      <c r="F9051" s="156" t="s">
        <v>494</v>
      </c>
      <c r="G9051" s="156" t="s">
        <v>9868</v>
      </c>
      <c r="H9051" s="157" t="s">
        <v>215</v>
      </c>
    </row>
    <row r="9052" hidden="1">
      <c r="A9052" s="160" t="s">
        <v>233</v>
      </c>
      <c r="B9052" s="72"/>
      <c r="C9052" s="118" t="s">
        <v>232</v>
      </c>
      <c r="D9052" s="152" t="s">
        <v>10062</v>
      </c>
      <c r="E9052" s="152" t="s">
        <v>10213</v>
      </c>
      <c r="F9052" s="152" t="s">
        <v>577</v>
      </c>
      <c r="G9052" s="152" t="s">
        <v>10006</v>
      </c>
      <c r="H9052" s="153" t="s">
        <v>216</v>
      </c>
    </row>
    <row r="9053" hidden="1">
      <c r="A9053" s="158" t="s">
        <v>234</v>
      </c>
      <c r="B9053" s="159"/>
      <c r="C9053" s="155" t="s">
        <v>232</v>
      </c>
      <c r="D9053" s="156" t="s">
        <v>10062</v>
      </c>
      <c r="E9053" s="156" t="s">
        <v>10214</v>
      </c>
      <c r="F9053" s="156" t="s">
        <v>1929</v>
      </c>
      <c r="G9053" s="156" t="s">
        <v>10215</v>
      </c>
      <c r="H9053" s="157" t="s">
        <v>210</v>
      </c>
    </row>
    <row r="9054" hidden="1">
      <c r="A9054" s="160" t="s">
        <v>234</v>
      </c>
      <c r="B9054" s="72"/>
      <c r="C9054" s="118" t="s">
        <v>232</v>
      </c>
      <c r="D9054" s="152" t="s">
        <v>10062</v>
      </c>
      <c r="E9054" s="152" t="s">
        <v>10216</v>
      </c>
      <c r="F9054" s="152" t="s">
        <v>1530</v>
      </c>
      <c r="G9054" s="152" t="s">
        <v>5039</v>
      </c>
      <c r="H9054" s="153" t="s">
        <v>211</v>
      </c>
    </row>
    <row r="9055" hidden="1">
      <c r="A9055" s="158" t="s">
        <v>234</v>
      </c>
      <c r="B9055" s="159"/>
      <c r="C9055" s="155" t="s">
        <v>232</v>
      </c>
      <c r="D9055" s="156" t="s">
        <v>10062</v>
      </c>
      <c r="E9055" s="156" t="s">
        <v>10217</v>
      </c>
      <c r="F9055" s="156" t="s">
        <v>448</v>
      </c>
      <c r="G9055" s="156" t="s">
        <v>9644</v>
      </c>
      <c r="H9055" s="157" t="s">
        <v>212</v>
      </c>
    </row>
    <row r="9056" hidden="1">
      <c r="A9056" s="160" t="s">
        <v>234</v>
      </c>
      <c r="B9056" s="72"/>
      <c r="C9056" s="118" t="s">
        <v>232</v>
      </c>
      <c r="D9056" s="152" t="s">
        <v>10062</v>
      </c>
      <c r="E9056" s="152" t="s">
        <v>10218</v>
      </c>
      <c r="F9056" s="152" t="s">
        <v>1532</v>
      </c>
      <c r="G9056" s="152" t="s">
        <v>7474</v>
      </c>
      <c r="H9056" s="153" t="s">
        <v>213</v>
      </c>
    </row>
    <row r="9057" hidden="1">
      <c r="A9057" s="158" t="s">
        <v>234</v>
      </c>
      <c r="B9057" s="159"/>
      <c r="C9057" s="155" t="s">
        <v>232</v>
      </c>
      <c r="D9057" s="156" t="s">
        <v>10062</v>
      </c>
      <c r="E9057" s="156" t="s">
        <v>10219</v>
      </c>
      <c r="F9057" s="156" t="s">
        <v>390</v>
      </c>
      <c r="G9057" s="156" t="s">
        <v>9780</v>
      </c>
      <c r="H9057" s="157" t="s">
        <v>214</v>
      </c>
    </row>
    <row r="9058" hidden="1">
      <c r="A9058" s="160" t="s">
        <v>234</v>
      </c>
      <c r="B9058" s="72"/>
      <c r="C9058" s="118" t="s">
        <v>232</v>
      </c>
      <c r="D9058" s="152" t="s">
        <v>10062</v>
      </c>
      <c r="E9058" s="152" t="s">
        <v>10220</v>
      </c>
      <c r="F9058" s="152" t="s">
        <v>2994</v>
      </c>
      <c r="G9058" s="152" t="s">
        <v>7470</v>
      </c>
      <c r="H9058" s="153" t="s">
        <v>215</v>
      </c>
    </row>
    <row r="9059" hidden="1">
      <c r="A9059" s="158" t="s">
        <v>234</v>
      </c>
      <c r="B9059" s="159"/>
      <c r="C9059" s="155" t="s">
        <v>232</v>
      </c>
      <c r="D9059" s="156" t="s">
        <v>10062</v>
      </c>
      <c r="E9059" s="156" t="s">
        <v>10221</v>
      </c>
      <c r="F9059" s="156" t="s">
        <v>390</v>
      </c>
      <c r="G9059" s="156" t="s">
        <v>9555</v>
      </c>
      <c r="H9059" s="157" t="s">
        <v>216</v>
      </c>
    </row>
    <row r="9060" hidden="1">
      <c r="A9060" s="160" t="s">
        <v>235</v>
      </c>
      <c r="B9060" s="72"/>
      <c r="C9060" s="118" t="s">
        <v>236</v>
      </c>
      <c r="D9060" s="152" t="s">
        <v>10062</v>
      </c>
      <c r="E9060" s="152" t="s">
        <v>10222</v>
      </c>
      <c r="F9060" s="152" t="s">
        <v>354</v>
      </c>
      <c r="G9060" s="152" t="s">
        <v>10223</v>
      </c>
      <c r="H9060" s="153" t="s">
        <v>210</v>
      </c>
    </row>
    <row r="9061" hidden="1">
      <c r="A9061" s="158" t="s">
        <v>235</v>
      </c>
      <c r="B9061" s="159"/>
      <c r="C9061" s="155" t="s">
        <v>236</v>
      </c>
      <c r="D9061" s="156" t="s">
        <v>10062</v>
      </c>
      <c r="E9061" s="156" t="s">
        <v>10224</v>
      </c>
      <c r="F9061" s="156" t="s">
        <v>577</v>
      </c>
      <c r="G9061" s="156" t="s">
        <v>10190</v>
      </c>
      <c r="H9061" s="157" t="s">
        <v>211</v>
      </c>
    </row>
    <row r="9062" hidden="1">
      <c r="A9062" s="160" t="s">
        <v>235</v>
      </c>
      <c r="B9062" s="72"/>
      <c r="C9062" s="118" t="s">
        <v>236</v>
      </c>
      <c r="D9062" s="152" t="s">
        <v>10062</v>
      </c>
      <c r="E9062" s="152" t="s">
        <v>10225</v>
      </c>
      <c r="F9062" s="152" t="s">
        <v>354</v>
      </c>
      <c r="G9062" s="152" t="s">
        <v>10226</v>
      </c>
      <c r="H9062" s="153" t="s">
        <v>212</v>
      </c>
    </row>
    <row r="9063" hidden="1">
      <c r="A9063" s="158" t="s">
        <v>235</v>
      </c>
      <c r="B9063" s="159"/>
      <c r="C9063" s="155" t="s">
        <v>236</v>
      </c>
      <c r="D9063" s="156" t="s">
        <v>10062</v>
      </c>
      <c r="E9063" s="156" t="s">
        <v>10227</v>
      </c>
      <c r="F9063" s="156" t="s">
        <v>725</v>
      </c>
      <c r="G9063" s="156" t="s">
        <v>10228</v>
      </c>
      <c r="H9063" s="157" t="s">
        <v>213</v>
      </c>
    </row>
    <row r="9064" hidden="1">
      <c r="A9064" s="160" t="s">
        <v>235</v>
      </c>
      <c r="B9064" s="72"/>
      <c r="C9064" s="118" t="s">
        <v>236</v>
      </c>
      <c r="D9064" s="152" t="s">
        <v>10062</v>
      </c>
      <c r="E9064" s="152" t="s">
        <v>10229</v>
      </c>
      <c r="F9064" s="152" t="s">
        <v>478</v>
      </c>
      <c r="G9064" s="152" t="s">
        <v>10187</v>
      </c>
      <c r="H9064" s="153" t="s">
        <v>214</v>
      </c>
    </row>
    <row r="9065" hidden="1">
      <c r="A9065" s="158" t="s">
        <v>235</v>
      </c>
      <c r="B9065" s="159"/>
      <c r="C9065" s="155" t="s">
        <v>236</v>
      </c>
      <c r="D9065" s="156" t="s">
        <v>10062</v>
      </c>
      <c r="E9065" s="156" t="s">
        <v>10230</v>
      </c>
      <c r="F9065" s="156" t="s">
        <v>577</v>
      </c>
      <c r="G9065" s="156" t="s">
        <v>10187</v>
      </c>
      <c r="H9065" s="157" t="s">
        <v>215</v>
      </c>
    </row>
    <row r="9066" hidden="1">
      <c r="A9066" s="160" t="s">
        <v>235</v>
      </c>
      <c r="B9066" s="72"/>
      <c r="C9066" s="118" t="s">
        <v>236</v>
      </c>
      <c r="D9066" s="152" t="s">
        <v>10062</v>
      </c>
      <c r="E9066" s="152" t="s">
        <v>10231</v>
      </c>
      <c r="F9066" s="152" t="s">
        <v>725</v>
      </c>
      <c r="G9066" s="152" t="s">
        <v>10187</v>
      </c>
      <c r="H9066" s="153" t="s">
        <v>216</v>
      </c>
    </row>
    <row r="9067" hidden="1">
      <c r="A9067" s="158" t="s">
        <v>237</v>
      </c>
      <c r="B9067" s="159"/>
      <c r="C9067" s="155" t="s">
        <v>236</v>
      </c>
      <c r="D9067" s="156" t="s">
        <v>10062</v>
      </c>
      <c r="E9067" s="156" t="s">
        <v>10232</v>
      </c>
      <c r="F9067" s="156" t="s">
        <v>2994</v>
      </c>
      <c r="G9067" s="156" t="s">
        <v>10158</v>
      </c>
      <c r="H9067" s="157" t="s">
        <v>210</v>
      </c>
    </row>
    <row r="9068" hidden="1">
      <c r="A9068" s="160" t="s">
        <v>237</v>
      </c>
      <c r="B9068" s="72"/>
      <c r="C9068" s="118" t="s">
        <v>236</v>
      </c>
      <c r="D9068" s="152" t="s">
        <v>10062</v>
      </c>
      <c r="E9068" s="152" t="s">
        <v>10233</v>
      </c>
      <c r="F9068" s="152" t="s">
        <v>1999</v>
      </c>
      <c r="G9068" s="152" t="s">
        <v>9548</v>
      </c>
      <c r="H9068" s="153" t="s">
        <v>211</v>
      </c>
    </row>
    <row r="9069" hidden="1">
      <c r="A9069" s="158" t="s">
        <v>237</v>
      </c>
      <c r="B9069" s="159"/>
      <c r="C9069" s="155" t="s">
        <v>236</v>
      </c>
      <c r="D9069" s="156" t="s">
        <v>10062</v>
      </c>
      <c r="E9069" s="156" t="s">
        <v>10234</v>
      </c>
      <c r="F9069" s="156" t="s">
        <v>3218</v>
      </c>
      <c r="G9069" s="156" t="s">
        <v>9870</v>
      </c>
      <c r="H9069" s="157" t="s">
        <v>212</v>
      </c>
    </row>
    <row r="9070" hidden="1">
      <c r="A9070" s="160" t="s">
        <v>237</v>
      </c>
      <c r="B9070" s="72"/>
      <c r="C9070" s="118" t="s">
        <v>236</v>
      </c>
      <c r="D9070" s="152" t="s">
        <v>10062</v>
      </c>
      <c r="E9070" s="152" t="s">
        <v>10235</v>
      </c>
      <c r="F9070" s="152" t="s">
        <v>577</v>
      </c>
      <c r="G9070" s="152" t="s">
        <v>9727</v>
      </c>
      <c r="H9070" s="153" t="s">
        <v>213</v>
      </c>
    </row>
    <row r="9071" hidden="1">
      <c r="A9071" s="158" t="s">
        <v>237</v>
      </c>
      <c r="B9071" s="159"/>
      <c r="C9071" s="155" t="s">
        <v>236</v>
      </c>
      <c r="D9071" s="156" t="s">
        <v>10062</v>
      </c>
      <c r="E9071" s="156" t="s">
        <v>10236</v>
      </c>
      <c r="F9071" s="156" t="s">
        <v>1530</v>
      </c>
      <c r="G9071" s="156" t="s">
        <v>9690</v>
      </c>
      <c r="H9071" s="157" t="s">
        <v>214</v>
      </c>
    </row>
    <row r="9072" hidden="1">
      <c r="A9072" s="160" t="s">
        <v>237</v>
      </c>
      <c r="B9072" s="72"/>
      <c r="C9072" s="118" t="s">
        <v>236</v>
      </c>
      <c r="D9072" s="152" t="s">
        <v>10062</v>
      </c>
      <c r="E9072" s="152" t="s">
        <v>10237</v>
      </c>
      <c r="F9072" s="152" t="s">
        <v>1532</v>
      </c>
      <c r="G9072" s="152" t="s">
        <v>10238</v>
      </c>
      <c r="H9072" s="153" t="s">
        <v>215</v>
      </c>
    </row>
    <row r="9073" hidden="1">
      <c r="A9073" s="158" t="s">
        <v>237</v>
      </c>
      <c r="B9073" s="159"/>
      <c r="C9073" s="155" t="s">
        <v>236</v>
      </c>
      <c r="D9073" s="156" t="s">
        <v>10062</v>
      </c>
      <c r="E9073" s="156" t="s">
        <v>10239</v>
      </c>
      <c r="F9073" s="156" t="s">
        <v>673</v>
      </c>
      <c r="G9073" s="156" t="s">
        <v>9850</v>
      </c>
      <c r="H9073" s="157" t="s">
        <v>216</v>
      </c>
    </row>
    <row r="9074" hidden="1">
      <c r="A9074" s="151" t="s">
        <v>204</v>
      </c>
      <c r="B9074" s="118" t="s">
        <v>205</v>
      </c>
      <c r="C9074" s="118" t="s">
        <v>206</v>
      </c>
      <c r="D9074" s="152" t="s">
        <v>10240</v>
      </c>
      <c r="E9074" s="152" t="s">
        <v>10241</v>
      </c>
      <c r="F9074" s="152" t="s">
        <v>1532</v>
      </c>
      <c r="G9074" s="152" t="s">
        <v>9900</v>
      </c>
      <c r="H9074" s="153" t="s">
        <v>210</v>
      </c>
    </row>
    <row r="9075" hidden="1">
      <c r="A9075" s="154" t="s">
        <v>204</v>
      </c>
      <c r="B9075" s="155" t="s">
        <v>205</v>
      </c>
      <c r="C9075" s="155" t="s">
        <v>206</v>
      </c>
      <c r="D9075" s="156" t="s">
        <v>10240</v>
      </c>
      <c r="E9075" s="156" t="s">
        <v>10242</v>
      </c>
      <c r="F9075" s="156" t="s">
        <v>718</v>
      </c>
      <c r="G9075" s="156" t="s">
        <v>9502</v>
      </c>
      <c r="H9075" s="157" t="s">
        <v>211</v>
      </c>
    </row>
    <row r="9076" hidden="1">
      <c r="A9076" s="151" t="s">
        <v>204</v>
      </c>
      <c r="B9076" s="118" t="s">
        <v>205</v>
      </c>
      <c r="C9076" s="118" t="s">
        <v>206</v>
      </c>
      <c r="D9076" s="152" t="s">
        <v>10240</v>
      </c>
      <c r="E9076" s="152" t="s">
        <v>10243</v>
      </c>
      <c r="F9076" s="152" t="s">
        <v>577</v>
      </c>
      <c r="G9076" s="152" t="s">
        <v>10244</v>
      </c>
      <c r="H9076" s="153" t="s">
        <v>212</v>
      </c>
    </row>
    <row r="9077" hidden="1">
      <c r="A9077" s="154" t="s">
        <v>204</v>
      </c>
      <c r="B9077" s="155" t="s">
        <v>205</v>
      </c>
      <c r="C9077" s="155" t="s">
        <v>206</v>
      </c>
      <c r="D9077" s="156" t="s">
        <v>10240</v>
      </c>
      <c r="E9077" s="156" t="s">
        <v>10245</v>
      </c>
      <c r="F9077" s="156" t="s">
        <v>312</v>
      </c>
      <c r="G9077" s="156" t="s">
        <v>10190</v>
      </c>
      <c r="H9077" s="157" t="s">
        <v>213</v>
      </c>
    </row>
    <row r="9078" hidden="1">
      <c r="A9078" s="151" t="s">
        <v>204</v>
      </c>
      <c r="B9078" s="118" t="s">
        <v>205</v>
      </c>
      <c r="C9078" s="118" t="s">
        <v>206</v>
      </c>
      <c r="D9078" s="152" t="s">
        <v>10240</v>
      </c>
      <c r="E9078" s="152" t="s">
        <v>10246</v>
      </c>
      <c r="F9078" s="152" t="s">
        <v>423</v>
      </c>
      <c r="G9078" s="152" t="s">
        <v>9415</v>
      </c>
      <c r="H9078" s="153" t="s">
        <v>214</v>
      </c>
    </row>
    <row r="9079" hidden="1">
      <c r="A9079" s="154" t="s">
        <v>204</v>
      </c>
      <c r="B9079" s="155" t="s">
        <v>205</v>
      </c>
      <c r="C9079" s="155" t="s">
        <v>206</v>
      </c>
      <c r="D9079" s="156" t="s">
        <v>10240</v>
      </c>
      <c r="E9079" s="156" t="s">
        <v>10247</v>
      </c>
      <c r="F9079" s="156" t="s">
        <v>725</v>
      </c>
      <c r="G9079" s="156" t="s">
        <v>10045</v>
      </c>
      <c r="H9079" s="157" t="s">
        <v>215</v>
      </c>
    </row>
    <row r="9080" hidden="1">
      <c r="A9080" s="151" t="s">
        <v>204</v>
      </c>
      <c r="B9080" s="118" t="s">
        <v>205</v>
      </c>
      <c r="C9080" s="118" t="s">
        <v>206</v>
      </c>
      <c r="D9080" s="152" t="s">
        <v>10240</v>
      </c>
      <c r="E9080" s="152" t="s">
        <v>10248</v>
      </c>
      <c r="F9080" s="152" t="s">
        <v>718</v>
      </c>
      <c r="G9080" s="152" t="s">
        <v>10082</v>
      </c>
      <c r="H9080" s="153" t="s">
        <v>216</v>
      </c>
    </row>
    <row r="9081" hidden="1">
      <c r="A9081" s="154" t="s">
        <v>217</v>
      </c>
      <c r="B9081" s="155" t="s">
        <v>191</v>
      </c>
      <c r="C9081" s="155" t="s">
        <v>206</v>
      </c>
      <c r="D9081" s="156" t="s">
        <v>10240</v>
      </c>
      <c r="E9081" s="156" t="s">
        <v>10249</v>
      </c>
      <c r="F9081" s="156" t="s">
        <v>1999</v>
      </c>
      <c r="G9081" s="156" t="s">
        <v>9649</v>
      </c>
      <c r="H9081" s="157" t="s">
        <v>210</v>
      </c>
    </row>
    <row r="9082" hidden="1">
      <c r="A9082" s="151" t="s">
        <v>217</v>
      </c>
      <c r="B9082" s="118" t="s">
        <v>191</v>
      </c>
      <c r="C9082" s="118" t="s">
        <v>206</v>
      </c>
      <c r="D9082" s="152" t="s">
        <v>10240</v>
      </c>
      <c r="E9082" s="152" t="s">
        <v>10250</v>
      </c>
      <c r="F9082" s="152" t="s">
        <v>725</v>
      </c>
      <c r="G9082" s="152" t="s">
        <v>10251</v>
      </c>
      <c r="H9082" s="153" t="s">
        <v>211</v>
      </c>
    </row>
    <row r="9083" hidden="1">
      <c r="A9083" s="154" t="s">
        <v>217</v>
      </c>
      <c r="B9083" s="155" t="s">
        <v>191</v>
      </c>
      <c r="C9083" s="155" t="s">
        <v>206</v>
      </c>
      <c r="D9083" s="156" t="s">
        <v>10240</v>
      </c>
      <c r="E9083" s="156" t="s">
        <v>10252</v>
      </c>
      <c r="F9083" s="156" t="s">
        <v>336</v>
      </c>
      <c r="G9083" s="156" t="s">
        <v>9906</v>
      </c>
      <c r="H9083" s="157" t="s">
        <v>212</v>
      </c>
    </row>
    <row r="9084" hidden="1">
      <c r="A9084" s="151" t="s">
        <v>217</v>
      </c>
      <c r="B9084" s="118" t="s">
        <v>191</v>
      </c>
      <c r="C9084" s="118" t="s">
        <v>206</v>
      </c>
      <c r="D9084" s="152" t="s">
        <v>10240</v>
      </c>
      <c r="E9084" s="152" t="s">
        <v>10253</v>
      </c>
      <c r="F9084" s="152" t="s">
        <v>351</v>
      </c>
      <c r="G9084" s="152" t="s">
        <v>9868</v>
      </c>
      <c r="H9084" s="153" t="s">
        <v>213</v>
      </c>
    </row>
    <row r="9085" hidden="1">
      <c r="A9085" s="154" t="s">
        <v>217</v>
      </c>
      <c r="B9085" s="155" t="s">
        <v>191</v>
      </c>
      <c r="C9085" s="155" t="s">
        <v>206</v>
      </c>
      <c r="D9085" s="156" t="s">
        <v>10240</v>
      </c>
      <c r="E9085" s="156" t="s">
        <v>10254</v>
      </c>
      <c r="F9085" s="156" t="s">
        <v>308</v>
      </c>
      <c r="G9085" s="156" t="s">
        <v>10255</v>
      </c>
      <c r="H9085" s="157" t="s">
        <v>214</v>
      </c>
    </row>
    <row r="9086" hidden="1">
      <c r="A9086" s="151" t="s">
        <v>217</v>
      </c>
      <c r="B9086" s="118" t="s">
        <v>191</v>
      </c>
      <c r="C9086" s="118" t="s">
        <v>206</v>
      </c>
      <c r="D9086" s="152" t="s">
        <v>10240</v>
      </c>
      <c r="E9086" s="152" t="s">
        <v>10256</v>
      </c>
      <c r="F9086" s="152" t="s">
        <v>339</v>
      </c>
      <c r="G9086" s="152" t="s">
        <v>9649</v>
      </c>
      <c r="H9086" s="153" t="s">
        <v>215</v>
      </c>
    </row>
    <row r="9087" hidden="1">
      <c r="A9087" s="154" t="s">
        <v>217</v>
      </c>
      <c r="B9087" s="155" t="s">
        <v>191</v>
      </c>
      <c r="C9087" s="155" t="s">
        <v>206</v>
      </c>
      <c r="D9087" s="156" t="s">
        <v>10240</v>
      </c>
      <c r="E9087" s="156" t="s">
        <v>10257</v>
      </c>
      <c r="F9087" s="156" t="s">
        <v>312</v>
      </c>
      <c r="G9087" s="156" t="s">
        <v>10258</v>
      </c>
      <c r="H9087" s="157" t="s">
        <v>216</v>
      </c>
    </row>
    <row r="9088" hidden="1">
      <c r="A9088" s="151" t="s">
        <v>218</v>
      </c>
      <c r="B9088" s="118" t="s">
        <v>219</v>
      </c>
      <c r="C9088" s="118" t="s">
        <v>206</v>
      </c>
      <c r="D9088" s="152" t="s">
        <v>10240</v>
      </c>
      <c r="E9088" s="152" t="s">
        <v>10259</v>
      </c>
      <c r="F9088" s="152" t="s">
        <v>629</v>
      </c>
      <c r="G9088" s="152" t="s">
        <v>10115</v>
      </c>
      <c r="H9088" s="153" t="s">
        <v>210</v>
      </c>
    </row>
    <row r="9089" hidden="1">
      <c r="A9089" s="154" t="s">
        <v>218</v>
      </c>
      <c r="B9089" s="155" t="s">
        <v>219</v>
      </c>
      <c r="C9089" s="155" t="s">
        <v>206</v>
      </c>
      <c r="D9089" s="156" t="s">
        <v>10240</v>
      </c>
      <c r="E9089" s="156" t="s">
        <v>10260</v>
      </c>
      <c r="F9089" s="156" t="s">
        <v>691</v>
      </c>
      <c r="G9089" s="156" t="s">
        <v>10069</v>
      </c>
      <c r="H9089" s="157" t="s">
        <v>211</v>
      </c>
    </row>
    <row r="9090" hidden="1">
      <c r="A9090" s="151" t="s">
        <v>218</v>
      </c>
      <c r="B9090" s="118" t="s">
        <v>219</v>
      </c>
      <c r="C9090" s="118" t="s">
        <v>206</v>
      </c>
      <c r="D9090" s="152" t="s">
        <v>10240</v>
      </c>
      <c r="E9090" s="152" t="s">
        <v>10261</v>
      </c>
      <c r="F9090" s="152" t="s">
        <v>348</v>
      </c>
      <c r="G9090" s="152" t="s">
        <v>9511</v>
      </c>
      <c r="H9090" s="153" t="s">
        <v>212</v>
      </c>
    </row>
    <row r="9091" hidden="1">
      <c r="A9091" s="154" t="s">
        <v>218</v>
      </c>
      <c r="B9091" s="155" t="s">
        <v>219</v>
      </c>
      <c r="C9091" s="155" t="s">
        <v>206</v>
      </c>
      <c r="D9091" s="156" t="s">
        <v>10240</v>
      </c>
      <c r="E9091" s="156" t="s">
        <v>10262</v>
      </c>
      <c r="F9091" s="156" t="s">
        <v>3340</v>
      </c>
      <c r="G9091" s="156" t="s">
        <v>10263</v>
      </c>
      <c r="H9091" s="157" t="s">
        <v>213</v>
      </c>
    </row>
    <row r="9092" hidden="1">
      <c r="A9092" s="151" t="s">
        <v>218</v>
      </c>
      <c r="B9092" s="118" t="s">
        <v>219</v>
      </c>
      <c r="C9092" s="118" t="s">
        <v>206</v>
      </c>
      <c r="D9092" s="152" t="s">
        <v>10240</v>
      </c>
      <c r="E9092" s="152" t="s">
        <v>10264</v>
      </c>
      <c r="F9092" s="152" t="s">
        <v>1790</v>
      </c>
      <c r="G9092" s="152" t="s">
        <v>9490</v>
      </c>
      <c r="H9092" s="153" t="s">
        <v>214</v>
      </c>
    </row>
    <row r="9093" hidden="1">
      <c r="A9093" s="154" t="s">
        <v>218</v>
      </c>
      <c r="B9093" s="155" t="s">
        <v>219</v>
      </c>
      <c r="C9093" s="155" t="s">
        <v>206</v>
      </c>
      <c r="D9093" s="156" t="s">
        <v>10240</v>
      </c>
      <c r="E9093" s="156" t="s">
        <v>10265</v>
      </c>
      <c r="F9093" s="156" t="s">
        <v>3240</v>
      </c>
      <c r="G9093" s="156" t="s">
        <v>10266</v>
      </c>
      <c r="H9093" s="157" t="s">
        <v>215</v>
      </c>
    </row>
    <row r="9094" hidden="1">
      <c r="A9094" s="151" t="s">
        <v>218</v>
      </c>
      <c r="B9094" s="118" t="s">
        <v>219</v>
      </c>
      <c r="C9094" s="118" t="s">
        <v>206</v>
      </c>
      <c r="D9094" s="152" t="s">
        <v>10240</v>
      </c>
      <c r="E9094" s="152" t="s">
        <v>10267</v>
      </c>
      <c r="F9094" s="152" t="s">
        <v>3240</v>
      </c>
      <c r="G9094" s="152" t="s">
        <v>9484</v>
      </c>
      <c r="H9094" s="153" t="s">
        <v>216</v>
      </c>
    </row>
    <row r="9095" hidden="1">
      <c r="A9095" s="154" t="s">
        <v>220</v>
      </c>
      <c r="B9095" s="155" t="s">
        <v>190</v>
      </c>
      <c r="C9095" s="155" t="s">
        <v>206</v>
      </c>
      <c r="D9095" s="156" t="s">
        <v>10240</v>
      </c>
      <c r="E9095" s="156" t="s">
        <v>10268</v>
      </c>
      <c r="F9095" s="156" t="s">
        <v>329</v>
      </c>
      <c r="G9095" s="156" t="s">
        <v>10269</v>
      </c>
      <c r="H9095" s="157" t="s">
        <v>210</v>
      </c>
    </row>
    <row r="9096" hidden="1">
      <c r="A9096" s="151" t="s">
        <v>220</v>
      </c>
      <c r="B9096" s="118" t="s">
        <v>190</v>
      </c>
      <c r="C9096" s="118" t="s">
        <v>206</v>
      </c>
      <c r="D9096" s="152" t="s">
        <v>10240</v>
      </c>
      <c r="E9096" s="152" t="s">
        <v>10270</v>
      </c>
      <c r="F9096" s="152" t="s">
        <v>325</v>
      </c>
      <c r="G9096" s="152" t="s">
        <v>9738</v>
      </c>
      <c r="H9096" s="153" t="s">
        <v>211</v>
      </c>
    </row>
    <row r="9097" hidden="1">
      <c r="A9097" s="154" t="s">
        <v>220</v>
      </c>
      <c r="B9097" s="155" t="s">
        <v>190</v>
      </c>
      <c r="C9097" s="155" t="s">
        <v>206</v>
      </c>
      <c r="D9097" s="156" t="s">
        <v>10240</v>
      </c>
      <c r="E9097" s="156" t="s">
        <v>10271</v>
      </c>
      <c r="F9097" s="156" t="s">
        <v>725</v>
      </c>
      <c r="G9097" s="156" t="s">
        <v>10272</v>
      </c>
      <c r="H9097" s="157" t="s">
        <v>212</v>
      </c>
    </row>
    <row r="9098" hidden="1">
      <c r="A9098" s="151" t="s">
        <v>220</v>
      </c>
      <c r="B9098" s="118" t="s">
        <v>190</v>
      </c>
      <c r="C9098" s="118" t="s">
        <v>206</v>
      </c>
      <c r="D9098" s="152" t="s">
        <v>10240</v>
      </c>
      <c r="E9098" s="152" t="s">
        <v>10273</v>
      </c>
      <c r="F9098" s="152" t="s">
        <v>799</v>
      </c>
      <c r="G9098" s="152" t="s">
        <v>10274</v>
      </c>
      <c r="H9098" s="153" t="s">
        <v>213</v>
      </c>
    </row>
    <row r="9099" hidden="1">
      <c r="A9099" s="154" t="s">
        <v>220</v>
      </c>
      <c r="B9099" s="155" t="s">
        <v>190</v>
      </c>
      <c r="C9099" s="155" t="s">
        <v>206</v>
      </c>
      <c r="D9099" s="156" t="s">
        <v>10240</v>
      </c>
      <c r="E9099" s="156" t="s">
        <v>10275</v>
      </c>
      <c r="F9099" s="156" t="s">
        <v>354</v>
      </c>
      <c r="G9099" s="156" t="s">
        <v>9926</v>
      </c>
      <c r="H9099" s="157" t="s">
        <v>214</v>
      </c>
    </row>
    <row r="9100" hidden="1">
      <c r="A9100" s="151" t="s">
        <v>220</v>
      </c>
      <c r="B9100" s="118" t="s">
        <v>190</v>
      </c>
      <c r="C9100" s="118" t="s">
        <v>206</v>
      </c>
      <c r="D9100" s="152" t="s">
        <v>10240</v>
      </c>
      <c r="E9100" s="152" t="s">
        <v>10276</v>
      </c>
      <c r="F9100" s="152" t="s">
        <v>799</v>
      </c>
      <c r="G9100" s="152" t="s">
        <v>10277</v>
      </c>
      <c r="H9100" s="153" t="s">
        <v>215</v>
      </c>
    </row>
    <row r="9101" hidden="1">
      <c r="A9101" s="154" t="s">
        <v>220</v>
      </c>
      <c r="B9101" s="155" t="s">
        <v>190</v>
      </c>
      <c r="C9101" s="155" t="s">
        <v>206</v>
      </c>
      <c r="D9101" s="156" t="s">
        <v>10240</v>
      </c>
      <c r="E9101" s="156" t="s">
        <v>10278</v>
      </c>
      <c r="F9101" s="156" t="s">
        <v>483</v>
      </c>
      <c r="G9101" s="156" t="s">
        <v>9843</v>
      </c>
      <c r="H9101" s="157" t="s">
        <v>216</v>
      </c>
    </row>
    <row r="9102" hidden="1">
      <c r="A9102" s="151" t="s">
        <v>221</v>
      </c>
      <c r="B9102" s="118" t="s">
        <v>189</v>
      </c>
      <c r="C9102" s="118" t="s">
        <v>206</v>
      </c>
      <c r="D9102" s="152" t="s">
        <v>10240</v>
      </c>
      <c r="E9102" s="152" t="s">
        <v>10279</v>
      </c>
      <c r="F9102" s="152" t="s">
        <v>799</v>
      </c>
      <c r="G9102" s="152" t="s">
        <v>9767</v>
      </c>
      <c r="H9102" s="153" t="s">
        <v>210</v>
      </c>
    </row>
    <row r="9103" hidden="1">
      <c r="A9103" s="154" t="s">
        <v>221</v>
      </c>
      <c r="B9103" s="155" t="s">
        <v>189</v>
      </c>
      <c r="C9103" s="155" t="s">
        <v>206</v>
      </c>
      <c r="D9103" s="156" t="s">
        <v>10240</v>
      </c>
      <c r="E9103" s="156" t="s">
        <v>10280</v>
      </c>
      <c r="F9103" s="156" t="s">
        <v>494</v>
      </c>
      <c r="G9103" s="156" t="s">
        <v>9400</v>
      </c>
      <c r="H9103" s="157" t="s">
        <v>211</v>
      </c>
    </row>
    <row r="9104" hidden="1">
      <c r="A9104" s="151" t="s">
        <v>221</v>
      </c>
      <c r="B9104" s="118" t="s">
        <v>189</v>
      </c>
      <c r="C9104" s="118" t="s">
        <v>206</v>
      </c>
      <c r="D9104" s="152" t="s">
        <v>10240</v>
      </c>
      <c r="E9104" s="152" t="s">
        <v>10281</v>
      </c>
      <c r="F9104" s="152" t="s">
        <v>494</v>
      </c>
      <c r="G9104" s="152" t="s">
        <v>10282</v>
      </c>
      <c r="H9104" s="153" t="s">
        <v>212</v>
      </c>
    </row>
    <row r="9105" hidden="1">
      <c r="A9105" s="154" t="s">
        <v>221</v>
      </c>
      <c r="B9105" s="155" t="s">
        <v>189</v>
      </c>
      <c r="C9105" s="155" t="s">
        <v>206</v>
      </c>
      <c r="D9105" s="156" t="s">
        <v>10240</v>
      </c>
      <c r="E9105" s="156" t="s">
        <v>10283</v>
      </c>
      <c r="F9105" s="156" t="s">
        <v>427</v>
      </c>
      <c r="G9105" s="156" t="s">
        <v>9725</v>
      </c>
      <c r="H9105" s="157" t="s">
        <v>213</v>
      </c>
    </row>
    <row r="9106" hidden="1">
      <c r="A9106" s="151" t="s">
        <v>221</v>
      </c>
      <c r="B9106" s="118" t="s">
        <v>189</v>
      </c>
      <c r="C9106" s="118" t="s">
        <v>206</v>
      </c>
      <c r="D9106" s="152" t="s">
        <v>10240</v>
      </c>
      <c r="E9106" s="152" t="s">
        <v>10284</v>
      </c>
      <c r="F9106" s="152" t="s">
        <v>336</v>
      </c>
      <c r="G9106" s="152" t="s">
        <v>3472</v>
      </c>
      <c r="H9106" s="153" t="s">
        <v>214</v>
      </c>
    </row>
    <row r="9107" hidden="1">
      <c r="A9107" s="154" t="s">
        <v>221</v>
      </c>
      <c r="B9107" s="155" t="s">
        <v>189</v>
      </c>
      <c r="C9107" s="155" t="s">
        <v>206</v>
      </c>
      <c r="D9107" s="156" t="s">
        <v>10240</v>
      </c>
      <c r="E9107" s="156" t="s">
        <v>10285</v>
      </c>
      <c r="F9107" s="156" t="s">
        <v>354</v>
      </c>
      <c r="G9107" s="156" t="s">
        <v>3470</v>
      </c>
      <c r="H9107" s="157" t="s">
        <v>215</v>
      </c>
    </row>
    <row r="9108" hidden="1">
      <c r="A9108" s="151" t="s">
        <v>221</v>
      </c>
      <c r="B9108" s="118" t="s">
        <v>189</v>
      </c>
      <c r="C9108" s="118" t="s">
        <v>206</v>
      </c>
      <c r="D9108" s="152" t="s">
        <v>10240</v>
      </c>
      <c r="E9108" s="152" t="s">
        <v>10286</v>
      </c>
      <c r="F9108" s="152" t="s">
        <v>799</v>
      </c>
      <c r="G9108" s="152" t="s">
        <v>9357</v>
      </c>
      <c r="H9108" s="153" t="s">
        <v>216</v>
      </c>
    </row>
    <row r="9109" hidden="1">
      <c r="A9109" s="154" t="s">
        <v>222</v>
      </c>
      <c r="B9109" s="155" t="s">
        <v>192</v>
      </c>
      <c r="C9109" s="155" t="s">
        <v>206</v>
      </c>
      <c r="D9109" s="156" t="s">
        <v>10240</v>
      </c>
      <c r="E9109" s="156" t="s">
        <v>10287</v>
      </c>
      <c r="F9109" s="156" t="s">
        <v>2994</v>
      </c>
      <c r="G9109" s="156" t="s">
        <v>10288</v>
      </c>
      <c r="H9109" s="157" t="s">
        <v>210</v>
      </c>
    </row>
    <row r="9110" hidden="1">
      <c r="A9110" s="151" t="s">
        <v>222</v>
      </c>
      <c r="B9110" s="118" t="s">
        <v>192</v>
      </c>
      <c r="C9110" s="118" t="s">
        <v>206</v>
      </c>
      <c r="D9110" s="152" t="s">
        <v>10240</v>
      </c>
      <c r="E9110" s="152" t="s">
        <v>10289</v>
      </c>
      <c r="F9110" s="152" t="s">
        <v>1999</v>
      </c>
      <c r="G9110" s="152" t="s">
        <v>10290</v>
      </c>
      <c r="H9110" s="153" t="s">
        <v>211</v>
      </c>
    </row>
    <row r="9111" hidden="1">
      <c r="A9111" s="154" t="s">
        <v>222</v>
      </c>
      <c r="B9111" s="155" t="s">
        <v>192</v>
      </c>
      <c r="C9111" s="155" t="s">
        <v>206</v>
      </c>
      <c r="D9111" s="156" t="s">
        <v>10240</v>
      </c>
      <c r="E9111" s="156" t="s">
        <v>10291</v>
      </c>
      <c r="F9111" s="156" t="s">
        <v>763</v>
      </c>
      <c r="G9111" s="156" t="s">
        <v>10067</v>
      </c>
      <c r="H9111" s="157" t="s">
        <v>212</v>
      </c>
    </row>
    <row r="9112" hidden="1">
      <c r="A9112" s="151" t="s">
        <v>222</v>
      </c>
      <c r="B9112" s="118" t="s">
        <v>192</v>
      </c>
      <c r="C9112" s="118" t="s">
        <v>206</v>
      </c>
      <c r="D9112" s="152" t="s">
        <v>10240</v>
      </c>
      <c r="E9112" s="152" t="s">
        <v>10292</v>
      </c>
      <c r="F9112" s="152" t="s">
        <v>760</v>
      </c>
      <c r="G9112" s="152" t="s">
        <v>10293</v>
      </c>
      <c r="H9112" s="153" t="s">
        <v>213</v>
      </c>
    </row>
    <row r="9113" hidden="1">
      <c r="A9113" s="154" t="s">
        <v>222</v>
      </c>
      <c r="B9113" s="155" t="s">
        <v>192</v>
      </c>
      <c r="C9113" s="155" t="s">
        <v>206</v>
      </c>
      <c r="D9113" s="156" t="s">
        <v>10240</v>
      </c>
      <c r="E9113" s="156" t="s">
        <v>10294</v>
      </c>
      <c r="F9113" s="156" t="s">
        <v>448</v>
      </c>
      <c r="G9113" s="156" t="s">
        <v>10288</v>
      </c>
      <c r="H9113" s="157" t="s">
        <v>214</v>
      </c>
    </row>
    <row r="9114" hidden="1">
      <c r="A9114" s="151" t="s">
        <v>222</v>
      </c>
      <c r="B9114" s="118" t="s">
        <v>192</v>
      </c>
      <c r="C9114" s="118" t="s">
        <v>206</v>
      </c>
      <c r="D9114" s="152" t="s">
        <v>10240</v>
      </c>
      <c r="E9114" s="152" t="s">
        <v>10295</v>
      </c>
      <c r="F9114" s="152" t="s">
        <v>483</v>
      </c>
      <c r="G9114" s="152" t="s">
        <v>10208</v>
      </c>
      <c r="H9114" s="153" t="s">
        <v>215</v>
      </c>
    </row>
    <row r="9115" hidden="1">
      <c r="A9115" s="154" t="s">
        <v>222</v>
      </c>
      <c r="B9115" s="155" t="s">
        <v>192</v>
      </c>
      <c r="C9115" s="155" t="s">
        <v>206</v>
      </c>
      <c r="D9115" s="156" t="s">
        <v>10240</v>
      </c>
      <c r="E9115" s="156" t="s">
        <v>10296</v>
      </c>
      <c r="F9115" s="156" t="s">
        <v>735</v>
      </c>
      <c r="G9115" s="156" t="s">
        <v>10297</v>
      </c>
      <c r="H9115" s="157" t="s">
        <v>216</v>
      </c>
    </row>
    <row r="9116" hidden="1">
      <c r="A9116" s="151" t="s">
        <v>223</v>
      </c>
      <c r="B9116" s="118" t="s">
        <v>144</v>
      </c>
      <c r="C9116" s="118" t="s">
        <v>206</v>
      </c>
      <c r="D9116" s="152" t="s">
        <v>10240</v>
      </c>
      <c r="E9116" s="152" t="s">
        <v>10298</v>
      </c>
      <c r="F9116" s="152" t="s">
        <v>1999</v>
      </c>
      <c r="G9116" s="152" t="s">
        <v>10255</v>
      </c>
      <c r="H9116" s="153" t="s">
        <v>210</v>
      </c>
    </row>
    <row r="9117" hidden="1">
      <c r="A9117" s="154" t="s">
        <v>223</v>
      </c>
      <c r="B9117" s="155" t="s">
        <v>144</v>
      </c>
      <c r="C9117" s="155" t="s">
        <v>206</v>
      </c>
      <c r="D9117" s="156" t="s">
        <v>10240</v>
      </c>
      <c r="E9117" s="156" t="s">
        <v>10299</v>
      </c>
      <c r="F9117" s="156" t="s">
        <v>448</v>
      </c>
      <c r="G9117" s="156" t="s">
        <v>10051</v>
      </c>
      <c r="H9117" s="157" t="s">
        <v>211</v>
      </c>
    </row>
    <row r="9118" hidden="1">
      <c r="A9118" s="151" t="s">
        <v>223</v>
      </c>
      <c r="B9118" s="118" t="s">
        <v>144</v>
      </c>
      <c r="C9118" s="118" t="s">
        <v>206</v>
      </c>
      <c r="D9118" s="152" t="s">
        <v>10240</v>
      </c>
      <c r="E9118" s="152" t="s">
        <v>10300</v>
      </c>
      <c r="F9118" s="152" t="s">
        <v>532</v>
      </c>
      <c r="G9118" s="152" t="s">
        <v>9892</v>
      </c>
      <c r="H9118" s="153" t="s">
        <v>212</v>
      </c>
    </row>
    <row r="9119" hidden="1">
      <c r="A9119" s="154" t="s">
        <v>223</v>
      </c>
      <c r="B9119" s="155" t="s">
        <v>144</v>
      </c>
      <c r="C9119" s="155" t="s">
        <v>206</v>
      </c>
      <c r="D9119" s="156" t="s">
        <v>10240</v>
      </c>
      <c r="E9119" s="156" t="s">
        <v>10301</v>
      </c>
      <c r="F9119" s="156" t="s">
        <v>1999</v>
      </c>
      <c r="G9119" s="156" t="s">
        <v>9486</v>
      </c>
      <c r="H9119" s="157" t="s">
        <v>213</v>
      </c>
    </row>
    <row r="9120" hidden="1">
      <c r="A9120" s="151" t="s">
        <v>223</v>
      </c>
      <c r="B9120" s="118" t="s">
        <v>144</v>
      </c>
      <c r="C9120" s="118" t="s">
        <v>206</v>
      </c>
      <c r="D9120" s="152" t="s">
        <v>10240</v>
      </c>
      <c r="E9120" s="152" t="s">
        <v>10302</v>
      </c>
      <c r="F9120" s="152" t="s">
        <v>3218</v>
      </c>
      <c r="G9120" s="152" t="s">
        <v>9906</v>
      </c>
      <c r="H9120" s="153" t="s">
        <v>214</v>
      </c>
    </row>
    <row r="9121" hidden="1">
      <c r="A9121" s="154" t="s">
        <v>223</v>
      </c>
      <c r="B9121" s="155" t="s">
        <v>144</v>
      </c>
      <c r="C9121" s="155" t="s">
        <v>206</v>
      </c>
      <c r="D9121" s="156" t="s">
        <v>10240</v>
      </c>
      <c r="E9121" s="156" t="s">
        <v>10303</v>
      </c>
      <c r="F9121" s="156" t="s">
        <v>405</v>
      </c>
      <c r="G9121" s="156" t="s">
        <v>9886</v>
      </c>
      <c r="H9121" s="157" t="s">
        <v>215</v>
      </c>
    </row>
    <row r="9122" hidden="1">
      <c r="A9122" s="151" t="s">
        <v>223</v>
      </c>
      <c r="B9122" s="118" t="s">
        <v>144</v>
      </c>
      <c r="C9122" s="118" t="s">
        <v>206</v>
      </c>
      <c r="D9122" s="152" t="s">
        <v>10240</v>
      </c>
      <c r="E9122" s="152" t="s">
        <v>10304</v>
      </c>
      <c r="F9122" s="152" t="s">
        <v>405</v>
      </c>
      <c r="G9122" s="152" t="s">
        <v>10305</v>
      </c>
      <c r="H9122" s="153" t="s">
        <v>216</v>
      </c>
    </row>
    <row r="9123" hidden="1">
      <c r="A9123" s="154" t="s">
        <v>224</v>
      </c>
      <c r="B9123" s="155" t="s">
        <v>170</v>
      </c>
      <c r="C9123" s="155" t="s">
        <v>206</v>
      </c>
      <c r="D9123" s="156" t="s">
        <v>10240</v>
      </c>
      <c r="E9123" s="156" t="s">
        <v>10306</v>
      </c>
      <c r="F9123" s="156" t="s">
        <v>718</v>
      </c>
      <c r="G9123" s="156" t="s">
        <v>3436</v>
      </c>
      <c r="H9123" s="157" t="s">
        <v>210</v>
      </c>
    </row>
    <row r="9124" hidden="1">
      <c r="A9124" s="151" t="s">
        <v>224</v>
      </c>
      <c r="B9124" s="118" t="s">
        <v>170</v>
      </c>
      <c r="C9124" s="118" t="s">
        <v>206</v>
      </c>
      <c r="D9124" s="152" t="s">
        <v>10240</v>
      </c>
      <c r="E9124" s="152" t="s">
        <v>10307</v>
      </c>
      <c r="F9124" s="152" t="s">
        <v>1530</v>
      </c>
      <c r="G9124" s="152" t="s">
        <v>10308</v>
      </c>
      <c r="H9124" s="153" t="s">
        <v>211</v>
      </c>
    </row>
    <row r="9125" hidden="1">
      <c r="A9125" s="154" t="s">
        <v>224</v>
      </c>
      <c r="B9125" s="155" t="s">
        <v>170</v>
      </c>
      <c r="C9125" s="155" t="s">
        <v>206</v>
      </c>
      <c r="D9125" s="156" t="s">
        <v>10240</v>
      </c>
      <c r="E9125" s="156" t="s">
        <v>10309</v>
      </c>
      <c r="F9125" s="156" t="s">
        <v>2994</v>
      </c>
      <c r="G9125" s="156" t="s">
        <v>9502</v>
      </c>
      <c r="H9125" s="157" t="s">
        <v>212</v>
      </c>
    </row>
    <row r="9126" hidden="1">
      <c r="A9126" s="151" t="s">
        <v>224</v>
      </c>
      <c r="B9126" s="118" t="s">
        <v>170</v>
      </c>
      <c r="C9126" s="118" t="s">
        <v>206</v>
      </c>
      <c r="D9126" s="152" t="s">
        <v>10240</v>
      </c>
      <c r="E9126" s="152" t="s">
        <v>10310</v>
      </c>
      <c r="F9126" s="152" t="s">
        <v>390</v>
      </c>
      <c r="G9126" s="152" t="s">
        <v>10094</v>
      </c>
      <c r="H9126" s="153" t="s">
        <v>213</v>
      </c>
    </row>
    <row r="9127" hidden="1">
      <c r="A9127" s="154" t="s">
        <v>224</v>
      </c>
      <c r="B9127" s="155" t="s">
        <v>170</v>
      </c>
      <c r="C9127" s="155" t="s">
        <v>206</v>
      </c>
      <c r="D9127" s="156" t="s">
        <v>10240</v>
      </c>
      <c r="E9127" s="156" t="s">
        <v>10311</v>
      </c>
      <c r="F9127" s="156" t="s">
        <v>2228</v>
      </c>
      <c r="G9127" s="156" t="s">
        <v>10251</v>
      </c>
      <c r="H9127" s="157" t="s">
        <v>214</v>
      </c>
    </row>
    <row r="9128" hidden="1">
      <c r="A9128" s="151" t="s">
        <v>224</v>
      </c>
      <c r="B9128" s="118" t="s">
        <v>170</v>
      </c>
      <c r="C9128" s="118" t="s">
        <v>206</v>
      </c>
      <c r="D9128" s="152" t="s">
        <v>10240</v>
      </c>
      <c r="E9128" s="152" t="s">
        <v>10312</v>
      </c>
      <c r="F9128" s="152" t="s">
        <v>718</v>
      </c>
      <c r="G9128" s="152" t="s">
        <v>9359</v>
      </c>
      <c r="H9128" s="153" t="s">
        <v>215</v>
      </c>
    </row>
    <row r="9129" hidden="1">
      <c r="A9129" s="154" t="s">
        <v>224</v>
      </c>
      <c r="B9129" s="155" t="s">
        <v>170</v>
      </c>
      <c r="C9129" s="155" t="s">
        <v>206</v>
      </c>
      <c r="D9129" s="156" t="s">
        <v>10240</v>
      </c>
      <c r="E9129" s="156" t="s">
        <v>10313</v>
      </c>
      <c r="F9129" s="156" t="s">
        <v>673</v>
      </c>
      <c r="G9129" s="156" t="s">
        <v>10314</v>
      </c>
      <c r="H9129" s="157" t="s">
        <v>216</v>
      </c>
    </row>
    <row r="9130" hidden="1">
      <c r="A9130" s="151" t="s">
        <v>225</v>
      </c>
      <c r="B9130" s="118" t="s">
        <v>226</v>
      </c>
      <c r="C9130" s="118" t="s">
        <v>206</v>
      </c>
      <c r="D9130" s="152" t="s">
        <v>10240</v>
      </c>
      <c r="E9130" s="152" t="s">
        <v>10315</v>
      </c>
      <c r="F9130" s="152" t="s">
        <v>249</v>
      </c>
      <c r="G9130" s="152" t="s">
        <v>3934</v>
      </c>
      <c r="H9130" s="153" t="s">
        <v>210</v>
      </c>
    </row>
    <row r="9131" hidden="1">
      <c r="A9131" s="154" t="s">
        <v>225</v>
      </c>
      <c r="B9131" s="155" t="s">
        <v>226</v>
      </c>
      <c r="C9131" s="155" t="s">
        <v>206</v>
      </c>
      <c r="D9131" s="156" t="s">
        <v>10240</v>
      </c>
      <c r="E9131" s="156" t="s">
        <v>10316</v>
      </c>
      <c r="F9131" s="156" t="s">
        <v>427</v>
      </c>
      <c r="G9131" s="156" t="s">
        <v>3930</v>
      </c>
      <c r="H9131" s="157" t="s">
        <v>211</v>
      </c>
    </row>
    <row r="9132" hidden="1">
      <c r="A9132" s="151" t="s">
        <v>225</v>
      </c>
      <c r="B9132" s="118" t="s">
        <v>226</v>
      </c>
      <c r="C9132" s="118" t="s">
        <v>206</v>
      </c>
      <c r="D9132" s="152" t="s">
        <v>10240</v>
      </c>
      <c r="E9132" s="152" t="s">
        <v>10317</v>
      </c>
      <c r="F9132" s="152" t="s">
        <v>450</v>
      </c>
      <c r="G9132" s="152" t="s">
        <v>8617</v>
      </c>
      <c r="H9132" s="153" t="s">
        <v>212</v>
      </c>
    </row>
    <row r="9133" hidden="1">
      <c r="A9133" s="154" t="s">
        <v>225</v>
      </c>
      <c r="B9133" s="155" t="s">
        <v>226</v>
      </c>
      <c r="C9133" s="155" t="s">
        <v>206</v>
      </c>
      <c r="D9133" s="156" t="s">
        <v>10240</v>
      </c>
      <c r="E9133" s="156" t="s">
        <v>10318</v>
      </c>
      <c r="F9133" s="156" t="s">
        <v>1999</v>
      </c>
      <c r="G9133" s="156" t="s">
        <v>8617</v>
      </c>
      <c r="H9133" s="157" t="s">
        <v>213</v>
      </c>
    </row>
    <row r="9134" hidden="1">
      <c r="A9134" s="151" t="s">
        <v>225</v>
      </c>
      <c r="B9134" s="118" t="s">
        <v>226</v>
      </c>
      <c r="C9134" s="118" t="s">
        <v>206</v>
      </c>
      <c r="D9134" s="152" t="s">
        <v>10240</v>
      </c>
      <c r="E9134" s="152" t="s">
        <v>10319</v>
      </c>
      <c r="F9134" s="152" t="s">
        <v>390</v>
      </c>
      <c r="G9134" s="152" t="s">
        <v>9210</v>
      </c>
      <c r="H9134" s="153" t="s">
        <v>214</v>
      </c>
    </row>
    <row r="9135" hidden="1">
      <c r="A9135" s="154" t="s">
        <v>225</v>
      </c>
      <c r="B9135" s="155" t="s">
        <v>226</v>
      </c>
      <c r="C9135" s="155" t="s">
        <v>206</v>
      </c>
      <c r="D9135" s="156" t="s">
        <v>10240</v>
      </c>
      <c r="E9135" s="156" t="s">
        <v>10320</v>
      </c>
      <c r="F9135" s="156" t="s">
        <v>336</v>
      </c>
      <c r="G9135" s="156" t="s">
        <v>3930</v>
      </c>
      <c r="H9135" s="157" t="s">
        <v>215</v>
      </c>
    </row>
    <row r="9136" hidden="1">
      <c r="A9136" s="151" t="s">
        <v>225</v>
      </c>
      <c r="B9136" s="118" t="s">
        <v>226</v>
      </c>
      <c r="C9136" s="118" t="s">
        <v>206</v>
      </c>
      <c r="D9136" s="152" t="s">
        <v>10240</v>
      </c>
      <c r="E9136" s="152" t="s">
        <v>10321</v>
      </c>
      <c r="F9136" s="152" t="s">
        <v>339</v>
      </c>
      <c r="G9136" s="152" t="s">
        <v>3699</v>
      </c>
      <c r="H9136" s="153" t="s">
        <v>216</v>
      </c>
    </row>
    <row r="9137" hidden="1">
      <c r="A9137" s="154" t="s">
        <v>227</v>
      </c>
      <c r="B9137" s="155" t="s">
        <v>195</v>
      </c>
      <c r="C9137" s="155" t="s">
        <v>206</v>
      </c>
      <c r="D9137" s="156" t="s">
        <v>10240</v>
      </c>
      <c r="E9137" s="156" t="s">
        <v>10322</v>
      </c>
      <c r="F9137" s="156" t="s">
        <v>425</v>
      </c>
      <c r="G9137" s="156" t="s">
        <v>9976</v>
      </c>
      <c r="H9137" s="157" t="s">
        <v>210</v>
      </c>
    </row>
    <row r="9138" hidden="1">
      <c r="A9138" s="151" t="s">
        <v>227</v>
      </c>
      <c r="B9138" s="118" t="s">
        <v>195</v>
      </c>
      <c r="C9138" s="118" t="s">
        <v>206</v>
      </c>
      <c r="D9138" s="152" t="s">
        <v>10240</v>
      </c>
      <c r="E9138" s="152" t="s">
        <v>10323</v>
      </c>
      <c r="F9138" s="152" t="s">
        <v>312</v>
      </c>
      <c r="G9138" s="152" t="s">
        <v>10324</v>
      </c>
      <c r="H9138" s="153" t="s">
        <v>211</v>
      </c>
    </row>
    <row r="9139" hidden="1">
      <c r="A9139" s="154" t="s">
        <v>227</v>
      </c>
      <c r="B9139" s="155" t="s">
        <v>195</v>
      </c>
      <c r="C9139" s="155" t="s">
        <v>206</v>
      </c>
      <c r="D9139" s="156" t="s">
        <v>10240</v>
      </c>
      <c r="E9139" s="156" t="s">
        <v>10325</v>
      </c>
      <c r="F9139" s="156" t="s">
        <v>1929</v>
      </c>
      <c r="G9139" s="156" t="s">
        <v>9557</v>
      </c>
      <c r="H9139" s="157" t="s">
        <v>212</v>
      </c>
    </row>
    <row r="9140" hidden="1">
      <c r="A9140" s="151" t="s">
        <v>227</v>
      </c>
      <c r="B9140" s="118" t="s">
        <v>195</v>
      </c>
      <c r="C9140" s="118" t="s">
        <v>206</v>
      </c>
      <c r="D9140" s="152" t="s">
        <v>10240</v>
      </c>
      <c r="E9140" s="152" t="s">
        <v>10326</v>
      </c>
      <c r="F9140" s="152" t="s">
        <v>760</v>
      </c>
      <c r="G9140" s="152" t="s">
        <v>9890</v>
      </c>
      <c r="H9140" s="153" t="s">
        <v>213</v>
      </c>
    </row>
    <row r="9141" hidden="1">
      <c r="A9141" s="154" t="s">
        <v>227</v>
      </c>
      <c r="B9141" s="155" t="s">
        <v>195</v>
      </c>
      <c r="C9141" s="155" t="s">
        <v>206</v>
      </c>
      <c r="D9141" s="156" t="s">
        <v>10240</v>
      </c>
      <c r="E9141" s="156" t="s">
        <v>10327</v>
      </c>
      <c r="F9141" s="156" t="s">
        <v>677</v>
      </c>
      <c r="G9141" s="156" t="s">
        <v>10328</v>
      </c>
      <c r="H9141" s="157" t="s">
        <v>214</v>
      </c>
    </row>
    <row r="9142" hidden="1">
      <c r="A9142" s="151" t="s">
        <v>227</v>
      </c>
      <c r="B9142" s="118" t="s">
        <v>195</v>
      </c>
      <c r="C9142" s="118" t="s">
        <v>206</v>
      </c>
      <c r="D9142" s="152" t="s">
        <v>10240</v>
      </c>
      <c r="E9142" s="152" t="s">
        <v>10329</v>
      </c>
      <c r="F9142" s="152" t="s">
        <v>448</v>
      </c>
      <c r="G9142" s="152" t="s">
        <v>9945</v>
      </c>
      <c r="H9142" s="153" t="s">
        <v>215</v>
      </c>
    </row>
    <row r="9143" hidden="1">
      <c r="A9143" s="154" t="s">
        <v>227</v>
      </c>
      <c r="B9143" s="155" t="s">
        <v>195</v>
      </c>
      <c r="C9143" s="155" t="s">
        <v>206</v>
      </c>
      <c r="D9143" s="156" t="s">
        <v>10240</v>
      </c>
      <c r="E9143" s="156" t="s">
        <v>10330</v>
      </c>
      <c r="F9143" s="156" t="s">
        <v>478</v>
      </c>
      <c r="G9143" s="156" t="s">
        <v>9767</v>
      </c>
      <c r="H9143" s="157" t="s">
        <v>216</v>
      </c>
    </row>
    <row r="9144" hidden="1">
      <c r="A9144" s="151" t="s">
        <v>228</v>
      </c>
      <c r="B9144" s="118" t="s">
        <v>138</v>
      </c>
      <c r="C9144" s="118" t="s">
        <v>206</v>
      </c>
      <c r="D9144" s="152" t="s">
        <v>10240</v>
      </c>
      <c r="E9144" s="152" t="s">
        <v>10331</v>
      </c>
      <c r="F9144" s="152" t="s">
        <v>1999</v>
      </c>
      <c r="G9144" s="152" t="s">
        <v>10332</v>
      </c>
      <c r="H9144" s="153" t="s">
        <v>210</v>
      </c>
    </row>
    <row r="9145" hidden="1">
      <c r="A9145" s="154" t="s">
        <v>228</v>
      </c>
      <c r="B9145" s="155" t="s">
        <v>138</v>
      </c>
      <c r="C9145" s="155" t="s">
        <v>206</v>
      </c>
      <c r="D9145" s="156" t="s">
        <v>10240</v>
      </c>
      <c r="E9145" s="156" t="s">
        <v>10333</v>
      </c>
      <c r="F9145" s="156" t="s">
        <v>290</v>
      </c>
      <c r="G9145" s="156" t="s">
        <v>9350</v>
      </c>
      <c r="H9145" s="157" t="s">
        <v>211</v>
      </c>
    </row>
    <row r="9146" hidden="1">
      <c r="A9146" s="151" t="s">
        <v>228</v>
      </c>
      <c r="B9146" s="118" t="s">
        <v>138</v>
      </c>
      <c r="C9146" s="118" t="s">
        <v>206</v>
      </c>
      <c r="D9146" s="152" t="s">
        <v>10240</v>
      </c>
      <c r="E9146" s="152" t="s">
        <v>10334</v>
      </c>
      <c r="F9146" s="152" t="s">
        <v>301</v>
      </c>
      <c r="G9146" s="152" t="s">
        <v>4119</v>
      </c>
      <c r="H9146" s="153" t="s">
        <v>212</v>
      </c>
    </row>
    <row r="9147" hidden="1">
      <c r="A9147" s="154" t="s">
        <v>228</v>
      </c>
      <c r="B9147" s="155" t="s">
        <v>138</v>
      </c>
      <c r="C9147" s="155" t="s">
        <v>206</v>
      </c>
      <c r="D9147" s="156" t="s">
        <v>10240</v>
      </c>
      <c r="E9147" s="156" t="s">
        <v>10335</v>
      </c>
      <c r="F9147" s="156" t="s">
        <v>265</v>
      </c>
      <c r="G9147" s="156" t="s">
        <v>3543</v>
      </c>
      <c r="H9147" s="157" t="s">
        <v>213</v>
      </c>
    </row>
    <row r="9148" hidden="1">
      <c r="A9148" s="151" t="s">
        <v>228</v>
      </c>
      <c r="B9148" s="118" t="s">
        <v>138</v>
      </c>
      <c r="C9148" s="118" t="s">
        <v>206</v>
      </c>
      <c r="D9148" s="152" t="s">
        <v>10240</v>
      </c>
      <c r="E9148" s="152" t="s">
        <v>10336</v>
      </c>
      <c r="F9148" s="152" t="s">
        <v>323</v>
      </c>
      <c r="G9148" s="152" t="s">
        <v>9850</v>
      </c>
      <c r="H9148" s="153" t="s">
        <v>214</v>
      </c>
    </row>
    <row r="9149" hidden="1">
      <c r="A9149" s="154" t="s">
        <v>228</v>
      </c>
      <c r="B9149" s="155" t="s">
        <v>138</v>
      </c>
      <c r="C9149" s="155" t="s">
        <v>206</v>
      </c>
      <c r="D9149" s="156" t="s">
        <v>10240</v>
      </c>
      <c r="E9149" s="156" t="s">
        <v>10337</v>
      </c>
      <c r="F9149" s="156" t="s">
        <v>244</v>
      </c>
      <c r="G9149" s="156" t="s">
        <v>9829</v>
      </c>
      <c r="H9149" s="157" t="s">
        <v>215</v>
      </c>
    </row>
    <row r="9150" hidden="1">
      <c r="A9150" s="151" t="s">
        <v>228</v>
      </c>
      <c r="B9150" s="118" t="s">
        <v>138</v>
      </c>
      <c r="C9150" s="118" t="s">
        <v>206</v>
      </c>
      <c r="D9150" s="152" t="s">
        <v>10240</v>
      </c>
      <c r="E9150" s="152" t="s">
        <v>10338</v>
      </c>
      <c r="F9150" s="152" t="s">
        <v>425</v>
      </c>
      <c r="G9150" s="152" t="s">
        <v>10032</v>
      </c>
      <c r="H9150" s="153" t="s">
        <v>216</v>
      </c>
    </row>
    <row r="9151" hidden="1">
      <c r="A9151" s="154" t="s">
        <v>229</v>
      </c>
      <c r="B9151" s="155" t="s">
        <v>193</v>
      </c>
      <c r="C9151" s="155" t="s">
        <v>206</v>
      </c>
      <c r="D9151" s="156" t="s">
        <v>10240</v>
      </c>
      <c r="E9151" s="156" t="s">
        <v>10339</v>
      </c>
      <c r="F9151" s="156" t="s">
        <v>3340</v>
      </c>
      <c r="G9151" s="156" t="s">
        <v>10340</v>
      </c>
      <c r="H9151" s="157" t="s">
        <v>210</v>
      </c>
    </row>
    <row r="9152" hidden="1">
      <c r="A9152" s="151" t="s">
        <v>229</v>
      </c>
      <c r="B9152" s="118" t="s">
        <v>193</v>
      </c>
      <c r="C9152" s="118" t="s">
        <v>206</v>
      </c>
      <c r="D9152" s="152" t="s">
        <v>10240</v>
      </c>
      <c r="E9152" s="152" t="s">
        <v>10341</v>
      </c>
      <c r="F9152" s="152" t="s">
        <v>629</v>
      </c>
      <c r="G9152" s="152" t="s">
        <v>10342</v>
      </c>
      <c r="H9152" s="153" t="s">
        <v>211</v>
      </c>
    </row>
    <row r="9153" hidden="1">
      <c r="A9153" s="154" t="s">
        <v>229</v>
      </c>
      <c r="B9153" s="155" t="s">
        <v>193</v>
      </c>
      <c r="C9153" s="155" t="s">
        <v>206</v>
      </c>
      <c r="D9153" s="156" t="s">
        <v>10240</v>
      </c>
      <c r="E9153" s="156" t="s">
        <v>10343</v>
      </c>
      <c r="F9153" s="156" t="s">
        <v>3340</v>
      </c>
      <c r="G9153" s="156" t="s">
        <v>10344</v>
      </c>
      <c r="H9153" s="157" t="s">
        <v>212</v>
      </c>
    </row>
    <row r="9154" hidden="1">
      <c r="A9154" s="151" t="s">
        <v>229</v>
      </c>
      <c r="B9154" s="118" t="s">
        <v>193</v>
      </c>
      <c r="C9154" s="118" t="s">
        <v>206</v>
      </c>
      <c r="D9154" s="152" t="s">
        <v>10240</v>
      </c>
      <c r="E9154" s="152" t="s">
        <v>10345</v>
      </c>
      <c r="F9154" s="152" t="s">
        <v>1929</v>
      </c>
      <c r="G9154" s="152" t="s">
        <v>10346</v>
      </c>
      <c r="H9154" s="153" t="s">
        <v>213</v>
      </c>
    </row>
    <row r="9155" hidden="1">
      <c r="A9155" s="154" t="s">
        <v>229</v>
      </c>
      <c r="B9155" s="155" t="s">
        <v>193</v>
      </c>
      <c r="C9155" s="155" t="s">
        <v>206</v>
      </c>
      <c r="D9155" s="156" t="s">
        <v>10240</v>
      </c>
      <c r="E9155" s="156" t="s">
        <v>10347</v>
      </c>
      <c r="F9155" s="156" t="s">
        <v>2226</v>
      </c>
      <c r="G9155" s="156" t="s">
        <v>10348</v>
      </c>
      <c r="H9155" s="157" t="s">
        <v>214</v>
      </c>
    </row>
    <row r="9156" hidden="1">
      <c r="A9156" s="151" t="s">
        <v>229</v>
      </c>
      <c r="B9156" s="118" t="s">
        <v>193</v>
      </c>
      <c r="C9156" s="118" t="s">
        <v>206</v>
      </c>
      <c r="D9156" s="152" t="s">
        <v>10240</v>
      </c>
      <c r="E9156" s="152" t="s">
        <v>10349</v>
      </c>
      <c r="F9156" s="152" t="s">
        <v>3340</v>
      </c>
      <c r="G9156" s="152" t="s">
        <v>10024</v>
      </c>
      <c r="H9156" s="153" t="s">
        <v>215</v>
      </c>
    </row>
    <row r="9157" hidden="1">
      <c r="A9157" s="154" t="s">
        <v>229</v>
      </c>
      <c r="B9157" s="155" t="s">
        <v>193</v>
      </c>
      <c r="C9157" s="155" t="s">
        <v>206</v>
      </c>
      <c r="D9157" s="156" t="s">
        <v>10240</v>
      </c>
      <c r="E9157" s="156" t="s">
        <v>10350</v>
      </c>
      <c r="F9157" s="156" t="s">
        <v>2607</v>
      </c>
      <c r="G9157" s="156" t="s">
        <v>10351</v>
      </c>
      <c r="H9157" s="157" t="s">
        <v>216</v>
      </c>
    </row>
    <row r="9158" hidden="1">
      <c r="A9158" s="151" t="s">
        <v>230</v>
      </c>
      <c r="B9158" s="118" t="s">
        <v>194</v>
      </c>
      <c r="C9158" s="118" t="s">
        <v>206</v>
      </c>
      <c r="D9158" s="152" t="s">
        <v>10240</v>
      </c>
      <c r="E9158" s="152" t="s">
        <v>10352</v>
      </c>
      <c r="F9158" s="152" t="s">
        <v>448</v>
      </c>
      <c r="G9158" s="152" t="s">
        <v>10353</v>
      </c>
      <c r="H9158" s="153" t="s">
        <v>210</v>
      </c>
    </row>
    <row r="9159" hidden="1">
      <c r="A9159" s="154" t="s">
        <v>230</v>
      </c>
      <c r="B9159" s="155" t="s">
        <v>194</v>
      </c>
      <c r="C9159" s="155" t="s">
        <v>206</v>
      </c>
      <c r="D9159" s="156" t="s">
        <v>10240</v>
      </c>
      <c r="E9159" s="156" t="s">
        <v>10354</v>
      </c>
      <c r="F9159" s="156" t="s">
        <v>1999</v>
      </c>
      <c r="G9159" s="156" t="s">
        <v>10258</v>
      </c>
      <c r="H9159" s="157" t="s">
        <v>211</v>
      </c>
    </row>
    <row r="9160" hidden="1">
      <c r="A9160" s="151" t="s">
        <v>230</v>
      </c>
      <c r="B9160" s="118" t="s">
        <v>194</v>
      </c>
      <c r="C9160" s="118" t="s">
        <v>206</v>
      </c>
      <c r="D9160" s="152" t="s">
        <v>10240</v>
      </c>
      <c r="E9160" s="152" t="s">
        <v>10355</v>
      </c>
      <c r="F9160" s="152" t="s">
        <v>725</v>
      </c>
      <c r="G9160" s="152" t="s">
        <v>9649</v>
      </c>
      <c r="H9160" s="153" t="s">
        <v>212</v>
      </c>
    </row>
    <row r="9161" hidden="1">
      <c r="A9161" s="154" t="s">
        <v>230</v>
      </c>
      <c r="B9161" s="155" t="s">
        <v>194</v>
      </c>
      <c r="C9161" s="155" t="s">
        <v>206</v>
      </c>
      <c r="D9161" s="156" t="s">
        <v>10240</v>
      </c>
      <c r="E9161" s="156" t="s">
        <v>10356</v>
      </c>
      <c r="F9161" s="156" t="s">
        <v>763</v>
      </c>
      <c r="G9161" s="156" t="s">
        <v>10357</v>
      </c>
      <c r="H9161" s="157" t="s">
        <v>213</v>
      </c>
    </row>
    <row r="9162" hidden="1">
      <c r="A9162" s="151" t="s">
        <v>230</v>
      </c>
      <c r="B9162" s="118" t="s">
        <v>194</v>
      </c>
      <c r="C9162" s="118" t="s">
        <v>206</v>
      </c>
      <c r="D9162" s="152" t="s">
        <v>10240</v>
      </c>
      <c r="E9162" s="152" t="s">
        <v>10358</v>
      </c>
      <c r="F9162" s="152" t="s">
        <v>405</v>
      </c>
      <c r="G9162" s="152" t="s">
        <v>10359</v>
      </c>
      <c r="H9162" s="153" t="s">
        <v>214</v>
      </c>
    </row>
    <row r="9163" hidden="1">
      <c r="A9163" s="154" t="s">
        <v>230</v>
      </c>
      <c r="B9163" s="155" t="s">
        <v>194</v>
      </c>
      <c r="C9163" s="155" t="s">
        <v>206</v>
      </c>
      <c r="D9163" s="156" t="s">
        <v>10240</v>
      </c>
      <c r="E9163" s="156" t="s">
        <v>10360</v>
      </c>
      <c r="F9163" s="156" t="s">
        <v>718</v>
      </c>
      <c r="G9163" s="156" t="s">
        <v>9413</v>
      </c>
      <c r="H9163" s="157" t="s">
        <v>215</v>
      </c>
    </row>
    <row r="9164" hidden="1">
      <c r="A9164" s="151" t="s">
        <v>230</v>
      </c>
      <c r="B9164" s="118" t="s">
        <v>194</v>
      </c>
      <c r="C9164" s="118" t="s">
        <v>206</v>
      </c>
      <c r="D9164" s="152" t="s">
        <v>10240</v>
      </c>
      <c r="E9164" s="152" t="s">
        <v>10361</v>
      </c>
      <c r="F9164" s="152" t="s">
        <v>405</v>
      </c>
      <c r="G9164" s="152" t="s">
        <v>10290</v>
      </c>
      <c r="H9164" s="153" t="s">
        <v>216</v>
      </c>
    </row>
    <row r="9165" hidden="1">
      <c r="A9165" s="158" t="s">
        <v>231</v>
      </c>
      <c r="B9165" s="159"/>
      <c r="C9165" s="155" t="s">
        <v>232</v>
      </c>
      <c r="D9165" s="156" t="s">
        <v>10240</v>
      </c>
      <c r="E9165" s="156" t="s">
        <v>10362</v>
      </c>
      <c r="F9165" s="156" t="s">
        <v>405</v>
      </c>
      <c r="G9165" s="156" t="s">
        <v>10363</v>
      </c>
      <c r="H9165" s="157" t="s">
        <v>210</v>
      </c>
    </row>
    <row r="9166" hidden="1">
      <c r="A9166" s="160" t="s">
        <v>231</v>
      </c>
      <c r="B9166" s="72"/>
      <c r="C9166" s="118" t="s">
        <v>232</v>
      </c>
      <c r="D9166" s="152" t="s">
        <v>10240</v>
      </c>
      <c r="E9166" s="152" t="s">
        <v>10364</v>
      </c>
      <c r="F9166" s="152" t="s">
        <v>483</v>
      </c>
      <c r="G9166" s="152" t="s">
        <v>10365</v>
      </c>
      <c r="H9166" s="153" t="s">
        <v>211</v>
      </c>
    </row>
    <row r="9167" hidden="1">
      <c r="A9167" s="158" t="s">
        <v>231</v>
      </c>
      <c r="B9167" s="159"/>
      <c r="C9167" s="155" t="s">
        <v>232</v>
      </c>
      <c r="D9167" s="156" t="s">
        <v>10240</v>
      </c>
      <c r="E9167" s="156" t="s">
        <v>10366</v>
      </c>
      <c r="F9167" s="156" t="s">
        <v>483</v>
      </c>
      <c r="G9167" s="156" t="s">
        <v>10367</v>
      </c>
      <c r="H9167" s="157" t="s">
        <v>212</v>
      </c>
    </row>
    <row r="9168" hidden="1">
      <c r="A9168" s="160" t="s">
        <v>231</v>
      </c>
      <c r="B9168" s="72"/>
      <c r="C9168" s="118" t="s">
        <v>232</v>
      </c>
      <c r="D9168" s="152" t="s">
        <v>10240</v>
      </c>
      <c r="E9168" s="152" t="s">
        <v>10368</v>
      </c>
      <c r="F9168" s="152" t="s">
        <v>325</v>
      </c>
      <c r="G9168" s="152" t="s">
        <v>10369</v>
      </c>
      <c r="H9168" s="153" t="s">
        <v>213</v>
      </c>
    </row>
    <row r="9169" hidden="1">
      <c r="A9169" s="158" t="s">
        <v>231</v>
      </c>
      <c r="B9169" s="159"/>
      <c r="C9169" s="155" t="s">
        <v>232</v>
      </c>
      <c r="D9169" s="156" t="s">
        <v>10240</v>
      </c>
      <c r="E9169" s="156" t="s">
        <v>10370</v>
      </c>
      <c r="F9169" s="156" t="s">
        <v>285</v>
      </c>
      <c r="G9169" s="156" t="s">
        <v>10371</v>
      </c>
      <c r="H9169" s="157" t="s">
        <v>214</v>
      </c>
    </row>
    <row r="9170" hidden="1">
      <c r="A9170" s="160" t="s">
        <v>231</v>
      </c>
      <c r="B9170" s="72"/>
      <c r="C9170" s="118" t="s">
        <v>232</v>
      </c>
      <c r="D9170" s="152" t="s">
        <v>10240</v>
      </c>
      <c r="E9170" s="152" t="s">
        <v>10372</v>
      </c>
      <c r="F9170" s="152" t="s">
        <v>325</v>
      </c>
      <c r="G9170" s="152" t="s">
        <v>10373</v>
      </c>
      <c r="H9170" s="153" t="s">
        <v>215</v>
      </c>
    </row>
    <row r="9171" hidden="1">
      <c r="A9171" s="158" t="s">
        <v>231</v>
      </c>
      <c r="B9171" s="159"/>
      <c r="C9171" s="155" t="s">
        <v>232</v>
      </c>
      <c r="D9171" s="156" t="s">
        <v>10240</v>
      </c>
      <c r="E9171" s="156" t="s">
        <v>10374</v>
      </c>
      <c r="F9171" s="156" t="s">
        <v>478</v>
      </c>
      <c r="G9171" s="156" t="s">
        <v>10375</v>
      </c>
      <c r="H9171" s="157" t="s">
        <v>216</v>
      </c>
    </row>
    <row r="9172" hidden="1">
      <c r="A9172" s="160" t="s">
        <v>233</v>
      </c>
      <c r="B9172" s="72"/>
      <c r="C9172" s="118" t="s">
        <v>232</v>
      </c>
      <c r="D9172" s="152" t="s">
        <v>10240</v>
      </c>
      <c r="E9172" s="152" t="s">
        <v>10376</v>
      </c>
      <c r="F9172" s="152" t="s">
        <v>3218</v>
      </c>
      <c r="G9172" s="152" t="s">
        <v>10124</v>
      </c>
      <c r="H9172" s="153" t="s">
        <v>210</v>
      </c>
    </row>
    <row r="9173" hidden="1">
      <c r="A9173" s="158" t="s">
        <v>233</v>
      </c>
      <c r="B9173" s="159"/>
      <c r="C9173" s="155" t="s">
        <v>232</v>
      </c>
      <c r="D9173" s="156" t="s">
        <v>10240</v>
      </c>
      <c r="E9173" s="156" t="s">
        <v>10377</v>
      </c>
      <c r="F9173" s="156" t="s">
        <v>718</v>
      </c>
      <c r="G9173" s="156" t="s">
        <v>9870</v>
      </c>
      <c r="H9173" s="157" t="s">
        <v>211</v>
      </c>
    </row>
    <row r="9174" hidden="1">
      <c r="A9174" s="160" t="s">
        <v>233</v>
      </c>
      <c r="B9174" s="72"/>
      <c r="C9174" s="118" t="s">
        <v>232</v>
      </c>
      <c r="D9174" s="152" t="s">
        <v>10240</v>
      </c>
      <c r="E9174" s="152" t="s">
        <v>10378</v>
      </c>
      <c r="F9174" s="152" t="s">
        <v>577</v>
      </c>
      <c r="G9174" s="152" t="s">
        <v>10026</v>
      </c>
      <c r="H9174" s="153" t="s">
        <v>212</v>
      </c>
    </row>
    <row r="9175" hidden="1">
      <c r="A9175" s="158" t="s">
        <v>233</v>
      </c>
      <c r="B9175" s="159"/>
      <c r="C9175" s="155" t="s">
        <v>232</v>
      </c>
      <c r="D9175" s="156" t="s">
        <v>10240</v>
      </c>
      <c r="E9175" s="156" t="s">
        <v>10379</v>
      </c>
      <c r="F9175" s="156" t="s">
        <v>577</v>
      </c>
      <c r="G9175" s="156" t="s">
        <v>10094</v>
      </c>
      <c r="H9175" s="157" t="s">
        <v>213</v>
      </c>
    </row>
    <row r="9176" hidden="1">
      <c r="A9176" s="160" t="s">
        <v>233</v>
      </c>
      <c r="B9176" s="72"/>
      <c r="C9176" s="118" t="s">
        <v>232</v>
      </c>
      <c r="D9176" s="152" t="s">
        <v>10240</v>
      </c>
      <c r="E9176" s="152" t="s">
        <v>10380</v>
      </c>
      <c r="F9176" s="152" t="s">
        <v>677</v>
      </c>
      <c r="G9176" s="152" t="s">
        <v>9870</v>
      </c>
      <c r="H9176" s="153" t="s">
        <v>214</v>
      </c>
    </row>
    <row r="9177" hidden="1">
      <c r="A9177" s="158" t="s">
        <v>233</v>
      </c>
      <c r="B9177" s="159"/>
      <c r="C9177" s="155" t="s">
        <v>232</v>
      </c>
      <c r="D9177" s="156" t="s">
        <v>10240</v>
      </c>
      <c r="E9177" s="156" t="s">
        <v>10381</v>
      </c>
      <c r="F9177" s="156" t="s">
        <v>354</v>
      </c>
      <c r="G9177" s="156" t="s">
        <v>10382</v>
      </c>
      <c r="H9177" s="157" t="s">
        <v>215</v>
      </c>
    </row>
    <row r="9178" hidden="1">
      <c r="A9178" s="160" t="s">
        <v>233</v>
      </c>
      <c r="B9178" s="72"/>
      <c r="C9178" s="118" t="s">
        <v>232</v>
      </c>
      <c r="D9178" s="152" t="s">
        <v>10240</v>
      </c>
      <c r="E9178" s="152" t="s">
        <v>10383</v>
      </c>
      <c r="F9178" s="152" t="s">
        <v>1532</v>
      </c>
      <c r="G9178" s="152" t="s">
        <v>9492</v>
      </c>
      <c r="H9178" s="153" t="s">
        <v>216</v>
      </c>
    </row>
    <row r="9179" hidden="1">
      <c r="A9179" s="158" t="s">
        <v>234</v>
      </c>
      <c r="B9179" s="159"/>
      <c r="C9179" s="155" t="s">
        <v>232</v>
      </c>
      <c r="D9179" s="156" t="s">
        <v>10240</v>
      </c>
      <c r="E9179" s="156" t="s">
        <v>10384</v>
      </c>
      <c r="F9179" s="156" t="s">
        <v>329</v>
      </c>
      <c r="G9179" s="156" t="s">
        <v>9852</v>
      </c>
      <c r="H9179" s="157" t="s">
        <v>210</v>
      </c>
    </row>
    <row r="9180" hidden="1">
      <c r="A9180" s="160" t="s">
        <v>234</v>
      </c>
      <c r="B9180" s="72"/>
      <c r="C9180" s="118" t="s">
        <v>232</v>
      </c>
      <c r="D9180" s="152" t="s">
        <v>10240</v>
      </c>
      <c r="E9180" s="152" t="s">
        <v>10385</v>
      </c>
      <c r="F9180" s="152" t="s">
        <v>448</v>
      </c>
      <c r="G9180" s="152" t="s">
        <v>10032</v>
      </c>
      <c r="H9180" s="153" t="s">
        <v>211</v>
      </c>
    </row>
    <row r="9181" hidden="1">
      <c r="A9181" s="158" t="s">
        <v>234</v>
      </c>
      <c r="B9181" s="159"/>
      <c r="C9181" s="155" t="s">
        <v>232</v>
      </c>
      <c r="D9181" s="156" t="s">
        <v>10240</v>
      </c>
      <c r="E9181" s="156" t="s">
        <v>10386</v>
      </c>
      <c r="F9181" s="156" t="s">
        <v>1999</v>
      </c>
      <c r="G9181" s="156" t="s">
        <v>10387</v>
      </c>
      <c r="H9181" s="157" t="s">
        <v>212</v>
      </c>
    </row>
    <row r="9182" hidden="1">
      <c r="A9182" s="160" t="s">
        <v>234</v>
      </c>
      <c r="B9182" s="72"/>
      <c r="C9182" s="118" t="s">
        <v>232</v>
      </c>
      <c r="D9182" s="152" t="s">
        <v>10240</v>
      </c>
      <c r="E9182" s="152" t="s">
        <v>10388</v>
      </c>
      <c r="F9182" s="152" t="s">
        <v>677</v>
      </c>
      <c r="G9182" s="152" t="s">
        <v>10164</v>
      </c>
      <c r="H9182" s="153" t="s">
        <v>213</v>
      </c>
    </row>
    <row r="9183" hidden="1">
      <c r="A9183" s="158" t="s">
        <v>234</v>
      </c>
      <c r="B9183" s="159"/>
      <c r="C9183" s="155" t="s">
        <v>232</v>
      </c>
      <c r="D9183" s="156" t="s">
        <v>10240</v>
      </c>
      <c r="E9183" s="156" t="s">
        <v>10389</v>
      </c>
      <c r="F9183" s="156" t="s">
        <v>691</v>
      </c>
      <c r="G9183" s="156" t="s">
        <v>9350</v>
      </c>
      <c r="H9183" s="157" t="s">
        <v>214</v>
      </c>
    </row>
    <row r="9184" hidden="1">
      <c r="A9184" s="160" t="s">
        <v>234</v>
      </c>
      <c r="B9184" s="72"/>
      <c r="C9184" s="118" t="s">
        <v>232</v>
      </c>
      <c r="D9184" s="152" t="s">
        <v>10240</v>
      </c>
      <c r="E9184" s="152" t="s">
        <v>10390</v>
      </c>
      <c r="F9184" s="152" t="s">
        <v>448</v>
      </c>
      <c r="G9184" s="152" t="s">
        <v>9335</v>
      </c>
      <c r="H9184" s="153" t="s">
        <v>215</v>
      </c>
    </row>
    <row r="9185" hidden="1">
      <c r="A9185" s="158" t="s">
        <v>234</v>
      </c>
      <c r="B9185" s="159"/>
      <c r="C9185" s="155" t="s">
        <v>232</v>
      </c>
      <c r="D9185" s="156" t="s">
        <v>10240</v>
      </c>
      <c r="E9185" s="156" t="s">
        <v>10391</v>
      </c>
      <c r="F9185" s="156" t="s">
        <v>718</v>
      </c>
      <c r="G9185" s="156" t="s">
        <v>9333</v>
      </c>
      <c r="H9185" s="157" t="s">
        <v>216</v>
      </c>
    </row>
    <row r="9186" hidden="1">
      <c r="A9186" s="160" t="s">
        <v>235</v>
      </c>
      <c r="B9186" s="72"/>
      <c r="C9186" s="118" t="s">
        <v>236</v>
      </c>
      <c r="D9186" s="152" t="s">
        <v>10240</v>
      </c>
      <c r="E9186" s="152" t="s">
        <v>10392</v>
      </c>
      <c r="F9186" s="152" t="s">
        <v>453</v>
      </c>
      <c r="G9186" s="152" t="s">
        <v>10393</v>
      </c>
      <c r="H9186" s="153" t="s">
        <v>210</v>
      </c>
    </row>
    <row r="9187" hidden="1">
      <c r="A9187" s="158" t="s">
        <v>235</v>
      </c>
      <c r="B9187" s="159"/>
      <c r="C9187" s="155" t="s">
        <v>236</v>
      </c>
      <c r="D9187" s="156" t="s">
        <v>10240</v>
      </c>
      <c r="E9187" s="156" t="s">
        <v>10394</v>
      </c>
      <c r="F9187" s="156" t="s">
        <v>718</v>
      </c>
      <c r="G9187" s="156" t="s">
        <v>10290</v>
      </c>
      <c r="H9187" s="157" t="s">
        <v>211</v>
      </c>
    </row>
    <row r="9188" hidden="1">
      <c r="A9188" s="160" t="s">
        <v>235</v>
      </c>
      <c r="B9188" s="72"/>
      <c r="C9188" s="118" t="s">
        <v>236</v>
      </c>
      <c r="D9188" s="152" t="s">
        <v>10240</v>
      </c>
      <c r="E9188" s="152" t="s">
        <v>10395</v>
      </c>
      <c r="F9188" s="152" t="s">
        <v>312</v>
      </c>
      <c r="G9188" s="152" t="s">
        <v>9425</v>
      </c>
      <c r="H9188" s="153" t="s">
        <v>212</v>
      </c>
    </row>
    <row r="9189" hidden="1">
      <c r="A9189" s="158" t="s">
        <v>235</v>
      </c>
      <c r="B9189" s="159"/>
      <c r="C9189" s="155" t="s">
        <v>236</v>
      </c>
      <c r="D9189" s="156" t="s">
        <v>10240</v>
      </c>
      <c r="E9189" s="156" t="s">
        <v>10396</v>
      </c>
      <c r="F9189" s="156" t="s">
        <v>577</v>
      </c>
      <c r="G9189" s="156" t="s">
        <v>9423</v>
      </c>
      <c r="H9189" s="157" t="s">
        <v>213</v>
      </c>
    </row>
    <row r="9190" hidden="1">
      <c r="A9190" s="160" t="s">
        <v>235</v>
      </c>
      <c r="B9190" s="72"/>
      <c r="C9190" s="118" t="s">
        <v>236</v>
      </c>
      <c r="D9190" s="152" t="s">
        <v>10240</v>
      </c>
      <c r="E9190" s="152" t="s">
        <v>10397</v>
      </c>
      <c r="F9190" s="152" t="s">
        <v>312</v>
      </c>
      <c r="G9190" s="152" t="s">
        <v>10228</v>
      </c>
      <c r="H9190" s="153" t="s">
        <v>214</v>
      </c>
    </row>
    <row r="9191" hidden="1">
      <c r="A9191" s="158" t="s">
        <v>235</v>
      </c>
      <c r="B9191" s="159"/>
      <c r="C9191" s="155" t="s">
        <v>236</v>
      </c>
      <c r="D9191" s="156" t="s">
        <v>10240</v>
      </c>
      <c r="E9191" s="156" t="s">
        <v>10398</v>
      </c>
      <c r="F9191" s="156" t="s">
        <v>725</v>
      </c>
      <c r="G9191" s="156" t="s">
        <v>10290</v>
      </c>
      <c r="H9191" s="157" t="s">
        <v>215</v>
      </c>
    </row>
    <row r="9192" hidden="1">
      <c r="A9192" s="160" t="s">
        <v>235</v>
      </c>
      <c r="B9192" s="72"/>
      <c r="C9192" s="118" t="s">
        <v>236</v>
      </c>
      <c r="D9192" s="152" t="s">
        <v>10240</v>
      </c>
      <c r="E9192" s="152" t="s">
        <v>10399</v>
      </c>
      <c r="F9192" s="152" t="s">
        <v>718</v>
      </c>
      <c r="G9192" s="152" t="s">
        <v>10400</v>
      </c>
      <c r="H9192" s="153" t="s">
        <v>216</v>
      </c>
    </row>
    <row r="9193" hidden="1">
      <c r="A9193" s="158" t="s">
        <v>237</v>
      </c>
      <c r="B9193" s="159"/>
      <c r="C9193" s="155" t="s">
        <v>236</v>
      </c>
      <c r="D9193" s="156" t="s">
        <v>10240</v>
      </c>
      <c r="E9193" s="156" t="s">
        <v>10401</v>
      </c>
      <c r="F9193" s="156" t="s">
        <v>532</v>
      </c>
      <c r="G9193" s="156" t="s">
        <v>10010</v>
      </c>
      <c r="H9193" s="157" t="s">
        <v>210</v>
      </c>
    </row>
    <row r="9194" hidden="1">
      <c r="A9194" s="160" t="s">
        <v>237</v>
      </c>
      <c r="B9194" s="72"/>
      <c r="C9194" s="118" t="s">
        <v>236</v>
      </c>
      <c r="D9194" s="152" t="s">
        <v>10240</v>
      </c>
      <c r="E9194" s="152" t="s">
        <v>10402</v>
      </c>
      <c r="F9194" s="152" t="s">
        <v>718</v>
      </c>
      <c r="G9194" s="152" t="s">
        <v>9852</v>
      </c>
      <c r="H9194" s="153" t="s">
        <v>211</v>
      </c>
    </row>
    <row r="9195" hidden="1">
      <c r="A9195" s="158" t="s">
        <v>237</v>
      </c>
      <c r="B9195" s="159"/>
      <c r="C9195" s="155" t="s">
        <v>236</v>
      </c>
      <c r="D9195" s="156" t="s">
        <v>10240</v>
      </c>
      <c r="E9195" s="156" t="s">
        <v>10403</v>
      </c>
      <c r="F9195" s="156" t="s">
        <v>423</v>
      </c>
      <c r="G9195" s="156" t="s">
        <v>10064</v>
      </c>
      <c r="H9195" s="157" t="s">
        <v>212</v>
      </c>
    </row>
    <row r="9196" hidden="1">
      <c r="A9196" s="160" t="s">
        <v>237</v>
      </c>
      <c r="B9196" s="72"/>
      <c r="C9196" s="118" t="s">
        <v>236</v>
      </c>
      <c r="D9196" s="152" t="s">
        <v>10240</v>
      </c>
      <c r="E9196" s="152" t="s">
        <v>10404</v>
      </c>
      <c r="F9196" s="152" t="s">
        <v>799</v>
      </c>
      <c r="G9196" s="152" t="s">
        <v>10002</v>
      </c>
      <c r="H9196" s="153" t="s">
        <v>213</v>
      </c>
    </row>
    <row r="9197" hidden="1">
      <c r="A9197" s="158" t="s">
        <v>237</v>
      </c>
      <c r="B9197" s="159"/>
      <c r="C9197" s="155" t="s">
        <v>236</v>
      </c>
      <c r="D9197" s="156" t="s">
        <v>10240</v>
      </c>
      <c r="E9197" s="156" t="s">
        <v>10405</v>
      </c>
      <c r="F9197" s="156" t="s">
        <v>448</v>
      </c>
      <c r="G9197" s="156" t="s">
        <v>9708</v>
      </c>
      <c r="H9197" s="157" t="s">
        <v>214</v>
      </c>
    </row>
    <row r="9198" hidden="1">
      <c r="A9198" s="160" t="s">
        <v>237</v>
      </c>
      <c r="B9198" s="72"/>
      <c r="C9198" s="118" t="s">
        <v>236</v>
      </c>
      <c r="D9198" s="152" t="s">
        <v>10240</v>
      </c>
      <c r="E9198" s="152" t="s">
        <v>10406</v>
      </c>
      <c r="F9198" s="152" t="s">
        <v>577</v>
      </c>
      <c r="G9198" s="152" t="s">
        <v>9829</v>
      </c>
      <c r="H9198" s="153" t="s">
        <v>215</v>
      </c>
    </row>
    <row r="9199" hidden="1">
      <c r="A9199" s="158" t="s">
        <v>237</v>
      </c>
      <c r="B9199" s="159"/>
      <c r="C9199" s="155" t="s">
        <v>236</v>
      </c>
      <c r="D9199" s="156" t="s">
        <v>10240</v>
      </c>
      <c r="E9199" s="156" t="s">
        <v>10407</v>
      </c>
      <c r="F9199" s="156" t="s">
        <v>718</v>
      </c>
      <c r="G9199" s="156" t="s">
        <v>10408</v>
      </c>
      <c r="H9199" s="157" t="s">
        <v>216</v>
      </c>
    </row>
    <row r="9200" hidden="1">
      <c r="A9200" s="151" t="s">
        <v>204</v>
      </c>
      <c r="B9200" s="118" t="s">
        <v>205</v>
      </c>
      <c r="C9200" s="118" t="s">
        <v>206</v>
      </c>
      <c r="D9200" s="152" t="s">
        <v>10409</v>
      </c>
      <c r="E9200" s="152" t="s">
        <v>10410</v>
      </c>
      <c r="F9200" s="152" t="s">
        <v>448</v>
      </c>
      <c r="G9200" s="152" t="s">
        <v>9824</v>
      </c>
      <c r="H9200" s="153" t="s">
        <v>210</v>
      </c>
    </row>
    <row r="9201" hidden="1">
      <c r="A9201" s="154" t="s">
        <v>204</v>
      </c>
      <c r="B9201" s="155" t="s">
        <v>205</v>
      </c>
      <c r="C9201" s="155" t="s">
        <v>206</v>
      </c>
      <c r="D9201" s="156" t="s">
        <v>10409</v>
      </c>
      <c r="E9201" s="156" t="s">
        <v>10411</v>
      </c>
      <c r="F9201" s="156" t="s">
        <v>1530</v>
      </c>
      <c r="G9201" s="156" t="s">
        <v>10359</v>
      </c>
      <c r="H9201" s="157" t="s">
        <v>211</v>
      </c>
    </row>
    <row r="9202" hidden="1">
      <c r="A9202" s="151" t="s">
        <v>204</v>
      </c>
      <c r="B9202" s="118" t="s">
        <v>205</v>
      </c>
      <c r="C9202" s="118" t="s">
        <v>206</v>
      </c>
      <c r="D9202" s="152" t="s">
        <v>10409</v>
      </c>
      <c r="E9202" s="152" t="s">
        <v>10412</v>
      </c>
      <c r="F9202" s="152" t="s">
        <v>3218</v>
      </c>
      <c r="G9202" s="152" t="s">
        <v>10413</v>
      </c>
      <c r="H9202" s="153" t="s">
        <v>212</v>
      </c>
    </row>
    <row r="9203" hidden="1">
      <c r="A9203" s="154" t="s">
        <v>204</v>
      </c>
      <c r="B9203" s="155" t="s">
        <v>205</v>
      </c>
      <c r="C9203" s="155" t="s">
        <v>206</v>
      </c>
      <c r="D9203" s="156" t="s">
        <v>10409</v>
      </c>
      <c r="E9203" s="156" t="s">
        <v>10414</v>
      </c>
      <c r="F9203" s="156" t="s">
        <v>2994</v>
      </c>
      <c r="G9203" s="156" t="s">
        <v>10415</v>
      </c>
      <c r="H9203" s="157" t="s">
        <v>213</v>
      </c>
    </row>
    <row r="9204" hidden="1">
      <c r="A9204" s="151" t="s">
        <v>204</v>
      </c>
      <c r="B9204" s="118" t="s">
        <v>205</v>
      </c>
      <c r="C9204" s="118" t="s">
        <v>206</v>
      </c>
      <c r="D9204" s="152" t="s">
        <v>10409</v>
      </c>
      <c r="E9204" s="152" t="s">
        <v>10416</v>
      </c>
      <c r="F9204" s="152" t="s">
        <v>760</v>
      </c>
      <c r="G9204" s="152" t="s">
        <v>10417</v>
      </c>
      <c r="H9204" s="153" t="s">
        <v>214</v>
      </c>
    </row>
    <row r="9205" hidden="1">
      <c r="A9205" s="154" t="s">
        <v>204</v>
      </c>
      <c r="B9205" s="155" t="s">
        <v>205</v>
      </c>
      <c r="C9205" s="155" t="s">
        <v>206</v>
      </c>
      <c r="D9205" s="156" t="s">
        <v>10409</v>
      </c>
      <c r="E9205" s="156" t="s">
        <v>10418</v>
      </c>
      <c r="F9205" s="156" t="s">
        <v>735</v>
      </c>
      <c r="G9205" s="156" t="s">
        <v>9934</v>
      </c>
      <c r="H9205" s="157" t="s">
        <v>215</v>
      </c>
    </row>
    <row r="9206" hidden="1">
      <c r="A9206" s="151" t="s">
        <v>204</v>
      </c>
      <c r="B9206" s="118" t="s">
        <v>205</v>
      </c>
      <c r="C9206" s="118" t="s">
        <v>206</v>
      </c>
      <c r="D9206" s="152" t="s">
        <v>10409</v>
      </c>
      <c r="E9206" s="152" t="s">
        <v>10419</v>
      </c>
      <c r="F9206" s="152" t="s">
        <v>448</v>
      </c>
      <c r="G9206" s="152" t="s">
        <v>9990</v>
      </c>
      <c r="H9206" s="153" t="s">
        <v>216</v>
      </c>
    </row>
    <row r="9207" hidden="1">
      <c r="A9207" s="154" t="s">
        <v>217</v>
      </c>
      <c r="B9207" s="155" t="s">
        <v>191</v>
      </c>
      <c r="C9207" s="155" t="s">
        <v>206</v>
      </c>
      <c r="D9207" s="156" t="s">
        <v>10409</v>
      </c>
      <c r="E9207" s="156" t="s">
        <v>10420</v>
      </c>
      <c r="F9207" s="156" t="s">
        <v>763</v>
      </c>
      <c r="G9207" s="156" t="s">
        <v>10421</v>
      </c>
      <c r="H9207" s="157" t="s">
        <v>210</v>
      </c>
    </row>
    <row r="9208" hidden="1">
      <c r="A9208" s="151" t="s">
        <v>217</v>
      </c>
      <c r="B9208" s="118" t="s">
        <v>191</v>
      </c>
      <c r="C9208" s="118" t="s">
        <v>206</v>
      </c>
      <c r="D9208" s="152" t="s">
        <v>10409</v>
      </c>
      <c r="E9208" s="152" t="s">
        <v>10422</v>
      </c>
      <c r="F9208" s="152" t="s">
        <v>766</v>
      </c>
      <c r="G9208" s="152" t="s">
        <v>9425</v>
      </c>
      <c r="H9208" s="153" t="s">
        <v>211</v>
      </c>
    </row>
    <row r="9209" hidden="1">
      <c r="A9209" s="154" t="s">
        <v>217</v>
      </c>
      <c r="B9209" s="155" t="s">
        <v>191</v>
      </c>
      <c r="C9209" s="155" t="s">
        <v>206</v>
      </c>
      <c r="D9209" s="156" t="s">
        <v>10409</v>
      </c>
      <c r="E9209" s="156" t="s">
        <v>10423</v>
      </c>
      <c r="F9209" s="156" t="s">
        <v>763</v>
      </c>
      <c r="G9209" s="156" t="s">
        <v>10400</v>
      </c>
      <c r="H9209" s="157" t="s">
        <v>212</v>
      </c>
    </row>
    <row r="9210" hidden="1">
      <c r="A9210" s="151" t="s">
        <v>217</v>
      </c>
      <c r="B9210" s="118" t="s">
        <v>191</v>
      </c>
      <c r="C9210" s="118" t="s">
        <v>206</v>
      </c>
      <c r="D9210" s="152" t="s">
        <v>10409</v>
      </c>
      <c r="E9210" s="152" t="s">
        <v>10424</v>
      </c>
      <c r="F9210" s="152" t="s">
        <v>3346</v>
      </c>
      <c r="G9210" s="152" t="s">
        <v>10258</v>
      </c>
      <c r="H9210" s="153" t="s">
        <v>213</v>
      </c>
    </row>
    <row r="9211" hidden="1">
      <c r="A9211" s="154" t="s">
        <v>217</v>
      </c>
      <c r="B9211" s="155" t="s">
        <v>191</v>
      </c>
      <c r="C9211" s="155" t="s">
        <v>206</v>
      </c>
      <c r="D9211" s="156" t="s">
        <v>10409</v>
      </c>
      <c r="E9211" s="156" t="s">
        <v>10425</v>
      </c>
      <c r="F9211" s="156" t="s">
        <v>348</v>
      </c>
      <c r="G9211" s="156" t="s">
        <v>10226</v>
      </c>
      <c r="H9211" s="157" t="s">
        <v>214</v>
      </c>
    </row>
    <row r="9212" hidden="1">
      <c r="A9212" s="151" t="s">
        <v>217</v>
      </c>
      <c r="B9212" s="118" t="s">
        <v>191</v>
      </c>
      <c r="C9212" s="118" t="s">
        <v>206</v>
      </c>
      <c r="D9212" s="152" t="s">
        <v>10409</v>
      </c>
      <c r="E9212" s="152" t="s">
        <v>10426</v>
      </c>
      <c r="F9212" s="152" t="s">
        <v>1999</v>
      </c>
      <c r="G9212" s="152" t="s">
        <v>10427</v>
      </c>
      <c r="H9212" s="153" t="s">
        <v>215</v>
      </c>
    </row>
    <row r="9213" hidden="1">
      <c r="A9213" s="154" t="s">
        <v>217</v>
      </c>
      <c r="B9213" s="155" t="s">
        <v>191</v>
      </c>
      <c r="C9213" s="155" t="s">
        <v>206</v>
      </c>
      <c r="D9213" s="156" t="s">
        <v>10409</v>
      </c>
      <c r="E9213" s="156" t="s">
        <v>10428</v>
      </c>
      <c r="F9213" s="156" t="s">
        <v>758</v>
      </c>
      <c r="G9213" s="156" t="s">
        <v>10393</v>
      </c>
      <c r="H9213" s="157" t="s">
        <v>216</v>
      </c>
    </row>
    <row r="9214" hidden="1">
      <c r="A9214" s="151" t="s">
        <v>218</v>
      </c>
      <c r="B9214" s="118" t="s">
        <v>219</v>
      </c>
      <c r="C9214" s="118" t="s">
        <v>206</v>
      </c>
      <c r="D9214" s="152" t="s">
        <v>10409</v>
      </c>
      <c r="E9214" s="152" t="s">
        <v>10429</v>
      </c>
      <c r="F9214" s="152" t="s">
        <v>3359</v>
      </c>
      <c r="G9214" s="152" t="s">
        <v>10430</v>
      </c>
      <c r="H9214" s="153" t="s">
        <v>210</v>
      </c>
    </row>
    <row r="9215" hidden="1">
      <c r="A9215" s="154" t="s">
        <v>218</v>
      </c>
      <c r="B9215" s="155" t="s">
        <v>219</v>
      </c>
      <c r="C9215" s="155" t="s">
        <v>206</v>
      </c>
      <c r="D9215" s="156" t="s">
        <v>10409</v>
      </c>
      <c r="E9215" s="156" t="s">
        <v>10431</v>
      </c>
      <c r="F9215" s="156" t="s">
        <v>348</v>
      </c>
      <c r="G9215" s="156" t="s">
        <v>10432</v>
      </c>
      <c r="H9215" s="157" t="s">
        <v>211</v>
      </c>
    </row>
    <row r="9216" hidden="1">
      <c r="A9216" s="151" t="s">
        <v>218</v>
      </c>
      <c r="B9216" s="118" t="s">
        <v>219</v>
      </c>
      <c r="C9216" s="118" t="s">
        <v>206</v>
      </c>
      <c r="D9216" s="152" t="s">
        <v>10409</v>
      </c>
      <c r="E9216" s="152" t="s">
        <v>10433</v>
      </c>
      <c r="F9216" s="152" t="s">
        <v>348</v>
      </c>
      <c r="G9216" s="152" t="s">
        <v>10434</v>
      </c>
      <c r="H9216" s="153" t="s">
        <v>212</v>
      </c>
    </row>
    <row r="9217" hidden="1">
      <c r="A9217" s="154" t="s">
        <v>218</v>
      </c>
      <c r="B9217" s="155" t="s">
        <v>219</v>
      </c>
      <c r="C9217" s="155" t="s">
        <v>206</v>
      </c>
      <c r="D9217" s="156" t="s">
        <v>10409</v>
      </c>
      <c r="E9217" s="156" t="s">
        <v>10435</v>
      </c>
      <c r="F9217" s="156" t="s">
        <v>3198</v>
      </c>
      <c r="G9217" s="156" t="s">
        <v>10427</v>
      </c>
      <c r="H9217" s="157" t="s">
        <v>213</v>
      </c>
    </row>
    <row r="9218" hidden="1">
      <c r="A9218" s="151" t="s">
        <v>218</v>
      </c>
      <c r="B9218" s="118" t="s">
        <v>219</v>
      </c>
      <c r="C9218" s="118" t="s">
        <v>206</v>
      </c>
      <c r="D9218" s="152" t="s">
        <v>10409</v>
      </c>
      <c r="E9218" s="152" t="s">
        <v>10436</v>
      </c>
      <c r="F9218" s="152" t="s">
        <v>763</v>
      </c>
      <c r="G9218" s="152" t="s">
        <v>10437</v>
      </c>
      <c r="H9218" s="153" t="s">
        <v>214</v>
      </c>
    </row>
    <row r="9219" hidden="1">
      <c r="A9219" s="154" t="s">
        <v>218</v>
      </c>
      <c r="B9219" s="155" t="s">
        <v>219</v>
      </c>
      <c r="C9219" s="155" t="s">
        <v>206</v>
      </c>
      <c r="D9219" s="156" t="s">
        <v>10409</v>
      </c>
      <c r="E9219" s="156" t="s">
        <v>10438</v>
      </c>
      <c r="F9219" s="156" t="s">
        <v>3346</v>
      </c>
      <c r="G9219" s="156" t="s">
        <v>10439</v>
      </c>
      <c r="H9219" s="157" t="s">
        <v>215</v>
      </c>
    </row>
    <row r="9220" hidden="1">
      <c r="A9220" s="151" t="s">
        <v>218</v>
      </c>
      <c r="B9220" s="118" t="s">
        <v>219</v>
      </c>
      <c r="C9220" s="118" t="s">
        <v>206</v>
      </c>
      <c r="D9220" s="152" t="s">
        <v>10409</v>
      </c>
      <c r="E9220" s="152" t="s">
        <v>10440</v>
      </c>
      <c r="F9220" s="152" t="s">
        <v>3198</v>
      </c>
      <c r="G9220" s="152" t="s">
        <v>10432</v>
      </c>
      <c r="H9220" s="153" t="s">
        <v>216</v>
      </c>
    </row>
    <row r="9221" hidden="1">
      <c r="A9221" s="154" t="s">
        <v>220</v>
      </c>
      <c r="B9221" s="155" t="s">
        <v>190</v>
      </c>
      <c r="C9221" s="155" t="s">
        <v>206</v>
      </c>
      <c r="D9221" s="156" t="s">
        <v>10409</v>
      </c>
      <c r="E9221" s="156" t="s">
        <v>10441</v>
      </c>
      <c r="F9221" s="156" t="s">
        <v>287</v>
      </c>
      <c r="G9221" s="156" t="s">
        <v>10442</v>
      </c>
      <c r="H9221" s="157" t="s">
        <v>210</v>
      </c>
    </row>
    <row r="9222" hidden="1">
      <c r="A9222" s="151" t="s">
        <v>220</v>
      </c>
      <c r="B9222" s="118" t="s">
        <v>190</v>
      </c>
      <c r="C9222" s="118" t="s">
        <v>206</v>
      </c>
      <c r="D9222" s="152" t="s">
        <v>10409</v>
      </c>
      <c r="E9222" s="152" t="s">
        <v>10443</v>
      </c>
      <c r="F9222" s="152" t="s">
        <v>534</v>
      </c>
      <c r="G9222" s="152" t="s">
        <v>9838</v>
      </c>
      <c r="H9222" s="153" t="s">
        <v>211</v>
      </c>
    </row>
    <row r="9223" hidden="1">
      <c r="A9223" s="154" t="s">
        <v>220</v>
      </c>
      <c r="B9223" s="155" t="s">
        <v>190</v>
      </c>
      <c r="C9223" s="155" t="s">
        <v>206</v>
      </c>
      <c r="D9223" s="156" t="s">
        <v>10409</v>
      </c>
      <c r="E9223" s="156" t="s">
        <v>10444</v>
      </c>
      <c r="F9223" s="156" t="s">
        <v>339</v>
      </c>
      <c r="G9223" s="156" t="s">
        <v>9926</v>
      </c>
      <c r="H9223" s="157" t="s">
        <v>212</v>
      </c>
    </row>
    <row r="9224" hidden="1">
      <c r="A9224" s="151" t="s">
        <v>220</v>
      </c>
      <c r="B9224" s="118" t="s">
        <v>190</v>
      </c>
      <c r="C9224" s="118" t="s">
        <v>206</v>
      </c>
      <c r="D9224" s="152" t="s">
        <v>10409</v>
      </c>
      <c r="E9224" s="152" t="s">
        <v>10445</v>
      </c>
      <c r="F9224" s="152" t="s">
        <v>321</v>
      </c>
      <c r="G9224" s="152" t="s">
        <v>10102</v>
      </c>
      <c r="H9224" s="153" t="s">
        <v>213</v>
      </c>
    </row>
    <row r="9225" hidden="1">
      <c r="A9225" s="154" t="s">
        <v>220</v>
      </c>
      <c r="B9225" s="155" t="s">
        <v>190</v>
      </c>
      <c r="C9225" s="155" t="s">
        <v>206</v>
      </c>
      <c r="D9225" s="156" t="s">
        <v>10409</v>
      </c>
      <c r="E9225" s="156" t="s">
        <v>10446</v>
      </c>
      <c r="F9225" s="156" t="s">
        <v>290</v>
      </c>
      <c r="G9225" s="156" t="s">
        <v>10447</v>
      </c>
      <c r="H9225" s="157" t="s">
        <v>214</v>
      </c>
    </row>
    <row r="9226" hidden="1">
      <c r="A9226" s="151" t="s">
        <v>220</v>
      </c>
      <c r="B9226" s="118" t="s">
        <v>190</v>
      </c>
      <c r="C9226" s="118" t="s">
        <v>206</v>
      </c>
      <c r="D9226" s="152" t="s">
        <v>10409</v>
      </c>
      <c r="E9226" s="152" t="s">
        <v>10448</v>
      </c>
      <c r="F9226" s="152" t="s">
        <v>425</v>
      </c>
      <c r="G9226" s="152" t="s">
        <v>10449</v>
      </c>
      <c r="H9226" s="153" t="s">
        <v>215</v>
      </c>
    </row>
    <row r="9227" hidden="1">
      <c r="A9227" s="154" t="s">
        <v>220</v>
      </c>
      <c r="B9227" s="155" t="s">
        <v>190</v>
      </c>
      <c r="C9227" s="155" t="s">
        <v>206</v>
      </c>
      <c r="D9227" s="156" t="s">
        <v>10409</v>
      </c>
      <c r="E9227" s="156" t="s">
        <v>10450</v>
      </c>
      <c r="F9227" s="156" t="s">
        <v>359</v>
      </c>
      <c r="G9227" s="156" t="s">
        <v>10451</v>
      </c>
      <c r="H9227" s="157" t="s">
        <v>216</v>
      </c>
    </row>
    <row r="9228" hidden="1">
      <c r="A9228" s="151" t="s">
        <v>221</v>
      </c>
      <c r="B9228" s="118" t="s">
        <v>189</v>
      </c>
      <c r="C9228" s="118" t="s">
        <v>206</v>
      </c>
      <c r="D9228" s="152" t="s">
        <v>10409</v>
      </c>
      <c r="E9228" s="152" t="s">
        <v>10452</v>
      </c>
      <c r="F9228" s="152" t="s">
        <v>1948</v>
      </c>
      <c r="G9228" s="152" t="s">
        <v>10223</v>
      </c>
      <c r="H9228" s="153" t="s">
        <v>210</v>
      </c>
    </row>
    <row r="9229" hidden="1">
      <c r="A9229" s="154" t="s">
        <v>221</v>
      </c>
      <c r="B9229" s="155" t="s">
        <v>189</v>
      </c>
      <c r="C9229" s="155" t="s">
        <v>206</v>
      </c>
      <c r="D9229" s="156" t="s">
        <v>10409</v>
      </c>
      <c r="E9229" s="156" t="s">
        <v>10453</v>
      </c>
      <c r="F9229" s="156" t="s">
        <v>675</v>
      </c>
      <c r="G9229" s="156" t="s">
        <v>9850</v>
      </c>
      <c r="H9229" s="157" t="s">
        <v>211</v>
      </c>
    </row>
    <row r="9230" hidden="1">
      <c r="A9230" s="151" t="s">
        <v>221</v>
      </c>
      <c r="B9230" s="118" t="s">
        <v>189</v>
      </c>
      <c r="C9230" s="118" t="s">
        <v>206</v>
      </c>
      <c r="D9230" s="152" t="s">
        <v>10409</v>
      </c>
      <c r="E9230" s="152" t="s">
        <v>10454</v>
      </c>
      <c r="F9230" s="152" t="s">
        <v>305</v>
      </c>
      <c r="G9230" s="152" t="s">
        <v>10455</v>
      </c>
      <c r="H9230" s="153" t="s">
        <v>212</v>
      </c>
    </row>
    <row r="9231" hidden="1">
      <c r="A9231" s="154" t="s">
        <v>221</v>
      </c>
      <c r="B9231" s="155" t="s">
        <v>189</v>
      </c>
      <c r="C9231" s="155" t="s">
        <v>206</v>
      </c>
      <c r="D9231" s="156" t="s">
        <v>10409</v>
      </c>
      <c r="E9231" s="156" t="s">
        <v>10456</v>
      </c>
      <c r="F9231" s="156" t="s">
        <v>3198</v>
      </c>
      <c r="G9231" s="156" t="s">
        <v>10457</v>
      </c>
      <c r="H9231" s="157" t="s">
        <v>213</v>
      </c>
    </row>
    <row r="9232" hidden="1">
      <c r="A9232" s="151" t="s">
        <v>221</v>
      </c>
      <c r="B9232" s="118" t="s">
        <v>189</v>
      </c>
      <c r="C9232" s="118" t="s">
        <v>206</v>
      </c>
      <c r="D9232" s="152" t="s">
        <v>10409</v>
      </c>
      <c r="E9232" s="152" t="s">
        <v>10458</v>
      </c>
      <c r="F9232" s="152" t="s">
        <v>1769</v>
      </c>
      <c r="G9232" s="152" t="s">
        <v>9692</v>
      </c>
      <c r="H9232" s="153" t="s">
        <v>214</v>
      </c>
    </row>
    <row r="9233" hidden="1">
      <c r="A9233" s="154" t="s">
        <v>221</v>
      </c>
      <c r="B9233" s="155" t="s">
        <v>189</v>
      </c>
      <c r="C9233" s="155" t="s">
        <v>206</v>
      </c>
      <c r="D9233" s="156" t="s">
        <v>10409</v>
      </c>
      <c r="E9233" s="156" t="s">
        <v>10459</v>
      </c>
      <c r="F9233" s="156" t="s">
        <v>2228</v>
      </c>
      <c r="G9233" s="156" t="s">
        <v>10460</v>
      </c>
      <c r="H9233" s="157" t="s">
        <v>215</v>
      </c>
    </row>
    <row r="9234" hidden="1">
      <c r="A9234" s="151" t="s">
        <v>221</v>
      </c>
      <c r="B9234" s="118" t="s">
        <v>189</v>
      </c>
      <c r="C9234" s="118" t="s">
        <v>206</v>
      </c>
      <c r="D9234" s="152" t="s">
        <v>10409</v>
      </c>
      <c r="E9234" s="152" t="s">
        <v>10461</v>
      </c>
      <c r="F9234" s="152" t="s">
        <v>497</v>
      </c>
      <c r="G9234" s="152" t="s">
        <v>10043</v>
      </c>
      <c r="H9234" s="153" t="s">
        <v>216</v>
      </c>
    </row>
    <row r="9235" hidden="1">
      <c r="A9235" s="154" t="s">
        <v>222</v>
      </c>
      <c r="B9235" s="155" t="s">
        <v>192</v>
      </c>
      <c r="C9235" s="155" t="s">
        <v>206</v>
      </c>
      <c r="D9235" s="156" t="s">
        <v>10409</v>
      </c>
      <c r="E9235" s="156" t="s">
        <v>10462</v>
      </c>
      <c r="F9235" s="156" t="s">
        <v>423</v>
      </c>
      <c r="G9235" s="156" t="s">
        <v>10463</v>
      </c>
      <c r="H9235" s="157" t="s">
        <v>210</v>
      </c>
    </row>
    <row r="9236" hidden="1">
      <c r="A9236" s="151" t="s">
        <v>222</v>
      </c>
      <c r="B9236" s="118" t="s">
        <v>192</v>
      </c>
      <c r="C9236" s="118" t="s">
        <v>206</v>
      </c>
      <c r="D9236" s="152" t="s">
        <v>10409</v>
      </c>
      <c r="E9236" s="152" t="s">
        <v>10464</v>
      </c>
      <c r="F9236" s="152" t="s">
        <v>3218</v>
      </c>
      <c r="G9236" s="152" t="s">
        <v>9639</v>
      </c>
      <c r="H9236" s="153" t="s">
        <v>211</v>
      </c>
    </row>
    <row r="9237" hidden="1">
      <c r="A9237" s="154" t="s">
        <v>222</v>
      </c>
      <c r="B9237" s="155" t="s">
        <v>192</v>
      </c>
      <c r="C9237" s="155" t="s">
        <v>206</v>
      </c>
      <c r="D9237" s="156" t="s">
        <v>10409</v>
      </c>
      <c r="E9237" s="156" t="s">
        <v>10465</v>
      </c>
      <c r="F9237" s="156" t="s">
        <v>1929</v>
      </c>
      <c r="G9237" s="156" t="s">
        <v>10172</v>
      </c>
      <c r="H9237" s="157" t="s">
        <v>212</v>
      </c>
    </row>
    <row r="9238" hidden="1">
      <c r="A9238" s="151" t="s">
        <v>222</v>
      </c>
      <c r="B9238" s="118" t="s">
        <v>192</v>
      </c>
      <c r="C9238" s="118" t="s">
        <v>206</v>
      </c>
      <c r="D9238" s="152" t="s">
        <v>10409</v>
      </c>
      <c r="E9238" s="152" t="s">
        <v>10466</v>
      </c>
      <c r="F9238" s="152" t="s">
        <v>405</v>
      </c>
      <c r="G9238" s="152" t="s">
        <v>10467</v>
      </c>
      <c r="H9238" s="153" t="s">
        <v>213</v>
      </c>
    </row>
    <row r="9239" hidden="1">
      <c r="A9239" s="154" t="s">
        <v>222</v>
      </c>
      <c r="B9239" s="155" t="s">
        <v>192</v>
      </c>
      <c r="C9239" s="155" t="s">
        <v>206</v>
      </c>
      <c r="D9239" s="156" t="s">
        <v>10409</v>
      </c>
      <c r="E9239" s="156" t="s">
        <v>10468</v>
      </c>
      <c r="F9239" s="156" t="s">
        <v>735</v>
      </c>
      <c r="G9239" s="156" t="s">
        <v>10469</v>
      </c>
      <c r="H9239" s="157" t="s">
        <v>214</v>
      </c>
    </row>
    <row r="9240" hidden="1">
      <c r="A9240" s="151" t="s">
        <v>222</v>
      </c>
      <c r="B9240" s="118" t="s">
        <v>192</v>
      </c>
      <c r="C9240" s="118" t="s">
        <v>206</v>
      </c>
      <c r="D9240" s="152" t="s">
        <v>10409</v>
      </c>
      <c r="E9240" s="152" t="s">
        <v>10470</v>
      </c>
      <c r="F9240" s="152" t="s">
        <v>390</v>
      </c>
      <c r="G9240" s="152" t="s">
        <v>10069</v>
      </c>
      <c r="H9240" s="153" t="s">
        <v>215</v>
      </c>
    </row>
    <row r="9241" hidden="1">
      <c r="A9241" s="154" t="s">
        <v>222</v>
      </c>
      <c r="B9241" s="155" t="s">
        <v>192</v>
      </c>
      <c r="C9241" s="155" t="s">
        <v>206</v>
      </c>
      <c r="D9241" s="156" t="s">
        <v>10409</v>
      </c>
      <c r="E9241" s="156" t="s">
        <v>10471</v>
      </c>
      <c r="F9241" s="156" t="s">
        <v>453</v>
      </c>
      <c r="G9241" s="156" t="s">
        <v>10357</v>
      </c>
      <c r="H9241" s="157" t="s">
        <v>216</v>
      </c>
    </row>
    <row r="9242" hidden="1">
      <c r="A9242" s="151" t="s">
        <v>223</v>
      </c>
      <c r="B9242" s="118" t="s">
        <v>144</v>
      </c>
      <c r="C9242" s="118" t="s">
        <v>206</v>
      </c>
      <c r="D9242" s="152" t="s">
        <v>10409</v>
      </c>
      <c r="E9242" s="152" t="s">
        <v>10472</v>
      </c>
      <c r="F9242" s="152" t="s">
        <v>1999</v>
      </c>
      <c r="G9242" s="152" t="s">
        <v>10064</v>
      </c>
      <c r="H9242" s="153" t="s">
        <v>210</v>
      </c>
    </row>
    <row r="9243" hidden="1">
      <c r="A9243" s="154" t="s">
        <v>223</v>
      </c>
      <c r="B9243" s="155" t="s">
        <v>144</v>
      </c>
      <c r="C9243" s="155" t="s">
        <v>206</v>
      </c>
      <c r="D9243" s="156" t="s">
        <v>10409</v>
      </c>
      <c r="E9243" s="156" t="s">
        <v>10473</v>
      </c>
      <c r="F9243" s="156" t="s">
        <v>478</v>
      </c>
      <c r="G9243" s="156" t="s">
        <v>10124</v>
      </c>
      <c r="H9243" s="157" t="s">
        <v>211</v>
      </c>
    </row>
    <row r="9244" hidden="1">
      <c r="A9244" s="151" t="s">
        <v>223</v>
      </c>
      <c r="B9244" s="118" t="s">
        <v>144</v>
      </c>
      <c r="C9244" s="118" t="s">
        <v>206</v>
      </c>
      <c r="D9244" s="152" t="s">
        <v>10409</v>
      </c>
      <c r="E9244" s="152" t="s">
        <v>10474</v>
      </c>
      <c r="F9244" s="152" t="s">
        <v>799</v>
      </c>
      <c r="G9244" s="152" t="s">
        <v>10475</v>
      </c>
      <c r="H9244" s="153" t="s">
        <v>212</v>
      </c>
    </row>
    <row r="9245" hidden="1">
      <c r="A9245" s="154" t="s">
        <v>223</v>
      </c>
      <c r="B9245" s="155" t="s">
        <v>144</v>
      </c>
      <c r="C9245" s="155" t="s">
        <v>206</v>
      </c>
      <c r="D9245" s="156" t="s">
        <v>10409</v>
      </c>
      <c r="E9245" s="156" t="s">
        <v>10476</v>
      </c>
      <c r="F9245" s="156" t="s">
        <v>354</v>
      </c>
      <c r="G9245" s="156" t="s">
        <v>9509</v>
      </c>
      <c r="H9245" s="157" t="s">
        <v>213</v>
      </c>
    </row>
    <row r="9246" hidden="1">
      <c r="A9246" s="151" t="s">
        <v>223</v>
      </c>
      <c r="B9246" s="118" t="s">
        <v>144</v>
      </c>
      <c r="C9246" s="118" t="s">
        <v>206</v>
      </c>
      <c r="D9246" s="152" t="s">
        <v>10409</v>
      </c>
      <c r="E9246" s="152" t="s">
        <v>10477</v>
      </c>
      <c r="F9246" s="152" t="s">
        <v>483</v>
      </c>
      <c r="G9246" s="152" t="s">
        <v>10251</v>
      </c>
      <c r="H9246" s="153" t="s">
        <v>214</v>
      </c>
    </row>
    <row r="9247" hidden="1">
      <c r="A9247" s="154" t="s">
        <v>223</v>
      </c>
      <c r="B9247" s="155" t="s">
        <v>144</v>
      </c>
      <c r="C9247" s="155" t="s">
        <v>206</v>
      </c>
      <c r="D9247" s="156" t="s">
        <v>10409</v>
      </c>
      <c r="E9247" s="156" t="s">
        <v>10478</v>
      </c>
      <c r="F9247" s="156" t="s">
        <v>725</v>
      </c>
      <c r="G9247" s="156" t="s">
        <v>10475</v>
      </c>
      <c r="H9247" s="157" t="s">
        <v>215</v>
      </c>
    </row>
    <row r="9248" hidden="1">
      <c r="A9248" s="151" t="s">
        <v>223</v>
      </c>
      <c r="B9248" s="118" t="s">
        <v>144</v>
      </c>
      <c r="C9248" s="118" t="s">
        <v>206</v>
      </c>
      <c r="D9248" s="152" t="s">
        <v>10409</v>
      </c>
      <c r="E9248" s="152" t="s">
        <v>10479</v>
      </c>
      <c r="F9248" s="152" t="s">
        <v>677</v>
      </c>
      <c r="G9248" s="152" t="s">
        <v>10071</v>
      </c>
      <c r="H9248" s="153" t="s">
        <v>216</v>
      </c>
    </row>
    <row r="9249" hidden="1">
      <c r="A9249" s="154" t="s">
        <v>224</v>
      </c>
      <c r="B9249" s="155" t="s">
        <v>170</v>
      </c>
      <c r="C9249" s="155" t="s">
        <v>206</v>
      </c>
      <c r="D9249" s="156" t="s">
        <v>10409</v>
      </c>
      <c r="E9249" s="156" t="s">
        <v>10480</v>
      </c>
      <c r="F9249" s="156" t="s">
        <v>2994</v>
      </c>
      <c r="G9249" s="156" t="s">
        <v>9421</v>
      </c>
      <c r="H9249" s="157" t="s">
        <v>210</v>
      </c>
    </row>
    <row r="9250" hidden="1">
      <c r="A9250" s="151" t="s">
        <v>224</v>
      </c>
      <c r="B9250" s="118" t="s">
        <v>170</v>
      </c>
      <c r="C9250" s="118" t="s">
        <v>206</v>
      </c>
      <c r="D9250" s="152" t="s">
        <v>10409</v>
      </c>
      <c r="E9250" s="152" t="s">
        <v>10481</v>
      </c>
      <c r="F9250" s="152" t="s">
        <v>735</v>
      </c>
      <c r="G9250" s="152" t="s">
        <v>10067</v>
      </c>
      <c r="H9250" s="153" t="s">
        <v>211</v>
      </c>
    </row>
    <row r="9251" hidden="1">
      <c r="A9251" s="154" t="s">
        <v>224</v>
      </c>
      <c r="B9251" s="155" t="s">
        <v>170</v>
      </c>
      <c r="C9251" s="155" t="s">
        <v>206</v>
      </c>
      <c r="D9251" s="156" t="s">
        <v>10409</v>
      </c>
      <c r="E9251" s="156" t="s">
        <v>10482</v>
      </c>
      <c r="F9251" s="156" t="s">
        <v>1532</v>
      </c>
      <c r="G9251" s="156" t="s">
        <v>10393</v>
      </c>
      <c r="H9251" s="157" t="s">
        <v>212</v>
      </c>
    </row>
    <row r="9252" hidden="1">
      <c r="A9252" s="151" t="s">
        <v>224</v>
      </c>
      <c r="B9252" s="118" t="s">
        <v>170</v>
      </c>
      <c r="C9252" s="118" t="s">
        <v>206</v>
      </c>
      <c r="D9252" s="152" t="s">
        <v>10409</v>
      </c>
      <c r="E9252" s="152" t="s">
        <v>10483</v>
      </c>
      <c r="F9252" s="152" t="s">
        <v>677</v>
      </c>
      <c r="G9252" s="152" t="s">
        <v>10117</v>
      </c>
      <c r="H9252" s="153" t="s">
        <v>213</v>
      </c>
    </row>
    <row r="9253" hidden="1">
      <c r="A9253" s="154" t="s">
        <v>224</v>
      </c>
      <c r="B9253" s="155" t="s">
        <v>170</v>
      </c>
      <c r="C9253" s="155" t="s">
        <v>206</v>
      </c>
      <c r="D9253" s="156" t="s">
        <v>10409</v>
      </c>
      <c r="E9253" s="156" t="s">
        <v>10484</v>
      </c>
      <c r="F9253" s="156" t="s">
        <v>673</v>
      </c>
      <c r="G9253" s="156" t="s">
        <v>10485</v>
      </c>
      <c r="H9253" s="157" t="s">
        <v>214</v>
      </c>
    </row>
    <row r="9254" hidden="1">
      <c r="A9254" s="151" t="s">
        <v>224</v>
      </c>
      <c r="B9254" s="118" t="s">
        <v>170</v>
      </c>
      <c r="C9254" s="118" t="s">
        <v>206</v>
      </c>
      <c r="D9254" s="152" t="s">
        <v>10409</v>
      </c>
      <c r="E9254" s="152" t="s">
        <v>10486</v>
      </c>
      <c r="F9254" s="152" t="s">
        <v>673</v>
      </c>
      <c r="G9254" s="152" t="s">
        <v>10138</v>
      </c>
      <c r="H9254" s="153" t="s">
        <v>215</v>
      </c>
    </row>
    <row r="9255" hidden="1">
      <c r="A9255" s="154" t="s">
        <v>224</v>
      </c>
      <c r="B9255" s="155" t="s">
        <v>170</v>
      </c>
      <c r="C9255" s="155" t="s">
        <v>206</v>
      </c>
      <c r="D9255" s="156" t="s">
        <v>10409</v>
      </c>
      <c r="E9255" s="156" t="s">
        <v>10487</v>
      </c>
      <c r="F9255" s="156" t="s">
        <v>735</v>
      </c>
      <c r="G9255" s="156" t="s">
        <v>10049</v>
      </c>
      <c r="H9255" s="157" t="s">
        <v>216</v>
      </c>
    </row>
    <row r="9256" hidden="1">
      <c r="A9256" s="151" t="s">
        <v>225</v>
      </c>
      <c r="B9256" s="118" t="s">
        <v>226</v>
      </c>
      <c r="C9256" s="118" t="s">
        <v>206</v>
      </c>
      <c r="D9256" s="152" t="s">
        <v>10409</v>
      </c>
      <c r="E9256" s="152" t="s">
        <v>10488</v>
      </c>
      <c r="F9256" s="152" t="s">
        <v>2228</v>
      </c>
      <c r="G9256" s="152" t="s">
        <v>3466</v>
      </c>
      <c r="H9256" s="153" t="s">
        <v>210</v>
      </c>
    </row>
    <row r="9257" hidden="1">
      <c r="A9257" s="154" t="s">
        <v>225</v>
      </c>
      <c r="B9257" s="155" t="s">
        <v>226</v>
      </c>
      <c r="C9257" s="155" t="s">
        <v>206</v>
      </c>
      <c r="D9257" s="156" t="s">
        <v>10409</v>
      </c>
      <c r="E9257" s="156" t="s">
        <v>10489</v>
      </c>
      <c r="F9257" s="156" t="s">
        <v>3340</v>
      </c>
      <c r="G9257" s="156" t="s">
        <v>4653</v>
      </c>
      <c r="H9257" s="157" t="s">
        <v>211</v>
      </c>
    </row>
    <row r="9258" hidden="1">
      <c r="A9258" s="151" t="s">
        <v>225</v>
      </c>
      <c r="B9258" s="118" t="s">
        <v>226</v>
      </c>
      <c r="C9258" s="118" t="s">
        <v>206</v>
      </c>
      <c r="D9258" s="152" t="s">
        <v>10409</v>
      </c>
      <c r="E9258" s="152" t="s">
        <v>10490</v>
      </c>
      <c r="F9258" s="152" t="s">
        <v>348</v>
      </c>
      <c r="G9258" s="152" t="s">
        <v>9391</v>
      </c>
      <c r="H9258" s="153" t="s">
        <v>212</v>
      </c>
    </row>
    <row r="9259" hidden="1">
      <c r="A9259" s="154" t="s">
        <v>225</v>
      </c>
      <c r="B9259" s="155" t="s">
        <v>226</v>
      </c>
      <c r="C9259" s="155" t="s">
        <v>206</v>
      </c>
      <c r="D9259" s="156" t="s">
        <v>10409</v>
      </c>
      <c r="E9259" s="156" t="s">
        <v>10491</v>
      </c>
      <c r="F9259" s="156" t="s">
        <v>3150</v>
      </c>
      <c r="G9259" s="156" t="s">
        <v>6901</v>
      </c>
      <c r="H9259" s="157" t="s">
        <v>213</v>
      </c>
    </row>
    <row r="9260" hidden="1">
      <c r="A9260" s="151" t="s">
        <v>225</v>
      </c>
      <c r="B9260" s="118" t="s">
        <v>226</v>
      </c>
      <c r="C9260" s="118" t="s">
        <v>206</v>
      </c>
      <c r="D9260" s="152" t="s">
        <v>10409</v>
      </c>
      <c r="E9260" s="152" t="s">
        <v>10492</v>
      </c>
      <c r="F9260" s="152" t="s">
        <v>497</v>
      </c>
      <c r="G9260" s="152" t="s">
        <v>10493</v>
      </c>
      <c r="H9260" s="153" t="s">
        <v>214</v>
      </c>
    </row>
    <row r="9261" hidden="1">
      <c r="A9261" s="154" t="s">
        <v>225</v>
      </c>
      <c r="B9261" s="155" t="s">
        <v>226</v>
      </c>
      <c r="C9261" s="155" t="s">
        <v>206</v>
      </c>
      <c r="D9261" s="156" t="s">
        <v>10409</v>
      </c>
      <c r="E9261" s="156" t="s">
        <v>10494</v>
      </c>
      <c r="F9261" s="156" t="s">
        <v>3150</v>
      </c>
      <c r="G9261" s="156" t="s">
        <v>7600</v>
      </c>
      <c r="H9261" s="157" t="s">
        <v>215</v>
      </c>
    </row>
    <row r="9262" hidden="1">
      <c r="A9262" s="151" t="s">
        <v>225</v>
      </c>
      <c r="B9262" s="118" t="s">
        <v>226</v>
      </c>
      <c r="C9262" s="118" t="s">
        <v>206</v>
      </c>
      <c r="D9262" s="152" t="s">
        <v>10409</v>
      </c>
      <c r="E9262" s="152" t="s">
        <v>10495</v>
      </c>
      <c r="F9262" s="152" t="s">
        <v>497</v>
      </c>
      <c r="G9262" s="152" t="s">
        <v>4079</v>
      </c>
      <c r="H9262" s="153" t="s">
        <v>216</v>
      </c>
    </row>
    <row r="9263" hidden="1">
      <c r="A9263" s="154" t="s">
        <v>227</v>
      </c>
      <c r="B9263" s="155" t="s">
        <v>195</v>
      </c>
      <c r="C9263" s="155" t="s">
        <v>206</v>
      </c>
      <c r="D9263" s="156" t="s">
        <v>10409</v>
      </c>
      <c r="E9263" s="156" t="s">
        <v>10496</v>
      </c>
      <c r="F9263" s="156" t="s">
        <v>2407</v>
      </c>
      <c r="G9263" s="156" t="s">
        <v>10043</v>
      </c>
      <c r="H9263" s="157" t="s">
        <v>210</v>
      </c>
    </row>
    <row r="9264" hidden="1">
      <c r="A9264" s="151" t="s">
        <v>227</v>
      </c>
      <c r="B9264" s="118" t="s">
        <v>195</v>
      </c>
      <c r="C9264" s="118" t="s">
        <v>206</v>
      </c>
      <c r="D9264" s="152" t="s">
        <v>10409</v>
      </c>
      <c r="E9264" s="152" t="s">
        <v>10497</v>
      </c>
      <c r="F9264" s="152" t="s">
        <v>3346</v>
      </c>
      <c r="G9264" s="152" t="s">
        <v>9868</v>
      </c>
      <c r="H9264" s="153" t="s">
        <v>211</v>
      </c>
    </row>
    <row r="9265" hidden="1">
      <c r="A9265" s="154" t="s">
        <v>227</v>
      </c>
      <c r="B9265" s="155" t="s">
        <v>195</v>
      </c>
      <c r="C9265" s="155" t="s">
        <v>206</v>
      </c>
      <c r="D9265" s="156" t="s">
        <v>10409</v>
      </c>
      <c r="E9265" s="156" t="s">
        <v>10498</v>
      </c>
      <c r="F9265" s="156" t="s">
        <v>3359</v>
      </c>
      <c r="G9265" s="156" t="s">
        <v>9890</v>
      </c>
      <c r="H9265" s="157" t="s">
        <v>212</v>
      </c>
    </row>
    <row r="9266" hidden="1">
      <c r="A9266" s="151" t="s">
        <v>227</v>
      </c>
      <c r="B9266" s="118" t="s">
        <v>195</v>
      </c>
      <c r="C9266" s="118" t="s">
        <v>206</v>
      </c>
      <c r="D9266" s="152" t="s">
        <v>10409</v>
      </c>
      <c r="E9266" s="152" t="s">
        <v>10499</v>
      </c>
      <c r="F9266" s="152" t="s">
        <v>3198</v>
      </c>
      <c r="G9266" s="152" t="s">
        <v>9649</v>
      </c>
      <c r="H9266" s="153" t="s">
        <v>213</v>
      </c>
    </row>
    <row r="9267" hidden="1">
      <c r="A9267" s="154" t="s">
        <v>227</v>
      </c>
      <c r="B9267" s="155" t="s">
        <v>195</v>
      </c>
      <c r="C9267" s="155" t="s">
        <v>206</v>
      </c>
      <c r="D9267" s="156" t="s">
        <v>10409</v>
      </c>
      <c r="E9267" s="156" t="s">
        <v>10500</v>
      </c>
      <c r="F9267" s="156" t="s">
        <v>1948</v>
      </c>
      <c r="G9267" s="156" t="s">
        <v>10047</v>
      </c>
      <c r="H9267" s="157" t="s">
        <v>214</v>
      </c>
    </row>
    <row r="9268" hidden="1">
      <c r="A9268" s="151" t="s">
        <v>227</v>
      </c>
      <c r="B9268" s="118" t="s">
        <v>195</v>
      </c>
      <c r="C9268" s="118" t="s">
        <v>206</v>
      </c>
      <c r="D9268" s="152" t="s">
        <v>10409</v>
      </c>
      <c r="E9268" s="152" t="s">
        <v>10501</v>
      </c>
      <c r="F9268" s="152" t="s">
        <v>3240</v>
      </c>
      <c r="G9268" s="152" t="s">
        <v>10045</v>
      </c>
      <c r="H9268" s="153" t="s">
        <v>215</v>
      </c>
    </row>
    <row r="9269" hidden="1">
      <c r="A9269" s="154" t="s">
        <v>227</v>
      </c>
      <c r="B9269" s="155" t="s">
        <v>195</v>
      </c>
      <c r="C9269" s="155" t="s">
        <v>206</v>
      </c>
      <c r="D9269" s="156" t="s">
        <v>10409</v>
      </c>
      <c r="E9269" s="156" t="s">
        <v>10502</v>
      </c>
      <c r="F9269" s="156" t="s">
        <v>3148</v>
      </c>
      <c r="G9269" s="156" t="s">
        <v>9509</v>
      </c>
      <c r="H9269" s="157" t="s">
        <v>216</v>
      </c>
    </row>
    <row r="9270" hidden="1">
      <c r="A9270" s="151" t="s">
        <v>228</v>
      </c>
      <c r="B9270" s="118" t="s">
        <v>138</v>
      </c>
      <c r="C9270" s="118" t="s">
        <v>206</v>
      </c>
      <c r="D9270" s="152" t="s">
        <v>10409</v>
      </c>
      <c r="E9270" s="152" t="s">
        <v>10503</v>
      </c>
      <c r="F9270" s="152" t="s">
        <v>374</v>
      </c>
      <c r="G9270" s="152" t="s">
        <v>10332</v>
      </c>
      <c r="H9270" s="153" t="s">
        <v>210</v>
      </c>
    </row>
    <row r="9271" hidden="1">
      <c r="A9271" s="154" t="s">
        <v>228</v>
      </c>
      <c r="B9271" s="155" t="s">
        <v>138</v>
      </c>
      <c r="C9271" s="155" t="s">
        <v>206</v>
      </c>
      <c r="D9271" s="156" t="s">
        <v>10409</v>
      </c>
      <c r="E9271" s="156" t="s">
        <v>10504</v>
      </c>
      <c r="F9271" s="156" t="s">
        <v>365</v>
      </c>
      <c r="G9271" s="156" t="s">
        <v>10308</v>
      </c>
      <c r="H9271" s="157" t="s">
        <v>211</v>
      </c>
    </row>
    <row r="9272" hidden="1">
      <c r="A9272" s="151" t="s">
        <v>228</v>
      </c>
      <c r="B9272" s="118" t="s">
        <v>138</v>
      </c>
      <c r="C9272" s="118" t="s">
        <v>206</v>
      </c>
      <c r="D9272" s="152" t="s">
        <v>10409</v>
      </c>
      <c r="E9272" s="152" t="s">
        <v>10505</v>
      </c>
      <c r="F9272" s="152" t="s">
        <v>436</v>
      </c>
      <c r="G9272" s="152" t="s">
        <v>3298</v>
      </c>
      <c r="H9272" s="153" t="s">
        <v>212</v>
      </c>
    </row>
    <row r="9273" hidden="1">
      <c r="A9273" s="154" t="s">
        <v>228</v>
      </c>
      <c r="B9273" s="155" t="s">
        <v>138</v>
      </c>
      <c r="C9273" s="155" t="s">
        <v>206</v>
      </c>
      <c r="D9273" s="156" t="s">
        <v>10409</v>
      </c>
      <c r="E9273" s="156" t="s">
        <v>10335</v>
      </c>
      <c r="F9273" s="156" t="s">
        <v>204</v>
      </c>
      <c r="G9273" s="156" t="s">
        <v>3786</v>
      </c>
      <c r="H9273" s="157" t="s">
        <v>213</v>
      </c>
    </row>
    <row r="9274" hidden="1">
      <c r="A9274" s="151" t="s">
        <v>228</v>
      </c>
      <c r="B9274" s="118" t="s">
        <v>138</v>
      </c>
      <c r="C9274" s="118" t="s">
        <v>206</v>
      </c>
      <c r="D9274" s="152" t="s">
        <v>10409</v>
      </c>
      <c r="E9274" s="152" t="s">
        <v>10506</v>
      </c>
      <c r="F9274" s="152" t="s">
        <v>269</v>
      </c>
      <c r="G9274" s="152" t="s">
        <v>9330</v>
      </c>
      <c r="H9274" s="153" t="s">
        <v>214</v>
      </c>
    </row>
    <row r="9275" hidden="1">
      <c r="A9275" s="154" t="s">
        <v>228</v>
      </c>
      <c r="B9275" s="155" t="s">
        <v>138</v>
      </c>
      <c r="C9275" s="155" t="s">
        <v>206</v>
      </c>
      <c r="D9275" s="156" t="s">
        <v>10409</v>
      </c>
      <c r="E9275" s="156" t="s">
        <v>10507</v>
      </c>
      <c r="F9275" s="156" t="s">
        <v>276</v>
      </c>
      <c r="G9275" s="156" t="s">
        <v>9829</v>
      </c>
      <c r="H9275" s="157" t="s">
        <v>215</v>
      </c>
    </row>
    <row r="9276" hidden="1">
      <c r="A9276" s="151" t="s">
        <v>228</v>
      </c>
      <c r="B9276" s="118" t="s">
        <v>138</v>
      </c>
      <c r="C9276" s="118" t="s">
        <v>206</v>
      </c>
      <c r="D9276" s="152" t="s">
        <v>10409</v>
      </c>
      <c r="E9276" s="152" t="s">
        <v>10508</v>
      </c>
      <c r="F9276" s="152" t="s">
        <v>301</v>
      </c>
      <c r="G9276" s="152" t="s">
        <v>9945</v>
      </c>
      <c r="H9276" s="153" t="s">
        <v>216</v>
      </c>
    </row>
    <row r="9277" hidden="1">
      <c r="A9277" s="154" t="s">
        <v>229</v>
      </c>
      <c r="B9277" s="155" t="s">
        <v>193</v>
      </c>
      <c r="C9277" s="155" t="s">
        <v>206</v>
      </c>
      <c r="D9277" s="156" t="s">
        <v>10409</v>
      </c>
      <c r="E9277" s="156" t="s">
        <v>10509</v>
      </c>
      <c r="F9277" s="156" t="s">
        <v>1999</v>
      </c>
      <c r="G9277" s="156" t="s">
        <v>10348</v>
      </c>
      <c r="H9277" s="157" t="s">
        <v>210</v>
      </c>
    </row>
    <row r="9278" hidden="1">
      <c r="A9278" s="151" t="s">
        <v>229</v>
      </c>
      <c r="B9278" s="118" t="s">
        <v>193</v>
      </c>
      <c r="C9278" s="118" t="s">
        <v>206</v>
      </c>
      <c r="D9278" s="152" t="s">
        <v>10409</v>
      </c>
      <c r="E9278" s="152" t="s">
        <v>10510</v>
      </c>
      <c r="F9278" s="152" t="s">
        <v>2994</v>
      </c>
      <c r="G9278" s="152" t="s">
        <v>10174</v>
      </c>
      <c r="H9278" s="153" t="s">
        <v>211</v>
      </c>
    </row>
    <row r="9279" hidden="1">
      <c r="A9279" s="154" t="s">
        <v>229</v>
      </c>
      <c r="B9279" s="155" t="s">
        <v>193</v>
      </c>
      <c r="C9279" s="155" t="s">
        <v>206</v>
      </c>
      <c r="D9279" s="156" t="s">
        <v>10409</v>
      </c>
      <c r="E9279" s="156" t="s">
        <v>10511</v>
      </c>
      <c r="F9279" s="156" t="s">
        <v>677</v>
      </c>
      <c r="G9279" s="156" t="s">
        <v>10512</v>
      </c>
      <c r="H9279" s="157" t="s">
        <v>212</v>
      </c>
    </row>
    <row r="9280" hidden="1">
      <c r="A9280" s="151" t="s">
        <v>229</v>
      </c>
      <c r="B9280" s="118" t="s">
        <v>193</v>
      </c>
      <c r="C9280" s="118" t="s">
        <v>206</v>
      </c>
      <c r="D9280" s="152" t="s">
        <v>10409</v>
      </c>
      <c r="E9280" s="152" t="s">
        <v>10513</v>
      </c>
      <c r="F9280" s="152" t="s">
        <v>587</v>
      </c>
      <c r="G9280" s="152" t="s">
        <v>10514</v>
      </c>
      <c r="H9280" s="153" t="s">
        <v>213</v>
      </c>
    </row>
    <row r="9281" hidden="1">
      <c r="A9281" s="154" t="s">
        <v>229</v>
      </c>
      <c r="B9281" s="155" t="s">
        <v>193</v>
      </c>
      <c r="C9281" s="155" t="s">
        <v>206</v>
      </c>
      <c r="D9281" s="156" t="s">
        <v>10409</v>
      </c>
      <c r="E9281" s="156" t="s">
        <v>10515</v>
      </c>
      <c r="F9281" s="156" t="s">
        <v>2215</v>
      </c>
      <c r="G9281" s="156" t="s">
        <v>10516</v>
      </c>
      <c r="H9281" s="157" t="s">
        <v>214</v>
      </c>
    </row>
    <row r="9282" hidden="1">
      <c r="A9282" s="151" t="s">
        <v>229</v>
      </c>
      <c r="B9282" s="118" t="s">
        <v>193</v>
      </c>
      <c r="C9282" s="118" t="s">
        <v>206</v>
      </c>
      <c r="D9282" s="152" t="s">
        <v>10409</v>
      </c>
      <c r="E9282" s="152" t="s">
        <v>10517</v>
      </c>
      <c r="F9282" s="152" t="s">
        <v>3243</v>
      </c>
      <c r="G9282" s="152" t="s">
        <v>10518</v>
      </c>
      <c r="H9282" s="153" t="s">
        <v>215</v>
      </c>
    </row>
    <row r="9283" hidden="1">
      <c r="A9283" s="154" t="s">
        <v>229</v>
      </c>
      <c r="B9283" s="155" t="s">
        <v>193</v>
      </c>
      <c r="C9283" s="155" t="s">
        <v>206</v>
      </c>
      <c r="D9283" s="156" t="s">
        <v>10409</v>
      </c>
      <c r="E9283" s="156" t="s">
        <v>10519</v>
      </c>
      <c r="F9283" s="156" t="s">
        <v>390</v>
      </c>
      <c r="G9283" s="156" t="s">
        <v>10520</v>
      </c>
      <c r="H9283" s="157" t="s">
        <v>216</v>
      </c>
    </row>
    <row r="9284" hidden="1">
      <c r="A9284" s="151" t="s">
        <v>230</v>
      </c>
      <c r="B9284" s="118" t="s">
        <v>194</v>
      </c>
      <c r="C9284" s="118" t="s">
        <v>206</v>
      </c>
      <c r="D9284" s="152" t="s">
        <v>10409</v>
      </c>
      <c r="E9284" s="152" t="s">
        <v>10521</v>
      </c>
      <c r="F9284" s="152" t="s">
        <v>348</v>
      </c>
      <c r="G9284" s="152" t="s">
        <v>10522</v>
      </c>
      <c r="H9284" s="153" t="s">
        <v>210</v>
      </c>
    </row>
    <row r="9285" hidden="1">
      <c r="A9285" s="154" t="s">
        <v>230</v>
      </c>
      <c r="B9285" s="155" t="s">
        <v>194</v>
      </c>
      <c r="C9285" s="155" t="s">
        <v>206</v>
      </c>
      <c r="D9285" s="156" t="s">
        <v>10409</v>
      </c>
      <c r="E9285" s="156" t="s">
        <v>10523</v>
      </c>
      <c r="F9285" s="156" t="s">
        <v>763</v>
      </c>
      <c r="G9285" s="156" t="s">
        <v>10413</v>
      </c>
      <c r="H9285" s="157" t="s">
        <v>211</v>
      </c>
    </row>
    <row r="9286" hidden="1">
      <c r="A9286" s="151" t="s">
        <v>230</v>
      </c>
      <c r="B9286" s="118" t="s">
        <v>194</v>
      </c>
      <c r="C9286" s="118" t="s">
        <v>206</v>
      </c>
      <c r="D9286" s="152" t="s">
        <v>10409</v>
      </c>
      <c r="E9286" s="152" t="s">
        <v>10524</v>
      </c>
      <c r="F9286" s="152" t="s">
        <v>1948</v>
      </c>
      <c r="G9286" s="152" t="s">
        <v>9581</v>
      </c>
      <c r="H9286" s="153" t="s">
        <v>212</v>
      </c>
    </row>
    <row r="9287" hidden="1">
      <c r="A9287" s="154" t="s">
        <v>230</v>
      </c>
      <c r="B9287" s="155" t="s">
        <v>194</v>
      </c>
      <c r="C9287" s="155" t="s">
        <v>206</v>
      </c>
      <c r="D9287" s="156" t="s">
        <v>10409</v>
      </c>
      <c r="E9287" s="156" t="s">
        <v>10525</v>
      </c>
      <c r="F9287" s="156" t="s">
        <v>673</v>
      </c>
      <c r="G9287" s="156" t="s">
        <v>10526</v>
      </c>
      <c r="H9287" s="157" t="s">
        <v>213</v>
      </c>
    </row>
    <row r="9288" hidden="1">
      <c r="A9288" s="151" t="s">
        <v>230</v>
      </c>
      <c r="B9288" s="118" t="s">
        <v>194</v>
      </c>
      <c r="C9288" s="118" t="s">
        <v>206</v>
      </c>
      <c r="D9288" s="152" t="s">
        <v>10409</v>
      </c>
      <c r="E9288" s="152" t="s">
        <v>10527</v>
      </c>
      <c r="F9288" s="152" t="s">
        <v>3340</v>
      </c>
      <c r="G9288" s="152" t="s">
        <v>9816</v>
      </c>
      <c r="H9288" s="153" t="s">
        <v>214</v>
      </c>
    </row>
    <row r="9289" hidden="1">
      <c r="A9289" s="154" t="s">
        <v>230</v>
      </c>
      <c r="B9289" s="155" t="s">
        <v>194</v>
      </c>
      <c r="C9289" s="155" t="s">
        <v>206</v>
      </c>
      <c r="D9289" s="156" t="s">
        <v>10409</v>
      </c>
      <c r="E9289" s="156" t="s">
        <v>10528</v>
      </c>
      <c r="F9289" s="156" t="s">
        <v>2994</v>
      </c>
      <c r="G9289" s="156" t="s">
        <v>9581</v>
      </c>
      <c r="H9289" s="157" t="s">
        <v>215</v>
      </c>
    </row>
    <row r="9290" hidden="1">
      <c r="A9290" s="151" t="s">
        <v>230</v>
      </c>
      <c r="B9290" s="118" t="s">
        <v>194</v>
      </c>
      <c r="C9290" s="118" t="s">
        <v>206</v>
      </c>
      <c r="D9290" s="152" t="s">
        <v>10409</v>
      </c>
      <c r="E9290" s="152" t="s">
        <v>10529</v>
      </c>
      <c r="F9290" s="152" t="s">
        <v>758</v>
      </c>
      <c r="G9290" s="152" t="s">
        <v>10530</v>
      </c>
      <c r="H9290" s="153" t="s">
        <v>216</v>
      </c>
    </row>
    <row r="9291" hidden="1">
      <c r="A9291" s="158" t="s">
        <v>231</v>
      </c>
      <c r="B9291" s="159"/>
      <c r="C9291" s="155" t="s">
        <v>232</v>
      </c>
      <c r="D9291" s="156" t="s">
        <v>10409</v>
      </c>
      <c r="E9291" s="156" t="s">
        <v>10531</v>
      </c>
      <c r="F9291" s="156" t="s">
        <v>1530</v>
      </c>
      <c r="G9291" s="156" t="s">
        <v>10532</v>
      </c>
      <c r="H9291" s="157" t="s">
        <v>210</v>
      </c>
    </row>
    <row r="9292" hidden="1">
      <c r="A9292" s="160" t="s">
        <v>231</v>
      </c>
      <c r="B9292" s="72"/>
      <c r="C9292" s="118" t="s">
        <v>232</v>
      </c>
      <c r="D9292" s="152" t="s">
        <v>10409</v>
      </c>
      <c r="E9292" s="152" t="s">
        <v>10533</v>
      </c>
      <c r="F9292" s="152" t="s">
        <v>3625</v>
      </c>
      <c r="G9292" s="152" t="s">
        <v>10534</v>
      </c>
      <c r="H9292" s="153" t="s">
        <v>211</v>
      </c>
    </row>
    <row r="9293" hidden="1">
      <c r="A9293" s="158" t="s">
        <v>231</v>
      </c>
      <c r="B9293" s="159"/>
      <c r="C9293" s="155" t="s">
        <v>232</v>
      </c>
      <c r="D9293" s="156" t="s">
        <v>10409</v>
      </c>
      <c r="E9293" s="156" t="s">
        <v>10535</v>
      </c>
      <c r="F9293" s="156" t="s">
        <v>2654</v>
      </c>
      <c r="G9293" s="156" t="s">
        <v>10536</v>
      </c>
      <c r="H9293" s="157" t="s">
        <v>212</v>
      </c>
    </row>
    <row r="9294" hidden="1">
      <c r="A9294" s="160" t="s">
        <v>231</v>
      </c>
      <c r="B9294" s="72"/>
      <c r="C9294" s="118" t="s">
        <v>232</v>
      </c>
      <c r="D9294" s="152" t="s">
        <v>10409</v>
      </c>
      <c r="E9294" s="152" t="s">
        <v>10537</v>
      </c>
      <c r="F9294" s="152" t="s">
        <v>9480</v>
      </c>
      <c r="G9294" s="152" t="s">
        <v>10538</v>
      </c>
      <c r="H9294" s="153" t="s">
        <v>213</v>
      </c>
    </row>
    <row r="9295" hidden="1">
      <c r="A9295" s="158" t="s">
        <v>231</v>
      </c>
      <c r="B9295" s="159"/>
      <c r="C9295" s="155" t="s">
        <v>232</v>
      </c>
      <c r="D9295" s="156" t="s">
        <v>10409</v>
      </c>
      <c r="E9295" s="156" t="s">
        <v>10539</v>
      </c>
      <c r="F9295" s="156" t="s">
        <v>444</v>
      </c>
      <c r="G9295" s="156" t="s">
        <v>10540</v>
      </c>
      <c r="H9295" s="157" t="s">
        <v>214</v>
      </c>
    </row>
    <row r="9296" hidden="1">
      <c r="A9296" s="160" t="s">
        <v>231</v>
      </c>
      <c r="B9296" s="72"/>
      <c r="C9296" s="118" t="s">
        <v>232</v>
      </c>
      <c r="D9296" s="152" t="s">
        <v>10409</v>
      </c>
      <c r="E9296" s="152" t="s">
        <v>10541</v>
      </c>
      <c r="F9296" s="152" t="s">
        <v>448</v>
      </c>
      <c r="G9296" s="152" t="s">
        <v>10542</v>
      </c>
      <c r="H9296" s="153" t="s">
        <v>215</v>
      </c>
    </row>
    <row r="9297" hidden="1">
      <c r="A9297" s="158" t="s">
        <v>231</v>
      </c>
      <c r="B9297" s="159"/>
      <c r="C9297" s="155" t="s">
        <v>232</v>
      </c>
      <c r="D9297" s="156" t="s">
        <v>10409</v>
      </c>
      <c r="E9297" s="156" t="s">
        <v>10543</v>
      </c>
      <c r="F9297" s="156" t="s">
        <v>3346</v>
      </c>
      <c r="G9297" s="156" t="s">
        <v>10544</v>
      </c>
      <c r="H9297" s="157" t="s">
        <v>216</v>
      </c>
    </row>
    <row r="9298" hidden="1">
      <c r="A9298" s="160" t="s">
        <v>233</v>
      </c>
      <c r="B9298" s="72"/>
      <c r="C9298" s="118" t="s">
        <v>232</v>
      </c>
      <c r="D9298" s="152" t="s">
        <v>10409</v>
      </c>
      <c r="E9298" s="152" t="s">
        <v>10545</v>
      </c>
      <c r="F9298" s="152" t="s">
        <v>1999</v>
      </c>
      <c r="G9298" s="152" t="s">
        <v>10546</v>
      </c>
      <c r="H9298" s="153" t="s">
        <v>210</v>
      </c>
    </row>
    <row r="9299" hidden="1">
      <c r="A9299" s="158" t="s">
        <v>233</v>
      </c>
      <c r="B9299" s="159"/>
      <c r="C9299" s="155" t="s">
        <v>232</v>
      </c>
      <c r="D9299" s="156" t="s">
        <v>10409</v>
      </c>
      <c r="E9299" s="156" t="s">
        <v>10547</v>
      </c>
      <c r="F9299" s="156" t="s">
        <v>718</v>
      </c>
      <c r="G9299" s="156" t="s">
        <v>9906</v>
      </c>
      <c r="H9299" s="157" t="s">
        <v>211</v>
      </c>
    </row>
    <row r="9300" hidden="1">
      <c r="A9300" s="160" t="s">
        <v>233</v>
      </c>
      <c r="B9300" s="72"/>
      <c r="C9300" s="118" t="s">
        <v>232</v>
      </c>
      <c r="D9300" s="152" t="s">
        <v>10409</v>
      </c>
      <c r="E9300" s="152" t="s">
        <v>10548</v>
      </c>
      <c r="F9300" s="152" t="s">
        <v>677</v>
      </c>
      <c r="G9300" s="152" t="s">
        <v>10382</v>
      </c>
      <c r="H9300" s="153" t="s">
        <v>212</v>
      </c>
    </row>
    <row r="9301" hidden="1">
      <c r="A9301" s="158" t="s">
        <v>233</v>
      </c>
      <c r="B9301" s="159"/>
      <c r="C9301" s="155" t="s">
        <v>232</v>
      </c>
      <c r="D9301" s="156" t="s">
        <v>10409</v>
      </c>
      <c r="E9301" s="156" t="s">
        <v>10549</v>
      </c>
      <c r="F9301" s="156" t="s">
        <v>453</v>
      </c>
      <c r="G9301" s="156" t="s">
        <v>10047</v>
      </c>
      <c r="H9301" s="157" t="s">
        <v>213</v>
      </c>
    </row>
    <row r="9302" hidden="1">
      <c r="A9302" s="160" t="s">
        <v>233</v>
      </c>
      <c r="B9302" s="72"/>
      <c r="C9302" s="118" t="s">
        <v>232</v>
      </c>
      <c r="D9302" s="152" t="s">
        <v>10409</v>
      </c>
      <c r="E9302" s="152" t="s">
        <v>10550</v>
      </c>
      <c r="F9302" s="152" t="s">
        <v>1999</v>
      </c>
      <c r="G9302" s="152" t="s">
        <v>9419</v>
      </c>
      <c r="H9302" s="153" t="s">
        <v>214</v>
      </c>
    </row>
    <row r="9303" hidden="1">
      <c r="A9303" s="158" t="s">
        <v>233</v>
      </c>
      <c r="B9303" s="159"/>
      <c r="C9303" s="155" t="s">
        <v>232</v>
      </c>
      <c r="D9303" s="156" t="s">
        <v>10409</v>
      </c>
      <c r="E9303" s="156" t="s">
        <v>10551</v>
      </c>
      <c r="F9303" s="156" t="s">
        <v>1999</v>
      </c>
      <c r="G9303" s="156" t="s">
        <v>10075</v>
      </c>
      <c r="H9303" s="157" t="s">
        <v>215</v>
      </c>
    </row>
    <row r="9304" hidden="1">
      <c r="A9304" s="160" t="s">
        <v>233</v>
      </c>
      <c r="B9304" s="72"/>
      <c r="C9304" s="118" t="s">
        <v>232</v>
      </c>
      <c r="D9304" s="152" t="s">
        <v>10409</v>
      </c>
      <c r="E9304" s="152" t="s">
        <v>10552</v>
      </c>
      <c r="F9304" s="152" t="s">
        <v>453</v>
      </c>
      <c r="G9304" s="152" t="s">
        <v>9415</v>
      </c>
      <c r="H9304" s="153" t="s">
        <v>216</v>
      </c>
    </row>
    <row r="9305" hidden="1">
      <c r="A9305" s="158" t="s">
        <v>234</v>
      </c>
      <c r="B9305" s="159"/>
      <c r="C9305" s="155" t="s">
        <v>232</v>
      </c>
      <c r="D9305" s="156" t="s">
        <v>10409</v>
      </c>
      <c r="E9305" s="156" t="s">
        <v>10553</v>
      </c>
      <c r="F9305" s="156" t="s">
        <v>691</v>
      </c>
      <c r="G9305" s="156" t="s">
        <v>9417</v>
      </c>
      <c r="H9305" s="157" t="s">
        <v>210</v>
      </c>
    </row>
    <row r="9306" hidden="1">
      <c r="A9306" s="160" t="s">
        <v>234</v>
      </c>
      <c r="B9306" s="72"/>
      <c r="C9306" s="118" t="s">
        <v>232</v>
      </c>
      <c r="D9306" s="152" t="s">
        <v>10409</v>
      </c>
      <c r="E9306" s="152" t="s">
        <v>10554</v>
      </c>
      <c r="F9306" s="152" t="s">
        <v>2607</v>
      </c>
      <c r="G9306" s="152" t="s">
        <v>10185</v>
      </c>
      <c r="H9306" s="153" t="s">
        <v>211</v>
      </c>
    </row>
    <row r="9307" hidden="1">
      <c r="A9307" s="158" t="s">
        <v>234</v>
      </c>
      <c r="B9307" s="159"/>
      <c r="C9307" s="155" t="s">
        <v>232</v>
      </c>
      <c r="D9307" s="156" t="s">
        <v>10409</v>
      </c>
      <c r="E9307" s="156" t="s">
        <v>10555</v>
      </c>
      <c r="F9307" s="156" t="s">
        <v>494</v>
      </c>
      <c r="G9307" s="156" t="s">
        <v>10556</v>
      </c>
      <c r="H9307" s="157" t="s">
        <v>212</v>
      </c>
    </row>
    <row r="9308" hidden="1">
      <c r="A9308" s="160" t="s">
        <v>234</v>
      </c>
      <c r="B9308" s="72"/>
      <c r="C9308" s="118" t="s">
        <v>232</v>
      </c>
      <c r="D9308" s="152" t="s">
        <v>10409</v>
      </c>
      <c r="E9308" s="152" t="s">
        <v>10557</v>
      </c>
      <c r="F9308" s="152" t="s">
        <v>1999</v>
      </c>
      <c r="G9308" s="152" t="s">
        <v>10558</v>
      </c>
      <c r="H9308" s="153" t="s">
        <v>213</v>
      </c>
    </row>
    <row r="9309" hidden="1">
      <c r="A9309" s="158" t="s">
        <v>234</v>
      </c>
      <c r="B9309" s="159"/>
      <c r="C9309" s="155" t="s">
        <v>232</v>
      </c>
      <c r="D9309" s="156" t="s">
        <v>10409</v>
      </c>
      <c r="E9309" s="156" t="s">
        <v>10559</v>
      </c>
      <c r="F9309" s="156" t="s">
        <v>497</v>
      </c>
      <c r="G9309" s="156" t="s">
        <v>10359</v>
      </c>
      <c r="H9309" s="157" t="s">
        <v>214</v>
      </c>
    </row>
    <row r="9310" hidden="1">
      <c r="A9310" s="160" t="s">
        <v>234</v>
      </c>
      <c r="B9310" s="72"/>
      <c r="C9310" s="118" t="s">
        <v>232</v>
      </c>
      <c r="D9310" s="152" t="s">
        <v>10409</v>
      </c>
      <c r="E9310" s="152" t="s">
        <v>10560</v>
      </c>
      <c r="F9310" s="152" t="s">
        <v>3198</v>
      </c>
      <c r="G9310" s="152" t="s">
        <v>9814</v>
      </c>
      <c r="H9310" s="153" t="s">
        <v>215</v>
      </c>
    </row>
    <row r="9311" hidden="1">
      <c r="A9311" s="158" t="s">
        <v>234</v>
      </c>
      <c r="B9311" s="159"/>
      <c r="C9311" s="155" t="s">
        <v>232</v>
      </c>
      <c r="D9311" s="156" t="s">
        <v>10409</v>
      </c>
      <c r="E9311" s="156" t="s">
        <v>10561</v>
      </c>
      <c r="F9311" s="156" t="s">
        <v>3240</v>
      </c>
      <c r="G9311" s="156" t="s">
        <v>10121</v>
      </c>
      <c r="H9311" s="157" t="s">
        <v>216</v>
      </c>
    </row>
    <row r="9312" hidden="1">
      <c r="A9312" s="160" t="s">
        <v>235</v>
      </c>
      <c r="B9312" s="72"/>
      <c r="C9312" s="118" t="s">
        <v>236</v>
      </c>
      <c r="D9312" s="152" t="s">
        <v>10409</v>
      </c>
      <c r="E9312" s="152" t="s">
        <v>10562</v>
      </c>
      <c r="F9312" s="152" t="s">
        <v>718</v>
      </c>
      <c r="G9312" s="152" t="s">
        <v>10463</v>
      </c>
      <c r="H9312" s="153" t="s">
        <v>210</v>
      </c>
    </row>
    <row r="9313" hidden="1">
      <c r="A9313" s="158" t="s">
        <v>235</v>
      </c>
      <c r="B9313" s="159"/>
      <c r="C9313" s="155" t="s">
        <v>236</v>
      </c>
      <c r="D9313" s="156" t="s">
        <v>10409</v>
      </c>
      <c r="E9313" s="156" t="s">
        <v>10563</v>
      </c>
      <c r="F9313" s="156" t="s">
        <v>1999</v>
      </c>
      <c r="G9313" s="156" t="s">
        <v>9818</v>
      </c>
      <c r="H9313" s="157" t="s">
        <v>211</v>
      </c>
    </row>
    <row r="9314" hidden="1">
      <c r="A9314" s="160" t="s">
        <v>235</v>
      </c>
      <c r="B9314" s="72"/>
      <c r="C9314" s="118" t="s">
        <v>236</v>
      </c>
      <c r="D9314" s="152" t="s">
        <v>10409</v>
      </c>
      <c r="E9314" s="152" t="s">
        <v>10564</v>
      </c>
      <c r="F9314" s="152" t="s">
        <v>735</v>
      </c>
      <c r="G9314" s="152" t="s">
        <v>9575</v>
      </c>
      <c r="H9314" s="153" t="s">
        <v>212</v>
      </c>
    </row>
    <row r="9315" hidden="1">
      <c r="A9315" s="158" t="s">
        <v>235</v>
      </c>
      <c r="B9315" s="159"/>
      <c r="C9315" s="155" t="s">
        <v>236</v>
      </c>
      <c r="D9315" s="156" t="s">
        <v>10409</v>
      </c>
      <c r="E9315" s="156" t="s">
        <v>10565</v>
      </c>
      <c r="F9315" s="156" t="s">
        <v>1530</v>
      </c>
      <c r="G9315" s="156" t="s">
        <v>9812</v>
      </c>
      <c r="H9315" s="157" t="s">
        <v>213</v>
      </c>
    </row>
    <row r="9316" hidden="1">
      <c r="A9316" s="160" t="s">
        <v>235</v>
      </c>
      <c r="B9316" s="72"/>
      <c r="C9316" s="118" t="s">
        <v>236</v>
      </c>
      <c r="D9316" s="152" t="s">
        <v>10409</v>
      </c>
      <c r="E9316" s="152" t="s">
        <v>10566</v>
      </c>
      <c r="F9316" s="152" t="s">
        <v>1999</v>
      </c>
      <c r="G9316" s="152" t="s">
        <v>10421</v>
      </c>
      <c r="H9316" s="153" t="s">
        <v>214</v>
      </c>
    </row>
    <row r="9317" hidden="1">
      <c r="A9317" s="158" t="s">
        <v>235</v>
      </c>
      <c r="B9317" s="159"/>
      <c r="C9317" s="155" t="s">
        <v>236</v>
      </c>
      <c r="D9317" s="156" t="s">
        <v>10409</v>
      </c>
      <c r="E9317" s="156" t="s">
        <v>10567</v>
      </c>
      <c r="F9317" s="156" t="s">
        <v>453</v>
      </c>
      <c r="G9317" s="156" t="s">
        <v>9812</v>
      </c>
      <c r="H9317" s="157" t="s">
        <v>215</v>
      </c>
    </row>
    <row r="9318" hidden="1">
      <c r="A9318" s="160" t="s">
        <v>235</v>
      </c>
      <c r="B9318" s="72"/>
      <c r="C9318" s="118" t="s">
        <v>236</v>
      </c>
      <c r="D9318" s="152" t="s">
        <v>10409</v>
      </c>
      <c r="E9318" s="152" t="s">
        <v>10568</v>
      </c>
      <c r="F9318" s="152" t="s">
        <v>453</v>
      </c>
      <c r="G9318" s="152" t="s">
        <v>9820</v>
      </c>
      <c r="H9318" s="153" t="s">
        <v>216</v>
      </c>
    </row>
    <row r="9319" hidden="1">
      <c r="A9319" s="158" t="s">
        <v>237</v>
      </c>
      <c r="B9319" s="159"/>
      <c r="C9319" s="155" t="s">
        <v>236</v>
      </c>
      <c r="D9319" s="156" t="s">
        <v>10409</v>
      </c>
      <c r="E9319" s="156" t="s">
        <v>10569</v>
      </c>
      <c r="F9319" s="156" t="s">
        <v>3359</v>
      </c>
      <c r="G9319" s="156" t="s">
        <v>10244</v>
      </c>
      <c r="H9319" s="157" t="s">
        <v>210</v>
      </c>
    </row>
    <row r="9320" hidden="1">
      <c r="A9320" s="160" t="s">
        <v>237</v>
      </c>
      <c r="B9320" s="72"/>
      <c r="C9320" s="118" t="s">
        <v>236</v>
      </c>
      <c r="D9320" s="152" t="s">
        <v>10409</v>
      </c>
      <c r="E9320" s="152" t="s">
        <v>10570</v>
      </c>
      <c r="F9320" s="152" t="s">
        <v>497</v>
      </c>
      <c r="G9320" s="152" t="s">
        <v>10558</v>
      </c>
      <c r="H9320" s="153" t="s">
        <v>211</v>
      </c>
    </row>
    <row r="9321" hidden="1">
      <c r="A9321" s="158" t="s">
        <v>237</v>
      </c>
      <c r="B9321" s="159"/>
      <c r="C9321" s="155" t="s">
        <v>236</v>
      </c>
      <c r="D9321" s="156" t="s">
        <v>10409</v>
      </c>
      <c r="E9321" s="156" t="s">
        <v>10571</v>
      </c>
      <c r="F9321" s="156" t="s">
        <v>312</v>
      </c>
      <c r="G9321" s="156" t="s">
        <v>9502</v>
      </c>
      <c r="H9321" s="157" t="s">
        <v>212</v>
      </c>
    </row>
    <row r="9322" hidden="1">
      <c r="A9322" s="160" t="s">
        <v>237</v>
      </c>
      <c r="B9322" s="72"/>
      <c r="C9322" s="118" t="s">
        <v>236</v>
      </c>
      <c r="D9322" s="152" t="s">
        <v>10409</v>
      </c>
      <c r="E9322" s="152" t="s">
        <v>10572</v>
      </c>
      <c r="F9322" s="152" t="s">
        <v>2607</v>
      </c>
      <c r="G9322" s="152" t="s">
        <v>9896</v>
      </c>
      <c r="H9322" s="153" t="s">
        <v>213</v>
      </c>
    </row>
    <row r="9323" hidden="1">
      <c r="A9323" s="158" t="s">
        <v>237</v>
      </c>
      <c r="B9323" s="159"/>
      <c r="C9323" s="155" t="s">
        <v>236</v>
      </c>
      <c r="D9323" s="156" t="s">
        <v>10409</v>
      </c>
      <c r="E9323" s="156" t="s">
        <v>10573</v>
      </c>
      <c r="F9323" s="156" t="s">
        <v>3148</v>
      </c>
      <c r="G9323" s="156" t="s">
        <v>10117</v>
      </c>
      <c r="H9323" s="157" t="s">
        <v>214</v>
      </c>
    </row>
    <row r="9324" hidden="1">
      <c r="A9324" s="160" t="s">
        <v>237</v>
      </c>
      <c r="B9324" s="72"/>
      <c r="C9324" s="118" t="s">
        <v>236</v>
      </c>
      <c r="D9324" s="152" t="s">
        <v>10409</v>
      </c>
      <c r="E9324" s="152" t="s">
        <v>10574</v>
      </c>
      <c r="F9324" s="152" t="s">
        <v>2215</v>
      </c>
      <c r="G9324" s="152" t="s">
        <v>9486</v>
      </c>
      <c r="H9324" s="153" t="s">
        <v>215</v>
      </c>
    </row>
    <row r="9325" hidden="1">
      <c r="A9325" s="158" t="s">
        <v>237</v>
      </c>
      <c r="B9325" s="159"/>
      <c r="C9325" s="155" t="s">
        <v>236</v>
      </c>
      <c r="D9325" s="156" t="s">
        <v>10409</v>
      </c>
      <c r="E9325" s="156" t="s">
        <v>10575</v>
      </c>
      <c r="F9325" s="156" t="s">
        <v>2215</v>
      </c>
      <c r="G9325" s="156" t="s">
        <v>10251</v>
      </c>
      <c r="H9325" s="157" t="s">
        <v>216</v>
      </c>
    </row>
    <row r="9326" hidden="1">
      <c r="A9326" s="151" t="s">
        <v>204</v>
      </c>
      <c r="B9326" s="118" t="s">
        <v>205</v>
      </c>
      <c r="C9326" s="118" t="s">
        <v>206</v>
      </c>
      <c r="D9326" s="152" t="s">
        <v>10576</v>
      </c>
      <c r="E9326" s="152" t="s">
        <v>10577</v>
      </c>
      <c r="F9326" s="152" t="s">
        <v>629</v>
      </c>
      <c r="G9326" s="152" t="s">
        <v>10578</v>
      </c>
      <c r="H9326" s="153" t="s">
        <v>210</v>
      </c>
    </row>
    <row r="9327" hidden="1">
      <c r="A9327" s="154" t="s">
        <v>204</v>
      </c>
      <c r="B9327" s="155" t="s">
        <v>205</v>
      </c>
      <c r="C9327" s="155" t="s">
        <v>206</v>
      </c>
      <c r="D9327" s="156" t="s">
        <v>10576</v>
      </c>
      <c r="E9327" s="156" t="s">
        <v>10579</v>
      </c>
      <c r="F9327" s="156" t="s">
        <v>760</v>
      </c>
      <c r="G9327" s="156" t="s">
        <v>10580</v>
      </c>
      <c r="H9327" s="157" t="s">
        <v>211</v>
      </c>
    </row>
    <row r="9328" hidden="1">
      <c r="A9328" s="151" t="s">
        <v>204</v>
      </c>
      <c r="B9328" s="118" t="s">
        <v>205</v>
      </c>
      <c r="C9328" s="118" t="s">
        <v>206</v>
      </c>
      <c r="D9328" s="152" t="s">
        <v>10576</v>
      </c>
      <c r="E9328" s="152" t="s">
        <v>10581</v>
      </c>
      <c r="F9328" s="152" t="s">
        <v>1948</v>
      </c>
      <c r="G9328" s="152" t="s">
        <v>9816</v>
      </c>
      <c r="H9328" s="153" t="s">
        <v>212</v>
      </c>
    </row>
    <row r="9329" hidden="1">
      <c r="A9329" s="154" t="s">
        <v>204</v>
      </c>
      <c r="B9329" s="155" t="s">
        <v>205</v>
      </c>
      <c r="C9329" s="155" t="s">
        <v>206</v>
      </c>
      <c r="D9329" s="156" t="s">
        <v>10576</v>
      </c>
      <c r="E9329" s="156" t="s">
        <v>10582</v>
      </c>
      <c r="F9329" s="156" t="s">
        <v>3198</v>
      </c>
      <c r="G9329" s="156" t="s">
        <v>9996</v>
      </c>
      <c r="H9329" s="157" t="s">
        <v>213</v>
      </c>
    </row>
    <row r="9330" hidden="1">
      <c r="A9330" s="151" t="s">
        <v>204</v>
      </c>
      <c r="B9330" s="118" t="s">
        <v>205</v>
      </c>
      <c r="C9330" s="118" t="s">
        <v>206</v>
      </c>
      <c r="D9330" s="152" t="s">
        <v>10576</v>
      </c>
      <c r="E9330" s="152" t="s">
        <v>10583</v>
      </c>
      <c r="F9330" s="152" t="s">
        <v>629</v>
      </c>
      <c r="G9330" s="152" t="s">
        <v>10357</v>
      </c>
      <c r="H9330" s="153" t="s">
        <v>214</v>
      </c>
    </row>
    <row r="9331" hidden="1">
      <c r="A9331" s="154" t="s">
        <v>204</v>
      </c>
      <c r="B9331" s="155" t="s">
        <v>205</v>
      </c>
      <c r="C9331" s="155" t="s">
        <v>206</v>
      </c>
      <c r="D9331" s="156" t="s">
        <v>10576</v>
      </c>
      <c r="E9331" s="156" t="s">
        <v>10584</v>
      </c>
      <c r="F9331" s="156" t="s">
        <v>673</v>
      </c>
      <c r="G9331" s="156" t="s">
        <v>10421</v>
      </c>
      <c r="H9331" s="157" t="s">
        <v>215</v>
      </c>
    </row>
    <row r="9332" hidden="1">
      <c r="A9332" s="151" t="s">
        <v>204</v>
      </c>
      <c r="B9332" s="118" t="s">
        <v>205</v>
      </c>
      <c r="C9332" s="118" t="s">
        <v>206</v>
      </c>
      <c r="D9332" s="152" t="s">
        <v>10576</v>
      </c>
      <c r="E9332" s="152" t="s">
        <v>10585</v>
      </c>
      <c r="F9332" s="152" t="s">
        <v>763</v>
      </c>
      <c r="G9332" s="152" t="s">
        <v>9642</v>
      </c>
      <c r="H9332" s="153" t="s">
        <v>216</v>
      </c>
    </row>
    <row r="9333" hidden="1">
      <c r="A9333" s="154" t="s">
        <v>217</v>
      </c>
      <c r="B9333" s="155" t="s">
        <v>191</v>
      </c>
      <c r="C9333" s="155" t="s">
        <v>206</v>
      </c>
      <c r="D9333" s="156" t="s">
        <v>10576</v>
      </c>
      <c r="E9333" s="156" t="s">
        <v>10586</v>
      </c>
      <c r="F9333" s="156" t="s">
        <v>1920</v>
      </c>
      <c r="G9333" s="156" t="s">
        <v>10432</v>
      </c>
      <c r="H9333" s="157" t="s">
        <v>210</v>
      </c>
    </row>
    <row r="9334" hidden="1">
      <c r="A9334" s="151" t="s">
        <v>217</v>
      </c>
      <c r="B9334" s="118" t="s">
        <v>191</v>
      </c>
      <c r="C9334" s="118" t="s">
        <v>206</v>
      </c>
      <c r="D9334" s="152" t="s">
        <v>10576</v>
      </c>
      <c r="E9334" s="152" t="s">
        <v>10587</v>
      </c>
      <c r="F9334" s="152" t="s">
        <v>1931</v>
      </c>
      <c r="G9334" s="152" t="s">
        <v>10357</v>
      </c>
      <c r="H9334" s="153" t="s">
        <v>211</v>
      </c>
    </row>
    <row r="9335" hidden="1">
      <c r="A9335" s="154" t="s">
        <v>217</v>
      </c>
      <c r="B9335" s="155" t="s">
        <v>191</v>
      </c>
      <c r="C9335" s="155" t="s">
        <v>206</v>
      </c>
      <c r="D9335" s="156" t="s">
        <v>10576</v>
      </c>
      <c r="E9335" s="156" t="s">
        <v>10588</v>
      </c>
      <c r="F9335" s="156" t="s">
        <v>637</v>
      </c>
      <c r="G9335" s="156" t="s">
        <v>10589</v>
      </c>
      <c r="H9335" s="157" t="s">
        <v>212</v>
      </c>
    </row>
    <row r="9336" hidden="1">
      <c r="A9336" s="151" t="s">
        <v>217</v>
      </c>
      <c r="B9336" s="118" t="s">
        <v>191</v>
      </c>
      <c r="C9336" s="118" t="s">
        <v>206</v>
      </c>
      <c r="D9336" s="152" t="s">
        <v>10576</v>
      </c>
      <c r="E9336" s="152" t="s">
        <v>10590</v>
      </c>
      <c r="F9336" s="152" t="s">
        <v>3293</v>
      </c>
      <c r="G9336" s="152" t="s">
        <v>10526</v>
      </c>
      <c r="H9336" s="153" t="s">
        <v>213</v>
      </c>
    </row>
    <row r="9337" hidden="1">
      <c r="A9337" s="154" t="s">
        <v>217</v>
      </c>
      <c r="B9337" s="155" t="s">
        <v>191</v>
      </c>
      <c r="C9337" s="155" t="s">
        <v>206</v>
      </c>
      <c r="D9337" s="156" t="s">
        <v>10576</v>
      </c>
      <c r="E9337" s="156" t="s">
        <v>10591</v>
      </c>
      <c r="F9337" s="156" t="s">
        <v>3293</v>
      </c>
      <c r="G9337" s="156" t="s">
        <v>9669</v>
      </c>
      <c r="H9337" s="157" t="s">
        <v>214</v>
      </c>
    </row>
    <row r="9338" hidden="1">
      <c r="A9338" s="151" t="s">
        <v>217</v>
      </c>
      <c r="B9338" s="118" t="s">
        <v>191</v>
      </c>
      <c r="C9338" s="118" t="s">
        <v>206</v>
      </c>
      <c r="D9338" s="152" t="s">
        <v>10576</v>
      </c>
      <c r="E9338" s="152" t="s">
        <v>10592</v>
      </c>
      <c r="F9338" s="152" t="s">
        <v>2228</v>
      </c>
      <c r="G9338" s="152" t="s">
        <v>10593</v>
      </c>
      <c r="H9338" s="153" t="s">
        <v>215</v>
      </c>
    </row>
    <row r="9339" hidden="1">
      <c r="A9339" s="154" t="s">
        <v>217</v>
      </c>
      <c r="B9339" s="155" t="s">
        <v>191</v>
      </c>
      <c r="C9339" s="155" t="s">
        <v>206</v>
      </c>
      <c r="D9339" s="156" t="s">
        <v>10576</v>
      </c>
      <c r="E9339" s="156" t="s">
        <v>10594</v>
      </c>
      <c r="F9339" s="156" t="s">
        <v>637</v>
      </c>
      <c r="G9339" s="156" t="s">
        <v>10530</v>
      </c>
      <c r="H9339" s="157" t="s">
        <v>216</v>
      </c>
    </row>
    <row r="9340" hidden="1">
      <c r="A9340" s="151" t="s">
        <v>218</v>
      </c>
      <c r="B9340" s="118" t="s">
        <v>219</v>
      </c>
      <c r="C9340" s="118" t="s">
        <v>206</v>
      </c>
      <c r="D9340" s="152" t="s">
        <v>10576</v>
      </c>
      <c r="E9340" s="152" t="s">
        <v>10595</v>
      </c>
      <c r="F9340" s="152" t="s">
        <v>1532</v>
      </c>
      <c r="G9340" s="152" t="s">
        <v>10596</v>
      </c>
      <c r="H9340" s="153" t="s">
        <v>210</v>
      </c>
    </row>
    <row r="9341" hidden="1">
      <c r="A9341" s="154" t="s">
        <v>218</v>
      </c>
      <c r="B9341" s="155" t="s">
        <v>219</v>
      </c>
      <c r="C9341" s="155" t="s">
        <v>206</v>
      </c>
      <c r="D9341" s="156" t="s">
        <v>10576</v>
      </c>
      <c r="E9341" s="156" t="s">
        <v>10597</v>
      </c>
      <c r="F9341" s="156" t="s">
        <v>718</v>
      </c>
      <c r="G9341" s="156" t="s">
        <v>10598</v>
      </c>
      <c r="H9341" s="157" t="s">
        <v>211</v>
      </c>
    </row>
    <row r="9342" hidden="1">
      <c r="A9342" s="151" t="s">
        <v>218</v>
      </c>
      <c r="B9342" s="118" t="s">
        <v>219</v>
      </c>
      <c r="C9342" s="118" t="s">
        <v>206</v>
      </c>
      <c r="D9342" s="152" t="s">
        <v>10576</v>
      </c>
      <c r="E9342" s="152" t="s">
        <v>10599</v>
      </c>
      <c r="F9342" s="152" t="s">
        <v>760</v>
      </c>
      <c r="G9342" s="152" t="s">
        <v>10600</v>
      </c>
      <c r="H9342" s="153" t="s">
        <v>212</v>
      </c>
    </row>
    <row r="9343" hidden="1">
      <c r="A9343" s="154" t="s">
        <v>218</v>
      </c>
      <c r="B9343" s="155" t="s">
        <v>219</v>
      </c>
      <c r="C9343" s="155" t="s">
        <v>206</v>
      </c>
      <c r="D9343" s="156" t="s">
        <v>10576</v>
      </c>
      <c r="E9343" s="156" t="s">
        <v>10601</v>
      </c>
      <c r="F9343" s="156" t="s">
        <v>677</v>
      </c>
      <c r="G9343" s="156" t="s">
        <v>10602</v>
      </c>
      <c r="H9343" s="157" t="s">
        <v>213</v>
      </c>
    </row>
    <row r="9344" hidden="1">
      <c r="A9344" s="151" t="s">
        <v>218</v>
      </c>
      <c r="B9344" s="118" t="s">
        <v>219</v>
      </c>
      <c r="C9344" s="118" t="s">
        <v>206</v>
      </c>
      <c r="D9344" s="152" t="s">
        <v>10576</v>
      </c>
      <c r="E9344" s="152" t="s">
        <v>10603</v>
      </c>
      <c r="F9344" s="152" t="s">
        <v>532</v>
      </c>
      <c r="G9344" s="152" t="s">
        <v>10604</v>
      </c>
      <c r="H9344" s="153" t="s">
        <v>214</v>
      </c>
    </row>
    <row r="9345" hidden="1">
      <c r="A9345" s="154" t="s">
        <v>218</v>
      </c>
      <c r="B9345" s="155" t="s">
        <v>219</v>
      </c>
      <c r="C9345" s="155" t="s">
        <v>206</v>
      </c>
      <c r="D9345" s="156" t="s">
        <v>10576</v>
      </c>
      <c r="E9345" s="156" t="s">
        <v>10605</v>
      </c>
      <c r="F9345" s="156" t="s">
        <v>312</v>
      </c>
      <c r="G9345" s="156" t="s">
        <v>9996</v>
      </c>
      <c r="H9345" s="157" t="s">
        <v>215</v>
      </c>
    </row>
    <row r="9346" hidden="1">
      <c r="A9346" s="151" t="s">
        <v>218</v>
      </c>
      <c r="B9346" s="118" t="s">
        <v>219</v>
      </c>
      <c r="C9346" s="118" t="s">
        <v>206</v>
      </c>
      <c r="D9346" s="152" t="s">
        <v>10576</v>
      </c>
      <c r="E9346" s="152" t="s">
        <v>10606</v>
      </c>
      <c r="F9346" s="152" t="s">
        <v>532</v>
      </c>
      <c r="G9346" s="152" t="s">
        <v>10607</v>
      </c>
      <c r="H9346" s="153" t="s">
        <v>216</v>
      </c>
    </row>
    <row r="9347" hidden="1">
      <c r="A9347" s="154" t="s">
        <v>220</v>
      </c>
      <c r="B9347" s="155" t="s">
        <v>190</v>
      </c>
      <c r="C9347" s="155" t="s">
        <v>206</v>
      </c>
      <c r="D9347" s="156" t="s">
        <v>10576</v>
      </c>
      <c r="E9347" s="156" t="s">
        <v>10608</v>
      </c>
      <c r="F9347" s="156" t="s">
        <v>478</v>
      </c>
      <c r="G9347" s="156" t="s">
        <v>10274</v>
      </c>
      <c r="H9347" s="157" t="s">
        <v>210</v>
      </c>
    </row>
    <row r="9348" hidden="1">
      <c r="A9348" s="151" t="s">
        <v>220</v>
      </c>
      <c r="B9348" s="118" t="s">
        <v>190</v>
      </c>
      <c r="C9348" s="118" t="s">
        <v>206</v>
      </c>
      <c r="D9348" s="152" t="s">
        <v>10576</v>
      </c>
      <c r="E9348" s="152" t="s">
        <v>10609</v>
      </c>
      <c r="F9348" s="152" t="s">
        <v>534</v>
      </c>
      <c r="G9348" s="152" t="s">
        <v>10610</v>
      </c>
      <c r="H9348" s="153" t="s">
        <v>211</v>
      </c>
    </row>
    <row r="9349" hidden="1">
      <c r="A9349" s="154" t="s">
        <v>220</v>
      </c>
      <c r="B9349" s="155" t="s">
        <v>190</v>
      </c>
      <c r="C9349" s="155" t="s">
        <v>206</v>
      </c>
      <c r="D9349" s="156" t="s">
        <v>10576</v>
      </c>
      <c r="E9349" s="156" t="s">
        <v>10611</v>
      </c>
      <c r="F9349" s="156" t="s">
        <v>478</v>
      </c>
      <c r="G9349" s="156" t="s">
        <v>10612</v>
      </c>
      <c r="H9349" s="157" t="s">
        <v>212</v>
      </c>
    </row>
    <row r="9350" hidden="1">
      <c r="A9350" s="151" t="s">
        <v>220</v>
      </c>
      <c r="B9350" s="118" t="s">
        <v>190</v>
      </c>
      <c r="C9350" s="118" t="s">
        <v>206</v>
      </c>
      <c r="D9350" s="152" t="s">
        <v>10576</v>
      </c>
      <c r="E9350" s="152" t="s">
        <v>10613</v>
      </c>
      <c r="F9350" s="152" t="s">
        <v>336</v>
      </c>
      <c r="G9350" s="152" t="s">
        <v>10614</v>
      </c>
      <c r="H9350" s="153" t="s">
        <v>213</v>
      </c>
    </row>
    <row r="9351" hidden="1">
      <c r="A9351" s="154" t="s">
        <v>220</v>
      </c>
      <c r="B9351" s="155" t="s">
        <v>190</v>
      </c>
      <c r="C9351" s="155" t="s">
        <v>206</v>
      </c>
      <c r="D9351" s="156" t="s">
        <v>10576</v>
      </c>
      <c r="E9351" s="156" t="s">
        <v>10615</v>
      </c>
      <c r="F9351" s="156" t="s">
        <v>308</v>
      </c>
      <c r="G9351" s="156" t="s">
        <v>10272</v>
      </c>
      <c r="H9351" s="157" t="s">
        <v>214</v>
      </c>
    </row>
    <row r="9352" hidden="1">
      <c r="A9352" s="151" t="s">
        <v>220</v>
      </c>
      <c r="B9352" s="118" t="s">
        <v>190</v>
      </c>
      <c r="C9352" s="118" t="s">
        <v>206</v>
      </c>
      <c r="D9352" s="152" t="s">
        <v>10576</v>
      </c>
      <c r="E9352" s="152" t="s">
        <v>10616</v>
      </c>
      <c r="F9352" s="152" t="s">
        <v>718</v>
      </c>
      <c r="G9352" s="152" t="s">
        <v>10203</v>
      </c>
      <c r="H9352" s="153" t="s">
        <v>215</v>
      </c>
    </row>
    <row r="9353" hidden="1">
      <c r="A9353" s="154" t="s">
        <v>220</v>
      </c>
      <c r="B9353" s="155" t="s">
        <v>190</v>
      </c>
      <c r="C9353" s="155" t="s">
        <v>206</v>
      </c>
      <c r="D9353" s="156" t="s">
        <v>10576</v>
      </c>
      <c r="E9353" s="156" t="s">
        <v>10617</v>
      </c>
      <c r="F9353" s="156" t="s">
        <v>425</v>
      </c>
      <c r="G9353" s="156" t="s">
        <v>10618</v>
      </c>
      <c r="H9353" s="157" t="s">
        <v>216</v>
      </c>
    </row>
    <row r="9354" hidden="1">
      <c r="A9354" s="151" t="s">
        <v>221</v>
      </c>
      <c r="B9354" s="118" t="s">
        <v>189</v>
      </c>
      <c r="C9354" s="118" t="s">
        <v>206</v>
      </c>
      <c r="D9354" s="152" t="s">
        <v>10576</v>
      </c>
      <c r="E9354" s="152" t="s">
        <v>10619</v>
      </c>
      <c r="F9354" s="152" t="s">
        <v>478</v>
      </c>
      <c r="G9354" s="152" t="s">
        <v>10439</v>
      </c>
      <c r="H9354" s="153" t="s">
        <v>210</v>
      </c>
    </row>
    <row r="9355" hidden="1">
      <c r="A9355" s="154" t="s">
        <v>221</v>
      </c>
      <c r="B9355" s="155" t="s">
        <v>189</v>
      </c>
      <c r="C9355" s="155" t="s">
        <v>206</v>
      </c>
      <c r="D9355" s="156" t="s">
        <v>10576</v>
      </c>
      <c r="E9355" s="156" t="s">
        <v>10620</v>
      </c>
      <c r="F9355" s="156" t="s">
        <v>3218</v>
      </c>
      <c r="G9355" s="156" t="s">
        <v>10158</v>
      </c>
      <c r="H9355" s="157" t="s">
        <v>211</v>
      </c>
    </row>
    <row r="9356" hidden="1">
      <c r="A9356" s="151" t="s">
        <v>221</v>
      </c>
      <c r="B9356" s="118" t="s">
        <v>189</v>
      </c>
      <c r="C9356" s="118" t="s">
        <v>206</v>
      </c>
      <c r="D9356" s="152" t="s">
        <v>10576</v>
      </c>
      <c r="E9356" s="152" t="s">
        <v>10621</v>
      </c>
      <c r="F9356" s="152" t="s">
        <v>718</v>
      </c>
      <c r="G9356" s="152" t="s">
        <v>10622</v>
      </c>
      <c r="H9356" s="153" t="s">
        <v>212</v>
      </c>
    </row>
    <row r="9357" hidden="1">
      <c r="A9357" s="154" t="s">
        <v>221</v>
      </c>
      <c r="B9357" s="155" t="s">
        <v>189</v>
      </c>
      <c r="C9357" s="155" t="s">
        <v>206</v>
      </c>
      <c r="D9357" s="156" t="s">
        <v>10576</v>
      </c>
      <c r="E9357" s="156" t="s">
        <v>10623</v>
      </c>
      <c r="F9357" s="156" t="s">
        <v>290</v>
      </c>
      <c r="G9357" s="156" t="s">
        <v>9812</v>
      </c>
      <c r="H9357" s="157" t="s">
        <v>213</v>
      </c>
    </row>
    <row r="9358" hidden="1">
      <c r="A9358" s="151" t="s">
        <v>221</v>
      </c>
      <c r="B9358" s="118" t="s">
        <v>189</v>
      </c>
      <c r="C9358" s="118" t="s">
        <v>206</v>
      </c>
      <c r="D9358" s="152" t="s">
        <v>10576</v>
      </c>
      <c r="E9358" s="152" t="s">
        <v>10624</v>
      </c>
      <c r="F9358" s="152" t="s">
        <v>312</v>
      </c>
      <c r="G9358" s="152" t="s">
        <v>10625</v>
      </c>
      <c r="H9358" s="153" t="s">
        <v>214</v>
      </c>
    </row>
    <row r="9359" hidden="1">
      <c r="A9359" s="154" t="s">
        <v>221</v>
      </c>
      <c r="B9359" s="155" t="s">
        <v>189</v>
      </c>
      <c r="C9359" s="155" t="s">
        <v>206</v>
      </c>
      <c r="D9359" s="156" t="s">
        <v>10576</v>
      </c>
      <c r="E9359" s="156" t="s">
        <v>10626</v>
      </c>
      <c r="F9359" s="156" t="s">
        <v>325</v>
      </c>
      <c r="G9359" s="156" t="s">
        <v>9276</v>
      </c>
      <c r="H9359" s="157" t="s">
        <v>215</v>
      </c>
    </row>
    <row r="9360" hidden="1">
      <c r="A9360" s="151" t="s">
        <v>221</v>
      </c>
      <c r="B9360" s="118" t="s">
        <v>189</v>
      </c>
      <c r="C9360" s="118" t="s">
        <v>206</v>
      </c>
      <c r="D9360" s="152" t="s">
        <v>10576</v>
      </c>
      <c r="E9360" s="152" t="s">
        <v>10627</v>
      </c>
      <c r="F9360" s="152" t="s">
        <v>577</v>
      </c>
      <c r="G9360" s="152" t="s">
        <v>9900</v>
      </c>
      <c r="H9360" s="153" t="s">
        <v>216</v>
      </c>
    </row>
    <row r="9361" hidden="1">
      <c r="A9361" s="154" t="s">
        <v>222</v>
      </c>
      <c r="B9361" s="155" t="s">
        <v>192</v>
      </c>
      <c r="C9361" s="155" t="s">
        <v>206</v>
      </c>
      <c r="D9361" s="156" t="s">
        <v>10576</v>
      </c>
      <c r="E9361" s="156" t="s">
        <v>10628</v>
      </c>
      <c r="F9361" s="156" t="s">
        <v>718</v>
      </c>
      <c r="G9361" s="156" t="s">
        <v>9822</v>
      </c>
      <c r="H9361" s="157" t="s">
        <v>210</v>
      </c>
    </row>
    <row r="9362" hidden="1">
      <c r="A9362" s="151" t="s">
        <v>222</v>
      </c>
      <c r="B9362" s="118" t="s">
        <v>192</v>
      </c>
      <c r="C9362" s="118" t="s">
        <v>206</v>
      </c>
      <c r="D9362" s="152" t="s">
        <v>10576</v>
      </c>
      <c r="E9362" s="152" t="s">
        <v>10629</v>
      </c>
      <c r="F9362" s="152" t="s">
        <v>478</v>
      </c>
      <c r="G9362" s="152" t="s">
        <v>10530</v>
      </c>
      <c r="H9362" s="153" t="s">
        <v>211</v>
      </c>
    </row>
    <row r="9363" hidden="1">
      <c r="A9363" s="154" t="s">
        <v>222</v>
      </c>
      <c r="B9363" s="155" t="s">
        <v>192</v>
      </c>
      <c r="C9363" s="155" t="s">
        <v>206</v>
      </c>
      <c r="D9363" s="156" t="s">
        <v>10576</v>
      </c>
      <c r="E9363" s="156" t="s">
        <v>10630</v>
      </c>
      <c r="F9363" s="156" t="s">
        <v>691</v>
      </c>
      <c r="G9363" s="156" t="s">
        <v>10631</v>
      </c>
      <c r="H9363" s="157" t="s">
        <v>212</v>
      </c>
    </row>
    <row r="9364" hidden="1">
      <c r="A9364" s="151" t="s">
        <v>222</v>
      </c>
      <c r="B9364" s="118" t="s">
        <v>192</v>
      </c>
      <c r="C9364" s="118" t="s">
        <v>206</v>
      </c>
      <c r="D9364" s="152" t="s">
        <v>10576</v>
      </c>
      <c r="E9364" s="152" t="s">
        <v>10632</v>
      </c>
      <c r="F9364" s="152" t="s">
        <v>453</v>
      </c>
      <c r="G9364" s="152" t="s">
        <v>10633</v>
      </c>
      <c r="H9364" s="153" t="s">
        <v>213</v>
      </c>
    </row>
    <row r="9365" hidden="1">
      <c r="A9365" s="154" t="s">
        <v>222</v>
      </c>
      <c r="B9365" s="155" t="s">
        <v>192</v>
      </c>
      <c r="C9365" s="155" t="s">
        <v>206</v>
      </c>
      <c r="D9365" s="156" t="s">
        <v>10576</v>
      </c>
      <c r="E9365" s="156" t="s">
        <v>10634</v>
      </c>
      <c r="F9365" s="156" t="s">
        <v>532</v>
      </c>
      <c r="G9365" s="156" t="s">
        <v>10602</v>
      </c>
      <c r="H9365" s="157" t="s">
        <v>214</v>
      </c>
    </row>
    <row r="9366" hidden="1">
      <c r="A9366" s="151" t="s">
        <v>222</v>
      </c>
      <c r="B9366" s="118" t="s">
        <v>192</v>
      </c>
      <c r="C9366" s="118" t="s">
        <v>206</v>
      </c>
      <c r="D9366" s="152" t="s">
        <v>10576</v>
      </c>
      <c r="E9366" s="152" t="s">
        <v>10635</v>
      </c>
      <c r="F9366" s="152" t="s">
        <v>423</v>
      </c>
      <c r="G9366" s="152" t="s">
        <v>10457</v>
      </c>
      <c r="H9366" s="153" t="s">
        <v>215</v>
      </c>
    </row>
    <row r="9367" hidden="1">
      <c r="A9367" s="154" t="s">
        <v>222</v>
      </c>
      <c r="B9367" s="155" t="s">
        <v>192</v>
      </c>
      <c r="C9367" s="155" t="s">
        <v>206</v>
      </c>
      <c r="D9367" s="156" t="s">
        <v>10576</v>
      </c>
      <c r="E9367" s="156" t="s">
        <v>10636</v>
      </c>
      <c r="F9367" s="156" t="s">
        <v>718</v>
      </c>
      <c r="G9367" s="156" t="s">
        <v>9669</v>
      </c>
      <c r="H9367" s="157" t="s">
        <v>216</v>
      </c>
    </row>
    <row r="9368" hidden="1">
      <c r="A9368" s="151" t="s">
        <v>223</v>
      </c>
      <c r="B9368" s="118" t="s">
        <v>144</v>
      </c>
      <c r="C9368" s="118" t="s">
        <v>206</v>
      </c>
      <c r="D9368" s="152" t="s">
        <v>10576</v>
      </c>
      <c r="E9368" s="152" t="s">
        <v>10637</v>
      </c>
      <c r="F9368" s="152" t="s">
        <v>453</v>
      </c>
      <c r="G9368" s="152" t="s">
        <v>10638</v>
      </c>
      <c r="H9368" s="153" t="s">
        <v>210</v>
      </c>
    </row>
    <row r="9369" hidden="1">
      <c r="A9369" s="154" t="s">
        <v>223</v>
      </c>
      <c r="B9369" s="155" t="s">
        <v>144</v>
      </c>
      <c r="C9369" s="155" t="s">
        <v>206</v>
      </c>
      <c r="D9369" s="156" t="s">
        <v>10576</v>
      </c>
      <c r="E9369" s="156" t="s">
        <v>10639</v>
      </c>
      <c r="F9369" s="156" t="s">
        <v>453</v>
      </c>
      <c r="G9369" s="156" t="s">
        <v>10640</v>
      </c>
      <c r="H9369" s="157" t="s">
        <v>211</v>
      </c>
    </row>
    <row r="9370" hidden="1">
      <c r="A9370" s="151" t="s">
        <v>223</v>
      </c>
      <c r="B9370" s="118" t="s">
        <v>144</v>
      </c>
      <c r="C9370" s="118" t="s">
        <v>206</v>
      </c>
      <c r="D9370" s="152" t="s">
        <v>10576</v>
      </c>
      <c r="E9370" s="152" t="s">
        <v>10641</v>
      </c>
      <c r="F9370" s="152" t="s">
        <v>478</v>
      </c>
      <c r="G9370" s="152" t="s">
        <v>10010</v>
      </c>
      <c r="H9370" s="153" t="s">
        <v>212</v>
      </c>
    </row>
    <row r="9371" hidden="1">
      <c r="A9371" s="154" t="s">
        <v>223</v>
      </c>
      <c r="B9371" s="155" t="s">
        <v>144</v>
      </c>
      <c r="C9371" s="155" t="s">
        <v>206</v>
      </c>
      <c r="D9371" s="156" t="s">
        <v>10576</v>
      </c>
      <c r="E9371" s="156" t="s">
        <v>10642</v>
      </c>
      <c r="F9371" s="156" t="s">
        <v>718</v>
      </c>
      <c r="G9371" s="156" t="s">
        <v>9904</v>
      </c>
      <c r="H9371" s="157" t="s">
        <v>213</v>
      </c>
    </row>
    <row r="9372" hidden="1">
      <c r="A9372" s="151" t="s">
        <v>223</v>
      </c>
      <c r="B9372" s="118" t="s">
        <v>144</v>
      </c>
      <c r="C9372" s="118" t="s">
        <v>206</v>
      </c>
      <c r="D9372" s="152" t="s">
        <v>10576</v>
      </c>
      <c r="E9372" s="152" t="s">
        <v>10643</v>
      </c>
      <c r="F9372" s="152" t="s">
        <v>532</v>
      </c>
      <c r="G9372" s="152" t="s">
        <v>10258</v>
      </c>
      <c r="H9372" s="153" t="s">
        <v>214</v>
      </c>
    </row>
    <row r="9373" hidden="1">
      <c r="A9373" s="154" t="s">
        <v>223</v>
      </c>
      <c r="B9373" s="155" t="s">
        <v>144</v>
      </c>
      <c r="C9373" s="155" t="s">
        <v>206</v>
      </c>
      <c r="D9373" s="156" t="s">
        <v>10576</v>
      </c>
      <c r="E9373" s="156" t="s">
        <v>10644</v>
      </c>
      <c r="F9373" s="156" t="s">
        <v>718</v>
      </c>
      <c r="G9373" s="156" t="s">
        <v>10051</v>
      </c>
      <c r="H9373" s="157" t="s">
        <v>215</v>
      </c>
    </row>
    <row r="9374" hidden="1">
      <c r="A9374" s="151" t="s">
        <v>223</v>
      </c>
      <c r="B9374" s="118" t="s">
        <v>144</v>
      </c>
      <c r="C9374" s="118" t="s">
        <v>206</v>
      </c>
      <c r="D9374" s="152" t="s">
        <v>10576</v>
      </c>
      <c r="E9374" s="152" t="s">
        <v>10645</v>
      </c>
      <c r="F9374" s="152" t="s">
        <v>1532</v>
      </c>
      <c r="G9374" s="152" t="s">
        <v>10640</v>
      </c>
      <c r="H9374" s="153" t="s">
        <v>216</v>
      </c>
    </row>
    <row r="9375" hidden="1">
      <c r="A9375" s="154" t="s">
        <v>224</v>
      </c>
      <c r="B9375" s="155" t="s">
        <v>170</v>
      </c>
      <c r="C9375" s="155" t="s">
        <v>206</v>
      </c>
      <c r="D9375" s="156" t="s">
        <v>10576</v>
      </c>
      <c r="E9375" s="156" t="s">
        <v>10646</v>
      </c>
      <c r="F9375" s="156" t="s">
        <v>725</v>
      </c>
      <c r="G9375" s="156" t="s">
        <v>10138</v>
      </c>
      <c r="H9375" s="157" t="s">
        <v>210</v>
      </c>
    </row>
    <row r="9376" hidden="1">
      <c r="A9376" s="151" t="s">
        <v>224</v>
      </c>
      <c r="B9376" s="118" t="s">
        <v>170</v>
      </c>
      <c r="C9376" s="118" t="s">
        <v>206</v>
      </c>
      <c r="D9376" s="152" t="s">
        <v>10576</v>
      </c>
      <c r="E9376" s="152" t="s">
        <v>10647</v>
      </c>
      <c r="F9376" s="152" t="s">
        <v>577</v>
      </c>
      <c r="G9376" s="152" t="s">
        <v>10648</v>
      </c>
      <c r="H9376" s="153" t="s">
        <v>211</v>
      </c>
    </row>
    <row r="9377" hidden="1">
      <c r="A9377" s="154" t="s">
        <v>224</v>
      </c>
      <c r="B9377" s="155" t="s">
        <v>170</v>
      </c>
      <c r="C9377" s="155" t="s">
        <v>206</v>
      </c>
      <c r="D9377" s="156" t="s">
        <v>10576</v>
      </c>
      <c r="E9377" s="156" t="s">
        <v>10649</v>
      </c>
      <c r="F9377" s="156" t="s">
        <v>3240</v>
      </c>
      <c r="G9377" s="156" t="s">
        <v>10650</v>
      </c>
      <c r="H9377" s="157" t="s">
        <v>212</v>
      </c>
    </row>
    <row r="9378" hidden="1">
      <c r="A9378" s="151" t="s">
        <v>224</v>
      </c>
      <c r="B9378" s="118" t="s">
        <v>170</v>
      </c>
      <c r="C9378" s="118" t="s">
        <v>206</v>
      </c>
      <c r="D9378" s="152" t="s">
        <v>10576</v>
      </c>
      <c r="E9378" s="152" t="s">
        <v>10651</v>
      </c>
      <c r="F9378" s="152" t="s">
        <v>453</v>
      </c>
      <c r="G9378" s="152" t="s">
        <v>9904</v>
      </c>
      <c r="H9378" s="153" t="s">
        <v>213</v>
      </c>
    </row>
    <row r="9379" hidden="1">
      <c r="A9379" s="154" t="s">
        <v>224</v>
      </c>
      <c r="B9379" s="155" t="s">
        <v>170</v>
      </c>
      <c r="C9379" s="155" t="s">
        <v>206</v>
      </c>
      <c r="D9379" s="156" t="s">
        <v>10576</v>
      </c>
      <c r="E9379" s="156" t="s">
        <v>10652</v>
      </c>
      <c r="F9379" s="156" t="s">
        <v>677</v>
      </c>
      <c r="G9379" s="156" t="s">
        <v>10653</v>
      </c>
      <c r="H9379" s="157" t="s">
        <v>214</v>
      </c>
    </row>
    <row r="9380" hidden="1">
      <c r="A9380" s="151" t="s">
        <v>224</v>
      </c>
      <c r="B9380" s="118" t="s">
        <v>170</v>
      </c>
      <c r="C9380" s="118" t="s">
        <v>206</v>
      </c>
      <c r="D9380" s="152" t="s">
        <v>10576</v>
      </c>
      <c r="E9380" s="152" t="s">
        <v>10654</v>
      </c>
      <c r="F9380" s="152" t="s">
        <v>677</v>
      </c>
      <c r="G9380" s="152" t="s">
        <v>10158</v>
      </c>
      <c r="H9380" s="153" t="s">
        <v>215</v>
      </c>
    </row>
    <row r="9381" hidden="1">
      <c r="A9381" s="154" t="s">
        <v>224</v>
      </c>
      <c r="B9381" s="155" t="s">
        <v>170</v>
      </c>
      <c r="C9381" s="155" t="s">
        <v>206</v>
      </c>
      <c r="D9381" s="156" t="s">
        <v>10576</v>
      </c>
      <c r="E9381" s="156" t="s">
        <v>10655</v>
      </c>
      <c r="F9381" s="156" t="s">
        <v>677</v>
      </c>
      <c r="G9381" s="156" t="s">
        <v>10053</v>
      </c>
      <c r="H9381" s="157" t="s">
        <v>216</v>
      </c>
    </row>
    <row r="9382" hidden="1">
      <c r="A9382" s="151" t="s">
        <v>225</v>
      </c>
      <c r="B9382" s="118" t="s">
        <v>226</v>
      </c>
      <c r="C9382" s="118" t="s">
        <v>206</v>
      </c>
      <c r="D9382" s="152" t="s">
        <v>10576</v>
      </c>
      <c r="E9382" s="152" t="s">
        <v>10656</v>
      </c>
      <c r="F9382" s="152" t="s">
        <v>1948</v>
      </c>
      <c r="G9382" s="152" t="s">
        <v>9787</v>
      </c>
      <c r="H9382" s="153" t="s">
        <v>210</v>
      </c>
    </row>
    <row r="9383" hidden="1">
      <c r="A9383" s="154" t="s">
        <v>225</v>
      </c>
      <c r="B9383" s="155" t="s">
        <v>226</v>
      </c>
      <c r="C9383" s="155" t="s">
        <v>206</v>
      </c>
      <c r="D9383" s="156" t="s">
        <v>10576</v>
      </c>
      <c r="E9383" s="156" t="s">
        <v>10657</v>
      </c>
      <c r="F9383" s="156" t="s">
        <v>3148</v>
      </c>
      <c r="G9383" s="156" t="s">
        <v>9339</v>
      </c>
      <c r="H9383" s="157" t="s">
        <v>211</v>
      </c>
    </row>
    <row r="9384" hidden="1">
      <c r="A9384" s="151" t="s">
        <v>225</v>
      </c>
      <c r="B9384" s="118" t="s">
        <v>226</v>
      </c>
      <c r="C9384" s="118" t="s">
        <v>206</v>
      </c>
      <c r="D9384" s="152" t="s">
        <v>10576</v>
      </c>
      <c r="E9384" s="152" t="s">
        <v>10658</v>
      </c>
      <c r="F9384" s="152" t="s">
        <v>3148</v>
      </c>
      <c r="G9384" s="152" t="s">
        <v>10143</v>
      </c>
      <c r="H9384" s="153" t="s">
        <v>212</v>
      </c>
    </row>
    <row r="9385" hidden="1">
      <c r="A9385" s="154" t="s">
        <v>225</v>
      </c>
      <c r="B9385" s="155" t="s">
        <v>226</v>
      </c>
      <c r="C9385" s="155" t="s">
        <v>206</v>
      </c>
      <c r="D9385" s="156" t="s">
        <v>10576</v>
      </c>
      <c r="E9385" s="156" t="s">
        <v>10659</v>
      </c>
      <c r="F9385" s="156" t="s">
        <v>390</v>
      </c>
      <c r="G9385" s="156" t="s">
        <v>9856</v>
      </c>
      <c r="H9385" s="157" t="s">
        <v>213</v>
      </c>
    </row>
    <row r="9386" hidden="1">
      <c r="A9386" s="151" t="s">
        <v>225</v>
      </c>
      <c r="B9386" s="118" t="s">
        <v>226</v>
      </c>
      <c r="C9386" s="118" t="s">
        <v>206</v>
      </c>
      <c r="D9386" s="152" t="s">
        <v>10576</v>
      </c>
      <c r="E9386" s="152" t="s">
        <v>10660</v>
      </c>
      <c r="F9386" s="152" t="s">
        <v>1999</v>
      </c>
      <c r="G9386" s="152" t="s">
        <v>10661</v>
      </c>
      <c r="H9386" s="153" t="s">
        <v>214</v>
      </c>
    </row>
    <row r="9387" hidden="1">
      <c r="A9387" s="154" t="s">
        <v>225</v>
      </c>
      <c r="B9387" s="155" t="s">
        <v>226</v>
      </c>
      <c r="C9387" s="155" t="s">
        <v>206</v>
      </c>
      <c r="D9387" s="156" t="s">
        <v>10576</v>
      </c>
      <c r="E9387" s="156" t="s">
        <v>10662</v>
      </c>
      <c r="F9387" s="156" t="s">
        <v>483</v>
      </c>
      <c r="G9387" s="156" t="s">
        <v>7470</v>
      </c>
      <c r="H9387" s="157" t="s">
        <v>215</v>
      </c>
    </row>
    <row r="9388" hidden="1">
      <c r="A9388" s="151" t="s">
        <v>225</v>
      </c>
      <c r="B9388" s="118" t="s">
        <v>226</v>
      </c>
      <c r="C9388" s="118" t="s">
        <v>206</v>
      </c>
      <c r="D9388" s="152" t="s">
        <v>10576</v>
      </c>
      <c r="E9388" s="152" t="s">
        <v>10663</v>
      </c>
      <c r="F9388" s="152" t="s">
        <v>1948</v>
      </c>
      <c r="G9388" s="152" t="s">
        <v>9601</v>
      </c>
      <c r="H9388" s="153" t="s">
        <v>216</v>
      </c>
    </row>
    <row r="9389" hidden="1">
      <c r="A9389" s="154" t="s">
        <v>227</v>
      </c>
      <c r="B9389" s="155" t="s">
        <v>195</v>
      </c>
      <c r="C9389" s="155" t="s">
        <v>206</v>
      </c>
      <c r="D9389" s="156" t="s">
        <v>10576</v>
      </c>
      <c r="E9389" s="156" t="s">
        <v>10664</v>
      </c>
      <c r="F9389" s="156" t="s">
        <v>453</v>
      </c>
      <c r="G9389" s="156" t="s">
        <v>10665</v>
      </c>
      <c r="H9389" s="157" t="s">
        <v>210</v>
      </c>
    </row>
    <row r="9390" hidden="1">
      <c r="A9390" s="151" t="s">
        <v>227</v>
      </c>
      <c r="B9390" s="118" t="s">
        <v>195</v>
      </c>
      <c r="C9390" s="118" t="s">
        <v>206</v>
      </c>
      <c r="D9390" s="152" t="s">
        <v>10576</v>
      </c>
      <c r="E9390" s="152" t="s">
        <v>10666</v>
      </c>
      <c r="F9390" s="152" t="s">
        <v>2994</v>
      </c>
      <c r="G9390" s="152" t="s">
        <v>10638</v>
      </c>
      <c r="H9390" s="153" t="s">
        <v>211</v>
      </c>
    </row>
    <row r="9391" hidden="1">
      <c r="A9391" s="154" t="s">
        <v>227</v>
      </c>
      <c r="B9391" s="155" t="s">
        <v>195</v>
      </c>
      <c r="C9391" s="155" t="s">
        <v>206</v>
      </c>
      <c r="D9391" s="156" t="s">
        <v>10576</v>
      </c>
      <c r="E9391" s="156" t="s">
        <v>10667</v>
      </c>
      <c r="F9391" s="156" t="s">
        <v>2607</v>
      </c>
      <c r="G9391" s="156" t="s">
        <v>10653</v>
      </c>
      <c r="H9391" s="157" t="s">
        <v>212</v>
      </c>
    </row>
    <row r="9392" hidden="1">
      <c r="A9392" s="151" t="s">
        <v>227</v>
      </c>
      <c r="B9392" s="118" t="s">
        <v>195</v>
      </c>
      <c r="C9392" s="118" t="s">
        <v>206</v>
      </c>
      <c r="D9392" s="152" t="s">
        <v>10576</v>
      </c>
      <c r="E9392" s="152" t="s">
        <v>10668</v>
      </c>
      <c r="F9392" s="152" t="s">
        <v>641</v>
      </c>
      <c r="G9392" s="152" t="s">
        <v>10669</v>
      </c>
      <c r="H9392" s="153" t="s">
        <v>213</v>
      </c>
    </row>
    <row r="9393" hidden="1">
      <c r="A9393" s="154" t="s">
        <v>227</v>
      </c>
      <c r="B9393" s="155" t="s">
        <v>195</v>
      </c>
      <c r="C9393" s="155" t="s">
        <v>206</v>
      </c>
      <c r="D9393" s="156" t="s">
        <v>10576</v>
      </c>
      <c r="E9393" s="156" t="s">
        <v>10670</v>
      </c>
      <c r="F9393" s="156" t="s">
        <v>1532</v>
      </c>
      <c r="G9393" s="156" t="s">
        <v>10228</v>
      </c>
      <c r="H9393" s="157" t="s">
        <v>214</v>
      </c>
    </row>
    <row r="9394" hidden="1">
      <c r="A9394" s="151" t="s">
        <v>227</v>
      </c>
      <c r="B9394" s="118" t="s">
        <v>195</v>
      </c>
      <c r="C9394" s="118" t="s">
        <v>206</v>
      </c>
      <c r="D9394" s="152" t="s">
        <v>10576</v>
      </c>
      <c r="E9394" s="152" t="s">
        <v>10671</v>
      </c>
      <c r="F9394" s="152" t="s">
        <v>478</v>
      </c>
      <c r="G9394" s="152" t="s">
        <v>10067</v>
      </c>
      <c r="H9394" s="153" t="s">
        <v>215</v>
      </c>
    </row>
    <row r="9395" hidden="1">
      <c r="A9395" s="154" t="s">
        <v>227</v>
      </c>
      <c r="B9395" s="155" t="s">
        <v>195</v>
      </c>
      <c r="C9395" s="155" t="s">
        <v>206</v>
      </c>
      <c r="D9395" s="156" t="s">
        <v>10576</v>
      </c>
      <c r="E9395" s="156" t="s">
        <v>10672</v>
      </c>
      <c r="F9395" s="156" t="s">
        <v>1530</v>
      </c>
      <c r="G9395" s="156" t="s">
        <v>9990</v>
      </c>
      <c r="H9395" s="157" t="s">
        <v>216</v>
      </c>
    </row>
    <row r="9396" hidden="1">
      <c r="A9396" s="151" t="s">
        <v>228</v>
      </c>
      <c r="B9396" s="118" t="s">
        <v>138</v>
      </c>
      <c r="C9396" s="118" t="s">
        <v>206</v>
      </c>
      <c r="D9396" s="152" t="s">
        <v>10576</v>
      </c>
      <c r="E9396" s="152" t="s">
        <v>10673</v>
      </c>
      <c r="F9396" s="152" t="s">
        <v>799</v>
      </c>
      <c r="G9396" s="152" t="s">
        <v>9900</v>
      </c>
      <c r="H9396" s="153" t="s">
        <v>210</v>
      </c>
    </row>
    <row r="9397" hidden="1">
      <c r="A9397" s="154" t="s">
        <v>228</v>
      </c>
      <c r="B9397" s="155" t="s">
        <v>138</v>
      </c>
      <c r="C9397" s="155" t="s">
        <v>206</v>
      </c>
      <c r="D9397" s="156" t="s">
        <v>10576</v>
      </c>
      <c r="E9397" s="156" t="s">
        <v>10674</v>
      </c>
      <c r="F9397" s="156" t="s">
        <v>265</v>
      </c>
      <c r="G9397" s="156" t="s">
        <v>9886</v>
      </c>
      <c r="H9397" s="157" t="s">
        <v>211</v>
      </c>
    </row>
    <row r="9398" hidden="1">
      <c r="A9398" s="151" t="s">
        <v>228</v>
      </c>
      <c r="B9398" s="118" t="s">
        <v>138</v>
      </c>
      <c r="C9398" s="118" t="s">
        <v>206</v>
      </c>
      <c r="D9398" s="152" t="s">
        <v>10576</v>
      </c>
      <c r="E9398" s="152" t="s">
        <v>10675</v>
      </c>
      <c r="F9398" s="152" t="s">
        <v>10676</v>
      </c>
      <c r="G9398" s="152" t="s">
        <v>5037</v>
      </c>
      <c r="H9398" s="153" t="s">
        <v>212</v>
      </c>
    </row>
    <row r="9399" hidden="1">
      <c r="A9399" s="154" t="s">
        <v>228</v>
      </c>
      <c r="B9399" s="155" t="s">
        <v>138</v>
      </c>
      <c r="C9399" s="155" t="s">
        <v>206</v>
      </c>
      <c r="D9399" s="156" t="s">
        <v>10576</v>
      </c>
      <c r="E9399" s="156" t="s">
        <v>10677</v>
      </c>
      <c r="F9399" s="156" t="s">
        <v>323</v>
      </c>
      <c r="G9399" s="156" t="s">
        <v>3996</v>
      </c>
      <c r="H9399" s="157" t="s">
        <v>213</v>
      </c>
    </row>
    <row r="9400" hidden="1">
      <c r="A9400" s="151" t="s">
        <v>228</v>
      </c>
      <c r="B9400" s="118" t="s">
        <v>138</v>
      </c>
      <c r="C9400" s="118" t="s">
        <v>206</v>
      </c>
      <c r="D9400" s="152" t="s">
        <v>10576</v>
      </c>
      <c r="E9400" s="152" t="s">
        <v>10678</v>
      </c>
      <c r="F9400" s="152" t="s">
        <v>262</v>
      </c>
      <c r="G9400" s="152" t="s">
        <v>10134</v>
      </c>
      <c r="H9400" s="153" t="s">
        <v>214</v>
      </c>
    </row>
    <row r="9401" hidden="1">
      <c r="A9401" s="154" t="s">
        <v>228</v>
      </c>
      <c r="B9401" s="155" t="s">
        <v>138</v>
      </c>
      <c r="C9401" s="155" t="s">
        <v>206</v>
      </c>
      <c r="D9401" s="156" t="s">
        <v>10576</v>
      </c>
      <c r="E9401" s="156" t="s">
        <v>10679</v>
      </c>
      <c r="F9401" s="156" t="s">
        <v>308</v>
      </c>
      <c r="G9401" s="156" t="s">
        <v>9762</v>
      </c>
      <c r="H9401" s="157" t="s">
        <v>215</v>
      </c>
    </row>
    <row r="9402" hidden="1">
      <c r="A9402" s="151" t="s">
        <v>228</v>
      </c>
      <c r="B9402" s="118" t="s">
        <v>138</v>
      </c>
      <c r="C9402" s="118" t="s">
        <v>206</v>
      </c>
      <c r="D9402" s="152" t="s">
        <v>10576</v>
      </c>
      <c r="E9402" s="152" t="s">
        <v>10680</v>
      </c>
      <c r="F9402" s="152" t="s">
        <v>305</v>
      </c>
      <c r="G9402" s="152" t="s">
        <v>9421</v>
      </c>
      <c r="H9402" s="153" t="s">
        <v>216</v>
      </c>
    </row>
    <row r="9403" hidden="1">
      <c r="A9403" s="154" t="s">
        <v>229</v>
      </c>
      <c r="B9403" s="155" t="s">
        <v>193</v>
      </c>
      <c r="C9403" s="155" t="s">
        <v>206</v>
      </c>
      <c r="D9403" s="156" t="s">
        <v>10576</v>
      </c>
      <c r="E9403" s="156" t="s">
        <v>10681</v>
      </c>
      <c r="F9403" s="156" t="s">
        <v>1948</v>
      </c>
      <c r="G9403" s="156" t="s">
        <v>10682</v>
      </c>
      <c r="H9403" s="157" t="s">
        <v>210</v>
      </c>
    </row>
    <row r="9404" hidden="1">
      <c r="A9404" s="151" t="s">
        <v>229</v>
      </c>
      <c r="B9404" s="118" t="s">
        <v>193</v>
      </c>
      <c r="C9404" s="118" t="s">
        <v>206</v>
      </c>
      <c r="D9404" s="152" t="s">
        <v>10576</v>
      </c>
      <c r="E9404" s="152" t="s">
        <v>10683</v>
      </c>
      <c r="F9404" s="152" t="s">
        <v>629</v>
      </c>
      <c r="G9404" s="152" t="s">
        <v>10684</v>
      </c>
      <c r="H9404" s="153" t="s">
        <v>211</v>
      </c>
    </row>
    <row r="9405" hidden="1">
      <c r="A9405" s="154" t="s">
        <v>229</v>
      </c>
      <c r="B9405" s="155" t="s">
        <v>193</v>
      </c>
      <c r="C9405" s="155" t="s">
        <v>206</v>
      </c>
      <c r="D9405" s="156" t="s">
        <v>10576</v>
      </c>
      <c r="E9405" s="156" t="s">
        <v>10685</v>
      </c>
      <c r="F9405" s="156" t="s">
        <v>2339</v>
      </c>
      <c r="G9405" s="156" t="s">
        <v>10686</v>
      </c>
      <c r="H9405" s="157" t="s">
        <v>212</v>
      </c>
    </row>
    <row r="9406" hidden="1">
      <c r="A9406" s="151" t="s">
        <v>229</v>
      </c>
      <c r="B9406" s="118" t="s">
        <v>193</v>
      </c>
      <c r="C9406" s="118" t="s">
        <v>206</v>
      </c>
      <c r="D9406" s="152" t="s">
        <v>10576</v>
      </c>
      <c r="E9406" s="152" t="s">
        <v>10687</v>
      </c>
      <c r="F9406" s="152" t="s">
        <v>691</v>
      </c>
      <c r="G9406" s="152" t="s">
        <v>10688</v>
      </c>
      <c r="H9406" s="153" t="s">
        <v>213</v>
      </c>
    </row>
    <row r="9407" hidden="1">
      <c r="A9407" s="154" t="s">
        <v>229</v>
      </c>
      <c r="B9407" s="155" t="s">
        <v>193</v>
      </c>
      <c r="C9407" s="155" t="s">
        <v>206</v>
      </c>
      <c r="D9407" s="156" t="s">
        <v>10576</v>
      </c>
      <c r="E9407" s="156" t="s">
        <v>10689</v>
      </c>
      <c r="F9407" s="156" t="s">
        <v>2005</v>
      </c>
      <c r="G9407" s="156" t="s">
        <v>10514</v>
      </c>
      <c r="H9407" s="157" t="s">
        <v>214</v>
      </c>
    </row>
    <row r="9408" hidden="1">
      <c r="A9408" s="151" t="s">
        <v>229</v>
      </c>
      <c r="B9408" s="118" t="s">
        <v>193</v>
      </c>
      <c r="C9408" s="118" t="s">
        <v>206</v>
      </c>
      <c r="D9408" s="152" t="s">
        <v>10576</v>
      </c>
      <c r="E9408" s="152" t="s">
        <v>10690</v>
      </c>
      <c r="F9408" s="152" t="s">
        <v>629</v>
      </c>
      <c r="G9408" s="152" t="s">
        <v>10691</v>
      </c>
      <c r="H9408" s="153" t="s">
        <v>215</v>
      </c>
    </row>
    <row r="9409" hidden="1">
      <c r="A9409" s="154" t="s">
        <v>229</v>
      </c>
      <c r="B9409" s="155" t="s">
        <v>193</v>
      </c>
      <c r="C9409" s="155" t="s">
        <v>206</v>
      </c>
      <c r="D9409" s="156" t="s">
        <v>10576</v>
      </c>
      <c r="E9409" s="156" t="s">
        <v>10692</v>
      </c>
      <c r="F9409" s="156" t="s">
        <v>691</v>
      </c>
      <c r="G9409" s="156" t="s">
        <v>9922</v>
      </c>
      <c r="H9409" s="157" t="s">
        <v>216</v>
      </c>
    </row>
    <row r="9410" hidden="1">
      <c r="A9410" s="151" t="s">
        <v>230</v>
      </c>
      <c r="B9410" s="118" t="s">
        <v>194</v>
      </c>
      <c r="C9410" s="118" t="s">
        <v>206</v>
      </c>
      <c r="D9410" s="152" t="s">
        <v>10576</v>
      </c>
      <c r="E9410" s="152" t="s">
        <v>10693</v>
      </c>
      <c r="F9410" s="152" t="s">
        <v>348</v>
      </c>
      <c r="G9410" s="152" t="s">
        <v>10607</v>
      </c>
      <c r="H9410" s="153" t="s">
        <v>210</v>
      </c>
    </row>
    <row r="9411" hidden="1">
      <c r="A9411" s="154" t="s">
        <v>230</v>
      </c>
      <c r="B9411" s="155" t="s">
        <v>194</v>
      </c>
      <c r="C9411" s="155" t="s">
        <v>206</v>
      </c>
      <c r="D9411" s="156" t="s">
        <v>10576</v>
      </c>
      <c r="E9411" s="156" t="s">
        <v>10694</v>
      </c>
      <c r="F9411" s="156" t="s">
        <v>390</v>
      </c>
      <c r="G9411" s="156" t="s">
        <v>10430</v>
      </c>
      <c r="H9411" s="157" t="s">
        <v>211</v>
      </c>
    </row>
    <row r="9412" hidden="1">
      <c r="A9412" s="151" t="s">
        <v>230</v>
      </c>
      <c r="B9412" s="118" t="s">
        <v>194</v>
      </c>
      <c r="C9412" s="118" t="s">
        <v>206</v>
      </c>
      <c r="D9412" s="152" t="s">
        <v>10576</v>
      </c>
      <c r="E9412" s="152" t="s">
        <v>10695</v>
      </c>
      <c r="F9412" s="152" t="s">
        <v>763</v>
      </c>
      <c r="G9412" s="152" t="s">
        <v>9571</v>
      </c>
      <c r="H9412" s="153" t="s">
        <v>212</v>
      </c>
    </row>
    <row r="9413" hidden="1">
      <c r="A9413" s="154" t="s">
        <v>230</v>
      </c>
      <c r="B9413" s="155" t="s">
        <v>194</v>
      </c>
      <c r="C9413" s="155" t="s">
        <v>206</v>
      </c>
      <c r="D9413" s="156" t="s">
        <v>10576</v>
      </c>
      <c r="E9413" s="156" t="s">
        <v>10696</v>
      </c>
      <c r="F9413" s="156" t="s">
        <v>3218</v>
      </c>
      <c r="G9413" s="156" t="s">
        <v>10000</v>
      </c>
      <c r="H9413" s="157" t="s">
        <v>213</v>
      </c>
    </row>
    <row r="9414" hidden="1">
      <c r="A9414" s="151" t="s">
        <v>230</v>
      </c>
      <c r="B9414" s="118" t="s">
        <v>194</v>
      </c>
      <c r="C9414" s="118" t="s">
        <v>206</v>
      </c>
      <c r="D9414" s="152" t="s">
        <v>10576</v>
      </c>
      <c r="E9414" s="152" t="s">
        <v>10697</v>
      </c>
      <c r="F9414" s="152" t="s">
        <v>735</v>
      </c>
      <c r="G9414" s="152" t="s">
        <v>10516</v>
      </c>
      <c r="H9414" s="153" t="s">
        <v>214</v>
      </c>
    </row>
    <row r="9415" hidden="1">
      <c r="A9415" s="154" t="s">
        <v>230</v>
      </c>
      <c r="B9415" s="155" t="s">
        <v>194</v>
      </c>
      <c r="C9415" s="155" t="s">
        <v>206</v>
      </c>
      <c r="D9415" s="156" t="s">
        <v>10576</v>
      </c>
      <c r="E9415" s="156" t="s">
        <v>10698</v>
      </c>
      <c r="F9415" s="156" t="s">
        <v>312</v>
      </c>
      <c r="G9415" s="156" t="s">
        <v>10699</v>
      </c>
      <c r="H9415" s="157" t="s">
        <v>215</v>
      </c>
    </row>
    <row r="9416" hidden="1">
      <c r="A9416" s="151" t="s">
        <v>230</v>
      </c>
      <c r="B9416" s="118" t="s">
        <v>194</v>
      </c>
      <c r="C9416" s="118" t="s">
        <v>206</v>
      </c>
      <c r="D9416" s="152" t="s">
        <v>10576</v>
      </c>
      <c r="E9416" s="152" t="s">
        <v>10700</v>
      </c>
      <c r="F9416" s="152" t="s">
        <v>1929</v>
      </c>
      <c r="G9416" s="152" t="s">
        <v>10556</v>
      </c>
      <c r="H9416" s="153" t="s">
        <v>216</v>
      </c>
    </row>
    <row r="9417" hidden="1">
      <c r="A9417" s="158" t="s">
        <v>231</v>
      </c>
      <c r="B9417" s="159"/>
      <c r="C9417" s="155" t="s">
        <v>232</v>
      </c>
      <c r="D9417" s="156" t="s">
        <v>10576</v>
      </c>
      <c r="E9417" s="156" t="s">
        <v>10701</v>
      </c>
      <c r="F9417" s="156" t="s">
        <v>354</v>
      </c>
      <c r="G9417" s="156" t="s">
        <v>10702</v>
      </c>
      <c r="H9417" s="157" t="s">
        <v>210</v>
      </c>
    </row>
    <row r="9418" hidden="1">
      <c r="A9418" s="160" t="s">
        <v>231</v>
      </c>
      <c r="B9418" s="72"/>
      <c r="C9418" s="118" t="s">
        <v>232</v>
      </c>
      <c r="D9418" s="152" t="s">
        <v>10576</v>
      </c>
      <c r="E9418" s="152" t="s">
        <v>10703</v>
      </c>
      <c r="F9418" s="152" t="s">
        <v>314</v>
      </c>
      <c r="G9418" s="152" t="s">
        <v>10704</v>
      </c>
      <c r="H9418" s="153" t="s">
        <v>211</v>
      </c>
    </row>
    <row r="9419" hidden="1">
      <c r="A9419" s="158" t="s">
        <v>231</v>
      </c>
      <c r="B9419" s="159"/>
      <c r="C9419" s="155" t="s">
        <v>232</v>
      </c>
      <c r="D9419" s="156" t="s">
        <v>10576</v>
      </c>
      <c r="E9419" s="156" t="s">
        <v>10705</v>
      </c>
      <c r="F9419" s="156" t="s">
        <v>427</v>
      </c>
      <c r="G9419" s="156" t="s">
        <v>10706</v>
      </c>
      <c r="H9419" s="157" t="s">
        <v>212</v>
      </c>
    </row>
    <row r="9420" hidden="1">
      <c r="A9420" s="160" t="s">
        <v>231</v>
      </c>
      <c r="B9420" s="72"/>
      <c r="C9420" s="118" t="s">
        <v>232</v>
      </c>
      <c r="D9420" s="152" t="s">
        <v>10576</v>
      </c>
      <c r="E9420" s="152" t="s">
        <v>10707</v>
      </c>
      <c r="F9420" s="152" t="s">
        <v>285</v>
      </c>
      <c r="G9420" s="152" t="s">
        <v>10708</v>
      </c>
      <c r="H9420" s="153" t="s">
        <v>213</v>
      </c>
    </row>
    <row r="9421" hidden="1">
      <c r="A9421" s="158" t="s">
        <v>231</v>
      </c>
      <c r="B9421" s="159"/>
      <c r="C9421" s="155" t="s">
        <v>232</v>
      </c>
      <c r="D9421" s="156" t="s">
        <v>10576</v>
      </c>
      <c r="E9421" s="156" t="s">
        <v>10709</v>
      </c>
      <c r="F9421" s="156" t="s">
        <v>357</v>
      </c>
      <c r="G9421" s="156" t="s">
        <v>10710</v>
      </c>
      <c r="H9421" s="157" t="s">
        <v>214</v>
      </c>
    </row>
    <row r="9422" hidden="1">
      <c r="A9422" s="160" t="s">
        <v>231</v>
      </c>
      <c r="B9422" s="72"/>
      <c r="C9422" s="118" t="s">
        <v>232</v>
      </c>
      <c r="D9422" s="152" t="s">
        <v>10576</v>
      </c>
      <c r="E9422" s="152" t="s">
        <v>10711</v>
      </c>
      <c r="F9422" s="152" t="s">
        <v>799</v>
      </c>
      <c r="G9422" s="152" t="s">
        <v>10712</v>
      </c>
      <c r="H9422" s="153" t="s">
        <v>215</v>
      </c>
    </row>
    <row r="9423" hidden="1">
      <c r="A9423" s="158" t="s">
        <v>231</v>
      </c>
      <c r="B9423" s="159"/>
      <c r="C9423" s="155" t="s">
        <v>232</v>
      </c>
      <c r="D9423" s="156" t="s">
        <v>10576</v>
      </c>
      <c r="E9423" s="156" t="s">
        <v>10713</v>
      </c>
      <c r="F9423" s="156" t="s">
        <v>351</v>
      </c>
      <c r="G9423" s="156" t="s">
        <v>9843</v>
      </c>
      <c r="H9423" s="157" t="s">
        <v>216</v>
      </c>
    </row>
    <row r="9424" hidden="1">
      <c r="A9424" s="160" t="s">
        <v>233</v>
      </c>
      <c r="B9424" s="72"/>
      <c r="C9424" s="118" t="s">
        <v>232</v>
      </c>
      <c r="D9424" s="152" t="s">
        <v>10576</v>
      </c>
      <c r="E9424" s="152" t="s">
        <v>10714</v>
      </c>
      <c r="F9424" s="152" t="s">
        <v>691</v>
      </c>
      <c r="G9424" s="152" t="s">
        <v>9663</v>
      </c>
      <c r="H9424" s="153" t="s">
        <v>210</v>
      </c>
    </row>
    <row r="9425" hidden="1">
      <c r="A9425" s="158" t="s">
        <v>233</v>
      </c>
      <c r="B9425" s="159"/>
      <c r="C9425" s="155" t="s">
        <v>232</v>
      </c>
      <c r="D9425" s="156" t="s">
        <v>10576</v>
      </c>
      <c r="E9425" s="156" t="s">
        <v>10715</v>
      </c>
      <c r="F9425" s="156" t="s">
        <v>691</v>
      </c>
      <c r="G9425" s="156" t="s">
        <v>9990</v>
      </c>
      <c r="H9425" s="157" t="s">
        <v>211</v>
      </c>
    </row>
    <row r="9426" hidden="1">
      <c r="A9426" s="160" t="s">
        <v>233</v>
      </c>
      <c r="B9426" s="72"/>
      <c r="C9426" s="118" t="s">
        <v>232</v>
      </c>
      <c r="D9426" s="152" t="s">
        <v>10576</v>
      </c>
      <c r="E9426" s="152" t="s">
        <v>10716</v>
      </c>
      <c r="F9426" s="152" t="s">
        <v>587</v>
      </c>
      <c r="G9426" s="152" t="s">
        <v>9824</v>
      </c>
      <c r="H9426" s="153" t="s">
        <v>212</v>
      </c>
    </row>
    <row r="9427" hidden="1">
      <c r="A9427" s="158" t="s">
        <v>233</v>
      </c>
      <c r="B9427" s="159"/>
      <c r="C9427" s="155" t="s">
        <v>232</v>
      </c>
      <c r="D9427" s="156" t="s">
        <v>10576</v>
      </c>
      <c r="E9427" s="156" t="s">
        <v>10717</v>
      </c>
      <c r="F9427" s="156" t="s">
        <v>780</v>
      </c>
      <c r="G9427" s="156" t="s">
        <v>9575</v>
      </c>
      <c r="H9427" s="157" t="s">
        <v>213</v>
      </c>
    </row>
    <row r="9428" hidden="1">
      <c r="A9428" s="160" t="s">
        <v>233</v>
      </c>
      <c r="B9428" s="72"/>
      <c r="C9428" s="118" t="s">
        <v>232</v>
      </c>
      <c r="D9428" s="152" t="s">
        <v>10576</v>
      </c>
      <c r="E9428" s="152" t="s">
        <v>10718</v>
      </c>
      <c r="F9428" s="152" t="s">
        <v>3243</v>
      </c>
      <c r="G9428" s="152" t="s">
        <v>10400</v>
      </c>
      <c r="H9428" s="153" t="s">
        <v>214</v>
      </c>
    </row>
    <row r="9429" hidden="1">
      <c r="A9429" s="158" t="s">
        <v>233</v>
      </c>
      <c r="B9429" s="159"/>
      <c r="C9429" s="155" t="s">
        <v>232</v>
      </c>
      <c r="D9429" s="156" t="s">
        <v>10576</v>
      </c>
      <c r="E9429" s="156" t="s">
        <v>10719</v>
      </c>
      <c r="F9429" s="156" t="s">
        <v>629</v>
      </c>
      <c r="G9429" s="156" t="s">
        <v>10393</v>
      </c>
      <c r="H9429" s="157" t="s">
        <v>215</v>
      </c>
    </row>
    <row r="9430" hidden="1">
      <c r="A9430" s="160" t="s">
        <v>233</v>
      </c>
      <c r="B9430" s="72"/>
      <c r="C9430" s="118" t="s">
        <v>232</v>
      </c>
      <c r="D9430" s="152" t="s">
        <v>10576</v>
      </c>
      <c r="E9430" s="152" t="s">
        <v>10720</v>
      </c>
      <c r="F9430" s="152" t="s">
        <v>2215</v>
      </c>
      <c r="G9430" s="152" t="s">
        <v>9579</v>
      </c>
      <c r="H9430" s="153" t="s">
        <v>216</v>
      </c>
    </row>
    <row r="9431" hidden="1">
      <c r="A9431" s="158" t="s">
        <v>234</v>
      </c>
      <c r="B9431" s="159"/>
      <c r="C9431" s="155" t="s">
        <v>232</v>
      </c>
      <c r="D9431" s="156" t="s">
        <v>10576</v>
      </c>
      <c r="E9431" s="156" t="s">
        <v>10721</v>
      </c>
      <c r="F9431" s="156" t="s">
        <v>453</v>
      </c>
      <c r="G9431" s="156" t="s">
        <v>10079</v>
      </c>
      <c r="H9431" s="157" t="s">
        <v>210</v>
      </c>
    </row>
    <row r="9432" hidden="1">
      <c r="A9432" s="160" t="s">
        <v>234</v>
      </c>
      <c r="B9432" s="72"/>
      <c r="C9432" s="118" t="s">
        <v>232</v>
      </c>
      <c r="D9432" s="152" t="s">
        <v>10576</v>
      </c>
      <c r="E9432" s="152" t="s">
        <v>10722</v>
      </c>
      <c r="F9432" s="152" t="s">
        <v>423</v>
      </c>
      <c r="G9432" s="152" t="s">
        <v>10297</v>
      </c>
      <c r="H9432" s="153" t="s">
        <v>211</v>
      </c>
    </row>
    <row r="9433" hidden="1">
      <c r="A9433" s="158" t="s">
        <v>234</v>
      </c>
      <c r="B9433" s="159"/>
      <c r="C9433" s="155" t="s">
        <v>232</v>
      </c>
      <c r="D9433" s="156" t="s">
        <v>10576</v>
      </c>
      <c r="E9433" s="156" t="s">
        <v>10723</v>
      </c>
      <c r="F9433" s="156" t="s">
        <v>758</v>
      </c>
      <c r="G9433" s="156" t="s">
        <v>10724</v>
      </c>
      <c r="H9433" s="157" t="s">
        <v>212</v>
      </c>
    </row>
    <row r="9434" hidden="1">
      <c r="A9434" s="160" t="s">
        <v>234</v>
      </c>
      <c r="B9434" s="72"/>
      <c r="C9434" s="118" t="s">
        <v>232</v>
      </c>
      <c r="D9434" s="152" t="s">
        <v>10576</v>
      </c>
      <c r="E9434" s="152" t="s">
        <v>10725</v>
      </c>
      <c r="F9434" s="152" t="s">
        <v>799</v>
      </c>
      <c r="G9434" s="152" t="s">
        <v>9484</v>
      </c>
      <c r="H9434" s="153" t="s">
        <v>213</v>
      </c>
    </row>
    <row r="9435" hidden="1">
      <c r="A9435" s="158" t="s">
        <v>234</v>
      </c>
      <c r="B9435" s="159"/>
      <c r="C9435" s="155" t="s">
        <v>232</v>
      </c>
      <c r="D9435" s="156" t="s">
        <v>10576</v>
      </c>
      <c r="E9435" s="156" t="s">
        <v>10726</v>
      </c>
      <c r="F9435" s="156" t="s">
        <v>725</v>
      </c>
      <c r="G9435" s="156" t="s">
        <v>10417</v>
      </c>
      <c r="H9435" s="157" t="s">
        <v>214</v>
      </c>
    </row>
    <row r="9436" hidden="1">
      <c r="A9436" s="160" t="s">
        <v>234</v>
      </c>
      <c r="B9436" s="72"/>
      <c r="C9436" s="118" t="s">
        <v>232</v>
      </c>
      <c r="D9436" s="152" t="s">
        <v>10576</v>
      </c>
      <c r="E9436" s="152" t="s">
        <v>10727</v>
      </c>
      <c r="F9436" s="152" t="s">
        <v>336</v>
      </c>
      <c r="G9436" s="152" t="s">
        <v>10071</v>
      </c>
      <c r="H9436" s="153" t="s">
        <v>215</v>
      </c>
    </row>
    <row r="9437" hidden="1">
      <c r="A9437" s="158" t="s">
        <v>234</v>
      </c>
      <c r="B9437" s="159"/>
      <c r="C9437" s="155" t="s">
        <v>232</v>
      </c>
      <c r="D9437" s="156" t="s">
        <v>10576</v>
      </c>
      <c r="E9437" s="156" t="s">
        <v>10728</v>
      </c>
      <c r="F9437" s="156" t="s">
        <v>718</v>
      </c>
      <c r="G9437" s="156" t="s">
        <v>10729</v>
      </c>
      <c r="H9437" s="157" t="s">
        <v>216</v>
      </c>
    </row>
    <row r="9438" hidden="1">
      <c r="A9438" s="160" t="s">
        <v>235</v>
      </c>
      <c r="B9438" s="72"/>
      <c r="C9438" s="118" t="s">
        <v>236</v>
      </c>
      <c r="D9438" s="152" t="s">
        <v>10576</v>
      </c>
      <c r="E9438" s="152" t="s">
        <v>10730</v>
      </c>
      <c r="F9438" s="152" t="s">
        <v>3198</v>
      </c>
      <c r="G9438" s="152" t="s">
        <v>10633</v>
      </c>
      <c r="H9438" s="153" t="s">
        <v>210</v>
      </c>
    </row>
    <row r="9439" hidden="1">
      <c r="A9439" s="158" t="s">
        <v>235</v>
      </c>
      <c r="B9439" s="159"/>
      <c r="C9439" s="155" t="s">
        <v>236</v>
      </c>
      <c r="D9439" s="156" t="s">
        <v>10576</v>
      </c>
      <c r="E9439" s="156" t="s">
        <v>10731</v>
      </c>
      <c r="F9439" s="156" t="s">
        <v>763</v>
      </c>
      <c r="G9439" s="156" t="s">
        <v>10732</v>
      </c>
      <c r="H9439" s="157" t="s">
        <v>211</v>
      </c>
    </row>
    <row r="9440" hidden="1">
      <c r="A9440" s="160" t="s">
        <v>235</v>
      </c>
      <c r="B9440" s="72"/>
      <c r="C9440" s="118" t="s">
        <v>236</v>
      </c>
      <c r="D9440" s="152" t="s">
        <v>10576</v>
      </c>
      <c r="E9440" s="152" t="s">
        <v>10733</v>
      </c>
      <c r="F9440" s="152" t="s">
        <v>3346</v>
      </c>
      <c r="G9440" s="152" t="s">
        <v>10109</v>
      </c>
      <c r="H9440" s="153" t="s">
        <v>212</v>
      </c>
    </row>
    <row r="9441" hidden="1">
      <c r="A9441" s="158" t="s">
        <v>235</v>
      </c>
      <c r="B9441" s="159"/>
      <c r="C9441" s="155" t="s">
        <v>236</v>
      </c>
      <c r="D9441" s="156" t="s">
        <v>10576</v>
      </c>
      <c r="E9441" s="156" t="s">
        <v>10734</v>
      </c>
      <c r="F9441" s="156" t="s">
        <v>2215</v>
      </c>
      <c r="G9441" s="156" t="s">
        <v>10735</v>
      </c>
      <c r="H9441" s="157" t="s">
        <v>213</v>
      </c>
    </row>
    <row r="9442" hidden="1">
      <c r="A9442" s="160" t="s">
        <v>235</v>
      </c>
      <c r="B9442" s="72"/>
      <c r="C9442" s="118" t="s">
        <v>236</v>
      </c>
      <c r="D9442" s="152" t="s">
        <v>10576</v>
      </c>
      <c r="E9442" s="152" t="s">
        <v>10736</v>
      </c>
      <c r="F9442" s="152" t="s">
        <v>766</v>
      </c>
      <c r="G9442" s="152" t="s">
        <v>9669</v>
      </c>
      <c r="H9442" s="153" t="s">
        <v>214</v>
      </c>
    </row>
    <row r="9443" hidden="1">
      <c r="A9443" s="158" t="s">
        <v>235</v>
      </c>
      <c r="B9443" s="159"/>
      <c r="C9443" s="155" t="s">
        <v>236</v>
      </c>
      <c r="D9443" s="156" t="s">
        <v>10576</v>
      </c>
      <c r="E9443" s="156" t="s">
        <v>10737</v>
      </c>
      <c r="F9443" s="156" t="s">
        <v>448</v>
      </c>
      <c r="G9443" s="156" t="s">
        <v>10738</v>
      </c>
      <c r="H9443" s="157" t="s">
        <v>215</v>
      </c>
    </row>
    <row r="9444" hidden="1">
      <c r="A9444" s="160" t="s">
        <v>235</v>
      </c>
      <c r="B9444" s="72"/>
      <c r="C9444" s="118" t="s">
        <v>236</v>
      </c>
      <c r="D9444" s="152" t="s">
        <v>10576</v>
      </c>
      <c r="E9444" s="152" t="s">
        <v>10739</v>
      </c>
      <c r="F9444" s="152" t="s">
        <v>348</v>
      </c>
      <c r="G9444" s="152" t="s">
        <v>10512</v>
      </c>
      <c r="H9444" s="153" t="s">
        <v>216</v>
      </c>
    </row>
    <row r="9445" hidden="1">
      <c r="A9445" s="158" t="s">
        <v>237</v>
      </c>
      <c r="B9445" s="159"/>
      <c r="C9445" s="155" t="s">
        <v>236</v>
      </c>
      <c r="D9445" s="156" t="s">
        <v>10576</v>
      </c>
      <c r="E9445" s="156" t="s">
        <v>10740</v>
      </c>
      <c r="F9445" s="156" t="s">
        <v>3218</v>
      </c>
      <c r="G9445" s="156" t="s">
        <v>10741</v>
      </c>
      <c r="H9445" s="157" t="s">
        <v>210</v>
      </c>
    </row>
    <row r="9446" hidden="1">
      <c r="A9446" s="160" t="s">
        <v>237</v>
      </c>
      <c r="B9446" s="72"/>
      <c r="C9446" s="118" t="s">
        <v>236</v>
      </c>
      <c r="D9446" s="152" t="s">
        <v>10576</v>
      </c>
      <c r="E9446" s="152" t="s">
        <v>10742</v>
      </c>
      <c r="F9446" s="152" t="s">
        <v>405</v>
      </c>
      <c r="G9446" s="152" t="s">
        <v>10190</v>
      </c>
      <c r="H9446" s="153" t="s">
        <v>211</v>
      </c>
    </row>
    <row r="9447" hidden="1">
      <c r="A9447" s="158" t="s">
        <v>237</v>
      </c>
      <c r="B9447" s="159"/>
      <c r="C9447" s="155" t="s">
        <v>236</v>
      </c>
      <c r="D9447" s="156" t="s">
        <v>10576</v>
      </c>
      <c r="E9447" s="156" t="s">
        <v>10743</v>
      </c>
      <c r="F9447" s="156" t="s">
        <v>348</v>
      </c>
      <c r="G9447" s="156" t="s">
        <v>10580</v>
      </c>
      <c r="H9447" s="157" t="s">
        <v>212</v>
      </c>
    </row>
    <row r="9448" hidden="1">
      <c r="A9448" s="160" t="s">
        <v>237</v>
      </c>
      <c r="B9448" s="72"/>
      <c r="C9448" s="118" t="s">
        <v>236</v>
      </c>
      <c r="D9448" s="152" t="s">
        <v>10576</v>
      </c>
      <c r="E9448" s="152" t="s">
        <v>10744</v>
      </c>
      <c r="F9448" s="152" t="s">
        <v>3218</v>
      </c>
      <c r="G9448" s="152" t="s">
        <v>10293</v>
      </c>
      <c r="H9448" s="153" t="s">
        <v>213</v>
      </c>
    </row>
    <row r="9449" hidden="1">
      <c r="A9449" s="158" t="s">
        <v>237</v>
      </c>
      <c r="B9449" s="159"/>
      <c r="C9449" s="155" t="s">
        <v>236</v>
      </c>
      <c r="D9449" s="156" t="s">
        <v>10576</v>
      </c>
      <c r="E9449" s="156" t="s">
        <v>10745</v>
      </c>
      <c r="F9449" s="156" t="s">
        <v>448</v>
      </c>
      <c r="G9449" s="156" t="s">
        <v>10297</v>
      </c>
      <c r="H9449" s="157" t="s">
        <v>214</v>
      </c>
    </row>
    <row r="9450" hidden="1">
      <c r="A9450" s="160" t="s">
        <v>237</v>
      </c>
      <c r="B9450" s="72"/>
      <c r="C9450" s="118" t="s">
        <v>236</v>
      </c>
      <c r="D9450" s="152" t="s">
        <v>10576</v>
      </c>
      <c r="E9450" s="152" t="s">
        <v>10746</v>
      </c>
      <c r="F9450" s="152" t="s">
        <v>577</v>
      </c>
      <c r="G9450" s="152" t="s">
        <v>10263</v>
      </c>
      <c r="H9450" s="153" t="s">
        <v>215</v>
      </c>
    </row>
    <row r="9451" hidden="1">
      <c r="A9451" s="158" t="s">
        <v>237</v>
      </c>
      <c r="B9451" s="159"/>
      <c r="C9451" s="155" t="s">
        <v>236</v>
      </c>
      <c r="D9451" s="156" t="s">
        <v>10576</v>
      </c>
      <c r="E9451" s="156" t="s">
        <v>10747</v>
      </c>
      <c r="F9451" s="156" t="s">
        <v>405</v>
      </c>
      <c r="G9451" s="156" t="s">
        <v>10417</v>
      </c>
      <c r="H9451" s="157" t="s">
        <v>216</v>
      </c>
    </row>
    <row r="9452" hidden="1">
      <c r="A9452" s="151" t="s">
        <v>204</v>
      </c>
      <c r="B9452" s="118" t="s">
        <v>205</v>
      </c>
      <c r="C9452" s="118" t="s">
        <v>206</v>
      </c>
      <c r="D9452" s="152" t="s">
        <v>10748</v>
      </c>
      <c r="E9452" s="152" t="s">
        <v>10749</v>
      </c>
      <c r="F9452" s="152" t="s">
        <v>1948</v>
      </c>
      <c r="G9452" s="152" t="s">
        <v>10750</v>
      </c>
      <c r="H9452" s="153" t="s">
        <v>210</v>
      </c>
    </row>
    <row r="9453" hidden="1">
      <c r="A9453" s="154" t="s">
        <v>204</v>
      </c>
      <c r="B9453" s="155" t="s">
        <v>205</v>
      </c>
      <c r="C9453" s="155" t="s">
        <v>206</v>
      </c>
      <c r="D9453" s="156" t="s">
        <v>10748</v>
      </c>
      <c r="E9453" s="156" t="s">
        <v>10751</v>
      </c>
      <c r="F9453" s="156" t="s">
        <v>1948</v>
      </c>
      <c r="G9453" s="156" t="s">
        <v>10752</v>
      </c>
      <c r="H9453" s="157" t="s">
        <v>211</v>
      </c>
    </row>
    <row r="9454" hidden="1">
      <c r="A9454" s="151" t="s">
        <v>204</v>
      </c>
      <c r="B9454" s="118" t="s">
        <v>205</v>
      </c>
      <c r="C9454" s="118" t="s">
        <v>206</v>
      </c>
      <c r="D9454" s="152" t="s">
        <v>10748</v>
      </c>
      <c r="E9454" s="152" t="s">
        <v>10753</v>
      </c>
      <c r="F9454" s="152" t="s">
        <v>390</v>
      </c>
      <c r="G9454" s="152" t="s">
        <v>10732</v>
      </c>
      <c r="H9454" s="153" t="s">
        <v>212</v>
      </c>
    </row>
    <row r="9455" hidden="1">
      <c r="A9455" s="154" t="s">
        <v>204</v>
      </c>
      <c r="B9455" s="155" t="s">
        <v>205</v>
      </c>
      <c r="C9455" s="155" t="s">
        <v>206</v>
      </c>
      <c r="D9455" s="156" t="s">
        <v>10748</v>
      </c>
      <c r="E9455" s="156" t="s">
        <v>10754</v>
      </c>
      <c r="F9455" s="156" t="s">
        <v>3198</v>
      </c>
      <c r="G9455" s="156" t="s">
        <v>10000</v>
      </c>
      <c r="H9455" s="157" t="s">
        <v>213</v>
      </c>
    </row>
    <row r="9456" hidden="1">
      <c r="A9456" s="151" t="s">
        <v>204</v>
      </c>
      <c r="B9456" s="118" t="s">
        <v>205</v>
      </c>
      <c r="C9456" s="118" t="s">
        <v>206</v>
      </c>
      <c r="D9456" s="152" t="s">
        <v>10748</v>
      </c>
      <c r="E9456" s="152" t="s">
        <v>10755</v>
      </c>
      <c r="F9456" s="152" t="s">
        <v>3346</v>
      </c>
      <c r="G9456" s="152" t="s">
        <v>10522</v>
      </c>
      <c r="H9456" s="153" t="s">
        <v>214</v>
      </c>
    </row>
    <row r="9457" hidden="1">
      <c r="A9457" s="154" t="s">
        <v>204</v>
      </c>
      <c r="B9457" s="155" t="s">
        <v>205</v>
      </c>
      <c r="C9457" s="155" t="s">
        <v>206</v>
      </c>
      <c r="D9457" s="156" t="s">
        <v>10748</v>
      </c>
      <c r="E9457" s="156" t="s">
        <v>10756</v>
      </c>
      <c r="F9457" s="156" t="s">
        <v>348</v>
      </c>
      <c r="G9457" s="156" t="s">
        <v>10415</v>
      </c>
      <c r="H9457" s="157" t="s">
        <v>215</v>
      </c>
    </row>
    <row r="9458" hidden="1">
      <c r="A9458" s="151" t="s">
        <v>204</v>
      </c>
      <c r="B9458" s="118" t="s">
        <v>205</v>
      </c>
      <c r="C9458" s="118" t="s">
        <v>206</v>
      </c>
      <c r="D9458" s="152" t="s">
        <v>10748</v>
      </c>
      <c r="E9458" s="152" t="s">
        <v>10757</v>
      </c>
      <c r="F9458" s="152" t="s">
        <v>2215</v>
      </c>
      <c r="G9458" s="152" t="s">
        <v>10758</v>
      </c>
      <c r="H9458" s="153" t="s">
        <v>216</v>
      </c>
    </row>
    <row r="9459" hidden="1">
      <c r="A9459" s="154" t="s">
        <v>217</v>
      </c>
      <c r="B9459" s="155" t="s">
        <v>191</v>
      </c>
      <c r="C9459" s="155" t="s">
        <v>206</v>
      </c>
      <c r="D9459" s="156" t="s">
        <v>10748</v>
      </c>
      <c r="E9459" s="156" t="s">
        <v>10759</v>
      </c>
      <c r="F9459" s="156" t="s">
        <v>2005</v>
      </c>
      <c r="G9459" s="156" t="s">
        <v>10600</v>
      </c>
      <c r="H9459" s="157" t="s">
        <v>210</v>
      </c>
    </row>
    <row r="9460" hidden="1">
      <c r="A9460" s="151" t="s">
        <v>217</v>
      </c>
      <c r="B9460" s="118" t="s">
        <v>191</v>
      </c>
      <c r="C9460" s="118" t="s">
        <v>206</v>
      </c>
      <c r="D9460" s="152" t="s">
        <v>10748</v>
      </c>
      <c r="E9460" s="152" t="s">
        <v>10760</v>
      </c>
      <c r="F9460" s="152" t="s">
        <v>5454</v>
      </c>
      <c r="G9460" s="152" t="s">
        <v>10589</v>
      </c>
      <c r="H9460" s="153" t="s">
        <v>211</v>
      </c>
    </row>
    <row r="9461" hidden="1">
      <c r="A9461" s="154" t="s">
        <v>217</v>
      </c>
      <c r="B9461" s="155" t="s">
        <v>191</v>
      </c>
      <c r="C9461" s="155" t="s">
        <v>206</v>
      </c>
      <c r="D9461" s="156" t="s">
        <v>10748</v>
      </c>
      <c r="E9461" s="156" t="s">
        <v>10761</v>
      </c>
      <c r="F9461" s="156" t="s">
        <v>766</v>
      </c>
      <c r="G9461" s="156" t="s">
        <v>9639</v>
      </c>
      <c r="H9461" s="157" t="s">
        <v>212</v>
      </c>
    </row>
    <row r="9462" hidden="1">
      <c r="A9462" s="151" t="s">
        <v>217</v>
      </c>
      <c r="B9462" s="118" t="s">
        <v>191</v>
      </c>
      <c r="C9462" s="118" t="s">
        <v>206</v>
      </c>
      <c r="D9462" s="152" t="s">
        <v>10748</v>
      </c>
      <c r="E9462" s="152" t="s">
        <v>10762</v>
      </c>
      <c r="F9462" s="152" t="s">
        <v>3243</v>
      </c>
      <c r="G9462" s="152" t="s">
        <v>10741</v>
      </c>
      <c r="H9462" s="153" t="s">
        <v>213</v>
      </c>
    </row>
    <row r="9463" hidden="1">
      <c r="A9463" s="154" t="s">
        <v>217</v>
      </c>
      <c r="B9463" s="155" t="s">
        <v>191</v>
      </c>
      <c r="C9463" s="155" t="s">
        <v>206</v>
      </c>
      <c r="D9463" s="156" t="s">
        <v>10748</v>
      </c>
      <c r="E9463" s="156" t="s">
        <v>10763</v>
      </c>
      <c r="F9463" s="156" t="s">
        <v>3625</v>
      </c>
      <c r="G9463" s="156" t="s">
        <v>10578</v>
      </c>
      <c r="H9463" s="157" t="s">
        <v>214</v>
      </c>
    </row>
    <row r="9464" hidden="1">
      <c r="A9464" s="151" t="s">
        <v>217</v>
      </c>
      <c r="B9464" s="118" t="s">
        <v>191</v>
      </c>
      <c r="C9464" s="118" t="s">
        <v>206</v>
      </c>
      <c r="D9464" s="152" t="s">
        <v>10748</v>
      </c>
      <c r="E9464" s="152" t="s">
        <v>10764</v>
      </c>
      <c r="F9464" s="152" t="s">
        <v>444</v>
      </c>
      <c r="G9464" s="152" t="s">
        <v>10522</v>
      </c>
      <c r="H9464" s="153" t="s">
        <v>215</v>
      </c>
    </row>
    <row r="9465" hidden="1">
      <c r="A9465" s="154" t="s">
        <v>217</v>
      </c>
      <c r="B9465" s="155" t="s">
        <v>191</v>
      </c>
      <c r="C9465" s="155" t="s">
        <v>206</v>
      </c>
      <c r="D9465" s="156" t="s">
        <v>10748</v>
      </c>
      <c r="E9465" s="156" t="s">
        <v>10765</v>
      </c>
      <c r="F9465" s="156" t="s">
        <v>3150</v>
      </c>
      <c r="G9465" s="156" t="s">
        <v>9581</v>
      </c>
      <c r="H9465" s="157" t="s">
        <v>216</v>
      </c>
    </row>
    <row r="9466" hidden="1">
      <c r="A9466" s="151" t="s">
        <v>218</v>
      </c>
      <c r="B9466" s="118" t="s">
        <v>219</v>
      </c>
      <c r="C9466" s="118" t="s">
        <v>206</v>
      </c>
      <c r="D9466" s="152" t="s">
        <v>10748</v>
      </c>
      <c r="E9466" s="152" t="s">
        <v>10766</v>
      </c>
      <c r="F9466" s="152" t="s">
        <v>1790</v>
      </c>
      <c r="G9466" s="152" t="s">
        <v>10767</v>
      </c>
      <c r="H9466" s="153" t="s">
        <v>210</v>
      </c>
    </row>
    <row r="9467" hidden="1">
      <c r="A9467" s="154" t="s">
        <v>218</v>
      </c>
      <c r="B9467" s="155" t="s">
        <v>219</v>
      </c>
      <c r="C9467" s="155" t="s">
        <v>206</v>
      </c>
      <c r="D9467" s="156" t="s">
        <v>10748</v>
      </c>
      <c r="E9467" s="156" t="s">
        <v>10768</v>
      </c>
      <c r="F9467" s="156" t="s">
        <v>2228</v>
      </c>
      <c r="G9467" s="156" t="s">
        <v>10769</v>
      </c>
      <c r="H9467" s="157" t="s">
        <v>211</v>
      </c>
    </row>
    <row r="9468" hidden="1">
      <c r="A9468" s="151" t="s">
        <v>218</v>
      </c>
      <c r="B9468" s="118" t="s">
        <v>219</v>
      </c>
      <c r="C9468" s="118" t="s">
        <v>206</v>
      </c>
      <c r="D9468" s="152" t="s">
        <v>10748</v>
      </c>
      <c r="E9468" s="152" t="s">
        <v>10770</v>
      </c>
      <c r="F9468" s="152" t="s">
        <v>3243</v>
      </c>
      <c r="G9468" s="152" t="s">
        <v>10771</v>
      </c>
      <c r="H9468" s="153" t="s">
        <v>212</v>
      </c>
    </row>
    <row r="9469" hidden="1">
      <c r="A9469" s="154" t="s">
        <v>218</v>
      </c>
      <c r="B9469" s="155" t="s">
        <v>219</v>
      </c>
      <c r="C9469" s="155" t="s">
        <v>206</v>
      </c>
      <c r="D9469" s="156" t="s">
        <v>10748</v>
      </c>
      <c r="E9469" s="156" t="s">
        <v>10772</v>
      </c>
      <c r="F9469" s="156" t="s">
        <v>3145</v>
      </c>
      <c r="G9469" s="156" t="s">
        <v>10773</v>
      </c>
      <c r="H9469" s="157" t="s">
        <v>213</v>
      </c>
    </row>
    <row r="9470" hidden="1">
      <c r="A9470" s="151" t="s">
        <v>218</v>
      </c>
      <c r="B9470" s="118" t="s">
        <v>219</v>
      </c>
      <c r="C9470" s="118" t="s">
        <v>206</v>
      </c>
      <c r="D9470" s="152" t="s">
        <v>10748</v>
      </c>
      <c r="E9470" s="152" t="s">
        <v>10774</v>
      </c>
      <c r="F9470" s="152" t="s">
        <v>675</v>
      </c>
      <c r="G9470" s="152" t="s">
        <v>10775</v>
      </c>
      <c r="H9470" s="153" t="s">
        <v>214</v>
      </c>
    </row>
    <row r="9471" hidden="1">
      <c r="A9471" s="154" t="s">
        <v>218</v>
      </c>
      <c r="B9471" s="155" t="s">
        <v>219</v>
      </c>
      <c r="C9471" s="155" t="s">
        <v>206</v>
      </c>
      <c r="D9471" s="156" t="s">
        <v>10748</v>
      </c>
      <c r="E9471" s="156" t="s">
        <v>10776</v>
      </c>
      <c r="F9471" s="156" t="s">
        <v>3148</v>
      </c>
      <c r="G9471" s="156" t="s">
        <v>10607</v>
      </c>
      <c r="H9471" s="157" t="s">
        <v>215</v>
      </c>
    </row>
    <row r="9472" hidden="1">
      <c r="A9472" s="151" t="s">
        <v>218</v>
      </c>
      <c r="B9472" s="118" t="s">
        <v>219</v>
      </c>
      <c r="C9472" s="118" t="s">
        <v>206</v>
      </c>
      <c r="D9472" s="152" t="s">
        <v>10748</v>
      </c>
      <c r="E9472" s="152" t="s">
        <v>10777</v>
      </c>
      <c r="F9472" s="152" t="s">
        <v>3243</v>
      </c>
      <c r="G9472" s="152" t="s">
        <v>10778</v>
      </c>
      <c r="H9472" s="153" t="s">
        <v>216</v>
      </c>
    </row>
    <row r="9473" hidden="1">
      <c r="A9473" s="154" t="s">
        <v>220</v>
      </c>
      <c r="B9473" s="155" t="s">
        <v>190</v>
      </c>
      <c r="C9473" s="155" t="s">
        <v>206</v>
      </c>
      <c r="D9473" s="156" t="s">
        <v>10748</v>
      </c>
      <c r="E9473" s="156" t="s">
        <v>10779</v>
      </c>
      <c r="F9473" s="156" t="s">
        <v>2654</v>
      </c>
      <c r="G9473" s="156" t="s">
        <v>9750</v>
      </c>
      <c r="H9473" s="157" t="s">
        <v>210</v>
      </c>
    </row>
    <row r="9474" hidden="1">
      <c r="A9474" s="151" t="s">
        <v>220</v>
      </c>
      <c r="B9474" s="118" t="s">
        <v>190</v>
      </c>
      <c r="C9474" s="118" t="s">
        <v>206</v>
      </c>
      <c r="D9474" s="152" t="s">
        <v>10748</v>
      </c>
      <c r="E9474" s="152" t="s">
        <v>10780</v>
      </c>
      <c r="F9474" s="152" t="s">
        <v>3150</v>
      </c>
      <c r="G9474" s="152" t="s">
        <v>10781</v>
      </c>
      <c r="H9474" s="153" t="s">
        <v>211</v>
      </c>
    </row>
    <row r="9475" hidden="1">
      <c r="A9475" s="154" t="s">
        <v>220</v>
      </c>
      <c r="B9475" s="155" t="s">
        <v>190</v>
      </c>
      <c r="C9475" s="155" t="s">
        <v>206</v>
      </c>
      <c r="D9475" s="156" t="s">
        <v>10748</v>
      </c>
      <c r="E9475" s="156" t="s">
        <v>10782</v>
      </c>
      <c r="F9475" s="156" t="s">
        <v>3218</v>
      </c>
      <c r="G9475" s="156" t="s">
        <v>10783</v>
      </c>
      <c r="H9475" s="157" t="s">
        <v>212</v>
      </c>
    </row>
    <row r="9476" hidden="1">
      <c r="A9476" s="151" t="s">
        <v>220</v>
      </c>
      <c r="B9476" s="118" t="s">
        <v>190</v>
      </c>
      <c r="C9476" s="118" t="s">
        <v>206</v>
      </c>
      <c r="D9476" s="152" t="s">
        <v>10748</v>
      </c>
      <c r="E9476" s="152" t="s">
        <v>10784</v>
      </c>
      <c r="F9476" s="152" t="s">
        <v>405</v>
      </c>
      <c r="G9476" s="152" t="s">
        <v>10785</v>
      </c>
      <c r="H9476" s="153" t="s">
        <v>213</v>
      </c>
    </row>
    <row r="9477" hidden="1">
      <c r="A9477" s="154" t="s">
        <v>220</v>
      </c>
      <c r="B9477" s="155" t="s">
        <v>190</v>
      </c>
      <c r="C9477" s="155" t="s">
        <v>206</v>
      </c>
      <c r="D9477" s="156" t="s">
        <v>10748</v>
      </c>
      <c r="E9477" s="156" t="s">
        <v>10786</v>
      </c>
      <c r="F9477" s="156" t="s">
        <v>2228</v>
      </c>
      <c r="G9477" s="156" t="s">
        <v>10787</v>
      </c>
      <c r="H9477" s="157" t="s">
        <v>214</v>
      </c>
    </row>
    <row r="9478" hidden="1">
      <c r="A9478" s="151" t="s">
        <v>220</v>
      </c>
      <c r="B9478" s="118" t="s">
        <v>190</v>
      </c>
      <c r="C9478" s="118" t="s">
        <v>206</v>
      </c>
      <c r="D9478" s="152" t="s">
        <v>10748</v>
      </c>
      <c r="E9478" s="152" t="s">
        <v>10788</v>
      </c>
      <c r="F9478" s="152" t="s">
        <v>1948</v>
      </c>
      <c r="G9478" s="152" t="s">
        <v>10789</v>
      </c>
      <c r="H9478" s="153" t="s">
        <v>215</v>
      </c>
    </row>
    <row r="9479" hidden="1">
      <c r="A9479" s="154" t="s">
        <v>220</v>
      </c>
      <c r="B9479" s="155" t="s">
        <v>190</v>
      </c>
      <c r="C9479" s="155" t="s">
        <v>206</v>
      </c>
      <c r="D9479" s="156" t="s">
        <v>10748</v>
      </c>
      <c r="E9479" s="156" t="s">
        <v>10790</v>
      </c>
      <c r="F9479" s="156" t="s">
        <v>3625</v>
      </c>
      <c r="G9479" s="156" t="s">
        <v>10013</v>
      </c>
      <c r="H9479" s="157" t="s">
        <v>216</v>
      </c>
    </row>
    <row r="9480" hidden="1">
      <c r="A9480" s="151" t="s">
        <v>221</v>
      </c>
      <c r="B9480" s="118" t="s">
        <v>189</v>
      </c>
      <c r="C9480" s="118" t="s">
        <v>206</v>
      </c>
      <c r="D9480" s="152" t="s">
        <v>10748</v>
      </c>
      <c r="E9480" s="152" t="s">
        <v>10791</v>
      </c>
      <c r="F9480" s="152" t="s">
        <v>2994</v>
      </c>
      <c r="G9480" s="152" t="s">
        <v>9511</v>
      </c>
      <c r="H9480" s="153" t="s">
        <v>210</v>
      </c>
    </row>
    <row r="9481" hidden="1">
      <c r="A9481" s="154" t="s">
        <v>221</v>
      </c>
      <c r="B9481" s="155" t="s">
        <v>189</v>
      </c>
      <c r="C9481" s="155" t="s">
        <v>206</v>
      </c>
      <c r="D9481" s="156" t="s">
        <v>10748</v>
      </c>
      <c r="E9481" s="156" t="s">
        <v>10792</v>
      </c>
      <c r="F9481" s="156" t="s">
        <v>3359</v>
      </c>
      <c r="G9481" s="156" t="s">
        <v>9890</v>
      </c>
      <c r="H9481" s="157" t="s">
        <v>211</v>
      </c>
    </row>
    <row r="9482" hidden="1">
      <c r="A9482" s="151" t="s">
        <v>221</v>
      </c>
      <c r="B9482" s="118" t="s">
        <v>189</v>
      </c>
      <c r="C9482" s="118" t="s">
        <v>206</v>
      </c>
      <c r="D9482" s="152" t="s">
        <v>10748</v>
      </c>
      <c r="E9482" s="152" t="s">
        <v>10793</v>
      </c>
      <c r="F9482" s="152" t="s">
        <v>453</v>
      </c>
      <c r="G9482" s="152" t="s">
        <v>10794</v>
      </c>
      <c r="H9482" s="153" t="s">
        <v>212</v>
      </c>
    </row>
    <row r="9483" hidden="1">
      <c r="A9483" s="154" t="s">
        <v>221</v>
      </c>
      <c r="B9483" s="155" t="s">
        <v>189</v>
      </c>
      <c r="C9483" s="155" t="s">
        <v>206</v>
      </c>
      <c r="D9483" s="156" t="s">
        <v>10748</v>
      </c>
      <c r="E9483" s="156" t="s">
        <v>10795</v>
      </c>
      <c r="F9483" s="156" t="s">
        <v>532</v>
      </c>
      <c r="G9483" s="156" t="s">
        <v>10463</v>
      </c>
      <c r="H9483" s="157" t="s">
        <v>213</v>
      </c>
    </row>
    <row r="9484" hidden="1">
      <c r="A9484" s="151" t="s">
        <v>221</v>
      </c>
      <c r="B9484" s="118" t="s">
        <v>189</v>
      </c>
      <c r="C9484" s="118" t="s">
        <v>206</v>
      </c>
      <c r="D9484" s="152" t="s">
        <v>10748</v>
      </c>
      <c r="E9484" s="152" t="s">
        <v>10796</v>
      </c>
      <c r="F9484" s="152" t="s">
        <v>3240</v>
      </c>
      <c r="G9484" s="152" t="s">
        <v>9504</v>
      </c>
      <c r="H9484" s="153" t="s">
        <v>214</v>
      </c>
    </row>
    <row r="9485" hidden="1">
      <c r="A9485" s="154" t="s">
        <v>221</v>
      </c>
      <c r="B9485" s="155" t="s">
        <v>189</v>
      </c>
      <c r="C9485" s="155" t="s">
        <v>206</v>
      </c>
      <c r="D9485" s="156" t="s">
        <v>10748</v>
      </c>
      <c r="E9485" s="156" t="s">
        <v>10797</v>
      </c>
      <c r="F9485" s="156" t="s">
        <v>354</v>
      </c>
      <c r="G9485" s="156" t="s">
        <v>3470</v>
      </c>
      <c r="H9485" s="157" t="s">
        <v>215</v>
      </c>
    </row>
    <row r="9486" hidden="1">
      <c r="A9486" s="151" t="s">
        <v>221</v>
      </c>
      <c r="B9486" s="118" t="s">
        <v>189</v>
      </c>
      <c r="C9486" s="118" t="s">
        <v>206</v>
      </c>
      <c r="D9486" s="152" t="s">
        <v>10748</v>
      </c>
      <c r="E9486" s="152" t="s">
        <v>10798</v>
      </c>
      <c r="F9486" s="152" t="s">
        <v>1929</v>
      </c>
      <c r="G9486" s="152" t="s">
        <v>9904</v>
      </c>
      <c r="H9486" s="153" t="s">
        <v>216</v>
      </c>
    </row>
    <row r="9487" hidden="1">
      <c r="A9487" s="154" t="s">
        <v>222</v>
      </c>
      <c r="B9487" s="155" t="s">
        <v>192</v>
      </c>
      <c r="C9487" s="155" t="s">
        <v>206</v>
      </c>
      <c r="D9487" s="156" t="s">
        <v>10748</v>
      </c>
      <c r="E9487" s="156" t="s">
        <v>10799</v>
      </c>
      <c r="F9487" s="156" t="s">
        <v>735</v>
      </c>
      <c r="G9487" s="156" t="s">
        <v>10000</v>
      </c>
      <c r="H9487" s="157" t="s">
        <v>210</v>
      </c>
    </row>
    <row r="9488" hidden="1">
      <c r="A9488" s="151" t="s">
        <v>222</v>
      </c>
      <c r="B9488" s="118" t="s">
        <v>192</v>
      </c>
      <c r="C9488" s="118" t="s">
        <v>206</v>
      </c>
      <c r="D9488" s="152" t="s">
        <v>10748</v>
      </c>
      <c r="E9488" s="152" t="s">
        <v>10800</v>
      </c>
      <c r="F9488" s="152" t="s">
        <v>673</v>
      </c>
      <c r="G9488" s="152" t="s">
        <v>10344</v>
      </c>
      <c r="H9488" s="153" t="s">
        <v>211</v>
      </c>
    </row>
    <row r="9489" hidden="1">
      <c r="A9489" s="154" t="s">
        <v>222</v>
      </c>
      <c r="B9489" s="155" t="s">
        <v>192</v>
      </c>
      <c r="C9489" s="155" t="s">
        <v>206</v>
      </c>
      <c r="D9489" s="156" t="s">
        <v>10748</v>
      </c>
      <c r="E9489" s="156" t="s">
        <v>10801</v>
      </c>
      <c r="F9489" s="156" t="s">
        <v>3218</v>
      </c>
      <c r="G9489" s="156" t="s">
        <v>10802</v>
      </c>
      <c r="H9489" s="157" t="s">
        <v>212</v>
      </c>
    </row>
    <row r="9490" hidden="1">
      <c r="A9490" s="151" t="s">
        <v>222</v>
      </c>
      <c r="B9490" s="118" t="s">
        <v>192</v>
      </c>
      <c r="C9490" s="118" t="s">
        <v>206</v>
      </c>
      <c r="D9490" s="152" t="s">
        <v>10748</v>
      </c>
      <c r="E9490" s="152" t="s">
        <v>10803</v>
      </c>
      <c r="F9490" s="152" t="s">
        <v>760</v>
      </c>
      <c r="G9490" s="152" t="s">
        <v>9577</v>
      </c>
      <c r="H9490" s="153" t="s">
        <v>213</v>
      </c>
    </row>
    <row r="9491" hidden="1">
      <c r="A9491" s="154" t="s">
        <v>222</v>
      </c>
      <c r="B9491" s="155" t="s">
        <v>192</v>
      </c>
      <c r="C9491" s="155" t="s">
        <v>206</v>
      </c>
      <c r="D9491" s="156" t="s">
        <v>10748</v>
      </c>
      <c r="E9491" s="156" t="s">
        <v>10804</v>
      </c>
      <c r="F9491" s="156" t="s">
        <v>735</v>
      </c>
      <c r="G9491" s="156" t="s">
        <v>10805</v>
      </c>
      <c r="H9491" s="157" t="s">
        <v>214</v>
      </c>
    </row>
    <row r="9492" hidden="1">
      <c r="A9492" s="151" t="s">
        <v>222</v>
      </c>
      <c r="B9492" s="118" t="s">
        <v>192</v>
      </c>
      <c r="C9492" s="118" t="s">
        <v>206</v>
      </c>
      <c r="D9492" s="152" t="s">
        <v>10748</v>
      </c>
      <c r="E9492" s="152" t="s">
        <v>10806</v>
      </c>
      <c r="F9492" s="152" t="s">
        <v>354</v>
      </c>
      <c r="G9492" s="152" t="s">
        <v>10297</v>
      </c>
      <c r="H9492" s="153" t="s">
        <v>215</v>
      </c>
    </row>
    <row r="9493" hidden="1">
      <c r="A9493" s="154" t="s">
        <v>222</v>
      </c>
      <c r="B9493" s="155" t="s">
        <v>192</v>
      </c>
      <c r="C9493" s="155" t="s">
        <v>206</v>
      </c>
      <c r="D9493" s="156" t="s">
        <v>10748</v>
      </c>
      <c r="E9493" s="156" t="s">
        <v>10807</v>
      </c>
      <c r="F9493" s="156" t="s">
        <v>673</v>
      </c>
      <c r="G9493" s="156" t="s">
        <v>10000</v>
      </c>
      <c r="H9493" s="157" t="s">
        <v>216</v>
      </c>
    </row>
    <row r="9494" hidden="1">
      <c r="A9494" s="151" t="s">
        <v>223</v>
      </c>
      <c r="B9494" s="118" t="s">
        <v>144</v>
      </c>
      <c r="C9494" s="118" t="s">
        <v>206</v>
      </c>
      <c r="D9494" s="152" t="s">
        <v>10748</v>
      </c>
      <c r="E9494" s="152" t="s">
        <v>10808</v>
      </c>
      <c r="F9494" s="152" t="s">
        <v>3218</v>
      </c>
      <c r="G9494" s="152" t="s">
        <v>10729</v>
      </c>
      <c r="H9494" s="153" t="s">
        <v>210</v>
      </c>
    </row>
    <row r="9495" hidden="1">
      <c r="A9495" s="154" t="s">
        <v>223</v>
      </c>
      <c r="B9495" s="155" t="s">
        <v>144</v>
      </c>
      <c r="C9495" s="155" t="s">
        <v>206</v>
      </c>
      <c r="D9495" s="156" t="s">
        <v>10748</v>
      </c>
      <c r="E9495" s="156" t="s">
        <v>10809</v>
      </c>
      <c r="F9495" s="156" t="s">
        <v>735</v>
      </c>
      <c r="G9495" s="156" t="s">
        <v>10485</v>
      </c>
      <c r="H9495" s="157" t="s">
        <v>211</v>
      </c>
    </row>
    <row r="9496" hidden="1">
      <c r="A9496" s="151" t="s">
        <v>223</v>
      </c>
      <c r="B9496" s="118" t="s">
        <v>144</v>
      </c>
      <c r="C9496" s="118" t="s">
        <v>206</v>
      </c>
      <c r="D9496" s="152" t="s">
        <v>10748</v>
      </c>
      <c r="E9496" s="152" t="s">
        <v>10810</v>
      </c>
      <c r="F9496" s="152" t="s">
        <v>405</v>
      </c>
      <c r="G9496" s="152" t="s">
        <v>10811</v>
      </c>
      <c r="H9496" s="153" t="s">
        <v>212</v>
      </c>
    </row>
    <row r="9497" hidden="1">
      <c r="A9497" s="154" t="s">
        <v>223</v>
      </c>
      <c r="B9497" s="155" t="s">
        <v>144</v>
      </c>
      <c r="C9497" s="155" t="s">
        <v>206</v>
      </c>
      <c r="D9497" s="156" t="s">
        <v>10748</v>
      </c>
      <c r="E9497" s="156" t="s">
        <v>10812</v>
      </c>
      <c r="F9497" s="156" t="s">
        <v>3218</v>
      </c>
      <c r="G9497" s="156" t="s">
        <v>10117</v>
      </c>
      <c r="H9497" s="157" t="s">
        <v>213</v>
      </c>
    </row>
    <row r="9498" hidden="1">
      <c r="A9498" s="151" t="s">
        <v>223</v>
      </c>
      <c r="B9498" s="118" t="s">
        <v>144</v>
      </c>
      <c r="C9498" s="118" t="s">
        <v>206</v>
      </c>
      <c r="D9498" s="152" t="s">
        <v>10748</v>
      </c>
      <c r="E9498" s="152" t="s">
        <v>10813</v>
      </c>
      <c r="F9498" s="152" t="s">
        <v>405</v>
      </c>
      <c r="G9498" s="152" t="s">
        <v>9423</v>
      </c>
      <c r="H9498" s="153" t="s">
        <v>214</v>
      </c>
    </row>
    <row r="9499" hidden="1">
      <c r="A9499" s="154" t="s">
        <v>223</v>
      </c>
      <c r="B9499" s="155" t="s">
        <v>144</v>
      </c>
      <c r="C9499" s="155" t="s">
        <v>206</v>
      </c>
      <c r="D9499" s="156" t="s">
        <v>10748</v>
      </c>
      <c r="E9499" s="156" t="s">
        <v>10814</v>
      </c>
      <c r="F9499" s="156" t="s">
        <v>390</v>
      </c>
      <c r="G9499" s="156" t="s">
        <v>9904</v>
      </c>
      <c r="H9499" s="157" t="s">
        <v>215</v>
      </c>
    </row>
    <row r="9500" hidden="1">
      <c r="A9500" s="151" t="s">
        <v>223</v>
      </c>
      <c r="B9500" s="118" t="s">
        <v>144</v>
      </c>
      <c r="C9500" s="118" t="s">
        <v>206</v>
      </c>
      <c r="D9500" s="152" t="s">
        <v>10748</v>
      </c>
      <c r="E9500" s="152" t="s">
        <v>10815</v>
      </c>
      <c r="F9500" s="152" t="s">
        <v>405</v>
      </c>
      <c r="G9500" s="152" t="s">
        <v>10079</v>
      </c>
      <c r="H9500" s="153" t="s">
        <v>216</v>
      </c>
    </row>
    <row r="9501" hidden="1">
      <c r="A9501" s="154" t="s">
        <v>224</v>
      </c>
      <c r="B9501" s="155" t="s">
        <v>170</v>
      </c>
      <c r="C9501" s="155" t="s">
        <v>206</v>
      </c>
      <c r="D9501" s="156" t="s">
        <v>10748</v>
      </c>
      <c r="E9501" s="156" t="s">
        <v>10816</v>
      </c>
      <c r="F9501" s="156" t="s">
        <v>673</v>
      </c>
      <c r="G9501" s="156" t="s">
        <v>10263</v>
      </c>
      <c r="H9501" s="157" t="s">
        <v>210</v>
      </c>
    </row>
    <row r="9502" hidden="1">
      <c r="A9502" s="151" t="s">
        <v>224</v>
      </c>
      <c r="B9502" s="118" t="s">
        <v>170</v>
      </c>
      <c r="C9502" s="118" t="s">
        <v>206</v>
      </c>
      <c r="D9502" s="152" t="s">
        <v>10748</v>
      </c>
      <c r="E9502" s="152" t="s">
        <v>10817</v>
      </c>
      <c r="F9502" s="152" t="s">
        <v>423</v>
      </c>
      <c r="G9502" s="152" t="s">
        <v>10251</v>
      </c>
      <c r="H9502" s="153" t="s">
        <v>211</v>
      </c>
    </row>
    <row r="9503" hidden="1">
      <c r="A9503" s="154" t="s">
        <v>224</v>
      </c>
      <c r="B9503" s="155" t="s">
        <v>170</v>
      </c>
      <c r="C9503" s="155" t="s">
        <v>206</v>
      </c>
      <c r="D9503" s="156" t="s">
        <v>10748</v>
      </c>
      <c r="E9503" s="156" t="s">
        <v>10818</v>
      </c>
      <c r="F9503" s="156" t="s">
        <v>718</v>
      </c>
      <c r="G9503" s="156" t="s">
        <v>10640</v>
      </c>
      <c r="H9503" s="157" t="s">
        <v>212</v>
      </c>
    </row>
    <row r="9504" hidden="1">
      <c r="A9504" s="151" t="s">
        <v>224</v>
      </c>
      <c r="B9504" s="118" t="s">
        <v>170</v>
      </c>
      <c r="C9504" s="118" t="s">
        <v>206</v>
      </c>
      <c r="D9504" s="152" t="s">
        <v>10748</v>
      </c>
      <c r="E9504" s="152" t="s">
        <v>10819</v>
      </c>
      <c r="F9504" s="152" t="s">
        <v>453</v>
      </c>
      <c r="G9504" s="152" t="s">
        <v>10053</v>
      </c>
      <c r="H9504" s="153" t="s">
        <v>213</v>
      </c>
    </row>
    <row r="9505" hidden="1">
      <c r="A9505" s="154" t="s">
        <v>224</v>
      </c>
      <c r="B9505" s="155" t="s">
        <v>170</v>
      </c>
      <c r="C9505" s="155" t="s">
        <v>206</v>
      </c>
      <c r="D9505" s="156" t="s">
        <v>10748</v>
      </c>
      <c r="E9505" s="156" t="s">
        <v>10820</v>
      </c>
      <c r="F9505" s="156" t="s">
        <v>725</v>
      </c>
      <c r="G9505" s="156" t="s">
        <v>9419</v>
      </c>
      <c r="H9505" s="157" t="s">
        <v>214</v>
      </c>
    </row>
    <row r="9506" hidden="1">
      <c r="A9506" s="151" t="s">
        <v>224</v>
      </c>
      <c r="B9506" s="118" t="s">
        <v>170</v>
      </c>
      <c r="C9506" s="118" t="s">
        <v>206</v>
      </c>
      <c r="D9506" s="152" t="s">
        <v>10748</v>
      </c>
      <c r="E9506" s="152" t="s">
        <v>10821</v>
      </c>
      <c r="F9506" s="152" t="s">
        <v>478</v>
      </c>
      <c r="G9506" s="152" t="s">
        <v>10822</v>
      </c>
      <c r="H9506" s="153" t="s">
        <v>215</v>
      </c>
    </row>
    <row r="9507" hidden="1">
      <c r="A9507" s="154" t="s">
        <v>224</v>
      </c>
      <c r="B9507" s="155" t="s">
        <v>170</v>
      </c>
      <c r="C9507" s="155" t="s">
        <v>206</v>
      </c>
      <c r="D9507" s="156" t="s">
        <v>10748</v>
      </c>
      <c r="E9507" s="156" t="s">
        <v>10823</v>
      </c>
      <c r="F9507" s="156" t="s">
        <v>1532</v>
      </c>
      <c r="G9507" s="156" t="s">
        <v>10043</v>
      </c>
      <c r="H9507" s="157" t="s">
        <v>216</v>
      </c>
    </row>
    <row r="9508" hidden="1">
      <c r="A9508" s="151" t="s">
        <v>225</v>
      </c>
      <c r="B9508" s="118" t="s">
        <v>226</v>
      </c>
      <c r="C9508" s="118" t="s">
        <v>206</v>
      </c>
      <c r="D9508" s="152" t="s">
        <v>10748</v>
      </c>
      <c r="E9508" s="152" t="s">
        <v>10824</v>
      </c>
      <c r="F9508" s="152" t="s">
        <v>244</v>
      </c>
      <c r="G9508" s="152" t="s">
        <v>10825</v>
      </c>
      <c r="H9508" s="153" t="s">
        <v>210</v>
      </c>
    </row>
    <row r="9509" hidden="1">
      <c r="A9509" s="154" t="s">
        <v>225</v>
      </c>
      <c r="B9509" s="155" t="s">
        <v>226</v>
      </c>
      <c r="C9509" s="155" t="s">
        <v>206</v>
      </c>
      <c r="D9509" s="156" t="s">
        <v>10748</v>
      </c>
      <c r="E9509" s="156" t="s">
        <v>10826</v>
      </c>
      <c r="F9509" s="156" t="s">
        <v>365</v>
      </c>
      <c r="G9509" s="156" t="s">
        <v>9598</v>
      </c>
      <c r="H9509" s="157" t="s">
        <v>211</v>
      </c>
    </row>
    <row r="9510" hidden="1">
      <c r="A9510" s="151" t="s">
        <v>225</v>
      </c>
      <c r="B9510" s="118" t="s">
        <v>226</v>
      </c>
      <c r="C9510" s="118" t="s">
        <v>206</v>
      </c>
      <c r="D9510" s="152" t="s">
        <v>10748</v>
      </c>
      <c r="E9510" s="152" t="s">
        <v>10827</v>
      </c>
      <c r="F9510" s="152" t="s">
        <v>257</v>
      </c>
      <c r="G9510" s="152" t="s">
        <v>5303</v>
      </c>
      <c r="H9510" s="153" t="s">
        <v>212</v>
      </c>
    </row>
    <row r="9511" hidden="1">
      <c r="A9511" s="154" t="s">
        <v>225</v>
      </c>
      <c r="B9511" s="155" t="s">
        <v>226</v>
      </c>
      <c r="C9511" s="155" t="s">
        <v>206</v>
      </c>
      <c r="D9511" s="156" t="s">
        <v>10748</v>
      </c>
      <c r="E9511" s="156" t="s">
        <v>10828</v>
      </c>
      <c r="F9511" s="156" t="s">
        <v>290</v>
      </c>
      <c r="G9511" s="156" t="s">
        <v>9357</v>
      </c>
      <c r="H9511" s="157" t="s">
        <v>213</v>
      </c>
    </row>
    <row r="9512" hidden="1">
      <c r="A9512" s="151" t="s">
        <v>225</v>
      </c>
      <c r="B9512" s="118" t="s">
        <v>226</v>
      </c>
      <c r="C9512" s="118" t="s">
        <v>206</v>
      </c>
      <c r="D9512" s="152" t="s">
        <v>10748</v>
      </c>
      <c r="E9512" s="152" t="s">
        <v>10829</v>
      </c>
      <c r="F9512" s="152" t="s">
        <v>314</v>
      </c>
      <c r="G9512" s="152" t="s">
        <v>10164</v>
      </c>
      <c r="H9512" s="153" t="s">
        <v>214</v>
      </c>
    </row>
    <row r="9513" hidden="1">
      <c r="A9513" s="154" t="s">
        <v>225</v>
      </c>
      <c r="B9513" s="155" t="s">
        <v>226</v>
      </c>
      <c r="C9513" s="155" t="s">
        <v>206</v>
      </c>
      <c r="D9513" s="156" t="s">
        <v>10748</v>
      </c>
      <c r="E9513" s="156" t="s">
        <v>10830</v>
      </c>
      <c r="F9513" s="156" t="s">
        <v>242</v>
      </c>
      <c r="G9513" s="156" t="s">
        <v>9796</v>
      </c>
      <c r="H9513" s="157" t="s">
        <v>215</v>
      </c>
    </row>
    <row r="9514" hidden="1">
      <c r="A9514" s="151" t="s">
        <v>225</v>
      </c>
      <c r="B9514" s="118" t="s">
        <v>226</v>
      </c>
      <c r="C9514" s="118" t="s">
        <v>206</v>
      </c>
      <c r="D9514" s="152" t="s">
        <v>10748</v>
      </c>
      <c r="E9514" s="152" t="s">
        <v>10831</v>
      </c>
      <c r="F9514" s="152" t="s">
        <v>357</v>
      </c>
      <c r="G9514" s="152" t="s">
        <v>9796</v>
      </c>
      <c r="H9514" s="153" t="s">
        <v>216</v>
      </c>
    </row>
    <row r="9515" hidden="1">
      <c r="A9515" s="154" t="s">
        <v>227</v>
      </c>
      <c r="B9515" s="155" t="s">
        <v>195</v>
      </c>
      <c r="C9515" s="155" t="s">
        <v>206</v>
      </c>
      <c r="D9515" s="156" t="s">
        <v>10748</v>
      </c>
      <c r="E9515" s="156" t="s">
        <v>10832</v>
      </c>
      <c r="F9515" s="156" t="s">
        <v>427</v>
      </c>
      <c r="G9515" s="156" t="s">
        <v>10437</v>
      </c>
      <c r="H9515" s="157" t="s">
        <v>210</v>
      </c>
    </row>
    <row r="9516" hidden="1">
      <c r="A9516" s="151" t="s">
        <v>227</v>
      </c>
      <c r="B9516" s="118" t="s">
        <v>195</v>
      </c>
      <c r="C9516" s="118" t="s">
        <v>206</v>
      </c>
      <c r="D9516" s="152" t="s">
        <v>10748</v>
      </c>
      <c r="E9516" s="152" t="s">
        <v>10833</v>
      </c>
      <c r="F9516" s="152" t="s">
        <v>725</v>
      </c>
      <c r="G9516" s="152" t="s">
        <v>10638</v>
      </c>
      <c r="H9516" s="153" t="s">
        <v>211</v>
      </c>
    </row>
    <row r="9517" hidden="1">
      <c r="A9517" s="154" t="s">
        <v>227</v>
      </c>
      <c r="B9517" s="155" t="s">
        <v>195</v>
      </c>
      <c r="C9517" s="155" t="s">
        <v>206</v>
      </c>
      <c r="D9517" s="156" t="s">
        <v>10748</v>
      </c>
      <c r="E9517" s="156" t="s">
        <v>10834</v>
      </c>
      <c r="F9517" s="156" t="s">
        <v>1532</v>
      </c>
      <c r="G9517" s="156" t="s">
        <v>9413</v>
      </c>
      <c r="H9517" s="157" t="s">
        <v>212</v>
      </c>
    </row>
    <row r="9518" hidden="1">
      <c r="A9518" s="151" t="s">
        <v>227</v>
      </c>
      <c r="B9518" s="118" t="s">
        <v>195</v>
      </c>
      <c r="C9518" s="118" t="s">
        <v>206</v>
      </c>
      <c r="D9518" s="152" t="s">
        <v>10748</v>
      </c>
      <c r="E9518" s="152" t="s">
        <v>10835</v>
      </c>
      <c r="F9518" s="152" t="s">
        <v>725</v>
      </c>
      <c r="G9518" s="152" t="s">
        <v>10836</v>
      </c>
      <c r="H9518" s="153" t="s">
        <v>213</v>
      </c>
    </row>
    <row r="9519" hidden="1">
      <c r="A9519" s="154" t="s">
        <v>227</v>
      </c>
      <c r="B9519" s="155" t="s">
        <v>195</v>
      </c>
      <c r="C9519" s="155" t="s">
        <v>206</v>
      </c>
      <c r="D9519" s="156" t="s">
        <v>10748</v>
      </c>
      <c r="E9519" s="156" t="s">
        <v>10837</v>
      </c>
      <c r="F9519" s="156" t="s">
        <v>1790</v>
      </c>
      <c r="G9519" s="156" t="s">
        <v>10604</v>
      </c>
      <c r="H9519" s="157" t="s">
        <v>214</v>
      </c>
    </row>
    <row r="9520" hidden="1">
      <c r="A9520" s="151" t="s">
        <v>227</v>
      </c>
      <c r="B9520" s="118" t="s">
        <v>195</v>
      </c>
      <c r="C9520" s="118" t="s">
        <v>206</v>
      </c>
      <c r="D9520" s="152" t="s">
        <v>10748</v>
      </c>
      <c r="E9520" s="152" t="s">
        <v>10838</v>
      </c>
      <c r="F9520" s="152" t="s">
        <v>758</v>
      </c>
      <c r="G9520" s="152" t="s">
        <v>10413</v>
      </c>
      <c r="H9520" s="153" t="s">
        <v>215</v>
      </c>
    </row>
    <row r="9521" hidden="1">
      <c r="A9521" s="154" t="s">
        <v>227</v>
      </c>
      <c r="B9521" s="155" t="s">
        <v>195</v>
      </c>
      <c r="C9521" s="155" t="s">
        <v>206</v>
      </c>
      <c r="D9521" s="156" t="s">
        <v>10748</v>
      </c>
      <c r="E9521" s="156" t="s">
        <v>10839</v>
      </c>
      <c r="F9521" s="156" t="s">
        <v>494</v>
      </c>
      <c r="G9521" s="156" t="s">
        <v>10650</v>
      </c>
      <c r="H9521" s="157" t="s">
        <v>216</v>
      </c>
    </row>
    <row r="9522" hidden="1">
      <c r="A9522" s="151" t="s">
        <v>228</v>
      </c>
      <c r="B9522" s="118" t="s">
        <v>138</v>
      </c>
      <c r="C9522" s="118" t="s">
        <v>206</v>
      </c>
      <c r="D9522" s="152" t="s">
        <v>10748</v>
      </c>
      <c r="E9522" s="152" t="s">
        <v>10840</v>
      </c>
      <c r="F9522" s="152" t="s">
        <v>2055</v>
      </c>
      <c r="G9522" s="152" t="s">
        <v>10353</v>
      </c>
      <c r="H9522" s="153" t="s">
        <v>210</v>
      </c>
    </row>
    <row r="9523" hidden="1">
      <c r="A9523" s="154" t="s">
        <v>228</v>
      </c>
      <c r="B9523" s="155" t="s">
        <v>138</v>
      </c>
      <c r="C9523" s="155" t="s">
        <v>206</v>
      </c>
      <c r="D9523" s="156" t="s">
        <v>10748</v>
      </c>
      <c r="E9523" s="156" t="s">
        <v>10841</v>
      </c>
      <c r="F9523" s="156" t="s">
        <v>2039</v>
      </c>
      <c r="G9523" s="156" t="s">
        <v>10842</v>
      </c>
      <c r="H9523" s="157" t="s">
        <v>211</v>
      </c>
    </row>
    <row r="9524" hidden="1">
      <c r="A9524" s="151" t="s">
        <v>228</v>
      </c>
      <c r="B9524" s="118" t="s">
        <v>138</v>
      </c>
      <c r="C9524" s="118" t="s">
        <v>206</v>
      </c>
      <c r="D9524" s="152" t="s">
        <v>10748</v>
      </c>
      <c r="E9524" s="152" t="s">
        <v>10843</v>
      </c>
      <c r="F9524" s="152" t="s">
        <v>1854</v>
      </c>
      <c r="G9524" s="152" t="s">
        <v>4627</v>
      </c>
      <c r="H9524" s="153" t="s">
        <v>212</v>
      </c>
    </row>
    <row r="9525" hidden="1">
      <c r="A9525" s="154" t="s">
        <v>228</v>
      </c>
      <c r="B9525" s="155" t="s">
        <v>138</v>
      </c>
      <c r="C9525" s="155" t="s">
        <v>206</v>
      </c>
      <c r="D9525" s="156" t="s">
        <v>10748</v>
      </c>
      <c r="E9525" s="156" t="s">
        <v>10844</v>
      </c>
      <c r="F9525" s="156" t="s">
        <v>2346</v>
      </c>
      <c r="G9525" s="156" t="s">
        <v>9890</v>
      </c>
      <c r="H9525" s="157" t="s">
        <v>213</v>
      </c>
    </row>
    <row r="9526" hidden="1">
      <c r="A9526" s="151" t="s">
        <v>228</v>
      </c>
      <c r="B9526" s="118" t="s">
        <v>138</v>
      </c>
      <c r="C9526" s="118" t="s">
        <v>206</v>
      </c>
      <c r="D9526" s="152" t="s">
        <v>10748</v>
      </c>
      <c r="E9526" s="152" t="s">
        <v>10845</v>
      </c>
      <c r="F9526" s="152" t="s">
        <v>2376</v>
      </c>
      <c r="G9526" s="152" t="s">
        <v>9663</v>
      </c>
      <c r="H9526" s="153" t="s">
        <v>214</v>
      </c>
    </row>
    <row r="9527" hidden="1">
      <c r="A9527" s="154" t="s">
        <v>228</v>
      </c>
      <c r="B9527" s="155" t="s">
        <v>138</v>
      </c>
      <c r="C9527" s="155" t="s">
        <v>206</v>
      </c>
      <c r="D9527" s="156" t="s">
        <v>10748</v>
      </c>
      <c r="E9527" s="156" t="s">
        <v>10846</v>
      </c>
      <c r="F9527" s="156" t="s">
        <v>3207</v>
      </c>
      <c r="G9527" s="156" t="s">
        <v>9350</v>
      </c>
      <c r="H9527" s="157" t="s">
        <v>215</v>
      </c>
    </row>
    <row r="9528" hidden="1">
      <c r="A9528" s="151" t="s">
        <v>228</v>
      </c>
      <c r="B9528" s="118" t="s">
        <v>138</v>
      </c>
      <c r="C9528" s="118" t="s">
        <v>206</v>
      </c>
      <c r="D9528" s="152" t="s">
        <v>10748</v>
      </c>
      <c r="E9528" s="152" t="s">
        <v>10847</v>
      </c>
      <c r="F9528" s="152" t="s">
        <v>2539</v>
      </c>
      <c r="G9528" s="152" t="s">
        <v>10244</v>
      </c>
      <c r="H9528" s="153" t="s">
        <v>216</v>
      </c>
    </row>
    <row r="9529" hidden="1">
      <c r="A9529" s="154" t="s">
        <v>229</v>
      </c>
      <c r="B9529" s="155" t="s">
        <v>193</v>
      </c>
      <c r="C9529" s="155" t="s">
        <v>206</v>
      </c>
      <c r="D9529" s="156" t="s">
        <v>10748</v>
      </c>
      <c r="E9529" s="156" t="s">
        <v>10848</v>
      </c>
      <c r="F9529" s="156" t="s">
        <v>691</v>
      </c>
      <c r="G9529" s="156" t="s">
        <v>10849</v>
      </c>
      <c r="H9529" s="157" t="s">
        <v>210</v>
      </c>
    </row>
    <row r="9530" hidden="1">
      <c r="A9530" s="151" t="s">
        <v>229</v>
      </c>
      <c r="B9530" s="118" t="s">
        <v>193</v>
      </c>
      <c r="C9530" s="118" t="s">
        <v>206</v>
      </c>
      <c r="D9530" s="152" t="s">
        <v>10748</v>
      </c>
      <c r="E9530" s="152" t="s">
        <v>10850</v>
      </c>
      <c r="F9530" s="152" t="s">
        <v>3243</v>
      </c>
      <c r="G9530" s="152" t="s">
        <v>10851</v>
      </c>
      <c r="H9530" s="153" t="s">
        <v>211</v>
      </c>
    </row>
    <row r="9531" hidden="1">
      <c r="A9531" s="154" t="s">
        <v>229</v>
      </c>
      <c r="B9531" s="155" t="s">
        <v>193</v>
      </c>
      <c r="C9531" s="155" t="s">
        <v>206</v>
      </c>
      <c r="D9531" s="156" t="s">
        <v>10748</v>
      </c>
      <c r="E9531" s="156" t="s">
        <v>10852</v>
      </c>
      <c r="F9531" s="156" t="s">
        <v>3198</v>
      </c>
      <c r="G9531" s="156" t="s">
        <v>10442</v>
      </c>
      <c r="H9531" s="157" t="s">
        <v>212</v>
      </c>
    </row>
    <row r="9532" hidden="1">
      <c r="A9532" s="151" t="s">
        <v>229</v>
      </c>
      <c r="B9532" s="118" t="s">
        <v>193</v>
      </c>
      <c r="C9532" s="118" t="s">
        <v>206</v>
      </c>
      <c r="D9532" s="152" t="s">
        <v>10748</v>
      </c>
      <c r="E9532" s="152" t="s">
        <v>10853</v>
      </c>
      <c r="F9532" s="152" t="s">
        <v>1790</v>
      </c>
      <c r="G9532" s="152" t="s">
        <v>10712</v>
      </c>
      <c r="H9532" s="153" t="s">
        <v>213</v>
      </c>
    </row>
    <row r="9533" hidden="1">
      <c r="A9533" s="154" t="s">
        <v>229</v>
      </c>
      <c r="B9533" s="155" t="s">
        <v>193</v>
      </c>
      <c r="C9533" s="155" t="s">
        <v>206</v>
      </c>
      <c r="D9533" s="156" t="s">
        <v>10748</v>
      </c>
      <c r="E9533" s="156" t="s">
        <v>10854</v>
      </c>
      <c r="F9533" s="156" t="s">
        <v>637</v>
      </c>
      <c r="G9533" s="156" t="s">
        <v>10855</v>
      </c>
      <c r="H9533" s="157" t="s">
        <v>214</v>
      </c>
    </row>
    <row r="9534" hidden="1">
      <c r="A9534" s="151" t="s">
        <v>229</v>
      </c>
      <c r="B9534" s="118" t="s">
        <v>193</v>
      </c>
      <c r="C9534" s="118" t="s">
        <v>206</v>
      </c>
      <c r="D9534" s="152" t="s">
        <v>10748</v>
      </c>
      <c r="E9534" s="152" t="s">
        <v>10856</v>
      </c>
      <c r="F9534" s="152" t="s">
        <v>405</v>
      </c>
      <c r="G9534" s="152" t="s">
        <v>10532</v>
      </c>
      <c r="H9534" s="153" t="s">
        <v>215</v>
      </c>
    </row>
    <row r="9535" hidden="1">
      <c r="A9535" s="154" t="s">
        <v>229</v>
      </c>
      <c r="B9535" s="155" t="s">
        <v>193</v>
      </c>
      <c r="C9535" s="155" t="s">
        <v>206</v>
      </c>
      <c r="D9535" s="156" t="s">
        <v>10748</v>
      </c>
      <c r="E9535" s="156" t="s">
        <v>10857</v>
      </c>
      <c r="F9535" s="156" t="s">
        <v>3346</v>
      </c>
      <c r="G9535" s="156" t="s">
        <v>9838</v>
      </c>
      <c r="H9535" s="157" t="s">
        <v>216</v>
      </c>
    </row>
    <row r="9536" hidden="1">
      <c r="A9536" s="151" t="s">
        <v>230</v>
      </c>
      <c r="B9536" s="118" t="s">
        <v>194</v>
      </c>
      <c r="C9536" s="118" t="s">
        <v>206</v>
      </c>
      <c r="D9536" s="152" t="s">
        <v>10748</v>
      </c>
      <c r="E9536" s="152" t="s">
        <v>10858</v>
      </c>
      <c r="F9536" s="152" t="s">
        <v>390</v>
      </c>
      <c r="G9536" s="152" t="s">
        <v>9583</v>
      </c>
      <c r="H9536" s="153" t="s">
        <v>210</v>
      </c>
    </row>
    <row r="9537" hidden="1">
      <c r="A9537" s="154" t="s">
        <v>230</v>
      </c>
      <c r="B9537" s="155" t="s">
        <v>194</v>
      </c>
      <c r="C9537" s="155" t="s">
        <v>206</v>
      </c>
      <c r="D9537" s="156" t="s">
        <v>10748</v>
      </c>
      <c r="E9537" s="156" t="s">
        <v>10859</v>
      </c>
      <c r="F9537" s="156" t="s">
        <v>758</v>
      </c>
      <c r="G9537" s="156" t="s">
        <v>10516</v>
      </c>
      <c r="H9537" s="157" t="s">
        <v>211</v>
      </c>
    </row>
    <row r="9538" hidden="1">
      <c r="A9538" s="151" t="s">
        <v>230</v>
      </c>
      <c r="B9538" s="118" t="s">
        <v>194</v>
      </c>
      <c r="C9538" s="118" t="s">
        <v>206</v>
      </c>
      <c r="D9538" s="152" t="s">
        <v>10748</v>
      </c>
      <c r="E9538" s="152" t="s">
        <v>10860</v>
      </c>
      <c r="F9538" s="152" t="s">
        <v>453</v>
      </c>
      <c r="G9538" s="152" t="s">
        <v>10861</v>
      </c>
      <c r="H9538" s="153" t="s">
        <v>212</v>
      </c>
    </row>
    <row r="9539" hidden="1">
      <c r="A9539" s="154" t="s">
        <v>230</v>
      </c>
      <c r="B9539" s="155" t="s">
        <v>194</v>
      </c>
      <c r="C9539" s="155" t="s">
        <v>206</v>
      </c>
      <c r="D9539" s="156" t="s">
        <v>10748</v>
      </c>
      <c r="E9539" s="156" t="s">
        <v>10862</v>
      </c>
      <c r="F9539" s="156" t="s">
        <v>2994</v>
      </c>
      <c r="G9539" s="156" t="s">
        <v>9573</v>
      </c>
      <c r="H9539" s="157" t="s">
        <v>213</v>
      </c>
    </row>
    <row r="9540" hidden="1">
      <c r="A9540" s="151" t="s">
        <v>230</v>
      </c>
      <c r="B9540" s="118" t="s">
        <v>194</v>
      </c>
      <c r="C9540" s="118" t="s">
        <v>206</v>
      </c>
      <c r="D9540" s="152" t="s">
        <v>10748</v>
      </c>
      <c r="E9540" s="152" t="s">
        <v>10863</v>
      </c>
      <c r="F9540" s="152" t="s">
        <v>3218</v>
      </c>
      <c r="G9540" s="152" t="s">
        <v>10864</v>
      </c>
      <c r="H9540" s="153" t="s">
        <v>214</v>
      </c>
    </row>
    <row r="9541" hidden="1">
      <c r="A9541" s="154" t="s">
        <v>230</v>
      </c>
      <c r="B9541" s="155" t="s">
        <v>194</v>
      </c>
      <c r="C9541" s="155" t="s">
        <v>206</v>
      </c>
      <c r="D9541" s="156" t="s">
        <v>10748</v>
      </c>
      <c r="E9541" s="156" t="s">
        <v>10865</v>
      </c>
      <c r="F9541" s="156" t="s">
        <v>673</v>
      </c>
      <c r="G9541" s="156" t="s">
        <v>10735</v>
      </c>
      <c r="H9541" s="157" t="s">
        <v>215</v>
      </c>
    </row>
    <row r="9542" hidden="1">
      <c r="A9542" s="151" t="s">
        <v>230</v>
      </c>
      <c r="B9542" s="118" t="s">
        <v>194</v>
      </c>
      <c r="C9542" s="118" t="s">
        <v>206</v>
      </c>
      <c r="D9542" s="152" t="s">
        <v>10748</v>
      </c>
      <c r="E9542" s="152" t="s">
        <v>10866</v>
      </c>
      <c r="F9542" s="152" t="s">
        <v>2994</v>
      </c>
      <c r="G9542" s="152" t="s">
        <v>9994</v>
      </c>
      <c r="H9542" s="153" t="s">
        <v>216</v>
      </c>
    </row>
    <row r="9543" hidden="1">
      <c r="A9543" s="158" t="s">
        <v>231</v>
      </c>
      <c r="B9543" s="159"/>
      <c r="C9543" s="155" t="s">
        <v>232</v>
      </c>
      <c r="D9543" s="156" t="s">
        <v>10748</v>
      </c>
      <c r="E9543" s="156" t="s">
        <v>10867</v>
      </c>
      <c r="F9543" s="156" t="s">
        <v>9480</v>
      </c>
      <c r="G9543" s="156" t="s">
        <v>10868</v>
      </c>
      <c r="H9543" s="157" t="s">
        <v>210</v>
      </c>
    </row>
    <row r="9544" hidden="1">
      <c r="A9544" s="160" t="s">
        <v>231</v>
      </c>
      <c r="B9544" s="72"/>
      <c r="C9544" s="118" t="s">
        <v>232</v>
      </c>
      <c r="D9544" s="152" t="s">
        <v>10748</v>
      </c>
      <c r="E9544" s="152" t="s">
        <v>10869</v>
      </c>
      <c r="F9544" s="152" t="s">
        <v>780</v>
      </c>
      <c r="G9544" s="152" t="s">
        <v>10870</v>
      </c>
      <c r="H9544" s="153" t="s">
        <v>211</v>
      </c>
    </row>
    <row r="9545" hidden="1">
      <c r="A9545" s="158" t="s">
        <v>231</v>
      </c>
      <c r="B9545" s="159"/>
      <c r="C9545" s="155" t="s">
        <v>232</v>
      </c>
      <c r="D9545" s="156" t="s">
        <v>10748</v>
      </c>
      <c r="E9545" s="156" t="s">
        <v>10871</v>
      </c>
      <c r="F9545" s="156" t="s">
        <v>478</v>
      </c>
      <c r="G9545" s="156" t="s">
        <v>10872</v>
      </c>
      <c r="H9545" s="157" t="s">
        <v>212</v>
      </c>
    </row>
    <row r="9546" hidden="1">
      <c r="A9546" s="160" t="s">
        <v>231</v>
      </c>
      <c r="B9546" s="72"/>
      <c r="C9546" s="118" t="s">
        <v>232</v>
      </c>
      <c r="D9546" s="152" t="s">
        <v>10748</v>
      </c>
      <c r="E9546" s="152" t="s">
        <v>10873</v>
      </c>
      <c r="F9546" s="152" t="s">
        <v>427</v>
      </c>
      <c r="G9546" s="152" t="s">
        <v>10874</v>
      </c>
      <c r="H9546" s="153" t="s">
        <v>213</v>
      </c>
    </row>
    <row r="9547" hidden="1">
      <c r="A9547" s="158" t="s">
        <v>231</v>
      </c>
      <c r="B9547" s="159"/>
      <c r="C9547" s="155" t="s">
        <v>232</v>
      </c>
      <c r="D9547" s="156" t="s">
        <v>10748</v>
      </c>
      <c r="E9547" s="156" t="s">
        <v>10875</v>
      </c>
      <c r="F9547" s="156" t="s">
        <v>1929</v>
      </c>
      <c r="G9547" s="156" t="s">
        <v>10876</v>
      </c>
      <c r="H9547" s="157" t="s">
        <v>214</v>
      </c>
    </row>
    <row r="9548" hidden="1">
      <c r="A9548" s="160" t="s">
        <v>231</v>
      </c>
      <c r="B9548" s="72"/>
      <c r="C9548" s="118" t="s">
        <v>232</v>
      </c>
      <c r="D9548" s="152" t="s">
        <v>10748</v>
      </c>
      <c r="E9548" s="152" t="s">
        <v>10877</v>
      </c>
      <c r="F9548" s="152" t="s">
        <v>2228</v>
      </c>
      <c r="G9548" s="152" t="s">
        <v>10878</v>
      </c>
      <c r="H9548" s="153" t="s">
        <v>215</v>
      </c>
    </row>
    <row r="9549" hidden="1">
      <c r="A9549" s="158" t="s">
        <v>231</v>
      </c>
      <c r="B9549" s="159"/>
      <c r="C9549" s="155" t="s">
        <v>232</v>
      </c>
      <c r="D9549" s="156" t="s">
        <v>10748</v>
      </c>
      <c r="E9549" s="156" t="s">
        <v>10879</v>
      </c>
      <c r="F9549" s="156" t="s">
        <v>3150</v>
      </c>
      <c r="G9549" s="156" t="s">
        <v>10874</v>
      </c>
      <c r="H9549" s="157" t="s">
        <v>216</v>
      </c>
    </row>
    <row r="9550" hidden="1">
      <c r="A9550" s="160" t="s">
        <v>233</v>
      </c>
      <c r="B9550" s="72"/>
      <c r="C9550" s="118" t="s">
        <v>232</v>
      </c>
      <c r="D9550" s="152" t="s">
        <v>10748</v>
      </c>
      <c r="E9550" s="152" t="s">
        <v>10880</v>
      </c>
      <c r="F9550" s="152" t="s">
        <v>758</v>
      </c>
      <c r="G9550" s="152" t="s">
        <v>10732</v>
      </c>
      <c r="H9550" s="153" t="s">
        <v>210</v>
      </c>
    </row>
    <row r="9551" hidden="1">
      <c r="A9551" s="158" t="s">
        <v>233</v>
      </c>
      <c r="B9551" s="159"/>
      <c r="C9551" s="155" t="s">
        <v>232</v>
      </c>
      <c r="D9551" s="156" t="s">
        <v>10748</v>
      </c>
      <c r="E9551" s="156" t="s">
        <v>10881</v>
      </c>
      <c r="F9551" s="156" t="s">
        <v>691</v>
      </c>
      <c r="G9551" s="156" t="s">
        <v>10427</v>
      </c>
      <c r="H9551" s="157" t="s">
        <v>211</v>
      </c>
    </row>
    <row r="9552" hidden="1">
      <c r="A9552" s="160" t="s">
        <v>233</v>
      </c>
      <c r="B9552" s="72"/>
      <c r="C9552" s="118" t="s">
        <v>232</v>
      </c>
      <c r="D9552" s="152" t="s">
        <v>10748</v>
      </c>
      <c r="E9552" s="152" t="s">
        <v>10882</v>
      </c>
      <c r="F9552" s="152" t="s">
        <v>629</v>
      </c>
      <c r="G9552" s="152" t="s">
        <v>10883</v>
      </c>
      <c r="H9552" s="153" t="s">
        <v>212</v>
      </c>
    </row>
    <row r="9553" hidden="1">
      <c r="A9553" s="158" t="s">
        <v>233</v>
      </c>
      <c r="B9553" s="159"/>
      <c r="C9553" s="155" t="s">
        <v>232</v>
      </c>
      <c r="D9553" s="156" t="s">
        <v>10748</v>
      </c>
      <c r="E9553" s="156" t="s">
        <v>10884</v>
      </c>
      <c r="F9553" s="156" t="s">
        <v>3346</v>
      </c>
      <c r="G9553" s="156" t="s">
        <v>10522</v>
      </c>
      <c r="H9553" s="157" t="s">
        <v>213</v>
      </c>
    </row>
    <row r="9554" hidden="1">
      <c r="A9554" s="160" t="s">
        <v>233</v>
      </c>
      <c r="B9554" s="72"/>
      <c r="C9554" s="118" t="s">
        <v>232</v>
      </c>
      <c r="D9554" s="152" t="s">
        <v>10748</v>
      </c>
      <c r="E9554" s="152" t="s">
        <v>10885</v>
      </c>
      <c r="F9554" s="152" t="s">
        <v>3243</v>
      </c>
      <c r="G9554" s="152" t="s">
        <v>10650</v>
      </c>
      <c r="H9554" s="153" t="s">
        <v>214</v>
      </c>
    </row>
    <row r="9555" hidden="1">
      <c r="A9555" s="158" t="s">
        <v>233</v>
      </c>
      <c r="B9555" s="159"/>
      <c r="C9555" s="155" t="s">
        <v>232</v>
      </c>
      <c r="D9555" s="156" t="s">
        <v>10748</v>
      </c>
      <c r="E9555" s="156" t="s">
        <v>10886</v>
      </c>
      <c r="F9555" s="156" t="s">
        <v>763</v>
      </c>
      <c r="G9555" s="156" t="s">
        <v>9649</v>
      </c>
      <c r="H9555" s="157" t="s">
        <v>215</v>
      </c>
    </row>
    <row r="9556" hidden="1">
      <c r="A9556" s="160" t="s">
        <v>233</v>
      </c>
      <c r="B9556" s="72"/>
      <c r="C9556" s="118" t="s">
        <v>232</v>
      </c>
      <c r="D9556" s="152" t="s">
        <v>10748</v>
      </c>
      <c r="E9556" s="152" t="s">
        <v>10887</v>
      </c>
      <c r="F9556" s="152" t="s">
        <v>2607</v>
      </c>
      <c r="G9556" s="152" t="s">
        <v>10888</v>
      </c>
      <c r="H9556" s="153" t="s">
        <v>216</v>
      </c>
    </row>
    <row r="9557" hidden="1">
      <c r="A9557" s="158" t="s">
        <v>234</v>
      </c>
      <c r="B9557" s="159"/>
      <c r="C9557" s="155" t="s">
        <v>232</v>
      </c>
      <c r="D9557" s="156" t="s">
        <v>10748</v>
      </c>
      <c r="E9557" s="156" t="s">
        <v>10889</v>
      </c>
      <c r="F9557" s="156" t="s">
        <v>1931</v>
      </c>
      <c r="G9557" s="156" t="s">
        <v>10079</v>
      </c>
      <c r="H9557" s="157" t="s">
        <v>210</v>
      </c>
    </row>
    <row r="9558" hidden="1">
      <c r="A9558" s="160" t="s">
        <v>234</v>
      </c>
      <c r="B9558" s="72"/>
      <c r="C9558" s="118" t="s">
        <v>232</v>
      </c>
      <c r="D9558" s="152" t="s">
        <v>10748</v>
      </c>
      <c r="E9558" s="152" t="s">
        <v>10890</v>
      </c>
      <c r="F9558" s="152" t="s">
        <v>1948</v>
      </c>
      <c r="G9558" s="152" t="s">
        <v>10891</v>
      </c>
      <c r="H9558" s="153" t="s">
        <v>211</v>
      </c>
    </row>
    <row r="9559" hidden="1">
      <c r="A9559" s="158" t="s">
        <v>234</v>
      </c>
      <c r="B9559" s="159"/>
      <c r="C9559" s="155" t="s">
        <v>232</v>
      </c>
      <c r="D9559" s="156" t="s">
        <v>10748</v>
      </c>
      <c r="E9559" s="156" t="s">
        <v>10892</v>
      </c>
      <c r="F9559" s="156" t="s">
        <v>735</v>
      </c>
      <c r="G9559" s="156" t="s">
        <v>10893</v>
      </c>
      <c r="H9559" s="157" t="s">
        <v>212</v>
      </c>
    </row>
    <row r="9560" hidden="1">
      <c r="A9560" s="160" t="s">
        <v>234</v>
      </c>
      <c r="B9560" s="72"/>
      <c r="C9560" s="118" t="s">
        <v>232</v>
      </c>
      <c r="D9560" s="152" t="s">
        <v>10748</v>
      </c>
      <c r="E9560" s="152" t="s">
        <v>10894</v>
      </c>
      <c r="F9560" s="152" t="s">
        <v>730</v>
      </c>
      <c r="G9560" s="152" t="s">
        <v>9900</v>
      </c>
      <c r="H9560" s="153" t="s">
        <v>213</v>
      </c>
    </row>
    <row r="9561" hidden="1">
      <c r="A9561" s="158" t="s">
        <v>234</v>
      </c>
      <c r="B9561" s="159"/>
      <c r="C9561" s="155" t="s">
        <v>232</v>
      </c>
      <c r="D9561" s="156" t="s">
        <v>10748</v>
      </c>
      <c r="E9561" s="156" t="s">
        <v>10895</v>
      </c>
      <c r="F9561" s="156" t="s">
        <v>3198</v>
      </c>
      <c r="G9561" s="156" t="s">
        <v>10400</v>
      </c>
      <c r="H9561" s="157" t="s">
        <v>214</v>
      </c>
    </row>
    <row r="9562" hidden="1">
      <c r="A9562" s="160" t="s">
        <v>234</v>
      </c>
      <c r="B9562" s="72"/>
      <c r="C9562" s="118" t="s">
        <v>232</v>
      </c>
      <c r="D9562" s="152" t="s">
        <v>10748</v>
      </c>
      <c r="E9562" s="152" t="s">
        <v>10896</v>
      </c>
      <c r="F9562" s="152" t="s">
        <v>691</v>
      </c>
      <c r="G9562" s="152" t="s">
        <v>10305</v>
      </c>
      <c r="H9562" s="153" t="s">
        <v>215</v>
      </c>
    </row>
    <row r="9563" hidden="1">
      <c r="A9563" s="158" t="s">
        <v>234</v>
      </c>
      <c r="B9563" s="159"/>
      <c r="C9563" s="155" t="s">
        <v>232</v>
      </c>
      <c r="D9563" s="156" t="s">
        <v>10748</v>
      </c>
      <c r="E9563" s="156" t="s">
        <v>10897</v>
      </c>
      <c r="F9563" s="156" t="s">
        <v>3243</v>
      </c>
      <c r="G9563" s="156" t="s">
        <v>10638</v>
      </c>
      <c r="H9563" s="157" t="s">
        <v>216</v>
      </c>
    </row>
    <row r="9564" hidden="1">
      <c r="A9564" s="160" t="s">
        <v>235</v>
      </c>
      <c r="B9564" s="72"/>
      <c r="C9564" s="118" t="s">
        <v>236</v>
      </c>
      <c r="D9564" s="152" t="s">
        <v>10748</v>
      </c>
      <c r="E9564" s="152" t="s">
        <v>10898</v>
      </c>
      <c r="F9564" s="152" t="s">
        <v>3346</v>
      </c>
      <c r="G9564" s="152" t="s">
        <v>10805</v>
      </c>
      <c r="H9564" s="153" t="s">
        <v>210</v>
      </c>
    </row>
    <row r="9565" hidden="1">
      <c r="A9565" s="158" t="s">
        <v>235</v>
      </c>
      <c r="B9565" s="159"/>
      <c r="C9565" s="155" t="s">
        <v>236</v>
      </c>
      <c r="D9565" s="156" t="s">
        <v>10748</v>
      </c>
      <c r="E9565" s="156" t="s">
        <v>10899</v>
      </c>
      <c r="F9565" s="156" t="s">
        <v>3346</v>
      </c>
      <c r="G9565" s="156" t="s">
        <v>10342</v>
      </c>
      <c r="H9565" s="157" t="s">
        <v>211</v>
      </c>
    </row>
    <row r="9566" hidden="1">
      <c r="A9566" s="160" t="s">
        <v>235</v>
      </c>
      <c r="B9566" s="72"/>
      <c r="C9566" s="118" t="s">
        <v>236</v>
      </c>
      <c r="D9566" s="152" t="s">
        <v>10748</v>
      </c>
      <c r="E9566" s="152" t="s">
        <v>10900</v>
      </c>
      <c r="F9566" s="152" t="s">
        <v>760</v>
      </c>
      <c r="G9566" s="152" t="s">
        <v>10901</v>
      </c>
      <c r="H9566" s="153" t="s">
        <v>212</v>
      </c>
    </row>
    <row r="9567" hidden="1">
      <c r="A9567" s="158" t="s">
        <v>235</v>
      </c>
      <c r="B9567" s="159"/>
      <c r="C9567" s="155" t="s">
        <v>236</v>
      </c>
      <c r="D9567" s="156" t="s">
        <v>10748</v>
      </c>
      <c r="E9567" s="156" t="s">
        <v>10902</v>
      </c>
      <c r="F9567" s="156" t="s">
        <v>2607</v>
      </c>
      <c r="G9567" s="156" t="s">
        <v>9581</v>
      </c>
      <c r="H9567" s="157" t="s">
        <v>213</v>
      </c>
    </row>
    <row r="9568" hidden="1">
      <c r="A9568" s="160" t="s">
        <v>235</v>
      </c>
      <c r="B9568" s="72"/>
      <c r="C9568" s="118" t="s">
        <v>236</v>
      </c>
      <c r="D9568" s="152" t="s">
        <v>10748</v>
      </c>
      <c r="E9568" s="152" t="s">
        <v>10903</v>
      </c>
      <c r="F9568" s="152" t="s">
        <v>3346</v>
      </c>
      <c r="G9568" s="152" t="s">
        <v>10430</v>
      </c>
      <c r="H9568" s="153" t="s">
        <v>214</v>
      </c>
    </row>
    <row r="9569" hidden="1">
      <c r="A9569" s="158" t="s">
        <v>235</v>
      </c>
      <c r="B9569" s="159"/>
      <c r="C9569" s="155" t="s">
        <v>236</v>
      </c>
      <c r="D9569" s="156" t="s">
        <v>10748</v>
      </c>
      <c r="E9569" s="156" t="s">
        <v>10904</v>
      </c>
      <c r="F9569" s="156" t="s">
        <v>3240</v>
      </c>
      <c r="G9569" s="156" t="s">
        <v>10526</v>
      </c>
      <c r="H9569" s="157" t="s">
        <v>215</v>
      </c>
    </row>
    <row r="9570" hidden="1">
      <c r="A9570" s="160" t="s">
        <v>235</v>
      </c>
      <c r="B9570" s="72"/>
      <c r="C9570" s="118" t="s">
        <v>236</v>
      </c>
      <c r="D9570" s="152" t="s">
        <v>10748</v>
      </c>
      <c r="E9570" s="152" t="s">
        <v>10905</v>
      </c>
      <c r="F9570" s="152" t="s">
        <v>1948</v>
      </c>
      <c r="G9570" s="152" t="s">
        <v>10906</v>
      </c>
      <c r="H9570" s="153" t="s">
        <v>216</v>
      </c>
    </row>
    <row r="9571" hidden="1">
      <c r="A9571" s="158" t="s">
        <v>237</v>
      </c>
      <c r="B9571" s="159"/>
      <c r="C9571" s="155" t="s">
        <v>236</v>
      </c>
      <c r="D9571" s="156" t="s">
        <v>10748</v>
      </c>
      <c r="E9571" s="156" t="s">
        <v>10907</v>
      </c>
      <c r="F9571" s="156" t="s">
        <v>3359</v>
      </c>
      <c r="G9571" s="156" t="s">
        <v>10732</v>
      </c>
      <c r="H9571" s="157" t="s">
        <v>210</v>
      </c>
    </row>
    <row r="9572" hidden="1">
      <c r="A9572" s="160" t="s">
        <v>237</v>
      </c>
      <c r="B9572" s="72"/>
      <c r="C9572" s="118" t="s">
        <v>236</v>
      </c>
      <c r="D9572" s="152" t="s">
        <v>10748</v>
      </c>
      <c r="E9572" s="152" t="s">
        <v>10908</v>
      </c>
      <c r="F9572" s="152" t="s">
        <v>3340</v>
      </c>
      <c r="G9572" s="152" t="s">
        <v>10359</v>
      </c>
      <c r="H9572" s="153" t="s">
        <v>211</v>
      </c>
    </row>
    <row r="9573" hidden="1">
      <c r="A9573" s="158" t="s">
        <v>237</v>
      </c>
      <c r="B9573" s="159"/>
      <c r="C9573" s="155" t="s">
        <v>236</v>
      </c>
      <c r="D9573" s="156" t="s">
        <v>10748</v>
      </c>
      <c r="E9573" s="156" t="s">
        <v>10909</v>
      </c>
      <c r="F9573" s="156" t="s">
        <v>453</v>
      </c>
      <c r="G9573" s="156" t="s">
        <v>10124</v>
      </c>
      <c r="H9573" s="157" t="s">
        <v>212</v>
      </c>
    </row>
    <row r="9574" hidden="1">
      <c r="A9574" s="160" t="s">
        <v>237</v>
      </c>
      <c r="B9574" s="72"/>
      <c r="C9574" s="118" t="s">
        <v>236</v>
      </c>
      <c r="D9574" s="152" t="s">
        <v>10748</v>
      </c>
      <c r="E9574" s="152" t="s">
        <v>10910</v>
      </c>
      <c r="F9574" s="152" t="s">
        <v>497</v>
      </c>
      <c r="G9574" s="152" t="s">
        <v>10911</v>
      </c>
      <c r="H9574" s="153" t="s">
        <v>213</v>
      </c>
    </row>
    <row r="9575" hidden="1">
      <c r="A9575" s="158" t="s">
        <v>237</v>
      </c>
      <c r="B9575" s="159"/>
      <c r="C9575" s="155" t="s">
        <v>236</v>
      </c>
      <c r="D9575" s="156" t="s">
        <v>10748</v>
      </c>
      <c r="E9575" s="156" t="s">
        <v>10912</v>
      </c>
      <c r="F9575" s="156" t="s">
        <v>3359</v>
      </c>
      <c r="G9575" s="156" t="s">
        <v>10463</v>
      </c>
      <c r="H9575" s="157" t="s">
        <v>214</v>
      </c>
    </row>
    <row r="9576" hidden="1">
      <c r="A9576" s="160" t="s">
        <v>237</v>
      </c>
      <c r="B9576" s="72"/>
      <c r="C9576" s="118" t="s">
        <v>236</v>
      </c>
      <c r="D9576" s="152" t="s">
        <v>10748</v>
      </c>
      <c r="E9576" s="152" t="s">
        <v>10913</v>
      </c>
      <c r="F9576" s="152" t="s">
        <v>763</v>
      </c>
      <c r="G9576" s="152" t="s">
        <v>9892</v>
      </c>
      <c r="H9576" s="153" t="s">
        <v>215</v>
      </c>
    </row>
    <row r="9577" hidden="1">
      <c r="A9577" s="158" t="s">
        <v>237</v>
      </c>
      <c r="B9577" s="159"/>
      <c r="C9577" s="155" t="s">
        <v>236</v>
      </c>
      <c r="D9577" s="156" t="s">
        <v>10748</v>
      </c>
      <c r="E9577" s="156" t="s">
        <v>10914</v>
      </c>
      <c r="F9577" s="156" t="s">
        <v>3340</v>
      </c>
      <c r="G9577" s="156" t="s">
        <v>10413</v>
      </c>
      <c r="H9577" s="157" t="s">
        <v>216</v>
      </c>
    </row>
    <row r="9578" hidden="1">
      <c r="A9578" s="151" t="s">
        <v>204</v>
      </c>
      <c r="B9578" s="118" t="s">
        <v>205</v>
      </c>
      <c r="C9578" s="118" t="s">
        <v>206</v>
      </c>
      <c r="D9578" s="152" t="s">
        <v>10915</v>
      </c>
      <c r="E9578" s="152" t="s">
        <v>10916</v>
      </c>
      <c r="F9578" s="152" t="s">
        <v>730</v>
      </c>
      <c r="G9578" s="152" t="s">
        <v>10520</v>
      </c>
      <c r="H9578" s="153" t="s">
        <v>210</v>
      </c>
    </row>
    <row r="9579" hidden="1">
      <c r="A9579" s="154" t="s">
        <v>204</v>
      </c>
      <c r="B9579" s="155" t="s">
        <v>205</v>
      </c>
      <c r="C9579" s="155" t="s">
        <v>206</v>
      </c>
      <c r="D9579" s="156" t="s">
        <v>10915</v>
      </c>
      <c r="E9579" s="156" t="s">
        <v>10917</v>
      </c>
      <c r="F9579" s="156" t="s">
        <v>2226</v>
      </c>
      <c r="G9579" s="156" t="s">
        <v>9583</v>
      </c>
      <c r="H9579" s="157" t="s">
        <v>211</v>
      </c>
    </row>
    <row r="9580" hidden="1">
      <c r="A9580" s="151" t="s">
        <v>204</v>
      </c>
      <c r="B9580" s="118" t="s">
        <v>205</v>
      </c>
      <c r="C9580" s="118" t="s">
        <v>206</v>
      </c>
      <c r="D9580" s="152" t="s">
        <v>10915</v>
      </c>
      <c r="E9580" s="152" t="s">
        <v>10918</v>
      </c>
      <c r="F9580" s="152" t="s">
        <v>3243</v>
      </c>
      <c r="G9580" s="152" t="s">
        <v>9573</v>
      </c>
      <c r="H9580" s="153" t="s">
        <v>212</v>
      </c>
    </row>
    <row r="9581" hidden="1">
      <c r="A9581" s="154" t="s">
        <v>204</v>
      </c>
      <c r="B9581" s="155" t="s">
        <v>205</v>
      </c>
      <c r="C9581" s="155" t="s">
        <v>206</v>
      </c>
      <c r="D9581" s="156" t="s">
        <v>10915</v>
      </c>
      <c r="E9581" s="156" t="s">
        <v>10919</v>
      </c>
      <c r="F9581" s="156" t="s">
        <v>2215</v>
      </c>
      <c r="G9581" s="156" t="s">
        <v>10346</v>
      </c>
      <c r="H9581" s="157" t="s">
        <v>213</v>
      </c>
    </row>
    <row r="9582" hidden="1">
      <c r="A9582" s="151" t="s">
        <v>204</v>
      </c>
      <c r="B9582" s="118" t="s">
        <v>205</v>
      </c>
      <c r="C9582" s="118" t="s">
        <v>206</v>
      </c>
      <c r="D9582" s="152" t="s">
        <v>10915</v>
      </c>
      <c r="E9582" s="152" t="s">
        <v>10920</v>
      </c>
      <c r="F9582" s="152" t="s">
        <v>2607</v>
      </c>
      <c r="G9582" s="152" t="s">
        <v>10735</v>
      </c>
      <c r="H9582" s="153" t="s">
        <v>214</v>
      </c>
    </row>
    <row r="9583" hidden="1">
      <c r="A9583" s="154" t="s">
        <v>204</v>
      </c>
      <c r="B9583" s="155" t="s">
        <v>205</v>
      </c>
      <c r="C9583" s="155" t="s">
        <v>206</v>
      </c>
      <c r="D9583" s="156" t="s">
        <v>10915</v>
      </c>
      <c r="E9583" s="156" t="s">
        <v>10921</v>
      </c>
      <c r="F9583" s="156" t="s">
        <v>2228</v>
      </c>
      <c r="G9583" s="156" t="s">
        <v>10732</v>
      </c>
      <c r="H9583" s="157" t="s">
        <v>215</v>
      </c>
    </row>
    <row r="9584" hidden="1">
      <c r="A9584" s="151" t="s">
        <v>204</v>
      </c>
      <c r="B9584" s="118" t="s">
        <v>205</v>
      </c>
      <c r="C9584" s="118" t="s">
        <v>206</v>
      </c>
      <c r="D9584" s="152" t="s">
        <v>10915</v>
      </c>
      <c r="E9584" s="152" t="s">
        <v>10922</v>
      </c>
      <c r="F9584" s="152" t="s">
        <v>444</v>
      </c>
      <c r="G9584" s="152" t="s">
        <v>10351</v>
      </c>
      <c r="H9584" s="153" t="s">
        <v>216</v>
      </c>
    </row>
    <row r="9585" hidden="1">
      <c r="A9585" s="154" t="s">
        <v>217</v>
      </c>
      <c r="B9585" s="155" t="s">
        <v>191</v>
      </c>
      <c r="C9585" s="155" t="s">
        <v>206</v>
      </c>
      <c r="D9585" s="156" t="s">
        <v>10915</v>
      </c>
      <c r="E9585" s="156" t="s">
        <v>10923</v>
      </c>
      <c r="F9585" s="156" t="s">
        <v>4052</v>
      </c>
      <c r="G9585" s="156" t="s">
        <v>10179</v>
      </c>
      <c r="H9585" s="157" t="s">
        <v>210</v>
      </c>
    </row>
    <row r="9586" hidden="1">
      <c r="A9586" s="151" t="s">
        <v>217</v>
      </c>
      <c r="B9586" s="118" t="s">
        <v>191</v>
      </c>
      <c r="C9586" s="118" t="s">
        <v>206</v>
      </c>
      <c r="D9586" s="152" t="s">
        <v>10915</v>
      </c>
      <c r="E9586" s="152" t="s">
        <v>10924</v>
      </c>
      <c r="F9586" s="152" t="s">
        <v>2218</v>
      </c>
      <c r="G9586" s="152" t="s">
        <v>10514</v>
      </c>
      <c r="H9586" s="153" t="s">
        <v>211</v>
      </c>
    </row>
    <row r="9587" hidden="1">
      <c r="A9587" s="154" t="s">
        <v>217</v>
      </c>
      <c r="B9587" s="155" t="s">
        <v>191</v>
      </c>
      <c r="C9587" s="155" t="s">
        <v>206</v>
      </c>
      <c r="D9587" s="156" t="s">
        <v>10915</v>
      </c>
      <c r="E9587" s="156" t="s">
        <v>10925</v>
      </c>
      <c r="F9587" s="156" t="s">
        <v>637</v>
      </c>
      <c r="G9587" s="156" t="s">
        <v>10926</v>
      </c>
      <c r="H9587" s="157" t="s">
        <v>212</v>
      </c>
    </row>
    <row r="9588" hidden="1">
      <c r="A9588" s="151" t="s">
        <v>217</v>
      </c>
      <c r="B9588" s="118" t="s">
        <v>191</v>
      </c>
      <c r="C9588" s="118" t="s">
        <v>206</v>
      </c>
      <c r="D9588" s="152" t="s">
        <v>10915</v>
      </c>
      <c r="E9588" s="152" t="s">
        <v>10927</v>
      </c>
      <c r="F9588" s="152" t="s">
        <v>444</v>
      </c>
      <c r="G9588" s="152" t="s">
        <v>10181</v>
      </c>
      <c r="H9588" s="153" t="s">
        <v>213</v>
      </c>
    </row>
    <row r="9589" hidden="1">
      <c r="A9589" s="154" t="s">
        <v>217</v>
      </c>
      <c r="B9589" s="155" t="s">
        <v>191</v>
      </c>
      <c r="C9589" s="155" t="s">
        <v>206</v>
      </c>
      <c r="D9589" s="156" t="s">
        <v>10915</v>
      </c>
      <c r="E9589" s="156" t="s">
        <v>10928</v>
      </c>
      <c r="F9589" s="156" t="s">
        <v>730</v>
      </c>
      <c r="G9589" s="156" t="s">
        <v>10351</v>
      </c>
      <c r="H9589" s="157" t="s">
        <v>214</v>
      </c>
    </row>
    <row r="9590" hidden="1">
      <c r="A9590" s="151" t="s">
        <v>217</v>
      </c>
      <c r="B9590" s="118" t="s">
        <v>191</v>
      </c>
      <c r="C9590" s="118" t="s">
        <v>206</v>
      </c>
      <c r="D9590" s="152" t="s">
        <v>10915</v>
      </c>
      <c r="E9590" s="152" t="s">
        <v>10929</v>
      </c>
      <c r="F9590" s="152" t="s">
        <v>637</v>
      </c>
      <c r="G9590" s="152" t="s">
        <v>9988</v>
      </c>
      <c r="H9590" s="153" t="s">
        <v>215</v>
      </c>
    </row>
    <row r="9591" hidden="1">
      <c r="A9591" s="154" t="s">
        <v>217</v>
      </c>
      <c r="B9591" s="155" t="s">
        <v>191</v>
      </c>
      <c r="C9591" s="155" t="s">
        <v>206</v>
      </c>
      <c r="D9591" s="156" t="s">
        <v>10915</v>
      </c>
      <c r="E9591" s="156" t="s">
        <v>10930</v>
      </c>
      <c r="F9591" s="156" t="s">
        <v>4052</v>
      </c>
      <c r="G9591" s="156" t="s">
        <v>10931</v>
      </c>
      <c r="H9591" s="157" t="s">
        <v>216</v>
      </c>
    </row>
    <row r="9592" hidden="1">
      <c r="A9592" s="151" t="s">
        <v>218</v>
      </c>
      <c r="B9592" s="118" t="s">
        <v>219</v>
      </c>
      <c r="C9592" s="118" t="s">
        <v>206</v>
      </c>
      <c r="D9592" s="152" t="s">
        <v>10915</v>
      </c>
      <c r="E9592" s="152" t="s">
        <v>10932</v>
      </c>
      <c r="F9592" s="152" t="s">
        <v>427</v>
      </c>
      <c r="G9592" s="152" t="s">
        <v>10724</v>
      </c>
      <c r="H9592" s="153" t="s">
        <v>210</v>
      </c>
    </row>
    <row r="9593" hidden="1">
      <c r="A9593" s="154" t="s">
        <v>218</v>
      </c>
      <c r="B9593" s="155" t="s">
        <v>219</v>
      </c>
      <c r="C9593" s="155" t="s">
        <v>206</v>
      </c>
      <c r="D9593" s="156" t="s">
        <v>10915</v>
      </c>
      <c r="E9593" s="156" t="s">
        <v>10933</v>
      </c>
      <c r="F9593" s="156" t="s">
        <v>329</v>
      </c>
      <c r="G9593" s="156" t="s">
        <v>10934</v>
      </c>
      <c r="H9593" s="157" t="s">
        <v>211</v>
      </c>
    </row>
    <row r="9594" hidden="1">
      <c r="A9594" s="151" t="s">
        <v>218</v>
      </c>
      <c r="B9594" s="118" t="s">
        <v>219</v>
      </c>
      <c r="C9594" s="118" t="s">
        <v>206</v>
      </c>
      <c r="D9594" s="152" t="s">
        <v>10915</v>
      </c>
      <c r="E9594" s="152" t="s">
        <v>10935</v>
      </c>
      <c r="F9594" s="152" t="s">
        <v>453</v>
      </c>
      <c r="G9594" s="152" t="s">
        <v>10274</v>
      </c>
      <c r="H9594" s="153" t="s">
        <v>212</v>
      </c>
    </row>
    <row r="9595" hidden="1">
      <c r="A9595" s="154" t="s">
        <v>218</v>
      </c>
      <c r="B9595" s="155" t="s">
        <v>219</v>
      </c>
      <c r="C9595" s="155" t="s">
        <v>206</v>
      </c>
      <c r="D9595" s="156" t="s">
        <v>10915</v>
      </c>
      <c r="E9595" s="156" t="s">
        <v>10936</v>
      </c>
      <c r="F9595" s="156" t="s">
        <v>354</v>
      </c>
      <c r="G9595" s="156" t="s">
        <v>10937</v>
      </c>
      <c r="H9595" s="157" t="s">
        <v>213</v>
      </c>
    </row>
    <row r="9596" hidden="1">
      <c r="A9596" s="151" t="s">
        <v>218</v>
      </c>
      <c r="B9596" s="118" t="s">
        <v>219</v>
      </c>
      <c r="C9596" s="118" t="s">
        <v>206</v>
      </c>
      <c r="D9596" s="152" t="s">
        <v>10915</v>
      </c>
      <c r="E9596" s="152" t="s">
        <v>10938</v>
      </c>
      <c r="F9596" s="152" t="s">
        <v>331</v>
      </c>
      <c r="G9596" s="152" t="s">
        <v>10939</v>
      </c>
      <c r="H9596" s="153" t="s">
        <v>214</v>
      </c>
    </row>
    <row r="9597" hidden="1">
      <c r="A9597" s="154" t="s">
        <v>218</v>
      </c>
      <c r="B9597" s="155" t="s">
        <v>219</v>
      </c>
      <c r="C9597" s="155" t="s">
        <v>206</v>
      </c>
      <c r="D9597" s="156" t="s">
        <v>10915</v>
      </c>
      <c r="E9597" s="156" t="s">
        <v>10940</v>
      </c>
      <c r="F9597" s="156" t="s">
        <v>308</v>
      </c>
      <c r="G9597" s="156" t="s">
        <v>10926</v>
      </c>
      <c r="H9597" s="157" t="s">
        <v>215</v>
      </c>
    </row>
    <row r="9598" hidden="1">
      <c r="A9598" s="151" t="s">
        <v>218</v>
      </c>
      <c r="B9598" s="118" t="s">
        <v>219</v>
      </c>
      <c r="C9598" s="118" t="s">
        <v>206</v>
      </c>
      <c r="D9598" s="152" t="s">
        <v>10915</v>
      </c>
      <c r="E9598" s="152" t="s">
        <v>10941</v>
      </c>
      <c r="F9598" s="152" t="s">
        <v>325</v>
      </c>
      <c r="G9598" s="152" t="s">
        <v>10942</v>
      </c>
      <c r="H9598" s="153" t="s">
        <v>216</v>
      </c>
    </row>
    <row r="9599" hidden="1">
      <c r="A9599" s="154" t="s">
        <v>220</v>
      </c>
      <c r="B9599" s="155" t="s">
        <v>190</v>
      </c>
      <c r="C9599" s="155" t="s">
        <v>206</v>
      </c>
      <c r="D9599" s="156" t="s">
        <v>10915</v>
      </c>
      <c r="E9599" s="156" t="s">
        <v>10943</v>
      </c>
      <c r="F9599" s="156" t="s">
        <v>10944</v>
      </c>
      <c r="G9599" s="156" t="s">
        <v>10104</v>
      </c>
      <c r="H9599" s="157" t="s">
        <v>210</v>
      </c>
    </row>
    <row r="9600" hidden="1">
      <c r="A9600" s="151" t="s">
        <v>220</v>
      </c>
      <c r="B9600" s="118" t="s">
        <v>190</v>
      </c>
      <c r="C9600" s="118" t="s">
        <v>206</v>
      </c>
      <c r="D9600" s="152" t="s">
        <v>10915</v>
      </c>
      <c r="E9600" s="152" t="s">
        <v>10945</v>
      </c>
      <c r="F9600" s="152" t="s">
        <v>732</v>
      </c>
      <c r="G9600" s="152" t="s">
        <v>10104</v>
      </c>
      <c r="H9600" s="153" t="s">
        <v>211</v>
      </c>
    </row>
    <row r="9601" hidden="1">
      <c r="A9601" s="154" t="s">
        <v>220</v>
      </c>
      <c r="B9601" s="155" t="s">
        <v>190</v>
      </c>
      <c r="C9601" s="155" t="s">
        <v>206</v>
      </c>
      <c r="D9601" s="156" t="s">
        <v>10915</v>
      </c>
      <c r="E9601" s="156" t="s">
        <v>10946</v>
      </c>
      <c r="F9601" s="156" t="s">
        <v>3625</v>
      </c>
      <c r="G9601" s="156" t="s">
        <v>9750</v>
      </c>
      <c r="H9601" s="157" t="s">
        <v>212</v>
      </c>
    </row>
    <row r="9602" hidden="1">
      <c r="A9602" s="151" t="s">
        <v>220</v>
      </c>
      <c r="B9602" s="118" t="s">
        <v>190</v>
      </c>
      <c r="C9602" s="118" t="s">
        <v>206</v>
      </c>
      <c r="D9602" s="152" t="s">
        <v>10915</v>
      </c>
      <c r="E9602" s="152" t="s">
        <v>10947</v>
      </c>
      <c r="F9602" s="152" t="s">
        <v>2407</v>
      </c>
      <c r="G9602" s="152" t="s">
        <v>10789</v>
      </c>
      <c r="H9602" s="153" t="s">
        <v>213</v>
      </c>
    </row>
    <row r="9603" hidden="1">
      <c r="A9603" s="154" t="s">
        <v>220</v>
      </c>
      <c r="B9603" s="155" t="s">
        <v>190</v>
      </c>
      <c r="C9603" s="155" t="s">
        <v>206</v>
      </c>
      <c r="D9603" s="156" t="s">
        <v>10915</v>
      </c>
      <c r="E9603" s="156" t="s">
        <v>10948</v>
      </c>
      <c r="F9603" s="156" t="s">
        <v>3145</v>
      </c>
      <c r="G9603" s="156" t="s">
        <v>10949</v>
      </c>
      <c r="H9603" s="157" t="s">
        <v>214</v>
      </c>
    </row>
    <row r="9604" hidden="1">
      <c r="A9604" s="151" t="s">
        <v>220</v>
      </c>
      <c r="B9604" s="118" t="s">
        <v>190</v>
      </c>
      <c r="C9604" s="118" t="s">
        <v>206</v>
      </c>
      <c r="D9604" s="152" t="s">
        <v>10915</v>
      </c>
      <c r="E9604" s="152" t="s">
        <v>10950</v>
      </c>
      <c r="F9604" s="152" t="s">
        <v>2005</v>
      </c>
      <c r="G9604" s="152" t="s">
        <v>9930</v>
      </c>
      <c r="H9604" s="153" t="s">
        <v>215</v>
      </c>
    </row>
    <row r="9605" hidden="1">
      <c r="A9605" s="154" t="s">
        <v>220</v>
      </c>
      <c r="B9605" s="155" t="s">
        <v>190</v>
      </c>
      <c r="C9605" s="155" t="s">
        <v>206</v>
      </c>
      <c r="D9605" s="156" t="s">
        <v>10915</v>
      </c>
      <c r="E9605" s="156" t="s">
        <v>10951</v>
      </c>
      <c r="F9605" s="156" t="s">
        <v>2218</v>
      </c>
      <c r="G9605" s="156" t="s">
        <v>10612</v>
      </c>
      <c r="H9605" s="157" t="s">
        <v>216</v>
      </c>
    </row>
    <row r="9606" hidden="1">
      <c r="A9606" s="151" t="s">
        <v>221</v>
      </c>
      <c r="B9606" s="118" t="s">
        <v>189</v>
      </c>
      <c r="C9606" s="118" t="s">
        <v>206</v>
      </c>
      <c r="D9606" s="152" t="s">
        <v>10915</v>
      </c>
      <c r="E9606" s="152" t="s">
        <v>10952</v>
      </c>
      <c r="F9606" s="152" t="s">
        <v>2607</v>
      </c>
      <c r="G9606" s="152" t="s">
        <v>10421</v>
      </c>
      <c r="H9606" s="153" t="s">
        <v>210</v>
      </c>
    </row>
    <row r="9607" hidden="1">
      <c r="A9607" s="154" t="s">
        <v>221</v>
      </c>
      <c r="B9607" s="155" t="s">
        <v>189</v>
      </c>
      <c r="C9607" s="155" t="s">
        <v>206</v>
      </c>
      <c r="D9607" s="156" t="s">
        <v>10915</v>
      </c>
      <c r="E9607" s="156" t="s">
        <v>10953</v>
      </c>
      <c r="F9607" s="156" t="s">
        <v>483</v>
      </c>
      <c r="G9607" s="156" t="s">
        <v>9890</v>
      </c>
      <c r="H9607" s="157" t="s">
        <v>211</v>
      </c>
    </row>
    <row r="9608" hidden="1">
      <c r="A9608" s="151" t="s">
        <v>221</v>
      </c>
      <c r="B9608" s="118" t="s">
        <v>189</v>
      </c>
      <c r="C9608" s="118" t="s">
        <v>206</v>
      </c>
      <c r="D9608" s="152" t="s">
        <v>10915</v>
      </c>
      <c r="E9608" s="152" t="s">
        <v>10954</v>
      </c>
      <c r="F9608" s="152" t="s">
        <v>478</v>
      </c>
      <c r="G9608" s="152" t="s">
        <v>10729</v>
      </c>
      <c r="H9608" s="153" t="s">
        <v>212</v>
      </c>
    </row>
    <row r="9609" hidden="1">
      <c r="A9609" s="154" t="s">
        <v>221</v>
      </c>
      <c r="B9609" s="155" t="s">
        <v>189</v>
      </c>
      <c r="C9609" s="155" t="s">
        <v>206</v>
      </c>
      <c r="D9609" s="156" t="s">
        <v>10915</v>
      </c>
      <c r="E9609" s="156" t="s">
        <v>10955</v>
      </c>
      <c r="F9609" s="156" t="s">
        <v>329</v>
      </c>
      <c r="G9609" s="156" t="s">
        <v>10353</v>
      </c>
      <c r="H9609" s="157" t="s">
        <v>213</v>
      </c>
    </row>
    <row r="9610" hidden="1">
      <c r="A9610" s="151" t="s">
        <v>221</v>
      </c>
      <c r="B9610" s="118" t="s">
        <v>189</v>
      </c>
      <c r="C9610" s="118" t="s">
        <v>206</v>
      </c>
      <c r="D9610" s="152" t="s">
        <v>10915</v>
      </c>
      <c r="E9610" s="152" t="s">
        <v>10956</v>
      </c>
      <c r="F9610" s="152" t="s">
        <v>336</v>
      </c>
      <c r="G9610" s="152" t="s">
        <v>10957</v>
      </c>
      <c r="H9610" s="153" t="s">
        <v>214</v>
      </c>
    </row>
    <row r="9611" hidden="1">
      <c r="A9611" s="154" t="s">
        <v>221</v>
      </c>
      <c r="B9611" s="155" t="s">
        <v>189</v>
      </c>
      <c r="C9611" s="155" t="s">
        <v>206</v>
      </c>
      <c r="D9611" s="156" t="s">
        <v>10915</v>
      </c>
      <c r="E9611" s="156" t="s">
        <v>10958</v>
      </c>
      <c r="F9611" s="156" t="s">
        <v>629</v>
      </c>
      <c r="G9611" s="156" t="s">
        <v>9771</v>
      </c>
      <c r="H9611" s="157" t="s">
        <v>215</v>
      </c>
    </row>
    <row r="9612" hidden="1">
      <c r="A9612" s="151" t="s">
        <v>221</v>
      </c>
      <c r="B9612" s="118" t="s">
        <v>189</v>
      </c>
      <c r="C9612" s="118" t="s">
        <v>206</v>
      </c>
      <c r="D9612" s="152" t="s">
        <v>10915</v>
      </c>
      <c r="E9612" s="152" t="s">
        <v>10959</v>
      </c>
      <c r="F9612" s="152" t="s">
        <v>3218</v>
      </c>
      <c r="G9612" s="152" t="s">
        <v>10258</v>
      </c>
      <c r="H9612" s="153" t="s">
        <v>216</v>
      </c>
    </row>
    <row r="9613" hidden="1">
      <c r="A9613" s="154" t="s">
        <v>222</v>
      </c>
      <c r="B9613" s="155" t="s">
        <v>192</v>
      </c>
      <c r="C9613" s="155" t="s">
        <v>206</v>
      </c>
      <c r="D9613" s="156" t="s">
        <v>10915</v>
      </c>
      <c r="E9613" s="156" t="s">
        <v>10960</v>
      </c>
      <c r="F9613" s="156" t="s">
        <v>3145</v>
      </c>
      <c r="G9613" s="156" t="s">
        <v>9571</v>
      </c>
      <c r="H9613" s="157" t="s">
        <v>210</v>
      </c>
    </row>
    <row r="9614" hidden="1">
      <c r="A9614" s="151" t="s">
        <v>222</v>
      </c>
      <c r="B9614" s="118" t="s">
        <v>192</v>
      </c>
      <c r="C9614" s="118" t="s">
        <v>206</v>
      </c>
      <c r="D9614" s="152" t="s">
        <v>10915</v>
      </c>
      <c r="E9614" s="152" t="s">
        <v>10961</v>
      </c>
      <c r="F9614" s="152" t="s">
        <v>2226</v>
      </c>
      <c r="G9614" s="152" t="s">
        <v>9998</v>
      </c>
      <c r="H9614" s="153" t="s">
        <v>211</v>
      </c>
    </row>
    <row r="9615" hidden="1">
      <c r="A9615" s="154" t="s">
        <v>222</v>
      </c>
      <c r="B9615" s="155" t="s">
        <v>192</v>
      </c>
      <c r="C9615" s="155" t="s">
        <v>206</v>
      </c>
      <c r="D9615" s="156" t="s">
        <v>10915</v>
      </c>
      <c r="E9615" s="156" t="s">
        <v>10962</v>
      </c>
      <c r="F9615" s="156" t="s">
        <v>3243</v>
      </c>
      <c r="G9615" s="156" t="s">
        <v>10682</v>
      </c>
      <c r="H9615" s="157" t="s">
        <v>212</v>
      </c>
    </row>
    <row r="9616" hidden="1">
      <c r="A9616" s="151" t="s">
        <v>222</v>
      </c>
      <c r="B9616" s="118" t="s">
        <v>192</v>
      </c>
      <c r="C9616" s="118" t="s">
        <v>206</v>
      </c>
      <c r="D9616" s="152" t="s">
        <v>10915</v>
      </c>
      <c r="E9616" s="152" t="s">
        <v>10963</v>
      </c>
      <c r="F9616" s="152" t="s">
        <v>730</v>
      </c>
      <c r="G9616" s="152" t="s">
        <v>10455</v>
      </c>
      <c r="H9616" s="153" t="s">
        <v>213</v>
      </c>
    </row>
    <row r="9617" hidden="1">
      <c r="A9617" s="154" t="s">
        <v>222</v>
      </c>
      <c r="B9617" s="155" t="s">
        <v>192</v>
      </c>
      <c r="C9617" s="155" t="s">
        <v>206</v>
      </c>
      <c r="D9617" s="156" t="s">
        <v>10915</v>
      </c>
      <c r="E9617" s="156" t="s">
        <v>10964</v>
      </c>
      <c r="F9617" s="156" t="s">
        <v>3243</v>
      </c>
      <c r="G9617" s="156" t="s">
        <v>10340</v>
      </c>
      <c r="H9617" s="157" t="s">
        <v>214</v>
      </c>
    </row>
    <row r="9618" hidden="1">
      <c r="A9618" s="151" t="s">
        <v>222</v>
      </c>
      <c r="B9618" s="118" t="s">
        <v>192</v>
      </c>
      <c r="C9618" s="118" t="s">
        <v>206</v>
      </c>
      <c r="D9618" s="152" t="s">
        <v>10915</v>
      </c>
      <c r="E9618" s="152" t="s">
        <v>10965</v>
      </c>
      <c r="F9618" s="152" t="s">
        <v>675</v>
      </c>
      <c r="G9618" s="152" t="s">
        <v>10735</v>
      </c>
      <c r="H9618" s="153" t="s">
        <v>215</v>
      </c>
    </row>
    <row r="9619" hidden="1">
      <c r="A9619" s="154" t="s">
        <v>222</v>
      </c>
      <c r="B9619" s="155" t="s">
        <v>192</v>
      </c>
      <c r="C9619" s="155" t="s">
        <v>206</v>
      </c>
      <c r="D9619" s="156" t="s">
        <v>10915</v>
      </c>
      <c r="E9619" s="156" t="s">
        <v>10966</v>
      </c>
      <c r="F9619" s="156" t="s">
        <v>730</v>
      </c>
      <c r="G9619" s="156" t="s">
        <v>9665</v>
      </c>
      <c r="H9619" s="157" t="s">
        <v>216</v>
      </c>
    </row>
    <row r="9620" hidden="1">
      <c r="A9620" s="151" t="s">
        <v>223</v>
      </c>
      <c r="B9620" s="118" t="s">
        <v>144</v>
      </c>
      <c r="C9620" s="118" t="s">
        <v>206</v>
      </c>
      <c r="D9620" s="152" t="s">
        <v>10915</v>
      </c>
      <c r="E9620" s="152" t="s">
        <v>10967</v>
      </c>
      <c r="F9620" s="152" t="s">
        <v>758</v>
      </c>
      <c r="G9620" s="152" t="s">
        <v>10359</v>
      </c>
      <c r="H9620" s="153" t="s">
        <v>210</v>
      </c>
    </row>
    <row r="9621" hidden="1">
      <c r="A9621" s="154" t="s">
        <v>223</v>
      </c>
      <c r="B9621" s="155" t="s">
        <v>144</v>
      </c>
      <c r="C9621" s="155" t="s">
        <v>206</v>
      </c>
      <c r="D9621" s="156" t="s">
        <v>10915</v>
      </c>
      <c r="E9621" s="156" t="s">
        <v>10968</v>
      </c>
      <c r="F9621" s="156" t="s">
        <v>1929</v>
      </c>
      <c r="G9621" s="156" t="s">
        <v>10969</v>
      </c>
      <c r="H9621" s="157" t="s">
        <v>211</v>
      </c>
    </row>
    <row r="9622" hidden="1">
      <c r="A9622" s="151" t="s">
        <v>223</v>
      </c>
      <c r="B9622" s="118" t="s">
        <v>144</v>
      </c>
      <c r="C9622" s="118" t="s">
        <v>206</v>
      </c>
      <c r="D9622" s="152" t="s">
        <v>10915</v>
      </c>
      <c r="E9622" s="152" t="s">
        <v>10970</v>
      </c>
      <c r="F9622" s="152" t="s">
        <v>348</v>
      </c>
      <c r="G9622" s="152" t="s">
        <v>9888</v>
      </c>
      <c r="H9622" s="153" t="s">
        <v>212</v>
      </c>
    </row>
    <row r="9623" hidden="1">
      <c r="A9623" s="154" t="s">
        <v>223</v>
      </c>
      <c r="B9623" s="155" t="s">
        <v>144</v>
      </c>
      <c r="C9623" s="155" t="s">
        <v>206</v>
      </c>
      <c r="D9623" s="156" t="s">
        <v>10915</v>
      </c>
      <c r="E9623" s="156" t="s">
        <v>10971</v>
      </c>
      <c r="F9623" s="156" t="s">
        <v>390</v>
      </c>
      <c r="G9623" s="156" t="s">
        <v>10190</v>
      </c>
      <c r="H9623" s="157" t="s">
        <v>213</v>
      </c>
    </row>
    <row r="9624" hidden="1">
      <c r="A9624" s="151" t="s">
        <v>223</v>
      </c>
      <c r="B9624" s="118" t="s">
        <v>144</v>
      </c>
      <c r="C9624" s="118" t="s">
        <v>206</v>
      </c>
      <c r="D9624" s="152" t="s">
        <v>10915</v>
      </c>
      <c r="E9624" s="152" t="s">
        <v>10972</v>
      </c>
      <c r="F9624" s="152" t="s">
        <v>390</v>
      </c>
      <c r="G9624" s="152" t="s">
        <v>9644</v>
      </c>
      <c r="H9624" s="153" t="s">
        <v>214</v>
      </c>
    </row>
    <row r="9625" hidden="1">
      <c r="A9625" s="154" t="s">
        <v>223</v>
      </c>
      <c r="B9625" s="155" t="s">
        <v>144</v>
      </c>
      <c r="C9625" s="155" t="s">
        <v>206</v>
      </c>
      <c r="D9625" s="156" t="s">
        <v>10915</v>
      </c>
      <c r="E9625" s="156" t="s">
        <v>10973</v>
      </c>
      <c r="F9625" s="156" t="s">
        <v>1999</v>
      </c>
      <c r="G9625" s="156" t="s">
        <v>10115</v>
      </c>
      <c r="H9625" s="157" t="s">
        <v>215</v>
      </c>
    </row>
    <row r="9626" hidden="1">
      <c r="A9626" s="151" t="s">
        <v>223</v>
      </c>
      <c r="B9626" s="118" t="s">
        <v>144</v>
      </c>
      <c r="C9626" s="118" t="s">
        <v>206</v>
      </c>
      <c r="D9626" s="152" t="s">
        <v>10915</v>
      </c>
      <c r="E9626" s="152" t="s">
        <v>10974</v>
      </c>
      <c r="F9626" s="152" t="s">
        <v>763</v>
      </c>
      <c r="G9626" s="152" t="s">
        <v>10297</v>
      </c>
      <c r="H9626" s="153" t="s">
        <v>216</v>
      </c>
    </row>
    <row r="9627" hidden="1">
      <c r="A9627" s="154" t="s">
        <v>224</v>
      </c>
      <c r="B9627" s="155" t="s">
        <v>170</v>
      </c>
      <c r="C9627" s="155" t="s">
        <v>206</v>
      </c>
      <c r="D9627" s="156" t="s">
        <v>10915</v>
      </c>
      <c r="E9627" s="156" t="s">
        <v>10975</v>
      </c>
      <c r="F9627" s="156" t="s">
        <v>3198</v>
      </c>
      <c r="G9627" s="156" t="s">
        <v>9888</v>
      </c>
      <c r="H9627" s="157" t="s">
        <v>210</v>
      </c>
    </row>
    <row r="9628" hidden="1">
      <c r="A9628" s="151" t="s">
        <v>224</v>
      </c>
      <c r="B9628" s="118" t="s">
        <v>170</v>
      </c>
      <c r="C9628" s="118" t="s">
        <v>206</v>
      </c>
      <c r="D9628" s="152" t="s">
        <v>10915</v>
      </c>
      <c r="E9628" s="152" t="s">
        <v>10976</v>
      </c>
      <c r="F9628" s="152" t="s">
        <v>673</v>
      </c>
      <c r="G9628" s="152" t="s">
        <v>10258</v>
      </c>
      <c r="H9628" s="153" t="s">
        <v>211</v>
      </c>
    </row>
    <row r="9629" hidden="1">
      <c r="A9629" s="154" t="s">
        <v>224</v>
      </c>
      <c r="B9629" s="155" t="s">
        <v>170</v>
      </c>
      <c r="C9629" s="155" t="s">
        <v>206</v>
      </c>
      <c r="D9629" s="156" t="s">
        <v>10915</v>
      </c>
      <c r="E9629" s="156" t="s">
        <v>10977</v>
      </c>
      <c r="F9629" s="156" t="s">
        <v>1532</v>
      </c>
      <c r="G9629" s="156" t="s">
        <v>10969</v>
      </c>
      <c r="H9629" s="157" t="s">
        <v>212</v>
      </c>
    </row>
    <row r="9630" hidden="1">
      <c r="A9630" s="151" t="s">
        <v>224</v>
      </c>
      <c r="B9630" s="118" t="s">
        <v>170</v>
      </c>
      <c r="C9630" s="118" t="s">
        <v>206</v>
      </c>
      <c r="D9630" s="152" t="s">
        <v>10915</v>
      </c>
      <c r="E9630" s="152" t="s">
        <v>10978</v>
      </c>
      <c r="F9630" s="152" t="s">
        <v>453</v>
      </c>
      <c r="G9630" s="152" t="s">
        <v>10124</v>
      </c>
      <c r="H9630" s="153" t="s">
        <v>213</v>
      </c>
    </row>
    <row r="9631" hidden="1">
      <c r="A9631" s="154" t="s">
        <v>224</v>
      </c>
      <c r="B9631" s="155" t="s">
        <v>170</v>
      </c>
      <c r="C9631" s="155" t="s">
        <v>206</v>
      </c>
      <c r="D9631" s="156" t="s">
        <v>10915</v>
      </c>
      <c r="E9631" s="156" t="s">
        <v>10979</v>
      </c>
      <c r="F9631" s="156" t="s">
        <v>3218</v>
      </c>
      <c r="G9631" s="156" t="s">
        <v>9906</v>
      </c>
      <c r="H9631" s="157" t="s">
        <v>214</v>
      </c>
    </row>
    <row r="9632" hidden="1">
      <c r="A9632" s="151" t="s">
        <v>224</v>
      </c>
      <c r="B9632" s="118" t="s">
        <v>170</v>
      </c>
      <c r="C9632" s="118" t="s">
        <v>206</v>
      </c>
      <c r="D9632" s="152" t="s">
        <v>10915</v>
      </c>
      <c r="E9632" s="152" t="s">
        <v>10980</v>
      </c>
      <c r="F9632" s="152" t="s">
        <v>2607</v>
      </c>
      <c r="G9632" s="152" t="s">
        <v>10053</v>
      </c>
      <c r="H9632" s="153" t="s">
        <v>215</v>
      </c>
    </row>
    <row r="9633" hidden="1">
      <c r="A9633" s="154" t="s">
        <v>224</v>
      </c>
      <c r="B9633" s="155" t="s">
        <v>170</v>
      </c>
      <c r="C9633" s="155" t="s">
        <v>206</v>
      </c>
      <c r="D9633" s="156" t="s">
        <v>10915</v>
      </c>
      <c r="E9633" s="156" t="s">
        <v>10981</v>
      </c>
      <c r="F9633" s="156" t="s">
        <v>1929</v>
      </c>
      <c r="G9633" s="156" t="s">
        <v>10121</v>
      </c>
      <c r="H9633" s="157" t="s">
        <v>216</v>
      </c>
    </row>
    <row r="9634" hidden="1">
      <c r="A9634" s="151" t="s">
        <v>225</v>
      </c>
      <c r="B9634" s="118" t="s">
        <v>226</v>
      </c>
      <c r="C9634" s="118" t="s">
        <v>206</v>
      </c>
      <c r="D9634" s="152" t="s">
        <v>10915</v>
      </c>
      <c r="E9634" s="152" t="s">
        <v>10982</v>
      </c>
      <c r="F9634" s="152" t="s">
        <v>629</v>
      </c>
      <c r="G9634" s="152" t="s">
        <v>9601</v>
      </c>
      <c r="H9634" s="153" t="s">
        <v>210</v>
      </c>
    </row>
    <row r="9635" hidden="1">
      <c r="A9635" s="154" t="s">
        <v>225</v>
      </c>
      <c r="B9635" s="155" t="s">
        <v>226</v>
      </c>
      <c r="C9635" s="155" t="s">
        <v>206</v>
      </c>
      <c r="D9635" s="156" t="s">
        <v>10915</v>
      </c>
      <c r="E9635" s="156" t="s">
        <v>10983</v>
      </c>
      <c r="F9635" s="156" t="s">
        <v>673</v>
      </c>
      <c r="G9635" s="156" t="s">
        <v>9337</v>
      </c>
      <c r="H9635" s="157" t="s">
        <v>211</v>
      </c>
    </row>
    <row r="9636" hidden="1">
      <c r="A9636" s="151" t="s">
        <v>225</v>
      </c>
      <c r="B9636" s="118" t="s">
        <v>226</v>
      </c>
      <c r="C9636" s="118" t="s">
        <v>206</v>
      </c>
      <c r="D9636" s="152" t="s">
        <v>10915</v>
      </c>
      <c r="E9636" s="152" t="s">
        <v>10984</v>
      </c>
      <c r="F9636" s="152" t="s">
        <v>735</v>
      </c>
      <c r="G9636" s="152" t="s">
        <v>10985</v>
      </c>
      <c r="H9636" s="153" t="s">
        <v>212</v>
      </c>
    </row>
    <row r="9637" hidden="1">
      <c r="A9637" s="154" t="s">
        <v>225</v>
      </c>
      <c r="B9637" s="155" t="s">
        <v>226</v>
      </c>
      <c r="C9637" s="155" t="s">
        <v>206</v>
      </c>
      <c r="D9637" s="156" t="s">
        <v>10915</v>
      </c>
      <c r="E9637" s="156" t="s">
        <v>10986</v>
      </c>
      <c r="F9637" s="156" t="s">
        <v>1929</v>
      </c>
      <c r="G9637" s="156" t="s">
        <v>10002</v>
      </c>
      <c r="H9637" s="157" t="s">
        <v>213</v>
      </c>
    </row>
    <row r="9638" hidden="1">
      <c r="A9638" s="151" t="s">
        <v>225</v>
      </c>
      <c r="B9638" s="118" t="s">
        <v>226</v>
      </c>
      <c r="C9638" s="118" t="s">
        <v>206</v>
      </c>
      <c r="D9638" s="152" t="s">
        <v>10915</v>
      </c>
      <c r="E9638" s="152" t="s">
        <v>10987</v>
      </c>
      <c r="F9638" s="152" t="s">
        <v>2994</v>
      </c>
      <c r="G9638" s="152" t="s">
        <v>10328</v>
      </c>
      <c r="H9638" s="153" t="s">
        <v>214</v>
      </c>
    </row>
    <row r="9639" hidden="1">
      <c r="A9639" s="154" t="s">
        <v>225</v>
      </c>
      <c r="B9639" s="155" t="s">
        <v>226</v>
      </c>
      <c r="C9639" s="155" t="s">
        <v>206</v>
      </c>
      <c r="D9639" s="156" t="s">
        <v>10915</v>
      </c>
      <c r="E9639" s="156" t="s">
        <v>10988</v>
      </c>
      <c r="F9639" s="156" t="s">
        <v>1532</v>
      </c>
      <c r="G9639" s="156" t="s">
        <v>5039</v>
      </c>
      <c r="H9639" s="157" t="s">
        <v>215</v>
      </c>
    </row>
    <row r="9640" hidden="1">
      <c r="A9640" s="151" t="s">
        <v>225</v>
      </c>
      <c r="B9640" s="118" t="s">
        <v>226</v>
      </c>
      <c r="C9640" s="118" t="s">
        <v>206</v>
      </c>
      <c r="D9640" s="152" t="s">
        <v>10915</v>
      </c>
      <c r="E9640" s="152" t="s">
        <v>10989</v>
      </c>
      <c r="F9640" s="152" t="s">
        <v>2994</v>
      </c>
      <c r="G9640" s="152" t="s">
        <v>10985</v>
      </c>
      <c r="H9640" s="153" t="s">
        <v>216</v>
      </c>
    </row>
    <row r="9641" hidden="1">
      <c r="A9641" s="154" t="s">
        <v>227</v>
      </c>
      <c r="B9641" s="155" t="s">
        <v>195</v>
      </c>
      <c r="C9641" s="155" t="s">
        <v>206</v>
      </c>
      <c r="D9641" s="156" t="s">
        <v>10915</v>
      </c>
      <c r="E9641" s="156" t="s">
        <v>10990</v>
      </c>
      <c r="F9641" s="156" t="s">
        <v>3198</v>
      </c>
      <c r="G9641" s="156" t="s">
        <v>10991</v>
      </c>
      <c r="H9641" s="157" t="s">
        <v>210</v>
      </c>
    </row>
    <row r="9642" hidden="1">
      <c r="A9642" s="151" t="s">
        <v>227</v>
      </c>
      <c r="B9642" s="118" t="s">
        <v>195</v>
      </c>
      <c r="C9642" s="118" t="s">
        <v>206</v>
      </c>
      <c r="D9642" s="152" t="s">
        <v>10915</v>
      </c>
      <c r="E9642" s="152" t="s">
        <v>10992</v>
      </c>
      <c r="F9642" s="152" t="s">
        <v>1931</v>
      </c>
      <c r="G9642" s="152" t="s">
        <v>10993</v>
      </c>
      <c r="H9642" s="153" t="s">
        <v>211</v>
      </c>
    </row>
    <row r="9643" hidden="1">
      <c r="A9643" s="154" t="s">
        <v>227</v>
      </c>
      <c r="B9643" s="155" t="s">
        <v>195</v>
      </c>
      <c r="C9643" s="155" t="s">
        <v>206</v>
      </c>
      <c r="D9643" s="156" t="s">
        <v>10915</v>
      </c>
      <c r="E9643" s="156" t="s">
        <v>10994</v>
      </c>
      <c r="F9643" s="156" t="s">
        <v>763</v>
      </c>
      <c r="G9643" s="156" t="s">
        <v>10995</v>
      </c>
      <c r="H9643" s="157" t="s">
        <v>212</v>
      </c>
    </row>
    <row r="9644" hidden="1">
      <c r="A9644" s="151" t="s">
        <v>227</v>
      </c>
      <c r="B9644" s="118" t="s">
        <v>195</v>
      </c>
      <c r="C9644" s="118" t="s">
        <v>206</v>
      </c>
      <c r="D9644" s="152" t="s">
        <v>10915</v>
      </c>
      <c r="E9644" s="152" t="s">
        <v>10996</v>
      </c>
      <c r="F9644" s="152" t="s">
        <v>354</v>
      </c>
      <c r="G9644" s="152" t="s">
        <v>10997</v>
      </c>
      <c r="H9644" s="153" t="s">
        <v>213</v>
      </c>
    </row>
    <row r="9645" hidden="1">
      <c r="A9645" s="154" t="s">
        <v>227</v>
      </c>
      <c r="B9645" s="155" t="s">
        <v>195</v>
      </c>
      <c r="C9645" s="155" t="s">
        <v>206</v>
      </c>
      <c r="D9645" s="156" t="s">
        <v>10915</v>
      </c>
      <c r="E9645" s="156" t="s">
        <v>10998</v>
      </c>
      <c r="F9645" s="156" t="s">
        <v>390</v>
      </c>
      <c r="G9645" s="156" t="s">
        <v>9665</v>
      </c>
      <c r="H9645" s="157" t="s">
        <v>214</v>
      </c>
    </row>
    <row r="9646" hidden="1">
      <c r="A9646" s="151" t="s">
        <v>227</v>
      </c>
      <c r="B9646" s="118" t="s">
        <v>195</v>
      </c>
      <c r="C9646" s="118" t="s">
        <v>206</v>
      </c>
      <c r="D9646" s="152" t="s">
        <v>10915</v>
      </c>
      <c r="E9646" s="152" t="s">
        <v>10999</v>
      </c>
      <c r="F9646" s="152" t="s">
        <v>3240</v>
      </c>
      <c r="G9646" s="152" t="s">
        <v>10181</v>
      </c>
      <c r="H9646" s="153" t="s">
        <v>215</v>
      </c>
    </row>
    <row r="9647" hidden="1">
      <c r="A9647" s="154" t="s">
        <v>227</v>
      </c>
      <c r="B9647" s="155" t="s">
        <v>195</v>
      </c>
      <c r="C9647" s="155" t="s">
        <v>206</v>
      </c>
      <c r="D9647" s="156" t="s">
        <v>10915</v>
      </c>
      <c r="E9647" s="156" t="s">
        <v>11000</v>
      </c>
      <c r="F9647" s="156" t="s">
        <v>691</v>
      </c>
      <c r="G9647" s="156" t="s">
        <v>10000</v>
      </c>
      <c r="H9647" s="157" t="s">
        <v>216</v>
      </c>
    </row>
    <row r="9648" hidden="1">
      <c r="A9648" s="151" t="s">
        <v>228</v>
      </c>
      <c r="B9648" s="118" t="s">
        <v>138</v>
      </c>
      <c r="C9648" s="118" t="s">
        <v>206</v>
      </c>
      <c r="D9648" s="152" t="s">
        <v>10915</v>
      </c>
      <c r="E9648" s="152" t="s">
        <v>11001</v>
      </c>
      <c r="F9648" s="152" t="s">
        <v>1999</v>
      </c>
      <c r="G9648" s="152" t="s">
        <v>10469</v>
      </c>
      <c r="H9648" s="153" t="s">
        <v>210</v>
      </c>
    </row>
    <row r="9649" hidden="1">
      <c r="A9649" s="154" t="s">
        <v>228</v>
      </c>
      <c r="B9649" s="155" t="s">
        <v>138</v>
      </c>
      <c r="C9649" s="155" t="s">
        <v>206</v>
      </c>
      <c r="D9649" s="156" t="s">
        <v>10915</v>
      </c>
      <c r="E9649" s="156" t="s">
        <v>11002</v>
      </c>
      <c r="F9649" s="156" t="s">
        <v>673</v>
      </c>
      <c r="G9649" s="156" t="s">
        <v>10794</v>
      </c>
      <c r="H9649" s="157" t="s">
        <v>211</v>
      </c>
    </row>
    <row r="9650" hidden="1">
      <c r="A9650" s="151" t="s">
        <v>228</v>
      </c>
      <c r="B9650" s="118" t="s">
        <v>138</v>
      </c>
      <c r="C9650" s="118" t="s">
        <v>206</v>
      </c>
      <c r="D9650" s="152" t="s">
        <v>10915</v>
      </c>
      <c r="E9650" s="152" t="s">
        <v>11003</v>
      </c>
      <c r="F9650" s="152" t="s">
        <v>427</v>
      </c>
      <c r="G9650" s="152" t="s">
        <v>7600</v>
      </c>
      <c r="H9650" s="153" t="s">
        <v>212</v>
      </c>
    </row>
    <row r="9651" hidden="1">
      <c r="A9651" s="154" t="s">
        <v>228</v>
      </c>
      <c r="B9651" s="155" t="s">
        <v>138</v>
      </c>
      <c r="C9651" s="155" t="s">
        <v>206</v>
      </c>
      <c r="D9651" s="156" t="s">
        <v>10915</v>
      </c>
      <c r="E9651" s="156" t="s">
        <v>11004</v>
      </c>
      <c r="F9651" s="156" t="s">
        <v>314</v>
      </c>
      <c r="G9651" s="156" t="s">
        <v>9945</v>
      </c>
      <c r="H9651" s="157" t="s">
        <v>213</v>
      </c>
    </row>
    <row r="9652" hidden="1">
      <c r="A9652" s="151" t="s">
        <v>228</v>
      </c>
      <c r="B9652" s="118" t="s">
        <v>138</v>
      </c>
      <c r="C9652" s="118" t="s">
        <v>206</v>
      </c>
      <c r="D9652" s="152" t="s">
        <v>10915</v>
      </c>
      <c r="E9652" s="152" t="s">
        <v>11005</v>
      </c>
      <c r="F9652" s="152" t="s">
        <v>314</v>
      </c>
      <c r="G9652" s="152" t="s">
        <v>10842</v>
      </c>
      <c r="H9652" s="153" t="s">
        <v>214</v>
      </c>
    </row>
    <row r="9653" hidden="1">
      <c r="A9653" s="154" t="s">
        <v>228</v>
      </c>
      <c r="B9653" s="155" t="s">
        <v>138</v>
      </c>
      <c r="C9653" s="155" t="s">
        <v>206</v>
      </c>
      <c r="D9653" s="156" t="s">
        <v>10915</v>
      </c>
      <c r="E9653" s="156" t="s">
        <v>11006</v>
      </c>
      <c r="F9653" s="156" t="s">
        <v>249</v>
      </c>
      <c r="G9653" s="156" t="s">
        <v>11007</v>
      </c>
      <c r="H9653" s="157" t="s">
        <v>215</v>
      </c>
    </row>
    <row r="9654" hidden="1">
      <c r="A9654" s="151" t="s">
        <v>228</v>
      </c>
      <c r="B9654" s="118" t="s">
        <v>138</v>
      </c>
      <c r="C9654" s="118" t="s">
        <v>206</v>
      </c>
      <c r="D9654" s="152" t="s">
        <v>10915</v>
      </c>
      <c r="E9654" s="152" t="s">
        <v>11008</v>
      </c>
      <c r="F9654" s="152" t="s">
        <v>423</v>
      </c>
      <c r="G9654" s="152" t="s">
        <v>11009</v>
      </c>
      <c r="H9654" s="153" t="s">
        <v>216</v>
      </c>
    </row>
    <row r="9655" hidden="1">
      <c r="A9655" s="154" t="s">
        <v>229</v>
      </c>
      <c r="B9655" s="155" t="s">
        <v>193</v>
      </c>
      <c r="C9655" s="155" t="s">
        <v>206</v>
      </c>
      <c r="D9655" s="156" t="s">
        <v>10915</v>
      </c>
      <c r="E9655" s="156" t="s">
        <v>11010</v>
      </c>
      <c r="F9655" s="156" t="s">
        <v>675</v>
      </c>
      <c r="G9655" s="156" t="s">
        <v>11011</v>
      </c>
      <c r="H9655" s="157" t="s">
        <v>210</v>
      </c>
    </row>
    <row r="9656" hidden="1">
      <c r="A9656" s="151" t="s">
        <v>229</v>
      </c>
      <c r="B9656" s="118" t="s">
        <v>193</v>
      </c>
      <c r="C9656" s="118" t="s">
        <v>206</v>
      </c>
      <c r="D9656" s="152" t="s">
        <v>10915</v>
      </c>
      <c r="E9656" s="152" t="s">
        <v>11012</v>
      </c>
      <c r="F9656" s="152" t="s">
        <v>2218</v>
      </c>
      <c r="G9656" s="152" t="s">
        <v>11013</v>
      </c>
      <c r="H9656" s="153" t="s">
        <v>211</v>
      </c>
    </row>
    <row r="9657" hidden="1">
      <c r="A9657" s="154" t="s">
        <v>229</v>
      </c>
      <c r="B9657" s="155" t="s">
        <v>193</v>
      </c>
      <c r="C9657" s="155" t="s">
        <v>206</v>
      </c>
      <c r="D9657" s="156" t="s">
        <v>10915</v>
      </c>
      <c r="E9657" s="156" t="s">
        <v>11014</v>
      </c>
      <c r="F9657" s="156" t="s">
        <v>4251</v>
      </c>
      <c r="G9657" s="156" t="s">
        <v>11015</v>
      </c>
      <c r="H9657" s="157" t="s">
        <v>212</v>
      </c>
    </row>
    <row r="9658" hidden="1">
      <c r="A9658" s="151" t="s">
        <v>229</v>
      </c>
      <c r="B9658" s="118" t="s">
        <v>193</v>
      </c>
      <c r="C9658" s="118" t="s">
        <v>206</v>
      </c>
      <c r="D9658" s="152" t="s">
        <v>10915</v>
      </c>
      <c r="E9658" s="152" t="s">
        <v>11016</v>
      </c>
      <c r="F9658" s="152" t="s">
        <v>2654</v>
      </c>
      <c r="G9658" s="152" t="s">
        <v>11017</v>
      </c>
      <c r="H9658" s="153" t="s">
        <v>213</v>
      </c>
    </row>
    <row r="9659" hidden="1">
      <c r="A9659" s="154" t="s">
        <v>229</v>
      </c>
      <c r="B9659" s="155" t="s">
        <v>193</v>
      </c>
      <c r="C9659" s="155" t="s">
        <v>206</v>
      </c>
      <c r="D9659" s="156" t="s">
        <v>10915</v>
      </c>
      <c r="E9659" s="156" t="s">
        <v>11018</v>
      </c>
      <c r="F9659" s="156" t="s">
        <v>2005</v>
      </c>
      <c r="G9659" s="156" t="s">
        <v>11019</v>
      </c>
      <c r="H9659" s="157" t="s">
        <v>214</v>
      </c>
    </row>
    <row r="9660" hidden="1">
      <c r="A9660" s="151" t="s">
        <v>229</v>
      </c>
      <c r="B9660" s="118" t="s">
        <v>193</v>
      </c>
      <c r="C9660" s="118" t="s">
        <v>206</v>
      </c>
      <c r="D9660" s="152" t="s">
        <v>10915</v>
      </c>
      <c r="E9660" s="152" t="s">
        <v>11020</v>
      </c>
      <c r="F9660" s="152" t="s">
        <v>587</v>
      </c>
      <c r="G9660" s="152" t="s">
        <v>10870</v>
      </c>
      <c r="H9660" s="153" t="s">
        <v>215</v>
      </c>
    </row>
    <row r="9661" hidden="1">
      <c r="A9661" s="154" t="s">
        <v>229</v>
      </c>
      <c r="B9661" s="155" t="s">
        <v>193</v>
      </c>
      <c r="C9661" s="155" t="s">
        <v>206</v>
      </c>
      <c r="D9661" s="156" t="s">
        <v>10915</v>
      </c>
      <c r="E9661" s="156" t="s">
        <v>11021</v>
      </c>
      <c r="F9661" s="156" t="s">
        <v>2339</v>
      </c>
      <c r="G9661" s="156" t="s">
        <v>11022</v>
      </c>
      <c r="H9661" s="157" t="s">
        <v>216</v>
      </c>
    </row>
    <row r="9662" hidden="1">
      <c r="A9662" s="151" t="s">
        <v>230</v>
      </c>
      <c r="B9662" s="118" t="s">
        <v>194</v>
      </c>
      <c r="C9662" s="118" t="s">
        <v>206</v>
      </c>
      <c r="D9662" s="152" t="s">
        <v>10915</v>
      </c>
      <c r="E9662" s="152" t="s">
        <v>11023</v>
      </c>
      <c r="F9662" s="152" t="s">
        <v>766</v>
      </c>
      <c r="G9662" s="152" t="s">
        <v>11024</v>
      </c>
      <c r="H9662" s="153" t="s">
        <v>210</v>
      </c>
    </row>
    <row r="9663" hidden="1">
      <c r="A9663" s="154" t="s">
        <v>230</v>
      </c>
      <c r="B9663" s="155" t="s">
        <v>194</v>
      </c>
      <c r="C9663" s="155" t="s">
        <v>206</v>
      </c>
      <c r="D9663" s="156" t="s">
        <v>10915</v>
      </c>
      <c r="E9663" s="156" t="s">
        <v>11025</v>
      </c>
      <c r="F9663" s="156" t="s">
        <v>763</v>
      </c>
      <c r="G9663" s="156" t="s">
        <v>9746</v>
      </c>
      <c r="H9663" s="157" t="s">
        <v>211</v>
      </c>
    </row>
    <row r="9664" hidden="1">
      <c r="A9664" s="151" t="s">
        <v>230</v>
      </c>
      <c r="B9664" s="118" t="s">
        <v>194</v>
      </c>
      <c r="C9664" s="118" t="s">
        <v>206</v>
      </c>
      <c r="D9664" s="152" t="s">
        <v>10915</v>
      </c>
      <c r="E9664" s="152" t="s">
        <v>11026</v>
      </c>
      <c r="F9664" s="152" t="s">
        <v>763</v>
      </c>
      <c r="G9664" s="152" t="s">
        <v>9742</v>
      </c>
      <c r="H9664" s="153" t="s">
        <v>212</v>
      </c>
    </row>
    <row r="9665" hidden="1">
      <c r="A9665" s="154" t="s">
        <v>230</v>
      </c>
      <c r="B9665" s="155" t="s">
        <v>194</v>
      </c>
      <c r="C9665" s="155" t="s">
        <v>206</v>
      </c>
      <c r="D9665" s="156" t="s">
        <v>10915</v>
      </c>
      <c r="E9665" s="156" t="s">
        <v>11027</v>
      </c>
      <c r="F9665" s="156" t="s">
        <v>577</v>
      </c>
      <c r="G9665" s="156" t="s">
        <v>10906</v>
      </c>
      <c r="H9665" s="157" t="s">
        <v>213</v>
      </c>
    </row>
    <row r="9666" hidden="1">
      <c r="A9666" s="151" t="s">
        <v>230</v>
      </c>
      <c r="B9666" s="118" t="s">
        <v>194</v>
      </c>
      <c r="C9666" s="118" t="s">
        <v>206</v>
      </c>
      <c r="D9666" s="152" t="s">
        <v>10915</v>
      </c>
      <c r="E9666" s="152" t="s">
        <v>11028</v>
      </c>
      <c r="F9666" s="152" t="s">
        <v>448</v>
      </c>
      <c r="G9666" s="152" t="s">
        <v>9583</v>
      </c>
      <c r="H9666" s="153" t="s">
        <v>214</v>
      </c>
    </row>
    <row r="9667" hidden="1">
      <c r="A9667" s="154" t="s">
        <v>230</v>
      </c>
      <c r="B9667" s="155" t="s">
        <v>194</v>
      </c>
      <c r="C9667" s="155" t="s">
        <v>206</v>
      </c>
      <c r="D9667" s="156" t="s">
        <v>10915</v>
      </c>
      <c r="E9667" s="156" t="s">
        <v>11029</v>
      </c>
      <c r="F9667" s="156" t="s">
        <v>1929</v>
      </c>
      <c r="G9667" s="156" t="s">
        <v>11030</v>
      </c>
      <c r="H9667" s="157" t="s">
        <v>215</v>
      </c>
    </row>
    <row r="9668" hidden="1">
      <c r="A9668" s="151" t="s">
        <v>230</v>
      </c>
      <c r="B9668" s="118" t="s">
        <v>194</v>
      </c>
      <c r="C9668" s="118" t="s">
        <v>206</v>
      </c>
      <c r="D9668" s="152" t="s">
        <v>10915</v>
      </c>
      <c r="E9668" s="152" t="s">
        <v>11031</v>
      </c>
      <c r="F9668" s="152" t="s">
        <v>763</v>
      </c>
      <c r="G9668" s="152" t="s">
        <v>11032</v>
      </c>
      <c r="H9668" s="153" t="s">
        <v>216</v>
      </c>
    </row>
    <row r="9669" hidden="1">
      <c r="A9669" s="158" t="s">
        <v>231</v>
      </c>
      <c r="B9669" s="159"/>
      <c r="C9669" s="155" t="s">
        <v>232</v>
      </c>
      <c r="D9669" s="156" t="s">
        <v>10915</v>
      </c>
      <c r="E9669" s="156" t="s">
        <v>11033</v>
      </c>
      <c r="F9669" s="156" t="s">
        <v>9464</v>
      </c>
      <c r="G9669" s="156" t="s">
        <v>11034</v>
      </c>
      <c r="H9669" s="157" t="s">
        <v>210</v>
      </c>
    </row>
    <row r="9670" hidden="1">
      <c r="A9670" s="160" t="s">
        <v>231</v>
      </c>
      <c r="B9670" s="72"/>
      <c r="C9670" s="118" t="s">
        <v>232</v>
      </c>
      <c r="D9670" s="152" t="s">
        <v>10915</v>
      </c>
      <c r="E9670" s="152" t="s">
        <v>11035</v>
      </c>
      <c r="F9670" s="152" t="s">
        <v>1765</v>
      </c>
      <c r="G9670" s="152" t="s">
        <v>11036</v>
      </c>
      <c r="H9670" s="153" t="s">
        <v>211</v>
      </c>
    </row>
    <row r="9671" hidden="1">
      <c r="A9671" s="158" t="s">
        <v>231</v>
      </c>
      <c r="B9671" s="159"/>
      <c r="C9671" s="155" t="s">
        <v>232</v>
      </c>
      <c r="D9671" s="156" t="s">
        <v>10915</v>
      </c>
      <c r="E9671" s="156" t="s">
        <v>11037</v>
      </c>
      <c r="F9671" s="156" t="s">
        <v>3148</v>
      </c>
      <c r="G9671" s="156" t="s">
        <v>10197</v>
      </c>
      <c r="H9671" s="157" t="s">
        <v>212</v>
      </c>
    </row>
    <row r="9672" hidden="1">
      <c r="A9672" s="160" t="s">
        <v>231</v>
      </c>
      <c r="B9672" s="72"/>
      <c r="C9672" s="118" t="s">
        <v>232</v>
      </c>
      <c r="D9672" s="152" t="s">
        <v>10915</v>
      </c>
      <c r="E9672" s="152" t="s">
        <v>11038</v>
      </c>
      <c r="F9672" s="152" t="s">
        <v>228</v>
      </c>
      <c r="G9672" s="152" t="s">
        <v>10205</v>
      </c>
      <c r="H9672" s="153" t="s">
        <v>213</v>
      </c>
    </row>
    <row r="9673" hidden="1">
      <c r="A9673" s="158" t="s">
        <v>231</v>
      </c>
      <c r="B9673" s="159"/>
      <c r="C9673" s="155" t="s">
        <v>232</v>
      </c>
      <c r="D9673" s="156" t="s">
        <v>10915</v>
      </c>
      <c r="E9673" s="156" t="s">
        <v>11039</v>
      </c>
      <c r="F9673" s="156" t="s">
        <v>228</v>
      </c>
      <c r="G9673" s="156" t="s">
        <v>11040</v>
      </c>
      <c r="H9673" s="157" t="s">
        <v>214</v>
      </c>
    </row>
    <row r="9674" hidden="1">
      <c r="A9674" s="160" t="s">
        <v>231</v>
      </c>
      <c r="B9674" s="72"/>
      <c r="C9674" s="118" t="s">
        <v>232</v>
      </c>
      <c r="D9674" s="152" t="s">
        <v>10915</v>
      </c>
      <c r="E9674" s="152" t="s">
        <v>11041</v>
      </c>
      <c r="F9674" s="152" t="s">
        <v>9508</v>
      </c>
      <c r="G9674" s="152" t="s">
        <v>11042</v>
      </c>
      <c r="H9674" s="153" t="s">
        <v>215</v>
      </c>
    </row>
    <row r="9675" hidden="1">
      <c r="A9675" s="158" t="s">
        <v>231</v>
      </c>
      <c r="B9675" s="159"/>
      <c r="C9675" s="155" t="s">
        <v>232</v>
      </c>
      <c r="D9675" s="156" t="s">
        <v>10915</v>
      </c>
      <c r="E9675" s="156" t="s">
        <v>11043</v>
      </c>
      <c r="F9675" s="156" t="s">
        <v>2173</v>
      </c>
      <c r="G9675" s="156" t="s">
        <v>11044</v>
      </c>
      <c r="H9675" s="157" t="s">
        <v>216</v>
      </c>
    </row>
    <row r="9676" hidden="1">
      <c r="A9676" s="160" t="s">
        <v>233</v>
      </c>
      <c r="B9676" s="72"/>
      <c r="C9676" s="118" t="s">
        <v>232</v>
      </c>
      <c r="D9676" s="152" t="s">
        <v>10915</v>
      </c>
      <c r="E9676" s="152" t="s">
        <v>11045</v>
      </c>
      <c r="F9676" s="152" t="s">
        <v>444</v>
      </c>
      <c r="G9676" s="152" t="s">
        <v>10901</v>
      </c>
      <c r="H9676" s="153" t="s">
        <v>210</v>
      </c>
    </row>
    <row r="9677" hidden="1">
      <c r="A9677" s="158" t="s">
        <v>233</v>
      </c>
      <c r="B9677" s="159"/>
      <c r="C9677" s="155" t="s">
        <v>232</v>
      </c>
      <c r="D9677" s="156" t="s">
        <v>10915</v>
      </c>
      <c r="E9677" s="156" t="s">
        <v>11046</v>
      </c>
      <c r="F9677" s="156" t="s">
        <v>2226</v>
      </c>
      <c r="G9677" s="156" t="s">
        <v>10177</v>
      </c>
      <c r="H9677" s="157" t="s">
        <v>211</v>
      </c>
    </row>
    <row r="9678" hidden="1">
      <c r="A9678" s="160" t="s">
        <v>233</v>
      </c>
      <c r="B9678" s="72"/>
      <c r="C9678" s="118" t="s">
        <v>232</v>
      </c>
      <c r="D9678" s="152" t="s">
        <v>10915</v>
      </c>
      <c r="E9678" s="152" t="s">
        <v>11047</v>
      </c>
      <c r="F9678" s="152" t="s">
        <v>3148</v>
      </c>
      <c r="G9678" s="152" t="s">
        <v>10344</v>
      </c>
      <c r="H9678" s="153" t="s">
        <v>212</v>
      </c>
    </row>
    <row r="9679" hidden="1">
      <c r="A9679" s="158" t="s">
        <v>233</v>
      </c>
      <c r="B9679" s="159"/>
      <c r="C9679" s="155" t="s">
        <v>232</v>
      </c>
      <c r="D9679" s="156" t="s">
        <v>10915</v>
      </c>
      <c r="E9679" s="156" t="s">
        <v>11048</v>
      </c>
      <c r="F9679" s="156" t="s">
        <v>2228</v>
      </c>
      <c r="G9679" s="156" t="s">
        <v>11049</v>
      </c>
      <c r="H9679" s="157" t="s">
        <v>213</v>
      </c>
    </row>
    <row r="9680" hidden="1">
      <c r="A9680" s="160" t="s">
        <v>233</v>
      </c>
      <c r="B9680" s="72"/>
      <c r="C9680" s="118" t="s">
        <v>232</v>
      </c>
      <c r="D9680" s="152" t="s">
        <v>10915</v>
      </c>
      <c r="E9680" s="152" t="s">
        <v>11050</v>
      </c>
      <c r="F9680" s="152" t="s">
        <v>691</v>
      </c>
      <c r="G9680" s="152" t="s">
        <v>10578</v>
      </c>
      <c r="H9680" s="153" t="s">
        <v>214</v>
      </c>
    </row>
    <row r="9681" hidden="1">
      <c r="A9681" s="158" t="s">
        <v>233</v>
      </c>
      <c r="B9681" s="159"/>
      <c r="C9681" s="155" t="s">
        <v>232</v>
      </c>
      <c r="D9681" s="156" t="s">
        <v>10915</v>
      </c>
      <c r="E9681" s="156" t="s">
        <v>11051</v>
      </c>
      <c r="F9681" s="156" t="s">
        <v>3243</v>
      </c>
      <c r="G9681" s="156" t="s">
        <v>10172</v>
      </c>
      <c r="H9681" s="157" t="s">
        <v>215</v>
      </c>
    </row>
    <row r="9682" hidden="1">
      <c r="A9682" s="160" t="s">
        <v>233</v>
      </c>
      <c r="B9682" s="72"/>
      <c r="C9682" s="118" t="s">
        <v>232</v>
      </c>
      <c r="D9682" s="152" t="s">
        <v>10915</v>
      </c>
      <c r="E9682" s="152" t="s">
        <v>11052</v>
      </c>
      <c r="F9682" s="152" t="s">
        <v>444</v>
      </c>
      <c r="G9682" s="152" t="s">
        <v>10000</v>
      </c>
      <c r="H9682" s="153" t="s">
        <v>216</v>
      </c>
    </row>
    <row r="9683" hidden="1">
      <c r="A9683" s="158" t="s">
        <v>234</v>
      </c>
      <c r="B9683" s="159"/>
      <c r="C9683" s="155" t="s">
        <v>232</v>
      </c>
      <c r="D9683" s="156" t="s">
        <v>10915</v>
      </c>
      <c r="E9683" s="156" t="s">
        <v>11053</v>
      </c>
      <c r="F9683" s="156" t="s">
        <v>3218</v>
      </c>
      <c r="G9683" s="156" t="s">
        <v>10437</v>
      </c>
      <c r="H9683" s="157" t="s">
        <v>210</v>
      </c>
    </row>
    <row r="9684" hidden="1">
      <c r="A9684" s="160" t="s">
        <v>234</v>
      </c>
      <c r="B9684" s="72"/>
      <c r="C9684" s="118" t="s">
        <v>232</v>
      </c>
      <c r="D9684" s="152" t="s">
        <v>10915</v>
      </c>
      <c r="E9684" s="152" t="s">
        <v>11054</v>
      </c>
      <c r="F9684" s="152" t="s">
        <v>354</v>
      </c>
      <c r="G9684" s="152" t="s">
        <v>10400</v>
      </c>
      <c r="H9684" s="153" t="s">
        <v>211</v>
      </c>
    </row>
    <row r="9685" hidden="1">
      <c r="A9685" s="158" t="s">
        <v>234</v>
      </c>
      <c r="B9685" s="159"/>
      <c r="C9685" s="155" t="s">
        <v>232</v>
      </c>
      <c r="D9685" s="156" t="s">
        <v>10915</v>
      </c>
      <c r="E9685" s="156" t="s">
        <v>11055</v>
      </c>
      <c r="F9685" s="156" t="s">
        <v>577</v>
      </c>
      <c r="G9685" s="156" t="s">
        <v>10467</v>
      </c>
      <c r="H9685" s="157" t="s">
        <v>212</v>
      </c>
    </row>
    <row r="9686" hidden="1">
      <c r="A9686" s="160" t="s">
        <v>234</v>
      </c>
      <c r="B9686" s="72"/>
      <c r="C9686" s="118" t="s">
        <v>232</v>
      </c>
      <c r="D9686" s="152" t="s">
        <v>10915</v>
      </c>
      <c r="E9686" s="152" t="s">
        <v>11056</v>
      </c>
      <c r="F9686" s="152" t="s">
        <v>450</v>
      </c>
      <c r="G9686" s="152" t="s">
        <v>9814</v>
      </c>
      <c r="H9686" s="153" t="s">
        <v>213</v>
      </c>
    </row>
    <row r="9687" hidden="1">
      <c r="A9687" s="158" t="s">
        <v>234</v>
      </c>
      <c r="B9687" s="159"/>
      <c r="C9687" s="155" t="s">
        <v>232</v>
      </c>
      <c r="D9687" s="156" t="s">
        <v>10915</v>
      </c>
      <c r="E9687" s="156" t="s">
        <v>11057</v>
      </c>
      <c r="F9687" s="156" t="s">
        <v>799</v>
      </c>
      <c r="G9687" s="156" t="s">
        <v>10297</v>
      </c>
      <c r="H9687" s="157" t="s">
        <v>214</v>
      </c>
    </row>
    <row r="9688" hidden="1">
      <c r="A9688" s="160" t="s">
        <v>234</v>
      </c>
      <c r="B9688" s="72"/>
      <c r="C9688" s="118" t="s">
        <v>232</v>
      </c>
      <c r="D9688" s="152" t="s">
        <v>10915</v>
      </c>
      <c r="E9688" s="152" t="s">
        <v>11058</v>
      </c>
      <c r="F9688" s="152" t="s">
        <v>677</v>
      </c>
      <c r="G9688" s="152" t="s">
        <v>9490</v>
      </c>
      <c r="H9688" s="153" t="s">
        <v>215</v>
      </c>
    </row>
    <row r="9689" hidden="1">
      <c r="A9689" s="158" t="s">
        <v>234</v>
      </c>
      <c r="B9689" s="159"/>
      <c r="C9689" s="155" t="s">
        <v>232</v>
      </c>
      <c r="D9689" s="156" t="s">
        <v>10915</v>
      </c>
      <c r="E9689" s="156" t="s">
        <v>11059</v>
      </c>
      <c r="F9689" s="156" t="s">
        <v>677</v>
      </c>
      <c r="G9689" s="156" t="s">
        <v>11060</v>
      </c>
      <c r="H9689" s="157" t="s">
        <v>216</v>
      </c>
    </row>
    <row r="9690" hidden="1">
      <c r="A9690" s="160" t="s">
        <v>235</v>
      </c>
      <c r="B9690" s="72"/>
      <c r="C9690" s="118" t="s">
        <v>236</v>
      </c>
      <c r="D9690" s="152" t="s">
        <v>10915</v>
      </c>
      <c r="E9690" s="152" t="s">
        <v>11061</v>
      </c>
      <c r="F9690" s="152" t="s">
        <v>3625</v>
      </c>
      <c r="G9690" s="152" t="s">
        <v>11062</v>
      </c>
      <c r="H9690" s="153" t="s">
        <v>210</v>
      </c>
    </row>
    <row r="9691" hidden="1">
      <c r="A9691" s="158" t="s">
        <v>235</v>
      </c>
      <c r="B9691" s="159"/>
      <c r="C9691" s="155" t="s">
        <v>236</v>
      </c>
      <c r="D9691" s="156" t="s">
        <v>10915</v>
      </c>
      <c r="E9691" s="156" t="s">
        <v>11063</v>
      </c>
      <c r="F9691" s="156" t="s">
        <v>1931</v>
      </c>
      <c r="G9691" s="156" t="s">
        <v>11062</v>
      </c>
      <c r="H9691" s="157" t="s">
        <v>211</v>
      </c>
    </row>
    <row r="9692" hidden="1">
      <c r="A9692" s="160" t="s">
        <v>235</v>
      </c>
      <c r="B9692" s="72"/>
      <c r="C9692" s="118" t="s">
        <v>236</v>
      </c>
      <c r="D9692" s="152" t="s">
        <v>10915</v>
      </c>
      <c r="E9692" s="152" t="s">
        <v>11064</v>
      </c>
      <c r="F9692" s="152" t="s">
        <v>3145</v>
      </c>
      <c r="G9692" s="152" t="s">
        <v>10775</v>
      </c>
      <c r="H9692" s="153" t="s">
        <v>212</v>
      </c>
    </row>
    <row r="9693" hidden="1">
      <c r="A9693" s="158" t="s">
        <v>235</v>
      </c>
      <c r="B9693" s="159"/>
      <c r="C9693" s="155" t="s">
        <v>236</v>
      </c>
      <c r="D9693" s="156" t="s">
        <v>10915</v>
      </c>
      <c r="E9693" s="156" t="s">
        <v>11065</v>
      </c>
      <c r="F9693" s="156" t="s">
        <v>2226</v>
      </c>
      <c r="G9693" s="156" t="s">
        <v>9667</v>
      </c>
      <c r="H9693" s="157" t="s">
        <v>213</v>
      </c>
    </row>
    <row r="9694" hidden="1">
      <c r="A9694" s="160" t="s">
        <v>235</v>
      </c>
      <c r="B9694" s="72"/>
      <c r="C9694" s="118" t="s">
        <v>236</v>
      </c>
      <c r="D9694" s="152" t="s">
        <v>10915</v>
      </c>
      <c r="E9694" s="152" t="s">
        <v>11066</v>
      </c>
      <c r="F9694" s="152" t="s">
        <v>3346</v>
      </c>
      <c r="G9694" s="152" t="s">
        <v>9577</v>
      </c>
      <c r="H9694" s="153" t="s">
        <v>214</v>
      </c>
    </row>
    <row r="9695" hidden="1">
      <c r="A9695" s="158" t="s">
        <v>235</v>
      </c>
      <c r="B9695" s="159"/>
      <c r="C9695" s="155" t="s">
        <v>236</v>
      </c>
      <c r="D9695" s="156" t="s">
        <v>10915</v>
      </c>
      <c r="E9695" s="156" t="s">
        <v>11067</v>
      </c>
      <c r="F9695" s="156" t="s">
        <v>3145</v>
      </c>
      <c r="G9695" s="156" t="s">
        <v>10864</v>
      </c>
      <c r="H9695" s="157" t="s">
        <v>215</v>
      </c>
    </row>
    <row r="9696" hidden="1">
      <c r="A9696" s="160" t="s">
        <v>235</v>
      </c>
      <c r="B9696" s="72"/>
      <c r="C9696" s="118" t="s">
        <v>236</v>
      </c>
      <c r="D9696" s="152" t="s">
        <v>10915</v>
      </c>
      <c r="E9696" s="152" t="s">
        <v>11068</v>
      </c>
      <c r="F9696" s="152" t="s">
        <v>1931</v>
      </c>
      <c r="G9696" s="152" t="s">
        <v>11069</v>
      </c>
      <c r="H9696" s="153" t="s">
        <v>216</v>
      </c>
    </row>
    <row r="9697" hidden="1">
      <c r="A9697" s="158" t="s">
        <v>237</v>
      </c>
      <c r="B9697" s="159"/>
      <c r="C9697" s="155" t="s">
        <v>236</v>
      </c>
      <c r="D9697" s="156" t="s">
        <v>10915</v>
      </c>
      <c r="E9697" s="156" t="s">
        <v>11070</v>
      </c>
      <c r="F9697" s="156" t="s">
        <v>348</v>
      </c>
      <c r="G9697" s="156" t="s">
        <v>11071</v>
      </c>
      <c r="H9697" s="157" t="s">
        <v>210</v>
      </c>
    </row>
    <row r="9698" hidden="1">
      <c r="A9698" s="160" t="s">
        <v>237</v>
      </c>
      <c r="B9698" s="72"/>
      <c r="C9698" s="118" t="s">
        <v>236</v>
      </c>
      <c r="D9698" s="152" t="s">
        <v>10915</v>
      </c>
      <c r="E9698" s="152" t="s">
        <v>11072</v>
      </c>
      <c r="F9698" s="152" t="s">
        <v>766</v>
      </c>
      <c r="G9698" s="152" t="s">
        <v>9812</v>
      </c>
      <c r="H9698" s="153" t="s">
        <v>211</v>
      </c>
    </row>
    <row r="9699" hidden="1">
      <c r="A9699" s="158" t="s">
        <v>237</v>
      </c>
      <c r="B9699" s="159"/>
      <c r="C9699" s="155" t="s">
        <v>236</v>
      </c>
      <c r="D9699" s="156" t="s">
        <v>10915</v>
      </c>
      <c r="E9699" s="156" t="s">
        <v>11073</v>
      </c>
      <c r="F9699" s="156" t="s">
        <v>448</v>
      </c>
      <c r="G9699" s="156" t="s">
        <v>10185</v>
      </c>
      <c r="H9699" s="157" t="s">
        <v>212</v>
      </c>
    </row>
    <row r="9700" hidden="1">
      <c r="A9700" s="160" t="s">
        <v>237</v>
      </c>
      <c r="B9700" s="72"/>
      <c r="C9700" s="118" t="s">
        <v>236</v>
      </c>
      <c r="D9700" s="152" t="s">
        <v>10915</v>
      </c>
      <c r="E9700" s="152" t="s">
        <v>11074</v>
      </c>
      <c r="F9700" s="152" t="s">
        <v>494</v>
      </c>
      <c r="G9700" s="152" t="s">
        <v>10911</v>
      </c>
      <c r="H9700" s="153" t="s">
        <v>213</v>
      </c>
    </row>
    <row r="9701" hidden="1">
      <c r="A9701" s="158" t="s">
        <v>237</v>
      </c>
      <c r="B9701" s="159"/>
      <c r="C9701" s="155" t="s">
        <v>236</v>
      </c>
      <c r="D9701" s="156" t="s">
        <v>10915</v>
      </c>
      <c r="E9701" s="156" t="s">
        <v>11075</v>
      </c>
      <c r="F9701" s="156" t="s">
        <v>677</v>
      </c>
      <c r="G9701" s="156" t="s">
        <v>9818</v>
      </c>
      <c r="H9701" s="157" t="s">
        <v>214</v>
      </c>
    </row>
    <row r="9702" hidden="1">
      <c r="A9702" s="160" t="s">
        <v>237</v>
      </c>
      <c r="B9702" s="72"/>
      <c r="C9702" s="118" t="s">
        <v>236</v>
      </c>
      <c r="D9702" s="152" t="s">
        <v>10915</v>
      </c>
      <c r="E9702" s="152" t="s">
        <v>11076</v>
      </c>
      <c r="F9702" s="152" t="s">
        <v>673</v>
      </c>
      <c r="G9702" s="152" t="s">
        <v>9492</v>
      </c>
      <c r="H9702" s="153" t="s">
        <v>215</v>
      </c>
    </row>
    <row r="9703" hidden="1">
      <c r="A9703" s="158" t="s">
        <v>237</v>
      </c>
      <c r="B9703" s="159"/>
      <c r="C9703" s="155" t="s">
        <v>236</v>
      </c>
      <c r="D9703" s="156" t="s">
        <v>10915</v>
      </c>
      <c r="E9703" s="156" t="s">
        <v>11077</v>
      </c>
      <c r="F9703" s="156" t="s">
        <v>763</v>
      </c>
      <c r="G9703" s="156" t="s">
        <v>10469</v>
      </c>
      <c r="H9703" s="157" t="s">
        <v>216</v>
      </c>
    </row>
    <row r="9704" hidden="1">
      <c r="A9704" s="151" t="s">
        <v>204</v>
      </c>
      <c r="B9704" s="118" t="s">
        <v>205</v>
      </c>
      <c r="C9704" s="118" t="s">
        <v>206</v>
      </c>
      <c r="D9704" s="152" t="s">
        <v>11078</v>
      </c>
      <c r="E9704" s="152" t="s">
        <v>11079</v>
      </c>
      <c r="F9704" s="152" t="s">
        <v>497</v>
      </c>
      <c r="G9704" s="152" t="s">
        <v>9928</v>
      </c>
      <c r="H9704" s="153" t="s">
        <v>210</v>
      </c>
    </row>
    <row r="9705" hidden="1">
      <c r="A9705" s="154" t="s">
        <v>204</v>
      </c>
      <c r="B9705" s="155" t="s">
        <v>205</v>
      </c>
      <c r="C9705" s="155" t="s">
        <v>206</v>
      </c>
      <c r="D9705" s="156" t="s">
        <v>11078</v>
      </c>
      <c r="E9705" s="156" t="s">
        <v>11080</v>
      </c>
      <c r="F9705" s="156" t="s">
        <v>2215</v>
      </c>
      <c r="G9705" s="156" t="s">
        <v>10769</v>
      </c>
      <c r="H9705" s="157" t="s">
        <v>211</v>
      </c>
    </row>
    <row r="9706" hidden="1">
      <c r="A9706" s="151" t="s">
        <v>204</v>
      </c>
      <c r="B9706" s="118" t="s">
        <v>205</v>
      </c>
      <c r="C9706" s="118" t="s">
        <v>206</v>
      </c>
      <c r="D9706" s="152" t="s">
        <v>11078</v>
      </c>
      <c r="E9706" s="152" t="s">
        <v>11081</v>
      </c>
      <c r="F9706" s="152" t="s">
        <v>3198</v>
      </c>
      <c r="G9706" s="152" t="s">
        <v>11082</v>
      </c>
      <c r="H9706" s="153" t="s">
        <v>212</v>
      </c>
    </row>
    <row r="9707" hidden="1">
      <c r="A9707" s="154" t="s">
        <v>204</v>
      </c>
      <c r="B9707" s="155" t="s">
        <v>205</v>
      </c>
      <c r="C9707" s="155" t="s">
        <v>206</v>
      </c>
      <c r="D9707" s="156" t="s">
        <v>11078</v>
      </c>
      <c r="E9707" s="156" t="s">
        <v>11083</v>
      </c>
      <c r="F9707" s="156" t="s">
        <v>497</v>
      </c>
      <c r="G9707" s="156" t="s">
        <v>9660</v>
      </c>
      <c r="H9707" s="157" t="s">
        <v>213</v>
      </c>
    </row>
    <row r="9708" hidden="1">
      <c r="A9708" s="151" t="s">
        <v>204</v>
      </c>
      <c r="B9708" s="118" t="s">
        <v>205</v>
      </c>
      <c r="C9708" s="118" t="s">
        <v>206</v>
      </c>
      <c r="D9708" s="152" t="s">
        <v>11078</v>
      </c>
      <c r="E9708" s="152" t="s">
        <v>11084</v>
      </c>
      <c r="F9708" s="152" t="s">
        <v>691</v>
      </c>
      <c r="G9708" s="152" t="s">
        <v>10600</v>
      </c>
      <c r="H9708" s="153" t="s">
        <v>214</v>
      </c>
    </row>
    <row r="9709" hidden="1">
      <c r="A9709" s="154" t="s">
        <v>204</v>
      </c>
      <c r="B9709" s="155" t="s">
        <v>205</v>
      </c>
      <c r="C9709" s="155" t="s">
        <v>206</v>
      </c>
      <c r="D9709" s="156" t="s">
        <v>11078</v>
      </c>
      <c r="E9709" s="156" t="s">
        <v>11085</v>
      </c>
      <c r="F9709" s="156" t="s">
        <v>3198</v>
      </c>
      <c r="G9709" s="156" t="s">
        <v>9994</v>
      </c>
      <c r="H9709" s="157" t="s">
        <v>215</v>
      </c>
    </row>
    <row r="9710" hidden="1">
      <c r="A9710" s="151" t="s">
        <v>204</v>
      </c>
      <c r="B9710" s="118" t="s">
        <v>205</v>
      </c>
      <c r="C9710" s="118" t="s">
        <v>206</v>
      </c>
      <c r="D9710" s="152" t="s">
        <v>11078</v>
      </c>
      <c r="E9710" s="152" t="s">
        <v>11086</v>
      </c>
      <c r="F9710" s="152" t="s">
        <v>1948</v>
      </c>
      <c r="G9710" s="152" t="s">
        <v>11087</v>
      </c>
      <c r="H9710" s="153" t="s">
        <v>216</v>
      </c>
    </row>
    <row r="9711" hidden="1">
      <c r="A9711" s="154" t="s">
        <v>217</v>
      </c>
      <c r="B9711" s="155" t="s">
        <v>191</v>
      </c>
      <c r="C9711" s="155" t="s">
        <v>206</v>
      </c>
      <c r="D9711" s="156" t="s">
        <v>11078</v>
      </c>
      <c r="E9711" s="156" t="s">
        <v>11088</v>
      </c>
      <c r="F9711" s="156" t="s">
        <v>405</v>
      </c>
      <c r="G9711" s="156" t="s">
        <v>9838</v>
      </c>
      <c r="H9711" s="157" t="s">
        <v>210</v>
      </c>
    </row>
    <row r="9712" hidden="1">
      <c r="A9712" s="151" t="s">
        <v>217</v>
      </c>
      <c r="B9712" s="118" t="s">
        <v>191</v>
      </c>
      <c r="C9712" s="118" t="s">
        <v>206</v>
      </c>
      <c r="D9712" s="152" t="s">
        <v>11078</v>
      </c>
      <c r="E9712" s="152" t="s">
        <v>11089</v>
      </c>
      <c r="F9712" s="152" t="s">
        <v>1532</v>
      </c>
      <c r="G9712" s="152" t="s">
        <v>11090</v>
      </c>
      <c r="H9712" s="153" t="s">
        <v>211</v>
      </c>
    </row>
    <row r="9713" hidden="1">
      <c r="A9713" s="154" t="s">
        <v>217</v>
      </c>
      <c r="B9713" s="155" t="s">
        <v>191</v>
      </c>
      <c r="C9713" s="155" t="s">
        <v>206</v>
      </c>
      <c r="D9713" s="156" t="s">
        <v>11078</v>
      </c>
      <c r="E9713" s="156" t="s">
        <v>11091</v>
      </c>
      <c r="F9713" s="156" t="s">
        <v>673</v>
      </c>
      <c r="G9713" s="156" t="s">
        <v>9998</v>
      </c>
      <c r="H9713" s="157" t="s">
        <v>212</v>
      </c>
    </row>
    <row r="9714" hidden="1">
      <c r="A9714" s="151" t="s">
        <v>217</v>
      </c>
      <c r="B9714" s="118" t="s">
        <v>191</v>
      </c>
      <c r="C9714" s="118" t="s">
        <v>206</v>
      </c>
      <c r="D9714" s="152" t="s">
        <v>11078</v>
      </c>
      <c r="E9714" s="152" t="s">
        <v>11092</v>
      </c>
      <c r="F9714" s="152" t="s">
        <v>3346</v>
      </c>
      <c r="G9714" s="152" t="s">
        <v>11093</v>
      </c>
      <c r="H9714" s="153" t="s">
        <v>213</v>
      </c>
    </row>
    <row r="9715" hidden="1">
      <c r="A9715" s="154" t="s">
        <v>217</v>
      </c>
      <c r="B9715" s="155" t="s">
        <v>191</v>
      </c>
      <c r="C9715" s="155" t="s">
        <v>206</v>
      </c>
      <c r="D9715" s="156" t="s">
        <v>11078</v>
      </c>
      <c r="E9715" s="156" t="s">
        <v>11094</v>
      </c>
      <c r="F9715" s="156" t="s">
        <v>758</v>
      </c>
      <c r="G9715" s="156" t="s">
        <v>10942</v>
      </c>
      <c r="H9715" s="157" t="s">
        <v>214</v>
      </c>
    </row>
    <row r="9716" hidden="1">
      <c r="A9716" s="151" t="s">
        <v>217</v>
      </c>
      <c r="B9716" s="118" t="s">
        <v>191</v>
      </c>
      <c r="C9716" s="118" t="s">
        <v>206</v>
      </c>
      <c r="D9716" s="152" t="s">
        <v>11078</v>
      </c>
      <c r="E9716" s="152" t="s">
        <v>11095</v>
      </c>
      <c r="F9716" s="152" t="s">
        <v>629</v>
      </c>
      <c r="G9716" s="152" t="s">
        <v>10778</v>
      </c>
      <c r="H9716" s="153" t="s">
        <v>215</v>
      </c>
    </row>
    <row r="9717" hidden="1">
      <c r="A9717" s="154" t="s">
        <v>217</v>
      </c>
      <c r="B9717" s="155" t="s">
        <v>191</v>
      </c>
      <c r="C9717" s="155" t="s">
        <v>206</v>
      </c>
      <c r="D9717" s="156" t="s">
        <v>11078</v>
      </c>
      <c r="E9717" s="156" t="s">
        <v>11096</v>
      </c>
      <c r="F9717" s="156" t="s">
        <v>673</v>
      </c>
      <c r="G9717" s="156" t="s">
        <v>10447</v>
      </c>
      <c r="H9717" s="157" t="s">
        <v>216</v>
      </c>
    </row>
    <row r="9718" hidden="1">
      <c r="A9718" s="151" t="s">
        <v>218</v>
      </c>
      <c r="B9718" s="118" t="s">
        <v>219</v>
      </c>
      <c r="C9718" s="118" t="s">
        <v>206</v>
      </c>
      <c r="D9718" s="152" t="s">
        <v>11078</v>
      </c>
      <c r="E9718" s="152" t="s">
        <v>11097</v>
      </c>
      <c r="F9718" s="152" t="s">
        <v>497</v>
      </c>
      <c r="G9718" s="152" t="s">
        <v>11098</v>
      </c>
      <c r="H9718" s="153" t="s">
        <v>210</v>
      </c>
    </row>
    <row r="9719" hidden="1">
      <c r="A9719" s="154" t="s">
        <v>218</v>
      </c>
      <c r="B9719" s="155" t="s">
        <v>219</v>
      </c>
      <c r="C9719" s="155" t="s">
        <v>206</v>
      </c>
      <c r="D9719" s="156" t="s">
        <v>11078</v>
      </c>
      <c r="E9719" s="156" t="s">
        <v>11099</v>
      </c>
      <c r="F9719" s="156" t="s">
        <v>587</v>
      </c>
      <c r="G9719" s="156" t="s">
        <v>9846</v>
      </c>
      <c r="H9719" s="157" t="s">
        <v>211</v>
      </c>
    </row>
    <row r="9720" hidden="1">
      <c r="A9720" s="151" t="s">
        <v>218</v>
      </c>
      <c r="B9720" s="118" t="s">
        <v>219</v>
      </c>
      <c r="C9720" s="118" t="s">
        <v>206</v>
      </c>
      <c r="D9720" s="152" t="s">
        <v>11078</v>
      </c>
      <c r="E9720" s="152" t="s">
        <v>11100</v>
      </c>
      <c r="F9720" s="152" t="s">
        <v>3145</v>
      </c>
      <c r="G9720" s="152" t="s">
        <v>10876</v>
      </c>
      <c r="H9720" s="153" t="s">
        <v>212</v>
      </c>
    </row>
    <row r="9721" hidden="1">
      <c r="A9721" s="154" t="s">
        <v>218</v>
      </c>
      <c r="B9721" s="155" t="s">
        <v>219</v>
      </c>
      <c r="C9721" s="155" t="s">
        <v>206</v>
      </c>
      <c r="D9721" s="156" t="s">
        <v>11078</v>
      </c>
      <c r="E9721" s="156" t="s">
        <v>11101</v>
      </c>
      <c r="F9721" s="156" t="s">
        <v>2226</v>
      </c>
      <c r="G9721" s="156" t="s">
        <v>11102</v>
      </c>
      <c r="H9721" s="157" t="s">
        <v>213</v>
      </c>
    </row>
    <row r="9722" hidden="1">
      <c r="A9722" s="151" t="s">
        <v>218</v>
      </c>
      <c r="B9722" s="118" t="s">
        <v>219</v>
      </c>
      <c r="C9722" s="118" t="s">
        <v>206</v>
      </c>
      <c r="D9722" s="152" t="s">
        <v>11078</v>
      </c>
      <c r="E9722" s="152" t="s">
        <v>11103</v>
      </c>
      <c r="F9722" s="152" t="s">
        <v>3145</v>
      </c>
      <c r="G9722" s="152" t="s">
        <v>10931</v>
      </c>
      <c r="H9722" s="153" t="s">
        <v>214</v>
      </c>
    </row>
    <row r="9723" hidden="1">
      <c r="A9723" s="154" t="s">
        <v>218</v>
      </c>
      <c r="B9723" s="155" t="s">
        <v>219</v>
      </c>
      <c r="C9723" s="155" t="s">
        <v>206</v>
      </c>
      <c r="D9723" s="156" t="s">
        <v>11078</v>
      </c>
      <c r="E9723" s="156" t="s">
        <v>11104</v>
      </c>
      <c r="F9723" s="156" t="s">
        <v>444</v>
      </c>
      <c r="G9723" s="156" t="s">
        <v>10272</v>
      </c>
      <c r="H9723" s="157" t="s">
        <v>215</v>
      </c>
    </row>
    <row r="9724" hidden="1">
      <c r="A9724" s="151" t="s">
        <v>218</v>
      </c>
      <c r="B9724" s="118" t="s">
        <v>219</v>
      </c>
      <c r="C9724" s="118" t="s">
        <v>206</v>
      </c>
      <c r="D9724" s="152" t="s">
        <v>11078</v>
      </c>
      <c r="E9724" s="152" t="s">
        <v>11105</v>
      </c>
      <c r="F9724" s="152" t="s">
        <v>444</v>
      </c>
      <c r="G9724" s="152" t="s">
        <v>10781</v>
      </c>
      <c r="H9724" s="153" t="s">
        <v>216</v>
      </c>
    </row>
    <row r="9725" hidden="1">
      <c r="A9725" s="154" t="s">
        <v>220</v>
      </c>
      <c r="B9725" s="155" t="s">
        <v>190</v>
      </c>
      <c r="C9725" s="155" t="s">
        <v>206</v>
      </c>
      <c r="D9725" s="156" t="s">
        <v>11078</v>
      </c>
      <c r="E9725" s="156" t="s">
        <v>11106</v>
      </c>
      <c r="F9725" s="156" t="s">
        <v>1948</v>
      </c>
      <c r="G9725" s="156" t="s">
        <v>11107</v>
      </c>
      <c r="H9725" s="157" t="s">
        <v>210</v>
      </c>
    </row>
    <row r="9726" hidden="1">
      <c r="A9726" s="151" t="s">
        <v>220</v>
      </c>
      <c r="B9726" s="118" t="s">
        <v>190</v>
      </c>
      <c r="C9726" s="118" t="s">
        <v>206</v>
      </c>
      <c r="D9726" s="152" t="s">
        <v>11078</v>
      </c>
      <c r="E9726" s="152" t="s">
        <v>11108</v>
      </c>
      <c r="F9726" s="152" t="s">
        <v>2215</v>
      </c>
      <c r="G9726" s="152" t="s">
        <v>11109</v>
      </c>
      <c r="H9726" s="153" t="s">
        <v>211</v>
      </c>
    </row>
    <row r="9727" hidden="1">
      <c r="A9727" s="154" t="s">
        <v>220</v>
      </c>
      <c r="B9727" s="155" t="s">
        <v>190</v>
      </c>
      <c r="C9727" s="155" t="s">
        <v>206</v>
      </c>
      <c r="D9727" s="156" t="s">
        <v>11078</v>
      </c>
      <c r="E9727" s="156" t="s">
        <v>11110</v>
      </c>
      <c r="F9727" s="156" t="s">
        <v>3243</v>
      </c>
      <c r="G9727" s="156" t="s">
        <v>11111</v>
      </c>
      <c r="H9727" s="157" t="s">
        <v>212</v>
      </c>
    </row>
    <row r="9728" hidden="1">
      <c r="A9728" s="151" t="s">
        <v>220</v>
      </c>
      <c r="B9728" s="118" t="s">
        <v>190</v>
      </c>
      <c r="C9728" s="118" t="s">
        <v>206</v>
      </c>
      <c r="D9728" s="152" t="s">
        <v>11078</v>
      </c>
      <c r="E9728" s="152" t="s">
        <v>11112</v>
      </c>
      <c r="F9728" s="152" t="s">
        <v>3340</v>
      </c>
      <c r="G9728" s="152" t="s">
        <v>11113</v>
      </c>
      <c r="H9728" s="153" t="s">
        <v>213</v>
      </c>
    </row>
    <row r="9729" hidden="1">
      <c r="A9729" s="154" t="s">
        <v>220</v>
      </c>
      <c r="B9729" s="155" t="s">
        <v>190</v>
      </c>
      <c r="C9729" s="155" t="s">
        <v>206</v>
      </c>
      <c r="D9729" s="156" t="s">
        <v>11078</v>
      </c>
      <c r="E9729" s="156" t="s">
        <v>11114</v>
      </c>
      <c r="F9729" s="156" t="s">
        <v>448</v>
      </c>
      <c r="G9729" s="156" t="s">
        <v>11115</v>
      </c>
      <c r="H9729" s="157" t="s">
        <v>214</v>
      </c>
    </row>
    <row r="9730" hidden="1">
      <c r="A9730" s="151" t="s">
        <v>220</v>
      </c>
      <c r="B9730" s="118" t="s">
        <v>190</v>
      </c>
      <c r="C9730" s="118" t="s">
        <v>206</v>
      </c>
      <c r="D9730" s="152" t="s">
        <v>11078</v>
      </c>
      <c r="E9730" s="152" t="s">
        <v>11116</v>
      </c>
      <c r="F9730" s="152" t="s">
        <v>760</v>
      </c>
      <c r="G9730" s="152" t="s">
        <v>10618</v>
      </c>
      <c r="H9730" s="153" t="s">
        <v>215</v>
      </c>
    </row>
    <row r="9731" hidden="1">
      <c r="A9731" s="154" t="s">
        <v>220</v>
      </c>
      <c r="B9731" s="155" t="s">
        <v>190</v>
      </c>
      <c r="C9731" s="155" t="s">
        <v>206</v>
      </c>
      <c r="D9731" s="156" t="s">
        <v>11078</v>
      </c>
      <c r="E9731" s="156" t="s">
        <v>11117</v>
      </c>
      <c r="F9731" s="156" t="s">
        <v>3359</v>
      </c>
      <c r="G9731" s="156" t="s">
        <v>9841</v>
      </c>
      <c r="H9731" s="157" t="s">
        <v>216</v>
      </c>
    </row>
    <row r="9732" hidden="1">
      <c r="A9732" s="151" t="s">
        <v>221</v>
      </c>
      <c r="B9732" s="118" t="s">
        <v>189</v>
      </c>
      <c r="C9732" s="118" t="s">
        <v>206</v>
      </c>
      <c r="D9732" s="152" t="s">
        <v>11078</v>
      </c>
      <c r="E9732" s="152" t="s">
        <v>11118</v>
      </c>
      <c r="F9732" s="152" t="s">
        <v>7374</v>
      </c>
      <c r="G9732" s="152" t="s">
        <v>10447</v>
      </c>
      <c r="H9732" s="153" t="s">
        <v>210</v>
      </c>
    </row>
    <row r="9733" hidden="1">
      <c r="A9733" s="154" t="s">
        <v>221</v>
      </c>
      <c r="B9733" s="155" t="s">
        <v>189</v>
      </c>
      <c r="C9733" s="155" t="s">
        <v>206</v>
      </c>
      <c r="D9733" s="156" t="s">
        <v>11078</v>
      </c>
      <c r="E9733" s="156" t="s">
        <v>11119</v>
      </c>
      <c r="F9733" s="156" t="s">
        <v>3153</v>
      </c>
      <c r="G9733" s="156" t="s">
        <v>11120</v>
      </c>
      <c r="H9733" s="157" t="s">
        <v>211</v>
      </c>
    </row>
    <row r="9734" hidden="1">
      <c r="A9734" s="151" t="s">
        <v>221</v>
      </c>
      <c r="B9734" s="118" t="s">
        <v>189</v>
      </c>
      <c r="C9734" s="118" t="s">
        <v>206</v>
      </c>
      <c r="D9734" s="152" t="s">
        <v>11078</v>
      </c>
      <c r="E9734" s="152" t="s">
        <v>11121</v>
      </c>
      <c r="F9734" s="152" t="s">
        <v>631</v>
      </c>
      <c r="G9734" s="152" t="s">
        <v>11032</v>
      </c>
      <c r="H9734" s="153" t="s">
        <v>212</v>
      </c>
    </row>
    <row r="9735" hidden="1">
      <c r="A9735" s="154" t="s">
        <v>221</v>
      </c>
      <c r="B9735" s="155" t="s">
        <v>189</v>
      </c>
      <c r="C9735" s="155" t="s">
        <v>206</v>
      </c>
      <c r="D9735" s="156" t="s">
        <v>11078</v>
      </c>
      <c r="E9735" s="156" t="s">
        <v>11122</v>
      </c>
      <c r="F9735" s="156" t="s">
        <v>637</v>
      </c>
      <c r="G9735" s="156" t="s">
        <v>9990</v>
      </c>
      <c r="H9735" s="157" t="s">
        <v>213</v>
      </c>
    </row>
    <row r="9736" hidden="1">
      <c r="A9736" s="151" t="s">
        <v>221</v>
      </c>
      <c r="B9736" s="118" t="s">
        <v>189</v>
      </c>
      <c r="C9736" s="118" t="s">
        <v>206</v>
      </c>
      <c r="D9736" s="152" t="s">
        <v>11078</v>
      </c>
      <c r="E9736" s="152" t="s">
        <v>11123</v>
      </c>
      <c r="F9736" s="152" t="s">
        <v>2249</v>
      </c>
      <c r="G9736" s="152" t="s">
        <v>10351</v>
      </c>
      <c r="H9736" s="153" t="s">
        <v>214</v>
      </c>
    </row>
    <row r="9737" hidden="1">
      <c r="A9737" s="154" t="s">
        <v>221</v>
      </c>
      <c r="B9737" s="155" t="s">
        <v>189</v>
      </c>
      <c r="C9737" s="155" t="s">
        <v>206</v>
      </c>
      <c r="D9737" s="156" t="s">
        <v>11078</v>
      </c>
      <c r="E9737" s="156" t="s">
        <v>11124</v>
      </c>
      <c r="F9737" s="156" t="s">
        <v>691</v>
      </c>
      <c r="G9737" s="156" t="s">
        <v>9729</v>
      </c>
      <c r="H9737" s="157" t="s">
        <v>215</v>
      </c>
    </row>
    <row r="9738" hidden="1">
      <c r="A9738" s="151" t="s">
        <v>221</v>
      </c>
      <c r="B9738" s="118" t="s">
        <v>189</v>
      </c>
      <c r="C9738" s="118" t="s">
        <v>206</v>
      </c>
      <c r="D9738" s="152" t="s">
        <v>11078</v>
      </c>
      <c r="E9738" s="152" t="s">
        <v>11125</v>
      </c>
      <c r="F9738" s="152" t="s">
        <v>2807</v>
      </c>
      <c r="G9738" s="152" t="s">
        <v>10802</v>
      </c>
      <c r="H9738" s="153" t="s">
        <v>216</v>
      </c>
    </row>
    <row r="9739" hidden="1">
      <c r="A9739" s="154" t="s">
        <v>222</v>
      </c>
      <c r="B9739" s="155" t="s">
        <v>192</v>
      </c>
      <c r="C9739" s="155" t="s">
        <v>206</v>
      </c>
      <c r="D9739" s="156" t="s">
        <v>11078</v>
      </c>
      <c r="E9739" s="156" t="s">
        <v>11126</v>
      </c>
      <c r="F9739" s="156" t="s">
        <v>2226</v>
      </c>
      <c r="G9739" s="156" t="s">
        <v>11127</v>
      </c>
      <c r="H9739" s="157" t="s">
        <v>210</v>
      </c>
    </row>
    <row r="9740" hidden="1">
      <c r="A9740" s="151" t="s">
        <v>222</v>
      </c>
      <c r="B9740" s="118" t="s">
        <v>192</v>
      </c>
      <c r="C9740" s="118" t="s">
        <v>206</v>
      </c>
      <c r="D9740" s="152" t="s">
        <v>11078</v>
      </c>
      <c r="E9740" s="152" t="s">
        <v>11128</v>
      </c>
      <c r="F9740" s="152" t="s">
        <v>3148</v>
      </c>
      <c r="G9740" s="152" t="s">
        <v>11129</v>
      </c>
      <c r="H9740" s="153" t="s">
        <v>211</v>
      </c>
    </row>
    <row r="9741" hidden="1">
      <c r="A9741" s="154" t="s">
        <v>222</v>
      </c>
      <c r="B9741" s="155" t="s">
        <v>192</v>
      </c>
      <c r="C9741" s="155" t="s">
        <v>206</v>
      </c>
      <c r="D9741" s="156" t="s">
        <v>11078</v>
      </c>
      <c r="E9741" s="156" t="s">
        <v>11130</v>
      </c>
      <c r="F9741" s="156" t="s">
        <v>2226</v>
      </c>
      <c r="G9741" s="156" t="s">
        <v>11109</v>
      </c>
      <c r="H9741" s="157" t="s">
        <v>212</v>
      </c>
    </row>
    <row r="9742" hidden="1">
      <c r="A9742" s="151" t="s">
        <v>222</v>
      </c>
      <c r="B9742" s="118" t="s">
        <v>192</v>
      </c>
      <c r="C9742" s="118" t="s">
        <v>206</v>
      </c>
      <c r="D9742" s="152" t="s">
        <v>11078</v>
      </c>
      <c r="E9742" s="152" t="s">
        <v>11131</v>
      </c>
      <c r="F9742" s="152" t="s">
        <v>732</v>
      </c>
      <c r="G9742" s="152" t="s">
        <v>9843</v>
      </c>
      <c r="H9742" s="153" t="s">
        <v>213</v>
      </c>
    </row>
    <row r="9743" hidden="1">
      <c r="A9743" s="154" t="s">
        <v>222</v>
      </c>
      <c r="B9743" s="155" t="s">
        <v>192</v>
      </c>
      <c r="C9743" s="155" t="s">
        <v>206</v>
      </c>
      <c r="D9743" s="156" t="s">
        <v>11078</v>
      </c>
      <c r="E9743" s="156" t="s">
        <v>11132</v>
      </c>
      <c r="F9743" s="156" t="s">
        <v>2226</v>
      </c>
      <c r="G9743" s="156" t="s">
        <v>11133</v>
      </c>
      <c r="H9743" s="157" t="s">
        <v>214</v>
      </c>
    </row>
    <row r="9744" hidden="1">
      <c r="A9744" s="151" t="s">
        <v>222</v>
      </c>
      <c r="B9744" s="118" t="s">
        <v>192</v>
      </c>
      <c r="C9744" s="118" t="s">
        <v>206</v>
      </c>
      <c r="D9744" s="152" t="s">
        <v>11078</v>
      </c>
      <c r="E9744" s="152" t="s">
        <v>11134</v>
      </c>
      <c r="F9744" s="152" t="s">
        <v>730</v>
      </c>
      <c r="G9744" s="152" t="s">
        <v>10778</v>
      </c>
      <c r="H9744" s="153" t="s">
        <v>215</v>
      </c>
    </row>
    <row r="9745" hidden="1">
      <c r="A9745" s="154" t="s">
        <v>222</v>
      </c>
      <c r="B9745" s="155" t="s">
        <v>192</v>
      </c>
      <c r="C9745" s="155" t="s">
        <v>206</v>
      </c>
      <c r="D9745" s="156" t="s">
        <v>11078</v>
      </c>
      <c r="E9745" s="156" t="s">
        <v>11135</v>
      </c>
      <c r="F9745" s="156" t="s">
        <v>3145</v>
      </c>
      <c r="G9745" s="156" t="s">
        <v>11127</v>
      </c>
      <c r="H9745" s="157" t="s">
        <v>216</v>
      </c>
    </row>
    <row r="9746" hidden="1">
      <c r="A9746" s="151" t="s">
        <v>223</v>
      </c>
      <c r="B9746" s="118" t="s">
        <v>144</v>
      </c>
      <c r="C9746" s="118" t="s">
        <v>206</v>
      </c>
      <c r="D9746" s="152" t="s">
        <v>11078</v>
      </c>
      <c r="E9746" s="152" t="s">
        <v>11136</v>
      </c>
      <c r="F9746" s="152" t="s">
        <v>2228</v>
      </c>
      <c r="G9746" s="152" t="s">
        <v>9822</v>
      </c>
      <c r="H9746" s="153" t="s">
        <v>210</v>
      </c>
    </row>
    <row r="9747" hidden="1">
      <c r="A9747" s="154" t="s">
        <v>223</v>
      </c>
      <c r="B9747" s="155" t="s">
        <v>144</v>
      </c>
      <c r="C9747" s="155" t="s">
        <v>206</v>
      </c>
      <c r="D9747" s="156" t="s">
        <v>11078</v>
      </c>
      <c r="E9747" s="156" t="s">
        <v>11137</v>
      </c>
      <c r="F9747" s="156" t="s">
        <v>780</v>
      </c>
      <c r="G9747" s="156" t="s">
        <v>10578</v>
      </c>
      <c r="H9747" s="157" t="s">
        <v>211</v>
      </c>
    </row>
    <row r="9748" hidden="1">
      <c r="A9748" s="151" t="s">
        <v>223</v>
      </c>
      <c r="B9748" s="118" t="s">
        <v>144</v>
      </c>
      <c r="C9748" s="118" t="s">
        <v>206</v>
      </c>
      <c r="D9748" s="152" t="s">
        <v>11078</v>
      </c>
      <c r="E9748" s="152" t="s">
        <v>11138</v>
      </c>
      <c r="F9748" s="152" t="s">
        <v>229</v>
      </c>
      <c r="G9748" s="152" t="s">
        <v>9812</v>
      </c>
      <c r="H9748" s="153" t="s">
        <v>212</v>
      </c>
    </row>
    <row r="9749" hidden="1">
      <c r="A9749" s="154" t="s">
        <v>223</v>
      </c>
      <c r="B9749" s="155" t="s">
        <v>144</v>
      </c>
      <c r="C9749" s="155" t="s">
        <v>206</v>
      </c>
      <c r="D9749" s="156" t="s">
        <v>11078</v>
      </c>
      <c r="E9749" s="156" t="s">
        <v>11139</v>
      </c>
      <c r="F9749" s="156" t="s">
        <v>1781</v>
      </c>
      <c r="G9749" s="156" t="s">
        <v>10432</v>
      </c>
      <c r="H9749" s="157" t="s">
        <v>213</v>
      </c>
    </row>
    <row r="9750" hidden="1">
      <c r="A9750" s="151" t="s">
        <v>223</v>
      </c>
      <c r="B9750" s="118" t="s">
        <v>144</v>
      </c>
      <c r="C9750" s="118" t="s">
        <v>206</v>
      </c>
      <c r="D9750" s="152" t="s">
        <v>11078</v>
      </c>
      <c r="E9750" s="152" t="s">
        <v>11140</v>
      </c>
      <c r="F9750" s="152" t="s">
        <v>3293</v>
      </c>
      <c r="G9750" s="152" t="s">
        <v>10738</v>
      </c>
      <c r="H9750" s="153" t="s">
        <v>214</v>
      </c>
    </row>
    <row r="9751" hidden="1">
      <c r="A9751" s="154" t="s">
        <v>223</v>
      </c>
      <c r="B9751" s="155" t="s">
        <v>144</v>
      </c>
      <c r="C9751" s="155" t="s">
        <v>206</v>
      </c>
      <c r="D9751" s="156" t="s">
        <v>11078</v>
      </c>
      <c r="E9751" s="156" t="s">
        <v>11141</v>
      </c>
      <c r="F9751" s="156" t="s">
        <v>292</v>
      </c>
      <c r="G9751" s="156" t="s">
        <v>10893</v>
      </c>
      <c r="H9751" s="157" t="s">
        <v>215</v>
      </c>
    </row>
    <row r="9752" hidden="1">
      <c r="A9752" s="151" t="s">
        <v>223</v>
      </c>
      <c r="B9752" s="118" t="s">
        <v>144</v>
      </c>
      <c r="C9752" s="118" t="s">
        <v>206</v>
      </c>
      <c r="D9752" s="152" t="s">
        <v>11078</v>
      </c>
      <c r="E9752" s="152" t="s">
        <v>11142</v>
      </c>
      <c r="F9752" s="152" t="s">
        <v>3148</v>
      </c>
      <c r="G9752" s="152" t="s">
        <v>9642</v>
      </c>
      <c r="H9752" s="153" t="s">
        <v>216</v>
      </c>
    </row>
    <row r="9753" hidden="1">
      <c r="A9753" s="154" t="s">
        <v>224</v>
      </c>
      <c r="B9753" s="155" t="s">
        <v>170</v>
      </c>
      <c r="C9753" s="155" t="s">
        <v>206</v>
      </c>
      <c r="D9753" s="156" t="s">
        <v>11078</v>
      </c>
      <c r="E9753" s="156" t="s">
        <v>11143</v>
      </c>
      <c r="F9753" s="156" t="s">
        <v>3148</v>
      </c>
      <c r="G9753" s="156" t="s">
        <v>9824</v>
      </c>
      <c r="H9753" s="157" t="s">
        <v>210</v>
      </c>
    </row>
    <row r="9754" hidden="1">
      <c r="A9754" s="151" t="s">
        <v>224</v>
      </c>
      <c r="B9754" s="118" t="s">
        <v>170</v>
      </c>
      <c r="C9754" s="118" t="s">
        <v>206</v>
      </c>
      <c r="D9754" s="152" t="s">
        <v>11078</v>
      </c>
      <c r="E9754" s="152" t="s">
        <v>11144</v>
      </c>
      <c r="F9754" s="152" t="s">
        <v>730</v>
      </c>
      <c r="G9754" s="152" t="s">
        <v>9423</v>
      </c>
      <c r="H9754" s="153" t="s">
        <v>211</v>
      </c>
    </row>
    <row r="9755" hidden="1">
      <c r="A9755" s="154" t="s">
        <v>224</v>
      </c>
      <c r="B9755" s="155" t="s">
        <v>170</v>
      </c>
      <c r="C9755" s="155" t="s">
        <v>206</v>
      </c>
      <c r="D9755" s="156" t="s">
        <v>11078</v>
      </c>
      <c r="E9755" s="156" t="s">
        <v>11145</v>
      </c>
      <c r="F9755" s="156" t="s">
        <v>405</v>
      </c>
      <c r="G9755" s="156" t="s">
        <v>10969</v>
      </c>
      <c r="H9755" s="157" t="s">
        <v>212</v>
      </c>
    </row>
    <row r="9756" hidden="1">
      <c r="A9756" s="151" t="s">
        <v>224</v>
      </c>
      <c r="B9756" s="118" t="s">
        <v>170</v>
      </c>
      <c r="C9756" s="118" t="s">
        <v>206</v>
      </c>
      <c r="D9756" s="152" t="s">
        <v>11078</v>
      </c>
      <c r="E9756" s="152" t="s">
        <v>11146</v>
      </c>
      <c r="F9756" s="152" t="s">
        <v>760</v>
      </c>
      <c r="G9756" s="152" t="s">
        <v>10047</v>
      </c>
      <c r="H9756" s="153" t="s">
        <v>213</v>
      </c>
    </row>
    <row r="9757" hidden="1">
      <c r="A9757" s="154" t="s">
        <v>224</v>
      </c>
      <c r="B9757" s="155" t="s">
        <v>170</v>
      </c>
      <c r="C9757" s="155" t="s">
        <v>206</v>
      </c>
      <c r="D9757" s="156" t="s">
        <v>11078</v>
      </c>
      <c r="E9757" s="156" t="s">
        <v>11147</v>
      </c>
      <c r="F9757" s="156" t="s">
        <v>312</v>
      </c>
      <c r="G9757" s="156" t="s">
        <v>11007</v>
      </c>
      <c r="H9757" s="157" t="s">
        <v>214</v>
      </c>
    </row>
    <row r="9758" hidden="1">
      <c r="A9758" s="151" t="s">
        <v>224</v>
      </c>
      <c r="B9758" s="118" t="s">
        <v>170</v>
      </c>
      <c r="C9758" s="118" t="s">
        <v>206</v>
      </c>
      <c r="D9758" s="152" t="s">
        <v>11078</v>
      </c>
      <c r="E9758" s="152" t="s">
        <v>11148</v>
      </c>
      <c r="F9758" s="152" t="s">
        <v>448</v>
      </c>
      <c r="G9758" s="152" t="s">
        <v>9906</v>
      </c>
      <c r="H9758" s="153" t="s">
        <v>215</v>
      </c>
    </row>
    <row r="9759" hidden="1">
      <c r="A9759" s="154" t="s">
        <v>224</v>
      </c>
      <c r="B9759" s="155" t="s">
        <v>170</v>
      </c>
      <c r="C9759" s="155" t="s">
        <v>206</v>
      </c>
      <c r="D9759" s="156" t="s">
        <v>11078</v>
      </c>
      <c r="E9759" s="156" t="s">
        <v>11149</v>
      </c>
      <c r="F9759" s="156" t="s">
        <v>2228</v>
      </c>
      <c r="G9759" s="156" t="s">
        <v>10297</v>
      </c>
      <c r="H9759" s="157" t="s">
        <v>216</v>
      </c>
    </row>
    <row r="9760" hidden="1">
      <c r="A9760" s="151" t="s">
        <v>225</v>
      </c>
      <c r="B9760" s="118" t="s">
        <v>226</v>
      </c>
      <c r="C9760" s="118" t="s">
        <v>206</v>
      </c>
      <c r="D9760" s="152" t="s">
        <v>11078</v>
      </c>
      <c r="E9760" s="152" t="s">
        <v>11150</v>
      </c>
      <c r="F9760" s="152" t="s">
        <v>760</v>
      </c>
      <c r="G9760" s="152" t="s">
        <v>9760</v>
      </c>
      <c r="H9760" s="153" t="s">
        <v>210</v>
      </c>
    </row>
    <row r="9761" hidden="1">
      <c r="A9761" s="154" t="s">
        <v>225</v>
      </c>
      <c r="B9761" s="155" t="s">
        <v>226</v>
      </c>
      <c r="C9761" s="155" t="s">
        <v>206</v>
      </c>
      <c r="D9761" s="156" t="s">
        <v>11078</v>
      </c>
      <c r="E9761" s="156" t="s">
        <v>11151</v>
      </c>
      <c r="F9761" s="156" t="s">
        <v>2607</v>
      </c>
      <c r="G9761" s="156" t="s">
        <v>10010</v>
      </c>
      <c r="H9761" s="157" t="s">
        <v>211</v>
      </c>
    </row>
    <row r="9762" hidden="1">
      <c r="A9762" s="151" t="s">
        <v>225</v>
      </c>
      <c r="B9762" s="118" t="s">
        <v>226</v>
      </c>
      <c r="C9762" s="118" t="s">
        <v>206</v>
      </c>
      <c r="D9762" s="152" t="s">
        <v>11078</v>
      </c>
      <c r="E9762" s="152" t="s">
        <v>11152</v>
      </c>
      <c r="F9762" s="152" t="s">
        <v>2607</v>
      </c>
      <c r="G9762" s="152" t="s">
        <v>9870</v>
      </c>
      <c r="H9762" s="153" t="s">
        <v>212</v>
      </c>
    </row>
    <row r="9763" hidden="1">
      <c r="A9763" s="154" t="s">
        <v>225</v>
      </c>
      <c r="B9763" s="155" t="s">
        <v>226</v>
      </c>
      <c r="C9763" s="155" t="s">
        <v>206</v>
      </c>
      <c r="D9763" s="156" t="s">
        <v>11078</v>
      </c>
      <c r="E9763" s="156" t="s">
        <v>11153</v>
      </c>
      <c r="F9763" s="156" t="s">
        <v>448</v>
      </c>
      <c r="G9763" s="156" t="s">
        <v>9868</v>
      </c>
      <c r="H9763" s="157" t="s">
        <v>213</v>
      </c>
    </row>
    <row r="9764" hidden="1">
      <c r="A9764" s="151" t="s">
        <v>225</v>
      </c>
      <c r="B9764" s="118" t="s">
        <v>226</v>
      </c>
      <c r="C9764" s="118" t="s">
        <v>206</v>
      </c>
      <c r="D9764" s="152" t="s">
        <v>11078</v>
      </c>
      <c r="E9764" s="152" t="s">
        <v>11154</v>
      </c>
      <c r="F9764" s="152" t="s">
        <v>735</v>
      </c>
      <c r="G9764" s="152" t="s">
        <v>10117</v>
      </c>
      <c r="H9764" s="153" t="s">
        <v>214</v>
      </c>
    </row>
    <row r="9765" hidden="1">
      <c r="A9765" s="154" t="s">
        <v>225</v>
      </c>
      <c r="B9765" s="155" t="s">
        <v>226</v>
      </c>
      <c r="C9765" s="155" t="s">
        <v>206</v>
      </c>
      <c r="D9765" s="156" t="s">
        <v>11078</v>
      </c>
      <c r="E9765" s="156" t="s">
        <v>11155</v>
      </c>
      <c r="F9765" s="156" t="s">
        <v>1948</v>
      </c>
      <c r="G9765" s="156" t="s">
        <v>9723</v>
      </c>
      <c r="H9765" s="157" t="s">
        <v>215</v>
      </c>
    </row>
    <row r="9766" hidden="1">
      <c r="A9766" s="151" t="s">
        <v>225</v>
      </c>
      <c r="B9766" s="118" t="s">
        <v>226</v>
      </c>
      <c r="C9766" s="118" t="s">
        <v>206</v>
      </c>
      <c r="D9766" s="152" t="s">
        <v>11078</v>
      </c>
      <c r="E9766" s="152" t="s">
        <v>11156</v>
      </c>
      <c r="F9766" s="152" t="s">
        <v>629</v>
      </c>
      <c r="G9766" s="152" t="s">
        <v>9886</v>
      </c>
      <c r="H9766" s="153" t="s">
        <v>216</v>
      </c>
    </row>
    <row r="9767" hidden="1">
      <c r="A9767" s="154" t="s">
        <v>227</v>
      </c>
      <c r="B9767" s="155" t="s">
        <v>195</v>
      </c>
      <c r="C9767" s="155" t="s">
        <v>206</v>
      </c>
      <c r="D9767" s="156" t="s">
        <v>11078</v>
      </c>
      <c r="E9767" s="156" t="s">
        <v>11157</v>
      </c>
      <c r="F9767" s="156" t="s">
        <v>228</v>
      </c>
      <c r="G9767" s="156" t="s">
        <v>11158</v>
      </c>
      <c r="H9767" s="157" t="s">
        <v>210</v>
      </c>
    </row>
    <row r="9768" hidden="1">
      <c r="A9768" s="151" t="s">
        <v>227</v>
      </c>
      <c r="B9768" s="118" t="s">
        <v>195</v>
      </c>
      <c r="C9768" s="118" t="s">
        <v>206</v>
      </c>
      <c r="D9768" s="152" t="s">
        <v>11078</v>
      </c>
      <c r="E9768" s="152" t="s">
        <v>11159</v>
      </c>
      <c r="F9768" s="152" t="s">
        <v>2607</v>
      </c>
      <c r="G9768" s="152" t="s">
        <v>11160</v>
      </c>
      <c r="H9768" s="153" t="s">
        <v>211</v>
      </c>
    </row>
    <row r="9769" hidden="1">
      <c r="A9769" s="154" t="s">
        <v>227</v>
      </c>
      <c r="B9769" s="155" t="s">
        <v>195</v>
      </c>
      <c r="C9769" s="155" t="s">
        <v>206</v>
      </c>
      <c r="D9769" s="156" t="s">
        <v>11078</v>
      </c>
      <c r="E9769" s="156" t="s">
        <v>11161</v>
      </c>
      <c r="F9769" s="156" t="s">
        <v>763</v>
      </c>
      <c r="G9769" s="156" t="s">
        <v>10346</v>
      </c>
      <c r="H9769" s="157" t="s">
        <v>212</v>
      </c>
    </row>
    <row r="9770" hidden="1">
      <c r="A9770" s="151" t="s">
        <v>227</v>
      </c>
      <c r="B9770" s="118" t="s">
        <v>195</v>
      </c>
      <c r="C9770" s="118" t="s">
        <v>206</v>
      </c>
      <c r="D9770" s="152" t="s">
        <v>11078</v>
      </c>
      <c r="E9770" s="152" t="s">
        <v>11162</v>
      </c>
      <c r="F9770" s="152" t="s">
        <v>453</v>
      </c>
      <c r="G9770" s="152" t="s">
        <v>10995</v>
      </c>
      <c r="H9770" s="153" t="s">
        <v>213</v>
      </c>
    </row>
    <row r="9771" hidden="1">
      <c r="A9771" s="154" t="s">
        <v>227</v>
      </c>
      <c r="B9771" s="155" t="s">
        <v>195</v>
      </c>
      <c r="C9771" s="155" t="s">
        <v>206</v>
      </c>
      <c r="D9771" s="156" t="s">
        <v>11078</v>
      </c>
      <c r="E9771" s="156" t="s">
        <v>11163</v>
      </c>
      <c r="F9771" s="156" t="s">
        <v>2994</v>
      </c>
      <c r="G9771" s="156" t="s">
        <v>10272</v>
      </c>
      <c r="H9771" s="157" t="s">
        <v>214</v>
      </c>
    </row>
    <row r="9772" hidden="1">
      <c r="A9772" s="151" t="s">
        <v>227</v>
      </c>
      <c r="B9772" s="118" t="s">
        <v>195</v>
      </c>
      <c r="C9772" s="118" t="s">
        <v>206</v>
      </c>
      <c r="D9772" s="152" t="s">
        <v>11078</v>
      </c>
      <c r="E9772" s="152" t="s">
        <v>11164</v>
      </c>
      <c r="F9772" s="152" t="s">
        <v>4052</v>
      </c>
      <c r="G9772" s="152" t="s">
        <v>11165</v>
      </c>
      <c r="H9772" s="153" t="s">
        <v>215</v>
      </c>
    </row>
    <row r="9773" hidden="1">
      <c r="A9773" s="154" t="s">
        <v>227</v>
      </c>
      <c r="B9773" s="155" t="s">
        <v>195</v>
      </c>
      <c r="C9773" s="155" t="s">
        <v>206</v>
      </c>
      <c r="D9773" s="156" t="s">
        <v>11078</v>
      </c>
      <c r="E9773" s="156" t="s">
        <v>11166</v>
      </c>
      <c r="F9773" s="156" t="s">
        <v>444</v>
      </c>
      <c r="G9773" s="156" t="s">
        <v>11062</v>
      </c>
      <c r="H9773" s="157" t="s">
        <v>216</v>
      </c>
    </row>
    <row r="9774" hidden="1">
      <c r="A9774" s="151" t="s">
        <v>228</v>
      </c>
      <c r="B9774" s="118" t="s">
        <v>138</v>
      </c>
      <c r="C9774" s="118" t="s">
        <v>206</v>
      </c>
      <c r="D9774" s="152" t="s">
        <v>11078</v>
      </c>
      <c r="E9774" s="152" t="s">
        <v>11167</v>
      </c>
      <c r="F9774" s="152" t="s">
        <v>677</v>
      </c>
      <c r="G9774" s="152" t="s">
        <v>11049</v>
      </c>
      <c r="H9774" s="153" t="s">
        <v>210</v>
      </c>
    </row>
    <row r="9775" hidden="1">
      <c r="A9775" s="154" t="s">
        <v>228</v>
      </c>
      <c r="B9775" s="155" t="s">
        <v>138</v>
      </c>
      <c r="C9775" s="155" t="s">
        <v>206</v>
      </c>
      <c r="D9775" s="156" t="s">
        <v>11078</v>
      </c>
      <c r="E9775" s="156" t="s">
        <v>11168</v>
      </c>
      <c r="F9775" s="156" t="s">
        <v>718</v>
      </c>
      <c r="G9775" s="156" t="s">
        <v>10888</v>
      </c>
      <c r="H9775" s="157" t="s">
        <v>211</v>
      </c>
    </row>
    <row r="9776" hidden="1">
      <c r="A9776" s="151" t="s">
        <v>228</v>
      </c>
      <c r="B9776" s="118" t="s">
        <v>138</v>
      </c>
      <c r="C9776" s="118" t="s">
        <v>206</v>
      </c>
      <c r="D9776" s="152" t="s">
        <v>11078</v>
      </c>
      <c r="E9776" s="152" t="s">
        <v>11169</v>
      </c>
      <c r="F9776" s="152" t="s">
        <v>351</v>
      </c>
      <c r="G9776" s="152" t="s">
        <v>3434</v>
      </c>
      <c r="H9776" s="153" t="s">
        <v>212</v>
      </c>
    </row>
    <row r="9777" hidden="1">
      <c r="A9777" s="154" t="s">
        <v>228</v>
      </c>
      <c r="B9777" s="155" t="s">
        <v>138</v>
      </c>
      <c r="C9777" s="155" t="s">
        <v>206</v>
      </c>
      <c r="D9777" s="156" t="s">
        <v>11078</v>
      </c>
      <c r="E9777" s="156" t="s">
        <v>11170</v>
      </c>
      <c r="F9777" s="156" t="s">
        <v>351</v>
      </c>
      <c r="G9777" s="156" t="s">
        <v>9888</v>
      </c>
      <c r="H9777" s="157" t="s">
        <v>213</v>
      </c>
    </row>
    <row r="9778" hidden="1">
      <c r="A9778" s="151" t="s">
        <v>228</v>
      </c>
      <c r="B9778" s="118" t="s">
        <v>138</v>
      </c>
      <c r="C9778" s="118" t="s">
        <v>206</v>
      </c>
      <c r="D9778" s="152" t="s">
        <v>11078</v>
      </c>
      <c r="E9778" s="152" t="s">
        <v>11171</v>
      </c>
      <c r="F9778" s="152" t="s">
        <v>1790</v>
      </c>
      <c r="G9778" s="152" t="s">
        <v>10430</v>
      </c>
      <c r="H9778" s="153" t="s">
        <v>214</v>
      </c>
    </row>
    <row r="9779" hidden="1">
      <c r="A9779" s="154" t="s">
        <v>228</v>
      </c>
      <c r="B9779" s="155" t="s">
        <v>138</v>
      </c>
      <c r="C9779" s="155" t="s">
        <v>206</v>
      </c>
      <c r="D9779" s="156" t="s">
        <v>11078</v>
      </c>
      <c r="E9779" s="156" t="s">
        <v>11172</v>
      </c>
      <c r="F9779" s="156" t="s">
        <v>425</v>
      </c>
      <c r="G9779" s="156" t="s">
        <v>10648</v>
      </c>
      <c r="H9779" s="157" t="s">
        <v>215</v>
      </c>
    </row>
    <row r="9780" hidden="1">
      <c r="A9780" s="151" t="s">
        <v>228</v>
      </c>
      <c r="B9780" s="118" t="s">
        <v>138</v>
      </c>
      <c r="C9780" s="118" t="s">
        <v>206</v>
      </c>
      <c r="D9780" s="152" t="s">
        <v>11078</v>
      </c>
      <c r="E9780" s="152" t="s">
        <v>11173</v>
      </c>
      <c r="F9780" s="152" t="s">
        <v>677</v>
      </c>
      <c r="G9780" s="152" t="s">
        <v>10172</v>
      </c>
      <c r="H9780" s="153" t="s">
        <v>216</v>
      </c>
    </row>
    <row r="9781" hidden="1">
      <c r="A9781" s="154" t="s">
        <v>229</v>
      </c>
      <c r="B9781" s="155" t="s">
        <v>193</v>
      </c>
      <c r="C9781" s="155" t="s">
        <v>206</v>
      </c>
      <c r="D9781" s="156" t="s">
        <v>11078</v>
      </c>
      <c r="E9781" s="156" t="s">
        <v>11174</v>
      </c>
      <c r="F9781" s="156" t="s">
        <v>780</v>
      </c>
      <c r="G9781" s="156" t="s">
        <v>10205</v>
      </c>
      <c r="H9781" s="157" t="s">
        <v>210</v>
      </c>
    </row>
    <row r="9782" hidden="1">
      <c r="A9782" s="151" t="s">
        <v>229</v>
      </c>
      <c r="B9782" s="118" t="s">
        <v>193</v>
      </c>
      <c r="C9782" s="118" t="s">
        <v>206</v>
      </c>
      <c r="D9782" s="152" t="s">
        <v>11078</v>
      </c>
      <c r="E9782" s="152" t="s">
        <v>11175</v>
      </c>
      <c r="F9782" s="152" t="s">
        <v>1781</v>
      </c>
      <c r="G9782" s="152" t="s">
        <v>11176</v>
      </c>
      <c r="H9782" s="153" t="s">
        <v>211</v>
      </c>
    </row>
    <row r="9783" hidden="1">
      <c r="A9783" s="154" t="s">
        <v>229</v>
      </c>
      <c r="B9783" s="155" t="s">
        <v>193</v>
      </c>
      <c r="C9783" s="155" t="s">
        <v>206</v>
      </c>
      <c r="D9783" s="156" t="s">
        <v>11078</v>
      </c>
      <c r="E9783" s="156" t="s">
        <v>11177</v>
      </c>
      <c r="F9783" s="156" t="s">
        <v>629</v>
      </c>
      <c r="G9783" s="156" t="s">
        <v>11178</v>
      </c>
      <c r="H9783" s="157" t="s">
        <v>212</v>
      </c>
    </row>
    <row r="9784" hidden="1">
      <c r="A9784" s="151" t="s">
        <v>229</v>
      </c>
      <c r="B9784" s="118" t="s">
        <v>193</v>
      </c>
      <c r="C9784" s="118" t="s">
        <v>206</v>
      </c>
      <c r="D9784" s="152" t="s">
        <v>11078</v>
      </c>
      <c r="E9784" s="152" t="s">
        <v>11179</v>
      </c>
      <c r="F9784" s="152" t="s">
        <v>1931</v>
      </c>
      <c r="G9784" s="152" t="s">
        <v>11180</v>
      </c>
      <c r="H9784" s="153" t="s">
        <v>213</v>
      </c>
    </row>
    <row r="9785" hidden="1">
      <c r="A9785" s="154" t="s">
        <v>229</v>
      </c>
      <c r="B9785" s="155" t="s">
        <v>193</v>
      </c>
      <c r="C9785" s="155" t="s">
        <v>206</v>
      </c>
      <c r="D9785" s="156" t="s">
        <v>11078</v>
      </c>
      <c r="E9785" s="156" t="s">
        <v>11181</v>
      </c>
      <c r="F9785" s="156" t="s">
        <v>2607</v>
      </c>
      <c r="G9785" s="156" t="s">
        <v>11017</v>
      </c>
      <c r="H9785" s="157" t="s">
        <v>214</v>
      </c>
    </row>
    <row r="9786" hidden="1">
      <c r="A9786" s="151" t="s">
        <v>229</v>
      </c>
      <c r="B9786" s="118" t="s">
        <v>193</v>
      </c>
      <c r="C9786" s="118" t="s">
        <v>206</v>
      </c>
      <c r="D9786" s="152" t="s">
        <v>11078</v>
      </c>
      <c r="E9786" s="152" t="s">
        <v>11182</v>
      </c>
      <c r="F9786" s="152" t="s">
        <v>2228</v>
      </c>
      <c r="G9786" s="152" t="s">
        <v>11183</v>
      </c>
      <c r="H9786" s="153" t="s">
        <v>215</v>
      </c>
    </row>
    <row r="9787" hidden="1">
      <c r="A9787" s="154" t="s">
        <v>229</v>
      </c>
      <c r="B9787" s="155" t="s">
        <v>193</v>
      </c>
      <c r="C9787" s="155" t="s">
        <v>206</v>
      </c>
      <c r="D9787" s="156" t="s">
        <v>11078</v>
      </c>
      <c r="E9787" s="156" t="s">
        <v>11184</v>
      </c>
      <c r="F9787" s="156" t="s">
        <v>3150</v>
      </c>
      <c r="G9787" s="156" t="s">
        <v>10021</v>
      </c>
      <c r="H9787" s="157" t="s">
        <v>216</v>
      </c>
    </row>
    <row r="9788" hidden="1">
      <c r="A9788" s="151" t="s">
        <v>230</v>
      </c>
      <c r="B9788" s="118" t="s">
        <v>194</v>
      </c>
      <c r="C9788" s="118" t="s">
        <v>206</v>
      </c>
      <c r="D9788" s="152" t="s">
        <v>11078</v>
      </c>
      <c r="E9788" s="152" t="s">
        <v>11185</v>
      </c>
      <c r="F9788" s="152" t="s">
        <v>3240</v>
      </c>
      <c r="G9788" s="152" t="s">
        <v>10179</v>
      </c>
      <c r="H9788" s="153" t="s">
        <v>210</v>
      </c>
    </row>
    <row r="9789" hidden="1">
      <c r="A9789" s="154" t="s">
        <v>230</v>
      </c>
      <c r="B9789" s="155" t="s">
        <v>194</v>
      </c>
      <c r="C9789" s="155" t="s">
        <v>206</v>
      </c>
      <c r="D9789" s="156" t="s">
        <v>11078</v>
      </c>
      <c r="E9789" s="156" t="s">
        <v>11186</v>
      </c>
      <c r="F9789" s="156" t="s">
        <v>758</v>
      </c>
      <c r="G9789" s="156" t="s">
        <v>11087</v>
      </c>
      <c r="H9789" s="157" t="s">
        <v>211</v>
      </c>
    </row>
    <row r="9790" hidden="1">
      <c r="A9790" s="151" t="s">
        <v>230</v>
      </c>
      <c r="B9790" s="118" t="s">
        <v>194</v>
      </c>
      <c r="C9790" s="118" t="s">
        <v>206</v>
      </c>
      <c r="D9790" s="152" t="s">
        <v>11078</v>
      </c>
      <c r="E9790" s="152" t="s">
        <v>11187</v>
      </c>
      <c r="F9790" s="152" t="s">
        <v>1790</v>
      </c>
      <c r="G9790" s="152" t="s">
        <v>9738</v>
      </c>
      <c r="H9790" s="153" t="s">
        <v>212</v>
      </c>
    </row>
    <row r="9791" hidden="1">
      <c r="A9791" s="154" t="s">
        <v>230</v>
      </c>
      <c r="B9791" s="155" t="s">
        <v>194</v>
      </c>
      <c r="C9791" s="155" t="s">
        <v>206</v>
      </c>
      <c r="D9791" s="156" t="s">
        <v>11078</v>
      </c>
      <c r="E9791" s="156" t="s">
        <v>11188</v>
      </c>
      <c r="F9791" s="156" t="s">
        <v>2228</v>
      </c>
      <c r="G9791" s="156" t="s">
        <v>11189</v>
      </c>
      <c r="H9791" s="157" t="s">
        <v>213</v>
      </c>
    </row>
    <row r="9792" hidden="1">
      <c r="A9792" s="151" t="s">
        <v>230</v>
      </c>
      <c r="B9792" s="118" t="s">
        <v>194</v>
      </c>
      <c r="C9792" s="118" t="s">
        <v>206</v>
      </c>
      <c r="D9792" s="152" t="s">
        <v>11078</v>
      </c>
      <c r="E9792" s="152" t="s">
        <v>11190</v>
      </c>
      <c r="F9792" s="152" t="s">
        <v>3359</v>
      </c>
      <c r="G9792" s="152" t="s">
        <v>10724</v>
      </c>
      <c r="H9792" s="153" t="s">
        <v>214</v>
      </c>
    </row>
    <row r="9793" hidden="1">
      <c r="A9793" s="154" t="s">
        <v>230</v>
      </c>
      <c r="B9793" s="155" t="s">
        <v>194</v>
      </c>
      <c r="C9793" s="155" t="s">
        <v>206</v>
      </c>
      <c r="D9793" s="156" t="s">
        <v>11078</v>
      </c>
      <c r="E9793" s="156" t="s">
        <v>11191</v>
      </c>
      <c r="F9793" s="156" t="s">
        <v>673</v>
      </c>
      <c r="G9793" s="156" t="s">
        <v>10520</v>
      </c>
      <c r="H9793" s="157" t="s">
        <v>215</v>
      </c>
    </row>
    <row r="9794" hidden="1">
      <c r="A9794" s="151" t="s">
        <v>230</v>
      </c>
      <c r="B9794" s="118" t="s">
        <v>194</v>
      </c>
      <c r="C9794" s="118" t="s">
        <v>206</v>
      </c>
      <c r="D9794" s="152" t="s">
        <v>11078</v>
      </c>
      <c r="E9794" s="152" t="s">
        <v>11192</v>
      </c>
      <c r="F9794" s="152" t="s">
        <v>3240</v>
      </c>
      <c r="G9794" s="152" t="s">
        <v>11193</v>
      </c>
      <c r="H9794" s="153" t="s">
        <v>216</v>
      </c>
    </row>
    <row r="9795" hidden="1">
      <c r="A9795" s="158" t="s">
        <v>231</v>
      </c>
      <c r="B9795" s="159"/>
      <c r="C9795" s="155" t="s">
        <v>232</v>
      </c>
      <c r="D9795" s="156" t="s">
        <v>11078</v>
      </c>
      <c r="E9795" s="156" t="s">
        <v>11194</v>
      </c>
      <c r="F9795" s="156" t="s">
        <v>1530</v>
      </c>
      <c r="G9795" s="156" t="s">
        <v>11195</v>
      </c>
      <c r="H9795" s="157" t="s">
        <v>210</v>
      </c>
    </row>
    <row r="9796" hidden="1">
      <c r="A9796" s="160" t="s">
        <v>231</v>
      </c>
      <c r="B9796" s="72"/>
      <c r="C9796" s="118" t="s">
        <v>232</v>
      </c>
      <c r="D9796" s="152" t="s">
        <v>11078</v>
      </c>
      <c r="E9796" s="152" t="s">
        <v>11196</v>
      </c>
      <c r="F9796" s="152" t="s">
        <v>423</v>
      </c>
      <c r="G9796" s="152" t="s">
        <v>11197</v>
      </c>
      <c r="H9796" s="153" t="s">
        <v>211</v>
      </c>
    </row>
    <row r="9797" hidden="1">
      <c r="A9797" s="158" t="s">
        <v>231</v>
      </c>
      <c r="B9797" s="159"/>
      <c r="C9797" s="155" t="s">
        <v>232</v>
      </c>
      <c r="D9797" s="156" t="s">
        <v>11078</v>
      </c>
      <c r="E9797" s="156" t="s">
        <v>11198</v>
      </c>
      <c r="F9797" s="156" t="s">
        <v>763</v>
      </c>
      <c r="G9797" s="156" t="s">
        <v>11199</v>
      </c>
      <c r="H9797" s="157" t="s">
        <v>212</v>
      </c>
    </row>
    <row r="9798" hidden="1">
      <c r="A9798" s="160" t="s">
        <v>231</v>
      </c>
      <c r="B9798" s="72"/>
      <c r="C9798" s="118" t="s">
        <v>232</v>
      </c>
      <c r="D9798" s="152" t="s">
        <v>11078</v>
      </c>
      <c r="E9798" s="152" t="s">
        <v>11200</v>
      </c>
      <c r="F9798" s="152" t="s">
        <v>730</v>
      </c>
      <c r="G9798" s="152" t="s">
        <v>11201</v>
      </c>
      <c r="H9798" s="153" t="s">
        <v>213</v>
      </c>
    </row>
    <row r="9799" hidden="1">
      <c r="A9799" s="158" t="s">
        <v>231</v>
      </c>
      <c r="B9799" s="159"/>
      <c r="C9799" s="155" t="s">
        <v>232</v>
      </c>
      <c r="D9799" s="156" t="s">
        <v>11078</v>
      </c>
      <c r="E9799" s="156" t="s">
        <v>11202</v>
      </c>
      <c r="F9799" s="156" t="s">
        <v>348</v>
      </c>
      <c r="G9799" s="156" t="s">
        <v>11203</v>
      </c>
      <c r="H9799" s="157" t="s">
        <v>214</v>
      </c>
    </row>
    <row r="9800" hidden="1">
      <c r="A9800" s="160" t="s">
        <v>231</v>
      </c>
      <c r="B9800" s="72"/>
      <c r="C9800" s="118" t="s">
        <v>232</v>
      </c>
      <c r="D9800" s="152" t="s">
        <v>11078</v>
      </c>
      <c r="E9800" s="152" t="s">
        <v>11204</v>
      </c>
      <c r="F9800" s="152" t="s">
        <v>2607</v>
      </c>
      <c r="G9800" s="152" t="s">
        <v>11205</v>
      </c>
      <c r="H9800" s="153" t="s">
        <v>215</v>
      </c>
    </row>
    <row r="9801" hidden="1">
      <c r="A9801" s="158" t="s">
        <v>231</v>
      </c>
      <c r="B9801" s="159"/>
      <c r="C9801" s="155" t="s">
        <v>232</v>
      </c>
      <c r="D9801" s="156" t="s">
        <v>11078</v>
      </c>
      <c r="E9801" s="156" t="s">
        <v>11206</v>
      </c>
      <c r="F9801" s="156" t="s">
        <v>448</v>
      </c>
      <c r="G9801" s="156" t="s">
        <v>11207</v>
      </c>
      <c r="H9801" s="157" t="s">
        <v>216</v>
      </c>
    </row>
    <row r="9802" hidden="1">
      <c r="A9802" s="160" t="s">
        <v>233</v>
      </c>
      <c r="B9802" s="72"/>
      <c r="C9802" s="118" t="s">
        <v>232</v>
      </c>
      <c r="D9802" s="152" t="s">
        <v>11078</v>
      </c>
      <c r="E9802" s="152" t="s">
        <v>11208</v>
      </c>
      <c r="F9802" s="152" t="s">
        <v>3346</v>
      </c>
      <c r="G9802" s="152" t="s">
        <v>10861</v>
      </c>
      <c r="H9802" s="153" t="s">
        <v>210</v>
      </c>
    </row>
    <row r="9803" hidden="1">
      <c r="A9803" s="158" t="s">
        <v>233</v>
      </c>
      <c r="B9803" s="159"/>
      <c r="C9803" s="155" t="s">
        <v>232</v>
      </c>
      <c r="D9803" s="156" t="s">
        <v>11078</v>
      </c>
      <c r="E9803" s="156" t="s">
        <v>11209</v>
      </c>
      <c r="F9803" s="156" t="s">
        <v>497</v>
      </c>
      <c r="G9803" s="156" t="s">
        <v>11160</v>
      </c>
      <c r="H9803" s="157" t="s">
        <v>211</v>
      </c>
    </row>
    <row r="9804" hidden="1">
      <c r="A9804" s="160" t="s">
        <v>233</v>
      </c>
      <c r="B9804" s="72"/>
      <c r="C9804" s="118" t="s">
        <v>232</v>
      </c>
      <c r="D9804" s="152" t="s">
        <v>11078</v>
      </c>
      <c r="E9804" s="152" t="s">
        <v>11210</v>
      </c>
      <c r="F9804" s="152" t="s">
        <v>3198</v>
      </c>
      <c r="G9804" s="152" t="s">
        <v>10607</v>
      </c>
      <c r="H9804" s="153" t="s">
        <v>212</v>
      </c>
    </row>
    <row r="9805" hidden="1">
      <c r="A9805" s="158" t="s">
        <v>233</v>
      </c>
      <c r="B9805" s="159"/>
      <c r="C9805" s="155" t="s">
        <v>232</v>
      </c>
      <c r="D9805" s="156" t="s">
        <v>11078</v>
      </c>
      <c r="E9805" s="156" t="s">
        <v>11211</v>
      </c>
      <c r="F9805" s="156" t="s">
        <v>1948</v>
      </c>
      <c r="G9805" s="156" t="s">
        <v>10600</v>
      </c>
      <c r="H9805" s="157" t="s">
        <v>213</v>
      </c>
    </row>
    <row r="9806" hidden="1">
      <c r="A9806" s="160" t="s">
        <v>233</v>
      </c>
      <c r="B9806" s="72"/>
      <c r="C9806" s="118" t="s">
        <v>232</v>
      </c>
      <c r="D9806" s="152" t="s">
        <v>11078</v>
      </c>
      <c r="E9806" s="152" t="s">
        <v>11212</v>
      </c>
      <c r="F9806" s="152" t="s">
        <v>3240</v>
      </c>
      <c r="G9806" s="152" t="s">
        <v>10604</v>
      </c>
      <c r="H9806" s="153" t="s">
        <v>214</v>
      </c>
    </row>
    <row r="9807" hidden="1">
      <c r="A9807" s="158" t="s">
        <v>233</v>
      </c>
      <c r="B9807" s="159"/>
      <c r="C9807" s="155" t="s">
        <v>232</v>
      </c>
      <c r="D9807" s="156" t="s">
        <v>11078</v>
      </c>
      <c r="E9807" s="156" t="s">
        <v>11213</v>
      </c>
      <c r="F9807" s="156" t="s">
        <v>2607</v>
      </c>
      <c r="G9807" s="156" t="s">
        <v>10109</v>
      </c>
      <c r="H9807" s="157" t="s">
        <v>215</v>
      </c>
    </row>
    <row r="9808" hidden="1">
      <c r="A9808" s="160" t="s">
        <v>233</v>
      </c>
      <c r="B9808" s="72"/>
      <c r="C9808" s="118" t="s">
        <v>232</v>
      </c>
      <c r="D9808" s="152" t="s">
        <v>11078</v>
      </c>
      <c r="E9808" s="152" t="s">
        <v>11214</v>
      </c>
      <c r="F9808" s="152" t="s">
        <v>1948</v>
      </c>
      <c r="G9808" s="152" t="s">
        <v>11115</v>
      </c>
      <c r="H9808" s="153" t="s">
        <v>216</v>
      </c>
    </row>
    <row r="9809" hidden="1">
      <c r="A9809" s="158" t="s">
        <v>234</v>
      </c>
      <c r="B9809" s="159"/>
      <c r="C9809" s="155" t="s">
        <v>232</v>
      </c>
      <c r="D9809" s="156" t="s">
        <v>11078</v>
      </c>
      <c r="E9809" s="156" t="s">
        <v>11215</v>
      </c>
      <c r="F9809" s="156" t="s">
        <v>2005</v>
      </c>
      <c r="G9809" s="156" t="s">
        <v>9746</v>
      </c>
      <c r="H9809" s="157" t="s">
        <v>210</v>
      </c>
    </row>
    <row r="9810" hidden="1">
      <c r="A9810" s="160" t="s">
        <v>234</v>
      </c>
      <c r="B9810" s="72"/>
      <c r="C9810" s="118" t="s">
        <v>232</v>
      </c>
      <c r="D9810" s="152" t="s">
        <v>11078</v>
      </c>
      <c r="E9810" s="152" t="s">
        <v>11216</v>
      </c>
      <c r="F9810" s="152" t="s">
        <v>3145</v>
      </c>
      <c r="G9810" s="152" t="s">
        <v>10526</v>
      </c>
      <c r="H9810" s="153" t="s">
        <v>211</v>
      </c>
    </row>
    <row r="9811" hidden="1">
      <c r="A9811" s="158" t="s">
        <v>234</v>
      </c>
      <c r="B9811" s="159"/>
      <c r="C9811" s="155" t="s">
        <v>232</v>
      </c>
      <c r="D9811" s="156" t="s">
        <v>11078</v>
      </c>
      <c r="E9811" s="156" t="s">
        <v>11217</v>
      </c>
      <c r="F9811" s="156" t="s">
        <v>497</v>
      </c>
      <c r="G9811" s="156" t="s">
        <v>10344</v>
      </c>
      <c r="H9811" s="157" t="s">
        <v>212</v>
      </c>
    </row>
    <row r="9812" hidden="1">
      <c r="A9812" s="160" t="s">
        <v>234</v>
      </c>
      <c r="B9812" s="72"/>
      <c r="C9812" s="118" t="s">
        <v>232</v>
      </c>
      <c r="D9812" s="152" t="s">
        <v>11078</v>
      </c>
      <c r="E9812" s="152" t="s">
        <v>11218</v>
      </c>
      <c r="F9812" s="152" t="s">
        <v>3346</v>
      </c>
      <c r="G9812" s="152" t="s">
        <v>10082</v>
      </c>
      <c r="H9812" s="153" t="s">
        <v>213</v>
      </c>
    </row>
    <row r="9813" hidden="1">
      <c r="A9813" s="158" t="s">
        <v>234</v>
      </c>
      <c r="B9813" s="159"/>
      <c r="C9813" s="155" t="s">
        <v>232</v>
      </c>
      <c r="D9813" s="156" t="s">
        <v>11078</v>
      </c>
      <c r="E9813" s="156" t="s">
        <v>11219</v>
      </c>
      <c r="F9813" s="156" t="s">
        <v>780</v>
      </c>
      <c r="G9813" s="156" t="s">
        <v>10805</v>
      </c>
      <c r="H9813" s="157" t="s">
        <v>214</v>
      </c>
    </row>
    <row r="9814" hidden="1">
      <c r="A9814" s="160" t="s">
        <v>234</v>
      </c>
      <c r="B9814" s="72"/>
      <c r="C9814" s="118" t="s">
        <v>232</v>
      </c>
      <c r="D9814" s="152" t="s">
        <v>11078</v>
      </c>
      <c r="E9814" s="152" t="s">
        <v>11220</v>
      </c>
      <c r="F9814" s="152" t="s">
        <v>3340</v>
      </c>
      <c r="G9814" s="152" t="s">
        <v>10297</v>
      </c>
      <c r="H9814" s="153" t="s">
        <v>215</v>
      </c>
    </row>
    <row r="9815" hidden="1">
      <c r="A9815" s="158" t="s">
        <v>234</v>
      </c>
      <c r="B9815" s="159"/>
      <c r="C9815" s="155" t="s">
        <v>232</v>
      </c>
      <c r="D9815" s="156" t="s">
        <v>11078</v>
      </c>
      <c r="E9815" s="156" t="s">
        <v>11221</v>
      </c>
      <c r="F9815" s="156" t="s">
        <v>3148</v>
      </c>
      <c r="G9815" s="156" t="s">
        <v>10750</v>
      </c>
      <c r="H9815" s="157" t="s">
        <v>216</v>
      </c>
    </row>
    <row r="9816" hidden="1">
      <c r="A9816" s="160" t="s">
        <v>235</v>
      </c>
      <c r="B9816" s="72"/>
      <c r="C9816" s="118" t="s">
        <v>236</v>
      </c>
      <c r="D9816" s="152" t="s">
        <v>11078</v>
      </c>
      <c r="E9816" s="152" t="s">
        <v>11222</v>
      </c>
      <c r="F9816" s="152" t="s">
        <v>3340</v>
      </c>
      <c r="G9816" s="152" t="s">
        <v>11223</v>
      </c>
      <c r="H9816" s="153" t="s">
        <v>210</v>
      </c>
    </row>
    <row r="9817" hidden="1">
      <c r="A9817" s="158" t="s">
        <v>235</v>
      </c>
      <c r="B9817" s="159"/>
      <c r="C9817" s="155" t="s">
        <v>236</v>
      </c>
      <c r="D9817" s="156" t="s">
        <v>11078</v>
      </c>
      <c r="E9817" s="156" t="s">
        <v>11224</v>
      </c>
      <c r="F9817" s="156" t="s">
        <v>3340</v>
      </c>
      <c r="G9817" s="156" t="s">
        <v>10931</v>
      </c>
      <c r="H9817" s="157" t="s">
        <v>211</v>
      </c>
    </row>
    <row r="9818" hidden="1">
      <c r="A9818" s="160" t="s">
        <v>235</v>
      </c>
      <c r="B9818" s="72"/>
      <c r="C9818" s="118" t="s">
        <v>236</v>
      </c>
      <c r="D9818" s="152" t="s">
        <v>11078</v>
      </c>
      <c r="E9818" s="152" t="s">
        <v>11225</v>
      </c>
      <c r="F9818" s="152" t="s">
        <v>3240</v>
      </c>
      <c r="G9818" s="152" t="s">
        <v>10686</v>
      </c>
      <c r="H9818" s="153" t="s">
        <v>212</v>
      </c>
    </row>
    <row r="9819" hidden="1">
      <c r="A9819" s="158" t="s">
        <v>235</v>
      </c>
      <c r="B9819" s="159"/>
      <c r="C9819" s="155" t="s">
        <v>236</v>
      </c>
      <c r="D9819" s="156" t="s">
        <v>11078</v>
      </c>
      <c r="E9819" s="156" t="s">
        <v>11226</v>
      </c>
      <c r="F9819" s="156" t="s">
        <v>497</v>
      </c>
      <c r="G9819" s="156" t="s">
        <v>10949</v>
      </c>
      <c r="H9819" s="157" t="s">
        <v>213</v>
      </c>
    </row>
    <row r="9820" hidden="1">
      <c r="A9820" s="160" t="s">
        <v>235</v>
      </c>
      <c r="B9820" s="72"/>
      <c r="C9820" s="118" t="s">
        <v>236</v>
      </c>
      <c r="D9820" s="152" t="s">
        <v>11078</v>
      </c>
      <c r="E9820" s="152" t="s">
        <v>11227</v>
      </c>
      <c r="F9820" s="152" t="s">
        <v>2607</v>
      </c>
      <c r="G9820" s="152" t="s">
        <v>10600</v>
      </c>
      <c r="H9820" s="153" t="s">
        <v>214</v>
      </c>
    </row>
    <row r="9821" hidden="1">
      <c r="A9821" s="158" t="s">
        <v>235</v>
      </c>
      <c r="B9821" s="159"/>
      <c r="C9821" s="155" t="s">
        <v>236</v>
      </c>
      <c r="D9821" s="156" t="s">
        <v>11078</v>
      </c>
      <c r="E9821" s="156" t="s">
        <v>11228</v>
      </c>
      <c r="F9821" s="156" t="s">
        <v>2607</v>
      </c>
      <c r="G9821" s="156" t="s">
        <v>10775</v>
      </c>
      <c r="H9821" s="157" t="s">
        <v>215</v>
      </c>
    </row>
    <row r="9822" hidden="1">
      <c r="A9822" s="160" t="s">
        <v>235</v>
      </c>
      <c r="B9822" s="72"/>
      <c r="C9822" s="118" t="s">
        <v>236</v>
      </c>
      <c r="D9822" s="152" t="s">
        <v>11078</v>
      </c>
      <c r="E9822" s="152" t="s">
        <v>11229</v>
      </c>
      <c r="F9822" s="152" t="s">
        <v>3340</v>
      </c>
      <c r="G9822" s="152" t="s">
        <v>10931</v>
      </c>
      <c r="H9822" s="153" t="s">
        <v>216</v>
      </c>
    </row>
    <row r="9823" hidden="1">
      <c r="A9823" s="158" t="s">
        <v>237</v>
      </c>
      <c r="B9823" s="159"/>
      <c r="C9823" s="155" t="s">
        <v>236</v>
      </c>
      <c r="D9823" s="156" t="s">
        <v>11078</v>
      </c>
      <c r="E9823" s="156" t="s">
        <v>11230</v>
      </c>
      <c r="F9823" s="156" t="s">
        <v>3148</v>
      </c>
      <c r="G9823" s="156" t="s">
        <v>10783</v>
      </c>
      <c r="H9823" s="157" t="s">
        <v>210</v>
      </c>
    </row>
    <row r="9824" hidden="1">
      <c r="A9824" s="160" t="s">
        <v>237</v>
      </c>
      <c r="B9824" s="72"/>
      <c r="C9824" s="118" t="s">
        <v>236</v>
      </c>
      <c r="D9824" s="152" t="s">
        <v>11078</v>
      </c>
      <c r="E9824" s="152" t="s">
        <v>11231</v>
      </c>
      <c r="F9824" s="152" t="s">
        <v>730</v>
      </c>
      <c r="G9824" s="152" t="s">
        <v>9746</v>
      </c>
      <c r="H9824" s="153" t="s">
        <v>211</v>
      </c>
    </row>
    <row r="9825" hidden="1">
      <c r="A9825" s="158" t="s">
        <v>237</v>
      </c>
      <c r="B9825" s="159"/>
      <c r="C9825" s="155" t="s">
        <v>236</v>
      </c>
      <c r="D9825" s="156" t="s">
        <v>11078</v>
      </c>
      <c r="E9825" s="156" t="s">
        <v>11232</v>
      </c>
      <c r="F9825" s="156" t="s">
        <v>497</v>
      </c>
      <c r="G9825" s="156" t="s">
        <v>10437</v>
      </c>
      <c r="H9825" s="157" t="s">
        <v>212</v>
      </c>
    </row>
    <row r="9826" hidden="1">
      <c r="A9826" s="160" t="s">
        <v>237</v>
      </c>
      <c r="B9826" s="72"/>
      <c r="C9826" s="118" t="s">
        <v>236</v>
      </c>
      <c r="D9826" s="152" t="s">
        <v>11078</v>
      </c>
      <c r="E9826" s="152" t="s">
        <v>11233</v>
      </c>
      <c r="F9826" s="152" t="s">
        <v>3359</v>
      </c>
      <c r="G9826" s="152" t="s">
        <v>9575</v>
      </c>
      <c r="H9826" s="153" t="s">
        <v>213</v>
      </c>
    </row>
    <row r="9827" hidden="1">
      <c r="A9827" s="158" t="s">
        <v>237</v>
      </c>
      <c r="B9827" s="159"/>
      <c r="C9827" s="155" t="s">
        <v>236</v>
      </c>
      <c r="D9827" s="156" t="s">
        <v>11078</v>
      </c>
      <c r="E9827" s="156" t="s">
        <v>11234</v>
      </c>
      <c r="F9827" s="156" t="s">
        <v>2226</v>
      </c>
      <c r="G9827" s="156" t="s">
        <v>10669</v>
      </c>
      <c r="H9827" s="157" t="s">
        <v>214</v>
      </c>
    </row>
    <row r="9828" hidden="1">
      <c r="A9828" s="160" t="s">
        <v>237</v>
      </c>
      <c r="B9828" s="72"/>
      <c r="C9828" s="118" t="s">
        <v>236</v>
      </c>
      <c r="D9828" s="152" t="s">
        <v>11078</v>
      </c>
      <c r="E9828" s="152" t="s">
        <v>11235</v>
      </c>
      <c r="F9828" s="152" t="s">
        <v>3359</v>
      </c>
      <c r="G9828" s="152" t="s">
        <v>9934</v>
      </c>
      <c r="H9828" s="153" t="s">
        <v>215</v>
      </c>
    </row>
    <row r="9829" hidden="1">
      <c r="A9829" s="158" t="s">
        <v>237</v>
      </c>
      <c r="B9829" s="159"/>
      <c r="C9829" s="155" t="s">
        <v>236</v>
      </c>
      <c r="D9829" s="156" t="s">
        <v>11078</v>
      </c>
      <c r="E9829" s="156" t="s">
        <v>11236</v>
      </c>
      <c r="F9829" s="156" t="s">
        <v>730</v>
      </c>
      <c r="G9829" s="156" t="s">
        <v>11062</v>
      </c>
      <c r="H9829" s="157" t="s">
        <v>216</v>
      </c>
    </row>
    <row r="9830" hidden="1">
      <c r="A9830" s="151" t="s">
        <v>204</v>
      </c>
      <c r="B9830" s="118" t="s">
        <v>205</v>
      </c>
      <c r="C9830" s="118" t="s">
        <v>206</v>
      </c>
      <c r="D9830" s="152" t="s">
        <v>11237</v>
      </c>
      <c r="E9830" s="152" t="s">
        <v>11238</v>
      </c>
      <c r="F9830" s="152" t="s">
        <v>673</v>
      </c>
      <c r="G9830" s="152" t="s">
        <v>10702</v>
      </c>
      <c r="H9830" s="153" t="s">
        <v>210</v>
      </c>
    </row>
    <row r="9831" hidden="1">
      <c r="A9831" s="154" t="s">
        <v>204</v>
      </c>
      <c r="B9831" s="155" t="s">
        <v>205</v>
      </c>
      <c r="C9831" s="155" t="s">
        <v>206</v>
      </c>
      <c r="D9831" s="156" t="s">
        <v>11237</v>
      </c>
      <c r="E9831" s="156" t="s">
        <v>11239</v>
      </c>
      <c r="F9831" s="156" t="s">
        <v>735</v>
      </c>
      <c r="G9831" s="156" t="s">
        <v>11240</v>
      </c>
      <c r="H9831" s="157" t="s">
        <v>211</v>
      </c>
    </row>
    <row r="9832" hidden="1">
      <c r="A9832" s="151" t="s">
        <v>204</v>
      </c>
      <c r="B9832" s="118" t="s">
        <v>205</v>
      </c>
      <c r="C9832" s="118" t="s">
        <v>206</v>
      </c>
      <c r="D9832" s="152" t="s">
        <v>11237</v>
      </c>
      <c r="E9832" s="152" t="s">
        <v>11241</v>
      </c>
      <c r="F9832" s="152" t="s">
        <v>763</v>
      </c>
      <c r="G9832" s="152" t="s">
        <v>10272</v>
      </c>
      <c r="H9832" s="153" t="s">
        <v>212</v>
      </c>
    </row>
    <row r="9833" hidden="1">
      <c r="A9833" s="154" t="s">
        <v>204</v>
      </c>
      <c r="B9833" s="155" t="s">
        <v>205</v>
      </c>
      <c r="C9833" s="155" t="s">
        <v>206</v>
      </c>
      <c r="D9833" s="156" t="s">
        <v>11237</v>
      </c>
      <c r="E9833" s="156" t="s">
        <v>11242</v>
      </c>
      <c r="F9833" s="156" t="s">
        <v>763</v>
      </c>
      <c r="G9833" s="156" t="s">
        <v>10949</v>
      </c>
      <c r="H9833" s="157" t="s">
        <v>213</v>
      </c>
    </row>
    <row r="9834" hidden="1">
      <c r="A9834" s="151" t="s">
        <v>204</v>
      </c>
      <c r="B9834" s="118" t="s">
        <v>205</v>
      </c>
      <c r="C9834" s="118" t="s">
        <v>206</v>
      </c>
      <c r="D9834" s="152" t="s">
        <v>11237</v>
      </c>
      <c r="E9834" s="152" t="s">
        <v>11243</v>
      </c>
      <c r="F9834" s="152" t="s">
        <v>1532</v>
      </c>
      <c r="G9834" s="152" t="s">
        <v>10600</v>
      </c>
      <c r="H9834" s="153" t="s">
        <v>214</v>
      </c>
    </row>
    <row r="9835" hidden="1">
      <c r="A9835" s="154" t="s">
        <v>204</v>
      </c>
      <c r="B9835" s="155" t="s">
        <v>205</v>
      </c>
      <c r="C9835" s="155" t="s">
        <v>206</v>
      </c>
      <c r="D9835" s="156" t="s">
        <v>11237</v>
      </c>
      <c r="E9835" s="156" t="s">
        <v>11244</v>
      </c>
      <c r="F9835" s="156" t="s">
        <v>758</v>
      </c>
      <c r="G9835" s="156" t="s">
        <v>10773</v>
      </c>
      <c r="H9835" s="157" t="s">
        <v>215</v>
      </c>
    </row>
    <row r="9836" hidden="1">
      <c r="A9836" s="151" t="s">
        <v>204</v>
      </c>
      <c r="B9836" s="118" t="s">
        <v>205</v>
      </c>
      <c r="C9836" s="118" t="s">
        <v>206</v>
      </c>
      <c r="D9836" s="152" t="s">
        <v>11237</v>
      </c>
      <c r="E9836" s="152" t="s">
        <v>11245</v>
      </c>
      <c r="F9836" s="152" t="s">
        <v>448</v>
      </c>
      <c r="G9836" s="152" t="s">
        <v>11246</v>
      </c>
      <c r="H9836" s="153" t="s">
        <v>216</v>
      </c>
    </row>
    <row r="9837" hidden="1">
      <c r="A9837" s="154" t="s">
        <v>217</v>
      </c>
      <c r="B9837" s="155" t="s">
        <v>191</v>
      </c>
      <c r="C9837" s="155" t="s">
        <v>206</v>
      </c>
      <c r="D9837" s="156" t="s">
        <v>11237</v>
      </c>
      <c r="E9837" s="156" t="s">
        <v>11247</v>
      </c>
      <c r="F9837" s="156" t="s">
        <v>336</v>
      </c>
      <c r="G9837" s="156" t="s">
        <v>11248</v>
      </c>
      <c r="H9837" s="157" t="s">
        <v>210</v>
      </c>
    </row>
    <row r="9838" hidden="1">
      <c r="A9838" s="151" t="s">
        <v>217</v>
      </c>
      <c r="B9838" s="118" t="s">
        <v>191</v>
      </c>
      <c r="C9838" s="118" t="s">
        <v>206</v>
      </c>
      <c r="D9838" s="152" t="s">
        <v>11237</v>
      </c>
      <c r="E9838" s="152" t="s">
        <v>11249</v>
      </c>
      <c r="F9838" s="152" t="s">
        <v>799</v>
      </c>
      <c r="G9838" s="152" t="s">
        <v>9922</v>
      </c>
      <c r="H9838" s="153" t="s">
        <v>211</v>
      </c>
    </row>
    <row r="9839" hidden="1">
      <c r="A9839" s="154" t="s">
        <v>217</v>
      </c>
      <c r="B9839" s="155" t="s">
        <v>191</v>
      </c>
      <c r="C9839" s="155" t="s">
        <v>206</v>
      </c>
      <c r="D9839" s="156" t="s">
        <v>11237</v>
      </c>
      <c r="E9839" s="156" t="s">
        <v>11250</v>
      </c>
      <c r="F9839" s="156" t="s">
        <v>448</v>
      </c>
      <c r="G9839" s="156" t="s">
        <v>9742</v>
      </c>
      <c r="H9839" s="157" t="s">
        <v>212</v>
      </c>
    </row>
    <row r="9840" hidden="1">
      <c r="A9840" s="151" t="s">
        <v>217</v>
      </c>
      <c r="B9840" s="118" t="s">
        <v>191</v>
      </c>
      <c r="C9840" s="118" t="s">
        <v>206</v>
      </c>
      <c r="D9840" s="152" t="s">
        <v>11237</v>
      </c>
      <c r="E9840" s="152" t="s">
        <v>11251</v>
      </c>
      <c r="F9840" s="152" t="s">
        <v>718</v>
      </c>
      <c r="G9840" s="152" t="s">
        <v>10942</v>
      </c>
      <c r="H9840" s="153" t="s">
        <v>213</v>
      </c>
    </row>
    <row r="9841" hidden="1">
      <c r="A9841" s="154" t="s">
        <v>217</v>
      </c>
      <c r="B9841" s="155" t="s">
        <v>191</v>
      </c>
      <c r="C9841" s="155" t="s">
        <v>206</v>
      </c>
      <c r="D9841" s="156" t="s">
        <v>11237</v>
      </c>
      <c r="E9841" s="156" t="s">
        <v>11252</v>
      </c>
      <c r="F9841" s="156" t="s">
        <v>799</v>
      </c>
      <c r="G9841" s="156" t="s">
        <v>10769</v>
      </c>
      <c r="H9841" s="157" t="s">
        <v>214</v>
      </c>
    </row>
    <row r="9842" hidden="1">
      <c r="A9842" s="151" t="s">
        <v>217</v>
      </c>
      <c r="B9842" s="118" t="s">
        <v>191</v>
      </c>
      <c r="C9842" s="118" t="s">
        <v>206</v>
      </c>
      <c r="D9842" s="152" t="s">
        <v>11237</v>
      </c>
      <c r="E9842" s="152" t="s">
        <v>11253</v>
      </c>
      <c r="F9842" s="152" t="s">
        <v>405</v>
      </c>
      <c r="G9842" s="152" t="s">
        <v>11246</v>
      </c>
      <c r="H9842" s="153" t="s">
        <v>215</v>
      </c>
    </row>
    <row r="9843" hidden="1">
      <c r="A9843" s="154" t="s">
        <v>217</v>
      </c>
      <c r="B9843" s="155" t="s">
        <v>191</v>
      </c>
      <c r="C9843" s="155" t="s">
        <v>206</v>
      </c>
      <c r="D9843" s="156" t="s">
        <v>11237</v>
      </c>
      <c r="E9843" s="156" t="s">
        <v>11254</v>
      </c>
      <c r="F9843" s="156" t="s">
        <v>329</v>
      </c>
      <c r="G9843" s="156" t="s">
        <v>11255</v>
      </c>
      <c r="H9843" s="157" t="s">
        <v>216</v>
      </c>
    </row>
    <row r="9844" hidden="1">
      <c r="A9844" s="151" t="s">
        <v>218</v>
      </c>
      <c r="B9844" s="118" t="s">
        <v>219</v>
      </c>
      <c r="C9844" s="118" t="s">
        <v>206</v>
      </c>
      <c r="D9844" s="152" t="s">
        <v>11237</v>
      </c>
      <c r="E9844" s="152" t="s">
        <v>11256</v>
      </c>
      <c r="F9844" s="152" t="s">
        <v>725</v>
      </c>
      <c r="G9844" s="152" t="s">
        <v>10724</v>
      </c>
      <c r="H9844" s="153" t="s">
        <v>210</v>
      </c>
    </row>
    <row r="9845" hidden="1">
      <c r="A9845" s="154" t="s">
        <v>218</v>
      </c>
      <c r="B9845" s="155" t="s">
        <v>219</v>
      </c>
      <c r="C9845" s="155" t="s">
        <v>206</v>
      </c>
      <c r="D9845" s="156" t="s">
        <v>11237</v>
      </c>
      <c r="E9845" s="156" t="s">
        <v>11257</v>
      </c>
      <c r="F9845" s="156" t="s">
        <v>494</v>
      </c>
      <c r="G9845" s="156" t="s">
        <v>9740</v>
      </c>
      <c r="H9845" s="157" t="s">
        <v>211</v>
      </c>
    </row>
    <row r="9846" hidden="1">
      <c r="A9846" s="151" t="s">
        <v>218</v>
      </c>
      <c r="B9846" s="118" t="s">
        <v>219</v>
      </c>
      <c r="C9846" s="118" t="s">
        <v>206</v>
      </c>
      <c r="D9846" s="152" t="s">
        <v>11237</v>
      </c>
      <c r="E9846" s="152" t="s">
        <v>11258</v>
      </c>
      <c r="F9846" s="152" t="s">
        <v>718</v>
      </c>
      <c r="G9846" s="152" t="s">
        <v>10274</v>
      </c>
      <c r="H9846" s="153" t="s">
        <v>212</v>
      </c>
    </row>
    <row r="9847" hidden="1">
      <c r="A9847" s="154" t="s">
        <v>218</v>
      </c>
      <c r="B9847" s="155" t="s">
        <v>219</v>
      </c>
      <c r="C9847" s="155" t="s">
        <v>206</v>
      </c>
      <c r="D9847" s="156" t="s">
        <v>11237</v>
      </c>
      <c r="E9847" s="156" t="s">
        <v>11259</v>
      </c>
      <c r="F9847" s="156" t="s">
        <v>423</v>
      </c>
      <c r="G9847" s="156" t="s">
        <v>10783</v>
      </c>
      <c r="H9847" s="157" t="s">
        <v>213</v>
      </c>
    </row>
    <row r="9848" hidden="1">
      <c r="A9848" s="151" t="s">
        <v>218</v>
      </c>
      <c r="B9848" s="118" t="s">
        <v>219</v>
      </c>
      <c r="C9848" s="118" t="s">
        <v>206</v>
      </c>
      <c r="D9848" s="152" t="s">
        <v>11237</v>
      </c>
      <c r="E9848" s="152" t="s">
        <v>11260</v>
      </c>
      <c r="F9848" s="152" t="s">
        <v>425</v>
      </c>
      <c r="G9848" s="152" t="s">
        <v>9665</v>
      </c>
      <c r="H9848" s="153" t="s">
        <v>214</v>
      </c>
    </row>
    <row r="9849" hidden="1">
      <c r="A9849" s="154" t="s">
        <v>218</v>
      </c>
      <c r="B9849" s="155" t="s">
        <v>219</v>
      </c>
      <c r="C9849" s="155" t="s">
        <v>206</v>
      </c>
      <c r="D9849" s="156" t="s">
        <v>11237</v>
      </c>
      <c r="E9849" s="156" t="s">
        <v>11261</v>
      </c>
      <c r="F9849" s="156" t="s">
        <v>329</v>
      </c>
      <c r="G9849" s="156" t="s">
        <v>9667</v>
      </c>
      <c r="H9849" s="157" t="s">
        <v>215</v>
      </c>
    </row>
    <row r="9850" hidden="1">
      <c r="A9850" s="151" t="s">
        <v>218</v>
      </c>
      <c r="B9850" s="118" t="s">
        <v>219</v>
      </c>
      <c r="C9850" s="118" t="s">
        <v>206</v>
      </c>
      <c r="D9850" s="152" t="s">
        <v>11237</v>
      </c>
      <c r="E9850" s="152" t="s">
        <v>11262</v>
      </c>
      <c r="F9850" s="152" t="s">
        <v>725</v>
      </c>
      <c r="G9850" s="152" t="s">
        <v>10949</v>
      </c>
      <c r="H9850" s="153" t="s">
        <v>216</v>
      </c>
    </row>
    <row r="9851" hidden="1">
      <c r="A9851" s="154" t="s">
        <v>220</v>
      </c>
      <c r="B9851" s="155" t="s">
        <v>190</v>
      </c>
      <c r="C9851" s="155" t="s">
        <v>206</v>
      </c>
      <c r="D9851" s="156" t="s">
        <v>11237</v>
      </c>
      <c r="E9851" s="156" t="s">
        <v>11263</v>
      </c>
      <c r="F9851" s="156" t="s">
        <v>336</v>
      </c>
      <c r="G9851" s="156" t="s">
        <v>10878</v>
      </c>
      <c r="H9851" s="157" t="s">
        <v>210</v>
      </c>
    </row>
    <row r="9852" hidden="1">
      <c r="A9852" s="151" t="s">
        <v>220</v>
      </c>
      <c r="B9852" s="118" t="s">
        <v>190</v>
      </c>
      <c r="C9852" s="118" t="s">
        <v>206</v>
      </c>
      <c r="D9852" s="152" t="s">
        <v>11237</v>
      </c>
      <c r="E9852" s="152" t="s">
        <v>11264</v>
      </c>
      <c r="F9852" s="152" t="s">
        <v>577</v>
      </c>
      <c r="G9852" s="152" t="s">
        <v>10451</v>
      </c>
      <c r="H9852" s="153" t="s">
        <v>211</v>
      </c>
    </row>
    <row r="9853" hidden="1">
      <c r="A9853" s="154" t="s">
        <v>220</v>
      </c>
      <c r="B9853" s="155" t="s">
        <v>190</v>
      </c>
      <c r="C9853" s="155" t="s">
        <v>206</v>
      </c>
      <c r="D9853" s="156" t="s">
        <v>11237</v>
      </c>
      <c r="E9853" s="156" t="s">
        <v>11265</v>
      </c>
      <c r="F9853" s="156" t="s">
        <v>336</v>
      </c>
      <c r="G9853" s="156" t="s">
        <v>10789</v>
      </c>
      <c r="H9853" s="157" t="s">
        <v>212</v>
      </c>
    </row>
    <row r="9854" hidden="1">
      <c r="A9854" s="151" t="s">
        <v>220</v>
      </c>
      <c r="B9854" s="118" t="s">
        <v>190</v>
      </c>
      <c r="C9854" s="118" t="s">
        <v>206</v>
      </c>
      <c r="D9854" s="152" t="s">
        <v>11237</v>
      </c>
      <c r="E9854" s="152" t="s">
        <v>11266</v>
      </c>
      <c r="F9854" s="152" t="s">
        <v>3218</v>
      </c>
      <c r="G9854" s="152" t="s">
        <v>11113</v>
      </c>
      <c r="H9854" s="153" t="s">
        <v>213</v>
      </c>
    </row>
    <row r="9855" hidden="1">
      <c r="A9855" s="154" t="s">
        <v>220</v>
      </c>
      <c r="B9855" s="155" t="s">
        <v>190</v>
      </c>
      <c r="C9855" s="155" t="s">
        <v>206</v>
      </c>
      <c r="D9855" s="156" t="s">
        <v>11237</v>
      </c>
      <c r="E9855" s="156" t="s">
        <v>11267</v>
      </c>
      <c r="F9855" s="156" t="s">
        <v>799</v>
      </c>
      <c r="G9855" s="156" t="s">
        <v>10348</v>
      </c>
      <c r="H9855" s="157" t="s">
        <v>214</v>
      </c>
    </row>
    <row r="9856" hidden="1">
      <c r="A9856" s="151" t="s">
        <v>220</v>
      </c>
      <c r="B9856" s="118" t="s">
        <v>190</v>
      </c>
      <c r="C9856" s="118" t="s">
        <v>206</v>
      </c>
      <c r="D9856" s="152" t="s">
        <v>11237</v>
      </c>
      <c r="E9856" s="152" t="s">
        <v>11268</v>
      </c>
      <c r="F9856" s="152" t="s">
        <v>3218</v>
      </c>
      <c r="G9856" s="152" t="s">
        <v>11269</v>
      </c>
      <c r="H9856" s="153" t="s">
        <v>215</v>
      </c>
    </row>
    <row r="9857" hidden="1">
      <c r="A9857" s="154" t="s">
        <v>220</v>
      </c>
      <c r="B9857" s="155" t="s">
        <v>190</v>
      </c>
      <c r="C9857" s="155" t="s">
        <v>206</v>
      </c>
      <c r="D9857" s="156" t="s">
        <v>11237</v>
      </c>
      <c r="E9857" s="156" t="s">
        <v>11270</v>
      </c>
      <c r="F9857" s="156" t="s">
        <v>799</v>
      </c>
      <c r="G9857" s="156" t="s">
        <v>9838</v>
      </c>
      <c r="H9857" s="157" t="s">
        <v>216</v>
      </c>
    </row>
    <row r="9858" hidden="1">
      <c r="A9858" s="151" t="s">
        <v>221</v>
      </c>
      <c r="B9858" s="118" t="s">
        <v>189</v>
      </c>
      <c r="C9858" s="118" t="s">
        <v>206</v>
      </c>
      <c r="D9858" s="152" t="s">
        <v>11237</v>
      </c>
      <c r="E9858" s="152" t="s">
        <v>11271</v>
      </c>
      <c r="F9858" s="152" t="s">
        <v>3198</v>
      </c>
      <c r="G9858" s="152" t="s">
        <v>11272</v>
      </c>
      <c r="H9858" s="153" t="s">
        <v>210</v>
      </c>
    </row>
    <row r="9859" hidden="1">
      <c r="A9859" s="154" t="s">
        <v>221</v>
      </c>
      <c r="B9859" s="155" t="s">
        <v>189</v>
      </c>
      <c r="C9859" s="155" t="s">
        <v>206</v>
      </c>
      <c r="D9859" s="156" t="s">
        <v>11237</v>
      </c>
      <c r="E9859" s="156" t="s">
        <v>11273</v>
      </c>
      <c r="F9859" s="156" t="s">
        <v>1999</v>
      </c>
      <c r="G9859" s="156" t="s">
        <v>10901</v>
      </c>
      <c r="H9859" s="157" t="s">
        <v>211</v>
      </c>
    </row>
    <row r="9860" hidden="1">
      <c r="A9860" s="151" t="s">
        <v>221</v>
      </c>
      <c r="B9860" s="118" t="s">
        <v>189</v>
      </c>
      <c r="C9860" s="118" t="s">
        <v>206</v>
      </c>
      <c r="D9860" s="152" t="s">
        <v>11237</v>
      </c>
      <c r="E9860" s="152" t="s">
        <v>11274</v>
      </c>
      <c r="F9860" s="152" t="s">
        <v>2249</v>
      </c>
      <c r="G9860" s="152" t="s">
        <v>11275</v>
      </c>
      <c r="H9860" s="153" t="s">
        <v>212</v>
      </c>
    </row>
    <row r="9861" hidden="1">
      <c r="A9861" s="154" t="s">
        <v>221</v>
      </c>
      <c r="B9861" s="155" t="s">
        <v>189</v>
      </c>
      <c r="C9861" s="155" t="s">
        <v>206</v>
      </c>
      <c r="D9861" s="156" t="s">
        <v>11237</v>
      </c>
      <c r="E9861" s="156" t="s">
        <v>11276</v>
      </c>
      <c r="F9861" s="156" t="s">
        <v>1883</v>
      </c>
      <c r="G9861" s="156" t="s">
        <v>11133</v>
      </c>
      <c r="H9861" s="157" t="s">
        <v>213</v>
      </c>
    </row>
    <row r="9862" hidden="1">
      <c r="A9862" s="151" t="s">
        <v>221</v>
      </c>
      <c r="B9862" s="118" t="s">
        <v>189</v>
      </c>
      <c r="C9862" s="118" t="s">
        <v>206</v>
      </c>
      <c r="D9862" s="152" t="s">
        <v>11237</v>
      </c>
      <c r="E9862" s="152" t="s">
        <v>11277</v>
      </c>
      <c r="F9862" s="152" t="s">
        <v>339</v>
      </c>
      <c r="G9862" s="152" t="s">
        <v>9642</v>
      </c>
      <c r="H9862" s="153" t="s">
        <v>214</v>
      </c>
    </row>
    <row r="9863" hidden="1">
      <c r="A9863" s="154" t="s">
        <v>221</v>
      </c>
      <c r="B9863" s="155" t="s">
        <v>189</v>
      </c>
      <c r="C9863" s="155" t="s">
        <v>206</v>
      </c>
      <c r="D9863" s="156" t="s">
        <v>11237</v>
      </c>
      <c r="E9863" s="156" t="s">
        <v>11278</v>
      </c>
      <c r="F9863" s="156" t="s">
        <v>1986</v>
      </c>
      <c r="G9863" s="156" t="s">
        <v>9822</v>
      </c>
      <c r="H9863" s="157" t="s">
        <v>215</v>
      </c>
    </row>
    <row r="9864" hidden="1">
      <c r="A9864" s="151" t="s">
        <v>221</v>
      </c>
      <c r="B9864" s="118" t="s">
        <v>189</v>
      </c>
      <c r="C9864" s="118" t="s">
        <v>206</v>
      </c>
      <c r="D9864" s="152" t="s">
        <v>11237</v>
      </c>
      <c r="E9864" s="152" t="s">
        <v>11279</v>
      </c>
      <c r="F9864" s="152" t="s">
        <v>2228</v>
      </c>
      <c r="G9864" s="152" t="s">
        <v>11158</v>
      </c>
      <c r="H9864" s="153" t="s">
        <v>216</v>
      </c>
    </row>
    <row r="9865" hidden="1">
      <c r="A9865" s="154" t="s">
        <v>222</v>
      </c>
      <c r="B9865" s="155" t="s">
        <v>192</v>
      </c>
      <c r="C9865" s="155" t="s">
        <v>206</v>
      </c>
      <c r="D9865" s="156" t="s">
        <v>11237</v>
      </c>
      <c r="E9865" s="156" t="s">
        <v>11280</v>
      </c>
      <c r="F9865" s="156" t="s">
        <v>2226</v>
      </c>
      <c r="G9865" s="156" t="s">
        <v>10614</v>
      </c>
      <c r="H9865" s="157" t="s">
        <v>210</v>
      </c>
    </row>
    <row r="9866" hidden="1">
      <c r="A9866" s="151" t="s">
        <v>222</v>
      </c>
      <c r="B9866" s="118" t="s">
        <v>192</v>
      </c>
      <c r="C9866" s="118" t="s">
        <v>206</v>
      </c>
      <c r="D9866" s="152" t="s">
        <v>11237</v>
      </c>
      <c r="E9866" s="152" t="s">
        <v>11281</v>
      </c>
      <c r="F9866" s="152" t="s">
        <v>2215</v>
      </c>
      <c r="G9866" s="152" t="s">
        <v>9838</v>
      </c>
      <c r="H9866" s="153" t="s">
        <v>211</v>
      </c>
    </row>
    <row r="9867" hidden="1">
      <c r="A9867" s="154" t="s">
        <v>222</v>
      </c>
      <c r="B9867" s="155" t="s">
        <v>192</v>
      </c>
      <c r="C9867" s="155" t="s">
        <v>206</v>
      </c>
      <c r="D9867" s="156" t="s">
        <v>11237</v>
      </c>
      <c r="E9867" s="156" t="s">
        <v>11282</v>
      </c>
      <c r="F9867" s="156" t="s">
        <v>3359</v>
      </c>
      <c r="G9867" s="156" t="s">
        <v>11283</v>
      </c>
      <c r="H9867" s="157" t="s">
        <v>212</v>
      </c>
    </row>
    <row r="9868" hidden="1">
      <c r="A9868" s="151" t="s">
        <v>222</v>
      </c>
      <c r="B9868" s="118" t="s">
        <v>192</v>
      </c>
      <c r="C9868" s="118" t="s">
        <v>206</v>
      </c>
      <c r="D9868" s="152" t="s">
        <v>11237</v>
      </c>
      <c r="E9868" s="152" t="s">
        <v>11284</v>
      </c>
      <c r="F9868" s="152" t="s">
        <v>2215</v>
      </c>
      <c r="G9868" s="152" t="s">
        <v>10855</v>
      </c>
      <c r="H9868" s="153" t="s">
        <v>213</v>
      </c>
    </row>
    <row r="9869" hidden="1">
      <c r="A9869" s="154" t="s">
        <v>222</v>
      </c>
      <c r="B9869" s="155" t="s">
        <v>192</v>
      </c>
      <c r="C9869" s="155" t="s">
        <v>206</v>
      </c>
      <c r="D9869" s="156" t="s">
        <v>11237</v>
      </c>
      <c r="E9869" s="156" t="s">
        <v>11285</v>
      </c>
      <c r="F9869" s="156" t="s">
        <v>3240</v>
      </c>
      <c r="G9869" s="156" t="s">
        <v>10849</v>
      </c>
      <c r="H9869" s="157" t="s">
        <v>214</v>
      </c>
    </row>
    <row r="9870" hidden="1">
      <c r="A9870" s="151" t="s">
        <v>222</v>
      </c>
      <c r="B9870" s="118" t="s">
        <v>192</v>
      </c>
      <c r="C9870" s="118" t="s">
        <v>206</v>
      </c>
      <c r="D9870" s="152" t="s">
        <v>11237</v>
      </c>
      <c r="E9870" s="152" t="s">
        <v>11286</v>
      </c>
      <c r="F9870" s="152" t="s">
        <v>3198</v>
      </c>
      <c r="G9870" s="152" t="s">
        <v>9750</v>
      </c>
      <c r="H9870" s="153" t="s">
        <v>215</v>
      </c>
    </row>
    <row r="9871" hidden="1">
      <c r="A9871" s="154" t="s">
        <v>222</v>
      </c>
      <c r="B9871" s="155" t="s">
        <v>192</v>
      </c>
      <c r="C9871" s="155" t="s">
        <v>206</v>
      </c>
      <c r="D9871" s="156" t="s">
        <v>11237</v>
      </c>
      <c r="E9871" s="156" t="s">
        <v>11287</v>
      </c>
      <c r="F9871" s="156" t="s">
        <v>497</v>
      </c>
      <c r="G9871" s="156" t="s">
        <v>10851</v>
      </c>
      <c r="H9871" s="157" t="s">
        <v>216</v>
      </c>
    </row>
    <row r="9872" hidden="1">
      <c r="A9872" s="151" t="s">
        <v>223</v>
      </c>
      <c r="B9872" s="118" t="s">
        <v>144</v>
      </c>
      <c r="C9872" s="118" t="s">
        <v>206</v>
      </c>
      <c r="D9872" s="152" t="s">
        <v>11237</v>
      </c>
      <c r="E9872" s="152" t="s">
        <v>11288</v>
      </c>
      <c r="F9872" s="152" t="s">
        <v>2226</v>
      </c>
      <c r="G9872" s="152" t="s">
        <v>10432</v>
      </c>
      <c r="H9872" s="153" t="s">
        <v>210</v>
      </c>
    </row>
    <row r="9873" hidden="1">
      <c r="A9873" s="154" t="s">
        <v>223</v>
      </c>
      <c r="B9873" s="155" t="s">
        <v>144</v>
      </c>
      <c r="C9873" s="155" t="s">
        <v>206</v>
      </c>
      <c r="D9873" s="156" t="s">
        <v>11237</v>
      </c>
      <c r="E9873" s="156" t="s">
        <v>11289</v>
      </c>
      <c r="F9873" s="156" t="s">
        <v>2226</v>
      </c>
      <c r="G9873" s="156" t="s">
        <v>10735</v>
      </c>
      <c r="H9873" s="157" t="s">
        <v>211</v>
      </c>
    </row>
    <row r="9874" hidden="1">
      <c r="A9874" s="151" t="s">
        <v>223</v>
      </c>
      <c r="B9874" s="118" t="s">
        <v>144</v>
      </c>
      <c r="C9874" s="118" t="s">
        <v>206</v>
      </c>
      <c r="D9874" s="152" t="s">
        <v>11237</v>
      </c>
      <c r="E9874" s="152" t="s">
        <v>11290</v>
      </c>
      <c r="F9874" s="152" t="s">
        <v>2226</v>
      </c>
      <c r="G9874" s="152" t="s">
        <v>10593</v>
      </c>
      <c r="H9874" s="153" t="s">
        <v>212</v>
      </c>
    </row>
    <row r="9875" hidden="1">
      <c r="A9875" s="154" t="s">
        <v>223</v>
      </c>
      <c r="B9875" s="155" t="s">
        <v>144</v>
      </c>
      <c r="C9875" s="155" t="s">
        <v>206</v>
      </c>
      <c r="D9875" s="156" t="s">
        <v>11237</v>
      </c>
      <c r="E9875" s="156" t="s">
        <v>11291</v>
      </c>
      <c r="F9875" s="156" t="s">
        <v>3625</v>
      </c>
      <c r="G9875" s="156" t="s">
        <v>11292</v>
      </c>
      <c r="H9875" s="157" t="s">
        <v>213</v>
      </c>
    </row>
    <row r="9876" hidden="1">
      <c r="A9876" s="151" t="s">
        <v>223</v>
      </c>
      <c r="B9876" s="118" t="s">
        <v>144</v>
      </c>
      <c r="C9876" s="118" t="s">
        <v>206</v>
      </c>
      <c r="D9876" s="152" t="s">
        <v>11237</v>
      </c>
      <c r="E9876" s="152" t="s">
        <v>11293</v>
      </c>
      <c r="F9876" s="152" t="s">
        <v>732</v>
      </c>
      <c r="G9876" s="152" t="s">
        <v>11294</v>
      </c>
      <c r="H9876" s="153" t="s">
        <v>214</v>
      </c>
    </row>
    <row r="9877" hidden="1">
      <c r="A9877" s="154" t="s">
        <v>223</v>
      </c>
      <c r="B9877" s="155" t="s">
        <v>144</v>
      </c>
      <c r="C9877" s="155" t="s">
        <v>206</v>
      </c>
      <c r="D9877" s="156" t="s">
        <v>11237</v>
      </c>
      <c r="E9877" s="156" t="s">
        <v>11295</v>
      </c>
      <c r="F9877" s="156" t="s">
        <v>1790</v>
      </c>
      <c r="G9877" s="156" t="s">
        <v>10522</v>
      </c>
      <c r="H9877" s="157" t="s">
        <v>215</v>
      </c>
    </row>
    <row r="9878" hidden="1">
      <c r="A9878" s="151" t="s">
        <v>223</v>
      </c>
      <c r="B9878" s="118" t="s">
        <v>144</v>
      </c>
      <c r="C9878" s="118" t="s">
        <v>206</v>
      </c>
      <c r="D9878" s="152" t="s">
        <v>11237</v>
      </c>
      <c r="E9878" s="152" t="s">
        <v>11296</v>
      </c>
      <c r="F9878" s="152" t="s">
        <v>730</v>
      </c>
      <c r="G9878" s="152" t="s">
        <v>10602</v>
      </c>
      <c r="H9878" s="153" t="s">
        <v>216</v>
      </c>
    </row>
    <row r="9879" hidden="1">
      <c r="A9879" s="154" t="s">
        <v>224</v>
      </c>
      <c r="B9879" s="155" t="s">
        <v>170</v>
      </c>
      <c r="C9879" s="155" t="s">
        <v>206</v>
      </c>
      <c r="D9879" s="156" t="s">
        <v>11237</v>
      </c>
      <c r="E9879" s="156" t="s">
        <v>11297</v>
      </c>
      <c r="F9879" s="156" t="s">
        <v>1929</v>
      </c>
      <c r="G9879" s="156" t="s">
        <v>10344</v>
      </c>
      <c r="H9879" s="157" t="s">
        <v>210</v>
      </c>
    </row>
    <row r="9880" hidden="1">
      <c r="A9880" s="151" t="s">
        <v>224</v>
      </c>
      <c r="B9880" s="118" t="s">
        <v>170</v>
      </c>
      <c r="C9880" s="118" t="s">
        <v>206</v>
      </c>
      <c r="D9880" s="152" t="s">
        <v>11237</v>
      </c>
      <c r="E9880" s="152" t="s">
        <v>11298</v>
      </c>
      <c r="F9880" s="152" t="s">
        <v>758</v>
      </c>
      <c r="G9880" s="152" t="s">
        <v>11299</v>
      </c>
      <c r="H9880" s="153" t="s">
        <v>211</v>
      </c>
    </row>
    <row r="9881" hidden="1">
      <c r="A9881" s="154" t="s">
        <v>224</v>
      </c>
      <c r="B9881" s="155" t="s">
        <v>170</v>
      </c>
      <c r="C9881" s="155" t="s">
        <v>206</v>
      </c>
      <c r="D9881" s="156" t="s">
        <v>11237</v>
      </c>
      <c r="E9881" s="156" t="s">
        <v>11300</v>
      </c>
      <c r="F9881" s="156" t="s">
        <v>405</v>
      </c>
      <c r="G9881" s="156" t="s">
        <v>11301</v>
      </c>
      <c r="H9881" s="157" t="s">
        <v>212</v>
      </c>
    </row>
    <row r="9882" hidden="1">
      <c r="A9882" s="151" t="s">
        <v>224</v>
      </c>
      <c r="B9882" s="118" t="s">
        <v>170</v>
      </c>
      <c r="C9882" s="118" t="s">
        <v>206</v>
      </c>
      <c r="D9882" s="152" t="s">
        <v>11237</v>
      </c>
      <c r="E9882" s="152" t="s">
        <v>11302</v>
      </c>
      <c r="F9882" s="152" t="s">
        <v>735</v>
      </c>
      <c r="G9882" s="152" t="s">
        <v>10082</v>
      </c>
      <c r="H9882" s="153" t="s">
        <v>213</v>
      </c>
    </row>
    <row r="9883" hidden="1">
      <c r="A9883" s="154" t="s">
        <v>224</v>
      </c>
      <c r="B9883" s="155" t="s">
        <v>170</v>
      </c>
      <c r="C9883" s="155" t="s">
        <v>206</v>
      </c>
      <c r="D9883" s="156" t="s">
        <v>11237</v>
      </c>
      <c r="E9883" s="156" t="s">
        <v>11303</v>
      </c>
      <c r="F9883" s="156" t="s">
        <v>448</v>
      </c>
      <c r="G9883" s="156" t="s">
        <v>9721</v>
      </c>
      <c r="H9883" s="157" t="s">
        <v>214</v>
      </c>
    </row>
    <row r="9884" hidden="1">
      <c r="A9884" s="151" t="s">
        <v>224</v>
      </c>
      <c r="B9884" s="118" t="s">
        <v>170</v>
      </c>
      <c r="C9884" s="118" t="s">
        <v>206</v>
      </c>
      <c r="D9884" s="152" t="s">
        <v>11237</v>
      </c>
      <c r="E9884" s="152" t="s">
        <v>11304</v>
      </c>
      <c r="F9884" s="152" t="s">
        <v>1530</v>
      </c>
      <c r="G9884" s="152" t="s">
        <v>10190</v>
      </c>
      <c r="H9884" s="153" t="s">
        <v>215</v>
      </c>
    </row>
    <row r="9885" hidden="1">
      <c r="A9885" s="154" t="s">
        <v>224</v>
      </c>
      <c r="B9885" s="155" t="s">
        <v>170</v>
      </c>
      <c r="C9885" s="155" t="s">
        <v>206</v>
      </c>
      <c r="D9885" s="156" t="s">
        <v>11237</v>
      </c>
      <c r="E9885" s="156" t="s">
        <v>11305</v>
      </c>
      <c r="F9885" s="156" t="s">
        <v>1929</v>
      </c>
      <c r="G9885" s="156" t="s">
        <v>9413</v>
      </c>
      <c r="H9885" s="157" t="s">
        <v>216</v>
      </c>
    </row>
    <row r="9886" hidden="1">
      <c r="A9886" s="151" t="s">
        <v>225</v>
      </c>
      <c r="B9886" s="118" t="s">
        <v>226</v>
      </c>
      <c r="C9886" s="118" t="s">
        <v>206</v>
      </c>
      <c r="D9886" s="152" t="s">
        <v>11237</v>
      </c>
      <c r="E9886" s="152" t="s">
        <v>11306</v>
      </c>
      <c r="F9886" s="152" t="s">
        <v>229</v>
      </c>
      <c r="G9886" s="152" t="s">
        <v>10593</v>
      </c>
      <c r="H9886" s="153" t="s">
        <v>210</v>
      </c>
    </row>
    <row r="9887" hidden="1">
      <c r="A9887" s="154" t="s">
        <v>225</v>
      </c>
      <c r="B9887" s="155" t="s">
        <v>226</v>
      </c>
      <c r="C9887" s="155" t="s">
        <v>206</v>
      </c>
      <c r="D9887" s="156" t="s">
        <v>11237</v>
      </c>
      <c r="E9887" s="156" t="s">
        <v>11307</v>
      </c>
      <c r="F9887" s="156" t="s">
        <v>229</v>
      </c>
      <c r="G9887" s="156" t="s">
        <v>10348</v>
      </c>
      <c r="H9887" s="157" t="s">
        <v>211</v>
      </c>
    </row>
    <row r="9888" hidden="1">
      <c r="A9888" s="151" t="s">
        <v>225</v>
      </c>
      <c r="B9888" s="118" t="s">
        <v>226</v>
      </c>
      <c r="C9888" s="118" t="s">
        <v>206</v>
      </c>
      <c r="D9888" s="152" t="s">
        <v>11237</v>
      </c>
      <c r="E9888" s="152" t="s">
        <v>11308</v>
      </c>
      <c r="F9888" s="152" t="s">
        <v>730</v>
      </c>
      <c r="G9888" s="152" t="s">
        <v>10437</v>
      </c>
      <c r="H9888" s="153" t="s">
        <v>212</v>
      </c>
    </row>
    <row r="9889" hidden="1">
      <c r="A9889" s="154" t="s">
        <v>225</v>
      </c>
      <c r="B9889" s="155" t="s">
        <v>226</v>
      </c>
      <c r="C9889" s="155" t="s">
        <v>206</v>
      </c>
      <c r="D9889" s="156" t="s">
        <v>11237</v>
      </c>
      <c r="E9889" s="156" t="s">
        <v>11309</v>
      </c>
      <c r="F9889" s="156" t="s">
        <v>2654</v>
      </c>
      <c r="G9889" s="156" t="s">
        <v>10174</v>
      </c>
      <c r="H9889" s="157" t="s">
        <v>213</v>
      </c>
    </row>
    <row r="9890" hidden="1">
      <c r="A9890" s="151" t="s">
        <v>225</v>
      </c>
      <c r="B9890" s="118" t="s">
        <v>226</v>
      </c>
      <c r="C9890" s="118" t="s">
        <v>206</v>
      </c>
      <c r="D9890" s="152" t="s">
        <v>11237</v>
      </c>
      <c r="E9890" s="152" t="s">
        <v>11310</v>
      </c>
      <c r="F9890" s="152" t="s">
        <v>348</v>
      </c>
      <c r="G9890" s="152" t="s">
        <v>10181</v>
      </c>
      <c r="H9890" s="153" t="s">
        <v>214</v>
      </c>
    </row>
    <row r="9891" hidden="1">
      <c r="A9891" s="154" t="s">
        <v>225</v>
      </c>
      <c r="B9891" s="155" t="s">
        <v>226</v>
      </c>
      <c r="C9891" s="155" t="s">
        <v>206</v>
      </c>
      <c r="D9891" s="156" t="s">
        <v>11237</v>
      </c>
      <c r="E9891" s="156" t="s">
        <v>11311</v>
      </c>
      <c r="F9891" s="156" t="s">
        <v>390</v>
      </c>
      <c r="G9891" s="156" t="s">
        <v>10228</v>
      </c>
      <c r="H9891" s="157" t="s">
        <v>215</v>
      </c>
    </row>
    <row r="9892" hidden="1">
      <c r="A9892" s="151" t="s">
        <v>225</v>
      </c>
      <c r="B9892" s="118" t="s">
        <v>226</v>
      </c>
      <c r="C9892" s="118" t="s">
        <v>206</v>
      </c>
      <c r="D9892" s="152" t="s">
        <v>11237</v>
      </c>
      <c r="E9892" s="152" t="s">
        <v>11312</v>
      </c>
      <c r="F9892" s="152" t="s">
        <v>2407</v>
      </c>
      <c r="G9892" s="152" t="s">
        <v>10901</v>
      </c>
      <c r="H9892" s="153" t="s">
        <v>216</v>
      </c>
    </row>
    <row r="9893" hidden="1">
      <c r="A9893" s="154" t="s">
        <v>227</v>
      </c>
      <c r="B9893" s="155" t="s">
        <v>195</v>
      </c>
      <c r="C9893" s="155" t="s">
        <v>206</v>
      </c>
      <c r="D9893" s="156" t="s">
        <v>11237</v>
      </c>
      <c r="E9893" s="156" t="s">
        <v>11313</v>
      </c>
      <c r="F9893" s="156" t="s">
        <v>1530</v>
      </c>
      <c r="G9893" s="156" t="s">
        <v>10934</v>
      </c>
      <c r="H9893" s="157" t="s">
        <v>210</v>
      </c>
    </row>
    <row r="9894" hidden="1">
      <c r="A9894" s="151" t="s">
        <v>227</v>
      </c>
      <c r="B9894" s="118" t="s">
        <v>195</v>
      </c>
      <c r="C9894" s="118" t="s">
        <v>206</v>
      </c>
      <c r="D9894" s="152" t="s">
        <v>11237</v>
      </c>
      <c r="E9894" s="152" t="s">
        <v>11314</v>
      </c>
      <c r="F9894" s="152" t="s">
        <v>758</v>
      </c>
      <c r="G9894" s="152" t="s">
        <v>11223</v>
      </c>
      <c r="H9894" s="153" t="s">
        <v>211</v>
      </c>
    </row>
    <row r="9895" hidden="1">
      <c r="A9895" s="154" t="s">
        <v>227</v>
      </c>
      <c r="B9895" s="155" t="s">
        <v>195</v>
      </c>
      <c r="C9895" s="155" t="s">
        <v>206</v>
      </c>
      <c r="D9895" s="156" t="s">
        <v>11237</v>
      </c>
      <c r="E9895" s="156" t="s">
        <v>11315</v>
      </c>
      <c r="F9895" s="156" t="s">
        <v>629</v>
      </c>
      <c r="G9895" s="156" t="s">
        <v>10767</v>
      </c>
      <c r="H9895" s="157" t="s">
        <v>212</v>
      </c>
    </row>
    <row r="9896" hidden="1">
      <c r="A9896" s="151" t="s">
        <v>227</v>
      </c>
      <c r="B9896" s="118" t="s">
        <v>195</v>
      </c>
      <c r="C9896" s="118" t="s">
        <v>206</v>
      </c>
      <c r="D9896" s="152" t="s">
        <v>11237</v>
      </c>
      <c r="E9896" s="152" t="s">
        <v>11316</v>
      </c>
      <c r="F9896" s="152" t="s">
        <v>735</v>
      </c>
      <c r="G9896" s="152" t="s">
        <v>10773</v>
      </c>
      <c r="H9896" s="153" t="s">
        <v>213</v>
      </c>
    </row>
    <row r="9897" hidden="1">
      <c r="A9897" s="154" t="s">
        <v>227</v>
      </c>
      <c r="B9897" s="155" t="s">
        <v>195</v>
      </c>
      <c r="C9897" s="155" t="s">
        <v>206</v>
      </c>
      <c r="D9897" s="156" t="s">
        <v>11237</v>
      </c>
      <c r="E9897" s="156" t="s">
        <v>11317</v>
      </c>
      <c r="F9897" s="156" t="s">
        <v>3340</v>
      </c>
      <c r="G9897" s="156" t="s">
        <v>9930</v>
      </c>
      <c r="H9897" s="157" t="s">
        <v>214</v>
      </c>
    </row>
    <row r="9898" hidden="1">
      <c r="A9898" s="151" t="s">
        <v>227</v>
      </c>
      <c r="B9898" s="118" t="s">
        <v>195</v>
      </c>
      <c r="C9898" s="118" t="s">
        <v>206</v>
      </c>
      <c r="D9898" s="152" t="s">
        <v>11237</v>
      </c>
      <c r="E9898" s="152" t="s">
        <v>11318</v>
      </c>
      <c r="F9898" s="152" t="s">
        <v>2215</v>
      </c>
      <c r="G9898" s="152" t="s">
        <v>11011</v>
      </c>
      <c r="H9898" s="153" t="s">
        <v>215</v>
      </c>
    </row>
    <row r="9899" hidden="1">
      <c r="A9899" s="154" t="s">
        <v>227</v>
      </c>
      <c r="B9899" s="155" t="s">
        <v>195</v>
      </c>
      <c r="C9899" s="155" t="s">
        <v>206</v>
      </c>
      <c r="D9899" s="156" t="s">
        <v>11237</v>
      </c>
      <c r="E9899" s="156" t="s">
        <v>11319</v>
      </c>
      <c r="F9899" s="156" t="s">
        <v>1929</v>
      </c>
      <c r="G9899" s="156" t="s">
        <v>11320</v>
      </c>
      <c r="H9899" s="157" t="s">
        <v>216</v>
      </c>
    </row>
    <row r="9900" hidden="1">
      <c r="A9900" s="151" t="s">
        <v>228</v>
      </c>
      <c r="B9900" s="118" t="s">
        <v>138</v>
      </c>
      <c r="C9900" s="118" t="s">
        <v>206</v>
      </c>
      <c r="D9900" s="152" t="s">
        <v>11237</v>
      </c>
      <c r="E9900" s="152" t="s">
        <v>11321</v>
      </c>
      <c r="F9900" s="152" t="s">
        <v>758</v>
      </c>
      <c r="G9900" s="152" t="s">
        <v>11322</v>
      </c>
      <c r="H9900" s="153" t="s">
        <v>210</v>
      </c>
    </row>
    <row r="9901" hidden="1">
      <c r="A9901" s="154" t="s">
        <v>228</v>
      </c>
      <c r="B9901" s="155" t="s">
        <v>138</v>
      </c>
      <c r="C9901" s="155" t="s">
        <v>206</v>
      </c>
      <c r="D9901" s="156" t="s">
        <v>11237</v>
      </c>
      <c r="E9901" s="156" t="s">
        <v>11323</v>
      </c>
      <c r="F9901" s="156" t="s">
        <v>448</v>
      </c>
      <c r="G9901" s="156" t="s">
        <v>10520</v>
      </c>
      <c r="H9901" s="157" t="s">
        <v>211</v>
      </c>
    </row>
    <row r="9902" hidden="1">
      <c r="A9902" s="151" t="s">
        <v>228</v>
      </c>
      <c r="B9902" s="118" t="s">
        <v>138</v>
      </c>
      <c r="C9902" s="118" t="s">
        <v>206</v>
      </c>
      <c r="D9902" s="152" t="s">
        <v>11237</v>
      </c>
      <c r="E9902" s="152" t="s">
        <v>11324</v>
      </c>
      <c r="F9902" s="152" t="s">
        <v>9469</v>
      </c>
      <c r="G9902" s="152" t="s">
        <v>9888</v>
      </c>
      <c r="H9902" s="153" t="s">
        <v>212</v>
      </c>
    </row>
    <row r="9903" hidden="1">
      <c r="A9903" s="154" t="s">
        <v>228</v>
      </c>
      <c r="B9903" s="155" t="s">
        <v>138</v>
      </c>
      <c r="C9903" s="155" t="s">
        <v>206</v>
      </c>
      <c r="D9903" s="156" t="s">
        <v>11237</v>
      </c>
      <c r="E9903" s="156" t="s">
        <v>11325</v>
      </c>
      <c r="F9903" s="156" t="s">
        <v>405</v>
      </c>
      <c r="G9903" s="156" t="s">
        <v>10650</v>
      </c>
      <c r="H9903" s="157" t="s">
        <v>213</v>
      </c>
    </row>
    <row r="9904" hidden="1">
      <c r="A9904" s="151" t="s">
        <v>228</v>
      </c>
      <c r="B9904" s="118" t="s">
        <v>138</v>
      </c>
      <c r="C9904" s="118" t="s">
        <v>206</v>
      </c>
      <c r="D9904" s="152" t="s">
        <v>11237</v>
      </c>
      <c r="E9904" s="152" t="s">
        <v>11326</v>
      </c>
      <c r="F9904" s="152" t="s">
        <v>3346</v>
      </c>
      <c r="G9904" s="152" t="s">
        <v>10775</v>
      </c>
      <c r="H9904" s="153" t="s">
        <v>214</v>
      </c>
    </row>
    <row r="9905" hidden="1">
      <c r="A9905" s="154" t="s">
        <v>228</v>
      </c>
      <c r="B9905" s="155" t="s">
        <v>138</v>
      </c>
      <c r="C9905" s="155" t="s">
        <v>206</v>
      </c>
      <c r="D9905" s="156" t="s">
        <v>11237</v>
      </c>
      <c r="E9905" s="156" t="s">
        <v>11327</v>
      </c>
      <c r="F9905" s="156" t="s">
        <v>308</v>
      </c>
      <c r="G9905" s="156" t="s">
        <v>9649</v>
      </c>
      <c r="H9905" s="157" t="s">
        <v>215</v>
      </c>
    </row>
    <row r="9906" hidden="1">
      <c r="A9906" s="151" t="s">
        <v>228</v>
      </c>
      <c r="B9906" s="118" t="s">
        <v>138</v>
      </c>
      <c r="C9906" s="118" t="s">
        <v>206</v>
      </c>
      <c r="D9906" s="152" t="s">
        <v>11237</v>
      </c>
      <c r="E9906" s="152" t="s">
        <v>11328</v>
      </c>
      <c r="F9906" s="152" t="s">
        <v>763</v>
      </c>
      <c r="G9906" s="152" t="s">
        <v>9998</v>
      </c>
      <c r="H9906" s="153" t="s">
        <v>216</v>
      </c>
    </row>
    <row r="9907" hidden="1">
      <c r="A9907" s="154" t="s">
        <v>229</v>
      </c>
      <c r="B9907" s="155" t="s">
        <v>193</v>
      </c>
      <c r="C9907" s="155" t="s">
        <v>206</v>
      </c>
      <c r="D9907" s="156" t="s">
        <v>11237</v>
      </c>
      <c r="E9907" s="156" t="s">
        <v>11329</v>
      </c>
      <c r="F9907" s="156" t="s">
        <v>629</v>
      </c>
      <c r="G9907" s="156" t="s">
        <v>11330</v>
      </c>
      <c r="H9907" s="157" t="s">
        <v>210</v>
      </c>
    </row>
    <row r="9908" hidden="1">
      <c r="A9908" s="151" t="s">
        <v>229</v>
      </c>
      <c r="B9908" s="118" t="s">
        <v>193</v>
      </c>
      <c r="C9908" s="118" t="s">
        <v>206</v>
      </c>
      <c r="D9908" s="152" t="s">
        <v>11237</v>
      </c>
      <c r="E9908" s="152" t="s">
        <v>11331</v>
      </c>
      <c r="F9908" s="152" t="s">
        <v>348</v>
      </c>
      <c r="G9908" s="152" t="s">
        <v>11332</v>
      </c>
      <c r="H9908" s="153" t="s">
        <v>211</v>
      </c>
    </row>
    <row r="9909" hidden="1">
      <c r="A9909" s="154" t="s">
        <v>229</v>
      </c>
      <c r="B9909" s="155" t="s">
        <v>193</v>
      </c>
      <c r="C9909" s="155" t="s">
        <v>206</v>
      </c>
      <c r="D9909" s="156" t="s">
        <v>11237</v>
      </c>
      <c r="E9909" s="156" t="s">
        <v>11333</v>
      </c>
      <c r="F9909" s="156" t="s">
        <v>336</v>
      </c>
      <c r="G9909" s="156" t="s">
        <v>11334</v>
      </c>
      <c r="H9909" s="157" t="s">
        <v>212</v>
      </c>
    </row>
    <row r="9910" hidden="1">
      <c r="A9910" s="151" t="s">
        <v>229</v>
      </c>
      <c r="B9910" s="118" t="s">
        <v>193</v>
      </c>
      <c r="C9910" s="118" t="s">
        <v>206</v>
      </c>
      <c r="D9910" s="152" t="s">
        <v>11237</v>
      </c>
      <c r="E9910" s="152" t="s">
        <v>11335</v>
      </c>
      <c r="F9910" s="152" t="s">
        <v>425</v>
      </c>
      <c r="G9910" s="152" t="s">
        <v>10708</v>
      </c>
      <c r="H9910" s="153" t="s">
        <v>213</v>
      </c>
    </row>
    <row r="9911" hidden="1">
      <c r="A9911" s="154" t="s">
        <v>229</v>
      </c>
      <c r="B9911" s="155" t="s">
        <v>193</v>
      </c>
      <c r="C9911" s="155" t="s">
        <v>206</v>
      </c>
      <c r="D9911" s="156" t="s">
        <v>11237</v>
      </c>
      <c r="E9911" s="156" t="s">
        <v>11336</v>
      </c>
      <c r="F9911" s="156" t="s">
        <v>483</v>
      </c>
      <c r="G9911" s="156" t="s">
        <v>10874</v>
      </c>
      <c r="H9911" s="157" t="s">
        <v>214</v>
      </c>
    </row>
    <row r="9912" hidden="1">
      <c r="A9912" s="151" t="s">
        <v>229</v>
      </c>
      <c r="B9912" s="118" t="s">
        <v>193</v>
      </c>
      <c r="C9912" s="118" t="s">
        <v>206</v>
      </c>
      <c r="D9912" s="152" t="s">
        <v>11237</v>
      </c>
      <c r="E9912" s="152" t="s">
        <v>11337</v>
      </c>
      <c r="F9912" s="152" t="s">
        <v>3198</v>
      </c>
      <c r="G9912" s="152" t="s">
        <v>11338</v>
      </c>
      <c r="H9912" s="153" t="s">
        <v>215</v>
      </c>
    </row>
    <row r="9913" hidden="1">
      <c r="A9913" s="154" t="s">
        <v>229</v>
      </c>
      <c r="B9913" s="155" t="s">
        <v>193</v>
      </c>
      <c r="C9913" s="155" t="s">
        <v>206</v>
      </c>
      <c r="D9913" s="156" t="s">
        <v>11237</v>
      </c>
      <c r="E9913" s="156" t="s">
        <v>11339</v>
      </c>
      <c r="F9913" s="156" t="s">
        <v>2994</v>
      </c>
      <c r="G9913" s="156" t="s">
        <v>11205</v>
      </c>
      <c r="H9913" s="157" t="s">
        <v>216</v>
      </c>
    </row>
    <row r="9914" hidden="1">
      <c r="A9914" s="151" t="s">
        <v>230</v>
      </c>
      <c r="B9914" s="118" t="s">
        <v>194</v>
      </c>
      <c r="C9914" s="118" t="s">
        <v>206</v>
      </c>
      <c r="D9914" s="152" t="s">
        <v>11237</v>
      </c>
      <c r="E9914" s="152" t="s">
        <v>11340</v>
      </c>
      <c r="F9914" s="152" t="s">
        <v>760</v>
      </c>
      <c r="G9914" s="152" t="s">
        <v>11341</v>
      </c>
      <c r="H9914" s="153" t="s">
        <v>210</v>
      </c>
    </row>
    <row r="9915" hidden="1">
      <c r="A9915" s="154" t="s">
        <v>230</v>
      </c>
      <c r="B9915" s="155" t="s">
        <v>194</v>
      </c>
      <c r="C9915" s="155" t="s">
        <v>206</v>
      </c>
      <c r="D9915" s="156" t="s">
        <v>11237</v>
      </c>
      <c r="E9915" s="156" t="s">
        <v>11342</v>
      </c>
      <c r="F9915" s="156" t="s">
        <v>1929</v>
      </c>
      <c r="G9915" s="156" t="s">
        <v>11127</v>
      </c>
      <c r="H9915" s="157" t="s">
        <v>211</v>
      </c>
    </row>
    <row r="9916" hidden="1">
      <c r="A9916" s="151" t="s">
        <v>230</v>
      </c>
      <c r="B9916" s="118" t="s">
        <v>194</v>
      </c>
      <c r="C9916" s="118" t="s">
        <v>206</v>
      </c>
      <c r="D9916" s="152" t="s">
        <v>11237</v>
      </c>
      <c r="E9916" s="152" t="s">
        <v>11343</v>
      </c>
      <c r="F9916" s="152" t="s">
        <v>2215</v>
      </c>
      <c r="G9916" s="152" t="s">
        <v>11111</v>
      </c>
      <c r="H9916" s="153" t="s">
        <v>212</v>
      </c>
    </row>
    <row r="9917" hidden="1">
      <c r="A9917" s="154" t="s">
        <v>230</v>
      </c>
      <c r="B9917" s="155" t="s">
        <v>194</v>
      </c>
      <c r="C9917" s="155" t="s">
        <v>206</v>
      </c>
      <c r="D9917" s="156" t="s">
        <v>11237</v>
      </c>
      <c r="E9917" s="156" t="s">
        <v>11344</v>
      </c>
      <c r="F9917" s="156" t="s">
        <v>2607</v>
      </c>
      <c r="G9917" s="156" t="s">
        <v>11320</v>
      </c>
      <c r="H9917" s="157" t="s">
        <v>213</v>
      </c>
    </row>
    <row r="9918" hidden="1">
      <c r="A9918" s="151" t="s">
        <v>230</v>
      </c>
      <c r="B9918" s="118" t="s">
        <v>194</v>
      </c>
      <c r="C9918" s="118" t="s">
        <v>206</v>
      </c>
      <c r="D9918" s="152" t="s">
        <v>11237</v>
      </c>
      <c r="E9918" s="152" t="s">
        <v>11345</v>
      </c>
      <c r="F9918" s="152" t="s">
        <v>673</v>
      </c>
      <c r="G9918" s="152" t="s">
        <v>11193</v>
      </c>
      <c r="H9918" s="153" t="s">
        <v>214</v>
      </c>
    </row>
    <row r="9919" hidden="1">
      <c r="A9919" s="154" t="s">
        <v>230</v>
      </c>
      <c r="B9919" s="155" t="s">
        <v>194</v>
      </c>
      <c r="C9919" s="155" t="s">
        <v>206</v>
      </c>
      <c r="D9919" s="156" t="s">
        <v>11237</v>
      </c>
      <c r="E9919" s="156" t="s">
        <v>11346</v>
      </c>
      <c r="F9919" s="156" t="s">
        <v>629</v>
      </c>
      <c r="G9919" s="156" t="s">
        <v>11093</v>
      </c>
      <c r="H9919" s="157" t="s">
        <v>215</v>
      </c>
    </row>
    <row r="9920" hidden="1">
      <c r="A9920" s="151" t="s">
        <v>230</v>
      </c>
      <c r="B9920" s="118" t="s">
        <v>194</v>
      </c>
      <c r="C9920" s="118" t="s">
        <v>206</v>
      </c>
      <c r="D9920" s="152" t="s">
        <v>11237</v>
      </c>
      <c r="E9920" s="152" t="s">
        <v>11347</v>
      </c>
      <c r="F9920" s="152" t="s">
        <v>763</v>
      </c>
      <c r="G9920" s="152" t="s">
        <v>10771</v>
      </c>
      <c r="H9920" s="153" t="s">
        <v>216</v>
      </c>
    </row>
    <row r="9921" hidden="1">
      <c r="A9921" s="158" t="s">
        <v>231</v>
      </c>
      <c r="B9921" s="159"/>
      <c r="C9921" s="155" t="s">
        <v>232</v>
      </c>
      <c r="D9921" s="156" t="s">
        <v>11237</v>
      </c>
      <c r="E9921" s="156" t="s">
        <v>11348</v>
      </c>
      <c r="F9921" s="156" t="s">
        <v>262</v>
      </c>
      <c r="G9921" s="156" t="s">
        <v>11349</v>
      </c>
      <c r="H9921" s="157" t="s">
        <v>210</v>
      </c>
    </row>
    <row r="9922" hidden="1">
      <c r="A9922" s="160" t="s">
        <v>231</v>
      </c>
      <c r="B9922" s="72"/>
      <c r="C9922" s="118" t="s">
        <v>232</v>
      </c>
      <c r="D9922" s="152" t="s">
        <v>11237</v>
      </c>
      <c r="E9922" s="152" t="s">
        <v>11350</v>
      </c>
      <c r="F9922" s="152" t="s">
        <v>314</v>
      </c>
      <c r="G9922" s="152" t="s">
        <v>11351</v>
      </c>
      <c r="H9922" s="153" t="s">
        <v>211</v>
      </c>
    </row>
    <row r="9923" hidden="1">
      <c r="A9923" s="158" t="s">
        <v>231</v>
      </c>
      <c r="B9923" s="159"/>
      <c r="C9923" s="155" t="s">
        <v>232</v>
      </c>
      <c r="D9923" s="156" t="s">
        <v>11237</v>
      </c>
      <c r="E9923" s="156" t="s">
        <v>11352</v>
      </c>
      <c r="F9923" s="156" t="s">
        <v>450</v>
      </c>
      <c r="G9923" s="156" t="s">
        <v>11353</v>
      </c>
      <c r="H9923" s="157" t="s">
        <v>212</v>
      </c>
    </row>
    <row r="9924" hidden="1">
      <c r="A9924" s="160" t="s">
        <v>231</v>
      </c>
      <c r="B9924" s="72"/>
      <c r="C9924" s="118" t="s">
        <v>232</v>
      </c>
      <c r="D9924" s="152" t="s">
        <v>11237</v>
      </c>
      <c r="E9924" s="152" t="s">
        <v>11354</v>
      </c>
      <c r="F9924" s="152" t="s">
        <v>478</v>
      </c>
      <c r="G9924" s="152" t="s">
        <v>11355</v>
      </c>
      <c r="H9924" s="153" t="s">
        <v>213</v>
      </c>
    </row>
    <row r="9925" hidden="1">
      <c r="A9925" s="158" t="s">
        <v>231</v>
      </c>
      <c r="B9925" s="159"/>
      <c r="C9925" s="155" t="s">
        <v>232</v>
      </c>
      <c r="D9925" s="156" t="s">
        <v>11237</v>
      </c>
      <c r="E9925" s="156" t="s">
        <v>11356</v>
      </c>
      <c r="F9925" s="156" t="s">
        <v>290</v>
      </c>
      <c r="G9925" s="156" t="s">
        <v>10375</v>
      </c>
      <c r="H9925" s="157" t="s">
        <v>214</v>
      </c>
    </row>
    <row r="9926" hidden="1">
      <c r="A9926" s="160" t="s">
        <v>231</v>
      </c>
      <c r="B9926" s="72"/>
      <c r="C9926" s="118" t="s">
        <v>232</v>
      </c>
      <c r="D9926" s="152" t="s">
        <v>11237</v>
      </c>
      <c r="E9926" s="152" t="s">
        <v>11357</v>
      </c>
      <c r="F9926" s="152" t="s">
        <v>405</v>
      </c>
      <c r="G9926" s="152" t="s">
        <v>11358</v>
      </c>
      <c r="H9926" s="153" t="s">
        <v>215</v>
      </c>
    </row>
    <row r="9927" hidden="1">
      <c r="A9927" s="158" t="s">
        <v>231</v>
      </c>
      <c r="B9927" s="159"/>
      <c r="C9927" s="155" t="s">
        <v>232</v>
      </c>
      <c r="D9927" s="156" t="s">
        <v>11237</v>
      </c>
      <c r="E9927" s="156" t="s">
        <v>11359</v>
      </c>
      <c r="F9927" s="156" t="s">
        <v>242</v>
      </c>
      <c r="G9927" s="156" t="s">
        <v>11360</v>
      </c>
      <c r="H9927" s="157" t="s">
        <v>216</v>
      </c>
    </row>
    <row r="9928" hidden="1">
      <c r="A9928" s="160" t="s">
        <v>233</v>
      </c>
      <c r="B9928" s="72"/>
      <c r="C9928" s="118" t="s">
        <v>232</v>
      </c>
      <c r="D9928" s="152" t="s">
        <v>11237</v>
      </c>
      <c r="E9928" s="152" t="s">
        <v>11361</v>
      </c>
      <c r="F9928" s="152" t="s">
        <v>1929</v>
      </c>
      <c r="G9928" s="152" t="s">
        <v>10686</v>
      </c>
      <c r="H9928" s="153" t="s">
        <v>210</v>
      </c>
    </row>
    <row r="9929" hidden="1">
      <c r="A9929" s="158" t="s">
        <v>233</v>
      </c>
      <c r="B9929" s="159"/>
      <c r="C9929" s="155" t="s">
        <v>232</v>
      </c>
      <c r="D9929" s="156" t="s">
        <v>11237</v>
      </c>
      <c r="E9929" s="156" t="s">
        <v>11362</v>
      </c>
      <c r="F9929" s="156" t="s">
        <v>763</v>
      </c>
      <c r="G9929" s="156" t="s">
        <v>10455</v>
      </c>
      <c r="H9929" s="157" t="s">
        <v>211</v>
      </c>
    </row>
    <row r="9930" hidden="1">
      <c r="A9930" s="160" t="s">
        <v>233</v>
      </c>
      <c r="B9930" s="72"/>
      <c r="C9930" s="118" t="s">
        <v>232</v>
      </c>
      <c r="D9930" s="152" t="s">
        <v>11237</v>
      </c>
      <c r="E9930" s="152" t="s">
        <v>11363</v>
      </c>
      <c r="F9930" s="152" t="s">
        <v>1929</v>
      </c>
      <c r="G9930" s="152" t="s">
        <v>9671</v>
      </c>
      <c r="H9930" s="153" t="s">
        <v>212</v>
      </c>
    </row>
    <row r="9931" hidden="1">
      <c r="A9931" s="158" t="s">
        <v>233</v>
      </c>
      <c r="B9931" s="159"/>
      <c r="C9931" s="155" t="s">
        <v>232</v>
      </c>
      <c r="D9931" s="156" t="s">
        <v>11237</v>
      </c>
      <c r="E9931" s="156" t="s">
        <v>11364</v>
      </c>
      <c r="F9931" s="156" t="s">
        <v>390</v>
      </c>
      <c r="G9931" s="156" t="s">
        <v>11365</v>
      </c>
      <c r="H9931" s="157" t="s">
        <v>213</v>
      </c>
    </row>
    <row r="9932" hidden="1">
      <c r="A9932" s="160" t="s">
        <v>233</v>
      </c>
      <c r="B9932" s="72"/>
      <c r="C9932" s="118" t="s">
        <v>232</v>
      </c>
      <c r="D9932" s="152" t="s">
        <v>11237</v>
      </c>
      <c r="E9932" s="152" t="s">
        <v>11366</v>
      </c>
      <c r="F9932" s="152" t="s">
        <v>735</v>
      </c>
      <c r="G9932" s="152" t="s">
        <v>10699</v>
      </c>
      <c r="H9932" s="153" t="s">
        <v>214</v>
      </c>
    </row>
    <row r="9933" hidden="1">
      <c r="A9933" s="158" t="s">
        <v>233</v>
      </c>
      <c r="B9933" s="159"/>
      <c r="C9933" s="155" t="s">
        <v>232</v>
      </c>
      <c r="D9933" s="156" t="s">
        <v>11237</v>
      </c>
      <c r="E9933" s="156" t="s">
        <v>11367</v>
      </c>
      <c r="F9933" s="156" t="s">
        <v>1929</v>
      </c>
      <c r="G9933" s="156" t="s">
        <v>10596</v>
      </c>
      <c r="H9933" s="157" t="s">
        <v>215</v>
      </c>
    </row>
    <row r="9934" hidden="1">
      <c r="A9934" s="160" t="s">
        <v>233</v>
      </c>
      <c r="B9934" s="72"/>
      <c r="C9934" s="118" t="s">
        <v>232</v>
      </c>
      <c r="D9934" s="152" t="s">
        <v>11237</v>
      </c>
      <c r="E9934" s="152" t="s">
        <v>11368</v>
      </c>
      <c r="F9934" s="152" t="s">
        <v>1929</v>
      </c>
      <c r="G9934" s="152" t="s">
        <v>10455</v>
      </c>
      <c r="H9934" s="153" t="s">
        <v>216</v>
      </c>
    </row>
    <row r="9935" hidden="1">
      <c r="A9935" s="158" t="s">
        <v>234</v>
      </c>
      <c r="B9935" s="159"/>
      <c r="C9935" s="155" t="s">
        <v>232</v>
      </c>
      <c r="D9935" s="156" t="s">
        <v>11237</v>
      </c>
      <c r="E9935" s="156" t="s">
        <v>11369</v>
      </c>
      <c r="F9935" s="156" t="s">
        <v>3198</v>
      </c>
      <c r="G9935" s="156" t="s">
        <v>11370</v>
      </c>
      <c r="H9935" s="157" t="s">
        <v>210</v>
      </c>
    </row>
    <row r="9936" hidden="1">
      <c r="A9936" s="160" t="s">
        <v>234</v>
      </c>
      <c r="B9936" s="72"/>
      <c r="C9936" s="118" t="s">
        <v>232</v>
      </c>
      <c r="D9936" s="152" t="s">
        <v>11237</v>
      </c>
      <c r="E9936" s="152" t="s">
        <v>11371</v>
      </c>
      <c r="F9936" s="152" t="s">
        <v>1530</v>
      </c>
      <c r="G9936" s="152" t="s">
        <v>10589</v>
      </c>
      <c r="H9936" s="153" t="s">
        <v>211</v>
      </c>
    </row>
    <row r="9937" hidden="1">
      <c r="A9937" s="158" t="s">
        <v>234</v>
      </c>
      <c r="B9937" s="159"/>
      <c r="C9937" s="155" t="s">
        <v>232</v>
      </c>
      <c r="D9937" s="156" t="s">
        <v>11237</v>
      </c>
      <c r="E9937" s="156" t="s">
        <v>11372</v>
      </c>
      <c r="F9937" s="156" t="s">
        <v>2005</v>
      </c>
      <c r="G9937" s="156" t="s">
        <v>10931</v>
      </c>
      <c r="H9937" s="157" t="s">
        <v>212</v>
      </c>
    </row>
    <row r="9938" hidden="1">
      <c r="A9938" s="160" t="s">
        <v>234</v>
      </c>
      <c r="B9938" s="72"/>
      <c r="C9938" s="118" t="s">
        <v>232</v>
      </c>
      <c r="D9938" s="152" t="s">
        <v>11237</v>
      </c>
      <c r="E9938" s="152" t="s">
        <v>11373</v>
      </c>
      <c r="F9938" s="152" t="s">
        <v>641</v>
      </c>
      <c r="G9938" s="152" t="s">
        <v>10738</v>
      </c>
      <c r="H9938" s="153" t="s">
        <v>213</v>
      </c>
    </row>
    <row r="9939" hidden="1">
      <c r="A9939" s="158" t="s">
        <v>234</v>
      </c>
      <c r="B9939" s="159"/>
      <c r="C9939" s="155" t="s">
        <v>232</v>
      </c>
      <c r="D9939" s="156" t="s">
        <v>11237</v>
      </c>
      <c r="E9939" s="156" t="s">
        <v>11374</v>
      </c>
      <c r="F9939" s="156" t="s">
        <v>312</v>
      </c>
      <c r="G9939" s="156" t="s">
        <v>10633</v>
      </c>
      <c r="H9939" s="157" t="s">
        <v>214</v>
      </c>
    </row>
    <row r="9940" hidden="1">
      <c r="A9940" s="160" t="s">
        <v>234</v>
      </c>
      <c r="B9940" s="72"/>
      <c r="C9940" s="118" t="s">
        <v>232</v>
      </c>
      <c r="D9940" s="152" t="s">
        <v>11237</v>
      </c>
      <c r="E9940" s="152" t="s">
        <v>11375</v>
      </c>
      <c r="F9940" s="152" t="s">
        <v>3145</v>
      </c>
      <c r="G9940" s="152" t="s">
        <v>11376</v>
      </c>
      <c r="H9940" s="153" t="s">
        <v>215</v>
      </c>
    </row>
    <row r="9941" hidden="1">
      <c r="A9941" s="158" t="s">
        <v>234</v>
      </c>
      <c r="B9941" s="159"/>
      <c r="C9941" s="155" t="s">
        <v>232</v>
      </c>
      <c r="D9941" s="156" t="s">
        <v>11237</v>
      </c>
      <c r="E9941" s="156" t="s">
        <v>11377</v>
      </c>
      <c r="F9941" s="156" t="s">
        <v>2607</v>
      </c>
      <c r="G9941" s="156" t="s">
        <v>9583</v>
      </c>
      <c r="H9941" s="157" t="s">
        <v>216</v>
      </c>
    </row>
    <row r="9942" hidden="1">
      <c r="A9942" s="160" t="s">
        <v>235</v>
      </c>
      <c r="B9942" s="72"/>
      <c r="C9942" s="118" t="s">
        <v>236</v>
      </c>
      <c r="D9942" s="152" t="s">
        <v>11237</v>
      </c>
      <c r="E9942" s="152" t="s">
        <v>11378</v>
      </c>
      <c r="F9942" s="152" t="s">
        <v>532</v>
      </c>
      <c r="G9942" s="152" t="s">
        <v>9928</v>
      </c>
      <c r="H9942" s="153" t="s">
        <v>210</v>
      </c>
    </row>
    <row r="9943" hidden="1">
      <c r="A9943" s="158" t="s">
        <v>235</v>
      </c>
      <c r="B9943" s="159"/>
      <c r="C9943" s="155" t="s">
        <v>236</v>
      </c>
      <c r="D9943" s="156" t="s">
        <v>11237</v>
      </c>
      <c r="E9943" s="156" t="s">
        <v>11379</v>
      </c>
      <c r="F9943" s="156" t="s">
        <v>3218</v>
      </c>
      <c r="G9943" s="156" t="s">
        <v>10684</v>
      </c>
      <c r="H9943" s="157" t="s">
        <v>211</v>
      </c>
    </row>
    <row r="9944" hidden="1">
      <c r="A9944" s="160" t="s">
        <v>235</v>
      </c>
      <c r="B9944" s="72"/>
      <c r="C9944" s="118" t="s">
        <v>236</v>
      </c>
      <c r="D9944" s="152" t="s">
        <v>11237</v>
      </c>
      <c r="E9944" s="152" t="s">
        <v>11380</v>
      </c>
      <c r="F9944" s="152" t="s">
        <v>735</v>
      </c>
      <c r="G9944" s="152" t="s">
        <v>11193</v>
      </c>
      <c r="H9944" s="153" t="s">
        <v>212</v>
      </c>
    </row>
    <row r="9945" hidden="1">
      <c r="A9945" s="158" t="s">
        <v>235</v>
      </c>
      <c r="B9945" s="159"/>
      <c r="C9945" s="155" t="s">
        <v>236</v>
      </c>
      <c r="D9945" s="156" t="s">
        <v>11237</v>
      </c>
      <c r="E9945" s="156" t="s">
        <v>11381</v>
      </c>
      <c r="F9945" s="156" t="s">
        <v>673</v>
      </c>
      <c r="G9945" s="156" t="s">
        <v>10787</v>
      </c>
      <c r="H9945" s="157" t="s">
        <v>213</v>
      </c>
    </row>
    <row r="9946" hidden="1">
      <c r="A9946" s="160" t="s">
        <v>235</v>
      </c>
      <c r="B9946" s="72"/>
      <c r="C9946" s="118" t="s">
        <v>236</v>
      </c>
      <c r="D9946" s="152" t="s">
        <v>11237</v>
      </c>
      <c r="E9946" s="152" t="s">
        <v>11382</v>
      </c>
      <c r="F9946" s="152" t="s">
        <v>532</v>
      </c>
      <c r="G9946" s="152" t="s">
        <v>10669</v>
      </c>
      <c r="H9946" s="153" t="s">
        <v>214</v>
      </c>
    </row>
    <row r="9947" hidden="1">
      <c r="A9947" s="158" t="s">
        <v>235</v>
      </c>
      <c r="B9947" s="159"/>
      <c r="C9947" s="155" t="s">
        <v>236</v>
      </c>
      <c r="D9947" s="156" t="s">
        <v>11237</v>
      </c>
      <c r="E9947" s="156" t="s">
        <v>11383</v>
      </c>
      <c r="F9947" s="156" t="s">
        <v>390</v>
      </c>
      <c r="G9947" s="156" t="s">
        <v>11158</v>
      </c>
      <c r="H9947" s="157" t="s">
        <v>215</v>
      </c>
    </row>
    <row r="9948" hidden="1">
      <c r="A9948" s="160" t="s">
        <v>235</v>
      </c>
      <c r="B9948" s="72"/>
      <c r="C9948" s="118" t="s">
        <v>236</v>
      </c>
      <c r="D9948" s="152" t="s">
        <v>11237</v>
      </c>
      <c r="E9948" s="152" t="s">
        <v>11384</v>
      </c>
      <c r="F9948" s="152" t="s">
        <v>1999</v>
      </c>
      <c r="G9948" s="152" t="s">
        <v>11320</v>
      </c>
      <c r="H9948" s="153" t="s">
        <v>216</v>
      </c>
    </row>
    <row r="9949" hidden="1">
      <c r="A9949" s="158" t="s">
        <v>237</v>
      </c>
      <c r="B9949" s="159"/>
      <c r="C9949" s="155" t="s">
        <v>236</v>
      </c>
      <c r="D9949" s="156" t="s">
        <v>11237</v>
      </c>
      <c r="E9949" s="156" t="s">
        <v>11385</v>
      </c>
      <c r="F9949" s="156" t="s">
        <v>348</v>
      </c>
      <c r="G9949" s="156" t="s">
        <v>11386</v>
      </c>
      <c r="H9949" s="157" t="s">
        <v>210</v>
      </c>
    </row>
    <row r="9950" hidden="1">
      <c r="A9950" s="160" t="s">
        <v>237</v>
      </c>
      <c r="B9950" s="72"/>
      <c r="C9950" s="118" t="s">
        <v>236</v>
      </c>
      <c r="D9950" s="152" t="s">
        <v>11237</v>
      </c>
      <c r="E9950" s="152" t="s">
        <v>11387</v>
      </c>
      <c r="F9950" s="152" t="s">
        <v>758</v>
      </c>
      <c r="G9950" s="152" t="s">
        <v>11158</v>
      </c>
      <c r="H9950" s="153" t="s">
        <v>211</v>
      </c>
    </row>
    <row r="9951" hidden="1">
      <c r="A9951" s="158" t="s">
        <v>237</v>
      </c>
      <c r="B9951" s="159"/>
      <c r="C9951" s="155" t="s">
        <v>236</v>
      </c>
      <c r="D9951" s="156" t="s">
        <v>11237</v>
      </c>
      <c r="E9951" s="156" t="s">
        <v>11388</v>
      </c>
      <c r="F9951" s="156" t="s">
        <v>637</v>
      </c>
      <c r="G9951" s="156" t="s">
        <v>9658</v>
      </c>
      <c r="H9951" s="157" t="s">
        <v>212</v>
      </c>
    </row>
    <row r="9952" hidden="1">
      <c r="A9952" s="160" t="s">
        <v>237</v>
      </c>
      <c r="B9952" s="72"/>
      <c r="C9952" s="118" t="s">
        <v>236</v>
      </c>
      <c r="D9952" s="152" t="s">
        <v>11237</v>
      </c>
      <c r="E9952" s="152" t="s">
        <v>11389</v>
      </c>
      <c r="F9952" s="152" t="s">
        <v>4052</v>
      </c>
      <c r="G9952" s="152" t="s">
        <v>9992</v>
      </c>
      <c r="H9952" s="153" t="s">
        <v>213</v>
      </c>
    </row>
    <row r="9953" hidden="1">
      <c r="A9953" s="158" t="s">
        <v>237</v>
      </c>
      <c r="B9953" s="159"/>
      <c r="C9953" s="155" t="s">
        <v>236</v>
      </c>
      <c r="D9953" s="156" t="s">
        <v>11237</v>
      </c>
      <c r="E9953" s="156" t="s">
        <v>11390</v>
      </c>
      <c r="F9953" s="156" t="s">
        <v>1999</v>
      </c>
      <c r="G9953" s="156" t="s">
        <v>10802</v>
      </c>
      <c r="H9953" s="157" t="s">
        <v>214</v>
      </c>
    </row>
    <row r="9954" hidden="1">
      <c r="A9954" s="160" t="s">
        <v>237</v>
      </c>
      <c r="B9954" s="72"/>
      <c r="C9954" s="118" t="s">
        <v>236</v>
      </c>
      <c r="D9954" s="152" t="s">
        <v>11237</v>
      </c>
      <c r="E9954" s="152" t="s">
        <v>11391</v>
      </c>
      <c r="F9954" s="152" t="s">
        <v>3145</v>
      </c>
      <c r="G9954" s="152" t="s">
        <v>11392</v>
      </c>
      <c r="H9954" s="153" t="s">
        <v>215</v>
      </c>
    </row>
    <row r="9955" hidden="1">
      <c r="A9955" s="158" t="s">
        <v>237</v>
      </c>
      <c r="B9955" s="159"/>
      <c r="C9955" s="155" t="s">
        <v>236</v>
      </c>
      <c r="D9955" s="156" t="s">
        <v>11237</v>
      </c>
      <c r="E9955" s="156" t="s">
        <v>11393</v>
      </c>
      <c r="F9955" s="156" t="s">
        <v>2607</v>
      </c>
      <c r="G9955" s="156" t="s">
        <v>11394</v>
      </c>
      <c r="H9955" s="157" t="s">
        <v>216</v>
      </c>
    </row>
    <row r="9956" hidden="1">
      <c r="A9956" s="151" t="s">
        <v>204</v>
      </c>
      <c r="B9956" s="118" t="s">
        <v>205</v>
      </c>
      <c r="C9956" s="118" t="s">
        <v>206</v>
      </c>
      <c r="D9956" s="152" t="s">
        <v>11395</v>
      </c>
      <c r="E9956" s="152" t="s">
        <v>11396</v>
      </c>
      <c r="F9956" s="152" t="s">
        <v>390</v>
      </c>
      <c r="G9956" s="152" t="s">
        <v>10514</v>
      </c>
      <c r="H9956" s="153" t="s">
        <v>210</v>
      </c>
    </row>
    <row r="9957" hidden="1">
      <c r="A9957" s="154" t="s">
        <v>204</v>
      </c>
      <c r="B9957" s="155" t="s">
        <v>205</v>
      </c>
      <c r="C9957" s="155" t="s">
        <v>206</v>
      </c>
      <c r="D9957" s="156" t="s">
        <v>11395</v>
      </c>
      <c r="E9957" s="156" t="s">
        <v>11397</v>
      </c>
      <c r="F9957" s="156" t="s">
        <v>760</v>
      </c>
      <c r="G9957" s="156" t="s">
        <v>10455</v>
      </c>
      <c r="H9957" s="157" t="s">
        <v>211</v>
      </c>
    </row>
    <row r="9958" hidden="1">
      <c r="A9958" s="151" t="s">
        <v>204</v>
      </c>
      <c r="B9958" s="118" t="s">
        <v>205</v>
      </c>
      <c r="C9958" s="118" t="s">
        <v>206</v>
      </c>
      <c r="D9958" s="152" t="s">
        <v>11395</v>
      </c>
      <c r="E9958" s="152" t="s">
        <v>11398</v>
      </c>
      <c r="F9958" s="152" t="s">
        <v>2994</v>
      </c>
      <c r="G9958" s="152" t="s">
        <v>10455</v>
      </c>
      <c r="H9958" s="153" t="s">
        <v>212</v>
      </c>
    </row>
    <row r="9959" hidden="1">
      <c r="A9959" s="154" t="s">
        <v>204</v>
      </c>
      <c r="B9959" s="155" t="s">
        <v>205</v>
      </c>
      <c r="C9959" s="155" t="s">
        <v>206</v>
      </c>
      <c r="D9959" s="156" t="s">
        <v>11395</v>
      </c>
      <c r="E9959" s="156" t="s">
        <v>11399</v>
      </c>
      <c r="F9959" s="156" t="s">
        <v>1530</v>
      </c>
      <c r="G9959" s="156" t="s">
        <v>10937</v>
      </c>
      <c r="H9959" s="157" t="s">
        <v>213</v>
      </c>
    </row>
    <row r="9960" hidden="1">
      <c r="A9960" s="151" t="s">
        <v>204</v>
      </c>
      <c r="B9960" s="118" t="s">
        <v>205</v>
      </c>
      <c r="C9960" s="118" t="s">
        <v>206</v>
      </c>
      <c r="D9960" s="152" t="s">
        <v>11395</v>
      </c>
      <c r="E9960" s="152" t="s">
        <v>11400</v>
      </c>
      <c r="F9960" s="152" t="s">
        <v>2994</v>
      </c>
      <c r="G9960" s="152" t="s">
        <v>11401</v>
      </c>
      <c r="H9960" s="153" t="s">
        <v>214</v>
      </c>
    </row>
    <row r="9961" hidden="1">
      <c r="A9961" s="154" t="s">
        <v>204</v>
      </c>
      <c r="B9961" s="155" t="s">
        <v>205</v>
      </c>
      <c r="C9961" s="155" t="s">
        <v>206</v>
      </c>
      <c r="D9961" s="156" t="s">
        <v>11395</v>
      </c>
      <c r="E9961" s="156" t="s">
        <v>11402</v>
      </c>
      <c r="F9961" s="156" t="s">
        <v>1948</v>
      </c>
      <c r="G9961" s="156" t="s">
        <v>10775</v>
      </c>
      <c r="H9961" s="157" t="s">
        <v>215</v>
      </c>
    </row>
    <row r="9962" hidden="1">
      <c r="A9962" s="151" t="s">
        <v>204</v>
      </c>
      <c r="B9962" s="118" t="s">
        <v>205</v>
      </c>
      <c r="C9962" s="118" t="s">
        <v>206</v>
      </c>
      <c r="D9962" s="152" t="s">
        <v>11395</v>
      </c>
      <c r="E9962" s="152" t="s">
        <v>11403</v>
      </c>
      <c r="F9962" s="152" t="s">
        <v>2994</v>
      </c>
      <c r="G9962" s="152" t="s">
        <v>10778</v>
      </c>
      <c r="H9962" s="153" t="s">
        <v>216</v>
      </c>
    </row>
    <row r="9963" hidden="1">
      <c r="A9963" s="154" t="s">
        <v>217</v>
      </c>
      <c r="B9963" s="155" t="s">
        <v>191</v>
      </c>
      <c r="C9963" s="155" t="s">
        <v>206</v>
      </c>
      <c r="D9963" s="156" t="s">
        <v>11395</v>
      </c>
      <c r="E9963" s="156" t="s">
        <v>11404</v>
      </c>
      <c r="F9963" s="156" t="s">
        <v>448</v>
      </c>
      <c r="G9963" s="156" t="s">
        <v>10179</v>
      </c>
      <c r="H9963" s="157" t="s">
        <v>210</v>
      </c>
    </row>
    <row r="9964" hidden="1">
      <c r="A9964" s="151" t="s">
        <v>217</v>
      </c>
      <c r="B9964" s="118" t="s">
        <v>191</v>
      </c>
      <c r="C9964" s="118" t="s">
        <v>206</v>
      </c>
      <c r="D9964" s="152" t="s">
        <v>11395</v>
      </c>
      <c r="E9964" s="152" t="s">
        <v>11405</v>
      </c>
      <c r="F9964" s="152" t="s">
        <v>1999</v>
      </c>
      <c r="G9964" s="152" t="s">
        <v>10949</v>
      </c>
      <c r="H9964" s="153" t="s">
        <v>211</v>
      </c>
    </row>
    <row r="9965" hidden="1">
      <c r="A9965" s="154" t="s">
        <v>217</v>
      </c>
      <c r="B9965" s="155" t="s">
        <v>191</v>
      </c>
      <c r="C9965" s="155" t="s">
        <v>206</v>
      </c>
      <c r="D9965" s="156" t="s">
        <v>11395</v>
      </c>
      <c r="E9965" s="156" t="s">
        <v>11406</v>
      </c>
      <c r="F9965" s="156" t="s">
        <v>1532</v>
      </c>
      <c r="G9965" s="156" t="s">
        <v>9671</v>
      </c>
      <c r="H9965" s="157" t="s">
        <v>212</v>
      </c>
    </row>
    <row r="9966" hidden="1">
      <c r="A9966" s="151" t="s">
        <v>217</v>
      </c>
      <c r="B9966" s="118" t="s">
        <v>191</v>
      </c>
      <c r="C9966" s="118" t="s">
        <v>206</v>
      </c>
      <c r="D9966" s="152" t="s">
        <v>11395</v>
      </c>
      <c r="E9966" s="152" t="s">
        <v>11407</v>
      </c>
      <c r="F9966" s="152" t="s">
        <v>532</v>
      </c>
      <c r="G9966" s="152" t="s">
        <v>10937</v>
      </c>
      <c r="H9966" s="153" t="s">
        <v>213</v>
      </c>
    </row>
    <row r="9967" hidden="1">
      <c r="A9967" s="154" t="s">
        <v>217</v>
      </c>
      <c r="B9967" s="155" t="s">
        <v>191</v>
      </c>
      <c r="C9967" s="155" t="s">
        <v>206</v>
      </c>
      <c r="D9967" s="156" t="s">
        <v>11395</v>
      </c>
      <c r="E9967" s="156" t="s">
        <v>11408</v>
      </c>
      <c r="F9967" s="156" t="s">
        <v>673</v>
      </c>
      <c r="G9967" s="156" t="s">
        <v>11158</v>
      </c>
      <c r="H9967" s="157" t="s">
        <v>214</v>
      </c>
    </row>
    <row r="9968" hidden="1">
      <c r="A9968" s="151" t="s">
        <v>217</v>
      </c>
      <c r="B9968" s="118" t="s">
        <v>191</v>
      </c>
      <c r="C9968" s="118" t="s">
        <v>206</v>
      </c>
      <c r="D9968" s="152" t="s">
        <v>11395</v>
      </c>
      <c r="E9968" s="152" t="s">
        <v>11409</v>
      </c>
      <c r="F9968" s="152" t="s">
        <v>3240</v>
      </c>
      <c r="G9968" s="152" t="s">
        <v>11410</v>
      </c>
      <c r="H9968" s="153" t="s">
        <v>215</v>
      </c>
    </row>
    <row r="9969" hidden="1">
      <c r="A9969" s="154" t="s">
        <v>217</v>
      </c>
      <c r="B9969" s="155" t="s">
        <v>191</v>
      </c>
      <c r="C9969" s="155" t="s">
        <v>206</v>
      </c>
      <c r="D9969" s="156" t="s">
        <v>11395</v>
      </c>
      <c r="E9969" s="156" t="s">
        <v>11411</v>
      </c>
      <c r="F9969" s="156" t="s">
        <v>673</v>
      </c>
      <c r="G9969" s="156" t="s">
        <v>9928</v>
      </c>
      <c r="H9969" s="157" t="s">
        <v>216</v>
      </c>
    </row>
    <row r="9970" hidden="1">
      <c r="A9970" s="151" t="s">
        <v>218</v>
      </c>
      <c r="B9970" s="118" t="s">
        <v>219</v>
      </c>
      <c r="C9970" s="118" t="s">
        <v>206</v>
      </c>
      <c r="D9970" s="152" t="s">
        <v>11395</v>
      </c>
      <c r="E9970" s="152" t="s">
        <v>11412</v>
      </c>
      <c r="F9970" s="152" t="s">
        <v>675</v>
      </c>
      <c r="G9970" s="152" t="s">
        <v>11386</v>
      </c>
      <c r="H9970" s="153" t="s">
        <v>210</v>
      </c>
    </row>
    <row r="9971" hidden="1">
      <c r="A9971" s="154" t="s">
        <v>218</v>
      </c>
      <c r="B9971" s="155" t="s">
        <v>219</v>
      </c>
      <c r="C9971" s="155" t="s">
        <v>206</v>
      </c>
      <c r="D9971" s="156" t="s">
        <v>11395</v>
      </c>
      <c r="E9971" s="156" t="s">
        <v>11413</v>
      </c>
      <c r="F9971" s="156" t="s">
        <v>3625</v>
      </c>
      <c r="G9971" s="156" t="s">
        <v>11414</v>
      </c>
      <c r="H9971" s="157" t="s">
        <v>211</v>
      </c>
    </row>
    <row r="9972" hidden="1">
      <c r="A9972" s="151" t="s">
        <v>218</v>
      </c>
      <c r="B9972" s="118" t="s">
        <v>219</v>
      </c>
      <c r="C9972" s="118" t="s">
        <v>206</v>
      </c>
      <c r="D9972" s="152" t="s">
        <v>11395</v>
      </c>
      <c r="E9972" s="152" t="s">
        <v>11415</v>
      </c>
      <c r="F9972" s="152" t="s">
        <v>587</v>
      </c>
      <c r="G9972" s="152" t="s">
        <v>11416</v>
      </c>
      <c r="H9972" s="153" t="s">
        <v>212</v>
      </c>
    </row>
    <row r="9973" hidden="1">
      <c r="A9973" s="154" t="s">
        <v>218</v>
      </c>
      <c r="B9973" s="155" t="s">
        <v>219</v>
      </c>
      <c r="C9973" s="155" t="s">
        <v>206</v>
      </c>
      <c r="D9973" s="156" t="s">
        <v>11395</v>
      </c>
      <c r="E9973" s="156" t="s">
        <v>11417</v>
      </c>
      <c r="F9973" s="156" t="s">
        <v>675</v>
      </c>
      <c r="G9973" s="156" t="s">
        <v>9846</v>
      </c>
      <c r="H9973" s="157" t="s">
        <v>213</v>
      </c>
    </row>
    <row r="9974" hidden="1">
      <c r="A9974" s="151" t="s">
        <v>218</v>
      </c>
      <c r="B9974" s="118" t="s">
        <v>219</v>
      </c>
      <c r="C9974" s="118" t="s">
        <v>206</v>
      </c>
      <c r="D9974" s="152" t="s">
        <v>11395</v>
      </c>
      <c r="E9974" s="152" t="s">
        <v>11418</v>
      </c>
      <c r="F9974" s="152" t="s">
        <v>3145</v>
      </c>
      <c r="G9974" s="152" t="s">
        <v>9740</v>
      </c>
      <c r="H9974" s="153" t="s">
        <v>214</v>
      </c>
    </row>
    <row r="9975" hidden="1">
      <c r="A9975" s="154" t="s">
        <v>218</v>
      </c>
      <c r="B9975" s="155" t="s">
        <v>219</v>
      </c>
      <c r="C9975" s="155" t="s">
        <v>206</v>
      </c>
      <c r="D9975" s="156" t="s">
        <v>11395</v>
      </c>
      <c r="E9975" s="156" t="s">
        <v>11419</v>
      </c>
      <c r="F9975" s="156" t="s">
        <v>1781</v>
      </c>
      <c r="G9975" s="156" t="s">
        <v>10781</v>
      </c>
      <c r="H9975" s="157" t="s">
        <v>215</v>
      </c>
    </row>
    <row r="9976" hidden="1">
      <c r="A9976" s="151" t="s">
        <v>218</v>
      </c>
      <c r="B9976" s="118" t="s">
        <v>219</v>
      </c>
      <c r="C9976" s="118" t="s">
        <v>206</v>
      </c>
      <c r="D9976" s="152" t="s">
        <v>11395</v>
      </c>
      <c r="E9976" s="152" t="s">
        <v>11420</v>
      </c>
      <c r="F9976" s="152" t="s">
        <v>3148</v>
      </c>
      <c r="G9976" s="152" t="s">
        <v>10451</v>
      </c>
      <c r="H9976" s="153" t="s">
        <v>216</v>
      </c>
    </row>
    <row r="9977" hidden="1">
      <c r="A9977" s="154" t="s">
        <v>220</v>
      </c>
      <c r="B9977" s="155" t="s">
        <v>190</v>
      </c>
      <c r="C9977" s="155" t="s">
        <v>206</v>
      </c>
      <c r="D9977" s="156" t="s">
        <v>11395</v>
      </c>
      <c r="E9977" s="156" t="s">
        <v>11421</v>
      </c>
      <c r="F9977" s="156" t="s">
        <v>249</v>
      </c>
      <c r="G9977" s="156" t="s">
        <v>11024</v>
      </c>
      <c r="H9977" s="157" t="s">
        <v>210</v>
      </c>
    </row>
    <row r="9978" hidden="1">
      <c r="A9978" s="151" t="s">
        <v>220</v>
      </c>
      <c r="B9978" s="118" t="s">
        <v>190</v>
      </c>
      <c r="C9978" s="118" t="s">
        <v>206</v>
      </c>
      <c r="D9978" s="152" t="s">
        <v>11395</v>
      </c>
      <c r="E9978" s="152" t="s">
        <v>11422</v>
      </c>
      <c r="F9978" s="152" t="s">
        <v>310</v>
      </c>
      <c r="G9978" s="152" t="s">
        <v>10174</v>
      </c>
      <c r="H9978" s="153" t="s">
        <v>211</v>
      </c>
    </row>
    <row r="9979" hidden="1">
      <c r="A9979" s="154" t="s">
        <v>220</v>
      </c>
      <c r="B9979" s="155" t="s">
        <v>190</v>
      </c>
      <c r="C9979" s="155" t="s">
        <v>206</v>
      </c>
      <c r="D9979" s="156" t="s">
        <v>11395</v>
      </c>
      <c r="E9979" s="156" t="s">
        <v>11423</v>
      </c>
      <c r="F9979" s="156" t="s">
        <v>329</v>
      </c>
      <c r="G9979" s="156" t="s">
        <v>9583</v>
      </c>
      <c r="H9979" s="157" t="s">
        <v>212</v>
      </c>
    </row>
    <row r="9980" hidden="1">
      <c r="A9980" s="151" t="s">
        <v>220</v>
      </c>
      <c r="B9980" s="118" t="s">
        <v>190</v>
      </c>
      <c r="C9980" s="118" t="s">
        <v>206</v>
      </c>
      <c r="D9980" s="152" t="s">
        <v>11395</v>
      </c>
      <c r="E9980" s="152" t="s">
        <v>11424</v>
      </c>
      <c r="F9980" s="152" t="s">
        <v>427</v>
      </c>
      <c r="G9980" s="152" t="s">
        <v>9571</v>
      </c>
      <c r="H9980" s="153" t="s">
        <v>213</v>
      </c>
    </row>
    <row r="9981" hidden="1">
      <c r="A9981" s="154" t="s">
        <v>220</v>
      </c>
      <c r="B9981" s="155" t="s">
        <v>190</v>
      </c>
      <c r="C9981" s="155" t="s">
        <v>206</v>
      </c>
      <c r="D9981" s="156" t="s">
        <v>11395</v>
      </c>
      <c r="E9981" s="156" t="s">
        <v>11425</v>
      </c>
      <c r="F9981" s="156" t="s">
        <v>336</v>
      </c>
      <c r="G9981" s="156" t="s">
        <v>10665</v>
      </c>
      <c r="H9981" s="157" t="s">
        <v>214</v>
      </c>
    </row>
    <row r="9982" hidden="1">
      <c r="A9982" s="151" t="s">
        <v>220</v>
      </c>
      <c r="B9982" s="118" t="s">
        <v>190</v>
      </c>
      <c r="C9982" s="118" t="s">
        <v>206</v>
      </c>
      <c r="D9982" s="152" t="s">
        <v>11395</v>
      </c>
      <c r="E9982" s="152" t="s">
        <v>11426</v>
      </c>
      <c r="F9982" s="152" t="s">
        <v>735</v>
      </c>
      <c r="G9982" s="152" t="s">
        <v>11427</v>
      </c>
      <c r="H9982" s="153" t="s">
        <v>215</v>
      </c>
    </row>
    <row r="9983" hidden="1">
      <c r="A9983" s="154" t="s">
        <v>220</v>
      </c>
      <c r="B9983" s="155" t="s">
        <v>190</v>
      </c>
      <c r="C9983" s="155" t="s">
        <v>206</v>
      </c>
      <c r="D9983" s="156" t="s">
        <v>11395</v>
      </c>
      <c r="E9983" s="156" t="s">
        <v>11428</v>
      </c>
      <c r="F9983" s="156" t="s">
        <v>534</v>
      </c>
      <c r="G9983" s="156" t="s">
        <v>11115</v>
      </c>
      <c r="H9983" s="157" t="s">
        <v>216</v>
      </c>
    </row>
    <row r="9984" hidden="1">
      <c r="A9984" s="151" t="s">
        <v>221</v>
      </c>
      <c r="B9984" s="118" t="s">
        <v>189</v>
      </c>
      <c r="C9984" s="118" t="s">
        <v>206</v>
      </c>
      <c r="D9984" s="152" t="s">
        <v>11395</v>
      </c>
      <c r="E9984" s="152" t="s">
        <v>11429</v>
      </c>
      <c r="F9984" s="152" t="s">
        <v>336</v>
      </c>
      <c r="G9984" s="152" t="s">
        <v>10931</v>
      </c>
      <c r="H9984" s="153" t="s">
        <v>210</v>
      </c>
    </row>
    <row r="9985" hidden="1">
      <c r="A9985" s="154" t="s">
        <v>221</v>
      </c>
      <c r="B9985" s="155" t="s">
        <v>189</v>
      </c>
      <c r="C9985" s="155" t="s">
        <v>206</v>
      </c>
      <c r="D9985" s="156" t="s">
        <v>11395</v>
      </c>
      <c r="E9985" s="156" t="s">
        <v>11430</v>
      </c>
      <c r="F9985" s="156" t="s">
        <v>450</v>
      </c>
      <c r="G9985" s="156" t="s">
        <v>10342</v>
      </c>
      <c r="H9985" s="157" t="s">
        <v>211</v>
      </c>
    </row>
    <row r="9986" hidden="1">
      <c r="A9986" s="151" t="s">
        <v>221</v>
      </c>
      <c r="B9986" s="118" t="s">
        <v>189</v>
      </c>
      <c r="C9986" s="118" t="s">
        <v>206</v>
      </c>
      <c r="D9986" s="152" t="s">
        <v>11395</v>
      </c>
      <c r="E9986" s="152" t="s">
        <v>11431</v>
      </c>
      <c r="F9986" s="152" t="s">
        <v>760</v>
      </c>
      <c r="G9986" s="152" t="s">
        <v>11432</v>
      </c>
      <c r="H9986" s="153" t="s">
        <v>212</v>
      </c>
    </row>
    <row r="9987" hidden="1">
      <c r="A9987" s="154" t="s">
        <v>221</v>
      </c>
      <c r="B9987" s="155" t="s">
        <v>189</v>
      </c>
      <c r="C9987" s="155" t="s">
        <v>206</v>
      </c>
      <c r="D9987" s="156" t="s">
        <v>11395</v>
      </c>
      <c r="E9987" s="156" t="s">
        <v>11433</v>
      </c>
      <c r="F9987" s="156" t="s">
        <v>425</v>
      </c>
      <c r="G9987" s="156" t="s">
        <v>10787</v>
      </c>
      <c r="H9987" s="157" t="s">
        <v>213</v>
      </c>
    </row>
    <row r="9988" hidden="1">
      <c r="A9988" s="151" t="s">
        <v>221</v>
      </c>
      <c r="B9988" s="118" t="s">
        <v>189</v>
      </c>
      <c r="C9988" s="118" t="s">
        <v>206</v>
      </c>
      <c r="D9988" s="152" t="s">
        <v>11395</v>
      </c>
      <c r="E9988" s="152" t="s">
        <v>11434</v>
      </c>
      <c r="F9988" s="152" t="s">
        <v>532</v>
      </c>
      <c r="G9988" s="152" t="s">
        <v>10522</v>
      </c>
      <c r="H9988" s="153" t="s">
        <v>214</v>
      </c>
    </row>
    <row r="9989" hidden="1">
      <c r="A9989" s="154" t="s">
        <v>221</v>
      </c>
      <c r="B9989" s="155" t="s">
        <v>189</v>
      </c>
      <c r="C9989" s="155" t="s">
        <v>206</v>
      </c>
      <c r="D9989" s="156" t="s">
        <v>11395</v>
      </c>
      <c r="E9989" s="156" t="s">
        <v>11435</v>
      </c>
      <c r="F9989" s="156" t="s">
        <v>673</v>
      </c>
      <c r="G9989" s="156" t="s">
        <v>11436</v>
      </c>
      <c r="H9989" s="157" t="s">
        <v>215</v>
      </c>
    </row>
    <row r="9990" hidden="1">
      <c r="A9990" s="151" t="s">
        <v>221</v>
      </c>
      <c r="B9990" s="118" t="s">
        <v>189</v>
      </c>
      <c r="C9990" s="118" t="s">
        <v>206</v>
      </c>
      <c r="D9990" s="152" t="s">
        <v>11395</v>
      </c>
      <c r="E9990" s="152" t="s">
        <v>11437</v>
      </c>
      <c r="F9990" s="152" t="s">
        <v>483</v>
      </c>
      <c r="G9990" s="152" t="s">
        <v>10861</v>
      </c>
      <c r="H9990" s="153" t="s">
        <v>216</v>
      </c>
    </row>
    <row r="9991" hidden="1">
      <c r="A9991" s="154" t="s">
        <v>222</v>
      </c>
      <c r="B9991" s="155" t="s">
        <v>192</v>
      </c>
      <c r="C9991" s="155" t="s">
        <v>206</v>
      </c>
      <c r="D9991" s="156" t="s">
        <v>11395</v>
      </c>
      <c r="E9991" s="156" t="s">
        <v>11438</v>
      </c>
      <c r="F9991" s="156" t="s">
        <v>735</v>
      </c>
      <c r="G9991" s="156" t="s">
        <v>10767</v>
      </c>
      <c r="H9991" s="157" t="s">
        <v>210</v>
      </c>
    </row>
    <row r="9992" hidden="1">
      <c r="A9992" s="151" t="s">
        <v>222</v>
      </c>
      <c r="B9992" s="118" t="s">
        <v>192</v>
      </c>
      <c r="C9992" s="118" t="s">
        <v>206</v>
      </c>
      <c r="D9992" s="152" t="s">
        <v>11395</v>
      </c>
      <c r="E9992" s="152" t="s">
        <v>11439</v>
      </c>
      <c r="F9992" s="152" t="s">
        <v>735</v>
      </c>
      <c r="G9992" s="152" t="s">
        <v>9658</v>
      </c>
      <c r="H9992" s="153" t="s">
        <v>211</v>
      </c>
    </row>
    <row r="9993" hidden="1">
      <c r="A9993" s="154" t="s">
        <v>222</v>
      </c>
      <c r="B9993" s="155" t="s">
        <v>192</v>
      </c>
      <c r="C9993" s="155" t="s">
        <v>206</v>
      </c>
      <c r="D9993" s="156" t="s">
        <v>11395</v>
      </c>
      <c r="E9993" s="156" t="s">
        <v>11440</v>
      </c>
      <c r="F9993" s="156" t="s">
        <v>3240</v>
      </c>
      <c r="G9993" s="156" t="s">
        <v>11441</v>
      </c>
      <c r="H9993" s="157" t="s">
        <v>212</v>
      </c>
    </row>
    <row r="9994" hidden="1">
      <c r="A9994" s="151" t="s">
        <v>222</v>
      </c>
      <c r="B9994" s="118" t="s">
        <v>192</v>
      </c>
      <c r="C9994" s="118" t="s">
        <v>206</v>
      </c>
      <c r="D9994" s="152" t="s">
        <v>11395</v>
      </c>
      <c r="E9994" s="152" t="s">
        <v>11442</v>
      </c>
      <c r="F9994" s="152" t="s">
        <v>390</v>
      </c>
      <c r="G9994" s="152" t="s">
        <v>9740</v>
      </c>
      <c r="H9994" s="153" t="s">
        <v>213</v>
      </c>
    </row>
    <row r="9995" hidden="1">
      <c r="A9995" s="154" t="s">
        <v>222</v>
      </c>
      <c r="B9995" s="155" t="s">
        <v>192</v>
      </c>
      <c r="C9995" s="155" t="s">
        <v>206</v>
      </c>
      <c r="D9995" s="156" t="s">
        <v>11395</v>
      </c>
      <c r="E9995" s="156" t="s">
        <v>11443</v>
      </c>
      <c r="F9995" s="156" t="s">
        <v>735</v>
      </c>
      <c r="G9995" s="156" t="s">
        <v>10724</v>
      </c>
      <c r="H9995" s="157" t="s">
        <v>214</v>
      </c>
    </row>
    <row r="9996" hidden="1">
      <c r="A9996" s="151" t="s">
        <v>222</v>
      </c>
      <c r="B9996" s="118" t="s">
        <v>192</v>
      </c>
      <c r="C9996" s="118" t="s">
        <v>206</v>
      </c>
      <c r="D9996" s="152" t="s">
        <v>11395</v>
      </c>
      <c r="E9996" s="152" t="s">
        <v>11444</v>
      </c>
      <c r="F9996" s="152" t="s">
        <v>3625</v>
      </c>
      <c r="G9996" s="152" t="s">
        <v>11445</v>
      </c>
      <c r="H9996" s="153" t="s">
        <v>215</v>
      </c>
    </row>
    <row r="9997" hidden="1">
      <c r="A9997" s="154" t="s">
        <v>222</v>
      </c>
      <c r="B9997" s="155" t="s">
        <v>192</v>
      </c>
      <c r="C9997" s="155" t="s">
        <v>206</v>
      </c>
      <c r="D9997" s="156" t="s">
        <v>11395</v>
      </c>
      <c r="E9997" s="156" t="s">
        <v>11446</v>
      </c>
      <c r="F9997" s="156" t="s">
        <v>390</v>
      </c>
      <c r="G9997" s="156" t="s">
        <v>10937</v>
      </c>
      <c r="H9997" s="157" t="s">
        <v>216</v>
      </c>
    </row>
    <row r="9998" hidden="1">
      <c r="A9998" s="151" t="s">
        <v>223</v>
      </c>
      <c r="B9998" s="118" t="s">
        <v>144</v>
      </c>
      <c r="C9998" s="118" t="s">
        <v>206</v>
      </c>
      <c r="D9998" s="152" t="s">
        <v>11395</v>
      </c>
      <c r="E9998" s="152" t="s">
        <v>11447</v>
      </c>
      <c r="F9998" s="152" t="s">
        <v>3243</v>
      </c>
      <c r="G9998" s="152" t="s">
        <v>10906</v>
      </c>
      <c r="H9998" s="153" t="s">
        <v>210</v>
      </c>
    </row>
    <row r="9999" hidden="1">
      <c r="A9999" s="154" t="s">
        <v>223</v>
      </c>
      <c r="B9999" s="155" t="s">
        <v>144</v>
      </c>
      <c r="C9999" s="155" t="s">
        <v>206</v>
      </c>
      <c r="D9999" s="156" t="s">
        <v>11395</v>
      </c>
      <c r="E9999" s="156" t="s">
        <v>11448</v>
      </c>
      <c r="F9999" s="156" t="s">
        <v>732</v>
      </c>
      <c r="G9999" s="156" t="s">
        <v>10802</v>
      </c>
      <c r="H9999" s="157" t="s">
        <v>211</v>
      </c>
    </row>
    <row r="10000" hidden="1">
      <c r="A10000" s="151" t="s">
        <v>223</v>
      </c>
      <c r="B10000" s="118" t="s">
        <v>144</v>
      </c>
      <c r="C10000" s="118" t="s">
        <v>206</v>
      </c>
      <c r="D10000" s="152" t="s">
        <v>11395</v>
      </c>
      <c r="E10000" s="152" t="s">
        <v>11449</v>
      </c>
      <c r="F10000" s="152" t="s">
        <v>5454</v>
      </c>
      <c r="G10000" s="152" t="s">
        <v>10340</v>
      </c>
      <c r="H10000" s="153" t="s">
        <v>212</v>
      </c>
    </row>
    <row r="10001" hidden="1">
      <c r="A10001" s="154" t="s">
        <v>223</v>
      </c>
      <c r="B10001" s="155" t="s">
        <v>144</v>
      </c>
      <c r="C10001" s="155" t="s">
        <v>206</v>
      </c>
      <c r="D10001" s="156" t="s">
        <v>11395</v>
      </c>
      <c r="E10001" s="156" t="s">
        <v>11450</v>
      </c>
      <c r="F10001" s="156" t="s">
        <v>228</v>
      </c>
      <c r="G10001" s="156" t="s">
        <v>10942</v>
      </c>
      <c r="H10001" s="157" t="s">
        <v>213</v>
      </c>
    </row>
    <row r="10002" hidden="1">
      <c r="A10002" s="151" t="s">
        <v>223</v>
      </c>
      <c r="B10002" s="118" t="s">
        <v>144</v>
      </c>
      <c r="C10002" s="118" t="s">
        <v>206</v>
      </c>
      <c r="D10002" s="152" t="s">
        <v>11395</v>
      </c>
      <c r="E10002" s="152" t="s">
        <v>11451</v>
      </c>
      <c r="F10002" s="152" t="s">
        <v>2005</v>
      </c>
      <c r="G10002" s="152" t="s">
        <v>11452</v>
      </c>
      <c r="H10002" s="153" t="s">
        <v>214</v>
      </c>
    </row>
    <row r="10003" hidden="1">
      <c r="A10003" s="154" t="s">
        <v>223</v>
      </c>
      <c r="B10003" s="155" t="s">
        <v>144</v>
      </c>
      <c r="C10003" s="155" t="s">
        <v>206</v>
      </c>
      <c r="D10003" s="156" t="s">
        <v>11395</v>
      </c>
      <c r="E10003" s="156" t="s">
        <v>11453</v>
      </c>
      <c r="F10003" s="156" t="s">
        <v>5454</v>
      </c>
      <c r="G10003" s="156" t="s">
        <v>10939</v>
      </c>
      <c r="H10003" s="157" t="s">
        <v>215</v>
      </c>
    </row>
    <row r="10004" hidden="1">
      <c r="A10004" s="151" t="s">
        <v>223</v>
      </c>
      <c r="B10004" s="118" t="s">
        <v>144</v>
      </c>
      <c r="C10004" s="118" t="s">
        <v>206</v>
      </c>
      <c r="D10004" s="152" t="s">
        <v>11395</v>
      </c>
      <c r="E10004" s="152" t="s">
        <v>11454</v>
      </c>
      <c r="F10004" s="152" t="s">
        <v>3148</v>
      </c>
      <c r="G10004" s="152" t="s">
        <v>10997</v>
      </c>
      <c r="H10004" s="153" t="s">
        <v>216</v>
      </c>
    </row>
    <row r="10005" hidden="1">
      <c r="A10005" s="154" t="s">
        <v>224</v>
      </c>
      <c r="B10005" s="155" t="s">
        <v>170</v>
      </c>
      <c r="C10005" s="155" t="s">
        <v>206</v>
      </c>
      <c r="D10005" s="156" t="s">
        <v>11395</v>
      </c>
      <c r="E10005" s="156" t="s">
        <v>11455</v>
      </c>
      <c r="F10005" s="156" t="s">
        <v>425</v>
      </c>
      <c r="G10005" s="156" t="s">
        <v>10602</v>
      </c>
      <c r="H10005" s="157" t="s">
        <v>210</v>
      </c>
    </row>
    <row r="10006" hidden="1">
      <c r="A10006" s="151" t="s">
        <v>224</v>
      </c>
      <c r="B10006" s="118" t="s">
        <v>170</v>
      </c>
      <c r="C10006" s="118" t="s">
        <v>206</v>
      </c>
      <c r="D10006" s="152" t="s">
        <v>11395</v>
      </c>
      <c r="E10006" s="152" t="s">
        <v>11456</v>
      </c>
      <c r="F10006" s="152" t="s">
        <v>448</v>
      </c>
      <c r="G10006" s="152" t="s">
        <v>10400</v>
      </c>
      <c r="H10006" s="153" t="s">
        <v>211</v>
      </c>
    </row>
    <row r="10007" hidden="1">
      <c r="A10007" s="154" t="s">
        <v>224</v>
      </c>
      <c r="B10007" s="155" t="s">
        <v>170</v>
      </c>
      <c r="C10007" s="155" t="s">
        <v>206</v>
      </c>
      <c r="D10007" s="156" t="s">
        <v>11395</v>
      </c>
      <c r="E10007" s="156" t="s">
        <v>11457</v>
      </c>
      <c r="F10007" s="156" t="s">
        <v>405</v>
      </c>
      <c r="G10007" s="156" t="s">
        <v>9647</v>
      </c>
      <c r="H10007" s="157" t="s">
        <v>212</v>
      </c>
    </row>
    <row r="10008" hidden="1">
      <c r="A10008" s="151" t="s">
        <v>224</v>
      </c>
      <c r="B10008" s="118" t="s">
        <v>170</v>
      </c>
      <c r="C10008" s="118" t="s">
        <v>206</v>
      </c>
      <c r="D10008" s="152" t="s">
        <v>11395</v>
      </c>
      <c r="E10008" s="152" t="s">
        <v>11458</v>
      </c>
      <c r="F10008" s="152" t="s">
        <v>766</v>
      </c>
      <c r="G10008" s="152" t="s">
        <v>10729</v>
      </c>
      <c r="H10008" s="153" t="s">
        <v>213</v>
      </c>
    </row>
    <row r="10009" hidden="1">
      <c r="A10009" s="154" t="s">
        <v>224</v>
      </c>
      <c r="B10009" s="155" t="s">
        <v>170</v>
      </c>
      <c r="C10009" s="155" t="s">
        <v>206</v>
      </c>
      <c r="D10009" s="156" t="s">
        <v>11395</v>
      </c>
      <c r="E10009" s="156" t="s">
        <v>11459</v>
      </c>
      <c r="F10009" s="156" t="s">
        <v>448</v>
      </c>
      <c r="G10009" s="156" t="s">
        <v>9892</v>
      </c>
      <c r="H10009" s="157" t="s">
        <v>214</v>
      </c>
    </row>
    <row r="10010" hidden="1">
      <c r="A10010" s="151" t="s">
        <v>224</v>
      </c>
      <c r="B10010" s="118" t="s">
        <v>170</v>
      </c>
      <c r="C10010" s="118" t="s">
        <v>206</v>
      </c>
      <c r="D10010" s="152" t="s">
        <v>11395</v>
      </c>
      <c r="E10010" s="152" t="s">
        <v>11460</v>
      </c>
      <c r="F10010" s="152" t="s">
        <v>5454</v>
      </c>
      <c r="G10010" s="152" t="s">
        <v>10911</v>
      </c>
      <c r="H10010" s="153" t="s">
        <v>215</v>
      </c>
    </row>
    <row r="10011" hidden="1">
      <c r="A10011" s="154" t="s">
        <v>224</v>
      </c>
      <c r="B10011" s="155" t="s">
        <v>170</v>
      </c>
      <c r="C10011" s="155" t="s">
        <v>206</v>
      </c>
      <c r="D10011" s="156" t="s">
        <v>11395</v>
      </c>
      <c r="E10011" s="156" t="s">
        <v>11461</v>
      </c>
      <c r="F10011" s="156" t="s">
        <v>1532</v>
      </c>
      <c r="G10011" s="156" t="s">
        <v>10883</v>
      </c>
      <c r="H10011" s="157" t="s">
        <v>216</v>
      </c>
    </row>
    <row r="10012" hidden="1">
      <c r="A10012" s="151" t="s">
        <v>225</v>
      </c>
      <c r="B10012" s="118" t="s">
        <v>226</v>
      </c>
      <c r="C10012" s="118" t="s">
        <v>206</v>
      </c>
      <c r="D10012" s="152" t="s">
        <v>11395</v>
      </c>
      <c r="E10012" s="152" t="s">
        <v>11462</v>
      </c>
      <c r="F10012" s="152" t="s">
        <v>2173</v>
      </c>
      <c r="G10012" s="152" t="s">
        <v>10789</v>
      </c>
      <c r="H10012" s="153" t="s">
        <v>210</v>
      </c>
    </row>
    <row r="10013" hidden="1">
      <c r="A10013" s="154" t="s">
        <v>225</v>
      </c>
      <c r="B10013" s="155" t="s">
        <v>226</v>
      </c>
      <c r="C10013" s="155" t="s">
        <v>206</v>
      </c>
      <c r="D10013" s="156" t="s">
        <v>11395</v>
      </c>
      <c r="E10013" s="156" t="s">
        <v>11463</v>
      </c>
      <c r="F10013" s="156" t="s">
        <v>2169</v>
      </c>
      <c r="G10013" s="156" t="s">
        <v>9930</v>
      </c>
      <c r="H10013" s="157" t="s">
        <v>211</v>
      </c>
    </row>
    <row r="10014" hidden="1">
      <c r="A10014" s="151" t="s">
        <v>225</v>
      </c>
      <c r="B10014" s="118" t="s">
        <v>226</v>
      </c>
      <c r="C10014" s="118" t="s">
        <v>206</v>
      </c>
      <c r="D10014" s="152" t="s">
        <v>11395</v>
      </c>
      <c r="E10014" s="152" t="s">
        <v>11464</v>
      </c>
      <c r="F10014" s="152" t="s">
        <v>641</v>
      </c>
      <c r="G10014" s="152" t="s">
        <v>11465</v>
      </c>
      <c r="H10014" s="153" t="s">
        <v>212</v>
      </c>
    </row>
    <row r="10015" hidden="1">
      <c r="A10015" s="154" t="s">
        <v>225</v>
      </c>
      <c r="B10015" s="155" t="s">
        <v>226</v>
      </c>
      <c r="C10015" s="155" t="s">
        <v>206</v>
      </c>
      <c r="D10015" s="156" t="s">
        <v>11395</v>
      </c>
      <c r="E10015" s="156" t="s">
        <v>11466</v>
      </c>
      <c r="F10015" s="156" t="s">
        <v>9508</v>
      </c>
      <c r="G10015" s="156" t="s">
        <v>10622</v>
      </c>
      <c r="H10015" s="157" t="s">
        <v>213</v>
      </c>
    </row>
    <row r="10016" hidden="1">
      <c r="A10016" s="151" t="s">
        <v>225</v>
      </c>
      <c r="B10016" s="118" t="s">
        <v>226</v>
      </c>
      <c r="C10016" s="118" t="s">
        <v>206</v>
      </c>
      <c r="D10016" s="152" t="s">
        <v>11395</v>
      </c>
      <c r="E10016" s="152" t="s">
        <v>11467</v>
      </c>
      <c r="F10016" s="152" t="s">
        <v>641</v>
      </c>
      <c r="G10016" s="152" t="s">
        <v>11468</v>
      </c>
      <c r="H10016" s="153" t="s">
        <v>214</v>
      </c>
    </row>
    <row r="10017" hidden="1">
      <c r="A10017" s="154" t="s">
        <v>225</v>
      </c>
      <c r="B10017" s="155" t="s">
        <v>226</v>
      </c>
      <c r="C10017" s="155" t="s">
        <v>206</v>
      </c>
      <c r="D10017" s="156" t="s">
        <v>11395</v>
      </c>
      <c r="E10017" s="156" t="s">
        <v>11469</v>
      </c>
      <c r="F10017" s="156" t="s">
        <v>10944</v>
      </c>
      <c r="G10017" s="156" t="s">
        <v>10607</v>
      </c>
      <c r="H10017" s="157" t="s">
        <v>215</v>
      </c>
    </row>
    <row r="10018" hidden="1">
      <c r="A10018" s="151" t="s">
        <v>225</v>
      </c>
      <c r="B10018" s="118" t="s">
        <v>226</v>
      </c>
      <c r="C10018" s="118" t="s">
        <v>206</v>
      </c>
      <c r="D10018" s="152" t="s">
        <v>11395</v>
      </c>
      <c r="E10018" s="152" t="s">
        <v>11470</v>
      </c>
      <c r="F10018" s="152" t="s">
        <v>9840</v>
      </c>
      <c r="G10018" s="152" t="s">
        <v>11471</v>
      </c>
      <c r="H10018" s="153" t="s">
        <v>216</v>
      </c>
    </row>
    <row r="10019" hidden="1">
      <c r="A10019" s="154" t="s">
        <v>227</v>
      </c>
      <c r="B10019" s="155" t="s">
        <v>195</v>
      </c>
      <c r="C10019" s="155" t="s">
        <v>206</v>
      </c>
      <c r="D10019" s="156" t="s">
        <v>11395</v>
      </c>
      <c r="E10019" s="156" t="s">
        <v>11472</v>
      </c>
      <c r="F10019" s="156" t="s">
        <v>10944</v>
      </c>
      <c r="G10019" s="156" t="s">
        <v>9658</v>
      </c>
      <c r="H10019" s="157" t="s">
        <v>210</v>
      </c>
    </row>
    <row r="10020" hidden="1">
      <c r="A10020" s="151" t="s">
        <v>227</v>
      </c>
      <c r="B10020" s="118" t="s">
        <v>195</v>
      </c>
      <c r="C10020" s="118" t="s">
        <v>206</v>
      </c>
      <c r="D10020" s="152" t="s">
        <v>11395</v>
      </c>
      <c r="E10020" s="152" t="s">
        <v>11473</v>
      </c>
      <c r="F10020" s="152" t="s">
        <v>641</v>
      </c>
      <c r="G10020" s="152" t="s">
        <v>9746</v>
      </c>
      <c r="H10020" s="153" t="s">
        <v>211</v>
      </c>
    </row>
    <row r="10021" hidden="1">
      <c r="A10021" s="154" t="s">
        <v>227</v>
      </c>
      <c r="B10021" s="155" t="s">
        <v>195</v>
      </c>
      <c r="C10021" s="155" t="s">
        <v>206</v>
      </c>
      <c r="D10021" s="156" t="s">
        <v>11395</v>
      </c>
      <c r="E10021" s="156" t="s">
        <v>11474</v>
      </c>
      <c r="F10021" s="156" t="s">
        <v>228</v>
      </c>
      <c r="G10021" s="156" t="s">
        <v>11069</v>
      </c>
      <c r="H10021" s="157" t="s">
        <v>212</v>
      </c>
    </row>
    <row r="10022" hidden="1">
      <c r="A10022" s="151" t="s">
        <v>227</v>
      </c>
      <c r="B10022" s="118" t="s">
        <v>195</v>
      </c>
      <c r="C10022" s="118" t="s">
        <v>206</v>
      </c>
      <c r="D10022" s="152" t="s">
        <v>11395</v>
      </c>
      <c r="E10022" s="152" t="s">
        <v>11475</v>
      </c>
      <c r="F10022" s="152" t="s">
        <v>3150</v>
      </c>
      <c r="G10022" s="152" t="s">
        <v>11160</v>
      </c>
      <c r="H10022" s="153" t="s">
        <v>213</v>
      </c>
    </row>
    <row r="10023" hidden="1">
      <c r="A10023" s="154" t="s">
        <v>227</v>
      </c>
      <c r="B10023" s="155" t="s">
        <v>195</v>
      </c>
      <c r="C10023" s="155" t="s">
        <v>206</v>
      </c>
      <c r="D10023" s="156" t="s">
        <v>11395</v>
      </c>
      <c r="E10023" s="156" t="s">
        <v>11476</v>
      </c>
      <c r="F10023" s="156" t="s">
        <v>780</v>
      </c>
      <c r="G10023" s="156" t="s">
        <v>10686</v>
      </c>
      <c r="H10023" s="157" t="s">
        <v>214</v>
      </c>
    </row>
    <row r="10024" hidden="1">
      <c r="A10024" s="151" t="s">
        <v>227</v>
      </c>
      <c r="B10024" s="118" t="s">
        <v>195</v>
      </c>
      <c r="C10024" s="118" t="s">
        <v>206</v>
      </c>
      <c r="D10024" s="152" t="s">
        <v>11395</v>
      </c>
      <c r="E10024" s="152" t="s">
        <v>11477</v>
      </c>
      <c r="F10024" s="152" t="s">
        <v>587</v>
      </c>
      <c r="G10024" s="152" t="s">
        <v>10102</v>
      </c>
      <c r="H10024" s="153" t="s">
        <v>215</v>
      </c>
    </row>
    <row r="10025" hidden="1">
      <c r="A10025" s="154" t="s">
        <v>227</v>
      </c>
      <c r="B10025" s="155" t="s">
        <v>195</v>
      </c>
      <c r="C10025" s="155" t="s">
        <v>206</v>
      </c>
      <c r="D10025" s="156" t="s">
        <v>11395</v>
      </c>
      <c r="E10025" s="156" t="s">
        <v>11478</v>
      </c>
      <c r="F10025" s="156" t="s">
        <v>2223</v>
      </c>
      <c r="G10025" s="156" t="s">
        <v>11189</v>
      </c>
      <c r="H10025" s="157" t="s">
        <v>216</v>
      </c>
    </row>
    <row r="10026" hidden="1">
      <c r="A10026" s="151" t="s">
        <v>228</v>
      </c>
      <c r="B10026" s="118" t="s">
        <v>138</v>
      </c>
      <c r="C10026" s="118" t="s">
        <v>206</v>
      </c>
      <c r="D10026" s="152" t="s">
        <v>11395</v>
      </c>
      <c r="E10026" s="152" t="s">
        <v>11479</v>
      </c>
      <c r="F10026" s="152" t="s">
        <v>2607</v>
      </c>
      <c r="G10026" s="152" t="s">
        <v>10937</v>
      </c>
      <c r="H10026" s="153" t="s">
        <v>210</v>
      </c>
    </row>
    <row r="10027" hidden="1">
      <c r="A10027" s="154" t="s">
        <v>228</v>
      </c>
      <c r="B10027" s="155" t="s">
        <v>138</v>
      </c>
      <c r="C10027" s="155" t="s">
        <v>206</v>
      </c>
      <c r="D10027" s="156" t="s">
        <v>11395</v>
      </c>
      <c r="E10027" s="156" t="s">
        <v>11480</v>
      </c>
      <c r="F10027" s="156" t="s">
        <v>312</v>
      </c>
      <c r="G10027" s="156" t="s">
        <v>9571</v>
      </c>
      <c r="H10027" s="157" t="s">
        <v>211</v>
      </c>
    </row>
    <row r="10028" hidden="1">
      <c r="A10028" s="151" t="s">
        <v>228</v>
      </c>
      <c r="B10028" s="118" t="s">
        <v>138</v>
      </c>
      <c r="C10028" s="118" t="s">
        <v>206</v>
      </c>
      <c r="D10028" s="152" t="s">
        <v>11395</v>
      </c>
      <c r="E10028" s="152" t="s">
        <v>11481</v>
      </c>
      <c r="F10028" s="152" t="s">
        <v>1929</v>
      </c>
      <c r="G10028" s="152" t="s">
        <v>9423</v>
      </c>
      <c r="H10028" s="153" t="s">
        <v>212</v>
      </c>
    </row>
    <row r="10029" hidden="1">
      <c r="A10029" s="154" t="s">
        <v>228</v>
      </c>
      <c r="B10029" s="155" t="s">
        <v>138</v>
      </c>
      <c r="C10029" s="155" t="s">
        <v>206</v>
      </c>
      <c r="D10029" s="156" t="s">
        <v>11395</v>
      </c>
      <c r="E10029" s="156" t="s">
        <v>11482</v>
      </c>
      <c r="F10029" s="156" t="s">
        <v>766</v>
      </c>
      <c r="G10029" s="156" t="s">
        <v>10906</v>
      </c>
      <c r="H10029" s="157" t="s">
        <v>213</v>
      </c>
    </row>
    <row r="10030" hidden="1">
      <c r="A10030" s="151" t="s">
        <v>228</v>
      </c>
      <c r="B10030" s="118" t="s">
        <v>138</v>
      </c>
      <c r="C10030" s="118" t="s">
        <v>206</v>
      </c>
      <c r="D10030" s="152" t="s">
        <v>11395</v>
      </c>
      <c r="E10030" s="152" t="s">
        <v>11483</v>
      </c>
      <c r="F10030" s="152" t="s">
        <v>532</v>
      </c>
      <c r="G10030" s="152" t="s">
        <v>10589</v>
      </c>
      <c r="H10030" s="153" t="s">
        <v>214</v>
      </c>
    </row>
    <row r="10031" hidden="1">
      <c r="A10031" s="154" t="s">
        <v>228</v>
      </c>
      <c r="B10031" s="155" t="s">
        <v>138</v>
      </c>
      <c r="C10031" s="155" t="s">
        <v>206</v>
      </c>
      <c r="D10031" s="156" t="s">
        <v>11395</v>
      </c>
      <c r="E10031" s="156" t="s">
        <v>11484</v>
      </c>
      <c r="F10031" s="156" t="s">
        <v>450</v>
      </c>
      <c r="G10031" s="156" t="s">
        <v>10640</v>
      </c>
      <c r="H10031" s="157" t="s">
        <v>215</v>
      </c>
    </row>
    <row r="10032" hidden="1">
      <c r="A10032" s="151" t="s">
        <v>228</v>
      </c>
      <c r="B10032" s="118" t="s">
        <v>138</v>
      </c>
      <c r="C10032" s="118" t="s">
        <v>206</v>
      </c>
      <c r="D10032" s="152" t="s">
        <v>11395</v>
      </c>
      <c r="E10032" s="152" t="s">
        <v>11485</v>
      </c>
      <c r="F10032" s="152" t="s">
        <v>1530</v>
      </c>
      <c r="G10032" s="152" t="s">
        <v>11486</v>
      </c>
      <c r="H10032" s="153" t="s">
        <v>216</v>
      </c>
    </row>
    <row r="10033" hidden="1">
      <c r="A10033" s="154" t="s">
        <v>229</v>
      </c>
      <c r="B10033" s="155" t="s">
        <v>193</v>
      </c>
      <c r="C10033" s="155" t="s">
        <v>206</v>
      </c>
      <c r="D10033" s="156" t="s">
        <v>11395</v>
      </c>
      <c r="E10033" s="156" t="s">
        <v>11487</v>
      </c>
      <c r="F10033" s="156" t="s">
        <v>758</v>
      </c>
      <c r="G10033" s="156" t="s">
        <v>10878</v>
      </c>
      <c r="H10033" s="157" t="s">
        <v>210</v>
      </c>
    </row>
    <row r="10034" hidden="1">
      <c r="A10034" s="151" t="s">
        <v>229</v>
      </c>
      <c r="B10034" s="118" t="s">
        <v>193</v>
      </c>
      <c r="C10034" s="118" t="s">
        <v>206</v>
      </c>
      <c r="D10034" s="152" t="s">
        <v>11395</v>
      </c>
      <c r="E10034" s="152" t="s">
        <v>11488</v>
      </c>
      <c r="F10034" s="152" t="s">
        <v>730</v>
      </c>
      <c r="G10034" s="152" t="s">
        <v>11489</v>
      </c>
      <c r="H10034" s="153" t="s">
        <v>211</v>
      </c>
    </row>
    <row r="10035" hidden="1">
      <c r="A10035" s="154" t="s">
        <v>229</v>
      </c>
      <c r="B10035" s="155" t="s">
        <v>193</v>
      </c>
      <c r="C10035" s="155" t="s">
        <v>206</v>
      </c>
      <c r="D10035" s="156" t="s">
        <v>11395</v>
      </c>
      <c r="E10035" s="156" t="s">
        <v>11490</v>
      </c>
      <c r="F10035" s="156" t="s">
        <v>3240</v>
      </c>
      <c r="G10035" s="156" t="s">
        <v>10868</v>
      </c>
      <c r="H10035" s="157" t="s">
        <v>212</v>
      </c>
    </row>
    <row r="10036" hidden="1">
      <c r="A10036" s="151" t="s">
        <v>229</v>
      </c>
      <c r="B10036" s="118" t="s">
        <v>193</v>
      </c>
      <c r="C10036" s="118" t="s">
        <v>206</v>
      </c>
      <c r="D10036" s="152" t="s">
        <v>11395</v>
      </c>
      <c r="E10036" s="152" t="s">
        <v>11491</v>
      </c>
      <c r="F10036" s="152" t="s">
        <v>3198</v>
      </c>
      <c r="G10036" s="152" t="s">
        <v>11334</v>
      </c>
      <c r="H10036" s="153" t="s">
        <v>213</v>
      </c>
    </row>
    <row r="10037" hidden="1">
      <c r="A10037" s="154" t="s">
        <v>229</v>
      </c>
      <c r="B10037" s="155" t="s">
        <v>193</v>
      </c>
      <c r="C10037" s="155" t="s">
        <v>206</v>
      </c>
      <c r="D10037" s="156" t="s">
        <v>11395</v>
      </c>
      <c r="E10037" s="156" t="s">
        <v>11492</v>
      </c>
      <c r="F10037" s="156" t="s">
        <v>1929</v>
      </c>
      <c r="G10037" s="156" t="s">
        <v>11493</v>
      </c>
      <c r="H10037" s="157" t="s">
        <v>214</v>
      </c>
    </row>
    <row r="10038" hidden="1">
      <c r="A10038" s="151" t="s">
        <v>229</v>
      </c>
      <c r="B10038" s="118" t="s">
        <v>193</v>
      </c>
      <c r="C10038" s="118" t="s">
        <v>206</v>
      </c>
      <c r="D10038" s="152" t="s">
        <v>11395</v>
      </c>
      <c r="E10038" s="152" t="s">
        <v>11494</v>
      </c>
      <c r="F10038" s="152" t="s">
        <v>3240</v>
      </c>
      <c r="G10038" s="152" t="s">
        <v>11042</v>
      </c>
      <c r="H10038" s="153" t="s">
        <v>215</v>
      </c>
    </row>
    <row r="10039" hidden="1">
      <c r="A10039" s="154" t="s">
        <v>229</v>
      </c>
      <c r="B10039" s="155" t="s">
        <v>193</v>
      </c>
      <c r="C10039" s="155" t="s">
        <v>206</v>
      </c>
      <c r="D10039" s="156" t="s">
        <v>11395</v>
      </c>
      <c r="E10039" s="156" t="s">
        <v>11495</v>
      </c>
      <c r="F10039" s="156" t="s">
        <v>691</v>
      </c>
      <c r="G10039" s="156" t="s">
        <v>11496</v>
      </c>
      <c r="H10039" s="157" t="s">
        <v>216</v>
      </c>
    </row>
    <row r="10040" hidden="1">
      <c r="A10040" s="151" t="s">
        <v>230</v>
      </c>
      <c r="B10040" s="118" t="s">
        <v>194</v>
      </c>
      <c r="C10040" s="118" t="s">
        <v>206</v>
      </c>
      <c r="D10040" s="152" t="s">
        <v>11395</v>
      </c>
      <c r="E10040" s="152" t="s">
        <v>11497</v>
      </c>
      <c r="F10040" s="152" t="s">
        <v>1929</v>
      </c>
      <c r="G10040" s="152" t="s">
        <v>11129</v>
      </c>
      <c r="H10040" s="153" t="s">
        <v>210</v>
      </c>
    </row>
    <row r="10041" hidden="1">
      <c r="A10041" s="154" t="s">
        <v>230</v>
      </c>
      <c r="B10041" s="155" t="s">
        <v>194</v>
      </c>
      <c r="C10041" s="155" t="s">
        <v>206</v>
      </c>
      <c r="D10041" s="156" t="s">
        <v>11395</v>
      </c>
      <c r="E10041" s="156" t="s">
        <v>11498</v>
      </c>
      <c r="F10041" s="156" t="s">
        <v>448</v>
      </c>
      <c r="G10041" s="156" t="s">
        <v>10724</v>
      </c>
      <c r="H10041" s="157" t="s">
        <v>211</v>
      </c>
    </row>
    <row r="10042" hidden="1">
      <c r="A10042" s="151" t="s">
        <v>230</v>
      </c>
      <c r="B10042" s="118" t="s">
        <v>194</v>
      </c>
      <c r="C10042" s="118" t="s">
        <v>206</v>
      </c>
      <c r="D10042" s="152" t="s">
        <v>11395</v>
      </c>
      <c r="E10042" s="152" t="s">
        <v>11499</v>
      </c>
      <c r="F10042" s="152" t="s">
        <v>448</v>
      </c>
      <c r="G10042" s="152" t="s">
        <v>11102</v>
      </c>
      <c r="H10042" s="153" t="s">
        <v>212</v>
      </c>
    </row>
    <row r="10043" hidden="1">
      <c r="A10043" s="154" t="s">
        <v>230</v>
      </c>
      <c r="B10043" s="155" t="s">
        <v>194</v>
      </c>
      <c r="C10043" s="155" t="s">
        <v>206</v>
      </c>
      <c r="D10043" s="156" t="s">
        <v>11395</v>
      </c>
      <c r="E10043" s="156" t="s">
        <v>11500</v>
      </c>
      <c r="F10043" s="156" t="s">
        <v>673</v>
      </c>
      <c r="G10043" s="156" t="s">
        <v>10836</v>
      </c>
      <c r="H10043" s="157" t="s">
        <v>213</v>
      </c>
    </row>
    <row r="10044" hidden="1">
      <c r="A10044" s="151" t="s">
        <v>230</v>
      </c>
      <c r="B10044" s="118" t="s">
        <v>194</v>
      </c>
      <c r="C10044" s="118" t="s">
        <v>206</v>
      </c>
      <c r="D10044" s="152" t="s">
        <v>11395</v>
      </c>
      <c r="E10044" s="152" t="s">
        <v>11501</v>
      </c>
      <c r="F10044" s="152" t="s">
        <v>390</v>
      </c>
      <c r="G10044" s="152" t="s">
        <v>10767</v>
      </c>
      <c r="H10044" s="153" t="s">
        <v>214</v>
      </c>
    </row>
    <row r="10045" hidden="1">
      <c r="A10045" s="154" t="s">
        <v>230</v>
      </c>
      <c r="B10045" s="155" t="s">
        <v>194</v>
      </c>
      <c r="C10045" s="155" t="s">
        <v>206</v>
      </c>
      <c r="D10045" s="156" t="s">
        <v>11395</v>
      </c>
      <c r="E10045" s="156" t="s">
        <v>11502</v>
      </c>
      <c r="F10045" s="156" t="s">
        <v>730</v>
      </c>
      <c r="G10045" s="156" t="s">
        <v>11322</v>
      </c>
      <c r="H10045" s="157" t="s">
        <v>215</v>
      </c>
    </row>
    <row r="10046" hidden="1">
      <c r="A10046" s="151" t="s">
        <v>230</v>
      </c>
      <c r="B10046" s="118" t="s">
        <v>194</v>
      </c>
      <c r="C10046" s="118" t="s">
        <v>206</v>
      </c>
      <c r="D10046" s="152" t="s">
        <v>11395</v>
      </c>
      <c r="E10046" s="152" t="s">
        <v>11503</v>
      </c>
      <c r="F10046" s="152" t="s">
        <v>2994</v>
      </c>
      <c r="G10046" s="152" t="s">
        <v>11246</v>
      </c>
      <c r="H10046" s="153" t="s">
        <v>216</v>
      </c>
    </row>
    <row r="10047" hidden="1">
      <c r="A10047" s="158" t="s">
        <v>231</v>
      </c>
      <c r="B10047" s="159"/>
      <c r="C10047" s="155" t="s">
        <v>232</v>
      </c>
      <c r="D10047" s="156" t="s">
        <v>11395</v>
      </c>
      <c r="E10047" s="156" t="s">
        <v>11504</v>
      </c>
      <c r="F10047" s="156" t="s">
        <v>478</v>
      </c>
      <c r="G10047" s="156" t="s">
        <v>11505</v>
      </c>
      <c r="H10047" s="157" t="s">
        <v>210</v>
      </c>
    </row>
    <row r="10048" hidden="1">
      <c r="A10048" s="160" t="s">
        <v>231</v>
      </c>
      <c r="B10048" s="72"/>
      <c r="C10048" s="118" t="s">
        <v>232</v>
      </c>
      <c r="D10048" s="152" t="s">
        <v>11395</v>
      </c>
      <c r="E10048" s="152" t="s">
        <v>11506</v>
      </c>
      <c r="F10048" s="152" t="s">
        <v>453</v>
      </c>
      <c r="G10048" s="152" t="s">
        <v>11507</v>
      </c>
      <c r="H10048" s="153" t="s">
        <v>211</v>
      </c>
    </row>
    <row r="10049" hidden="1">
      <c r="A10049" s="158" t="s">
        <v>231</v>
      </c>
      <c r="B10049" s="159"/>
      <c r="C10049" s="155" t="s">
        <v>232</v>
      </c>
      <c r="D10049" s="156" t="s">
        <v>11395</v>
      </c>
      <c r="E10049" s="156" t="s">
        <v>11508</v>
      </c>
      <c r="F10049" s="156" t="s">
        <v>677</v>
      </c>
      <c r="G10049" s="156" t="s">
        <v>11509</v>
      </c>
      <c r="H10049" s="157" t="s">
        <v>212</v>
      </c>
    </row>
    <row r="10050" hidden="1">
      <c r="A10050" s="160" t="s">
        <v>231</v>
      </c>
      <c r="B10050" s="72"/>
      <c r="C10050" s="118" t="s">
        <v>232</v>
      </c>
      <c r="D10050" s="152" t="s">
        <v>11395</v>
      </c>
      <c r="E10050" s="152" t="s">
        <v>11510</v>
      </c>
      <c r="F10050" s="152" t="s">
        <v>718</v>
      </c>
      <c r="G10050" s="152" t="s">
        <v>11511</v>
      </c>
      <c r="H10050" s="153" t="s">
        <v>213</v>
      </c>
    </row>
    <row r="10051" hidden="1">
      <c r="A10051" s="158" t="s">
        <v>231</v>
      </c>
      <c r="B10051" s="159"/>
      <c r="C10051" s="155" t="s">
        <v>232</v>
      </c>
      <c r="D10051" s="156" t="s">
        <v>11395</v>
      </c>
      <c r="E10051" s="156" t="s">
        <v>11512</v>
      </c>
      <c r="F10051" s="156" t="s">
        <v>763</v>
      </c>
      <c r="G10051" s="156" t="s">
        <v>10203</v>
      </c>
      <c r="H10051" s="157" t="s">
        <v>214</v>
      </c>
    </row>
    <row r="10052" hidden="1">
      <c r="A10052" s="160" t="s">
        <v>231</v>
      </c>
      <c r="B10052" s="72"/>
      <c r="C10052" s="118" t="s">
        <v>232</v>
      </c>
      <c r="D10052" s="152" t="s">
        <v>11395</v>
      </c>
      <c r="E10052" s="152" t="s">
        <v>11513</v>
      </c>
      <c r="F10052" s="152" t="s">
        <v>766</v>
      </c>
      <c r="G10052" s="152" t="s">
        <v>11514</v>
      </c>
      <c r="H10052" s="153" t="s">
        <v>215</v>
      </c>
    </row>
    <row r="10053" hidden="1">
      <c r="A10053" s="158" t="s">
        <v>231</v>
      </c>
      <c r="B10053" s="159"/>
      <c r="C10053" s="155" t="s">
        <v>232</v>
      </c>
      <c r="D10053" s="156" t="s">
        <v>11395</v>
      </c>
      <c r="E10053" s="156" t="s">
        <v>11515</v>
      </c>
      <c r="F10053" s="156" t="s">
        <v>718</v>
      </c>
      <c r="G10053" s="156" t="s">
        <v>9841</v>
      </c>
      <c r="H10053" s="157" t="s">
        <v>216</v>
      </c>
    </row>
    <row r="10054" hidden="1">
      <c r="A10054" s="160" t="s">
        <v>233</v>
      </c>
      <c r="B10054" s="72"/>
      <c r="C10054" s="118" t="s">
        <v>232</v>
      </c>
      <c r="D10054" s="152" t="s">
        <v>11395</v>
      </c>
      <c r="E10054" s="152" t="s">
        <v>11516</v>
      </c>
      <c r="F10054" s="152" t="s">
        <v>760</v>
      </c>
      <c r="G10054" s="152" t="s">
        <v>10836</v>
      </c>
      <c r="H10054" s="153" t="s">
        <v>210</v>
      </c>
    </row>
    <row r="10055" hidden="1">
      <c r="A10055" s="158" t="s">
        <v>233</v>
      </c>
      <c r="B10055" s="159"/>
      <c r="C10055" s="155" t="s">
        <v>232</v>
      </c>
      <c r="D10055" s="156" t="s">
        <v>11395</v>
      </c>
      <c r="E10055" s="156" t="s">
        <v>11517</v>
      </c>
      <c r="F10055" s="156" t="s">
        <v>763</v>
      </c>
      <c r="G10055" s="156" t="s">
        <v>10773</v>
      </c>
      <c r="H10055" s="157" t="s">
        <v>211</v>
      </c>
    </row>
    <row r="10056" hidden="1">
      <c r="A10056" s="160" t="s">
        <v>233</v>
      </c>
      <c r="B10056" s="72"/>
      <c r="C10056" s="118" t="s">
        <v>232</v>
      </c>
      <c r="D10056" s="152" t="s">
        <v>11395</v>
      </c>
      <c r="E10056" s="152" t="s">
        <v>11518</v>
      </c>
      <c r="F10056" s="152" t="s">
        <v>2994</v>
      </c>
      <c r="G10056" s="152" t="s">
        <v>9583</v>
      </c>
      <c r="H10056" s="153" t="s">
        <v>212</v>
      </c>
    </row>
    <row r="10057" hidden="1">
      <c r="A10057" s="158" t="s">
        <v>233</v>
      </c>
      <c r="B10057" s="159"/>
      <c r="C10057" s="155" t="s">
        <v>232</v>
      </c>
      <c r="D10057" s="156" t="s">
        <v>11395</v>
      </c>
      <c r="E10057" s="156" t="s">
        <v>11519</v>
      </c>
      <c r="F10057" s="156" t="s">
        <v>2994</v>
      </c>
      <c r="G10057" s="156" t="s">
        <v>11189</v>
      </c>
      <c r="H10057" s="157" t="s">
        <v>213</v>
      </c>
    </row>
    <row r="10058" hidden="1">
      <c r="A10058" s="160" t="s">
        <v>233</v>
      </c>
      <c r="B10058" s="72"/>
      <c r="C10058" s="118" t="s">
        <v>232</v>
      </c>
      <c r="D10058" s="152" t="s">
        <v>11395</v>
      </c>
      <c r="E10058" s="152" t="s">
        <v>11520</v>
      </c>
      <c r="F10058" s="152" t="s">
        <v>760</v>
      </c>
      <c r="G10058" s="152" t="s">
        <v>11071</v>
      </c>
      <c r="H10058" s="153" t="s">
        <v>214</v>
      </c>
    </row>
    <row r="10059" hidden="1">
      <c r="A10059" s="158" t="s">
        <v>233</v>
      </c>
      <c r="B10059" s="159"/>
      <c r="C10059" s="155" t="s">
        <v>232</v>
      </c>
      <c r="D10059" s="156" t="s">
        <v>11395</v>
      </c>
      <c r="E10059" s="156" t="s">
        <v>11521</v>
      </c>
      <c r="F10059" s="156" t="s">
        <v>1948</v>
      </c>
      <c r="G10059" s="156" t="s">
        <v>9583</v>
      </c>
      <c r="H10059" s="157" t="s">
        <v>215</v>
      </c>
    </row>
    <row r="10060" hidden="1">
      <c r="A10060" s="160" t="s">
        <v>233</v>
      </c>
      <c r="B10060" s="72"/>
      <c r="C10060" s="118" t="s">
        <v>232</v>
      </c>
      <c r="D10060" s="152" t="s">
        <v>11395</v>
      </c>
      <c r="E10060" s="152" t="s">
        <v>11522</v>
      </c>
      <c r="F10060" s="152" t="s">
        <v>1929</v>
      </c>
      <c r="G10060" s="152" t="s">
        <v>9671</v>
      </c>
      <c r="H10060" s="153" t="s">
        <v>216</v>
      </c>
    </row>
    <row r="10061" hidden="1">
      <c r="A10061" s="158" t="s">
        <v>234</v>
      </c>
      <c r="B10061" s="159"/>
      <c r="C10061" s="155" t="s">
        <v>232</v>
      </c>
      <c r="D10061" s="156" t="s">
        <v>11395</v>
      </c>
      <c r="E10061" s="156" t="s">
        <v>11523</v>
      </c>
      <c r="F10061" s="156" t="s">
        <v>763</v>
      </c>
      <c r="G10061" s="156" t="s">
        <v>11102</v>
      </c>
      <c r="H10061" s="157" t="s">
        <v>210</v>
      </c>
    </row>
    <row r="10062" hidden="1">
      <c r="A10062" s="160" t="s">
        <v>234</v>
      </c>
      <c r="B10062" s="72"/>
      <c r="C10062" s="118" t="s">
        <v>232</v>
      </c>
      <c r="D10062" s="152" t="s">
        <v>11395</v>
      </c>
      <c r="E10062" s="152" t="s">
        <v>11524</v>
      </c>
      <c r="F10062" s="152" t="s">
        <v>766</v>
      </c>
      <c r="G10062" s="152" t="s">
        <v>10699</v>
      </c>
      <c r="H10062" s="153" t="s">
        <v>211</v>
      </c>
    </row>
    <row r="10063" hidden="1">
      <c r="A10063" s="158" t="s">
        <v>234</v>
      </c>
      <c r="B10063" s="159"/>
      <c r="C10063" s="155" t="s">
        <v>232</v>
      </c>
      <c r="D10063" s="156" t="s">
        <v>11395</v>
      </c>
      <c r="E10063" s="156" t="s">
        <v>11525</v>
      </c>
      <c r="F10063" s="156" t="s">
        <v>2607</v>
      </c>
      <c r="G10063" s="156" t="s">
        <v>10849</v>
      </c>
      <c r="H10063" s="157" t="s">
        <v>212</v>
      </c>
    </row>
    <row r="10064" hidden="1">
      <c r="A10064" s="160" t="s">
        <v>234</v>
      </c>
      <c r="B10064" s="72"/>
      <c r="C10064" s="118" t="s">
        <v>232</v>
      </c>
      <c r="D10064" s="152" t="s">
        <v>11395</v>
      </c>
      <c r="E10064" s="152" t="s">
        <v>11526</v>
      </c>
      <c r="F10064" s="152" t="s">
        <v>390</v>
      </c>
      <c r="G10064" s="152" t="s">
        <v>9577</v>
      </c>
      <c r="H10064" s="153" t="s">
        <v>213</v>
      </c>
    </row>
    <row r="10065" hidden="1">
      <c r="A10065" s="158" t="s">
        <v>234</v>
      </c>
      <c r="B10065" s="159"/>
      <c r="C10065" s="155" t="s">
        <v>232</v>
      </c>
      <c r="D10065" s="156" t="s">
        <v>11395</v>
      </c>
      <c r="E10065" s="156" t="s">
        <v>11527</v>
      </c>
      <c r="F10065" s="156" t="s">
        <v>735</v>
      </c>
      <c r="G10065" s="156" t="s">
        <v>10522</v>
      </c>
      <c r="H10065" s="157" t="s">
        <v>214</v>
      </c>
    </row>
    <row r="10066" hidden="1">
      <c r="A10066" s="160" t="s">
        <v>234</v>
      </c>
      <c r="B10066" s="72"/>
      <c r="C10066" s="118" t="s">
        <v>232</v>
      </c>
      <c r="D10066" s="152" t="s">
        <v>11395</v>
      </c>
      <c r="E10066" s="152" t="s">
        <v>11528</v>
      </c>
      <c r="F10066" s="152" t="s">
        <v>2226</v>
      </c>
      <c r="G10066" s="152" t="s">
        <v>9988</v>
      </c>
      <c r="H10066" s="153" t="s">
        <v>215</v>
      </c>
    </row>
    <row r="10067" hidden="1">
      <c r="A10067" s="158" t="s">
        <v>234</v>
      </c>
      <c r="B10067" s="159"/>
      <c r="C10067" s="155" t="s">
        <v>232</v>
      </c>
      <c r="D10067" s="156" t="s">
        <v>11395</v>
      </c>
      <c r="E10067" s="156" t="s">
        <v>11529</v>
      </c>
      <c r="F10067" s="156" t="s">
        <v>629</v>
      </c>
      <c r="G10067" s="156" t="s">
        <v>11365</v>
      </c>
      <c r="H10067" s="157" t="s">
        <v>216</v>
      </c>
    </row>
    <row r="10068" hidden="1">
      <c r="A10068" s="160" t="s">
        <v>235</v>
      </c>
      <c r="B10068" s="72"/>
      <c r="C10068" s="118" t="s">
        <v>236</v>
      </c>
      <c r="D10068" s="152" t="s">
        <v>11395</v>
      </c>
      <c r="E10068" s="152" t="s">
        <v>11530</v>
      </c>
      <c r="F10068" s="152" t="s">
        <v>735</v>
      </c>
      <c r="G10068" s="152" t="s">
        <v>11370</v>
      </c>
      <c r="H10068" s="153" t="s">
        <v>210</v>
      </c>
    </row>
    <row r="10069" hidden="1">
      <c r="A10069" s="158" t="s">
        <v>235</v>
      </c>
      <c r="B10069" s="159"/>
      <c r="C10069" s="155" t="s">
        <v>236</v>
      </c>
      <c r="D10069" s="156" t="s">
        <v>11395</v>
      </c>
      <c r="E10069" s="156" t="s">
        <v>11531</v>
      </c>
      <c r="F10069" s="156" t="s">
        <v>448</v>
      </c>
      <c r="G10069" s="156" t="s">
        <v>11093</v>
      </c>
      <c r="H10069" s="157" t="s">
        <v>211</v>
      </c>
    </row>
    <row r="10070" hidden="1">
      <c r="A10070" s="160" t="s">
        <v>235</v>
      </c>
      <c r="B10070" s="72"/>
      <c r="C10070" s="118" t="s">
        <v>236</v>
      </c>
      <c r="D10070" s="152" t="s">
        <v>11395</v>
      </c>
      <c r="E10070" s="152" t="s">
        <v>11532</v>
      </c>
      <c r="F10070" s="152" t="s">
        <v>1530</v>
      </c>
      <c r="G10070" s="152" t="s">
        <v>11024</v>
      </c>
      <c r="H10070" s="153" t="s">
        <v>212</v>
      </c>
    </row>
    <row r="10071" hidden="1">
      <c r="A10071" s="158" t="s">
        <v>235</v>
      </c>
      <c r="B10071" s="159"/>
      <c r="C10071" s="155" t="s">
        <v>236</v>
      </c>
      <c r="D10071" s="156" t="s">
        <v>11395</v>
      </c>
      <c r="E10071" s="156" t="s">
        <v>11533</v>
      </c>
      <c r="F10071" s="156" t="s">
        <v>735</v>
      </c>
      <c r="G10071" s="156" t="s">
        <v>10514</v>
      </c>
      <c r="H10071" s="157" t="s">
        <v>213</v>
      </c>
    </row>
    <row r="10072" hidden="1">
      <c r="A10072" s="160" t="s">
        <v>235</v>
      </c>
      <c r="B10072" s="72"/>
      <c r="C10072" s="118" t="s">
        <v>236</v>
      </c>
      <c r="D10072" s="152" t="s">
        <v>11395</v>
      </c>
      <c r="E10072" s="152" t="s">
        <v>11534</v>
      </c>
      <c r="F10072" s="152" t="s">
        <v>390</v>
      </c>
      <c r="G10072" s="152" t="s">
        <v>9573</v>
      </c>
      <c r="H10072" s="153" t="s">
        <v>214</v>
      </c>
    </row>
    <row r="10073" hidden="1">
      <c r="A10073" s="158" t="s">
        <v>235</v>
      </c>
      <c r="B10073" s="159"/>
      <c r="C10073" s="155" t="s">
        <v>236</v>
      </c>
      <c r="D10073" s="156" t="s">
        <v>11395</v>
      </c>
      <c r="E10073" s="156" t="s">
        <v>11535</v>
      </c>
      <c r="F10073" s="156" t="s">
        <v>2215</v>
      </c>
      <c r="G10073" s="156" t="s">
        <v>10282</v>
      </c>
      <c r="H10073" s="157" t="s">
        <v>215</v>
      </c>
    </row>
    <row r="10074" hidden="1">
      <c r="A10074" s="160" t="s">
        <v>235</v>
      </c>
      <c r="B10074" s="72"/>
      <c r="C10074" s="118" t="s">
        <v>236</v>
      </c>
      <c r="D10074" s="152" t="s">
        <v>11395</v>
      </c>
      <c r="E10074" s="152" t="s">
        <v>11536</v>
      </c>
      <c r="F10074" s="152" t="s">
        <v>448</v>
      </c>
      <c r="G10074" s="152" t="s">
        <v>10455</v>
      </c>
      <c r="H10074" s="153" t="s">
        <v>216</v>
      </c>
    </row>
    <row r="10075" hidden="1">
      <c r="A10075" s="158" t="s">
        <v>237</v>
      </c>
      <c r="B10075" s="159"/>
      <c r="C10075" s="155" t="s">
        <v>236</v>
      </c>
      <c r="D10075" s="156" t="s">
        <v>11395</v>
      </c>
      <c r="E10075" s="156" t="s">
        <v>11537</v>
      </c>
      <c r="F10075" s="156" t="s">
        <v>629</v>
      </c>
      <c r="G10075" s="156" t="s">
        <v>11320</v>
      </c>
      <c r="H10075" s="157" t="s">
        <v>210</v>
      </c>
    </row>
    <row r="10076" hidden="1">
      <c r="A10076" s="160" t="s">
        <v>237</v>
      </c>
      <c r="B10076" s="72"/>
      <c r="C10076" s="118" t="s">
        <v>236</v>
      </c>
      <c r="D10076" s="152" t="s">
        <v>11395</v>
      </c>
      <c r="E10076" s="152" t="s">
        <v>11538</v>
      </c>
      <c r="F10076" s="152" t="s">
        <v>3346</v>
      </c>
      <c r="G10076" s="152" t="s">
        <v>11087</v>
      </c>
      <c r="H10076" s="153" t="s">
        <v>211</v>
      </c>
    </row>
    <row r="10077" hidden="1">
      <c r="A10077" s="158" t="s">
        <v>237</v>
      </c>
      <c r="B10077" s="159"/>
      <c r="C10077" s="155" t="s">
        <v>236</v>
      </c>
      <c r="D10077" s="156" t="s">
        <v>11395</v>
      </c>
      <c r="E10077" s="156" t="s">
        <v>11539</v>
      </c>
      <c r="F10077" s="156" t="s">
        <v>766</v>
      </c>
      <c r="G10077" s="156" t="s">
        <v>10769</v>
      </c>
      <c r="H10077" s="157" t="s">
        <v>212</v>
      </c>
    </row>
    <row r="10078" hidden="1">
      <c r="A10078" s="160" t="s">
        <v>237</v>
      </c>
      <c r="B10078" s="72"/>
      <c r="C10078" s="118" t="s">
        <v>236</v>
      </c>
      <c r="D10078" s="152" t="s">
        <v>11395</v>
      </c>
      <c r="E10078" s="152" t="s">
        <v>11540</v>
      </c>
      <c r="F10078" s="152" t="s">
        <v>629</v>
      </c>
      <c r="G10078" s="152" t="s">
        <v>11541</v>
      </c>
      <c r="H10078" s="153" t="s">
        <v>213</v>
      </c>
    </row>
    <row r="10079" hidden="1">
      <c r="A10079" s="158" t="s">
        <v>237</v>
      </c>
      <c r="B10079" s="159"/>
      <c r="C10079" s="155" t="s">
        <v>236</v>
      </c>
      <c r="D10079" s="156" t="s">
        <v>11395</v>
      </c>
      <c r="E10079" s="156" t="s">
        <v>11542</v>
      </c>
      <c r="F10079" s="156" t="s">
        <v>763</v>
      </c>
      <c r="G10079" s="156" t="s">
        <v>10174</v>
      </c>
      <c r="H10079" s="157" t="s">
        <v>214</v>
      </c>
    </row>
    <row r="10080" hidden="1">
      <c r="A10080" s="160" t="s">
        <v>237</v>
      </c>
      <c r="B10080" s="72"/>
      <c r="C10080" s="118" t="s">
        <v>236</v>
      </c>
      <c r="D10080" s="152" t="s">
        <v>11395</v>
      </c>
      <c r="E10080" s="152" t="s">
        <v>11543</v>
      </c>
      <c r="F10080" s="152" t="s">
        <v>1790</v>
      </c>
      <c r="G10080" s="152" t="s">
        <v>10351</v>
      </c>
      <c r="H10080" s="153" t="s">
        <v>215</v>
      </c>
    </row>
    <row r="10081" hidden="1">
      <c r="A10081" s="158" t="s">
        <v>237</v>
      </c>
      <c r="B10081" s="159"/>
      <c r="C10081" s="155" t="s">
        <v>236</v>
      </c>
      <c r="D10081" s="156" t="s">
        <v>11395</v>
      </c>
      <c r="E10081" s="156" t="s">
        <v>11544</v>
      </c>
      <c r="F10081" s="156" t="s">
        <v>2607</v>
      </c>
      <c r="G10081" s="156" t="s">
        <v>9742</v>
      </c>
      <c r="H10081" s="157" t="s">
        <v>216</v>
      </c>
    </row>
    <row r="10082" hidden="1">
      <c r="A10082" s="151" t="s">
        <v>204</v>
      </c>
      <c r="B10082" s="118" t="s">
        <v>205</v>
      </c>
      <c r="C10082" s="118" t="s">
        <v>206</v>
      </c>
      <c r="D10082" s="152" t="s">
        <v>11545</v>
      </c>
      <c r="E10082" s="152" t="s">
        <v>11546</v>
      </c>
      <c r="F10082" s="152" t="s">
        <v>10944</v>
      </c>
      <c r="G10082" s="152" t="s">
        <v>9836</v>
      </c>
      <c r="H10082" s="153" t="s">
        <v>210</v>
      </c>
    </row>
    <row r="10083" hidden="1">
      <c r="A10083" s="154" t="s">
        <v>204</v>
      </c>
      <c r="B10083" s="155" t="s">
        <v>205</v>
      </c>
      <c r="C10083" s="155" t="s">
        <v>206</v>
      </c>
      <c r="D10083" s="156" t="s">
        <v>11545</v>
      </c>
      <c r="E10083" s="156" t="s">
        <v>11547</v>
      </c>
      <c r="F10083" s="156" t="s">
        <v>9840</v>
      </c>
      <c r="G10083" s="156" t="s">
        <v>11011</v>
      </c>
      <c r="H10083" s="157" t="s">
        <v>211</v>
      </c>
    </row>
    <row r="10084" hidden="1">
      <c r="A10084" s="151" t="s">
        <v>204</v>
      </c>
      <c r="B10084" s="118" t="s">
        <v>205</v>
      </c>
      <c r="C10084" s="118" t="s">
        <v>206</v>
      </c>
      <c r="D10084" s="152" t="s">
        <v>11545</v>
      </c>
      <c r="E10084" s="152" t="s">
        <v>11548</v>
      </c>
      <c r="F10084" s="152" t="s">
        <v>11549</v>
      </c>
      <c r="G10084" s="152" t="s">
        <v>11550</v>
      </c>
      <c r="H10084" s="153" t="s">
        <v>212</v>
      </c>
    </row>
    <row r="10085" hidden="1">
      <c r="A10085" s="154" t="s">
        <v>204</v>
      </c>
      <c r="B10085" s="155" t="s">
        <v>205</v>
      </c>
      <c r="C10085" s="155" t="s">
        <v>206</v>
      </c>
      <c r="D10085" s="156" t="s">
        <v>11545</v>
      </c>
      <c r="E10085" s="156" t="s">
        <v>11551</v>
      </c>
      <c r="F10085" s="156" t="s">
        <v>1986</v>
      </c>
      <c r="G10085" s="156" t="s">
        <v>11552</v>
      </c>
      <c r="H10085" s="157" t="s">
        <v>213</v>
      </c>
    </row>
    <row r="10086" hidden="1">
      <c r="A10086" s="151" t="s">
        <v>204</v>
      </c>
      <c r="B10086" s="118" t="s">
        <v>205</v>
      </c>
      <c r="C10086" s="118" t="s">
        <v>206</v>
      </c>
      <c r="D10086" s="152" t="s">
        <v>11545</v>
      </c>
      <c r="E10086" s="152" t="s">
        <v>11553</v>
      </c>
      <c r="F10086" s="152" t="s">
        <v>10944</v>
      </c>
      <c r="G10086" s="152" t="s">
        <v>10849</v>
      </c>
      <c r="H10086" s="153" t="s">
        <v>214</v>
      </c>
    </row>
    <row r="10087" hidden="1">
      <c r="A10087" s="154" t="s">
        <v>204</v>
      </c>
      <c r="B10087" s="155" t="s">
        <v>205</v>
      </c>
      <c r="C10087" s="155" t="s">
        <v>206</v>
      </c>
      <c r="D10087" s="156" t="s">
        <v>11545</v>
      </c>
      <c r="E10087" s="156" t="s">
        <v>11554</v>
      </c>
      <c r="F10087" s="156" t="s">
        <v>2169</v>
      </c>
      <c r="G10087" s="156" t="s">
        <v>10203</v>
      </c>
      <c r="H10087" s="157" t="s">
        <v>215</v>
      </c>
    </row>
    <row r="10088" hidden="1">
      <c r="A10088" s="151" t="s">
        <v>204</v>
      </c>
      <c r="B10088" s="118" t="s">
        <v>205</v>
      </c>
      <c r="C10088" s="118" t="s">
        <v>206</v>
      </c>
      <c r="D10088" s="152" t="s">
        <v>11545</v>
      </c>
      <c r="E10088" s="152" t="s">
        <v>11555</v>
      </c>
      <c r="F10088" s="152" t="s">
        <v>3153</v>
      </c>
      <c r="G10088" s="152" t="s">
        <v>11556</v>
      </c>
      <c r="H10088" s="153" t="s">
        <v>216</v>
      </c>
    </row>
    <row r="10089" hidden="1">
      <c r="A10089" s="154" t="s">
        <v>217</v>
      </c>
      <c r="B10089" s="155" t="s">
        <v>191</v>
      </c>
      <c r="C10089" s="155" t="s">
        <v>206</v>
      </c>
      <c r="D10089" s="156" t="s">
        <v>11545</v>
      </c>
      <c r="E10089" s="156" t="s">
        <v>11557</v>
      </c>
      <c r="F10089" s="156" t="s">
        <v>11558</v>
      </c>
      <c r="G10089" s="156" t="s">
        <v>11559</v>
      </c>
      <c r="H10089" s="157" t="s">
        <v>210</v>
      </c>
    </row>
    <row r="10090" hidden="1">
      <c r="A10090" s="151" t="s">
        <v>217</v>
      </c>
      <c r="B10090" s="118" t="s">
        <v>191</v>
      </c>
      <c r="C10090" s="118" t="s">
        <v>206</v>
      </c>
      <c r="D10090" s="152" t="s">
        <v>11545</v>
      </c>
      <c r="E10090" s="152" t="s">
        <v>11560</v>
      </c>
      <c r="F10090" s="152" t="s">
        <v>639</v>
      </c>
      <c r="G10090" s="152" t="s">
        <v>10363</v>
      </c>
      <c r="H10090" s="153" t="s">
        <v>211</v>
      </c>
    </row>
    <row r="10091" hidden="1">
      <c r="A10091" s="154" t="s">
        <v>217</v>
      </c>
      <c r="B10091" s="155" t="s">
        <v>191</v>
      </c>
      <c r="C10091" s="155" t="s">
        <v>206</v>
      </c>
      <c r="D10091" s="156" t="s">
        <v>11545</v>
      </c>
      <c r="E10091" s="156" t="s">
        <v>11561</v>
      </c>
      <c r="F10091" s="156" t="s">
        <v>2018</v>
      </c>
      <c r="G10091" s="156" t="s">
        <v>11562</v>
      </c>
      <c r="H10091" s="157" t="s">
        <v>212</v>
      </c>
    </row>
    <row r="10092" hidden="1">
      <c r="A10092" s="151" t="s">
        <v>217</v>
      </c>
      <c r="B10092" s="118" t="s">
        <v>191</v>
      </c>
      <c r="C10092" s="118" t="s">
        <v>206</v>
      </c>
      <c r="D10092" s="152" t="s">
        <v>11545</v>
      </c>
      <c r="E10092" s="152" t="s">
        <v>11563</v>
      </c>
      <c r="F10092" s="152" t="s">
        <v>2029</v>
      </c>
      <c r="G10092" s="152" t="s">
        <v>10367</v>
      </c>
      <c r="H10092" s="153" t="s">
        <v>213</v>
      </c>
    </row>
    <row r="10093" hidden="1">
      <c r="A10093" s="154" t="s">
        <v>217</v>
      </c>
      <c r="B10093" s="155" t="s">
        <v>191</v>
      </c>
      <c r="C10093" s="155" t="s">
        <v>206</v>
      </c>
      <c r="D10093" s="156" t="s">
        <v>11545</v>
      </c>
      <c r="E10093" s="156" t="s">
        <v>11564</v>
      </c>
      <c r="F10093" s="156" t="s">
        <v>1804</v>
      </c>
      <c r="G10093" s="156" t="s">
        <v>11565</v>
      </c>
      <c r="H10093" s="157" t="s">
        <v>214</v>
      </c>
    </row>
    <row r="10094" hidden="1">
      <c r="A10094" s="151" t="s">
        <v>217</v>
      </c>
      <c r="B10094" s="118" t="s">
        <v>191</v>
      </c>
      <c r="C10094" s="118" t="s">
        <v>206</v>
      </c>
      <c r="D10094" s="152" t="s">
        <v>11545</v>
      </c>
      <c r="E10094" s="152" t="s">
        <v>11566</v>
      </c>
      <c r="F10094" s="152" t="s">
        <v>2416</v>
      </c>
      <c r="G10094" s="152" t="s">
        <v>10542</v>
      </c>
      <c r="H10094" s="153" t="s">
        <v>215</v>
      </c>
    </row>
    <row r="10095" hidden="1">
      <c r="A10095" s="154" t="s">
        <v>217</v>
      </c>
      <c r="B10095" s="155" t="s">
        <v>191</v>
      </c>
      <c r="C10095" s="155" t="s">
        <v>206</v>
      </c>
      <c r="D10095" s="156" t="s">
        <v>11545</v>
      </c>
      <c r="E10095" s="156" t="s">
        <v>11567</v>
      </c>
      <c r="F10095" s="156" t="s">
        <v>639</v>
      </c>
      <c r="G10095" s="156" t="s">
        <v>11568</v>
      </c>
      <c r="H10095" s="157" t="s">
        <v>216</v>
      </c>
    </row>
    <row r="10096" hidden="1">
      <c r="A10096" s="151" t="s">
        <v>218</v>
      </c>
      <c r="B10096" s="118" t="s">
        <v>219</v>
      </c>
      <c r="C10096" s="118" t="s">
        <v>206</v>
      </c>
      <c r="D10096" s="152" t="s">
        <v>11545</v>
      </c>
      <c r="E10096" s="152" t="s">
        <v>11569</v>
      </c>
      <c r="F10096" s="152" t="s">
        <v>3340</v>
      </c>
      <c r="G10096" s="152" t="s">
        <v>10622</v>
      </c>
      <c r="H10096" s="153" t="s">
        <v>210</v>
      </c>
    </row>
    <row r="10097" hidden="1">
      <c r="A10097" s="154" t="s">
        <v>218</v>
      </c>
      <c r="B10097" s="155" t="s">
        <v>219</v>
      </c>
      <c r="C10097" s="155" t="s">
        <v>206</v>
      </c>
      <c r="D10097" s="156" t="s">
        <v>11545</v>
      </c>
      <c r="E10097" s="156" t="s">
        <v>11570</v>
      </c>
      <c r="F10097" s="156" t="s">
        <v>3148</v>
      </c>
      <c r="G10097" s="156" t="s">
        <v>10874</v>
      </c>
      <c r="H10097" s="157" t="s">
        <v>211</v>
      </c>
    </row>
    <row r="10098" hidden="1">
      <c r="A10098" s="151" t="s">
        <v>218</v>
      </c>
      <c r="B10098" s="118" t="s">
        <v>219</v>
      </c>
      <c r="C10098" s="118" t="s">
        <v>206</v>
      </c>
      <c r="D10098" s="152" t="s">
        <v>11545</v>
      </c>
      <c r="E10098" s="152" t="s">
        <v>11571</v>
      </c>
      <c r="F10098" s="152" t="s">
        <v>7374</v>
      </c>
      <c r="G10098" s="152" t="s">
        <v>11351</v>
      </c>
      <c r="H10098" s="153" t="s">
        <v>212</v>
      </c>
    </row>
    <row r="10099" hidden="1">
      <c r="A10099" s="154" t="s">
        <v>218</v>
      </c>
      <c r="B10099" s="155" t="s">
        <v>219</v>
      </c>
      <c r="C10099" s="155" t="s">
        <v>206</v>
      </c>
      <c r="D10099" s="156" t="s">
        <v>11545</v>
      </c>
      <c r="E10099" s="156" t="s">
        <v>11572</v>
      </c>
      <c r="F10099" s="156" t="s">
        <v>292</v>
      </c>
      <c r="G10099" s="156" t="s">
        <v>11573</v>
      </c>
      <c r="H10099" s="157" t="s">
        <v>213</v>
      </c>
    </row>
    <row r="10100" hidden="1">
      <c r="A10100" s="151" t="s">
        <v>218</v>
      </c>
      <c r="B10100" s="118" t="s">
        <v>219</v>
      </c>
      <c r="C10100" s="118" t="s">
        <v>206</v>
      </c>
      <c r="D10100" s="152" t="s">
        <v>11545</v>
      </c>
      <c r="E10100" s="152" t="s">
        <v>11574</v>
      </c>
      <c r="F10100" s="152" t="s">
        <v>675</v>
      </c>
      <c r="G10100" s="152" t="s">
        <v>9930</v>
      </c>
      <c r="H10100" s="153" t="s">
        <v>214</v>
      </c>
    </row>
    <row r="10101" hidden="1">
      <c r="A10101" s="154" t="s">
        <v>218</v>
      </c>
      <c r="B10101" s="155" t="s">
        <v>219</v>
      </c>
      <c r="C10101" s="155" t="s">
        <v>206</v>
      </c>
      <c r="D10101" s="156" t="s">
        <v>11545</v>
      </c>
      <c r="E10101" s="156" t="s">
        <v>11575</v>
      </c>
      <c r="F10101" s="156" t="s">
        <v>2228</v>
      </c>
      <c r="G10101" s="156" t="s">
        <v>10203</v>
      </c>
      <c r="H10101" s="157" t="s">
        <v>215</v>
      </c>
    </row>
    <row r="10102" hidden="1">
      <c r="A10102" s="151" t="s">
        <v>218</v>
      </c>
      <c r="B10102" s="118" t="s">
        <v>219</v>
      </c>
      <c r="C10102" s="118" t="s">
        <v>206</v>
      </c>
      <c r="D10102" s="152" t="s">
        <v>11545</v>
      </c>
      <c r="E10102" s="152" t="s">
        <v>11576</v>
      </c>
      <c r="F10102" s="152" t="s">
        <v>2226</v>
      </c>
      <c r="G10102" s="152" t="s">
        <v>11011</v>
      </c>
      <c r="H10102" s="153" t="s">
        <v>216</v>
      </c>
    </row>
    <row r="10103" hidden="1">
      <c r="A10103" s="154" t="s">
        <v>220</v>
      </c>
      <c r="B10103" s="155" t="s">
        <v>190</v>
      </c>
      <c r="C10103" s="155" t="s">
        <v>206</v>
      </c>
      <c r="D10103" s="156" t="s">
        <v>11545</v>
      </c>
      <c r="E10103" s="156" t="s">
        <v>11577</v>
      </c>
      <c r="F10103" s="156" t="s">
        <v>3243</v>
      </c>
      <c r="G10103" s="156" t="s">
        <v>11115</v>
      </c>
      <c r="H10103" s="157" t="s">
        <v>210</v>
      </c>
    </row>
    <row r="10104" hidden="1">
      <c r="A10104" s="151" t="s">
        <v>220</v>
      </c>
      <c r="B10104" s="118" t="s">
        <v>190</v>
      </c>
      <c r="C10104" s="118" t="s">
        <v>206</v>
      </c>
      <c r="D10104" s="152" t="s">
        <v>11545</v>
      </c>
      <c r="E10104" s="152" t="s">
        <v>11578</v>
      </c>
      <c r="F10104" s="152" t="s">
        <v>2339</v>
      </c>
      <c r="G10104" s="152" t="s">
        <v>9573</v>
      </c>
      <c r="H10104" s="153" t="s">
        <v>211</v>
      </c>
    </row>
    <row r="10105" hidden="1">
      <c r="A10105" s="154" t="s">
        <v>220</v>
      </c>
      <c r="B10105" s="155" t="s">
        <v>190</v>
      </c>
      <c r="C10105" s="155" t="s">
        <v>206</v>
      </c>
      <c r="D10105" s="156" t="s">
        <v>11545</v>
      </c>
      <c r="E10105" s="156" t="s">
        <v>11579</v>
      </c>
      <c r="F10105" s="156" t="s">
        <v>1769</v>
      </c>
      <c r="G10105" s="156" t="s">
        <v>11032</v>
      </c>
      <c r="H10105" s="157" t="s">
        <v>212</v>
      </c>
    </row>
    <row r="10106" hidden="1">
      <c r="A10106" s="151" t="s">
        <v>220</v>
      </c>
      <c r="B10106" s="118" t="s">
        <v>190</v>
      </c>
      <c r="C10106" s="118" t="s">
        <v>206</v>
      </c>
      <c r="D10106" s="152" t="s">
        <v>11545</v>
      </c>
      <c r="E10106" s="152" t="s">
        <v>11580</v>
      </c>
      <c r="F10106" s="152" t="s">
        <v>2339</v>
      </c>
      <c r="G10106" s="152" t="s">
        <v>10607</v>
      </c>
      <c r="H10106" s="153" t="s">
        <v>213</v>
      </c>
    </row>
    <row r="10107" hidden="1">
      <c r="A10107" s="154" t="s">
        <v>220</v>
      </c>
      <c r="B10107" s="155" t="s">
        <v>190</v>
      </c>
      <c r="C10107" s="155" t="s">
        <v>206</v>
      </c>
      <c r="D10107" s="156" t="s">
        <v>11545</v>
      </c>
      <c r="E10107" s="156" t="s">
        <v>11581</v>
      </c>
      <c r="F10107" s="156" t="s">
        <v>730</v>
      </c>
      <c r="G10107" s="156" t="s">
        <v>10417</v>
      </c>
      <c r="H10107" s="157" t="s">
        <v>214</v>
      </c>
    </row>
    <row r="10108" hidden="1">
      <c r="A10108" s="151" t="s">
        <v>220</v>
      </c>
      <c r="B10108" s="118" t="s">
        <v>190</v>
      </c>
      <c r="C10108" s="118" t="s">
        <v>206</v>
      </c>
      <c r="D10108" s="152" t="s">
        <v>11545</v>
      </c>
      <c r="E10108" s="152" t="s">
        <v>11582</v>
      </c>
      <c r="F10108" s="152" t="s">
        <v>2005</v>
      </c>
      <c r="G10108" s="152" t="s">
        <v>10773</v>
      </c>
      <c r="H10108" s="153" t="s">
        <v>215</v>
      </c>
    </row>
    <row r="10109" hidden="1">
      <c r="A10109" s="154" t="s">
        <v>220</v>
      </c>
      <c r="B10109" s="155" t="s">
        <v>190</v>
      </c>
      <c r="C10109" s="155" t="s">
        <v>206</v>
      </c>
      <c r="D10109" s="156" t="s">
        <v>11545</v>
      </c>
      <c r="E10109" s="156" t="s">
        <v>11583</v>
      </c>
      <c r="F10109" s="156" t="s">
        <v>1931</v>
      </c>
      <c r="G10109" s="156" t="s">
        <v>10997</v>
      </c>
      <c r="H10109" s="157" t="s">
        <v>216</v>
      </c>
    </row>
    <row r="10110" hidden="1">
      <c r="A10110" s="151" t="s">
        <v>221</v>
      </c>
      <c r="B10110" s="118" t="s">
        <v>189</v>
      </c>
      <c r="C10110" s="118" t="s">
        <v>206</v>
      </c>
      <c r="D10110" s="152" t="s">
        <v>11545</v>
      </c>
      <c r="E10110" s="152" t="s">
        <v>11584</v>
      </c>
      <c r="F10110" s="152" t="s">
        <v>7374</v>
      </c>
      <c r="G10110" s="152" t="s">
        <v>10015</v>
      </c>
      <c r="H10110" s="153" t="s">
        <v>210</v>
      </c>
    </row>
    <row r="10111" hidden="1">
      <c r="A10111" s="154" t="s">
        <v>221</v>
      </c>
      <c r="B10111" s="155" t="s">
        <v>189</v>
      </c>
      <c r="C10111" s="155" t="s">
        <v>206</v>
      </c>
      <c r="D10111" s="156" t="s">
        <v>11545</v>
      </c>
      <c r="E10111" s="156" t="s">
        <v>11585</v>
      </c>
      <c r="F10111" s="156" t="s">
        <v>3240</v>
      </c>
      <c r="G10111" s="156" t="s">
        <v>9667</v>
      </c>
      <c r="H10111" s="157" t="s">
        <v>211</v>
      </c>
    </row>
    <row r="10112" hidden="1">
      <c r="A10112" s="151" t="s">
        <v>221</v>
      </c>
      <c r="B10112" s="118" t="s">
        <v>189</v>
      </c>
      <c r="C10112" s="118" t="s">
        <v>206</v>
      </c>
      <c r="D10112" s="152" t="s">
        <v>11545</v>
      </c>
      <c r="E10112" s="152" t="s">
        <v>11586</v>
      </c>
      <c r="F10112" s="152" t="s">
        <v>3240</v>
      </c>
      <c r="G10112" s="152" t="s">
        <v>11568</v>
      </c>
      <c r="H10112" s="153" t="s">
        <v>212</v>
      </c>
    </row>
    <row r="10113" hidden="1">
      <c r="A10113" s="154" t="s">
        <v>221</v>
      </c>
      <c r="B10113" s="155" t="s">
        <v>189</v>
      </c>
      <c r="C10113" s="155" t="s">
        <v>206</v>
      </c>
      <c r="D10113" s="156" t="s">
        <v>11545</v>
      </c>
      <c r="E10113" s="156" t="s">
        <v>11587</v>
      </c>
      <c r="F10113" s="156" t="s">
        <v>718</v>
      </c>
      <c r="G10113" s="156" t="s">
        <v>11160</v>
      </c>
      <c r="H10113" s="157" t="s">
        <v>213</v>
      </c>
    </row>
    <row r="10114" hidden="1">
      <c r="A10114" s="151" t="s">
        <v>221</v>
      </c>
      <c r="B10114" s="118" t="s">
        <v>189</v>
      </c>
      <c r="C10114" s="118" t="s">
        <v>206</v>
      </c>
      <c r="D10114" s="152" t="s">
        <v>11545</v>
      </c>
      <c r="E10114" s="152" t="s">
        <v>11588</v>
      </c>
      <c r="F10114" s="152" t="s">
        <v>348</v>
      </c>
      <c r="G10114" s="152" t="s">
        <v>10604</v>
      </c>
      <c r="H10114" s="153" t="s">
        <v>214</v>
      </c>
    </row>
    <row r="10115" hidden="1">
      <c r="A10115" s="154" t="s">
        <v>221</v>
      </c>
      <c r="B10115" s="155" t="s">
        <v>189</v>
      </c>
      <c r="C10115" s="155" t="s">
        <v>206</v>
      </c>
      <c r="D10115" s="156" t="s">
        <v>11545</v>
      </c>
      <c r="E10115" s="156" t="s">
        <v>11589</v>
      </c>
      <c r="F10115" s="156" t="s">
        <v>691</v>
      </c>
      <c r="G10115" s="156" t="s">
        <v>11541</v>
      </c>
      <c r="H10115" s="157" t="s">
        <v>215</v>
      </c>
    </row>
    <row r="10116" hidden="1">
      <c r="A10116" s="151" t="s">
        <v>221</v>
      </c>
      <c r="B10116" s="118" t="s">
        <v>189</v>
      </c>
      <c r="C10116" s="118" t="s">
        <v>206</v>
      </c>
      <c r="D10116" s="152" t="s">
        <v>11545</v>
      </c>
      <c r="E10116" s="152" t="s">
        <v>11590</v>
      </c>
      <c r="F10116" s="152" t="s">
        <v>1931</v>
      </c>
      <c r="G10116" s="152" t="s">
        <v>10771</v>
      </c>
      <c r="H10116" s="153" t="s">
        <v>216</v>
      </c>
    </row>
    <row r="10117" hidden="1">
      <c r="A10117" s="154" t="s">
        <v>222</v>
      </c>
      <c r="B10117" s="155" t="s">
        <v>192</v>
      </c>
      <c r="C10117" s="155" t="s">
        <v>206</v>
      </c>
      <c r="D10117" s="156" t="s">
        <v>11545</v>
      </c>
      <c r="E10117" s="156" t="s">
        <v>11591</v>
      </c>
      <c r="F10117" s="156" t="s">
        <v>11592</v>
      </c>
      <c r="G10117" s="156" t="s">
        <v>10373</v>
      </c>
      <c r="H10117" s="157" t="s">
        <v>210</v>
      </c>
    </row>
    <row r="10118" hidden="1">
      <c r="A10118" s="151" t="s">
        <v>222</v>
      </c>
      <c r="B10118" s="118" t="s">
        <v>192</v>
      </c>
      <c r="C10118" s="118" t="s">
        <v>206</v>
      </c>
      <c r="D10118" s="152" t="s">
        <v>11545</v>
      </c>
      <c r="E10118" s="152" t="s">
        <v>11593</v>
      </c>
      <c r="F10118" s="152" t="s">
        <v>9464</v>
      </c>
      <c r="G10118" s="152" t="s">
        <v>11414</v>
      </c>
      <c r="H10118" s="153" t="s">
        <v>211</v>
      </c>
    </row>
    <row r="10119" hidden="1">
      <c r="A10119" s="154" t="s">
        <v>222</v>
      </c>
      <c r="B10119" s="155" t="s">
        <v>192</v>
      </c>
      <c r="C10119" s="155" t="s">
        <v>206</v>
      </c>
      <c r="D10119" s="156" t="s">
        <v>11545</v>
      </c>
      <c r="E10119" s="156" t="s">
        <v>11594</v>
      </c>
      <c r="F10119" s="156" t="s">
        <v>2075</v>
      </c>
      <c r="G10119" s="156" t="s">
        <v>10197</v>
      </c>
      <c r="H10119" s="157" t="s">
        <v>212</v>
      </c>
    </row>
    <row r="10120" hidden="1">
      <c r="A10120" s="151" t="s">
        <v>222</v>
      </c>
      <c r="B10120" s="118" t="s">
        <v>192</v>
      </c>
      <c r="C10120" s="118" t="s">
        <v>206</v>
      </c>
      <c r="D10120" s="152" t="s">
        <v>11545</v>
      </c>
      <c r="E10120" s="152" t="s">
        <v>11595</v>
      </c>
      <c r="F10120" s="152" t="s">
        <v>639</v>
      </c>
      <c r="G10120" s="152" t="s">
        <v>11596</v>
      </c>
      <c r="H10120" s="153" t="s">
        <v>213</v>
      </c>
    </row>
    <row r="10121" hidden="1">
      <c r="A10121" s="154" t="s">
        <v>222</v>
      </c>
      <c r="B10121" s="155" t="s">
        <v>192</v>
      </c>
      <c r="C10121" s="155" t="s">
        <v>206</v>
      </c>
      <c r="D10121" s="156" t="s">
        <v>11545</v>
      </c>
      <c r="E10121" s="156" t="s">
        <v>11597</v>
      </c>
      <c r="F10121" s="156" t="s">
        <v>9508</v>
      </c>
      <c r="G10121" s="156" t="s">
        <v>11598</v>
      </c>
      <c r="H10121" s="157" t="s">
        <v>214</v>
      </c>
    </row>
    <row r="10122" hidden="1">
      <c r="A10122" s="151" t="s">
        <v>222</v>
      </c>
      <c r="B10122" s="118" t="s">
        <v>192</v>
      </c>
      <c r="C10122" s="118" t="s">
        <v>206</v>
      </c>
      <c r="D10122" s="152" t="s">
        <v>11545</v>
      </c>
      <c r="E10122" s="152" t="s">
        <v>11599</v>
      </c>
      <c r="F10122" s="152" t="s">
        <v>6323</v>
      </c>
      <c r="G10122" s="152" t="s">
        <v>11509</v>
      </c>
      <c r="H10122" s="153" t="s">
        <v>215</v>
      </c>
    </row>
    <row r="10123" hidden="1">
      <c r="A10123" s="154" t="s">
        <v>222</v>
      </c>
      <c r="B10123" s="155" t="s">
        <v>192</v>
      </c>
      <c r="C10123" s="155" t="s">
        <v>206</v>
      </c>
      <c r="D10123" s="156" t="s">
        <v>11545</v>
      </c>
      <c r="E10123" s="156" t="s">
        <v>11600</v>
      </c>
      <c r="F10123" s="156" t="s">
        <v>2013</v>
      </c>
      <c r="G10123" s="156" t="s">
        <v>10855</v>
      </c>
      <c r="H10123" s="157" t="s">
        <v>216</v>
      </c>
    </row>
    <row r="10124" hidden="1">
      <c r="A10124" s="151" t="s">
        <v>223</v>
      </c>
      <c r="B10124" s="118" t="s">
        <v>144</v>
      </c>
      <c r="C10124" s="118" t="s">
        <v>206</v>
      </c>
      <c r="D10124" s="152" t="s">
        <v>11545</v>
      </c>
      <c r="E10124" s="152" t="s">
        <v>11601</v>
      </c>
      <c r="F10124" s="152" t="s">
        <v>1983</v>
      </c>
      <c r="G10124" s="152" t="s">
        <v>10710</v>
      </c>
      <c r="H10124" s="153" t="s">
        <v>210</v>
      </c>
    </row>
    <row r="10125" hidden="1">
      <c r="A10125" s="154" t="s">
        <v>223</v>
      </c>
      <c r="B10125" s="155" t="s">
        <v>144</v>
      </c>
      <c r="C10125" s="155" t="s">
        <v>206</v>
      </c>
      <c r="D10125" s="156" t="s">
        <v>11545</v>
      </c>
      <c r="E10125" s="156" t="s">
        <v>11602</v>
      </c>
      <c r="F10125" s="156" t="s">
        <v>6323</v>
      </c>
      <c r="G10125" s="156" t="s">
        <v>11603</v>
      </c>
      <c r="H10125" s="157" t="s">
        <v>211</v>
      </c>
    </row>
    <row r="10126" hidden="1">
      <c r="A10126" s="151" t="s">
        <v>223</v>
      </c>
      <c r="B10126" s="118" t="s">
        <v>144</v>
      </c>
      <c r="C10126" s="118" t="s">
        <v>206</v>
      </c>
      <c r="D10126" s="152" t="s">
        <v>11545</v>
      </c>
      <c r="E10126" s="152" t="s">
        <v>11604</v>
      </c>
      <c r="F10126" s="152" t="s">
        <v>2029</v>
      </c>
      <c r="G10126" s="152" t="s">
        <v>10534</v>
      </c>
      <c r="H10126" s="153" t="s">
        <v>212</v>
      </c>
    </row>
    <row r="10127" hidden="1">
      <c r="A10127" s="154" t="s">
        <v>223</v>
      </c>
      <c r="B10127" s="155" t="s">
        <v>144</v>
      </c>
      <c r="C10127" s="155" t="s">
        <v>206</v>
      </c>
      <c r="D10127" s="156" t="s">
        <v>11545</v>
      </c>
      <c r="E10127" s="156" t="s">
        <v>11605</v>
      </c>
      <c r="F10127" s="156" t="s">
        <v>4251</v>
      </c>
      <c r="G10127" s="156" t="s">
        <v>11606</v>
      </c>
      <c r="H10127" s="157" t="s">
        <v>213</v>
      </c>
    </row>
    <row r="10128" hidden="1">
      <c r="A10128" s="151" t="s">
        <v>223</v>
      </c>
      <c r="B10128" s="118" t="s">
        <v>144</v>
      </c>
      <c r="C10128" s="118" t="s">
        <v>206</v>
      </c>
      <c r="D10128" s="152" t="s">
        <v>11545</v>
      </c>
      <c r="E10128" s="152" t="s">
        <v>11607</v>
      </c>
      <c r="F10128" s="152" t="s">
        <v>1765</v>
      </c>
      <c r="G10128" s="152" t="s">
        <v>11608</v>
      </c>
      <c r="H10128" s="153" t="s">
        <v>214</v>
      </c>
    </row>
    <row r="10129" hidden="1">
      <c r="A10129" s="154" t="s">
        <v>223</v>
      </c>
      <c r="B10129" s="155" t="s">
        <v>144</v>
      </c>
      <c r="C10129" s="155" t="s">
        <v>206</v>
      </c>
      <c r="D10129" s="156" t="s">
        <v>11545</v>
      </c>
      <c r="E10129" s="156" t="s">
        <v>11609</v>
      </c>
      <c r="F10129" s="156" t="s">
        <v>1771</v>
      </c>
      <c r="G10129" s="156" t="s">
        <v>11610</v>
      </c>
      <c r="H10129" s="157" t="s">
        <v>215</v>
      </c>
    </row>
    <row r="10130" hidden="1">
      <c r="A10130" s="151" t="s">
        <v>223</v>
      </c>
      <c r="B10130" s="118" t="s">
        <v>144</v>
      </c>
      <c r="C10130" s="118" t="s">
        <v>206</v>
      </c>
      <c r="D10130" s="152" t="s">
        <v>11545</v>
      </c>
      <c r="E10130" s="152" t="s">
        <v>11611</v>
      </c>
      <c r="F10130" s="152" t="s">
        <v>2435</v>
      </c>
      <c r="G10130" s="152" t="s">
        <v>11612</v>
      </c>
      <c r="H10130" s="153" t="s">
        <v>216</v>
      </c>
    </row>
    <row r="10131" hidden="1">
      <c r="A10131" s="154" t="s">
        <v>224</v>
      </c>
      <c r="B10131" s="155" t="s">
        <v>170</v>
      </c>
      <c r="C10131" s="155" t="s">
        <v>206</v>
      </c>
      <c r="D10131" s="156" t="s">
        <v>11545</v>
      </c>
      <c r="E10131" s="156" t="s">
        <v>11613</v>
      </c>
      <c r="F10131" s="156" t="s">
        <v>3150</v>
      </c>
      <c r="G10131" s="156" t="s">
        <v>11392</v>
      </c>
      <c r="H10131" s="157" t="s">
        <v>210</v>
      </c>
    </row>
    <row r="10132" hidden="1">
      <c r="A10132" s="151" t="s">
        <v>224</v>
      </c>
      <c r="B10132" s="118" t="s">
        <v>170</v>
      </c>
      <c r="C10132" s="118" t="s">
        <v>206</v>
      </c>
      <c r="D10132" s="152" t="s">
        <v>11545</v>
      </c>
      <c r="E10132" s="152" t="s">
        <v>11614</v>
      </c>
      <c r="F10132" s="152" t="s">
        <v>2223</v>
      </c>
      <c r="G10132" s="152" t="s">
        <v>11294</v>
      </c>
      <c r="H10132" s="153" t="s">
        <v>211</v>
      </c>
    </row>
    <row r="10133" hidden="1">
      <c r="A10133" s="154" t="s">
        <v>224</v>
      </c>
      <c r="B10133" s="155" t="s">
        <v>170</v>
      </c>
      <c r="C10133" s="155" t="s">
        <v>206</v>
      </c>
      <c r="D10133" s="156" t="s">
        <v>11545</v>
      </c>
      <c r="E10133" s="156" t="s">
        <v>11615</v>
      </c>
      <c r="F10133" s="156" t="s">
        <v>229</v>
      </c>
      <c r="G10133" s="156" t="s">
        <v>10526</v>
      </c>
      <c r="H10133" s="157" t="s">
        <v>212</v>
      </c>
    </row>
    <row r="10134" hidden="1">
      <c r="A10134" s="151" t="s">
        <v>224</v>
      </c>
      <c r="B10134" s="118" t="s">
        <v>170</v>
      </c>
      <c r="C10134" s="118" t="s">
        <v>206</v>
      </c>
      <c r="D10134" s="152" t="s">
        <v>11545</v>
      </c>
      <c r="E10134" s="152" t="s">
        <v>11616</v>
      </c>
      <c r="F10134" s="152" t="s">
        <v>9480</v>
      </c>
      <c r="G10134" s="152" t="s">
        <v>11071</v>
      </c>
      <c r="H10134" s="153" t="s">
        <v>213</v>
      </c>
    </row>
    <row r="10135" hidden="1">
      <c r="A10135" s="154" t="s">
        <v>224</v>
      </c>
      <c r="B10135" s="155" t="s">
        <v>170</v>
      </c>
      <c r="C10135" s="155" t="s">
        <v>206</v>
      </c>
      <c r="D10135" s="156" t="s">
        <v>11545</v>
      </c>
      <c r="E10135" s="156" t="s">
        <v>11617</v>
      </c>
      <c r="F10135" s="156" t="s">
        <v>2223</v>
      </c>
      <c r="G10135" s="156" t="s">
        <v>9669</v>
      </c>
      <c r="H10135" s="157" t="s">
        <v>214</v>
      </c>
    </row>
    <row r="10136" hidden="1">
      <c r="A10136" s="151" t="s">
        <v>224</v>
      </c>
      <c r="B10136" s="118" t="s">
        <v>170</v>
      </c>
      <c r="C10136" s="118" t="s">
        <v>206</v>
      </c>
      <c r="D10136" s="152" t="s">
        <v>11545</v>
      </c>
      <c r="E10136" s="152" t="s">
        <v>11618</v>
      </c>
      <c r="F10136" s="152" t="s">
        <v>3153</v>
      </c>
      <c r="G10136" s="152" t="s">
        <v>9660</v>
      </c>
      <c r="H10136" s="153" t="s">
        <v>215</v>
      </c>
    </row>
    <row r="10137" hidden="1">
      <c r="A10137" s="154" t="s">
        <v>224</v>
      </c>
      <c r="B10137" s="155" t="s">
        <v>170</v>
      </c>
      <c r="C10137" s="155" t="s">
        <v>206</v>
      </c>
      <c r="D10137" s="156" t="s">
        <v>11545</v>
      </c>
      <c r="E10137" s="156" t="s">
        <v>11619</v>
      </c>
      <c r="F10137" s="156" t="s">
        <v>2407</v>
      </c>
      <c r="G10137" s="156" t="s">
        <v>10631</v>
      </c>
      <c r="H10137" s="157" t="s">
        <v>216</v>
      </c>
    </row>
    <row r="10138" hidden="1">
      <c r="A10138" s="151" t="s">
        <v>225</v>
      </c>
      <c r="B10138" s="118" t="s">
        <v>226</v>
      </c>
      <c r="C10138" s="118" t="s">
        <v>206</v>
      </c>
      <c r="D10138" s="152" t="s">
        <v>11545</v>
      </c>
      <c r="E10138" s="152" t="s">
        <v>11620</v>
      </c>
      <c r="F10138" s="152" t="s">
        <v>423</v>
      </c>
      <c r="G10138" s="152" t="s">
        <v>10614</v>
      </c>
      <c r="H10138" s="153" t="s">
        <v>210</v>
      </c>
    </row>
    <row r="10139" hidden="1">
      <c r="A10139" s="154" t="s">
        <v>225</v>
      </c>
      <c r="B10139" s="155" t="s">
        <v>226</v>
      </c>
      <c r="C10139" s="155" t="s">
        <v>206</v>
      </c>
      <c r="D10139" s="156" t="s">
        <v>11545</v>
      </c>
      <c r="E10139" s="156" t="s">
        <v>11621</v>
      </c>
      <c r="F10139" s="156" t="s">
        <v>450</v>
      </c>
      <c r="G10139" s="156" t="s">
        <v>10785</v>
      </c>
      <c r="H10139" s="157" t="s">
        <v>211</v>
      </c>
    </row>
    <row r="10140" hidden="1">
      <c r="A10140" s="151" t="s">
        <v>225</v>
      </c>
      <c r="B10140" s="118" t="s">
        <v>226</v>
      </c>
      <c r="C10140" s="118" t="s">
        <v>206</v>
      </c>
      <c r="D10140" s="152" t="s">
        <v>11545</v>
      </c>
      <c r="E10140" s="152" t="s">
        <v>11622</v>
      </c>
      <c r="F10140" s="152" t="s">
        <v>2994</v>
      </c>
      <c r="G10140" s="152" t="s">
        <v>11240</v>
      </c>
      <c r="H10140" s="153" t="s">
        <v>212</v>
      </c>
    </row>
    <row r="10141" hidden="1">
      <c r="A10141" s="154" t="s">
        <v>225</v>
      </c>
      <c r="B10141" s="155" t="s">
        <v>226</v>
      </c>
      <c r="C10141" s="155" t="s">
        <v>206</v>
      </c>
      <c r="D10141" s="156" t="s">
        <v>11545</v>
      </c>
      <c r="E10141" s="156" t="s">
        <v>11623</v>
      </c>
      <c r="F10141" s="156" t="s">
        <v>494</v>
      </c>
      <c r="G10141" s="156" t="s">
        <v>11386</v>
      </c>
      <c r="H10141" s="157" t="s">
        <v>213</v>
      </c>
    </row>
    <row r="10142" hidden="1">
      <c r="A10142" s="151" t="s">
        <v>225</v>
      </c>
      <c r="B10142" s="118" t="s">
        <v>226</v>
      </c>
      <c r="C10142" s="118" t="s">
        <v>206</v>
      </c>
      <c r="D10142" s="152" t="s">
        <v>11545</v>
      </c>
      <c r="E10142" s="152" t="s">
        <v>11624</v>
      </c>
      <c r="F10142" s="152" t="s">
        <v>336</v>
      </c>
      <c r="G10142" s="152" t="s">
        <v>9671</v>
      </c>
      <c r="H10142" s="153" t="s">
        <v>214</v>
      </c>
    </row>
    <row r="10143" hidden="1">
      <c r="A10143" s="154" t="s">
        <v>225</v>
      </c>
      <c r="B10143" s="155" t="s">
        <v>226</v>
      </c>
      <c r="C10143" s="155" t="s">
        <v>206</v>
      </c>
      <c r="D10143" s="156" t="s">
        <v>11545</v>
      </c>
      <c r="E10143" s="156" t="s">
        <v>11625</v>
      </c>
      <c r="F10143" s="156" t="s">
        <v>478</v>
      </c>
      <c r="G10143" s="156" t="s">
        <v>9581</v>
      </c>
      <c r="H10143" s="157" t="s">
        <v>215</v>
      </c>
    </row>
    <row r="10144" hidden="1">
      <c r="A10144" s="151" t="s">
        <v>225</v>
      </c>
      <c r="B10144" s="118" t="s">
        <v>226</v>
      </c>
      <c r="C10144" s="118" t="s">
        <v>206</v>
      </c>
      <c r="D10144" s="152" t="s">
        <v>11545</v>
      </c>
      <c r="E10144" s="152" t="s">
        <v>11626</v>
      </c>
      <c r="F10144" s="152" t="s">
        <v>725</v>
      </c>
      <c r="G10144" s="152" t="s">
        <v>11627</v>
      </c>
      <c r="H10144" s="153" t="s">
        <v>216</v>
      </c>
    </row>
    <row r="10145" hidden="1">
      <c r="A10145" s="154" t="s">
        <v>227</v>
      </c>
      <c r="B10145" s="155" t="s">
        <v>195</v>
      </c>
      <c r="C10145" s="155" t="s">
        <v>206</v>
      </c>
      <c r="D10145" s="156" t="s">
        <v>11545</v>
      </c>
      <c r="E10145" s="156" t="s">
        <v>11628</v>
      </c>
      <c r="F10145" s="156" t="s">
        <v>1989</v>
      </c>
      <c r="G10145" s="156" t="s">
        <v>11629</v>
      </c>
      <c r="H10145" s="157" t="s">
        <v>210</v>
      </c>
    </row>
    <row r="10146" hidden="1">
      <c r="A10146" s="151" t="s">
        <v>227</v>
      </c>
      <c r="B10146" s="118" t="s">
        <v>195</v>
      </c>
      <c r="C10146" s="118" t="s">
        <v>206</v>
      </c>
      <c r="D10146" s="152" t="s">
        <v>11545</v>
      </c>
      <c r="E10146" s="152" t="s">
        <v>11630</v>
      </c>
      <c r="F10146" s="152" t="s">
        <v>2218</v>
      </c>
      <c r="G10146" s="152" t="s">
        <v>11493</v>
      </c>
      <c r="H10146" s="153" t="s">
        <v>211</v>
      </c>
    </row>
    <row r="10147" hidden="1">
      <c r="A10147" s="154" t="s">
        <v>227</v>
      </c>
      <c r="B10147" s="155" t="s">
        <v>195</v>
      </c>
      <c r="C10147" s="155" t="s">
        <v>206</v>
      </c>
      <c r="D10147" s="156" t="s">
        <v>11545</v>
      </c>
      <c r="E10147" s="156" t="s">
        <v>11631</v>
      </c>
      <c r="F10147" s="156" t="s">
        <v>633</v>
      </c>
      <c r="G10147" s="156" t="s">
        <v>11629</v>
      </c>
      <c r="H10147" s="157" t="s">
        <v>212</v>
      </c>
    </row>
    <row r="10148" hidden="1">
      <c r="A10148" s="151" t="s">
        <v>227</v>
      </c>
      <c r="B10148" s="118" t="s">
        <v>195</v>
      </c>
      <c r="C10148" s="118" t="s">
        <v>206</v>
      </c>
      <c r="D10148" s="152" t="s">
        <v>11545</v>
      </c>
      <c r="E10148" s="152" t="s">
        <v>11632</v>
      </c>
      <c r="F10148" s="152" t="s">
        <v>2218</v>
      </c>
      <c r="G10148" s="152" t="s">
        <v>10684</v>
      </c>
      <c r="H10148" s="153" t="s">
        <v>213</v>
      </c>
    </row>
    <row r="10149" hidden="1">
      <c r="A10149" s="154" t="s">
        <v>227</v>
      </c>
      <c r="B10149" s="155" t="s">
        <v>195</v>
      </c>
      <c r="C10149" s="155" t="s">
        <v>206</v>
      </c>
      <c r="D10149" s="156" t="s">
        <v>11545</v>
      </c>
      <c r="E10149" s="156" t="s">
        <v>11633</v>
      </c>
      <c r="F10149" s="156" t="s">
        <v>11634</v>
      </c>
      <c r="G10149" s="156" t="s">
        <v>11635</v>
      </c>
      <c r="H10149" s="157" t="s">
        <v>214</v>
      </c>
    </row>
    <row r="10150" hidden="1">
      <c r="A10150" s="151" t="s">
        <v>227</v>
      </c>
      <c r="B10150" s="118" t="s">
        <v>195</v>
      </c>
      <c r="C10150" s="118" t="s">
        <v>206</v>
      </c>
      <c r="D10150" s="152" t="s">
        <v>11545</v>
      </c>
      <c r="E10150" s="152" t="s">
        <v>11636</v>
      </c>
      <c r="F10150" s="152" t="s">
        <v>1745</v>
      </c>
      <c r="G10150" s="152" t="s">
        <v>11637</v>
      </c>
      <c r="H10150" s="153" t="s">
        <v>215</v>
      </c>
    </row>
    <row r="10151" hidden="1">
      <c r="A10151" s="154" t="s">
        <v>227</v>
      </c>
      <c r="B10151" s="155" t="s">
        <v>195</v>
      </c>
      <c r="C10151" s="155" t="s">
        <v>206</v>
      </c>
      <c r="D10151" s="156" t="s">
        <v>11545</v>
      </c>
      <c r="E10151" s="156" t="s">
        <v>11638</v>
      </c>
      <c r="F10151" s="156" t="s">
        <v>9662</v>
      </c>
      <c r="G10151" s="156" t="s">
        <v>10100</v>
      </c>
      <c r="H10151" s="157" t="s">
        <v>216</v>
      </c>
    </row>
    <row r="10152" hidden="1">
      <c r="A10152" s="151" t="s">
        <v>228</v>
      </c>
      <c r="B10152" s="118" t="s">
        <v>138</v>
      </c>
      <c r="C10152" s="118" t="s">
        <v>206</v>
      </c>
      <c r="D10152" s="152" t="s">
        <v>11545</v>
      </c>
      <c r="E10152" s="152" t="s">
        <v>11639</v>
      </c>
      <c r="F10152" s="152" t="s">
        <v>732</v>
      </c>
      <c r="G10152" s="152" t="s">
        <v>11111</v>
      </c>
      <c r="H10152" s="153" t="s">
        <v>210</v>
      </c>
    </row>
    <row r="10153" hidden="1">
      <c r="A10153" s="154" t="s">
        <v>228</v>
      </c>
      <c r="B10153" s="155" t="s">
        <v>138</v>
      </c>
      <c r="C10153" s="155" t="s">
        <v>206</v>
      </c>
      <c r="D10153" s="156" t="s">
        <v>11545</v>
      </c>
      <c r="E10153" s="156" t="s">
        <v>11640</v>
      </c>
      <c r="F10153" s="156" t="s">
        <v>348</v>
      </c>
      <c r="G10153" s="156" t="s">
        <v>11093</v>
      </c>
      <c r="H10153" s="157" t="s">
        <v>211</v>
      </c>
    </row>
    <row r="10154" hidden="1">
      <c r="A10154" s="151" t="s">
        <v>228</v>
      </c>
      <c r="B10154" s="118" t="s">
        <v>138</v>
      </c>
      <c r="C10154" s="118" t="s">
        <v>206</v>
      </c>
      <c r="D10154" s="152" t="s">
        <v>11545</v>
      </c>
      <c r="E10154" s="152" t="s">
        <v>11641</v>
      </c>
      <c r="F10154" s="152" t="s">
        <v>453</v>
      </c>
      <c r="G10154" s="152" t="s">
        <v>10415</v>
      </c>
      <c r="H10154" s="153" t="s">
        <v>212</v>
      </c>
    </row>
    <row r="10155" hidden="1">
      <c r="A10155" s="154" t="s">
        <v>228</v>
      </c>
      <c r="B10155" s="155" t="s">
        <v>138</v>
      </c>
      <c r="C10155" s="155" t="s">
        <v>206</v>
      </c>
      <c r="D10155" s="156" t="s">
        <v>11545</v>
      </c>
      <c r="E10155" s="156" t="s">
        <v>11642</v>
      </c>
      <c r="F10155" s="156" t="s">
        <v>2218</v>
      </c>
      <c r="G10155" s="156" t="s">
        <v>9740</v>
      </c>
      <c r="H10155" s="157" t="s">
        <v>213</v>
      </c>
    </row>
    <row r="10156" hidden="1">
      <c r="A10156" s="151" t="s">
        <v>228</v>
      </c>
      <c r="B10156" s="118" t="s">
        <v>138</v>
      </c>
      <c r="C10156" s="118" t="s">
        <v>206</v>
      </c>
      <c r="D10156" s="152" t="s">
        <v>11545</v>
      </c>
      <c r="E10156" s="152" t="s">
        <v>11643</v>
      </c>
      <c r="F10156" s="152" t="s">
        <v>730</v>
      </c>
      <c r="G10156" s="152" t="s">
        <v>10805</v>
      </c>
      <c r="H10156" s="153" t="s">
        <v>214</v>
      </c>
    </row>
    <row r="10157" hidden="1">
      <c r="A10157" s="154" t="s">
        <v>228</v>
      </c>
      <c r="B10157" s="155" t="s">
        <v>138</v>
      </c>
      <c r="C10157" s="155" t="s">
        <v>206</v>
      </c>
      <c r="D10157" s="156" t="s">
        <v>11545</v>
      </c>
      <c r="E10157" s="156" t="s">
        <v>11644</v>
      </c>
      <c r="F10157" s="156" t="s">
        <v>641</v>
      </c>
      <c r="G10157" s="156" t="s">
        <v>9581</v>
      </c>
      <c r="H10157" s="157" t="s">
        <v>215</v>
      </c>
    </row>
    <row r="10158" hidden="1">
      <c r="A10158" s="151" t="s">
        <v>228</v>
      </c>
      <c r="B10158" s="118" t="s">
        <v>138</v>
      </c>
      <c r="C10158" s="118" t="s">
        <v>206</v>
      </c>
      <c r="D10158" s="152" t="s">
        <v>11545</v>
      </c>
      <c r="E10158" s="152" t="s">
        <v>11645</v>
      </c>
      <c r="F10158" s="152" t="s">
        <v>675</v>
      </c>
      <c r="G10158" s="152" t="s">
        <v>11127</v>
      </c>
      <c r="H10158" s="153" t="s">
        <v>216</v>
      </c>
    </row>
    <row r="10159" hidden="1">
      <c r="A10159" s="154" t="s">
        <v>229</v>
      </c>
      <c r="B10159" s="155" t="s">
        <v>193</v>
      </c>
      <c r="C10159" s="155" t="s">
        <v>206</v>
      </c>
      <c r="D10159" s="156" t="s">
        <v>11545</v>
      </c>
      <c r="E10159" s="156" t="s">
        <v>11646</v>
      </c>
      <c r="F10159" s="156" t="s">
        <v>589</v>
      </c>
      <c r="G10159" s="156" t="s">
        <v>11647</v>
      </c>
      <c r="H10159" s="157" t="s">
        <v>210</v>
      </c>
    </row>
    <row r="10160" hidden="1">
      <c r="A10160" s="151" t="s">
        <v>229</v>
      </c>
      <c r="B10160" s="118" t="s">
        <v>193</v>
      </c>
      <c r="C10160" s="118" t="s">
        <v>206</v>
      </c>
      <c r="D10160" s="152" t="s">
        <v>11545</v>
      </c>
      <c r="E10160" s="152" t="s">
        <v>11648</v>
      </c>
      <c r="F10160" s="152" t="s">
        <v>2512</v>
      </c>
      <c r="G10160" s="152" t="s">
        <v>11649</v>
      </c>
      <c r="H10160" s="153" t="s">
        <v>211</v>
      </c>
    </row>
    <row r="10161" hidden="1">
      <c r="A10161" s="154" t="s">
        <v>229</v>
      </c>
      <c r="B10161" s="155" t="s">
        <v>193</v>
      </c>
      <c r="C10161" s="155" t="s">
        <v>206</v>
      </c>
      <c r="D10161" s="156" t="s">
        <v>11545</v>
      </c>
      <c r="E10161" s="156" t="s">
        <v>11650</v>
      </c>
      <c r="F10161" s="156" t="s">
        <v>3153</v>
      </c>
      <c r="G10161" s="156" t="s">
        <v>11651</v>
      </c>
      <c r="H10161" s="157" t="s">
        <v>212</v>
      </c>
    </row>
    <row r="10162" hidden="1">
      <c r="A10162" s="151" t="s">
        <v>229</v>
      </c>
      <c r="B10162" s="118" t="s">
        <v>193</v>
      </c>
      <c r="C10162" s="118" t="s">
        <v>206</v>
      </c>
      <c r="D10162" s="152" t="s">
        <v>11545</v>
      </c>
      <c r="E10162" s="152" t="s">
        <v>11652</v>
      </c>
      <c r="F10162" s="152" t="s">
        <v>1799</v>
      </c>
      <c r="G10162" s="152" t="s">
        <v>11653</v>
      </c>
      <c r="H10162" s="153" t="s">
        <v>213</v>
      </c>
    </row>
    <row r="10163" hidden="1">
      <c r="A10163" s="154" t="s">
        <v>229</v>
      </c>
      <c r="B10163" s="155" t="s">
        <v>193</v>
      </c>
      <c r="C10163" s="155" t="s">
        <v>206</v>
      </c>
      <c r="D10163" s="156" t="s">
        <v>11545</v>
      </c>
      <c r="E10163" s="156" t="s">
        <v>11654</v>
      </c>
      <c r="F10163" s="156" t="s">
        <v>2404</v>
      </c>
      <c r="G10163" s="156" t="s">
        <v>11655</v>
      </c>
      <c r="H10163" s="157" t="s">
        <v>214</v>
      </c>
    </row>
    <row r="10164" hidden="1">
      <c r="A10164" s="151" t="s">
        <v>229</v>
      </c>
      <c r="B10164" s="118" t="s">
        <v>193</v>
      </c>
      <c r="C10164" s="118" t="s">
        <v>206</v>
      </c>
      <c r="D10164" s="152" t="s">
        <v>11545</v>
      </c>
      <c r="E10164" s="152" t="s">
        <v>11656</v>
      </c>
      <c r="F10164" s="152" t="s">
        <v>9508</v>
      </c>
      <c r="G10164" s="152" t="s">
        <v>11657</v>
      </c>
      <c r="H10164" s="153" t="s">
        <v>215</v>
      </c>
    </row>
    <row r="10165" hidden="1">
      <c r="A10165" s="154" t="s">
        <v>229</v>
      </c>
      <c r="B10165" s="155" t="s">
        <v>193</v>
      </c>
      <c r="C10165" s="155" t="s">
        <v>206</v>
      </c>
      <c r="D10165" s="156" t="s">
        <v>11545</v>
      </c>
      <c r="E10165" s="156" t="s">
        <v>11658</v>
      </c>
      <c r="F10165" s="156" t="s">
        <v>3153</v>
      </c>
      <c r="G10165" s="156" t="s">
        <v>11659</v>
      </c>
      <c r="H10165" s="157" t="s">
        <v>216</v>
      </c>
    </row>
    <row r="10166" hidden="1">
      <c r="A10166" s="151" t="s">
        <v>230</v>
      </c>
      <c r="B10166" s="118" t="s">
        <v>194</v>
      </c>
      <c r="C10166" s="118" t="s">
        <v>206</v>
      </c>
      <c r="D10166" s="152" t="s">
        <v>11545</v>
      </c>
      <c r="E10166" s="152" t="s">
        <v>11660</v>
      </c>
      <c r="F10166" s="152" t="s">
        <v>780</v>
      </c>
      <c r="G10166" s="152" t="s">
        <v>10610</v>
      </c>
      <c r="H10166" s="153" t="s">
        <v>210</v>
      </c>
    </row>
    <row r="10167" hidden="1">
      <c r="A10167" s="154" t="s">
        <v>230</v>
      </c>
      <c r="B10167" s="155" t="s">
        <v>194</v>
      </c>
      <c r="C10167" s="155" t="s">
        <v>206</v>
      </c>
      <c r="D10167" s="156" t="s">
        <v>11545</v>
      </c>
      <c r="E10167" s="156" t="s">
        <v>11661</v>
      </c>
      <c r="F10167" s="156" t="s">
        <v>1931</v>
      </c>
      <c r="G10167" s="156" t="s">
        <v>11024</v>
      </c>
      <c r="H10167" s="157" t="s">
        <v>211</v>
      </c>
    </row>
    <row r="10168" hidden="1">
      <c r="A10168" s="151" t="s">
        <v>230</v>
      </c>
      <c r="B10168" s="118" t="s">
        <v>194</v>
      </c>
      <c r="C10168" s="118" t="s">
        <v>206</v>
      </c>
      <c r="D10168" s="152" t="s">
        <v>11545</v>
      </c>
      <c r="E10168" s="152" t="s">
        <v>11662</v>
      </c>
      <c r="F10168" s="152" t="s">
        <v>589</v>
      </c>
      <c r="G10168" s="152" t="s">
        <v>11556</v>
      </c>
      <c r="H10168" s="153" t="s">
        <v>212</v>
      </c>
    </row>
    <row r="10169" hidden="1">
      <c r="A10169" s="154" t="s">
        <v>230</v>
      </c>
      <c r="B10169" s="155" t="s">
        <v>194</v>
      </c>
      <c r="C10169" s="155" t="s">
        <v>206</v>
      </c>
      <c r="D10169" s="156" t="s">
        <v>11545</v>
      </c>
      <c r="E10169" s="156" t="s">
        <v>11663</v>
      </c>
      <c r="F10169" s="156" t="s">
        <v>3150</v>
      </c>
      <c r="G10169" s="156" t="s">
        <v>10931</v>
      </c>
      <c r="H10169" s="157" t="s">
        <v>213</v>
      </c>
    </row>
    <row r="10170" hidden="1">
      <c r="A10170" s="151" t="s">
        <v>230</v>
      </c>
      <c r="B10170" s="118" t="s">
        <v>194</v>
      </c>
      <c r="C10170" s="118" t="s">
        <v>206</v>
      </c>
      <c r="D10170" s="152" t="s">
        <v>11545</v>
      </c>
      <c r="E10170" s="152" t="s">
        <v>11664</v>
      </c>
      <c r="F10170" s="152" t="s">
        <v>3625</v>
      </c>
      <c r="G10170" s="152" t="s">
        <v>9928</v>
      </c>
      <c r="H10170" s="153" t="s">
        <v>214</v>
      </c>
    </row>
    <row r="10171" hidden="1">
      <c r="A10171" s="154" t="s">
        <v>230</v>
      </c>
      <c r="B10171" s="155" t="s">
        <v>194</v>
      </c>
      <c r="C10171" s="155" t="s">
        <v>206</v>
      </c>
      <c r="D10171" s="156" t="s">
        <v>11545</v>
      </c>
      <c r="E10171" s="156" t="s">
        <v>11665</v>
      </c>
      <c r="F10171" s="156" t="s">
        <v>780</v>
      </c>
      <c r="G10171" s="156" t="s">
        <v>10702</v>
      </c>
      <c r="H10171" s="157" t="s">
        <v>215</v>
      </c>
    </row>
    <row r="10172" hidden="1">
      <c r="A10172" s="151" t="s">
        <v>230</v>
      </c>
      <c r="B10172" s="118" t="s">
        <v>194</v>
      </c>
      <c r="C10172" s="118" t="s">
        <v>206</v>
      </c>
      <c r="D10172" s="152" t="s">
        <v>11545</v>
      </c>
      <c r="E10172" s="152" t="s">
        <v>11666</v>
      </c>
      <c r="F10172" s="152" t="s">
        <v>3625</v>
      </c>
      <c r="G10172" s="152" t="s">
        <v>10702</v>
      </c>
      <c r="H10172" s="153" t="s">
        <v>216</v>
      </c>
    </row>
    <row r="10173" hidden="1">
      <c r="A10173" s="158" t="s">
        <v>231</v>
      </c>
      <c r="B10173" s="159"/>
      <c r="C10173" s="155" t="s">
        <v>232</v>
      </c>
      <c r="D10173" s="156" t="s">
        <v>11545</v>
      </c>
      <c r="E10173" s="156" t="s">
        <v>11667</v>
      </c>
      <c r="F10173" s="156" t="s">
        <v>292</v>
      </c>
      <c r="G10173" s="156" t="s">
        <v>11668</v>
      </c>
      <c r="H10173" s="157" t="s">
        <v>210</v>
      </c>
    </row>
    <row r="10174" hidden="1">
      <c r="A10174" s="160" t="s">
        <v>231</v>
      </c>
      <c r="B10174" s="72"/>
      <c r="C10174" s="118" t="s">
        <v>232</v>
      </c>
      <c r="D10174" s="152" t="s">
        <v>11545</v>
      </c>
      <c r="E10174" s="152" t="s">
        <v>11669</v>
      </c>
      <c r="F10174" s="152" t="s">
        <v>3293</v>
      </c>
      <c r="G10174" s="152" t="s">
        <v>10542</v>
      </c>
      <c r="H10174" s="153" t="s">
        <v>211</v>
      </c>
    </row>
    <row r="10175" hidden="1">
      <c r="A10175" s="158" t="s">
        <v>231</v>
      </c>
      <c r="B10175" s="159"/>
      <c r="C10175" s="155" t="s">
        <v>232</v>
      </c>
      <c r="D10175" s="156" t="s">
        <v>11545</v>
      </c>
      <c r="E10175" s="156" t="s">
        <v>11670</v>
      </c>
      <c r="F10175" s="156" t="s">
        <v>2657</v>
      </c>
      <c r="G10175" s="156" t="s">
        <v>11017</v>
      </c>
      <c r="H10175" s="157" t="s">
        <v>212</v>
      </c>
    </row>
    <row r="10176" hidden="1">
      <c r="A10176" s="160" t="s">
        <v>231</v>
      </c>
      <c r="B10176" s="72"/>
      <c r="C10176" s="118" t="s">
        <v>232</v>
      </c>
      <c r="D10176" s="152" t="s">
        <v>11545</v>
      </c>
      <c r="E10176" s="152" t="s">
        <v>11671</v>
      </c>
      <c r="F10176" s="152" t="s">
        <v>10944</v>
      </c>
      <c r="G10176" s="152" t="s">
        <v>11275</v>
      </c>
      <c r="H10176" s="153" t="s">
        <v>213</v>
      </c>
    </row>
    <row r="10177" hidden="1">
      <c r="A10177" s="158" t="s">
        <v>231</v>
      </c>
      <c r="B10177" s="159"/>
      <c r="C10177" s="155" t="s">
        <v>232</v>
      </c>
      <c r="D10177" s="156" t="s">
        <v>11545</v>
      </c>
      <c r="E10177" s="156" t="s">
        <v>11672</v>
      </c>
      <c r="F10177" s="156" t="s">
        <v>1920</v>
      </c>
      <c r="G10177" s="156" t="s">
        <v>9918</v>
      </c>
      <c r="H10177" s="157" t="s">
        <v>214</v>
      </c>
    </row>
    <row r="10178" hidden="1">
      <c r="A10178" s="160" t="s">
        <v>231</v>
      </c>
      <c r="B10178" s="72"/>
      <c r="C10178" s="118" t="s">
        <v>232</v>
      </c>
      <c r="D10178" s="152" t="s">
        <v>11545</v>
      </c>
      <c r="E10178" s="152" t="s">
        <v>11673</v>
      </c>
      <c r="F10178" s="152" t="s">
        <v>292</v>
      </c>
      <c r="G10178" s="152" t="s">
        <v>11573</v>
      </c>
      <c r="H10178" s="153" t="s">
        <v>215</v>
      </c>
    </row>
    <row r="10179" hidden="1">
      <c r="A10179" s="158" t="s">
        <v>231</v>
      </c>
      <c r="B10179" s="159"/>
      <c r="C10179" s="155" t="s">
        <v>232</v>
      </c>
      <c r="D10179" s="156" t="s">
        <v>11545</v>
      </c>
      <c r="E10179" s="156" t="s">
        <v>11674</v>
      </c>
      <c r="F10179" s="156" t="s">
        <v>2654</v>
      </c>
      <c r="G10179" s="156" t="s">
        <v>11675</v>
      </c>
      <c r="H10179" s="157" t="s">
        <v>216</v>
      </c>
    </row>
    <row r="10180" hidden="1">
      <c r="A10180" s="160" t="s">
        <v>233</v>
      </c>
      <c r="B10180" s="72"/>
      <c r="C10180" s="118" t="s">
        <v>232</v>
      </c>
      <c r="D10180" s="152" t="s">
        <v>11545</v>
      </c>
      <c r="E10180" s="152" t="s">
        <v>11676</v>
      </c>
      <c r="F10180" s="152" t="s">
        <v>2587</v>
      </c>
      <c r="G10180" s="152" t="s">
        <v>11111</v>
      </c>
      <c r="H10180" s="153" t="s">
        <v>210</v>
      </c>
    </row>
    <row r="10181" hidden="1">
      <c r="A10181" s="158" t="s">
        <v>233</v>
      </c>
      <c r="B10181" s="159"/>
      <c r="C10181" s="155" t="s">
        <v>232</v>
      </c>
      <c r="D10181" s="156" t="s">
        <v>11545</v>
      </c>
      <c r="E10181" s="156" t="s">
        <v>11677</v>
      </c>
      <c r="F10181" s="156" t="s">
        <v>1784</v>
      </c>
      <c r="G10181" s="156" t="s">
        <v>11113</v>
      </c>
      <c r="H10181" s="157" t="s">
        <v>211</v>
      </c>
    </row>
    <row r="10182" hidden="1">
      <c r="A10182" s="160" t="s">
        <v>233</v>
      </c>
      <c r="B10182" s="72"/>
      <c r="C10182" s="118" t="s">
        <v>232</v>
      </c>
      <c r="D10182" s="152" t="s">
        <v>11545</v>
      </c>
      <c r="E10182" s="152" t="s">
        <v>11678</v>
      </c>
      <c r="F10182" s="152" t="s">
        <v>6580</v>
      </c>
      <c r="G10182" s="152" t="s">
        <v>11679</v>
      </c>
      <c r="H10182" s="153" t="s">
        <v>212</v>
      </c>
    </row>
    <row r="10183" hidden="1">
      <c r="A10183" s="158" t="s">
        <v>233</v>
      </c>
      <c r="B10183" s="159"/>
      <c r="C10183" s="155" t="s">
        <v>232</v>
      </c>
      <c r="D10183" s="156" t="s">
        <v>11545</v>
      </c>
      <c r="E10183" s="156" t="s">
        <v>11680</v>
      </c>
      <c r="F10183" s="156" t="s">
        <v>2435</v>
      </c>
      <c r="G10183" s="156" t="s">
        <v>10015</v>
      </c>
      <c r="H10183" s="157" t="s">
        <v>213</v>
      </c>
    </row>
    <row r="10184" hidden="1">
      <c r="A10184" s="160" t="s">
        <v>233</v>
      </c>
      <c r="B10184" s="72"/>
      <c r="C10184" s="118" t="s">
        <v>232</v>
      </c>
      <c r="D10184" s="152" t="s">
        <v>11545</v>
      </c>
      <c r="E10184" s="152" t="s">
        <v>11681</v>
      </c>
      <c r="F10184" s="152" t="s">
        <v>1986</v>
      </c>
      <c r="G10184" s="152" t="s">
        <v>10277</v>
      </c>
      <c r="H10184" s="153" t="s">
        <v>214</v>
      </c>
    </row>
    <row r="10185" hidden="1">
      <c r="A10185" s="158" t="s">
        <v>233</v>
      </c>
      <c r="B10185" s="159"/>
      <c r="C10185" s="155" t="s">
        <v>232</v>
      </c>
      <c r="D10185" s="156" t="s">
        <v>11545</v>
      </c>
      <c r="E10185" s="156" t="s">
        <v>11682</v>
      </c>
      <c r="F10185" s="156" t="s">
        <v>1784</v>
      </c>
      <c r="G10185" s="156" t="s">
        <v>11414</v>
      </c>
      <c r="H10185" s="157" t="s">
        <v>215</v>
      </c>
    </row>
    <row r="10186" hidden="1">
      <c r="A10186" s="160" t="s">
        <v>233</v>
      </c>
      <c r="B10186" s="72"/>
      <c r="C10186" s="118" t="s">
        <v>232</v>
      </c>
      <c r="D10186" s="152" t="s">
        <v>11545</v>
      </c>
      <c r="E10186" s="152" t="s">
        <v>11683</v>
      </c>
      <c r="F10186" s="152" t="s">
        <v>2416</v>
      </c>
      <c r="G10186" s="152" t="s">
        <v>11113</v>
      </c>
      <c r="H10186" s="153" t="s">
        <v>216</v>
      </c>
    </row>
    <row r="10187" hidden="1">
      <c r="A10187" s="158" t="s">
        <v>234</v>
      </c>
      <c r="B10187" s="159"/>
      <c r="C10187" s="155" t="s">
        <v>232</v>
      </c>
      <c r="D10187" s="156" t="s">
        <v>11545</v>
      </c>
      <c r="E10187" s="156" t="s">
        <v>11684</v>
      </c>
      <c r="F10187" s="156" t="s">
        <v>587</v>
      </c>
      <c r="G10187" s="156" t="s">
        <v>9846</v>
      </c>
      <c r="H10187" s="157" t="s">
        <v>210</v>
      </c>
    </row>
    <row r="10188" hidden="1">
      <c r="A10188" s="160" t="s">
        <v>234</v>
      </c>
      <c r="B10188" s="72"/>
      <c r="C10188" s="118" t="s">
        <v>232</v>
      </c>
      <c r="D10188" s="152" t="s">
        <v>11545</v>
      </c>
      <c r="E10188" s="152" t="s">
        <v>11685</v>
      </c>
      <c r="F10188" s="152" t="s">
        <v>3359</v>
      </c>
      <c r="G10188" s="152" t="s">
        <v>9665</v>
      </c>
      <c r="H10188" s="153" t="s">
        <v>211</v>
      </c>
    </row>
    <row r="10189" hidden="1">
      <c r="A10189" s="158" t="s">
        <v>234</v>
      </c>
      <c r="B10189" s="159"/>
      <c r="C10189" s="155" t="s">
        <v>232</v>
      </c>
      <c r="D10189" s="156" t="s">
        <v>11545</v>
      </c>
      <c r="E10189" s="156" t="s">
        <v>11686</v>
      </c>
      <c r="F10189" s="156" t="s">
        <v>1948</v>
      </c>
      <c r="G10189" s="156" t="s">
        <v>11627</v>
      </c>
      <c r="H10189" s="157" t="s">
        <v>212</v>
      </c>
    </row>
    <row r="10190" hidden="1">
      <c r="A10190" s="160" t="s">
        <v>234</v>
      </c>
      <c r="B10190" s="72"/>
      <c r="C10190" s="118" t="s">
        <v>232</v>
      </c>
      <c r="D10190" s="152" t="s">
        <v>11545</v>
      </c>
      <c r="E10190" s="152" t="s">
        <v>11687</v>
      </c>
      <c r="F10190" s="152" t="s">
        <v>691</v>
      </c>
      <c r="G10190" s="152" t="s">
        <v>9667</v>
      </c>
      <c r="H10190" s="153" t="s">
        <v>213</v>
      </c>
    </row>
    <row r="10191" hidden="1">
      <c r="A10191" s="158" t="s">
        <v>234</v>
      </c>
      <c r="B10191" s="159"/>
      <c r="C10191" s="155" t="s">
        <v>232</v>
      </c>
      <c r="D10191" s="156" t="s">
        <v>11545</v>
      </c>
      <c r="E10191" s="156" t="s">
        <v>11688</v>
      </c>
      <c r="F10191" s="156" t="s">
        <v>3243</v>
      </c>
      <c r="G10191" s="156" t="s">
        <v>9992</v>
      </c>
      <c r="H10191" s="157" t="s">
        <v>214</v>
      </c>
    </row>
    <row r="10192" hidden="1">
      <c r="A10192" s="160" t="s">
        <v>234</v>
      </c>
      <c r="B10192" s="72"/>
      <c r="C10192" s="118" t="s">
        <v>232</v>
      </c>
      <c r="D10192" s="152" t="s">
        <v>11545</v>
      </c>
      <c r="E10192" s="152" t="s">
        <v>11689</v>
      </c>
      <c r="F10192" s="152" t="s">
        <v>497</v>
      </c>
      <c r="G10192" s="152" t="s">
        <v>10682</v>
      </c>
      <c r="H10192" s="153" t="s">
        <v>215</v>
      </c>
    </row>
    <row r="10193" hidden="1">
      <c r="A10193" s="158" t="s">
        <v>234</v>
      </c>
      <c r="B10193" s="159"/>
      <c r="C10193" s="155" t="s">
        <v>232</v>
      </c>
      <c r="D10193" s="156" t="s">
        <v>11545</v>
      </c>
      <c r="E10193" s="156" t="s">
        <v>11690</v>
      </c>
      <c r="F10193" s="156" t="s">
        <v>3243</v>
      </c>
      <c r="G10193" s="156" t="s">
        <v>10787</v>
      </c>
      <c r="H10193" s="157" t="s">
        <v>216</v>
      </c>
    </row>
    <row r="10194" hidden="1">
      <c r="A10194" s="160" t="s">
        <v>235</v>
      </c>
      <c r="B10194" s="72"/>
      <c r="C10194" s="118" t="s">
        <v>236</v>
      </c>
      <c r="D10194" s="152" t="s">
        <v>11545</v>
      </c>
      <c r="E10194" s="152" t="s">
        <v>11691</v>
      </c>
      <c r="F10194" s="152" t="s">
        <v>2657</v>
      </c>
      <c r="G10194" s="152" t="s">
        <v>11692</v>
      </c>
      <c r="H10194" s="153" t="s">
        <v>210</v>
      </c>
    </row>
    <row r="10195" hidden="1">
      <c r="A10195" s="158" t="s">
        <v>235</v>
      </c>
      <c r="B10195" s="159"/>
      <c r="C10195" s="155" t="s">
        <v>236</v>
      </c>
      <c r="D10195" s="156" t="s">
        <v>11545</v>
      </c>
      <c r="E10195" s="156" t="s">
        <v>11693</v>
      </c>
      <c r="F10195" s="156" t="s">
        <v>1986</v>
      </c>
      <c r="G10195" s="156" t="s">
        <v>10100</v>
      </c>
      <c r="H10195" s="157" t="s">
        <v>211</v>
      </c>
    </row>
    <row r="10196" hidden="1">
      <c r="A10196" s="160" t="s">
        <v>235</v>
      </c>
      <c r="B10196" s="72"/>
      <c r="C10196" s="118" t="s">
        <v>236</v>
      </c>
      <c r="D10196" s="152" t="s">
        <v>11545</v>
      </c>
      <c r="E10196" s="152" t="s">
        <v>11694</v>
      </c>
      <c r="F10196" s="152" t="s">
        <v>639</v>
      </c>
      <c r="G10196" s="152" t="s">
        <v>11668</v>
      </c>
      <c r="H10196" s="153" t="s">
        <v>212</v>
      </c>
    </row>
    <row r="10197" hidden="1">
      <c r="A10197" s="158" t="s">
        <v>235</v>
      </c>
      <c r="B10197" s="159"/>
      <c r="C10197" s="155" t="s">
        <v>236</v>
      </c>
      <c r="D10197" s="156" t="s">
        <v>11545</v>
      </c>
      <c r="E10197" s="156" t="s">
        <v>11695</v>
      </c>
      <c r="F10197" s="156" t="s">
        <v>2249</v>
      </c>
      <c r="G10197" s="156" t="s">
        <v>11675</v>
      </c>
      <c r="H10197" s="157" t="s">
        <v>213</v>
      </c>
    </row>
    <row r="10198" hidden="1">
      <c r="A10198" s="160" t="s">
        <v>235</v>
      </c>
      <c r="B10198" s="72"/>
      <c r="C10198" s="118" t="s">
        <v>236</v>
      </c>
      <c r="D10198" s="152" t="s">
        <v>11545</v>
      </c>
      <c r="E10198" s="152" t="s">
        <v>11696</v>
      </c>
      <c r="F10198" s="152" t="s">
        <v>11634</v>
      </c>
      <c r="G10198" s="152" t="s">
        <v>10789</v>
      </c>
      <c r="H10198" s="153" t="s">
        <v>214</v>
      </c>
    </row>
    <row r="10199" hidden="1">
      <c r="A10199" s="158" t="s">
        <v>235</v>
      </c>
      <c r="B10199" s="159"/>
      <c r="C10199" s="155" t="s">
        <v>236</v>
      </c>
      <c r="D10199" s="156" t="s">
        <v>11545</v>
      </c>
      <c r="E10199" s="156" t="s">
        <v>11697</v>
      </c>
      <c r="F10199" s="156" t="s">
        <v>2657</v>
      </c>
      <c r="G10199" s="156" t="s">
        <v>11698</v>
      </c>
      <c r="H10199" s="157" t="s">
        <v>215</v>
      </c>
    </row>
    <row r="10200" hidden="1">
      <c r="A10200" s="160" t="s">
        <v>235</v>
      </c>
      <c r="B10200" s="72"/>
      <c r="C10200" s="118" t="s">
        <v>236</v>
      </c>
      <c r="D10200" s="152" t="s">
        <v>11545</v>
      </c>
      <c r="E10200" s="152" t="s">
        <v>11699</v>
      </c>
      <c r="F10200" s="152" t="s">
        <v>1986</v>
      </c>
      <c r="G10200" s="152" t="s">
        <v>11111</v>
      </c>
      <c r="H10200" s="153" t="s">
        <v>216</v>
      </c>
    </row>
    <row r="10201" hidden="1">
      <c r="A10201" s="158" t="s">
        <v>237</v>
      </c>
      <c r="B10201" s="159"/>
      <c r="C10201" s="155" t="s">
        <v>236</v>
      </c>
      <c r="D10201" s="156" t="s">
        <v>11545</v>
      </c>
      <c r="E10201" s="156" t="s">
        <v>11700</v>
      </c>
      <c r="F10201" s="156" t="s">
        <v>1920</v>
      </c>
      <c r="G10201" s="156" t="s">
        <v>11698</v>
      </c>
      <c r="H10201" s="157" t="s">
        <v>210</v>
      </c>
    </row>
    <row r="10202" hidden="1">
      <c r="A10202" s="160" t="s">
        <v>237</v>
      </c>
      <c r="B10202" s="72"/>
      <c r="C10202" s="118" t="s">
        <v>236</v>
      </c>
      <c r="D10202" s="152" t="s">
        <v>11545</v>
      </c>
      <c r="E10202" s="152" t="s">
        <v>11701</v>
      </c>
      <c r="F10202" s="152" t="s">
        <v>2215</v>
      </c>
      <c r="G10202" s="152" t="s">
        <v>11098</v>
      </c>
      <c r="H10202" s="153" t="s">
        <v>211</v>
      </c>
    </row>
    <row r="10203" hidden="1">
      <c r="A10203" s="158" t="s">
        <v>237</v>
      </c>
      <c r="B10203" s="159"/>
      <c r="C10203" s="155" t="s">
        <v>236</v>
      </c>
      <c r="D10203" s="156" t="s">
        <v>11545</v>
      </c>
      <c r="E10203" s="156" t="s">
        <v>11702</v>
      </c>
      <c r="F10203" s="156" t="s">
        <v>1948</v>
      </c>
      <c r="G10203" s="156" t="s">
        <v>9922</v>
      </c>
      <c r="H10203" s="157" t="s">
        <v>212</v>
      </c>
    </row>
    <row r="10204" hidden="1">
      <c r="A10204" s="160" t="s">
        <v>237</v>
      </c>
      <c r="B10204" s="72"/>
      <c r="C10204" s="118" t="s">
        <v>236</v>
      </c>
      <c r="D10204" s="152" t="s">
        <v>11545</v>
      </c>
      <c r="E10204" s="152" t="s">
        <v>11703</v>
      </c>
      <c r="F10204" s="152" t="s">
        <v>730</v>
      </c>
      <c r="G10204" s="152" t="s">
        <v>10931</v>
      </c>
      <c r="H10204" s="153" t="s">
        <v>213</v>
      </c>
    </row>
    <row r="10205" hidden="1">
      <c r="A10205" s="158" t="s">
        <v>237</v>
      </c>
      <c r="B10205" s="159"/>
      <c r="C10205" s="155" t="s">
        <v>236</v>
      </c>
      <c r="D10205" s="156" t="s">
        <v>11545</v>
      </c>
      <c r="E10205" s="156" t="s">
        <v>11704</v>
      </c>
      <c r="F10205" s="156" t="s">
        <v>4052</v>
      </c>
      <c r="G10205" s="156" t="s">
        <v>9740</v>
      </c>
      <c r="H10205" s="157" t="s">
        <v>214</v>
      </c>
    </row>
    <row r="10206" hidden="1">
      <c r="A10206" s="160" t="s">
        <v>237</v>
      </c>
      <c r="B10206" s="72"/>
      <c r="C10206" s="118" t="s">
        <v>236</v>
      </c>
      <c r="D10206" s="152" t="s">
        <v>11545</v>
      </c>
      <c r="E10206" s="152" t="s">
        <v>11705</v>
      </c>
      <c r="F10206" s="152" t="s">
        <v>497</v>
      </c>
      <c r="G10206" s="152" t="s">
        <v>11240</v>
      </c>
      <c r="H10206" s="153" t="s">
        <v>215</v>
      </c>
    </row>
    <row r="10207" hidden="1">
      <c r="A10207" s="158" t="s">
        <v>237</v>
      </c>
      <c r="B10207" s="159"/>
      <c r="C10207" s="155" t="s">
        <v>236</v>
      </c>
      <c r="D10207" s="156" t="s">
        <v>11545</v>
      </c>
      <c r="E10207" s="156" t="s">
        <v>11706</v>
      </c>
      <c r="F10207" s="156" t="s">
        <v>1931</v>
      </c>
      <c r="G10207" s="156" t="s">
        <v>9843</v>
      </c>
      <c r="H10207" s="157" t="s">
        <v>216</v>
      </c>
    </row>
    <row r="10208" hidden="1">
      <c r="A10208" s="151" t="s">
        <v>204</v>
      </c>
      <c r="B10208" s="118" t="s">
        <v>205</v>
      </c>
      <c r="C10208" s="118" t="s">
        <v>206</v>
      </c>
      <c r="D10208" s="152" t="s">
        <v>11707</v>
      </c>
      <c r="E10208" s="152" t="s">
        <v>11708</v>
      </c>
      <c r="F10208" s="152" t="s">
        <v>9840</v>
      </c>
      <c r="G10208" s="152" t="s">
        <v>11709</v>
      </c>
      <c r="H10208" s="153" t="s">
        <v>210</v>
      </c>
    </row>
    <row r="10209" hidden="1">
      <c r="A10209" s="154" t="s">
        <v>204</v>
      </c>
      <c r="B10209" s="155" t="s">
        <v>205</v>
      </c>
      <c r="C10209" s="155" t="s">
        <v>206</v>
      </c>
      <c r="D10209" s="156" t="s">
        <v>11707</v>
      </c>
      <c r="E10209" s="156" t="s">
        <v>11710</v>
      </c>
      <c r="F10209" s="156" t="s">
        <v>3254</v>
      </c>
      <c r="G10209" s="156" t="s">
        <v>11711</v>
      </c>
      <c r="H10209" s="157" t="s">
        <v>211</v>
      </c>
    </row>
    <row r="10210" hidden="1">
      <c r="A10210" s="151" t="s">
        <v>204</v>
      </c>
      <c r="B10210" s="118" t="s">
        <v>205</v>
      </c>
      <c r="C10210" s="118" t="s">
        <v>206</v>
      </c>
      <c r="D10210" s="152" t="s">
        <v>11707</v>
      </c>
      <c r="E10210" s="152" t="s">
        <v>11712</v>
      </c>
      <c r="F10210" s="152" t="s">
        <v>11634</v>
      </c>
      <c r="G10210" s="152" t="s">
        <v>11353</v>
      </c>
      <c r="H10210" s="153" t="s">
        <v>212</v>
      </c>
    </row>
    <row r="10211" hidden="1">
      <c r="A10211" s="154" t="s">
        <v>204</v>
      </c>
      <c r="B10211" s="155" t="s">
        <v>205</v>
      </c>
      <c r="C10211" s="155" t="s">
        <v>206</v>
      </c>
      <c r="D10211" s="156" t="s">
        <v>11707</v>
      </c>
      <c r="E10211" s="156" t="s">
        <v>11713</v>
      </c>
      <c r="F10211" s="156" t="s">
        <v>1765</v>
      </c>
      <c r="G10211" s="156" t="s">
        <v>11714</v>
      </c>
      <c r="H10211" s="157" t="s">
        <v>213</v>
      </c>
    </row>
    <row r="10212" hidden="1">
      <c r="A10212" s="151" t="s">
        <v>204</v>
      </c>
      <c r="B10212" s="118" t="s">
        <v>205</v>
      </c>
      <c r="C10212" s="118" t="s">
        <v>206</v>
      </c>
      <c r="D10212" s="152" t="s">
        <v>11707</v>
      </c>
      <c r="E10212" s="152" t="s">
        <v>11715</v>
      </c>
      <c r="F10212" s="152" t="s">
        <v>1986</v>
      </c>
      <c r="G10212" s="152" t="s">
        <v>11716</v>
      </c>
      <c r="H10212" s="153" t="s">
        <v>214</v>
      </c>
    </row>
    <row r="10213" hidden="1">
      <c r="A10213" s="154" t="s">
        <v>204</v>
      </c>
      <c r="B10213" s="155" t="s">
        <v>205</v>
      </c>
      <c r="C10213" s="155" t="s">
        <v>206</v>
      </c>
      <c r="D10213" s="156" t="s">
        <v>11707</v>
      </c>
      <c r="E10213" s="156" t="s">
        <v>11717</v>
      </c>
      <c r="F10213" s="156" t="s">
        <v>5852</v>
      </c>
      <c r="G10213" s="156" t="s">
        <v>11651</v>
      </c>
      <c r="H10213" s="157" t="s">
        <v>215</v>
      </c>
    </row>
    <row r="10214" hidden="1">
      <c r="A10214" s="151" t="s">
        <v>204</v>
      </c>
      <c r="B10214" s="118" t="s">
        <v>205</v>
      </c>
      <c r="C10214" s="118" t="s">
        <v>206</v>
      </c>
      <c r="D10214" s="152" t="s">
        <v>11707</v>
      </c>
      <c r="E10214" s="152" t="s">
        <v>11718</v>
      </c>
      <c r="F10214" s="152" t="s">
        <v>589</v>
      </c>
      <c r="G10214" s="152" t="s">
        <v>11709</v>
      </c>
      <c r="H10214" s="153" t="s">
        <v>216</v>
      </c>
    </row>
    <row r="10215" hidden="1">
      <c r="A10215" s="154" t="s">
        <v>217</v>
      </c>
      <c r="B10215" s="155" t="s">
        <v>191</v>
      </c>
      <c r="C10215" s="155" t="s">
        <v>206</v>
      </c>
      <c r="D10215" s="156" t="s">
        <v>11707</v>
      </c>
      <c r="E10215" s="156" t="s">
        <v>11719</v>
      </c>
      <c r="F10215" s="156" t="s">
        <v>1765</v>
      </c>
      <c r="G10215" s="156" t="s">
        <v>11720</v>
      </c>
      <c r="H10215" s="157" t="s">
        <v>210</v>
      </c>
    </row>
    <row r="10216" hidden="1">
      <c r="A10216" s="151" t="s">
        <v>217</v>
      </c>
      <c r="B10216" s="118" t="s">
        <v>191</v>
      </c>
      <c r="C10216" s="118" t="s">
        <v>206</v>
      </c>
      <c r="D10216" s="152" t="s">
        <v>11707</v>
      </c>
      <c r="E10216" s="152" t="s">
        <v>11721</v>
      </c>
      <c r="F10216" s="152" t="s">
        <v>11558</v>
      </c>
      <c r="G10216" s="152" t="s">
        <v>11722</v>
      </c>
      <c r="H10216" s="153" t="s">
        <v>211</v>
      </c>
    </row>
    <row r="10217" hidden="1">
      <c r="A10217" s="154" t="s">
        <v>217</v>
      </c>
      <c r="B10217" s="155" t="s">
        <v>191</v>
      </c>
      <c r="C10217" s="155" t="s">
        <v>206</v>
      </c>
      <c r="D10217" s="156" t="s">
        <v>11707</v>
      </c>
      <c r="E10217" s="156" t="s">
        <v>11723</v>
      </c>
      <c r="F10217" s="156" t="s">
        <v>1799</v>
      </c>
      <c r="G10217" s="156" t="s">
        <v>11724</v>
      </c>
      <c r="H10217" s="157" t="s">
        <v>212</v>
      </c>
    </row>
    <row r="10218" hidden="1">
      <c r="A10218" s="151" t="s">
        <v>217</v>
      </c>
      <c r="B10218" s="118" t="s">
        <v>191</v>
      </c>
      <c r="C10218" s="118" t="s">
        <v>206</v>
      </c>
      <c r="D10218" s="152" t="s">
        <v>11707</v>
      </c>
      <c r="E10218" s="152" t="s">
        <v>11725</v>
      </c>
      <c r="F10218" s="152" t="s">
        <v>5852</v>
      </c>
      <c r="G10218" s="152" t="s">
        <v>11726</v>
      </c>
      <c r="H10218" s="153" t="s">
        <v>213</v>
      </c>
    </row>
    <row r="10219" hidden="1">
      <c r="A10219" s="154" t="s">
        <v>217</v>
      </c>
      <c r="B10219" s="155" t="s">
        <v>191</v>
      </c>
      <c r="C10219" s="155" t="s">
        <v>206</v>
      </c>
      <c r="D10219" s="156" t="s">
        <v>11707</v>
      </c>
      <c r="E10219" s="156" t="s">
        <v>11727</v>
      </c>
      <c r="F10219" s="156" t="s">
        <v>6580</v>
      </c>
      <c r="G10219" s="156" t="s">
        <v>11728</v>
      </c>
      <c r="H10219" s="157" t="s">
        <v>214</v>
      </c>
    </row>
    <row r="10220" hidden="1">
      <c r="A10220" s="151" t="s">
        <v>217</v>
      </c>
      <c r="B10220" s="118" t="s">
        <v>191</v>
      </c>
      <c r="C10220" s="118" t="s">
        <v>206</v>
      </c>
      <c r="D10220" s="152" t="s">
        <v>11707</v>
      </c>
      <c r="E10220" s="152" t="s">
        <v>11729</v>
      </c>
      <c r="F10220" s="152" t="s">
        <v>1822</v>
      </c>
      <c r="G10220" s="152" t="s">
        <v>11730</v>
      </c>
      <c r="H10220" s="153" t="s">
        <v>215</v>
      </c>
    </row>
    <row r="10221" hidden="1">
      <c r="A10221" s="154" t="s">
        <v>217</v>
      </c>
      <c r="B10221" s="155" t="s">
        <v>191</v>
      </c>
      <c r="C10221" s="155" t="s">
        <v>206</v>
      </c>
      <c r="D10221" s="156" t="s">
        <v>11707</v>
      </c>
      <c r="E10221" s="156" t="s">
        <v>11731</v>
      </c>
      <c r="F10221" s="156" t="s">
        <v>4251</v>
      </c>
      <c r="G10221" s="156" t="s">
        <v>11197</v>
      </c>
      <c r="H10221" s="157" t="s">
        <v>216</v>
      </c>
    </row>
    <row r="10222" hidden="1">
      <c r="A10222" s="151" t="s">
        <v>218</v>
      </c>
      <c r="B10222" s="118" t="s">
        <v>219</v>
      </c>
      <c r="C10222" s="118" t="s">
        <v>206</v>
      </c>
      <c r="D10222" s="152" t="s">
        <v>11707</v>
      </c>
      <c r="E10222" s="152" t="s">
        <v>11732</v>
      </c>
      <c r="F10222" s="152" t="s">
        <v>9480</v>
      </c>
      <c r="G10222" s="152" t="s">
        <v>10269</v>
      </c>
      <c r="H10222" s="153" t="s">
        <v>210</v>
      </c>
    </row>
    <row r="10223" hidden="1">
      <c r="A10223" s="154" t="s">
        <v>218</v>
      </c>
      <c r="B10223" s="155" t="s">
        <v>219</v>
      </c>
      <c r="C10223" s="155" t="s">
        <v>206</v>
      </c>
      <c r="D10223" s="156" t="s">
        <v>11707</v>
      </c>
      <c r="E10223" s="156" t="s">
        <v>11733</v>
      </c>
      <c r="F10223" s="156" t="s">
        <v>1989</v>
      </c>
      <c r="G10223" s="156" t="s">
        <v>11275</v>
      </c>
      <c r="H10223" s="157" t="s">
        <v>211</v>
      </c>
    </row>
    <row r="10224" hidden="1">
      <c r="A10224" s="151" t="s">
        <v>218</v>
      </c>
      <c r="B10224" s="118" t="s">
        <v>219</v>
      </c>
      <c r="C10224" s="118" t="s">
        <v>206</v>
      </c>
      <c r="D10224" s="152" t="s">
        <v>11707</v>
      </c>
      <c r="E10224" s="152" t="s">
        <v>11734</v>
      </c>
      <c r="F10224" s="152" t="s">
        <v>229</v>
      </c>
      <c r="G10224" s="152" t="s">
        <v>11735</v>
      </c>
      <c r="H10224" s="153" t="s">
        <v>212</v>
      </c>
    </row>
    <row r="10225" hidden="1">
      <c r="A10225" s="154" t="s">
        <v>218</v>
      </c>
      <c r="B10225" s="155" t="s">
        <v>219</v>
      </c>
      <c r="C10225" s="155" t="s">
        <v>206</v>
      </c>
      <c r="D10225" s="156" t="s">
        <v>11707</v>
      </c>
      <c r="E10225" s="156" t="s">
        <v>11736</v>
      </c>
      <c r="F10225" s="156" t="s">
        <v>9840</v>
      </c>
      <c r="G10225" s="156" t="s">
        <v>10197</v>
      </c>
      <c r="H10225" s="157" t="s">
        <v>213</v>
      </c>
    </row>
    <row r="10226" hidden="1">
      <c r="A10226" s="151" t="s">
        <v>218</v>
      </c>
      <c r="B10226" s="118" t="s">
        <v>219</v>
      </c>
      <c r="C10226" s="118" t="s">
        <v>206</v>
      </c>
      <c r="D10226" s="152" t="s">
        <v>11707</v>
      </c>
      <c r="E10226" s="152" t="s">
        <v>11737</v>
      </c>
      <c r="F10226" s="152" t="s">
        <v>9469</v>
      </c>
      <c r="G10226" s="152" t="s">
        <v>11738</v>
      </c>
      <c r="H10226" s="153" t="s">
        <v>214</v>
      </c>
    </row>
    <row r="10227" hidden="1">
      <c r="A10227" s="154" t="s">
        <v>218</v>
      </c>
      <c r="B10227" s="155" t="s">
        <v>219</v>
      </c>
      <c r="C10227" s="155" t="s">
        <v>206</v>
      </c>
      <c r="D10227" s="156" t="s">
        <v>11707</v>
      </c>
      <c r="E10227" s="156" t="s">
        <v>11739</v>
      </c>
      <c r="F10227" s="156" t="s">
        <v>230</v>
      </c>
      <c r="G10227" s="156" t="s">
        <v>11740</v>
      </c>
      <c r="H10227" s="157" t="s">
        <v>215</v>
      </c>
    </row>
    <row r="10228" hidden="1">
      <c r="A10228" s="151" t="s">
        <v>218</v>
      </c>
      <c r="B10228" s="118" t="s">
        <v>219</v>
      </c>
      <c r="C10228" s="118" t="s">
        <v>206</v>
      </c>
      <c r="D10228" s="152" t="s">
        <v>11707</v>
      </c>
      <c r="E10228" s="152" t="s">
        <v>11741</v>
      </c>
      <c r="F10228" s="152" t="s">
        <v>1989</v>
      </c>
      <c r="G10228" s="152" t="s">
        <v>11283</v>
      </c>
      <c r="H10228" s="153" t="s">
        <v>216</v>
      </c>
    </row>
    <row r="10229" hidden="1">
      <c r="A10229" s="154" t="s">
        <v>220</v>
      </c>
      <c r="B10229" s="155" t="s">
        <v>190</v>
      </c>
      <c r="C10229" s="155" t="s">
        <v>206</v>
      </c>
      <c r="D10229" s="156" t="s">
        <v>11707</v>
      </c>
      <c r="E10229" s="156" t="s">
        <v>11742</v>
      </c>
      <c r="F10229" s="156" t="s">
        <v>2018</v>
      </c>
      <c r="G10229" s="156" t="s">
        <v>10851</v>
      </c>
      <c r="H10229" s="157" t="s">
        <v>210</v>
      </c>
    </row>
    <row r="10230" hidden="1">
      <c r="A10230" s="151" t="s">
        <v>220</v>
      </c>
      <c r="B10230" s="118" t="s">
        <v>190</v>
      </c>
      <c r="C10230" s="118" t="s">
        <v>206</v>
      </c>
      <c r="D10230" s="152" t="s">
        <v>11707</v>
      </c>
      <c r="E10230" s="152" t="s">
        <v>11743</v>
      </c>
      <c r="F10230" s="152" t="s">
        <v>2416</v>
      </c>
      <c r="G10230" s="152" t="s">
        <v>11240</v>
      </c>
      <c r="H10230" s="153" t="s">
        <v>211</v>
      </c>
    </row>
    <row r="10231" hidden="1">
      <c r="A10231" s="154" t="s">
        <v>220</v>
      </c>
      <c r="B10231" s="155" t="s">
        <v>190</v>
      </c>
      <c r="C10231" s="155" t="s">
        <v>206</v>
      </c>
      <c r="D10231" s="156" t="s">
        <v>11707</v>
      </c>
      <c r="E10231" s="156" t="s">
        <v>11744</v>
      </c>
      <c r="F10231" s="156" t="s">
        <v>3153</v>
      </c>
      <c r="G10231" s="156" t="s">
        <v>10514</v>
      </c>
      <c r="H10231" s="157" t="s">
        <v>212</v>
      </c>
    </row>
    <row r="10232" hidden="1">
      <c r="A10232" s="151" t="s">
        <v>220</v>
      </c>
      <c r="B10232" s="118" t="s">
        <v>190</v>
      </c>
      <c r="C10232" s="118" t="s">
        <v>206</v>
      </c>
      <c r="D10232" s="152" t="s">
        <v>11707</v>
      </c>
      <c r="E10232" s="152" t="s">
        <v>11745</v>
      </c>
      <c r="F10232" s="152" t="s">
        <v>2249</v>
      </c>
      <c r="G10232" s="152" t="s">
        <v>11246</v>
      </c>
      <c r="H10232" s="153" t="s">
        <v>213</v>
      </c>
    </row>
    <row r="10233" hidden="1">
      <c r="A10233" s="154" t="s">
        <v>220</v>
      </c>
      <c r="B10233" s="155" t="s">
        <v>190</v>
      </c>
      <c r="C10233" s="155" t="s">
        <v>206</v>
      </c>
      <c r="D10233" s="156" t="s">
        <v>11707</v>
      </c>
      <c r="E10233" s="156" t="s">
        <v>11746</v>
      </c>
      <c r="F10233" s="156" t="s">
        <v>2175</v>
      </c>
      <c r="G10233" s="156" t="s">
        <v>10351</v>
      </c>
      <c r="H10233" s="157" t="s">
        <v>214</v>
      </c>
    </row>
    <row r="10234" hidden="1">
      <c r="A10234" s="151" t="s">
        <v>220</v>
      </c>
      <c r="B10234" s="118" t="s">
        <v>190</v>
      </c>
      <c r="C10234" s="118" t="s">
        <v>206</v>
      </c>
      <c r="D10234" s="152" t="s">
        <v>11707</v>
      </c>
      <c r="E10234" s="152" t="s">
        <v>11747</v>
      </c>
      <c r="F10234" s="152" t="s">
        <v>11549</v>
      </c>
      <c r="G10234" s="152" t="s">
        <v>10274</v>
      </c>
      <c r="H10234" s="153" t="s">
        <v>215</v>
      </c>
    </row>
    <row r="10235" hidden="1">
      <c r="A10235" s="154" t="s">
        <v>220</v>
      </c>
      <c r="B10235" s="155" t="s">
        <v>190</v>
      </c>
      <c r="C10235" s="155" t="s">
        <v>206</v>
      </c>
      <c r="D10235" s="156" t="s">
        <v>11707</v>
      </c>
      <c r="E10235" s="156" t="s">
        <v>11748</v>
      </c>
      <c r="F10235" s="156" t="s">
        <v>1762</v>
      </c>
      <c r="G10235" s="156" t="s">
        <v>10179</v>
      </c>
      <c r="H10235" s="157" t="s">
        <v>216</v>
      </c>
    </row>
    <row r="10236" hidden="1">
      <c r="A10236" s="151" t="s">
        <v>221</v>
      </c>
      <c r="B10236" s="118" t="s">
        <v>189</v>
      </c>
      <c r="C10236" s="118" t="s">
        <v>206</v>
      </c>
      <c r="D10236" s="152" t="s">
        <v>11707</v>
      </c>
      <c r="E10236" s="152" t="s">
        <v>11749</v>
      </c>
      <c r="F10236" s="152" t="s">
        <v>348</v>
      </c>
      <c r="G10236" s="152" t="s">
        <v>11750</v>
      </c>
      <c r="H10236" s="153" t="s">
        <v>210</v>
      </c>
    </row>
    <row r="10237" hidden="1">
      <c r="A10237" s="154" t="s">
        <v>221</v>
      </c>
      <c r="B10237" s="155" t="s">
        <v>189</v>
      </c>
      <c r="C10237" s="155" t="s">
        <v>206</v>
      </c>
      <c r="D10237" s="156" t="s">
        <v>11707</v>
      </c>
      <c r="E10237" s="156" t="s">
        <v>11751</v>
      </c>
      <c r="F10237" s="156" t="s">
        <v>3148</v>
      </c>
      <c r="G10237" s="156" t="s">
        <v>9838</v>
      </c>
      <c r="H10237" s="157" t="s">
        <v>211</v>
      </c>
    </row>
    <row r="10238" hidden="1">
      <c r="A10238" s="151" t="s">
        <v>221</v>
      </c>
      <c r="B10238" s="118" t="s">
        <v>189</v>
      </c>
      <c r="C10238" s="118" t="s">
        <v>206</v>
      </c>
      <c r="D10238" s="152" t="s">
        <v>11707</v>
      </c>
      <c r="E10238" s="152" t="s">
        <v>11752</v>
      </c>
      <c r="F10238" s="152" t="s">
        <v>3145</v>
      </c>
      <c r="G10238" s="152" t="s">
        <v>11565</v>
      </c>
      <c r="H10238" s="153" t="s">
        <v>212</v>
      </c>
    </row>
    <row r="10239" hidden="1">
      <c r="A10239" s="154" t="s">
        <v>221</v>
      </c>
      <c r="B10239" s="155" t="s">
        <v>189</v>
      </c>
      <c r="C10239" s="155" t="s">
        <v>206</v>
      </c>
      <c r="D10239" s="156" t="s">
        <v>11707</v>
      </c>
      <c r="E10239" s="156" t="s">
        <v>11753</v>
      </c>
      <c r="F10239" s="156" t="s">
        <v>10944</v>
      </c>
      <c r="G10239" s="156" t="s">
        <v>11754</v>
      </c>
      <c r="H10239" s="157" t="s">
        <v>213</v>
      </c>
    </row>
    <row r="10240" hidden="1">
      <c r="A10240" s="151" t="s">
        <v>221</v>
      </c>
      <c r="B10240" s="118" t="s">
        <v>189</v>
      </c>
      <c r="C10240" s="118" t="s">
        <v>206</v>
      </c>
      <c r="D10240" s="152" t="s">
        <v>11707</v>
      </c>
      <c r="E10240" s="152" t="s">
        <v>11755</v>
      </c>
      <c r="F10240" s="152" t="s">
        <v>1931</v>
      </c>
      <c r="G10240" s="152" t="s">
        <v>9744</v>
      </c>
      <c r="H10240" s="153" t="s">
        <v>214</v>
      </c>
    </row>
    <row r="10241" hidden="1">
      <c r="A10241" s="154" t="s">
        <v>221</v>
      </c>
      <c r="B10241" s="155" t="s">
        <v>189</v>
      </c>
      <c r="C10241" s="155" t="s">
        <v>206</v>
      </c>
      <c r="D10241" s="156" t="s">
        <v>11707</v>
      </c>
      <c r="E10241" s="156" t="s">
        <v>11756</v>
      </c>
      <c r="F10241" s="156" t="s">
        <v>589</v>
      </c>
      <c r="G10241" s="156" t="s">
        <v>10363</v>
      </c>
      <c r="H10241" s="157" t="s">
        <v>215</v>
      </c>
    </row>
    <row r="10242" hidden="1">
      <c r="A10242" s="151" t="s">
        <v>221</v>
      </c>
      <c r="B10242" s="118" t="s">
        <v>189</v>
      </c>
      <c r="C10242" s="118" t="s">
        <v>206</v>
      </c>
      <c r="D10242" s="152" t="s">
        <v>11707</v>
      </c>
      <c r="E10242" s="152" t="s">
        <v>11757</v>
      </c>
      <c r="F10242" s="152" t="s">
        <v>2226</v>
      </c>
      <c r="G10242" s="152" t="s">
        <v>11758</v>
      </c>
      <c r="H10242" s="153" t="s">
        <v>216</v>
      </c>
    </row>
    <row r="10243" hidden="1">
      <c r="A10243" s="154" t="s">
        <v>222</v>
      </c>
      <c r="B10243" s="155" t="s">
        <v>192</v>
      </c>
      <c r="C10243" s="155" t="s">
        <v>206</v>
      </c>
      <c r="D10243" s="156" t="s">
        <v>11707</v>
      </c>
      <c r="E10243" s="156" t="s">
        <v>11759</v>
      </c>
      <c r="F10243" s="156" t="s">
        <v>2807</v>
      </c>
      <c r="G10243" s="156" t="s">
        <v>11760</v>
      </c>
      <c r="H10243" s="157" t="s">
        <v>210</v>
      </c>
    </row>
    <row r="10244" hidden="1">
      <c r="A10244" s="151" t="s">
        <v>222</v>
      </c>
      <c r="B10244" s="118" t="s">
        <v>192</v>
      </c>
      <c r="C10244" s="118" t="s">
        <v>206</v>
      </c>
      <c r="D10244" s="152" t="s">
        <v>11707</v>
      </c>
      <c r="E10244" s="152" t="s">
        <v>11761</v>
      </c>
      <c r="F10244" s="152" t="s">
        <v>3254</v>
      </c>
      <c r="G10244" s="152" t="s">
        <v>11762</v>
      </c>
      <c r="H10244" s="153" t="s">
        <v>211</v>
      </c>
    </row>
    <row r="10245" hidden="1">
      <c r="A10245" s="154" t="s">
        <v>222</v>
      </c>
      <c r="B10245" s="155" t="s">
        <v>192</v>
      </c>
      <c r="C10245" s="155" t="s">
        <v>206</v>
      </c>
      <c r="D10245" s="156" t="s">
        <v>11707</v>
      </c>
      <c r="E10245" s="156" t="s">
        <v>11763</v>
      </c>
      <c r="F10245" s="156" t="s">
        <v>5852</v>
      </c>
      <c r="G10245" s="156" t="s">
        <v>11764</v>
      </c>
      <c r="H10245" s="157" t="s">
        <v>212</v>
      </c>
    </row>
    <row r="10246" hidden="1">
      <c r="A10246" s="151" t="s">
        <v>222</v>
      </c>
      <c r="B10246" s="118" t="s">
        <v>192</v>
      </c>
      <c r="C10246" s="118" t="s">
        <v>206</v>
      </c>
      <c r="D10246" s="152" t="s">
        <v>11707</v>
      </c>
      <c r="E10246" s="152" t="s">
        <v>11765</v>
      </c>
      <c r="F10246" s="152" t="s">
        <v>230</v>
      </c>
      <c r="G10246" s="152" t="s">
        <v>11201</v>
      </c>
      <c r="H10246" s="153" t="s">
        <v>213</v>
      </c>
    </row>
    <row r="10247" hidden="1">
      <c r="A10247" s="154" t="s">
        <v>222</v>
      </c>
      <c r="B10247" s="155" t="s">
        <v>192</v>
      </c>
      <c r="C10247" s="155" t="s">
        <v>206</v>
      </c>
      <c r="D10247" s="156" t="s">
        <v>11707</v>
      </c>
      <c r="E10247" s="156" t="s">
        <v>11766</v>
      </c>
      <c r="F10247" s="156" t="s">
        <v>6323</v>
      </c>
      <c r="G10247" s="156" t="s">
        <v>11559</v>
      </c>
      <c r="H10247" s="157" t="s">
        <v>214</v>
      </c>
    </row>
    <row r="10248" hidden="1">
      <c r="A10248" s="151" t="s">
        <v>222</v>
      </c>
      <c r="B10248" s="118" t="s">
        <v>192</v>
      </c>
      <c r="C10248" s="118" t="s">
        <v>206</v>
      </c>
      <c r="D10248" s="152" t="s">
        <v>11707</v>
      </c>
      <c r="E10248" s="152" t="s">
        <v>11767</v>
      </c>
      <c r="F10248" s="152" t="s">
        <v>6323</v>
      </c>
      <c r="G10248" s="152" t="s">
        <v>11768</v>
      </c>
      <c r="H10248" s="153" t="s">
        <v>215</v>
      </c>
    </row>
    <row r="10249" hidden="1">
      <c r="A10249" s="154" t="s">
        <v>222</v>
      </c>
      <c r="B10249" s="155" t="s">
        <v>192</v>
      </c>
      <c r="C10249" s="155" t="s">
        <v>206</v>
      </c>
      <c r="D10249" s="156" t="s">
        <v>11707</v>
      </c>
      <c r="E10249" s="156" t="s">
        <v>11769</v>
      </c>
      <c r="F10249" s="156" t="s">
        <v>589</v>
      </c>
      <c r="G10249" s="156" t="s">
        <v>11353</v>
      </c>
      <c r="H10249" s="157" t="s">
        <v>216</v>
      </c>
    </row>
    <row r="10250" hidden="1">
      <c r="A10250" s="151" t="s">
        <v>223</v>
      </c>
      <c r="B10250" s="118" t="s">
        <v>144</v>
      </c>
      <c r="C10250" s="118" t="s">
        <v>206</v>
      </c>
      <c r="D10250" s="152" t="s">
        <v>11707</v>
      </c>
      <c r="E10250" s="152" t="s">
        <v>11770</v>
      </c>
      <c r="F10250" s="152" t="s">
        <v>497</v>
      </c>
      <c r="G10250" s="152" t="s">
        <v>11568</v>
      </c>
      <c r="H10250" s="153" t="s">
        <v>210</v>
      </c>
    </row>
    <row r="10251" hidden="1">
      <c r="A10251" s="154" t="s">
        <v>223</v>
      </c>
      <c r="B10251" s="155" t="s">
        <v>144</v>
      </c>
      <c r="C10251" s="155" t="s">
        <v>206</v>
      </c>
      <c r="D10251" s="156" t="s">
        <v>11707</v>
      </c>
      <c r="E10251" s="156" t="s">
        <v>11771</v>
      </c>
      <c r="F10251" s="156" t="s">
        <v>292</v>
      </c>
      <c r="G10251" s="156" t="s">
        <v>11772</v>
      </c>
      <c r="H10251" s="157" t="s">
        <v>211</v>
      </c>
    </row>
    <row r="10252" hidden="1">
      <c r="A10252" s="151" t="s">
        <v>223</v>
      </c>
      <c r="B10252" s="118" t="s">
        <v>144</v>
      </c>
      <c r="C10252" s="118" t="s">
        <v>206</v>
      </c>
      <c r="D10252" s="152" t="s">
        <v>11707</v>
      </c>
      <c r="E10252" s="152" t="s">
        <v>11773</v>
      </c>
      <c r="F10252" s="152" t="s">
        <v>444</v>
      </c>
      <c r="G10252" s="152" t="s">
        <v>11774</v>
      </c>
      <c r="H10252" s="153" t="s">
        <v>212</v>
      </c>
    </row>
    <row r="10253" hidden="1">
      <c r="A10253" s="154" t="s">
        <v>223</v>
      </c>
      <c r="B10253" s="155" t="s">
        <v>144</v>
      </c>
      <c r="C10253" s="155" t="s">
        <v>206</v>
      </c>
      <c r="D10253" s="156" t="s">
        <v>11707</v>
      </c>
      <c r="E10253" s="156" t="s">
        <v>11775</v>
      </c>
      <c r="F10253" s="156" t="s">
        <v>7374</v>
      </c>
      <c r="G10253" s="156" t="s">
        <v>11776</v>
      </c>
      <c r="H10253" s="157" t="s">
        <v>213</v>
      </c>
    </row>
    <row r="10254" hidden="1">
      <c r="A10254" s="151" t="s">
        <v>223</v>
      </c>
      <c r="B10254" s="118" t="s">
        <v>144</v>
      </c>
      <c r="C10254" s="118" t="s">
        <v>206</v>
      </c>
      <c r="D10254" s="152" t="s">
        <v>11707</v>
      </c>
      <c r="E10254" s="152" t="s">
        <v>11777</v>
      </c>
      <c r="F10254" s="152" t="s">
        <v>2587</v>
      </c>
      <c r="G10254" s="152" t="s">
        <v>11778</v>
      </c>
      <c r="H10254" s="153" t="s">
        <v>214</v>
      </c>
    </row>
    <row r="10255" hidden="1">
      <c r="A10255" s="154" t="s">
        <v>223</v>
      </c>
      <c r="B10255" s="155" t="s">
        <v>144</v>
      </c>
      <c r="C10255" s="155" t="s">
        <v>206</v>
      </c>
      <c r="D10255" s="156" t="s">
        <v>11707</v>
      </c>
      <c r="E10255" s="156" t="s">
        <v>11779</v>
      </c>
      <c r="F10255" s="156" t="s">
        <v>229</v>
      </c>
      <c r="G10255" s="156" t="s">
        <v>11780</v>
      </c>
      <c r="H10255" s="157" t="s">
        <v>215</v>
      </c>
    </row>
    <row r="10256" hidden="1">
      <c r="A10256" s="151" t="s">
        <v>223</v>
      </c>
      <c r="B10256" s="118" t="s">
        <v>144</v>
      </c>
      <c r="C10256" s="118" t="s">
        <v>206</v>
      </c>
      <c r="D10256" s="152" t="s">
        <v>11707</v>
      </c>
      <c r="E10256" s="152" t="s">
        <v>11781</v>
      </c>
      <c r="F10256" s="152" t="s">
        <v>732</v>
      </c>
      <c r="G10256" s="152" t="s">
        <v>10540</v>
      </c>
      <c r="H10256" s="153" t="s">
        <v>216</v>
      </c>
    </row>
    <row r="10257" hidden="1">
      <c r="A10257" s="154" t="s">
        <v>224</v>
      </c>
      <c r="B10257" s="155" t="s">
        <v>170</v>
      </c>
      <c r="C10257" s="155" t="s">
        <v>206</v>
      </c>
      <c r="D10257" s="156" t="s">
        <v>11707</v>
      </c>
      <c r="E10257" s="156" t="s">
        <v>11782</v>
      </c>
      <c r="F10257" s="156" t="s">
        <v>4052</v>
      </c>
      <c r="G10257" s="156" t="s">
        <v>10767</v>
      </c>
      <c r="H10257" s="157" t="s">
        <v>210</v>
      </c>
    </row>
    <row r="10258" hidden="1">
      <c r="A10258" s="151" t="s">
        <v>224</v>
      </c>
      <c r="B10258" s="118" t="s">
        <v>170</v>
      </c>
      <c r="C10258" s="118" t="s">
        <v>206</v>
      </c>
      <c r="D10258" s="152" t="s">
        <v>11707</v>
      </c>
      <c r="E10258" s="152" t="s">
        <v>11783</v>
      </c>
      <c r="F10258" s="152" t="s">
        <v>9480</v>
      </c>
      <c r="G10258" s="152" t="s">
        <v>11441</v>
      </c>
      <c r="H10258" s="153" t="s">
        <v>211</v>
      </c>
    </row>
    <row r="10259" hidden="1">
      <c r="A10259" s="154" t="s">
        <v>224</v>
      </c>
      <c r="B10259" s="155" t="s">
        <v>170</v>
      </c>
      <c r="C10259" s="155" t="s">
        <v>206</v>
      </c>
      <c r="D10259" s="156" t="s">
        <v>11707</v>
      </c>
      <c r="E10259" s="156" t="s">
        <v>11784</v>
      </c>
      <c r="F10259" s="156" t="s">
        <v>10944</v>
      </c>
      <c r="G10259" s="156" t="s">
        <v>9744</v>
      </c>
      <c r="H10259" s="157" t="s">
        <v>212</v>
      </c>
    </row>
    <row r="10260" hidden="1">
      <c r="A10260" s="151" t="s">
        <v>224</v>
      </c>
      <c r="B10260" s="118" t="s">
        <v>170</v>
      </c>
      <c r="C10260" s="118" t="s">
        <v>206</v>
      </c>
      <c r="D10260" s="152" t="s">
        <v>11707</v>
      </c>
      <c r="E10260" s="152" t="s">
        <v>11785</v>
      </c>
      <c r="F10260" s="152" t="s">
        <v>10944</v>
      </c>
      <c r="G10260" s="152" t="s">
        <v>11102</v>
      </c>
      <c r="H10260" s="153" t="s">
        <v>213</v>
      </c>
    </row>
    <row r="10261" hidden="1">
      <c r="A10261" s="154" t="s">
        <v>224</v>
      </c>
      <c r="B10261" s="155" t="s">
        <v>170</v>
      </c>
      <c r="C10261" s="155" t="s">
        <v>206</v>
      </c>
      <c r="D10261" s="156" t="s">
        <v>11707</v>
      </c>
      <c r="E10261" s="156" t="s">
        <v>11786</v>
      </c>
      <c r="F10261" s="156" t="s">
        <v>7374</v>
      </c>
      <c r="G10261" s="156" t="s">
        <v>10179</v>
      </c>
      <c r="H10261" s="157" t="s">
        <v>214</v>
      </c>
    </row>
    <row r="10262" hidden="1">
      <c r="A10262" s="151" t="s">
        <v>224</v>
      </c>
      <c r="B10262" s="118" t="s">
        <v>170</v>
      </c>
      <c r="C10262" s="118" t="s">
        <v>206</v>
      </c>
      <c r="D10262" s="152" t="s">
        <v>11707</v>
      </c>
      <c r="E10262" s="152" t="s">
        <v>11787</v>
      </c>
      <c r="F10262" s="152" t="s">
        <v>732</v>
      </c>
      <c r="G10262" s="152" t="s">
        <v>10612</v>
      </c>
      <c r="H10262" s="153" t="s">
        <v>215</v>
      </c>
    </row>
    <row r="10263" hidden="1">
      <c r="A10263" s="154" t="s">
        <v>224</v>
      </c>
      <c r="B10263" s="155" t="s">
        <v>170</v>
      </c>
      <c r="C10263" s="155" t="s">
        <v>206</v>
      </c>
      <c r="D10263" s="156" t="s">
        <v>11707</v>
      </c>
      <c r="E10263" s="156" t="s">
        <v>11788</v>
      </c>
      <c r="F10263" s="156" t="s">
        <v>2218</v>
      </c>
      <c r="G10263" s="156" t="s">
        <v>10783</v>
      </c>
      <c r="H10263" s="157" t="s">
        <v>216</v>
      </c>
    </row>
    <row r="10264" hidden="1">
      <c r="A10264" s="151" t="s">
        <v>225</v>
      </c>
      <c r="B10264" s="118" t="s">
        <v>226</v>
      </c>
      <c r="C10264" s="118" t="s">
        <v>206</v>
      </c>
      <c r="D10264" s="152" t="s">
        <v>11707</v>
      </c>
      <c r="E10264" s="152" t="s">
        <v>11789</v>
      </c>
      <c r="F10264" s="152" t="s">
        <v>3145</v>
      </c>
      <c r="G10264" s="152" t="s">
        <v>11790</v>
      </c>
      <c r="H10264" s="153" t="s">
        <v>210</v>
      </c>
    </row>
    <row r="10265" hidden="1">
      <c r="A10265" s="154" t="s">
        <v>225</v>
      </c>
      <c r="B10265" s="155" t="s">
        <v>226</v>
      </c>
      <c r="C10265" s="155" t="s">
        <v>206</v>
      </c>
      <c r="D10265" s="156" t="s">
        <v>11707</v>
      </c>
      <c r="E10265" s="156" t="s">
        <v>11791</v>
      </c>
      <c r="F10265" s="156" t="s">
        <v>3293</v>
      </c>
      <c r="G10265" s="156" t="s">
        <v>11792</v>
      </c>
      <c r="H10265" s="157" t="s">
        <v>211</v>
      </c>
    </row>
    <row r="10266" hidden="1">
      <c r="A10266" s="151" t="s">
        <v>225</v>
      </c>
      <c r="B10266" s="118" t="s">
        <v>226</v>
      </c>
      <c r="C10266" s="118" t="s">
        <v>206</v>
      </c>
      <c r="D10266" s="152" t="s">
        <v>11707</v>
      </c>
      <c r="E10266" s="152" t="s">
        <v>11793</v>
      </c>
      <c r="F10266" s="152" t="s">
        <v>3148</v>
      </c>
      <c r="G10266" s="152" t="s">
        <v>11738</v>
      </c>
      <c r="H10266" s="153" t="s">
        <v>212</v>
      </c>
    </row>
    <row r="10267" hidden="1">
      <c r="A10267" s="154" t="s">
        <v>225</v>
      </c>
      <c r="B10267" s="155" t="s">
        <v>226</v>
      </c>
      <c r="C10267" s="155" t="s">
        <v>206</v>
      </c>
      <c r="D10267" s="156" t="s">
        <v>11707</v>
      </c>
      <c r="E10267" s="156" t="s">
        <v>11794</v>
      </c>
      <c r="F10267" s="156" t="s">
        <v>3293</v>
      </c>
      <c r="G10267" s="156" t="s">
        <v>11795</v>
      </c>
      <c r="H10267" s="157" t="s">
        <v>213</v>
      </c>
    </row>
    <row r="10268" hidden="1">
      <c r="A10268" s="151" t="s">
        <v>225</v>
      </c>
      <c r="B10268" s="118" t="s">
        <v>226</v>
      </c>
      <c r="C10268" s="118" t="s">
        <v>206</v>
      </c>
      <c r="D10268" s="152" t="s">
        <v>11707</v>
      </c>
      <c r="E10268" s="152" t="s">
        <v>11796</v>
      </c>
      <c r="F10268" s="152" t="s">
        <v>2005</v>
      </c>
      <c r="G10268" s="152" t="s">
        <v>10274</v>
      </c>
      <c r="H10268" s="153" t="s">
        <v>214</v>
      </c>
    </row>
    <row r="10269" hidden="1">
      <c r="A10269" s="154" t="s">
        <v>225</v>
      </c>
      <c r="B10269" s="155" t="s">
        <v>226</v>
      </c>
      <c r="C10269" s="155" t="s">
        <v>206</v>
      </c>
      <c r="D10269" s="156" t="s">
        <v>11707</v>
      </c>
      <c r="E10269" s="156" t="s">
        <v>11797</v>
      </c>
      <c r="F10269" s="156" t="s">
        <v>1931</v>
      </c>
      <c r="G10269" s="156" t="s">
        <v>11102</v>
      </c>
      <c r="H10269" s="157" t="s">
        <v>215</v>
      </c>
    </row>
    <row r="10270" hidden="1">
      <c r="A10270" s="151" t="s">
        <v>225</v>
      </c>
      <c r="B10270" s="118" t="s">
        <v>226</v>
      </c>
      <c r="C10270" s="118" t="s">
        <v>206</v>
      </c>
      <c r="D10270" s="152" t="s">
        <v>11707</v>
      </c>
      <c r="E10270" s="152" t="s">
        <v>11798</v>
      </c>
      <c r="F10270" s="152" t="s">
        <v>5454</v>
      </c>
      <c r="G10270" s="152" t="s">
        <v>10534</v>
      </c>
      <c r="H10270" s="153" t="s">
        <v>216</v>
      </c>
    </row>
    <row r="10271" hidden="1">
      <c r="A10271" s="154" t="s">
        <v>227</v>
      </c>
      <c r="B10271" s="155" t="s">
        <v>195</v>
      </c>
      <c r="C10271" s="155" t="s">
        <v>206</v>
      </c>
      <c r="D10271" s="156" t="s">
        <v>11707</v>
      </c>
      <c r="E10271" s="156" t="s">
        <v>11799</v>
      </c>
      <c r="F10271" s="156" t="s">
        <v>7047</v>
      </c>
      <c r="G10271" s="156" t="s">
        <v>11800</v>
      </c>
      <c r="H10271" s="157" t="s">
        <v>210</v>
      </c>
    </row>
    <row r="10272" hidden="1">
      <c r="A10272" s="151" t="s">
        <v>227</v>
      </c>
      <c r="B10272" s="118" t="s">
        <v>195</v>
      </c>
      <c r="C10272" s="118" t="s">
        <v>206</v>
      </c>
      <c r="D10272" s="152" t="s">
        <v>11707</v>
      </c>
      <c r="E10272" s="152" t="s">
        <v>11801</v>
      </c>
      <c r="F10272" s="152" t="s">
        <v>6580</v>
      </c>
      <c r="G10272" s="152" t="s">
        <v>11802</v>
      </c>
      <c r="H10272" s="153" t="s">
        <v>211</v>
      </c>
    </row>
    <row r="10273" hidden="1">
      <c r="A10273" s="154" t="s">
        <v>227</v>
      </c>
      <c r="B10273" s="155" t="s">
        <v>195</v>
      </c>
      <c r="C10273" s="155" t="s">
        <v>206</v>
      </c>
      <c r="D10273" s="156" t="s">
        <v>11707</v>
      </c>
      <c r="E10273" s="156" t="s">
        <v>11803</v>
      </c>
      <c r="F10273" s="156" t="s">
        <v>2587</v>
      </c>
      <c r="G10273" s="156" t="s">
        <v>11804</v>
      </c>
      <c r="H10273" s="157" t="s">
        <v>212</v>
      </c>
    </row>
    <row r="10274" hidden="1">
      <c r="A10274" s="151" t="s">
        <v>227</v>
      </c>
      <c r="B10274" s="118" t="s">
        <v>195</v>
      </c>
      <c r="C10274" s="118" t="s">
        <v>206</v>
      </c>
      <c r="D10274" s="152" t="s">
        <v>11707</v>
      </c>
      <c r="E10274" s="152" t="s">
        <v>11805</v>
      </c>
      <c r="F10274" s="152" t="s">
        <v>1762</v>
      </c>
      <c r="G10274" s="152" t="s">
        <v>11806</v>
      </c>
      <c r="H10274" s="153" t="s">
        <v>213</v>
      </c>
    </row>
    <row r="10275" hidden="1">
      <c r="A10275" s="154" t="s">
        <v>227</v>
      </c>
      <c r="B10275" s="155" t="s">
        <v>195</v>
      </c>
      <c r="C10275" s="155" t="s">
        <v>206</v>
      </c>
      <c r="D10275" s="156" t="s">
        <v>11707</v>
      </c>
      <c r="E10275" s="156" t="s">
        <v>11807</v>
      </c>
      <c r="F10275" s="156" t="s">
        <v>11549</v>
      </c>
      <c r="G10275" s="156" t="s">
        <v>11036</v>
      </c>
      <c r="H10275" s="157" t="s">
        <v>214</v>
      </c>
    </row>
    <row r="10276" hidden="1">
      <c r="A10276" s="151" t="s">
        <v>227</v>
      </c>
      <c r="B10276" s="118" t="s">
        <v>195</v>
      </c>
      <c r="C10276" s="118" t="s">
        <v>206</v>
      </c>
      <c r="D10276" s="152" t="s">
        <v>11707</v>
      </c>
      <c r="E10276" s="152" t="s">
        <v>11808</v>
      </c>
      <c r="F10276" s="152" t="s">
        <v>6580</v>
      </c>
      <c r="G10276" s="152" t="s">
        <v>11809</v>
      </c>
      <c r="H10276" s="153" t="s">
        <v>215</v>
      </c>
    </row>
    <row r="10277" hidden="1">
      <c r="A10277" s="154" t="s">
        <v>227</v>
      </c>
      <c r="B10277" s="155" t="s">
        <v>195</v>
      </c>
      <c r="C10277" s="155" t="s">
        <v>206</v>
      </c>
      <c r="D10277" s="156" t="s">
        <v>11707</v>
      </c>
      <c r="E10277" s="156" t="s">
        <v>11810</v>
      </c>
      <c r="F10277" s="156" t="s">
        <v>1799</v>
      </c>
      <c r="G10277" s="156" t="s">
        <v>11811</v>
      </c>
      <c r="H10277" s="157" t="s">
        <v>216</v>
      </c>
    </row>
    <row r="10278" hidden="1">
      <c r="A10278" s="151" t="s">
        <v>228</v>
      </c>
      <c r="B10278" s="118" t="s">
        <v>138</v>
      </c>
      <c r="C10278" s="118" t="s">
        <v>206</v>
      </c>
      <c r="D10278" s="152" t="s">
        <v>11707</v>
      </c>
      <c r="E10278" s="152" t="s">
        <v>11812</v>
      </c>
      <c r="F10278" s="152" t="s">
        <v>1920</v>
      </c>
      <c r="G10278" s="152" t="s">
        <v>11813</v>
      </c>
      <c r="H10278" s="153" t="s">
        <v>210</v>
      </c>
    </row>
    <row r="10279" hidden="1">
      <c r="A10279" s="154" t="s">
        <v>228</v>
      </c>
      <c r="B10279" s="155" t="s">
        <v>138</v>
      </c>
      <c r="C10279" s="155" t="s">
        <v>206</v>
      </c>
      <c r="D10279" s="156" t="s">
        <v>11707</v>
      </c>
      <c r="E10279" s="156" t="s">
        <v>11814</v>
      </c>
      <c r="F10279" s="156" t="s">
        <v>760</v>
      </c>
      <c r="G10279" s="156" t="s">
        <v>10688</v>
      </c>
      <c r="H10279" s="157" t="s">
        <v>211</v>
      </c>
    </row>
    <row r="10280" hidden="1">
      <c r="A10280" s="151" t="s">
        <v>228</v>
      </c>
      <c r="B10280" s="118" t="s">
        <v>138</v>
      </c>
      <c r="C10280" s="118" t="s">
        <v>206</v>
      </c>
      <c r="D10280" s="152" t="s">
        <v>11707</v>
      </c>
      <c r="E10280" s="152" t="s">
        <v>11815</v>
      </c>
      <c r="F10280" s="152" t="s">
        <v>448</v>
      </c>
      <c r="G10280" s="152" t="s">
        <v>11427</v>
      </c>
      <c r="H10280" s="153" t="s">
        <v>212</v>
      </c>
    </row>
    <row r="10281" hidden="1">
      <c r="A10281" s="154" t="s">
        <v>228</v>
      </c>
      <c r="B10281" s="155" t="s">
        <v>138</v>
      </c>
      <c r="C10281" s="155" t="s">
        <v>206</v>
      </c>
      <c r="D10281" s="156" t="s">
        <v>11707</v>
      </c>
      <c r="E10281" s="156" t="s">
        <v>11816</v>
      </c>
      <c r="F10281" s="156" t="s">
        <v>2994</v>
      </c>
      <c r="G10281" s="156" t="s">
        <v>11505</v>
      </c>
      <c r="H10281" s="157" t="s">
        <v>213</v>
      </c>
    </row>
    <row r="10282" hidden="1">
      <c r="A10282" s="151" t="s">
        <v>228</v>
      </c>
      <c r="B10282" s="118" t="s">
        <v>138</v>
      </c>
      <c r="C10282" s="118" t="s">
        <v>206</v>
      </c>
      <c r="D10282" s="152" t="s">
        <v>11707</v>
      </c>
      <c r="E10282" s="152" t="s">
        <v>11817</v>
      </c>
      <c r="F10282" s="152" t="s">
        <v>448</v>
      </c>
      <c r="G10282" s="152" t="s">
        <v>10340</v>
      </c>
      <c r="H10282" s="153" t="s">
        <v>214</v>
      </c>
    </row>
    <row r="10283" hidden="1">
      <c r="A10283" s="154" t="s">
        <v>228</v>
      </c>
      <c r="B10283" s="155" t="s">
        <v>138</v>
      </c>
      <c r="C10283" s="155" t="s">
        <v>206</v>
      </c>
      <c r="D10283" s="156" t="s">
        <v>11707</v>
      </c>
      <c r="E10283" s="156" t="s">
        <v>11818</v>
      </c>
      <c r="F10283" s="156" t="s">
        <v>425</v>
      </c>
      <c r="G10283" s="156" t="s">
        <v>10520</v>
      </c>
      <c r="H10283" s="157" t="s">
        <v>215</v>
      </c>
    </row>
    <row r="10284" hidden="1">
      <c r="A10284" s="151" t="s">
        <v>228</v>
      </c>
      <c r="B10284" s="118" t="s">
        <v>138</v>
      </c>
      <c r="C10284" s="118" t="s">
        <v>206</v>
      </c>
      <c r="D10284" s="152" t="s">
        <v>11707</v>
      </c>
      <c r="E10284" s="152" t="s">
        <v>11819</v>
      </c>
      <c r="F10284" s="152" t="s">
        <v>2228</v>
      </c>
      <c r="G10284" s="152" t="s">
        <v>10870</v>
      </c>
      <c r="H10284" s="153" t="s">
        <v>216</v>
      </c>
    </row>
    <row r="10285" hidden="1">
      <c r="A10285" s="154" t="s">
        <v>229</v>
      </c>
      <c r="B10285" s="155" t="s">
        <v>193</v>
      </c>
      <c r="C10285" s="155" t="s">
        <v>206</v>
      </c>
      <c r="D10285" s="156" t="s">
        <v>11707</v>
      </c>
      <c r="E10285" s="156" t="s">
        <v>11820</v>
      </c>
      <c r="F10285" s="156" t="s">
        <v>1986</v>
      </c>
      <c r="G10285" s="156" t="s">
        <v>11821</v>
      </c>
      <c r="H10285" s="157" t="s">
        <v>210</v>
      </c>
    </row>
    <row r="10286" hidden="1">
      <c r="A10286" s="151" t="s">
        <v>229</v>
      </c>
      <c r="B10286" s="118" t="s">
        <v>193</v>
      </c>
      <c r="C10286" s="118" t="s">
        <v>206</v>
      </c>
      <c r="D10286" s="152" t="s">
        <v>11707</v>
      </c>
      <c r="E10286" s="152" t="s">
        <v>11822</v>
      </c>
      <c r="F10286" s="152" t="s">
        <v>3254</v>
      </c>
      <c r="G10286" s="152" t="s">
        <v>11823</v>
      </c>
      <c r="H10286" s="153" t="s">
        <v>211</v>
      </c>
    </row>
    <row r="10287" hidden="1">
      <c r="A10287" s="154" t="s">
        <v>229</v>
      </c>
      <c r="B10287" s="155" t="s">
        <v>193</v>
      </c>
      <c r="C10287" s="155" t="s">
        <v>206</v>
      </c>
      <c r="D10287" s="156" t="s">
        <v>11707</v>
      </c>
      <c r="E10287" s="156" t="s">
        <v>11824</v>
      </c>
      <c r="F10287" s="156" t="s">
        <v>633</v>
      </c>
      <c r="G10287" s="156" t="s">
        <v>11825</v>
      </c>
      <c r="H10287" s="157" t="s">
        <v>212</v>
      </c>
    </row>
    <row r="10288" hidden="1">
      <c r="A10288" s="151" t="s">
        <v>229</v>
      </c>
      <c r="B10288" s="118" t="s">
        <v>193</v>
      </c>
      <c r="C10288" s="118" t="s">
        <v>206</v>
      </c>
      <c r="D10288" s="152" t="s">
        <v>11707</v>
      </c>
      <c r="E10288" s="152" t="s">
        <v>11826</v>
      </c>
      <c r="F10288" s="152" t="s">
        <v>1989</v>
      </c>
      <c r="G10288" s="152" t="s">
        <v>11827</v>
      </c>
      <c r="H10288" s="153" t="s">
        <v>213</v>
      </c>
    </row>
    <row r="10289" hidden="1">
      <c r="A10289" s="154" t="s">
        <v>229</v>
      </c>
      <c r="B10289" s="155" t="s">
        <v>193</v>
      </c>
      <c r="C10289" s="155" t="s">
        <v>206</v>
      </c>
      <c r="D10289" s="156" t="s">
        <v>11707</v>
      </c>
      <c r="E10289" s="156" t="s">
        <v>11828</v>
      </c>
      <c r="F10289" s="156" t="s">
        <v>2654</v>
      </c>
      <c r="G10289" s="156" t="s">
        <v>11829</v>
      </c>
      <c r="H10289" s="157" t="s">
        <v>214</v>
      </c>
    </row>
    <row r="10290" hidden="1">
      <c r="A10290" s="151" t="s">
        <v>229</v>
      </c>
      <c r="B10290" s="118" t="s">
        <v>193</v>
      </c>
      <c r="C10290" s="118" t="s">
        <v>206</v>
      </c>
      <c r="D10290" s="152" t="s">
        <v>11707</v>
      </c>
      <c r="E10290" s="152" t="s">
        <v>11830</v>
      </c>
      <c r="F10290" s="152" t="s">
        <v>2175</v>
      </c>
      <c r="G10290" s="152" t="s">
        <v>11831</v>
      </c>
      <c r="H10290" s="153" t="s">
        <v>215</v>
      </c>
    </row>
    <row r="10291" hidden="1">
      <c r="A10291" s="154" t="s">
        <v>229</v>
      </c>
      <c r="B10291" s="155" t="s">
        <v>193</v>
      </c>
      <c r="C10291" s="155" t="s">
        <v>206</v>
      </c>
      <c r="D10291" s="156" t="s">
        <v>11707</v>
      </c>
      <c r="E10291" s="156" t="s">
        <v>11832</v>
      </c>
      <c r="F10291" s="156" t="s">
        <v>1765</v>
      </c>
      <c r="G10291" s="156" t="s">
        <v>11831</v>
      </c>
      <c r="H10291" s="157" t="s">
        <v>216</v>
      </c>
    </row>
    <row r="10292" hidden="1">
      <c r="A10292" s="151" t="s">
        <v>230</v>
      </c>
      <c r="B10292" s="118" t="s">
        <v>194</v>
      </c>
      <c r="C10292" s="118" t="s">
        <v>206</v>
      </c>
      <c r="D10292" s="152" t="s">
        <v>11707</v>
      </c>
      <c r="E10292" s="152" t="s">
        <v>11833</v>
      </c>
      <c r="F10292" s="152" t="s">
        <v>2173</v>
      </c>
      <c r="G10292" s="152" t="s">
        <v>11042</v>
      </c>
      <c r="H10292" s="153" t="s">
        <v>210</v>
      </c>
    </row>
    <row r="10293" hidden="1">
      <c r="A10293" s="154" t="s">
        <v>230</v>
      </c>
      <c r="B10293" s="155" t="s">
        <v>194</v>
      </c>
      <c r="C10293" s="155" t="s">
        <v>206</v>
      </c>
      <c r="D10293" s="156" t="s">
        <v>11707</v>
      </c>
      <c r="E10293" s="156" t="s">
        <v>11834</v>
      </c>
      <c r="F10293" s="156" t="s">
        <v>3293</v>
      </c>
      <c r="G10293" s="156" t="s">
        <v>9843</v>
      </c>
      <c r="H10293" s="157" t="s">
        <v>211</v>
      </c>
    </row>
    <row r="10294" hidden="1">
      <c r="A10294" s="151" t="s">
        <v>230</v>
      </c>
      <c r="B10294" s="118" t="s">
        <v>194</v>
      </c>
      <c r="C10294" s="118" t="s">
        <v>206</v>
      </c>
      <c r="D10294" s="152" t="s">
        <v>11707</v>
      </c>
      <c r="E10294" s="152" t="s">
        <v>11835</v>
      </c>
      <c r="F10294" s="152" t="s">
        <v>7374</v>
      </c>
      <c r="G10294" s="152" t="s">
        <v>11836</v>
      </c>
      <c r="H10294" s="153" t="s">
        <v>212</v>
      </c>
    </row>
    <row r="10295" hidden="1">
      <c r="A10295" s="154" t="s">
        <v>230</v>
      </c>
      <c r="B10295" s="155" t="s">
        <v>194</v>
      </c>
      <c r="C10295" s="155" t="s">
        <v>206</v>
      </c>
      <c r="D10295" s="156" t="s">
        <v>11707</v>
      </c>
      <c r="E10295" s="156" t="s">
        <v>11837</v>
      </c>
      <c r="F10295" s="156" t="s">
        <v>230</v>
      </c>
      <c r="G10295" s="156" t="s">
        <v>11550</v>
      </c>
      <c r="H10295" s="157" t="s">
        <v>213</v>
      </c>
    </row>
    <row r="10296" hidden="1">
      <c r="A10296" s="151" t="s">
        <v>230</v>
      </c>
      <c r="B10296" s="118" t="s">
        <v>194</v>
      </c>
      <c r="C10296" s="118" t="s">
        <v>206</v>
      </c>
      <c r="D10296" s="152" t="s">
        <v>11707</v>
      </c>
      <c r="E10296" s="152" t="s">
        <v>11838</v>
      </c>
      <c r="F10296" s="152" t="s">
        <v>9508</v>
      </c>
      <c r="G10296" s="152" t="s">
        <v>11111</v>
      </c>
      <c r="H10296" s="153" t="s">
        <v>214</v>
      </c>
    </row>
    <row r="10297" hidden="1">
      <c r="A10297" s="154" t="s">
        <v>230</v>
      </c>
      <c r="B10297" s="155" t="s">
        <v>194</v>
      </c>
      <c r="C10297" s="155" t="s">
        <v>206</v>
      </c>
      <c r="D10297" s="156" t="s">
        <v>11707</v>
      </c>
      <c r="E10297" s="156" t="s">
        <v>11839</v>
      </c>
      <c r="F10297" s="156" t="s">
        <v>1781</v>
      </c>
      <c r="G10297" s="156" t="s">
        <v>11550</v>
      </c>
      <c r="H10297" s="157" t="s">
        <v>215</v>
      </c>
    </row>
    <row r="10298" hidden="1">
      <c r="A10298" s="151" t="s">
        <v>230</v>
      </c>
      <c r="B10298" s="118" t="s">
        <v>194</v>
      </c>
      <c r="C10298" s="118" t="s">
        <v>206</v>
      </c>
      <c r="D10298" s="152" t="s">
        <v>11707</v>
      </c>
      <c r="E10298" s="152" t="s">
        <v>11840</v>
      </c>
      <c r="F10298" s="152" t="s">
        <v>1769</v>
      </c>
      <c r="G10298" s="152" t="s">
        <v>10691</v>
      </c>
      <c r="H10298" s="153" t="s">
        <v>216</v>
      </c>
    </row>
    <row r="10299" hidden="1">
      <c r="A10299" s="158" t="s">
        <v>231</v>
      </c>
      <c r="B10299" s="159"/>
      <c r="C10299" s="155" t="s">
        <v>232</v>
      </c>
      <c r="D10299" s="156" t="s">
        <v>11707</v>
      </c>
      <c r="E10299" s="156" t="s">
        <v>11841</v>
      </c>
      <c r="F10299" s="156" t="s">
        <v>1804</v>
      </c>
      <c r="G10299" s="156" t="s">
        <v>11790</v>
      </c>
      <c r="H10299" s="157" t="s">
        <v>210</v>
      </c>
    </row>
    <row r="10300" hidden="1">
      <c r="A10300" s="160" t="s">
        <v>231</v>
      </c>
      <c r="B10300" s="72"/>
      <c r="C10300" s="118" t="s">
        <v>232</v>
      </c>
      <c r="D10300" s="152" t="s">
        <v>11707</v>
      </c>
      <c r="E10300" s="152" t="s">
        <v>11842</v>
      </c>
      <c r="F10300" s="152" t="s">
        <v>11549</v>
      </c>
      <c r="G10300" s="152" t="s">
        <v>10375</v>
      </c>
      <c r="H10300" s="153" t="s">
        <v>211</v>
      </c>
    </row>
    <row r="10301" hidden="1">
      <c r="A10301" s="158" t="s">
        <v>231</v>
      </c>
      <c r="B10301" s="159"/>
      <c r="C10301" s="155" t="s">
        <v>232</v>
      </c>
      <c r="D10301" s="156" t="s">
        <v>11707</v>
      </c>
      <c r="E10301" s="156" t="s">
        <v>11843</v>
      </c>
      <c r="F10301" s="156" t="s">
        <v>9662</v>
      </c>
      <c r="G10301" s="156" t="s">
        <v>11565</v>
      </c>
      <c r="H10301" s="157" t="s">
        <v>212</v>
      </c>
    </row>
    <row r="10302" hidden="1">
      <c r="A10302" s="160" t="s">
        <v>231</v>
      </c>
      <c r="B10302" s="72"/>
      <c r="C10302" s="118" t="s">
        <v>232</v>
      </c>
      <c r="D10302" s="152" t="s">
        <v>11707</v>
      </c>
      <c r="E10302" s="152" t="s">
        <v>11844</v>
      </c>
      <c r="F10302" s="152" t="s">
        <v>9480</v>
      </c>
      <c r="G10302" s="152" t="s">
        <v>11596</v>
      </c>
      <c r="H10302" s="153" t="s">
        <v>213</v>
      </c>
    </row>
    <row r="10303" hidden="1">
      <c r="A10303" s="158" t="s">
        <v>231</v>
      </c>
      <c r="B10303" s="159"/>
      <c r="C10303" s="155" t="s">
        <v>232</v>
      </c>
      <c r="D10303" s="156" t="s">
        <v>11707</v>
      </c>
      <c r="E10303" s="156" t="s">
        <v>11845</v>
      </c>
      <c r="F10303" s="156" t="s">
        <v>1986</v>
      </c>
      <c r="G10303" s="156" t="s">
        <v>10710</v>
      </c>
      <c r="H10303" s="157" t="s">
        <v>214</v>
      </c>
    </row>
    <row r="10304" hidden="1">
      <c r="A10304" s="160" t="s">
        <v>231</v>
      </c>
      <c r="B10304" s="72"/>
      <c r="C10304" s="118" t="s">
        <v>232</v>
      </c>
      <c r="D10304" s="152" t="s">
        <v>11707</v>
      </c>
      <c r="E10304" s="152" t="s">
        <v>11846</v>
      </c>
      <c r="F10304" s="152" t="s">
        <v>1762</v>
      </c>
      <c r="G10304" s="152" t="s">
        <v>11714</v>
      </c>
      <c r="H10304" s="153" t="s">
        <v>215</v>
      </c>
    </row>
    <row r="10305" hidden="1">
      <c r="A10305" s="158" t="s">
        <v>231</v>
      </c>
      <c r="B10305" s="159"/>
      <c r="C10305" s="155" t="s">
        <v>232</v>
      </c>
      <c r="D10305" s="156" t="s">
        <v>11707</v>
      </c>
      <c r="E10305" s="156" t="s">
        <v>11847</v>
      </c>
      <c r="F10305" s="156" t="s">
        <v>2404</v>
      </c>
      <c r="G10305" s="156" t="s">
        <v>10197</v>
      </c>
      <c r="H10305" s="157" t="s">
        <v>216</v>
      </c>
    </row>
    <row r="10306" hidden="1">
      <c r="A10306" s="160" t="s">
        <v>233</v>
      </c>
      <c r="B10306" s="72"/>
      <c r="C10306" s="118" t="s">
        <v>232</v>
      </c>
      <c r="D10306" s="152" t="s">
        <v>11707</v>
      </c>
      <c r="E10306" s="152" t="s">
        <v>11848</v>
      </c>
      <c r="F10306" s="152" t="s">
        <v>589</v>
      </c>
      <c r="G10306" s="152" t="s">
        <v>11849</v>
      </c>
      <c r="H10306" s="153" t="s">
        <v>210</v>
      </c>
    </row>
    <row r="10307" hidden="1">
      <c r="A10307" s="158" t="s">
        <v>233</v>
      </c>
      <c r="B10307" s="159"/>
      <c r="C10307" s="155" t="s">
        <v>232</v>
      </c>
      <c r="D10307" s="156" t="s">
        <v>11707</v>
      </c>
      <c r="E10307" s="156" t="s">
        <v>11850</v>
      </c>
      <c r="F10307" s="156" t="s">
        <v>2416</v>
      </c>
      <c r="G10307" s="156" t="s">
        <v>11851</v>
      </c>
      <c r="H10307" s="157" t="s">
        <v>211</v>
      </c>
    </row>
    <row r="10308" hidden="1">
      <c r="A10308" s="160" t="s">
        <v>233</v>
      </c>
      <c r="B10308" s="72"/>
      <c r="C10308" s="118" t="s">
        <v>232</v>
      </c>
      <c r="D10308" s="152" t="s">
        <v>11707</v>
      </c>
      <c r="E10308" s="152" t="s">
        <v>11852</v>
      </c>
      <c r="F10308" s="152" t="s">
        <v>2343</v>
      </c>
      <c r="G10308" s="152" t="s">
        <v>11853</v>
      </c>
      <c r="H10308" s="153" t="s">
        <v>212</v>
      </c>
    </row>
    <row r="10309" hidden="1">
      <c r="A10309" s="158" t="s">
        <v>233</v>
      </c>
      <c r="B10309" s="159"/>
      <c r="C10309" s="155" t="s">
        <v>232</v>
      </c>
      <c r="D10309" s="156" t="s">
        <v>11707</v>
      </c>
      <c r="E10309" s="156" t="s">
        <v>11854</v>
      </c>
      <c r="F10309" s="156" t="s">
        <v>11549</v>
      </c>
      <c r="G10309" s="156" t="s">
        <v>11855</v>
      </c>
      <c r="H10309" s="157" t="s">
        <v>213</v>
      </c>
    </row>
    <row r="10310" hidden="1">
      <c r="A10310" s="160" t="s">
        <v>233</v>
      </c>
      <c r="B10310" s="72"/>
      <c r="C10310" s="118" t="s">
        <v>232</v>
      </c>
      <c r="D10310" s="152" t="s">
        <v>11707</v>
      </c>
      <c r="E10310" s="152" t="s">
        <v>11856</v>
      </c>
      <c r="F10310" s="152" t="s">
        <v>2404</v>
      </c>
      <c r="G10310" s="152" t="s">
        <v>11657</v>
      </c>
      <c r="H10310" s="153" t="s">
        <v>214</v>
      </c>
    </row>
    <row r="10311" hidden="1">
      <c r="A10311" s="158" t="s">
        <v>233</v>
      </c>
      <c r="B10311" s="159"/>
      <c r="C10311" s="155" t="s">
        <v>232</v>
      </c>
      <c r="D10311" s="156" t="s">
        <v>11707</v>
      </c>
      <c r="E10311" s="156" t="s">
        <v>11857</v>
      </c>
      <c r="F10311" s="156" t="s">
        <v>7047</v>
      </c>
      <c r="G10311" s="156" t="s">
        <v>11858</v>
      </c>
      <c r="H10311" s="157" t="s">
        <v>215</v>
      </c>
    </row>
    <row r="10312" hidden="1">
      <c r="A10312" s="160" t="s">
        <v>233</v>
      </c>
      <c r="B10312" s="72"/>
      <c r="C10312" s="118" t="s">
        <v>232</v>
      </c>
      <c r="D10312" s="152" t="s">
        <v>11707</v>
      </c>
      <c r="E10312" s="152" t="s">
        <v>11859</v>
      </c>
      <c r="F10312" s="152" t="s">
        <v>9464</v>
      </c>
      <c r="G10312" s="152" t="s">
        <v>11659</v>
      </c>
      <c r="H10312" s="153" t="s">
        <v>216</v>
      </c>
    </row>
    <row r="10313" hidden="1">
      <c r="A10313" s="158" t="s">
        <v>234</v>
      </c>
      <c r="B10313" s="159"/>
      <c r="C10313" s="155" t="s">
        <v>232</v>
      </c>
      <c r="D10313" s="156" t="s">
        <v>11707</v>
      </c>
      <c r="E10313" s="156" t="s">
        <v>11860</v>
      </c>
      <c r="F10313" s="156" t="s">
        <v>3340</v>
      </c>
      <c r="G10313" s="156" t="s">
        <v>11635</v>
      </c>
      <c r="H10313" s="157" t="s">
        <v>210</v>
      </c>
    </row>
    <row r="10314" hidden="1">
      <c r="A10314" s="160" t="s">
        <v>234</v>
      </c>
      <c r="B10314" s="72"/>
      <c r="C10314" s="118" t="s">
        <v>232</v>
      </c>
      <c r="D10314" s="152" t="s">
        <v>11707</v>
      </c>
      <c r="E10314" s="152" t="s">
        <v>11861</v>
      </c>
      <c r="F10314" s="152" t="s">
        <v>675</v>
      </c>
      <c r="G10314" s="152" t="s">
        <v>10849</v>
      </c>
      <c r="H10314" s="153" t="s">
        <v>211</v>
      </c>
    </row>
    <row r="10315" hidden="1">
      <c r="A10315" s="158" t="s">
        <v>234</v>
      </c>
      <c r="B10315" s="159"/>
      <c r="C10315" s="155" t="s">
        <v>232</v>
      </c>
      <c r="D10315" s="156" t="s">
        <v>11707</v>
      </c>
      <c r="E10315" s="156" t="s">
        <v>11862</v>
      </c>
      <c r="F10315" s="156" t="s">
        <v>3625</v>
      </c>
      <c r="G10315" s="156" t="s">
        <v>11863</v>
      </c>
      <c r="H10315" s="157" t="s">
        <v>212</v>
      </c>
    </row>
    <row r="10316" hidden="1">
      <c r="A10316" s="160" t="s">
        <v>234</v>
      </c>
      <c r="B10316" s="72"/>
      <c r="C10316" s="118" t="s">
        <v>232</v>
      </c>
      <c r="D10316" s="152" t="s">
        <v>11707</v>
      </c>
      <c r="E10316" s="152" t="s">
        <v>11864</v>
      </c>
      <c r="F10316" s="152" t="s">
        <v>228</v>
      </c>
      <c r="G10316" s="152" t="s">
        <v>9834</v>
      </c>
      <c r="H10316" s="153" t="s">
        <v>213</v>
      </c>
    </row>
    <row r="10317" hidden="1">
      <c r="A10317" s="158" t="s">
        <v>234</v>
      </c>
      <c r="B10317" s="159"/>
      <c r="C10317" s="155" t="s">
        <v>232</v>
      </c>
      <c r="D10317" s="156" t="s">
        <v>11707</v>
      </c>
      <c r="E10317" s="156" t="s">
        <v>11865</v>
      </c>
      <c r="F10317" s="156" t="s">
        <v>780</v>
      </c>
      <c r="G10317" s="156" t="s">
        <v>10612</v>
      </c>
      <c r="H10317" s="157" t="s">
        <v>214</v>
      </c>
    </row>
    <row r="10318" hidden="1">
      <c r="A10318" s="160" t="s">
        <v>234</v>
      </c>
      <c r="B10318" s="72"/>
      <c r="C10318" s="118" t="s">
        <v>232</v>
      </c>
      <c r="D10318" s="152" t="s">
        <v>11707</v>
      </c>
      <c r="E10318" s="152" t="s">
        <v>11866</v>
      </c>
      <c r="F10318" s="152" t="s">
        <v>3150</v>
      </c>
      <c r="G10318" s="152" t="s">
        <v>11514</v>
      </c>
      <c r="H10318" s="153" t="s">
        <v>215</v>
      </c>
    </row>
    <row r="10319" hidden="1">
      <c r="A10319" s="158" t="s">
        <v>234</v>
      </c>
      <c r="B10319" s="159"/>
      <c r="C10319" s="155" t="s">
        <v>232</v>
      </c>
      <c r="D10319" s="156" t="s">
        <v>11707</v>
      </c>
      <c r="E10319" s="156" t="s">
        <v>11867</v>
      </c>
      <c r="F10319" s="156" t="s">
        <v>3243</v>
      </c>
      <c r="G10319" s="156" t="s">
        <v>11556</v>
      </c>
      <c r="H10319" s="157" t="s">
        <v>216</v>
      </c>
    </row>
    <row r="10320" hidden="1">
      <c r="A10320" s="160" t="s">
        <v>235</v>
      </c>
      <c r="B10320" s="72"/>
      <c r="C10320" s="118" t="s">
        <v>236</v>
      </c>
      <c r="D10320" s="152" t="s">
        <v>11707</v>
      </c>
      <c r="E10320" s="152" t="s">
        <v>11868</v>
      </c>
      <c r="F10320" s="152" t="s">
        <v>3254</v>
      </c>
      <c r="G10320" s="152" t="s">
        <v>11360</v>
      </c>
      <c r="H10320" s="153" t="s">
        <v>210</v>
      </c>
    </row>
    <row r="10321" hidden="1">
      <c r="A10321" s="158" t="s">
        <v>235</v>
      </c>
      <c r="B10321" s="159"/>
      <c r="C10321" s="155" t="s">
        <v>236</v>
      </c>
      <c r="D10321" s="156" t="s">
        <v>11707</v>
      </c>
      <c r="E10321" s="156" t="s">
        <v>11869</v>
      </c>
      <c r="F10321" s="156" t="s">
        <v>1986</v>
      </c>
      <c r="G10321" s="156" t="s">
        <v>10371</v>
      </c>
      <c r="H10321" s="157" t="s">
        <v>211</v>
      </c>
    </row>
    <row r="10322" hidden="1">
      <c r="A10322" s="160" t="s">
        <v>235</v>
      </c>
      <c r="B10322" s="72"/>
      <c r="C10322" s="118" t="s">
        <v>236</v>
      </c>
      <c r="D10322" s="152" t="s">
        <v>11707</v>
      </c>
      <c r="E10322" s="152" t="s">
        <v>11870</v>
      </c>
      <c r="F10322" s="152" t="s">
        <v>1784</v>
      </c>
      <c r="G10322" s="152" t="s">
        <v>11871</v>
      </c>
      <c r="H10322" s="153" t="s">
        <v>212</v>
      </c>
    </row>
    <row r="10323" hidden="1">
      <c r="A10323" s="158" t="s">
        <v>235</v>
      </c>
      <c r="B10323" s="159"/>
      <c r="C10323" s="155" t="s">
        <v>236</v>
      </c>
      <c r="D10323" s="156" t="s">
        <v>11707</v>
      </c>
      <c r="E10323" s="156" t="s">
        <v>11872</v>
      </c>
      <c r="F10323" s="156" t="s">
        <v>1986</v>
      </c>
      <c r="G10323" s="156" t="s">
        <v>11873</v>
      </c>
      <c r="H10323" s="157" t="s">
        <v>213</v>
      </c>
    </row>
    <row r="10324" hidden="1">
      <c r="A10324" s="160" t="s">
        <v>235</v>
      </c>
      <c r="B10324" s="72"/>
      <c r="C10324" s="118" t="s">
        <v>236</v>
      </c>
      <c r="D10324" s="152" t="s">
        <v>11707</v>
      </c>
      <c r="E10324" s="152" t="s">
        <v>11874</v>
      </c>
      <c r="F10324" s="152" t="s">
        <v>2249</v>
      </c>
      <c r="G10324" s="152" t="s">
        <v>11875</v>
      </c>
      <c r="H10324" s="153" t="s">
        <v>214</v>
      </c>
    </row>
    <row r="10325" hidden="1">
      <c r="A10325" s="158" t="s">
        <v>235</v>
      </c>
      <c r="B10325" s="159"/>
      <c r="C10325" s="155" t="s">
        <v>236</v>
      </c>
      <c r="D10325" s="156" t="s">
        <v>11707</v>
      </c>
      <c r="E10325" s="156" t="s">
        <v>11876</v>
      </c>
      <c r="F10325" s="156" t="s">
        <v>2404</v>
      </c>
      <c r="G10325" s="156" t="s">
        <v>11877</v>
      </c>
      <c r="H10325" s="157" t="s">
        <v>215</v>
      </c>
    </row>
    <row r="10326" hidden="1">
      <c r="A10326" s="160" t="s">
        <v>235</v>
      </c>
      <c r="B10326" s="72"/>
      <c r="C10326" s="118" t="s">
        <v>236</v>
      </c>
      <c r="D10326" s="152" t="s">
        <v>11707</v>
      </c>
      <c r="E10326" s="152" t="s">
        <v>11878</v>
      </c>
      <c r="F10326" s="152" t="s">
        <v>2587</v>
      </c>
      <c r="G10326" s="152" t="s">
        <v>11879</v>
      </c>
      <c r="H10326" s="153" t="s">
        <v>216</v>
      </c>
    </row>
    <row r="10327" hidden="1">
      <c r="A10327" s="158" t="s">
        <v>237</v>
      </c>
      <c r="B10327" s="159"/>
      <c r="C10327" s="155" t="s">
        <v>236</v>
      </c>
      <c r="D10327" s="156" t="s">
        <v>11707</v>
      </c>
      <c r="E10327" s="156" t="s">
        <v>11880</v>
      </c>
      <c r="F10327" s="156" t="s">
        <v>1781</v>
      </c>
      <c r="G10327" s="156" t="s">
        <v>10540</v>
      </c>
      <c r="H10327" s="157" t="s">
        <v>210</v>
      </c>
    </row>
    <row r="10328" hidden="1">
      <c r="A10328" s="160" t="s">
        <v>237</v>
      </c>
      <c r="B10328" s="72"/>
      <c r="C10328" s="118" t="s">
        <v>236</v>
      </c>
      <c r="D10328" s="152" t="s">
        <v>11707</v>
      </c>
      <c r="E10328" s="152" t="s">
        <v>11881</v>
      </c>
      <c r="F10328" s="152" t="s">
        <v>2218</v>
      </c>
      <c r="G10328" s="152" t="s">
        <v>11882</v>
      </c>
      <c r="H10328" s="153" t="s">
        <v>211</v>
      </c>
    </row>
    <row r="10329" hidden="1">
      <c r="A10329" s="158" t="s">
        <v>237</v>
      </c>
      <c r="B10329" s="159"/>
      <c r="C10329" s="155" t="s">
        <v>236</v>
      </c>
      <c r="D10329" s="156" t="s">
        <v>11707</v>
      </c>
      <c r="E10329" s="156" t="s">
        <v>11883</v>
      </c>
      <c r="F10329" s="156" t="s">
        <v>2005</v>
      </c>
      <c r="G10329" s="156" t="s">
        <v>9920</v>
      </c>
      <c r="H10329" s="157" t="s">
        <v>212</v>
      </c>
    </row>
    <row r="10330" hidden="1">
      <c r="A10330" s="160" t="s">
        <v>237</v>
      </c>
      <c r="B10330" s="72"/>
      <c r="C10330" s="118" t="s">
        <v>236</v>
      </c>
      <c r="D10330" s="152" t="s">
        <v>11707</v>
      </c>
      <c r="E10330" s="152" t="s">
        <v>11884</v>
      </c>
      <c r="F10330" s="152" t="s">
        <v>9508</v>
      </c>
      <c r="G10330" s="152" t="s">
        <v>11885</v>
      </c>
      <c r="H10330" s="153" t="s">
        <v>213</v>
      </c>
    </row>
    <row r="10331" hidden="1">
      <c r="A10331" s="158" t="s">
        <v>237</v>
      </c>
      <c r="B10331" s="159"/>
      <c r="C10331" s="155" t="s">
        <v>236</v>
      </c>
      <c r="D10331" s="156" t="s">
        <v>11707</v>
      </c>
      <c r="E10331" s="156" t="s">
        <v>11886</v>
      </c>
      <c r="F10331" s="156" t="s">
        <v>3150</v>
      </c>
      <c r="G10331" s="156" t="s">
        <v>10518</v>
      </c>
      <c r="H10331" s="157" t="s">
        <v>214</v>
      </c>
    </row>
    <row r="10332" hidden="1">
      <c r="A10332" s="160" t="s">
        <v>237</v>
      </c>
      <c r="B10332" s="72"/>
      <c r="C10332" s="118" t="s">
        <v>236</v>
      </c>
      <c r="D10332" s="152" t="s">
        <v>11707</v>
      </c>
      <c r="E10332" s="152" t="s">
        <v>11887</v>
      </c>
      <c r="F10332" s="152" t="s">
        <v>2512</v>
      </c>
      <c r="G10332" s="152" t="s">
        <v>11675</v>
      </c>
      <c r="H10332" s="153" t="s">
        <v>215</v>
      </c>
    </row>
    <row r="10333" hidden="1">
      <c r="A10333" s="158" t="s">
        <v>237</v>
      </c>
      <c r="B10333" s="159"/>
      <c r="C10333" s="155" t="s">
        <v>236</v>
      </c>
      <c r="D10333" s="156" t="s">
        <v>11707</v>
      </c>
      <c r="E10333" s="156" t="s">
        <v>11888</v>
      </c>
      <c r="F10333" s="156" t="s">
        <v>2407</v>
      </c>
      <c r="G10333" s="156" t="s">
        <v>11889</v>
      </c>
      <c r="H10333" s="157" t="s">
        <v>216</v>
      </c>
    </row>
    <row r="10334" hidden="1">
      <c r="A10334" s="151" t="s">
        <v>204</v>
      </c>
      <c r="B10334" s="118" t="s">
        <v>205</v>
      </c>
      <c r="C10334" s="118" t="s">
        <v>206</v>
      </c>
      <c r="D10334" s="152" t="s">
        <v>11890</v>
      </c>
      <c r="E10334" s="152" t="s">
        <v>11891</v>
      </c>
      <c r="F10334" s="152" t="s">
        <v>730</v>
      </c>
      <c r="G10334" s="152" t="s">
        <v>11044</v>
      </c>
      <c r="H10334" s="153" t="s">
        <v>210</v>
      </c>
    </row>
    <row r="10335" hidden="1">
      <c r="A10335" s="154" t="s">
        <v>204</v>
      </c>
      <c r="B10335" s="155" t="s">
        <v>205</v>
      </c>
      <c r="C10335" s="155" t="s">
        <v>206</v>
      </c>
      <c r="D10335" s="156" t="s">
        <v>11890</v>
      </c>
      <c r="E10335" s="156" t="s">
        <v>11892</v>
      </c>
      <c r="F10335" s="156" t="s">
        <v>3243</v>
      </c>
      <c r="G10335" s="156" t="s">
        <v>11851</v>
      </c>
      <c r="H10335" s="157" t="s">
        <v>211</v>
      </c>
    </row>
    <row r="10336" hidden="1">
      <c r="A10336" s="151" t="s">
        <v>204</v>
      </c>
      <c r="B10336" s="118" t="s">
        <v>205</v>
      </c>
      <c r="C10336" s="118" t="s">
        <v>206</v>
      </c>
      <c r="D10336" s="152" t="s">
        <v>11890</v>
      </c>
      <c r="E10336" s="152" t="s">
        <v>11893</v>
      </c>
      <c r="F10336" s="152" t="s">
        <v>3340</v>
      </c>
      <c r="G10336" s="152" t="s">
        <v>11637</v>
      </c>
      <c r="H10336" s="153" t="s">
        <v>212</v>
      </c>
    </row>
    <row r="10337" hidden="1">
      <c r="A10337" s="154" t="s">
        <v>204</v>
      </c>
      <c r="B10337" s="155" t="s">
        <v>205</v>
      </c>
      <c r="C10337" s="155" t="s">
        <v>206</v>
      </c>
      <c r="D10337" s="156" t="s">
        <v>11890</v>
      </c>
      <c r="E10337" s="156" t="s">
        <v>11894</v>
      </c>
      <c r="F10337" s="156" t="s">
        <v>2215</v>
      </c>
      <c r="G10337" s="156" t="s">
        <v>11802</v>
      </c>
      <c r="H10337" s="157" t="s">
        <v>213</v>
      </c>
    </row>
    <row r="10338" hidden="1">
      <c r="A10338" s="151" t="s">
        <v>204</v>
      </c>
      <c r="B10338" s="118" t="s">
        <v>205</v>
      </c>
      <c r="C10338" s="118" t="s">
        <v>206</v>
      </c>
      <c r="D10338" s="152" t="s">
        <v>11890</v>
      </c>
      <c r="E10338" s="152" t="s">
        <v>11895</v>
      </c>
      <c r="F10338" s="152" t="s">
        <v>3340</v>
      </c>
      <c r="G10338" s="152" t="s">
        <v>11896</v>
      </c>
      <c r="H10338" s="153" t="s">
        <v>214</v>
      </c>
    </row>
    <row r="10339" hidden="1">
      <c r="A10339" s="154" t="s">
        <v>204</v>
      </c>
      <c r="B10339" s="155" t="s">
        <v>205</v>
      </c>
      <c r="C10339" s="155" t="s">
        <v>206</v>
      </c>
      <c r="D10339" s="156" t="s">
        <v>11890</v>
      </c>
      <c r="E10339" s="156" t="s">
        <v>11897</v>
      </c>
      <c r="F10339" s="156" t="s">
        <v>1790</v>
      </c>
      <c r="G10339" s="156" t="s">
        <v>11199</v>
      </c>
      <c r="H10339" s="157" t="s">
        <v>215</v>
      </c>
    </row>
    <row r="10340" hidden="1">
      <c r="A10340" s="151" t="s">
        <v>204</v>
      </c>
      <c r="B10340" s="118" t="s">
        <v>205</v>
      </c>
      <c r="C10340" s="118" t="s">
        <v>206</v>
      </c>
      <c r="D10340" s="152" t="s">
        <v>11890</v>
      </c>
      <c r="E10340" s="152" t="s">
        <v>11898</v>
      </c>
      <c r="F10340" s="152" t="s">
        <v>3243</v>
      </c>
      <c r="G10340" s="152" t="s">
        <v>11871</v>
      </c>
      <c r="H10340" s="153" t="s">
        <v>216</v>
      </c>
    </row>
    <row r="10341" hidden="1">
      <c r="A10341" s="154" t="s">
        <v>217</v>
      </c>
      <c r="B10341" s="155" t="s">
        <v>191</v>
      </c>
      <c r="C10341" s="155" t="s">
        <v>206</v>
      </c>
      <c r="D10341" s="156" t="s">
        <v>11890</v>
      </c>
      <c r="E10341" s="156" t="s">
        <v>11899</v>
      </c>
      <c r="F10341" s="156" t="s">
        <v>675</v>
      </c>
      <c r="G10341" s="156" t="s">
        <v>11900</v>
      </c>
      <c r="H10341" s="157" t="s">
        <v>210</v>
      </c>
    </row>
    <row r="10342" hidden="1">
      <c r="A10342" s="151" t="s">
        <v>217</v>
      </c>
      <c r="B10342" s="118" t="s">
        <v>191</v>
      </c>
      <c r="C10342" s="118" t="s">
        <v>206</v>
      </c>
      <c r="D10342" s="152" t="s">
        <v>11890</v>
      </c>
      <c r="E10342" s="152" t="s">
        <v>11901</v>
      </c>
      <c r="F10342" s="152" t="s">
        <v>348</v>
      </c>
      <c r="G10342" s="152" t="s">
        <v>11902</v>
      </c>
      <c r="H10342" s="153" t="s">
        <v>211</v>
      </c>
    </row>
    <row r="10343" hidden="1">
      <c r="A10343" s="154" t="s">
        <v>217</v>
      </c>
      <c r="B10343" s="155" t="s">
        <v>191</v>
      </c>
      <c r="C10343" s="155" t="s">
        <v>206</v>
      </c>
      <c r="D10343" s="156" t="s">
        <v>11890</v>
      </c>
      <c r="E10343" s="156" t="s">
        <v>11903</v>
      </c>
      <c r="F10343" s="156" t="s">
        <v>673</v>
      </c>
      <c r="G10343" s="156" t="s">
        <v>11207</v>
      </c>
      <c r="H10343" s="157" t="s">
        <v>212</v>
      </c>
    </row>
    <row r="10344" hidden="1">
      <c r="A10344" s="151" t="s">
        <v>217</v>
      </c>
      <c r="B10344" s="118" t="s">
        <v>191</v>
      </c>
      <c r="C10344" s="118" t="s">
        <v>206</v>
      </c>
      <c r="D10344" s="152" t="s">
        <v>11890</v>
      </c>
      <c r="E10344" s="152" t="s">
        <v>11904</v>
      </c>
      <c r="F10344" s="152" t="s">
        <v>766</v>
      </c>
      <c r="G10344" s="152" t="s">
        <v>11905</v>
      </c>
      <c r="H10344" s="153" t="s">
        <v>213</v>
      </c>
    </row>
    <row r="10345" hidden="1">
      <c r="A10345" s="154" t="s">
        <v>217</v>
      </c>
      <c r="B10345" s="155" t="s">
        <v>191</v>
      </c>
      <c r="C10345" s="155" t="s">
        <v>206</v>
      </c>
      <c r="D10345" s="156" t="s">
        <v>11890</v>
      </c>
      <c r="E10345" s="156" t="s">
        <v>11906</v>
      </c>
      <c r="F10345" s="156" t="s">
        <v>766</v>
      </c>
      <c r="G10345" s="156" t="s">
        <v>11907</v>
      </c>
      <c r="H10345" s="157" t="s">
        <v>214</v>
      </c>
    </row>
    <row r="10346" hidden="1">
      <c r="A10346" s="151" t="s">
        <v>217</v>
      </c>
      <c r="B10346" s="118" t="s">
        <v>191</v>
      </c>
      <c r="C10346" s="118" t="s">
        <v>206</v>
      </c>
      <c r="D10346" s="152" t="s">
        <v>11890</v>
      </c>
      <c r="E10346" s="152" t="s">
        <v>11908</v>
      </c>
      <c r="F10346" s="152" t="s">
        <v>3340</v>
      </c>
      <c r="G10346" s="152" t="s">
        <v>11909</v>
      </c>
      <c r="H10346" s="153" t="s">
        <v>215</v>
      </c>
    </row>
    <row r="10347" hidden="1">
      <c r="A10347" s="154" t="s">
        <v>217</v>
      </c>
      <c r="B10347" s="155" t="s">
        <v>191</v>
      </c>
      <c r="C10347" s="155" t="s">
        <v>206</v>
      </c>
      <c r="D10347" s="156" t="s">
        <v>11890</v>
      </c>
      <c r="E10347" s="156" t="s">
        <v>11910</v>
      </c>
      <c r="F10347" s="156" t="s">
        <v>2215</v>
      </c>
      <c r="G10347" s="156" t="s">
        <v>11911</v>
      </c>
      <c r="H10347" s="157" t="s">
        <v>216</v>
      </c>
    </row>
    <row r="10348" hidden="1">
      <c r="A10348" s="151" t="s">
        <v>218</v>
      </c>
      <c r="B10348" s="118" t="s">
        <v>219</v>
      </c>
      <c r="C10348" s="118" t="s">
        <v>206</v>
      </c>
      <c r="D10348" s="152" t="s">
        <v>11890</v>
      </c>
      <c r="E10348" s="152" t="s">
        <v>11912</v>
      </c>
      <c r="F10348" s="152" t="s">
        <v>1920</v>
      </c>
      <c r="G10348" s="152" t="s">
        <v>11608</v>
      </c>
      <c r="H10348" s="153" t="s">
        <v>210</v>
      </c>
    </row>
    <row r="10349" hidden="1">
      <c r="A10349" s="154" t="s">
        <v>218</v>
      </c>
      <c r="B10349" s="155" t="s">
        <v>219</v>
      </c>
      <c r="C10349" s="155" t="s">
        <v>206</v>
      </c>
      <c r="D10349" s="156" t="s">
        <v>11890</v>
      </c>
      <c r="E10349" s="156" t="s">
        <v>11913</v>
      </c>
      <c r="F10349" s="156" t="s">
        <v>637</v>
      </c>
      <c r="G10349" s="156" t="s">
        <v>11877</v>
      </c>
      <c r="H10349" s="157" t="s">
        <v>211</v>
      </c>
    </row>
    <row r="10350" hidden="1">
      <c r="A10350" s="151" t="s">
        <v>218</v>
      </c>
      <c r="B10350" s="118" t="s">
        <v>219</v>
      </c>
      <c r="C10350" s="118" t="s">
        <v>206</v>
      </c>
      <c r="D10350" s="152" t="s">
        <v>11890</v>
      </c>
      <c r="E10350" s="152" t="s">
        <v>11914</v>
      </c>
      <c r="F10350" s="152" t="s">
        <v>3148</v>
      </c>
      <c r="G10350" s="152" t="s">
        <v>11915</v>
      </c>
      <c r="H10350" s="153" t="s">
        <v>212</v>
      </c>
    </row>
    <row r="10351" hidden="1">
      <c r="A10351" s="154" t="s">
        <v>218</v>
      </c>
      <c r="B10351" s="155" t="s">
        <v>219</v>
      </c>
      <c r="C10351" s="155" t="s">
        <v>206</v>
      </c>
      <c r="D10351" s="156" t="s">
        <v>11890</v>
      </c>
      <c r="E10351" s="156" t="s">
        <v>11916</v>
      </c>
      <c r="F10351" s="156" t="s">
        <v>587</v>
      </c>
      <c r="G10351" s="156" t="s">
        <v>11917</v>
      </c>
      <c r="H10351" s="157" t="s">
        <v>213</v>
      </c>
    </row>
    <row r="10352" hidden="1">
      <c r="A10352" s="151" t="s">
        <v>218</v>
      </c>
      <c r="B10352" s="118" t="s">
        <v>219</v>
      </c>
      <c r="C10352" s="118" t="s">
        <v>206</v>
      </c>
      <c r="D10352" s="152" t="s">
        <v>11890</v>
      </c>
      <c r="E10352" s="152" t="s">
        <v>11918</v>
      </c>
      <c r="F10352" s="152" t="s">
        <v>5454</v>
      </c>
      <c r="G10352" s="152" t="s">
        <v>10371</v>
      </c>
      <c r="H10352" s="153" t="s">
        <v>214</v>
      </c>
    </row>
    <row r="10353" hidden="1">
      <c r="A10353" s="154" t="s">
        <v>218</v>
      </c>
      <c r="B10353" s="155" t="s">
        <v>219</v>
      </c>
      <c r="C10353" s="155" t="s">
        <v>206</v>
      </c>
      <c r="D10353" s="156" t="s">
        <v>11890</v>
      </c>
      <c r="E10353" s="156" t="s">
        <v>11919</v>
      </c>
      <c r="F10353" s="156" t="s">
        <v>3150</v>
      </c>
      <c r="G10353" s="156" t="s">
        <v>11762</v>
      </c>
      <c r="H10353" s="157" t="s">
        <v>215</v>
      </c>
    </row>
    <row r="10354" hidden="1">
      <c r="A10354" s="151" t="s">
        <v>218</v>
      </c>
      <c r="B10354" s="118" t="s">
        <v>219</v>
      </c>
      <c r="C10354" s="118" t="s">
        <v>206</v>
      </c>
      <c r="D10354" s="152" t="s">
        <v>11890</v>
      </c>
      <c r="E10354" s="152" t="s">
        <v>11920</v>
      </c>
      <c r="F10354" s="152" t="s">
        <v>637</v>
      </c>
      <c r="G10354" s="152" t="s">
        <v>11875</v>
      </c>
      <c r="H10354" s="153" t="s">
        <v>216</v>
      </c>
    </row>
    <row r="10355" hidden="1">
      <c r="A10355" s="154" t="s">
        <v>220</v>
      </c>
      <c r="B10355" s="155" t="s">
        <v>190</v>
      </c>
      <c r="C10355" s="155" t="s">
        <v>206</v>
      </c>
      <c r="D10355" s="156" t="s">
        <v>11890</v>
      </c>
      <c r="E10355" s="156" t="s">
        <v>11921</v>
      </c>
      <c r="F10355" s="156" t="s">
        <v>2654</v>
      </c>
      <c r="G10355" s="156" t="s">
        <v>11922</v>
      </c>
      <c r="H10355" s="157" t="s">
        <v>210</v>
      </c>
    </row>
    <row r="10356" hidden="1">
      <c r="A10356" s="151" t="s">
        <v>220</v>
      </c>
      <c r="B10356" s="118" t="s">
        <v>190</v>
      </c>
      <c r="C10356" s="118" t="s">
        <v>206</v>
      </c>
      <c r="D10356" s="152" t="s">
        <v>11890</v>
      </c>
      <c r="E10356" s="152" t="s">
        <v>11923</v>
      </c>
      <c r="F10356" s="152" t="s">
        <v>230</v>
      </c>
      <c r="G10356" s="152" t="s">
        <v>10532</v>
      </c>
      <c r="H10356" s="153" t="s">
        <v>211</v>
      </c>
    </row>
    <row r="10357" hidden="1">
      <c r="A10357" s="154" t="s">
        <v>220</v>
      </c>
      <c r="B10357" s="155" t="s">
        <v>190</v>
      </c>
      <c r="C10357" s="155" t="s">
        <v>206</v>
      </c>
      <c r="D10357" s="156" t="s">
        <v>11890</v>
      </c>
      <c r="E10357" s="156" t="s">
        <v>11924</v>
      </c>
      <c r="F10357" s="156" t="s">
        <v>1920</v>
      </c>
      <c r="G10357" s="156" t="s">
        <v>11098</v>
      </c>
      <c r="H10357" s="157" t="s">
        <v>212</v>
      </c>
    </row>
    <row r="10358" hidden="1">
      <c r="A10358" s="151" t="s">
        <v>220</v>
      </c>
      <c r="B10358" s="118" t="s">
        <v>190</v>
      </c>
      <c r="C10358" s="118" t="s">
        <v>206</v>
      </c>
      <c r="D10358" s="152" t="s">
        <v>11890</v>
      </c>
      <c r="E10358" s="152" t="s">
        <v>11925</v>
      </c>
      <c r="F10358" s="152" t="s">
        <v>2339</v>
      </c>
      <c r="G10358" s="152" t="s">
        <v>9843</v>
      </c>
      <c r="H10358" s="153" t="s">
        <v>213</v>
      </c>
    </row>
    <row r="10359" hidden="1">
      <c r="A10359" s="154" t="s">
        <v>220</v>
      </c>
      <c r="B10359" s="155" t="s">
        <v>190</v>
      </c>
      <c r="C10359" s="155" t="s">
        <v>206</v>
      </c>
      <c r="D10359" s="156" t="s">
        <v>11890</v>
      </c>
      <c r="E10359" s="156" t="s">
        <v>11926</v>
      </c>
      <c r="F10359" s="156" t="s">
        <v>732</v>
      </c>
      <c r="G10359" s="156" t="s">
        <v>10942</v>
      </c>
      <c r="H10359" s="157" t="s">
        <v>214</v>
      </c>
    </row>
    <row r="10360" hidden="1">
      <c r="A10360" s="151" t="s">
        <v>220</v>
      </c>
      <c r="B10360" s="118" t="s">
        <v>190</v>
      </c>
      <c r="C10360" s="118" t="s">
        <v>206</v>
      </c>
      <c r="D10360" s="152" t="s">
        <v>11890</v>
      </c>
      <c r="E10360" s="152" t="s">
        <v>11927</v>
      </c>
      <c r="F10360" s="152" t="s">
        <v>292</v>
      </c>
      <c r="G10360" s="152" t="s">
        <v>11606</v>
      </c>
      <c r="H10360" s="153" t="s">
        <v>215</v>
      </c>
    </row>
    <row r="10361" hidden="1">
      <c r="A10361" s="154" t="s">
        <v>220</v>
      </c>
      <c r="B10361" s="155" t="s">
        <v>190</v>
      </c>
      <c r="C10361" s="155" t="s">
        <v>206</v>
      </c>
      <c r="D10361" s="156" t="s">
        <v>11890</v>
      </c>
      <c r="E10361" s="156" t="s">
        <v>11928</v>
      </c>
      <c r="F10361" s="156" t="s">
        <v>229</v>
      </c>
      <c r="G10361" s="156" t="s">
        <v>11610</v>
      </c>
      <c r="H10361" s="157" t="s">
        <v>216</v>
      </c>
    </row>
    <row r="10362" hidden="1">
      <c r="A10362" s="151" t="s">
        <v>221</v>
      </c>
      <c r="B10362" s="118" t="s">
        <v>189</v>
      </c>
      <c r="C10362" s="118" t="s">
        <v>206</v>
      </c>
      <c r="D10362" s="152" t="s">
        <v>11890</v>
      </c>
      <c r="E10362" s="152" t="s">
        <v>11929</v>
      </c>
      <c r="F10362" s="152" t="s">
        <v>587</v>
      </c>
      <c r="G10362" s="152" t="s">
        <v>11813</v>
      </c>
      <c r="H10362" s="153" t="s">
        <v>210</v>
      </c>
    </row>
    <row r="10363" hidden="1">
      <c r="A10363" s="154" t="s">
        <v>221</v>
      </c>
      <c r="B10363" s="155" t="s">
        <v>189</v>
      </c>
      <c r="C10363" s="155" t="s">
        <v>206</v>
      </c>
      <c r="D10363" s="156" t="s">
        <v>11890</v>
      </c>
      <c r="E10363" s="156" t="s">
        <v>11930</v>
      </c>
      <c r="F10363" s="156" t="s">
        <v>2215</v>
      </c>
      <c r="G10363" s="156" t="s">
        <v>11109</v>
      </c>
      <c r="H10363" s="157" t="s">
        <v>211</v>
      </c>
    </row>
    <row r="10364" hidden="1">
      <c r="A10364" s="151" t="s">
        <v>221</v>
      </c>
      <c r="B10364" s="118" t="s">
        <v>189</v>
      </c>
      <c r="C10364" s="118" t="s">
        <v>206</v>
      </c>
      <c r="D10364" s="152" t="s">
        <v>11890</v>
      </c>
      <c r="E10364" s="152" t="s">
        <v>11931</v>
      </c>
      <c r="F10364" s="152" t="s">
        <v>390</v>
      </c>
      <c r="G10364" s="152" t="s">
        <v>10870</v>
      </c>
      <c r="H10364" s="153" t="s">
        <v>212</v>
      </c>
    </row>
    <row r="10365" hidden="1">
      <c r="A10365" s="154" t="s">
        <v>221</v>
      </c>
      <c r="B10365" s="155" t="s">
        <v>189</v>
      </c>
      <c r="C10365" s="155" t="s">
        <v>206</v>
      </c>
      <c r="D10365" s="156" t="s">
        <v>11890</v>
      </c>
      <c r="E10365" s="156" t="s">
        <v>11932</v>
      </c>
      <c r="F10365" s="156" t="s">
        <v>325</v>
      </c>
      <c r="G10365" s="156" t="s">
        <v>9838</v>
      </c>
      <c r="H10365" s="157" t="s">
        <v>213</v>
      </c>
    </row>
    <row r="10366" hidden="1">
      <c r="A10366" s="151" t="s">
        <v>221</v>
      </c>
      <c r="B10366" s="118" t="s">
        <v>189</v>
      </c>
      <c r="C10366" s="118" t="s">
        <v>206</v>
      </c>
      <c r="D10366" s="152" t="s">
        <v>11890</v>
      </c>
      <c r="E10366" s="152" t="s">
        <v>11933</v>
      </c>
      <c r="F10366" s="152" t="s">
        <v>766</v>
      </c>
      <c r="G10366" s="152" t="s">
        <v>10013</v>
      </c>
      <c r="H10366" s="153" t="s">
        <v>214</v>
      </c>
    </row>
    <row r="10367" hidden="1">
      <c r="A10367" s="154" t="s">
        <v>221</v>
      </c>
      <c r="B10367" s="155" t="s">
        <v>189</v>
      </c>
      <c r="C10367" s="155" t="s">
        <v>206</v>
      </c>
      <c r="D10367" s="156" t="s">
        <v>11890</v>
      </c>
      <c r="E10367" s="156" t="s">
        <v>11934</v>
      </c>
      <c r="F10367" s="156" t="s">
        <v>1929</v>
      </c>
      <c r="G10367" s="156" t="s">
        <v>11935</v>
      </c>
      <c r="H10367" s="157" t="s">
        <v>215</v>
      </c>
    </row>
    <row r="10368" hidden="1">
      <c r="A10368" s="151" t="s">
        <v>221</v>
      </c>
      <c r="B10368" s="118" t="s">
        <v>189</v>
      </c>
      <c r="C10368" s="118" t="s">
        <v>206</v>
      </c>
      <c r="D10368" s="152" t="s">
        <v>11890</v>
      </c>
      <c r="E10368" s="152" t="s">
        <v>11936</v>
      </c>
      <c r="F10368" s="152" t="s">
        <v>1948</v>
      </c>
      <c r="G10368" s="152" t="s">
        <v>11596</v>
      </c>
      <c r="H10368" s="153" t="s">
        <v>216</v>
      </c>
    </row>
    <row r="10369" hidden="1">
      <c r="A10369" s="154" t="s">
        <v>222</v>
      </c>
      <c r="B10369" s="155" t="s">
        <v>192</v>
      </c>
      <c r="C10369" s="155" t="s">
        <v>206</v>
      </c>
      <c r="D10369" s="156" t="s">
        <v>11890</v>
      </c>
      <c r="E10369" s="156" t="s">
        <v>11937</v>
      </c>
      <c r="F10369" s="156" t="s">
        <v>2512</v>
      </c>
      <c r="G10369" s="156" t="s">
        <v>11938</v>
      </c>
      <c r="H10369" s="157" t="s">
        <v>210</v>
      </c>
    </row>
    <row r="10370" hidden="1">
      <c r="A10370" s="151" t="s">
        <v>222</v>
      </c>
      <c r="B10370" s="118" t="s">
        <v>192</v>
      </c>
      <c r="C10370" s="118" t="s">
        <v>206</v>
      </c>
      <c r="D10370" s="152" t="s">
        <v>11890</v>
      </c>
      <c r="E10370" s="152" t="s">
        <v>11939</v>
      </c>
      <c r="F10370" s="152" t="s">
        <v>4052</v>
      </c>
      <c r="G10370" s="152" t="s">
        <v>11940</v>
      </c>
      <c r="H10370" s="153" t="s">
        <v>211</v>
      </c>
    </row>
    <row r="10371" hidden="1">
      <c r="A10371" s="154" t="s">
        <v>222</v>
      </c>
      <c r="B10371" s="155" t="s">
        <v>192</v>
      </c>
      <c r="C10371" s="155" t="s">
        <v>206</v>
      </c>
      <c r="D10371" s="156" t="s">
        <v>11890</v>
      </c>
      <c r="E10371" s="156" t="s">
        <v>11941</v>
      </c>
      <c r="F10371" s="156" t="s">
        <v>2005</v>
      </c>
      <c r="G10371" s="156" t="s">
        <v>11942</v>
      </c>
      <c r="H10371" s="157" t="s">
        <v>212</v>
      </c>
    </row>
    <row r="10372" hidden="1">
      <c r="A10372" s="151" t="s">
        <v>222</v>
      </c>
      <c r="B10372" s="118" t="s">
        <v>192</v>
      </c>
      <c r="C10372" s="118" t="s">
        <v>206</v>
      </c>
      <c r="D10372" s="152" t="s">
        <v>11890</v>
      </c>
      <c r="E10372" s="152" t="s">
        <v>11943</v>
      </c>
      <c r="F10372" s="152" t="s">
        <v>1781</v>
      </c>
      <c r="G10372" s="152" t="s">
        <v>11825</v>
      </c>
      <c r="H10372" s="153" t="s">
        <v>213</v>
      </c>
    </row>
    <row r="10373" hidden="1">
      <c r="A10373" s="154" t="s">
        <v>222</v>
      </c>
      <c r="B10373" s="155" t="s">
        <v>192</v>
      </c>
      <c r="C10373" s="155" t="s">
        <v>206</v>
      </c>
      <c r="D10373" s="156" t="s">
        <v>11890</v>
      </c>
      <c r="E10373" s="156" t="s">
        <v>11944</v>
      </c>
      <c r="F10373" s="156" t="s">
        <v>2654</v>
      </c>
      <c r="G10373" s="156" t="s">
        <v>11768</v>
      </c>
      <c r="H10373" s="157" t="s">
        <v>214</v>
      </c>
    </row>
    <row r="10374" hidden="1">
      <c r="A10374" s="151" t="s">
        <v>222</v>
      </c>
      <c r="B10374" s="118" t="s">
        <v>192</v>
      </c>
      <c r="C10374" s="118" t="s">
        <v>206</v>
      </c>
      <c r="D10374" s="152" t="s">
        <v>11890</v>
      </c>
      <c r="E10374" s="152" t="s">
        <v>11945</v>
      </c>
      <c r="F10374" s="152" t="s">
        <v>228</v>
      </c>
      <c r="G10374" s="152" t="s">
        <v>11946</v>
      </c>
      <c r="H10374" s="153" t="s">
        <v>215</v>
      </c>
    </row>
    <row r="10375" hidden="1">
      <c r="A10375" s="154" t="s">
        <v>222</v>
      </c>
      <c r="B10375" s="155" t="s">
        <v>192</v>
      </c>
      <c r="C10375" s="155" t="s">
        <v>206</v>
      </c>
      <c r="D10375" s="156" t="s">
        <v>11890</v>
      </c>
      <c r="E10375" s="156" t="s">
        <v>11947</v>
      </c>
      <c r="F10375" s="156" t="s">
        <v>2654</v>
      </c>
      <c r="G10375" s="156" t="s">
        <v>11948</v>
      </c>
      <c r="H10375" s="157" t="s">
        <v>216</v>
      </c>
    </row>
    <row r="10376" hidden="1">
      <c r="A10376" s="151" t="s">
        <v>223</v>
      </c>
      <c r="B10376" s="118" t="s">
        <v>144</v>
      </c>
      <c r="C10376" s="118" t="s">
        <v>206</v>
      </c>
      <c r="D10376" s="152" t="s">
        <v>11890</v>
      </c>
      <c r="E10376" s="152" t="s">
        <v>11949</v>
      </c>
      <c r="F10376" s="152" t="s">
        <v>1532</v>
      </c>
      <c r="G10376" s="152" t="s">
        <v>11509</v>
      </c>
      <c r="H10376" s="153" t="s">
        <v>210</v>
      </c>
    </row>
    <row r="10377" hidden="1">
      <c r="A10377" s="154" t="s">
        <v>223</v>
      </c>
      <c r="B10377" s="155" t="s">
        <v>144</v>
      </c>
      <c r="C10377" s="155" t="s">
        <v>206</v>
      </c>
      <c r="D10377" s="156" t="s">
        <v>11890</v>
      </c>
      <c r="E10377" s="156" t="s">
        <v>11950</v>
      </c>
      <c r="F10377" s="156" t="s">
        <v>453</v>
      </c>
      <c r="G10377" s="156" t="s">
        <v>11711</v>
      </c>
      <c r="H10377" s="157" t="s">
        <v>211</v>
      </c>
    </row>
    <row r="10378" hidden="1">
      <c r="A10378" s="151" t="s">
        <v>223</v>
      </c>
      <c r="B10378" s="118" t="s">
        <v>144</v>
      </c>
      <c r="C10378" s="118" t="s">
        <v>206</v>
      </c>
      <c r="D10378" s="152" t="s">
        <v>11890</v>
      </c>
      <c r="E10378" s="152" t="s">
        <v>11951</v>
      </c>
      <c r="F10378" s="152" t="s">
        <v>425</v>
      </c>
      <c r="G10378" s="152" t="s">
        <v>11896</v>
      </c>
      <c r="H10378" s="153" t="s">
        <v>212</v>
      </c>
    </row>
    <row r="10379" hidden="1">
      <c r="A10379" s="154" t="s">
        <v>223</v>
      </c>
      <c r="B10379" s="155" t="s">
        <v>144</v>
      </c>
      <c r="C10379" s="155" t="s">
        <v>206</v>
      </c>
      <c r="D10379" s="156" t="s">
        <v>11890</v>
      </c>
      <c r="E10379" s="156" t="s">
        <v>11952</v>
      </c>
      <c r="F10379" s="156" t="s">
        <v>483</v>
      </c>
      <c r="G10379" s="156" t="s">
        <v>11953</v>
      </c>
      <c r="H10379" s="157" t="s">
        <v>213</v>
      </c>
    </row>
    <row r="10380" hidden="1">
      <c r="A10380" s="151" t="s">
        <v>223</v>
      </c>
      <c r="B10380" s="118" t="s">
        <v>144</v>
      </c>
      <c r="C10380" s="118" t="s">
        <v>206</v>
      </c>
      <c r="D10380" s="152" t="s">
        <v>11890</v>
      </c>
      <c r="E10380" s="152" t="s">
        <v>11954</v>
      </c>
      <c r="F10380" s="152" t="s">
        <v>799</v>
      </c>
      <c r="G10380" s="152" t="s">
        <v>11044</v>
      </c>
      <c r="H10380" s="153" t="s">
        <v>214</v>
      </c>
    </row>
    <row r="10381" hidden="1">
      <c r="A10381" s="154" t="s">
        <v>223</v>
      </c>
      <c r="B10381" s="155" t="s">
        <v>144</v>
      </c>
      <c r="C10381" s="155" t="s">
        <v>206</v>
      </c>
      <c r="D10381" s="156" t="s">
        <v>11890</v>
      </c>
      <c r="E10381" s="156" t="s">
        <v>11955</v>
      </c>
      <c r="F10381" s="156" t="s">
        <v>1999</v>
      </c>
      <c r="G10381" s="156" t="s">
        <v>11338</v>
      </c>
      <c r="H10381" s="157" t="s">
        <v>215</v>
      </c>
    </row>
    <row r="10382" hidden="1">
      <c r="A10382" s="151" t="s">
        <v>223</v>
      </c>
      <c r="B10382" s="118" t="s">
        <v>144</v>
      </c>
      <c r="C10382" s="118" t="s">
        <v>206</v>
      </c>
      <c r="D10382" s="152" t="s">
        <v>11890</v>
      </c>
      <c r="E10382" s="152" t="s">
        <v>11956</v>
      </c>
      <c r="F10382" s="152" t="s">
        <v>718</v>
      </c>
      <c r="G10382" s="152" t="s">
        <v>11205</v>
      </c>
      <c r="H10382" s="153" t="s">
        <v>216</v>
      </c>
    </row>
    <row r="10383" hidden="1">
      <c r="A10383" s="154" t="s">
        <v>224</v>
      </c>
      <c r="B10383" s="155" t="s">
        <v>170</v>
      </c>
      <c r="C10383" s="155" t="s">
        <v>206</v>
      </c>
      <c r="D10383" s="156" t="s">
        <v>11890</v>
      </c>
      <c r="E10383" s="156" t="s">
        <v>11957</v>
      </c>
      <c r="F10383" s="156" t="s">
        <v>735</v>
      </c>
      <c r="G10383" s="156" t="s">
        <v>11248</v>
      </c>
      <c r="H10383" s="157" t="s">
        <v>210</v>
      </c>
    </row>
    <row r="10384" hidden="1">
      <c r="A10384" s="151" t="s">
        <v>224</v>
      </c>
      <c r="B10384" s="118" t="s">
        <v>170</v>
      </c>
      <c r="C10384" s="118" t="s">
        <v>206</v>
      </c>
      <c r="D10384" s="152" t="s">
        <v>11890</v>
      </c>
      <c r="E10384" s="152" t="s">
        <v>11958</v>
      </c>
      <c r="F10384" s="152" t="s">
        <v>2226</v>
      </c>
      <c r="G10384" s="152" t="s">
        <v>10874</v>
      </c>
      <c r="H10384" s="153" t="s">
        <v>211</v>
      </c>
    </row>
    <row r="10385" hidden="1">
      <c r="A10385" s="154" t="s">
        <v>224</v>
      </c>
      <c r="B10385" s="155" t="s">
        <v>170</v>
      </c>
      <c r="C10385" s="155" t="s">
        <v>206</v>
      </c>
      <c r="D10385" s="156" t="s">
        <v>11890</v>
      </c>
      <c r="E10385" s="156" t="s">
        <v>11959</v>
      </c>
      <c r="F10385" s="156" t="s">
        <v>2607</v>
      </c>
      <c r="G10385" s="156" t="s">
        <v>10771</v>
      </c>
      <c r="H10385" s="157" t="s">
        <v>212</v>
      </c>
    </row>
    <row r="10386" hidden="1">
      <c r="A10386" s="151" t="s">
        <v>224</v>
      </c>
      <c r="B10386" s="118" t="s">
        <v>170</v>
      </c>
      <c r="C10386" s="118" t="s">
        <v>206</v>
      </c>
      <c r="D10386" s="152" t="s">
        <v>11890</v>
      </c>
      <c r="E10386" s="152" t="s">
        <v>11960</v>
      </c>
      <c r="F10386" s="152" t="s">
        <v>348</v>
      </c>
      <c r="G10386" s="152" t="s">
        <v>10612</v>
      </c>
      <c r="H10386" s="153" t="s">
        <v>213</v>
      </c>
    </row>
    <row r="10387" hidden="1">
      <c r="A10387" s="154" t="s">
        <v>224</v>
      </c>
      <c r="B10387" s="155" t="s">
        <v>170</v>
      </c>
      <c r="C10387" s="155" t="s">
        <v>206</v>
      </c>
      <c r="D10387" s="156" t="s">
        <v>11890</v>
      </c>
      <c r="E10387" s="156" t="s">
        <v>11961</v>
      </c>
      <c r="F10387" s="156" t="s">
        <v>423</v>
      </c>
      <c r="G10387" s="156" t="s">
        <v>11320</v>
      </c>
      <c r="H10387" s="157" t="s">
        <v>214</v>
      </c>
    </row>
    <row r="10388" hidden="1">
      <c r="A10388" s="151" t="s">
        <v>224</v>
      </c>
      <c r="B10388" s="118" t="s">
        <v>170</v>
      </c>
      <c r="C10388" s="118" t="s">
        <v>206</v>
      </c>
      <c r="D10388" s="152" t="s">
        <v>11890</v>
      </c>
      <c r="E10388" s="152" t="s">
        <v>11962</v>
      </c>
      <c r="F10388" s="152" t="s">
        <v>730</v>
      </c>
      <c r="G10388" s="152" t="s">
        <v>10872</v>
      </c>
      <c r="H10388" s="153" t="s">
        <v>215</v>
      </c>
    </row>
    <row r="10389" hidden="1">
      <c r="A10389" s="154" t="s">
        <v>224</v>
      </c>
      <c r="B10389" s="155" t="s">
        <v>170</v>
      </c>
      <c r="C10389" s="155" t="s">
        <v>206</v>
      </c>
      <c r="D10389" s="156" t="s">
        <v>11890</v>
      </c>
      <c r="E10389" s="156" t="s">
        <v>11963</v>
      </c>
      <c r="F10389" s="156" t="s">
        <v>3240</v>
      </c>
      <c r="G10389" s="156" t="s">
        <v>9846</v>
      </c>
      <c r="H10389" s="157" t="s">
        <v>216</v>
      </c>
    </row>
    <row r="10390" hidden="1">
      <c r="A10390" s="151" t="s">
        <v>225</v>
      </c>
      <c r="B10390" s="118" t="s">
        <v>226</v>
      </c>
      <c r="C10390" s="118" t="s">
        <v>206</v>
      </c>
      <c r="D10390" s="152" t="s">
        <v>11890</v>
      </c>
      <c r="E10390" s="152" t="s">
        <v>11964</v>
      </c>
      <c r="F10390" s="152" t="s">
        <v>2657</v>
      </c>
      <c r="G10390" s="152" t="s">
        <v>10365</v>
      </c>
      <c r="H10390" s="153" t="s">
        <v>210</v>
      </c>
    </row>
    <row r="10391" hidden="1">
      <c r="A10391" s="154" t="s">
        <v>225</v>
      </c>
      <c r="B10391" s="155" t="s">
        <v>226</v>
      </c>
      <c r="C10391" s="155" t="s">
        <v>206</v>
      </c>
      <c r="D10391" s="156" t="s">
        <v>11890</v>
      </c>
      <c r="E10391" s="156" t="s">
        <v>11965</v>
      </c>
      <c r="F10391" s="156" t="s">
        <v>631</v>
      </c>
      <c r="G10391" s="156" t="s">
        <v>11953</v>
      </c>
      <c r="H10391" s="157" t="s">
        <v>211</v>
      </c>
    </row>
    <row r="10392" hidden="1">
      <c r="A10392" s="151" t="s">
        <v>225</v>
      </c>
      <c r="B10392" s="118" t="s">
        <v>226</v>
      </c>
      <c r="C10392" s="118" t="s">
        <v>206</v>
      </c>
      <c r="D10392" s="152" t="s">
        <v>11890</v>
      </c>
      <c r="E10392" s="152" t="s">
        <v>11966</v>
      </c>
      <c r="F10392" s="152" t="s">
        <v>10944</v>
      </c>
      <c r="G10392" s="152" t="s">
        <v>10194</v>
      </c>
      <c r="H10392" s="153" t="s">
        <v>212</v>
      </c>
    </row>
    <row r="10393" hidden="1">
      <c r="A10393" s="154" t="s">
        <v>225</v>
      </c>
      <c r="B10393" s="155" t="s">
        <v>226</v>
      </c>
      <c r="C10393" s="155" t="s">
        <v>206</v>
      </c>
      <c r="D10393" s="156" t="s">
        <v>11890</v>
      </c>
      <c r="E10393" s="156" t="s">
        <v>11967</v>
      </c>
      <c r="F10393" s="156" t="s">
        <v>1769</v>
      </c>
      <c r="G10393" s="156" t="s">
        <v>11716</v>
      </c>
      <c r="H10393" s="157" t="s">
        <v>213</v>
      </c>
    </row>
    <row r="10394" hidden="1">
      <c r="A10394" s="151" t="s">
        <v>225</v>
      </c>
      <c r="B10394" s="118" t="s">
        <v>226</v>
      </c>
      <c r="C10394" s="118" t="s">
        <v>206</v>
      </c>
      <c r="D10394" s="152" t="s">
        <v>11890</v>
      </c>
      <c r="E10394" s="152" t="s">
        <v>11968</v>
      </c>
      <c r="F10394" s="152" t="s">
        <v>2512</v>
      </c>
      <c r="G10394" s="152" t="s">
        <v>9836</v>
      </c>
      <c r="H10394" s="153" t="s">
        <v>214</v>
      </c>
    </row>
    <row r="10395" hidden="1">
      <c r="A10395" s="154" t="s">
        <v>225</v>
      </c>
      <c r="B10395" s="155" t="s">
        <v>226</v>
      </c>
      <c r="C10395" s="155" t="s">
        <v>206</v>
      </c>
      <c r="D10395" s="156" t="s">
        <v>11890</v>
      </c>
      <c r="E10395" s="156" t="s">
        <v>11969</v>
      </c>
      <c r="F10395" s="156" t="s">
        <v>9508</v>
      </c>
      <c r="G10395" s="156" t="s">
        <v>10771</v>
      </c>
      <c r="H10395" s="157" t="s">
        <v>215</v>
      </c>
    </row>
    <row r="10396" hidden="1">
      <c r="A10396" s="151" t="s">
        <v>225</v>
      </c>
      <c r="B10396" s="118" t="s">
        <v>226</v>
      </c>
      <c r="C10396" s="118" t="s">
        <v>206</v>
      </c>
      <c r="D10396" s="152" t="s">
        <v>11890</v>
      </c>
      <c r="E10396" s="152" t="s">
        <v>11970</v>
      </c>
      <c r="F10396" s="152" t="s">
        <v>2173</v>
      </c>
      <c r="G10396" s="152" t="s">
        <v>11647</v>
      </c>
      <c r="H10396" s="153" t="s">
        <v>216</v>
      </c>
    </row>
    <row r="10397" hidden="1">
      <c r="A10397" s="154" t="s">
        <v>227</v>
      </c>
      <c r="B10397" s="155" t="s">
        <v>195</v>
      </c>
      <c r="C10397" s="155" t="s">
        <v>206</v>
      </c>
      <c r="D10397" s="156" t="s">
        <v>11890</v>
      </c>
      <c r="E10397" s="156" t="s">
        <v>11971</v>
      </c>
      <c r="F10397" s="156" t="s">
        <v>637</v>
      </c>
      <c r="G10397" s="156" t="s">
        <v>11972</v>
      </c>
      <c r="H10397" s="157" t="s">
        <v>210</v>
      </c>
    </row>
    <row r="10398" hidden="1">
      <c r="A10398" s="151" t="s">
        <v>227</v>
      </c>
      <c r="B10398" s="118" t="s">
        <v>195</v>
      </c>
      <c r="C10398" s="118" t="s">
        <v>206</v>
      </c>
      <c r="D10398" s="152" t="s">
        <v>11890</v>
      </c>
      <c r="E10398" s="152" t="s">
        <v>11973</v>
      </c>
      <c r="F10398" s="152" t="s">
        <v>3346</v>
      </c>
      <c r="G10398" s="152" t="s">
        <v>11974</v>
      </c>
      <c r="H10398" s="153" t="s">
        <v>211</v>
      </c>
    </row>
    <row r="10399" hidden="1">
      <c r="A10399" s="154" t="s">
        <v>227</v>
      </c>
      <c r="B10399" s="155" t="s">
        <v>195</v>
      </c>
      <c r="C10399" s="155" t="s">
        <v>206</v>
      </c>
      <c r="D10399" s="156" t="s">
        <v>11890</v>
      </c>
      <c r="E10399" s="156" t="s">
        <v>11975</v>
      </c>
      <c r="F10399" s="156" t="s">
        <v>3153</v>
      </c>
      <c r="G10399" s="156" t="s">
        <v>11976</v>
      </c>
      <c r="H10399" s="157" t="s">
        <v>212</v>
      </c>
    </row>
    <row r="10400" hidden="1">
      <c r="A10400" s="151" t="s">
        <v>227</v>
      </c>
      <c r="B10400" s="118" t="s">
        <v>195</v>
      </c>
      <c r="C10400" s="118" t="s">
        <v>206</v>
      </c>
      <c r="D10400" s="152" t="s">
        <v>11890</v>
      </c>
      <c r="E10400" s="152" t="s">
        <v>11977</v>
      </c>
      <c r="F10400" s="152" t="s">
        <v>2654</v>
      </c>
      <c r="G10400" s="152" t="s">
        <v>11036</v>
      </c>
      <c r="H10400" s="153" t="s">
        <v>213</v>
      </c>
    </row>
    <row r="10401" hidden="1">
      <c r="A10401" s="154" t="s">
        <v>227</v>
      </c>
      <c r="B10401" s="155" t="s">
        <v>195</v>
      </c>
      <c r="C10401" s="155" t="s">
        <v>206</v>
      </c>
      <c r="D10401" s="156" t="s">
        <v>11890</v>
      </c>
      <c r="E10401" s="156" t="s">
        <v>11978</v>
      </c>
      <c r="F10401" s="156" t="s">
        <v>228</v>
      </c>
      <c r="G10401" s="156" t="s">
        <v>11979</v>
      </c>
      <c r="H10401" s="157" t="s">
        <v>214</v>
      </c>
    </row>
    <row r="10402" hidden="1">
      <c r="A10402" s="151" t="s">
        <v>227</v>
      </c>
      <c r="B10402" s="118" t="s">
        <v>195</v>
      </c>
      <c r="C10402" s="118" t="s">
        <v>206</v>
      </c>
      <c r="D10402" s="152" t="s">
        <v>11890</v>
      </c>
      <c r="E10402" s="152" t="s">
        <v>11980</v>
      </c>
      <c r="F10402" s="152" t="s">
        <v>2228</v>
      </c>
      <c r="G10402" s="152" t="s">
        <v>11981</v>
      </c>
      <c r="H10402" s="153" t="s">
        <v>215</v>
      </c>
    </row>
    <row r="10403" hidden="1">
      <c r="A10403" s="154" t="s">
        <v>227</v>
      </c>
      <c r="B10403" s="155" t="s">
        <v>195</v>
      </c>
      <c r="C10403" s="155" t="s">
        <v>206</v>
      </c>
      <c r="D10403" s="156" t="s">
        <v>11890</v>
      </c>
      <c r="E10403" s="156" t="s">
        <v>11982</v>
      </c>
      <c r="F10403" s="156" t="s">
        <v>3150</v>
      </c>
      <c r="G10403" s="156" t="s">
        <v>11983</v>
      </c>
      <c r="H10403" s="157" t="s">
        <v>216</v>
      </c>
    </row>
    <row r="10404" hidden="1">
      <c r="A10404" s="151" t="s">
        <v>228</v>
      </c>
      <c r="B10404" s="118" t="s">
        <v>138</v>
      </c>
      <c r="C10404" s="118" t="s">
        <v>206</v>
      </c>
      <c r="D10404" s="152" t="s">
        <v>11890</v>
      </c>
      <c r="E10404" s="152" t="s">
        <v>11984</v>
      </c>
      <c r="F10404" s="152" t="s">
        <v>763</v>
      </c>
      <c r="G10404" s="152" t="s">
        <v>11606</v>
      </c>
      <c r="H10404" s="153" t="s">
        <v>210</v>
      </c>
    </row>
    <row r="10405" hidden="1">
      <c r="A10405" s="154" t="s">
        <v>228</v>
      </c>
      <c r="B10405" s="155" t="s">
        <v>138</v>
      </c>
      <c r="C10405" s="155" t="s">
        <v>206</v>
      </c>
      <c r="D10405" s="156" t="s">
        <v>11890</v>
      </c>
      <c r="E10405" s="156" t="s">
        <v>11985</v>
      </c>
      <c r="F10405" s="156" t="s">
        <v>3346</v>
      </c>
      <c r="G10405" s="156" t="s">
        <v>10618</v>
      </c>
      <c r="H10405" s="157" t="s">
        <v>211</v>
      </c>
    </row>
    <row r="10406" hidden="1">
      <c r="A10406" s="151" t="s">
        <v>228</v>
      </c>
      <c r="B10406" s="118" t="s">
        <v>138</v>
      </c>
      <c r="C10406" s="118" t="s">
        <v>206</v>
      </c>
      <c r="D10406" s="152" t="s">
        <v>11890</v>
      </c>
      <c r="E10406" s="152" t="s">
        <v>11986</v>
      </c>
      <c r="F10406" s="152" t="s">
        <v>331</v>
      </c>
      <c r="G10406" s="152" t="s">
        <v>11189</v>
      </c>
      <c r="H10406" s="153" t="s">
        <v>212</v>
      </c>
    </row>
    <row r="10407" hidden="1">
      <c r="A10407" s="154" t="s">
        <v>228</v>
      </c>
      <c r="B10407" s="155" t="s">
        <v>138</v>
      </c>
      <c r="C10407" s="155" t="s">
        <v>206</v>
      </c>
      <c r="D10407" s="156" t="s">
        <v>11890</v>
      </c>
      <c r="E10407" s="156" t="s">
        <v>11987</v>
      </c>
      <c r="F10407" s="156" t="s">
        <v>448</v>
      </c>
      <c r="G10407" s="156" t="s">
        <v>11107</v>
      </c>
      <c r="H10407" s="157" t="s">
        <v>213</v>
      </c>
    </row>
    <row r="10408" hidden="1">
      <c r="A10408" s="151" t="s">
        <v>228</v>
      </c>
      <c r="B10408" s="118" t="s">
        <v>138</v>
      </c>
      <c r="C10408" s="118" t="s">
        <v>206</v>
      </c>
      <c r="D10408" s="152" t="s">
        <v>11890</v>
      </c>
      <c r="E10408" s="152" t="s">
        <v>11988</v>
      </c>
      <c r="F10408" s="152" t="s">
        <v>425</v>
      </c>
      <c r="G10408" s="152" t="s">
        <v>11452</v>
      </c>
      <c r="H10408" s="153" t="s">
        <v>214</v>
      </c>
    </row>
    <row r="10409" hidden="1">
      <c r="A10409" s="154" t="s">
        <v>228</v>
      </c>
      <c r="B10409" s="155" t="s">
        <v>138</v>
      </c>
      <c r="C10409" s="155" t="s">
        <v>206</v>
      </c>
      <c r="D10409" s="156" t="s">
        <v>11890</v>
      </c>
      <c r="E10409" s="156" t="s">
        <v>11989</v>
      </c>
      <c r="F10409" s="156" t="s">
        <v>425</v>
      </c>
      <c r="G10409" s="156" t="s">
        <v>9998</v>
      </c>
      <c r="H10409" s="157" t="s">
        <v>215</v>
      </c>
    </row>
    <row r="10410" hidden="1">
      <c r="A10410" s="151" t="s">
        <v>228</v>
      </c>
      <c r="B10410" s="118" t="s">
        <v>138</v>
      </c>
      <c r="C10410" s="118" t="s">
        <v>206</v>
      </c>
      <c r="D10410" s="152" t="s">
        <v>11890</v>
      </c>
      <c r="E10410" s="152" t="s">
        <v>11990</v>
      </c>
      <c r="F10410" s="152" t="s">
        <v>763</v>
      </c>
      <c r="G10410" s="152" t="s">
        <v>11507</v>
      </c>
      <c r="H10410" s="153" t="s">
        <v>216</v>
      </c>
    </row>
    <row r="10411" hidden="1">
      <c r="A10411" s="154" t="s">
        <v>229</v>
      </c>
      <c r="B10411" s="155" t="s">
        <v>193</v>
      </c>
      <c r="C10411" s="155" t="s">
        <v>206</v>
      </c>
      <c r="D10411" s="156" t="s">
        <v>11890</v>
      </c>
      <c r="E10411" s="156" t="s">
        <v>11991</v>
      </c>
      <c r="F10411" s="156" t="s">
        <v>3145</v>
      </c>
      <c r="G10411" s="156" t="s">
        <v>11992</v>
      </c>
      <c r="H10411" s="157" t="s">
        <v>210</v>
      </c>
    </row>
    <row r="10412" hidden="1">
      <c r="A10412" s="151" t="s">
        <v>229</v>
      </c>
      <c r="B10412" s="118" t="s">
        <v>193</v>
      </c>
      <c r="C10412" s="118" t="s">
        <v>206</v>
      </c>
      <c r="D10412" s="152" t="s">
        <v>11890</v>
      </c>
      <c r="E10412" s="152" t="s">
        <v>11993</v>
      </c>
      <c r="F10412" s="152" t="s">
        <v>675</v>
      </c>
      <c r="G10412" s="152" t="s">
        <v>11994</v>
      </c>
      <c r="H10412" s="153" t="s">
        <v>211</v>
      </c>
    </row>
    <row r="10413" hidden="1">
      <c r="A10413" s="154" t="s">
        <v>229</v>
      </c>
      <c r="B10413" s="155" t="s">
        <v>193</v>
      </c>
      <c r="C10413" s="155" t="s">
        <v>206</v>
      </c>
      <c r="D10413" s="156" t="s">
        <v>11890</v>
      </c>
      <c r="E10413" s="156" t="s">
        <v>11995</v>
      </c>
      <c r="F10413" s="156" t="s">
        <v>2005</v>
      </c>
      <c r="G10413" s="156" t="s">
        <v>11996</v>
      </c>
      <c r="H10413" s="157" t="s">
        <v>212</v>
      </c>
    </row>
    <row r="10414" hidden="1">
      <c r="A10414" s="151" t="s">
        <v>229</v>
      </c>
      <c r="B10414" s="118" t="s">
        <v>193</v>
      </c>
      <c r="C10414" s="118" t="s">
        <v>206</v>
      </c>
      <c r="D10414" s="152" t="s">
        <v>11890</v>
      </c>
      <c r="E10414" s="152" t="s">
        <v>11997</v>
      </c>
      <c r="F10414" s="152" t="s">
        <v>1931</v>
      </c>
      <c r="G10414" s="152" t="s">
        <v>11942</v>
      </c>
      <c r="H10414" s="153" t="s">
        <v>213</v>
      </c>
    </row>
    <row r="10415" hidden="1">
      <c r="A10415" s="154" t="s">
        <v>229</v>
      </c>
      <c r="B10415" s="155" t="s">
        <v>193</v>
      </c>
      <c r="C10415" s="155" t="s">
        <v>206</v>
      </c>
      <c r="D10415" s="156" t="s">
        <v>11890</v>
      </c>
      <c r="E10415" s="156" t="s">
        <v>11998</v>
      </c>
      <c r="F10415" s="156" t="s">
        <v>1790</v>
      </c>
      <c r="G10415" s="156" t="s">
        <v>11999</v>
      </c>
      <c r="H10415" s="157" t="s">
        <v>214</v>
      </c>
    </row>
    <row r="10416" hidden="1">
      <c r="A10416" s="151" t="s">
        <v>229</v>
      </c>
      <c r="B10416" s="118" t="s">
        <v>193</v>
      </c>
      <c r="C10416" s="118" t="s">
        <v>206</v>
      </c>
      <c r="D10416" s="152" t="s">
        <v>11890</v>
      </c>
      <c r="E10416" s="152" t="s">
        <v>12000</v>
      </c>
      <c r="F10416" s="152" t="s">
        <v>444</v>
      </c>
      <c r="G10416" s="152" t="s">
        <v>12001</v>
      </c>
      <c r="H10416" s="153" t="s">
        <v>215</v>
      </c>
    </row>
    <row r="10417" hidden="1">
      <c r="A10417" s="154" t="s">
        <v>229</v>
      </c>
      <c r="B10417" s="155" t="s">
        <v>193</v>
      </c>
      <c r="C10417" s="155" t="s">
        <v>206</v>
      </c>
      <c r="D10417" s="156" t="s">
        <v>11890</v>
      </c>
      <c r="E10417" s="156" t="s">
        <v>12002</v>
      </c>
      <c r="F10417" s="156" t="s">
        <v>3145</v>
      </c>
      <c r="G10417" s="156" t="s">
        <v>12003</v>
      </c>
      <c r="H10417" s="157" t="s">
        <v>216</v>
      </c>
    </row>
    <row r="10418" hidden="1">
      <c r="A10418" s="151" t="s">
        <v>230</v>
      </c>
      <c r="B10418" s="118" t="s">
        <v>194</v>
      </c>
      <c r="C10418" s="118" t="s">
        <v>206</v>
      </c>
      <c r="D10418" s="152" t="s">
        <v>11890</v>
      </c>
      <c r="E10418" s="152" t="s">
        <v>12004</v>
      </c>
      <c r="F10418" s="152" t="s">
        <v>2994</v>
      </c>
      <c r="G10418" s="152" t="s">
        <v>10363</v>
      </c>
      <c r="H10418" s="153" t="s">
        <v>210</v>
      </c>
    </row>
    <row r="10419" hidden="1">
      <c r="A10419" s="154" t="s">
        <v>230</v>
      </c>
      <c r="B10419" s="155" t="s">
        <v>194</v>
      </c>
      <c r="C10419" s="155" t="s">
        <v>206</v>
      </c>
      <c r="D10419" s="156" t="s">
        <v>11890</v>
      </c>
      <c r="E10419" s="156" t="s">
        <v>12005</v>
      </c>
      <c r="F10419" s="156" t="s">
        <v>1931</v>
      </c>
      <c r="G10419" s="156" t="s">
        <v>10015</v>
      </c>
      <c r="H10419" s="157" t="s">
        <v>211</v>
      </c>
    </row>
    <row r="10420" hidden="1">
      <c r="A10420" s="151" t="s">
        <v>230</v>
      </c>
      <c r="B10420" s="118" t="s">
        <v>194</v>
      </c>
      <c r="C10420" s="118" t="s">
        <v>206</v>
      </c>
      <c r="D10420" s="152" t="s">
        <v>11890</v>
      </c>
      <c r="E10420" s="152" t="s">
        <v>12006</v>
      </c>
      <c r="F10420" s="152" t="s">
        <v>766</v>
      </c>
      <c r="G10420" s="152" t="s">
        <v>11432</v>
      </c>
      <c r="H10420" s="153" t="s">
        <v>212</v>
      </c>
    </row>
    <row r="10421" hidden="1">
      <c r="A10421" s="154" t="s">
        <v>230</v>
      </c>
      <c r="B10421" s="155" t="s">
        <v>194</v>
      </c>
      <c r="C10421" s="155" t="s">
        <v>206</v>
      </c>
      <c r="D10421" s="156" t="s">
        <v>11890</v>
      </c>
      <c r="E10421" s="156" t="s">
        <v>12007</v>
      </c>
      <c r="F10421" s="156" t="s">
        <v>5454</v>
      </c>
      <c r="G10421" s="156" t="s">
        <v>10205</v>
      </c>
      <c r="H10421" s="157" t="s">
        <v>213</v>
      </c>
    </row>
    <row r="10422" hidden="1">
      <c r="A10422" s="151" t="s">
        <v>230</v>
      </c>
      <c r="B10422" s="118" t="s">
        <v>194</v>
      </c>
      <c r="C10422" s="118" t="s">
        <v>206</v>
      </c>
      <c r="D10422" s="152" t="s">
        <v>11890</v>
      </c>
      <c r="E10422" s="152" t="s">
        <v>12008</v>
      </c>
      <c r="F10422" s="152" t="s">
        <v>3346</v>
      </c>
      <c r="G10422" s="152" t="s">
        <v>11496</v>
      </c>
      <c r="H10422" s="153" t="s">
        <v>214</v>
      </c>
    </row>
    <row r="10423" hidden="1">
      <c r="A10423" s="154" t="s">
        <v>230</v>
      </c>
      <c r="B10423" s="155" t="s">
        <v>194</v>
      </c>
      <c r="C10423" s="155" t="s">
        <v>206</v>
      </c>
      <c r="D10423" s="156" t="s">
        <v>11890</v>
      </c>
      <c r="E10423" s="156" t="s">
        <v>12009</v>
      </c>
      <c r="F10423" s="156" t="s">
        <v>444</v>
      </c>
      <c r="G10423" s="156" t="s">
        <v>10704</v>
      </c>
      <c r="H10423" s="157" t="s">
        <v>215</v>
      </c>
    </row>
    <row r="10424" hidden="1">
      <c r="A10424" s="151" t="s">
        <v>230</v>
      </c>
      <c r="B10424" s="118" t="s">
        <v>194</v>
      </c>
      <c r="C10424" s="118" t="s">
        <v>206</v>
      </c>
      <c r="D10424" s="152" t="s">
        <v>11890</v>
      </c>
      <c r="E10424" s="152" t="s">
        <v>12010</v>
      </c>
      <c r="F10424" s="152" t="s">
        <v>2215</v>
      </c>
      <c r="G10424" s="152" t="s">
        <v>11754</v>
      </c>
      <c r="H10424" s="153" t="s">
        <v>216</v>
      </c>
    </row>
    <row r="10425" hidden="1">
      <c r="A10425" s="158" t="s">
        <v>231</v>
      </c>
      <c r="B10425" s="159"/>
      <c r="C10425" s="155" t="s">
        <v>232</v>
      </c>
      <c r="D10425" s="156" t="s">
        <v>11890</v>
      </c>
      <c r="E10425" s="156" t="s">
        <v>12011</v>
      </c>
      <c r="F10425" s="156" t="s">
        <v>2228</v>
      </c>
      <c r="G10425" s="156" t="s">
        <v>11559</v>
      </c>
      <c r="H10425" s="157" t="s">
        <v>210</v>
      </c>
    </row>
    <row r="10426" hidden="1">
      <c r="A10426" s="160" t="s">
        <v>231</v>
      </c>
      <c r="B10426" s="72"/>
      <c r="C10426" s="118" t="s">
        <v>232</v>
      </c>
      <c r="D10426" s="152" t="s">
        <v>11890</v>
      </c>
      <c r="E10426" s="152" t="s">
        <v>12012</v>
      </c>
      <c r="F10426" s="152" t="s">
        <v>3340</v>
      </c>
      <c r="G10426" s="152" t="s">
        <v>11042</v>
      </c>
      <c r="H10426" s="153" t="s">
        <v>211</v>
      </c>
    </row>
    <row r="10427" hidden="1">
      <c r="A10427" s="158" t="s">
        <v>231</v>
      </c>
      <c r="B10427" s="159"/>
      <c r="C10427" s="155" t="s">
        <v>232</v>
      </c>
      <c r="D10427" s="156" t="s">
        <v>11890</v>
      </c>
      <c r="E10427" s="156" t="s">
        <v>12013</v>
      </c>
      <c r="F10427" s="156" t="s">
        <v>390</v>
      </c>
      <c r="G10427" s="156" t="s">
        <v>11598</v>
      </c>
      <c r="H10427" s="157" t="s">
        <v>212</v>
      </c>
    </row>
    <row r="10428" hidden="1">
      <c r="A10428" s="160" t="s">
        <v>231</v>
      </c>
      <c r="B10428" s="72"/>
      <c r="C10428" s="118" t="s">
        <v>232</v>
      </c>
      <c r="D10428" s="152" t="s">
        <v>11890</v>
      </c>
      <c r="E10428" s="152" t="s">
        <v>12014</v>
      </c>
      <c r="F10428" s="152" t="s">
        <v>3198</v>
      </c>
      <c r="G10428" s="152" t="s">
        <v>12015</v>
      </c>
      <c r="H10428" s="153" t="s">
        <v>213</v>
      </c>
    </row>
    <row r="10429" hidden="1">
      <c r="A10429" s="158" t="s">
        <v>231</v>
      </c>
      <c r="B10429" s="159"/>
      <c r="C10429" s="155" t="s">
        <v>232</v>
      </c>
      <c r="D10429" s="156" t="s">
        <v>11890</v>
      </c>
      <c r="E10429" s="156" t="s">
        <v>12016</v>
      </c>
      <c r="F10429" s="156" t="s">
        <v>1530</v>
      </c>
      <c r="G10429" s="156" t="s">
        <v>10937</v>
      </c>
      <c r="H10429" s="157" t="s">
        <v>214</v>
      </c>
    </row>
    <row r="10430" hidden="1">
      <c r="A10430" s="160" t="s">
        <v>231</v>
      </c>
      <c r="B10430" s="72"/>
      <c r="C10430" s="118" t="s">
        <v>232</v>
      </c>
      <c r="D10430" s="152" t="s">
        <v>11890</v>
      </c>
      <c r="E10430" s="152" t="s">
        <v>12017</v>
      </c>
      <c r="F10430" s="152" t="s">
        <v>3243</v>
      </c>
      <c r="G10430" s="152" t="s">
        <v>12018</v>
      </c>
      <c r="H10430" s="153" t="s">
        <v>215</v>
      </c>
    </row>
    <row r="10431" hidden="1">
      <c r="A10431" s="158" t="s">
        <v>231</v>
      </c>
      <c r="B10431" s="159"/>
      <c r="C10431" s="155" t="s">
        <v>232</v>
      </c>
      <c r="D10431" s="156" t="s">
        <v>11890</v>
      </c>
      <c r="E10431" s="156" t="s">
        <v>12019</v>
      </c>
      <c r="F10431" s="156" t="s">
        <v>3359</v>
      </c>
      <c r="G10431" s="156" t="s">
        <v>10363</v>
      </c>
      <c r="H10431" s="157" t="s">
        <v>216</v>
      </c>
    </row>
    <row r="10432" hidden="1">
      <c r="A10432" s="160" t="s">
        <v>233</v>
      </c>
      <c r="B10432" s="72"/>
      <c r="C10432" s="118" t="s">
        <v>232</v>
      </c>
      <c r="D10432" s="152" t="s">
        <v>11890</v>
      </c>
      <c r="E10432" s="152" t="s">
        <v>12020</v>
      </c>
      <c r="F10432" s="152" t="s">
        <v>780</v>
      </c>
      <c r="G10432" s="152" t="s">
        <v>12021</v>
      </c>
      <c r="H10432" s="153" t="s">
        <v>210</v>
      </c>
    </row>
    <row r="10433" hidden="1">
      <c r="A10433" s="158" t="s">
        <v>233</v>
      </c>
      <c r="B10433" s="159"/>
      <c r="C10433" s="155" t="s">
        <v>232</v>
      </c>
      <c r="D10433" s="156" t="s">
        <v>11890</v>
      </c>
      <c r="E10433" s="156" t="s">
        <v>12022</v>
      </c>
      <c r="F10433" s="156" t="s">
        <v>675</v>
      </c>
      <c r="G10433" s="156" t="s">
        <v>11722</v>
      </c>
      <c r="H10433" s="157" t="s">
        <v>211</v>
      </c>
    </row>
    <row r="10434" hidden="1">
      <c r="A10434" s="160" t="s">
        <v>233</v>
      </c>
      <c r="B10434" s="72"/>
      <c r="C10434" s="118" t="s">
        <v>232</v>
      </c>
      <c r="D10434" s="152" t="s">
        <v>11890</v>
      </c>
      <c r="E10434" s="152" t="s">
        <v>12023</v>
      </c>
      <c r="F10434" s="152" t="s">
        <v>1948</v>
      </c>
      <c r="G10434" s="152" t="s">
        <v>12024</v>
      </c>
      <c r="H10434" s="153" t="s">
        <v>212</v>
      </c>
    </row>
    <row r="10435" hidden="1">
      <c r="A10435" s="158" t="s">
        <v>233</v>
      </c>
      <c r="B10435" s="159"/>
      <c r="C10435" s="155" t="s">
        <v>232</v>
      </c>
      <c r="D10435" s="156" t="s">
        <v>11890</v>
      </c>
      <c r="E10435" s="156" t="s">
        <v>12025</v>
      </c>
      <c r="F10435" s="156" t="s">
        <v>1790</v>
      </c>
      <c r="G10435" s="156" t="s">
        <v>11983</v>
      </c>
      <c r="H10435" s="157" t="s">
        <v>213</v>
      </c>
    </row>
    <row r="10436" hidden="1">
      <c r="A10436" s="160" t="s">
        <v>233</v>
      </c>
      <c r="B10436" s="72"/>
      <c r="C10436" s="118" t="s">
        <v>232</v>
      </c>
      <c r="D10436" s="152" t="s">
        <v>11890</v>
      </c>
      <c r="E10436" s="152" t="s">
        <v>12026</v>
      </c>
      <c r="F10436" s="152" t="s">
        <v>2228</v>
      </c>
      <c r="G10436" s="152" t="s">
        <v>11720</v>
      </c>
      <c r="H10436" s="153" t="s">
        <v>214</v>
      </c>
    </row>
    <row r="10437" hidden="1">
      <c r="A10437" s="158" t="s">
        <v>233</v>
      </c>
      <c r="B10437" s="159"/>
      <c r="C10437" s="155" t="s">
        <v>232</v>
      </c>
      <c r="D10437" s="156" t="s">
        <v>11890</v>
      </c>
      <c r="E10437" s="156" t="s">
        <v>12027</v>
      </c>
      <c r="F10437" s="156" t="s">
        <v>3145</v>
      </c>
      <c r="G10437" s="156" t="s">
        <v>11855</v>
      </c>
      <c r="H10437" s="157" t="s">
        <v>215</v>
      </c>
    </row>
    <row r="10438" hidden="1">
      <c r="A10438" s="160" t="s">
        <v>233</v>
      </c>
      <c r="B10438" s="72"/>
      <c r="C10438" s="118" t="s">
        <v>232</v>
      </c>
      <c r="D10438" s="152" t="s">
        <v>11890</v>
      </c>
      <c r="E10438" s="152" t="s">
        <v>12028</v>
      </c>
      <c r="F10438" s="152" t="s">
        <v>3145</v>
      </c>
      <c r="G10438" s="152" t="s">
        <v>12029</v>
      </c>
      <c r="H10438" s="153" t="s">
        <v>216</v>
      </c>
    </row>
    <row r="10439" hidden="1">
      <c r="A10439" s="158" t="s">
        <v>234</v>
      </c>
      <c r="B10439" s="159"/>
      <c r="C10439" s="155" t="s">
        <v>232</v>
      </c>
      <c r="D10439" s="156" t="s">
        <v>11890</v>
      </c>
      <c r="E10439" s="156" t="s">
        <v>12030</v>
      </c>
      <c r="F10439" s="156" t="s">
        <v>629</v>
      </c>
      <c r="G10439" s="156" t="s">
        <v>11507</v>
      </c>
      <c r="H10439" s="157" t="s">
        <v>210</v>
      </c>
    </row>
    <row r="10440" hidden="1">
      <c r="A10440" s="160" t="s">
        <v>234</v>
      </c>
      <c r="B10440" s="72"/>
      <c r="C10440" s="118" t="s">
        <v>232</v>
      </c>
      <c r="D10440" s="152" t="s">
        <v>11890</v>
      </c>
      <c r="E10440" s="152" t="s">
        <v>12031</v>
      </c>
      <c r="F10440" s="152" t="s">
        <v>3198</v>
      </c>
      <c r="G10440" s="152" t="s">
        <v>10097</v>
      </c>
      <c r="H10440" s="153" t="s">
        <v>211</v>
      </c>
    </row>
    <row r="10441" hidden="1">
      <c r="A10441" s="158" t="s">
        <v>234</v>
      </c>
      <c r="B10441" s="159"/>
      <c r="C10441" s="155" t="s">
        <v>232</v>
      </c>
      <c r="D10441" s="156" t="s">
        <v>11890</v>
      </c>
      <c r="E10441" s="156" t="s">
        <v>12032</v>
      </c>
      <c r="F10441" s="156" t="s">
        <v>2994</v>
      </c>
      <c r="G10441" s="156" t="s">
        <v>10097</v>
      </c>
      <c r="H10441" s="157" t="s">
        <v>212</v>
      </c>
    </row>
    <row r="10442" hidden="1">
      <c r="A10442" s="160" t="s">
        <v>234</v>
      </c>
      <c r="B10442" s="72"/>
      <c r="C10442" s="118" t="s">
        <v>232</v>
      </c>
      <c r="D10442" s="152" t="s">
        <v>11890</v>
      </c>
      <c r="E10442" s="152" t="s">
        <v>12033</v>
      </c>
      <c r="F10442" s="152" t="s">
        <v>1999</v>
      </c>
      <c r="G10442" s="152" t="s">
        <v>11255</v>
      </c>
      <c r="H10442" s="153" t="s">
        <v>213</v>
      </c>
    </row>
    <row r="10443" hidden="1">
      <c r="A10443" s="158" t="s">
        <v>234</v>
      </c>
      <c r="B10443" s="159"/>
      <c r="C10443" s="155" t="s">
        <v>232</v>
      </c>
      <c r="D10443" s="156" t="s">
        <v>11890</v>
      </c>
      <c r="E10443" s="156" t="s">
        <v>12034</v>
      </c>
      <c r="F10443" s="156" t="s">
        <v>423</v>
      </c>
      <c r="G10443" s="156" t="s">
        <v>10688</v>
      </c>
      <c r="H10443" s="157" t="s">
        <v>214</v>
      </c>
    </row>
    <row r="10444" hidden="1">
      <c r="A10444" s="160" t="s">
        <v>234</v>
      </c>
      <c r="B10444" s="72"/>
      <c r="C10444" s="118" t="s">
        <v>232</v>
      </c>
      <c r="D10444" s="152" t="s">
        <v>11890</v>
      </c>
      <c r="E10444" s="152" t="s">
        <v>12035</v>
      </c>
      <c r="F10444" s="152" t="s">
        <v>453</v>
      </c>
      <c r="G10444" s="152" t="s">
        <v>11414</v>
      </c>
      <c r="H10444" s="153" t="s">
        <v>215</v>
      </c>
    </row>
    <row r="10445" hidden="1">
      <c r="A10445" s="158" t="s">
        <v>234</v>
      </c>
      <c r="B10445" s="159"/>
      <c r="C10445" s="155" t="s">
        <v>232</v>
      </c>
      <c r="D10445" s="156" t="s">
        <v>11890</v>
      </c>
      <c r="E10445" s="156" t="s">
        <v>12036</v>
      </c>
      <c r="F10445" s="156" t="s">
        <v>763</v>
      </c>
      <c r="G10445" s="156" t="s">
        <v>11414</v>
      </c>
      <c r="H10445" s="157" t="s">
        <v>216</v>
      </c>
    </row>
    <row r="10446" hidden="1">
      <c r="A10446" s="160" t="s">
        <v>235</v>
      </c>
      <c r="B10446" s="72"/>
      <c r="C10446" s="118" t="s">
        <v>236</v>
      </c>
      <c r="D10446" s="152" t="s">
        <v>11890</v>
      </c>
      <c r="E10446" s="152" t="s">
        <v>12037</v>
      </c>
      <c r="F10446" s="152" t="s">
        <v>1931</v>
      </c>
      <c r="G10446" s="152" t="s">
        <v>11201</v>
      </c>
      <c r="H10446" s="153" t="s">
        <v>210</v>
      </c>
    </row>
    <row r="10447" hidden="1">
      <c r="A10447" s="158" t="s">
        <v>235</v>
      </c>
      <c r="B10447" s="159"/>
      <c r="C10447" s="155" t="s">
        <v>236</v>
      </c>
      <c r="D10447" s="156" t="s">
        <v>11890</v>
      </c>
      <c r="E10447" s="156" t="s">
        <v>12038</v>
      </c>
      <c r="F10447" s="156" t="s">
        <v>3243</v>
      </c>
      <c r="G10447" s="156" t="s">
        <v>12039</v>
      </c>
      <c r="H10447" s="157" t="s">
        <v>211</v>
      </c>
    </row>
    <row r="10448" hidden="1">
      <c r="A10448" s="160" t="s">
        <v>235</v>
      </c>
      <c r="B10448" s="72"/>
      <c r="C10448" s="118" t="s">
        <v>236</v>
      </c>
      <c r="D10448" s="152" t="s">
        <v>11890</v>
      </c>
      <c r="E10448" s="152" t="s">
        <v>12040</v>
      </c>
      <c r="F10448" s="152" t="s">
        <v>2607</v>
      </c>
      <c r="G10448" s="152" t="s">
        <v>12039</v>
      </c>
      <c r="H10448" s="153" t="s">
        <v>212</v>
      </c>
    </row>
    <row r="10449" hidden="1">
      <c r="A10449" s="158" t="s">
        <v>235</v>
      </c>
      <c r="B10449" s="159"/>
      <c r="C10449" s="155" t="s">
        <v>236</v>
      </c>
      <c r="D10449" s="156" t="s">
        <v>11890</v>
      </c>
      <c r="E10449" s="156" t="s">
        <v>12041</v>
      </c>
      <c r="F10449" s="156" t="s">
        <v>1948</v>
      </c>
      <c r="G10449" s="156" t="s">
        <v>12042</v>
      </c>
      <c r="H10449" s="157" t="s">
        <v>213</v>
      </c>
    </row>
    <row r="10450" hidden="1">
      <c r="A10450" s="160" t="s">
        <v>235</v>
      </c>
      <c r="B10450" s="72"/>
      <c r="C10450" s="118" t="s">
        <v>236</v>
      </c>
      <c r="D10450" s="152" t="s">
        <v>11890</v>
      </c>
      <c r="E10450" s="152" t="s">
        <v>12043</v>
      </c>
      <c r="F10450" s="152" t="s">
        <v>691</v>
      </c>
      <c r="G10450" s="152" t="s">
        <v>11849</v>
      </c>
      <c r="H10450" s="153" t="s">
        <v>214</v>
      </c>
    </row>
    <row r="10451" hidden="1">
      <c r="A10451" s="158" t="s">
        <v>235</v>
      </c>
      <c r="B10451" s="159"/>
      <c r="C10451" s="155" t="s">
        <v>236</v>
      </c>
      <c r="D10451" s="156" t="s">
        <v>11890</v>
      </c>
      <c r="E10451" s="156" t="s">
        <v>12044</v>
      </c>
      <c r="F10451" s="156" t="s">
        <v>2226</v>
      </c>
      <c r="G10451" s="156" t="s">
        <v>11811</v>
      </c>
      <c r="H10451" s="157" t="s">
        <v>215</v>
      </c>
    </row>
    <row r="10452" hidden="1">
      <c r="A10452" s="160" t="s">
        <v>235</v>
      </c>
      <c r="B10452" s="72"/>
      <c r="C10452" s="118" t="s">
        <v>236</v>
      </c>
      <c r="D10452" s="152" t="s">
        <v>11890</v>
      </c>
      <c r="E10452" s="152" t="s">
        <v>12045</v>
      </c>
      <c r="F10452" s="152" t="s">
        <v>2226</v>
      </c>
      <c r="G10452" s="152" t="s">
        <v>12039</v>
      </c>
      <c r="H10452" s="153" t="s">
        <v>216</v>
      </c>
    </row>
    <row r="10453" hidden="1">
      <c r="A10453" s="158" t="s">
        <v>237</v>
      </c>
      <c r="B10453" s="159"/>
      <c r="C10453" s="155" t="s">
        <v>236</v>
      </c>
      <c r="D10453" s="156" t="s">
        <v>11890</v>
      </c>
      <c r="E10453" s="156" t="s">
        <v>12046</v>
      </c>
      <c r="F10453" s="156" t="s">
        <v>2215</v>
      </c>
      <c r="G10453" s="156" t="s">
        <v>11750</v>
      </c>
      <c r="H10453" s="157" t="s">
        <v>210</v>
      </c>
    </row>
    <row r="10454" hidden="1">
      <c r="A10454" s="160" t="s">
        <v>237</v>
      </c>
      <c r="B10454" s="72"/>
      <c r="C10454" s="118" t="s">
        <v>236</v>
      </c>
      <c r="D10454" s="152" t="s">
        <v>11890</v>
      </c>
      <c r="E10454" s="152" t="s">
        <v>12047</v>
      </c>
      <c r="F10454" s="152" t="s">
        <v>1790</v>
      </c>
      <c r="G10454" s="152" t="s">
        <v>12048</v>
      </c>
      <c r="H10454" s="153" t="s">
        <v>211</v>
      </c>
    </row>
    <row r="10455" hidden="1">
      <c r="A10455" s="158" t="s">
        <v>237</v>
      </c>
      <c r="B10455" s="159"/>
      <c r="C10455" s="155" t="s">
        <v>236</v>
      </c>
      <c r="D10455" s="156" t="s">
        <v>11890</v>
      </c>
      <c r="E10455" s="156" t="s">
        <v>12049</v>
      </c>
      <c r="F10455" s="156" t="s">
        <v>3243</v>
      </c>
      <c r="G10455" s="156" t="s">
        <v>10855</v>
      </c>
      <c r="H10455" s="157" t="s">
        <v>212</v>
      </c>
    </row>
    <row r="10456" hidden="1">
      <c r="A10456" s="160" t="s">
        <v>237</v>
      </c>
      <c r="B10456" s="72"/>
      <c r="C10456" s="118" t="s">
        <v>236</v>
      </c>
      <c r="D10456" s="152" t="s">
        <v>11890</v>
      </c>
      <c r="E10456" s="152" t="s">
        <v>12050</v>
      </c>
      <c r="F10456" s="152" t="s">
        <v>2607</v>
      </c>
      <c r="G10456" s="152" t="s">
        <v>11612</v>
      </c>
      <c r="H10456" s="153" t="s">
        <v>213</v>
      </c>
    </row>
    <row r="10457" hidden="1">
      <c r="A10457" s="158" t="s">
        <v>237</v>
      </c>
      <c r="B10457" s="159"/>
      <c r="C10457" s="155" t="s">
        <v>236</v>
      </c>
      <c r="D10457" s="156" t="s">
        <v>11890</v>
      </c>
      <c r="E10457" s="156" t="s">
        <v>12051</v>
      </c>
      <c r="F10457" s="156" t="s">
        <v>3240</v>
      </c>
      <c r="G10457" s="156" t="s">
        <v>10017</v>
      </c>
      <c r="H10457" s="157" t="s">
        <v>214</v>
      </c>
    </row>
    <row r="10458" hidden="1">
      <c r="A10458" s="160" t="s">
        <v>237</v>
      </c>
      <c r="B10458" s="72"/>
      <c r="C10458" s="118" t="s">
        <v>236</v>
      </c>
      <c r="D10458" s="152" t="s">
        <v>11890</v>
      </c>
      <c r="E10458" s="152" t="s">
        <v>12052</v>
      </c>
      <c r="F10458" s="152" t="s">
        <v>766</v>
      </c>
      <c r="G10458" s="152" t="s">
        <v>11509</v>
      </c>
      <c r="H10458" s="153" t="s">
        <v>215</v>
      </c>
    </row>
    <row r="10459" hidden="1">
      <c r="A10459" s="158" t="s">
        <v>237</v>
      </c>
      <c r="B10459" s="159"/>
      <c r="C10459" s="155" t="s">
        <v>236</v>
      </c>
      <c r="D10459" s="156" t="s">
        <v>11890</v>
      </c>
      <c r="E10459" s="156" t="s">
        <v>12053</v>
      </c>
      <c r="F10459" s="156" t="s">
        <v>1948</v>
      </c>
      <c r="G10459" s="156" t="s">
        <v>12054</v>
      </c>
      <c r="H10459" s="157" t="s">
        <v>216</v>
      </c>
    </row>
    <row r="10460" hidden="1">
      <c r="A10460" s="151" t="s">
        <v>204</v>
      </c>
      <c r="B10460" s="118" t="s">
        <v>205</v>
      </c>
      <c r="C10460" s="118" t="s">
        <v>206</v>
      </c>
      <c r="D10460" s="152" t="s">
        <v>12055</v>
      </c>
      <c r="E10460" s="152" t="s">
        <v>12056</v>
      </c>
      <c r="F10460" s="152" t="s">
        <v>633</v>
      </c>
      <c r="G10460" s="152" t="s">
        <v>11992</v>
      </c>
      <c r="H10460" s="153" t="s">
        <v>210</v>
      </c>
    </row>
    <row r="10461" hidden="1">
      <c r="A10461" s="154" t="s">
        <v>204</v>
      </c>
      <c r="B10461" s="155" t="s">
        <v>205</v>
      </c>
      <c r="C10461" s="155" t="s">
        <v>206</v>
      </c>
      <c r="D10461" s="156" t="s">
        <v>12055</v>
      </c>
      <c r="E10461" s="156" t="s">
        <v>12057</v>
      </c>
      <c r="F10461" s="156" t="s">
        <v>11634</v>
      </c>
      <c r="G10461" s="156" t="s">
        <v>12058</v>
      </c>
      <c r="H10461" s="157" t="s">
        <v>211</v>
      </c>
    </row>
    <row r="10462" hidden="1">
      <c r="A10462" s="151" t="s">
        <v>204</v>
      </c>
      <c r="B10462" s="118" t="s">
        <v>205</v>
      </c>
      <c r="C10462" s="118" t="s">
        <v>206</v>
      </c>
      <c r="D10462" s="152" t="s">
        <v>12055</v>
      </c>
      <c r="E10462" s="152" t="s">
        <v>12059</v>
      </c>
      <c r="F10462" s="152" t="s">
        <v>9469</v>
      </c>
      <c r="G10462" s="152" t="s">
        <v>12060</v>
      </c>
      <c r="H10462" s="153" t="s">
        <v>212</v>
      </c>
    </row>
    <row r="10463" hidden="1">
      <c r="A10463" s="154" t="s">
        <v>204</v>
      </c>
      <c r="B10463" s="155" t="s">
        <v>205</v>
      </c>
      <c r="C10463" s="155" t="s">
        <v>206</v>
      </c>
      <c r="D10463" s="156" t="s">
        <v>12055</v>
      </c>
      <c r="E10463" s="156" t="s">
        <v>12061</v>
      </c>
      <c r="F10463" s="156" t="s">
        <v>7374</v>
      </c>
      <c r="G10463" s="156" t="s">
        <v>12062</v>
      </c>
      <c r="H10463" s="157" t="s">
        <v>213</v>
      </c>
    </row>
    <row r="10464" hidden="1">
      <c r="A10464" s="151" t="s">
        <v>204</v>
      </c>
      <c r="B10464" s="118" t="s">
        <v>205</v>
      </c>
      <c r="C10464" s="118" t="s">
        <v>206</v>
      </c>
      <c r="D10464" s="152" t="s">
        <v>12055</v>
      </c>
      <c r="E10464" s="152" t="s">
        <v>12063</v>
      </c>
      <c r="F10464" s="152" t="s">
        <v>9469</v>
      </c>
      <c r="G10464" s="152" t="s">
        <v>12064</v>
      </c>
      <c r="H10464" s="153" t="s">
        <v>214</v>
      </c>
    </row>
    <row r="10465" hidden="1">
      <c r="A10465" s="154" t="s">
        <v>204</v>
      </c>
      <c r="B10465" s="155" t="s">
        <v>205</v>
      </c>
      <c r="C10465" s="155" t="s">
        <v>206</v>
      </c>
      <c r="D10465" s="156" t="s">
        <v>12055</v>
      </c>
      <c r="E10465" s="156" t="s">
        <v>12065</v>
      </c>
      <c r="F10465" s="156" t="s">
        <v>230</v>
      </c>
      <c r="G10465" s="156" t="s">
        <v>12066</v>
      </c>
      <c r="H10465" s="157" t="s">
        <v>215</v>
      </c>
    </row>
    <row r="10466" hidden="1">
      <c r="A10466" s="151" t="s">
        <v>204</v>
      </c>
      <c r="B10466" s="118" t="s">
        <v>205</v>
      </c>
      <c r="C10466" s="118" t="s">
        <v>206</v>
      </c>
      <c r="D10466" s="152" t="s">
        <v>12055</v>
      </c>
      <c r="E10466" s="152" t="s">
        <v>12067</v>
      </c>
      <c r="F10466" s="152" t="s">
        <v>9469</v>
      </c>
      <c r="G10466" s="152" t="s">
        <v>12068</v>
      </c>
      <c r="H10466" s="153" t="s">
        <v>216</v>
      </c>
    </row>
    <row r="10467" hidden="1">
      <c r="A10467" s="154" t="s">
        <v>217</v>
      </c>
      <c r="B10467" s="155" t="s">
        <v>191</v>
      </c>
      <c r="C10467" s="155" t="s">
        <v>206</v>
      </c>
      <c r="D10467" s="156" t="s">
        <v>12055</v>
      </c>
      <c r="E10467" s="156" t="s">
        <v>12069</v>
      </c>
      <c r="F10467" s="156" t="s">
        <v>5849</v>
      </c>
      <c r="G10467" s="156" t="s">
        <v>12070</v>
      </c>
      <c r="H10467" s="157" t="s">
        <v>210</v>
      </c>
    </row>
    <row r="10468" hidden="1">
      <c r="A10468" s="151" t="s">
        <v>217</v>
      </c>
      <c r="B10468" s="118" t="s">
        <v>191</v>
      </c>
      <c r="C10468" s="118" t="s">
        <v>206</v>
      </c>
      <c r="D10468" s="152" t="s">
        <v>12055</v>
      </c>
      <c r="E10468" s="152" t="s">
        <v>12071</v>
      </c>
      <c r="F10468" s="152" t="s">
        <v>2435</v>
      </c>
      <c r="G10468" s="152" t="s">
        <v>12072</v>
      </c>
      <c r="H10468" s="153" t="s">
        <v>211</v>
      </c>
    </row>
    <row r="10469" hidden="1">
      <c r="A10469" s="154" t="s">
        <v>217</v>
      </c>
      <c r="B10469" s="155" t="s">
        <v>191</v>
      </c>
      <c r="C10469" s="155" t="s">
        <v>206</v>
      </c>
      <c r="D10469" s="156" t="s">
        <v>12055</v>
      </c>
      <c r="E10469" s="156" t="s">
        <v>12073</v>
      </c>
      <c r="F10469" s="156" t="s">
        <v>1771</v>
      </c>
      <c r="G10469" s="156" t="s">
        <v>12074</v>
      </c>
      <c r="H10469" s="157" t="s">
        <v>212</v>
      </c>
    </row>
    <row r="10470" hidden="1">
      <c r="A10470" s="151" t="s">
        <v>217</v>
      </c>
      <c r="B10470" s="118" t="s">
        <v>191</v>
      </c>
      <c r="C10470" s="118" t="s">
        <v>206</v>
      </c>
      <c r="D10470" s="152" t="s">
        <v>12055</v>
      </c>
      <c r="E10470" s="152" t="s">
        <v>12075</v>
      </c>
      <c r="F10470" s="152" t="s">
        <v>1765</v>
      </c>
      <c r="G10470" s="152" t="s">
        <v>12076</v>
      </c>
      <c r="H10470" s="153" t="s">
        <v>213</v>
      </c>
    </row>
    <row r="10471" hidden="1">
      <c r="A10471" s="154" t="s">
        <v>217</v>
      </c>
      <c r="B10471" s="155" t="s">
        <v>191</v>
      </c>
      <c r="C10471" s="155" t="s">
        <v>206</v>
      </c>
      <c r="D10471" s="156" t="s">
        <v>12055</v>
      </c>
      <c r="E10471" s="156" t="s">
        <v>12077</v>
      </c>
      <c r="F10471" s="156" t="s">
        <v>10676</v>
      </c>
      <c r="G10471" s="156" t="s">
        <v>12078</v>
      </c>
      <c r="H10471" s="157" t="s">
        <v>214</v>
      </c>
    </row>
    <row r="10472" hidden="1">
      <c r="A10472" s="151" t="s">
        <v>217</v>
      </c>
      <c r="B10472" s="118" t="s">
        <v>191</v>
      </c>
      <c r="C10472" s="118" t="s">
        <v>206</v>
      </c>
      <c r="D10472" s="152" t="s">
        <v>12055</v>
      </c>
      <c r="E10472" s="152" t="s">
        <v>12079</v>
      </c>
      <c r="F10472" s="152" t="s">
        <v>1784</v>
      </c>
      <c r="G10472" s="152" t="s">
        <v>12080</v>
      </c>
      <c r="H10472" s="153" t="s">
        <v>215</v>
      </c>
    </row>
    <row r="10473" hidden="1">
      <c r="A10473" s="154" t="s">
        <v>217</v>
      </c>
      <c r="B10473" s="155" t="s">
        <v>191</v>
      </c>
      <c r="C10473" s="155" t="s">
        <v>206</v>
      </c>
      <c r="D10473" s="156" t="s">
        <v>12055</v>
      </c>
      <c r="E10473" s="156" t="s">
        <v>12081</v>
      </c>
      <c r="F10473" s="156" t="s">
        <v>1762</v>
      </c>
      <c r="G10473" s="156" t="s">
        <v>12082</v>
      </c>
      <c r="H10473" s="157" t="s">
        <v>216</v>
      </c>
    </row>
    <row r="10474" hidden="1">
      <c r="A10474" s="151" t="s">
        <v>218</v>
      </c>
      <c r="B10474" s="118" t="s">
        <v>219</v>
      </c>
      <c r="C10474" s="118" t="s">
        <v>206</v>
      </c>
      <c r="D10474" s="152" t="s">
        <v>12055</v>
      </c>
      <c r="E10474" s="152" t="s">
        <v>12083</v>
      </c>
      <c r="F10474" s="152" t="s">
        <v>9662</v>
      </c>
      <c r="G10474" s="152" t="s">
        <v>12084</v>
      </c>
      <c r="H10474" s="153" t="s">
        <v>210</v>
      </c>
    </row>
    <row r="10475" hidden="1">
      <c r="A10475" s="154" t="s">
        <v>218</v>
      </c>
      <c r="B10475" s="155" t="s">
        <v>219</v>
      </c>
      <c r="C10475" s="155" t="s">
        <v>206</v>
      </c>
      <c r="D10475" s="156" t="s">
        <v>12055</v>
      </c>
      <c r="E10475" s="156" t="s">
        <v>12085</v>
      </c>
      <c r="F10475" s="156" t="s">
        <v>2169</v>
      </c>
      <c r="G10475" s="156" t="s">
        <v>12086</v>
      </c>
      <c r="H10475" s="157" t="s">
        <v>211</v>
      </c>
    </row>
    <row r="10476" hidden="1">
      <c r="A10476" s="151" t="s">
        <v>218</v>
      </c>
      <c r="B10476" s="118" t="s">
        <v>219</v>
      </c>
      <c r="C10476" s="118" t="s">
        <v>206</v>
      </c>
      <c r="D10476" s="152" t="s">
        <v>12055</v>
      </c>
      <c r="E10476" s="152" t="s">
        <v>12087</v>
      </c>
      <c r="F10476" s="152" t="s">
        <v>1769</v>
      </c>
      <c r="G10476" s="152" t="s">
        <v>12088</v>
      </c>
      <c r="H10476" s="153" t="s">
        <v>212</v>
      </c>
    </row>
    <row r="10477" hidden="1">
      <c r="A10477" s="154" t="s">
        <v>218</v>
      </c>
      <c r="B10477" s="155" t="s">
        <v>219</v>
      </c>
      <c r="C10477" s="155" t="s">
        <v>206</v>
      </c>
      <c r="D10477" s="156" t="s">
        <v>12055</v>
      </c>
      <c r="E10477" s="156" t="s">
        <v>12089</v>
      </c>
      <c r="F10477" s="156" t="s">
        <v>2512</v>
      </c>
      <c r="G10477" s="156" t="s">
        <v>11946</v>
      </c>
      <c r="H10477" s="157" t="s">
        <v>213</v>
      </c>
    </row>
    <row r="10478" hidden="1">
      <c r="A10478" s="151" t="s">
        <v>218</v>
      </c>
      <c r="B10478" s="118" t="s">
        <v>219</v>
      </c>
      <c r="C10478" s="118" t="s">
        <v>206</v>
      </c>
      <c r="D10478" s="152" t="s">
        <v>12055</v>
      </c>
      <c r="E10478" s="152" t="s">
        <v>12090</v>
      </c>
      <c r="F10478" s="152" t="s">
        <v>7374</v>
      </c>
      <c r="G10478" s="152" t="s">
        <v>12091</v>
      </c>
      <c r="H10478" s="153" t="s">
        <v>214</v>
      </c>
    </row>
    <row r="10479" hidden="1">
      <c r="A10479" s="154" t="s">
        <v>218</v>
      </c>
      <c r="B10479" s="155" t="s">
        <v>219</v>
      </c>
      <c r="C10479" s="155" t="s">
        <v>206</v>
      </c>
      <c r="D10479" s="156" t="s">
        <v>12055</v>
      </c>
      <c r="E10479" s="156" t="s">
        <v>12092</v>
      </c>
      <c r="F10479" s="156" t="s">
        <v>2218</v>
      </c>
      <c r="G10479" s="156" t="s">
        <v>12093</v>
      </c>
      <c r="H10479" s="157" t="s">
        <v>215</v>
      </c>
    </row>
    <row r="10480" hidden="1">
      <c r="A10480" s="151" t="s">
        <v>218</v>
      </c>
      <c r="B10480" s="118" t="s">
        <v>219</v>
      </c>
      <c r="C10480" s="118" t="s">
        <v>206</v>
      </c>
      <c r="D10480" s="152" t="s">
        <v>12055</v>
      </c>
      <c r="E10480" s="152" t="s">
        <v>12094</v>
      </c>
      <c r="F10480" s="152" t="s">
        <v>7374</v>
      </c>
      <c r="G10480" s="152" t="s">
        <v>11778</v>
      </c>
      <c r="H10480" s="153" t="s">
        <v>216</v>
      </c>
    </row>
    <row r="10481" hidden="1">
      <c r="A10481" s="154" t="s">
        <v>220</v>
      </c>
      <c r="B10481" s="155" t="s">
        <v>190</v>
      </c>
      <c r="C10481" s="155" t="s">
        <v>206</v>
      </c>
      <c r="D10481" s="156" t="s">
        <v>12055</v>
      </c>
      <c r="E10481" s="156" t="s">
        <v>12095</v>
      </c>
      <c r="F10481" s="156" t="s">
        <v>587</v>
      </c>
      <c r="G10481" s="156" t="s">
        <v>11657</v>
      </c>
      <c r="H10481" s="157" t="s">
        <v>210</v>
      </c>
    </row>
    <row r="10482" hidden="1">
      <c r="A10482" s="151" t="s">
        <v>220</v>
      </c>
      <c r="B10482" s="118" t="s">
        <v>190</v>
      </c>
      <c r="C10482" s="118" t="s">
        <v>206</v>
      </c>
      <c r="D10482" s="152" t="s">
        <v>12055</v>
      </c>
      <c r="E10482" s="152" t="s">
        <v>12096</v>
      </c>
      <c r="F10482" s="152" t="s">
        <v>9480</v>
      </c>
      <c r="G10482" s="152" t="s">
        <v>10540</v>
      </c>
      <c r="H10482" s="153" t="s">
        <v>211</v>
      </c>
    </row>
    <row r="10483" hidden="1">
      <c r="A10483" s="154" t="s">
        <v>220</v>
      </c>
      <c r="B10483" s="155" t="s">
        <v>190</v>
      </c>
      <c r="C10483" s="155" t="s">
        <v>206</v>
      </c>
      <c r="D10483" s="156" t="s">
        <v>12055</v>
      </c>
      <c r="E10483" s="156" t="s">
        <v>12097</v>
      </c>
      <c r="F10483" s="156" t="s">
        <v>10944</v>
      </c>
      <c r="G10483" s="156" t="s">
        <v>12098</v>
      </c>
      <c r="H10483" s="157" t="s">
        <v>212</v>
      </c>
    </row>
    <row r="10484" hidden="1">
      <c r="A10484" s="151" t="s">
        <v>220</v>
      </c>
      <c r="B10484" s="118" t="s">
        <v>190</v>
      </c>
      <c r="C10484" s="118" t="s">
        <v>206</v>
      </c>
      <c r="D10484" s="152" t="s">
        <v>12055</v>
      </c>
      <c r="E10484" s="152" t="s">
        <v>12099</v>
      </c>
      <c r="F10484" s="152" t="s">
        <v>4052</v>
      </c>
      <c r="G10484" s="152" t="s">
        <v>11882</v>
      </c>
      <c r="H10484" s="153" t="s">
        <v>213</v>
      </c>
    </row>
    <row r="10485" hidden="1">
      <c r="A10485" s="154" t="s">
        <v>220</v>
      </c>
      <c r="B10485" s="155" t="s">
        <v>190</v>
      </c>
      <c r="C10485" s="155" t="s">
        <v>206</v>
      </c>
      <c r="D10485" s="156" t="s">
        <v>12055</v>
      </c>
      <c r="E10485" s="156" t="s">
        <v>12100</v>
      </c>
      <c r="F10485" s="156" t="s">
        <v>1781</v>
      </c>
      <c r="G10485" s="156" t="s">
        <v>12101</v>
      </c>
      <c r="H10485" s="157" t="s">
        <v>214</v>
      </c>
    </row>
    <row r="10486" hidden="1">
      <c r="A10486" s="151" t="s">
        <v>220</v>
      </c>
      <c r="B10486" s="118" t="s">
        <v>190</v>
      </c>
      <c r="C10486" s="118" t="s">
        <v>206</v>
      </c>
      <c r="D10486" s="152" t="s">
        <v>12055</v>
      </c>
      <c r="E10486" s="152" t="s">
        <v>12102</v>
      </c>
      <c r="F10486" s="152" t="s">
        <v>292</v>
      </c>
      <c r="G10486" s="152" t="s">
        <v>12103</v>
      </c>
      <c r="H10486" s="153" t="s">
        <v>215</v>
      </c>
    </row>
    <row r="10487" hidden="1">
      <c r="A10487" s="154" t="s">
        <v>220</v>
      </c>
      <c r="B10487" s="155" t="s">
        <v>190</v>
      </c>
      <c r="C10487" s="155" t="s">
        <v>206</v>
      </c>
      <c r="D10487" s="156" t="s">
        <v>12055</v>
      </c>
      <c r="E10487" s="156" t="s">
        <v>12104</v>
      </c>
      <c r="F10487" s="156" t="s">
        <v>228</v>
      </c>
      <c r="G10487" s="156" t="s">
        <v>10540</v>
      </c>
      <c r="H10487" s="157" t="s">
        <v>216</v>
      </c>
    </row>
    <row r="10488" hidden="1">
      <c r="A10488" s="151" t="s">
        <v>221</v>
      </c>
      <c r="B10488" s="118" t="s">
        <v>189</v>
      </c>
      <c r="C10488" s="118" t="s">
        <v>206</v>
      </c>
      <c r="D10488" s="152" t="s">
        <v>12055</v>
      </c>
      <c r="E10488" s="152" t="s">
        <v>12105</v>
      </c>
      <c r="F10488" s="152" t="s">
        <v>405</v>
      </c>
      <c r="G10488" s="152" t="s">
        <v>11573</v>
      </c>
      <c r="H10488" s="153" t="s">
        <v>210</v>
      </c>
    </row>
    <row r="10489" hidden="1">
      <c r="A10489" s="154" t="s">
        <v>221</v>
      </c>
      <c r="B10489" s="155" t="s">
        <v>189</v>
      </c>
      <c r="C10489" s="155" t="s">
        <v>206</v>
      </c>
      <c r="D10489" s="156" t="s">
        <v>12055</v>
      </c>
      <c r="E10489" s="156" t="s">
        <v>12106</v>
      </c>
      <c r="F10489" s="156" t="s">
        <v>3346</v>
      </c>
      <c r="G10489" s="156" t="s">
        <v>10274</v>
      </c>
      <c r="H10489" s="157" t="s">
        <v>211</v>
      </c>
    </row>
    <row r="10490" hidden="1">
      <c r="A10490" s="151" t="s">
        <v>221</v>
      </c>
      <c r="B10490" s="118" t="s">
        <v>189</v>
      </c>
      <c r="C10490" s="118" t="s">
        <v>206</v>
      </c>
      <c r="D10490" s="152" t="s">
        <v>12055</v>
      </c>
      <c r="E10490" s="152" t="s">
        <v>12107</v>
      </c>
      <c r="F10490" s="152" t="s">
        <v>629</v>
      </c>
      <c r="G10490" s="152" t="s">
        <v>10691</v>
      </c>
      <c r="H10490" s="153" t="s">
        <v>212</v>
      </c>
    </row>
    <row r="10491" hidden="1">
      <c r="A10491" s="154" t="s">
        <v>221</v>
      </c>
      <c r="B10491" s="155" t="s">
        <v>189</v>
      </c>
      <c r="C10491" s="155" t="s">
        <v>206</v>
      </c>
      <c r="D10491" s="156" t="s">
        <v>12055</v>
      </c>
      <c r="E10491" s="156" t="s">
        <v>12108</v>
      </c>
      <c r="F10491" s="156" t="s">
        <v>3340</v>
      </c>
      <c r="G10491" s="156" t="s">
        <v>11698</v>
      </c>
      <c r="H10491" s="157" t="s">
        <v>213</v>
      </c>
    </row>
    <row r="10492" hidden="1">
      <c r="A10492" s="151" t="s">
        <v>221</v>
      </c>
      <c r="B10492" s="118" t="s">
        <v>189</v>
      </c>
      <c r="C10492" s="118" t="s">
        <v>206</v>
      </c>
      <c r="D10492" s="152" t="s">
        <v>12055</v>
      </c>
      <c r="E10492" s="152" t="s">
        <v>12109</v>
      </c>
      <c r="F10492" s="152" t="s">
        <v>2249</v>
      </c>
      <c r="G10492" s="152" t="s">
        <v>12110</v>
      </c>
      <c r="H10492" s="153" t="s">
        <v>214</v>
      </c>
    </row>
    <row r="10493" hidden="1">
      <c r="A10493" s="154" t="s">
        <v>221</v>
      </c>
      <c r="B10493" s="155" t="s">
        <v>189</v>
      </c>
      <c r="C10493" s="155" t="s">
        <v>206</v>
      </c>
      <c r="D10493" s="156" t="s">
        <v>12055</v>
      </c>
      <c r="E10493" s="156" t="s">
        <v>12111</v>
      </c>
      <c r="F10493" s="156" t="s">
        <v>497</v>
      </c>
      <c r="G10493" s="156" t="s">
        <v>10197</v>
      </c>
      <c r="H10493" s="157" t="s">
        <v>215</v>
      </c>
    </row>
    <row r="10494" hidden="1">
      <c r="A10494" s="151" t="s">
        <v>221</v>
      </c>
      <c r="B10494" s="118" t="s">
        <v>189</v>
      </c>
      <c r="C10494" s="118" t="s">
        <v>206</v>
      </c>
      <c r="D10494" s="152" t="s">
        <v>12055</v>
      </c>
      <c r="E10494" s="152" t="s">
        <v>12112</v>
      </c>
      <c r="F10494" s="152" t="s">
        <v>3240</v>
      </c>
      <c r="G10494" s="152" t="s">
        <v>10015</v>
      </c>
      <c r="H10494" s="153" t="s">
        <v>216</v>
      </c>
    </row>
    <row r="10495" hidden="1">
      <c r="A10495" s="154" t="s">
        <v>222</v>
      </c>
      <c r="B10495" s="155" t="s">
        <v>192</v>
      </c>
      <c r="C10495" s="155" t="s">
        <v>206</v>
      </c>
      <c r="D10495" s="156" t="s">
        <v>12055</v>
      </c>
      <c r="E10495" s="156" t="s">
        <v>12113</v>
      </c>
      <c r="F10495" s="156" t="s">
        <v>9840</v>
      </c>
      <c r="G10495" s="156" t="s">
        <v>12114</v>
      </c>
      <c r="H10495" s="157" t="s">
        <v>210</v>
      </c>
    </row>
    <row r="10496" hidden="1">
      <c r="A10496" s="151" t="s">
        <v>222</v>
      </c>
      <c r="B10496" s="118" t="s">
        <v>192</v>
      </c>
      <c r="C10496" s="118" t="s">
        <v>206</v>
      </c>
      <c r="D10496" s="152" t="s">
        <v>12055</v>
      </c>
      <c r="E10496" s="152" t="s">
        <v>12115</v>
      </c>
      <c r="F10496" s="152" t="s">
        <v>3153</v>
      </c>
      <c r="G10496" s="152" t="s">
        <v>12116</v>
      </c>
      <c r="H10496" s="153" t="s">
        <v>211</v>
      </c>
    </row>
    <row r="10497" hidden="1">
      <c r="A10497" s="154" t="s">
        <v>222</v>
      </c>
      <c r="B10497" s="155" t="s">
        <v>192</v>
      </c>
      <c r="C10497" s="155" t="s">
        <v>206</v>
      </c>
      <c r="D10497" s="156" t="s">
        <v>12055</v>
      </c>
      <c r="E10497" s="156" t="s">
        <v>12117</v>
      </c>
      <c r="F10497" s="156" t="s">
        <v>9840</v>
      </c>
      <c r="G10497" s="156" t="s">
        <v>12118</v>
      </c>
      <c r="H10497" s="157" t="s">
        <v>212</v>
      </c>
    </row>
    <row r="10498" hidden="1">
      <c r="A10498" s="151" t="s">
        <v>222</v>
      </c>
      <c r="B10498" s="118" t="s">
        <v>192</v>
      </c>
      <c r="C10498" s="118" t="s">
        <v>206</v>
      </c>
      <c r="D10498" s="152" t="s">
        <v>12055</v>
      </c>
      <c r="E10498" s="152" t="s">
        <v>12119</v>
      </c>
      <c r="F10498" s="152" t="s">
        <v>9464</v>
      </c>
      <c r="G10498" s="152" t="s">
        <v>12120</v>
      </c>
      <c r="H10498" s="153" t="s">
        <v>213</v>
      </c>
    </row>
    <row r="10499" hidden="1">
      <c r="A10499" s="154" t="s">
        <v>222</v>
      </c>
      <c r="B10499" s="155" t="s">
        <v>192</v>
      </c>
      <c r="C10499" s="155" t="s">
        <v>206</v>
      </c>
      <c r="D10499" s="156" t="s">
        <v>12055</v>
      </c>
      <c r="E10499" s="156" t="s">
        <v>12121</v>
      </c>
      <c r="F10499" s="156" t="s">
        <v>2173</v>
      </c>
      <c r="G10499" s="156" t="s">
        <v>12122</v>
      </c>
      <c r="H10499" s="157" t="s">
        <v>214</v>
      </c>
    </row>
    <row r="10500" hidden="1">
      <c r="A10500" s="151" t="s">
        <v>222</v>
      </c>
      <c r="B10500" s="118" t="s">
        <v>192</v>
      </c>
      <c r="C10500" s="118" t="s">
        <v>206</v>
      </c>
      <c r="D10500" s="152" t="s">
        <v>12055</v>
      </c>
      <c r="E10500" s="152" t="s">
        <v>12123</v>
      </c>
      <c r="F10500" s="152" t="s">
        <v>4251</v>
      </c>
      <c r="G10500" s="152" t="s">
        <v>12124</v>
      </c>
      <c r="H10500" s="153" t="s">
        <v>215</v>
      </c>
    </row>
    <row r="10501" hidden="1">
      <c r="A10501" s="154" t="s">
        <v>222</v>
      </c>
      <c r="B10501" s="155" t="s">
        <v>192</v>
      </c>
      <c r="C10501" s="155" t="s">
        <v>206</v>
      </c>
      <c r="D10501" s="156" t="s">
        <v>12055</v>
      </c>
      <c r="E10501" s="156" t="s">
        <v>12125</v>
      </c>
      <c r="F10501" s="156" t="s">
        <v>3153</v>
      </c>
      <c r="G10501" s="156" t="s">
        <v>12126</v>
      </c>
      <c r="H10501" s="157" t="s">
        <v>216</v>
      </c>
    </row>
    <row r="10502" hidden="1">
      <c r="A10502" s="151" t="s">
        <v>223</v>
      </c>
      <c r="B10502" s="118" t="s">
        <v>144</v>
      </c>
      <c r="C10502" s="118" t="s">
        <v>206</v>
      </c>
      <c r="D10502" s="152" t="s">
        <v>12055</v>
      </c>
      <c r="E10502" s="152" t="s">
        <v>12127</v>
      </c>
      <c r="F10502" s="152" t="s">
        <v>2018</v>
      </c>
      <c r="G10502" s="152" t="s">
        <v>12068</v>
      </c>
      <c r="H10502" s="153" t="s">
        <v>210</v>
      </c>
    </row>
    <row r="10503" hidden="1">
      <c r="A10503" s="154" t="s">
        <v>223</v>
      </c>
      <c r="B10503" s="155" t="s">
        <v>144</v>
      </c>
      <c r="C10503" s="155" t="s">
        <v>206</v>
      </c>
      <c r="D10503" s="156" t="s">
        <v>12055</v>
      </c>
      <c r="E10503" s="156" t="s">
        <v>12128</v>
      </c>
      <c r="F10503" s="156" t="s">
        <v>11549</v>
      </c>
      <c r="G10503" s="156" t="s">
        <v>12129</v>
      </c>
      <c r="H10503" s="157" t="s">
        <v>211</v>
      </c>
    </row>
    <row r="10504" hidden="1">
      <c r="A10504" s="151" t="s">
        <v>223</v>
      </c>
      <c r="B10504" s="118" t="s">
        <v>144</v>
      </c>
      <c r="C10504" s="118" t="s">
        <v>206</v>
      </c>
      <c r="D10504" s="152" t="s">
        <v>12055</v>
      </c>
      <c r="E10504" s="152" t="s">
        <v>12130</v>
      </c>
      <c r="F10504" s="152" t="s">
        <v>7097</v>
      </c>
      <c r="G10504" s="152" t="s">
        <v>12131</v>
      </c>
      <c r="H10504" s="153" t="s">
        <v>212</v>
      </c>
    </row>
    <row r="10505" hidden="1">
      <c r="A10505" s="154" t="s">
        <v>223</v>
      </c>
      <c r="B10505" s="155" t="s">
        <v>144</v>
      </c>
      <c r="C10505" s="155" t="s">
        <v>206</v>
      </c>
      <c r="D10505" s="156" t="s">
        <v>12055</v>
      </c>
      <c r="E10505" s="156" t="s">
        <v>12132</v>
      </c>
      <c r="F10505" s="156" t="s">
        <v>10676</v>
      </c>
      <c r="G10505" s="156" t="s">
        <v>12133</v>
      </c>
      <c r="H10505" s="157" t="s">
        <v>213</v>
      </c>
    </row>
    <row r="10506" hidden="1">
      <c r="A10506" s="151" t="s">
        <v>223</v>
      </c>
      <c r="B10506" s="118" t="s">
        <v>144</v>
      </c>
      <c r="C10506" s="118" t="s">
        <v>206</v>
      </c>
      <c r="D10506" s="152" t="s">
        <v>12055</v>
      </c>
      <c r="E10506" s="152" t="s">
        <v>12134</v>
      </c>
      <c r="F10506" s="152" t="s">
        <v>1799</v>
      </c>
      <c r="G10506" s="152" t="s">
        <v>12135</v>
      </c>
      <c r="H10506" s="153" t="s">
        <v>214</v>
      </c>
    </row>
    <row r="10507" hidden="1">
      <c r="A10507" s="154" t="s">
        <v>223</v>
      </c>
      <c r="B10507" s="155" t="s">
        <v>144</v>
      </c>
      <c r="C10507" s="155" t="s">
        <v>206</v>
      </c>
      <c r="D10507" s="156" t="s">
        <v>12055</v>
      </c>
      <c r="E10507" s="156" t="s">
        <v>12136</v>
      </c>
      <c r="F10507" s="156" t="s">
        <v>2343</v>
      </c>
      <c r="G10507" s="156" t="s">
        <v>12137</v>
      </c>
      <c r="H10507" s="157" t="s">
        <v>215</v>
      </c>
    </row>
    <row r="10508" hidden="1">
      <c r="A10508" s="151" t="s">
        <v>223</v>
      </c>
      <c r="B10508" s="118" t="s">
        <v>144</v>
      </c>
      <c r="C10508" s="118" t="s">
        <v>206</v>
      </c>
      <c r="D10508" s="152" t="s">
        <v>12055</v>
      </c>
      <c r="E10508" s="152" t="s">
        <v>12138</v>
      </c>
      <c r="F10508" s="152" t="s">
        <v>1804</v>
      </c>
      <c r="G10508" s="152" t="s">
        <v>11992</v>
      </c>
      <c r="H10508" s="153" t="s">
        <v>216</v>
      </c>
    </row>
    <row r="10509" hidden="1">
      <c r="A10509" s="154" t="s">
        <v>224</v>
      </c>
      <c r="B10509" s="155" t="s">
        <v>170</v>
      </c>
      <c r="C10509" s="155" t="s">
        <v>206</v>
      </c>
      <c r="D10509" s="156" t="s">
        <v>12055</v>
      </c>
      <c r="E10509" s="156" t="s">
        <v>12139</v>
      </c>
      <c r="F10509" s="156" t="s">
        <v>637</v>
      </c>
      <c r="G10509" s="156" t="s">
        <v>11863</v>
      </c>
      <c r="H10509" s="157" t="s">
        <v>210</v>
      </c>
    </row>
    <row r="10510" hidden="1">
      <c r="A10510" s="151" t="s">
        <v>224</v>
      </c>
      <c r="B10510" s="118" t="s">
        <v>170</v>
      </c>
      <c r="C10510" s="118" t="s">
        <v>206</v>
      </c>
      <c r="D10510" s="152" t="s">
        <v>12055</v>
      </c>
      <c r="E10510" s="152" t="s">
        <v>12140</v>
      </c>
      <c r="F10510" s="152" t="s">
        <v>9508</v>
      </c>
      <c r="G10510" s="152" t="s">
        <v>11655</v>
      </c>
      <c r="H10510" s="153" t="s">
        <v>211</v>
      </c>
    </row>
    <row r="10511" hidden="1">
      <c r="A10511" s="154" t="s">
        <v>224</v>
      </c>
      <c r="B10511" s="155" t="s">
        <v>170</v>
      </c>
      <c r="C10511" s="155" t="s">
        <v>206</v>
      </c>
      <c r="D10511" s="156" t="s">
        <v>12055</v>
      </c>
      <c r="E10511" s="156" t="s">
        <v>12141</v>
      </c>
      <c r="F10511" s="156" t="s">
        <v>1781</v>
      </c>
      <c r="G10511" s="156" t="s">
        <v>11596</v>
      </c>
      <c r="H10511" s="157" t="s">
        <v>212</v>
      </c>
    </row>
    <row r="10512" hidden="1">
      <c r="A10512" s="151" t="s">
        <v>224</v>
      </c>
      <c r="B10512" s="118" t="s">
        <v>170</v>
      </c>
      <c r="C10512" s="118" t="s">
        <v>206</v>
      </c>
      <c r="D10512" s="152" t="s">
        <v>12055</v>
      </c>
      <c r="E10512" s="152" t="s">
        <v>12142</v>
      </c>
      <c r="F10512" s="152" t="s">
        <v>641</v>
      </c>
      <c r="G10512" s="152" t="s">
        <v>12143</v>
      </c>
      <c r="H10512" s="153" t="s">
        <v>213</v>
      </c>
    </row>
    <row r="10513" hidden="1">
      <c r="A10513" s="154" t="s">
        <v>224</v>
      </c>
      <c r="B10513" s="155" t="s">
        <v>170</v>
      </c>
      <c r="C10513" s="155" t="s">
        <v>206</v>
      </c>
      <c r="D10513" s="156" t="s">
        <v>12055</v>
      </c>
      <c r="E10513" s="156" t="s">
        <v>12144</v>
      </c>
      <c r="F10513" s="156" t="s">
        <v>1931</v>
      </c>
      <c r="G10513" s="156" t="s">
        <v>11505</v>
      </c>
      <c r="H10513" s="157" t="s">
        <v>214</v>
      </c>
    </row>
    <row r="10514" hidden="1">
      <c r="A10514" s="151" t="s">
        <v>224</v>
      </c>
      <c r="B10514" s="118" t="s">
        <v>170</v>
      </c>
      <c r="C10514" s="118" t="s">
        <v>206</v>
      </c>
      <c r="D10514" s="152" t="s">
        <v>12055</v>
      </c>
      <c r="E10514" s="152" t="s">
        <v>12145</v>
      </c>
      <c r="F10514" s="152" t="s">
        <v>9480</v>
      </c>
      <c r="G10514" s="152" t="s">
        <v>11655</v>
      </c>
      <c r="H10514" s="153" t="s">
        <v>215</v>
      </c>
    </row>
    <row r="10515" hidden="1">
      <c r="A10515" s="154" t="s">
        <v>224</v>
      </c>
      <c r="B10515" s="155" t="s">
        <v>170</v>
      </c>
      <c r="C10515" s="155" t="s">
        <v>206</v>
      </c>
      <c r="D10515" s="156" t="s">
        <v>12055</v>
      </c>
      <c r="E10515" s="156" t="s">
        <v>12146</v>
      </c>
      <c r="F10515" s="156" t="s">
        <v>1781</v>
      </c>
      <c r="G10515" s="156" t="s">
        <v>11042</v>
      </c>
      <c r="H10515" s="157" t="s">
        <v>216</v>
      </c>
    </row>
    <row r="10516" hidden="1">
      <c r="A10516" s="151" t="s">
        <v>225</v>
      </c>
      <c r="B10516" s="118" t="s">
        <v>226</v>
      </c>
      <c r="C10516" s="118" t="s">
        <v>206</v>
      </c>
      <c r="D10516" s="152" t="s">
        <v>12055</v>
      </c>
      <c r="E10516" s="152" t="s">
        <v>12147</v>
      </c>
      <c r="F10516" s="152" t="s">
        <v>2193</v>
      </c>
      <c r="G10516" s="152" t="s">
        <v>12148</v>
      </c>
      <c r="H10516" s="153" t="s">
        <v>210</v>
      </c>
    </row>
    <row r="10517" hidden="1">
      <c r="A10517" s="154" t="s">
        <v>225</v>
      </c>
      <c r="B10517" s="155" t="s">
        <v>226</v>
      </c>
      <c r="C10517" s="155" t="s">
        <v>206</v>
      </c>
      <c r="D10517" s="156" t="s">
        <v>12055</v>
      </c>
      <c r="E10517" s="156" t="s">
        <v>12149</v>
      </c>
      <c r="F10517" s="156" t="s">
        <v>2420</v>
      </c>
      <c r="G10517" s="156" t="s">
        <v>12150</v>
      </c>
      <c r="H10517" s="157" t="s">
        <v>211</v>
      </c>
    </row>
    <row r="10518" hidden="1">
      <c r="A10518" s="151" t="s">
        <v>225</v>
      </c>
      <c r="B10518" s="118" t="s">
        <v>226</v>
      </c>
      <c r="C10518" s="118" t="s">
        <v>206</v>
      </c>
      <c r="D10518" s="152" t="s">
        <v>12055</v>
      </c>
      <c r="E10518" s="152" t="s">
        <v>12151</v>
      </c>
      <c r="F10518" s="152" t="s">
        <v>2745</v>
      </c>
      <c r="G10518" s="152" t="s">
        <v>12152</v>
      </c>
      <c r="H10518" s="153" t="s">
        <v>212</v>
      </c>
    </row>
    <row r="10519" hidden="1">
      <c r="A10519" s="154" t="s">
        <v>225</v>
      </c>
      <c r="B10519" s="155" t="s">
        <v>226</v>
      </c>
      <c r="C10519" s="155" t="s">
        <v>206</v>
      </c>
      <c r="D10519" s="156" t="s">
        <v>12055</v>
      </c>
      <c r="E10519" s="156" t="s">
        <v>12153</v>
      </c>
      <c r="F10519" s="156" t="s">
        <v>4251</v>
      </c>
      <c r="G10519" s="156" t="s">
        <v>12154</v>
      </c>
      <c r="H10519" s="157" t="s">
        <v>213</v>
      </c>
    </row>
    <row r="10520" hidden="1">
      <c r="A10520" s="151" t="s">
        <v>225</v>
      </c>
      <c r="B10520" s="118" t="s">
        <v>226</v>
      </c>
      <c r="C10520" s="118" t="s">
        <v>206</v>
      </c>
      <c r="D10520" s="152" t="s">
        <v>12055</v>
      </c>
      <c r="E10520" s="152" t="s">
        <v>12155</v>
      </c>
      <c r="F10520" s="152" t="s">
        <v>9464</v>
      </c>
      <c r="G10520" s="152" t="s">
        <v>11762</v>
      </c>
      <c r="H10520" s="153" t="s">
        <v>214</v>
      </c>
    </row>
    <row r="10521" hidden="1">
      <c r="A10521" s="154" t="s">
        <v>225</v>
      </c>
      <c r="B10521" s="155" t="s">
        <v>226</v>
      </c>
      <c r="C10521" s="155" t="s">
        <v>206</v>
      </c>
      <c r="D10521" s="156" t="s">
        <v>12055</v>
      </c>
      <c r="E10521" s="156" t="s">
        <v>12156</v>
      </c>
      <c r="F10521" s="156" t="s">
        <v>2657</v>
      </c>
      <c r="G10521" s="156" t="s">
        <v>11178</v>
      </c>
      <c r="H10521" s="157" t="s">
        <v>215</v>
      </c>
    </row>
    <row r="10522" hidden="1">
      <c r="A10522" s="151" t="s">
        <v>225</v>
      </c>
      <c r="B10522" s="118" t="s">
        <v>226</v>
      </c>
      <c r="C10522" s="118" t="s">
        <v>206</v>
      </c>
      <c r="D10522" s="152" t="s">
        <v>12055</v>
      </c>
      <c r="E10522" s="152" t="s">
        <v>12157</v>
      </c>
      <c r="F10522" s="152" t="s">
        <v>11558</v>
      </c>
      <c r="G10522" s="152" t="s">
        <v>12158</v>
      </c>
      <c r="H10522" s="153" t="s">
        <v>216</v>
      </c>
    </row>
    <row r="10523" hidden="1">
      <c r="A10523" s="154" t="s">
        <v>227</v>
      </c>
      <c r="B10523" s="155" t="s">
        <v>195</v>
      </c>
      <c r="C10523" s="155" t="s">
        <v>206</v>
      </c>
      <c r="D10523" s="156" t="s">
        <v>12055</v>
      </c>
      <c r="E10523" s="156" t="s">
        <v>12159</v>
      </c>
      <c r="F10523" s="156" t="s">
        <v>9464</v>
      </c>
      <c r="G10523" s="156" t="s">
        <v>12160</v>
      </c>
      <c r="H10523" s="157" t="s">
        <v>210</v>
      </c>
    </row>
    <row r="10524" hidden="1">
      <c r="A10524" s="151" t="s">
        <v>227</v>
      </c>
      <c r="B10524" s="118" t="s">
        <v>195</v>
      </c>
      <c r="C10524" s="118" t="s">
        <v>206</v>
      </c>
      <c r="D10524" s="152" t="s">
        <v>12055</v>
      </c>
      <c r="E10524" s="152" t="s">
        <v>12161</v>
      </c>
      <c r="F10524" s="152" t="s">
        <v>5852</v>
      </c>
      <c r="G10524" s="152" t="s">
        <v>12162</v>
      </c>
      <c r="H10524" s="153" t="s">
        <v>211</v>
      </c>
    </row>
    <row r="10525" hidden="1">
      <c r="A10525" s="154" t="s">
        <v>227</v>
      </c>
      <c r="B10525" s="155" t="s">
        <v>195</v>
      </c>
      <c r="C10525" s="155" t="s">
        <v>206</v>
      </c>
      <c r="D10525" s="156" t="s">
        <v>12055</v>
      </c>
      <c r="E10525" s="156" t="s">
        <v>12163</v>
      </c>
      <c r="F10525" s="156" t="s">
        <v>2173</v>
      </c>
      <c r="G10525" s="156" t="s">
        <v>12164</v>
      </c>
      <c r="H10525" s="157" t="s">
        <v>212</v>
      </c>
    </row>
    <row r="10526" hidden="1">
      <c r="A10526" s="151" t="s">
        <v>227</v>
      </c>
      <c r="B10526" s="118" t="s">
        <v>195</v>
      </c>
      <c r="C10526" s="118" t="s">
        <v>206</v>
      </c>
      <c r="D10526" s="152" t="s">
        <v>12055</v>
      </c>
      <c r="E10526" s="152" t="s">
        <v>12165</v>
      </c>
      <c r="F10526" s="152" t="s">
        <v>1781</v>
      </c>
      <c r="G10526" s="152" t="s">
        <v>12166</v>
      </c>
      <c r="H10526" s="153" t="s">
        <v>213</v>
      </c>
    </row>
    <row r="10527" hidden="1">
      <c r="A10527" s="154" t="s">
        <v>227</v>
      </c>
      <c r="B10527" s="155" t="s">
        <v>195</v>
      </c>
      <c r="C10527" s="155" t="s">
        <v>206</v>
      </c>
      <c r="D10527" s="156" t="s">
        <v>12055</v>
      </c>
      <c r="E10527" s="156" t="s">
        <v>12167</v>
      </c>
      <c r="F10527" s="156" t="s">
        <v>7374</v>
      </c>
      <c r="G10527" s="156" t="s">
        <v>12168</v>
      </c>
      <c r="H10527" s="157" t="s">
        <v>214</v>
      </c>
    </row>
    <row r="10528" hidden="1">
      <c r="A10528" s="151" t="s">
        <v>227</v>
      </c>
      <c r="B10528" s="118" t="s">
        <v>195</v>
      </c>
      <c r="C10528" s="118" t="s">
        <v>206</v>
      </c>
      <c r="D10528" s="152" t="s">
        <v>12055</v>
      </c>
      <c r="E10528" s="152" t="s">
        <v>12169</v>
      </c>
      <c r="F10528" s="152" t="s">
        <v>230</v>
      </c>
      <c r="G10528" s="152" t="s">
        <v>12170</v>
      </c>
      <c r="H10528" s="153" t="s">
        <v>215</v>
      </c>
    </row>
    <row r="10529" hidden="1">
      <c r="A10529" s="154" t="s">
        <v>227</v>
      </c>
      <c r="B10529" s="155" t="s">
        <v>195</v>
      </c>
      <c r="C10529" s="155" t="s">
        <v>206</v>
      </c>
      <c r="D10529" s="156" t="s">
        <v>12055</v>
      </c>
      <c r="E10529" s="156" t="s">
        <v>12171</v>
      </c>
      <c r="F10529" s="156" t="s">
        <v>1765</v>
      </c>
      <c r="G10529" s="156" t="s">
        <v>12172</v>
      </c>
      <c r="H10529" s="157" t="s">
        <v>216</v>
      </c>
    </row>
    <row r="10530" hidden="1">
      <c r="A10530" s="151" t="s">
        <v>228</v>
      </c>
      <c r="B10530" s="118" t="s">
        <v>138</v>
      </c>
      <c r="C10530" s="118" t="s">
        <v>206</v>
      </c>
      <c r="D10530" s="152" t="s">
        <v>12055</v>
      </c>
      <c r="E10530" s="152" t="s">
        <v>12173</v>
      </c>
      <c r="F10530" s="152" t="s">
        <v>1920</v>
      </c>
      <c r="G10530" s="152" t="s">
        <v>11653</v>
      </c>
      <c r="H10530" s="153" t="s">
        <v>210</v>
      </c>
    </row>
    <row r="10531" hidden="1">
      <c r="A10531" s="154" t="s">
        <v>228</v>
      </c>
      <c r="B10531" s="155" t="s">
        <v>138</v>
      </c>
      <c r="C10531" s="155" t="s">
        <v>206</v>
      </c>
      <c r="D10531" s="156" t="s">
        <v>12055</v>
      </c>
      <c r="E10531" s="156" t="s">
        <v>12174</v>
      </c>
      <c r="F10531" s="156" t="s">
        <v>1929</v>
      </c>
      <c r="G10531" s="156" t="s">
        <v>10855</v>
      </c>
      <c r="H10531" s="157" t="s">
        <v>211</v>
      </c>
    </row>
    <row r="10532" hidden="1">
      <c r="A10532" s="151" t="s">
        <v>228</v>
      </c>
      <c r="B10532" s="118" t="s">
        <v>138</v>
      </c>
      <c r="C10532" s="118" t="s">
        <v>206</v>
      </c>
      <c r="D10532" s="152" t="s">
        <v>12055</v>
      </c>
      <c r="E10532" s="152" t="s">
        <v>12175</v>
      </c>
      <c r="F10532" s="152" t="s">
        <v>257</v>
      </c>
      <c r="G10532" s="152" t="s">
        <v>11452</v>
      </c>
      <c r="H10532" s="153" t="s">
        <v>212</v>
      </c>
    </row>
    <row r="10533" hidden="1">
      <c r="A10533" s="154" t="s">
        <v>228</v>
      </c>
      <c r="B10533" s="155" t="s">
        <v>138</v>
      </c>
      <c r="C10533" s="155" t="s">
        <v>206</v>
      </c>
      <c r="D10533" s="156" t="s">
        <v>12055</v>
      </c>
      <c r="E10533" s="156" t="s">
        <v>12176</v>
      </c>
      <c r="F10533" s="156" t="s">
        <v>312</v>
      </c>
      <c r="G10533" s="156" t="s">
        <v>12177</v>
      </c>
      <c r="H10533" s="157" t="s">
        <v>213</v>
      </c>
    </row>
    <row r="10534" hidden="1">
      <c r="A10534" s="151" t="s">
        <v>228</v>
      </c>
      <c r="B10534" s="118" t="s">
        <v>138</v>
      </c>
      <c r="C10534" s="118" t="s">
        <v>206</v>
      </c>
      <c r="D10534" s="152" t="s">
        <v>12055</v>
      </c>
      <c r="E10534" s="152" t="s">
        <v>12178</v>
      </c>
      <c r="F10534" s="152" t="s">
        <v>2420</v>
      </c>
      <c r="G10534" s="152" t="s">
        <v>11608</v>
      </c>
      <c r="H10534" s="153" t="s">
        <v>214</v>
      </c>
    </row>
    <row r="10535" hidden="1">
      <c r="A10535" s="154" t="s">
        <v>228</v>
      </c>
      <c r="B10535" s="155" t="s">
        <v>138</v>
      </c>
      <c r="C10535" s="155" t="s">
        <v>206</v>
      </c>
      <c r="D10535" s="156" t="s">
        <v>12055</v>
      </c>
      <c r="E10535" s="156" t="s">
        <v>12179</v>
      </c>
      <c r="F10535" s="156" t="s">
        <v>285</v>
      </c>
      <c r="G10535" s="156" t="s">
        <v>10769</v>
      </c>
      <c r="H10535" s="157" t="s">
        <v>215</v>
      </c>
    </row>
    <row r="10536" hidden="1">
      <c r="A10536" s="151" t="s">
        <v>228</v>
      </c>
      <c r="B10536" s="118" t="s">
        <v>138</v>
      </c>
      <c r="C10536" s="118" t="s">
        <v>206</v>
      </c>
      <c r="D10536" s="152" t="s">
        <v>12055</v>
      </c>
      <c r="E10536" s="152" t="s">
        <v>12180</v>
      </c>
      <c r="F10536" s="152" t="s">
        <v>3243</v>
      </c>
      <c r="G10536" s="152" t="s">
        <v>12181</v>
      </c>
      <c r="H10536" s="153" t="s">
        <v>216</v>
      </c>
    </row>
    <row r="10537" hidden="1">
      <c r="A10537" s="154" t="s">
        <v>229</v>
      </c>
      <c r="B10537" s="155" t="s">
        <v>193</v>
      </c>
      <c r="C10537" s="155" t="s">
        <v>206</v>
      </c>
      <c r="D10537" s="156" t="s">
        <v>12055</v>
      </c>
      <c r="E10537" s="156" t="s">
        <v>12182</v>
      </c>
      <c r="F10537" s="156" t="s">
        <v>2173</v>
      </c>
      <c r="G10537" s="156" t="s">
        <v>12183</v>
      </c>
      <c r="H10537" s="157" t="s">
        <v>210</v>
      </c>
    </row>
    <row r="10538" hidden="1">
      <c r="A10538" s="151" t="s">
        <v>229</v>
      </c>
      <c r="B10538" s="118" t="s">
        <v>193</v>
      </c>
      <c r="C10538" s="118" t="s">
        <v>206</v>
      </c>
      <c r="D10538" s="152" t="s">
        <v>12055</v>
      </c>
      <c r="E10538" s="152" t="s">
        <v>12184</v>
      </c>
      <c r="F10538" s="152" t="s">
        <v>2169</v>
      </c>
      <c r="G10538" s="152" t="s">
        <v>12185</v>
      </c>
      <c r="H10538" s="153" t="s">
        <v>211</v>
      </c>
    </row>
    <row r="10539" hidden="1">
      <c r="A10539" s="154" t="s">
        <v>229</v>
      </c>
      <c r="B10539" s="155" t="s">
        <v>193</v>
      </c>
      <c r="C10539" s="155" t="s">
        <v>206</v>
      </c>
      <c r="D10539" s="156" t="s">
        <v>12055</v>
      </c>
      <c r="E10539" s="156" t="s">
        <v>12186</v>
      </c>
      <c r="F10539" s="156" t="s">
        <v>1989</v>
      </c>
      <c r="G10539" s="156" t="s">
        <v>12183</v>
      </c>
      <c r="H10539" s="157" t="s">
        <v>212</v>
      </c>
    </row>
    <row r="10540" hidden="1">
      <c r="A10540" s="151" t="s">
        <v>229</v>
      </c>
      <c r="B10540" s="118" t="s">
        <v>193</v>
      </c>
      <c r="C10540" s="118" t="s">
        <v>206</v>
      </c>
      <c r="D10540" s="152" t="s">
        <v>12055</v>
      </c>
      <c r="E10540" s="152" t="s">
        <v>12187</v>
      </c>
      <c r="F10540" s="152" t="s">
        <v>4052</v>
      </c>
      <c r="G10540" s="152" t="s">
        <v>12188</v>
      </c>
      <c r="H10540" s="153" t="s">
        <v>213</v>
      </c>
    </row>
    <row r="10541" hidden="1">
      <c r="A10541" s="154" t="s">
        <v>229</v>
      </c>
      <c r="B10541" s="155" t="s">
        <v>193</v>
      </c>
      <c r="C10541" s="155" t="s">
        <v>206</v>
      </c>
      <c r="D10541" s="156" t="s">
        <v>12055</v>
      </c>
      <c r="E10541" s="156" t="s">
        <v>12189</v>
      </c>
      <c r="F10541" s="156" t="s">
        <v>2339</v>
      </c>
      <c r="G10541" s="156" t="s">
        <v>12190</v>
      </c>
      <c r="H10541" s="157" t="s">
        <v>214</v>
      </c>
    </row>
    <row r="10542" hidden="1">
      <c r="A10542" s="151" t="s">
        <v>229</v>
      </c>
      <c r="B10542" s="118" t="s">
        <v>193</v>
      </c>
      <c r="C10542" s="118" t="s">
        <v>206</v>
      </c>
      <c r="D10542" s="152" t="s">
        <v>12055</v>
      </c>
      <c r="E10542" s="152" t="s">
        <v>12191</v>
      </c>
      <c r="F10542" s="152" t="s">
        <v>9662</v>
      </c>
      <c r="G10542" s="152" t="s">
        <v>12192</v>
      </c>
      <c r="H10542" s="153" t="s">
        <v>215</v>
      </c>
    </row>
    <row r="10543" hidden="1">
      <c r="A10543" s="154" t="s">
        <v>229</v>
      </c>
      <c r="B10543" s="155" t="s">
        <v>193</v>
      </c>
      <c r="C10543" s="155" t="s">
        <v>206</v>
      </c>
      <c r="D10543" s="156" t="s">
        <v>12055</v>
      </c>
      <c r="E10543" s="156" t="s">
        <v>12193</v>
      </c>
      <c r="F10543" s="156" t="s">
        <v>230</v>
      </c>
      <c r="G10543" s="156" t="s">
        <v>12194</v>
      </c>
      <c r="H10543" s="157" t="s">
        <v>216</v>
      </c>
    </row>
    <row r="10544" hidden="1">
      <c r="A10544" s="151" t="s">
        <v>230</v>
      </c>
      <c r="B10544" s="118" t="s">
        <v>194</v>
      </c>
      <c r="C10544" s="118" t="s">
        <v>206</v>
      </c>
      <c r="D10544" s="152" t="s">
        <v>12055</v>
      </c>
      <c r="E10544" s="152" t="s">
        <v>12195</v>
      </c>
      <c r="F10544" s="152" t="s">
        <v>1989</v>
      </c>
      <c r="G10544" s="152" t="s">
        <v>12196</v>
      </c>
      <c r="H10544" s="153" t="s">
        <v>210</v>
      </c>
    </row>
    <row r="10545" hidden="1">
      <c r="A10545" s="154" t="s">
        <v>230</v>
      </c>
      <c r="B10545" s="155" t="s">
        <v>194</v>
      </c>
      <c r="C10545" s="155" t="s">
        <v>206</v>
      </c>
      <c r="D10545" s="156" t="s">
        <v>12055</v>
      </c>
      <c r="E10545" s="156" t="s">
        <v>12197</v>
      </c>
      <c r="F10545" s="156" t="s">
        <v>9480</v>
      </c>
      <c r="G10545" s="156" t="s">
        <v>12198</v>
      </c>
      <c r="H10545" s="157" t="s">
        <v>211</v>
      </c>
    </row>
    <row r="10546" hidden="1">
      <c r="A10546" s="151" t="s">
        <v>230</v>
      </c>
      <c r="B10546" s="118" t="s">
        <v>194</v>
      </c>
      <c r="C10546" s="118" t="s">
        <v>206</v>
      </c>
      <c r="D10546" s="152" t="s">
        <v>12055</v>
      </c>
      <c r="E10546" s="152" t="s">
        <v>12199</v>
      </c>
      <c r="F10546" s="152" t="s">
        <v>1769</v>
      </c>
      <c r="G10546" s="152" t="s">
        <v>12024</v>
      </c>
      <c r="H10546" s="153" t="s">
        <v>212</v>
      </c>
    </row>
    <row r="10547" hidden="1">
      <c r="A10547" s="154" t="s">
        <v>230</v>
      </c>
      <c r="B10547" s="155" t="s">
        <v>194</v>
      </c>
      <c r="C10547" s="155" t="s">
        <v>206</v>
      </c>
      <c r="D10547" s="156" t="s">
        <v>12055</v>
      </c>
      <c r="E10547" s="156" t="s">
        <v>12200</v>
      </c>
      <c r="F10547" s="156" t="s">
        <v>230</v>
      </c>
      <c r="G10547" s="156" t="s">
        <v>10536</v>
      </c>
      <c r="H10547" s="157" t="s">
        <v>213</v>
      </c>
    </row>
    <row r="10548" hidden="1">
      <c r="A10548" s="151" t="s">
        <v>230</v>
      </c>
      <c r="B10548" s="118" t="s">
        <v>194</v>
      </c>
      <c r="C10548" s="118" t="s">
        <v>206</v>
      </c>
      <c r="D10548" s="152" t="s">
        <v>12055</v>
      </c>
      <c r="E10548" s="152" t="s">
        <v>12201</v>
      </c>
      <c r="F10548" s="152" t="s">
        <v>9662</v>
      </c>
      <c r="G10548" s="152" t="s">
        <v>11338</v>
      </c>
      <c r="H10548" s="153" t="s">
        <v>214</v>
      </c>
    </row>
    <row r="10549" hidden="1">
      <c r="A10549" s="154" t="s">
        <v>230</v>
      </c>
      <c r="B10549" s="155" t="s">
        <v>194</v>
      </c>
      <c r="C10549" s="155" t="s">
        <v>206</v>
      </c>
      <c r="D10549" s="156" t="s">
        <v>12055</v>
      </c>
      <c r="E10549" s="156" t="s">
        <v>12202</v>
      </c>
      <c r="F10549" s="156" t="s">
        <v>3153</v>
      </c>
      <c r="G10549" s="156" t="s">
        <v>12203</v>
      </c>
      <c r="H10549" s="157" t="s">
        <v>215</v>
      </c>
    </row>
    <row r="10550" hidden="1">
      <c r="A10550" s="151" t="s">
        <v>230</v>
      </c>
      <c r="B10550" s="118" t="s">
        <v>194</v>
      </c>
      <c r="C10550" s="118" t="s">
        <v>206</v>
      </c>
      <c r="D10550" s="152" t="s">
        <v>12055</v>
      </c>
      <c r="E10550" s="152" t="s">
        <v>12204</v>
      </c>
      <c r="F10550" s="152" t="s">
        <v>1989</v>
      </c>
      <c r="G10550" s="152" t="s">
        <v>11199</v>
      </c>
      <c r="H10550" s="153" t="s">
        <v>216</v>
      </c>
    </row>
    <row r="10551" hidden="1">
      <c r="A10551" s="158" t="s">
        <v>231</v>
      </c>
      <c r="B10551" s="159"/>
      <c r="C10551" s="155" t="s">
        <v>232</v>
      </c>
      <c r="D10551" s="156" t="s">
        <v>12055</v>
      </c>
      <c r="E10551" s="156" t="s">
        <v>12205</v>
      </c>
      <c r="F10551" s="156" t="s">
        <v>9840</v>
      </c>
      <c r="G10551" s="156" t="s">
        <v>11983</v>
      </c>
      <c r="H10551" s="157" t="s">
        <v>210</v>
      </c>
    </row>
    <row r="10552" hidden="1">
      <c r="A10552" s="160" t="s">
        <v>231</v>
      </c>
      <c r="B10552" s="72"/>
      <c r="C10552" s="118" t="s">
        <v>232</v>
      </c>
      <c r="D10552" s="152" t="s">
        <v>12055</v>
      </c>
      <c r="E10552" s="152" t="s">
        <v>12206</v>
      </c>
      <c r="F10552" s="152" t="s">
        <v>2343</v>
      </c>
      <c r="G10552" s="152" t="s">
        <v>12207</v>
      </c>
      <c r="H10552" s="153" t="s">
        <v>211</v>
      </c>
    </row>
    <row r="10553" hidden="1">
      <c r="A10553" s="158" t="s">
        <v>231</v>
      </c>
      <c r="B10553" s="159"/>
      <c r="C10553" s="155" t="s">
        <v>232</v>
      </c>
      <c r="D10553" s="156" t="s">
        <v>12055</v>
      </c>
      <c r="E10553" s="156" t="s">
        <v>12208</v>
      </c>
      <c r="F10553" s="156" t="s">
        <v>3254</v>
      </c>
      <c r="G10553" s="156" t="s">
        <v>10540</v>
      </c>
      <c r="H10553" s="157" t="s">
        <v>212</v>
      </c>
    </row>
    <row r="10554" hidden="1">
      <c r="A10554" s="160" t="s">
        <v>231</v>
      </c>
      <c r="B10554" s="72"/>
      <c r="C10554" s="118" t="s">
        <v>232</v>
      </c>
      <c r="D10554" s="152" t="s">
        <v>12055</v>
      </c>
      <c r="E10554" s="152" t="s">
        <v>12209</v>
      </c>
      <c r="F10554" s="152" t="s">
        <v>2512</v>
      </c>
      <c r="G10554" s="152" t="s">
        <v>10371</v>
      </c>
      <c r="H10554" s="153" t="s">
        <v>213</v>
      </c>
    </row>
    <row r="10555" hidden="1">
      <c r="A10555" s="158" t="s">
        <v>231</v>
      </c>
      <c r="B10555" s="159"/>
      <c r="C10555" s="155" t="s">
        <v>232</v>
      </c>
      <c r="D10555" s="156" t="s">
        <v>12055</v>
      </c>
      <c r="E10555" s="156" t="s">
        <v>12210</v>
      </c>
      <c r="F10555" s="156" t="s">
        <v>2416</v>
      </c>
      <c r="G10555" s="156" t="s">
        <v>12054</v>
      </c>
      <c r="H10555" s="157" t="s">
        <v>214</v>
      </c>
    </row>
    <row r="10556" hidden="1">
      <c r="A10556" s="160" t="s">
        <v>231</v>
      </c>
      <c r="B10556" s="72"/>
      <c r="C10556" s="118" t="s">
        <v>232</v>
      </c>
      <c r="D10556" s="152" t="s">
        <v>12055</v>
      </c>
      <c r="E10556" s="152" t="s">
        <v>12211</v>
      </c>
      <c r="F10556" s="152" t="s">
        <v>1769</v>
      </c>
      <c r="G10556" s="152" t="s">
        <v>12212</v>
      </c>
      <c r="H10556" s="153" t="s">
        <v>215</v>
      </c>
    </row>
    <row r="10557" hidden="1">
      <c r="A10557" s="158" t="s">
        <v>231</v>
      </c>
      <c r="B10557" s="159"/>
      <c r="C10557" s="155" t="s">
        <v>232</v>
      </c>
      <c r="D10557" s="156" t="s">
        <v>12055</v>
      </c>
      <c r="E10557" s="156" t="s">
        <v>12213</v>
      </c>
      <c r="F10557" s="156" t="s">
        <v>9469</v>
      </c>
      <c r="G10557" s="156" t="s">
        <v>12091</v>
      </c>
      <c r="H10557" s="157" t="s">
        <v>216</v>
      </c>
    </row>
    <row r="10558" hidden="1">
      <c r="A10558" s="160" t="s">
        <v>233</v>
      </c>
      <c r="B10558" s="72"/>
      <c r="C10558" s="118" t="s">
        <v>232</v>
      </c>
      <c r="D10558" s="152" t="s">
        <v>12055</v>
      </c>
      <c r="E10558" s="152" t="s">
        <v>12214</v>
      </c>
      <c r="F10558" s="152" t="s">
        <v>2416</v>
      </c>
      <c r="G10558" s="152" t="s">
        <v>12215</v>
      </c>
      <c r="H10558" s="153" t="s">
        <v>210</v>
      </c>
    </row>
    <row r="10559" hidden="1">
      <c r="A10559" s="158" t="s">
        <v>233</v>
      </c>
      <c r="B10559" s="159"/>
      <c r="C10559" s="155" t="s">
        <v>232</v>
      </c>
      <c r="D10559" s="156" t="s">
        <v>12055</v>
      </c>
      <c r="E10559" s="156" t="s">
        <v>12216</v>
      </c>
      <c r="F10559" s="156" t="s">
        <v>9464</v>
      </c>
      <c r="G10559" s="156" t="s">
        <v>12217</v>
      </c>
      <c r="H10559" s="157" t="s">
        <v>211</v>
      </c>
    </row>
    <row r="10560" hidden="1">
      <c r="A10560" s="160" t="s">
        <v>233</v>
      </c>
      <c r="B10560" s="72"/>
      <c r="C10560" s="118" t="s">
        <v>232</v>
      </c>
      <c r="D10560" s="152" t="s">
        <v>12055</v>
      </c>
      <c r="E10560" s="152" t="s">
        <v>12218</v>
      </c>
      <c r="F10560" s="152" t="s">
        <v>9464</v>
      </c>
      <c r="G10560" s="152" t="s">
        <v>12219</v>
      </c>
      <c r="H10560" s="153" t="s">
        <v>212</v>
      </c>
    </row>
    <row r="10561" hidden="1">
      <c r="A10561" s="158" t="s">
        <v>233</v>
      </c>
      <c r="B10561" s="159"/>
      <c r="C10561" s="155" t="s">
        <v>232</v>
      </c>
      <c r="D10561" s="156" t="s">
        <v>12055</v>
      </c>
      <c r="E10561" s="156" t="s">
        <v>12220</v>
      </c>
      <c r="F10561" s="156" t="s">
        <v>3153</v>
      </c>
      <c r="G10561" s="156" t="s">
        <v>12221</v>
      </c>
      <c r="H10561" s="157" t="s">
        <v>213</v>
      </c>
    </row>
    <row r="10562" hidden="1">
      <c r="A10562" s="160" t="s">
        <v>233</v>
      </c>
      <c r="B10562" s="72"/>
      <c r="C10562" s="118" t="s">
        <v>232</v>
      </c>
      <c r="D10562" s="152" t="s">
        <v>12055</v>
      </c>
      <c r="E10562" s="152" t="s">
        <v>12222</v>
      </c>
      <c r="F10562" s="152" t="s">
        <v>631</v>
      </c>
      <c r="G10562" s="152" t="s">
        <v>12223</v>
      </c>
      <c r="H10562" s="153" t="s">
        <v>214</v>
      </c>
    </row>
    <row r="10563" hidden="1">
      <c r="A10563" s="158" t="s">
        <v>233</v>
      </c>
      <c r="B10563" s="159"/>
      <c r="C10563" s="155" t="s">
        <v>232</v>
      </c>
      <c r="D10563" s="156" t="s">
        <v>12055</v>
      </c>
      <c r="E10563" s="156" t="s">
        <v>12224</v>
      </c>
      <c r="F10563" s="156" t="s">
        <v>9840</v>
      </c>
      <c r="G10563" s="156" t="s">
        <v>12135</v>
      </c>
      <c r="H10563" s="157" t="s">
        <v>215</v>
      </c>
    </row>
    <row r="10564" hidden="1">
      <c r="A10564" s="160" t="s">
        <v>233</v>
      </c>
      <c r="B10564" s="72"/>
      <c r="C10564" s="118" t="s">
        <v>232</v>
      </c>
      <c r="D10564" s="152" t="s">
        <v>12055</v>
      </c>
      <c r="E10564" s="152" t="s">
        <v>12225</v>
      </c>
      <c r="F10564" s="152" t="s">
        <v>9464</v>
      </c>
      <c r="G10564" s="152" t="s">
        <v>12226</v>
      </c>
      <c r="H10564" s="153" t="s">
        <v>216</v>
      </c>
    </row>
    <row r="10565" hidden="1">
      <c r="A10565" s="158" t="s">
        <v>234</v>
      </c>
      <c r="B10565" s="159"/>
      <c r="C10565" s="155" t="s">
        <v>232</v>
      </c>
      <c r="D10565" s="156" t="s">
        <v>12055</v>
      </c>
      <c r="E10565" s="156" t="s">
        <v>12227</v>
      </c>
      <c r="F10565" s="156" t="s">
        <v>5454</v>
      </c>
      <c r="G10565" s="156" t="s">
        <v>10019</v>
      </c>
      <c r="H10565" s="157" t="s">
        <v>210</v>
      </c>
    </row>
    <row r="10566" hidden="1">
      <c r="A10566" s="160" t="s">
        <v>234</v>
      </c>
      <c r="B10566" s="72"/>
      <c r="C10566" s="118" t="s">
        <v>232</v>
      </c>
      <c r="D10566" s="152" t="s">
        <v>12055</v>
      </c>
      <c r="E10566" s="152" t="s">
        <v>12228</v>
      </c>
      <c r="F10566" s="152" t="s">
        <v>1920</v>
      </c>
      <c r="G10566" s="152" t="s">
        <v>11509</v>
      </c>
      <c r="H10566" s="153" t="s">
        <v>211</v>
      </c>
    </row>
    <row r="10567" hidden="1">
      <c r="A10567" s="158" t="s">
        <v>234</v>
      </c>
      <c r="B10567" s="159"/>
      <c r="C10567" s="155" t="s">
        <v>232</v>
      </c>
      <c r="D10567" s="156" t="s">
        <v>12055</v>
      </c>
      <c r="E10567" s="156" t="s">
        <v>12229</v>
      </c>
      <c r="F10567" s="156" t="s">
        <v>5454</v>
      </c>
      <c r="G10567" s="156" t="s">
        <v>11612</v>
      </c>
      <c r="H10567" s="157" t="s">
        <v>212</v>
      </c>
    </row>
    <row r="10568" hidden="1">
      <c r="A10568" s="160" t="s">
        <v>234</v>
      </c>
      <c r="B10568" s="72"/>
      <c r="C10568" s="118" t="s">
        <v>232</v>
      </c>
      <c r="D10568" s="152" t="s">
        <v>12055</v>
      </c>
      <c r="E10568" s="152" t="s">
        <v>12230</v>
      </c>
      <c r="F10568" s="152" t="s">
        <v>3150</v>
      </c>
      <c r="G10568" s="152" t="s">
        <v>10100</v>
      </c>
      <c r="H10568" s="153" t="s">
        <v>213</v>
      </c>
    </row>
    <row r="10569" hidden="1">
      <c r="A10569" s="158" t="s">
        <v>234</v>
      </c>
      <c r="B10569" s="159"/>
      <c r="C10569" s="155" t="s">
        <v>232</v>
      </c>
      <c r="D10569" s="156" t="s">
        <v>12055</v>
      </c>
      <c r="E10569" s="156" t="s">
        <v>12231</v>
      </c>
      <c r="F10569" s="156" t="s">
        <v>2657</v>
      </c>
      <c r="G10569" s="156" t="s">
        <v>11042</v>
      </c>
      <c r="H10569" s="157" t="s">
        <v>214</v>
      </c>
    </row>
    <row r="10570" hidden="1">
      <c r="A10570" s="160" t="s">
        <v>234</v>
      </c>
      <c r="B10570" s="72"/>
      <c r="C10570" s="118" t="s">
        <v>232</v>
      </c>
      <c r="D10570" s="152" t="s">
        <v>12055</v>
      </c>
      <c r="E10570" s="152" t="s">
        <v>12232</v>
      </c>
      <c r="F10570" s="152" t="s">
        <v>9508</v>
      </c>
      <c r="G10570" s="152" t="s">
        <v>11606</v>
      </c>
      <c r="H10570" s="153" t="s">
        <v>215</v>
      </c>
    </row>
    <row r="10571" hidden="1">
      <c r="A10571" s="158" t="s">
        <v>234</v>
      </c>
      <c r="B10571" s="159"/>
      <c r="C10571" s="155" t="s">
        <v>232</v>
      </c>
      <c r="D10571" s="156" t="s">
        <v>12055</v>
      </c>
      <c r="E10571" s="156" t="s">
        <v>12233</v>
      </c>
      <c r="F10571" s="156" t="s">
        <v>4052</v>
      </c>
      <c r="G10571" s="156" t="s">
        <v>11334</v>
      </c>
      <c r="H10571" s="157" t="s">
        <v>216</v>
      </c>
    </row>
    <row r="10572" hidden="1">
      <c r="A10572" s="160" t="s">
        <v>235</v>
      </c>
      <c r="B10572" s="72"/>
      <c r="C10572" s="118" t="s">
        <v>236</v>
      </c>
      <c r="D10572" s="152" t="s">
        <v>12055</v>
      </c>
      <c r="E10572" s="152" t="s">
        <v>12234</v>
      </c>
      <c r="F10572" s="152" t="s">
        <v>11549</v>
      </c>
      <c r="G10572" s="152" t="s">
        <v>12235</v>
      </c>
      <c r="H10572" s="153" t="s">
        <v>210</v>
      </c>
    </row>
    <row r="10573" hidden="1">
      <c r="A10573" s="158" t="s">
        <v>235</v>
      </c>
      <c r="B10573" s="159"/>
      <c r="C10573" s="155" t="s">
        <v>236</v>
      </c>
      <c r="D10573" s="156" t="s">
        <v>12055</v>
      </c>
      <c r="E10573" s="156" t="s">
        <v>12236</v>
      </c>
      <c r="F10573" s="156" t="s">
        <v>2416</v>
      </c>
      <c r="G10573" s="156" t="s">
        <v>12237</v>
      </c>
      <c r="H10573" s="157" t="s">
        <v>211</v>
      </c>
    </row>
    <row r="10574" hidden="1">
      <c r="A10574" s="160" t="s">
        <v>235</v>
      </c>
      <c r="B10574" s="72"/>
      <c r="C10574" s="118" t="s">
        <v>236</v>
      </c>
      <c r="D10574" s="152" t="s">
        <v>12055</v>
      </c>
      <c r="E10574" s="152" t="s">
        <v>12238</v>
      </c>
      <c r="F10574" s="152" t="s">
        <v>1784</v>
      </c>
      <c r="G10574" s="152" t="s">
        <v>12239</v>
      </c>
      <c r="H10574" s="153" t="s">
        <v>212</v>
      </c>
    </row>
    <row r="10575" hidden="1">
      <c r="A10575" s="158" t="s">
        <v>235</v>
      </c>
      <c r="B10575" s="159"/>
      <c r="C10575" s="155" t="s">
        <v>236</v>
      </c>
      <c r="D10575" s="156" t="s">
        <v>12055</v>
      </c>
      <c r="E10575" s="156" t="s">
        <v>12240</v>
      </c>
      <c r="F10575" s="156" t="s">
        <v>3153</v>
      </c>
      <c r="G10575" s="156" t="s">
        <v>12241</v>
      </c>
      <c r="H10575" s="157" t="s">
        <v>213</v>
      </c>
    </row>
    <row r="10576" hidden="1">
      <c r="A10576" s="160" t="s">
        <v>235</v>
      </c>
      <c r="B10576" s="72"/>
      <c r="C10576" s="118" t="s">
        <v>236</v>
      </c>
      <c r="D10576" s="152" t="s">
        <v>12055</v>
      </c>
      <c r="E10576" s="152" t="s">
        <v>12242</v>
      </c>
      <c r="F10576" s="152" t="s">
        <v>1765</v>
      </c>
      <c r="G10576" s="152" t="s">
        <v>11827</v>
      </c>
      <c r="H10576" s="153" t="s">
        <v>214</v>
      </c>
    </row>
    <row r="10577" hidden="1">
      <c r="A10577" s="158" t="s">
        <v>235</v>
      </c>
      <c r="B10577" s="159"/>
      <c r="C10577" s="155" t="s">
        <v>236</v>
      </c>
      <c r="D10577" s="156" t="s">
        <v>12055</v>
      </c>
      <c r="E10577" s="156" t="s">
        <v>12243</v>
      </c>
      <c r="F10577" s="156" t="s">
        <v>2173</v>
      </c>
      <c r="G10577" s="156" t="s">
        <v>11976</v>
      </c>
      <c r="H10577" s="157" t="s">
        <v>215</v>
      </c>
    </row>
    <row r="10578" hidden="1">
      <c r="A10578" s="160" t="s">
        <v>235</v>
      </c>
      <c r="B10578" s="72"/>
      <c r="C10578" s="118" t="s">
        <v>236</v>
      </c>
      <c r="D10578" s="152" t="s">
        <v>12055</v>
      </c>
      <c r="E10578" s="152" t="s">
        <v>12244</v>
      </c>
      <c r="F10578" s="152" t="s">
        <v>2416</v>
      </c>
      <c r="G10578" s="152" t="s">
        <v>12223</v>
      </c>
      <c r="H10578" s="153" t="s">
        <v>216</v>
      </c>
    </row>
    <row r="10579" hidden="1">
      <c r="A10579" s="158" t="s">
        <v>237</v>
      </c>
      <c r="B10579" s="159"/>
      <c r="C10579" s="155" t="s">
        <v>236</v>
      </c>
      <c r="D10579" s="156" t="s">
        <v>12055</v>
      </c>
      <c r="E10579" s="156" t="s">
        <v>12245</v>
      </c>
      <c r="F10579" s="156" t="s">
        <v>1920</v>
      </c>
      <c r="G10579" s="156" t="s">
        <v>11800</v>
      </c>
      <c r="H10579" s="157" t="s">
        <v>210</v>
      </c>
    </row>
    <row r="10580" hidden="1">
      <c r="A10580" s="160" t="s">
        <v>237</v>
      </c>
      <c r="B10580" s="72"/>
      <c r="C10580" s="118" t="s">
        <v>236</v>
      </c>
      <c r="D10580" s="152" t="s">
        <v>12055</v>
      </c>
      <c r="E10580" s="152" t="s">
        <v>12246</v>
      </c>
      <c r="F10580" s="152" t="s">
        <v>1781</v>
      </c>
      <c r="G10580" s="152" t="s">
        <v>12247</v>
      </c>
      <c r="H10580" s="153" t="s">
        <v>211</v>
      </c>
    </row>
    <row r="10581" hidden="1">
      <c r="A10581" s="158" t="s">
        <v>237</v>
      </c>
      <c r="B10581" s="159"/>
      <c r="C10581" s="155" t="s">
        <v>236</v>
      </c>
      <c r="D10581" s="156" t="s">
        <v>12055</v>
      </c>
      <c r="E10581" s="156" t="s">
        <v>12248</v>
      </c>
      <c r="F10581" s="156" t="s">
        <v>1931</v>
      </c>
      <c r="G10581" s="156" t="s">
        <v>12249</v>
      </c>
      <c r="H10581" s="157" t="s">
        <v>212</v>
      </c>
    </row>
    <row r="10582" hidden="1">
      <c r="A10582" s="160" t="s">
        <v>237</v>
      </c>
      <c r="B10582" s="72"/>
      <c r="C10582" s="118" t="s">
        <v>236</v>
      </c>
      <c r="D10582" s="152" t="s">
        <v>12055</v>
      </c>
      <c r="E10582" s="152" t="s">
        <v>12250</v>
      </c>
      <c r="F10582" s="152" t="s">
        <v>3150</v>
      </c>
      <c r="G10582" s="152" t="s">
        <v>11762</v>
      </c>
      <c r="H10582" s="153" t="s">
        <v>213</v>
      </c>
    </row>
    <row r="10583" hidden="1">
      <c r="A10583" s="158" t="s">
        <v>237</v>
      </c>
      <c r="B10583" s="159"/>
      <c r="C10583" s="155" t="s">
        <v>236</v>
      </c>
      <c r="D10583" s="156" t="s">
        <v>12055</v>
      </c>
      <c r="E10583" s="156" t="s">
        <v>12251</v>
      </c>
      <c r="F10583" s="156" t="s">
        <v>9480</v>
      </c>
      <c r="G10583" s="156" t="s">
        <v>11877</v>
      </c>
      <c r="H10583" s="157" t="s">
        <v>214</v>
      </c>
    </row>
    <row r="10584" hidden="1">
      <c r="A10584" s="160" t="s">
        <v>237</v>
      </c>
      <c r="B10584" s="72"/>
      <c r="C10584" s="118" t="s">
        <v>236</v>
      </c>
      <c r="D10584" s="152" t="s">
        <v>12055</v>
      </c>
      <c r="E10584" s="152" t="s">
        <v>12252</v>
      </c>
      <c r="F10584" s="152" t="s">
        <v>3625</v>
      </c>
      <c r="G10584" s="152" t="s">
        <v>12253</v>
      </c>
      <c r="H10584" s="153" t="s">
        <v>215</v>
      </c>
    </row>
    <row r="10585" hidden="1">
      <c r="A10585" s="158" t="s">
        <v>237</v>
      </c>
      <c r="B10585" s="159"/>
      <c r="C10585" s="155" t="s">
        <v>236</v>
      </c>
      <c r="D10585" s="156" t="s">
        <v>12055</v>
      </c>
      <c r="E10585" s="156" t="s">
        <v>12254</v>
      </c>
      <c r="F10585" s="156" t="s">
        <v>1920</v>
      </c>
      <c r="G10585" s="156" t="s">
        <v>12255</v>
      </c>
      <c r="H10585" s="157" t="s">
        <v>216</v>
      </c>
    </row>
    <row r="10586" hidden="1">
      <c r="A10586" s="151" t="s">
        <v>204</v>
      </c>
      <c r="B10586" s="118" t="s">
        <v>205</v>
      </c>
      <c r="C10586" s="118" t="s">
        <v>206</v>
      </c>
      <c r="D10586" s="152" t="s">
        <v>12256</v>
      </c>
      <c r="E10586" s="152" t="s">
        <v>12257</v>
      </c>
      <c r="F10586" s="152" t="s">
        <v>1957</v>
      </c>
      <c r="G10586" s="152" t="s">
        <v>12258</v>
      </c>
      <c r="H10586" s="153" t="s">
        <v>210</v>
      </c>
    </row>
    <row r="10587" hidden="1">
      <c r="A10587" s="154" t="s">
        <v>204</v>
      </c>
      <c r="B10587" s="155" t="s">
        <v>205</v>
      </c>
      <c r="C10587" s="155" t="s">
        <v>206</v>
      </c>
      <c r="D10587" s="156" t="s">
        <v>12256</v>
      </c>
      <c r="E10587" s="156" t="s">
        <v>12259</v>
      </c>
      <c r="F10587" s="156" t="s">
        <v>1812</v>
      </c>
      <c r="G10587" s="156" t="s">
        <v>12260</v>
      </c>
      <c r="H10587" s="157" t="s">
        <v>211</v>
      </c>
    </row>
    <row r="10588" hidden="1">
      <c r="A10588" s="151" t="s">
        <v>204</v>
      </c>
      <c r="B10588" s="118" t="s">
        <v>205</v>
      </c>
      <c r="C10588" s="118" t="s">
        <v>206</v>
      </c>
      <c r="D10588" s="152" t="s">
        <v>12256</v>
      </c>
      <c r="E10588" s="152" t="s">
        <v>12261</v>
      </c>
      <c r="F10588" s="152" t="s">
        <v>2376</v>
      </c>
      <c r="G10588" s="152" t="s">
        <v>12262</v>
      </c>
      <c r="H10588" s="153" t="s">
        <v>212</v>
      </c>
    </row>
    <row r="10589" hidden="1">
      <c r="A10589" s="154" t="s">
        <v>204</v>
      </c>
      <c r="B10589" s="155" t="s">
        <v>205</v>
      </c>
      <c r="C10589" s="155" t="s">
        <v>206</v>
      </c>
      <c r="D10589" s="156" t="s">
        <v>12256</v>
      </c>
      <c r="E10589" s="156" t="s">
        <v>12263</v>
      </c>
      <c r="F10589" s="156" t="s">
        <v>1974</v>
      </c>
      <c r="G10589" s="156" t="s">
        <v>12264</v>
      </c>
      <c r="H10589" s="157" t="s">
        <v>213</v>
      </c>
    </row>
    <row r="10590" hidden="1">
      <c r="A10590" s="151" t="s">
        <v>204</v>
      </c>
      <c r="B10590" s="118" t="s">
        <v>205</v>
      </c>
      <c r="C10590" s="118" t="s">
        <v>206</v>
      </c>
      <c r="D10590" s="152" t="s">
        <v>12256</v>
      </c>
      <c r="E10590" s="152" t="s">
        <v>12265</v>
      </c>
      <c r="F10590" s="152" t="s">
        <v>2142</v>
      </c>
      <c r="G10590" s="152" t="s">
        <v>12266</v>
      </c>
      <c r="H10590" s="153" t="s">
        <v>214</v>
      </c>
    </row>
    <row r="10591" hidden="1">
      <c r="A10591" s="154" t="s">
        <v>204</v>
      </c>
      <c r="B10591" s="155" t="s">
        <v>205</v>
      </c>
      <c r="C10591" s="155" t="s">
        <v>206</v>
      </c>
      <c r="D10591" s="156" t="s">
        <v>12256</v>
      </c>
      <c r="E10591" s="156" t="s">
        <v>12267</v>
      </c>
      <c r="F10591" s="156" t="s">
        <v>1727</v>
      </c>
      <c r="G10591" s="156" t="s">
        <v>12268</v>
      </c>
      <c r="H10591" s="157" t="s">
        <v>215</v>
      </c>
    </row>
    <row r="10592" hidden="1">
      <c r="A10592" s="151" t="s">
        <v>204</v>
      </c>
      <c r="B10592" s="118" t="s">
        <v>205</v>
      </c>
      <c r="C10592" s="118" t="s">
        <v>206</v>
      </c>
      <c r="D10592" s="152" t="s">
        <v>12256</v>
      </c>
      <c r="E10592" s="152" t="s">
        <v>12269</v>
      </c>
      <c r="F10592" s="152" t="s">
        <v>1729</v>
      </c>
      <c r="G10592" s="152" t="s">
        <v>12270</v>
      </c>
      <c r="H10592" s="153" t="s">
        <v>216</v>
      </c>
    </row>
    <row r="10593" hidden="1">
      <c r="A10593" s="154" t="s">
        <v>217</v>
      </c>
      <c r="B10593" s="155" t="s">
        <v>191</v>
      </c>
      <c r="C10593" s="155" t="s">
        <v>206</v>
      </c>
      <c r="D10593" s="156" t="s">
        <v>12256</v>
      </c>
      <c r="E10593" s="156" t="s">
        <v>12271</v>
      </c>
      <c r="F10593" s="156" t="s">
        <v>2557</v>
      </c>
      <c r="G10593" s="156" t="s">
        <v>12272</v>
      </c>
      <c r="H10593" s="157" t="s">
        <v>210</v>
      </c>
    </row>
    <row r="10594" hidden="1">
      <c r="A10594" s="151" t="s">
        <v>217</v>
      </c>
      <c r="B10594" s="118" t="s">
        <v>191</v>
      </c>
      <c r="C10594" s="118" t="s">
        <v>206</v>
      </c>
      <c r="D10594" s="152" t="s">
        <v>12256</v>
      </c>
      <c r="E10594" s="152" t="s">
        <v>12273</v>
      </c>
      <c r="F10594" s="152" t="s">
        <v>2697</v>
      </c>
      <c r="G10594" s="152" t="s">
        <v>12274</v>
      </c>
      <c r="H10594" s="153" t="s">
        <v>211</v>
      </c>
    </row>
    <row r="10595" hidden="1">
      <c r="A10595" s="154" t="s">
        <v>217</v>
      </c>
      <c r="B10595" s="155" t="s">
        <v>191</v>
      </c>
      <c r="C10595" s="155" t="s">
        <v>206</v>
      </c>
      <c r="D10595" s="156" t="s">
        <v>12256</v>
      </c>
      <c r="E10595" s="156" t="s">
        <v>12275</v>
      </c>
      <c r="F10595" s="156" t="s">
        <v>2299</v>
      </c>
      <c r="G10595" s="156" t="s">
        <v>12276</v>
      </c>
      <c r="H10595" s="157" t="s">
        <v>212</v>
      </c>
    </row>
    <row r="10596" hidden="1">
      <c r="A10596" s="151" t="s">
        <v>217</v>
      </c>
      <c r="B10596" s="118" t="s">
        <v>191</v>
      </c>
      <c r="C10596" s="118" t="s">
        <v>206</v>
      </c>
      <c r="D10596" s="152" t="s">
        <v>12256</v>
      </c>
      <c r="E10596" s="152" t="s">
        <v>12277</v>
      </c>
      <c r="F10596" s="152" t="s">
        <v>2060</v>
      </c>
      <c r="G10596" s="152" t="s">
        <v>12278</v>
      </c>
      <c r="H10596" s="153" t="s">
        <v>213</v>
      </c>
    </row>
    <row r="10597" hidden="1">
      <c r="A10597" s="154" t="s">
        <v>217</v>
      </c>
      <c r="B10597" s="155" t="s">
        <v>191</v>
      </c>
      <c r="C10597" s="155" t="s">
        <v>206</v>
      </c>
      <c r="D10597" s="156" t="s">
        <v>12256</v>
      </c>
      <c r="E10597" s="156" t="s">
        <v>12279</v>
      </c>
      <c r="F10597" s="156" t="s">
        <v>2470</v>
      </c>
      <c r="G10597" s="156" t="s">
        <v>12280</v>
      </c>
      <c r="H10597" s="157" t="s">
        <v>214</v>
      </c>
    </row>
    <row r="10598" hidden="1">
      <c r="A10598" s="151" t="s">
        <v>217</v>
      </c>
      <c r="B10598" s="118" t="s">
        <v>191</v>
      </c>
      <c r="C10598" s="118" t="s">
        <v>206</v>
      </c>
      <c r="D10598" s="152" t="s">
        <v>12256</v>
      </c>
      <c r="E10598" s="152" t="s">
        <v>12281</v>
      </c>
      <c r="F10598" s="152" t="s">
        <v>2705</v>
      </c>
      <c r="G10598" s="152" t="s">
        <v>12282</v>
      </c>
      <c r="H10598" s="153" t="s">
        <v>215</v>
      </c>
    </row>
    <row r="10599" hidden="1">
      <c r="A10599" s="154" t="s">
        <v>217</v>
      </c>
      <c r="B10599" s="155" t="s">
        <v>191</v>
      </c>
      <c r="C10599" s="155" t="s">
        <v>206</v>
      </c>
      <c r="D10599" s="156" t="s">
        <v>12256</v>
      </c>
      <c r="E10599" s="156" t="s">
        <v>12283</v>
      </c>
      <c r="F10599" s="156" t="s">
        <v>1856</v>
      </c>
      <c r="G10599" s="156" t="s">
        <v>12284</v>
      </c>
      <c r="H10599" s="157" t="s">
        <v>216</v>
      </c>
    </row>
    <row r="10600" hidden="1">
      <c r="A10600" s="151" t="s">
        <v>218</v>
      </c>
      <c r="B10600" s="118" t="s">
        <v>219</v>
      </c>
      <c r="C10600" s="118" t="s">
        <v>206</v>
      </c>
      <c r="D10600" s="152" t="s">
        <v>12256</v>
      </c>
      <c r="E10600" s="152" t="s">
        <v>12285</v>
      </c>
      <c r="F10600" s="152" t="s">
        <v>1739</v>
      </c>
      <c r="G10600" s="152" t="s">
        <v>12286</v>
      </c>
      <c r="H10600" s="153" t="s">
        <v>210</v>
      </c>
    </row>
    <row r="10601" hidden="1">
      <c r="A10601" s="154" t="s">
        <v>218</v>
      </c>
      <c r="B10601" s="155" t="s">
        <v>219</v>
      </c>
      <c r="C10601" s="155" t="s">
        <v>206</v>
      </c>
      <c r="D10601" s="156" t="s">
        <v>12256</v>
      </c>
      <c r="E10601" s="156" t="s">
        <v>12287</v>
      </c>
      <c r="F10601" s="156" t="s">
        <v>1885</v>
      </c>
      <c r="G10601" s="156" t="s">
        <v>12288</v>
      </c>
      <c r="H10601" s="157" t="s">
        <v>211</v>
      </c>
    </row>
    <row r="10602" hidden="1">
      <c r="A10602" s="151" t="s">
        <v>218</v>
      </c>
      <c r="B10602" s="118" t="s">
        <v>219</v>
      </c>
      <c r="C10602" s="118" t="s">
        <v>206</v>
      </c>
      <c r="D10602" s="152" t="s">
        <v>12256</v>
      </c>
      <c r="E10602" s="152" t="s">
        <v>12289</v>
      </c>
      <c r="F10602" s="152" t="s">
        <v>1877</v>
      </c>
      <c r="G10602" s="152" t="s">
        <v>12290</v>
      </c>
      <c r="H10602" s="153" t="s">
        <v>212</v>
      </c>
    </row>
    <row r="10603" hidden="1">
      <c r="A10603" s="154" t="s">
        <v>218</v>
      </c>
      <c r="B10603" s="155" t="s">
        <v>219</v>
      </c>
      <c r="C10603" s="155" t="s">
        <v>206</v>
      </c>
      <c r="D10603" s="156" t="s">
        <v>12256</v>
      </c>
      <c r="E10603" s="156" t="s">
        <v>12291</v>
      </c>
      <c r="F10603" s="156" t="s">
        <v>1747</v>
      </c>
      <c r="G10603" s="156" t="s">
        <v>12292</v>
      </c>
      <c r="H10603" s="157" t="s">
        <v>213</v>
      </c>
    </row>
    <row r="10604" hidden="1">
      <c r="A10604" s="151" t="s">
        <v>218</v>
      </c>
      <c r="B10604" s="118" t="s">
        <v>219</v>
      </c>
      <c r="C10604" s="118" t="s">
        <v>206</v>
      </c>
      <c r="D10604" s="152" t="s">
        <v>12256</v>
      </c>
      <c r="E10604" s="152" t="s">
        <v>12293</v>
      </c>
      <c r="F10604" s="152" t="s">
        <v>2735</v>
      </c>
      <c r="G10604" s="152" t="s">
        <v>12294</v>
      </c>
      <c r="H10604" s="153" t="s">
        <v>214</v>
      </c>
    </row>
    <row r="10605" hidden="1">
      <c r="A10605" s="154" t="s">
        <v>218</v>
      </c>
      <c r="B10605" s="155" t="s">
        <v>219</v>
      </c>
      <c r="C10605" s="155" t="s">
        <v>206</v>
      </c>
      <c r="D10605" s="156" t="s">
        <v>12256</v>
      </c>
      <c r="E10605" s="156" t="s">
        <v>12295</v>
      </c>
      <c r="F10605" s="156" t="s">
        <v>1877</v>
      </c>
      <c r="G10605" s="156" t="s">
        <v>12190</v>
      </c>
      <c r="H10605" s="157" t="s">
        <v>215</v>
      </c>
    </row>
    <row r="10606" hidden="1">
      <c r="A10606" s="151" t="s">
        <v>218</v>
      </c>
      <c r="B10606" s="118" t="s">
        <v>219</v>
      </c>
      <c r="C10606" s="118" t="s">
        <v>206</v>
      </c>
      <c r="D10606" s="152" t="s">
        <v>12256</v>
      </c>
      <c r="E10606" s="152" t="s">
        <v>12296</v>
      </c>
      <c r="F10606" s="152" t="s">
        <v>1885</v>
      </c>
      <c r="G10606" s="152" t="s">
        <v>12297</v>
      </c>
      <c r="H10606" s="153" t="s">
        <v>216</v>
      </c>
    </row>
    <row r="10607" hidden="1">
      <c r="A10607" s="154" t="s">
        <v>220</v>
      </c>
      <c r="B10607" s="155" t="s">
        <v>190</v>
      </c>
      <c r="C10607" s="155" t="s">
        <v>206</v>
      </c>
      <c r="D10607" s="156" t="s">
        <v>12256</v>
      </c>
      <c r="E10607" s="156" t="s">
        <v>12298</v>
      </c>
      <c r="F10607" s="156" t="s">
        <v>2735</v>
      </c>
      <c r="G10607" s="156" t="s">
        <v>12299</v>
      </c>
      <c r="H10607" s="157" t="s">
        <v>210</v>
      </c>
    </row>
    <row r="10608" hidden="1">
      <c r="A10608" s="151" t="s">
        <v>220</v>
      </c>
      <c r="B10608" s="118" t="s">
        <v>190</v>
      </c>
      <c r="C10608" s="118" t="s">
        <v>206</v>
      </c>
      <c r="D10608" s="152" t="s">
        <v>12256</v>
      </c>
      <c r="E10608" s="152" t="s">
        <v>12300</v>
      </c>
      <c r="F10608" s="152" t="s">
        <v>2745</v>
      </c>
      <c r="G10608" s="152" t="s">
        <v>12239</v>
      </c>
      <c r="H10608" s="153" t="s">
        <v>211</v>
      </c>
    </row>
    <row r="10609" hidden="1">
      <c r="A10609" s="154" t="s">
        <v>220</v>
      </c>
      <c r="B10609" s="155" t="s">
        <v>190</v>
      </c>
      <c r="C10609" s="155" t="s">
        <v>206</v>
      </c>
      <c r="D10609" s="156" t="s">
        <v>12256</v>
      </c>
      <c r="E10609" s="156" t="s">
        <v>12301</v>
      </c>
      <c r="F10609" s="156" t="s">
        <v>1787</v>
      </c>
      <c r="G10609" s="156" t="s">
        <v>12302</v>
      </c>
      <c r="H10609" s="157" t="s">
        <v>212</v>
      </c>
    </row>
    <row r="10610" hidden="1">
      <c r="A10610" s="151" t="s">
        <v>220</v>
      </c>
      <c r="B10610" s="118" t="s">
        <v>190</v>
      </c>
      <c r="C10610" s="118" t="s">
        <v>206</v>
      </c>
      <c r="D10610" s="152" t="s">
        <v>12256</v>
      </c>
      <c r="E10610" s="152" t="s">
        <v>12303</v>
      </c>
      <c r="F10610" s="152" t="s">
        <v>1762</v>
      </c>
      <c r="G10610" s="152" t="s">
        <v>12154</v>
      </c>
      <c r="H10610" s="153" t="s">
        <v>213</v>
      </c>
    </row>
    <row r="10611" hidden="1">
      <c r="A10611" s="154" t="s">
        <v>220</v>
      </c>
      <c r="B10611" s="155" t="s">
        <v>190</v>
      </c>
      <c r="C10611" s="155" t="s">
        <v>206</v>
      </c>
      <c r="D10611" s="156" t="s">
        <v>12256</v>
      </c>
      <c r="E10611" s="156" t="s">
        <v>12304</v>
      </c>
      <c r="F10611" s="156" t="s">
        <v>11592</v>
      </c>
      <c r="G10611" s="156" t="s">
        <v>12305</v>
      </c>
      <c r="H10611" s="157" t="s">
        <v>214</v>
      </c>
    </row>
    <row r="10612" hidden="1">
      <c r="A10612" s="151" t="s">
        <v>220</v>
      </c>
      <c r="B10612" s="118" t="s">
        <v>190</v>
      </c>
      <c r="C10612" s="118" t="s">
        <v>206</v>
      </c>
      <c r="D10612" s="152" t="s">
        <v>12256</v>
      </c>
      <c r="E10612" s="152" t="s">
        <v>12306</v>
      </c>
      <c r="F10612" s="152" t="s">
        <v>6194</v>
      </c>
      <c r="G10612" s="152" t="s">
        <v>12307</v>
      </c>
      <c r="H10612" s="153" t="s">
        <v>215</v>
      </c>
    </row>
    <row r="10613" hidden="1">
      <c r="A10613" s="154" t="s">
        <v>220</v>
      </c>
      <c r="B10613" s="155" t="s">
        <v>190</v>
      </c>
      <c r="C10613" s="155" t="s">
        <v>206</v>
      </c>
      <c r="D10613" s="156" t="s">
        <v>12256</v>
      </c>
      <c r="E10613" s="156" t="s">
        <v>12308</v>
      </c>
      <c r="F10613" s="156" t="s">
        <v>2958</v>
      </c>
      <c r="G10613" s="156" t="s">
        <v>12114</v>
      </c>
      <c r="H10613" s="157" t="s">
        <v>216</v>
      </c>
    </row>
    <row r="10614" hidden="1">
      <c r="A10614" s="151" t="s">
        <v>221</v>
      </c>
      <c r="B10614" s="118" t="s">
        <v>189</v>
      </c>
      <c r="C10614" s="118" t="s">
        <v>206</v>
      </c>
      <c r="D10614" s="152" t="s">
        <v>12256</v>
      </c>
      <c r="E10614" s="152" t="s">
        <v>12309</v>
      </c>
      <c r="F10614" s="152" t="s">
        <v>6323</v>
      </c>
      <c r="G10614" s="152" t="s">
        <v>12310</v>
      </c>
      <c r="H10614" s="153" t="s">
        <v>210</v>
      </c>
    </row>
    <row r="10615" hidden="1">
      <c r="A10615" s="154" t="s">
        <v>221</v>
      </c>
      <c r="B10615" s="155" t="s">
        <v>189</v>
      </c>
      <c r="C10615" s="155" t="s">
        <v>206</v>
      </c>
      <c r="D10615" s="156" t="s">
        <v>12256</v>
      </c>
      <c r="E10615" s="156" t="s">
        <v>12311</v>
      </c>
      <c r="F10615" s="156" t="s">
        <v>1986</v>
      </c>
      <c r="G10615" s="156" t="s">
        <v>12312</v>
      </c>
      <c r="H10615" s="157" t="s">
        <v>211</v>
      </c>
    </row>
    <row r="10616" hidden="1">
      <c r="A10616" s="151" t="s">
        <v>221</v>
      </c>
      <c r="B10616" s="118" t="s">
        <v>189</v>
      </c>
      <c r="C10616" s="118" t="s">
        <v>206</v>
      </c>
      <c r="D10616" s="152" t="s">
        <v>12256</v>
      </c>
      <c r="E10616" s="152" t="s">
        <v>12313</v>
      </c>
      <c r="F10616" s="152" t="s">
        <v>2437</v>
      </c>
      <c r="G10616" s="152" t="s">
        <v>12150</v>
      </c>
      <c r="H10616" s="153" t="s">
        <v>212</v>
      </c>
    </row>
    <row r="10617" hidden="1">
      <c r="A10617" s="154" t="s">
        <v>221</v>
      </c>
      <c r="B10617" s="155" t="s">
        <v>189</v>
      </c>
      <c r="C10617" s="155" t="s">
        <v>206</v>
      </c>
      <c r="D10617" s="156" t="s">
        <v>12256</v>
      </c>
      <c r="E10617" s="156" t="s">
        <v>12314</v>
      </c>
      <c r="F10617" s="156" t="s">
        <v>2339</v>
      </c>
      <c r="G10617" s="156" t="s">
        <v>11896</v>
      </c>
      <c r="H10617" s="157" t="s">
        <v>213</v>
      </c>
    </row>
    <row r="10618" hidden="1">
      <c r="A10618" s="151" t="s">
        <v>221</v>
      </c>
      <c r="B10618" s="118" t="s">
        <v>189</v>
      </c>
      <c r="C10618" s="118" t="s">
        <v>206</v>
      </c>
      <c r="D10618" s="152" t="s">
        <v>12256</v>
      </c>
      <c r="E10618" s="152" t="s">
        <v>12315</v>
      </c>
      <c r="F10618" s="152" t="s">
        <v>2407</v>
      </c>
      <c r="G10618" s="152" t="s">
        <v>12316</v>
      </c>
      <c r="H10618" s="153" t="s">
        <v>214</v>
      </c>
    </row>
    <row r="10619" hidden="1">
      <c r="A10619" s="154" t="s">
        <v>221</v>
      </c>
      <c r="B10619" s="155" t="s">
        <v>189</v>
      </c>
      <c r="C10619" s="155" t="s">
        <v>206</v>
      </c>
      <c r="D10619" s="156" t="s">
        <v>12256</v>
      </c>
      <c r="E10619" s="156" t="s">
        <v>12317</v>
      </c>
      <c r="F10619" s="156" t="s">
        <v>2512</v>
      </c>
      <c r="G10619" s="156" t="s">
        <v>12318</v>
      </c>
      <c r="H10619" s="157" t="s">
        <v>215</v>
      </c>
    </row>
    <row r="10620" hidden="1">
      <c r="A10620" s="151" t="s">
        <v>221</v>
      </c>
      <c r="B10620" s="118" t="s">
        <v>189</v>
      </c>
      <c r="C10620" s="118" t="s">
        <v>206</v>
      </c>
      <c r="D10620" s="152" t="s">
        <v>12256</v>
      </c>
      <c r="E10620" s="152" t="s">
        <v>12319</v>
      </c>
      <c r="F10620" s="152" t="s">
        <v>2416</v>
      </c>
      <c r="G10620" s="152" t="s">
        <v>11720</v>
      </c>
      <c r="H10620" s="153" t="s">
        <v>216</v>
      </c>
    </row>
    <row r="10621" hidden="1">
      <c r="A10621" s="154" t="s">
        <v>222</v>
      </c>
      <c r="B10621" s="155" t="s">
        <v>192</v>
      </c>
      <c r="C10621" s="155" t="s">
        <v>206</v>
      </c>
      <c r="D10621" s="156" t="s">
        <v>12256</v>
      </c>
      <c r="E10621" s="156" t="s">
        <v>12320</v>
      </c>
      <c r="F10621" s="156" t="s">
        <v>2043</v>
      </c>
      <c r="G10621" s="156" t="s">
        <v>12321</v>
      </c>
      <c r="H10621" s="157" t="s">
        <v>210</v>
      </c>
    </row>
    <row r="10622" hidden="1">
      <c r="A10622" s="151" t="s">
        <v>222</v>
      </c>
      <c r="B10622" s="118" t="s">
        <v>192</v>
      </c>
      <c r="C10622" s="118" t="s">
        <v>206</v>
      </c>
      <c r="D10622" s="152" t="s">
        <v>12256</v>
      </c>
      <c r="E10622" s="152" t="s">
        <v>12322</v>
      </c>
      <c r="F10622" s="152" t="s">
        <v>1868</v>
      </c>
      <c r="G10622" s="152" t="s">
        <v>12323</v>
      </c>
      <c r="H10622" s="153" t="s">
        <v>211</v>
      </c>
    </row>
    <row r="10623" hidden="1">
      <c r="A10623" s="154" t="s">
        <v>222</v>
      </c>
      <c r="B10623" s="155" t="s">
        <v>192</v>
      </c>
      <c r="C10623" s="155" t="s">
        <v>206</v>
      </c>
      <c r="D10623" s="156" t="s">
        <v>12256</v>
      </c>
      <c r="E10623" s="156" t="s">
        <v>12324</v>
      </c>
      <c r="F10623" s="156" t="s">
        <v>1942</v>
      </c>
      <c r="G10623" s="156" t="s">
        <v>12272</v>
      </c>
      <c r="H10623" s="157" t="s">
        <v>212</v>
      </c>
    </row>
    <row r="10624" hidden="1">
      <c r="A10624" s="151" t="s">
        <v>222</v>
      </c>
      <c r="B10624" s="118" t="s">
        <v>192</v>
      </c>
      <c r="C10624" s="118" t="s">
        <v>206</v>
      </c>
      <c r="D10624" s="152" t="s">
        <v>12256</v>
      </c>
      <c r="E10624" s="152" t="s">
        <v>12325</v>
      </c>
      <c r="F10624" s="152" t="s">
        <v>2376</v>
      </c>
      <c r="G10624" s="152" t="s">
        <v>12326</v>
      </c>
      <c r="H10624" s="153" t="s">
        <v>213</v>
      </c>
    </row>
    <row r="10625" hidden="1">
      <c r="A10625" s="154" t="s">
        <v>222</v>
      </c>
      <c r="B10625" s="155" t="s">
        <v>192</v>
      </c>
      <c r="C10625" s="155" t="s">
        <v>206</v>
      </c>
      <c r="D10625" s="156" t="s">
        <v>12256</v>
      </c>
      <c r="E10625" s="156" t="s">
        <v>12327</v>
      </c>
      <c r="F10625" s="156" t="s">
        <v>2203</v>
      </c>
      <c r="G10625" s="156" t="s">
        <v>12328</v>
      </c>
      <c r="H10625" s="157" t="s">
        <v>214</v>
      </c>
    </row>
    <row r="10626" hidden="1">
      <c r="A10626" s="151" t="s">
        <v>222</v>
      </c>
      <c r="B10626" s="118" t="s">
        <v>192</v>
      </c>
      <c r="C10626" s="118" t="s">
        <v>206</v>
      </c>
      <c r="D10626" s="152" t="s">
        <v>12256</v>
      </c>
      <c r="E10626" s="152" t="s">
        <v>12329</v>
      </c>
      <c r="F10626" s="152" t="s">
        <v>2376</v>
      </c>
      <c r="G10626" s="152" t="s">
        <v>12330</v>
      </c>
      <c r="H10626" s="153" t="s">
        <v>215</v>
      </c>
    </row>
    <row r="10627" hidden="1">
      <c r="A10627" s="154" t="s">
        <v>222</v>
      </c>
      <c r="B10627" s="155" t="s">
        <v>192</v>
      </c>
      <c r="C10627" s="155" t="s">
        <v>206</v>
      </c>
      <c r="D10627" s="156" t="s">
        <v>12256</v>
      </c>
      <c r="E10627" s="156" t="s">
        <v>12331</v>
      </c>
      <c r="F10627" s="156" t="s">
        <v>2880</v>
      </c>
      <c r="G10627" s="156" t="s">
        <v>12332</v>
      </c>
      <c r="H10627" s="157" t="s">
        <v>216</v>
      </c>
    </row>
    <row r="10628" hidden="1">
      <c r="A10628" s="151" t="s">
        <v>223</v>
      </c>
      <c r="B10628" s="118" t="s">
        <v>144</v>
      </c>
      <c r="C10628" s="118" t="s">
        <v>206</v>
      </c>
      <c r="D10628" s="152" t="s">
        <v>12256</v>
      </c>
      <c r="E10628" s="152" t="s">
        <v>12333</v>
      </c>
      <c r="F10628" s="152" t="s">
        <v>2852</v>
      </c>
      <c r="G10628" s="152" t="s">
        <v>12334</v>
      </c>
      <c r="H10628" s="153" t="s">
        <v>210</v>
      </c>
    </row>
    <row r="10629" hidden="1">
      <c r="A10629" s="154" t="s">
        <v>223</v>
      </c>
      <c r="B10629" s="155" t="s">
        <v>144</v>
      </c>
      <c r="C10629" s="155" t="s">
        <v>206</v>
      </c>
      <c r="D10629" s="156" t="s">
        <v>12256</v>
      </c>
      <c r="E10629" s="156" t="s">
        <v>12335</v>
      </c>
      <c r="F10629" s="156" t="s">
        <v>3007</v>
      </c>
      <c r="G10629" s="156" t="s">
        <v>12336</v>
      </c>
      <c r="H10629" s="157" t="s">
        <v>211</v>
      </c>
    </row>
    <row r="10630" hidden="1">
      <c r="A10630" s="151" t="s">
        <v>223</v>
      </c>
      <c r="B10630" s="118" t="s">
        <v>144</v>
      </c>
      <c r="C10630" s="118" t="s">
        <v>206</v>
      </c>
      <c r="D10630" s="152" t="s">
        <v>12256</v>
      </c>
      <c r="E10630" s="152" t="s">
        <v>12337</v>
      </c>
      <c r="F10630" s="152" t="s">
        <v>2413</v>
      </c>
      <c r="G10630" s="152" t="s">
        <v>12338</v>
      </c>
      <c r="H10630" s="153" t="s">
        <v>212</v>
      </c>
    </row>
    <row r="10631" hidden="1">
      <c r="A10631" s="154" t="s">
        <v>223</v>
      </c>
      <c r="B10631" s="155" t="s">
        <v>144</v>
      </c>
      <c r="C10631" s="155" t="s">
        <v>206</v>
      </c>
      <c r="D10631" s="156" t="s">
        <v>12256</v>
      </c>
      <c r="E10631" s="156" t="s">
        <v>12339</v>
      </c>
      <c r="F10631" s="156" t="s">
        <v>3075</v>
      </c>
      <c r="G10631" s="156" t="s">
        <v>12340</v>
      </c>
      <c r="H10631" s="157" t="s">
        <v>213</v>
      </c>
    </row>
    <row r="10632" hidden="1">
      <c r="A10632" s="151" t="s">
        <v>223</v>
      </c>
      <c r="B10632" s="118" t="s">
        <v>144</v>
      </c>
      <c r="C10632" s="118" t="s">
        <v>206</v>
      </c>
      <c r="D10632" s="152" t="s">
        <v>12256</v>
      </c>
      <c r="E10632" s="152" t="s">
        <v>12341</v>
      </c>
      <c r="F10632" s="152" t="s">
        <v>2847</v>
      </c>
      <c r="G10632" s="152" t="s">
        <v>12342</v>
      </c>
      <c r="H10632" s="153" t="s">
        <v>214</v>
      </c>
    </row>
    <row r="10633" hidden="1">
      <c r="A10633" s="154" t="s">
        <v>223</v>
      </c>
      <c r="B10633" s="155" t="s">
        <v>144</v>
      </c>
      <c r="C10633" s="155" t="s">
        <v>206</v>
      </c>
      <c r="D10633" s="156" t="s">
        <v>12256</v>
      </c>
      <c r="E10633" s="156" t="s">
        <v>12343</v>
      </c>
      <c r="F10633" s="156" t="s">
        <v>1839</v>
      </c>
      <c r="G10633" s="156" t="s">
        <v>12344</v>
      </c>
      <c r="H10633" s="157" t="s">
        <v>215</v>
      </c>
    </row>
    <row r="10634" hidden="1">
      <c r="A10634" s="151" t="s">
        <v>223</v>
      </c>
      <c r="B10634" s="118" t="s">
        <v>144</v>
      </c>
      <c r="C10634" s="118" t="s">
        <v>206</v>
      </c>
      <c r="D10634" s="152" t="s">
        <v>12256</v>
      </c>
      <c r="E10634" s="152" t="s">
        <v>12345</v>
      </c>
      <c r="F10634" s="152" t="s">
        <v>1864</v>
      </c>
      <c r="G10634" s="152" t="s">
        <v>12346</v>
      </c>
      <c r="H10634" s="153" t="s">
        <v>216</v>
      </c>
    </row>
    <row r="10635" hidden="1">
      <c r="A10635" s="154" t="s">
        <v>224</v>
      </c>
      <c r="B10635" s="155" t="s">
        <v>170</v>
      </c>
      <c r="C10635" s="155" t="s">
        <v>206</v>
      </c>
      <c r="D10635" s="156" t="s">
        <v>12256</v>
      </c>
      <c r="E10635" s="156" t="s">
        <v>12347</v>
      </c>
      <c r="F10635" s="156" t="s">
        <v>2880</v>
      </c>
      <c r="G10635" s="156" t="s">
        <v>12348</v>
      </c>
      <c r="H10635" s="157" t="s">
        <v>210</v>
      </c>
    </row>
    <row r="10636" hidden="1">
      <c r="A10636" s="151" t="s">
        <v>224</v>
      </c>
      <c r="B10636" s="118" t="s">
        <v>170</v>
      </c>
      <c r="C10636" s="118" t="s">
        <v>206</v>
      </c>
      <c r="D10636" s="152" t="s">
        <v>12256</v>
      </c>
      <c r="E10636" s="152" t="s">
        <v>12349</v>
      </c>
      <c r="F10636" s="152" t="s">
        <v>1868</v>
      </c>
      <c r="G10636" s="152" t="s">
        <v>12350</v>
      </c>
      <c r="H10636" s="153" t="s">
        <v>211</v>
      </c>
    </row>
    <row r="10637" hidden="1">
      <c r="A10637" s="154" t="s">
        <v>224</v>
      </c>
      <c r="B10637" s="155" t="s">
        <v>170</v>
      </c>
      <c r="C10637" s="155" t="s">
        <v>206</v>
      </c>
      <c r="D10637" s="156" t="s">
        <v>12256</v>
      </c>
      <c r="E10637" s="156" t="s">
        <v>12351</v>
      </c>
      <c r="F10637" s="156" t="s">
        <v>2242</v>
      </c>
      <c r="G10637" s="156" t="s">
        <v>12352</v>
      </c>
      <c r="H10637" s="157" t="s">
        <v>212</v>
      </c>
    </row>
    <row r="10638" hidden="1">
      <c r="A10638" s="151" t="s">
        <v>224</v>
      </c>
      <c r="B10638" s="118" t="s">
        <v>170</v>
      </c>
      <c r="C10638" s="118" t="s">
        <v>206</v>
      </c>
      <c r="D10638" s="152" t="s">
        <v>12256</v>
      </c>
      <c r="E10638" s="152" t="s">
        <v>12353</v>
      </c>
      <c r="F10638" s="152" t="s">
        <v>2138</v>
      </c>
      <c r="G10638" s="152" t="s">
        <v>12354</v>
      </c>
      <c r="H10638" s="153" t="s">
        <v>213</v>
      </c>
    </row>
    <row r="10639" hidden="1">
      <c r="A10639" s="154" t="s">
        <v>224</v>
      </c>
      <c r="B10639" s="155" t="s">
        <v>170</v>
      </c>
      <c r="C10639" s="155" t="s">
        <v>206</v>
      </c>
      <c r="D10639" s="156" t="s">
        <v>12256</v>
      </c>
      <c r="E10639" s="156" t="s">
        <v>12355</v>
      </c>
      <c r="F10639" s="156" t="s">
        <v>2045</v>
      </c>
      <c r="G10639" s="156" t="s">
        <v>12299</v>
      </c>
      <c r="H10639" s="157" t="s">
        <v>214</v>
      </c>
    </row>
    <row r="10640" hidden="1">
      <c r="A10640" s="151" t="s">
        <v>224</v>
      </c>
      <c r="B10640" s="118" t="s">
        <v>170</v>
      </c>
      <c r="C10640" s="118" t="s">
        <v>206</v>
      </c>
      <c r="D10640" s="152" t="s">
        <v>12256</v>
      </c>
      <c r="E10640" s="152" t="s">
        <v>12356</v>
      </c>
      <c r="F10640" s="152" t="s">
        <v>2563</v>
      </c>
      <c r="G10640" s="152" t="s">
        <v>12357</v>
      </c>
      <c r="H10640" s="153" t="s">
        <v>215</v>
      </c>
    </row>
    <row r="10641" hidden="1">
      <c r="A10641" s="154" t="s">
        <v>224</v>
      </c>
      <c r="B10641" s="155" t="s">
        <v>170</v>
      </c>
      <c r="C10641" s="155" t="s">
        <v>206</v>
      </c>
      <c r="D10641" s="156" t="s">
        <v>12256</v>
      </c>
      <c r="E10641" s="156" t="s">
        <v>12358</v>
      </c>
      <c r="F10641" s="156" t="s">
        <v>2129</v>
      </c>
      <c r="G10641" s="156" t="s">
        <v>12359</v>
      </c>
      <c r="H10641" s="157" t="s">
        <v>216</v>
      </c>
    </row>
    <row r="10642" hidden="1">
      <c r="A10642" s="151" t="s">
        <v>225</v>
      </c>
      <c r="B10642" s="118" t="s">
        <v>226</v>
      </c>
      <c r="C10642" s="118" t="s">
        <v>206</v>
      </c>
      <c r="D10642" s="152" t="s">
        <v>12256</v>
      </c>
      <c r="E10642" s="152" t="s">
        <v>12360</v>
      </c>
      <c r="F10642" s="152" t="s">
        <v>1804</v>
      </c>
      <c r="G10642" s="152" t="s">
        <v>12361</v>
      </c>
      <c r="H10642" s="153" t="s">
        <v>210</v>
      </c>
    </row>
    <row r="10643" hidden="1">
      <c r="A10643" s="154" t="s">
        <v>225</v>
      </c>
      <c r="B10643" s="155" t="s">
        <v>226</v>
      </c>
      <c r="C10643" s="155" t="s">
        <v>206</v>
      </c>
      <c r="D10643" s="156" t="s">
        <v>12256</v>
      </c>
      <c r="E10643" s="156" t="s">
        <v>12362</v>
      </c>
      <c r="F10643" s="156" t="s">
        <v>7047</v>
      </c>
      <c r="G10643" s="156" t="s">
        <v>12363</v>
      </c>
      <c r="H10643" s="157" t="s">
        <v>211</v>
      </c>
    </row>
    <row r="10644" hidden="1">
      <c r="A10644" s="151" t="s">
        <v>225</v>
      </c>
      <c r="B10644" s="118" t="s">
        <v>226</v>
      </c>
      <c r="C10644" s="118" t="s">
        <v>206</v>
      </c>
      <c r="D10644" s="152" t="s">
        <v>12256</v>
      </c>
      <c r="E10644" s="152" t="s">
        <v>12364</v>
      </c>
      <c r="F10644" s="152" t="s">
        <v>2735</v>
      </c>
      <c r="G10644" s="152" t="s">
        <v>12365</v>
      </c>
      <c r="H10644" s="153" t="s">
        <v>212</v>
      </c>
    </row>
    <row r="10645" hidden="1">
      <c r="A10645" s="154" t="s">
        <v>225</v>
      </c>
      <c r="B10645" s="155" t="s">
        <v>226</v>
      </c>
      <c r="C10645" s="155" t="s">
        <v>206</v>
      </c>
      <c r="D10645" s="156" t="s">
        <v>12256</v>
      </c>
      <c r="E10645" s="156" t="s">
        <v>12366</v>
      </c>
      <c r="F10645" s="156" t="s">
        <v>1903</v>
      </c>
      <c r="G10645" s="156" t="s">
        <v>12367</v>
      </c>
      <c r="H10645" s="157" t="s">
        <v>213</v>
      </c>
    </row>
    <row r="10646" hidden="1">
      <c r="A10646" s="151" t="s">
        <v>225</v>
      </c>
      <c r="B10646" s="118" t="s">
        <v>226</v>
      </c>
      <c r="C10646" s="118" t="s">
        <v>206</v>
      </c>
      <c r="D10646" s="152" t="s">
        <v>12256</v>
      </c>
      <c r="E10646" s="152" t="s">
        <v>12368</v>
      </c>
      <c r="F10646" s="152" t="s">
        <v>2249</v>
      </c>
      <c r="G10646" s="152" t="s">
        <v>12369</v>
      </c>
      <c r="H10646" s="153" t="s">
        <v>214</v>
      </c>
    </row>
    <row r="10647" hidden="1">
      <c r="A10647" s="154" t="s">
        <v>225</v>
      </c>
      <c r="B10647" s="155" t="s">
        <v>226</v>
      </c>
      <c r="C10647" s="155" t="s">
        <v>206</v>
      </c>
      <c r="D10647" s="156" t="s">
        <v>12256</v>
      </c>
      <c r="E10647" s="156" t="s">
        <v>12370</v>
      </c>
      <c r="F10647" s="156" t="s">
        <v>1771</v>
      </c>
      <c r="G10647" s="156" t="s">
        <v>12371</v>
      </c>
      <c r="H10647" s="157" t="s">
        <v>215</v>
      </c>
    </row>
    <row r="10648" hidden="1">
      <c r="A10648" s="151" t="s">
        <v>225</v>
      </c>
      <c r="B10648" s="118" t="s">
        <v>226</v>
      </c>
      <c r="C10648" s="118" t="s">
        <v>206</v>
      </c>
      <c r="D10648" s="152" t="s">
        <v>12256</v>
      </c>
      <c r="E10648" s="152" t="s">
        <v>12372</v>
      </c>
      <c r="F10648" s="152" t="s">
        <v>639</v>
      </c>
      <c r="G10648" s="152" t="s">
        <v>12373</v>
      </c>
      <c r="H10648" s="153" t="s">
        <v>216</v>
      </c>
    </row>
    <row r="10649" hidden="1">
      <c r="A10649" s="154" t="s">
        <v>227</v>
      </c>
      <c r="B10649" s="155" t="s">
        <v>195</v>
      </c>
      <c r="C10649" s="155" t="s">
        <v>206</v>
      </c>
      <c r="D10649" s="156" t="s">
        <v>12256</v>
      </c>
      <c r="E10649" s="156" t="s">
        <v>12374</v>
      </c>
      <c r="F10649" s="156" t="s">
        <v>1913</v>
      </c>
      <c r="G10649" s="156" t="s">
        <v>12375</v>
      </c>
      <c r="H10649" s="157" t="s">
        <v>210</v>
      </c>
    </row>
    <row r="10650" hidden="1">
      <c r="A10650" s="151" t="s">
        <v>227</v>
      </c>
      <c r="B10650" s="118" t="s">
        <v>195</v>
      </c>
      <c r="C10650" s="118" t="s">
        <v>206</v>
      </c>
      <c r="D10650" s="152" t="s">
        <v>12256</v>
      </c>
      <c r="E10650" s="152" t="s">
        <v>12376</v>
      </c>
      <c r="F10650" s="152" t="s">
        <v>2155</v>
      </c>
      <c r="G10650" s="152" t="s">
        <v>12377</v>
      </c>
      <c r="H10650" s="153" t="s">
        <v>211</v>
      </c>
    </row>
    <row r="10651" hidden="1">
      <c r="A10651" s="154" t="s">
        <v>227</v>
      </c>
      <c r="B10651" s="155" t="s">
        <v>195</v>
      </c>
      <c r="C10651" s="155" t="s">
        <v>206</v>
      </c>
      <c r="D10651" s="156" t="s">
        <v>12256</v>
      </c>
      <c r="E10651" s="156" t="s">
        <v>12378</v>
      </c>
      <c r="F10651" s="156" t="s">
        <v>1757</v>
      </c>
      <c r="G10651" s="156" t="s">
        <v>12379</v>
      </c>
      <c r="H10651" s="157" t="s">
        <v>212</v>
      </c>
    </row>
    <row r="10652" hidden="1">
      <c r="A10652" s="151" t="s">
        <v>227</v>
      </c>
      <c r="B10652" s="118" t="s">
        <v>195</v>
      </c>
      <c r="C10652" s="118" t="s">
        <v>206</v>
      </c>
      <c r="D10652" s="152" t="s">
        <v>12256</v>
      </c>
      <c r="E10652" s="152" t="s">
        <v>12380</v>
      </c>
      <c r="F10652" s="152" t="s">
        <v>1747</v>
      </c>
      <c r="G10652" s="152" t="s">
        <v>12381</v>
      </c>
      <c r="H10652" s="153" t="s">
        <v>213</v>
      </c>
    </row>
    <row r="10653" hidden="1">
      <c r="A10653" s="154" t="s">
        <v>227</v>
      </c>
      <c r="B10653" s="155" t="s">
        <v>195</v>
      </c>
      <c r="C10653" s="155" t="s">
        <v>206</v>
      </c>
      <c r="D10653" s="156" t="s">
        <v>12256</v>
      </c>
      <c r="E10653" s="156" t="s">
        <v>12382</v>
      </c>
      <c r="F10653" s="156" t="s">
        <v>1916</v>
      </c>
      <c r="G10653" s="156" t="s">
        <v>12383</v>
      </c>
      <c r="H10653" s="157" t="s">
        <v>214</v>
      </c>
    </row>
    <row r="10654" hidden="1">
      <c r="A10654" s="151" t="s">
        <v>227</v>
      </c>
      <c r="B10654" s="118" t="s">
        <v>195</v>
      </c>
      <c r="C10654" s="118" t="s">
        <v>206</v>
      </c>
      <c r="D10654" s="152" t="s">
        <v>12256</v>
      </c>
      <c r="E10654" s="152" t="s">
        <v>12384</v>
      </c>
      <c r="F10654" s="152" t="s">
        <v>1854</v>
      </c>
      <c r="G10654" s="152" t="s">
        <v>12385</v>
      </c>
      <c r="H10654" s="153" t="s">
        <v>215</v>
      </c>
    </row>
    <row r="10655" hidden="1">
      <c r="A10655" s="154" t="s">
        <v>227</v>
      </c>
      <c r="B10655" s="155" t="s">
        <v>195</v>
      </c>
      <c r="C10655" s="155" t="s">
        <v>206</v>
      </c>
      <c r="D10655" s="156" t="s">
        <v>12256</v>
      </c>
      <c r="E10655" s="156" t="s">
        <v>12386</v>
      </c>
      <c r="F10655" s="156" t="s">
        <v>1885</v>
      </c>
      <c r="G10655" s="156" t="s">
        <v>12387</v>
      </c>
      <c r="H10655" s="157" t="s">
        <v>216</v>
      </c>
    </row>
    <row r="10656" hidden="1">
      <c r="A10656" s="151" t="s">
        <v>228</v>
      </c>
      <c r="B10656" s="118" t="s">
        <v>138</v>
      </c>
      <c r="C10656" s="118" t="s">
        <v>206</v>
      </c>
      <c r="D10656" s="152" t="s">
        <v>12256</v>
      </c>
      <c r="E10656" s="152" t="s">
        <v>12388</v>
      </c>
      <c r="F10656" s="152" t="s">
        <v>348</v>
      </c>
      <c r="G10656" s="152" t="s">
        <v>12389</v>
      </c>
      <c r="H10656" s="153" t="s">
        <v>210</v>
      </c>
    </row>
    <row r="10657" hidden="1">
      <c r="A10657" s="154" t="s">
        <v>228</v>
      </c>
      <c r="B10657" s="155" t="s">
        <v>138</v>
      </c>
      <c r="C10657" s="155" t="s">
        <v>206</v>
      </c>
      <c r="D10657" s="156" t="s">
        <v>12256</v>
      </c>
      <c r="E10657" s="156" t="s">
        <v>12390</v>
      </c>
      <c r="F10657" s="156" t="s">
        <v>1532</v>
      </c>
      <c r="G10657" s="156" t="s">
        <v>11754</v>
      </c>
      <c r="H10657" s="157" t="s">
        <v>211</v>
      </c>
    </row>
    <row r="10658" hidden="1">
      <c r="A10658" s="151" t="s">
        <v>228</v>
      </c>
      <c r="B10658" s="118" t="s">
        <v>138</v>
      </c>
      <c r="C10658" s="118" t="s">
        <v>206</v>
      </c>
      <c r="D10658" s="152" t="s">
        <v>12256</v>
      </c>
      <c r="E10658" s="152" t="s">
        <v>12391</v>
      </c>
      <c r="F10658" s="152" t="s">
        <v>354</v>
      </c>
      <c r="G10658" s="152" t="s">
        <v>10097</v>
      </c>
      <c r="H10658" s="153" t="s">
        <v>212</v>
      </c>
    </row>
    <row r="10659" hidden="1">
      <c r="A10659" s="154" t="s">
        <v>228</v>
      </c>
      <c r="B10659" s="155" t="s">
        <v>138</v>
      </c>
      <c r="C10659" s="155" t="s">
        <v>206</v>
      </c>
      <c r="D10659" s="156" t="s">
        <v>12256</v>
      </c>
      <c r="E10659" s="156" t="s">
        <v>12392</v>
      </c>
      <c r="F10659" s="156" t="s">
        <v>691</v>
      </c>
      <c r="G10659" s="156" t="s">
        <v>12393</v>
      </c>
      <c r="H10659" s="157" t="s">
        <v>213</v>
      </c>
    </row>
    <row r="10660" hidden="1">
      <c r="A10660" s="151" t="s">
        <v>228</v>
      </c>
      <c r="B10660" s="118" t="s">
        <v>138</v>
      </c>
      <c r="C10660" s="118" t="s">
        <v>206</v>
      </c>
      <c r="D10660" s="152" t="s">
        <v>12256</v>
      </c>
      <c r="E10660" s="152" t="s">
        <v>12394</v>
      </c>
      <c r="F10660" s="152" t="s">
        <v>453</v>
      </c>
      <c r="G10660" s="152" t="s">
        <v>12395</v>
      </c>
      <c r="H10660" s="153" t="s">
        <v>214</v>
      </c>
    </row>
    <row r="10661" hidden="1">
      <c r="A10661" s="154" t="s">
        <v>228</v>
      </c>
      <c r="B10661" s="155" t="s">
        <v>138</v>
      </c>
      <c r="C10661" s="155" t="s">
        <v>206</v>
      </c>
      <c r="D10661" s="156" t="s">
        <v>12256</v>
      </c>
      <c r="E10661" s="156" t="s">
        <v>12396</v>
      </c>
      <c r="F10661" s="156" t="s">
        <v>450</v>
      </c>
      <c r="G10661" s="156" t="s">
        <v>11102</v>
      </c>
      <c r="H10661" s="157" t="s">
        <v>215</v>
      </c>
    </row>
    <row r="10662" hidden="1">
      <c r="A10662" s="151" t="s">
        <v>228</v>
      </c>
      <c r="B10662" s="118" t="s">
        <v>138</v>
      </c>
      <c r="C10662" s="118" t="s">
        <v>206</v>
      </c>
      <c r="D10662" s="152" t="s">
        <v>12256</v>
      </c>
      <c r="E10662" s="152" t="s">
        <v>12397</v>
      </c>
      <c r="F10662" s="152" t="s">
        <v>390</v>
      </c>
      <c r="G10662" s="152" t="s">
        <v>12398</v>
      </c>
      <c r="H10662" s="153" t="s">
        <v>216</v>
      </c>
    </row>
    <row r="10663" hidden="1">
      <c r="A10663" s="154" t="s">
        <v>229</v>
      </c>
      <c r="B10663" s="155" t="s">
        <v>193</v>
      </c>
      <c r="C10663" s="155" t="s">
        <v>206</v>
      </c>
      <c r="D10663" s="156" t="s">
        <v>12256</v>
      </c>
      <c r="E10663" s="156" t="s">
        <v>12399</v>
      </c>
      <c r="F10663" s="156" t="s">
        <v>1759</v>
      </c>
      <c r="G10663" s="156" t="s">
        <v>12400</v>
      </c>
      <c r="H10663" s="157" t="s">
        <v>210</v>
      </c>
    </row>
    <row r="10664" hidden="1">
      <c r="A10664" s="151" t="s">
        <v>229</v>
      </c>
      <c r="B10664" s="118" t="s">
        <v>193</v>
      </c>
      <c r="C10664" s="118" t="s">
        <v>206</v>
      </c>
      <c r="D10664" s="152" t="s">
        <v>12256</v>
      </c>
      <c r="E10664" s="152" t="s">
        <v>12401</v>
      </c>
      <c r="F10664" s="152" t="s">
        <v>1885</v>
      </c>
      <c r="G10664" s="152" t="s">
        <v>12402</v>
      </c>
      <c r="H10664" s="153" t="s">
        <v>211</v>
      </c>
    </row>
    <row r="10665" hidden="1">
      <c r="A10665" s="154" t="s">
        <v>229</v>
      </c>
      <c r="B10665" s="155" t="s">
        <v>193</v>
      </c>
      <c r="C10665" s="155" t="s">
        <v>206</v>
      </c>
      <c r="D10665" s="156" t="s">
        <v>12256</v>
      </c>
      <c r="E10665" s="156" t="s">
        <v>12403</v>
      </c>
      <c r="F10665" s="156" t="s">
        <v>1722</v>
      </c>
      <c r="G10665" s="156" t="s">
        <v>12404</v>
      </c>
      <c r="H10665" s="157" t="s">
        <v>212</v>
      </c>
    </row>
    <row r="10666" hidden="1">
      <c r="A10666" s="151" t="s">
        <v>229</v>
      </c>
      <c r="B10666" s="118" t="s">
        <v>193</v>
      </c>
      <c r="C10666" s="118" t="s">
        <v>206</v>
      </c>
      <c r="D10666" s="152" t="s">
        <v>12256</v>
      </c>
      <c r="E10666" s="152" t="s">
        <v>12405</v>
      </c>
      <c r="F10666" s="152" t="s">
        <v>1885</v>
      </c>
      <c r="G10666" s="152" t="s">
        <v>12406</v>
      </c>
      <c r="H10666" s="153" t="s">
        <v>213</v>
      </c>
    </row>
    <row r="10667" hidden="1">
      <c r="A10667" s="154" t="s">
        <v>229</v>
      </c>
      <c r="B10667" s="155" t="s">
        <v>193</v>
      </c>
      <c r="C10667" s="155" t="s">
        <v>206</v>
      </c>
      <c r="D10667" s="156" t="s">
        <v>12256</v>
      </c>
      <c r="E10667" s="156" t="s">
        <v>12407</v>
      </c>
      <c r="F10667" s="156" t="s">
        <v>1846</v>
      </c>
      <c r="G10667" s="156" t="s">
        <v>12408</v>
      </c>
      <c r="H10667" s="157" t="s">
        <v>214</v>
      </c>
    </row>
    <row r="10668" hidden="1">
      <c r="A10668" s="151" t="s">
        <v>229</v>
      </c>
      <c r="B10668" s="118" t="s">
        <v>193</v>
      </c>
      <c r="C10668" s="118" t="s">
        <v>206</v>
      </c>
      <c r="D10668" s="152" t="s">
        <v>12256</v>
      </c>
      <c r="E10668" s="152" t="s">
        <v>12409</v>
      </c>
      <c r="F10668" s="152" t="s">
        <v>1901</v>
      </c>
      <c r="G10668" s="152" t="s">
        <v>12410</v>
      </c>
      <c r="H10668" s="153" t="s">
        <v>215</v>
      </c>
    </row>
    <row r="10669" hidden="1">
      <c r="A10669" s="154" t="s">
        <v>229</v>
      </c>
      <c r="B10669" s="155" t="s">
        <v>193</v>
      </c>
      <c r="C10669" s="155" t="s">
        <v>206</v>
      </c>
      <c r="D10669" s="156" t="s">
        <v>12256</v>
      </c>
      <c r="E10669" s="156" t="s">
        <v>12411</v>
      </c>
      <c r="F10669" s="156" t="s">
        <v>1735</v>
      </c>
      <c r="G10669" s="156" t="s">
        <v>12412</v>
      </c>
      <c r="H10669" s="157" t="s">
        <v>216</v>
      </c>
    </row>
    <row r="10670" hidden="1">
      <c r="A10670" s="151" t="s">
        <v>230</v>
      </c>
      <c r="B10670" s="118" t="s">
        <v>194</v>
      </c>
      <c r="C10670" s="118" t="s">
        <v>206</v>
      </c>
      <c r="D10670" s="152" t="s">
        <v>12256</v>
      </c>
      <c r="E10670" s="152" t="s">
        <v>12413</v>
      </c>
      <c r="F10670" s="152" t="s">
        <v>2303</v>
      </c>
      <c r="G10670" s="152" t="s">
        <v>12414</v>
      </c>
      <c r="H10670" s="153" t="s">
        <v>210</v>
      </c>
    </row>
    <row r="10671" hidden="1">
      <c r="A10671" s="154" t="s">
        <v>230</v>
      </c>
      <c r="B10671" s="155" t="s">
        <v>194</v>
      </c>
      <c r="C10671" s="155" t="s">
        <v>206</v>
      </c>
      <c r="D10671" s="156" t="s">
        <v>12256</v>
      </c>
      <c r="E10671" s="156" t="s">
        <v>12415</v>
      </c>
      <c r="F10671" s="156" t="s">
        <v>2859</v>
      </c>
      <c r="G10671" s="156" t="s">
        <v>12416</v>
      </c>
      <c r="H10671" s="157" t="s">
        <v>211</v>
      </c>
    </row>
    <row r="10672" hidden="1">
      <c r="A10672" s="151" t="s">
        <v>230</v>
      </c>
      <c r="B10672" s="118" t="s">
        <v>194</v>
      </c>
      <c r="C10672" s="118" t="s">
        <v>206</v>
      </c>
      <c r="D10672" s="152" t="s">
        <v>12256</v>
      </c>
      <c r="E10672" s="152" t="s">
        <v>12417</v>
      </c>
      <c r="F10672" s="152" t="s">
        <v>2457</v>
      </c>
      <c r="G10672" s="152" t="s">
        <v>12418</v>
      </c>
      <c r="H10672" s="153" t="s">
        <v>212</v>
      </c>
    </row>
    <row r="10673" hidden="1">
      <c r="A10673" s="154" t="s">
        <v>230</v>
      </c>
      <c r="B10673" s="155" t="s">
        <v>194</v>
      </c>
      <c r="C10673" s="155" t="s">
        <v>206</v>
      </c>
      <c r="D10673" s="156" t="s">
        <v>12256</v>
      </c>
      <c r="E10673" s="156" t="s">
        <v>12419</v>
      </c>
      <c r="F10673" s="156" t="s">
        <v>3028</v>
      </c>
      <c r="G10673" s="156" t="s">
        <v>12420</v>
      </c>
      <c r="H10673" s="157" t="s">
        <v>213</v>
      </c>
    </row>
    <row r="10674" hidden="1">
      <c r="A10674" s="151" t="s">
        <v>230</v>
      </c>
      <c r="B10674" s="118" t="s">
        <v>194</v>
      </c>
      <c r="C10674" s="118" t="s">
        <v>206</v>
      </c>
      <c r="D10674" s="152" t="s">
        <v>12256</v>
      </c>
      <c r="E10674" s="152" t="s">
        <v>12421</v>
      </c>
      <c r="F10674" s="152" t="s">
        <v>2243</v>
      </c>
      <c r="G10674" s="152" t="s">
        <v>12422</v>
      </c>
      <c r="H10674" s="153" t="s">
        <v>214</v>
      </c>
    </row>
    <row r="10675" hidden="1">
      <c r="A10675" s="154" t="s">
        <v>230</v>
      </c>
      <c r="B10675" s="155" t="s">
        <v>194</v>
      </c>
      <c r="C10675" s="155" t="s">
        <v>206</v>
      </c>
      <c r="D10675" s="156" t="s">
        <v>12256</v>
      </c>
      <c r="E10675" s="156" t="s">
        <v>12423</v>
      </c>
      <c r="F10675" s="156" t="s">
        <v>2025</v>
      </c>
      <c r="G10675" s="156" t="s">
        <v>12365</v>
      </c>
      <c r="H10675" s="157" t="s">
        <v>215</v>
      </c>
    </row>
    <row r="10676" hidden="1">
      <c r="A10676" s="151" t="s">
        <v>230</v>
      </c>
      <c r="B10676" s="118" t="s">
        <v>194</v>
      </c>
      <c r="C10676" s="118" t="s">
        <v>206</v>
      </c>
      <c r="D10676" s="152" t="s">
        <v>12256</v>
      </c>
      <c r="E10676" s="152" t="s">
        <v>12424</v>
      </c>
      <c r="F10676" s="152" t="s">
        <v>3001</v>
      </c>
      <c r="G10676" s="152" t="s">
        <v>12425</v>
      </c>
      <c r="H10676" s="153" t="s">
        <v>216</v>
      </c>
    </row>
    <row r="10677" hidden="1">
      <c r="A10677" s="158" t="s">
        <v>231</v>
      </c>
      <c r="B10677" s="159"/>
      <c r="C10677" s="155" t="s">
        <v>232</v>
      </c>
      <c r="D10677" s="156" t="s">
        <v>12256</v>
      </c>
      <c r="E10677" s="156" t="s">
        <v>12426</v>
      </c>
      <c r="F10677" s="156" t="s">
        <v>1983</v>
      </c>
      <c r="G10677" s="156" t="s">
        <v>12188</v>
      </c>
      <c r="H10677" s="157" t="s">
        <v>210</v>
      </c>
    </row>
    <row r="10678" hidden="1">
      <c r="A10678" s="160" t="s">
        <v>231</v>
      </c>
      <c r="B10678" s="72"/>
      <c r="C10678" s="118" t="s">
        <v>232</v>
      </c>
      <c r="D10678" s="152" t="s">
        <v>12256</v>
      </c>
      <c r="E10678" s="152" t="s">
        <v>12427</v>
      </c>
      <c r="F10678" s="152" t="s">
        <v>1804</v>
      </c>
      <c r="G10678" s="152" t="s">
        <v>12428</v>
      </c>
      <c r="H10678" s="153" t="s">
        <v>211</v>
      </c>
    </row>
    <row r="10679" hidden="1">
      <c r="A10679" s="158" t="s">
        <v>231</v>
      </c>
      <c r="B10679" s="159"/>
      <c r="C10679" s="155" t="s">
        <v>232</v>
      </c>
      <c r="D10679" s="156" t="s">
        <v>12256</v>
      </c>
      <c r="E10679" s="156" t="s">
        <v>12429</v>
      </c>
      <c r="F10679" s="156" t="s">
        <v>1881</v>
      </c>
      <c r="G10679" s="156" t="s">
        <v>12428</v>
      </c>
      <c r="H10679" s="157" t="s">
        <v>212</v>
      </c>
    </row>
    <row r="10680" hidden="1">
      <c r="A10680" s="160" t="s">
        <v>231</v>
      </c>
      <c r="B10680" s="72"/>
      <c r="C10680" s="118" t="s">
        <v>232</v>
      </c>
      <c r="D10680" s="152" t="s">
        <v>12256</v>
      </c>
      <c r="E10680" s="152" t="s">
        <v>12430</v>
      </c>
      <c r="F10680" s="152" t="s">
        <v>2745</v>
      </c>
      <c r="G10680" s="152" t="s">
        <v>12431</v>
      </c>
      <c r="H10680" s="153" t="s">
        <v>213</v>
      </c>
    </row>
    <row r="10681" hidden="1">
      <c r="A10681" s="158" t="s">
        <v>231</v>
      </c>
      <c r="B10681" s="159"/>
      <c r="C10681" s="155" t="s">
        <v>232</v>
      </c>
      <c r="D10681" s="156" t="s">
        <v>12256</v>
      </c>
      <c r="E10681" s="156" t="s">
        <v>12432</v>
      </c>
      <c r="F10681" s="156" t="s">
        <v>2420</v>
      </c>
      <c r="G10681" s="156" t="s">
        <v>12433</v>
      </c>
      <c r="H10681" s="157" t="s">
        <v>214</v>
      </c>
    </row>
    <row r="10682" hidden="1">
      <c r="A10682" s="160" t="s">
        <v>231</v>
      </c>
      <c r="B10682" s="72"/>
      <c r="C10682" s="118" t="s">
        <v>232</v>
      </c>
      <c r="D10682" s="152" t="s">
        <v>12256</v>
      </c>
      <c r="E10682" s="152" t="s">
        <v>12434</v>
      </c>
      <c r="F10682" s="152" t="s">
        <v>6580</v>
      </c>
      <c r="G10682" s="152" t="s">
        <v>12435</v>
      </c>
      <c r="H10682" s="153" t="s">
        <v>215</v>
      </c>
    </row>
    <row r="10683" hidden="1">
      <c r="A10683" s="158" t="s">
        <v>231</v>
      </c>
      <c r="B10683" s="159"/>
      <c r="C10683" s="155" t="s">
        <v>232</v>
      </c>
      <c r="D10683" s="156" t="s">
        <v>12256</v>
      </c>
      <c r="E10683" s="156" t="s">
        <v>12436</v>
      </c>
      <c r="F10683" s="156" t="s">
        <v>2075</v>
      </c>
      <c r="G10683" s="156" t="s">
        <v>12437</v>
      </c>
      <c r="H10683" s="157" t="s">
        <v>216</v>
      </c>
    </row>
    <row r="10684" hidden="1">
      <c r="A10684" s="160" t="s">
        <v>233</v>
      </c>
      <c r="B10684" s="72"/>
      <c r="C10684" s="118" t="s">
        <v>232</v>
      </c>
      <c r="D10684" s="152" t="s">
        <v>12256</v>
      </c>
      <c r="E10684" s="152" t="s">
        <v>12438</v>
      </c>
      <c r="F10684" s="152" t="s">
        <v>2379</v>
      </c>
      <c r="G10684" s="152" t="s">
        <v>12439</v>
      </c>
      <c r="H10684" s="153" t="s">
        <v>210</v>
      </c>
    </row>
    <row r="10685" hidden="1">
      <c r="A10685" s="158" t="s">
        <v>233</v>
      </c>
      <c r="B10685" s="159"/>
      <c r="C10685" s="155" t="s">
        <v>232</v>
      </c>
      <c r="D10685" s="156" t="s">
        <v>12256</v>
      </c>
      <c r="E10685" s="156" t="s">
        <v>12440</v>
      </c>
      <c r="F10685" s="156" t="s">
        <v>2705</v>
      </c>
      <c r="G10685" s="156" t="s">
        <v>12441</v>
      </c>
      <c r="H10685" s="157" t="s">
        <v>211</v>
      </c>
    </row>
    <row r="10686" hidden="1">
      <c r="A10686" s="160" t="s">
        <v>233</v>
      </c>
      <c r="B10686" s="72"/>
      <c r="C10686" s="118" t="s">
        <v>232</v>
      </c>
      <c r="D10686" s="152" t="s">
        <v>12256</v>
      </c>
      <c r="E10686" s="152" t="s">
        <v>12442</v>
      </c>
      <c r="F10686" s="152" t="s">
        <v>2470</v>
      </c>
      <c r="G10686" s="152" t="s">
        <v>12443</v>
      </c>
      <c r="H10686" s="153" t="s">
        <v>212</v>
      </c>
    </row>
    <row r="10687" hidden="1">
      <c r="A10687" s="158" t="s">
        <v>233</v>
      </c>
      <c r="B10687" s="159"/>
      <c r="C10687" s="155" t="s">
        <v>232</v>
      </c>
      <c r="D10687" s="156" t="s">
        <v>12256</v>
      </c>
      <c r="E10687" s="156" t="s">
        <v>12444</v>
      </c>
      <c r="F10687" s="156" t="s">
        <v>2705</v>
      </c>
      <c r="G10687" s="156" t="s">
        <v>12445</v>
      </c>
      <c r="H10687" s="157" t="s">
        <v>213</v>
      </c>
    </row>
    <row r="10688" hidden="1">
      <c r="A10688" s="160" t="s">
        <v>233</v>
      </c>
      <c r="B10688" s="72"/>
      <c r="C10688" s="118" t="s">
        <v>232</v>
      </c>
      <c r="D10688" s="152" t="s">
        <v>12256</v>
      </c>
      <c r="E10688" s="152" t="s">
        <v>12446</v>
      </c>
      <c r="F10688" s="152" t="s">
        <v>2567</v>
      </c>
      <c r="G10688" s="152" t="s">
        <v>12447</v>
      </c>
      <c r="H10688" s="153" t="s">
        <v>214</v>
      </c>
    </row>
    <row r="10689" hidden="1">
      <c r="A10689" s="158" t="s">
        <v>233</v>
      </c>
      <c r="B10689" s="159"/>
      <c r="C10689" s="155" t="s">
        <v>232</v>
      </c>
      <c r="D10689" s="156" t="s">
        <v>12256</v>
      </c>
      <c r="E10689" s="156" t="s">
        <v>12448</v>
      </c>
      <c r="F10689" s="156" t="s">
        <v>2838</v>
      </c>
      <c r="G10689" s="156" t="s">
        <v>12449</v>
      </c>
      <c r="H10689" s="157" t="s">
        <v>215</v>
      </c>
    </row>
    <row r="10690" hidden="1">
      <c r="A10690" s="160" t="s">
        <v>233</v>
      </c>
      <c r="B10690" s="72"/>
      <c r="C10690" s="118" t="s">
        <v>232</v>
      </c>
      <c r="D10690" s="152" t="s">
        <v>12256</v>
      </c>
      <c r="E10690" s="152" t="s">
        <v>12450</v>
      </c>
      <c r="F10690" s="152" t="s">
        <v>2567</v>
      </c>
      <c r="G10690" s="152" t="s">
        <v>12451</v>
      </c>
      <c r="H10690" s="153" t="s">
        <v>216</v>
      </c>
    </row>
    <row r="10691" hidden="1">
      <c r="A10691" s="158" t="s">
        <v>234</v>
      </c>
      <c r="B10691" s="159"/>
      <c r="C10691" s="155" t="s">
        <v>232</v>
      </c>
      <c r="D10691" s="156" t="s">
        <v>12256</v>
      </c>
      <c r="E10691" s="156" t="s">
        <v>12452</v>
      </c>
      <c r="F10691" s="156" t="s">
        <v>1806</v>
      </c>
      <c r="G10691" s="156" t="s">
        <v>12133</v>
      </c>
      <c r="H10691" s="157" t="s">
        <v>210</v>
      </c>
    </row>
    <row r="10692" hidden="1">
      <c r="A10692" s="160" t="s">
        <v>234</v>
      </c>
      <c r="B10692" s="72"/>
      <c r="C10692" s="118" t="s">
        <v>232</v>
      </c>
      <c r="D10692" s="152" t="s">
        <v>12256</v>
      </c>
      <c r="E10692" s="152" t="s">
        <v>12453</v>
      </c>
      <c r="F10692" s="152" t="s">
        <v>1846</v>
      </c>
      <c r="G10692" s="152" t="s">
        <v>12454</v>
      </c>
      <c r="H10692" s="153" t="s">
        <v>211</v>
      </c>
    </row>
    <row r="10693" hidden="1">
      <c r="A10693" s="158" t="s">
        <v>234</v>
      </c>
      <c r="B10693" s="159"/>
      <c r="C10693" s="155" t="s">
        <v>232</v>
      </c>
      <c r="D10693" s="156" t="s">
        <v>12256</v>
      </c>
      <c r="E10693" s="156" t="s">
        <v>12455</v>
      </c>
      <c r="F10693" s="156" t="s">
        <v>1820</v>
      </c>
      <c r="G10693" s="156" t="s">
        <v>12456</v>
      </c>
      <c r="H10693" s="157" t="s">
        <v>212</v>
      </c>
    </row>
    <row r="10694" hidden="1">
      <c r="A10694" s="160" t="s">
        <v>234</v>
      </c>
      <c r="B10694" s="72"/>
      <c r="C10694" s="118" t="s">
        <v>232</v>
      </c>
      <c r="D10694" s="152" t="s">
        <v>12256</v>
      </c>
      <c r="E10694" s="152" t="s">
        <v>12457</v>
      </c>
      <c r="F10694" s="152" t="s">
        <v>1877</v>
      </c>
      <c r="G10694" s="152" t="s">
        <v>12458</v>
      </c>
      <c r="H10694" s="153" t="s">
        <v>213</v>
      </c>
    </row>
    <row r="10695" hidden="1">
      <c r="A10695" s="158" t="s">
        <v>234</v>
      </c>
      <c r="B10695" s="159"/>
      <c r="C10695" s="155" t="s">
        <v>232</v>
      </c>
      <c r="D10695" s="156" t="s">
        <v>12256</v>
      </c>
      <c r="E10695" s="156" t="s">
        <v>12459</v>
      </c>
      <c r="F10695" s="156" t="s">
        <v>2051</v>
      </c>
      <c r="G10695" s="156" t="s">
        <v>12433</v>
      </c>
      <c r="H10695" s="157" t="s">
        <v>214</v>
      </c>
    </row>
    <row r="10696" hidden="1">
      <c r="A10696" s="160" t="s">
        <v>234</v>
      </c>
      <c r="B10696" s="72"/>
      <c r="C10696" s="118" t="s">
        <v>232</v>
      </c>
      <c r="D10696" s="152" t="s">
        <v>12256</v>
      </c>
      <c r="E10696" s="152" t="s">
        <v>12460</v>
      </c>
      <c r="F10696" s="152" t="s">
        <v>1725</v>
      </c>
      <c r="G10696" s="152" t="s">
        <v>12461</v>
      </c>
      <c r="H10696" s="153" t="s">
        <v>215</v>
      </c>
    </row>
    <row r="10697" hidden="1">
      <c r="A10697" s="158" t="s">
        <v>234</v>
      </c>
      <c r="B10697" s="159"/>
      <c r="C10697" s="155" t="s">
        <v>232</v>
      </c>
      <c r="D10697" s="156" t="s">
        <v>12256</v>
      </c>
      <c r="E10697" s="156" t="s">
        <v>12462</v>
      </c>
      <c r="F10697" s="156" t="s">
        <v>2037</v>
      </c>
      <c r="G10697" s="156" t="s">
        <v>12003</v>
      </c>
      <c r="H10697" s="157" t="s">
        <v>216</v>
      </c>
    </row>
    <row r="10698" hidden="1">
      <c r="A10698" s="160" t="s">
        <v>235</v>
      </c>
      <c r="B10698" s="72"/>
      <c r="C10698" s="118" t="s">
        <v>236</v>
      </c>
      <c r="D10698" s="152" t="s">
        <v>12256</v>
      </c>
      <c r="E10698" s="152" t="s">
        <v>12463</v>
      </c>
      <c r="F10698" s="152" t="s">
        <v>2697</v>
      </c>
      <c r="G10698" s="152" t="s">
        <v>12464</v>
      </c>
      <c r="H10698" s="153" t="s">
        <v>210</v>
      </c>
    </row>
    <row r="10699" hidden="1">
      <c r="A10699" s="158" t="s">
        <v>235</v>
      </c>
      <c r="B10699" s="159"/>
      <c r="C10699" s="155" t="s">
        <v>236</v>
      </c>
      <c r="D10699" s="156" t="s">
        <v>12256</v>
      </c>
      <c r="E10699" s="156" t="s">
        <v>12465</v>
      </c>
      <c r="F10699" s="156" t="s">
        <v>1866</v>
      </c>
      <c r="G10699" s="156" t="s">
        <v>12466</v>
      </c>
      <c r="H10699" s="157" t="s">
        <v>211</v>
      </c>
    </row>
    <row r="10700" hidden="1">
      <c r="A10700" s="160" t="s">
        <v>235</v>
      </c>
      <c r="B10700" s="72"/>
      <c r="C10700" s="118" t="s">
        <v>236</v>
      </c>
      <c r="D10700" s="152" t="s">
        <v>12256</v>
      </c>
      <c r="E10700" s="152" t="s">
        <v>12467</v>
      </c>
      <c r="F10700" s="152" t="s">
        <v>2880</v>
      </c>
      <c r="G10700" s="152" t="s">
        <v>12468</v>
      </c>
      <c r="H10700" s="153" t="s">
        <v>212</v>
      </c>
    </row>
    <row r="10701" hidden="1">
      <c r="A10701" s="158" t="s">
        <v>235</v>
      </c>
      <c r="B10701" s="159"/>
      <c r="C10701" s="155" t="s">
        <v>236</v>
      </c>
      <c r="D10701" s="156" t="s">
        <v>12256</v>
      </c>
      <c r="E10701" s="156" t="s">
        <v>12469</v>
      </c>
      <c r="F10701" s="156" t="s">
        <v>2057</v>
      </c>
      <c r="G10701" s="156" t="s">
        <v>12447</v>
      </c>
      <c r="H10701" s="157" t="s">
        <v>213</v>
      </c>
    </row>
    <row r="10702" hidden="1">
      <c r="A10702" s="160" t="s">
        <v>235</v>
      </c>
      <c r="B10702" s="72"/>
      <c r="C10702" s="118" t="s">
        <v>236</v>
      </c>
      <c r="D10702" s="152" t="s">
        <v>12256</v>
      </c>
      <c r="E10702" s="152" t="s">
        <v>12470</v>
      </c>
      <c r="F10702" s="152" t="s">
        <v>1866</v>
      </c>
      <c r="G10702" s="152" t="s">
        <v>12471</v>
      </c>
      <c r="H10702" s="153" t="s">
        <v>214</v>
      </c>
    </row>
    <row r="10703" hidden="1">
      <c r="A10703" s="158" t="s">
        <v>235</v>
      </c>
      <c r="B10703" s="159"/>
      <c r="C10703" s="155" t="s">
        <v>236</v>
      </c>
      <c r="D10703" s="156" t="s">
        <v>12256</v>
      </c>
      <c r="E10703" s="156" t="s">
        <v>12472</v>
      </c>
      <c r="F10703" s="156" t="s">
        <v>2401</v>
      </c>
      <c r="G10703" s="156" t="s">
        <v>12473</v>
      </c>
      <c r="H10703" s="157" t="s">
        <v>215</v>
      </c>
    </row>
    <row r="10704" hidden="1">
      <c r="A10704" s="160" t="s">
        <v>235</v>
      </c>
      <c r="B10704" s="72"/>
      <c r="C10704" s="118" t="s">
        <v>236</v>
      </c>
      <c r="D10704" s="152" t="s">
        <v>12256</v>
      </c>
      <c r="E10704" s="152" t="s">
        <v>12474</v>
      </c>
      <c r="F10704" s="152" t="s">
        <v>2557</v>
      </c>
      <c r="G10704" s="152" t="s">
        <v>12475</v>
      </c>
      <c r="H10704" s="153" t="s">
        <v>216</v>
      </c>
    </row>
    <row r="10705" hidden="1">
      <c r="A10705" s="158" t="s">
        <v>237</v>
      </c>
      <c r="B10705" s="159"/>
      <c r="C10705" s="155" t="s">
        <v>236</v>
      </c>
      <c r="D10705" s="156" t="s">
        <v>12256</v>
      </c>
      <c r="E10705" s="156" t="s">
        <v>12476</v>
      </c>
      <c r="F10705" s="156" t="s">
        <v>7047</v>
      </c>
      <c r="G10705" s="156" t="s">
        <v>12302</v>
      </c>
      <c r="H10705" s="157" t="s">
        <v>210</v>
      </c>
    </row>
    <row r="10706" hidden="1">
      <c r="A10706" s="160" t="s">
        <v>237</v>
      </c>
      <c r="B10706" s="72"/>
      <c r="C10706" s="118" t="s">
        <v>236</v>
      </c>
      <c r="D10706" s="152" t="s">
        <v>12256</v>
      </c>
      <c r="E10706" s="152" t="s">
        <v>12477</v>
      </c>
      <c r="F10706" s="152" t="s">
        <v>1765</v>
      </c>
      <c r="G10706" s="152" t="s">
        <v>11976</v>
      </c>
      <c r="H10706" s="153" t="s">
        <v>211</v>
      </c>
    </row>
    <row r="10707" hidden="1">
      <c r="A10707" s="158" t="s">
        <v>237</v>
      </c>
      <c r="B10707" s="159"/>
      <c r="C10707" s="155" t="s">
        <v>236</v>
      </c>
      <c r="D10707" s="156" t="s">
        <v>12256</v>
      </c>
      <c r="E10707" s="156" t="s">
        <v>12478</v>
      </c>
      <c r="F10707" s="156" t="s">
        <v>2075</v>
      </c>
      <c r="G10707" s="156" t="s">
        <v>12479</v>
      </c>
      <c r="H10707" s="157" t="s">
        <v>212</v>
      </c>
    </row>
    <row r="10708" hidden="1">
      <c r="A10708" s="160" t="s">
        <v>237</v>
      </c>
      <c r="B10708" s="72"/>
      <c r="C10708" s="118" t="s">
        <v>236</v>
      </c>
      <c r="D10708" s="152" t="s">
        <v>12256</v>
      </c>
      <c r="E10708" s="152" t="s">
        <v>12480</v>
      </c>
      <c r="F10708" s="152" t="s">
        <v>2587</v>
      </c>
      <c r="G10708" s="152" t="s">
        <v>12066</v>
      </c>
      <c r="H10708" s="153" t="s">
        <v>213</v>
      </c>
    </row>
    <row r="10709" hidden="1">
      <c r="A10709" s="158" t="s">
        <v>237</v>
      </c>
      <c r="B10709" s="159"/>
      <c r="C10709" s="155" t="s">
        <v>236</v>
      </c>
      <c r="D10709" s="156" t="s">
        <v>12256</v>
      </c>
      <c r="E10709" s="156" t="s">
        <v>12481</v>
      </c>
      <c r="F10709" s="156" t="s">
        <v>1784</v>
      </c>
      <c r="G10709" s="156" t="s">
        <v>11821</v>
      </c>
      <c r="H10709" s="157" t="s">
        <v>214</v>
      </c>
    </row>
    <row r="10710" hidden="1">
      <c r="A10710" s="160" t="s">
        <v>237</v>
      </c>
      <c r="B10710" s="72"/>
      <c r="C10710" s="118" t="s">
        <v>236</v>
      </c>
      <c r="D10710" s="152" t="s">
        <v>12256</v>
      </c>
      <c r="E10710" s="152" t="s">
        <v>12482</v>
      </c>
      <c r="F10710" s="152" t="s">
        <v>7374</v>
      </c>
      <c r="G10710" s="152" t="s">
        <v>11911</v>
      </c>
      <c r="H10710" s="153" t="s">
        <v>215</v>
      </c>
    </row>
    <row r="10711" hidden="1">
      <c r="A10711" s="158" t="s">
        <v>237</v>
      </c>
      <c r="B10711" s="159"/>
      <c r="C10711" s="155" t="s">
        <v>236</v>
      </c>
      <c r="D10711" s="156" t="s">
        <v>12256</v>
      </c>
      <c r="E10711" s="156" t="s">
        <v>12483</v>
      </c>
      <c r="F10711" s="156" t="s">
        <v>2013</v>
      </c>
      <c r="G10711" s="156" t="s">
        <v>12484</v>
      </c>
      <c r="H10711" s="157" t="s">
        <v>216</v>
      </c>
    </row>
    <row r="10712" hidden="1">
      <c r="A10712" s="151" t="s">
        <v>204</v>
      </c>
      <c r="B10712" s="118" t="s">
        <v>205</v>
      </c>
      <c r="C10712" s="118" t="s">
        <v>206</v>
      </c>
      <c r="D10712" s="152" t="s">
        <v>12485</v>
      </c>
      <c r="E10712" s="152" t="s">
        <v>12486</v>
      </c>
      <c r="F10712" s="152" t="s">
        <v>1889</v>
      </c>
      <c r="G10712" s="152" t="s">
        <v>12487</v>
      </c>
      <c r="H10712" s="153" t="s">
        <v>210</v>
      </c>
    </row>
    <row r="10713" hidden="1">
      <c r="A10713" s="154" t="s">
        <v>204</v>
      </c>
      <c r="B10713" s="155" t="s">
        <v>205</v>
      </c>
      <c r="C10713" s="155" t="s">
        <v>206</v>
      </c>
      <c r="D10713" s="156" t="s">
        <v>12485</v>
      </c>
      <c r="E10713" s="156" t="s">
        <v>12488</v>
      </c>
      <c r="F10713" s="156" t="s">
        <v>1894</v>
      </c>
      <c r="G10713" s="156" t="s">
        <v>12489</v>
      </c>
      <c r="H10713" s="157" t="s">
        <v>211</v>
      </c>
    </row>
    <row r="10714" hidden="1">
      <c r="A10714" s="151" t="s">
        <v>204</v>
      </c>
      <c r="B10714" s="118" t="s">
        <v>205</v>
      </c>
      <c r="C10714" s="118" t="s">
        <v>206</v>
      </c>
      <c r="D10714" s="152" t="s">
        <v>12485</v>
      </c>
      <c r="E10714" s="152" t="s">
        <v>12490</v>
      </c>
      <c r="F10714" s="152" t="s">
        <v>1778</v>
      </c>
      <c r="G10714" s="152" t="s">
        <v>12491</v>
      </c>
      <c r="H10714" s="153" t="s">
        <v>212</v>
      </c>
    </row>
    <row r="10715" hidden="1">
      <c r="A10715" s="154" t="s">
        <v>204</v>
      </c>
      <c r="B10715" s="155" t="s">
        <v>205</v>
      </c>
      <c r="C10715" s="155" t="s">
        <v>206</v>
      </c>
      <c r="D10715" s="156" t="s">
        <v>12485</v>
      </c>
      <c r="E10715" s="156" t="s">
        <v>12492</v>
      </c>
      <c r="F10715" s="156" t="s">
        <v>1879</v>
      </c>
      <c r="G10715" s="156" t="s">
        <v>12493</v>
      </c>
      <c r="H10715" s="157" t="s">
        <v>213</v>
      </c>
    </row>
    <row r="10716" hidden="1">
      <c r="A10716" s="151" t="s">
        <v>204</v>
      </c>
      <c r="B10716" s="118" t="s">
        <v>205</v>
      </c>
      <c r="C10716" s="118" t="s">
        <v>206</v>
      </c>
      <c r="D10716" s="152" t="s">
        <v>12485</v>
      </c>
      <c r="E10716" s="152" t="s">
        <v>12494</v>
      </c>
      <c r="F10716" s="152" t="s">
        <v>1725</v>
      </c>
      <c r="G10716" s="152" t="s">
        <v>12495</v>
      </c>
      <c r="H10716" s="153" t="s">
        <v>214</v>
      </c>
    </row>
    <row r="10717" hidden="1">
      <c r="A10717" s="154" t="s">
        <v>204</v>
      </c>
      <c r="B10717" s="155" t="s">
        <v>205</v>
      </c>
      <c r="C10717" s="155" t="s">
        <v>206</v>
      </c>
      <c r="D10717" s="156" t="s">
        <v>12485</v>
      </c>
      <c r="E10717" s="156" t="s">
        <v>12496</v>
      </c>
      <c r="F10717" s="156" t="s">
        <v>2023</v>
      </c>
      <c r="G10717" s="156" t="s">
        <v>12497</v>
      </c>
      <c r="H10717" s="157" t="s">
        <v>215</v>
      </c>
    </row>
    <row r="10718" hidden="1">
      <c r="A10718" s="151" t="s">
        <v>204</v>
      </c>
      <c r="B10718" s="118" t="s">
        <v>205</v>
      </c>
      <c r="C10718" s="118" t="s">
        <v>206</v>
      </c>
      <c r="D10718" s="152" t="s">
        <v>12485</v>
      </c>
      <c r="E10718" s="152" t="s">
        <v>12498</v>
      </c>
      <c r="F10718" s="152" t="s">
        <v>1741</v>
      </c>
      <c r="G10718" s="152" t="s">
        <v>12499</v>
      </c>
      <c r="H10718" s="153" t="s">
        <v>216</v>
      </c>
    </row>
    <row r="10719" hidden="1">
      <c r="A10719" s="154" t="s">
        <v>217</v>
      </c>
      <c r="B10719" s="155" t="s">
        <v>191</v>
      </c>
      <c r="C10719" s="155" t="s">
        <v>206</v>
      </c>
      <c r="D10719" s="156" t="s">
        <v>12485</v>
      </c>
      <c r="E10719" s="156" t="s">
        <v>12500</v>
      </c>
      <c r="F10719" s="156" t="s">
        <v>1889</v>
      </c>
      <c r="G10719" s="156" t="s">
        <v>12501</v>
      </c>
      <c r="H10719" s="157" t="s">
        <v>210</v>
      </c>
    </row>
    <row r="10720" hidden="1">
      <c r="A10720" s="151" t="s">
        <v>217</v>
      </c>
      <c r="B10720" s="118" t="s">
        <v>191</v>
      </c>
      <c r="C10720" s="118" t="s">
        <v>206</v>
      </c>
      <c r="D10720" s="152" t="s">
        <v>12485</v>
      </c>
      <c r="E10720" s="152" t="s">
        <v>12502</v>
      </c>
      <c r="F10720" s="152" t="s">
        <v>2037</v>
      </c>
      <c r="G10720" s="152" t="s">
        <v>12501</v>
      </c>
      <c r="H10720" s="153" t="s">
        <v>211</v>
      </c>
    </row>
    <row r="10721" hidden="1">
      <c r="A10721" s="154" t="s">
        <v>217</v>
      </c>
      <c r="B10721" s="155" t="s">
        <v>191</v>
      </c>
      <c r="C10721" s="155" t="s">
        <v>206</v>
      </c>
      <c r="D10721" s="156" t="s">
        <v>12485</v>
      </c>
      <c r="E10721" s="156" t="s">
        <v>12503</v>
      </c>
      <c r="F10721" s="156" t="s">
        <v>2087</v>
      </c>
      <c r="G10721" s="156" t="s">
        <v>12504</v>
      </c>
      <c r="H10721" s="157" t="s">
        <v>212</v>
      </c>
    </row>
    <row r="10722" hidden="1">
      <c r="A10722" s="151" t="s">
        <v>217</v>
      </c>
      <c r="B10722" s="118" t="s">
        <v>191</v>
      </c>
      <c r="C10722" s="118" t="s">
        <v>206</v>
      </c>
      <c r="D10722" s="152" t="s">
        <v>12485</v>
      </c>
      <c r="E10722" s="152" t="s">
        <v>12505</v>
      </c>
      <c r="F10722" s="152" t="s">
        <v>1906</v>
      </c>
      <c r="G10722" s="152" t="s">
        <v>12506</v>
      </c>
      <c r="H10722" s="153" t="s">
        <v>213</v>
      </c>
    </row>
    <row r="10723" hidden="1">
      <c r="A10723" s="154" t="s">
        <v>217</v>
      </c>
      <c r="B10723" s="155" t="s">
        <v>191</v>
      </c>
      <c r="C10723" s="155" t="s">
        <v>206</v>
      </c>
      <c r="D10723" s="156" t="s">
        <v>12485</v>
      </c>
      <c r="E10723" s="156" t="s">
        <v>12507</v>
      </c>
      <c r="F10723" s="156" t="s">
        <v>2296</v>
      </c>
      <c r="G10723" s="156" t="s">
        <v>12508</v>
      </c>
      <c r="H10723" s="157" t="s">
        <v>214</v>
      </c>
    </row>
    <row r="10724" hidden="1">
      <c r="A10724" s="151" t="s">
        <v>217</v>
      </c>
      <c r="B10724" s="118" t="s">
        <v>191</v>
      </c>
      <c r="C10724" s="118" t="s">
        <v>206</v>
      </c>
      <c r="D10724" s="152" t="s">
        <v>12485</v>
      </c>
      <c r="E10724" s="152" t="s">
        <v>12509</v>
      </c>
      <c r="F10724" s="152" t="s">
        <v>2401</v>
      </c>
      <c r="G10724" s="152" t="s">
        <v>12510</v>
      </c>
      <c r="H10724" s="153" t="s">
        <v>215</v>
      </c>
    </row>
    <row r="10725" hidden="1">
      <c r="A10725" s="154" t="s">
        <v>217</v>
      </c>
      <c r="B10725" s="155" t="s">
        <v>191</v>
      </c>
      <c r="C10725" s="155" t="s">
        <v>206</v>
      </c>
      <c r="D10725" s="156" t="s">
        <v>12485</v>
      </c>
      <c r="E10725" s="156" t="s">
        <v>12511</v>
      </c>
      <c r="F10725" s="156" t="s">
        <v>1747</v>
      </c>
      <c r="G10725" s="156" t="s">
        <v>12512</v>
      </c>
      <c r="H10725" s="157" t="s">
        <v>216</v>
      </c>
    </row>
    <row r="10726" hidden="1">
      <c r="A10726" s="151" t="s">
        <v>218</v>
      </c>
      <c r="B10726" s="118" t="s">
        <v>219</v>
      </c>
      <c r="C10726" s="118" t="s">
        <v>206</v>
      </c>
      <c r="D10726" s="152" t="s">
        <v>12485</v>
      </c>
      <c r="E10726" s="152" t="s">
        <v>12513</v>
      </c>
      <c r="F10726" s="152" t="s">
        <v>1741</v>
      </c>
      <c r="G10726" s="152" t="s">
        <v>12514</v>
      </c>
      <c r="H10726" s="153" t="s">
        <v>210</v>
      </c>
    </row>
    <row r="10727" hidden="1">
      <c r="A10727" s="154" t="s">
        <v>218</v>
      </c>
      <c r="B10727" s="155" t="s">
        <v>219</v>
      </c>
      <c r="C10727" s="155" t="s">
        <v>206</v>
      </c>
      <c r="D10727" s="156" t="s">
        <v>12485</v>
      </c>
      <c r="E10727" s="156" t="s">
        <v>12515</v>
      </c>
      <c r="F10727" s="156" t="s">
        <v>1825</v>
      </c>
      <c r="G10727" s="156" t="s">
        <v>12516</v>
      </c>
      <c r="H10727" s="157" t="s">
        <v>211</v>
      </c>
    </row>
    <row r="10728" hidden="1">
      <c r="A10728" s="151" t="s">
        <v>218</v>
      </c>
      <c r="B10728" s="118" t="s">
        <v>219</v>
      </c>
      <c r="C10728" s="118" t="s">
        <v>206</v>
      </c>
      <c r="D10728" s="152" t="s">
        <v>12485</v>
      </c>
      <c r="E10728" s="152" t="s">
        <v>12517</v>
      </c>
      <c r="F10728" s="152" t="s">
        <v>1873</v>
      </c>
      <c r="G10728" s="152" t="s">
        <v>12518</v>
      </c>
      <c r="H10728" s="153" t="s">
        <v>212</v>
      </c>
    </row>
    <row r="10729" hidden="1">
      <c r="A10729" s="154" t="s">
        <v>218</v>
      </c>
      <c r="B10729" s="155" t="s">
        <v>219</v>
      </c>
      <c r="C10729" s="155" t="s">
        <v>206</v>
      </c>
      <c r="D10729" s="156" t="s">
        <v>12485</v>
      </c>
      <c r="E10729" s="156" t="s">
        <v>12519</v>
      </c>
      <c r="F10729" s="156" t="s">
        <v>2296</v>
      </c>
      <c r="G10729" s="156" t="s">
        <v>12520</v>
      </c>
      <c r="H10729" s="157" t="s">
        <v>213</v>
      </c>
    </row>
    <row r="10730" hidden="1">
      <c r="A10730" s="151" t="s">
        <v>218</v>
      </c>
      <c r="B10730" s="118" t="s">
        <v>219</v>
      </c>
      <c r="C10730" s="118" t="s">
        <v>206</v>
      </c>
      <c r="D10730" s="152" t="s">
        <v>12485</v>
      </c>
      <c r="E10730" s="152" t="s">
        <v>12521</v>
      </c>
      <c r="F10730" s="152" t="s">
        <v>1916</v>
      </c>
      <c r="G10730" s="152" t="s">
        <v>12522</v>
      </c>
      <c r="H10730" s="153" t="s">
        <v>214</v>
      </c>
    </row>
    <row r="10731" hidden="1">
      <c r="A10731" s="154" t="s">
        <v>218</v>
      </c>
      <c r="B10731" s="155" t="s">
        <v>219</v>
      </c>
      <c r="C10731" s="155" t="s">
        <v>206</v>
      </c>
      <c r="D10731" s="156" t="s">
        <v>12485</v>
      </c>
      <c r="E10731" s="156" t="s">
        <v>12523</v>
      </c>
      <c r="F10731" s="156" t="s">
        <v>1896</v>
      </c>
      <c r="G10731" s="156" t="s">
        <v>12406</v>
      </c>
      <c r="H10731" s="157" t="s">
        <v>215</v>
      </c>
    </row>
    <row r="10732" hidden="1">
      <c r="A10732" s="151" t="s">
        <v>218</v>
      </c>
      <c r="B10732" s="118" t="s">
        <v>219</v>
      </c>
      <c r="C10732" s="118" t="s">
        <v>206</v>
      </c>
      <c r="D10732" s="152" t="s">
        <v>12485</v>
      </c>
      <c r="E10732" s="152" t="s">
        <v>12524</v>
      </c>
      <c r="F10732" s="152" t="s">
        <v>1913</v>
      </c>
      <c r="G10732" s="152" t="s">
        <v>12525</v>
      </c>
      <c r="H10732" s="153" t="s">
        <v>216</v>
      </c>
    </row>
    <row r="10733" hidden="1">
      <c r="A10733" s="154" t="s">
        <v>220</v>
      </c>
      <c r="B10733" s="155" t="s">
        <v>190</v>
      </c>
      <c r="C10733" s="155" t="s">
        <v>206</v>
      </c>
      <c r="D10733" s="156" t="s">
        <v>12485</v>
      </c>
      <c r="E10733" s="156" t="s">
        <v>12526</v>
      </c>
      <c r="F10733" s="156" t="s">
        <v>9508</v>
      </c>
      <c r="G10733" s="156" t="s">
        <v>12527</v>
      </c>
      <c r="H10733" s="157" t="s">
        <v>210</v>
      </c>
    </row>
    <row r="10734" hidden="1">
      <c r="A10734" s="151" t="s">
        <v>220</v>
      </c>
      <c r="B10734" s="118" t="s">
        <v>190</v>
      </c>
      <c r="C10734" s="118" t="s">
        <v>206</v>
      </c>
      <c r="D10734" s="152" t="s">
        <v>12485</v>
      </c>
      <c r="E10734" s="152" t="s">
        <v>12528</v>
      </c>
      <c r="F10734" s="152" t="s">
        <v>631</v>
      </c>
      <c r="G10734" s="152" t="s">
        <v>12529</v>
      </c>
      <c r="H10734" s="153" t="s">
        <v>211</v>
      </c>
    </row>
    <row r="10735" hidden="1">
      <c r="A10735" s="154" t="s">
        <v>220</v>
      </c>
      <c r="B10735" s="155" t="s">
        <v>190</v>
      </c>
      <c r="C10735" s="155" t="s">
        <v>206</v>
      </c>
      <c r="D10735" s="156" t="s">
        <v>12485</v>
      </c>
      <c r="E10735" s="156" t="s">
        <v>12530</v>
      </c>
      <c r="F10735" s="156" t="s">
        <v>2218</v>
      </c>
      <c r="G10735" s="156" t="s">
        <v>12531</v>
      </c>
      <c r="H10735" s="157" t="s">
        <v>212</v>
      </c>
    </row>
    <row r="10736" hidden="1">
      <c r="A10736" s="151" t="s">
        <v>220</v>
      </c>
      <c r="B10736" s="118" t="s">
        <v>190</v>
      </c>
      <c r="C10736" s="118" t="s">
        <v>206</v>
      </c>
      <c r="D10736" s="152" t="s">
        <v>12485</v>
      </c>
      <c r="E10736" s="152" t="s">
        <v>12532</v>
      </c>
      <c r="F10736" s="152" t="s">
        <v>9662</v>
      </c>
      <c r="G10736" s="152" t="s">
        <v>12160</v>
      </c>
      <c r="H10736" s="153" t="s">
        <v>213</v>
      </c>
    </row>
    <row r="10737" hidden="1">
      <c r="A10737" s="154" t="s">
        <v>220</v>
      </c>
      <c r="B10737" s="155" t="s">
        <v>190</v>
      </c>
      <c r="C10737" s="155" t="s">
        <v>206</v>
      </c>
      <c r="D10737" s="156" t="s">
        <v>12485</v>
      </c>
      <c r="E10737" s="156" t="s">
        <v>12533</v>
      </c>
      <c r="F10737" s="156" t="s">
        <v>2018</v>
      </c>
      <c r="G10737" s="156" t="s">
        <v>12534</v>
      </c>
      <c r="H10737" s="157" t="s">
        <v>214</v>
      </c>
    </row>
    <row r="10738" hidden="1">
      <c r="A10738" s="151" t="s">
        <v>220</v>
      </c>
      <c r="B10738" s="118" t="s">
        <v>190</v>
      </c>
      <c r="C10738" s="118" t="s">
        <v>206</v>
      </c>
      <c r="D10738" s="152" t="s">
        <v>12485</v>
      </c>
      <c r="E10738" s="152" t="s">
        <v>12535</v>
      </c>
      <c r="F10738" s="152" t="s">
        <v>2169</v>
      </c>
      <c r="G10738" s="152" t="s">
        <v>12536</v>
      </c>
      <c r="H10738" s="153" t="s">
        <v>215</v>
      </c>
    </row>
    <row r="10739" hidden="1">
      <c r="A10739" s="154" t="s">
        <v>220</v>
      </c>
      <c r="B10739" s="155" t="s">
        <v>190</v>
      </c>
      <c r="C10739" s="155" t="s">
        <v>206</v>
      </c>
      <c r="D10739" s="156" t="s">
        <v>12485</v>
      </c>
      <c r="E10739" s="156" t="s">
        <v>12537</v>
      </c>
      <c r="F10739" s="156" t="s">
        <v>2807</v>
      </c>
      <c r="G10739" s="156" t="s">
        <v>12538</v>
      </c>
      <c r="H10739" s="157" t="s">
        <v>216</v>
      </c>
    </row>
    <row r="10740" hidden="1">
      <c r="A10740" s="151" t="s">
        <v>221</v>
      </c>
      <c r="B10740" s="118" t="s">
        <v>189</v>
      </c>
      <c r="C10740" s="118" t="s">
        <v>206</v>
      </c>
      <c r="D10740" s="152" t="s">
        <v>12485</v>
      </c>
      <c r="E10740" s="152" t="s">
        <v>12539</v>
      </c>
      <c r="F10740" s="152" t="s">
        <v>3150</v>
      </c>
      <c r="G10740" s="152" t="s">
        <v>12540</v>
      </c>
      <c r="H10740" s="153" t="s">
        <v>210</v>
      </c>
    </row>
    <row r="10741" hidden="1">
      <c r="A10741" s="154" t="s">
        <v>221</v>
      </c>
      <c r="B10741" s="155" t="s">
        <v>189</v>
      </c>
      <c r="C10741" s="155" t="s">
        <v>206</v>
      </c>
      <c r="D10741" s="156" t="s">
        <v>12485</v>
      </c>
      <c r="E10741" s="156" t="s">
        <v>12541</v>
      </c>
      <c r="F10741" s="156" t="s">
        <v>2958</v>
      </c>
      <c r="G10741" s="156" t="s">
        <v>12542</v>
      </c>
      <c r="H10741" s="157" t="s">
        <v>211</v>
      </c>
    </row>
    <row r="10742" hidden="1">
      <c r="A10742" s="151" t="s">
        <v>221</v>
      </c>
      <c r="B10742" s="118" t="s">
        <v>189</v>
      </c>
      <c r="C10742" s="118" t="s">
        <v>206</v>
      </c>
      <c r="D10742" s="152" t="s">
        <v>12485</v>
      </c>
      <c r="E10742" s="152" t="s">
        <v>12543</v>
      </c>
      <c r="F10742" s="152" t="s">
        <v>2077</v>
      </c>
      <c r="G10742" s="152" t="s">
        <v>12544</v>
      </c>
      <c r="H10742" s="153" t="s">
        <v>212</v>
      </c>
    </row>
    <row r="10743" hidden="1">
      <c r="A10743" s="154" t="s">
        <v>221</v>
      </c>
      <c r="B10743" s="155" t="s">
        <v>189</v>
      </c>
      <c r="C10743" s="155" t="s">
        <v>206</v>
      </c>
      <c r="D10743" s="156" t="s">
        <v>12485</v>
      </c>
      <c r="E10743" s="156" t="s">
        <v>12545</v>
      </c>
      <c r="F10743" s="156" t="s">
        <v>1879</v>
      </c>
      <c r="G10743" s="156" t="s">
        <v>12168</v>
      </c>
      <c r="H10743" s="157" t="s">
        <v>213</v>
      </c>
    </row>
    <row r="10744" hidden="1">
      <c r="A10744" s="151" t="s">
        <v>221</v>
      </c>
      <c r="B10744" s="118" t="s">
        <v>189</v>
      </c>
      <c r="C10744" s="118" t="s">
        <v>206</v>
      </c>
      <c r="D10744" s="152" t="s">
        <v>12485</v>
      </c>
      <c r="E10744" s="152" t="s">
        <v>12546</v>
      </c>
      <c r="F10744" s="152" t="s">
        <v>2011</v>
      </c>
      <c r="G10744" s="152" t="s">
        <v>12547</v>
      </c>
      <c r="H10744" s="153" t="s">
        <v>214</v>
      </c>
    </row>
    <row r="10745" hidden="1">
      <c r="A10745" s="154" t="s">
        <v>221</v>
      </c>
      <c r="B10745" s="155" t="s">
        <v>189</v>
      </c>
      <c r="C10745" s="155" t="s">
        <v>206</v>
      </c>
      <c r="D10745" s="156" t="s">
        <v>12485</v>
      </c>
      <c r="E10745" s="156" t="s">
        <v>12548</v>
      </c>
      <c r="F10745" s="156" t="s">
        <v>2155</v>
      </c>
      <c r="G10745" s="156" t="s">
        <v>12549</v>
      </c>
      <c r="H10745" s="157" t="s">
        <v>215</v>
      </c>
    </row>
    <row r="10746" hidden="1">
      <c r="A10746" s="151" t="s">
        <v>221</v>
      </c>
      <c r="B10746" s="118" t="s">
        <v>189</v>
      </c>
      <c r="C10746" s="118" t="s">
        <v>206</v>
      </c>
      <c r="D10746" s="152" t="s">
        <v>12485</v>
      </c>
      <c r="E10746" s="152" t="s">
        <v>12550</v>
      </c>
      <c r="F10746" s="152" t="s">
        <v>5852</v>
      </c>
      <c r="G10746" s="152" t="s">
        <v>11996</v>
      </c>
      <c r="H10746" s="153" t="s">
        <v>216</v>
      </c>
    </row>
    <row r="10747" hidden="1">
      <c r="A10747" s="154" t="s">
        <v>222</v>
      </c>
      <c r="B10747" s="155" t="s">
        <v>192</v>
      </c>
      <c r="C10747" s="155" t="s">
        <v>206</v>
      </c>
      <c r="D10747" s="156" t="s">
        <v>12485</v>
      </c>
      <c r="E10747" s="156" t="s">
        <v>12551</v>
      </c>
      <c r="F10747" s="156" t="s">
        <v>1908</v>
      </c>
      <c r="G10747" s="156" t="s">
        <v>12552</v>
      </c>
      <c r="H10747" s="157" t="s">
        <v>210</v>
      </c>
    </row>
    <row r="10748" hidden="1">
      <c r="A10748" s="151" t="s">
        <v>222</v>
      </c>
      <c r="B10748" s="118" t="s">
        <v>192</v>
      </c>
      <c r="C10748" s="118" t="s">
        <v>206</v>
      </c>
      <c r="D10748" s="152" t="s">
        <v>12485</v>
      </c>
      <c r="E10748" s="152" t="s">
        <v>12553</v>
      </c>
      <c r="F10748" s="152" t="s">
        <v>1854</v>
      </c>
      <c r="G10748" s="152" t="s">
        <v>12554</v>
      </c>
      <c r="H10748" s="153" t="s">
        <v>211</v>
      </c>
    </row>
    <row r="10749" hidden="1">
      <c r="A10749" s="154" t="s">
        <v>222</v>
      </c>
      <c r="B10749" s="155" t="s">
        <v>192</v>
      </c>
      <c r="C10749" s="155" t="s">
        <v>206</v>
      </c>
      <c r="D10749" s="156" t="s">
        <v>12485</v>
      </c>
      <c r="E10749" s="156" t="s">
        <v>12555</v>
      </c>
      <c r="F10749" s="156" t="s">
        <v>1778</v>
      </c>
      <c r="G10749" s="156" t="s">
        <v>12556</v>
      </c>
      <c r="H10749" s="157" t="s">
        <v>212</v>
      </c>
    </row>
    <row r="10750" hidden="1">
      <c r="A10750" s="151" t="s">
        <v>222</v>
      </c>
      <c r="B10750" s="118" t="s">
        <v>192</v>
      </c>
      <c r="C10750" s="118" t="s">
        <v>206</v>
      </c>
      <c r="D10750" s="152" t="s">
        <v>12485</v>
      </c>
      <c r="E10750" s="152" t="s">
        <v>12557</v>
      </c>
      <c r="F10750" s="152" t="s">
        <v>1852</v>
      </c>
      <c r="G10750" s="152" t="s">
        <v>12501</v>
      </c>
      <c r="H10750" s="153" t="s">
        <v>213</v>
      </c>
    </row>
    <row r="10751" hidden="1">
      <c r="A10751" s="154" t="s">
        <v>222</v>
      </c>
      <c r="B10751" s="155" t="s">
        <v>192</v>
      </c>
      <c r="C10751" s="155" t="s">
        <v>206</v>
      </c>
      <c r="D10751" s="156" t="s">
        <v>12485</v>
      </c>
      <c r="E10751" s="156" t="s">
        <v>12558</v>
      </c>
      <c r="F10751" s="156" t="s">
        <v>2398</v>
      </c>
      <c r="G10751" s="156" t="s">
        <v>12559</v>
      </c>
      <c r="H10751" s="157" t="s">
        <v>214</v>
      </c>
    </row>
    <row r="10752" hidden="1">
      <c r="A10752" s="151" t="s">
        <v>222</v>
      </c>
      <c r="B10752" s="118" t="s">
        <v>192</v>
      </c>
      <c r="C10752" s="118" t="s">
        <v>206</v>
      </c>
      <c r="D10752" s="152" t="s">
        <v>12485</v>
      </c>
      <c r="E10752" s="152" t="s">
        <v>12560</v>
      </c>
      <c r="F10752" s="152" t="s">
        <v>2364</v>
      </c>
      <c r="G10752" s="152" t="s">
        <v>12561</v>
      </c>
      <c r="H10752" s="153" t="s">
        <v>215</v>
      </c>
    </row>
    <row r="10753" hidden="1">
      <c r="A10753" s="154" t="s">
        <v>222</v>
      </c>
      <c r="B10753" s="155" t="s">
        <v>192</v>
      </c>
      <c r="C10753" s="155" t="s">
        <v>206</v>
      </c>
      <c r="D10753" s="156" t="s">
        <v>12485</v>
      </c>
      <c r="E10753" s="156" t="s">
        <v>12562</v>
      </c>
      <c r="F10753" s="156" t="s">
        <v>1725</v>
      </c>
      <c r="G10753" s="156" t="s">
        <v>12563</v>
      </c>
      <c r="H10753" s="157" t="s">
        <v>216</v>
      </c>
    </row>
    <row r="10754" hidden="1">
      <c r="A10754" s="151" t="s">
        <v>223</v>
      </c>
      <c r="B10754" s="118" t="s">
        <v>144</v>
      </c>
      <c r="C10754" s="118" t="s">
        <v>206</v>
      </c>
      <c r="D10754" s="152" t="s">
        <v>12485</v>
      </c>
      <c r="E10754" s="152" t="s">
        <v>12564</v>
      </c>
      <c r="F10754" s="152" t="s">
        <v>1741</v>
      </c>
      <c r="G10754" s="152" t="s">
        <v>12565</v>
      </c>
      <c r="H10754" s="153" t="s">
        <v>210</v>
      </c>
    </row>
    <row r="10755" hidden="1">
      <c r="A10755" s="154" t="s">
        <v>223</v>
      </c>
      <c r="B10755" s="155" t="s">
        <v>144</v>
      </c>
      <c r="C10755" s="155" t="s">
        <v>206</v>
      </c>
      <c r="D10755" s="156" t="s">
        <v>12485</v>
      </c>
      <c r="E10755" s="156" t="s">
        <v>12566</v>
      </c>
      <c r="F10755" s="156" t="s">
        <v>1747</v>
      </c>
      <c r="G10755" s="156" t="s">
        <v>12567</v>
      </c>
      <c r="H10755" s="157" t="s">
        <v>211</v>
      </c>
    </row>
    <row r="10756" hidden="1">
      <c r="A10756" s="151" t="s">
        <v>223</v>
      </c>
      <c r="B10756" s="118" t="s">
        <v>144</v>
      </c>
      <c r="C10756" s="118" t="s">
        <v>206</v>
      </c>
      <c r="D10756" s="152" t="s">
        <v>12485</v>
      </c>
      <c r="E10756" s="152" t="s">
        <v>12568</v>
      </c>
      <c r="F10756" s="152" t="s">
        <v>1743</v>
      </c>
      <c r="G10756" s="152" t="s">
        <v>12569</v>
      </c>
      <c r="H10756" s="153" t="s">
        <v>212</v>
      </c>
    </row>
    <row r="10757" hidden="1">
      <c r="A10757" s="154" t="s">
        <v>223</v>
      </c>
      <c r="B10757" s="155" t="s">
        <v>144</v>
      </c>
      <c r="C10757" s="155" t="s">
        <v>206</v>
      </c>
      <c r="D10757" s="156" t="s">
        <v>12485</v>
      </c>
      <c r="E10757" s="156" t="s">
        <v>12570</v>
      </c>
      <c r="F10757" s="156" t="s">
        <v>1885</v>
      </c>
      <c r="G10757" s="156" t="s">
        <v>12571</v>
      </c>
      <c r="H10757" s="157" t="s">
        <v>213</v>
      </c>
    </row>
    <row r="10758" hidden="1">
      <c r="A10758" s="151" t="s">
        <v>223</v>
      </c>
      <c r="B10758" s="118" t="s">
        <v>144</v>
      </c>
      <c r="C10758" s="118" t="s">
        <v>206</v>
      </c>
      <c r="D10758" s="152" t="s">
        <v>12485</v>
      </c>
      <c r="E10758" s="152" t="s">
        <v>12572</v>
      </c>
      <c r="F10758" s="152" t="s">
        <v>1875</v>
      </c>
      <c r="G10758" s="152" t="s">
        <v>12573</v>
      </c>
      <c r="H10758" s="153" t="s">
        <v>214</v>
      </c>
    </row>
    <row r="10759" hidden="1">
      <c r="A10759" s="154" t="s">
        <v>223</v>
      </c>
      <c r="B10759" s="155" t="s">
        <v>144</v>
      </c>
      <c r="C10759" s="155" t="s">
        <v>206</v>
      </c>
      <c r="D10759" s="156" t="s">
        <v>12485</v>
      </c>
      <c r="E10759" s="156" t="s">
        <v>12574</v>
      </c>
      <c r="F10759" s="156" t="s">
        <v>1881</v>
      </c>
      <c r="G10759" s="156" t="s">
        <v>12575</v>
      </c>
      <c r="H10759" s="157" t="s">
        <v>215</v>
      </c>
    </row>
    <row r="10760" hidden="1">
      <c r="A10760" s="151" t="s">
        <v>223</v>
      </c>
      <c r="B10760" s="118" t="s">
        <v>144</v>
      </c>
      <c r="C10760" s="118" t="s">
        <v>206</v>
      </c>
      <c r="D10760" s="152" t="s">
        <v>12485</v>
      </c>
      <c r="E10760" s="152" t="s">
        <v>12576</v>
      </c>
      <c r="F10760" s="152" t="s">
        <v>1739</v>
      </c>
      <c r="G10760" s="152" t="s">
        <v>12577</v>
      </c>
      <c r="H10760" s="153" t="s">
        <v>216</v>
      </c>
    </row>
    <row r="10761" hidden="1">
      <c r="A10761" s="154" t="s">
        <v>224</v>
      </c>
      <c r="B10761" s="155" t="s">
        <v>170</v>
      </c>
      <c r="C10761" s="155" t="s">
        <v>206</v>
      </c>
      <c r="D10761" s="156" t="s">
        <v>12485</v>
      </c>
      <c r="E10761" s="156" t="s">
        <v>12578</v>
      </c>
      <c r="F10761" s="156" t="s">
        <v>1957</v>
      </c>
      <c r="G10761" s="156" t="s">
        <v>12579</v>
      </c>
      <c r="H10761" s="157" t="s">
        <v>210</v>
      </c>
    </row>
    <row r="10762" hidden="1">
      <c r="A10762" s="151" t="s">
        <v>224</v>
      </c>
      <c r="B10762" s="118" t="s">
        <v>170</v>
      </c>
      <c r="C10762" s="118" t="s">
        <v>206</v>
      </c>
      <c r="D10762" s="152" t="s">
        <v>12485</v>
      </c>
      <c r="E10762" s="152" t="s">
        <v>12580</v>
      </c>
      <c r="F10762" s="152" t="s">
        <v>2901</v>
      </c>
      <c r="G10762" s="152" t="s">
        <v>12581</v>
      </c>
      <c r="H10762" s="153" t="s">
        <v>211</v>
      </c>
    </row>
    <row r="10763" hidden="1">
      <c r="A10763" s="154" t="s">
        <v>224</v>
      </c>
      <c r="B10763" s="155" t="s">
        <v>170</v>
      </c>
      <c r="C10763" s="155" t="s">
        <v>206</v>
      </c>
      <c r="D10763" s="156" t="s">
        <v>12485</v>
      </c>
      <c r="E10763" s="156" t="s">
        <v>12582</v>
      </c>
      <c r="F10763" s="156" t="s">
        <v>2637</v>
      </c>
      <c r="G10763" s="156" t="s">
        <v>12583</v>
      </c>
      <c r="H10763" s="157" t="s">
        <v>212</v>
      </c>
    </row>
    <row r="10764" hidden="1">
      <c r="A10764" s="151" t="s">
        <v>224</v>
      </c>
      <c r="B10764" s="118" t="s">
        <v>170</v>
      </c>
      <c r="C10764" s="118" t="s">
        <v>206</v>
      </c>
      <c r="D10764" s="152" t="s">
        <v>12485</v>
      </c>
      <c r="E10764" s="152" t="s">
        <v>12584</v>
      </c>
      <c r="F10764" s="152" t="s">
        <v>2470</v>
      </c>
      <c r="G10764" s="152" t="s">
        <v>12585</v>
      </c>
      <c r="H10764" s="153" t="s">
        <v>213</v>
      </c>
    </row>
    <row r="10765" hidden="1">
      <c r="A10765" s="154" t="s">
        <v>224</v>
      </c>
      <c r="B10765" s="155" t="s">
        <v>170</v>
      </c>
      <c r="C10765" s="155" t="s">
        <v>206</v>
      </c>
      <c r="D10765" s="156" t="s">
        <v>12485</v>
      </c>
      <c r="E10765" s="156" t="s">
        <v>12586</v>
      </c>
      <c r="F10765" s="156" t="s">
        <v>1923</v>
      </c>
      <c r="G10765" s="156" t="s">
        <v>12587</v>
      </c>
      <c r="H10765" s="157" t="s">
        <v>214</v>
      </c>
    </row>
    <row r="10766" hidden="1">
      <c r="A10766" s="151" t="s">
        <v>224</v>
      </c>
      <c r="B10766" s="118" t="s">
        <v>170</v>
      </c>
      <c r="C10766" s="118" t="s">
        <v>206</v>
      </c>
      <c r="D10766" s="152" t="s">
        <v>12485</v>
      </c>
      <c r="E10766" s="152" t="s">
        <v>12588</v>
      </c>
      <c r="F10766" s="152" t="s">
        <v>2211</v>
      </c>
      <c r="G10766" s="152" t="s">
        <v>12589</v>
      </c>
      <c r="H10766" s="153" t="s">
        <v>215</v>
      </c>
    </row>
    <row r="10767" hidden="1">
      <c r="A10767" s="154" t="s">
        <v>224</v>
      </c>
      <c r="B10767" s="155" t="s">
        <v>170</v>
      </c>
      <c r="C10767" s="155" t="s">
        <v>206</v>
      </c>
      <c r="D10767" s="156" t="s">
        <v>12485</v>
      </c>
      <c r="E10767" s="156" t="s">
        <v>12590</v>
      </c>
      <c r="F10767" s="156" t="s">
        <v>2530</v>
      </c>
      <c r="G10767" s="156" t="s">
        <v>12591</v>
      </c>
      <c r="H10767" s="157" t="s">
        <v>216</v>
      </c>
    </row>
    <row r="10768" hidden="1">
      <c r="A10768" s="151" t="s">
        <v>225</v>
      </c>
      <c r="B10768" s="118" t="s">
        <v>226</v>
      </c>
      <c r="C10768" s="118" t="s">
        <v>206</v>
      </c>
      <c r="D10768" s="152" t="s">
        <v>12485</v>
      </c>
      <c r="E10768" s="152" t="s">
        <v>12592</v>
      </c>
      <c r="F10768" s="152" t="s">
        <v>2730</v>
      </c>
      <c r="G10768" s="152" t="s">
        <v>12593</v>
      </c>
      <c r="H10768" s="153" t="s">
        <v>210</v>
      </c>
    </row>
    <row r="10769" hidden="1">
      <c r="A10769" s="154" t="s">
        <v>225</v>
      </c>
      <c r="B10769" s="155" t="s">
        <v>226</v>
      </c>
      <c r="C10769" s="155" t="s">
        <v>206</v>
      </c>
      <c r="D10769" s="156" t="s">
        <v>12485</v>
      </c>
      <c r="E10769" s="156" t="s">
        <v>12594</v>
      </c>
      <c r="F10769" s="156" t="s">
        <v>1733</v>
      </c>
      <c r="G10769" s="156" t="s">
        <v>12595</v>
      </c>
      <c r="H10769" s="157" t="s">
        <v>211</v>
      </c>
    </row>
    <row r="10770" hidden="1">
      <c r="A10770" s="151" t="s">
        <v>225</v>
      </c>
      <c r="B10770" s="118" t="s">
        <v>226</v>
      </c>
      <c r="C10770" s="118" t="s">
        <v>206</v>
      </c>
      <c r="D10770" s="152" t="s">
        <v>12485</v>
      </c>
      <c r="E10770" s="152" t="s">
        <v>12596</v>
      </c>
      <c r="F10770" s="152" t="s">
        <v>2633</v>
      </c>
      <c r="G10770" s="152" t="s">
        <v>12597</v>
      </c>
      <c r="H10770" s="153" t="s">
        <v>212</v>
      </c>
    </row>
    <row r="10771" hidden="1">
      <c r="A10771" s="154" t="s">
        <v>225</v>
      </c>
      <c r="B10771" s="155" t="s">
        <v>226</v>
      </c>
      <c r="C10771" s="155" t="s">
        <v>206</v>
      </c>
      <c r="D10771" s="156" t="s">
        <v>12485</v>
      </c>
      <c r="E10771" s="156" t="s">
        <v>12598</v>
      </c>
      <c r="F10771" s="156" t="s">
        <v>2901</v>
      </c>
      <c r="G10771" s="156" t="s">
        <v>12599</v>
      </c>
      <c r="H10771" s="157" t="s">
        <v>213</v>
      </c>
    </row>
    <row r="10772" hidden="1">
      <c r="A10772" s="151" t="s">
        <v>225</v>
      </c>
      <c r="B10772" s="118" t="s">
        <v>226</v>
      </c>
      <c r="C10772" s="118" t="s">
        <v>206</v>
      </c>
      <c r="D10772" s="152" t="s">
        <v>12485</v>
      </c>
      <c r="E10772" s="152" t="s">
        <v>12600</v>
      </c>
      <c r="F10772" s="152" t="s">
        <v>2057</v>
      </c>
      <c r="G10772" s="152" t="s">
        <v>12420</v>
      </c>
      <c r="H10772" s="153" t="s">
        <v>214</v>
      </c>
    </row>
    <row r="10773" hidden="1">
      <c r="A10773" s="154" t="s">
        <v>225</v>
      </c>
      <c r="B10773" s="155" t="s">
        <v>226</v>
      </c>
      <c r="C10773" s="155" t="s">
        <v>206</v>
      </c>
      <c r="D10773" s="156" t="s">
        <v>12485</v>
      </c>
      <c r="E10773" s="156" t="s">
        <v>12601</v>
      </c>
      <c r="F10773" s="156" t="s">
        <v>1846</v>
      </c>
      <c r="G10773" s="156" t="s">
        <v>12602</v>
      </c>
      <c r="H10773" s="157" t="s">
        <v>215</v>
      </c>
    </row>
    <row r="10774" hidden="1">
      <c r="A10774" s="151" t="s">
        <v>225</v>
      </c>
      <c r="B10774" s="118" t="s">
        <v>226</v>
      </c>
      <c r="C10774" s="118" t="s">
        <v>206</v>
      </c>
      <c r="D10774" s="152" t="s">
        <v>12485</v>
      </c>
      <c r="E10774" s="152" t="s">
        <v>12603</v>
      </c>
      <c r="F10774" s="152" t="s">
        <v>1957</v>
      </c>
      <c r="G10774" s="152" t="s">
        <v>12604</v>
      </c>
      <c r="H10774" s="153" t="s">
        <v>216</v>
      </c>
    </row>
    <row r="10775" hidden="1">
      <c r="A10775" s="154" t="s">
        <v>227</v>
      </c>
      <c r="B10775" s="155" t="s">
        <v>195</v>
      </c>
      <c r="C10775" s="155" t="s">
        <v>206</v>
      </c>
      <c r="D10775" s="156" t="s">
        <v>12485</v>
      </c>
      <c r="E10775" s="156" t="s">
        <v>12605</v>
      </c>
      <c r="F10775" s="156" t="s">
        <v>2331</v>
      </c>
      <c r="G10775" s="156" t="s">
        <v>12606</v>
      </c>
      <c r="H10775" s="157" t="s">
        <v>210</v>
      </c>
    </row>
    <row r="10776" hidden="1">
      <c r="A10776" s="151" t="s">
        <v>227</v>
      </c>
      <c r="B10776" s="118" t="s">
        <v>195</v>
      </c>
      <c r="C10776" s="118" t="s">
        <v>206</v>
      </c>
      <c r="D10776" s="152" t="s">
        <v>12485</v>
      </c>
      <c r="E10776" s="152" t="s">
        <v>12607</v>
      </c>
      <c r="F10776" s="152" t="s">
        <v>1814</v>
      </c>
      <c r="G10776" s="152" t="s">
        <v>12608</v>
      </c>
      <c r="H10776" s="153" t="s">
        <v>211</v>
      </c>
    </row>
    <row r="10777" hidden="1">
      <c r="A10777" s="154" t="s">
        <v>227</v>
      </c>
      <c r="B10777" s="155" t="s">
        <v>195</v>
      </c>
      <c r="C10777" s="155" t="s">
        <v>206</v>
      </c>
      <c r="D10777" s="156" t="s">
        <v>12485</v>
      </c>
      <c r="E10777" s="156" t="s">
        <v>12609</v>
      </c>
      <c r="F10777" s="156" t="s">
        <v>1906</v>
      </c>
      <c r="G10777" s="156" t="s">
        <v>12610</v>
      </c>
      <c r="H10777" s="157" t="s">
        <v>212</v>
      </c>
    </row>
    <row r="10778" hidden="1">
      <c r="A10778" s="151" t="s">
        <v>227</v>
      </c>
      <c r="B10778" s="118" t="s">
        <v>195</v>
      </c>
      <c r="C10778" s="118" t="s">
        <v>206</v>
      </c>
      <c r="D10778" s="152" t="s">
        <v>12485</v>
      </c>
      <c r="E10778" s="152" t="s">
        <v>12611</v>
      </c>
      <c r="F10778" s="152" t="s">
        <v>2321</v>
      </c>
      <c r="G10778" s="152" t="s">
        <v>12612</v>
      </c>
      <c r="H10778" s="153" t="s">
        <v>213</v>
      </c>
    </row>
    <row r="10779" hidden="1">
      <c r="A10779" s="154" t="s">
        <v>227</v>
      </c>
      <c r="B10779" s="155" t="s">
        <v>195</v>
      </c>
      <c r="C10779" s="155" t="s">
        <v>206</v>
      </c>
      <c r="D10779" s="156" t="s">
        <v>12485</v>
      </c>
      <c r="E10779" s="156" t="s">
        <v>12613</v>
      </c>
      <c r="F10779" s="156" t="s">
        <v>1896</v>
      </c>
      <c r="G10779" s="156" t="s">
        <v>12614</v>
      </c>
      <c r="H10779" s="157" t="s">
        <v>214</v>
      </c>
    </row>
    <row r="10780" hidden="1">
      <c r="A10780" s="151" t="s">
        <v>227</v>
      </c>
      <c r="B10780" s="118" t="s">
        <v>195</v>
      </c>
      <c r="C10780" s="118" t="s">
        <v>206</v>
      </c>
      <c r="D10780" s="152" t="s">
        <v>12485</v>
      </c>
      <c r="E10780" s="152" t="s">
        <v>12615</v>
      </c>
      <c r="F10780" s="152" t="s">
        <v>2126</v>
      </c>
      <c r="G10780" s="152" t="s">
        <v>12616</v>
      </c>
      <c r="H10780" s="153" t="s">
        <v>215</v>
      </c>
    </row>
    <row r="10781" hidden="1">
      <c r="A10781" s="154" t="s">
        <v>227</v>
      </c>
      <c r="B10781" s="155" t="s">
        <v>195</v>
      </c>
      <c r="C10781" s="155" t="s">
        <v>206</v>
      </c>
      <c r="D10781" s="156" t="s">
        <v>12485</v>
      </c>
      <c r="E10781" s="156" t="s">
        <v>12617</v>
      </c>
      <c r="F10781" s="156" t="s">
        <v>2331</v>
      </c>
      <c r="G10781" s="156" t="s">
        <v>12618</v>
      </c>
      <c r="H10781" s="157" t="s">
        <v>216</v>
      </c>
    </row>
    <row r="10782" hidden="1">
      <c r="A10782" s="151" t="s">
        <v>228</v>
      </c>
      <c r="B10782" s="118" t="s">
        <v>138</v>
      </c>
      <c r="C10782" s="118" t="s">
        <v>206</v>
      </c>
      <c r="D10782" s="152" t="s">
        <v>12485</v>
      </c>
      <c r="E10782" s="152" t="s">
        <v>12619</v>
      </c>
      <c r="F10782" s="152" t="s">
        <v>265</v>
      </c>
      <c r="G10782" s="152" t="s">
        <v>12620</v>
      </c>
      <c r="H10782" s="153" t="s">
        <v>210</v>
      </c>
    </row>
    <row r="10783" hidden="1">
      <c r="A10783" s="154" t="s">
        <v>228</v>
      </c>
      <c r="B10783" s="155" t="s">
        <v>138</v>
      </c>
      <c r="C10783" s="155" t="s">
        <v>206</v>
      </c>
      <c r="D10783" s="156" t="s">
        <v>12485</v>
      </c>
      <c r="E10783" s="156" t="s">
        <v>12621</v>
      </c>
      <c r="F10783" s="156" t="s">
        <v>492</v>
      </c>
      <c r="G10783" s="156" t="s">
        <v>12622</v>
      </c>
      <c r="H10783" s="157" t="s">
        <v>211</v>
      </c>
    </row>
    <row r="10784" hidden="1">
      <c r="A10784" s="151" t="s">
        <v>228</v>
      </c>
      <c r="B10784" s="118" t="s">
        <v>138</v>
      </c>
      <c r="C10784" s="118" t="s">
        <v>206</v>
      </c>
      <c r="D10784" s="152" t="s">
        <v>12485</v>
      </c>
      <c r="E10784" s="152" t="s">
        <v>12623</v>
      </c>
      <c r="F10784" s="152" t="s">
        <v>425</v>
      </c>
      <c r="G10784" s="152" t="s">
        <v>11738</v>
      </c>
      <c r="H10784" s="153" t="s">
        <v>212</v>
      </c>
    </row>
    <row r="10785" hidden="1">
      <c r="A10785" s="154" t="s">
        <v>228</v>
      </c>
      <c r="B10785" s="155" t="s">
        <v>138</v>
      </c>
      <c r="C10785" s="155" t="s">
        <v>206</v>
      </c>
      <c r="D10785" s="156" t="s">
        <v>12485</v>
      </c>
      <c r="E10785" s="156" t="s">
        <v>12624</v>
      </c>
      <c r="F10785" s="156" t="s">
        <v>246</v>
      </c>
      <c r="G10785" s="156" t="s">
        <v>11902</v>
      </c>
      <c r="H10785" s="157" t="s">
        <v>213</v>
      </c>
    </row>
    <row r="10786" hidden="1">
      <c r="A10786" s="151" t="s">
        <v>228</v>
      </c>
      <c r="B10786" s="118" t="s">
        <v>138</v>
      </c>
      <c r="C10786" s="118" t="s">
        <v>206</v>
      </c>
      <c r="D10786" s="152" t="s">
        <v>12485</v>
      </c>
      <c r="E10786" s="152" t="s">
        <v>12625</v>
      </c>
      <c r="F10786" s="152" t="s">
        <v>204</v>
      </c>
      <c r="G10786" s="152" t="s">
        <v>10365</v>
      </c>
      <c r="H10786" s="153" t="s">
        <v>214</v>
      </c>
    </row>
    <row r="10787" hidden="1">
      <c r="A10787" s="154" t="s">
        <v>228</v>
      </c>
      <c r="B10787" s="155" t="s">
        <v>138</v>
      </c>
      <c r="C10787" s="155" t="s">
        <v>206</v>
      </c>
      <c r="D10787" s="156" t="s">
        <v>12485</v>
      </c>
      <c r="E10787" s="156" t="s">
        <v>12626</v>
      </c>
      <c r="F10787" s="156" t="s">
        <v>262</v>
      </c>
      <c r="G10787" s="156" t="s">
        <v>11386</v>
      </c>
      <c r="H10787" s="157" t="s">
        <v>215</v>
      </c>
    </row>
    <row r="10788" hidden="1">
      <c r="A10788" s="151" t="s">
        <v>228</v>
      </c>
      <c r="B10788" s="118" t="s">
        <v>138</v>
      </c>
      <c r="C10788" s="118" t="s">
        <v>206</v>
      </c>
      <c r="D10788" s="152" t="s">
        <v>12485</v>
      </c>
      <c r="E10788" s="152" t="s">
        <v>12627</v>
      </c>
      <c r="F10788" s="152" t="s">
        <v>259</v>
      </c>
      <c r="G10788" s="152" t="s">
        <v>12628</v>
      </c>
      <c r="H10788" s="153" t="s">
        <v>216</v>
      </c>
    </row>
    <row r="10789" hidden="1">
      <c r="A10789" s="154" t="s">
        <v>229</v>
      </c>
      <c r="B10789" s="155" t="s">
        <v>193</v>
      </c>
      <c r="C10789" s="155" t="s">
        <v>206</v>
      </c>
      <c r="D10789" s="156" t="s">
        <v>12485</v>
      </c>
      <c r="E10789" s="156" t="s">
        <v>12629</v>
      </c>
      <c r="F10789" s="156" t="s">
        <v>2409</v>
      </c>
      <c r="G10789" s="156" t="s">
        <v>12630</v>
      </c>
      <c r="H10789" s="157" t="s">
        <v>210</v>
      </c>
    </row>
    <row r="10790" hidden="1">
      <c r="A10790" s="151" t="s">
        <v>229</v>
      </c>
      <c r="B10790" s="118" t="s">
        <v>193</v>
      </c>
      <c r="C10790" s="118" t="s">
        <v>206</v>
      </c>
      <c r="D10790" s="152" t="s">
        <v>12485</v>
      </c>
      <c r="E10790" s="152" t="s">
        <v>12631</v>
      </c>
      <c r="F10790" s="152" t="s">
        <v>1877</v>
      </c>
      <c r="G10790" s="152" t="s">
        <v>12632</v>
      </c>
      <c r="H10790" s="153" t="s">
        <v>211</v>
      </c>
    </row>
    <row r="10791" hidden="1">
      <c r="A10791" s="154" t="s">
        <v>229</v>
      </c>
      <c r="B10791" s="155" t="s">
        <v>193</v>
      </c>
      <c r="C10791" s="155" t="s">
        <v>206</v>
      </c>
      <c r="D10791" s="156" t="s">
        <v>12485</v>
      </c>
      <c r="E10791" s="156" t="s">
        <v>12633</v>
      </c>
      <c r="F10791" s="156" t="s">
        <v>1885</v>
      </c>
      <c r="G10791" s="156" t="s">
        <v>12634</v>
      </c>
      <c r="H10791" s="157" t="s">
        <v>212</v>
      </c>
    </row>
    <row r="10792" hidden="1">
      <c r="A10792" s="151" t="s">
        <v>229</v>
      </c>
      <c r="B10792" s="118" t="s">
        <v>193</v>
      </c>
      <c r="C10792" s="118" t="s">
        <v>206</v>
      </c>
      <c r="D10792" s="152" t="s">
        <v>12485</v>
      </c>
      <c r="E10792" s="152" t="s">
        <v>12635</v>
      </c>
      <c r="F10792" s="152" t="s">
        <v>1936</v>
      </c>
      <c r="G10792" s="152" t="s">
        <v>12636</v>
      </c>
      <c r="H10792" s="153" t="s">
        <v>213</v>
      </c>
    </row>
    <row r="10793" hidden="1">
      <c r="A10793" s="154" t="s">
        <v>229</v>
      </c>
      <c r="B10793" s="155" t="s">
        <v>193</v>
      </c>
      <c r="C10793" s="155" t="s">
        <v>206</v>
      </c>
      <c r="D10793" s="156" t="s">
        <v>12485</v>
      </c>
      <c r="E10793" s="156" t="s">
        <v>12637</v>
      </c>
      <c r="F10793" s="156" t="s">
        <v>1747</v>
      </c>
      <c r="G10793" s="156" t="s">
        <v>12638</v>
      </c>
      <c r="H10793" s="157" t="s">
        <v>214</v>
      </c>
    </row>
    <row r="10794" hidden="1">
      <c r="A10794" s="151" t="s">
        <v>229</v>
      </c>
      <c r="B10794" s="118" t="s">
        <v>193</v>
      </c>
      <c r="C10794" s="118" t="s">
        <v>206</v>
      </c>
      <c r="D10794" s="152" t="s">
        <v>12485</v>
      </c>
      <c r="E10794" s="152" t="s">
        <v>12639</v>
      </c>
      <c r="F10794" s="152" t="s">
        <v>2437</v>
      </c>
      <c r="G10794" s="152" t="s">
        <v>12640</v>
      </c>
      <c r="H10794" s="153" t="s">
        <v>215</v>
      </c>
    </row>
    <row r="10795" hidden="1">
      <c r="A10795" s="154" t="s">
        <v>229</v>
      </c>
      <c r="B10795" s="155" t="s">
        <v>193</v>
      </c>
      <c r="C10795" s="155" t="s">
        <v>206</v>
      </c>
      <c r="D10795" s="156" t="s">
        <v>12485</v>
      </c>
      <c r="E10795" s="156" t="s">
        <v>12641</v>
      </c>
      <c r="F10795" s="156" t="s">
        <v>2437</v>
      </c>
      <c r="G10795" s="156" t="s">
        <v>12642</v>
      </c>
      <c r="H10795" s="157" t="s">
        <v>216</v>
      </c>
    </row>
    <row r="10796" hidden="1">
      <c r="A10796" s="151" t="s">
        <v>230</v>
      </c>
      <c r="B10796" s="118" t="s">
        <v>194</v>
      </c>
      <c r="C10796" s="118" t="s">
        <v>206</v>
      </c>
      <c r="D10796" s="152" t="s">
        <v>12485</v>
      </c>
      <c r="E10796" s="152" t="s">
        <v>12643</v>
      </c>
      <c r="F10796" s="152" t="s">
        <v>3525</v>
      </c>
      <c r="G10796" s="152" t="s">
        <v>12644</v>
      </c>
      <c r="H10796" s="153" t="s">
        <v>210</v>
      </c>
    </row>
    <row r="10797" hidden="1">
      <c r="A10797" s="154" t="s">
        <v>230</v>
      </c>
      <c r="B10797" s="155" t="s">
        <v>194</v>
      </c>
      <c r="C10797" s="155" t="s">
        <v>206</v>
      </c>
      <c r="D10797" s="156" t="s">
        <v>12485</v>
      </c>
      <c r="E10797" s="156" t="s">
        <v>12645</v>
      </c>
      <c r="F10797" s="156" t="s">
        <v>3282</v>
      </c>
      <c r="G10797" s="156" t="s">
        <v>12646</v>
      </c>
      <c r="H10797" s="157" t="s">
        <v>211</v>
      </c>
    </row>
    <row r="10798" hidden="1">
      <c r="A10798" s="151" t="s">
        <v>230</v>
      </c>
      <c r="B10798" s="118" t="s">
        <v>194</v>
      </c>
      <c r="C10798" s="118" t="s">
        <v>206</v>
      </c>
      <c r="D10798" s="152" t="s">
        <v>12485</v>
      </c>
      <c r="E10798" s="152" t="s">
        <v>12647</v>
      </c>
      <c r="F10798" s="152" t="s">
        <v>2281</v>
      </c>
      <c r="G10798" s="152" t="s">
        <v>12648</v>
      </c>
      <c r="H10798" s="153" t="s">
        <v>212</v>
      </c>
    </row>
    <row r="10799" hidden="1">
      <c r="A10799" s="154" t="s">
        <v>230</v>
      </c>
      <c r="B10799" s="155" t="s">
        <v>194</v>
      </c>
      <c r="C10799" s="155" t="s">
        <v>206</v>
      </c>
      <c r="D10799" s="156" t="s">
        <v>12485</v>
      </c>
      <c r="E10799" s="156" t="s">
        <v>12649</v>
      </c>
      <c r="F10799" s="156" t="s">
        <v>3200</v>
      </c>
      <c r="G10799" s="156" t="s">
        <v>12650</v>
      </c>
      <c r="H10799" s="157" t="s">
        <v>213</v>
      </c>
    </row>
    <row r="10800" hidden="1">
      <c r="A10800" s="151" t="s">
        <v>230</v>
      </c>
      <c r="B10800" s="118" t="s">
        <v>194</v>
      </c>
      <c r="C10800" s="118" t="s">
        <v>206</v>
      </c>
      <c r="D10800" s="152" t="s">
        <v>12485</v>
      </c>
      <c r="E10800" s="152" t="s">
        <v>12651</v>
      </c>
      <c r="F10800" s="152" t="s">
        <v>3691</v>
      </c>
      <c r="G10800" s="152" t="s">
        <v>12652</v>
      </c>
      <c r="H10800" s="153" t="s">
        <v>214</v>
      </c>
    </row>
    <row r="10801" hidden="1">
      <c r="A10801" s="154" t="s">
        <v>230</v>
      </c>
      <c r="B10801" s="155" t="s">
        <v>194</v>
      </c>
      <c r="C10801" s="155" t="s">
        <v>206</v>
      </c>
      <c r="D10801" s="156" t="s">
        <v>12485</v>
      </c>
      <c r="E10801" s="156" t="s">
        <v>12653</v>
      </c>
      <c r="F10801" s="156" t="s">
        <v>3616</v>
      </c>
      <c r="G10801" s="156" t="s">
        <v>12654</v>
      </c>
      <c r="H10801" s="157" t="s">
        <v>215</v>
      </c>
    </row>
    <row r="10802" hidden="1">
      <c r="A10802" s="151" t="s">
        <v>230</v>
      </c>
      <c r="B10802" s="118" t="s">
        <v>194</v>
      </c>
      <c r="C10802" s="118" t="s">
        <v>206</v>
      </c>
      <c r="D10802" s="152" t="s">
        <v>12485</v>
      </c>
      <c r="E10802" s="152" t="s">
        <v>12655</v>
      </c>
      <c r="F10802" s="152" t="s">
        <v>2995</v>
      </c>
      <c r="G10802" s="152" t="s">
        <v>12656</v>
      </c>
      <c r="H10802" s="153" t="s">
        <v>216</v>
      </c>
    </row>
    <row r="10803" hidden="1">
      <c r="A10803" s="158" t="s">
        <v>231</v>
      </c>
      <c r="B10803" s="159"/>
      <c r="C10803" s="155" t="s">
        <v>232</v>
      </c>
      <c r="D10803" s="156" t="s">
        <v>12485</v>
      </c>
      <c r="E10803" s="156" t="s">
        <v>12657</v>
      </c>
      <c r="F10803" s="156" t="s">
        <v>1801</v>
      </c>
      <c r="G10803" s="156" t="s">
        <v>12658</v>
      </c>
      <c r="H10803" s="157" t="s">
        <v>210</v>
      </c>
    </row>
    <row r="10804" hidden="1">
      <c r="A10804" s="160" t="s">
        <v>231</v>
      </c>
      <c r="B10804" s="72"/>
      <c r="C10804" s="118" t="s">
        <v>232</v>
      </c>
      <c r="D10804" s="152" t="s">
        <v>12485</v>
      </c>
      <c r="E10804" s="152" t="s">
        <v>12659</v>
      </c>
      <c r="F10804" s="152" t="s">
        <v>5849</v>
      </c>
      <c r="G10804" s="152" t="s">
        <v>12660</v>
      </c>
      <c r="H10804" s="153" t="s">
        <v>211</v>
      </c>
    </row>
    <row r="10805" hidden="1">
      <c r="A10805" s="158" t="s">
        <v>231</v>
      </c>
      <c r="B10805" s="159"/>
      <c r="C10805" s="155" t="s">
        <v>232</v>
      </c>
      <c r="D10805" s="156" t="s">
        <v>12485</v>
      </c>
      <c r="E10805" s="156" t="s">
        <v>12661</v>
      </c>
      <c r="F10805" s="156" t="s">
        <v>10944</v>
      </c>
      <c r="G10805" s="156" t="s">
        <v>12662</v>
      </c>
      <c r="H10805" s="157" t="s">
        <v>212</v>
      </c>
    </row>
    <row r="10806" hidden="1">
      <c r="A10806" s="160" t="s">
        <v>231</v>
      </c>
      <c r="B10806" s="72"/>
      <c r="C10806" s="118" t="s">
        <v>232</v>
      </c>
      <c r="D10806" s="152" t="s">
        <v>12485</v>
      </c>
      <c r="E10806" s="152" t="s">
        <v>12663</v>
      </c>
      <c r="F10806" s="152" t="s">
        <v>2013</v>
      </c>
      <c r="G10806" s="152" t="s">
        <v>12664</v>
      </c>
      <c r="H10806" s="153" t="s">
        <v>213</v>
      </c>
    </row>
    <row r="10807" hidden="1">
      <c r="A10807" s="158" t="s">
        <v>231</v>
      </c>
      <c r="B10807" s="159"/>
      <c r="C10807" s="155" t="s">
        <v>232</v>
      </c>
      <c r="D10807" s="156" t="s">
        <v>12485</v>
      </c>
      <c r="E10807" s="156" t="s">
        <v>12665</v>
      </c>
      <c r="F10807" s="156" t="s">
        <v>2420</v>
      </c>
      <c r="G10807" s="156" t="s">
        <v>12666</v>
      </c>
      <c r="H10807" s="157" t="s">
        <v>214</v>
      </c>
    </row>
    <row r="10808" hidden="1">
      <c r="A10808" s="160" t="s">
        <v>231</v>
      </c>
      <c r="B10808" s="72"/>
      <c r="C10808" s="118" t="s">
        <v>232</v>
      </c>
      <c r="D10808" s="152" t="s">
        <v>12485</v>
      </c>
      <c r="E10808" s="152" t="s">
        <v>12667</v>
      </c>
      <c r="F10808" s="152" t="s">
        <v>1804</v>
      </c>
      <c r="G10808" s="152" t="s">
        <v>12668</v>
      </c>
      <c r="H10808" s="153" t="s">
        <v>215</v>
      </c>
    </row>
    <row r="10809" hidden="1">
      <c r="A10809" s="158" t="s">
        <v>231</v>
      </c>
      <c r="B10809" s="159"/>
      <c r="C10809" s="155" t="s">
        <v>232</v>
      </c>
      <c r="D10809" s="156" t="s">
        <v>12485</v>
      </c>
      <c r="E10809" s="156" t="s">
        <v>12669</v>
      </c>
      <c r="F10809" s="156" t="s">
        <v>2075</v>
      </c>
      <c r="G10809" s="156" t="s">
        <v>12670</v>
      </c>
      <c r="H10809" s="157" t="s">
        <v>216</v>
      </c>
    </row>
    <row r="10810" hidden="1">
      <c r="A10810" s="160" t="s">
        <v>233</v>
      </c>
      <c r="B10810" s="72"/>
      <c r="C10810" s="118" t="s">
        <v>232</v>
      </c>
      <c r="D10810" s="152" t="s">
        <v>12485</v>
      </c>
      <c r="E10810" s="152" t="s">
        <v>12671</v>
      </c>
      <c r="F10810" s="152" t="s">
        <v>1787</v>
      </c>
      <c r="G10810" s="152" t="s">
        <v>12672</v>
      </c>
      <c r="H10810" s="153" t="s">
        <v>210</v>
      </c>
    </row>
    <row r="10811" hidden="1">
      <c r="A10811" s="158" t="s">
        <v>233</v>
      </c>
      <c r="B10811" s="159"/>
      <c r="C10811" s="155" t="s">
        <v>232</v>
      </c>
      <c r="D10811" s="156" t="s">
        <v>12485</v>
      </c>
      <c r="E10811" s="156" t="s">
        <v>12673</v>
      </c>
      <c r="F10811" s="156" t="s">
        <v>2037</v>
      </c>
      <c r="G10811" s="156" t="s">
        <v>12674</v>
      </c>
      <c r="H10811" s="157" t="s">
        <v>211</v>
      </c>
    </row>
    <row r="10812" hidden="1">
      <c r="A10812" s="160" t="s">
        <v>233</v>
      </c>
      <c r="B10812" s="72"/>
      <c r="C10812" s="118" t="s">
        <v>232</v>
      </c>
      <c r="D10812" s="152" t="s">
        <v>12485</v>
      </c>
      <c r="E10812" s="152" t="s">
        <v>12675</v>
      </c>
      <c r="F10812" s="152" t="s">
        <v>1883</v>
      </c>
      <c r="G10812" s="152" t="s">
        <v>12676</v>
      </c>
      <c r="H10812" s="153" t="s">
        <v>212</v>
      </c>
    </row>
    <row r="10813" hidden="1">
      <c r="A10813" s="158" t="s">
        <v>233</v>
      </c>
      <c r="B10813" s="159"/>
      <c r="C10813" s="155" t="s">
        <v>232</v>
      </c>
      <c r="D10813" s="156" t="s">
        <v>12485</v>
      </c>
      <c r="E10813" s="156" t="s">
        <v>12677</v>
      </c>
      <c r="F10813" s="156" t="s">
        <v>2321</v>
      </c>
      <c r="G10813" s="156" t="s">
        <v>12678</v>
      </c>
      <c r="H10813" s="157" t="s">
        <v>213</v>
      </c>
    </row>
    <row r="10814" hidden="1">
      <c r="A10814" s="160" t="s">
        <v>233</v>
      </c>
      <c r="B10814" s="72"/>
      <c r="C10814" s="118" t="s">
        <v>232</v>
      </c>
      <c r="D10814" s="152" t="s">
        <v>12485</v>
      </c>
      <c r="E10814" s="152" t="s">
        <v>12679</v>
      </c>
      <c r="F10814" s="152" t="s">
        <v>1879</v>
      </c>
      <c r="G10814" s="152" t="s">
        <v>12680</v>
      </c>
      <c r="H10814" s="153" t="s">
        <v>214</v>
      </c>
    </row>
    <row r="10815" hidden="1">
      <c r="A10815" s="158" t="s">
        <v>233</v>
      </c>
      <c r="B10815" s="159"/>
      <c r="C10815" s="155" t="s">
        <v>232</v>
      </c>
      <c r="D10815" s="156" t="s">
        <v>12485</v>
      </c>
      <c r="E10815" s="156" t="s">
        <v>12681</v>
      </c>
      <c r="F10815" s="156" t="s">
        <v>1852</v>
      </c>
      <c r="G10815" s="156" t="s">
        <v>12682</v>
      </c>
      <c r="H10815" s="157" t="s">
        <v>215</v>
      </c>
    </row>
    <row r="10816" hidden="1">
      <c r="A10816" s="160" t="s">
        <v>233</v>
      </c>
      <c r="B10816" s="72"/>
      <c r="C10816" s="118" t="s">
        <v>232</v>
      </c>
      <c r="D10816" s="152" t="s">
        <v>12485</v>
      </c>
      <c r="E10816" s="152" t="s">
        <v>12683</v>
      </c>
      <c r="F10816" s="152" t="s">
        <v>1885</v>
      </c>
      <c r="G10816" s="152" t="s">
        <v>12684</v>
      </c>
      <c r="H10816" s="153" t="s">
        <v>216</v>
      </c>
    </row>
    <row r="10817" hidden="1">
      <c r="A10817" s="158" t="s">
        <v>234</v>
      </c>
      <c r="B10817" s="159"/>
      <c r="C10817" s="155" t="s">
        <v>232</v>
      </c>
      <c r="D10817" s="156" t="s">
        <v>12485</v>
      </c>
      <c r="E10817" s="156" t="s">
        <v>12685</v>
      </c>
      <c r="F10817" s="156" t="s">
        <v>2055</v>
      </c>
      <c r="G10817" s="156" t="s">
        <v>12686</v>
      </c>
      <c r="H10817" s="157" t="s">
        <v>210</v>
      </c>
    </row>
    <row r="10818" hidden="1">
      <c r="A10818" s="160" t="s">
        <v>234</v>
      </c>
      <c r="B10818" s="72"/>
      <c r="C10818" s="118" t="s">
        <v>232</v>
      </c>
      <c r="D10818" s="152" t="s">
        <v>12485</v>
      </c>
      <c r="E10818" s="152" t="s">
        <v>12687</v>
      </c>
      <c r="F10818" s="152" t="s">
        <v>1818</v>
      </c>
      <c r="G10818" s="152" t="s">
        <v>12688</v>
      </c>
      <c r="H10818" s="153" t="s">
        <v>211</v>
      </c>
    </row>
    <row r="10819" hidden="1">
      <c r="A10819" s="158" t="s">
        <v>234</v>
      </c>
      <c r="B10819" s="159"/>
      <c r="C10819" s="155" t="s">
        <v>232</v>
      </c>
      <c r="D10819" s="156" t="s">
        <v>12485</v>
      </c>
      <c r="E10819" s="156" t="s">
        <v>12689</v>
      </c>
      <c r="F10819" s="156" t="s">
        <v>1733</v>
      </c>
      <c r="G10819" s="156" t="s">
        <v>12690</v>
      </c>
      <c r="H10819" s="157" t="s">
        <v>212</v>
      </c>
    </row>
    <row r="10820" hidden="1">
      <c r="A10820" s="160" t="s">
        <v>234</v>
      </c>
      <c r="B10820" s="72"/>
      <c r="C10820" s="118" t="s">
        <v>232</v>
      </c>
      <c r="D10820" s="152" t="s">
        <v>12485</v>
      </c>
      <c r="E10820" s="152" t="s">
        <v>12691</v>
      </c>
      <c r="F10820" s="152" t="s">
        <v>1820</v>
      </c>
      <c r="G10820" s="152" t="s">
        <v>12692</v>
      </c>
      <c r="H10820" s="153" t="s">
        <v>213</v>
      </c>
    </row>
    <row r="10821" hidden="1">
      <c r="A10821" s="158" t="s">
        <v>234</v>
      </c>
      <c r="B10821" s="159"/>
      <c r="C10821" s="155" t="s">
        <v>232</v>
      </c>
      <c r="D10821" s="156" t="s">
        <v>12485</v>
      </c>
      <c r="E10821" s="156" t="s">
        <v>12693</v>
      </c>
      <c r="F10821" s="156" t="s">
        <v>2211</v>
      </c>
      <c r="G10821" s="156" t="s">
        <v>12694</v>
      </c>
      <c r="H10821" s="157" t="s">
        <v>214</v>
      </c>
    </row>
    <row r="10822" hidden="1">
      <c r="A10822" s="160" t="s">
        <v>234</v>
      </c>
      <c r="B10822" s="72"/>
      <c r="C10822" s="118" t="s">
        <v>232</v>
      </c>
      <c r="D10822" s="152" t="s">
        <v>12485</v>
      </c>
      <c r="E10822" s="152" t="s">
        <v>12695</v>
      </c>
      <c r="F10822" s="152" t="s">
        <v>1856</v>
      </c>
      <c r="G10822" s="152" t="s">
        <v>12344</v>
      </c>
      <c r="H10822" s="153" t="s">
        <v>215</v>
      </c>
    </row>
    <row r="10823" hidden="1">
      <c r="A10823" s="158" t="s">
        <v>234</v>
      </c>
      <c r="B10823" s="159"/>
      <c r="C10823" s="155" t="s">
        <v>232</v>
      </c>
      <c r="D10823" s="156" t="s">
        <v>12485</v>
      </c>
      <c r="E10823" s="156" t="s">
        <v>12696</v>
      </c>
      <c r="F10823" s="156" t="s">
        <v>2146</v>
      </c>
      <c r="G10823" s="156" t="s">
        <v>12697</v>
      </c>
      <c r="H10823" s="157" t="s">
        <v>216</v>
      </c>
    </row>
    <row r="10824" hidden="1">
      <c r="A10824" s="160" t="s">
        <v>235</v>
      </c>
      <c r="B10824" s="72"/>
      <c r="C10824" s="118" t="s">
        <v>236</v>
      </c>
      <c r="D10824" s="152" t="s">
        <v>12485</v>
      </c>
      <c r="E10824" s="152" t="s">
        <v>12698</v>
      </c>
      <c r="F10824" s="152" t="s">
        <v>1885</v>
      </c>
      <c r="G10824" s="152" t="s">
        <v>12699</v>
      </c>
      <c r="H10824" s="153" t="s">
        <v>210</v>
      </c>
    </row>
    <row r="10825" hidden="1">
      <c r="A10825" s="158" t="s">
        <v>235</v>
      </c>
      <c r="B10825" s="159"/>
      <c r="C10825" s="155" t="s">
        <v>236</v>
      </c>
      <c r="D10825" s="156" t="s">
        <v>12485</v>
      </c>
      <c r="E10825" s="156" t="s">
        <v>12700</v>
      </c>
      <c r="F10825" s="156" t="s">
        <v>1743</v>
      </c>
      <c r="G10825" s="156" t="s">
        <v>12701</v>
      </c>
      <c r="H10825" s="157" t="s">
        <v>211</v>
      </c>
    </row>
    <row r="10826" hidden="1">
      <c r="A10826" s="160" t="s">
        <v>235</v>
      </c>
      <c r="B10826" s="72"/>
      <c r="C10826" s="118" t="s">
        <v>236</v>
      </c>
      <c r="D10826" s="152" t="s">
        <v>12485</v>
      </c>
      <c r="E10826" s="152" t="s">
        <v>12702</v>
      </c>
      <c r="F10826" s="152" t="s">
        <v>1883</v>
      </c>
      <c r="G10826" s="152" t="s">
        <v>12703</v>
      </c>
      <c r="H10826" s="153" t="s">
        <v>212</v>
      </c>
    </row>
    <row r="10827" hidden="1">
      <c r="A10827" s="158" t="s">
        <v>235</v>
      </c>
      <c r="B10827" s="159"/>
      <c r="C10827" s="155" t="s">
        <v>236</v>
      </c>
      <c r="D10827" s="156" t="s">
        <v>12485</v>
      </c>
      <c r="E10827" s="156" t="s">
        <v>12704</v>
      </c>
      <c r="F10827" s="156" t="s">
        <v>1759</v>
      </c>
      <c r="G10827" s="156" t="s">
        <v>12703</v>
      </c>
      <c r="H10827" s="157" t="s">
        <v>213</v>
      </c>
    </row>
    <row r="10828" hidden="1">
      <c r="A10828" s="160" t="s">
        <v>235</v>
      </c>
      <c r="B10828" s="72"/>
      <c r="C10828" s="118" t="s">
        <v>236</v>
      </c>
      <c r="D10828" s="152" t="s">
        <v>12485</v>
      </c>
      <c r="E10828" s="152" t="s">
        <v>12705</v>
      </c>
      <c r="F10828" s="152" t="s">
        <v>2637</v>
      </c>
      <c r="G10828" s="152" t="s">
        <v>12706</v>
      </c>
      <c r="H10828" s="153" t="s">
        <v>214</v>
      </c>
    </row>
    <row r="10829" hidden="1">
      <c r="A10829" s="158" t="s">
        <v>235</v>
      </c>
      <c r="B10829" s="159"/>
      <c r="C10829" s="155" t="s">
        <v>236</v>
      </c>
      <c r="D10829" s="156" t="s">
        <v>12485</v>
      </c>
      <c r="E10829" s="156" t="s">
        <v>12707</v>
      </c>
      <c r="F10829" s="156" t="s">
        <v>1961</v>
      </c>
      <c r="G10829" s="156" t="s">
        <v>12708</v>
      </c>
      <c r="H10829" s="157" t="s">
        <v>215</v>
      </c>
    </row>
    <row r="10830" hidden="1">
      <c r="A10830" s="160" t="s">
        <v>235</v>
      </c>
      <c r="B10830" s="72"/>
      <c r="C10830" s="118" t="s">
        <v>236</v>
      </c>
      <c r="D10830" s="152" t="s">
        <v>12485</v>
      </c>
      <c r="E10830" s="152" t="s">
        <v>12709</v>
      </c>
      <c r="F10830" s="152" t="s">
        <v>1916</v>
      </c>
      <c r="G10830" s="152" t="s">
        <v>12710</v>
      </c>
      <c r="H10830" s="153" t="s">
        <v>216</v>
      </c>
    </row>
    <row r="10831" hidden="1">
      <c r="A10831" s="158" t="s">
        <v>237</v>
      </c>
      <c r="B10831" s="159"/>
      <c r="C10831" s="155" t="s">
        <v>236</v>
      </c>
      <c r="D10831" s="156" t="s">
        <v>12485</v>
      </c>
      <c r="E10831" s="156" t="s">
        <v>12711</v>
      </c>
      <c r="F10831" s="156" t="s">
        <v>2029</v>
      </c>
      <c r="G10831" s="156" t="s">
        <v>12712</v>
      </c>
      <c r="H10831" s="157" t="s">
        <v>210</v>
      </c>
    </row>
    <row r="10832" hidden="1">
      <c r="A10832" s="160" t="s">
        <v>237</v>
      </c>
      <c r="B10832" s="72"/>
      <c r="C10832" s="118" t="s">
        <v>236</v>
      </c>
      <c r="D10832" s="152" t="s">
        <v>12485</v>
      </c>
      <c r="E10832" s="152" t="s">
        <v>12713</v>
      </c>
      <c r="F10832" s="152" t="s">
        <v>1747</v>
      </c>
      <c r="G10832" s="152" t="s">
        <v>12536</v>
      </c>
      <c r="H10832" s="153" t="s">
        <v>211</v>
      </c>
    </row>
    <row r="10833" hidden="1">
      <c r="A10833" s="158" t="s">
        <v>237</v>
      </c>
      <c r="B10833" s="159"/>
      <c r="C10833" s="155" t="s">
        <v>236</v>
      </c>
      <c r="D10833" s="156" t="s">
        <v>12485</v>
      </c>
      <c r="E10833" s="156" t="s">
        <v>12714</v>
      </c>
      <c r="F10833" s="156" t="s">
        <v>2735</v>
      </c>
      <c r="G10833" s="156" t="s">
        <v>12715</v>
      </c>
      <c r="H10833" s="157" t="s">
        <v>212</v>
      </c>
    </row>
    <row r="10834" hidden="1">
      <c r="A10834" s="160" t="s">
        <v>237</v>
      </c>
      <c r="B10834" s="72"/>
      <c r="C10834" s="118" t="s">
        <v>236</v>
      </c>
      <c r="D10834" s="152" t="s">
        <v>12485</v>
      </c>
      <c r="E10834" s="152" t="s">
        <v>12716</v>
      </c>
      <c r="F10834" s="152" t="s">
        <v>1795</v>
      </c>
      <c r="G10834" s="152" t="s">
        <v>12717</v>
      </c>
      <c r="H10834" s="153" t="s">
        <v>213</v>
      </c>
    </row>
    <row r="10835" hidden="1">
      <c r="A10835" s="158" t="s">
        <v>237</v>
      </c>
      <c r="B10835" s="159"/>
      <c r="C10835" s="155" t="s">
        <v>236</v>
      </c>
      <c r="D10835" s="156" t="s">
        <v>12485</v>
      </c>
      <c r="E10835" s="156" t="s">
        <v>12718</v>
      </c>
      <c r="F10835" s="156" t="s">
        <v>1767</v>
      </c>
      <c r="G10835" s="156" t="s">
        <v>12297</v>
      </c>
      <c r="H10835" s="157" t="s">
        <v>214</v>
      </c>
    </row>
    <row r="10836" hidden="1">
      <c r="A10836" s="160" t="s">
        <v>237</v>
      </c>
      <c r="B10836" s="72"/>
      <c r="C10836" s="118" t="s">
        <v>236</v>
      </c>
      <c r="D10836" s="152" t="s">
        <v>12485</v>
      </c>
      <c r="E10836" s="152" t="s">
        <v>12719</v>
      </c>
      <c r="F10836" s="152" t="s">
        <v>2077</v>
      </c>
      <c r="G10836" s="152" t="s">
        <v>12076</v>
      </c>
      <c r="H10836" s="153" t="s">
        <v>215</v>
      </c>
    </row>
    <row r="10837" hidden="1">
      <c r="A10837" s="158" t="s">
        <v>237</v>
      </c>
      <c r="B10837" s="159"/>
      <c r="C10837" s="155" t="s">
        <v>236</v>
      </c>
      <c r="D10837" s="156" t="s">
        <v>12485</v>
      </c>
      <c r="E10837" s="156" t="s">
        <v>12720</v>
      </c>
      <c r="F10837" s="156" t="s">
        <v>2409</v>
      </c>
      <c r="G10837" s="156" t="s">
        <v>12721</v>
      </c>
      <c r="H10837" s="157" t="s">
        <v>216</v>
      </c>
    </row>
    <row r="10838" hidden="1">
      <c r="A10838" s="151" t="s">
        <v>204</v>
      </c>
      <c r="B10838" s="118" t="s">
        <v>205</v>
      </c>
      <c r="C10838" s="118" t="s">
        <v>206</v>
      </c>
      <c r="D10838" s="152" t="s">
        <v>12722</v>
      </c>
      <c r="E10838" s="152" t="s">
        <v>12723</v>
      </c>
      <c r="F10838" s="152" t="s">
        <v>2249</v>
      </c>
      <c r="G10838" s="152" t="s">
        <v>12724</v>
      </c>
      <c r="H10838" s="153" t="s">
        <v>210</v>
      </c>
    </row>
    <row r="10839" hidden="1">
      <c r="A10839" s="154" t="s">
        <v>204</v>
      </c>
      <c r="B10839" s="155" t="s">
        <v>205</v>
      </c>
      <c r="C10839" s="155" t="s">
        <v>206</v>
      </c>
      <c r="D10839" s="156" t="s">
        <v>12722</v>
      </c>
      <c r="E10839" s="156" t="s">
        <v>12725</v>
      </c>
      <c r="F10839" s="156" t="s">
        <v>2807</v>
      </c>
      <c r="G10839" s="156" t="s">
        <v>12726</v>
      </c>
      <c r="H10839" s="157" t="s">
        <v>211</v>
      </c>
    </row>
    <row r="10840" hidden="1">
      <c r="A10840" s="151" t="s">
        <v>204</v>
      </c>
      <c r="B10840" s="118" t="s">
        <v>205</v>
      </c>
      <c r="C10840" s="118" t="s">
        <v>206</v>
      </c>
      <c r="D10840" s="152" t="s">
        <v>12722</v>
      </c>
      <c r="E10840" s="152" t="s">
        <v>12727</v>
      </c>
      <c r="F10840" s="152" t="s">
        <v>641</v>
      </c>
      <c r="G10840" s="152" t="s">
        <v>12728</v>
      </c>
      <c r="H10840" s="153" t="s">
        <v>212</v>
      </c>
    </row>
    <row r="10841" hidden="1">
      <c r="A10841" s="154" t="s">
        <v>204</v>
      </c>
      <c r="B10841" s="155" t="s">
        <v>205</v>
      </c>
      <c r="C10841" s="155" t="s">
        <v>206</v>
      </c>
      <c r="D10841" s="156" t="s">
        <v>12722</v>
      </c>
      <c r="E10841" s="156" t="s">
        <v>12729</v>
      </c>
      <c r="F10841" s="156" t="s">
        <v>1769</v>
      </c>
      <c r="G10841" s="156" t="s">
        <v>12730</v>
      </c>
      <c r="H10841" s="157" t="s">
        <v>213</v>
      </c>
    </row>
    <row r="10842" hidden="1">
      <c r="A10842" s="151" t="s">
        <v>204</v>
      </c>
      <c r="B10842" s="118" t="s">
        <v>205</v>
      </c>
      <c r="C10842" s="118" t="s">
        <v>206</v>
      </c>
      <c r="D10842" s="152" t="s">
        <v>12722</v>
      </c>
      <c r="E10842" s="152" t="s">
        <v>12731</v>
      </c>
      <c r="F10842" s="152" t="s">
        <v>2587</v>
      </c>
      <c r="G10842" s="152" t="s">
        <v>12732</v>
      </c>
      <c r="H10842" s="153" t="s">
        <v>214</v>
      </c>
    </row>
    <row r="10843" hidden="1">
      <c r="A10843" s="154" t="s">
        <v>204</v>
      </c>
      <c r="B10843" s="155" t="s">
        <v>205</v>
      </c>
      <c r="C10843" s="155" t="s">
        <v>206</v>
      </c>
      <c r="D10843" s="156" t="s">
        <v>12722</v>
      </c>
      <c r="E10843" s="156" t="s">
        <v>12733</v>
      </c>
      <c r="F10843" s="156" t="s">
        <v>9480</v>
      </c>
      <c r="G10843" s="156" t="s">
        <v>12734</v>
      </c>
      <c r="H10843" s="157" t="s">
        <v>215</v>
      </c>
    </row>
    <row r="10844" hidden="1">
      <c r="A10844" s="151" t="s">
        <v>204</v>
      </c>
      <c r="B10844" s="118" t="s">
        <v>205</v>
      </c>
      <c r="C10844" s="118" t="s">
        <v>206</v>
      </c>
      <c r="D10844" s="152" t="s">
        <v>12722</v>
      </c>
      <c r="E10844" s="152" t="s">
        <v>12735</v>
      </c>
      <c r="F10844" s="152" t="s">
        <v>1765</v>
      </c>
      <c r="G10844" s="152" t="s">
        <v>12736</v>
      </c>
      <c r="H10844" s="153" t="s">
        <v>216</v>
      </c>
    </row>
    <row r="10845" hidden="1">
      <c r="A10845" s="154" t="s">
        <v>217</v>
      </c>
      <c r="B10845" s="155" t="s">
        <v>191</v>
      </c>
      <c r="C10845" s="155" t="s">
        <v>206</v>
      </c>
      <c r="D10845" s="156" t="s">
        <v>12722</v>
      </c>
      <c r="E10845" s="156" t="s">
        <v>12737</v>
      </c>
      <c r="F10845" s="156" t="s">
        <v>9464</v>
      </c>
      <c r="G10845" s="156" t="s">
        <v>12738</v>
      </c>
      <c r="H10845" s="157" t="s">
        <v>210</v>
      </c>
    </row>
    <row r="10846" hidden="1">
      <c r="A10846" s="151" t="s">
        <v>217</v>
      </c>
      <c r="B10846" s="118" t="s">
        <v>191</v>
      </c>
      <c r="C10846" s="118" t="s">
        <v>206</v>
      </c>
      <c r="D10846" s="152" t="s">
        <v>12722</v>
      </c>
      <c r="E10846" s="152" t="s">
        <v>12739</v>
      </c>
      <c r="F10846" s="152" t="s">
        <v>2223</v>
      </c>
      <c r="G10846" s="152" t="s">
        <v>12740</v>
      </c>
      <c r="H10846" s="153" t="s">
        <v>211</v>
      </c>
    </row>
    <row r="10847" hidden="1">
      <c r="A10847" s="154" t="s">
        <v>217</v>
      </c>
      <c r="B10847" s="155" t="s">
        <v>191</v>
      </c>
      <c r="C10847" s="155" t="s">
        <v>206</v>
      </c>
      <c r="D10847" s="156" t="s">
        <v>12722</v>
      </c>
      <c r="E10847" s="156" t="s">
        <v>12741</v>
      </c>
      <c r="F10847" s="156" t="s">
        <v>675</v>
      </c>
      <c r="G10847" s="156" t="s">
        <v>12742</v>
      </c>
      <c r="H10847" s="157" t="s">
        <v>212</v>
      </c>
    </row>
    <row r="10848" hidden="1">
      <c r="A10848" s="151" t="s">
        <v>217</v>
      </c>
      <c r="B10848" s="118" t="s">
        <v>191</v>
      </c>
      <c r="C10848" s="118" t="s">
        <v>206</v>
      </c>
      <c r="D10848" s="152" t="s">
        <v>12722</v>
      </c>
      <c r="E10848" s="152" t="s">
        <v>12743</v>
      </c>
      <c r="F10848" s="152" t="s">
        <v>3625</v>
      </c>
      <c r="G10848" s="152" t="s">
        <v>12744</v>
      </c>
      <c r="H10848" s="153" t="s">
        <v>213</v>
      </c>
    </row>
    <row r="10849" hidden="1">
      <c r="A10849" s="154" t="s">
        <v>217</v>
      </c>
      <c r="B10849" s="155" t="s">
        <v>191</v>
      </c>
      <c r="C10849" s="155" t="s">
        <v>206</v>
      </c>
      <c r="D10849" s="156" t="s">
        <v>12722</v>
      </c>
      <c r="E10849" s="156" t="s">
        <v>12745</v>
      </c>
      <c r="F10849" s="156" t="s">
        <v>230</v>
      </c>
      <c r="G10849" s="156" t="s">
        <v>12746</v>
      </c>
      <c r="H10849" s="157" t="s">
        <v>214</v>
      </c>
    </row>
    <row r="10850" hidden="1">
      <c r="A10850" s="151" t="s">
        <v>217</v>
      </c>
      <c r="B10850" s="118" t="s">
        <v>191</v>
      </c>
      <c r="C10850" s="118" t="s">
        <v>206</v>
      </c>
      <c r="D10850" s="152" t="s">
        <v>12722</v>
      </c>
      <c r="E10850" s="152" t="s">
        <v>12747</v>
      </c>
      <c r="F10850" s="152" t="s">
        <v>2005</v>
      </c>
      <c r="G10850" s="152" t="s">
        <v>12748</v>
      </c>
      <c r="H10850" s="153" t="s">
        <v>215</v>
      </c>
    </row>
    <row r="10851" hidden="1">
      <c r="A10851" s="154" t="s">
        <v>217</v>
      </c>
      <c r="B10851" s="155" t="s">
        <v>191</v>
      </c>
      <c r="C10851" s="155" t="s">
        <v>206</v>
      </c>
      <c r="D10851" s="156" t="s">
        <v>12722</v>
      </c>
      <c r="E10851" s="156" t="s">
        <v>12749</v>
      </c>
      <c r="F10851" s="156" t="s">
        <v>2807</v>
      </c>
      <c r="G10851" s="156" t="s">
        <v>12750</v>
      </c>
      <c r="H10851" s="157" t="s">
        <v>216</v>
      </c>
    </row>
    <row r="10852" hidden="1">
      <c r="A10852" s="151" t="s">
        <v>218</v>
      </c>
      <c r="B10852" s="118" t="s">
        <v>219</v>
      </c>
      <c r="C10852" s="118" t="s">
        <v>206</v>
      </c>
      <c r="D10852" s="152" t="s">
        <v>12722</v>
      </c>
      <c r="E10852" s="152" t="s">
        <v>12751</v>
      </c>
      <c r="F10852" s="152" t="s">
        <v>1875</v>
      </c>
      <c r="G10852" s="152" t="s">
        <v>12752</v>
      </c>
      <c r="H10852" s="153" t="s">
        <v>210</v>
      </c>
    </row>
    <row r="10853" hidden="1">
      <c r="A10853" s="154" t="s">
        <v>218</v>
      </c>
      <c r="B10853" s="155" t="s">
        <v>219</v>
      </c>
      <c r="C10853" s="155" t="s">
        <v>206</v>
      </c>
      <c r="D10853" s="156" t="s">
        <v>12722</v>
      </c>
      <c r="E10853" s="156" t="s">
        <v>12753</v>
      </c>
      <c r="F10853" s="156" t="s">
        <v>2958</v>
      </c>
      <c r="G10853" s="156" t="s">
        <v>12754</v>
      </c>
      <c r="H10853" s="157" t="s">
        <v>211</v>
      </c>
    </row>
    <row r="10854" hidden="1">
      <c r="A10854" s="151" t="s">
        <v>218</v>
      </c>
      <c r="B10854" s="118" t="s">
        <v>219</v>
      </c>
      <c r="C10854" s="118" t="s">
        <v>206</v>
      </c>
      <c r="D10854" s="152" t="s">
        <v>12722</v>
      </c>
      <c r="E10854" s="152" t="s">
        <v>12755</v>
      </c>
      <c r="F10854" s="152" t="s">
        <v>1903</v>
      </c>
      <c r="G10854" s="152" t="s">
        <v>12756</v>
      </c>
      <c r="H10854" s="153" t="s">
        <v>212</v>
      </c>
    </row>
    <row r="10855" hidden="1">
      <c r="A10855" s="154" t="s">
        <v>218</v>
      </c>
      <c r="B10855" s="155" t="s">
        <v>219</v>
      </c>
      <c r="C10855" s="155" t="s">
        <v>206</v>
      </c>
      <c r="D10855" s="156" t="s">
        <v>12722</v>
      </c>
      <c r="E10855" s="156" t="s">
        <v>12757</v>
      </c>
      <c r="F10855" s="156" t="s">
        <v>2435</v>
      </c>
      <c r="G10855" s="156" t="s">
        <v>12758</v>
      </c>
      <c r="H10855" s="157" t="s">
        <v>213</v>
      </c>
    </row>
    <row r="10856" hidden="1">
      <c r="A10856" s="151" t="s">
        <v>218</v>
      </c>
      <c r="B10856" s="118" t="s">
        <v>219</v>
      </c>
      <c r="C10856" s="118" t="s">
        <v>206</v>
      </c>
      <c r="D10856" s="152" t="s">
        <v>12722</v>
      </c>
      <c r="E10856" s="152" t="s">
        <v>12759</v>
      </c>
      <c r="F10856" s="152" t="s">
        <v>1762</v>
      </c>
      <c r="G10856" s="152" t="s">
        <v>12760</v>
      </c>
      <c r="H10856" s="153" t="s">
        <v>214</v>
      </c>
    </row>
    <row r="10857" hidden="1">
      <c r="A10857" s="154" t="s">
        <v>218</v>
      </c>
      <c r="B10857" s="155" t="s">
        <v>219</v>
      </c>
      <c r="C10857" s="155" t="s">
        <v>206</v>
      </c>
      <c r="D10857" s="156" t="s">
        <v>12722</v>
      </c>
      <c r="E10857" s="156" t="s">
        <v>12761</v>
      </c>
      <c r="F10857" s="156" t="s">
        <v>1873</v>
      </c>
      <c r="G10857" s="156" t="s">
        <v>12491</v>
      </c>
      <c r="H10857" s="157" t="s">
        <v>215</v>
      </c>
    </row>
    <row r="10858" hidden="1">
      <c r="A10858" s="151" t="s">
        <v>218</v>
      </c>
      <c r="B10858" s="118" t="s">
        <v>219</v>
      </c>
      <c r="C10858" s="118" t="s">
        <v>206</v>
      </c>
      <c r="D10858" s="152" t="s">
        <v>12722</v>
      </c>
      <c r="E10858" s="152" t="s">
        <v>12762</v>
      </c>
      <c r="F10858" s="152" t="s">
        <v>1795</v>
      </c>
      <c r="G10858" s="152" t="s">
        <v>12763</v>
      </c>
      <c r="H10858" s="153" t="s">
        <v>216</v>
      </c>
    </row>
    <row r="10859" hidden="1">
      <c r="A10859" s="154" t="s">
        <v>220</v>
      </c>
      <c r="B10859" s="155" t="s">
        <v>190</v>
      </c>
      <c r="C10859" s="155" t="s">
        <v>206</v>
      </c>
      <c r="D10859" s="156" t="s">
        <v>12722</v>
      </c>
      <c r="E10859" s="156" t="s">
        <v>12764</v>
      </c>
      <c r="F10859" s="156" t="s">
        <v>629</v>
      </c>
      <c r="G10859" s="156" t="s">
        <v>12765</v>
      </c>
      <c r="H10859" s="157" t="s">
        <v>210</v>
      </c>
    </row>
    <row r="10860" hidden="1">
      <c r="A10860" s="151" t="s">
        <v>220</v>
      </c>
      <c r="B10860" s="118" t="s">
        <v>190</v>
      </c>
      <c r="C10860" s="118" t="s">
        <v>206</v>
      </c>
      <c r="D10860" s="152" t="s">
        <v>12722</v>
      </c>
      <c r="E10860" s="152" t="s">
        <v>12766</v>
      </c>
      <c r="F10860" s="152" t="s">
        <v>3198</v>
      </c>
      <c r="G10860" s="152" t="s">
        <v>12767</v>
      </c>
      <c r="H10860" s="153" t="s">
        <v>211</v>
      </c>
    </row>
    <row r="10861" hidden="1">
      <c r="A10861" s="154" t="s">
        <v>220</v>
      </c>
      <c r="B10861" s="155" t="s">
        <v>190</v>
      </c>
      <c r="C10861" s="155" t="s">
        <v>206</v>
      </c>
      <c r="D10861" s="156" t="s">
        <v>12722</v>
      </c>
      <c r="E10861" s="156" t="s">
        <v>12768</v>
      </c>
      <c r="F10861" s="156" t="s">
        <v>2218</v>
      </c>
      <c r="G10861" s="156" t="s">
        <v>12769</v>
      </c>
      <c r="H10861" s="157" t="s">
        <v>212</v>
      </c>
    </row>
    <row r="10862" hidden="1">
      <c r="A10862" s="151" t="s">
        <v>220</v>
      </c>
      <c r="B10862" s="118" t="s">
        <v>190</v>
      </c>
      <c r="C10862" s="118" t="s">
        <v>206</v>
      </c>
      <c r="D10862" s="152" t="s">
        <v>12722</v>
      </c>
      <c r="E10862" s="152" t="s">
        <v>12770</v>
      </c>
      <c r="F10862" s="152" t="s">
        <v>763</v>
      </c>
      <c r="G10862" s="152" t="s">
        <v>12771</v>
      </c>
      <c r="H10862" s="153" t="s">
        <v>213</v>
      </c>
    </row>
    <row r="10863" hidden="1">
      <c r="A10863" s="154" t="s">
        <v>220</v>
      </c>
      <c r="B10863" s="155" t="s">
        <v>190</v>
      </c>
      <c r="C10863" s="155" t="s">
        <v>206</v>
      </c>
      <c r="D10863" s="156" t="s">
        <v>12722</v>
      </c>
      <c r="E10863" s="156" t="s">
        <v>12772</v>
      </c>
      <c r="F10863" s="156" t="s">
        <v>3243</v>
      </c>
      <c r="G10863" s="156" t="s">
        <v>12773</v>
      </c>
      <c r="H10863" s="157" t="s">
        <v>214</v>
      </c>
    </row>
    <row r="10864" hidden="1">
      <c r="A10864" s="151" t="s">
        <v>220</v>
      </c>
      <c r="B10864" s="118" t="s">
        <v>190</v>
      </c>
      <c r="C10864" s="118" t="s">
        <v>206</v>
      </c>
      <c r="D10864" s="152" t="s">
        <v>12722</v>
      </c>
      <c r="E10864" s="152" t="s">
        <v>12774</v>
      </c>
      <c r="F10864" s="152" t="s">
        <v>780</v>
      </c>
      <c r="G10864" s="152" t="s">
        <v>12765</v>
      </c>
      <c r="H10864" s="153" t="s">
        <v>215</v>
      </c>
    </row>
    <row r="10865" hidden="1">
      <c r="A10865" s="154" t="s">
        <v>220</v>
      </c>
      <c r="B10865" s="155" t="s">
        <v>190</v>
      </c>
      <c r="C10865" s="155" t="s">
        <v>206</v>
      </c>
      <c r="D10865" s="156" t="s">
        <v>12722</v>
      </c>
      <c r="E10865" s="156" t="s">
        <v>12775</v>
      </c>
      <c r="F10865" s="156" t="s">
        <v>2607</v>
      </c>
      <c r="G10865" s="156" t="s">
        <v>12776</v>
      </c>
      <c r="H10865" s="157" t="s">
        <v>216</v>
      </c>
    </row>
    <row r="10866" hidden="1">
      <c r="A10866" s="151" t="s">
        <v>221</v>
      </c>
      <c r="B10866" s="118" t="s">
        <v>189</v>
      </c>
      <c r="C10866" s="118" t="s">
        <v>206</v>
      </c>
      <c r="D10866" s="152" t="s">
        <v>12722</v>
      </c>
      <c r="E10866" s="152" t="s">
        <v>12777</v>
      </c>
      <c r="F10866" s="152" t="s">
        <v>1757</v>
      </c>
      <c r="G10866" s="152" t="s">
        <v>12778</v>
      </c>
      <c r="H10866" s="153" t="s">
        <v>210</v>
      </c>
    </row>
    <row r="10867" hidden="1">
      <c r="A10867" s="154" t="s">
        <v>221</v>
      </c>
      <c r="B10867" s="155" t="s">
        <v>189</v>
      </c>
      <c r="C10867" s="155" t="s">
        <v>206</v>
      </c>
      <c r="D10867" s="156" t="s">
        <v>12722</v>
      </c>
      <c r="E10867" s="156" t="s">
        <v>12779</v>
      </c>
      <c r="F10867" s="156" t="s">
        <v>2249</v>
      </c>
      <c r="G10867" s="156" t="s">
        <v>12292</v>
      </c>
      <c r="H10867" s="157" t="s">
        <v>211</v>
      </c>
    </row>
    <row r="10868" hidden="1">
      <c r="A10868" s="151" t="s">
        <v>221</v>
      </c>
      <c r="B10868" s="118" t="s">
        <v>189</v>
      </c>
      <c r="C10868" s="118" t="s">
        <v>206</v>
      </c>
      <c r="D10868" s="152" t="s">
        <v>12722</v>
      </c>
      <c r="E10868" s="152" t="s">
        <v>12780</v>
      </c>
      <c r="F10868" s="152" t="s">
        <v>1765</v>
      </c>
      <c r="G10868" s="152" t="s">
        <v>12473</v>
      </c>
      <c r="H10868" s="153" t="s">
        <v>212</v>
      </c>
    </row>
    <row r="10869" hidden="1">
      <c r="A10869" s="154" t="s">
        <v>221</v>
      </c>
      <c r="B10869" s="155" t="s">
        <v>189</v>
      </c>
      <c r="C10869" s="155" t="s">
        <v>206</v>
      </c>
      <c r="D10869" s="156" t="s">
        <v>12722</v>
      </c>
      <c r="E10869" s="156" t="s">
        <v>12781</v>
      </c>
      <c r="F10869" s="156" t="s">
        <v>2534</v>
      </c>
      <c r="G10869" s="156" t="s">
        <v>12782</v>
      </c>
      <c r="H10869" s="157" t="s">
        <v>213</v>
      </c>
    </row>
    <row r="10870" hidden="1">
      <c r="A10870" s="151" t="s">
        <v>221</v>
      </c>
      <c r="B10870" s="118" t="s">
        <v>189</v>
      </c>
      <c r="C10870" s="118" t="s">
        <v>206</v>
      </c>
      <c r="D10870" s="152" t="s">
        <v>12722</v>
      </c>
      <c r="E10870" s="152" t="s">
        <v>12783</v>
      </c>
      <c r="F10870" s="152" t="s">
        <v>2546</v>
      </c>
      <c r="G10870" s="152" t="s">
        <v>12784</v>
      </c>
      <c r="H10870" s="153" t="s">
        <v>214</v>
      </c>
    </row>
    <row r="10871" hidden="1">
      <c r="A10871" s="154" t="s">
        <v>221</v>
      </c>
      <c r="B10871" s="155" t="s">
        <v>189</v>
      </c>
      <c r="C10871" s="155" t="s">
        <v>206</v>
      </c>
      <c r="D10871" s="156" t="s">
        <v>12722</v>
      </c>
      <c r="E10871" s="156" t="s">
        <v>12785</v>
      </c>
      <c r="F10871" s="156" t="s">
        <v>2404</v>
      </c>
      <c r="G10871" s="156" t="s">
        <v>12786</v>
      </c>
      <c r="H10871" s="157" t="s">
        <v>215</v>
      </c>
    </row>
    <row r="10872" hidden="1">
      <c r="A10872" s="151" t="s">
        <v>221</v>
      </c>
      <c r="B10872" s="118" t="s">
        <v>189</v>
      </c>
      <c r="C10872" s="118" t="s">
        <v>206</v>
      </c>
      <c r="D10872" s="152" t="s">
        <v>12722</v>
      </c>
      <c r="E10872" s="152" t="s">
        <v>12787</v>
      </c>
      <c r="F10872" s="152" t="s">
        <v>1885</v>
      </c>
      <c r="G10872" s="152" t="s">
        <v>12788</v>
      </c>
      <c r="H10872" s="153" t="s">
        <v>216</v>
      </c>
    </row>
    <row r="10873" hidden="1">
      <c r="A10873" s="154" t="s">
        <v>222</v>
      </c>
      <c r="B10873" s="155" t="s">
        <v>192</v>
      </c>
      <c r="C10873" s="155" t="s">
        <v>206</v>
      </c>
      <c r="D10873" s="156" t="s">
        <v>12722</v>
      </c>
      <c r="E10873" s="156" t="s">
        <v>12789</v>
      </c>
      <c r="F10873" s="156" t="s">
        <v>228</v>
      </c>
      <c r="G10873" s="156" t="s">
        <v>12790</v>
      </c>
      <c r="H10873" s="157" t="s">
        <v>210</v>
      </c>
    </row>
    <row r="10874" hidden="1">
      <c r="A10874" s="151" t="s">
        <v>222</v>
      </c>
      <c r="B10874" s="118" t="s">
        <v>192</v>
      </c>
      <c r="C10874" s="118" t="s">
        <v>206</v>
      </c>
      <c r="D10874" s="152" t="s">
        <v>12722</v>
      </c>
      <c r="E10874" s="152" t="s">
        <v>12791</v>
      </c>
      <c r="F10874" s="152" t="s">
        <v>641</v>
      </c>
      <c r="G10874" s="152" t="s">
        <v>12792</v>
      </c>
      <c r="H10874" s="153" t="s">
        <v>211</v>
      </c>
    </row>
    <row r="10875" hidden="1">
      <c r="A10875" s="154" t="s">
        <v>222</v>
      </c>
      <c r="B10875" s="155" t="s">
        <v>192</v>
      </c>
      <c r="C10875" s="155" t="s">
        <v>206</v>
      </c>
      <c r="D10875" s="156" t="s">
        <v>12722</v>
      </c>
      <c r="E10875" s="156" t="s">
        <v>12793</v>
      </c>
      <c r="F10875" s="156" t="s">
        <v>3148</v>
      </c>
      <c r="G10875" s="156" t="s">
        <v>12794</v>
      </c>
      <c r="H10875" s="157" t="s">
        <v>212</v>
      </c>
    </row>
    <row r="10876" hidden="1">
      <c r="A10876" s="151" t="s">
        <v>222</v>
      </c>
      <c r="B10876" s="118" t="s">
        <v>192</v>
      </c>
      <c r="C10876" s="118" t="s">
        <v>206</v>
      </c>
      <c r="D10876" s="152" t="s">
        <v>12722</v>
      </c>
      <c r="E10876" s="152" t="s">
        <v>12795</v>
      </c>
      <c r="F10876" s="152" t="s">
        <v>3293</v>
      </c>
      <c r="G10876" s="152" t="s">
        <v>12796</v>
      </c>
      <c r="H10876" s="153" t="s">
        <v>213</v>
      </c>
    </row>
    <row r="10877" hidden="1">
      <c r="A10877" s="154" t="s">
        <v>222</v>
      </c>
      <c r="B10877" s="155" t="s">
        <v>192</v>
      </c>
      <c r="C10877" s="155" t="s">
        <v>206</v>
      </c>
      <c r="D10877" s="156" t="s">
        <v>12722</v>
      </c>
      <c r="E10877" s="156" t="s">
        <v>12797</v>
      </c>
      <c r="F10877" s="156" t="s">
        <v>1920</v>
      </c>
      <c r="G10877" s="156" t="s">
        <v>12798</v>
      </c>
      <c r="H10877" s="157" t="s">
        <v>214</v>
      </c>
    </row>
    <row r="10878" hidden="1">
      <c r="A10878" s="151" t="s">
        <v>222</v>
      </c>
      <c r="B10878" s="118" t="s">
        <v>192</v>
      </c>
      <c r="C10878" s="118" t="s">
        <v>206</v>
      </c>
      <c r="D10878" s="152" t="s">
        <v>12722</v>
      </c>
      <c r="E10878" s="152" t="s">
        <v>12799</v>
      </c>
      <c r="F10878" s="152" t="s">
        <v>3293</v>
      </c>
      <c r="G10878" s="152" t="s">
        <v>12800</v>
      </c>
      <c r="H10878" s="153" t="s">
        <v>215</v>
      </c>
    </row>
    <row r="10879" hidden="1">
      <c r="A10879" s="154" t="s">
        <v>222</v>
      </c>
      <c r="B10879" s="155" t="s">
        <v>192</v>
      </c>
      <c r="C10879" s="155" t="s">
        <v>206</v>
      </c>
      <c r="D10879" s="156" t="s">
        <v>12722</v>
      </c>
      <c r="E10879" s="156" t="s">
        <v>12801</v>
      </c>
      <c r="F10879" s="156" t="s">
        <v>292</v>
      </c>
      <c r="G10879" s="156" t="s">
        <v>12802</v>
      </c>
      <c r="H10879" s="157" t="s">
        <v>216</v>
      </c>
    </row>
    <row r="10880" hidden="1">
      <c r="A10880" s="151" t="s">
        <v>223</v>
      </c>
      <c r="B10880" s="118" t="s">
        <v>144</v>
      </c>
      <c r="C10880" s="118" t="s">
        <v>206</v>
      </c>
      <c r="D10880" s="152" t="s">
        <v>12722</v>
      </c>
      <c r="E10880" s="152" t="s">
        <v>12803</v>
      </c>
      <c r="F10880" s="152" t="s">
        <v>2249</v>
      </c>
      <c r="G10880" s="152" t="s">
        <v>12804</v>
      </c>
      <c r="H10880" s="153" t="s">
        <v>210</v>
      </c>
    </row>
    <row r="10881" hidden="1">
      <c r="A10881" s="154" t="s">
        <v>223</v>
      </c>
      <c r="B10881" s="155" t="s">
        <v>144</v>
      </c>
      <c r="C10881" s="155" t="s">
        <v>206</v>
      </c>
      <c r="D10881" s="156" t="s">
        <v>12722</v>
      </c>
      <c r="E10881" s="156" t="s">
        <v>12805</v>
      </c>
      <c r="F10881" s="156" t="s">
        <v>633</v>
      </c>
      <c r="G10881" s="156" t="s">
        <v>12806</v>
      </c>
      <c r="H10881" s="157" t="s">
        <v>211</v>
      </c>
    </row>
    <row r="10882" hidden="1">
      <c r="A10882" s="151" t="s">
        <v>223</v>
      </c>
      <c r="B10882" s="118" t="s">
        <v>144</v>
      </c>
      <c r="C10882" s="118" t="s">
        <v>206</v>
      </c>
      <c r="D10882" s="152" t="s">
        <v>12722</v>
      </c>
      <c r="E10882" s="152" t="s">
        <v>12807</v>
      </c>
      <c r="F10882" s="152" t="s">
        <v>11634</v>
      </c>
      <c r="G10882" s="152" t="s">
        <v>12808</v>
      </c>
      <c r="H10882" s="153" t="s">
        <v>212</v>
      </c>
    </row>
    <row r="10883" hidden="1">
      <c r="A10883" s="154" t="s">
        <v>223</v>
      </c>
      <c r="B10883" s="155" t="s">
        <v>144</v>
      </c>
      <c r="C10883" s="155" t="s">
        <v>206</v>
      </c>
      <c r="D10883" s="156" t="s">
        <v>12722</v>
      </c>
      <c r="E10883" s="156" t="s">
        <v>12809</v>
      </c>
      <c r="F10883" s="156" t="s">
        <v>9662</v>
      </c>
      <c r="G10883" s="156" t="s">
        <v>12810</v>
      </c>
      <c r="H10883" s="157" t="s">
        <v>213</v>
      </c>
    </row>
    <row r="10884" hidden="1">
      <c r="A10884" s="151" t="s">
        <v>223</v>
      </c>
      <c r="B10884" s="118" t="s">
        <v>144</v>
      </c>
      <c r="C10884" s="118" t="s">
        <v>206</v>
      </c>
      <c r="D10884" s="152" t="s">
        <v>12722</v>
      </c>
      <c r="E10884" s="152" t="s">
        <v>12811</v>
      </c>
      <c r="F10884" s="152" t="s">
        <v>2807</v>
      </c>
      <c r="G10884" s="152" t="s">
        <v>12812</v>
      </c>
      <c r="H10884" s="153" t="s">
        <v>214</v>
      </c>
    </row>
    <row r="10885" hidden="1">
      <c r="A10885" s="154" t="s">
        <v>223</v>
      </c>
      <c r="B10885" s="155" t="s">
        <v>144</v>
      </c>
      <c r="C10885" s="155" t="s">
        <v>206</v>
      </c>
      <c r="D10885" s="156" t="s">
        <v>12722</v>
      </c>
      <c r="E10885" s="156" t="s">
        <v>12813</v>
      </c>
      <c r="F10885" s="156" t="s">
        <v>3153</v>
      </c>
      <c r="G10885" s="156" t="s">
        <v>12792</v>
      </c>
      <c r="H10885" s="157" t="s">
        <v>215</v>
      </c>
    </row>
    <row r="10886" hidden="1">
      <c r="A10886" s="151" t="s">
        <v>223</v>
      </c>
      <c r="B10886" s="118" t="s">
        <v>144</v>
      </c>
      <c r="C10886" s="118" t="s">
        <v>206</v>
      </c>
      <c r="D10886" s="152" t="s">
        <v>12722</v>
      </c>
      <c r="E10886" s="152" t="s">
        <v>12814</v>
      </c>
      <c r="F10886" s="152" t="s">
        <v>1784</v>
      </c>
      <c r="G10886" s="152" t="s">
        <v>12792</v>
      </c>
      <c r="H10886" s="153" t="s">
        <v>216</v>
      </c>
    </row>
    <row r="10887" hidden="1">
      <c r="A10887" s="154" t="s">
        <v>224</v>
      </c>
      <c r="B10887" s="155" t="s">
        <v>170</v>
      </c>
      <c r="C10887" s="155" t="s">
        <v>206</v>
      </c>
      <c r="D10887" s="156" t="s">
        <v>12722</v>
      </c>
      <c r="E10887" s="156" t="s">
        <v>12815</v>
      </c>
      <c r="F10887" s="156" t="s">
        <v>1923</v>
      </c>
      <c r="G10887" s="156" t="s">
        <v>12816</v>
      </c>
      <c r="H10887" s="157" t="s">
        <v>210</v>
      </c>
    </row>
    <row r="10888" hidden="1">
      <c r="A10888" s="151" t="s">
        <v>224</v>
      </c>
      <c r="B10888" s="118" t="s">
        <v>170</v>
      </c>
      <c r="C10888" s="118" t="s">
        <v>206</v>
      </c>
      <c r="D10888" s="152" t="s">
        <v>12722</v>
      </c>
      <c r="E10888" s="152" t="s">
        <v>12817</v>
      </c>
      <c r="F10888" s="152" t="s">
        <v>2343</v>
      </c>
      <c r="G10888" s="152" t="s">
        <v>12818</v>
      </c>
      <c r="H10888" s="153" t="s">
        <v>211</v>
      </c>
    </row>
    <row r="10889" hidden="1">
      <c r="A10889" s="154" t="s">
        <v>224</v>
      </c>
      <c r="B10889" s="155" t="s">
        <v>170</v>
      </c>
      <c r="C10889" s="155" t="s">
        <v>206</v>
      </c>
      <c r="D10889" s="156" t="s">
        <v>12722</v>
      </c>
      <c r="E10889" s="156" t="s">
        <v>12819</v>
      </c>
      <c r="F10889" s="156" t="s">
        <v>1765</v>
      </c>
      <c r="G10889" s="156" t="s">
        <v>12820</v>
      </c>
      <c r="H10889" s="157" t="s">
        <v>212</v>
      </c>
    </row>
    <row r="10890" hidden="1">
      <c r="A10890" s="151" t="s">
        <v>224</v>
      </c>
      <c r="B10890" s="118" t="s">
        <v>170</v>
      </c>
      <c r="C10890" s="118" t="s">
        <v>206</v>
      </c>
      <c r="D10890" s="152" t="s">
        <v>12722</v>
      </c>
      <c r="E10890" s="152" t="s">
        <v>12821</v>
      </c>
      <c r="F10890" s="152" t="s">
        <v>2259</v>
      </c>
      <c r="G10890" s="152" t="s">
        <v>12822</v>
      </c>
      <c r="H10890" s="153" t="s">
        <v>213</v>
      </c>
    </row>
    <row r="10891" hidden="1">
      <c r="A10891" s="154" t="s">
        <v>224</v>
      </c>
      <c r="B10891" s="155" t="s">
        <v>170</v>
      </c>
      <c r="C10891" s="155" t="s">
        <v>206</v>
      </c>
      <c r="D10891" s="156" t="s">
        <v>12722</v>
      </c>
      <c r="E10891" s="156" t="s">
        <v>12823</v>
      </c>
      <c r="F10891" s="156" t="s">
        <v>2435</v>
      </c>
      <c r="G10891" s="156" t="s">
        <v>12699</v>
      </c>
      <c r="H10891" s="157" t="s">
        <v>214</v>
      </c>
    </row>
    <row r="10892" hidden="1">
      <c r="A10892" s="151" t="s">
        <v>224</v>
      </c>
      <c r="B10892" s="118" t="s">
        <v>170</v>
      </c>
      <c r="C10892" s="118" t="s">
        <v>206</v>
      </c>
      <c r="D10892" s="152" t="s">
        <v>12722</v>
      </c>
      <c r="E10892" s="152" t="s">
        <v>12824</v>
      </c>
      <c r="F10892" s="152" t="s">
        <v>2223</v>
      </c>
      <c r="G10892" s="152" t="s">
        <v>12825</v>
      </c>
      <c r="H10892" s="153" t="s">
        <v>215</v>
      </c>
    </row>
    <row r="10893" hidden="1">
      <c r="A10893" s="154" t="s">
        <v>224</v>
      </c>
      <c r="B10893" s="155" t="s">
        <v>170</v>
      </c>
      <c r="C10893" s="155" t="s">
        <v>206</v>
      </c>
      <c r="D10893" s="156" t="s">
        <v>12722</v>
      </c>
      <c r="E10893" s="156" t="s">
        <v>12826</v>
      </c>
      <c r="F10893" s="156" t="s">
        <v>1735</v>
      </c>
      <c r="G10893" s="156" t="s">
        <v>12827</v>
      </c>
      <c r="H10893" s="157" t="s">
        <v>216</v>
      </c>
    </row>
    <row r="10894" hidden="1">
      <c r="A10894" s="151" t="s">
        <v>225</v>
      </c>
      <c r="B10894" s="118" t="s">
        <v>226</v>
      </c>
      <c r="C10894" s="118" t="s">
        <v>206</v>
      </c>
      <c r="D10894" s="152" t="s">
        <v>12722</v>
      </c>
      <c r="E10894" s="152" t="s">
        <v>12828</v>
      </c>
      <c r="F10894" s="152" t="s">
        <v>1722</v>
      </c>
      <c r="G10894" s="152" t="s">
        <v>12829</v>
      </c>
      <c r="H10894" s="153" t="s">
        <v>210</v>
      </c>
    </row>
    <row r="10895" hidden="1">
      <c r="A10895" s="154" t="s">
        <v>225</v>
      </c>
      <c r="B10895" s="155" t="s">
        <v>226</v>
      </c>
      <c r="C10895" s="155" t="s">
        <v>206</v>
      </c>
      <c r="D10895" s="156" t="s">
        <v>12722</v>
      </c>
      <c r="E10895" s="156" t="s">
        <v>12830</v>
      </c>
      <c r="F10895" s="156" t="s">
        <v>1812</v>
      </c>
      <c r="G10895" s="156" t="s">
        <v>12831</v>
      </c>
      <c r="H10895" s="157" t="s">
        <v>211</v>
      </c>
    </row>
    <row r="10896" hidden="1">
      <c r="A10896" s="151" t="s">
        <v>225</v>
      </c>
      <c r="B10896" s="118" t="s">
        <v>226</v>
      </c>
      <c r="C10896" s="118" t="s">
        <v>206</v>
      </c>
      <c r="D10896" s="152" t="s">
        <v>12722</v>
      </c>
      <c r="E10896" s="152" t="s">
        <v>12832</v>
      </c>
      <c r="F10896" s="152" t="s">
        <v>2051</v>
      </c>
      <c r="G10896" s="152" t="s">
        <v>12833</v>
      </c>
      <c r="H10896" s="153" t="s">
        <v>212</v>
      </c>
    </row>
    <row r="10897" hidden="1">
      <c r="A10897" s="154" t="s">
        <v>225</v>
      </c>
      <c r="B10897" s="155" t="s">
        <v>226</v>
      </c>
      <c r="C10897" s="155" t="s">
        <v>206</v>
      </c>
      <c r="D10897" s="156" t="s">
        <v>12722</v>
      </c>
      <c r="E10897" s="156" t="s">
        <v>12834</v>
      </c>
      <c r="F10897" s="156" t="s">
        <v>2037</v>
      </c>
      <c r="G10897" s="156" t="s">
        <v>12835</v>
      </c>
      <c r="H10897" s="157" t="s">
        <v>213</v>
      </c>
    </row>
    <row r="10898" hidden="1">
      <c r="A10898" s="151" t="s">
        <v>225</v>
      </c>
      <c r="B10898" s="118" t="s">
        <v>226</v>
      </c>
      <c r="C10898" s="118" t="s">
        <v>206</v>
      </c>
      <c r="D10898" s="152" t="s">
        <v>12722</v>
      </c>
      <c r="E10898" s="152" t="s">
        <v>12836</v>
      </c>
      <c r="F10898" s="152" t="s">
        <v>1854</v>
      </c>
      <c r="G10898" s="152" t="s">
        <v>12837</v>
      </c>
      <c r="H10898" s="153" t="s">
        <v>214</v>
      </c>
    </row>
    <row r="10899" hidden="1">
      <c r="A10899" s="154" t="s">
        <v>225</v>
      </c>
      <c r="B10899" s="155" t="s">
        <v>226</v>
      </c>
      <c r="C10899" s="155" t="s">
        <v>206</v>
      </c>
      <c r="D10899" s="156" t="s">
        <v>12722</v>
      </c>
      <c r="E10899" s="156" t="s">
        <v>12838</v>
      </c>
      <c r="F10899" s="156" t="s">
        <v>2023</v>
      </c>
      <c r="G10899" s="156" t="s">
        <v>12636</v>
      </c>
      <c r="H10899" s="157" t="s">
        <v>215</v>
      </c>
    </row>
    <row r="10900" hidden="1">
      <c r="A10900" s="151" t="s">
        <v>225</v>
      </c>
      <c r="B10900" s="118" t="s">
        <v>226</v>
      </c>
      <c r="C10900" s="118" t="s">
        <v>206</v>
      </c>
      <c r="D10900" s="152" t="s">
        <v>12722</v>
      </c>
      <c r="E10900" s="152" t="s">
        <v>12839</v>
      </c>
      <c r="F10900" s="152" t="s">
        <v>1849</v>
      </c>
      <c r="G10900" s="152" t="s">
        <v>12840</v>
      </c>
      <c r="H10900" s="153" t="s">
        <v>216</v>
      </c>
    </row>
    <row r="10901" hidden="1">
      <c r="A10901" s="154" t="s">
        <v>227</v>
      </c>
      <c r="B10901" s="155" t="s">
        <v>195</v>
      </c>
      <c r="C10901" s="155" t="s">
        <v>206</v>
      </c>
      <c r="D10901" s="156" t="s">
        <v>12722</v>
      </c>
      <c r="E10901" s="156" t="s">
        <v>12841</v>
      </c>
      <c r="F10901" s="156" t="s">
        <v>675</v>
      </c>
      <c r="G10901" s="156" t="s">
        <v>12842</v>
      </c>
      <c r="H10901" s="157" t="s">
        <v>210</v>
      </c>
    </row>
    <row r="10902" hidden="1">
      <c r="A10902" s="151" t="s">
        <v>227</v>
      </c>
      <c r="B10902" s="118" t="s">
        <v>195</v>
      </c>
      <c r="C10902" s="118" t="s">
        <v>206</v>
      </c>
      <c r="D10902" s="152" t="s">
        <v>12722</v>
      </c>
      <c r="E10902" s="152" t="s">
        <v>12843</v>
      </c>
      <c r="F10902" s="152" t="s">
        <v>497</v>
      </c>
      <c r="G10902" s="152" t="s">
        <v>12844</v>
      </c>
      <c r="H10902" s="153" t="s">
        <v>211</v>
      </c>
    </row>
    <row r="10903" hidden="1">
      <c r="A10903" s="154" t="s">
        <v>227</v>
      </c>
      <c r="B10903" s="155" t="s">
        <v>195</v>
      </c>
      <c r="C10903" s="155" t="s">
        <v>206</v>
      </c>
      <c r="D10903" s="156" t="s">
        <v>12722</v>
      </c>
      <c r="E10903" s="156" t="s">
        <v>12845</v>
      </c>
      <c r="F10903" s="156" t="s">
        <v>1781</v>
      </c>
      <c r="G10903" s="156" t="s">
        <v>12846</v>
      </c>
      <c r="H10903" s="157" t="s">
        <v>212</v>
      </c>
    </row>
    <row r="10904" hidden="1">
      <c r="A10904" s="151" t="s">
        <v>227</v>
      </c>
      <c r="B10904" s="118" t="s">
        <v>195</v>
      </c>
      <c r="C10904" s="118" t="s">
        <v>206</v>
      </c>
      <c r="D10904" s="152" t="s">
        <v>12722</v>
      </c>
      <c r="E10904" s="152" t="s">
        <v>12847</v>
      </c>
      <c r="F10904" s="152" t="s">
        <v>444</v>
      </c>
      <c r="G10904" s="152" t="s">
        <v>12848</v>
      </c>
      <c r="H10904" s="153" t="s">
        <v>213</v>
      </c>
    </row>
    <row r="10905" hidden="1">
      <c r="A10905" s="154" t="s">
        <v>227</v>
      </c>
      <c r="B10905" s="155" t="s">
        <v>195</v>
      </c>
      <c r="C10905" s="155" t="s">
        <v>206</v>
      </c>
      <c r="D10905" s="156" t="s">
        <v>12722</v>
      </c>
      <c r="E10905" s="156" t="s">
        <v>12849</v>
      </c>
      <c r="F10905" s="156" t="s">
        <v>637</v>
      </c>
      <c r="G10905" s="156" t="s">
        <v>12728</v>
      </c>
      <c r="H10905" s="157" t="s">
        <v>214</v>
      </c>
    </row>
    <row r="10906" hidden="1">
      <c r="A10906" s="151" t="s">
        <v>227</v>
      </c>
      <c r="B10906" s="118" t="s">
        <v>195</v>
      </c>
      <c r="C10906" s="118" t="s">
        <v>206</v>
      </c>
      <c r="D10906" s="152" t="s">
        <v>12722</v>
      </c>
      <c r="E10906" s="152" t="s">
        <v>12850</v>
      </c>
      <c r="F10906" s="152" t="s">
        <v>3243</v>
      </c>
      <c r="G10906" s="152" t="s">
        <v>12851</v>
      </c>
      <c r="H10906" s="153" t="s">
        <v>215</v>
      </c>
    </row>
    <row r="10907" hidden="1">
      <c r="A10907" s="154" t="s">
        <v>227</v>
      </c>
      <c r="B10907" s="155" t="s">
        <v>195</v>
      </c>
      <c r="C10907" s="155" t="s">
        <v>206</v>
      </c>
      <c r="D10907" s="156" t="s">
        <v>12722</v>
      </c>
      <c r="E10907" s="156" t="s">
        <v>12852</v>
      </c>
      <c r="F10907" s="156" t="s">
        <v>730</v>
      </c>
      <c r="G10907" s="156" t="s">
        <v>12853</v>
      </c>
      <c r="H10907" s="157" t="s">
        <v>216</v>
      </c>
    </row>
    <row r="10908" hidden="1">
      <c r="A10908" s="151" t="s">
        <v>228</v>
      </c>
      <c r="B10908" s="118" t="s">
        <v>138</v>
      </c>
      <c r="C10908" s="118" t="s">
        <v>206</v>
      </c>
      <c r="D10908" s="152" t="s">
        <v>12722</v>
      </c>
      <c r="E10908" s="152" t="s">
        <v>12854</v>
      </c>
      <c r="F10908" s="152" t="s">
        <v>10676</v>
      </c>
      <c r="G10908" s="152" t="s">
        <v>12192</v>
      </c>
      <c r="H10908" s="153" t="s">
        <v>210</v>
      </c>
    </row>
    <row r="10909" hidden="1">
      <c r="A10909" s="154" t="s">
        <v>228</v>
      </c>
      <c r="B10909" s="155" t="s">
        <v>138</v>
      </c>
      <c r="C10909" s="155" t="s">
        <v>206</v>
      </c>
      <c r="D10909" s="156" t="s">
        <v>12722</v>
      </c>
      <c r="E10909" s="156" t="s">
        <v>12855</v>
      </c>
      <c r="F10909" s="156" t="s">
        <v>359</v>
      </c>
      <c r="G10909" s="156" t="s">
        <v>12856</v>
      </c>
      <c r="H10909" s="157" t="s">
        <v>211</v>
      </c>
    </row>
    <row r="10910" hidden="1">
      <c r="A10910" s="151" t="s">
        <v>228</v>
      </c>
      <c r="B10910" s="118" t="s">
        <v>138</v>
      </c>
      <c r="C10910" s="118" t="s">
        <v>206</v>
      </c>
      <c r="D10910" s="152" t="s">
        <v>12722</v>
      </c>
      <c r="E10910" s="152" t="s">
        <v>12857</v>
      </c>
      <c r="F10910" s="152" t="s">
        <v>1727</v>
      </c>
      <c r="G10910" s="152" t="s">
        <v>12858</v>
      </c>
      <c r="H10910" s="153" t="s">
        <v>212</v>
      </c>
    </row>
    <row r="10911" hidden="1">
      <c r="A10911" s="154" t="s">
        <v>228</v>
      </c>
      <c r="B10911" s="155" t="s">
        <v>138</v>
      </c>
      <c r="C10911" s="155" t="s">
        <v>206</v>
      </c>
      <c r="D10911" s="156" t="s">
        <v>12722</v>
      </c>
      <c r="E10911" s="156" t="s">
        <v>12859</v>
      </c>
      <c r="F10911" s="156" t="s">
        <v>323</v>
      </c>
      <c r="G10911" s="156" t="s">
        <v>11764</v>
      </c>
      <c r="H10911" s="157" t="s">
        <v>213</v>
      </c>
    </row>
    <row r="10912" hidden="1">
      <c r="A10912" s="151" t="s">
        <v>228</v>
      </c>
      <c r="B10912" s="118" t="s">
        <v>138</v>
      </c>
      <c r="C10912" s="118" t="s">
        <v>206</v>
      </c>
      <c r="D10912" s="152" t="s">
        <v>12722</v>
      </c>
      <c r="E10912" s="152" t="s">
        <v>12860</v>
      </c>
      <c r="F10912" s="152" t="s">
        <v>677</v>
      </c>
      <c r="G10912" s="152" t="s">
        <v>12861</v>
      </c>
      <c r="H10912" s="153" t="s">
        <v>214</v>
      </c>
    </row>
    <row r="10913" hidden="1">
      <c r="A10913" s="154" t="s">
        <v>228</v>
      </c>
      <c r="B10913" s="155" t="s">
        <v>138</v>
      </c>
      <c r="C10913" s="155" t="s">
        <v>206</v>
      </c>
      <c r="D10913" s="156" t="s">
        <v>12722</v>
      </c>
      <c r="E10913" s="156" t="s">
        <v>12862</v>
      </c>
      <c r="F10913" s="156" t="s">
        <v>1790</v>
      </c>
      <c r="G10913" s="156" t="s">
        <v>12863</v>
      </c>
      <c r="H10913" s="157" t="s">
        <v>215</v>
      </c>
    </row>
    <row r="10914" hidden="1">
      <c r="A10914" s="151" t="s">
        <v>228</v>
      </c>
      <c r="B10914" s="118" t="s">
        <v>138</v>
      </c>
      <c r="C10914" s="118" t="s">
        <v>206</v>
      </c>
      <c r="D10914" s="152" t="s">
        <v>12722</v>
      </c>
      <c r="E10914" s="152" t="s">
        <v>12864</v>
      </c>
      <c r="F10914" s="152" t="s">
        <v>2339</v>
      </c>
      <c r="G10914" s="152" t="s">
        <v>12369</v>
      </c>
      <c r="H10914" s="153" t="s">
        <v>216</v>
      </c>
    </row>
    <row r="10915" hidden="1">
      <c r="A10915" s="154" t="s">
        <v>229</v>
      </c>
      <c r="B10915" s="155" t="s">
        <v>193</v>
      </c>
      <c r="C10915" s="155" t="s">
        <v>206</v>
      </c>
      <c r="D10915" s="156" t="s">
        <v>12722</v>
      </c>
      <c r="E10915" s="156" t="s">
        <v>12865</v>
      </c>
      <c r="F10915" s="156" t="s">
        <v>2339</v>
      </c>
      <c r="G10915" s="156" t="s">
        <v>12866</v>
      </c>
      <c r="H10915" s="157" t="s">
        <v>210</v>
      </c>
    </row>
    <row r="10916" hidden="1">
      <c r="A10916" s="151" t="s">
        <v>229</v>
      </c>
      <c r="B10916" s="118" t="s">
        <v>193</v>
      </c>
      <c r="C10916" s="118" t="s">
        <v>206</v>
      </c>
      <c r="D10916" s="152" t="s">
        <v>12722</v>
      </c>
      <c r="E10916" s="152" t="s">
        <v>12867</v>
      </c>
      <c r="F10916" s="152" t="s">
        <v>2807</v>
      </c>
      <c r="G10916" s="152" t="s">
        <v>12868</v>
      </c>
      <c r="H10916" s="153" t="s">
        <v>211</v>
      </c>
    </row>
    <row r="10917" hidden="1">
      <c r="A10917" s="154" t="s">
        <v>229</v>
      </c>
      <c r="B10917" s="155" t="s">
        <v>193</v>
      </c>
      <c r="C10917" s="155" t="s">
        <v>206</v>
      </c>
      <c r="D10917" s="156" t="s">
        <v>12722</v>
      </c>
      <c r="E10917" s="156" t="s">
        <v>12869</v>
      </c>
      <c r="F10917" s="156" t="s">
        <v>2407</v>
      </c>
      <c r="G10917" s="156" t="s">
        <v>12870</v>
      </c>
      <c r="H10917" s="157" t="s">
        <v>212</v>
      </c>
    </row>
    <row r="10918" hidden="1">
      <c r="A10918" s="151" t="s">
        <v>229</v>
      </c>
      <c r="B10918" s="118" t="s">
        <v>193</v>
      </c>
      <c r="C10918" s="118" t="s">
        <v>206</v>
      </c>
      <c r="D10918" s="152" t="s">
        <v>12722</v>
      </c>
      <c r="E10918" s="152" t="s">
        <v>12871</v>
      </c>
      <c r="F10918" s="152" t="s">
        <v>633</v>
      </c>
      <c r="G10918" s="152" t="s">
        <v>12610</v>
      </c>
      <c r="H10918" s="153" t="s">
        <v>213</v>
      </c>
    </row>
    <row r="10919" hidden="1">
      <c r="A10919" s="154" t="s">
        <v>229</v>
      </c>
      <c r="B10919" s="155" t="s">
        <v>193</v>
      </c>
      <c r="C10919" s="155" t="s">
        <v>206</v>
      </c>
      <c r="D10919" s="156" t="s">
        <v>12722</v>
      </c>
      <c r="E10919" s="156" t="s">
        <v>12872</v>
      </c>
      <c r="F10919" s="156" t="s">
        <v>1799</v>
      </c>
      <c r="G10919" s="156" t="s">
        <v>12873</v>
      </c>
      <c r="H10919" s="157" t="s">
        <v>214</v>
      </c>
    </row>
    <row r="10920" hidden="1">
      <c r="A10920" s="151" t="s">
        <v>229</v>
      </c>
      <c r="B10920" s="118" t="s">
        <v>193</v>
      </c>
      <c r="C10920" s="118" t="s">
        <v>206</v>
      </c>
      <c r="D10920" s="152" t="s">
        <v>12722</v>
      </c>
      <c r="E10920" s="152" t="s">
        <v>12874</v>
      </c>
      <c r="F10920" s="152" t="s">
        <v>641</v>
      </c>
      <c r="G10920" s="152" t="s">
        <v>12875</v>
      </c>
      <c r="H10920" s="153" t="s">
        <v>215</v>
      </c>
    </row>
    <row r="10921" hidden="1">
      <c r="A10921" s="154" t="s">
        <v>229</v>
      </c>
      <c r="B10921" s="155" t="s">
        <v>193</v>
      </c>
      <c r="C10921" s="155" t="s">
        <v>206</v>
      </c>
      <c r="D10921" s="156" t="s">
        <v>12722</v>
      </c>
      <c r="E10921" s="156" t="s">
        <v>12876</v>
      </c>
      <c r="F10921" s="156" t="s">
        <v>2223</v>
      </c>
      <c r="G10921" s="156" t="s">
        <v>12877</v>
      </c>
      <c r="H10921" s="157" t="s">
        <v>216</v>
      </c>
    </row>
    <row r="10922" hidden="1">
      <c r="A10922" s="151" t="s">
        <v>230</v>
      </c>
      <c r="B10922" s="118" t="s">
        <v>194</v>
      </c>
      <c r="C10922" s="118" t="s">
        <v>206</v>
      </c>
      <c r="D10922" s="152" t="s">
        <v>12722</v>
      </c>
      <c r="E10922" s="152" t="s">
        <v>12878</v>
      </c>
      <c r="F10922" s="152" t="s">
        <v>7047</v>
      </c>
      <c r="G10922" s="152" t="s">
        <v>12879</v>
      </c>
      <c r="H10922" s="153" t="s">
        <v>210</v>
      </c>
    </row>
    <row r="10923" hidden="1">
      <c r="A10923" s="154" t="s">
        <v>230</v>
      </c>
      <c r="B10923" s="155" t="s">
        <v>194</v>
      </c>
      <c r="C10923" s="155" t="s">
        <v>206</v>
      </c>
      <c r="D10923" s="156" t="s">
        <v>12722</v>
      </c>
      <c r="E10923" s="156" t="s">
        <v>12880</v>
      </c>
      <c r="F10923" s="156" t="s">
        <v>2259</v>
      </c>
      <c r="G10923" s="156" t="s">
        <v>12881</v>
      </c>
      <c r="H10923" s="157" t="s">
        <v>211</v>
      </c>
    </row>
    <row r="10924" hidden="1">
      <c r="A10924" s="151" t="s">
        <v>230</v>
      </c>
      <c r="B10924" s="118" t="s">
        <v>194</v>
      </c>
      <c r="C10924" s="118" t="s">
        <v>206</v>
      </c>
      <c r="D10924" s="152" t="s">
        <v>12722</v>
      </c>
      <c r="E10924" s="152" t="s">
        <v>12882</v>
      </c>
      <c r="F10924" s="152" t="s">
        <v>4251</v>
      </c>
      <c r="G10924" s="152" t="s">
        <v>12883</v>
      </c>
      <c r="H10924" s="153" t="s">
        <v>212</v>
      </c>
    </row>
    <row r="10925" hidden="1">
      <c r="A10925" s="154" t="s">
        <v>230</v>
      </c>
      <c r="B10925" s="155" t="s">
        <v>194</v>
      </c>
      <c r="C10925" s="155" t="s">
        <v>206</v>
      </c>
      <c r="D10925" s="156" t="s">
        <v>12722</v>
      </c>
      <c r="E10925" s="156" t="s">
        <v>12884</v>
      </c>
      <c r="F10925" s="156" t="s">
        <v>2812</v>
      </c>
      <c r="G10925" s="156" t="s">
        <v>12885</v>
      </c>
      <c r="H10925" s="157" t="s">
        <v>213</v>
      </c>
    </row>
    <row r="10926" hidden="1">
      <c r="A10926" s="151" t="s">
        <v>230</v>
      </c>
      <c r="B10926" s="118" t="s">
        <v>194</v>
      </c>
      <c r="C10926" s="118" t="s">
        <v>206</v>
      </c>
      <c r="D10926" s="152" t="s">
        <v>12722</v>
      </c>
      <c r="E10926" s="152" t="s">
        <v>12886</v>
      </c>
      <c r="F10926" s="152" t="s">
        <v>2321</v>
      </c>
      <c r="G10926" s="152" t="s">
        <v>12887</v>
      </c>
      <c r="H10926" s="153" t="s">
        <v>214</v>
      </c>
    </row>
    <row r="10927" hidden="1">
      <c r="A10927" s="154" t="s">
        <v>230</v>
      </c>
      <c r="B10927" s="155" t="s">
        <v>194</v>
      </c>
      <c r="C10927" s="155" t="s">
        <v>206</v>
      </c>
      <c r="D10927" s="156" t="s">
        <v>12722</v>
      </c>
      <c r="E10927" s="156" t="s">
        <v>12888</v>
      </c>
      <c r="F10927" s="156" t="s">
        <v>2321</v>
      </c>
      <c r="G10927" s="156" t="s">
        <v>12889</v>
      </c>
      <c r="H10927" s="157" t="s">
        <v>215</v>
      </c>
    </row>
    <row r="10928" hidden="1">
      <c r="A10928" s="151" t="s">
        <v>230</v>
      </c>
      <c r="B10928" s="118" t="s">
        <v>194</v>
      </c>
      <c r="C10928" s="118" t="s">
        <v>206</v>
      </c>
      <c r="D10928" s="152" t="s">
        <v>12722</v>
      </c>
      <c r="E10928" s="152" t="s">
        <v>12890</v>
      </c>
      <c r="F10928" s="152" t="s">
        <v>1773</v>
      </c>
      <c r="G10928" s="152" t="s">
        <v>12891</v>
      </c>
      <c r="H10928" s="153" t="s">
        <v>216</v>
      </c>
    </row>
    <row r="10929" hidden="1">
      <c r="A10929" s="158" t="s">
        <v>231</v>
      </c>
      <c r="B10929" s="159"/>
      <c r="C10929" s="155" t="s">
        <v>232</v>
      </c>
      <c r="D10929" s="156" t="s">
        <v>12722</v>
      </c>
      <c r="E10929" s="156" t="s">
        <v>12892</v>
      </c>
      <c r="F10929" s="156" t="s">
        <v>3625</v>
      </c>
      <c r="G10929" s="156" t="s">
        <v>12402</v>
      </c>
      <c r="H10929" s="157" t="s">
        <v>210</v>
      </c>
    </row>
    <row r="10930" hidden="1">
      <c r="A10930" s="160" t="s">
        <v>231</v>
      </c>
      <c r="B10930" s="72"/>
      <c r="C10930" s="118" t="s">
        <v>232</v>
      </c>
      <c r="D10930" s="152" t="s">
        <v>12722</v>
      </c>
      <c r="E10930" s="152" t="s">
        <v>12893</v>
      </c>
      <c r="F10930" s="152" t="s">
        <v>3359</v>
      </c>
      <c r="G10930" s="152" t="s">
        <v>12894</v>
      </c>
      <c r="H10930" s="153" t="s">
        <v>211</v>
      </c>
    </row>
    <row r="10931" hidden="1">
      <c r="A10931" s="158" t="s">
        <v>231</v>
      </c>
      <c r="B10931" s="159"/>
      <c r="C10931" s="155" t="s">
        <v>232</v>
      </c>
      <c r="D10931" s="156" t="s">
        <v>12722</v>
      </c>
      <c r="E10931" s="156" t="s">
        <v>12895</v>
      </c>
      <c r="F10931" s="156" t="s">
        <v>1989</v>
      </c>
      <c r="G10931" s="156" t="s">
        <v>12896</v>
      </c>
      <c r="H10931" s="157" t="s">
        <v>212</v>
      </c>
    </row>
    <row r="10932" hidden="1">
      <c r="A10932" s="160" t="s">
        <v>231</v>
      </c>
      <c r="B10932" s="72"/>
      <c r="C10932" s="118" t="s">
        <v>232</v>
      </c>
      <c r="D10932" s="152" t="s">
        <v>12722</v>
      </c>
      <c r="E10932" s="152" t="s">
        <v>12897</v>
      </c>
      <c r="F10932" s="152" t="s">
        <v>730</v>
      </c>
      <c r="G10932" s="152" t="s">
        <v>12602</v>
      </c>
      <c r="H10932" s="153" t="s">
        <v>213</v>
      </c>
    </row>
    <row r="10933" hidden="1">
      <c r="A10933" s="158" t="s">
        <v>231</v>
      </c>
      <c r="B10933" s="159"/>
      <c r="C10933" s="155" t="s">
        <v>232</v>
      </c>
      <c r="D10933" s="156" t="s">
        <v>12722</v>
      </c>
      <c r="E10933" s="156" t="s">
        <v>12898</v>
      </c>
      <c r="F10933" s="156" t="s">
        <v>3346</v>
      </c>
      <c r="G10933" s="156" t="s">
        <v>12899</v>
      </c>
      <c r="H10933" s="157" t="s">
        <v>214</v>
      </c>
    </row>
    <row r="10934" hidden="1">
      <c r="A10934" s="160" t="s">
        <v>231</v>
      </c>
      <c r="B10934" s="72"/>
      <c r="C10934" s="118" t="s">
        <v>232</v>
      </c>
      <c r="D10934" s="152" t="s">
        <v>12722</v>
      </c>
      <c r="E10934" s="152" t="s">
        <v>12900</v>
      </c>
      <c r="F10934" s="152" t="s">
        <v>1790</v>
      </c>
      <c r="G10934" s="152" t="s">
        <v>12901</v>
      </c>
      <c r="H10934" s="153" t="s">
        <v>215</v>
      </c>
    </row>
    <row r="10935" hidden="1">
      <c r="A10935" s="158" t="s">
        <v>231</v>
      </c>
      <c r="B10935" s="159"/>
      <c r="C10935" s="155" t="s">
        <v>232</v>
      </c>
      <c r="D10935" s="156" t="s">
        <v>12722</v>
      </c>
      <c r="E10935" s="156" t="s">
        <v>12902</v>
      </c>
      <c r="F10935" s="156" t="s">
        <v>675</v>
      </c>
      <c r="G10935" s="156" t="s">
        <v>12406</v>
      </c>
      <c r="H10935" s="157" t="s">
        <v>216</v>
      </c>
    </row>
    <row r="10936" hidden="1">
      <c r="A10936" s="160" t="s">
        <v>233</v>
      </c>
      <c r="B10936" s="72"/>
      <c r="C10936" s="118" t="s">
        <v>232</v>
      </c>
      <c r="D10936" s="152" t="s">
        <v>12722</v>
      </c>
      <c r="E10936" s="152" t="s">
        <v>12903</v>
      </c>
      <c r="F10936" s="152" t="s">
        <v>633</v>
      </c>
      <c r="G10936" s="152" t="s">
        <v>12904</v>
      </c>
      <c r="H10936" s="153" t="s">
        <v>210</v>
      </c>
    </row>
    <row r="10937" hidden="1">
      <c r="A10937" s="158" t="s">
        <v>233</v>
      </c>
      <c r="B10937" s="159"/>
      <c r="C10937" s="155" t="s">
        <v>232</v>
      </c>
      <c r="D10937" s="156" t="s">
        <v>12722</v>
      </c>
      <c r="E10937" s="156" t="s">
        <v>12905</v>
      </c>
      <c r="F10937" s="156" t="s">
        <v>2169</v>
      </c>
      <c r="G10937" s="156" t="s">
        <v>12906</v>
      </c>
      <c r="H10937" s="157" t="s">
        <v>211</v>
      </c>
    </row>
    <row r="10938" hidden="1">
      <c r="A10938" s="160" t="s">
        <v>233</v>
      </c>
      <c r="B10938" s="72"/>
      <c r="C10938" s="118" t="s">
        <v>232</v>
      </c>
      <c r="D10938" s="152" t="s">
        <v>12722</v>
      </c>
      <c r="E10938" s="152" t="s">
        <v>12907</v>
      </c>
      <c r="F10938" s="152" t="s">
        <v>292</v>
      </c>
      <c r="G10938" s="152" t="s">
        <v>12908</v>
      </c>
      <c r="H10938" s="153" t="s">
        <v>212</v>
      </c>
    </row>
    <row r="10939" hidden="1">
      <c r="A10939" s="158" t="s">
        <v>233</v>
      </c>
      <c r="B10939" s="159"/>
      <c r="C10939" s="155" t="s">
        <v>232</v>
      </c>
      <c r="D10939" s="156" t="s">
        <v>12722</v>
      </c>
      <c r="E10939" s="156" t="s">
        <v>12909</v>
      </c>
      <c r="F10939" s="156" t="s">
        <v>2218</v>
      </c>
      <c r="G10939" s="156" t="s">
        <v>12910</v>
      </c>
      <c r="H10939" s="157" t="s">
        <v>213</v>
      </c>
    </row>
    <row r="10940" hidden="1">
      <c r="A10940" s="160" t="s">
        <v>233</v>
      </c>
      <c r="B10940" s="72"/>
      <c r="C10940" s="118" t="s">
        <v>232</v>
      </c>
      <c r="D10940" s="152" t="s">
        <v>12722</v>
      </c>
      <c r="E10940" s="152" t="s">
        <v>12911</v>
      </c>
      <c r="F10940" s="152" t="s">
        <v>633</v>
      </c>
      <c r="G10940" s="152" t="s">
        <v>12912</v>
      </c>
      <c r="H10940" s="153" t="s">
        <v>214</v>
      </c>
    </row>
    <row r="10941" hidden="1">
      <c r="A10941" s="158" t="s">
        <v>233</v>
      </c>
      <c r="B10941" s="159"/>
      <c r="C10941" s="155" t="s">
        <v>232</v>
      </c>
      <c r="D10941" s="156" t="s">
        <v>12722</v>
      </c>
      <c r="E10941" s="156" t="s">
        <v>12913</v>
      </c>
      <c r="F10941" s="156" t="s">
        <v>1989</v>
      </c>
      <c r="G10941" s="156" t="s">
        <v>12914</v>
      </c>
      <c r="H10941" s="157" t="s">
        <v>215</v>
      </c>
    </row>
    <row r="10942" hidden="1">
      <c r="A10942" s="160" t="s">
        <v>233</v>
      </c>
      <c r="B10942" s="72"/>
      <c r="C10942" s="118" t="s">
        <v>232</v>
      </c>
      <c r="D10942" s="152" t="s">
        <v>12722</v>
      </c>
      <c r="E10942" s="152" t="s">
        <v>12915</v>
      </c>
      <c r="F10942" s="152" t="s">
        <v>10944</v>
      </c>
      <c r="G10942" s="152" t="s">
        <v>12916</v>
      </c>
      <c r="H10942" s="153" t="s">
        <v>216</v>
      </c>
    </row>
    <row r="10943" hidden="1">
      <c r="A10943" s="158" t="s">
        <v>234</v>
      </c>
      <c r="B10943" s="159"/>
      <c r="C10943" s="155" t="s">
        <v>232</v>
      </c>
      <c r="D10943" s="156" t="s">
        <v>12722</v>
      </c>
      <c r="E10943" s="156" t="s">
        <v>12917</v>
      </c>
      <c r="F10943" s="156" t="s">
        <v>1841</v>
      </c>
      <c r="G10943" s="156" t="s">
        <v>12730</v>
      </c>
      <c r="H10943" s="157" t="s">
        <v>210</v>
      </c>
    </row>
    <row r="10944" hidden="1">
      <c r="A10944" s="160" t="s">
        <v>234</v>
      </c>
      <c r="B10944" s="72"/>
      <c r="C10944" s="118" t="s">
        <v>232</v>
      </c>
      <c r="D10944" s="152" t="s">
        <v>12722</v>
      </c>
      <c r="E10944" s="152" t="s">
        <v>12918</v>
      </c>
      <c r="F10944" s="152" t="s">
        <v>11592</v>
      </c>
      <c r="G10944" s="152" t="s">
        <v>12919</v>
      </c>
      <c r="H10944" s="153" t="s">
        <v>211</v>
      </c>
    </row>
    <row r="10945" hidden="1">
      <c r="A10945" s="158" t="s">
        <v>234</v>
      </c>
      <c r="B10945" s="159"/>
      <c r="C10945" s="155" t="s">
        <v>232</v>
      </c>
      <c r="D10945" s="156" t="s">
        <v>12722</v>
      </c>
      <c r="E10945" s="156" t="s">
        <v>12920</v>
      </c>
      <c r="F10945" s="156" t="s">
        <v>1986</v>
      </c>
      <c r="G10945" s="156" t="s">
        <v>12921</v>
      </c>
      <c r="H10945" s="157" t="s">
        <v>212</v>
      </c>
    </row>
    <row r="10946" hidden="1">
      <c r="A10946" s="160" t="s">
        <v>234</v>
      </c>
      <c r="B10946" s="72"/>
      <c r="C10946" s="118" t="s">
        <v>232</v>
      </c>
      <c r="D10946" s="152" t="s">
        <v>12722</v>
      </c>
      <c r="E10946" s="152" t="s">
        <v>12922</v>
      </c>
      <c r="F10946" s="152" t="s">
        <v>1873</v>
      </c>
      <c r="G10946" s="152" t="s">
        <v>12923</v>
      </c>
      <c r="H10946" s="153" t="s">
        <v>213</v>
      </c>
    </row>
    <row r="10947" hidden="1">
      <c r="A10947" s="158" t="s">
        <v>234</v>
      </c>
      <c r="B10947" s="159"/>
      <c r="C10947" s="155" t="s">
        <v>232</v>
      </c>
      <c r="D10947" s="156" t="s">
        <v>12722</v>
      </c>
      <c r="E10947" s="156" t="s">
        <v>12924</v>
      </c>
      <c r="F10947" s="156" t="s">
        <v>1877</v>
      </c>
      <c r="G10947" s="156" t="s">
        <v>12925</v>
      </c>
      <c r="H10947" s="157" t="s">
        <v>214</v>
      </c>
    </row>
    <row r="10948" hidden="1">
      <c r="A10948" s="160" t="s">
        <v>234</v>
      </c>
      <c r="B10948" s="72"/>
      <c r="C10948" s="118" t="s">
        <v>232</v>
      </c>
      <c r="D10948" s="152" t="s">
        <v>12722</v>
      </c>
      <c r="E10948" s="152" t="s">
        <v>12926</v>
      </c>
      <c r="F10948" s="152" t="s">
        <v>633</v>
      </c>
      <c r="G10948" s="152" t="s">
        <v>12927</v>
      </c>
      <c r="H10948" s="153" t="s">
        <v>215</v>
      </c>
    </row>
    <row r="10949" hidden="1">
      <c r="A10949" s="158" t="s">
        <v>234</v>
      </c>
      <c r="B10949" s="159"/>
      <c r="C10949" s="155" t="s">
        <v>232</v>
      </c>
      <c r="D10949" s="156" t="s">
        <v>12722</v>
      </c>
      <c r="E10949" s="156" t="s">
        <v>12928</v>
      </c>
      <c r="F10949" s="156" t="s">
        <v>1916</v>
      </c>
      <c r="G10949" s="156" t="s">
        <v>12608</v>
      </c>
      <c r="H10949" s="157" t="s">
        <v>216</v>
      </c>
    </row>
    <row r="10950" hidden="1">
      <c r="A10950" s="160" t="s">
        <v>235</v>
      </c>
      <c r="B10950" s="72"/>
      <c r="C10950" s="118" t="s">
        <v>236</v>
      </c>
      <c r="D10950" s="152" t="s">
        <v>12722</v>
      </c>
      <c r="E10950" s="152" t="s">
        <v>12929</v>
      </c>
      <c r="F10950" s="152" t="s">
        <v>9469</v>
      </c>
      <c r="G10950" s="152" t="s">
        <v>12930</v>
      </c>
      <c r="H10950" s="153" t="s">
        <v>210</v>
      </c>
    </row>
    <row r="10951" hidden="1">
      <c r="A10951" s="158" t="s">
        <v>235</v>
      </c>
      <c r="B10951" s="159"/>
      <c r="C10951" s="155" t="s">
        <v>236</v>
      </c>
      <c r="D10951" s="156" t="s">
        <v>12722</v>
      </c>
      <c r="E10951" s="156" t="s">
        <v>12931</v>
      </c>
      <c r="F10951" s="156" t="s">
        <v>9480</v>
      </c>
      <c r="G10951" s="156" t="s">
        <v>12508</v>
      </c>
      <c r="H10951" s="157" t="s">
        <v>211</v>
      </c>
    </row>
    <row r="10952" hidden="1">
      <c r="A10952" s="160" t="s">
        <v>235</v>
      </c>
      <c r="B10952" s="72"/>
      <c r="C10952" s="118" t="s">
        <v>236</v>
      </c>
      <c r="D10952" s="152" t="s">
        <v>12722</v>
      </c>
      <c r="E10952" s="152" t="s">
        <v>12932</v>
      </c>
      <c r="F10952" s="152" t="s">
        <v>292</v>
      </c>
      <c r="G10952" s="152" t="s">
        <v>12563</v>
      </c>
      <c r="H10952" s="153" t="s">
        <v>212</v>
      </c>
    </row>
    <row r="10953" hidden="1">
      <c r="A10953" s="158" t="s">
        <v>235</v>
      </c>
      <c r="B10953" s="159"/>
      <c r="C10953" s="155" t="s">
        <v>236</v>
      </c>
      <c r="D10953" s="156" t="s">
        <v>12722</v>
      </c>
      <c r="E10953" s="156" t="s">
        <v>12933</v>
      </c>
      <c r="F10953" s="156" t="s">
        <v>2407</v>
      </c>
      <c r="G10953" s="156" t="s">
        <v>12934</v>
      </c>
      <c r="H10953" s="157" t="s">
        <v>213</v>
      </c>
    </row>
    <row r="10954" hidden="1">
      <c r="A10954" s="160" t="s">
        <v>235</v>
      </c>
      <c r="B10954" s="72"/>
      <c r="C10954" s="118" t="s">
        <v>236</v>
      </c>
      <c r="D10954" s="152" t="s">
        <v>12722</v>
      </c>
      <c r="E10954" s="152" t="s">
        <v>12935</v>
      </c>
      <c r="F10954" s="152" t="s">
        <v>7374</v>
      </c>
      <c r="G10954" s="152" t="s">
        <v>12936</v>
      </c>
      <c r="H10954" s="153" t="s">
        <v>214</v>
      </c>
    </row>
    <row r="10955" hidden="1">
      <c r="A10955" s="158" t="s">
        <v>235</v>
      </c>
      <c r="B10955" s="159"/>
      <c r="C10955" s="155" t="s">
        <v>236</v>
      </c>
      <c r="D10955" s="156" t="s">
        <v>12722</v>
      </c>
      <c r="E10955" s="156" t="s">
        <v>12937</v>
      </c>
      <c r="F10955" s="156" t="s">
        <v>641</v>
      </c>
      <c r="G10955" s="156" t="s">
        <v>12938</v>
      </c>
      <c r="H10955" s="157" t="s">
        <v>215</v>
      </c>
    </row>
    <row r="10956" hidden="1">
      <c r="A10956" s="160" t="s">
        <v>235</v>
      </c>
      <c r="B10956" s="72"/>
      <c r="C10956" s="118" t="s">
        <v>236</v>
      </c>
      <c r="D10956" s="152" t="s">
        <v>12722</v>
      </c>
      <c r="E10956" s="152" t="s">
        <v>12939</v>
      </c>
      <c r="F10956" s="152" t="s">
        <v>2807</v>
      </c>
      <c r="G10956" s="152" t="s">
        <v>12940</v>
      </c>
      <c r="H10956" s="153" t="s">
        <v>216</v>
      </c>
    </row>
    <row r="10957" hidden="1">
      <c r="A10957" s="158" t="s">
        <v>237</v>
      </c>
      <c r="B10957" s="159"/>
      <c r="C10957" s="155" t="s">
        <v>236</v>
      </c>
      <c r="D10957" s="156" t="s">
        <v>12722</v>
      </c>
      <c r="E10957" s="156" t="s">
        <v>12941</v>
      </c>
      <c r="F10957" s="156" t="s">
        <v>1901</v>
      </c>
      <c r="G10957" s="156" t="s">
        <v>12942</v>
      </c>
      <c r="H10957" s="157" t="s">
        <v>210</v>
      </c>
    </row>
    <row r="10958" hidden="1">
      <c r="A10958" s="160" t="s">
        <v>237</v>
      </c>
      <c r="B10958" s="72"/>
      <c r="C10958" s="118" t="s">
        <v>236</v>
      </c>
      <c r="D10958" s="152" t="s">
        <v>12722</v>
      </c>
      <c r="E10958" s="152" t="s">
        <v>12943</v>
      </c>
      <c r="F10958" s="152" t="s">
        <v>11549</v>
      </c>
      <c r="G10958" s="152" t="s">
        <v>12944</v>
      </c>
      <c r="H10958" s="153" t="s">
        <v>211</v>
      </c>
    </row>
    <row r="10959" hidden="1">
      <c r="A10959" s="158" t="s">
        <v>237</v>
      </c>
      <c r="B10959" s="159"/>
      <c r="C10959" s="155" t="s">
        <v>236</v>
      </c>
      <c r="D10959" s="156" t="s">
        <v>12722</v>
      </c>
      <c r="E10959" s="156" t="s">
        <v>12945</v>
      </c>
      <c r="F10959" s="156" t="s">
        <v>6323</v>
      </c>
      <c r="G10959" s="156" t="s">
        <v>12946</v>
      </c>
      <c r="H10959" s="157" t="s">
        <v>212</v>
      </c>
    </row>
    <row r="10960" hidden="1">
      <c r="A10960" s="160" t="s">
        <v>237</v>
      </c>
      <c r="B10960" s="72"/>
      <c r="C10960" s="118" t="s">
        <v>236</v>
      </c>
      <c r="D10960" s="152" t="s">
        <v>12722</v>
      </c>
      <c r="E10960" s="152" t="s">
        <v>12947</v>
      </c>
      <c r="F10960" s="152" t="s">
        <v>1797</v>
      </c>
      <c r="G10960" s="152" t="s">
        <v>12520</v>
      </c>
      <c r="H10960" s="153" t="s">
        <v>213</v>
      </c>
    </row>
    <row r="10961" hidden="1">
      <c r="A10961" s="158" t="s">
        <v>237</v>
      </c>
      <c r="B10961" s="159"/>
      <c r="C10961" s="155" t="s">
        <v>236</v>
      </c>
      <c r="D10961" s="156" t="s">
        <v>12722</v>
      </c>
      <c r="E10961" s="156" t="s">
        <v>12948</v>
      </c>
      <c r="F10961" s="156" t="s">
        <v>1916</v>
      </c>
      <c r="G10961" s="156" t="s">
        <v>12949</v>
      </c>
      <c r="H10961" s="157" t="s">
        <v>214</v>
      </c>
    </row>
    <row r="10962" hidden="1">
      <c r="A10962" s="160" t="s">
        <v>237</v>
      </c>
      <c r="B10962" s="72"/>
      <c r="C10962" s="118" t="s">
        <v>236</v>
      </c>
      <c r="D10962" s="152" t="s">
        <v>12722</v>
      </c>
      <c r="E10962" s="152" t="s">
        <v>12950</v>
      </c>
      <c r="F10962" s="152" t="s">
        <v>1765</v>
      </c>
      <c r="G10962" s="152" t="s">
        <v>12951</v>
      </c>
      <c r="H10962" s="153" t="s">
        <v>215</v>
      </c>
    </row>
    <row r="10963" hidden="1">
      <c r="A10963" s="158" t="s">
        <v>237</v>
      </c>
      <c r="B10963" s="159"/>
      <c r="C10963" s="155" t="s">
        <v>236</v>
      </c>
      <c r="D10963" s="156" t="s">
        <v>12722</v>
      </c>
      <c r="E10963" s="156" t="s">
        <v>12952</v>
      </c>
      <c r="F10963" s="156" t="s">
        <v>2018</v>
      </c>
      <c r="G10963" s="156" t="s">
        <v>12953</v>
      </c>
      <c r="H10963" s="157" t="s">
        <v>216</v>
      </c>
    </row>
    <row r="10964" hidden="1">
      <c r="A10964" s="151" t="s">
        <v>204</v>
      </c>
      <c r="B10964" s="118" t="s">
        <v>205</v>
      </c>
      <c r="C10964" s="118" t="s">
        <v>206</v>
      </c>
      <c r="D10964" s="152" t="s">
        <v>12954</v>
      </c>
      <c r="E10964" s="152" t="s">
        <v>12955</v>
      </c>
      <c r="F10964" s="152" t="s">
        <v>1989</v>
      </c>
      <c r="G10964" s="152" t="s">
        <v>12956</v>
      </c>
      <c r="H10964" s="153" t="s">
        <v>210</v>
      </c>
    </row>
    <row r="10965" hidden="1">
      <c r="A10965" s="154" t="s">
        <v>204</v>
      </c>
      <c r="B10965" s="155" t="s">
        <v>205</v>
      </c>
      <c r="C10965" s="155" t="s">
        <v>206</v>
      </c>
      <c r="D10965" s="156" t="s">
        <v>12954</v>
      </c>
      <c r="E10965" s="156" t="s">
        <v>12957</v>
      </c>
      <c r="F10965" s="156" t="s">
        <v>9480</v>
      </c>
      <c r="G10965" s="156" t="s">
        <v>12958</v>
      </c>
      <c r="H10965" s="157" t="s">
        <v>211</v>
      </c>
    </row>
    <row r="10966" hidden="1">
      <c r="A10966" s="151" t="s">
        <v>204</v>
      </c>
      <c r="B10966" s="118" t="s">
        <v>205</v>
      </c>
      <c r="C10966" s="118" t="s">
        <v>206</v>
      </c>
      <c r="D10966" s="152" t="s">
        <v>12954</v>
      </c>
      <c r="E10966" s="152" t="s">
        <v>12959</v>
      </c>
      <c r="F10966" s="152" t="s">
        <v>292</v>
      </c>
      <c r="G10966" s="152" t="s">
        <v>12960</v>
      </c>
      <c r="H10966" s="153" t="s">
        <v>212</v>
      </c>
    </row>
    <row r="10967" hidden="1">
      <c r="A10967" s="154" t="s">
        <v>204</v>
      </c>
      <c r="B10967" s="155" t="s">
        <v>205</v>
      </c>
      <c r="C10967" s="155" t="s">
        <v>206</v>
      </c>
      <c r="D10967" s="156" t="s">
        <v>12954</v>
      </c>
      <c r="E10967" s="156" t="s">
        <v>12961</v>
      </c>
      <c r="F10967" s="156" t="s">
        <v>3145</v>
      </c>
      <c r="G10967" s="156" t="s">
        <v>12962</v>
      </c>
      <c r="H10967" s="157" t="s">
        <v>213</v>
      </c>
    </row>
    <row r="10968" hidden="1">
      <c r="A10968" s="151" t="s">
        <v>204</v>
      </c>
      <c r="B10968" s="118" t="s">
        <v>205</v>
      </c>
      <c r="C10968" s="118" t="s">
        <v>206</v>
      </c>
      <c r="D10968" s="152" t="s">
        <v>12954</v>
      </c>
      <c r="E10968" s="152" t="s">
        <v>12963</v>
      </c>
      <c r="F10968" s="152" t="s">
        <v>3150</v>
      </c>
      <c r="G10968" s="152" t="s">
        <v>12964</v>
      </c>
      <c r="H10968" s="153" t="s">
        <v>214</v>
      </c>
    </row>
    <row r="10969" hidden="1">
      <c r="A10969" s="154" t="s">
        <v>204</v>
      </c>
      <c r="B10969" s="155" t="s">
        <v>205</v>
      </c>
      <c r="C10969" s="155" t="s">
        <v>206</v>
      </c>
      <c r="D10969" s="156" t="s">
        <v>12954</v>
      </c>
      <c r="E10969" s="156" t="s">
        <v>12965</v>
      </c>
      <c r="F10969" s="156" t="s">
        <v>2407</v>
      </c>
      <c r="G10969" s="156" t="s">
        <v>12966</v>
      </c>
      <c r="H10969" s="157" t="s">
        <v>215</v>
      </c>
    </row>
    <row r="10970" hidden="1">
      <c r="A10970" s="151" t="s">
        <v>204</v>
      </c>
      <c r="B10970" s="118" t="s">
        <v>205</v>
      </c>
      <c r="C10970" s="118" t="s">
        <v>206</v>
      </c>
      <c r="D10970" s="152" t="s">
        <v>12954</v>
      </c>
      <c r="E10970" s="152" t="s">
        <v>12967</v>
      </c>
      <c r="F10970" s="152" t="s">
        <v>229</v>
      </c>
      <c r="G10970" s="152" t="s">
        <v>12968</v>
      </c>
      <c r="H10970" s="153" t="s">
        <v>216</v>
      </c>
    </row>
    <row r="10971" hidden="1">
      <c r="A10971" s="154" t="s">
        <v>217</v>
      </c>
      <c r="B10971" s="155" t="s">
        <v>191</v>
      </c>
      <c r="C10971" s="155" t="s">
        <v>206</v>
      </c>
      <c r="D10971" s="156" t="s">
        <v>12954</v>
      </c>
      <c r="E10971" s="156" t="s">
        <v>12969</v>
      </c>
      <c r="F10971" s="156" t="s">
        <v>1989</v>
      </c>
      <c r="G10971" s="156" t="s">
        <v>12970</v>
      </c>
      <c r="H10971" s="157" t="s">
        <v>210</v>
      </c>
    </row>
    <row r="10972" hidden="1">
      <c r="A10972" s="151" t="s">
        <v>217</v>
      </c>
      <c r="B10972" s="118" t="s">
        <v>191</v>
      </c>
      <c r="C10972" s="118" t="s">
        <v>206</v>
      </c>
      <c r="D10972" s="152" t="s">
        <v>12954</v>
      </c>
      <c r="E10972" s="152" t="s">
        <v>12971</v>
      </c>
      <c r="F10972" s="152" t="s">
        <v>4052</v>
      </c>
      <c r="G10972" s="152" t="s">
        <v>12806</v>
      </c>
      <c r="H10972" s="153" t="s">
        <v>211</v>
      </c>
    </row>
    <row r="10973" hidden="1">
      <c r="A10973" s="154" t="s">
        <v>217</v>
      </c>
      <c r="B10973" s="155" t="s">
        <v>191</v>
      </c>
      <c r="C10973" s="155" t="s">
        <v>206</v>
      </c>
      <c r="D10973" s="156" t="s">
        <v>12954</v>
      </c>
      <c r="E10973" s="156" t="s">
        <v>12972</v>
      </c>
      <c r="F10973" s="156" t="s">
        <v>1790</v>
      </c>
      <c r="G10973" s="156" t="s">
        <v>12825</v>
      </c>
      <c r="H10973" s="157" t="s">
        <v>212</v>
      </c>
    </row>
    <row r="10974" hidden="1">
      <c r="A10974" s="151" t="s">
        <v>217</v>
      </c>
      <c r="B10974" s="118" t="s">
        <v>191</v>
      </c>
      <c r="C10974" s="118" t="s">
        <v>206</v>
      </c>
      <c r="D10974" s="152" t="s">
        <v>12954</v>
      </c>
      <c r="E10974" s="152" t="s">
        <v>12973</v>
      </c>
      <c r="F10974" s="152" t="s">
        <v>1790</v>
      </c>
      <c r="G10974" s="152" t="s">
        <v>12974</v>
      </c>
      <c r="H10974" s="153" t="s">
        <v>213</v>
      </c>
    </row>
    <row r="10975" hidden="1">
      <c r="A10975" s="154" t="s">
        <v>217</v>
      </c>
      <c r="B10975" s="155" t="s">
        <v>191</v>
      </c>
      <c r="C10975" s="155" t="s">
        <v>206</v>
      </c>
      <c r="D10975" s="156" t="s">
        <v>12954</v>
      </c>
      <c r="E10975" s="156" t="s">
        <v>12975</v>
      </c>
      <c r="F10975" s="156" t="s">
        <v>292</v>
      </c>
      <c r="G10975" s="156" t="s">
        <v>12976</v>
      </c>
      <c r="H10975" s="157" t="s">
        <v>214</v>
      </c>
    </row>
    <row r="10976" hidden="1">
      <c r="A10976" s="151" t="s">
        <v>217</v>
      </c>
      <c r="B10976" s="118" t="s">
        <v>191</v>
      </c>
      <c r="C10976" s="118" t="s">
        <v>206</v>
      </c>
      <c r="D10976" s="152" t="s">
        <v>12954</v>
      </c>
      <c r="E10976" s="152" t="s">
        <v>12977</v>
      </c>
      <c r="F10976" s="152" t="s">
        <v>292</v>
      </c>
      <c r="G10976" s="152" t="s">
        <v>12978</v>
      </c>
      <c r="H10976" s="153" t="s">
        <v>215</v>
      </c>
    </row>
    <row r="10977" hidden="1">
      <c r="A10977" s="154" t="s">
        <v>217</v>
      </c>
      <c r="B10977" s="155" t="s">
        <v>191</v>
      </c>
      <c r="C10977" s="155" t="s">
        <v>206</v>
      </c>
      <c r="D10977" s="156" t="s">
        <v>12954</v>
      </c>
      <c r="E10977" s="156" t="s">
        <v>12979</v>
      </c>
      <c r="F10977" s="156" t="s">
        <v>2407</v>
      </c>
      <c r="G10977" s="156" t="s">
        <v>12980</v>
      </c>
      <c r="H10977" s="157" t="s">
        <v>216</v>
      </c>
    </row>
    <row r="10978" hidden="1">
      <c r="A10978" s="151" t="s">
        <v>218</v>
      </c>
      <c r="B10978" s="118" t="s">
        <v>219</v>
      </c>
      <c r="C10978" s="118" t="s">
        <v>206</v>
      </c>
      <c r="D10978" s="152" t="s">
        <v>12954</v>
      </c>
      <c r="E10978" s="152" t="s">
        <v>12981</v>
      </c>
      <c r="F10978" s="152" t="s">
        <v>631</v>
      </c>
      <c r="G10978" s="152" t="s">
        <v>12618</v>
      </c>
      <c r="H10978" s="153" t="s">
        <v>210</v>
      </c>
    </row>
    <row r="10979" hidden="1">
      <c r="A10979" s="154" t="s">
        <v>218</v>
      </c>
      <c r="B10979" s="155" t="s">
        <v>219</v>
      </c>
      <c r="C10979" s="155" t="s">
        <v>206</v>
      </c>
      <c r="D10979" s="156" t="s">
        <v>12954</v>
      </c>
      <c r="E10979" s="156" t="s">
        <v>12982</v>
      </c>
      <c r="F10979" s="156" t="s">
        <v>9840</v>
      </c>
      <c r="G10979" s="156" t="s">
        <v>12983</v>
      </c>
      <c r="H10979" s="157" t="s">
        <v>211</v>
      </c>
    </row>
    <row r="10980" hidden="1">
      <c r="A10980" s="151" t="s">
        <v>218</v>
      </c>
      <c r="B10980" s="118" t="s">
        <v>219</v>
      </c>
      <c r="C10980" s="118" t="s">
        <v>206</v>
      </c>
      <c r="D10980" s="152" t="s">
        <v>12954</v>
      </c>
      <c r="E10980" s="152" t="s">
        <v>12984</v>
      </c>
      <c r="F10980" s="152" t="s">
        <v>2005</v>
      </c>
      <c r="G10980" s="152" t="s">
        <v>12985</v>
      </c>
      <c r="H10980" s="153" t="s">
        <v>212</v>
      </c>
    </row>
    <row r="10981" hidden="1">
      <c r="A10981" s="154" t="s">
        <v>218</v>
      </c>
      <c r="B10981" s="155" t="s">
        <v>219</v>
      </c>
      <c r="C10981" s="155" t="s">
        <v>206</v>
      </c>
      <c r="D10981" s="156" t="s">
        <v>12954</v>
      </c>
      <c r="E10981" s="156" t="s">
        <v>12986</v>
      </c>
      <c r="F10981" s="156" t="s">
        <v>2173</v>
      </c>
      <c r="G10981" s="156" t="s">
        <v>12491</v>
      </c>
      <c r="H10981" s="157" t="s">
        <v>213</v>
      </c>
    </row>
    <row r="10982" hidden="1">
      <c r="A10982" s="151" t="s">
        <v>218</v>
      </c>
      <c r="B10982" s="118" t="s">
        <v>219</v>
      </c>
      <c r="C10982" s="118" t="s">
        <v>206</v>
      </c>
      <c r="D10982" s="152" t="s">
        <v>12954</v>
      </c>
      <c r="E10982" s="152" t="s">
        <v>12987</v>
      </c>
      <c r="F10982" s="152" t="s">
        <v>1771</v>
      </c>
      <c r="G10982" s="152" t="s">
        <v>12618</v>
      </c>
      <c r="H10982" s="153" t="s">
        <v>214</v>
      </c>
    </row>
    <row r="10983" hidden="1">
      <c r="A10983" s="154" t="s">
        <v>218</v>
      </c>
      <c r="B10983" s="155" t="s">
        <v>219</v>
      </c>
      <c r="C10983" s="155" t="s">
        <v>206</v>
      </c>
      <c r="D10983" s="156" t="s">
        <v>12954</v>
      </c>
      <c r="E10983" s="156" t="s">
        <v>12988</v>
      </c>
      <c r="F10983" s="156" t="s">
        <v>1989</v>
      </c>
      <c r="G10983" s="156" t="s">
        <v>12820</v>
      </c>
      <c r="H10983" s="157" t="s">
        <v>215</v>
      </c>
    </row>
    <row r="10984" hidden="1">
      <c r="A10984" s="151" t="s">
        <v>218</v>
      </c>
      <c r="B10984" s="118" t="s">
        <v>219</v>
      </c>
      <c r="C10984" s="118" t="s">
        <v>206</v>
      </c>
      <c r="D10984" s="152" t="s">
        <v>12954</v>
      </c>
      <c r="E10984" s="152" t="s">
        <v>12989</v>
      </c>
      <c r="F10984" s="152" t="s">
        <v>10944</v>
      </c>
      <c r="G10984" s="152" t="s">
        <v>12606</v>
      </c>
      <c r="H10984" s="153" t="s">
        <v>216</v>
      </c>
    </row>
    <row r="10985" hidden="1">
      <c r="A10985" s="154" t="s">
        <v>220</v>
      </c>
      <c r="B10985" s="155" t="s">
        <v>190</v>
      </c>
      <c r="C10985" s="155" t="s">
        <v>206</v>
      </c>
      <c r="D10985" s="156" t="s">
        <v>12954</v>
      </c>
      <c r="E10985" s="156" t="s">
        <v>12990</v>
      </c>
      <c r="F10985" s="156" t="s">
        <v>9840</v>
      </c>
      <c r="G10985" s="156" t="s">
        <v>12991</v>
      </c>
      <c r="H10985" s="157" t="s">
        <v>210</v>
      </c>
    </row>
    <row r="10986" hidden="1">
      <c r="A10986" s="151" t="s">
        <v>220</v>
      </c>
      <c r="B10986" s="118" t="s">
        <v>190</v>
      </c>
      <c r="C10986" s="118" t="s">
        <v>206</v>
      </c>
      <c r="D10986" s="152" t="s">
        <v>12954</v>
      </c>
      <c r="E10986" s="152" t="s">
        <v>12992</v>
      </c>
      <c r="F10986" s="152" t="s">
        <v>229</v>
      </c>
      <c r="G10986" s="152" t="s">
        <v>12993</v>
      </c>
      <c r="H10986" s="153" t="s">
        <v>211</v>
      </c>
    </row>
    <row r="10987" hidden="1">
      <c r="A10987" s="154" t="s">
        <v>220</v>
      </c>
      <c r="B10987" s="155" t="s">
        <v>190</v>
      </c>
      <c r="C10987" s="155" t="s">
        <v>206</v>
      </c>
      <c r="D10987" s="156" t="s">
        <v>12954</v>
      </c>
      <c r="E10987" s="156" t="s">
        <v>12994</v>
      </c>
      <c r="F10987" s="156" t="s">
        <v>673</v>
      </c>
      <c r="G10987" s="156" t="s">
        <v>12995</v>
      </c>
      <c r="H10987" s="157" t="s">
        <v>212</v>
      </c>
    </row>
    <row r="10988" hidden="1">
      <c r="A10988" s="151" t="s">
        <v>220</v>
      </c>
      <c r="B10988" s="118" t="s">
        <v>190</v>
      </c>
      <c r="C10988" s="118" t="s">
        <v>206</v>
      </c>
      <c r="D10988" s="152" t="s">
        <v>12954</v>
      </c>
      <c r="E10988" s="152" t="s">
        <v>12996</v>
      </c>
      <c r="F10988" s="152" t="s">
        <v>629</v>
      </c>
      <c r="G10988" s="152" t="s">
        <v>12715</v>
      </c>
      <c r="H10988" s="153" t="s">
        <v>213</v>
      </c>
    </row>
    <row r="10989" hidden="1">
      <c r="A10989" s="154" t="s">
        <v>220</v>
      </c>
      <c r="B10989" s="155" t="s">
        <v>190</v>
      </c>
      <c r="C10989" s="155" t="s">
        <v>206</v>
      </c>
      <c r="D10989" s="156" t="s">
        <v>12954</v>
      </c>
      <c r="E10989" s="156" t="s">
        <v>12997</v>
      </c>
      <c r="F10989" s="156" t="s">
        <v>673</v>
      </c>
      <c r="G10989" s="156" t="s">
        <v>12721</v>
      </c>
      <c r="H10989" s="157" t="s">
        <v>214</v>
      </c>
    </row>
    <row r="10990" hidden="1">
      <c r="A10990" s="151" t="s">
        <v>220</v>
      </c>
      <c r="B10990" s="118" t="s">
        <v>190</v>
      </c>
      <c r="C10990" s="118" t="s">
        <v>206</v>
      </c>
      <c r="D10990" s="152" t="s">
        <v>12954</v>
      </c>
      <c r="E10990" s="152" t="s">
        <v>12998</v>
      </c>
      <c r="F10990" s="152" t="s">
        <v>11634</v>
      </c>
      <c r="G10990" s="152" t="s">
        <v>12999</v>
      </c>
      <c r="H10990" s="153" t="s">
        <v>215</v>
      </c>
    </row>
    <row r="10991" hidden="1">
      <c r="A10991" s="154" t="s">
        <v>220</v>
      </c>
      <c r="B10991" s="155" t="s">
        <v>190</v>
      </c>
      <c r="C10991" s="155" t="s">
        <v>206</v>
      </c>
      <c r="D10991" s="156" t="s">
        <v>12954</v>
      </c>
      <c r="E10991" s="156" t="s">
        <v>13000</v>
      </c>
      <c r="F10991" s="156" t="s">
        <v>641</v>
      </c>
      <c r="G10991" s="156" t="s">
        <v>13001</v>
      </c>
      <c r="H10991" s="157" t="s">
        <v>216</v>
      </c>
    </row>
    <row r="10992" hidden="1">
      <c r="A10992" s="151" t="s">
        <v>221</v>
      </c>
      <c r="B10992" s="118" t="s">
        <v>189</v>
      </c>
      <c r="C10992" s="118" t="s">
        <v>206</v>
      </c>
      <c r="D10992" s="152" t="s">
        <v>12954</v>
      </c>
      <c r="E10992" s="152" t="s">
        <v>13002</v>
      </c>
      <c r="F10992" s="152" t="s">
        <v>2343</v>
      </c>
      <c r="G10992" s="152" t="s">
        <v>12471</v>
      </c>
      <c r="H10992" s="153" t="s">
        <v>210</v>
      </c>
    </row>
    <row r="10993" hidden="1">
      <c r="A10993" s="154" t="s">
        <v>221</v>
      </c>
      <c r="B10993" s="155" t="s">
        <v>189</v>
      </c>
      <c r="C10993" s="155" t="s">
        <v>206</v>
      </c>
      <c r="D10993" s="156" t="s">
        <v>12954</v>
      </c>
      <c r="E10993" s="156" t="s">
        <v>13003</v>
      </c>
      <c r="F10993" s="156" t="s">
        <v>1804</v>
      </c>
      <c r="G10993" s="156" t="s">
        <v>13004</v>
      </c>
      <c r="H10993" s="157" t="s">
        <v>211</v>
      </c>
    </row>
    <row r="10994" hidden="1">
      <c r="A10994" s="151" t="s">
        <v>221</v>
      </c>
      <c r="B10994" s="118" t="s">
        <v>189</v>
      </c>
      <c r="C10994" s="118" t="s">
        <v>206</v>
      </c>
      <c r="D10994" s="152" t="s">
        <v>12954</v>
      </c>
      <c r="E10994" s="152" t="s">
        <v>13005</v>
      </c>
      <c r="F10994" s="152" t="s">
        <v>6323</v>
      </c>
      <c r="G10994" s="152" t="s">
        <v>12921</v>
      </c>
      <c r="H10994" s="153" t="s">
        <v>212</v>
      </c>
    </row>
    <row r="10995" hidden="1">
      <c r="A10995" s="154" t="s">
        <v>221</v>
      </c>
      <c r="B10995" s="155" t="s">
        <v>189</v>
      </c>
      <c r="C10995" s="155" t="s">
        <v>206</v>
      </c>
      <c r="D10995" s="156" t="s">
        <v>12954</v>
      </c>
      <c r="E10995" s="156" t="s">
        <v>13006</v>
      </c>
      <c r="F10995" s="156" t="s">
        <v>735</v>
      </c>
      <c r="G10995" s="156" t="s">
        <v>13007</v>
      </c>
      <c r="H10995" s="157" t="s">
        <v>213</v>
      </c>
    </row>
    <row r="10996" hidden="1">
      <c r="A10996" s="151" t="s">
        <v>221</v>
      </c>
      <c r="B10996" s="118" t="s">
        <v>189</v>
      </c>
      <c r="C10996" s="118" t="s">
        <v>206</v>
      </c>
      <c r="D10996" s="152" t="s">
        <v>12954</v>
      </c>
      <c r="E10996" s="152" t="s">
        <v>13008</v>
      </c>
      <c r="F10996" s="152" t="s">
        <v>2994</v>
      </c>
      <c r="G10996" s="152" t="s">
        <v>12604</v>
      </c>
      <c r="H10996" s="153" t="s">
        <v>214</v>
      </c>
    </row>
    <row r="10997" hidden="1">
      <c r="A10997" s="154" t="s">
        <v>221</v>
      </c>
      <c r="B10997" s="155" t="s">
        <v>189</v>
      </c>
      <c r="C10997" s="155" t="s">
        <v>206</v>
      </c>
      <c r="D10997" s="156" t="s">
        <v>12954</v>
      </c>
      <c r="E10997" s="156" t="s">
        <v>13009</v>
      </c>
      <c r="F10997" s="156" t="s">
        <v>1781</v>
      </c>
      <c r="G10997" s="156" t="s">
        <v>13010</v>
      </c>
      <c r="H10997" s="157" t="s">
        <v>215</v>
      </c>
    </row>
    <row r="10998" hidden="1">
      <c r="A10998" s="151" t="s">
        <v>221</v>
      </c>
      <c r="B10998" s="118" t="s">
        <v>189</v>
      </c>
      <c r="C10998" s="118" t="s">
        <v>206</v>
      </c>
      <c r="D10998" s="152" t="s">
        <v>12954</v>
      </c>
      <c r="E10998" s="152" t="s">
        <v>13011</v>
      </c>
      <c r="F10998" s="152" t="s">
        <v>2657</v>
      </c>
      <c r="G10998" s="152" t="s">
        <v>13012</v>
      </c>
      <c r="H10998" s="153" t="s">
        <v>216</v>
      </c>
    </row>
    <row r="10999" hidden="1">
      <c r="A10999" s="154" t="s">
        <v>222</v>
      </c>
      <c r="B10999" s="155" t="s">
        <v>192</v>
      </c>
      <c r="C10999" s="155" t="s">
        <v>206</v>
      </c>
      <c r="D10999" s="156" t="s">
        <v>12954</v>
      </c>
      <c r="E10999" s="156" t="s">
        <v>13013</v>
      </c>
      <c r="F10999" s="156" t="s">
        <v>577</v>
      </c>
      <c r="G10999" s="156" t="s">
        <v>12906</v>
      </c>
      <c r="H10999" s="157" t="s">
        <v>210</v>
      </c>
    </row>
    <row r="11000" hidden="1">
      <c r="A11000" s="151" t="s">
        <v>222</v>
      </c>
      <c r="B11000" s="118" t="s">
        <v>192</v>
      </c>
      <c r="C11000" s="118" t="s">
        <v>206</v>
      </c>
      <c r="D11000" s="152" t="s">
        <v>12954</v>
      </c>
      <c r="E11000" s="152" t="s">
        <v>13014</v>
      </c>
      <c r="F11000" s="152" t="s">
        <v>673</v>
      </c>
      <c r="G11000" s="152" t="s">
        <v>13015</v>
      </c>
      <c r="H11000" s="153" t="s">
        <v>211</v>
      </c>
    </row>
    <row r="11001" hidden="1">
      <c r="A11001" s="154" t="s">
        <v>222</v>
      </c>
      <c r="B11001" s="155" t="s">
        <v>192</v>
      </c>
      <c r="C11001" s="155" t="s">
        <v>206</v>
      </c>
      <c r="D11001" s="156" t="s">
        <v>12954</v>
      </c>
      <c r="E11001" s="156" t="s">
        <v>13016</v>
      </c>
      <c r="F11001" s="156" t="s">
        <v>577</v>
      </c>
      <c r="G11001" s="156" t="s">
        <v>13017</v>
      </c>
      <c r="H11001" s="157" t="s">
        <v>212</v>
      </c>
    </row>
    <row r="11002" hidden="1">
      <c r="A11002" s="151" t="s">
        <v>222</v>
      </c>
      <c r="B11002" s="118" t="s">
        <v>192</v>
      </c>
      <c r="C11002" s="118" t="s">
        <v>206</v>
      </c>
      <c r="D11002" s="152" t="s">
        <v>12954</v>
      </c>
      <c r="E11002" s="152" t="s">
        <v>13018</v>
      </c>
      <c r="F11002" s="152" t="s">
        <v>325</v>
      </c>
      <c r="G11002" s="152" t="s">
        <v>13019</v>
      </c>
      <c r="H11002" s="153" t="s">
        <v>213</v>
      </c>
    </row>
    <row r="11003" hidden="1">
      <c r="A11003" s="154" t="s">
        <v>222</v>
      </c>
      <c r="B11003" s="155" t="s">
        <v>192</v>
      </c>
      <c r="C11003" s="155" t="s">
        <v>206</v>
      </c>
      <c r="D11003" s="156" t="s">
        <v>12954</v>
      </c>
      <c r="E11003" s="156" t="s">
        <v>13020</v>
      </c>
      <c r="F11003" s="156" t="s">
        <v>532</v>
      </c>
      <c r="G11003" s="156" t="s">
        <v>13021</v>
      </c>
      <c r="H11003" s="157" t="s">
        <v>214</v>
      </c>
    </row>
    <row r="11004" hidden="1">
      <c r="A11004" s="151" t="s">
        <v>222</v>
      </c>
      <c r="B11004" s="118" t="s">
        <v>192</v>
      </c>
      <c r="C11004" s="118" t="s">
        <v>206</v>
      </c>
      <c r="D11004" s="152" t="s">
        <v>12954</v>
      </c>
      <c r="E11004" s="152" t="s">
        <v>13022</v>
      </c>
      <c r="F11004" s="152" t="s">
        <v>305</v>
      </c>
      <c r="G11004" s="152" t="s">
        <v>13023</v>
      </c>
      <c r="H11004" s="153" t="s">
        <v>215</v>
      </c>
    </row>
    <row r="11005" hidden="1">
      <c r="A11005" s="154" t="s">
        <v>222</v>
      </c>
      <c r="B11005" s="155" t="s">
        <v>192</v>
      </c>
      <c r="C11005" s="155" t="s">
        <v>206</v>
      </c>
      <c r="D11005" s="156" t="s">
        <v>12954</v>
      </c>
      <c r="E11005" s="156" t="s">
        <v>13024</v>
      </c>
      <c r="F11005" s="156" t="s">
        <v>423</v>
      </c>
      <c r="G11005" s="156" t="s">
        <v>13025</v>
      </c>
      <c r="H11005" s="157" t="s">
        <v>216</v>
      </c>
    </row>
    <row r="11006" hidden="1">
      <c r="A11006" s="151" t="s">
        <v>223</v>
      </c>
      <c r="B11006" s="118" t="s">
        <v>144</v>
      </c>
      <c r="C11006" s="118" t="s">
        <v>206</v>
      </c>
      <c r="D11006" s="152" t="s">
        <v>12954</v>
      </c>
      <c r="E11006" s="152" t="s">
        <v>13026</v>
      </c>
      <c r="F11006" s="152" t="s">
        <v>2173</v>
      </c>
      <c r="G11006" s="152" t="s">
        <v>13027</v>
      </c>
      <c r="H11006" s="153" t="s">
        <v>210</v>
      </c>
    </row>
    <row r="11007" hidden="1">
      <c r="A11007" s="154" t="s">
        <v>223</v>
      </c>
      <c r="B11007" s="155" t="s">
        <v>144</v>
      </c>
      <c r="C11007" s="155" t="s">
        <v>206</v>
      </c>
      <c r="D11007" s="156" t="s">
        <v>12954</v>
      </c>
      <c r="E11007" s="156" t="s">
        <v>13028</v>
      </c>
      <c r="F11007" s="156" t="s">
        <v>631</v>
      </c>
      <c r="G11007" s="156" t="s">
        <v>13029</v>
      </c>
      <c r="H11007" s="157" t="s">
        <v>211</v>
      </c>
    </row>
    <row r="11008" hidden="1">
      <c r="A11008" s="151" t="s">
        <v>223</v>
      </c>
      <c r="B11008" s="118" t="s">
        <v>144</v>
      </c>
      <c r="C11008" s="118" t="s">
        <v>206</v>
      </c>
      <c r="D11008" s="152" t="s">
        <v>12954</v>
      </c>
      <c r="E11008" s="152" t="s">
        <v>13030</v>
      </c>
      <c r="F11008" s="152" t="s">
        <v>3293</v>
      </c>
      <c r="G11008" s="152" t="s">
        <v>13031</v>
      </c>
      <c r="H11008" s="153" t="s">
        <v>212</v>
      </c>
    </row>
    <row r="11009" hidden="1">
      <c r="A11009" s="154" t="s">
        <v>223</v>
      </c>
      <c r="B11009" s="155" t="s">
        <v>144</v>
      </c>
      <c r="C11009" s="155" t="s">
        <v>206</v>
      </c>
      <c r="D11009" s="156" t="s">
        <v>12954</v>
      </c>
      <c r="E11009" s="156" t="s">
        <v>13032</v>
      </c>
      <c r="F11009" s="156" t="s">
        <v>641</v>
      </c>
      <c r="G11009" s="156" t="s">
        <v>13033</v>
      </c>
      <c r="H11009" s="157" t="s">
        <v>213</v>
      </c>
    </row>
    <row r="11010" hidden="1">
      <c r="A11010" s="151" t="s">
        <v>223</v>
      </c>
      <c r="B11010" s="118" t="s">
        <v>144</v>
      </c>
      <c r="C11010" s="118" t="s">
        <v>206</v>
      </c>
      <c r="D11010" s="152" t="s">
        <v>12954</v>
      </c>
      <c r="E11010" s="152" t="s">
        <v>13034</v>
      </c>
      <c r="F11010" s="152" t="s">
        <v>9662</v>
      </c>
      <c r="G11010" s="152" t="s">
        <v>13035</v>
      </c>
      <c r="H11010" s="153" t="s">
        <v>214</v>
      </c>
    </row>
    <row r="11011" hidden="1">
      <c r="A11011" s="154" t="s">
        <v>223</v>
      </c>
      <c r="B11011" s="155" t="s">
        <v>144</v>
      </c>
      <c r="C11011" s="155" t="s">
        <v>206</v>
      </c>
      <c r="D11011" s="156" t="s">
        <v>12954</v>
      </c>
      <c r="E11011" s="156" t="s">
        <v>13036</v>
      </c>
      <c r="F11011" s="156" t="s">
        <v>2218</v>
      </c>
      <c r="G11011" s="156" t="s">
        <v>13037</v>
      </c>
      <c r="H11011" s="157" t="s">
        <v>215</v>
      </c>
    </row>
    <row r="11012" hidden="1">
      <c r="A11012" s="151" t="s">
        <v>223</v>
      </c>
      <c r="B11012" s="118" t="s">
        <v>144</v>
      </c>
      <c r="C11012" s="118" t="s">
        <v>206</v>
      </c>
      <c r="D11012" s="152" t="s">
        <v>12954</v>
      </c>
      <c r="E11012" s="152" t="s">
        <v>13038</v>
      </c>
      <c r="F11012" s="152" t="s">
        <v>9840</v>
      </c>
      <c r="G11012" s="152" t="s">
        <v>13039</v>
      </c>
      <c r="H11012" s="153" t="s">
        <v>216</v>
      </c>
    </row>
    <row r="11013" hidden="1">
      <c r="A11013" s="154" t="s">
        <v>224</v>
      </c>
      <c r="B11013" s="155" t="s">
        <v>170</v>
      </c>
      <c r="C11013" s="155" t="s">
        <v>206</v>
      </c>
      <c r="D11013" s="156" t="s">
        <v>12954</v>
      </c>
      <c r="E11013" s="156" t="s">
        <v>13040</v>
      </c>
      <c r="F11013" s="156" t="s">
        <v>9840</v>
      </c>
      <c r="G11013" s="156" t="s">
        <v>13041</v>
      </c>
      <c r="H11013" s="157" t="s">
        <v>210</v>
      </c>
    </row>
    <row r="11014" hidden="1">
      <c r="A11014" s="151" t="s">
        <v>224</v>
      </c>
      <c r="B11014" s="118" t="s">
        <v>170</v>
      </c>
      <c r="C11014" s="118" t="s">
        <v>206</v>
      </c>
      <c r="D11014" s="152" t="s">
        <v>12954</v>
      </c>
      <c r="E11014" s="152" t="s">
        <v>13042</v>
      </c>
      <c r="F11014" s="152" t="s">
        <v>2587</v>
      </c>
      <c r="G11014" s="152" t="s">
        <v>13043</v>
      </c>
      <c r="H11014" s="153" t="s">
        <v>211</v>
      </c>
    </row>
    <row r="11015" hidden="1">
      <c r="A11015" s="154" t="s">
        <v>224</v>
      </c>
      <c r="B11015" s="155" t="s">
        <v>170</v>
      </c>
      <c r="C11015" s="155" t="s">
        <v>206</v>
      </c>
      <c r="D11015" s="156" t="s">
        <v>12954</v>
      </c>
      <c r="E11015" s="156" t="s">
        <v>13044</v>
      </c>
      <c r="F11015" s="156" t="s">
        <v>2730</v>
      </c>
      <c r="G11015" s="156" t="s">
        <v>13045</v>
      </c>
      <c r="H11015" s="157" t="s">
        <v>212</v>
      </c>
    </row>
    <row r="11016" hidden="1">
      <c r="A11016" s="151" t="s">
        <v>224</v>
      </c>
      <c r="B11016" s="118" t="s">
        <v>170</v>
      </c>
      <c r="C11016" s="118" t="s">
        <v>206</v>
      </c>
      <c r="D11016" s="152" t="s">
        <v>12954</v>
      </c>
      <c r="E11016" s="152" t="s">
        <v>13046</v>
      </c>
      <c r="F11016" s="152" t="s">
        <v>2512</v>
      </c>
      <c r="G11016" s="152" t="s">
        <v>13047</v>
      </c>
      <c r="H11016" s="153" t="s">
        <v>213</v>
      </c>
    </row>
    <row r="11017" hidden="1">
      <c r="A11017" s="154" t="s">
        <v>224</v>
      </c>
      <c r="B11017" s="155" t="s">
        <v>170</v>
      </c>
      <c r="C11017" s="155" t="s">
        <v>206</v>
      </c>
      <c r="D11017" s="156" t="s">
        <v>12954</v>
      </c>
      <c r="E11017" s="156" t="s">
        <v>13048</v>
      </c>
      <c r="F11017" s="156" t="s">
        <v>780</v>
      </c>
      <c r="G11017" s="156" t="s">
        <v>13049</v>
      </c>
      <c r="H11017" s="157" t="s">
        <v>214</v>
      </c>
    </row>
    <row r="11018" hidden="1">
      <c r="A11018" s="151" t="s">
        <v>224</v>
      </c>
      <c r="B11018" s="118" t="s">
        <v>170</v>
      </c>
      <c r="C11018" s="118" t="s">
        <v>206</v>
      </c>
      <c r="D11018" s="152" t="s">
        <v>12954</v>
      </c>
      <c r="E11018" s="152" t="s">
        <v>13050</v>
      </c>
      <c r="F11018" s="152" t="s">
        <v>1989</v>
      </c>
      <c r="G11018" s="152" t="s">
        <v>13051</v>
      </c>
      <c r="H11018" s="153" t="s">
        <v>215</v>
      </c>
    </row>
    <row r="11019" hidden="1">
      <c r="A11019" s="154" t="s">
        <v>224</v>
      </c>
      <c r="B11019" s="155" t="s">
        <v>170</v>
      </c>
      <c r="C11019" s="155" t="s">
        <v>206</v>
      </c>
      <c r="D11019" s="156" t="s">
        <v>12954</v>
      </c>
      <c r="E11019" s="156" t="s">
        <v>13052</v>
      </c>
      <c r="F11019" s="156" t="s">
        <v>11634</v>
      </c>
      <c r="G11019" s="156" t="s">
        <v>13053</v>
      </c>
      <c r="H11019" s="157" t="s">
        <v>216</v>
      </c>
    </row>
    <row r="11020" hidden="1">
      <c r="A11020" s="151" t="s">
        <v>225</v>
      </c>
      <c r="B11020" s="118" t="s">
        <v>226</v>
      </c>
      <c r="C11020" s="118" t="s">
        <v>206</v>
      </c>
      <c r="D11020" s="152" t="s">
        <v>12954</v>
      </c>
      <c r="E11020" s="152" t="s">
        <v>13054</v>
      </c>
      <c r="F11020" s="152" t="s">
        <v>1762</v>
      </c>
      <c r="G11020" s="152" t="s">
        <v>13055</v>
      </c>
      <c r="H11020" s="153" t="s">
        <v>210</v>
      </c>
    </row>
    <row r="11021" hidden="1">
      <c r="A11021" s="154" t="s">
        <v>225</v>
      </c>
      <c r="B11021" s="155" t="s">
        <v>226</v>
      </c>
      <c r="C11021" s="155" t="s">
        <v>206</v>
      </c>
      <c r="D11021" s="156" t="s">
        <v>12954</v>
      </c>
      <c r="E11021" s="156" t="s">
        <v>13056</v>
      </c>
      <c r="F11021" s="156" t="s">
        <v>1806</v>
      </c>
      <c r="G11021" s="156" t="s">
        <v>13057</v>
      </c>
      <c r="H11021" s="157" t="s">
        <v>211</v>
      </c>
    </row>
    <row r="11022" hidden="1">
      <c r="A11022" s="151" t="s">
        <v>225</v>
      </c>
      <c r="B11022" s="118" t="s">
        <v>226</v>
      </c>
      <c r="C11022" s="118" t="s">
        <v>206</v>
      </c>
      <c r="D11022" s="152" t="s">
        <v>12954</v>
      </c>
      <c r="E11022" s="152" t="s">
        <v>13058</v>
      </c>
      <c r="F11022" s="152" t="s">
        <v>11592</v>
      </c>
      <c r="G11022" s="152" t="s">
        <v>13059</v>
      </c>
      <c r="H11022" s="153" t="s">
        <v>212</v>
      </c>
    </row>
    <row r="11023" hidden="1">
      <c r="A11023" s="154" t="s">
        <v>225</v>
      </c>
      <c r="B11023" s="155" t="s">
        <v>226</v>
      </c>
      <c r="C11023" s="155" t="s">
        <v>206</v>
      </c>
      <c r="D11023" s="156" t="s">
        <v>12954</v>
      </c>
      <c r="E11023" s="156" t="s">
        <v>13060</v>
      </c>
      <c r="F11023" s="156" t="s">
        <v>1784</v>
      </c>
      <c r="G11023" s="156" t="s">
        <v>13061</v>
      </c>
      <c r="H11023" s="157" t="s">
        <v>213</v>
      </c>
    </row>
    <row r="11024" hidden="1">
      <c r="A11024" s="151" t="s">
        <v>225</v>
      </c>
      <c r="B11024" s="118" t="s">
        <v>226</v>
      </c>
      <c r="C11024" s="118" t="s">
        <v>206</v>
      </c>
      <c r="D11024" s="152" t="s">
        <v>12954</v>
      </c>
      <c r="E11024" s="152" t="s">
        <v>13062</v>
      </c>
      <c r="F11024" s="152" t="s">
        <v>2420</v>
      </c>
      <c r="G11024" s="152" t="s">
        <v>12790</v>
      </c>
      <c r="H11024" s="153" t="s">
        <v>214</v>
      </c>
    </row>
    <row r="11025" hidden="1">
      <c r="A11025" s="154" t="s">
        <v>225</v>
      </c>
      <c r="B11025" s="155" t="s">
        <v>226</v>
      </c>
      <c r="C11025" s="155" t="s">
        <v>206</v>
      </c>
      <c r="D11025" s="156" t="s">
        <v>12954</v>
      </c>
      <c r="E11025" s="156" t="s">
        <v>13063</v>
      </c>
      <c r="F11025" s="156" t="s">
        <v>11634</v>
      </c>
      <c r="G11025" s="156" t="s">
        <v>13064</v>
      </c>
      <c r="H11025" s="157" t="s">
        <v>215</v>
      </c>
    </row>
    <row r="11026" hidden="1">
      <c r="A11026" s="151" t="s">
        <v>225</v>
      </c>
      <c r="B11026" s="118" t="s">
        <v>226</v>
      </c>
      <c r="C11026" s="118" t="s">
        <v>206</v>
      </c>
      <c r="D11026" s="152" t="s">
        <v>12954</v>
      </c>
      <c r="E11026" s="152" t="s">
        <v>13065</v>
      </c>
      <c r="F11026" s="152" t="s">
        <v>1804</v>
      </c>
      <c r="G11026" s="152" t="s">
        <v>13066</v>
      </c>
      <c r="H11026" s="153" t="s">
        <v>216</v>
      </c>
    </row>
    <row r="11027" hidden="1">
      <c r="A11027" s="154" t="s">
        <v>227</v>
      </c>
      <c r="B11027" s="155" t="s">
        <v>195</v>
      </c>
      <c r="C11027" s="155" t="s">
        <v>206</v>
      </c>
      <c r="D11027" s="156" t="s">
        <v>12954</v>
      </c>
      <c r="E11027" s="156" t="s">
        <v>13067</v>
      </c>
      <c r="F11027" s="156" t="s">
        <v>730</v>
      </c>
      <c r="G11027" s="156" t="s">
        <v>13068</v>
      </c>
      <c r="H11027" s="157" t="s">
        <v>210</v>
      </c>
    </row>
    <row r="11028" hidden="1">
      <c r="A11028" s="151" t="s">
        <v>227</v>
      </c>
      <c r="B11028" s="118" t="s">
        <v>195</v>
      </c>
      <c r="C11028" s="118" t="s">
        <v>206</v>
      </c>
      <c r="D11028" s="152" t="s">
        <v>12954</v>
      </c>
      <c r="E11028" s="152" t="s">
        <v>13069</v>
      </c>
      <c r="F11028" s="152" t="s">
        <v>3625</v>
      </c>
      <c r="G11028" s="152" t="s">
        <v>12840</v>
      </c>
      <c r="H11028" s="153" t="s">
        <v>211</v>
      </c>
    </row>
    <row r="11029" hidden="1">
      <c r="A11029" s="154" t="s">
        <v>227</v>
      </c>
      <c r="B11029" s="155" t="s">
        <v>195</v>
      </c>
      <c r="C11029" s="155" t="s">
        <v>206</v>
      </c>
      <c r="D11029" s="156" t="s">
        <v>12954</v>
      </c>
      <c r="E11029" s="156" t="s">
        <v>13070</v>
      </c>
      <c r="F11029" s="156" t="s">
        <v>444</v>
      </c>
      <c r="G11029" s="156" t="s">
        <v>12825</v>
      </c>
      <c r="H11029" s="157" t="s">
        <v>212</v>
      </c>
    </row>
    <row r="11030" hidden="1">
      <c r="A11030" s="151" t="s">
        <v>227</v>
      </c>
      <c r="B11030" s="118" t="s">
        <v>195</v>
      </c>
      <c r="C11030" s="118" t="s">
        <v>206</v>
      </c>
      <c r="D11030" s="152" t="s">
        <v>12954</v>
      </c>
      <c r="E11030" s="152" t="s">
        <v>13071</v>
      </c>
      <c r="F11030" s="152" t="s">
        <v>1530</v>
      </c>
      <c r="G11030" s="152" t="s">
        <v>12942</v>
      </c>
      <c r="H11030" s="153" t="s">
        <v>213</v>
      </c>
    </row>
    <row r="11031" hidden="1">
      <c r="A11031" s="154" t="s">
        <v>227</v>
      </c>
      <c r="B11031" s="155" t="s">
        <v>195</v>
      </c>
      <c r="C11031" s="155" t="s">
        <v>206</v>
      </c>
      <c r="D11031" s="156" t="s">
        <v>12954</v>
      </c>
      <c r="E11031" s="156" t="s">
        <v>13072</v>
      </c>
      <c r="F11031" s="156" t="s">
        <v>3198</v>
      </c>
      <c r="G11031" s="156" t="s">
        <v>13073</v>
      </c>
      <c r="H11031" s="157" t="s">
        <v>214</v>
      </c>
    </row>
    <row r="11032" hidden="1">
      <c r="A11032" s="151" t="s">
        <v>227</v>
      </c>
      <c r="B11032" s="118" t="s">
        <v>195</v>
      </c>
      <c r="C11032" s="118" t="s">
        <v>206</v>
      </c>
      <c r="D11032" s="152" t="s">
        <v>12954</v>
      </c>
      <c r="E11032" s="152" t="s">
        <v>13074</v>
      </c>
      <c r="F11032" s="152" t="s">
        <v>390</v>
      </c>
      <c r="G11032" s="152" t="s">
        <v>13075</v>
      </c>
      <c r="H11032" s="153" t="s">
        <v>215</v>
      </c>
    </row>
    <row r="11033" hidden="1">
      <c r="A11033" s="154" t="s">
        <v>227</v>
      </c>
      <c r="B11033" s="155" t="s">
        <v>195</v>
      </c>
      <c r="C11033" s="155" t="s">
        <v>206</v>
      </c>
      <c r="D11033" s="156" t="s">
        <v>12954</v>
      </c>
      <c r="E11033" s="156" t="s">
        <v>13076</v>
      </c>
      <c r="F11033" s="156" t="s">
        <v>2226</v>
      </c>
      <c r="G11033" s="156" t="s">
        <v>12563</v>
      </c>
      <c r="H11033" s="157" t="s">
        <v>216</v>
      </c>
    </row>
    <row r="11034" hidden="1">
      <c r="A11034" s="151" t="s">
        <v>228</v>
      </c>
      <c r="B11034" s="118" t="s">
        <v>138</v>
      </c>
      <c r="C11034" s="118" t="s">
        <v>206</v>
      </c>
      <c r="D11034" s="152" t="s">
        <v>12954</v>
      </c>
      <c r="E11034" s="152" t="s">
        <v>13077</v>
      </c>
      <c r="F11034" s="152" t="s">
        <v>2970</v>
      </c>
      <c r="G11034" s="152" t="s">
        <v>12599</v>
      </c>
      <c r="H11034" s="153" t="s">
        <v>210</v>
      </c>
    </row>
    <row r="11035" hidden="1">
      <c r="A11035" s="154" t="s">
        <v>228</v>
      </c>
      <c r="B11035" s="155" t="s">
        <v>138</v>
      </c>
      <c r="C11035" s="155" t="s">
        <v>206</v>
      </c>
      <c r="D11035" s="156" t="s">
        <v>12954</v>
      </c>
      <c r="E11035" s="156" t="s">
        <v>13078</v>
      </c>
      <c r="F11035" s="156" t="s">
        <v>4376</v>
      </c>
      <c r="G11035" s="156" t="s">
        <v>13079</v>
      </c>
      <c r="H11035" s="157" t="s">
        <v>211</v>
      </c>
    </row>
    <row r="11036" hidden="1">
      <c r="A11036" s="151" t="s">
        <v>228</v>
      </c>
      <c r="B11036" s="118" t="s">
        <v>138</v>
      </c>
      <c r="C11036" s="118" t="s">
        <v>206</v>
      </c>
      <c r="D11036" s="152" t="s">
        <v>12954</v>
      </c>
      <c r="E11036" s="152" t="s">
        <v>13080</v>
      </c>
      <c r="F11036" s="152" t="s">
        <v>2852</v>
      </c>
      <c r="G11036" s="152" t="s">
        <v>12001</v>
      </c>
      <c r="H11036" s="153" t="s">
        <v>212</v>
      </c>
    </row>
    <row r="11037" hidden="1">
      <c r="A11037" s="154" t="s">
        <v>228</v>
      </c>
      <c r="B11037" s="155" t="s">
        <v>138</v>
      </c>
      <c r="C11037" s="155" t="s">
        <v>206</v>
      </c>
      <c r="D11037" s="156" t="s">
        <v>12954</v>
      </c>
      <c r="E11037" s="156" t="s">
        <v>13081</v>
      </c>
      <c r="F11037" s="156" t="s">
        <v>3470</v>
      </c>
      <c r="G11037" s="156" t="s">
        <v>13082</v>
      </c>
      <c r="H11037" s="157" t="s">
        <v>213</v>
      </c>
    </row>
    <row r="11038" hidden="1">
      <c r="A11038" s="151" t="s">
        <v>228</v>
      </c>
      <c r="B11038" s="118" t="s">
        <v>138</v>
      </c>
      <c r="C11038" s="118" t="s">
        <v>206</v>
      </c>
      <c r="D11038" s="152" t="s">
        <v>12954</v>
      </c>
      <c r="E11038" s="152" t="s">
        <v>13083</v>
      </c>
      <c r="F11038" s="152" t="s">
        <v>2992</v>
      </c>
      <c r="G11038" s="152" t="s">
        <v>13084</v>
      </c>
      <c r="H11038" s="153" t="s">
        <v>214</v>
      </c>
    </row>
    <row r="11039" hidden="1">
      <c r="A11039" s="154" t="s">
        <v>228</v>
      </c>
      <c r="B11039" s="155" t="s">
        <v>138</v>
      </c>
      <c r="C11039" s="155" t="s">
        <v>206</v>
      </c>
      <c r="D11039" s="156" t="s">
        <v>12954</v>
      </c>
      <c r="E11039" s="156" t="s">
        <v>13085</v>
      </c>
      <c r="F11039" s="156" t="s">
        <v>4178</v>
      </c>
      <c r="G11039" s="156" t="s">
        <v>13086</v>
      </c>
      <c r="H11039" s="157" t="s">
        <v>215</v>
      </c>
    </row>
    <row r="11040" hidden="1">
      <c r="A11040" s="151" t="s">
        <v>228</v>
      </c>
      <c r="B11040" s="118" t="s">
        <v>138</v>
      </c>
      <c r="C11040" s="118" t="s">
        <v>206</v>
      </c>
      <c r="D11040" s="152" t="s">
        <v>12954</v>
      </c>
      <c r="E11040" s="152" t="s">
        <v>13087</v>
      </c>
      <c r="F11040" s="152" t="s">
        <v>3941</v>
      </c>
      <c r="G11040" s="152" t="s">
        <v>13088</v>
      </c>
      <c r="H11040" s="153" t="s">
        <v>216</v>
      </c>
    </row>
    <row r="11041" hidden="1">
      <c r="A11041" s="154" t="s">
        <v>229</v>
      </c>
      <c r="B11041" s="155" t="s">
        <v>193</v>
      </c>
      <c r="C11041" s="155" t="s">
        <v>206</v>
      </c>
      <c r="D11041" s="156" t="s">
        <v>12954</v>
      </c>
      <c r="E11041" s="156" t="s">
        <v>13089</v>
      </c>
      <c r="F11041" s="156" t="s">
        <v>3359</v>
      </c>
      <c r="G11041" s="156" t="s">
        <v>13090</v>
      </c>
      <c r="H11041" s="157" t="s">
        <v>210</v>
      </c>
    </row>
    <row r="11042" hidden="1">
      <c r="A11042" s="151" t="s">
        <v>229</v>
      </c>
      <c r="B11042" s="118" t="s">
        <v>193</v>
      </c>
      <c r="C11042" s="118" t="s">
        <v>206</v>
      </c>
      <c r="D11042" s="152" t="s">
        <v>12954</v>
      </c>
      <c r="E11042" s="152" t="s">
        <v>13091</v>
      </c>
      <c r="F11042" s="152" t="s">
        <v>1931</v>
      </c>
      <c r="G11042" s="152" t="s">
        <v>13092</v>
      </c>
      <c r="H11042" s="153" t="s">
        <v>211</v>
      </c>
    </row>
    <row r="11043" hidden="1">
      <c r="A11043" s="154" t="s">
        <v>229</v>
      </c>
      <c r="B11043" s="155" t="s">
        <v>193</v>
      </c>
      <c r="C11043" s="155" t="s">
        <v>206</v>
      </c>
      <c r="D11043" s="156" t="s">
        <v>12954</v>
      </c>
      <c r="E11043" s="156" t="s">
        <v>13093</v>
      </c>
      <c r="F11043" s="156" t="s">
        <v>444</v>
      </c>
      <c r="G11043" s="156" t="s">
        <v>13094</v>
      </c>
      <c r="H11043" s="157" t="s">
        <v>212</v>
      </c>
    </row>
    <row r="11044" hidden="1">
      <c r="A11044" s="151" t="s">
        <v>229</v>
      </c>
      <c r="B11044" s="118" t="s">
        <v>193</v>
      </c>
      <c r="C11044" s="118" t="s">
        <v>206</v>
      </c>
      <c r="D11044" s="152" t="s">
        <v>12954</v>
      </c>
      <c r="E11044" s="152" t="s">
        <v>13095</v>
      </c>
      <c r="F11044" s="152" t="s">
        <v>3346</v>
      </c>
      <c r="G11044" s="152" t="s">
        <v>13096</v>
      </c>
      <c r="H11044" s="153" t="s">
        <v>213</v>
      </c>
    </row>
    <row r="11045" hidden="1">
      <c r="A11045" s="154" t="s">
        <v>229</v>
      </c>
      <c r="B11045" s="155" t="s">
        <v>193</v>
      </c>
      <c r="C11045" s="155" t="s">
        <v>206</v>
      </c>
      <c r="D11045" s="156" t="s">
        <v>12954</v>
      </c>
      <c r="E11045" s="156" t="s">
        <v>13097</v>
      </c>
      <c r="F11045" s="156" t="s">
        <v>3340</v>
      </c>
      <c r="G11045" s="156" t="s">
        <v>13098</v>
      </c>
      <c r="H11045" s="157" t="s">
        <v>214</v>
      </c>
    </row>
    <row r="11046" hidden="1">
      <c r="A11046" s="151" t="s">
        <v>229</v>
      </c>
      <c r="B11046" s="118" t="s">
        <v>193</v>
      </c>
      <c r="C11046" s="118" t="s">
        <v>206</v>
      </c>
      <c r="D11046" s="152" t="s">
        <v>12954</v>
      </c>
      <c r="E11046" s="152" t="s">
        <v>13099</v>
      </c>
      <c r="F11046" s="152" t="s">
        <v>229</v>
      </c>
      <c r="G11046" s="152" t="s">
        <v>13100</v>
      </c>
      <c r="H11046" s="153" t="s">
        <v>215</v>
      </c>
    </row>
    <row r="11047" hidden="1">
      <c r="A11047" s="154" t="s">
        <v>229</v>
      </c>
      <c r="B11047" s="155" t="s">
        <v>193</v>
      </c>
      <c r="C11047" s="155" t="s">
        <v>206</v>
      </c>
      <c r="D11047" s="156" t="s">
        <v>12954</v>
      </c>
      <c r="E11047" s="156" t="s">
        <v>13101</v>
      </c>
      <c r="F11047" s="156" t="s">
        <v>3243</v>
      </c>
      <c r="G11047" s="156" t="s">
        <v>13102</v>
      </c>
      <c r="H11047" s="157" t="s">
        <v>216</v>
      </c>
    </row>
    <row r="11048" hidden="1">
      <c r="A11048" s="151" t="s">
        <v>230</v>
      </c>
      <c r="B11048" s="118" t="s">
        <v>194</v>
      </c>
      <c r="C11048" s="118" t="s">
        <v>206</v>
      </c>
      <c r="D11048" s="152" t="s">
        <v>12954</v>
      </c>
      <c r="E11048" s="152" t="s">
        <v>13103</v>
      </c>
      <c r="F11048" s="152" t="s">
        <v>1931</v>
      </c>
      <c r="G11048" s="152" t="s">
        <v>13104</v>
      </c>
      <c r="H11048" s="153" t="s">
        <v>210</v>
      </c>
    </row>
    <row r="11049" hidden="1">
      <c r="A11049" s="154" t="s">
        <v>230</v>
      </c>
      <c r="B11049" s="155" t="s">
        <v>194</v>
      </c>
      <c r="C11049" s="155" t="s">
        <v>206</v>
      </c>
      <c r="D11049" s="156" t="s">
        <v>12954</v>
      </c>
      <c r="E11049" s="156" t="s">
        <v>13105</v>
      </c>
      <c r="F11049" s="156" t="s">
        <v>2218</v>
      </c>
      <c r="G11049" s="156" t="s">
        <v>13106</v>
      </c>
      <c r="H11049" s="157" t="s">
        <v>211</v>
      </c>
    </row>
    <row r="11050" hidden="1">
      <c r="A11050" s="151" t="s">
        <v>230</v>
      </c>
      <c r="B11050" s="118" t="s">
        <v>194</v>
      </c>
      <c r="C11050" s="118" t="s">
        <v>206</v>
      </c>
      <c r="D11050" s="152" t="s">
        <v>12954</v>
      </c>
      <c r="E11050" s="152" t="s">
        <v>13107</v>
      </c>
      <c r="F11050" s="152" t="s">
        <v>3148</v>
      </c>
      <c r="G11050" s="152" t="s">
        <v>13108</v>
      </c>
      <c r="H11050" s="153" t="s">
        <v>212</v>
      </c>
    </row>
    <row r="11051" hidden="1">
      <c r="A11051" s="154" t="s">
        <v>230</v>
      </c>
      <c r="B11051" s="155" t="s">
        <v>194</v>
      </c>
      <c r="C11051" s="155" t="s">
        <v>206</v>
      </c>
      <c r="D11051" s="156" t="s">
        <v>12954</v>
      </c>
      <c r="E11051" s="156" t="s">
        <v>13109</v>
      </c>
      <c r="F11051" s="156" t="s">
        <v>3198</v>
      </c>
      <c r="G11051" s="156" t="s">
        <v>13110</v>
      </c>
      <c r="H11051" s="157" t="s">
        <v>213</v>
      </c>
    </row>
    <row r="11052" hidden="1">
      <c r="A11052" s="151" t="s">
        <v>230</v>
      </c>
      <c r="B11052" s="118" t="s">
        <v>194</v>
      </c>
      <c r="C11052" s="118" t="s">
        <v>206</v>
      </c>
      <c r="D11052" s="152" t="s">
        <v>12954</v>
      </c>
      <c r="E11052" s="152" t="s">
        <v>13111</v>
      </c>
      <c r="F11052" s="152" t="s">
        <v>3150</v>
      </c>
      <c r="G11052" s="152" t="s">
        <v>13112</v>
      </c>
      <c r="H11052" s="153" t="s">
        <v>214</v>
      </c>
    </row>
    <row r="11053" hidden="1">
      <c r="A11053" s="154" t="s">
        <v>230</v>
      </c>
      <c r="B11053" s="155" t="s">
        <v>194</v>
      </c>
      <c r="C11053" s="155" t="s">
        <v>206</v>
      </c>
      <c r="D11053" s="156" t="s">
        <v>12954</v>
      </c>
      <c r="E11053" s="156" t="s">
        <v>13113</v>
      </c>
      <c r="F11053" s="156" t="s">
        <v>780</v>
      </c>
      <c r="G11053" s="156" t="s">
        <v>13114</v>
      </c>
      <c r="H11053" s="157" t="s">
        <v>215</v>
      </c>
    </row>
    <row r="11054" hidden="1">
      <c r="A11054" s="151" t="s">
        <v>230</v>
      </c>
      <c r="B11054" s="118" t="s">
        <v>194</v>
      </c>
      <c r="C11054" s="118" t="s">
        <v>206</v>
      </c>
      <c r="D11054" s="152" t="s">
        <v>12954</v>
      </c>
      <c r="E11054" s="152" t="s">
        <v>13115</v>
      </c>
      <c r="F11054" s="152" t="s">
        <v>5454</v>
      </c>
      <c r="G11054" s="152" t="s">
        <v>12887</v>
      </c>
      <c r="H11054" s="153" t="s">
        <v>216</v>
      </c>
    </row>
    <row r="11055" hidden="1">
      <c r="A11055" s="158" t="s">
        <v>231</v>
      </c>
      <c r="B11055" s="159"/>
      <c r="C11055" s="155" t="s">
        <v>232</v>
      </c>
      <c r="D11055" s="156" t="s">
        <v>12954</v>
      </c>
      <c r="E11055" s="156" t="s">
        <v>13116</v>
      </c>
      <c r="F11055" s="156" t="s">
        <v>10944</v>
      </c>
      <c r="G11055" s="156" t="s">
        <v>13117</v>
      </c>
      <c r="H11055" s="157" t="s">
        <v>210</v>
      </c>
    </row>
    <row r="11056" hidden="1">
      <c r="A11056" s="160" t="s">
        <v>231</v>
      </c>
      <c r="B11056" s="72"/>
      <c r="C11056" s="118" t="s">
        <v>232</v>
      </c>
      <c r="D11056" s="152" t="s">
        <v>12954</v>
      </c>
      <c r="E11056" s="152" t="s">
        <v>13118</v>
      </c>
      <c r="F11056" s="152" t="s">
        <v>9480</v>
      </c>
      <c r="G11056" s="152" t="s">
        <v>13119</v>
      </c>
      <c r="H11056" s="153" t="s">
        <v>211</v>
      </c>
    </row>
    <row r="11057" hidden="1">
      <c r="A11057" s="158" t="s">
        <v>231</v>
      </c>
      <c r="B11057" s="159"/>
      <c r="C11057" s="155" t="s">
        <v>232</v>
      </c>
      <c r="D11057" s="156" t="s">
        <v>12954</v>
      </c>
      <c r="E11057" s="156" t="s">
        <v>13120</v>
      </c>
      <c r="F11057" s="156" t="s">
        <v>758</v>
      </c>
      <c r="G11057" s="156" t="s">
        <v>13121</v>
      </c>
      <c r="H11057" s="157" t="s">
        <v>212</v>
      </c>
    </row>
    <row r="11058" hidden="1">
      <c r="A11058" s="160" t="s">
        <v>231</v>
      </c>
      <c r="B11058" s="72"/>
      <c r="C11058" s="118" t="s">
        <v>232</v>
      </c>
      <c r="D11058" s="152" t="s">
        <v>12954</v>
      </c>
      <c r="E11058" s="152" t="s">
        <v>13122</v>
      </c>
      <c r="F11058" s="152" t="s">
        <v>2994</v>
      </c>
      <c r="G11058" s="152" t="s">
        <v>12660</v>
      </c>
      <c r="H11058" s="153" t="s">
        <v>213</v>
      </c>
    </row>
    <row r="11059" hidden="1">
      <c r="A11059" s="158" t="s">
        <v>231</v>
      </c>
      <c r="B11059" s="159"/>
      <c r="C11059" s="155" t="s">
        <v>232</v>
      </c>
      <c r="D11059" s="156" t="s">
        <v>12954</v>
      </c>
      <c r="E11059" s="156" t="s">
        <v>13123</v>
      </c>
      <c r="F11059" s="156" t="s">
        <v>5454</v>
      </c>
      <c r="G11059" s="156" t="s">
        <v>13124</v>
      </c>
      <c r="H11059" s="157" t="s">
        <v>214</v>
      </c>
    </row>
    <row r="11060" hidden="1">
      <c r="A11060" s="160" t="s">
        <v>231</v>
      </c>
      <c r="B11060" s="72"/>
      <c r="C11060" s="118" t="s">
        <v>232</v>
      </c>
      <c r="D11060" s="152" t="s">
        <v>12954</v>
      </c>
      <c r="E11060" s="152" t="s">
        <v>13125</v>
      </c>
      <c r="F11060" s="152" t="s">
        <v>1989</v>
      </c>
      <c r="G11060" s="152" t="s">
        <v>13126</v>
      </c>
      <c r="H11060" s="153" t="s">
        <v>215</v>
      </c>
    </row>
    <row r="11061" hidden="1">
      <c r="A11061" s="158" t="s">
        <v>231</v>
      </c>
      <c r="B11061" s="159"/>
      <c r="C11061" s="155" t="s">
        <v>232</v>
      </c>
      <c r="D11061" s="156" t="s">
        <v>12954</v>
      </c>
      <c r="E11061" s="156" t="s">
        <v>13127</v>
      </c>
      <c r="F11061" s="156" t="s">
        <v>9508</v>
      </c>
      <c r="G11061" s="156" t="s">
        <v>13119</v>
      </c>
      <c r="H11061" s="157" t="s">
        <v>216</v>
      </c>
    </row>
    <row r="11062" hidden="1">
      <c r="A11062" s="160" t="s">
        <v>233</v>
      </c>
      <c r="B11062" s="72"/>
      <c r="C11062" s="118" t="s">
        <v>232</v>
      </c>
      <c r="D11062" s="152" t="s">
        <v>12954</v>
      </c>
      <c r="E11062" s="152" t="s">
        <v>13128</v>
      </c>
      <c r="F11062" s="152" t="s">
        <v>2005</v>
      </c>
      <c r="G11062" s="152" t="s">
        <v>12746</v>
      </c>
      <c r="H11062" s="153" t="s">
        <v>210</v>
      </c>
    </row>
    <row r="11063" hidden="1">
      <c r="A11063" s="158" t="s">
        <v>233</v>
      </c>
      <c r="B11063" s="159"/>
      <c r="C11063" s="155" t="s">
        <v>232</v>
      </c>
      <c r="D11063" s="156" t="s">
        <v>12954</v>
      </c>
      <c r="E11063" s="156" t="s">
        <v>13129</v>
      </c>
      <c r="F11063" s="156" t="s">
        <v>2005</v>
      </c>
      <c r="G11063" s="156" t="s">
        <v>12822</v>
      </c>
      <c r="H11063" s="157" t="s">
        <v>211</v>
      </c>
    </row>
    <row r="11064" hidden="1">
      <c r="A11064" s="160" t="s">
        <v>233</v>
      </c>
      <c r="B11064" s="72"/>
      <c r="C11064" s="118" t="s">
        <v>232</v>
      </c>
      <c r="D11064" s="152" t="s">
        <v>12954</v>
      </c>
      <c r="E11064" s="152" t="s">
        <v>13130</v>
      </c>
      <c r="F11064" s="152" t="s">
        <v>1790</v>
      </c>
      <c r="G11064" s="152" t="s">
        <v>13131</v>
      </c>
      <c r="H11064" s="153" t="s">
        <v>212</v>
      </c>
    </row>
    <row r="11065" hidden="1">
      <c r="A11065" s="158" t="s">
        <v>233</v>
      </c>
      <c r="B11065" s="159"/>
      <c r="C11065" s="155" t="s">
        <v>232</v>
      </c>
      <c r="D11065" s="156" t="s">
        <v>12954</v>
      </c>
      <c r="E11065" s="156" t="s">
        <v>13132</v>
      </c>
      <c r="F11065" s="156" t="s">
        <v>3346</v>
      </c>
      <c r="G11065" s="156" t="s">
        <v>12910</v>
      </c>
      <c r="H11065" s="157" t="s">
        <v>213</v>
      </c>
    </row>
    <row r="11066" hidden="1">
      <c r="A11066" s="160" t="s">
        <v>233</v>
      </c>
      <c r="B11066" s="72"/>
      <c r="C11066" s="118" t="s">
        <v>232</v>
      </c>
      <c r="D11066" s="152" t="s">
        <v>12954</v>
      </c>
      <c r="E11066" s="152" t="s">
        <v>13133</v>
      </c>
      <c r="F11066" s="152" t="s">
        <v>3145</v>
      </c>
      <c r="G11066" s="152" t="s">
        <v>13134</v>
      </c>
      <c r="H11066" s="153" t="s">
        <v>214</v>
      </c>
    </row>
    <row r="11067" hidden="1">
      <c r="A11067" s="158" t="s">
        <v>233</v>
      </c>
      <c r="B11067" s="159"/>
      <c r="C11067" s="155" t="s">
        <v>232</v>
      </c>
      <c r="D11067" s="156" t="s">
        <v>12954</v>
      </c>
      <c r="E11067" s="156" t="s">
        <v>13135</v>
      </c>
      <c r="F11067" s="156" t="s">
        <v>780</v>
      </c>
      <c r="G11067" s="156" t="s">
        <v>13136</v>
      </c>
      <c r="H11067" s="157" t="s">
        <v>215</v>
      </c>
    </row>
    <row r="11068" hidden="1">
      <c r="A11068" s="160" t="s">
        <v>233</v>
      </c>
      <c r="B11068" s="72"/>
      <c r="C11068" s="118" t="s">
        <v>232</v>
      </c>
      <c r="D11068" s="152" t="s">
        <v>12954</v>
      </c>
      <c r="E11068" s="152" t="s">
        <v>13137</v>
      </c>
      <c r="F11068" s="152" t="s">
        <v>3625</v>
      </c>
      <c r="G11068" s="152" t="s">
        <v>13138</v>
      </c>
      <c r="H11068" s="153" t="s">
        <v>216</v>
      </c>
    </row>
    <row r="11069" hidden="1">
      <c r="A11069" s="158" t="s">
        <v>234</v>
      </c>
      <c r="B11069" s="159"/>
      <c r="C11069" s="155" t="s">
        <v>232</v>
      </c>
      <c r="D11069" s="156" t="s">
        <v>12954</v>
      </c>
      <c r="E11069" s="156" t="s">
        <v>13139</v>
      </c>
      <c r="F11069" s="156" t="s">
        <v>2155</v>
      </c>
      <c r="G11069" s="156" t="s">
        <v>13140</v>
      </c>
      <c r="H11069" s="157" t="s">
        <v>210</v>
      </c>
    </row>
    <row r="11070" hidden="1">
      <c r="A11070" s="160" t="s">
        <v>234</v>
      </c>
      <c r="B11070" s="72"/>
      <c r="C11070" s="118" t="s">
        <v>232</v>
      </c>
      <c r="D11070" s="152" t="s">
        <v>12954</v>
      </c>
      <c r="E11070" s="152" t="s">
        <v>13141</v>
      </c>
      <c r="F11070" s="152" t="s">
        <v>2077</v>
      </c>
      <c r="G11070" s="152" t="s">
        <v>12708</v>
      </c>
      <c r="H11070" s="153" t="s">
        <v>211</v>
      </c>
    </row>
    <row r="11071" hidden="1">
      <c r="A11071" s="158" t="s">
        <v>234</v>
      </c>
      <c r="B11071" s="159"/>
      <c r="C11071" s="155" t="s">
        <v>232</v>
      </c>
      <c r="D11071" s="156" t="s">
        <v>12954</v>
      </c>
      <c r="E11071" s="156" t="s">
        <v>13142</v>
      </c>
      <c r="F11071" s="156" t="s">
        <v>2023</v>
      </c>
      <c r="G11071" s="156" t="s">
        <v>13143</v>
      </c>
      <c r="H11071" s="157" t="s">
        <v>212</v>
      </c>
    </row>
    <row r="11072" hidden="1">
      <c r="A11072" s="160" t="s">
        <v>234</v>
      </c>
      <c r="B11072" s="72"/>
      <c r="C11072" s="118" t="s">
        <v>232</v>
      </c>
      <c r="D11072" s="152" t="s">
        <v>12954</v>
      </c>
      <c r="E11072" s="152" t="s">
        <v>13144</v>
      </c>
      <c r="F11072" s="152" t="s">
        <v>2435</v>
      </c>
      <c r="G11072" s="152" t="s">
        <v>13145</v>
      </c>
      <c r="H11072" s="153" t="s">
        <v>213</v>
      </c>
    </row>
    <row r="11073" hidden="1">
      <c r="A11073" s="158" t="s">
        <v>234</v>
      </c>
      <c r="B11073" s="159"/>
      <c r="C11073" s="155" t="s">
        <v>232</v>
      </c>
      <c r="D11073" s="156" t="s">
        <v>12954</v>
      </c>
      <c r="E11073" s="156" t="s">
        <v>13146</v>
      </c>
      <c r="F11073" s="156" t="s">
        <v>2512</v>
      </c>
      <c r="G11073" s="156" t="s">
        <v>12868</v>
      </c>
      <c r="H11073" s="157" t="s">
        <v>214</v>
      </c>
    </row>
    <row r="11074" hidden="1">
      <c r="A11074" s="160" t="s">
        <v>234</v>
      </c>
      <c r="B11074" s="72"/>
      <c r="C11074" s="118" t="s">
        <v>232</v>
      </c>
      <c r="D11074" s="152" t="s">
        <v>12954</v>
      </c>
      <c r="E11074" s="152" t="s">
        <v>13147</v>
      </c>
      <c r="F11074" s="152" t="s">
        <v>2249</v>
      </c>
      <c r="G11074" s="152" t="s">
        <v>13148</v>
      </c>
      <c r="H11074" s="153" t="s">
        <v>215</v>
      </c>
    </row>
    <row r="11075" hidden="1">
      <c r="A11075" s="158" t="s">
        <v>234</v>
      </c>
      <c r="B11075" s="159"/>
      <c r="C11075" s="155" t="s">
        <v>232</v>
      </c>
      <c r="D11075" s="156" t="s">
        <v>12954</v>
      </c>
      <c r="E11075" s="156" t="s">
        <v>13149</v>
      </c>
      <c r="F11075" s="156" t="s">
        <v>2011</v>
      </c>
      <c r="G11075" s="156" t="s">
        <v>13150</v>
      </c>
      <c r="H11075" s="157" t="s">
        <v>216</v>
      </c>
    </row>
    <row r="11076" hidden="1">
      <c r="A11076" s="160" t="s">
        <v>235</v>
      </c>
      <c r="B11076" s="72"/>
      <c r="C11076" s="118" t="s">
        <v>236</v>
      </c>
      <c r="D11076" s="152" t="s">
        <v>12954</v>
      </c>
      <c r="E11076" s="152" t="s">
        <v>13151</v>
      </c>
      <c r="F11076" s="152" t="s">
        <v>2407</v>
      </c>
      <c r="G11076" s="152" t="s">
        <v>13152</v>
      </c>
      <c r="H11076" s="153" t="s">
        <v>210</v>
      </c>
    </row>
    <row r="11077" hidden="1">
      <c r="A11077" s="158" t="s">
        <v>235</v>
      </c>
      <c r="B11077" s="159"/>
      <c r="C11077" s="155" t="s">
        <v>236</v>
      </c>
      <c r="D11077" s="156" t="s">
        <v>12954</v>
      </c>
      <c r="E11077" s="156" t="s">
        <v>13153</v>
      </c>
      <c r="F11077" s="156" t="s">
        <v>2005</v>
      </c>
      <c r="G11077" s="156" t="s">
        <v>13154</v>
      </c>
      <c r="H11077" s="157" t="s">
        <v>211</v>
      </c>
    </row>
    <row r="11078" hidden="1">
      <c r="A11078" s="160" t="s">
        <v>235</v>
      </c>
      <c r="B11078" s="72"/>
      <c r="C11078" s="118" t="s">
        <v>236</v>
      </c>
      <c r="D11078" s="152" t="s">
        <v>12954</v>
      </c>
      <c r="E11078" s="152" t="s">
        <v>13155</v>
      </c>
      <c r="F11078" s="152" t="s">
        <v>3359</v>
      </c>
      <c r="G11078" s="152" t="s">
        <v>13156</v>
      </c>
      <c r="H11078" s="153" t="s">
        <v>212</v>
      </c>
    </row>
    <row r="11079" hidden="1">
      <c r="A11079" s="158" t="s">
        <v>235</v>
      </c>
      <c r="B11079" s="159"/>
      <c r="C11079" s="155" t="s">
        <v>236</v>
      </c>
      <c r="D11079" s="156" t="s">
        <v>12954</v>
      </c>
      <c r="E11079" s="156" t="s">
        <v>13157</v>
      </c>
      <c r="F11079" s="156" t="s">
        <v>2215</v>
      </c>
      <c r="G11079" s="156" t="s">
        <v>13158</v>
      </c>
      <c r="H11079" s="157" t="s">
        <v>213</v>
      </c>
    </row>
    <row r="11080" hidden="1">
      <c r="A11080" s="160" t="s">
        <v>235</v>
      </c>
      <c r="B11080" s="72"/>
      <c r="C11080" s="118" t="s">
        <v>236</v>
      </c>
      <c r="D11080" s="152" t="s">
        <v>12954</v>
      </c>
      <c r="E11080" s="152" t="s">
        <v>13159</v>
      </c>
      <c r="F11080" s="152" t="s">
        <v>587</v>
      </c>
      <c r="G11080" s="152" t="s">
        <v>13160</v>
      </c>
      <c r="H11080" s="153" t="s">
        <v>214</v>
      </c>
    </row>
    <row r="11081" hidden="1">
      <c r="A11081" s="158" t="s">
        <v>235</v>
      </c>
      <c r="B11081" s="159"/>
      <c r="C11081" s="155" t="s">
        <v>236</v>
      </c>
      <c r="D11081" s="156" t="s">
        <v>12954</v>
      </c>
      <c r="E11081" s="156" t="s">
        <v>13161</v>
      </c>
      <c r="F11081" s="156" t="s">
        <v>3625</v>
      </c>
      <c r="G11081" s="156" t="s">
        <v>13061</v>
      </c>
      <c r="H11081" s="157" t="s">
        <v>215</v>
      </c>
    </row>
    <row r="11082" hidden="1">
      <c r="A11082" s="160" t="s">
        <v>235</v>
      </c>
      <c r="B11082" s="72"/>
      <c r="C11082" s="118" t="s">
        <v>236</v>
      </c>
      <c r="D11082" s="152" t="s">
        <v>12954</v>
      </c>
      <c r="E11082" s="152" t="s">
        <v>13162</v>
      </c>
      <c r="F11082" s="152" t="s">
        <v>637</v>
      </c>
      <c r="G11082" s="152" t="s">
        <v>13163</v>
      </c>
      <c r="H11082" s="153" t="s">
        <v>216</v>
      </c>
    </row>
    <row r="11083" hidden="1">
      <c r="A11083" s="158" t="s">
        <v>237</v>
      </c>
      <c r="B11083" s="159"/>
      <c r="C11083" s="155" t="s">
        <v>236</v>
      </c>
      <c r="D11083" s="156" t="s">
        <v>12954</v>
      </c>
      <c r="E11083" s="156" t="s">
        <v>13164</v>
      </c>
      <c r="F11083" s="156" t="s">
        <v>2416</v>
      </c>
      <c r="G11083" s="156" t="s">
        <v>13165</v>
      </c>
      <c r="H11083" s="157" t="s">
        <v>210</v>
      </c>
    </row>
    <row r="11084" hidden="1">
      <c r="A11084" s="160" t="s">
        <v>237</v>
      </c>
      <c r="B11084" s="72"/>
      <c r="C11084" s="118" t="s">
        <v>236</v>
      </c>
      <c r="D11084" s="152" t="s">
        <v>12954</v>
      </c>
      <c r="E11084" s="152" t="s">
        <v>13166</v>
      </c>
      <c r="F11084" s="152" t="s">
        <v>2018</v>
      </c>
      <c r="G11084" s="152" t="s">
        <v>13167</v>
      </c>
      <c r="H11084" s="153" t="s">
        <v>211</v>
      </c>
    </row>
    <row r="11085" hidden="1">
      <c r="A11085" s="158" t="s">
        <v>237</v>
      </c>
      <c r="B11085" s="159"/>
      <c r="C11085" s="155" t="s">
        <v>236</v>
      </c>
      <c r="D11085" s="156" t="s">
        <v>12954</v>
      </c>
      <c r="E11085" s="156" t="s">
        <v>13168</v>
      </c>
      <c r="F11085" s="156" t="s">
        <v>2142</v>
      </c>
      <c r="G11085" s="156" t="s">
        <v>12730</v>
      </c>
      <c r="H11085" s="157" t="s">
        <v>212</v>
      </c>
    </row>
    <row r="11086" hidden="1">
      <c r="A11086" s="160" t="s">
        <v>237</v>
      </c>
      <c r="B11086" s="72"/>
      <c r="C11086" s="118" t="s">
        <v>236</v>
      </c>
      <c r="D11086" s="152" t="s">
        <v>12954</v>
      </c>
      <c r="E11086" s="152" t="s">
        <v>13169</v>
      </c>
      <c r="F11086" s="152" t="s">
        <v>2416</v>
      </c>
      <c r="G11086" s="152" t="s">
        <v>13170</v>
      </c>
      <c r="H11086" s="153" t="s">
        <v>213</v>
      </c>
    </row>
    <row r="11087" hidden="1">
      <c r="A11087" s="158" t="s">
        <v>237</v>
      </c>
      <c r="B11087" s="159"/>
      <c r="C11087" s="155" t="s">
        <v>236</v>
      </c>
      <c r="D11087" s="156" t="s">
        <v>12954</v>
      </c>
      <c r="E11087" s="156" t="s">
        <v>13171</v>
      </c>
      <c r="F11087" s="156" t="s">
        <v>9508</v>
      </c>
      <c r="G11087" s="156" t="s">
        <v>13172</v>
      </c>
      <c r="H11087" s="157" t="s">
        <v>214</v>
      </c>
    </row>
    <row r="11088" hidden="1">
      <c r="A11088" s="160" t="s">
        <v>237</v>
      </c>
      <c r="B11088" s="72"/>
      <c r="C11088" s="118" t="s">
        <v>236</v>
      </c>
      <c r="D11088" s="152" t="s">
        <v>12954</v>
      </c>
      <c r="E11088" s="152" t="s">
        <v>13173</v>
      </c>
      <c r="F11088" s="152" t="s">
        <v>2193</v>
      </c>
      <c r="G11088" s="152" t="s">
        <v>12336</v>
      </c>
      <c r="H11088" s="153" t="s">
        <v>215</v>
      </c>
    </row>
    <row r="11089" hidden="1">
      <c r="A11089" s="158" t="s">
        <v>237</v>
      </c>
      <c r="B11089" s="159"/>
      <c r="C11089" s="155" t="s">
        <v>236</v>
      </c>
      <c r="D11089" s="156" t="s">
        <v>12954</v>
      </c>
      <c r="E11089" s="156" t="s">
        <v>13174</v>
      </c>
      <c r="F11089" s="156" t="s">
        <v>2193</v>
      </c>
      <c r="G11089" s="156" t="s">
        <v>12274</v>
      </c>
      <c r="H11089" s="157" t="s">
        <v>216</v>
      </c>
    </row>
    <row r="11090" hidden="1">
      <c r="A11090" s="151" t="s">
        <v>204</v>
      </c>
      <c r="B11090" s="118" t="s">
        <v>205</v>
      </c>
      <c r="C11090" s="118" t="s">
        <v>206</v>
      </c>
      <c r="D11090" s="152" t="s">
        <v>13175</v>
      </c>
      <c r="E11090" s="152" t="s">
        <v>13176</v>
      </c>
      <c r="F11090" s="152" t="s">
        <v>780</v>
      </c>
      <c r="G11090" s="152" t="s">
        <v>13177</v>
      </c>
      <c r="H11090" s="153" t="s">
        <v>210</v>
      </c>
    </row>
    <row r="11091" hidden="1">
      <c r="A11091" s="154" t="s">
        <v>204</v>
      </c>
      <c r="B11091" s="155" t="s">
        <v>205</v>
      </c>
      <c r="C11091" s="155" t="s">
        <v>206</v>
      </c>
      <c r="D11091" s="156" t="s">
        <v>13175</v>
      </c>
      <c r="E11091" s="156" t="s">
        <v>13178</v>
      </c>
      <c r="F11091" s="156" t="s">
        <v>3145</v>
      </c>
      <c r="G11091" s="156" t="s">
        <v>13179</v>
      </c>
      <c r="H11091" s="157" t="s">
        <v>211</v>
      </c>
    </row>
    <row r="11092" hidden="1">
      <c r="A11092" s="151" t="s">
        <v>204</v>
      </c>
      <c r="B11092" s="118" t="s">
        <v>205</v>
      </c>
      <c r="C11092" s="118" t="s">
        <v>206</v>
      </c>
      <c r="D11092" s="152" t="s">
        <v>13175</v>
      </c>
      <c r="E11092" s="152" t="s">
        <v>13180</v>
      </c>
      <c r="F11092" s="152" t="s">
        <v>2994</v>
      </c>
      <c r="G11092" s="152" t="s">
        <v>13181</v>
      </c>
      <c r="H11092" s="153" t="s">
        <v>212</v>
      </c>
    </row>
    <row r="11093" hidden="1">
      <c r="A11093" s="154" t="s">
        <v>204</v>
      </c>
      <c r="B11093" s="155" t="s">
        <v>205</v>
      </c>
      <c r="C11093" s="155" t="s">
        <v>206</v>
      </c>
      <c r="D11093" s="156" t="s">
        <v>13175</v>
      </c>
      <c r="E11093" s="156" t="s">
        <v>13182</v>
      </c>
      <c r="F11093" s="156" t="s">
        <v>1931</v>
      </c>
      <c r="G11093" s="156" t="s">
        <v>13183</v>
      </c>
      <c r="H11093" s="157" t="s">
        <v>213</v>
      </c>
    </row>
    <row r="11094" hidden="1">
      <c r="A11094" s="151" t="s">
        <v>204</v>
      </c>
      <c r="B11094" s="118" t="s">
        <v>205</v>
      </c>
      <c r="C11094" s="118" t="s">
        <v>206</v>
      </c>
      <c r="D11094" s="152" t="s">
        <v>13175</v>
      </c>
      <c r="E11094" s="152" t="s">
        <v>13184</v>
      </c>
      <c r="F11094" s="152" t="s">
        <v>2228</v>
      </c>
      <c r="G11094" s="152" t="s">
        <v>13185</v>
      </c>
      <c r="H11094" s="153" t="s">
        <v>214</v>
      </c>
    </row>
    <row r="11095" hidden="1">
      <c r="A11095" s="154" t="s">
        <v>204</v>
      </c>
      <c r="B11095" s="155" t="s">
        <v>205</v>
      </c>
      <c r="C11095" s="155" t="s">
        <v>206</v>
      </c>
      <c r="D11095" s="156" t="s">
        <v>13175</v>
      </c>
      <c r="E11095" s="156" t="s">
        <v>13186</v>
      </c>
      <c r="F11095" s="156" t="s">
        <v>2226</v>
      </c>
      <c r="G11095" s="156" t="s">
        <v>12573</v>
      </c>
      <c r="H11095" s="157" t="s">
        <v>215</v>
      </c>
    </row>
    <row r="11096" hidden="1">
      <c r="A11096" s="151" t="s">
        <v>204</v>
      </c>
      <c r="B11096" s="118" t="s">
        <v>205</v>
      </c>
      <c r="C11096" s="118" t="s">
        <v>206</v>
      </c>
      <c r="D11096" s="152" t="s">
        <v>13175</v>
      </c>
      <c r="E11096" s="152" t="s">
        <v>13187</v>
      </c>
      <c r="F11096" s="152" t="s">
        <v>3145</v>
      </c>
      <c r="G11096" s="152" t="s">
        <v>13188</v>
      </c>
      <c r="H11096" s="153" t="s">
        <v>216</v>
      </c>
    </row>
    <row r="11097" hidden="1">
      <c r="A11097" s="154" t="s">
        <v>217</v>
      </c>
      <c r="B11097" s="155" t="s">
        <v>191</v>
      </c>
      <c r="C11097" s="155" t="s">
        <v>206</v>
      </c>
      <c r="D11097" s="156" t="s">
        <v>13175</v>
      </c>
      <c r="E11097" s="156" t="s">
        <v>13189</v>
      </c>
      <c r="F11097" s="156" t="s">
        <v>405</v>
      </c>
      <c r="G11097" s="156" t="s">
        <v>13190</v>
      </c>
      <c r="H11097" s="157" t="s">
        <v>210</v>
      </c>
    </row>
    <row r="11098" hidden="1">
      <c r="A11098" s="151" t="s">
        <v>217</v>
      </c>
      <c r="B11098" s="118" t="s">
        <v>191</v>
      </c>
      <c r="C11098" s="118" t="s">
        <v>206</v>
      </c>
      <c r="D11098" s="152" t="s">
        <v>13175</v>
      </c>
      <c r="E11098" s="152" t="s">
        <v>13191</v>
      </c>
      <c r="F11098" s="152" t="s">
        <v>760</v>
      </c>
      <c r="G11098" s="152" t="s">
        <v>13192</v>
      </c>
      <c r="H11098" s="153" t="s">
        <v>211</v>
      </c>
    </row>
    <row r="11099" hidden="1">
      <c r="A11099" s="154" t="s">
        <v>217</v>
      </c>
      <c r="B11099" s="155" t="s">
        <v>191</v>
      </c>
      <c r="C11099" s="155" t="s">
        <v>206</v>
      </c>
      <c r="D11099" s="156" t="s">
        <v>13175</v>
      </c>
      <c r="E11099" s="156" t="s">
        <v>13193</v>
      </c>
      <c r="F11099" s="156" t="s">
        <v>677</v>
      </c>
      <c r="G11099" s="156" t="s">
        <v>13194</v>
      </c>
      <c r="H11099" s="157" t="s">
        <v>212</v>
      </c>
    </row>
    <row r="11100" hidden="1">
      <c r="A11100" s="151" t="s">
        <v>217</v>
      </c>
      <c r="B11100" s="118" t="s">
        <v>191</v>
      </c>
      <c r="C11100" s="118" t="s">
        <v>206</v>
      </c>
      <c r="D11100" s="152" t="s">
        <v>13175</v>
      </c>
      <c r="E11100" s="152" t="s">
        <v>13195</v>
      </c>
      <c r="F11100" s="152" t="s">
        <v>2215</v>
      </c>
      <c r="G11100" s="152" t="s">
        <v>12908</v>
      </c>
      <c r="H11100" s="153" t="s">
        <v>213</v>
      </c>
    </row>
    <row r="11101" hidden="1">
      <c r="A11101" s="154" t="s">
        <v>217</v>
      </c>
      <c r="B11101" s="155" t="s">
        <v>191</v>
      </c>
      <c r="C11101" s="155" t="s">
        <v>206</v>
      </c>
      <c r="D11101" s="156" t="s">
        <v>13175</v>
      </c>
      <c r="E11101" s="156" t="s">
        <v>13196</v>
      </c>
      <c r="F11101" s="156" t="s">
        <v>453</v>
      </c>
      <c r="G11101" s="156" t="s">
        <v>13197</v>
      </c>
      <c r="H11101" s="157" t="s">
        <v>214</v>
      </c>
    </row>
    <row r="11102" hidden="1">
      <c r="A11102" s="151" t="s">
        <v>217</v>
      </c>
      <c r="B11102" s="118" t="s">
        <v>191</v>
      </c>
      <c r="C11102" s="118" t="s">
        <v>206</v>
      </c>
      <c r="D11102" s="152" t="s">
        <v>13175</v>
      </c>
      <c r="E11102" s="152" t="s">
        <v>13198</v>
      </c>
      <c r="F11102" s="152" t="s">
        <v>1999</v>
      </c>
      <c r="G11102" s="152" t="s">
        <v>13199</v>
      </c>
      <c r="H11102" s="153" t="s">
        <v>215</v>
      </c>
    </row>
    <row r="11103" hidden="1">
      <c r="A11103" s="154" t="s">
        <v>217</v>
      </c>
      <c r="B11103" s="155" t="s">
        <v>191</v>
      </c>
      <c r="C11103" s="155" t="s">
        <v>206</v>
      </c>
      <c r="D11103" s="156" t="s">
        <v>13175</v>
      </c>
      <c r="E11103" s="156" t="s">
        <v>13200</v>
      </c>
      <c r="F11103" s="156" t="s">
        <v>448</v>
      </c>
      <c r="G11103" s="156" t="s">
        <v>13201</v>
      </c>
      <c r="H11103" s="157" t="s">
        <v>216</v>
      </c>
    </row>
    <row r="11104" hidden="1">
      <c r="A11104" s="151" t="s">
        <v>218</v>
      </c>
      <c r="B11104" s="118" t="s">
        <v>219</v>
      </c>
      <c r="C11104" s="118" t="s">
        <v>206</v>
      </c>
      <c r="D11104" s="152" t="s">
        <v>13175</v>
      </c>
      <c r="E11104" s="152" t="s">
        <v>13202</v>
      </c>
      <c r="F11104" s="152" t="s">
        <v>453</v>
      </c>
      <c r="G11104" s="152" t="s">
        <v>13203</v>
      </c>
      <c r="H11104" s="153" t="s">
        <v>210</v>
      </c>
    </row>
    <row r="11105" hidden="1">
      <c r="A11105" s="154" t="s">
        <v>218</v>
      </c>
      <c r="B11105" s="155" t="s">
        <v>219</v>
      </c>
      <c r="C11105" s="155" t="s">
        <v>206</v>
      </c>
      <c r="D11105" s="156" t="s">
        <v>13175</v>
      </c>
      <c r="E11105" s="156" t="s">
        <v>13204</v>
      </c>
      <c r="F11105" s="156" t="s">
        <v>1532</v>
      </c>
      <c r="G11105" s="156" t="s">
        <v>13094</v>
      </c>
      <c r="H11105" s="157" t="s">
        <v>211</v>
      </c>
    </row>
    <row r="11106" hidden="1">
      <c r="A11106" s="151" t="s">
        <v>218</v>
      </c>
      <c r="B11106" s="118" t="s">
        <v>219</v>
      </c>
      <c r="C11106" s="118" t="s">
        <v>206</v>
      </c>
      <c r="D11106" s="152" t="s">
        <v>13175</v>
      </c>
      <c r="E11106" s="152" t="s">
        <v>13205</v>
      </c>
      <c r="F11106" s="152" t="s">
        <v>3218</v>
      </c>
      <c r="G11106" s="152" t="s">
        <v>13206</v>
      </c>
      <c r="H11106" s="153" t="s">
        <v>212</v>
      </c>
    </row>
    <row r="11107" hidden="1">
      <c r="A11107" s="154" t="s">
        <v>218</v>
      </c>
      <c r="B11107" s="155" t="s">
        <v>219</v>
      </c>
      <c r="C11107" s="155" t="s">
        <v>206</v>
      </c>
      <c r="D11107" s="156" t="s">
        <v>13175</v>
      </c>
      <c r="E11107" s="156" t="s">
        <v>13207</v>
      </c>
      <c r="F11107" s="156" t="s">
        <v>1532</v>
      </c>
      <c r="G11107" s="156" t="s">
        <v>12866</v>
      </c>
      <c r="H11107" s="157" t="s">
        <v>213</v>
      </c>
    </row>
    <row r="11108" hidden="1">
      <c r="A11108" s="151" t="s">
        <v>218</v>
      </c>
      <c r="B11108" s="118" t="s">
        <v>219</v>
      </c>
      <c r="C11108" s="118" t="s">
        <v>206</v>
      </c>
      <c r="D11108" s="152" t="s">
        <v>13175</v>
      </c>
      <c r="E11108" s="152" t="s">
        <v>13208</v>
      </c>
      <c r="F11108" s="152" t="s">
        <v>390</v>
      </c>
      <c r="G11108" s="152" t="s">
        <v>13209</v>
      </c>
      <c r="H11108" s="153" t="s">
        <v>214</v>
      </c>
    </row>
    <row r="11109" hidden="1">
      <c r="A11109" s="154" t="s">
        <v>218</v>
      </c>
      <c r="B11109" s="155" t="s">
        <v>219</v>
      </c>
      <c r="C11109" s="155" t="s">
        <v>206</v>
      </c>
      <c r="D11109" s="156" t="s">
        <v>13175</v>
      </c>
      <c r="E11109" s="156" t="s">
        <v>13210</v>
      </c>
      <c r="F11109" s="156" t="s">
        <v>760</v>
      </c>
      <c r="G11109" s="156" t="s">
        <v>13211</v>
      </c>
      <c r="H11109" s="157" t="s">
        <v>215</v>
      </c>
    </row>
    <row r="11110" hidden="1">
      <c r="A11110" s="151" t="s">
        <v>218</v>
      </c>
      <c r="B11110" s="118" t="s">
        <v>219</v>
      </c>
      <c r="C11110" s="118" t="s">
        <v>206</v>
      </c>
      <c r="D11110" s="152" t="s">
        <v>13175</v>
      </c>
      <c r="E11110" s="152" t="s">
        <v>13212</v>
      </c>
      <c r="F11110" s="152" t="s">
        <v>1999</v>
      </c>
      <c r="G11110" s="152" t="s">
        <v>12730</v>
      </c>
      <c r="H11110" s="153" t="s">
        <v>216</v>
      </c>
    </row>
    <row r="11111" hidden="1">
      <c r="A11111" s="154" t="s">
        <v>220</v>
      </c>
      <c r="B11111" s="155" t="s">
        <v>190</v>
      </c>
      <c r="C11111" s="155" t="s">
        <v>206</v>
      </c>
      <c r="D11111" s="156" t="s">
        <v>13175</v>
      </c>
      <c r="E11111" s="156" t="s">
        <v>13213</v>
      </c>
      <c r="F11111" s="156" t="s">
        <v>1920</v>
      </c>
      <c r="G11111" s="156" t="s">
        <v>13214</v>
      </c>
      <c r="H11111" s="157" t="s">
        <v>210</v>
      </c>
    </row>
    <row r="11112" hidden="1">
      <c r="A11112" s="151" t="s">
        <v>220</v>
      </c>
      <c r="B11112" s="118" t="s">
        <v>190</v>
      </c>
      <c r="C11112" s="118" t="s">
        <v>206</v>
      </c>
      <c r="D11112" s="152" t="s">
        <v>13175</v>
      </c>
      <c r="E11112" s="152" t="s">
        <v>13215</v>
      </c>
      <c r="F11112" s="152" t="s">
        <v>780</v>
      </c>
      <c r="G11112" s="152" t="s">
        <v>13216</v>
      </c>
      <c r="H11112" s="153" t="s">
        <v>211</v>
      </c>
    </row>
    <row r="11113" hidden="1">
      <c r="A11113" s="154" t="s">
        <v>220</v>
      </c>
      <c r="B11113" s="155" t="s">
        <v>190</v>
      </c>
      <c r="C11113" s="155" t="s">
        <v>206</v>
      </c>
      <c r="D11113" s="156" t="s">
        <v>13175</v>
      </c>
      <c r="E11113" s="156" t="s">
        <v>13217</v>
      </c>
      <c r="F11113" s="156" t="s">
        <v>497</v>
      </c>
      <c r="G11113" s="156" t="s">
        <v>13218</v>
      </c>
      <c r="H11113" s="157" t="s">
        <v>212</v>
      </c>
    </row>
    <row r="11114" hidden="1">
      <c r="A11114" s="151" t="s">
        <v>220</v>
      </c>
      <c r="B11114" s="118" t="s">
        <v>190</v>
      </c>
      <c r="C11114" s="118" t="s">
        <v>206</v>
      </c>
      <c r="D11114" s="152" t="s">
        <v>13175</v>
      </c>
      <c r="E11114" s="152" t="s">
        <v>13219</v>
      </c>
      <c r="F11114" s="152" t="s">
        <v>4052</v>
      </c>
      <c r="G11114" s="152" t="s">
        <v>13220</v>
      </c>
      <c r="H11114" s="153" t="s">
        <v>213</v>
      </c>
    </row>
    <row r="11115" hidden="1">
      <c r="A11115" s="154" t="s">
        <v>220</v>
      </c>
      <c r="B11115" s="155" t="s">
        <v>190</v>
      </c>
      <c r="C11115" s="155" t="s">
        <v>206</v>
      </c>
      <c r="D11115" s="156" t="s">
        <v>13175</v>
      </c>
      <c r="E11115" s="156" t="s">
        <v>13221</v>
      </c>
      <c r="F11115" s="156" t="s">
        <v>1781</v>
      </c>
      <c r="G11115" s="156" t="s">
        <v>12350</v>
      </c>
      <c r="H11115" s="157" t="s">
        <v>214</v>
      </c>
    </row>
    <row r="11116" hidden="1">
      <c r="A11116" s="151" t="s">
        <v>220</v>
      </c>
      <c r="B11116" s="118" t="s">
        <v>190</v>
      </c>
      <c r="C11116" s="118" t="s">
        <v>206</v>
      </c>
      <c r="D11116" s="152" t="s">
        <v>13175</v>
      </c>
      <c r="E11116" s="152" t="s">
        <v>13222</v>
      </c>
      <c r="F11116" s="152" t="s">
        <v>629</v>
      </c>
      <c r="G11116" s="152" t="s">
        <v>13223</v>
      </c>
      <c r="H11116" s="153" t="s">
        <v>215</v>
      </c>
    </row>
    <row r="11117" hidden="1">
      <c r="A11117" s="154" t="s">
        <v>220</v>
      </c>
      <c r="B11117" s="155" t="s">
        <v>190</v>
      </c>
      <c r="C11117" s="155" t="s">
        <v>206</v>
      </c>
      <c r="D11117" s="156" t="s">
        <v>13175</v>
      </c>
      <c r="E11117" s="156" t="s">
        <v>13224</v>
      </c>
      <c r="F11117" s="156" t="s">
        <v>5454</v>
      </c>
      <c r="G11117" s="156" t="s">
        <v>13225</v>
      </c>
      <c r="H11117" s="157" t="s">
        <v>216</v>
      </c>
    </row>
    <row r="11118" hidden="1">
      <c r="A11118" s="151" t="s">
        <v>221</v>
      </c>
      <c r="B11118" s="118" t="s">
        <v>189</v>
      </c>
      <c r="C11118" s="118" t="s">
        <v>206</v>
      </c>
      <c r="D11118" s="152" t="s">
        <v>13175</v>
      </c>
      <c r="E11118" s="152" t="s">
        <v>13226</v>
      </c>
      <c r="F11118" s="152" t="s">
        <v>2605</v>
      </c>
      <c r="G11118" s="152" t="s">
        <v>13227</v>
      </c>
      <c r="H11118" s="153" t="s">
        <v>210</v>
      </c>
    </row>
    <row r="11119" hidden="1">
      <c r="A11119" s="154" t="s">
        <v>221</v>
      </c>
      <c r="B11119" s="155" t="s">
        <v>189</v>
      </c>
      <c r="C11119" s="155" t="s">
        <v>206</v>
      </c>
      <c r="D11119" s="156" t="s">
        <v>13175</v>
      </c>
      <c r="E11119" s="156" t="s">
        <v>13228</v>
      </c>
      <c r="F11119" s="156" t="s">
        <v>3487</v>
      </c>
      <c r="G11119" s="156" t="s">
        <v>13229</v>
      </c>
      <c r="H11119" s="157" t="s">
        <v>211</v>
      </c>
    </row>
    <row r="11120" hidden="1">
      <c r="A11120" s="151" t="s">
        <v>221</v>
      </c>
      <c r="B11120" s="118" t="s">
        <v>189</v>
      </c>
      <c r="C11120" s="118" t="s">
        <v>206</v>
      </c>
      <c r="D11120" s="152" t="s">
        <v>13175</v>
      </c>
      <c r="E11120" s="152" t="s">
        <v>13230</v>
      </c>
      <c r="F11120" s="152" t="s">
        <v>633</v>
      </c>
      <c r="G11120" s="152" t="s">
        <v>13231</v>
      </c>
      <c r="H11120" s="153" t="s">
        <v>212</v>
      </c>
    </row>
    <row r="11121" hidden="1">
      <c r="A11121" s="154" t="s">
        <v>221</v>
      </c>
      <c r="B11121" s="155" t="s">
        <v>189</v>
      </c>
      <c r="C11121" s="155" t="s">
        <v>206</v>
      </c>
      <c r="D11121" s="156" t="s">
        <v>13175</v>
      </c>
      <c r="E11121" s="156" t="s">
        <v>13232</v>
      </c>
      <c r="F11121" s="156" t="s">
        <v>2243</v>
      </c>
      <c r="G11121" s="156" t="s">
        <v>13233</v>
      </c>
      <c r="H11121" s="157" t="s">
        <v>213</v>
      </c>
    </row>
    <row r="11122" hidden="1">
      <c r="A11122" s="151" t="s">
        <v>221</v>
      </c>
      <c r="B11122" s="118" t="s">
        <v>189</v>
      </c>
      <c r="C11122" s="118" t="s">
        <v>206</v>
      </c>
      <c r="D11122" s="152" t="s">
        <v>13175</v>
      </c>
      <c r="E11122" s="152" t="s">
        <v>13234</v>
      </c>
      <c r="F11122" s="152" t="s">
        <v>1816</v>
      </c>
      <c r="G11122" s="152" t="s">
        <v>13235</v>
      </c>
      <c r="H11122" s="153" t="s">
        <v>214</v>
      </c>
    </row>
    <row r="11123" hidden="1">
      <c r="A11123" s="154" t="s">
        <v>221</v>
      </c>
      <c r="B11123" s="155" t="s">
        <v>189</v>
      </c>
      <c r="C11123" s="155" t="s">
        <v>206</v>
      </c>
      <c r="D11123" s="156" t="s">
        <v>13175</v>
      </c>
      <c r="E11123" s="156" t="s">
        <v>13236</v>
      </c>
      <c r="F11123" s="156" t="s">
        <v>2457</v>
      </c>
      <c r="G11123" s="156" t="s">
        <v>13237</v>
      </c>
      <c r="H11123" s="157" t="s">
        <v>215</v>
      </c>
    </row>
    <row r="11124" hidden="1">
      <c r="A11124" s="151" t="s">
        <v>221</v>
      </c>
      <c r="B11124" s="118" t="s">
        <v>189</v>
      </c>
      <c r="C11124" s="118" t="s">
        <v>206</v>
      </c>
      <c r="D11124" s="152" t="s">
        <v>13175</v>
      </c>
      <c r="E11124" s="152" t="s">
        <v>13238</v>
      </c>
      <c r="F11124" s="152" t="s">
        <v>1951</v>
      </c>
      <c r="G11124" s="152" t="s">
        <v>13143</v>
      </c>
      <c r="H11124" s="153" t="s">
        <v>216</v>
      </c>
    </row>
    <row r="11125" hidden="1">
      <c r="A11125" s="154" t="s">
        <v>222</v>
      </c>
      <c r="B11125" s="155" t="s">
        <v>192</v>
      </c>
      <c r="C11125" s="155" t="s">
        <v>206</v>
      </c>
      <c r="D11125" s="156" t="s">
        <v>13175</v>
      </c>
      <c r="E11125" s="156" t="s">
        <v>13239</v>
      </c>
      <c r="F11125" s="156" t="s">
        <v>760</v>
      </c>
      <c r="G11125" s="156" t="s">
        <v>13240</v>
      </c>
      <c r="H11125" s="157" t="s">
        <v>210</v>
      </c>
    </row>
    <row r="11126" hidden="1">
      <c r="A11126" s="151" t="s">
        <v>222</v>
      </c>
      <c r="B11126" s="118" t="s">
        <v>192</v>
      </c>
      <c r="C11126" s="118" t="s">
        <v>206</v>
      </c>
      <c r="D11126" s="152" t="s">
        <v>13175</v>
      </c>
      <c r="E11126" s="152" t="s">
        <v>13241</v>
      </c>
      <c r="F11126" s="152" t="s">
        <v>629</v>
      </c>
      <c r="G11126" s="152" t="s">
        <v>12746</v>
      </c>
      <c r="H11126" s="153" t="s">
        <v>211</v>
      </c>
    </row>
    <row r="11127" hidden="1">
      <c r="A11127" s="154" t="s">
        <v>222</v>
      </c>
      <c r="B11127" s="155" t="s">
        <v>192</v>
      </c>
      <c r="C11127" s="155" t="s">
        <v>206</v>
      </c>
      <c r="D11127" s="156" t="s">
        <v>13175</v>
      </c>
      <c r="E11127" s="156" t="s">
        <v>13242</v>
      </c>
      <c r="F11127" s="156" t="s">
        <v>3218</v>
      </c>
      <c r="G11127" s="156" t="s">
        <v>13243</v>
      </c>
      <c r="H11127" s="157" t="s">
        <v>212</v>
      </c>
    </row>
    <row r="11128" hidden="1">
      <c r="A11128" s="151" t="s">
        <v>222</v>
      </c>
      <c r="B11128" s="118" t="s">
        <v>192</v>
      </c>
      <c r="C11128" s="118" t="s">
        <v>206</v>
      </c>
      <c r="D11128" s="152" t="s">
        <v>13175</v>
      </c>
      <c r="E11128" s="152" t="s">
        <v>13244</v>
      </c>
      <c r="F11128" s="152" t="s">
        <v>390</v>
      </c>
      <c r="G11128" s="152" t="s">
        <v>13068</v>
      </c>
      <c r="H11128" s="153" t="s">
        <v>213</v>
      </c>
    </row>
    <row r="11129" hidden="1">
      <c r="A11129" s="154" t="s">
        <v>222</v>
      </c>
      <c r="B11129" s="155" t="s">
        <v>192</v>
      </c>
      <c r="C11129" s="155" t="s">
        <v>206</v>
      </c>
      <c r="D11129" s="156" t="s">
        <v>13175</v>
      </c>
      <c r="E11129" s="156" t="s">
        <v>13245</v>
      </c>
      <c r="F11129" s="156" t="s">
        <v>1530</v>
      </c>
      <c r="G11129" s="156" t="s">
        <v>13246</v>
      </c>
      <c r="H11129" s="157" t="s">
        <v>214</v>
      </c>
    </row>
    <row r="11130" hidden="1">
      <c r="A11130" s="151" t="s">
        <v>222</v>
      </c>
      <c r="B11130" s="118" t="s">
        <v>192</v>
      </c>
      <c r="C11130" s="118" t="s">
        <v>206</v>
      </c>
      <c r="D11130" s="152" t="s">
        <v>13175</v>
      </c>
      <c r="E11130" s="152" t="s">
        <v>13247</v>
      </c>
      <c r="F11130" s="152" t="s">
        <v>2228</v>
      </c>
      <c r="G11130" s="152" t="s">
        <v>13248</v>
      </c>
      <c r="H11130" s="153" t="s">
        <v>215</v>
      </c>
    </row>
    <row r="11131" hidden="1">
      <c r="A11131" s="154" t="s">
        <v>222</v>
      </c>
      <c r="B11131" s="155" t="s">
        <v>192</v>
      </c>
      <c r="C11131" s="155" t="s">
        <v>206</v>
      </c>
      <c r="D11131" s="156" t="s">
        <v>13175</v>
      </c>
      <c r="E11131" s="156" t="s">
        <v>13249</v>
      </c>
      <c r="F11131" s="156" t="s">
        <v>1929</v>
      </c>
      <c r="G11131" s="156" t="s">
        <v>13150</v>
      </c>
      <c r="H11131" s="157" t="s">
        <v>216</v>
      </c>
    </row>
    <row r="11132" hidden="1">
      <c r="A11132" s="151" t="s">
        <v>223</v>
      </c>
      <c r="B11132" s="118" t="s">
        <v>144</v>
      </c>
      <c r="C11132" s="118" t="s">
        <v>206</v>
      </c>
      <c r="D11132" s="152" t="s">
        <v>13175</v>
      </c>
      <c r="E11132" s="152" t="s">
        <v>13250</v>
      </c>
      <c r="F11132" s="152" t="s">
        <v>732</v>
      </c>
      <c r="G11132" s="152" t="s">
        <v>13251</v>
      </c>
      <c r="H11132" s="153" t="s">
        <v>210</v>
      </c>
    </row>
    <row r="11133" hidden="1">
      <c r="A11133" s="154" t="s">
        <v>223</v>
      </c>
      <c r="B11133" s="155" t="s">
        <v>144</v>
      </c>
      <c r="C11133" s="155" t="s">
        <v>206</v>
      </c>
      <c r="D11133" s="156" t="s">
        <v>13175</v>
      </c>
      <c r="E11133" s="156" t="s">
        <v>13252</v>
      </c>
      <c r="F11133" s="156" t="s">
        <v>3148</v>
      </c>
      <c r="G11133" s="156" t="s">
        <v>13253</v>
      </c>
      <c r="H11133" s="157" t="s">
        <v>211</v>
      </c>
    </row>
    <row r="11134" hidden="1">
      <c r="A11134" s="151" t="s">
        <v>223</v>
      </c>
      <c r="B11134" s="118" t="s">
        <v>144</v>
      </c>
      <c r="C11134" s="118" t="s">
        <v>206</v>
      </c>
      <c r="D11134" s="152" t="s">
        <v>13175</v>
      </c>
      <c r="E11134" s="152" t="s">
        <v>13254</v>
      </c>
      <c r="F11134" s="152" t="s">
        <v>3346</v>
      </c>
      <c r="G11134" s="152" t="s">
        <v>13035</v>
      </c>
      <c r="H11134" s="153" t="s">
        <v>212</v>
      </c>
    </row>
    <row r="11135" hidden="1">
      <c r="A11135" s="154" t="s">
        <v>223</v>
      </c>
      <c r="B11135" s="155" t="s">
        <v>144</v>
      </c>
      <c r="C11135" s="155" t="s">
        <v>206</v>
      </c>
      <c r="D11135" s="156" t="s">
        <v>13175</v>
      </c>
      <c r="E11135" s="156" t="s">
        <v>13255</v>
      </c>
      <c r="F11135" s="156" t="s">
        <v>3243</v>
      </c>
      <c r="G11135" s="156" t="s">
        <v>13256</v>
      </c>
      <c r="H11135" s="157" t="s">
        <v>213</v>
      </c>
    </row>
    <row r="11136" hidden="1">
      <c r="A11136" s="151" t="s">
        <v>223</v>
      </c>
      <c r="B11136" s="118" t="s">
        <v>144</v>
      </c>
      <c r="C11136" s="118" t="s">
        <v>206</v>
      </c>
      <c r="D11136" s="152" t="s">
        <v>13175</v>
      </c>
      <c r="E11136" s="152" t="s">
        <v>13257</v>
      </c>
      <c r="F11136" s="152" t="s">
        <v>1931</v>
      </c>
      <c r="G11136" s="152" t="s">
        <v>13258</v>
      </c>
      <c r="H11136" s="153" t="s">
        <v>214</v>
      </c>
    </row>
    <row r="11137" hidden="1">
      <c r="A11137" s="154" t="s">
        <v>223</v>
      </c>
      <c r="B11137" s="155" t="s">
        <v>144</v>
      </c>
      <c r="C11137" s="155" t="s">
        <v>206</v>
      </c>
      <c r="D11137" s="156" t="s">
        <v>13175</v>
      </c>
      <c r="E11137" s="156" t="s">
        <v>13259</v>
      </c>
      <c r="F11137" s="156" t="s">
        <v>730</v>
      </c>
      <c r="G11137" s="156" t="s">
        <v>13260</v>
      </c>
      <c r="H11137" s="157" t="s">
        <v>215</v>
      </c>
    </row>
    <row r="11138" hidden="1">
      <c r="A11138" s="151" t="s">
        <v>223</v>
      </c>
      <c r="B11138" s="118" t="s">
        <v>144</v>
      </c>
      <c r="C11138" s="118" t="s">
        <v>206</v>
      </c>
      <c r="D11138" s="152" t="s">
        <v>13175</v>
      </c>
      <c r="E11138" s="152" t="s">
        <v>13261</v>
      </c>
      <c r="F11138" s="152" t="s">
        <v>1931</v>
      </c>
      <c r="G11138" s="152" t="s">
        <v>13262</v>
      </c>
      <c r="H11138" s="153" t="s">
        <v>216</v>
      </c>
    </row>
    <row r="11139" hidden="1">
      <c r="A11139" s="154" t="s">
        <v>224</v>
      </c>
      <c r="B11139" s="155" t="s">
        <v>170</v>
      </c>
      <c r="C11139" s="155" t="s">
        <v>206</v>
      </c>
      <c r="D11139" s="156" t="s">
        <v>13175</v>
      </c>
      <c r="E11139" s="156" t="s">
        <v>13263</v>
      </c>
      <c r="F11139" s="156" t="s">
        <v>423</v>
      </c>
      <c r="G11139" s="156" t="s">
        <v>13264</v>
      </c>
      <c r="H11139" s="157" t="s">
        <v>210</v>
      </c>
    </row>
    <row r="11140" hidden="1">
      <c r="A11140" s="151" t="s">
        <v>224</v>
      </c>
      <c r="B11140" s="118" t="s">
        <v>170</v>
      </c>
      <c r="C11140" s="118" t="s">
        <v>206</v>
      </c>
      <c r="D11140" s="152" t="s">
        <v>13175</v>
      </c>
      <c r="E11140" s="152" t="s">
        <v>13265</v>
      </c>
      <c r="F11140" s="152" t="s">
        <v>675</v>
      </c>
      <c r="G11140" s="152" t="s">
        <v>13266</v>
      </c>
      <c r="H11140" s="153" t="s">
        <v>211</v>
      </c>
    </row>
    <row r="11141" hidden="1">
      <c r="A11141" s="154" t="s">
        <v>224</v>
      </c>
      <c r="B11141" s="155" t="s">
        <v>170</v>
      </c>
      <c r="C11141" s="155" t="s">
        <v>206</v>
      </c>
      <c r="D11141" s="156" t="s">
        <v>13175</v>
      </c>
      <c r="E11141" s="156" t="s">
        <v>13267</v>
      </c>
      <c r="F11141" s="156" t="s">
        <v>325</v>
      </c>
      <c r="G11141" s="156" t="s">
        <v>13268</v>
      </c>
      <c r="H11141" s="157" t="s">
        <v>212</v>
      </c>
    </row>
    <row r="11142" hidden="1">
      <c r="A11142" s="151" t="s">
        <v>224</v>
      </c>
      <c r="B11142" s="118" t="s">
        <v>170</v>
      </c>
      <c r="C11142" s="118" t="s">
        <v>206</v>
      </c>
      <c r="D11142" s="152" t="s">
        <v>13175</v>
      </c>
      <c r="E11142" s="152" t="s">
        <v>13269</v>
      </c>
      <c r="F11142" s="152" t="s">
        <v>348</v>
      </c>
      <c r="G11142" s="152" t="s">
        <v>13270</v>
      </c>
      <c r="H11142" s="153" t="s">
        <v>213</v>
      </c>
    </row>
    <row r="11143" hidden="1">
      <c r="A11143" s="154" t="s">
        <v>224</v>
      </c>
      <c r="B11143" s="155" t="s">
        <v>170</v>
      </c>
      <c r="C11143" s="155" t="s">
        <v>206</v>
      </c>
      <c r="D11143" s="156" t="s">
        <v>13175</v>
      </c>
      <c r="E11143" s="156" t="s">
        <v>13271</v>
      </c>
      <c r="F11143" s="156" t="s">
        <v>725</v>
      </c>
      <c r="G11143" s="156" t="s">
        <v>13272</v>
      </c>
      <c r="H11143" s="157" t="s">
        <v>214</v>
      </c>
    </row>
    <row r="11144" hidden="1">
      <c r="A11144" s="151" t="s">
        <v>224</v>
      </c>
      <c r="B11144" s="118" t="s">
        <v>170</v>
      </c>
      <c r="C11144" s="118" t="s">
        <v>206</v>
      </c>
      <c r="D11144" s="152" t="s">
        <v>13175</v>
      </c>
      <c r="E11144" s="152" t="s">
        <v>13273</v>
      </c>
      <c r="F11144" s="152" t="s">
        <v>336</v>
      </c>
      <c r="G11144" s="152" t="s">
        <v>13274</v>
      </c>
      <c r="H11144" s="153" t="s">
        <v>215</v>
      </c>
    </row>
    <row r="11145" hidden="1">
      <c r="A11145" s="154" t="s">
        <v>224</v>
      </c>
      <c r="B11145" s="155" t="s">
        <v>170</v>
      </c>
      <c r="C11145" s="155" t="s">
        <v>206</v>
      </c>
      <c r="D11145" s="156" t="s">
        <v>13175</v>
      </c>
      <c r="E11145" s="156" t="s">
        <v>13275</v>
      </c>
      <c r="F11145" s="156" t="s">
        <v>2994</v>
      </c>
      <c r="G11145" s="156" t="s">
        <v>13276</v>
      </c>
      <c r="H11145" s="157" t="s">
        <v>216</v>
      </c>
    </row>
    <row r="11146" hidden="1">
      <c r="A11146" s="151" t="s">
        <v>225</v>
      </c>
      <c r="B11146" s="118" t="s">
        <v>226</v>
      </c>
      <c r="C11146" s="118" t="s">
        <v>206</v>
      </c>
      <c r="D11146" s="152" t="s">
        <v>13175</v>
      </c>
      <c r="E11146" s="152" t="s">
        <v>13277</v>
      </c>
      <c r="F11146" s="152" t="s">
        <v>6323</v>
      </c>
      <c r="G11146" s="152" t="s">
        <v>13278</v>
      </c>
      <c r="H11146" s="153" t="s">
        <v>210</v>
      </c>
    </row>
    <row r="11147" hidden="1">
      <c r="A11147" s="154" t="s">
        <v>225</v>
      </c>
      <c r="B11147" s="155" t="s">
        <v>226</v>
      </c>
      <c r="C11147" s="155" t="s">
        <v>206</v>
      </c>
      <c r="D11147" s="156" t="s">
        <v>13175</v>
      </c>
      <c r="E11147" s="156" t="s">
        <v>13279</v>
      </c>
      <c r="F11147" s="156" t="s">
        <v>1784</v>
      </c>
      <c r="G11147" s="156" t="s">
        <v>13280</v>
      </c>
      <c r="H11147" s="157" t="s">
        <v>211</v>
      </c>
    </row>
    <row r="11148" hidden="1">
      <c r="A11148" s="151" t="s">
        <v>225</v>
      </c>
      <c r="B11148" s="118" t="s">
        <v>226</v>
      </c>
      <c r="C11148" s="118" t="s">
        <v>206</v>
      </c>
      <c r="D11148" s="152" t="s">
        <v>13175</v>
      </c>
      <c r="E11148" s="152" t="s">
        <v>13281</v>
      </c>
      <c r="F11148" s="152" t="s">
        <v>1983</v>
      </c>
      <c r="G11148" s="152" t="s">
        <v>13282</v>
      </c>
      <c r="H11148" s="153" t="s">
        <v>212</v>
      </c>
    </row>
    <row r="11149" hidden="1">
      <c r="A11149" s="154" t="s">
        <v>225</v>
      </c>
      <c r="B11149" s="155" t="s">
        <v>226</v>
      </c>
      <c r="C11149" s="155" t="s">
        <v>206</v>
      </c>
      <c r="D11149" s="156" t="s">
        <v>13175</v>
      </c>
      <c r="E11149" s="156" t="s">
        <v>13283</v>
      </c>
      <c r="F11149" s="156" t="s">
        <v>11592</v>
      </c>
      <c r="G11149" s="156" t="s">
        <v>13284</v>
      </c>
      <c r="H11149" s="157" t="s">
        <v>213</v>
      </c>
    </row>
    <row r="11150" hidden="1">
      <c r="A11150" s="151" t="s">
        <v>225</v>
      </c>
      <c r="B11150" s="118" t="s">
        <v>226</v>
      </c>
      <c r="C11150" s="118" t="s">
        <v>206</v>
      </c>
      <c r="D11150" s="152" t="s">
        <v>13175</v>
      </c>
      <c r="E11150" s="152" t="s">
        <v>13285</v>
      </c>
      <c r="F11150" s="152" t="s">
        <v>633</v>
      </c>
      <c r="G11150" s="152" t="s">
        <v>13286</v>
      </c>
      <c r="H11150" s="153" t="s">
        <v>214</v>
      </c>
    </row>
    <row r="11151" hidden="1">
      <c r="A11151" s="154" t="s">
        <v>225</v>
      </c>
      <c r="B11151" s="155" t="s">
        <v>226</v>
      </c>
      <c r="C11151" s="155" t="s">
        <v>206</v>
      </c>
      <c r="D11151" s="156" t="s">
        <v>13175</v>
      </c>
      <c r="E11151" s="156" t="s">
        <v>13287</v>
      </c>
      <c r="F11151" s="156" t="s">
        <v>2416</v>
      </c>
      <c r="G11151" s="156" t="s">
        <v>13288</v>
      </c>
      <c r="H11151" s="157" t="s">
        <v>215</v>
      </c>
    </row>
    <row r="11152" hidden="1">
      <c r="A11152" s="151" t="s">
        <v>225</v>
      </c>
      <c r="B11152" s="118" t="s">
        <v>226</v>
      </c>
      <c r="C11152" s="118" t="s">
        <v>206</v>
      </c>
      <c r="D11152" s="152" t="s">
        <v>13175</v>
      </c>
      <c r="E11152" s="152" t="s">
        <v>13289</v>
      </c>
      <c r="F11152" s="152" t="s">
        <v>11549</v>
      </c>
      <c r="G11152" s="152" t="s">
        <v>13290</v>
      </c>
      <c r="H11152" s="153" t="s">
        <v>216</v>
      </c>
    </row>
    <row r="11153" hidden="1">
      <c r="A11153" s="154" t="s">
        <v>227</v>
      </c>
      <c r="B11153" s="155" t="s">
        <v>195</v>
      </c>
      <c r="C11153" s="155" t="s">
        <v>206</v>
      </c>
      <c r="D11153" s="156" t="s">
        <v>13175</v>
      </c>
      <c r="E11153" s="156" t="s">
        <v>13291</v>
      </c>
      <c r="F11153" s="156" t="s">
        <v>766</v>
      </c>
      <c r="G11153" s="156" t="s">
        <v>13131</v>
      </c>
      <c r="H11153" s="157" t="s">
        <v>210</v>
      </c>
    </row>
    <row r="11154" hidden="1">
      <c r="A11154" s="151" t="s">
        <v>227</v>
      </c>
      <c r="B11154" s="118" t="s">
        <v>195</v>
      </c>
      <c r="C11154" s="118" t="s">
        <v>206</v>
      </c>
      <c r="D11154" s="152" t="s">
        <v>13175</v>
      </c>
      <c r="E11154" s="152" t="s">
        <v>13292</v>
      </c>
      <c r="F11154" s="152" t="s">
        <v>390</v>
      </c>
      <c r="G11154" s="152" t="s">
        <v>13293</v>
      </c>
      <c r="H11154" s="153" t="s">
        <v>211</v>
      </c>
    </row>
    <row r="11155" hidden="1">
      <c r="A11155" s="154" t="s">
        <v>227</v>
      </c>
      <c r="B11155" s="155" t="s">
        <v>195</v>
      </c>
      <c r="C11155" s="155" t="s">
        <v>206</v>
      </c>
      <c r="D11155" s="156" t="s">
        <v>13175</v>
      </c>
      <c r="E11155" s="156" t="s">
        <v>13294</v>
      </c>
      <c r="F11155" s="156" t="s">
        <v>758</v>
      </c>
      <c r="G11155" s="156" t="s">
        <v>13243</v>
      </c>
      <c r="H11155" s="157" t="s">
        <v>212</v>
      </c>
    </row>
    <row r="11156" hidden="1">
      <c r="A11156" s="151" t="s">
        <v>227</v>
      </c>
      <c r="B11156" s="118" t="s">
        <v>195</v>
      </c>
      <c r="C11156" s="118" t="s">
        <v>206</v>
      </c>
      <c r="D11156" s="152" t="s">
        <v>13175</v>
      </c>
      <c r="E11156" s="152" t="s">
        <v>13295</v>
      </c>
      <c r="F11156" s="152" t="s">
        <v>2807</v>
      </c>
      <c r="G11156" s="152" t="s">
        <v>13296</v>
      </c>
      <c r="H11156" s="153" t="s">
        <v>213</v>
      </c>
    </row>
    <row r="11157" hidden="1">
      <c r="A11157" s="154" t="s">
        <v>227</v>
      </c>
      <c r="B11157" s="155" t="s">
        <v>195</v>
      </c>
      <c r="C11157" s="155" t="s">
        <v>206</v>
      </c>
      <c r="D11157" s="156" t="s">
        <v>13175</v>
      </c>
      <c r="E11157" s="156" t="s">
        <v>13297</v>
      </c>
      <c r="F11157" s="156" t="s">
        <v>3243</v>
      </c>
      <c r="G11157" s="156" t="s">
        <v>12706</v>
      </c>
      <c r="H11157" s="157" t="s">
        <v>214</v>
      </c>
    </row>
    <row r="11158" hidden="1">
      <c r="A11158" s="151" t="s">
        <v>227</v>
      </c>
      <c r="B11158" s="118" t="s">
        <v>195</v>
      </c>
      <c r="C11158" s="118" t="s">
        <v>206</v>
      </c>
      <c r="D11158" s="152" t="s">
        <v>13175</v>
      </c>
      <c r="E11158" s="152" t="s">
        <v>13298</v>
      </c>
      <c r="F11158" s="152" t="s">
        <v>497</v>
      </c>
      <c r="G11158" s="152" t="s">
        <v>13299</v>
      </c>
      <c r="H11158" s="153" t="s">
        <v>215</v>
      </c>
    </row>
    <row r="11159" hidden="1">
      <c r="A11159" s="154" t="s">
        <v>227</v>
      </c>
      <c r="B11159" s="155" t="s">
        <v>195</v>
      </c>
      <c r="C11159" s="155" t="s">
        <v>206</v>
      </c>
      <c r="D11159" s="156" t="s">
        <v>13175</v>
      </c>
      <c r="E11159" s="156" t="s">
        <v>13300</v>
      </c>
      <c r="F11159" s="156" t="s">
        <v>3240</v>
      </c>
      <c r="G11159" s="156" t="s">
        <v>13301</v>
      </c>
      <c r="H11159" s="157" t="s">
        <v>216</v>
      </c>
    </row>
    <row r="11160" hidden="1">
      <c r="A11160" s="151" t="s">
        <v>228</v>
      </c>
      <c r="B11160" s="118" t="s">
        <v>138</v>
      </c>
      <c r="C11160" s="118" t="s">
        <v>206</v>
      </c>
      <c r="D11160" s="152" t="s">
        <v>13175</v>
      </c>
      <c r="E11160" s="152" t="s">
        <v>13302</v>
      </c>
      <c r="F11160" s="152" t="s">
        <v>444</v>
      </c>
      <c r="G11160" s="152" t="s">
        <v>13303</v>
      </c>
      <c r="H11160" s="153" t="s">
        <v>210</v>
      </c>
    </row>
    <row r="11161" hidden="1">
      <c r="A11161" s="154" t="s">
        <v>228</v>
      </c>
      <c r="B11161" s="155" t="s">
        <v>138</v>
      </c>
      <c r="C11161" s="155" t="s">
        <v>206</v>
      </c>
      <c r="D11161" s="156" t="s">
        <v>13175</v>
      </c>
      <c r="E11161" s="156" t="s">
        <v>13304</v>
      </c>
      <c r="F11161" s="156" t="s">
        <v>3243</v>
      </c>
      <c r="G11161" s="156" t="s">
        <v>13220</v>
      </c>
      <c r="H11161" s="157" t="s">
        <v>211</v>
      </c>
    </row>
    <row r="11162" hidden="1">
      <c r="A11162" s="151" t="s">
        <v>228</v>
      </c>
      <c r="B11162" s="118" t="s">
        <v>138</v>
      </c>
      <c r="C11162" s="118" t="s">
        <v>206</v>
      </c>
      <c r="D11162" s="152" t="s">
        <v>13175</v>
      </c>
      <c r="E11162" s="152" t="s">
        <v>13305</v>
      </c>
      <c r="F11162" s="152" t="s">
        <v>2343</v>
      </c>
      <c r="G11162" s="152" t="s">
        <v>13306</v>
      </c>
      <c r="H11162" s="153" t="s">
        <v>212</v>
      </c>
    </row>
    <row r="11163" hidden="1">
      <c r="A11163" s="154" t="s">
        <v>228</v>
      </c>
      <c r="B11163" s="155" t="s">
        <v>138</v>
      </c>
      <c r="C11163" s="155" t="s">
        <v>206</v>
      </c>
      <c r="D11163" s="156" t="s">
        <v>13175</v>
      </c>
      <c r="E11163" s="156" t="s">
        <v>13307</v>
      </c>
      <c r="F11163" s="156" t="s">
        <v>763</v>
      </c>
      <c r="G11163" s="156" t="s">
        <v>13308</v>
      </c>
      <c r="H11163" s="157" t="s">
        <v>213</v>
      </c>
    </row>
    <row r="11164" hidden="1">
      <c r="A11164" s="151" t="s">
        <v>228</v>
      </c>
      <c r="B11164" s="118" t="s">
        <v>138</v>
      </c>
      <c r="C11164" s="118" t="s">
        <v>206</v>
      </c>
      <c r="D11164" s="152" t="s">
        <v>13175</v>
      </c>
      <c r="E11164" s="152" t="s">
        <v>13309</v>
      </c>
      <c r="F11164" s="152" t="s">
        <v>3145</v>
      </c>
      <c r="G11164" s="152" t="s">
        <v>13310</v>
      </c>
      <c r="H11164" s="153" t="s">
        <v>214</v>
      </c>
    </row>
    <row r="11165" hidden="1">
      <c r="A11165" s="154" t="s">
        <v>228</v>
      </c>
      <c r="B11165" s="155" t="s">
        <v>138</v>
      </c>
      <c r="C11165" s="155" t="s">
        <v>206</v>
      </c>
      <c r="D11165" s="156" t="s">
        <v>13175</v>
      </c>
      <c r="E11165" s="156" t="s">
        <v>13311</v>
      </c>
      <c r="F11165" s="156" t="s">
        <v>10944</v>
      </c>
      <c r="G11165" s="156" t="s">
        <v>12076</v>
      </c>
      <c r="H11165" s="157" t="s">
        <v>215</v>
      </c>
    </row>
    <row r="11166" hidden="1">
      <c r="A11166" s="151" t="s">
        <v>228</v>
      </c>
      <c r="B11166" s="118" t="s">
        <v>138</v>
      </c>
      <c r="C11166" s="118" t="s">
        <v>206</v>
      </c>
      <c r="D11166" s="152" t="s">
        <v>13175</v>
      </c>
      <c r="E11166" s="152" t="s">
        <v>13312</v>
      </c>
      <c r="F11166" s="152" t="s">
        <v>730</v>
      </c>
      <c r="G11166" s="152" t="s">
        <v>13313</v>
      </c>
      <c r="H11166" s="153" t="s">
        <v>216</v>
      </c>
    </row>
    <row r="11167" hidden="1">
      <c r="A11167" s="154" t="s">
        <v>229</v>
      </c>
      <c r="B11167" s="155" t="s">
        <v>193</v>
      </c>
      <c r="C11167" s="155" t="s">
        <v>206</v>
      </c>
      <c r="D11167" s="156" t="s">
        <v>13175</v>
      </c>
      <c r="E11167" s="156" t="s">
        <v>13314</v>
      </c>
      <c r="F11167" s="156" t="s">
        <v>1948</v>
      </c>
      <c r="G11167" s="156" t="s">
        <v>13315</v>
      </c>
      <c r="H11167" s="157" t="s">
        <v>210</v>
      </c>
    </row>
    <row r="11168" hidden="1">
      <c r="A11168" s="151" t="s">
        <v>229</v>
      </c>
      <c r="B11168" s="118" t="s">
        <v>193</v>
      </c>
      <c r="C11168" s="118" t="s">
        <v>206</v>
      </c>
      <c r="D11168" s="152" t="s">
        <v>13175</v>
      </c>
      <c r="E11168" s="152" t="s">
        <v>13316</v>
      </c>
      <c r="F11168" s="152" t="s">
        <v>2607</v>
      </c>
      <c r="G11168" s="152" t="s">
        <v>13317</v>
      </c>
      <c r="H11168" s="153" t="s">
        <v>211</v>
      </c>
    </row>
    <row r="11169" hidden="1">
      <c r="A11169" s="154" t="s">
        <v>229</v>
      </c>
      <c r="B11169" s="155" t="s">
        <v>193</v>
      </c>
      <c r="C11169" s="155" t="s">
        <v>206</v>
      </c>
      <c r="D11169" s="156" t="s">
        <v>13175</v>
      </c>
      <c r="E11169" s="156" t="s">
        <v>13318</v>
      </c>
      <c r="F11169" s="156" t="s">
        <v>453</v>
      </c>
      <c r="G11169" s="156" t="s">
        <v>13319</v>
      </c>
      <c r="H11169" s="157" t="s">
        <v>212</v>
      </c>
    </row>
    <row r="11170" hidden="1">
      <c r="A11170" s="151" t="s">
        <v>229</v>
      </c>
      <c r="B11170" s="118" t="s">
        <v>193</v>
      </c>
      <c r="C11170" s="118" t="s">
        <v>206</v>
      </c>
      <c r="D11170" s="152" t="s">
        <v>13175</v>
      </c>
      <c r="E11170" s="152" t="s">
        <v>13320</v>
      </c>
      <c r="F11170" s="152" t="s">
        <v>2994</v>
      </c>
      <c r="G11170" s="152" t="s">
        <v>13321</v>
      </c>
      <c r="H11170" s="153" t="s">
        <v>213</v>
      </c>
    </row>
    <row r="11171" hidden="1">
      <c r="A11171" s="154" t="s">
        <v>229</v>
      </c>
      <c r="B11171" s="155" t="s">
        <v>193</v>
      </c>
      <c r="C11171" s="155" t="s">
        <v>206</v>
      </c>
      <c r="D11171" s="156" t="s">
        <v>13175</v>
      </c>
      <c r="E11171" s="156" t="s">
        <v>13322</v>
      </c>
      <c r="F11171" s="156" t="s">
        <v>1929</v>
      </c>
      <c r="G11171" s="156" t="s">
        <v>12284</v>
      </c>
      <c r="H11171" s="157" t="s">
        <v>214</v>
      </c>
    </row>
    <row r="11172" hidden="1">
      <c r="A11172" s="151" t="s">
        <v>229</v>
      </c>
      <c r="B11172" s="118" t="s">
        <v>193</v>
      </c>
      <c r="C11172" s="118" t="s">
        <v>206</v>
      </c>
      <c r="D11172" s="152" t="s">
        <v>13175</v>
      </c>
      <c r="E11172" s="152" t="s">
        <v>13323</v>
      </c>
      <c r="F11172" s="152" t="s">
        <v>3240</v>
      </c>
      <c r="G11172" s="152" t="s">
        <v>13324</v>
      </c>
      <c r="H11172" s="153" t="s">
        <v>215</v>
      </c>
    </row>
    <row r="11173" hidden="1">
      <c r="A11173" s="154" t="s">
        <v>229</v>
      </c>
      <c r="B11173" s="155" t="s">
        <v>193</v>
      </c>
      <c r="C11173" s="155" t="s">
        <v>206</v>
      </c>
      <c r="D11173" s="156" t="s">
        <v>13175</v>
      </c>
      <c r="E11173" s="156" t="s">
        <v>13325</v>
      </c>
      <c r="F11173" s="156" t="s">
        <v>3198</v>
      </c>
      <c r="G11173" s="156" t="s">
        <v>13326</v>
      </c>
      <c r="H11173" s="157" t="s">
        <v>216</v>
      </c>
    </row>
    <row r="11174" hidden="1">
      <c r="A11174" s="151" t="s">
        <v>230</v>
      </c>
      <c r="B11174" s="118" t="s">
        <v>194</v>
      </c>
      <c r="C11174" s="118" t="s">
        <v>206</v>
      </c>
      <c r="D11174" s="152" t="s">
        <v>13175</v>
      </c>
      <c r="E11174" s="152" t="s">
        <v>13327</v>
      </c>
      <c r="F11174" s="152" t="s">
        <v>532</v>
      </c>
      <c r="G11174" s="152" t="s">
        <v>13328</v>
      </c>
      <c r="H11174" s="153" t="s">
        <v>210</v>
      </c>
    </row>
    <row r="11175" hidden="1">
      <c r="A11175" s="154" t="s">
        <v>230</v>
      </c>
      <c r="B11175" s="155" t="s">
        <v>194</v>
      </c>
      <c r="C11175" s="155" t="s">
        <v>206</v>
      </c>
      <c r="D11175" s="156" t="s">
        <v>13175</v>
      </c>
      <c r="E11175" s="156" t="s">
        <v>13329</v>
      </c>
      <c r="F11175" s="156" t="s">
        <v>1530</v>
      </c>
      <c r="G11175" s="156" t="s">
        <v>13330</v>
      </c>
      <c r="H11175" s="157" t="s">
        <v>211</v>
      </c>
    </row>
    <row r="11176" hidden="1">
      <c r="A11176" s="151" t="s">
        <v>230</v>
      </c>
      <c r="B11176" s="118" t="s">
        <v>194</v>
      </c>
      <c r="C11176" s="118" t="s">
        <v>206</v>
      </c>
      <c r="D11176" s="152" t="s">
        <v>13175</v>
      </c>
      <c r="E11176" s="152" t="s">
        <v>13331</v>
      </c>
      <c r="F11176" s="152" t="s">
        <v>1999</v>
      </c>
      <c r="G11176" s="152" t="s">
        <v>13332</v>
      </c>
      <c r="H11176" s="153" t="s">
        <v>212</v>
      </c>
    </row>
    <row r="11177" hidden="1">
      <c r="A11177" s="154" t="s">
        <v>230</v>
      </c>
      <c r="B11177" s="155" t="s">
        <v>194</v>
      </c>
      <c r="C11177" s="155" t="s">
        <v>206</v>
      </c>
      <c r="D11177" s="156" t="s">
        <v>13175</v>
      </c>
      <c r="E11177" s="156" t="s">
        <v>13333</v>
      </c>
      <c r="F11177" s="156" t="s">
        <v>354</v>
      </c>
      <c r="G11177" s="156" t="s">
        <v>13334</v>
      </c>
      <c r="H11177" s="157" t="s">
        <v>213</v>
      </c>
    </row>
    <row r="11178" hidden="1">
      <c r="A11178" s="151" t="s">
        <v>230</v>
      </c>
      <c r="B11178" s="118" t="s">
        <v>194</v>
      </c>
      <c r="C11178" s="118" t="s">
        <v>206</v>
      </c>
      <c r="D11178" s="152" t="s">
        <v>13175</v>
      </c>
      <c r="E11178" s="152" t="s">
        <v>13335</v>
      </c>
      <c r="F11178" s="152" t="s">
        <v>691</v>
      </c>
      <c r="G11178" s="152" t="s">
        <v>13336</v>
      </c>
      <c r="H11178" s="153" t="s">
        <v>214</v>
      </c>
    </row>
    <row r="11179" hidden="1">
      <c r="A11179" s="154" t="s">
        <v>230</v>
      </c>
      <c r="B11179" s="155" t="s">
        <v>194</v>
      </c>
      <c r="C11179" s="155" t="s">
        <v>206</v>
      </c>
      <c r="D11179" s="156" t="s">
        <v>13175</v>
      </c>
      <c r="E11179" s="156" t="s">
        <v>13337</v>
      </c>
      <c r="F11179" s="156" t="s">
        <v>3198</v>
      </c>
      <c r="G11179" s="156" t="s">
        <v>13338</v>
      </c>
      <c r="H11179" s="157" t="s">
        <v>215</v>
      </c>
    </row>
    <row r="11180" hidden="1">
      <c r="A11180" s="151" t="s">
        <v>230</v>
      </c>
      <c r="B11180" s="118" t="s">
        <v>194</v>
      </c>
      <c r="C11180" s="118" t="s">
        <v>206</v>
      </c>
      <c r="D11180" s="152" t="s">
        <v>13175</v>
      </c>
      <c r="E11180" s="152" t="s">
        <v>13339</v>
      </c>
      <c r="F11180" s="152" t="s">
        <v>405</v>
      </c>
      <c r="G11180" s="152" t="s">
        <v>13340</v>
      </c>
      <c r="H11180" s="153" t="s">
        <v>216</v>
      </c>
    </row>
    <row r="11181" hidden="1">
      <c r="A11181" s="158" t="s">
        <v>231</v>
      </c>
      <c r="B11181" s="159"/>
      <c r="C11181" s="155" t="s">
        <v>232</v>
      </c>
      <c r="D11181" s="156" t="s">
        <v>13175</v>
      </c>
      <c r="E11181" s="156" t="s">
        <v>13341</v>
      </c>
      <c r="F11181" s="156" t="s">
        <v>587</v>
      </c>
      <c r="G11181" s="156" t="s">
        <v>13342</v>
      </c>
      <c r="H11181" s="157" t="s">
        <v>210</v>
      </c>
    </row>
    <row r="11182" hidden="1">
      <c r="A11182" s="160" t="s">
        <v>231</v>
      </c>
      <c r="B11182" s="72"/>
      <c r="C11182" s="118" t="s">
        <v>232</v>
      </c>
      <c r="D11182" s="152" t="s">
        <v>13175</v>
      </c>
      <c r="E11182" s="152" t="s">
        <v>13343</v>
      </c>
      <c r="F11182" s="152" t="s">
        <v>2218</v>
      </c>
      <c r="G11182" s="152" t="s">
        <v>13344</v>
      </c>
      <c r="H11182" s="153" t="s">
        <v>211</v>
      </c>
    </row>
    <row r="11183" hidden="1">
      <c r="A11183" s="158" t="s">
        <v>231</v>
      </c>
      <c r="B11183" s="159"/>
      <c r="C11183" s="155" t="s">
        <v>232</v>
      </c>
      <c r="D11183" s="156" t="s">
        <v>13175</v>
      </c>
      <c r="E11183" s="156" t="s">
        <v>13345</v>
      </c>
      <c r="F11183" s="156" t="s">
        <v>292</v>
      </c>
      <c r="G11183" s="156" t="s">
        <v>13346</v>
      </c>
      <c r="H11183" s="157" t="s">
        <v>212</v>
      </c>
    </row>
    <row r="11184" hidden="1">
      <c r="A11184" s="160" t="s">
        <v>231</v>
      </c>
      <c r="B11184" s="72"/>
      <c r="C11184" s="118" t="s">
        <v>232</v>
      </c>
      <c r="D11184" s="152" t="s">
        <v>13175</v>
      </c>
      <c r="E11184" s="152" t="s">
        <v>13347</v>
      </c>
      <c r="F11184" s="152" t="s">
        <v>1765</v>
      </c>
      <c r="G11184" s="152" t="s">
        <v>12993</v>
      </c>
      <c r="H11184" s="153" t="s">
        <v>213</v>
      </c>
    </row>
    <row r="11185" hidden="1">
      <c r="A11185" s="158" t="s">
        <v>231</v>
      </c>
      <c r="B11185" s="159"/>
      <c r="C11185" s="155" t="s">
        <v>232</v>
      </c>
      <c r="D11185" s="156" t="s">
        <v>13175</v>
      </c>
      <c r="E11185" s="156" t="s">
        <v>13348</v>
      </c>
      <c r="F11185" s="156" t="s">
        <v>229</v>
      </c>
      <c r="G11185" s="156" t="s">
        <v>12410</v>
      </c>
      <c r="H11185" s="157" t="s">
        <v>214</v>
      </c>
    </row>
    <row r="11186" hidden="1">
      <c r="A11186" s="160" t="s">
        <v>231</v>
      </c>
      <c r="B11186" s="72"/>
      <c r="C11186" s="118" t="s">
        <v>232</v>
      </c>
      <c r="D11186" s="152" t="s">
        <v>13175</v>
      </c>
      <c r="E11186" s="152" t="s">
        <v>13349</v>
      </c>
      <c r="F11186" s="152" t="s">
        <v>587</v>
      </c>
      <c r="G11186" s="152" t="s">
        <v>12690</v>
      </c>
      <c r="H11186" s="153" t="s">
        <v>215</v>
      </c>
    </row>
    <row r="11187" hidden="1">
      <c r="A11187" s="158" t="s">
        <v>231</v>
      </c>
      <c r="B11187" s="159"/>
      <c r="C11187" s="155" t="s">
        <v>232</v>
      </c>
      <c r="D11187" s="156" t="s">
        <v>13175</v>
      </c>
      <c r="E11187" s="156" t="s">
        <v>13350</v>
      </c>
      <c r="F11187" s="156" t="s">
        <v>2339</v>
      </c>
      <c r="G11187" s="156" t="s">
        <v>13351</v>
      </c>
      <c r="H11187" s="157" t="s">
        <v>216</v>
      </c>
    </row>
    <row r="11188" hidden="1">
      <c r="A11188" s="160" t="s">
        <v>233</v>
      </c>
      <c r="B11188" s="72"/>
      <c r="C11188" s="118" t="s">
        <v>232</v>
      </c>
      <c r="D11188" s="152" t="s">
        <v>13175</v>
      </c>
      <c r="E11188" s="152" t="s">
        <v>13352</v>
      </c>
      <c r="F11188" s="152" t="s">
        <v>760</v>
      </c>
      <c r="G11188" s="152" t="s">
        <v>13353</v>
      </c>
      <c r="H11188" s="153" t="s">
        <v>210</v>
      </c>
    </row>
    <row r="11189" hidden="1">
      <c r="A11189" s="158" t="s">
        <v>233</v>
      </c>
      <c r="B11189" s="159"/>
      <c r="C11189" s="155" t="s">
        <v>232</v>
      </c>
      <c r="D11189" s="156" t="s">
        <v>13175</v>
      </c>
      <c r="E11189" s="156" t="s">
        <v>13354</v>
      </c>
      <c r="F11189" s="156" t="s">
        <v>760</v>
      </c>
      <c r="G11189" s="156" t="s">
        <v>12906</v>
      </c>
      <c r="H11189" s="157" t="s">
        <v>211</v>
      </c>
    </row>
    <row r="11190" hidden="1">
      <c r="A11190" s="160" t="s">
        <v>233</v>
      </c>
      <c r="B11190" s="72"/>
      <c r="C11190" s="118" t="s">
        <v>232</v>
      </c>
      <c r="D11190" s="152" t="s">
        <v>13175</v>
      </c>
      <c r="E11190" s="152" t="s">
        <v>13355</v>
      </c>
      <c r="F11190" s="152" t="s">
        <v>577</v>
      </c>
      <c r="G11190" s="152" t="s">
        <v>13145</v>
      </c>
      <c r="H11190" s="153" t="s">
        <v>212</v>
      </c>
    </row>
    <row r="11191" hidden="1">
      <c r="A11191" s="158" t="s">
        <v>233</v>
      </c>
      <c r="B11191" s="159"/>
      <c r="C11191" s="155" t="s">
        <v>232</v>
      </c>
      <c r="D11191" s="156" t="s">
        <v>13175</v>
      </c>
      <c r="E11191" s="156" t="s">
        <v>13356</v>
      </c>
      <c r="F11191" s="156" t="s">
        <v>629</v>
      </c>
      <c r="G11191" s="156" t="s">
        <v>12958</v>
      </c>
      <c r="H11191" s="157" t="s">
        <v>213</v>
      </c>
    </row>
    <row r="11192" hidden="1">
      <c r="A11192" s="160" t="s">
        <v>233</v>
      </c>
      <c r="B11192" s="72"/>
      <c r="C11192" s="118" t="s">
        <v>232</v>
      </c>
      <c r="D11192" s="152" t="s">
        <v>13175</v>
      </c>
      <c r="E11192" s="152" t="s">
        <v>13357</v>
      </c>
      <c r="F11192" s="152" t="s">
        <v>735</v>
      </c>
      <c r="G11192" s="152" t="s">
        <v>13358</v>
      </c>
      <c r="H11192" s="153" t="s">
        <v>214</v>
      </c>
    </row>
    <row r="11193" hidden="1">
      <c r="A11193" s="158" t="s">
        <v>233</v>
      </c>
      <c r="B11193" s="159"/>
      <c r="C11193" s="155" t="s">
        <v>232</v>
      </c>
      <c r="D11193" s="156" t="s">
        <v>13175</v>
      </c>
      <c r="E11193" s="156" t="s">
        <v>13359</v>
      </c>
      <c r="F11193" s="156" t="s">
        <v>673</v>
      </c>
      <c r="G11193" s="156" t="s">
        <v>13360</v>
      </c>
      <c r="H11193" s="157" t="s">
        <v>215</v>
      </c>
    </row>
    <row r="11194" hidden="1">
      <c r="A11194" s="160" t="s">
        <v>233</v>
      </c>
      <c r="B11194" s="72"/>
      <c r="C11194" s="118" t="s">
        <v>232</v>
      </c>
      <c r="D11194" s="152" t="s">
        <v>13175</v>
      </c>
      <c r="E11194" s="152" t="s">
        <v>13361</v>
      </c>
      <c r="F11194" s="152" t="s">
        <v>2994</v>
      </c>
      <c r="G11194" s="152" t="s">
        <v>13177</v>
      </c>
      <c r="H11194" s="153" t="s">
        <v>216</v>
      </c>
    </row>
    <row r="11195" hidden="1">
      <c r="A11195" s="158" t="s">
        <v>234</v>
      </c>
      <c r="B11195" s="159"/>
      <c r="C11195" s="155" t="s">
        <v>232</v>
      </c>
      <c r="D11195" s="156" t="s">
        <v>13175</v>
      </c>
      <c r="E11195" s="156" t="s">
        <v>13362</v>
      </c>
      <c r="F11195" s="156" t="s">
        <v>1911</v>
      </c>
      <c r="G11195" s="156" t="s">
        <v>13363</v>
      </c>
      <c r="H11195" s="157" t="s">
        <v>210</v>
      </c>
    </row>
    <row r="11196" hidden="1">
      <c r="A11196" s="160" t="s">
        <v>234</v>
      </c>
      <c r="B11196" s="72"/>
      <c r="C11196" s="118" t="s">
        <v>232</v>
      </c>
      <c r="D11196" s="152" t="s">
        <v>13175</v>
      </c>
      <c r="E11196" s="152" t="s">
        <v>13364</v>
      </c>
      <c r="F11196" s="152" t="s">
        <v>1797</v>
      </c>
      <c r="G11196" s="152" t="s">
        <v>13365</v>
      </c>
      <c r="H11196" s="153" t="s">
        <v>211</v>
      </c>
    </row>
    <row r="11197" hidden="1">
      <c r="A11197" s="158" t="s">
        <v>234</v>
      </c>
      <c r="B11197" s="159"/>
      <c r="C11197" s="155" t="s">
        <v>232</v>
      </c>
      <c r="D11197" s="156" t="s">
        <v>13175</v>
      </c>
      <c r="E11197" s="156" t="s">
        <v>13366</v>
      </c>
      <c r="F11197" s="156" t="s">
        <v>2339</v>
      </c>
      <c r="G11197" s="156" t="s">
        <v>13033</v>
      </c>
      <c r="H11197" s="157" t="s">
        <v>212</v>
      </c>
    </row>
    <row r="11198" hidden="1">
      <c r="A11198" s="160" t="s">
        <v>234</v>
      </c>
      <c r="B11198" s="72"/>
      <c r="C11198" s="118" t="s">
        <v>232</v>
      </c>
      <c r="D11198" s="152" t="s">
        <v>13175</v>
      </c>
      <c r="E11198" s="152" t="s">
        <v>13367</v>
      </c>
      <c r="F11198" s="152" t="s">
        <v>2018</v>
      </c>
      <c r="G11198" s="152" t="s">
        <v>13368</v>
      </c>
      <c r="H11198" s="153" t="s">
        <v>213</v>
      </c>
    </row>
    <row r="11199" hidden="1">
      <c r="A11199" s="158" t="s">
        <v>234</v>
      </c>
      <c r="B11199" s="159"/>
      <c r="C11199" s="155" t="s">
        <v>232</v>
      </c>
      <c r="D11199" s="156" t="s">
        <v>13175</v>
      </c>
      <c r="E11199" s="156" t="s">
        <v>13369</v>
      </c>
      <c r="F11199" s="156" t="s">
        <v>6580</v>
      </c>
      <c r="G11199" s="156" t="s">
        <v>13370</v>
      </c>
      <c r="H11199" s="157" t="s">
        <v>214</v>
      </c>
    </row>
    <row r="11200" hidden="1">
      <c r="A11200" s="160" t="s">
        <v>234</v>
      </c>
      <c r="B11200" s="72"/>
      <c r="C11200" s="118" t="s">
        <v>232</v>
      </c>
      <c r="D11200" s="152" t="s">
        <v>13175</v>
      </c>
      <c r="E11200" s="152" t="s">
        <v>13371</v>
      </c>
      <c r="F11200" s="152" t="s">
        <v>2409</v>
      </c>
      <c r="G11200" s="152" t="s">
        <v>13027</v>
      </c>
      <c r="H11200" s="153" t="s">
        <v>215</v>
      </c>
    </row>
    <row r="11201" hidden="1">
      <c r="A11201" s="158" t="s">
        <v>234</v>
      </c>
      <c r="B11201" s="159"/>
      <c r="C11201" s="155" t="s">
        <v>232</v>
      </c>
      <c r="D11201" s="156" t="s">
        <v>13175</v>
      </c>
      <c r="E11201" s="156" t="s">
        <v>13372</v>
      </c>
      <c r="F11201" s="156" t="s">
        <v>2087</v>
      </c>
      <c r="G11201" s="156" t="s">
        <v>13373</v>
      </c>
      <c r="H11201" s="157" t="s">
        <v>216</v>
      </c>
    </row>
    <row r="11202" hidden="1">
      <c r="A11202" s="160" t="s">
        <v>235</v>
      </c>
      <c r="B11202" s="72"/>
      <c r="C11202" s="118" t="s">
        <v>236</v>
      </c>
      <c r="D11202" s="152" t="s">
        <v>13175</v>
      </c>
      <c r="E11202" s="152" t="s">
        <v>13374</v>
      </c>
      <c r="F11202" s="152" t="s">
        <v>1530</v>
      </c>
      <c r="G11202" s="152" t="s">
        <v>13131</v>
      </c>
      <c r="H11202" s="153" t="s">
        <v>210</v>
      </c>
    </row>
    <row r="11203" hidden="1">
      <c r="A11203" s="158" t="s">
        <v>235</v>
      </c>
      <c r="B11203" s="159"/>
      <c r="C11203" s="155" t="s">
        <v>236</v>
      </c>
      <c r="D11203" s="156" t="s">
        <v>13175</v>
      </c>
      <c r="E11203" s="156" t="s">
        <v>13375</v>
      </c>
      <c r="F11203" s="156" t="s">
        <v>629</v>
      </c>
      <c r="G11203" s="156" t="s">
        <v>13376</v>
      </c>
      <c r="H11203" s="157" t="s">
        <v>211</v>
      </c>
    </row>
    <row r="11204" hidden="1">
      <c r="A11204" s="160" t="s">
        <v>235</v>
      </c>
      <c r="B11204" s="72"/>
      <c r="C11204" s="118" t="s">
        <v>236</v>
      </c>
      <c r="D11204" s="152" t="s">
        <v>13175</v>
      </c>
      <c r="E11204" s="152" t="s">
        <v>13377</v>
      </c>
      <c r="F11204" s="152" t="s">
        <v>718</v>
      </c>
      <c r="G11204" s="152" t="s">
        <v>12732</v>
      </c>
      <c r="H11204" s="153" t="s">
        <v>212</v>
      </c>
    </row>
    <row r="11205" hidden="1">
      <c r="A11205" s="158" t="s">
        <v>235</v>
      </c>
      <c r="B11205" s="159"/>
      <c r="C11205" s="155" t="s">
        <v>236</v>
      </c>
      <c r="D11205" s="156" t="s">
        <v>13175</v>
      </c>
      <c r="E11205" s="156" t="s">
        <v>13378</v>
      </c>
      <c r="F11205" s="156" t="s">
        <v>758</v>
      </c>
      <c r="G11205" s="156" t="s">
        <v>13379</v>
      </c>
      <c r="H11205" s="157" t="s">
        <v>213</v>
      </c>
    </row>
    <row r="11206" hidden="1">
      <c r="A11206" s="160" t="s">
        <v>235</v>
      </c>
      <c r="B11206" s="72"/>
      <c r="C11206" s="118" t="s">
        <v>236</v>
      </c>
      <c r="D11206" s="152" t="s">
        <v>13175</v>
      </c>
      <c r="E11206" s="152" t="s">
        <v>13380</v>
      </c>
      <c r="F11206" s="152" t="s">
        <v>3218</v>
      </c>
      <c r="G11206" s="152" t="s">
        <v>12825</v>
      </c>
      <c r="H11206" s="153" t="s">
        <v>214</v>
      </c>
    </row>
    <row r="11207" hidden="1">
      <c r="A11207" s="158" t="s">
        <v>235</v>
      </c>
      <c r="B11207" s="159"/>
      <c r="C11207" s="155" t="s">
        <v>236</v>
      </c>
      <c r="D11207" s="156" t="s">
        <v>13175</v>
      </c>
      <c r="E11207" s="156" t="s">
        <v>13381</v>
      </c>
      <c r="F11207" s="156" t="s">
        <v>3218</v>
      </c>
      <c r="G11207" s="156" t="s">
        <v>13382</v>
      </c>
      <c r="H11207" s="157" t="s">
        <v>215</v>
      </c>
    </row>
    <row r="11208" hidden="1">
      <c r="A11208" s="160" t="s">
        <v>235</v>
      </c>
      <c r="B11208" s="72"/>
      <c r="C11208" s="118" t="s">
        <v>236</v>
      </c>
      <c r="D11208" s="152" t="s">
        <v>13175</v>
      </c>
      <c r="E11208" s="152" t="s">
        <v>13383</v>
      </c>
      <c r="F11208" s="152" t="s">
        <v>2994</v>
      </c>
      <c r="G11208" s="152" t="s">
        <v>12916</v>
      </c>
      <c r="H11208" s="153" t="s">
        <v>216</v>
      </c>
    </row>
    <row r="11209" hidden="1">
      <c r="A11209" s="158" t="s">
        <v>237</v>
      </c>
      <c r="B11209" s="159"/>
      <c r="C11209" s="155" t="s">
        <v>236</v>
      </c>
      <c r="D11209" s="156" t="s">
        <v>13175</v>
      </c>
      <c r="E11209" s="156" t="s">
        <v>13384</v>
      </c>
      <c r="F11209" s="156" t="s">
        <v>1983</v>
      </c>
      <c r="G11209" s="156" t="s">
        <v>12960</v>
      </c>
      <c r="H11209" s="157" t="s">
        <v>210</v>
      </c>
    </row>
    <row r="11210" hidden="1">
      <c r="A11210" s="160" t="s">
        <v>237</v>
      </c>
      <c r="B11210" s="72"/>
      <c r="C11210" s="118" t="s">
        <v>236</v>
      </c>
      <c r="D11210" s="152" t="s">
        <v>13175</v>
      </c>
      <c r="E11210" s="152" t="s">
        <v>13385</v>
      </c>
      <c r="F11210" s="152" t="s">
        <v>1773</v>
      </c>
      <c r="G11210" s="152" t="s">
        <v>12964</v>
      </c>
      <c r="H11210" s="153" t="s">
        <v>211</v>
      </c>
    </row>
    <row r="11211" hidden="1">
      <c r="A11211" s="158" t="s">
        <v>237</v>
      </c>
      <c r="B11211" s="159"/>
      <c r="C11211" s="155" t="s">
        <v>236</v>
      </c>
      <c r="D11211" s="156" t="s">
        <v>13175</v>
      </c>
      <c r="E11211" s="156" t="s">
        <v>13386</v>
      </c>
      <c r="F11211" s="156" t="s">
        <v>2169</v>
      </c>
      <c r="G11211" s="156" t="s">
        <v>12573</v>
      </c>
      <c r="H11211" s="157" t="s">
        <v>212</v>
      </c>
    </row>
    <row r="11212" hidden="1">
      <c r="A11212" s="160" t="s">
        <v>237</v>
      </c>
      <c r="B11212" s="72"/>
      <c r="C11212" s="118" t="s">
        <v>236</v>
      </c>
      <c r="D11212" s="152" t="s">
        <v>13175</v>
      </c>
      <c r="E11212" s="152" t="s">
        <v>13387</v>
      </c>
      <c r="F11212" s="152" t="s">
        <v>2437</v>
      </c>
      <c r="G11212" s="152" t="s">
        <v>12554</v>
      </c>
      <c r="H11212" s="153" t="s">
        <v>213</v>
      </c>
    </row>
    <row r="11213" hidden="1">
      <c r="A11213" s="158" t="s">
        <v>237</v>
      </c>
      <c r="B11213" s="159"/>
      <c r="C11213" s="155" t="s">
        <v>236</v>
      </c>
      <c r="D11213" s="156" t="s">
        <v>13175</v>
      </c>
      <c r="E11213" s="156" t="s">
        <v>13388</v>
      </c>
      <c r="F11213" s="156" t="s">
        <v>1797</v>
      </c>
      <c r="G11213" s="156" t="s">
        <v>13389</v>
      </c>
      <c r="H11213" s="157" t="s">
        <v>214</v>
      </c>
    </row>
    <row r="11214" hidden="1">
      <c r="A11214" s="160" t="s">
        <v>237</v>
      </c>
      <c r="B11214" s="72"/>
      <c r="C11214" s="118" t="s">
        <v>236</v>
      </c>
      <c r="D11214" s="152" t="s">
        <v>13175</v>
      </c>
      <c r="E11214" s="152" t="s">
        <v>13390</v>
      </c>
      <c r="F11214" s="152" t="s">
        <v>1741</v>
      </c>
      <c r="G11214" s="152" t="s">
        <v>13391</v>
      </c>
      <c r="H11214" s="153" t="s">
        <v>215</v>
      </c>
    </row>
    <row r="11215" hidden="1">
      <c r="A11215" s="158" t="s">
        <v>237</v>
      </c>
      <c r="B11215" s="159"/>
      <c r="C11215" s="155" t="s">
        <v>236</v>
      </c>
      <c r="D11215" s="156" t="s">
        <v>13175</v>
      </c>
      <c r="E11215" s="156" t="s">
        <v>13392</v>
      </c>
      <c r="F11215" s="156" t="s">
        <v>1801</v>
      </c>
      <c r="G11215" s="156" t="s">
        <v>12742</v>
      </c>
      <c r="H11215" s="157" t="s">
        <v>216</v>
      </c>
    </row>
    <row r="11216">
      <c r="A11216" s="161" t="s">
        <v>204</v>
      </c>
      <c r="B11216" s="162" t="s">
        <v>205</v>
      </c>
      <c r="C11216" s="162" t="s">
        <v>206</v>
      </c>
      <c r="D11216" s="163" t="s">
        <v>51</v>
      </c>
      <c r="E11216" s="163" t="s">
        <v>13393</v>
      </c>
      <c r="F11216" s="162">
        <v>4.3</v>
      </c>
      <c r="G11216" s="163" t="s">
        <v>13181</v>
      </c>
      <c r="H11216" s="164" t="s">
        <v>210</v>
      </c>
      <c r="I11216" s="4"/>
      <c r="J11216" s="4"/>
    </row>
    <row r="11217">
      <c r="A11217" s="165" t="s">
        <v>204</v>
      </c>
      <c r="B11217" s="166" t="s">
        <v>205</v>
      </c>
      <c r="C11217" s="166" t="s">
        <v>206</v>
      </c>
      <c r="D11217" s="167" t="s">
        <v>51</v>
      </c>
      <c r="E11217" s="167" t="s">
        <v>13394</v>
      </c>
      <c r="F11217" s="166">
        <v>4.0</v>
      </c>
      <c r="G11217" s="167" t="s">
        <v>13395</v>
      </c>
      <c r="H11217" s="168" t="s">
        <v>211</v>
      </c>
      <c r="I11217" s="4"/>
      <c r="J11217" s="4"/>
    </row>
    <row r="11218">
      <c r="A11218" s="161" t="s">
        <v>204</v>
      </c>
      <c r="B11218" s="162" t="s">
        <v>205</v>
      </c>
      <c r="C11218" s="162" t="s">
        <v>206</v>
      </c>
      <c r="D11218" s="163" t="s">
        <v>51</v>
      </c>
      <c r="E11218" s="163" t="s">
        <v>13396</v>
      </c>
      <c r="F11218" s="162">
        <v>3.7</v>
      </c>
      <c r="G11218" s="163" t="s">
        <v>13397</v>
      </c>
      <c r="H11218" s="164" t="s">
        <v>212</v>
      </c>
      <c r="I11218" s="4"/>
      <c r="J11218" s="4"/>
    </row>
    <row r="11219">
      <c r="A11219" s="165" t="s">
        <v>204</v>
      </c>
      <c r="B11219" s="166" t="s">
        <v>205</v>
      </c>
      <c r="C11219" s="166" t="s">
        <v>206</v>
      </c>
      <c r="D11219" s="167" t="s">
        <v>51</v>
      </c>
      <c r="E11219" s="167" t="s">
        <v>13398</v>
      </c>
      <c r="F11219" s="166">
        <v>4.2</v>
      </c>
      <c r="G11219" s="167" t="s">
        <v>13203</v>
      </c>
      <c r="H11219" s="168" t="s">
        <v>213</v>
      </c>
      <c r="I11219" s="4"/>
      <c r="J11219" s="4"/>
    </row>
    <row r="11220">
      <c r="A11220" s="161" t="s">
        <v>204</v>
      </c>
      <c r="B11220" s="162" t="s">
        <v>205</v>
      </c>
      <c r="C11220" s="162" t="s">
        <v>206</v>
      </c>
      <c r="D11220" s="163" t="s">
        <v>51</v>
      </c>
      <c r="E11220" s="163" t="s">
        <v>13399</v>
      </c>
      <c r="F11220" s="162">
        <v>4.3</v>
      </c>
      <c r="G11220" s="163" t="s">
        <v>13400</v>
      </c>
      <c r="H11220" s="164" t="s">
        <v>214</v>
      </c>
      <c r="I11220" s="4"/>
      <c r="J11220" s="4"/>
    </row>
    <row r="11221">
      <c r="A11221" s="165" t="s">
        <v>204</v>
      </c>
      <c r="B11221" s="166" t="s">
        <v>205</v>
      </c>
      <c r="C11221" s="166" t="s">
        <v>206</v>
      </c>
      <c r="D11221" s="167" t="s">
        <v>51</v>
      </c>
      <c r="E11221" s="167" t="s">
        <v>13401</v>
      </c>
      <c r="F11221" s="166">
        <v>4.5</v>
      </c>
      <c r="G11221" s="167" t="s">
        <v>13402</v>
      </c>
      <c r="H11221" s="168" t="s">
        <v>215</v>
      </c>
      <c r="I11221" s="4"/>
      <c r="J11221" s="4"/>
    </row>
    <row r="11222">
      <c r="A11222" s="161" t="s">
        <v>204</v>
      </c>
      <c r="B11222" s="162" t="s">
        <v>13403</v>
      </c>
      <c r="C11222" s="162" t="s">
        <v>206</v>
      </c>
      <c r="D11222" s="163" t="s">
        <v>51</v>
      </c>
      <c r="E11222" s="163" t="s">
        <v>13404</v>
      </c>
      <c r="F11222" s="162">
        <v>4.2</v>
      </c>
      <c r="G11222" s="163" t="s">
        <v>12680</v>
      </c>
      <c r="H11222" s="164" t="s">
        <v>216</v>
      </c>
      <c r="I11222" s="4"/>
      <c r="J11222" s="4"/>
    </row>
    <row r="11223">
      <c r="A11223" s="165" t="s">
        <v>217</v>
      </c>
      <c r="B11223" s="166" t="s">
        <v>191</v>
      </c>
      <c r="C11223" s="166" t="s">
        <v>206</v>
      </c>
      <c r="D11223" s="167" t="s">
        <v>51</v>
      </c>
      <c r="E11223" s="167" t="s">
        <v>13405</v>
      </c>
      <c r="F11223" s="166">
        <v>5.4</v>
      </c>
      <c r="G11223" s="167" t="s">
        <v>13406</v>
      </c>
      <c r="H11223" s="168" t="s">
        <v>210</v>
      </c>
      <c r="I11223" s="4"/>
      <c r="J11223" s="4"/>
    </row>
    <row r="11224">
      <c r="A11224" s="161" t="s">
        <v>217</v>
      </c>
      <c r="B11224" s="162" t="s">
        <v>191</v>
      </c>
      <c r="C11224" s="162" t="s">
        <v>206</v>
      </c>
      <c r="D11224" s="163" t="s">
        <v>51</v>
      </c>
      <c r="E11224" s="163" t="s">
        <v>13407</v>
      </c>
      <c r="F11224" s="162">
        <v>4.6</v>
      </c>
      <c r="G11224" s="163" t="s">
        <v>12934</v>
      </c>
      <c r="H11224" s="164" t="s">
        <v>211</v>
      </c>
      <c r="I11224" s="4"/>
      <c r="J11224" s="4"/>
    </row>
    <row r="11225">
      <c r="A11225" s="165" t="s">
        <v>217</v>
      </c>
      <c r="B11225" s="166" t="s">
        <v>191</v>
      </c>
      <c r="C11225" s="166" t="s">
        <v>206</v>
      </c>
      <c r="D11225" s="167" t="s">
        <v>51</v>
      </c>
      <c r="E11225" s="167" t="s">
        <v>13408</v>
      </c>
      <c r="F11225" s="166">
        <v>3.4</v>
      </c>
      <c r="G11225" s="167" t="s">
        <v>13409</v>
      </c>
      <c r="H11225" s="168" t="s">
        <v>212</v>
      </c>
      <c r="I11225" s="4"/>
      <c r="J11225" s="4"/>
    </row>
    <row r="11226">
      <c r="A11226" s="161" t="s">
        <v>217</v>
      </c>
      <c r="B11226" s="162" t="s">
        <v>191</v>
      </c>
      <c r="C11226" s="162" t="s">
        <v>206</v>
      </c>
      <c r="D11226" s="163" t="s">
        <v>51</v>
      </c>
      <c r="E11226" s="163" t="s">
        <v>13410</v>
      </c>
      <c r="F11226" s="162">
        <v>4.7</v>
      </c>
      <c r="G11226" s="163" t="s">
        <v>12710</v>
      </c>
      <c r="H11226" s="164" t="s">
        <v>213</v>
      </c>
      <c r="I11226" s="4"/>
      <c r="J11226" s="4"/>
    </row>
    <row r="11227">
      <c r="A11227" s="165" t="s">
        <v>217</v>
      </c>
      <c r="B11227" s="166" t="s">
        <v>191</v>
      </c>
      <c r="C11227" s="166" t="s">
        <v>206</v>
      </c>
      <c r="D11227" s="167" t="s">
        <v>51</v>
      </c>
      <c r="E11227" s="167" t="s">
        <v>13411</v>
      </c>
      <c r="F11227" s="166">
        <v>3.9</v>
      </c>
      <c r="G11227" s="167" t="s">
        <v>12734</v>
      </c>
      <c r="H11227" s="168" t="s">
        <v>214</v>
      </c>
      <c r="I11227" s="4"/>
      <c r="J11227" s="4"/>
    </row>
    <row r="11228">
      <c r="A11228" s="161" t="s">
        <v>217</v>
      </c>
      <c r="B11228" s="162" t="s">
        <v>191</v>
      </c>
      <c r="C11228" s="162" t="s">
        <v>206</v>
      </c>
      <c r="D11228" s="163" t="s">
        <v>51</v>
      </c>
      <c r="E11228" s="163" t="s">
        <v>13412</v>
      </c>
      <c r="F11228" s="162">
        <v>4.1</v>
      </c>
      <c r="G11228" s="163" t="s">
        <v>13138</v>
      </c>
      <c r="H11228" s="164" t="s">
        <v>215</v>
      </c>
      <c r="I11228" s="4"/>
      <c r="J11228" s="4"/>
    </row>
    <row r="11229">
      <c r="A11229" s="165" t="s">
        <v>217</v>
      </c>
      <c r="B11229" s="166" t="s">
        <v>191</v>
      </c>
      <c r="C11229" s="166" t="s">
        <v>206</v>
      </c>
      <c r="D11229" s="167" t="s">
        <v>51</v>
      </c>
      <c r="E11229" s="167" t="s">
        <v>13413</v>
      </c>
      <c r="F11229" s="166">
        <v>4.8</v>
      </c>
      <c r="G11229" s="167" t="s">
        <v>13188</v>
      </c>
      <c r="H11229" s="168" t="s">
        <v>216</v>
      </c>
      <c r="I11229" s="4"/>
      <c r="J11229" s="4"/>
    </row>
    <row r="11230">
      <c r="A11230" s="161" t="s">
        <v>218</v>
      </c>
      <c r="B11230" s="162" t="s">
        <v>219</v>
      </c>
      <c r="C11230" s="162" t="s">
        <v>206</v>
      </c>
      <c r="D11230" s="163" t="s">
        <v>51</v>
      </c>
      <c r="E11230" s="163" t="s">
        <v>13414</v>
      </c>
      <c r="F11230" s="162">
        <v>7.2</v>
      </c>
      <c r="G11230" s="163" t="s">
        <v>13415</v>
      </c>
      <c r="H11230" s="164" t="s">
        <v>210</v>
      </c>
      <c r="I11230" s="4"/>
      <c r="J11230" s="4"/>
    </row>
    <row r="11231">
      <c r="A11231" s="165" t="s">
        <v>218</v>
      </c>
      <c r="B11231" s="166" t="s">
        <v>219</v>
      </c>
      <c r="C11231" s="166" t="s">
        <v>206</v>
      </c>
      <c r="D11231" s="167" t="s">
        <v>51</v>
      </c>
      <c r="E11231" s="167" t="s">
        <v>13416</v>
      </c>
      <c r="F11231" s="166">
        <v>6.5</v>
      </c>
      <c r="G11231" s="167" t="s">
        <v>13417</v>
      </c>
      <c r="H11231" s="168" t="s">
        <v>211</v>
      </c>
      <c r="I11231" s="4"/>
      <c r="J11231" s="4"/>
    </row>
    <row r="11232">
      <c r="A11232" s="161" t="s">
        <v>218</v>
      </c>
      <c r="B11232" s="162" t="s">
        <v>219</v>
      </c>
      <c r="C11232" s="162" t="s">
        <v>206</v>
      </c>
      <c r="D11232" s="163" t="s">
        <v>51</v>
      </c>
      <c r="E11232" s="163" t="s">
        <v>13418</v>
      </c>
      <c r="F11232" s="162">
        <v>5.3</v>
      </c>
      <c r="G11232" s="163" t="s">
        <v>13419</v>
      </c>
      <c r="H11232" s="164" t="s">
        <v>212</v>
      </c>
      <c r="I11232" s="4"/>
      <c r="J11232" s="4"/>
    </row>
    <row r="11233">
      <c r="A11233" s="165" t="s">
        <v>218</v>
      </c>
      <c r="B11233" s="166" t="s">
        <v>219</v>
      </c>
      <c r="C11233" s="166" t="s">
        <v>206</v>
      </c>
      <c r="D11233" s="167" t="s">
        <v>51</v>
      </c>
      <c r="E11233" s="167" t="s">
        <v>13420</v>
      </c>
      <c r="F11233" s="166">
        <v>6.2</v>
      </c>
      <c r="G11233" s="167" t="s">
        <v>13421</v>
      </c>
      <c r="H11233" s="168" t="s">
        <v>213</v>
      </c>
      <c r="I11233" s="4"/>
      <c r="J11233" s="4"/>
    </row>
    <row r="11234">
      <c r="A11234" s="161" t="s">
        <v>218</v>
      </c>
      <c r="B11234" s="162" t="s">
        <v>219</v>
      </c>
      <c r="C11234" s="162" t="s">
        <v>206</v>
      </c>
      <c r="D11234" s="163" t="s">
        <v>51</v>
      </c>
      <c r="E11234" s="163" t="s">
        <v>13422</v>
      </c>
      <c r="F11234" s="162">
        <v>5.3</v>
      </c>
      <c r="G11234" s="163" t="s">
        <v>12618</v>
      </c>
      <c r="H11234" s="164" t="s">
        <v>214</v>
      </c>
      <c r="I11234" s="4"/>
      <c r="J11234" s="4"/>
    </row>
    <row r="11235">
      <c r="A11235" s="165" t="s">
        <v>218</v>
      </c>
      <c r="B11235" s="166" t="s">
        <v>219</v>
      </c>
      <c r="C11235" s="166" t="s">
        <v>206</v>
      </c>
      <c r="D11235" s="167" t="s">
        <v>51</v>
      </c>
      <c r="E11235" s="167" t="s">
        <v>13423</v>
      </c>
      <c r="F11235" s="166">
        <v>6.9</v>
      </c>
      <c r="G11235" s="167" t="s">
        <v>13424</v>
      </c>
      <c r="H11235" s="168" t="s">
        <v>215</v>
      </c>
      <c r="I11235" s="4"/>
      <c r="J11235" s="4"/>
    </row>
    <row r="11236">
      <c r="A11236" s="161" t="s">
        <v>218</v>
      </c>
      <c r="B11236" s="162" t="s">
        <v>219</v>
      </c>
      <c r="C11236" s="162" t="s">
        <v>206</v>
      </c>
      <c r="D11236" s="163" t="s">
        <v>51</v>
      </c>
      <c r="E11236" s="163" t="s">
        <v>13425</v>
      </c>
      <c r="F11236" s="162">
        <v>6.7</v>
      </c>
      <c r="G11236" s="163" t="s">
        <v>12606</v>
      </c>
      <c r="H11236" s="164" t="s">
        <v>216</v>
      </c>
      <c r="I11236" s="4"/>
      <c r="J11236" s="4"/>
    </row>
    <row r="11237">
      <c r="A11237" s="165" t="s">
        <v>220</v>
      </c>
      <c r="B11237" s="166" t="s">
        <v>190</v>
      </c>
      <c r="C11237" s="166" t="s">
        <v>206</v>
      </c>
      <c r="D11237" s="167" t="s">
        <v>51</v>
      </c>
      <c r="E11237" s="167" t="s">
        <v>13426</v>
      </c>
      <c r="F11237" s="166">
        <v>2.4</v>
      </c>
      <c r="G11237" s="167" t="s">
        <v>13427</v>
      </c>
      <c r="H11237" s="168" t="s">
        <v>210</v>
      </c>
      <c r="I11237" s="4"/>
      <c r="J11237" s="4"/>
    </row>
    <row r="11238">
      <c r="A11238" s="161" t="s">
        <v>220</v>
      </c>
      <c r="B11238" s="162" t="s">
        <v>190</v>
      </c>
      <c r="C11238" s="162" t="s">
        <v>206</v>
      </c>
      <c r="D11238" s="163" t="s">
        <v>51</v>
      </c>
      <c r="E11238" s="163" t="s">
        <v>13428</v>
      </c>
      <c r="F11238" s="162">
        <v>4.8</v>
      </c>
      <c r="G11238" s="163" t="s">
        <v>12773</v>
      </c>
      <c r="H11238" s="164" t="s">
        <v>211</v>
      </c>
      <c r="I11238" s="4"/>
      <c r="J11238" s="4"/>
    </row>
    <row r="11239">
      <c r="A11239" s="165" t="s">
        <v>220</v>
      </c>
      <c r="B11239" s="166" t="s">
        <v>190</v>
      </c>
      <c r="C11239" s="166" t="s">
        <v>206</v>
      </c>
      <c r="D11239" s="167" t="s">
        <v>51</v>
      </c>
      <c r="E11239" s="167" t="s">
        <v>13429</v>
      </c>
      <c r="F11239" s="166">
        <v>3.0</v>
      </c>
      <c r="G11239" s="167" t="s">
        <v>12363</v>
      </c>
      <c r="H11239" s="168" t="s">
        <v>212</v>
      </c>
      <c r="I11239" s="4"/>
      <c r="J11239" s="4"/>
    </row>
    <row r="11240">
      <c r="A11240" s="161" t="s">
        <v>220</v>
      </c>
      <c r="B11240" s="162" t="s">
        <v>190</v>
      </c>
      <c r="C11240" s="162" t="s">
        <v>206</v>
      </c>
      <c r="D11240" s="163" t="s">
        <v>51</v>
      </c>
      <c r="E11240" s="163" t="s">
        <v>13430</v>
      </c>
      <c r="F11240" s="162">
        <v>4.1</v>
      </c>
      <c r="G11240" s="163" t="s">
        <v>12194</v>
      </c>
      <c r="H11240" s="164" t="s">
        <v>213</v>
      </c>
      <c r="I11240" s="4"/>
      <c r="J11240" s="4"/>
    </row>
    <row r="11241">
      <c r="A11241" s="165" t="s">
        <v>220</v>
      </c>
      <c r="B11241" s="166" t="s">
        <v>190</v>
      </c>
      <c r="C11241" s="166" t="s">
        <v>206</v>
      </c>
      <c r="D11241" s="167" t="s">
        <v>51</v>
      </c>
      <c r="E11241" s="167" t="s">
        <v>13431</v>
      </c>
      <c r="F11241" s="166">
        <v>4.6</v>
      </c>
      <c r="G11241" s="167" t="s">
        <v>12354</v>
      </c>
      <c r="H11241" s="168" t="s">
        <v>214</v>
      </c>
      <c r="I11241" s="4"/>
      <c r="J11241" s="4"/>
    </row>
    <row r="11242">
      <c r="A11242" s="161" t="s">
        <v>220</v>
      </c>
      <c r="B11242" s="162" t="s">
        <v>190</v>
      </c>
      <c r="C11242" s="162" t="s">
        <v>206</v>
      </c>
      <c r="D11242" s="163" t="s">
        <v>51</v>
      </c>
      <c r="E11242" s="163" t="s">
        <v>13432</v>
      </c>
      <c r="F11242" s="162">
        <v>5.1</v>
      </c>
      <c r="G11242" s="163" t="s">
        <v>13433</v>
      </c>
      <c r="H11242" s="164" t="s">
        <v>215</v>
      </c>
      <c r="I11242" s="4"/>
      <c r="J11242" s="4"/>
    </row>
    <row r="11243">
      <c r="A11243" s="165" t="s">
        <v>220</v>
      </c>
      <c r="B11243" s="166" t="s">
        <v>190</v>
      </c>
      <c r="C11243" s="166" t="s">
        <v>206</v>
      </c>
      <c r="D11243" s="167" t="s">
        <v>51</v>
      </c>
      <c r="E11243" s="167" t="s">
        <v>13434</v>
      </c>
      <c r="F11243" s="166">
        <v>3.5</v>
      </c>
      <c r="G11243" s="167" t="s">
        <v>12354</v>
      </c>
      <c r="H11243" s="168" t="s">
        <v>216</v>
      </c>
      <c r="I11243" s="4"/>
      <c r="J11243" s="4"/>
    </row>
    <row r="11244">
      <c r="A11244" s="161" t="s">
        <v>221</v>
      </c>
      <c r="B11244" s="162" t="s">
        <v>189</v>
      </c>
      <c r="C11244" s="162" t="s">
        <v>206</v>
      </c>
      <c r="D11244" s="163" t="s">
        <v>51</v>
      </c>
      <c r="E11244" s="163" t="s">
        <v>13435</v>
      </c>
      <c r="F11244" s="162">
        <v>2.1</v>
      </c>
      <c r="G11244" s="163" t="s">
        <v>13436</v>
      </c>
      <c r="H11244" s="164" t="s">
        <v>210</v>
      </c>
      <c r="I11244" s="4"/>
      <c r="J11244" s="4"/>
    </row>
    <row r="11245">
      <c r="A11245" s="165" t="s">
        <v>221</v>
      </c>
      <c r="B11245" s="166" t="s">
        <v>189</v>
      </c>
      <c r="C11245" s="166" t="s">
        <v>206</v>
      </c>
      <c r="D11245" s="167" t="s">
        <v>51</v>
      </c>
      <c r="E11245" s="167" t="s">
        <v>13437</v>
      </c>
      <c r="F11245" s="166">
        <v>3.4</v>
      </c>
      <c r="G11245" s="167" t="s">
        <v>13438</v>
      </c>
      <c r="H11245" s="168" t="s">
        <v>211</v>
      </c>
      <c r="I11245" s="4"/>
      <c r="J11245" s="4"/>
    </row>
    <row r="11246">
      <c r="A11246" s="161" t="s">
        <v>221</v>
      </c>
      <c r="B11246" s="162" t="s">
        <v>189</v>
      </c>
      <c r="C11246" s="162" t="s">
        <v>206</v>
      </c>
      <c r="D11246" s="163" t="s">
        <v>51</v>
      </c>
      <c r="E11246" s="163" t="s">
        <v>13439</v>
      </c>
      <c r="F11246" s="162">
        <v>5.5</v>
      </c>
      <c r="G11246" s="163" t="s">
        <v>13440</v>
      </c>
      <c r="H11246" s="164" t="s">
        <v>212</v>
      </c>
      <c r="I11246" s="4"/>
      <c r="J11246" s="4"/>
    </row>
    <row r="11247">
      <c r="A11247" s="165" t="s">
        <v>221</v>
      </c>
      <c r="B11247" s="166" t="s">
        <v>189</v>
      </c>
      <c r="C11247" s="166" t="s">
        <v>206</v>
      </c>
      <c r="D11247" s="167" t="s">
        <v>51</v>
      </c>
      <c r="E11247" s="167" t="s">
        <v>13441</v>
      </c>
      <c r="F11247" s="166">
        <v>0.7</v>
      </c>
      <c r="G11247" s="167" t="s">
        <v>13197</v>
      </c>
      <c r="H11247" s="168" t="s">
        <v>213</v>
      </c>
      <c r="I11247" s="4"/>
      <c r="J11247" s="4"/>
    </row>
    <row r="11248">
      <c r="A11248" s="161" t="s">
        <v>221</v>
      </c>
      <c r="B11248" s="162" t="s">
        <v>189</v>
      </c>
      <c r="C11248" s="162" t="s">
        <v>206</v>
      </c>
      <c r="D11248" s="163" t="s">
        <v>51</v>
      </c>
      <c r="E11248" s="163" t="s">
        <v>13442</v>
      </c>
      <c r="F11248" s="162">
        <v>2.2</v>
      </c>
      <c r="G11248" s="163" t="s">
        <v>12877</v>
      </c>
      <c r="H11248" s="164" t="s">
        <v>214</v>
      </c>
      <c r="I11248" s="4"/>
      <c r="J11248" s="4"/>
    </row>
    <row r="11249">
      <c r="A11249" s="165" t="s">
        <v>221</v>
      </c>
      <c r="B11249" s="166" t="s">
        <v>189</v>
      </c>
      <c r="C11249" s="166" t="s">
        <v>206</v>
      </c>
      <c r="D11249" s="167" t="s">
        <v>51</v>
      </c>
      <c r="E11249" s="167" t="s">
        <v>13443</v>
      </c>
      <c r="F11249" s="166">
        <v>2.1</v>
      </c>
      <c r="G11249" s="167" t="s">
        <v>13444</v>
      </c>
      <c r="H11249" s="168" t="s">
        <v>215</v>
      </c>
      <c r="I11249" s="4"/>
      <c r="J11249" s="4"/>
    </row>
    <row r="11250">
      <c r="A11250" s="161" t="s">
        <v>221</v>
      </c>
      <c r="B11250" s="162" t="s">
        <v>189</v>
      </c>
      <c r="C11250" s="162" t="s">
        <v>206</v>
      </c>
      <c r="D11250" s="163" t="s">
        <v>51</v>
      </c>
      <c r="E11250" s="163" t="s">
        <v>13445</v>
      </c>
      <c r="F11250" s="162">
        <v>2.5</v>
      </c>
      <c r="G11250" s="163" t="s">
        <v>12962</v>
      </c>
      <c r="H11250" s="164" t="s">
        <v>216</v>
      </c>
      <c r="I11250" s="4"/>
      <c r="J11250" s="4"/>
    </row>
    <row r="11251">
      <c r="A11251" s="165" t="s">
        <v>222</v>
      </c>
      <c r="B11251" s="166" t="s">
        <v>192</v>
      </c>
      <c r="C11251" s="166" t="s">
        <v>206</v>
      </c>
      <c r="D11251" s="167" t="s">
        <v>51</v>
      </c>
      <c r="E11251" s="167" t="s">
        <v>13446</v>
      </c>
      <c r="F11251" s="166">
        <v>3.1</v>
      </c>
      <c r="G11251" s="167" t="s">
        <v>13447</v>
      </c>
      <c r="H11251" s="168" t="s">
        <v>210</v>
      </c>
      <c r="I11251" s="4"/>
      <c r="J11251" s="4"/>
    </row>
    <row r="11252">
      <c r="A11252" s="161" t="s">
        <v>222</v>
      </c>
      <c r="B11252" s="162" t="s">
        <v>192</v>
      </c>
      <c r="C11252" s="162" t="s">
        <v>206</v>
      </c>
      <c r="D11252" s="163" t="s">
        <v>51</v>
      </c>
      <c r="E11252" s="163" t="s">
        <v>13448</v>
      </c>
      <c r="F11252" s="162">
        <v>3.4</v>
      </c>
      <c r="G11252" s="163" t="s">
        <v>13449</v>
      </c>
      <c r="H11252" s="164" t="s">
        <v>211</v>
      </c>
      <c r="I11252" s="4"/>
      <c r="J11252" s="4"/>
    </row>
    <row r="11253">
      <c r="A11253" s="165" t="s">
        <v>222</v>
      </c>
      <c r="B11253" s="166" t="s">
        <v>192</v>
      </c>
      <c r="C11253" s="166" t="s">
        <v>206</v>
      </c>
      <c r="D11253" s="167" t="s">
        <v>51</v>
      </c>
      <c r="E11253" s="167" t="s">
        <v>13450</v>
      </c>
      <c r="F11253" s="166">
        <v>3.6</v>
      </c>
      <c r="G11253" s="167" t="s">
        <v>13317</v>
      </c>
      <c r="H11253" s="168" t="s">
        <v>212</v>
      </c>
      <c r="I11253" s="4"/>
      <c r="J11253" s="4"/>
    </row>
    <row r="11254">
      <c r="A11254" s="161" t="s">
        <v>222</v>
      </c>
      <c r="B11254" s="162" t="s">
        <v>192</v>
      </c>
      <c r="C11254" s="162" t="s">
        <v>206</v>
      </c>
      <c r="D11254" s="163" t="s">
        <v>51</v>
      </c>
      <c r="E11254" s="163" t="s">
        <v>13451</v>
      </c>
      <c r="F11254" s="162">
        <v>3.1</v>
      </c>
      <c r="G11254" s="163" t="s">
        <v>13452</v>
      </c>
      <c r="H11254" s="164" t="s">
        <v>213</v>
      </c>
      <c r="I11254" s="4"/>
      <c r="J11254" s="4"/>
    </row>
    <row r="11255">
      <c r="A11255" s="165" t="s">
        <v>222</v>
      </c>
      <c r="B11255" s="166" t="s">
        <v>192</v>
      </c>
      <c r="C11255" s="166" t="s">
        <v>206</v>
      </c>
      <c r="D11255" s="167" t="s">
        <v>51</v>
      </c>
      <c r="E11255" s="167" t="s">
        <v>13453</v>
      </c>
      <c r="F11255" s="166">
        <v>3.4</v>
      </c>
      <c r="G11255" s="167" t="s">
        <v>13454</v>
      </c>
      <c r="H11255" s="168" t="s">
        <v>214</v>
      </c>
      <c r="I11255" s="4"/>
      <c r="J11255" s="4"/>
    </row>
    <row r="11256">
      <c r="A11256" s="161" t="s">
        <v>222</v>
      </c>
      <c r="B11256" s="162" t="s">
        <v>192</v>
      </c>
      <c r="C11256" s="162" t="s">
        <v>206</v>
      </c>
      <c r="D11256" s="163" t="s">
        <v>51</v>
      </c>
      <c r="E11256" s="163" t="s">
        <v>13455</v>
      </c>
      <c r="F11256" s="162">
        <v>2.6</v>
      </c>
      <c r="G11256" s="163" t="s">
        <v>13456</v>
      </c>
      <c r="H11256" s="164" t="s">
        <v>215</v>
      </c>
      <c r="I11256" s="4"/>
      <c r="J11256" s="4"/>
    </row>
    <row r="11257">
      <c r="A11257" s="165" t="s">
        <v>222</v>
      </c>
      <c r="B11257" s="166" t="s">
        <v>192</v>
      </c>
      <c r="C11257" s="166" t="s">
        <v>206</v>
      </c>
      <c r="D11257" s="167" t="s">
        <v>51</v>
      </c>
      <c r="E11257" s="167" t="s">
        <v>13457</v>
      </c>
      <c r="F11257" s="166">
        <v>3.2</v>
      </c>
      <c r="G11257" s="167" t="s">
        <v>12983</v>
      </c>
      <c r="H11257" s="168" t="s">
        <v>216</v>
      </c>
      <c r="I11257" s="4"/>
      <c r="J11257" s="4"/>
    </row>
    <row r="11258">
      <c r="A11258" s="161" t="s">
        <v>223</v>
      </c>
      <c r="B11258" s="162" t="s">
        <v>144</v>
      </c>
      <c r="C11258" s="162" t="s">
        <v>206</v>
      </c>
      <c r="D11258" s="163" t="s">
        <v>51</v>
      </c>
      <c r="E11258" s="163" t="s">
        <v>13458</v>
      </c>
      <c r="F11258" s="162">
        <v>0.1</v>
      </c>
      <c r="G11258" s="163" t="s">
        <v>13459</v>
      </c>
      <c r="H11258" s="164" t="s">
        <v>210</v>
      </c>
      <c r="I11258" s="4"/>
      <c r="J11258" s="4"/>
    </row>
    <row r="11259">
      <c r="A11259" s="165" t="s">
        <v>223</v>
      </c>
      <c r="B11259" s="166" t="s">
        <v>144</v>
      </c>
      <c r="C11259" s="166" t="s">
        <v>206</v>
      </c>
      <c r="D11259" s="167" t="s">
        <v>51</v>
      </c>
      <c r="E11259" s="167" t="s">
        <v>13460</v>
      </c>
      <c r="F11259" s="166">
        <v>0.8</v>
      </c>
      <c r="G11259" s="167" t="s">
        <v>13461</v>
      </c>
      <c r="H11259" s="168" t="s">
        <v>211</v>
      </c>
      <c r="I11259" s="4"/>
      <c r="J11259" s="4"/>
    </row>
    <row r="11260">
      <c r="A11260" s="161" t="s">
        <v>223</v>
      </c>
      <c r="B11260" s="162" t="s">
        <v>144</v>
      </c>
      <c r="C11260" s="162" t="s">
        <v>206</v>
      </c>
      <c r="D11260" s="163" t="s">
        <v>51</v>
      </c>
      <c r="E11260" s="163" t="s">
        <v>13462</v>
      </c>
      <c r="F11260" s="162">
        <v>1.1</v>
      </c>
      <c r="G11260" s="163" t="s">
        <v>13163</v>
      </c>
      <c r="H11260" s="164" t="s">
        <v>212</v>
      </c>
      <c r="I11260" s="4"/>
      <c r="J11260" s="4"/>
    </row>
    <row r="11261">
      <c r="A11261" s="165" t="s">
        <v>223</v>
      </c>
      <c r="B11261" s="166" t="s">
        <v>144</v>
      </c>
      <c r="C11261" s="166" t="s">
        <v>206</v>
      </c>
      <c r="D11261" s="167" t="s">
        <v>51</v>
      </c>
      <c r="E11261" s="167" t="s">
        <v>13463</v>
      </c>
      <c r="F11261" s="166">
        <v>1.9</v>
      </c>
      <c r="G11261" s="167" t="s">
        <v>13464</v>
      </c>
      <c r="H11261" s="168" t="s">
        <v>213</v>
      </c>
      <c r="I11261" s="4"/>
      <c r="J11261" s="4"/>
    </row>
    <row r="11262">
      <c r="A11262" s="161" t="s">
        <v>223</v>
      </c>
      <c r="B11262" s="162" t="s">
        <v>144</v>
      </c>
      <c r="C11262" s="162" t="s">
        <v>206</v>
      </c>
      <c r="D11262" s="163" t="s">
        <v>51</v>
      </c>
      <c r="E11262" s="163" t="s">
        <v>13465</v>
      </c>
      <c r="F11262" s="162">
        <v>1.1</v>
      </c>
      <c r="G11262" s="163" t="s">
        <v>13043</v>
      </c>
      <c r="H11262" s="164" t="s">
        <v>214</v>
      </c>
      <c r="I11262" s="4"/>
      <c r="J11262" s="4"/>
    </row>
    <row r="11263">
      <c r="A11263" s="165" t="s">
        <v>223</v>
      </c>
      <c r="B11263" s="166" t="s">
        <v>144</v>
      </c>
      <c r="C11263" s="166" t="s">
        <v>206</v>
      </c>
      <c r="D11263" s="167" t="s">
        <v>51</v>
      </c>
      <c r="E11263" s="167" t="s">
        <v>13466</v>
      </c>
      <c r="F11263" s="166">
        <v>2.5</v>
      </c>
      <c r="G11263" s="167" t="s">
        <v>13467</v>
      </c>
      <c r="H11263" s="168" t="s">
        <v>215</v>
      </c>
      <c r="I11263" s="4"/>
      <c r="J11263" s="4"/>
    </row>
    <row r="11264">
      <c r="A11264" s="161" t="s">
        <v>223</v>
      </c>
      <c r="B11264" s="162" t="s">
        <v>144</v>
      </c>
      <c r="C11264" s="162" t="s">
        <v>206</v>
      </c>
      <c r="D11264" s="163" t="s">
        <v>51</v>
      </c>
      <c r="E11264" s="163" t="s">
        <v>13468</v>
      </c>
      <c r="F11264" s="162">
        <v>0.7</v>
      </c>
      <c r="G11264" s="163" t="s">
        <v>13469</v>
      </c>
      <c r="H11264" s="164" t="s">
        <v>216</v>
      </c>
      <c r="I11264" s="4"/>
      <c r="J11264" s="4"/>
    </row>
    <row r="11265">
      <c r="A11265" s="165" t="s">
        <v>224</v>
      </c>
      <c r="B11265" s="166" t="s">
        <v>170</v>
      </c>
      <c r="C11265" s="166" t="s">
        <v>206</v>
      </c>
      <c r="D11265" s="167" t="s">
        <v>51</v>
      </c>
      <c r="E11265" s="167" t="s">
        <v>13470</v>
      </c>
      <c r="F11265" s="166">
        <v>4.0</v>
      </c>
      <c r="G11265" s="167" t="s">
        <v>12656</v>
      </c>
      <c r="H11265" s="168" t="s">
        <v>210</v>
      </c>
      <c r="I11265" s="4"/>
      <c r="J11265" s="4"/>
    </row>
    <row r="11266">
      <c r="A11266" s="161" t="s">
        <v>224</v>
      </c>
      <c r="B11266" s="162" t="s">
        <v>170</v>
      </c>
      <c r="C11266" s="162" t="s">
        <v>206</v>
      </c>
      <c r="D11266" s="163" t="s">
        <v>51</v>
      </c>
      <c r="E11266" s="163" t="s">
        <v>13471</v>
      </c>
      <c r="F11266" s="162">
        <v>2.8</v>
      </c>
      <c r="G11266" s="163" t="s">
        <v>13472</v>
      </c>
      <c r="H11266" s="164" t="s">
        <v>211</v>
      </c>
      <c r="I11266" s="4"/>
      <c r="J11266" s="4"/>
    </row>
    <row r="11267">
      <c r="A11267" s="165" t="s">
        <v>224</v>
      </c>
      <c r="B11267" s="166" t="s">
        <v>170</v>
      </c>
      <c r="C11267" s="166" t="s">
        <v>206</v>
      </c>
      <c r="D11267" s="167" t="s">
        <v>51</v>
      </c>
      <c r="E11267" s="167" t="s">
        <v>13473</v>
      </c>
      <c r="F11267" s="166">
        <v>5.0</v>
      </c>
      <c r="G11267" s="167" t="s">
        <v>13474</v>
      </c>
      <c r="H11267" s="168" t="s">
        <v>212</v>
      </c>
      <c r="I11267" s="4"/>
      <c r="J11267" s="4"/>
    </row>
    <row r="11268">
      <c r="A11268" s="161" t="s">
        <v>224</v>
      </c>
      <c r="B11268" s="162" t="s">
        <v>170</v>
      </c>
      <c r="C11268" s="162" t="s">
        <v>206</v>
      </c>
      <c r="D11268" s="163" t="s">
        <v>51</v>
      </c>
      <c r="E11268" s="163" t="s">
        <v>13475</v>
      </c>
      <c r="F11268" s="162">
        <v>5.5</v>
      </c>
      <c r="G11268" s="163" t="s">
        <v>13027</v>
      </c>
      <c r="H11268" s="164" t="s">
        <v>213</v>
      </c>
      <c r="I11268" s="4"/>
      <c r="J11268" s="4"/>
    </row>
    <row r="11269">
      <c r="A11269" s="165" t="s">
        <v>224</v>
      </c>
      <c r="B11269" s="166" t="s">
        <v>170</v>
      </c>
      <c r="C11269" s="166" t="s">
        <v>206</v>
      </c>
      <c r="D11269" s="167" t="s">
        <v>51</v>
      </c>
      <c r="E11269" s="167" t="s">
        <v>13476</v>
      </c>
      <c r="F11269" s="166">
        <v>8.0</v>
      </c>
      <c r="G11269" s="167" t="s">
        <v>13472</v>
      </c>
      <c r="H11269" s="168" t="s">
        <v>214</v>
      </c>
      <c r="I11269" s="4"/>
      <c r="J11269" s="4"/>
    </row>
    <row r="11270">
      <c r="A11270" s="161" t="s">
        <v>224</v>
      </c>
      <c r="B11270" s="162" t="s">
        <v>170</v>
      </c>
      <c r="C11270" s="162" t="s">
        <v>206</v>
      </c>
      <c r="D11270" s="163" t="s">
        <v>51</v>
      </c>
      <c r="E11270" s="163" t="s">
        <v>13477</v>
      </c>
      <c r="F11270" s="162">
        <v>4.9</v>
      </c>
      <c r="G11270" s="163" t="s">
        <v>13131</v>
      </c>
      <c r="H11270" s="164" t="s">
        <v>215</v>
      </c>
      <c r="I11270" s="4"/>
      <c r="J11270" s="4"/>
    </row>
    <row r="11271">
      <c r="A11271" s="165" t="s">
        <v>224</v>
      </c>
      <c r="B11271" s="166" t="s">
        <v>170</v>
      </c>
      <c r="C11271" s="166" t="s">
        <v>206</v>
      </c>
      <c r="D11271" s="167" t="s">
        <v>51</v>
      </c>
      <c r="E11271" s="167" t="s">
        <v>13478</v>
      </c>
      <c r="F11271" s="166">
        <v>4.0</v>
      </c>
      <c r="G11271" s="167" t="s">
        <v>13479</v>
      </c>
      <c r="H11271" s="168" t="s">
        <v>216</v>
      </c>
      <c r="I11271" s="4"/>
      <c r="J11271" s="4"/>
    </row>
    <row r="11272">
      <c r="A11272" s="161" t="s">
        <v>225</v>
      </c>
      <c r="B11272" s="162" t="s">
        <v>226</v>
      </c>
      <c r="C11272" s="162" t="s">
        <v>206</v>
      </c>
      <c r="D11272" s="163" t="s">
        <v>51</v>
      </c>
      <c r="E11272" s="163" t="s">
        <v>13480</v>
      </c>
      <c r="F11272" s="162">
        <v>8.8</v>
      </c>
      <c r="G11272" s="163" t="s">
        <v>13481</v>
      </c>
      <c r="H11272" s="164" t="s">
        <v>210</v>
      </c>
      <c r="I11272" s="4"/>
      <c r="J11272" s="4"/>
    </row>
    <row r="11273">
      <c r="A11273" s="165" t="s">
        <v>225</v>
      </c>
      <c r="B11273" s="166" t="s">
        <v>226</v>
      </c>
      <c r="C11273" s="166" t="s">
        <v>206</v>
      </c>
      <c r="D11273" s="167" t="s">
        <v>51</v>
      </c>
      <c r="E11273" s="167" t="s">
        <v>13482</v>
      </c>
      <c r="F11273" s="166">
        <v>7.5</v>
      </c>
      <c r="G11273" s="167" t="s">
        <v>13332</v>
      </c>
      <c r="H11273" s="168" t="s">
        <v>211</v>
      </c>
      <c r="I11273" s="4"/>
      <c r="J11273" s="4"/>
    </row>
    <row r="11274">
      <c r="A11274" s="161" t="s">
        <v>225</v>
      </c>
      <c r="B11274" s="162" t="s">
        <v>226</v>
      </c>
      <c r="C11274" s="162" t="s">
        <v>206</v>
      </c>
      <c r="D11274" s="163" t="s">
        <v>51</v>
      </c>
      <c r="E11274" s="163" t="s">
        <v>13483</v>
      </c>
      <c r="F11274" s="162">
        <v>7.8</v>
      </c>
      <c r="G11274" s="163" t="s">
        <v>13484</v>
      </c>
      <c r="H11274" s="164" t="s">
        <v>212</v>
      </c>
      <c r="I11274" s="4"/>
      <c r="J11274" s="4"/>
    </row>
    <row r="11275">
      <c r="A11275" s="165" t="s">
        <v>225</v>
      </c>
      <c r="B11275" s="166" t="s">
        <v>226</v>
      </c>
      <c r="C11275" s="166" t="s">
        <v>206</v>
      </c>
      <c r="D11275" s="167" t="s">
        <v>51</v>
      </c>
      <c r="E11275" s="167" t="s">
        <v>13485</v>
      </c>
      <c r="F11275" s="166">
        <v>7.6</v>
      </c>
      <c r="G11275" s="167" t="s">
        <v>13486</v>
      </c>
      <c r="H11275" s="168" t="s">
        <v>213</v>
      </c>
      <c r="I11275" s="4"/>
      <c r="J11275" s="4"/>
    </row>
    <row r="11276">
      <c r="A11276" s="161" t="s">
        <v>225</v>
      </c>
      <c r="B11276" s="162" t="s">
        <v>226</v>
      </c>
      <c r="C11276" s="162" t="s">
        <v>206</v>
      </c>
      <c r="D11276" s="163" t="s">
        <v>51</v>
      </c>
      <c r="E11276" s="163" t="s">
        <v>13487</v>
      </c>
      <c r="F11276" s="162">
        <v>7.4</v>
      </c>
      <c r="G11276" s="163" t="s">
        <v>13474</v>
      </c>
      <c r="H11276" s="164" t="s">
        <v>214</v>
      </c>
      <c r="I11276" s="4"/>
      <c r="J11276" s="4"/>
    </row>
    <row r="11277">
      <c r="A11277" s="165" t="s">
        <v>225</v>
      </c>
      <c r="B11277" s="166" t="s">
        <v>226</v>
      </c>
      <c r="C11277" s="166" t="s">
        <v>206</v>
      </c>
      <c r="D11277" s="167" t="s">
        <v>51</v>
      </c>
      <c r="E11277" s="167" t="s">
        <v>13488</v>
      </c>
      <c r="F11277" s="166">
        <v>10.4</v>
      </c>
      <c r="G11277" s="167" t="s">
        <v>13489</v>
      </c>
      <c r="H11277" s="168" t="s">
        <v>215</v>
      </c>
      <c r="I11277" s="4"/>
      <c r="J11277" s="4"/>
    </row>
    <row r="11278">
      <c r="A11278" s="161" t="s">
        <v>225</v>
      </c>
      <c r="B11278" s="162" t="s">
        <v>226</v>
      </c>
      <c r="C11278" s="162" t="s">
        <v>206</v>
      </c>
      <c r="D11278" s="163" t="s">
        <v>51</v>
      </c>
      <c r="E11278" s="163" t="s">
        <v>13490</v>
      </c>
      <c r="F11278" s="162">
        <v>8.2</v>
      </c>
      <c r="G11278" s="163" t="s">
        <v>13491</v>
      </c>
      <c r="H11278" s="164" t="s">
        <v>216</v>
      </c>
      <c r="I11278" s="4"/>
      <c r="J11278" s="4"/>
    </row>
    <row r="11279">
      <c r="A11279" s="165" t="s">
        <v>227</v>
      </c>
      <c r="B11279" s="166" t="s">
        <v>195</v>
      </c>
      <c r="C11279" s="166" t="s">
        <v>206</v>
      </c>
      <c r="D11279" s="167" t="s">
        <v>51</v>
      </c>
      <c r="E11279" s="167" t="s">
        <v>13492</v>
      </c>
      <c r="F11279" s="166">
        <v>5.5</v>
      </c>
      <c r="G11279" s="167" t="s">
        <v>12674</v>
      </c>
      <c r="H11279" s="168" t="s">
        <v>210</v>
      </c>
      <c r="I11279" s="4"/>
      <c r="J11279" s="4"/>
    </row>
    <row r="11280">
      <c r="A11280" s="161" t="s">
        <v>227</v>
      </c>
      <c r="B11280" s="162" t="s">
        <v>195</v>
      </c>
      <c r="C11280" s="162" t="s">
        <v>206</v>
      </c>
      <c r="D11280" s="163" t="s">
        <v>51</v>
      </c>
      <c r="E11280" s="163" t="s">
        <v>13493</v>
      </c>
      <c r="F11280" s="162">
        <v>3.5</v>
      </c>
      <c r="G11280" s="163" t="s">
        <v>13494</v>
      </c>
      <c r="H11280" s="164" t="s">
        <v>211</v>
      </c>
      <c r="I11280" s="4"/>
      <c r="J11280" s="4"/>
    </row>
    <row r="11281">
      <c r="A11281" s="165" t="s">
        <v>227</v>
      </c>
      <c r="B11281" s="166" t="s">
        <v>195</v>
      </c>
      <c r="C11281" s="166" t="s">
        <v>206</v>
      </c>
      <c r="D11281" s="167" t="s">
        <v>51</v>
      </c>
      <c r="E11281" s="167" t="s">
        <v>13495</v>
      </c>
      <c r="F11281" s="166">
        <v>3.7</v>
      </c>
      <c r="G11281" s="167" t="s">
        <v>13496</v>
      </c>
      <c r="H11281" s="168" t="s">
        <v>212</v>
      </c>
      <c r="I11281" s="4"/>
      <c r="J11281" s="4"/>
    </row>
    <row r="11282">
      <c r="A11282" s="161" t="s">
        <v>227</v>
      </c>
      <c r="B11282" s="162" t="s">
        <v>195</v>
      </c>
      <c r="C11282" s="162" t="s">
        <v>206</v>
      </c>
      <c r="D11282" s="163" t="s">
        <v>51</v>
      </c>
      <c r="E11282" s="163" t="s">
        <v>13497</v>
      </c>
      <c r="F11282" s="162">
        <v>3.2</v>
      </c>
      <c r="G11282" s="163" t="s">
        <v>13498</v>
      </c>
      <c r="H11282" s="164" t="s">
        <v>213</v>
      </c>
      <c r="I11282" s="4"/>
      <c r="J11282" s="4"/>
    </row>
    <row r="11283">
      <c r="A11283" s="165" t="s">
        <v>227</v>
      </c>
      <c r="B11283" s="166" t="s">
        <v>195</v>
      </c>
      <c r="C11283" s="166" t="s">
        <v>206</v>
      </c>
      <c r="D11283" s="167" t="s">
        <v>51</v>
      </c>
      <c r="E11283" s="167" t="s">
        <v>13499</v>
      </c>
      <c r="F11283" s="166">
        <v>3.3</v>
      </c>
      <c r="G11283" s="167" t="s">
        <v>13500</v>
      </c>
      <c r="H11283" s="168" t="s">
        <v>214</v>
      </c>
      <c r="I11283" s="4"/>
      <c r="J11283" s="4"/>
    </row>
    <row r="11284">
      <c r="A11284" s="161" t="s">
        <v>227</v>
      </c>
      <c r="B11284" s="162" t="s">
        <v>195</v>
      </c>
      <c r="C11284" s="162" t="s">
        <v>206</v>
      </c>
      <c r="D11284" s="163" t="s">
        <v>51</v>
      </c>
      <c r="E11284" s="163" t="s">
        <v>13501</v>
      </c>
      <c r="F11284" s="162">
        <v>6.6</v>
      </c>
      <c r="G11284" s="163" t="s">
        <v>13502</v>
      </c>
      <c r="H11284" s="164" t="s">
        <v>215</v>
      </c>
      <c r="I11284" s="4"/>
      <c r="J11284" s="4"/>
    </row>
    <row r="11285">
      <c r="A11285" s="165" t="s">
        <v>227</v>
      </c>
      <c r="B11285" s="166" t="s">
        <v>195</v>
      </c>
      <c r="C11285" s="166" t="s">
        <v>206</v>
      </c>
      <c r="D11285" s="167" t="s">
        <v>51</v>
      </c>
      <c r="E11285" s="167" t="s">
        <v>13503</v>
      </c>
      <c r="F11285" s="166">
        <v>4.6</v>
      </c>
      <c r="G11285" s="167" t="s">
        <v>13504</v>
      </c>
      <c r="H11285" s="168" t="s">
        <v>216</v>
      </c>
      <c r="I11285" s="4"/>
      <c r="J11285" s="4"/>
    </row>
    <row r="11286">
      <c r="A11286" s="161" t="s">
        <v>228</v>
      </c>
      <c r="B11286" s="162" t="s">
        <v>138</v>
      </c>
      <c r="C11286" s="162" t="s">
        <v>206</v>
      </c>
      <c r="D11286" s="163" t="s">
        <v>51</v>
      </c>
      <c r="E11286" s="163" t="s">
        <v>13505</v>
      </c>
      <c r="F11286" s="162">
        <v>8.9</v>
      </c>
      <c r="G11286" s="163" t="s">
        <v>12276</v>
      </c>
      <c r="H11286" s="164" t="s">
        <v>210</v>
      </c>
      <c r="I11286" s="4"/>
      <c r="J11286" s="4"/>
    </row>
    <row r="11287">
      <c r="A11287" s="165" t="s">
        <v>228</v>
      </c>
      <c r="B11287" s="166" t="s">
        <v>138</v>
      </c>
      <c r="C11287" s="166" t="s">
        <v>206</v>
      </c>
      <c r="D11287" s="167" t="s">
        <v>51</v>
      </c>
      <c r="E11287" s="167" t="s">
        <v>13506</v>
      </c>
      <c r="F11287" s="166">
        <v>5.7</v>
      </c>
      <c r="G11287" s="167" t="s">
        <v>12602</v>
      </c>
      <c r="H11287" s="168" t="s">
        <v>211</v>
      </c>
      <c r="I11287" s="4"/>
      <c r="J11287" s="4"/>
    </row>
    <row r="11288">
      <c r="A11288" s="161" t="s">
        <v>228</v>
      </c>
      <c r="B11288" s="162" t="s">
        <v>138</v>
      </c>
      <c r="C11288" s="162" t="s">
        <v>206</v>
      </c>
      <c r="D11288" s="163" t="s">
        <v>51</v>
      </c>
      <c r="E11288" s="163" t="s">
        <v>13507</v>
      </c>
      <c r="F11288" s="162">
        <v>9.9</v>
      </c>
      <c r="G11288" s="163" t="s">
        <v>13001</v>
      </c>
      <c r="H11288" s="164" t="s">
        <v>212</v>
      </c>
      <c r="I11288" s="4"/>
      <c r="J11288" s="4"/>
    </row>
    <row r="11289">
      <c r="A11289" s="165" t="s">
        <v>228</v>
      </c>
      <c r="B11289" s="166" t="s">
        <v>138</v>
      </c>
      <c r="C11289" s="166" t="s">
        <v>206</v>
      </c>
      <c r="D11289" s="167" t="s">
        <v>51</v>
      </c>
      <c r="E11289" s="167" t="s">
        <v>13508</v>
      </c>
      <c r="F11289" s="166">
        <v>2.8</v>
      </c>
      <c r="G11289" s="167" t="s">
        <v>13509</v>
      </c>
      <c r="H11289" s="168" t="s">
        <v>213</v>
      </c>
      <c r="I11289" s="4"/>
      <c r="J11289" s="4"/>
    </row>
    <row r="11290">
      <c r="A11290" s="161" t="s">
        <v>228</v>
      </c>
      <c r="B11290" s="162" t="s">
        <v>138</v>
      </c>
      <c r="C11290" s="162" t="s">
        <v>206</v>
      </c>
      <c r="D11290" s="163" t="s">
        <v>51</v>
      </c>
      <c r="E11290" s="163" t="s">
        <v>13510</v>
      </c>
      <c r="F11290" s="162">
        <v>11.5</v>
      </c>
      <c r="G11290" s="163" t="s">
        <v>13511</v>
      </c>
      <c r="H11290" s="164" t="s">
        <v>214</v>
      </c>
      <c r="I11290" s="4"/>
      <c r="J11290" s="4"/>
    </row>
    <row r="11291">
      <c r="A11291" s="165" t="s">
        <v>228</v>
      </c>
      <c r="B11291" s="166" t="s">
        <v>138</v>
      </c>
      <c r="C11291" s="166" t="s">
        <v>206</v>
      </c>
      <c r="D11291" s="167" t="s">
        <v>51</v>
      </c>
      <c r="E11291" s="167" t="s">
        <v>13512</v>
      </c>
      <c r="F11291" s="166">
        <v>9.1</v>
      </c>
      <c r="G11291" s="167" t="s">
        <v>12538</v>
      </c>
      <c r="H11291" s="168" t="s">
        <v>215</v>
      </c>
      <c r="I11291" s="4"/>
      <c r="J11291" s="4"/>
    </row>
    <row r="11292">
      <c r="A11292" s="161" t="s">
        <v>228</v>
      </c>
      <c r="B11292" s="162" t="s">
        <v>138</v>
      </c>
      <c r="C11292" s="162" t="s">
        <v>206</v>
      </c>
      <c r="D11292" s="163" t="s">
        <v>51</v>
      </c>
      <c r="E11292" s="163" t="s">
        <v>13513</v>
      </c>
      <c r="F11292" s="162">
        <v>7.6</v>
      </c>
      <c r="G11292" s="163" t="s">
        <v>13514</v>
      </c>
      <c r="H11292" s="164" t="s">
        <v>216</v>
      </c>
      <c r="I11292" s="4"/>
      <c r="J11292" s="4"/>
    </row>
    <row r="11293">
      <c r="A11293" s="165" t="s">
        <v>229</v>
      </c>
      <c r="B11293" s="166" t="s">
        <v>193</v>
      </c>
      <c r="C11293" s="166" t="s">
        <v>206</v>
      </c>
      <c r="D11293" s="167" t="s">
        <v>51</v>
      </c>
      <c r="E11293" s="167" t="s">
        <v>13515</v>
      </c>
      <c r="F11293" s="166">
        <v>5.8</v>
      </c>
      <c r="G11293" s="167" t="s">
        <v>12284</v>
      </c>
      <c r="H11293" s="168" t="s">
        <v>210</v>
      </c>
      <c r="I11293" s="4"/>
      <c r="J11293" s="4"/>
    </row>
    <row r="11294">
      <c r="A11294" s="161" t="s">
        <v>229</v>
      </c>
      <c r="B11294" s="162" t="s">
        <v>193</v>
      </c>
      <c r="C11294" s="162" t="s">
        <v>206</v>
      </c>
      <c r="D11294" s="163" t="s">
        <v>51</v>
      </c>
      <c r="E11294" s="163" t="s">
        <v>13516</v>
      </c>
      <c r="F11294" s="162">
        <v>5.7</v>
      </c>
      <c r="G11294" s="163" t="s">
        <v>13517</v>
      </c>
      <c r="H11294" s="164" t="s">
        <v>211</v>
      </c>
      <c r="I11294" s="4"/>
      <c r="J11294" s="4"/>
    </row>
    <row r="11295">
      <c r="A11295" s="165" t="s">
        <v>229</v>
      </c>
      <c r="B11295" s="166" t="s">
        <v>193</v>
      </c>
      <c r="C11295" s="166" t="s">
        <v>206</v>
      </c>
      <c r="D11295" s="167" t="s">
        <v>51</v>
      </c>
      <c r="E11295" s="167" t="s">
        <v>13518</v>
      </c>
      <c r="F11295" s="166">
        <v>2.6</v>
      </c>
      <c r="G11295" s="167" t="s">
        <v>13519</v>
      </c>
      <c r="H11295" s="168" t="s">
        <v>212</v>
      </c>
      <c r="I11295" s="4"/>
      <c r="J11295" s="4"/>
    </row>
    <row r="11296">
      <c r="A11296" s="161" t="s">
        <v>229</v>
      </c>
      <c r="B11296" s="162" t="s">
        <v>193</v>
      </c>
      <c r="C11296" s="162" t="s">
        <v>206</v>
      </c>
      <c r="D11296" s="163" t="s">
        <v>51</v>
      </c>
      <c r="E11296" s="163" t="s">
        <v>13520</v>
      </c>
      <c r="F11296" s="162">
        <v>5.8</v>
      </c>
      <c r="G11296" s="163" t="s">
        <v>13521</v>
      </c>
      <c r="H11296" s="164" t="s">
        <v>213</v>
      </c>
      <c r="I11296" s="4"/>
      <c r="J11296" s="4"/>
    </row>
    <row r="11297">
      <c r="A11297" s="165" t="s">
        <v>229</v>
      </c>
      <c r="B11297" s="166" t="s">
        <v>193</v>
      </c>
      <c r="C11297" s="166" t="s">
        <v>206</v>
      </c>
      <c r="D11297" s="167" t="s">
        <v>51</v>
      </c>
      <c r="E11297" s="167" t="s">
        <v>13522</v>
      </c>
      <c r="F11297" s="166">
        <v>3.9</v>
      </c>
      <c r="G11297" s="167" t="s">
        <v>13523</v>
      </c>
      <c r="H11297" s="168" t="s">
        <v>214</v>
      </c>
      <c r="I11297" s="4"/>
      <c r="J11297" s="4"/>
    </row>
    <row r="11298">
      <c r="A11298" s="161" t="s">
        <v>229</v>
      </c>
      <c r="B11298" s="162" t="s">
        <v>193</v>
      </c>
      <c r="C11298" s="162" t="s">
        <v>206</v>
      </c>
      <c r="D11298" s="163" t="s">
        <v>51</v>
      </c>
      <c r="E11298" s="163" t="s">
        <v>13524</v>
      </c>
      <c r="F11298" s="162">
        <v>6.9</v>
      </c>
      <c r="G11298" s="163" t="s">
        <v>13525</v>
      </c>
      <c r="H11298" s="164" t="s">
        <v>215</v>
      </c>
      <c r="I11298" s="4"/>
      <c r="J11298" s="4"/>
    </row>
    <row r="11299">
      <c r="A11299" s="165" t="s">
        <v>229</v>
      </c>
      <c r="B11299" s="166" t="s">
        <v>193</v>
      </c>
      <c r="C11299" s="166" t="s">
        <v>206</v>
      </c>
      <c r="D11299" s="167" t="s">
        <v>51</v>
      </c>
      <c r="E11299" s="167" t="s">
        <v>13526</v>
      </c>
      <c r="F11299" s="166">
        <v>5.5</v>
      </c>
      <c r="G11299" s="167" t="s">
        <v>13527</v>
      </c>
      <c r="H11299" s="168" t="s">
        <v>216</v>
      </c>
      <c r="I11299" s="4"/>
      <c r="J11299" s="4"/>
    </row>
    <row r="11300">
      <c r="A11300" s="161" t="s">
        <v>230</v>
      </c>
      <c r="B11300" s="162" t="s">
        <v>194</v>
      </c>
      <c r="C11300" s="162" t="s">
        <v>206</v>
      </c>
      <c r="D11300" s="163" t="s">
        <v>51</v>
      </c>
      <c r="E11300" s="163" t="s">
        <v>13528</v>
      </c>
      <c r="F11300" s="162">
        <v>4.7</v>
      </c>
      <c r="G11300" s="163" t="s">
        <v>13529</v>
      </c>
      <c r="H11300" s="164" t="s">
        <v>210</v>
      </c>
      <c r="I11300" s="4"/>
      <c r="J11300" s="4"/>
    </row>
    <row r="11301">
      <c r="A11301" s="165" t="s">
        <v>230</v>
      </c>
      <c r="B11301" s="166" t="s">
        <v>194</v>
      </c>
      <c r="C11301" s="166" t="s">
        <v>206</v>
      </c>
      <c r="D11301" s="167" t="s">
        <v>51</v>
      </c>
      <c r="E11301" s="167" t="s">
        <v>13530</v>
      </c>
      <c r="F11301" s="166">
        <v>4.3</v>
      </c>
      <c r="G11301" s="167" t="s">
        <v>13531</v>
      </c>
      <c r="H11301" s="168" t="s">
        <v>211</v>
      </c>
      <c r="I11301" s="4"/>
      <c r="J11301" s="4"/>
    </row>
    <row r="11302">
      <c r="A11302" s="161" t="s">
        <v>230</v>
      </c>
      <c r="B11302" s="162" t="s">
        <v>194</v>
      </c>
      <c r="C11302" s="162" t="s">
        <v>206</v>
      </c>
      <c r="D11302" s="163" t="s">
        <v>51</v>
      </c>
      <c r="E11302" s="163" t="s">
        <v>13532</v>
      </c>
      <c r="F11302" s="162">
        <v>3.1</v>
      </c>
      <c r="G11302" s="163" t="s">
        <v>13533</v>
      </c>
      <c r="H11302" s="164" t="s">
        <v>212</v>
      </c>
      <c r="I11302" s="4"/>
      <c r="J11302" s="4"/>
    </row>
    <row r="11303">
      <c r="A11303" s="165" t="s">
        <v>230</v>
      </c>
      <c r="B11303" s="166" t="s">
        <v>194</v>
      </c>
      <c r="C11303" s="166" t="s">
        <v>206</v>
      </c>
      <c r="D11303" s="167" t="s">
        <v>51</v>
      </c>
      <c r="E11303" s="167" t="s">
        <v>13534</v>
      </c>
      <c r="F11303" s="166">
        <v>3.3</v>
      </c>
      <c r="G11303" s="167" t="s">
        <v>13535</v>
      </c>
      <c r="H11303" s="168" t="s">
        <v>213</v>
      </c>
      <c r="I11303" s="4"/>
      <c r="J11303" s="4"/>
    </row>
    <row r="11304">
      <c r="A11304" s="161" t="s">
        <v>230</v>
      </c>
      <c r="B11304" s="162" t="s">
        <v>194</v>
      </c>
      <c r="C11304" s="162" t="s">
        <v>206</v>
      </c>
      <c r="D11304" s="163" t="s">
        <v>51</v>
      </c>
      <c r="E11304" s="163" t="s">
        <v>13536</v>
      </c>
      <c r="F11304" s="162">
        <v>4.6</v>
      </c>
      <c r="G11304" s="163" t="s">
        <v>13537</v>
      </c>
      <c r="H11304" s="164" t="s">
        <v>214</v>
      </c>
      <c r="I11304" s="4"/>
      <c r="J11304" s="4"/>
    </row>
    <row r="11305">
      <c r="A11305" s="165" t="s">
        <v>230</v>
      </c>
      <c r="B11305" s="166" t="s">
        <v>194</v>
      </c>
      <c r="C11305" s="166" t="s">
        <v>206</v>
      </c>
      <c r="D11305" s="167" t="s">
        <v>51</v>
      </c>
      <c r="E11305" s="167" t="s">
        <v>13538</v>
      </c>
      <c r="F11305" s="166">
        <v>3.3</v>
      </c>
      <c r="G11305" s="167" t="s">
        <v>13539</v>
      </c>
      <c r="H11305" s="168" t="s">
        <v>215</v>
      </c>
      <c r="I11305" s="4"/>
      <c r="J11305" s="4"/>
    </row>
    <row r="11306">
      <c r="A11306" s="161" t="s">
        <v>230</v>
      </c>
      <c r="B11306" s="162" t="s">
        <v>194</v>
      </c>
      <c r="C11306" s="162" t="s">
        <v>206</v>
      </c>
      <c r="D11306" s="163" t="s">
        <v>51</v>
      </c>
      <c r="E11306" s="163" t="s">
        <v>13540</v>
      </c>
      <c r="F11306" s="162">
        <v>4.3</v>
      </c>
      <c r="G11306" s="163" t="s">
        <v>13486</v>
      </c>
      <c r="H11306" s="164" t="s">
        <v>216</v>
      </c>
      <c r="I11306" s="4"/>
      <c r="J11306" s="4"/>
    </row>
    <row r="11307">
      <c r="A11307" s="169" t="s">
        <v>231</v>
      </c>
      <c r="B11307" s="170"/>
      <c r="C11307" s="166" t="s">
        <v>232</v>
      </c>
      <c r="D11307" s="167" t="s">
        <v>51</v>
      </c>
      <c r="E11307" s="167" t="s">
        <v>13541</v>
      </c>
      <c r="F11307" s="166">
        <v>8.4</v>
      </c>
      <c r="G11307" s="167" t="s">
        <v>12412</v>
      </c>
      <c r="H11307" s="168" t="s">
        <v>210</v>
      </c>
      <c r="I11307" s="4"/>
      <c r="J11307" s="4"/>
    </row>
    <row r="11308">
      <c r="A11308" s="171" t="s">
        <v>231</v>
      </c>
      <c r="B11308" s="67"/>
      <c r="C11308" s="162" t="s">
        <v>232</v>
      </c>
      <c r="D11308" s="163" t="s">
        <v>51</v>
      </c>
      <c r="E11308" s="163" t="s">
        <v>13542</v>
      </c>
      <c r="F11308" s="162">
        <v>5.8</v>
      </c>
      <c r="G11308" s="163" t="s">
        <v>13543</v>
      </c>
      <c r="H11308" s="164" t="s">
        <v>211</v>
      </c>
      <c r="I11308" s="4"/>
      <c r="J11308" s="4"/>
    </row>
    <row r="11309">
      <c r="A11309" s="169" t="s">
        <v>231</v>
      </c>
      <c r="B11309" s="170"/>
      <c r="C11309" s="166" t="s">
        <v>232</v>
      </c>
      <c r="D11309" s="167" t="s">
        <v>51</v>
      </c>
      <c r="E11309" s="167" t="s">
        <v>13544</v>
      </c>
      <c r="F11309" s="166">
        <v>4.6</v>
      </c>
      <c r="G11309" s="167" t="s">
        <v>12991</v>
      </c>
      <c r="H11309" s="168" t="s">
        <v>212</v>
      </c>
      <c r="I11309" s="4"/>
      <c r="J11309" s="4"/>
    </row>
    <row r="11310">
      <c r="A11310" s="171" t="s">
        <v>231</v>
      </c>
      <c r="B11310" s="67"/>
      <c r="C11310" s="162" t="s">
        <v>232</v>
      </c>
      <c r="D11310" s="163" t="s">
        <v>51</v>
      </c>
      <c r="E11310" s="163" t="s">
        <v>13545</v>
      </c>
      <c r="F11310" s="162">
        <v>8.2</v>
      </c>
      <c r="G11310" s="163" t="s">
        <v>12658</v>
      </c>
      <c r="H11310" s="164" t="s">
        <v>213</v>
      </c>
      <c r="I11310" s="4"/>
      <c r="J11310" s="4"/>
    </row>
    <row r="11311">
      <c r="A11311" s="169" t="s">
        <v>231</v>
      </c>
      <c r="B11311" s="170"/>
      <c r="C11311" s="166" t="s">
        <v>232</v>
      </c>
      <c r="D11311" s="167" t="s">
        <v>51</v>
      </c>
      <c r="E11311" s="167" t="s">
        <v>13546</v>
      </c>
      <c r="F11311" s="166">
        <v>7.3</v>
      </c>
      <c r="G11311" s="167" t="s">
        <v>13547</v>
      </c>
      <c r="H11311" s="168" t="s">
        <v>214</v>
      </c>
      <c r="I11311" s="4"/>
      <c r="J11311" s="4"/>
    </row>
    <row r="11312">
      <c r="A11312" s="171" t="s">
        <v>231</v>
      </c>
      <c r="B11312" s="67"/>
      <c r="C11312" s="162" t="s">
        <v>232</v>
      </c>
      <c r="D11312" s="163" t="s">
        <v>51</v>
      </c>
      <c r="E11312" s="163" t="s">
        <v>13548</v>
      </c>
      <c r="F11312" s="162">
        <v>5.6</v>
      </c>
      <c r="G11312" s="163" t="s">
        <v>13549</v>
      </c>
      <c r="H11312" s="164" t="s">
        <v>215</v>
      </c>
      <c r="I11312" s="4"/>
      <c r="J11312" s="4"/>
    </row>
    <row r="11313">
      <c r="A11313" s="169" t="s">
        <v>231</v>
      </c>
      <c r="B11313" s="170"/>
      <c r="C11313" s="166" t="s">
        <v>232</v>
      </c>
      <c r="D11313" s="167" t="s">
        <v>51</v>
      </c>
      <c r="E11313" s="167" t="s">
        <v>13550</v>
      </c>
      <c r="F11313" s="166">
        <v>7.2</v>
      </c>
      <c r="G11313" s="167" t="s">
        <v>12328</v>
      </c>
      <c r="H11313" s="168" t="s">
        <v>216</v>
      </c>
      <c r="I11313" s="4"/>
      <c r="J11313" s="4"/>
    </row>
    <row r="11314">
      <c r="A11314" s="171" t="s">
        <v>233</v>
      </c>
      <c r="B11314" s="67"/>
      <c r="C11314" s="162" t="s">
        <v>232</v>
      </c>
      <c r="D11314" s="163" t="s">
        <v>51</v>
      </c>
      <c r="E11314" s="163" t="s">
        <v>13551</v>
      </c>
      <c r="F11314" s="162">
        <v>3.9</v>
      </c>
      <c r="G11314" s="163" t="s">
        <v>13552</v>
      </c>
      <c r="H11314" s="164" t="s">
        <v>210</v>
      </c>
      <c r="I11314" s="4"/>
      <c r="J11314" s="4"/>
    </row>
    <row r="11315">
      <c r="A11315" s="169" t="s">
        <v>233</v>
      </c>
      <c r="B11315" s="170"/>
      <c r="C11315" s="166" t="s">
        <v>232</v>
      </c>
      <c r="D11315" s="167" t="s">
        <v>51</v>
      </c>
      <c r="E11315" s="167" t="s">
        <v>13553</v>
      </c>
      <c r="F11315" s="166">
        <v>3.8</v>
      </c>
      <c r="G11315" s="167" t="s">
        <v>13075</v>
      </c>
      <c r="H11315" s="168" t="s">
        <v>211</v>
      </c>
      <c r="I11315" s="4"/>
      <c r="J11315" s="4"/>
    </row>
    <row r="11316">
      <c r="A11316" s="171" t="s">
        <v>233</v>
      </c>
      <c r="B11316" s="67"/>
      <c r="C11316" s="162" t="s">
        <v>232</v>
      </c>
      <c r="D11316" s="163" t="s">
        <v>51</v>
      </c>
      <c r="E11316" s="163" t="s">
        <v>13554</v>
      </c>
      <c r="F11316" s="162">
        <v>2.9</v>
      </c>
      <c r="G11316" s="163" t="s">
        <v>13555</v>
      </c>
      <c r="H11316" s="164" t="s">
        <v>212</v>
      </c>
      <c r="I11316" s="4"/>
      <c r="J11316" s="4"/>
    </row>
    <row r="11317">
      <c r="A11317" s="169" t="s">
        <v>233</v>
      </c>
      <c r="B11317" s="170"/>
      <c r="C11317" s="166" t="s">
        <v>232</v>
      </c>
      <c r="D11317" s="167" t="s">
        <v>51</v>
      </c>
      <c r="E11317" s="167" t="s">
        <v>13556</v>
      </c>
      <c r="F11317" s="166">
        <v>3.4</v>
      </c>
      <c r="G11317" s="167" t="s">
        <v>12730</v>
      </c>
      <c r="H11317" s="168" t="s">
        <v>213</v>
      </c>
      <c r="I11317" s="4"/>
      <c r="J11317" s="4"/>
    </row>
    <row r="11318">
      <c r="A11318" s="171" t="s">
        <v>233</v>
      </c>
      <c r="B11318" s="67"/>
      <c r="C11318" s="162" t="s">
        <v>232</v>
      </c>
      <c r="D11318" s="163" t="s">
        <v>51</v>
      </c>
      <c r="E11318" s="163" t="s">
        <v>13557</v>
      </c>
      <c r="F11318" s="162">
        <v>3.1</v>
      </c>
      <c r="G11318" s="163" t="s">
        <v>13209</v>
      </c>
      <c r="H11318" s="164" t="s">
        <v>214</v>
      </c>
      <c r="I11318" s="4"/>
      <c r="J11318" s="4"/>
    </row>
    <row r="11319">
      <c r="A11319" s="169" t="s">
        <v>233</v>
      </c>
      <c r="B11319" s="170"/>
      <c r="C11319" s="166" t="s">
        <v>232</v>
      </c>
      <c r="D11319" s="167" t="s">
        <v>51</v>
      </c>
      <c r="E11319" s="167" t="s">
        <v>13558</v>
      </c>
      <c r="F11319" s="166">
        <v>3.9</v>
      </c>
      <c r="G11319" s="167" t="s">
        <v>13559</v>
      </c>
      <c r="H11319" s="168" t="s">
        <v>215</v>
      </c>
      <c r="I11319" s="4"/>
      <c r="J11319" s="4"/>
    </row>
    <row r="11320">
      <c r="A11320" s="171" t="s">
        <v>233</v>
      </c>
      <c r="B11320" s="67"/>
      <c r="C11320" s="162" t="s">
        <v>232</v>
      </c>
      <c r="D11320" s="163" t="s">
        <v>51</v>
      </c>
      <c r="E11320" s="163" t="s">
        <v>13560</v>
      </c>
      <c r="F11320" s="162">
        <v>3.7</v>
      </c>
      <c r="G11320" s="163" t="s">
        <v>12962</v>
      </c>
      <c r="H11320" s="164" t="s">
        <v>216</v>
      </c>
      <c r="I11320" s="4"/>
      <c r="J11320" s="4"/>
    </row>
    <row r="11321">
      <c r="A11321" s="169" t="s">
        <v>234</v>
      </c>
      <c r="B11321" s="170"/>
      <c r="C11321" s="166" t="s">
        <v>232</v>
      </c>
      <c r="D11321" s="167" t="s">
        <v>51</v>
      </c>
      <c r="E11321" s="167" t="s">
        <v>13561</v>
      </c>
      <c r="F11321" s="166">
        <v>3.4</v>
      </c>
      <c r="G11321" s="167" t="s">
        <v>13562</v>
      </c>
      <c r="H11321" s="168" t="s">
        <v>210</v>
      </c>
      <c r="I11321" s="4"/>
      <c r="J11321" s="4"/>
    </row>
    <row r="11322">
      <c r="A11322" s="171" t="s">
        <v>234</v>
      </c>
      <c r="B11322" s="67"/>
      <c r="C11322" s="162" t="s">
        <v>232</v>
      </c>
      <c r="D11322" s="163" t="s">
        <v>51</v>
      </c>
      <c r="E11322" s="163" t="s">
        <v>13563</v>
      </c>
      <c r="F11322" s="162">
        <v>3.8</v>
      </c>
      <c r="G11322" s="163" t="s">
        <v>13564</v>
      </c>
      <c r="H11322" s="164" t="s">
        <v>211</v>
      </c>
      <c r="I11322" s="4"/>
      <c r="J11322" s="4"/>
    </row>
    <row r="11323">
      <c r="A11323" s="169" t="s">
        <v>234</v>
      </c>
      <c r="B11323" s="170"/>
      <c r="C11323" s="166" t="s">
        <v>232</v>
      </c>
      <c r="D11323" s="167" t="s">
        <v>51</v>
      </c>
      <c r="E11323" s="167" t="s">
        <v>13565</v>
      </c>
      <c r="F11323" s="166">
        <v>6.7</v>
      </c>
      <c r="G11323" s="167" t="s">
        <v>12800</v>
      </c>
      <c r="H11323" s="168" t="s">
        <v>212</v>
      </c>
      <c r="I11323" s="4"/>
      <c r="J11323" s="4"/>
    </row>
    <row r="11324">
      <c r="A11324" s="171" t="s">
        <v>234</v>
      </c>
      <c r="B11324" s="67"/>
      <c r="C11324" s="162" t="s">
        <v>232</v>
      </c>
      <c r="D11324" s="163" t="s">
        <v>51</v>
      </c>
      <c r="E11324" s="163" t="s">
        <v>13566</v>
      </c>
      <c r="F11324" s="162">
        <v>4.3</v>
      </c>
      <c r="G11324" s="163" t="s">
        <v>13567</v>
      </c>
      <c r="H11324" s="164" t="s">
        <v>213</v>
      </c>
      <c r="I11324" s="4"/>
      <c r="J11324" s="4"/>
    </row>
    <row r="11325">
      <c r="A11325" s="169" t="s">
        <v>234</v>
      </c>
      <c r="B11325" s="170"/>
      <c r="C11325" s="166" t="s">
        <v>232</v>
      </c>
      <c r="D11325" s="167" t="s">
        <v>51</v>
      </c>
      <c r="E11325" s="167" t="s">
        <v>13568</v>
      </c>
      <c r="F11325" s="166">
        <v>6.8</v>
      </c>
      <c r="G11325" s="167" t="s">
        <v>12510</v>
      </c>
      <c r="H11325" s="168" t="s">
        <v>214</v>
      </c>
      <c r="I11325" s="4"/>
      <c r="J11325" s="4"/>
    </row>
    <row r="11326">
      <c r="A11326" s="171" t="s">
        <v>234</v>
      </c>
      <c r="B11326" s="67"/>
      <c r="C11326" s="162" t="s">
        <v>232</v>
      </c>
      <c r="D11326" s="163" t="s">
        <v>51</v>
      </c>
      <c r="E11326" s="163" t="s">
        <v>13569</v>
      </c>
      <c r="F11326" s="162">
        <v>6.2</v>
      </c>
      <c r="G11326" s="163" t="s">
        <v>13570</v>
      </c>
      <c r="H11326" s="164" t="s">
        <v>215</v>
      </c>
      <c r="I11326" s="4"/>
      <c r="J11326" s="4"/>
    </row>
    <row r="11327">
      <c r="A11327" s="169" t="s">
        <v>234</v>
      </c>
      <c r="B11327" s="170"/>
      <c r="C11327" s="166" t="s">
        <v>232</v>
      </c>
      <c r="D11327" s="167" t="s">
        <v>51</v>
      </c>
      <c r="E11327" s="167" t="s">
        <v>13571</v>
      </c>
      <c r="F11327" s="166">
        <v>4.0</v>
      </c>
      <c r="G11327" s="167" t="s">
        <v>13572</v>
      </c>
      <c r="H11327" s="168" t="s">
        <v>216</v>
      </c>
      <c r="I11327" s="4"/>
      <c r="J11327" s="4"/>
    </row>
    <row r="11328">
      <c r="A11328" s="171" t="s">
        <v>235</v>
      </c>
      <c r="B11328" s="67"/>
      <c r="C11328" s="162" t="s">
        <v>236</v>
      </c>
      <c r="D11328" s="163" t="s">
        <v>51</v>
      </c>
      <c r="E11328" s="163" t="s">
        <v>13573</v>
      </c>
      <c r="F11328" s="162">
        <v>4.0</v>
      </c>
      <c r="G11328" s="163" t="s">
        <v>13574</v>
      </c>
      <c r="H11328" s="164" t="s">
        <v>210</v>
      </c>
      <c r="I11328" s="4"/>
      <c r="J11328" s="4"/>
    </row>
    <row r="11329">
      <c r="A11329" s="169" t="s">
        <v>235</v>
      </c>
      <c r="B11329" s="170"/>
      <c r="C11329" s="166" t="s">
        <v>236</v>
      </c>
      <c r="D11329" s="167" t="s">
        <v>51</v>
      </c>
      <c r="E11329" s="167" t="s">
        <v>13575</v>
      </c>
      <c r="F11329" s="166">
        <v>4.0</v>
      </c>
      <c r="G11329" s="167" t="s">
        <v>13231</v>
      </c>
      <c r="H11329" s="168" t="s">
        <v>211</v>
      </c>
      <c r="I11329" s="4"/>
      <c r="J11329" s="4"/>
    </row>
    <row r="11330">
      <c r="A11330" s="171" t="s">
        <v>235</v>
      </c>
      <c r="B11330" s="67"/>
      <c r="C11330" s="162" t="s">
        <v>236</v>
      </c>
      <c r="D11330" s="163" t="s">
        <v>51</v>
      </c>
      <c r="E11330" s="163" t="s">
        <v>13576</v>
      </c>
      <c r="F11330" s="162">
        <v>3.0</v>
      </c>
      <c r="G11330" s="163" t="s">
        <v>13577</v>
      </c>
      <c r="H11330" s="164" t="s">
        <v>212</v>
      </c>
      <c r="I11330" s="4"/>
      <c r="J11330" s="4"/>
    </row>
    <row r="11331">
      <c r="A11331" s="169" t="s">
        <v>235</v>
      </c>
      <c r="B11331" s="170"/>
      <c r="C11331" s="166" t="s">
        <v>236</v>
      </c>
      <c r="D11331" s="167" t="s">
        <v>51</v>
      </c>
      <c r="E11331" s="167" t="s">
        <v>13578</v>
      </c>
      <c r="F11331" s="166">
        <v>4.0</v>
      </c>
      <c r="G11331" s="167" t="s">
        <v>13579</v>
      </c>
      <c r="H11331" s="168" t="s">
        <v>213</v>
      </c>
      <c r="I11331" s="4"/>
      <c r="J11331" s="4"/>
    </row>
    <row r="11332">
      <c r="A11332" s="171" t="s">
        <v>235</v>
      </c>
      <c r="B11332" s="67"/>
      <c r="C11332" s="162" t="s">
        <v>236</v>
      </c>
      <c r="D11332" s="163" t="s">
        <v>51</v>
      </c>
      <c r="E11332" s="163" t="s">
        <v>13580</v>
      </c>
      <c r="F11332" s="162">
        <v>3.4</v>
      </c>
      <c r="G11332" s="163" t="s">
        <v>13581</v>
      </c>
      <c r="H11332" s="164" t="s">
        <v>214</v>
      </c>
      <c r="I11332" s="4"/>
      <c r="J11332" s="4"/>
    </row>
    <row r="11333">
      <c r="A11333" s="169" t="s">
        <v>235</v>
      </c>
      <c r="B11333" s="170"/>
      <c r="C11333" s="166" t="s">
        <v>236</v>
      </c>
      <c r="D11333" s="167" t="s">
        <v>51</v>
      </c>
      <c r="E11333" s="167" t="s">
        <v>13582</v>
      </c>
      <c r="F11333" s="166">
        <v>4.0</v>
      </c>
      <c r="G11333" s="167" t="s">
        <v>13583</v>
      </c>
      <c r="H11333" s="168" t="s">
        <v>215</v>
      </c>
      <c r="I11333" s="4"/>
      <c r="J11333" s="4"/>
    </row>
    <row r="11334">
      <c r="A11334" s="171" t="s">
        <v>235</v>
      </c>
      <c r="B11334" s="67"/>
      <c r="C11334" s="162" t="s">
        <v>236</v>
      </c>
      <c r="D11334" s="163" t="s">
        <v>51</v>
      </c>
      <c r="E11334" s="163" t="s">
        <v>13584</v>
      </c>
      <c r="F11334" s="162">
        <v>3.9</v>
      </c>
      <c r="G11334" s="163" t="s">
        <v>12674</v>
      </c>
      <c r="H11334" s="164" t="s">
        <v>216</v>
      </c>
      <c r="I11334" s="4"/>
      <c r="J11334" s="4"/>
    </row>
    <row r="11335">
      <c r="A11335" s="169" t="s">
        <v>237</v>
      </c>
      <c r="B11335" s="170"/>
      <c r="C11335" s="166" t="s">
        <v>236</v>
      </c>
      <c r="D11335" s="167" t="s">
        <v>51</v>
      </c>
      <c r="E11335" s="167" t="s">
        <v>13585</v>
      </c>
      <c r="F11335" s="166">
        <v>5.0</v>
      </c>
      <c r="G11335" s="167" t="s">
        <v>12728</v>
      </c>
      <c r="H11335" s="168" t="s">
        <v>210</v>
      </c>
      <c r="I11335" s="4"/>
      <c r="J11335" s="4"/>
    </row>
    <row r="11336">
      <c r="A11336" s="171" t="s">
        <v>237</v>
      </c>
      <c r="B11336" s="67"/>
      <c r="C11336" s="162" t="s">
        <v>236</v>
      </c>
      <c r="D11336" s="163" t="s">
        <v>51</v>
      </c>
      <c r="E11336" s="163" t="s">
        <v>13586</v>
      </c>
      <c r="F11336" s="162">
        <v>4.0</v>
      </c>
      <c r="G11336" s="163" t="s">
        <v>13438</v>
      </c>
      <c r="H11336" s="164" t="s">
        <v>211</v>
      </c>
      <c r="I11336" s="4"/>
      <c r="J11336" s="4"/>
    </row>
    <row r="11337">
      <c r="A11337" s="169" t="s">
        <v>237</v>
      </c>
      <c r="B11337" s="170"/>
      <c r="C11337" s="166" t="s">
        <v>236</v>
      </c>
      <c r="D11337" s="167" t="s">
        <v>51</v>
      </c>
      <c r="E11337" s="167" t="s">
        <v>13587</v>
      </c>
      <c r="F11337" s="166">
        <v>6.9</v>
      </c>
      <c r="G11337" s="167" t="s">
        <v>13188</v>
      </c>
      <c r="H11337" s="168" t="s">
        <v>212</v>
      </c>
      <c r="I11337" s="4"/>
      <c r="J11337" s="4"/>
    </row>
    <row r="11338">
      <c r="A11338" s="171" t="s">
        <v>237</v>
      </c>
      <c r="B11338" s="67"/>
      <c r="C11338" s="162" t="s">
        <v>236</v>
      </c>
      <c r="D11338" s="163" t="s">
        <v>51</v>
      </c>
      <c r="E11338" s="163" t="s">
        <v>13588</v>
      </c>
      <c r="F11338" s="162">
        <v>4.9</v>
      </c>
      <c r="G11338" s="163" t="s">
        <v>13589</v>
      </c>
      <c r="H11338" s="164" t="s">
        <v>213</v>
      </c>
      <c r="I11338" s="4"/>
      <c r="J11338" s="4"/>
    </row>
    <row r="11339">
      <c r="A11339" s="169" t="s">
        <v>237</v>
      </c>
      <c r="B11339" s="170"/>
      <c r="C11339" s="166" t="s">
        <v>236</v>
      </c>
      <c r="D11339" s="167" t="s">
        <v>51</v>
      </c>
      <c r="E11339" s="167" t="s">
        <v>13590</v>
      </c>
      <c r="F11339" s="166">
        <v>7.4</v>
      </c>
      <c r="G11339" s="167" t="s">
        <v>13591</v>
      </c>
      <c r="H11339" s="168" t="s">
        <v>214</v>
      </c>
      <c r="I11339" s="4"/>
      <c r="J11339" s="4"/>
    </row>
    <row r="11340">
      <c r="A11340" s="171" t="s">
        <v>237</v>
      </c>
      <c r="B11340" s="67"/>
      <c r="C11340" s="162" t="s">
        <v>236</v>
      </c>
      <c r="D11340" s="163" t="s">
        <v>51</v>
      </c>
      <c r="E11340" s="163" t="s">
        <v>13592</v>
      </c>
      <c r="F11340" s="162">
        <v>6.6</v>
      </c>
      <c r="G11340" s="163" t="s">
        <v>13317</v>
      </c>
      <c r="H11340" s="164" t="s">
        <v>215</v>
      </c>
      <c r="I11340" s="4"/>
      <c r="J11340" s="4"/>
    </row>
    <row r="11341">
      <c r="A11341" s="172" t="s">
        <v>237</v>
      </c>
      <c r="B11341" s="173"/>
      <c r="C11341" s="174" t="s">
        <v>236</v>
      </c>
      <c r="D11341" s="175" t="s">
        <v>51</v>
      </c>
      <c r="E11341" s="175" t="s">
        <v>13593</v>
      </c>
      <c r="F11341" s="174">
        <v>5.0</v>
      </c>
      <c r="G11341" s="175" t="s">
        <v>13594</v>
      </c>
      <c r="H11341" s="176" t="s">
        <v>216</v>
      </c>
      <c r="I11341" s="4"/>
      <c r="J11341" s="4"/>
    </row>
    <row r="11342" hidden="1">
      <c r="A11342" s="177" t="s">
        <v>204</v>
      </c>
      <c r="B11342" s="127" t="s">
        <v>205</v>
      </c>
      <c r="C11342" s="127" t="s">
        <v>206</v>
      </c>
      <c r="D11342" s="177" t="s">
        <v>52</v>
      </c>
      <c r="E11342" s="177" t="s">
        <v>13595</v>
      </c>
      <c r="F11342" s="177" t="s">
        <v>494</v>
      </c>
      <c r="G11342" s="177" t="s">
        <v>13596</v>
      </c>
      <c r="H11342" s="127" t="s">
        <v>210</v>
      </c>
    </row>
    <row r="11343" hidden="1">
      <c r="A11343" s="177" t="s">
        <v>204</v>
      </c>
      <c r="B11343" s="127" t="s">
        <v>205</v>
      </c>
      <c r="C11343" s="127" t="s">
        <v>206</v>
      </c>
      <c r="D11343" s="177" t="s">
        <v>52</v>
      </c>
      <c r="E11343" s="177" t="s">
        <v>13597</v>
      </c>
      <c r="F11343" s="177" t="s">
        <v>312</v>
      </c>
      <c r="G11343" s="177" t="s">
        <v>13598</v>
      </c>
      <c r="H11343" s="127" t="s">
        <v>211</v>
      </c>
    </row>
    <row r="11344" hidden="1">
      <c r="A11344" s="177" t="s">
        <v>204</v>
      </c>
      <c r="B11344" s="127" t="s">
        <v>205</v>
      </c>
      <c r="C11344" s="127" t="s">
        <v>206</v>
      </c>
      <c r="D11344" s="177" t="s">
        <v>52</v>
      </c>
      <c r="E11344" s="177" t="s">
        <v>13599</v>
      </c>
      <c r="F11344" s="177" t="s">
        <v>494</v>
      </c>
      <c r="G11344" s="177" t="s">
        <v>13600</v>
      </c>
      <c r="H11344" s="127" t="s">
        <v>212</v>
      </c>
    </row>
    <row r="11345" hidden="1">
      <c r="A11345" s="177" t="s">
        <v>204</v>
      </c>
      <c r="B11345" s="127" t="s">
        <v>205</v>
      </c>
      <c r="C11345" s="127" t="s">
        <v>206</v>
      </c>
      <c r="D11345" s="177" t="s">
        <v>52</v>
      </c>
      <c r="E11345" s="177" t="s">
        <v>13601</v>
      </c>
      <c r="F11345" s="177" t="s">
        <v>577</v>
      </c>
      <c r="G11345" s="177" t="s">
        <v>12585</v>
      </c>
      <c r="H11345" s="127" t="s">
        <v>213</v>
      </c>
    </row>
    <row r="11346" hidden="1">
      <c r="A11346" s="177" t="s">
        <v>204</v>
      </c>
      <c r="B11346" s="127" t="s">
        <v>205</v>
      </c>
      <c r="C11346" s="127" t="s">
        <v>206</v>
      </c>
      <c r="D11346" s="177" t="s">
        <v>52</v>
      </c>
      <c r="E11346" s="177" t="s">
        <v>13602</v>
      </c>
      <c r="F11346" s="177" t="s">
        <v>718</v>
      </c>
      <c r="G11346" s="177" t="s">
        <v>12728</v>
      </c>
      <c r="H11346" s="127" t="s">
        <v>214</v>
      </c>
    </row>
    <row r="11347" hidden="1">
      <c r="A11347" s="177" t="s">
        <v>204</v>
      </c>
      <c r="B11347" s="127" t="s">
        <v>205</v>
      </c>
      <c r="C11347" s="127" t="s">
        <v>206</v>
      </c>
      <c r="D11347" s="177" t="s">
        <v>52</v>
      </c>
      <c r="E11347" s="177" t="s">
        <v>13603</v>
      </c>
      <c r="F11347" s="177" t="s">
        <v>423</v>
      </c>
      <c r="G11347" s="177" t="s">
        <v>12846</v>
      </c>
      <c r="H11347" s="127" t="s">
        <v>215</v>
      </c>
    </row>
    <row r="11348" hidden="1">
      <c r="A11348" s="177" t="s">
        <v>204</v>
      </c>
      <c r="B11348" s="127" t="s">
        <v>205</v>
      </c>
      <c r="C11348" s="127" t="s">
        <v>206</v>
      </c>
      <c r="D11348" s="177" t="s">
        <v>52</v>
      </c>
      <c r="E11348" s="177" t="s">
        <v>13604</v>
      </c>
      <c r="F11348" s="177" t="s">
        <v>478</v>
      </c>
      <c r="G11348" s="177" t="s">
        <v>13605</v>
      </c>
      <c r="H11348" s="127" t="s">
        <v>216</v>
      </c>
    </row>
    <row r="11349" hidden="1">
      <c r="A11349" s="177" t="s">
        <v>217</v>
      </c>
      <c r="B11349" s="127" t="s">
        <v>191</v>
      </c>
      <c r="C11349" s="127" t="s">
        <v>206</v>
      </c>
      <c r="D11349" s="177" t="s">
        <v>52</v>
      </c>
      <c r="E11349" s="177" t="s">
        <v>13606</v>
      </c>
      <c r="F11349" s="177" t="s">
        <v>285</v>
      </c>
      <c r="G11349" s="177" t="s">
        <v>13607</v>
      </c>
      <c r="H11349" s="127" t="s">
        <v>210</v>
      </c>
    </row>
    <row r="11350" hidden="1">
      <c r="A11350" s="177" t="s">
        <v>217</v>
      </c>
      <c r="B11350" s="127" t="s">
        <v>191</v>
      </c>
      <c r="C11350" s="127" t="s">
        <v>206</v>
      </c>
      <c r="D11350" s="177" t="s">
        <v>52</v>
      </c>
      <c r="E11350" s="177" t="s">
        <v>13608</v>
      </c>
      <c r="F11350" s="177" t="s">
        <v>450</v>
      </c>
      <c r="G11350" s="177" t="s">
        <v>13609</v>
      </c>
      <c r="H11350" s="127" t="s">
        <v>211</v>
      </c>
    </row>
    <row r="11351" hidden="1">
      <c r="A11351" s="177" t="s">
        <v>217</v>
      </c>
      <c r="B11351" s="127" t="s">
        <v>191</v>
      </c>
      <c r="C11351" s="127" t="s">
        <v>206</v>
      </c>
      <c r="D11351" s="177" t="s">
        <v>52</v>
      </c>
      <c r="E11351" s="177" t="s">
        <v>13610</v>
      </c>
      <c r="F11351" s="177" t="s">
        <v>351</v>
      </c>
      <c r="G11351" s="177" t="s">
        <v>13611</v>
      </c>
      <c r="H11351" s="127" t="s">
        <v>212</v>
      </c>
    </row>
    <row r="11352" hidden="1">
      <c r="A11352" s="177" t="s">
        <v>217</v>
      </c>
      <c r="B11352" s="127" t="s">
        <v>191</v>
      </c>
      <c r="C11352" s="127" t="s">
        <v>206</v>
      </c>
      <c r="D11352" s="177" t="s">
        <v>52</v>
      </c>
      <c r="E11352" s="177" t="s">
        <v>13612</v>
      </c>
      <c r="F11352" s="177" t="s">
        <v>305</v>
      </c>
      <c r="G11352" s="177" t="s">
        <v>13194</v>
      </c>
      <c r="H11352" s="127" t="s">
        <v>213</v>
      </c>
    </row>
    <row r="11353" hidden="1">
      <c r="A11353" s="177" t="s">
        <v>217</v>
      </c>
      <c r="B11353" s="127" t="s">
        <v>191</v>
      </c>
      <c r="C11353" s="127" t="s">
        <v>206</v>
      </c>
      <c r="D11353" s="177" t="s">
        <v>52</v>
      </c>
      <c r="E11353" s="177" t="s">
        <v>13613</v>
      </c>
      <c r="F11353" s="177" t="s">
        <v>799</v>
      </c>
      <c r="G11353" s="177" t="s">
        <v>12575</v>
      </c>
      <c r="H11353" s="127" t="s">
        <v>214</v>
      </c>
    </row>
    <row r="11354" hidden="1">
      <c r="A11354" s="177" t="s">
        <v>217</v>
      </c>
      <c r="B11354" s="127" t="s">
        <v>191</v>
      </c>
      <c r="C11354" s="127" t="s">
        <v>206</v>
      </c>
      <c r="D11354" s="177" t="s">
        <v>52</v>
      </c>
      <c r="E11354" s="177" t="s">
        <v>13614</v>
      </c>
      <c r="F11354" s="177" t="s">
        <v>725</v>
      </c>
      <c r="G11354" s="177" t="s">
        <v>13615</v>
      </c>
      <c r="H11354" s="127" t="s">
        <v>215</v>
      </c>
    </row>
    <row r="11355" hidden="1">
      <c r="A11355" s="177" t="s">
        <v>217</v>
      </c>
      <c r="B11355" s="127" t="s">
        <v>191</v>
      </c>
      <c r="C11355" s="127" t="s">
        <v>206</v>
      </c>
      <c r="D11355" s="177" t="s">
        <v>52</v>
      </c>
      <c r="E11355" s="177" t="s">
        <v>13616</v>
      </c>
      <c r="F11355" s="177" t="s">
        <v>534</v>
      </c>
      <c r="G11355" s="177" t="s">
        <v>13617</v>
      </c>
      <c r="H11355" s="127" t="s">
        <v>216</v>
      </c>
    </row>
    <row r="11356" hidden="1">
      <c r="A11356" s="177" t="s">
        <v>218</v>
      </c>
      <c r="B11356" s="127" t="s">
        <v>219</v>
      </c>
      <c r="C11356" s="127" t="s">
        <v>206</v>
      </c>
      <c r="D11356" s="177" t="s">
        <v>52</v>
      </c>
      <c r="E11356" s="177" t="s">
        <v>13618</v>
      </c>
      <c r="F11356" s="177" t="s">
        <v>285</v>
      </c>
      <c r="G11356" s="177" t="s">
        <v>12630</v>
      </c>
      <c r="H11356" s="127" t="s">
        <v>210</v>
      </c>
    </row>
    <row r="11357" hidden="1">
      <c r="A11357" s="177" t="s">
        <v>218</v>
      </c>
      <c r="B11357" s="127" t="s">
        <v>219</v>
      </c>
      <c r="C11357" s="127" t="s">
        <v>206</v>
      </c>
      <c r="D11357" s="177" t="s">
        <v>52</v>
      </c>
      <c r="E11357" s="177" t="s">
        <v>13619</v>
      </c>
      <c r="F11357" s="177" t="s">
        <v>365</v>
      </c>
      <c r="G11357" s="177" t="s">
        <v>13620</v>
      </c>
      <c r="H11357" s="127" t="s">
        <v>211</v>
      </c>
    </row>
    <row r="11358" hidden="1">
      <c r="A11358" s="177" t="s">
        <v>218</v>
      </c>
      <c r="B11358" s="127" t="s">
        <v>219</v>
      </c>
      <c r="C11358" s="127" t="s">
        <v>206</v>
      </c>
      <c r="D11358" s="177" t="s">
        <v>52</v>
      </c>
      <c r="E11358" s="177" t="s">
        <v>13621</v>
      </c>
      <c r="F11358" s="177" t="s">
        <v>242</v>
      </c>
      <c r="G11358" s="177" t="s">
        <v>13622</v>
      </c>
      <c r="H11358" s="127" t="s">
        <v>212</v>
      </c>
    </row>
    <row r="11359" hidden="1">
      <c r="A11359" s="177" t="s">
        <v>218</v>
      </c>
      <c r="B11359" s="127" t="s">
        <v>219</v>
      </c>
      <c r="C11359" s="127" t="s">
        <v>206</v>
      </c>
      <c r="D11359" s="177" t="s">
        <v>52</v>
      </c>
      <c r="E11359" s="177" t="s">
        <v>13623</v>
      </c>
      <c r="F11359" s="177" t="s">
        <v>257</v>
      </c>
      <c r="G11359" s="177" t="s">
        <v>13624</v>
      </c>
      <c r="H11359" s="127" t="s">
        <v>213</v>
      </c>
    </row>
    <row r="11360" hidden="1">
      <c r="A11360" s="177" t="s">
        <v>218</v>
      </c>
      <c r="B11360" s="127" t="s">
        <v>219</v>
      </c>
      <c r="C11360" s="127" t="s">
        <v>206</v>
      </c>
      <c r="D11360" s="177" t="s">
        <v>52</v>
      </c>
      <c r="E11360" s="177" t="s">
        <v>13625</v>
      </c>
      <c r="F11360" s="177" t="s">
        <v>323</v>
      </c>
      <c r="G11360" s="177" t="s">
        <v>13626</v>
      </c>
      <c r="H11360" s="127" t="s">
        <v>214</v>
      </c>
    </row>
    <row r="11361" hidden="1">
      <c r="A11361" s="177" t="s">
        <v>218</v>
      </c>
      <c r="B11361" s="127" t="s">
        <v>219</v>
      </c>
      <c r="C11361" s="127" t="s">
        <v>206</v>
      </c>
      <c r="D11361" s="177" t="s">
        <v>52</v>
      </c>
      <c r="E11361" s="177" t="s">
        <v>13627</v>
      </c>
      <c r="F11361" s="177" t="s">
        <v>249</v>
      </c>
      <c r="G11361" s="177" t="s">
        <v>13628</v>
      </c>
      <c r="H11361" s="127" t="s">
        <v>215</v>
      </c>
    </row>
    <row r="11362" hidden="1">
      <c r="A11362" s="177" t="s">
        <v>218</v>
      </c>
      <c r="B11362" s="127" t="s">
        <v>219</v>
      </c>
      <c r="C11362" s="127" t="s">
        <v>206</v>
      </c>
      <c r="D11362" s="177" t="s">
        <v>52</v>
      </c>
      <c r="E11362" s="177" t="s">
        <v>13629</v>
      </c>
      <c r="F11362" s="177" t="s">
        <v>323</v>
      </c>
      <c r="G11362" s="177" t="s">
        <v>12493</v>
      </c>
      <c r="H11362" s="127" t="s">
        <v>216</v>
      </c>
    </row>
    <row r="11363" hidden="1">
      <c r="A11363" s="177" t="s">
        <v>220</v>
      </c>
      <c r="B11363" s="127" t="s">
        <v>190</v>
      </c>
      <c r="C11363" s="127" t="s">
        <v>206</v>
      </c>
      <c r="D11363" s="177" t="s">
        <v>52</v>
      </c>
      <c r="E11363" s="177" t="s">
        <v>13630</v>
      </c>
      <c r="F11363" s="177" t="s">
        <v>242</v>
      </c>
      <c r="G11363" s="177" t="s">
        <v>13631</v>
      </c>
      <c r="H11363" s="127" t="s">
        <v>210</v>
      </c>
    </row>
    <row r="11364" hidden="1">
      <c r="A11364" s="177" t="s">
        <v>220</v>
      </c>
      <c r="B11364" s="127" t="s">
        <v>190</v>
      </c>
      <c r="C11364" s="127" t="s">
        <v>206</v>
      </c>
      <c r="D11364" s="177" t="s">
        <v>52</v>
      </c>
      <c r="E11364" s="177" t="s">
        <v>13632</v>
      </c>
      <c r="F11364" s="177" t="s">
        <v>336</v>
      </c>
      <c r="G11364" s="177" t="s">
        <v>13633</v>
      </c>
      <c r="H11364" s="127" t="s">
        <v>211</v>
      </c>
    </row>
    <row r="11365" hidden="1">
      <c r="A11365" s="177" t="s">
        <v>220</v>
      </c>
      <c r="B11365" s="127" t="s">
        <v>190</v>
      </c>
      <c r="C11365" s="127" t="s">
        <v>206</v>
      </c>
      <c r="D11365" s="177" t="s">
        <v>52</v>
      </c>
      <c r="E11365" s="177" t="s">
        <v>13634</v>
      </c>
      <c r="F11365" s="177" t="s">
        <v>329</v>
      </c>
      <c r="G11365" s="177" t="s">
        <v>13635</v>
      </c>
      <c r="H11365" s="127" t="s">
        <v>212</v>
      </c>
    </row>
    <row r="11366" hidden="1">
      <c r="A11366" s="177" t="s">
        <v>220</v>
      </c>
      <c r="B11366" s="127" t="s">
        <v>190</v>
      </c>
      <c r="C11366" s="127" t="s">
        <v>206</v>
      </c>
      <c r="D11366" s="177" t="s">
        <v>52</v>
      </c>
      <c r="E11366" s="177" t="s">
        <v>13636</v>
      </c>
      <c r="F11366" s="177" t="s">
        <v>534</v>
      </c>
      <c r="G11366" s="177" t="s">
        <v>13637</v>
      </c>
      <c r="H11366" s="127" t="s">
        <v>213</v>
      </c>
    </row>
    <row r="11367" hidden="1">
      <c r="A11367" s="177" t="s">
        <v>220</v>
      </c>
      <c r="B11367" s="127" t="s">
        <v>190</v>
      </c>
      <c r="C11367" s="127" t="s">
        <v>206</v>
      </c>
      <c r="D11367" s="177" t="s">
        <v>52</v>
      </c>
      <c r="E11367" s="177" t="s">
        <v>13638</v>
      </c>
      <c r="F11367" s="177" t="s">
        <v>329</v>
      </c>
      <c r="G11367" s="177" t="s">
        <v>12721</v>
      </c>
      <c r="H11367" s="127" t="s">
        <v>214</v>
      </c>
    </row>
    <row r="11368" hidden="1">
      <c r="A11368" s="177" t="s">
        <v>220</v>
      </c>
      <c r="B11368" s="127" t="s">
        <v>190</v>
      </c>
      <c r="C11368" s="127" t="s">
        <v>206</v>
      </c>
      <c r="D11368" s="177" t="s">
        <v>52</v>
      </c>
      <c r="E11368" s="177" t="s">
        <v>13639</v>
      </c>
      <c r="F11368" s="177" t="s">
        <v>310</v>
      </c>
      <c r="G11368" s="177" t="s">
        <v>13640</v>
      </c>
      <c r="H11368" s="127" t="s">
        <v>215</v>
      </c>
    </row>
    <row r="11369" hidden="1">
      <c r="A11369" s="177" t="s">
        <v>220</v>
      </c>
      <c r="B11369" s="127" t="s">
        <v>190</v>
      </c>
      <c r="C11369" s="127" t="s">
        <v>206</v>
      </c>
      <c r="D11369" s="177" t="s">
        <v>52</v>
      </c>
      <c r="E11369" s="177" t="s">
        <v>13641</v>
      </c>
      <c r="F11369" s="177" t="s">
        <v>308</v>
      </c>
      <c r="G11369" s="177" t="s">
        <v>13635</v>
      </c>
      <c r="H11369" s="127" t="s">
        <v>216</v>
      </c>
    </row>
    <row r="11370" hidden="1">
      <c r="A11370" s="177" t="s">
        <v>221</v>
      </c>
      <c r="B11370" s="127" t="s">
        <v>189</v>
      </c>
      <c r="C11370" s="127" t="s">
        <v>206</v>
      </c>
      <c r="D11370" s="177" t="s">
        <v>52</v>
      </c>
      <c r="E11370" s="177" t="s">
        <v>13642</v>
      </c>
      <c r="F11370" s="177" t="s">
        <v>1769</v>
      </c>
      <c r="G11370" s="177" t="s">
        <v>13643</v>
      </c>
      <c r="H11370" s="127" t="s">
        <v>210</v>
      </c>
    </row>
    <row r="11371" hidden="1">
      <c r="A11371" s="177" t="s">
        <v>221</v>
      </c>
      <c r="B11371" s="127" t="s">
        <v>189</v>
      </c>
      <c r="C11371" s="127" t="s">
        <v>206</v>
      </c>
      <c r="D11371" s="177" t="s">
        <v>52</v>
      </c>
      <c r="E11371" s="177" t="s">
        <v>13644</v>
      </c>
      <c r="F11371" s="177" t="s">
        <v>2404</v>
      </c>
      <c r="G11371" s="177" t="s">
        <v>13645</v>
      </c>
      <c r="H11371" s="127" t="s">
        <v>211</v>
      </c>
    </row>
    <row r="11372" hidden="1">
      <c r="A11372" s="177" t="s">
        <v>221</v>
      </c>
      <c r="B11372" s="127" t="s">
        <v>189</v>
      </c>
      <c r="C11372" s="127" t="s">
        <v>206</v>
      </c>
      <c r="D11372" s="177" t="s">
        <v>52</v>
      </c>
      <c r="E11372" s="177" t="s">
        <v>13646</v>
      </c>
      <c r="F11372" s="177" t="s">
        <v>2437</v>
      </c>
      <c r="G11372" s="177" t="s">
        <v>13203</v>
      </c>
      <c r="H11372" s="127" t="s">
        <v>212</v>
      </c>
    </row>
    <row r="11373" hidden="1">
      <c r="A11373" s="177" t="s">
        <v>221</v>
      </c>
      <c r="B11373" s="127" t="s">
        <v>189</v>
      </c>
      <c r="C11373" s="127" t="s">
        <v>206</v>
      </c>
      <c r="D11373" s="177" t="s">
        <v>52</v>
      </c>
      <c r="E11373" s="177" t="s">
        <v>13647</v>
      </c>
      <c r="F11373" s="177" t="s">
        <v>1885</v>
      </c>
      <c r="G11373" s="177" t="s">
        <v>13648</v>
      </c>
      <c r="H11373" s="127" t="s">
        <v>213</v>
      </c>
    </row>
    <row r="11374" hidden="1">
      <c r="A11374" s="177" t="s">
        <v>221</v>
      </c>
      <c r="B11374" s="127" t="s">
        <v>189</v>
      </c>
      <c r="C11374" s="127" t="s">
        <v>206</v>
      </c>
      <c r="D11374" s="177" t="s">
        <v>52</v>
      </c>
      <c r="E11374" s="177" t="s">
        <v>13649</v>
      </c>
      <c r="F11374" s="177" t="s">
        <v>1755</v>
      </c>
      <c r="G11374" s="177" t="s">
        <v>13650</v>
      </c>
      <c r="H11374" s="127" t="s">
        <v>214</v>
      </c>
    </row>
    <row r="11375" hidden="1">
      <c r="A11375" s="177" t="s">
        <v>221</v>
      </c>
      <c r="B11375" s="127" t="s">
        <v>189</v>
      </c>
      <c r="C11375" s="127" t="s">
        <v>206</v>
      </c>
      <c r="D11375" s="177" t="s">
        <v>52</v>
      </c>
      <c r="E11375" s="177" t="s">
        <v>13651</v>
      </c>
      <c r="F11375" s="177" t="s">
        <v>2249</v>
      </c>
      <c r="G11375" s="177" t="s">
        <v>13652</v>
      </c>
      <c r="H11375" s="127" t="s">
        <v>215</v>
      </c>
    </row>
    <row r="11376" hidden="1">
      <c r="A11376" s="177" t="s">
        <v>221</v>
      </c>
      <c r="B11376" s="127" t="s">
        <v>189</v>
      </c>
      <c r="C11376" s="127" t="s">
        <v>206</v>
      </c>
      <c r="D11376" s="177" t="s">
        <v>52</v>
      </c>
      <c r="E11376" s="177" t="s">
        <v>13653</v>
      </c>
      <c r="F11376" s="177" t="s">
        <v>4251</v>
      </c>
      <c r="G11376" s="177" t="s">
        <v>13654</v>
      </c>
      <c r="H11376" s="127" t="s">
        <v>216</v>
      </c>
    </row>
    <row r="11377" hidden="1">
      <c r="A11377" s="177" t="s">
        <v>222</v>
      </c>
      <c r="B11377" s="127" t="s">
        <v>192</v>
      </c>
      <c r="C11377" s="127" t="s">
        <v>206</v>
      </c>
      <c r="D11377" s="177" t="s">
        <v>52</v>
      </c>
      <c r="E11377" s="177" t="s">
        <v>13655</v>
      </c>
      <c r="F11377" s="177" t="s">
        <v>285</v>
      </c>
      <c r="G11377" s="177" t="s">
        <v>13656</v>
      </c>
      <c r="H11377" s="127" t="s">
        <v>210</v>
      </c>
    </row>
    <row r="11378" hidden="1">
      <c r="A11378" s="177" t="s">
        <v>222</v>
      </c>
      <c r="B11378" s="127" t="s">
        <v>192</v>
      </c>
      <c r="C11378" s="127" t="s">
        <v>206</v>
      </c>
      <c r="D11378" s="177" t="s">
        <v>52</v>
      </c>
      <c r="E11378" s="177" t="s">
        <v>13657</v>
      </c>
      <c r="F11378" s="177" t="s">
        <v>359</v>
      </c>
      <c r="G11378" s="177" t="s">
        <v>13658</v>
      </c>
      <c r="H11378" s="127" t="s">
        <v>211</v>
      </c>
    </row>
    <row r="11379" hidden="1">
      <c r="A11379" s="177" t="s">
        <v>222</v>
      </c>
      <c r="B11379" s="127" t="s">
        <v>192</v>
      </c>
      <c r="C11379" s="127" t="s">
        <v>206</v>
      </c>
      <c r="D11379" s="177" t="s">
        <v>52</v>
      </c>
      <c r="E11379" s="177" t="s">
        <v>13659</v>
      </c>
      <c r="F11379" s="177" t="s">
        <v>310</v>
      </c>
      <c r="G11379" s="177" t="s">
        <v>13660</v>
      </c>
      <c r="H11379" s="127" t="s">
        <v>212</v>
      </c>
    </row>
    <row r="11380" hidden="1">
      <c r="A11380" s="177" t="s">
        <v>222</v>
      </c>
      <c r="B11380" s="127" t="s">
        <v>192</v>
      </c>
      <c r="C11380" s="127" t="s">
        <v>206</v>
      </c>
      <c r="D11380" s="177" t="s">
        <v>52</v>
      </c>
      <c r="E11380" s="177" t="s">
        <v>13661</v>
      </c>
      <c r="F11380" s="177" t="s">
        <v>314</v>
      </c>
      <c r="G11380" s="177" t="s">
        <v>13662</v>
      </c>
      <c r="H11380" s="127" t="s">
        <v>213</v>
      </c>
    </row>
    <row r="11381" hidden="1">
      <c r="A11381" s="177" t="s">
        <v>222</v>
      </c>
      <c r="B11381" s="127" t="s">
        <v>192</v>
      </c>
      <c r="C11381" s="127" t="s">
        <v>206</v>
      </c>
      <c r="D11381" s="177" t="s">
        <v>52</v>
      </c>
      <c r="E11381" s="177" t="s">
        <v>13663</v>
      </c>
      <c r="F11381" s="177" t="s">
        <v>242</v>
      </c>
      <c r="G11381" s="177" t="s">
        <v>13664</v>
      </c>
      <c r="H11381" s="127" t="s">
        <v>214</v>
      </c>
    </row>
    <row r="11382" hidden="1">
      <c r="A11382" s="177" t="s">
        <v>222</v>
      </c>
      <c r="B11382" s="127" t="s">
        <v>192</v>
      </c>
      <c r="C11382" s="127" t="s">
        <v>206</v>
      </c>
      <c r="D11382" s="177" t="s">
        <v>52</v>
      </c>
      <c r="E11382" s="177" t="s">
        <v>13665</v>
      </c>
      <c r="F11382" s="177" t="s">
        <v>359</v>
      </c>
      <c r="G11382" s="177" t="s">
        <v>12842</v>
      </c>
      <c r="H11382" s="127" t="s">
        <v>215</v>
      </c>
    </row>
    <row r="11383" hidden="1">
      <c r="A11383" s="177" t="s">
        <v>222</v>
      </c>
      <c r="B11383" s="127" t="s">
        <v>192</v>
      </c>
      <c r="C11383" s="127" t="s">
        <v>206</v>
      </c>
      <c r="D11383" s="177" t="s">
        <v>52</v>
      </c>
      <c r="E11383" s="177" t="s">
        <v>13666</v>
      </c>
      <c r="F11383" s="177" t="s">
        <v>359</v>
      </c>
      <c r="G11383" s="177" t="s">
        <v>12280</v>
      </c>
      <c r="H11383" s="127" t="s">
        <v>216</v>
      </c>
    </row>
    <row r="11384" hidden="1">
      <c r="A11384" s="177" t="s">
        <v>223</v>
      </c>
      <c r="B11384" s="127" t="s">
        <v>144</v>
      </c>
      <c r="C11384" s="127" t="s">
        <v>206</v>
      </c>
      <c r="D11384" s="177" t="s">
        <v>52</v>
      </c>
      <c r="E11384" s="177" t="s">
        <v>13667</v>
      </c>
      <c r="F11384" s="177" t="s">
        <v>677</v>
      </c>
      <c r="G11384" s="177" t="s">
        <v>13668</v>
      </c>
      <c r="H11384" s="127" t="s">
        <v>210</v>
      </c>
    </row>
    <row r="11385" hidden="1">
      <c r="A11385" s="177" t="s">
        <v>223</v>
      </c>
      <c r="B11385" s="127" t="s">
        <v>144</v>
      </c>
      <c r="C11385" s="127" t="s">
        <v>206</v>
      </c>
      <c r="D11385" s="177" t="s">
        <v>52</v>
      </c>
      <c r="E11385" s="177" t="s">
        <v>13669</v>
      </c>
      <c r="F11385" s="177" t="s">
        <v>494</v>
      </c>
      <c r="G11385" s="177" t="s">
        <v>13272</v>
      </c>
      <c r="H11385" s="127" t="s">
        <v>211</v>
      </c>
    </row>
    <row r="11386" hidden="1">
      <c r="A11386" s="177" t="s">
        <v>223</v>
      </c>
      <c r="B11386" s="127" t="s">
        <v>144</v>
      </c>
      <c r="C11386" s="127" t="s">
        <v>206</v>
      </c>
      <c r="D11386" s="177" t="s">
        <v>52</v>
      </c>
      <c r="E11386" s="177" t="s">
        <v>13670</v>
      </c>
      <c r="F11386" s="177" t="s">
        <v>494</v>
      </c>
      <c r="G11386" s="177" t="s">
        <v>12571</v>
      </c>
      <c r="H11386" s="127" t="s">
        <v>212</v>
      </c>
    </row>
    <row r="11387" hidden="1">
      <c r="A11387" s="177" t="s">
        <v>223</v>
      </c>
      <c r="B11387" s="127" t="s">
        <v>144</v>
      </c>
      <c r="C11387" s="127" t="s">
        <v>206</v>
      </c>
      <c r="D11387" s="177" t="s">
        <v>52</v>
      </c>
      <c r="E11387" s="177" t="s">
        <v>13671</v>
      </c>
      <c r="F11387" s="177" t="s">
        <v>453</v>
      </c>
      <c r="G11387" s="177" t="s">
        <v>13672</v>
      </c>
      <c r="H11387" s="127" t="s">
        <v>213</v>
      </c>
    </row>
    <row r="11388" hidden="1">
      <c r="A11388" s="177" t="s">
        <v>223</v>
      </c>
      <c r="B11388" s="127" t="s">
        <v>144</v>
      </c>
      <c r="C11388" s="127" t="s">
        <v>206</v>
      </c>
      <c r="D11388" s="177" t="s">
        <v>52</v>
      </c>
      <c r="E11388" s="177" t="s">
        <v>13673</v>
      </c>
      <c r="F11388" s="177" t="s">
        <v>312</v>
      </c>
      <c r="G11388" s="177" t="s">
        <v>13645</v>
      </c>
      <c r="H11388" s="127" t="s">
        <v>214</v>
      </c>
    </row>
    <row r="11389" hidden="1">
      <c r="A11389" s="177" t="s">
        <v>223</v>
      </c>
      <c r="B11389" s="127" t="s">
        <v>144</v>
      </c>
      <c r="C11389" s="127" t="s">
        <v>206</v>
      </c>
      <c r="D11389" s="177" t="s">
        <v>52</v>
      </c>
      <c r="E11389" s="177" t="s">
        <v>13674</v>
      </c>
      <c r="F11389" s="177" t="s">
        <v>453</v>
      </c>
      <c r="G11389" s="177" t="s">
        <v>13675</v>
      </c>
      <c r="H11389" s="127" t="s">
        <v>215</v>
      </c>
    </row>
    <row r="11390" hidden="1">
      <c r="A11390" s="177" t="s">
        <v>223</v>
      </c>
      <c r="B11390" s="127" t="s">
        <v>144</v>
      </c>
      <c r="C11390" s="127" t="s">
        <v>206</v>
      </c>
      <c r="D11390" s="177" t="s">
        <v>52</v>
      </c>
      <c r="E11390" s="177" t="s">
        <v>13676</v>
      </c>
      <c r="F11390" s="177" t="s">
        <v>312</v>
      </c>
      <c r="G11390" s="177" t="s">
        <v>12744</v>
      </c>
      <c r="H11390" s="127" t="s">
        <v>216</v>
      </c>
    </row>
    <row r="11391" hidden="1">
      <c r="A11391" s="177" t="s">
        <v>224</v>
      </c>
      <c r="B11391" s="127" t="s">
        <v>170</v>
      </c>
      <c r="C11391" s="127" t="s">
        <v>206</v>
      </c>
      <c r="D11391" s="177" t="s">
        <v>52</v>
      </c>
      <c r="E11391" s="177" t="s">
        <v>13677</v>
      </c>
      <c r="F11391" s="177" t="s">
        <v>325</v>
      </c>
      <c r="G11391" s="177" t="s">
        <v>13678</v>
      </c>
      <c r="H11391" s="127" t="s">
        <v>210</v>
      </c>
    </row>
    <row r="11392" hidden="1">
      <c r="A11392" s="177" t="s">
        <v>224</v>
      </c>
      <c r="B11392" s="127" t="s">
        <v>170</v>
      </c>
      <c r="C11392" s="127" t="s">
        <v>206</v>
      </c>
      <c r="D11392" s="177" t="s">
        <v>52</v>
      </c>
      <c r="E11392" s="177" t="s">
        <v>13679</v>
      </c>
      <c r="F11392" s="177" t="s">
        <v>354</v>
      </c>
      <c r="G11392" s="177" t="s">
        <v>13134</v>
      </c>
      <c r="H11392" s="127" t="s">
        <v>211</v>
      </c>
    </row>
    <row r="11393" hidden="1">
      <c r="A11393" s="177" t="s">
        <v>224</v>
      </c>
      <c r="B11393" s="127" t="s">
        <v>170</v>
      </c>
      <c r="C11393" s="127" t="s">
        <v>206</v>
      </c>
      <c r="D11393" s="177" t="s">
        <v>52</v>
      </c>
      <c r="E11393" s="177" t="s">
        <v>13680</v>
      </c>
      <c r="F11393" s="177" t="s">
        <v>257</v>
      </c>
      <c r="G11393" s="177" t="s">
        <v>13681</v>
      </c>
      <c r="H11393" s="127" t="s">
        <v>212</v>
      </c>
    </row>
    <row r="11394" hidden="1">
      <c r="A11394" s="177" t="s">
        <v>224</v>
      </c>
      <c r="B11394" s="127" t="s">
        <v>170</v>
      </c>
      <c r="C11394" s="127" t="s">
        <v>206</v>
      </c>
      <c r="D11394" s="177" t="s">
        <v>52</v>
      </c>
      <c r="E11394" s="177" t="s">
        <v>13682</v>
      </c>
      <c r="F11394" s="177" t="s">
        <v>312</v>
      </c>
      <c r="G11394" s="177" t="s">
        <v>13683</v>
      </c>
      <c r="H11394" s="127" t="s">
        <v>213</v>
      </c>
    </row>
    <row r="11395" hidden="1">
      <c r="A11395" s="177" t="s">
        <v>224</v>
      </c>
      <c r="B11395" s="127" t="s">
        <v>170</v>
      </c>
      <c r="C11395" s="127" t="s">
        <v>206</v>
      </c>
      <c r="D11395" s="177" t="s">
        <v>52</v>
      </c>
      <c r="E11395" s="177" t="s">
        <v>13684</v>
      </c>
      <c r="F11395" s="177" t="s">
        <v>425</v>
      </c>
      <c r="G11395" s="177" t="s">
        <v>12501</v>
      </c>
      <c r="H11395" s="127" t="s">
        <v>214</v>
      </c>
    </row>
    <row r="11396" hidden="1">
      <c r="A11396" s="177" t="s">
        <v>224</v>
      </c>
      <c r="B11396" s="127" t="s">
        <v>170</v>
      </c>
      <c r="C11396" s="127" t="s">
        <v>206</v>
      </c>
      <c r="D11396" s="177" t="s">
        <v>52</v>
      </c>
      <c r="E11396" s="177" t="s">
        <v>13685</v>
      </c>
      <c r="F11396" s="177" t="s">
        <v>329</v>
      </c>
      <c r="G11396" s="177" t="s">
        <v>13686</v>
      </c>
      <c r="H11396" s="127" t="s">
        <v>215</v>
      </c>
    </row>
    <row r="11397" hidden="1">
      <c r="A11397" s="177" t="s">
        <v>224</v>
      </c>
      <c r="B11397" s="127" t="s">
        <v>170</v>
      </c>
      <c r="C11397" s="127" t="s">
        <v>206</v>
      </c>
      <c r="D11397" s="177" t="s">
        <v>52</v>
      </c>
      <c r="E11397" s="177" t="s">
        <v>13687</v>
      </c>
      <c r="F11397" s="177" t="s">
        <v>425</v>
      </c>
      <c r="G11397" s="177" t="s">
        <v>13688</v>
      </c>
      <c r="H11397" s="127" t="s">
        <v>216</v>
      </c>
    </row>
    <row r="11398" hidden="1">
      <c r="A11398" s="177" t="s">
        <v>225</v>
      </c>
      <c r="B11398" s="127" t="s">
        <v>226</v>
      </c>
      <c r="C11398" s="127" t="s">
        <v>206</v>
      </c>
      <c r="D11398" s="177" t="s">
        <v>52</v>
      </c>
      <c r="E11398" s="177" t="s">
        <v>13689</v>
      </c>
      <c r="F11398" s="177" t="s">
        <v>453</v>
      </c>
      <c r="G11398" s="177" t="s">
        <v>13690</v>
      </c>
      <c r="H11398" s="127" t="s">
        <v>210</v>
      </c>
    </row>
    <row r="11399" hidden="1">
      <c r="A11399" s="177" t="s">
        <v>225</v>
      </c>
      <c r="B11399" s="127" t="s">
        <v>226</v>
      </c>
      <c r="C11399" s="127" t="s">
        <v>206</v>
      </c>
      <c r="D11399" s="177" t="s">
        <v>52</v>
      </c>
      <c r="E11399" s="177" t="s">
        <v>13691</v>
      </c>
      <c r="F11399" s="177" t="s">
        <v>718</v>
      </c>
      <c r="G11399" s="177" t="s">
        <v>13692</v>
      </c>
      <c r="H11399" s="127" t="s">
        <v>211</v>
      </c>
    </row>
    <row r="11400" hidden="1">
      <c r="A11400" s="177" t="s">
        <v>225</v>
      </c>
      <c r="B11400" s="127" t="s">
        <v>226</v>
      </c>
      <c r="C11400" s="127" t="s">
        <v>206</v>
      </c>
      <c r="D11400" s="177" t="s">
        <v>52</v>
      </c>
      <c r="E11400" s="177" t="s">
        <v>13693</v>
      </c>
      <c r="F11400" s="177" t="s">
        <v>423</v>
      </c>
      <c r="G11400" s="177" t="s">
        <v>13694</v>
      </c>
      <c r="H11400" s="127" t="s">
        <v>212</v>
      </c>
    </row>
    <row r="11401" hidden="1">
      <c r="A11401" s="177" t="s">
        <v>225</v>
      </c>
      <c r="B11401" s="127" t="s">
        <v>226</v>
      </c>
      <c r="C11401" s="127" t="s">
        <v>206</v>
      </c>
      <c r="D11401" s="177" t="s">
        <v>52</v>
      </c>
      <c r="E11401" s="177" t="s">
        <v>13695</v>
      </c>
      <c r="F11401" s="177" t="s">
        <v>1999</v>
      </c>
      <c r="G11401" s="177" t="s">
        <v>13696</v>
      </c>
      <c r="H11401" s="127" t="s">
        <v>213</v>
      </c>
    </row>
    <row r="11402" hidden="1">
      <c r="A11402" s="177" t="s">
        <v>225</v>
      </c>
      <c r="B11402" s="127" t="s">
        <v>226</v>
      </c>
      <c r="C11402" s="127" t="s">
        <v>206</v>
      </c>
      <c r="D11402" s="177" t="s">
        <v>52</v>
      </c>
      <c r="E11402" s="177" t="s">
        <v>13697</v>
      </c>
      <c r="F11402" s="177" t="s">
        <v>348</v>
      </c>
      <c r="G11402" s="177" t="s">
        <v>13698</v>
      </c>
      <c r="H11402" s="127" t="s">
        <v>214</v>
      </c>
    </row>
    <row r="11403" hidden="1">
      <c r="A11403" s="177" t="s">
        <v>225</v>
      </c>
      <c r="B11403" s="127" t="s">
        <v>226</v>
      </c>
      <c r="C11403" s="127" t="s">
        <v>206</v>
      </c>
      <c r="D11403" s="177" t="s">
        <v>52</v>
      </c>
      <c r="E11403" s="177" t="s">
        <v>13699</v>
      </c>
      <c r="F11403" s="177" t="s">
        <v>494</v>
      </c>
      <c r="G11403" s="177" t="s">
        <v>13700</v>
      </c>
      <c r="H11403" s="127" t="s">
        <v>215</v>
      </c>
    </row>
    <row r="11404" hidden="1">
      <c r="A11404" s="177" t="s">
        <v>225</v>
      </c>
      <c r="B11404" s="127" t="s">
        <v>226</v>
      </c>
      <c r="C11404" s="127" t="s">
        <v>206</v>
      </c>
      <c r="D11404" s="177" t="s">
        <v>52</v>
      </c>
      <c r="E11404" s="177" t="s">
        <v>13701</v>
      </c>
      <c r="F11404" s="177" t="s">
        <v>1532</v>
      </c>
      <c r="G11404" s="177" t="s">
        <v>13702</v>
      </c>
      <c r="H11404" s="127" t="s">
        <v>216</v>
      </c>
    </row>
    <row r="11405" hidden="1">
      <c r="A11405" s="177" t="s">
        <v>227</v>
      </c>
      <c r="B11405" s="127" t="s">
        <v>195</v>
      </c>
      <c r="C11405" s="127" t="s">
        <v>206</v>
      </c>
      <c r="D11405" s="177" t="s">
        <v>52</v>
      </c>
      <c r="E11405" s="177" t="s">
        <v>13703</v>
      </c>
      <c r="F11405" s="177" t="s">
        <v>673</v>
      </c>
      <c r="G11405" s="177" t="s">
        <v>12567</v>
      </c>
      <c r="H11405" s="127" t="s">
        <v>210</v>
      </c>
    </row>
    <row r="11406" hidden="1">
      <c r="A11406" s="177" t="s">
        <v>227</v>
      </c>
      <c r="B11406" s="127" t="s">
        <v>195</v>
      </c>
      <c r="C11406" s="127" t="s">
        <v>206</v>
      </c>
      <c r="D11406" s="177" t="s">
        <v>52</v>
      </c>
      <c r="E11406" s="177" t="s">
        <v>13704</v>
      </c>
      <c r="F11406" s="177" t="s">
        <v>760</v>
      </c>
      <c r="G11406" s="177" t="s">
        <v>13705</v>
      </c>
      <c r="H11406" s="127" t="s">
        <v>211</v>
      </c>
    </row>
    <row r="11407" hidden="1">
      <c r="A11407" s="177" t="s">
        <v>227</v>
      </c>
      <c r="B11407" s="127" t="s">
        <v>195</v>
      </c>
      <c r="C11407" s="127" t="s">
        <v>206</v>
      </c>
      <c r="D11407" s="177" t="s">
        <v>52</v>
      </c>
      <c r="E11407" s="177" t="s">
        <v>13706</v>
      </c>
      <c r="F11407" s="177" t="s">
        <v>312</v>
      </c>
      <c r="G11407" s="177" t="s">
        <v>13707</v>
      </c>
      <c r="H11407" s="127" t="s">
        <v>212</v>
      </c>
    </row>
    <row r="11408" hidden="1">
      <c r="A11408" s="177" t="s">
        <v>227</v>
      </c>
      <c r="B11408" s="127" t="s">
        <v>195</v>
      </c>
      <c r="C11408" s="127" t="s">
        <v>206</v>
      </c>
      <c r="D11408" s="177" t="s">
        <v>52</v>
      </c>
      <c r="E11408" s="177" t="s">
        <v>13708</v>
      </c>
      <c r="F11408" s="177" t="s">
        <v>354</v>
      </c>
      <c r="G11408" s="177" t="s">
        <v>13709</v>
      </c>
      <c r="H11408" s="127" t="s">
        <v>213</v>
      </c>
    </row>
    <row r="11409" hidden="1">
      <c r="A11409" s="177" t="s">
        <v>227</v>
      </c>
      <c r="B11409" s="127" t="s">
        <v>195</v>
      </c>
      <c r="C11409" s="127" t="s">
        <v>206</v>
      </c>
      <c r="D11409" s="177" t="s">
        <v>52</v>
      </c>
      <c r="E11409" s="177" t="s">
        <v>13710</v>
      </c>
      <c r="F11409" s="177" t="s">
        <v>494</v>
      </c>
      <c r="G11409" s="177" t="s">
        <v>13440</v>
      </c>
      <c r="H11409" s="127" t="s">
        <v>214</v>
      </c>
    </row>
    <row r="11410" hidden="1">
      <c r="A11410" s="177" t="s">
        <v>227</v>
      </c>
      <c r="B11410" s="127" t="s">
        <v>195</v>
      </c>
      <c r="C11410" s="127" t="s">
        <v>206</v>
      </c>
      <c r="D11410" s="177" t="s">
        <v>52</v>
      </c>
      <c r="E11410" s="177" t="s">
        <v>13711</v>
      </c>
      <c r="F11410" s="177" t="s">
        <v>323</v>
      </c>
      <c r="G11410" s="177" t="s">
        <v>13712</v>
      </c>
      <c r="H11410" s="127" t="s">
        <v>215</v>
      </c>
    </row>
    <row r="11411" hidden="1">
      <c r="A11411" s="177" t="s">
        <v>227</v>
      </c>
      <c r="B11411" s="127" t="s">
        <v>195</v>
      </c>
      <c r="C11411" s="127" t="s">
        <v>206</v>
      </c>
      <c r="D11411" s="177" t="s">
        <v>52</v>
      </c>
      <c r="E11411" s="177" t="s">
        <v>13713</v>
      </c>
      <c r="F11411" s="177" t="s">
        <v>3218</v>
      </c>
      <c r="G11411" s="177" t="s">
        <v>13447</v>
      </c>
      <c r="H11411" s="127" t="s">
        <v>216</v>
      </c>
    </row>
    <row r="11412" hidden="1">
      <c r="A11412" s="177" t="s">
        <v>228</v>
      </c>
      <c r="B11412" s="127" t="s">
        <v>138</v>
      </c>
      <c r="C11412" s="127" t="s">
        <v>206</v>
      </c>
      <c r="D11412" s="177" t="s">
        <v>52</v>
      </c>
      <c r="E11412" s="177" t="s">
        <v>13714</v>
      </c>
      <c r="F11412" s="177" t="s">
        <v>423</v>
      </c>
      <c r="G11412" s="177" t="s">
        <v>12640</v>
      </c>
      <c r="H11412" s="127" t="s">
        <v>210</v>
      </c>
    </row>
    <row r="11413" hidden="1">
      <c r="A11413" s="177" t="s">
        <v>228</v>
      </c>
      <c r="B11413" s="127" t="s">
        <v>138</v>
      </c>
      <c r="C11413" s="127" t="s">
        <v>206</v>
      </c>
      <c r="D11413" s="177" t="s">
        <v>52</v>
      </c>
      <c r="E11413" s="177" t="s">
        <v>13715</v>
      </c>
      <c r="F11413" s="177" t="s">
        <v>673</v>
      </c>
      <c r="G11413" s="177" t="s">
        <v>12715</v>
      </c>
      <c r="H11413" s="127" t="s">
        <v>211</v>
      </c>
    </row>
    <row r="11414" hidden="1">
      <c r="A11414" s="177" t="s">
        <v>228</v>
      </c>
      <c r="B11414" s="127" t="s">
        <v>138</v>
      </c>
      <c r="C11414" s="127" t="s">
        <v>206</v>
      </c>
      <c r="D11414" s="177" t="s">
        <v>52</v>
      </c>
      <c r="E11414" s="177" t="s">
        <v>13716</v>
      </c>
      <c r="F11414" s="177" t="s">
        <v>735</v>
      </c>
      <c r="G11414" s="177" t="s">
        <v>13717</v>
      </c>
      <c r="H11414" s="127" t="s">
        <v>212</v>
      </c>
    </row>
    <row r="11415" hidden="1">
      <c r="A11415" s="177" t="s">
        <v>228</v>
      </c>
      <c r="B11415" s="127" t="s">
        <v>138</v>
      </c>
      <c r="C11415" s="127" t="s">
        <v>206</v>
      </c>
      <c r="D11415" s="177" t="s">
        <v>52</v>
      </c>
      <c r="E11415" s="177" t="s">
        <v>13718</v>
      </c>
      <c r="F11415" s="177" t="s">
        <v>5454</v>
      </c>
      <c r="G11415" s="177" t="s">
        <v>12336</v>
      </c>
      <c r="H11415" s="127" t="s">
        <v>213</v>
      </c>
    </row>
    <row r="11416" hidden="1">
      <c r="A11416" s="177" t="s">
        <v>228</v>
      </c>
      <c r="B11416" s="127" t="s">
        <v>138</v>
      </c>
      <c r="C11416" s="127" t="s">
        <v>206</v>
      </c>
      <c r="D11416" s="177" t="s">
        <v>52</v>
      </c>
      <c r="E11416" s="177" t="s">
        <v>13719</v>
      </c>
      <c r="F11416" s="177" t="s">
        <v>735</v>
      </c>
      <c r="G11416" s="177" t="s">
        <v>12354</v>
      </c>
      <c r="H11416" s="127" t="s">
        <v>214</v>
      </c>
    </row>
    <row r="11417" hidden="1">
      <c r="A11417" s="177" t="s">
        <v>228</v>
      </c>
      <c r="B11417" s="127" t="s">
        <v>138</v>
      </c>
      <c r="C11417" s="127" t="s">
        <v>206</v>
      </c>
      <c r="D11417" s="177" t="s">
        <v>52</v>
      </c>
      <c r="E11417" s="177" t="s">
        <v>13720</v>
      </c>
      <c r="F11417" s="177" t="s">
        <v>691</v>
      </c>
      <c r="G11417" s="177" t="s">
        <v>12993</v>
      </c>
      <c r="H11417" s="127" t="s">
        <v>215</v>
      </c>
    </row>
    <row r="11418" hidden="1">
      <c r="A11418" s="177" t="s">
        <v>228</v>
      </c>
      <c r="B11418" s="127" t="s">
        <v>138</v>
      </c>
      <c r="C11418" s="127" t="s">
        <v>206</v>
      </c>
      <c r="D11418" s="177" t="s">
        <v>52</v>
      </c>
      <c r="E11418" s="177" t="s">
        <v>13721</v>
      </c>
      <c r="F11418" s="177" t="s">
        <v>405</v>
      </c>
      <c r="G11418" s="177" t="s">
        <v>13722</v>
      </c>
      <c r="H11418" s="127" t="s">
        <v>216</v>
      </c>
    </row>
    <row r="11419" hidden="1">
      <c r="A11419" s="177" t="s">
        <v>229</v>
      </c>
      <c r="B11419" s="127" t="s">
        <v>193</v>
      </c>
      <c r="C11419" s="127" t="s">
        <v>206</v>
      </c>
      <c r="D11419" s="177" t="s">
        <v>52</v>
      </c>
      <c r="E11419" s="177" t="s">
        <v>13723</v>
      </c>
      <c r="F11419" s="177" t="s">
        <v>3198</v>
      </c>
      <c r="G11419" s="177" t="s">
        <v>12763</v>
      </c>
      <c r="H11419" s="127" t="s">
        <v>210</v>
      </c>
    </row>
    <row r="11420" hidden="1">
      <c r="A11420" s="177" t="s">
        <v>229</v>
      </c>
      <c r="B11420" s="127" t="s">
        <v>193</v>
      </c>
      <c r="C11420" s="127" t="s">
        <v>206</v>
      </c>
      <c r="D11420" s="177" t="s">
        <v>52</v>
      </c>
      <c r="E11420" s="177" t="s">
        <v>13724</v>
      </c>
      <c r="F11420" s="177" t="s">
        <v>673</v>
      </c>
      <c r="G11420" s="177" t="s">
        <v>13712</v>
      </c>
      <c r="H11420" s="127" t="s">
        <v>211</v>
      </c>
    </row>
    <row r="11421" hidden="1">
      <c r="A11421" s="177" t="s">
        <v>229</v>
      </c>
      <c r="B11421" s="127" t="s">
        <v>193</v>
      </c>
      <c r="C11421" s="127" t="s">
        <v>206</v>
      </c>
      <c r="D11421" s="177" t="s">
        <v>52</v>
      </c>
      <c r="E11421" s="177" t="s">
        <v>13725</v>
      </c>
      <c r="F11421" s="177" t="s">
        <v>354</v>
      </c>
      <c r="G11421" s="177" t="s">
        <v>13726</v>
      </c>
      <c r="H11421" s="127" t="s">
        <v>212</v>
      </c>
    </row>
    <row r="11422" hidden="1">
      <c r="A11422" s="177" t="s">
        <v>229</v>
      </c>
      <c r="B11422" s="127" t="s">
        <v>193</v>
      </c>
      <c r="C11422" s="127" t="s">
        <v>206</v>
      </c>
      <c r="D11422" s="177" t="s">
        <v>52</v>
      </c>
      <c r="E11422" s="177" t="s">
        <v>13727</v>
      </c>
      <c r="F11422" s="177" t="s">
        <v>405</v>
      </c>
      <c r="G11422" s="177" t="s">
        <v>13728</v>
      </c>
      <c r="H11422" s="127" t="s">
        <v>213</v>
      </c>
    </row>
    <row r="11423" hidden="1">
      <c r="A11423" s="177" t="s">
        <v>229</v>
      </c>
      <c r="B11423" s="127" t="s">
        <v>193</v>
      </c>
      <c r="C11423" s="127" t="s">
        <v>206</v>
      </c>
      <c r="D11423" s="177" t="s">
        <v>52</v>
      </c>
      <c r="E11423" s="177" t="s">
        <v>13729</v>
      </c>
      <c r="F11423" s="177" t="s">
        <v>534</v>
      </c>
      <c r="G11423" s="177" t="s">
        <v>12443</v>
      </c>
      <c r="H11423" s="127" t="s">
        <v>214</v>
      </c>
    </row>
    <row r="11424" hidden="1">
      <c r="A11424" s="177" t="s">
        <v>229</v>
      </c>
      <c r="B11424" s="127" t="s">
        <v>193</v>
      </c>
      <c r="C11424" s="127" t="s">
        <v>206</v>
      </c>
      <c r="D11424" s="177" t="s">
        <v>52</v>
      </c>
      <c r="E11424" s="177" t="s">
        <v>13730</v>
      </c>
      <c r="F11424" s="177" t="s">
        <v>2215</v>
      </c>
      <c r="G11424" s="177" t="s">
        <v>12866</v>
      </c>
      <c r="H11424" s="127" t="s">
        <v>215</v>
      </c>
    </row>
    <row r="11425" hidden="1">
      <c r="A11425" s="177" t="s">
        <v>229</v>
      </c>
      <c r="B11425" s="127" t="s">
        <v>193</v>
      </c>
      <c r="C11425" s="127" t="s">
        <v>206</v>
      </c>
      <c r="D11425" s="177" t="s">
        <v>52</v>
      </c>
      <c r="E11425" s="177" t="s">
        <v>13731</v>
      </c>
      <c r="F11425" s="177" t="s">
        <v>2994</v>
      </c>
      <c r="G11425" s="177" t="s">
        <v>13732</v>
      </c>
      <c r="H11425" s="127" t="s">
        <v>216</v>
      </c>
    </row>
    <row r="11426" hidden="1">
      <c r="A11426" s="177" t="s">
        <v>230</v>
      </c>
      <c r="B11426" s="127" t="s">
        <v>194</v>
      </c>
      <c r="C11426" s="127" t="s">
        <v>206</v>
      </c>
      <c r="D11426" s="177" t="s">
        <v>52</v>
      </c>
      <c r="E11426" s="177" t="s">
        <v>13733</v>
      </c>
      <c r="F11426" s="177" t="s">
        <v>249</v>
      </c>
      <c r="G11426" s="177" t="s">
        <v>13043</v>
      </c>
      <c r="H11426" s="127" t="s">
        <v>210</v>
      </c>
    </row>
    <row r="11427" hidden="1">
      <c r="A11427" s="177" t="s">
        <v>230</v>
      </c>
      <c r="B11427" s="127" t="s">
        <v>194</v>
      </c>
      <c r="C11427" s="127" t="s">
        <v>206</v>
      </c>
      <c r="D11427" s="177" t="s">
        <v>52</v>
      </c>
      <c r="E11427" s="177" t="s">
        <v>13734</v>
      </c>
      <c r="F11427" s="177" t="s">
        <v>427</v>
      </c>
      <c r="G11427" s="177" t="s">
        <v>13735</v>
      </c>
      <c r="H11427" s="127" t="s">
        <v>211</v>
      </c>
    </row>
    <row r="11428" hidden="1">
      <c r="A11428" s="177" t="s">
        <v>230</v>
      </c>
      <c r="B11428" s="127" t="s">
        <v>194</v>
      </c>
      <c r="C11428" s="127" t="s">
        <v>206</v>
      </c>
      <c r="D11428" s="177" t="s">
        <v>52</v>
      </c>
      <c r="E11428" s="177" t="s">
        <v>13736</v>
      </c>
      <c r="F11428" s="177" t="s">
        <v>257</v>
      </c>
      <c r="G11428" s="177" t="s">
        <v>13737</v>
      </c>
      <c r="H11428" s="127" t="s">
        <v>212</v>
      </c>
    </row>
    <row r="11429" hidden="1">
      <c r="A11429" s="177" t="s">
        <v>230</v>
      </c>
      <c r="B11429" s="127" t="s">
        <v>194</v>
      </c>
      <c r="C11429" s="127" t="s">
        <v>206</v>
      </c>
      <c r="D11429" s="177" t="s">
        <v>52</v>
      </c>
      <c r="E11429" s="177" t="s">
        <v>13738</v>
      </c>
      <c r="F11429" s="177" t="s">
        <v>242</v>
      </c>
      <c r="G11429" s="177" t="s">
        <v>13739</v>
      </c>
      <c r="H11429" s="127" t="s">
        <v>213</v>
      </c>
    </row>
    <row r="11430" hidden="1">
      <c r="A11430" s="177" t="s">
        <v>230</v>
      </c>
      <c r="B11430" s="127" t="s">
        <v>194</v>
      </c>
      <c r="C11430" s="127" t="s">
        <v>206</v>
      </c>
      <c r="D11430" s="177" t="s">
        <v>52</v>
      </c>
      <c r="E11430" s="177" t="s">
        <v>13740</v>
      </c>
      <c r="F11430" s="177" t="s">
        <v>265</v>
      </c>
      <c r="G11430" s="177" t="s">
        <v>13741</v>
      </c>
      <c r="H11430" s="127" t="s">
        <v>214</v>
      </c>
    </row>
    <row r="11431" hidden="1">
      <c r="A11431" s="177" t="s">
        <v>230</v>
      </c>
      <c r="B11431" s="127" t="s">
        <v>194</v>
      </c>
      <c r="C11431" s="127" t="s">
        <v>206</v>
      </c>
      <c r="D11431" s="177" t="s">
        <v>52</v>
      </c>
      <c r="E11431" s="177" t="s">
        <v>13742</v>
      </c>
      <c r="F11431" s="177" t="s">
        <v>450</v>
      </c>
      <c r="G11431" s="177" t="s">
        <v>13743</v>
      </c>
      <c r="H11431" s="127" t="s">
        <v>215</v>
      </c>
    </row>
    <row r="11432" hidden="1">
      <c r="A11432" s="177" t="s">
        <v>230</v>
      </c>
      <c r="B11432" s="127" t="s">
        <v>194</v>
      </c>
      <c r="C11432" s="127" t="s">
        <v>206</v>
      </c>
      <c r="D11432" s="177" t="s">
        <v>52</v>
      </c>
      <c r="E11432" s="177" t="s">
        <v>13744</v>
      </c>
      <c r="F11432" s="177" t="s">
        <v>331</v>
      </c>
      <c r="G11432" s="177" t="s">
        <v>13745</v>
      </c>
      <c r="H11432" s="127" t="s">
        <v>216</v>
      </c>
    </row>
    <row r="11433" hidden="1">
      <c r="A11433" s="127" t="s">
        <v>231</v>
      </c>
      <c r="C11433" s="127" t="s">
        <v>232</v>
      </c>
      <c r="D11433" s="177" t="s">
        <v>52</v>
      </c>
      <c r="E11433" s="177" t="s">
        <v>13746</v>
      </c>
      <c r="F11433" s="177" t="s">
        <v>359</v>
      </c>
      <c r="G11433" s="177" t="s">
        <v>12344</v>
      </c>
      <c r="H11433" s="127" t="s">
        <v>210</v>
      </c>
    </row>
    <row r="11434" hidden="1">
      <c r="A11434" s="127" t="s">
        <v>231</v>
      </c>
      <c r="C11434" s="127" t="s">
        <v>232</v>
      </c>
      <c r="D11434" s="177" t="s">
        <v>52</v>
      </c>
      <c r="E11434" s="177" t="s">
        <v>13747</v>
      </c>
      <c r="F11434" s="177" t="s">
        <v>390</v>
      </c>
      <c r="G11434" s="177" t="s">
        <v>12336</v>
      </c>
      <c r="H11434" s="127" t="s">
        <v>211</v>
      </c>
    </row>
    <row r="11435" hidden="1">
      <c r="A11435" s="127" t="s">
        <v>231</v>
      </c>
      <c r="C11435" s="127" t="s">
        <v>232</v>
      </c>
      <c r="D11435" s="177" t="s">
        <v>52</v>
      </c>
      <c r="E11435" s="177" t="s">
        <v>13748</v>
      </c>
      <c r="F11435" s="177" t="s">
        <v>718</v>
      </c>
      <c r="G11435" s="177" t="s">
        <v>13749</v>
      </c>
      <c r="H11435" s="127" t="s">
        <v>212</v>
      </c>
    </row>
    <row r="11436" hidden="1">
      <c r="A11436" s="127" t="s">
        <v>231</v>
      </c>
      <c r="C11436" s="127" t="s">
        <v>232</v>
      </c>
      <c r="D11436" s="177" t="s">
        <v>52</v>
      </c>
      <c r="E11436" s="177" t="s">
        <v>13750</v>
      </c>
      <c r="F11436" s="177" t="s">
        <v>673</v>
      </c>
      <c r="G11436" s="177" t="s">
        <v>12410</v>
      </c>
      <c r="H11436" s="127" t="s">
        <v>213</v>
      </c>
    </row>
    <row r="11437" hidden="1">
      <c r="A11437" s="127" t="s">
        <v>231</v>
      </c>
      <c r="C11437" s="127" t="s">
        <v>232</v>
      </c>
      <c r="D11437" s="177" t="s">
        <v>52</v>
      </c>
      <c r="E11437" s="177" t="s">
        <v>13751</v>
      </c>
      <c r="F11437" s="177" t="s">
        <v>444</v>
      </c>
      <c r="G11437" s="177" t="s">
        <v>12439</v>
      </c>
      <c r="H11437" s="127" t="s">
        <v>214</v>
      </c>
    </row>
    <row r="11438" hidden="1">
      <c r="A11438" s="127" t="s">
        <v>231</v>
      </c>
      <c r="C11438" s="127" t="s">
        <v>232</v>
      </c>
      <c r="D11438" s="177" t="s">
        <v>52</v>
      </c>
      <c r="E11438" s="177" t="s">
        <v>13752</v>
      </c>
      <c r="F11438" s="177" t="s">
        <v>758</v>
      </c>
      <c r="G11438" s="177" t="s">
        <v>13753</v>
      </c>
      <c r="H11438" s="127" t="s">
        <v>215</v>
      </c>
    </row>
    <row r="11439" hidden="1">
      <c r="A11439" s="127" t="s">
        <v>231</v>
      </c>
      <c r="C11439" s="127" t="s">
        <v>232</v>
      </c>
      <c r="D11439" s="177" t="s">
        <v>52</v>
      </c>
      <c r="E11439" s="177" t="s">
        <v>13754</v>
      </c>
      <c r="F11439" s="177" t="s">
        <v>494</v>
      </c>
      <c r="G11439" s="177" t="s">
        <v>13117</v>
      </c>
      <c r="H11439" s="127" t="s">
        <v>216</v>
      </c>
    </row>
    <row r="11440" hidden="1">
      <c r="A11440" s="127" t="s">
        <v>233</v>
      </c>
      <c r="C11440" s="127" t="s">
        <v>232</v>
      </c>
      <c r="D11440" s="177" t="s">
        <v>52</v>
      </c>
      <c r="E11440" s="177" t="s">
        <v>13755</v>
      </c>
      <c r="F11440" s="177" t="s">
        <v>425</v>
      </c>
      <c r="G11440" s="177" t="s">
        <v>13591</v>
      </c>
      <c r="H11440" s="127" t="s">
        <v>210</v>
      </c>
    </row>
    <row r="11441" hidden="1">
      <c r="A11441" s="127" t="s">
        <v>233</v>
      </c>
      <c r="C11441" s="127" t="s">
        <v>232</v>
      </c>
      <c r="D11441" s="177" t="s">
        <v>52</v>
      </c>
      <c r="E11441" s="177" t="s">
        <v>13756</v>
      </c>
      <c r="F11441" s="177" t="s">
        <v>450</v>
      </c>
      <c r="G11441" s="177" t="s">
        <v>13757</v>
      </c>
      <c r="H11441" s="127" t="s">
        <v>211</v>
      </c>
    </row>
    <row r="11442" hidden="1">
      <c r="A11442" s="127" t="s">
        <v>233</v>
      </c>
      <c r="C11442" s="127" t="s">
        <v>232</v>
      </c>
      <c r="D11442" s="177" t="s">
        <v>52</v>
      </c>
      <c r="E11442" s="177" t="s">
        <v>13758</v>
      </c>
      <c r="F11442" s="177" t="s">
        <v>310</v>
      </c>
      <c r="G11442" s="177" t="s">
        <v>12272</v>
      </c>
      <c r="H11442" s="127" t="s">
        <v>212</v>
      </c>
    </row>
    <row r="11443" hidden="1">
      <c r="A11443" s="127" t="s">
        <v>233</v>
      </c>
      <c r="C11443" s="127" t="s">
        <v>232</v>
      </c>
      <c r="D11443" s="177" t="s">
        <v>52</v>
      </c>
      <c r="E11443" s="177" t="s">
        <v>13759</v>
      </c>
      <c r="F11443" s="177" t="s">
        <v>534</v>
      </c>
      <c r="G11443" s="177" t="s">
        <v>13296</v>
      </c>
      <c r="H11443" s="127" t="s">
        <v>213</v>
      </c>
    </row>
    <row r="11444" hidden="1">
      <c r="A11444" s="127" t="s">
        <v>233</v>
      </c>
      <c r="C11444" s="127" t="s">
        <v>232</v>
      </c>
      <c r="D11444" s="177" t="s">
        <v>52</v>
      </c>
      <c r="E11444" s="177" t="s">
        <v>13760</v>
      </c>
      <c r="F11444" s="177" t="s">
        <v>310</v>
      </c>
      <c r="G11444" s="177" t="s">
        <v>13761</v>
      </c>
      <c r="H11444" s="127" t="s">
        <v>214</v>
      </c>
    </row>
    <row r="11445" hidden="1">
      <c r="A11445" s="127" t="s">
        <v>233</v>
      </c>
      <c r="C11445" s="127" t="s">
        <v>232</v>
      </c>
      <c r="D11445" s="177" t="s">
        <v>52</v>
      </c>
      <c r="E11445" s="177" t="s">
        <v>13762</v>
      </c>
      <c r="F11445" s="177" t="s">
        <v>339</v>
      </c>
      <c r="G11445" s="177" t="s">
        <v>13293</v>
      </c>
      <c r="H11445" s="127" t="s">
        <v>215</v>
      </c>
    </row>
    <row r="11446" hidden="1">
      <c r="A11446" s="127" t="s">
        <v>233</v>
      </c>
      <c r="C11446" s="127" t="s">
        <v>232</v>
      </c>
      <c r="D11446" s="177" t="s">
        <v>52</v>
      </c>
      <c r="E11446" s="177" t="s">
        <v>13763</v>
      </c>
      <c r="F11446" s="177" t="s">
        <v>450</v>
      </c>
      <c r="G11446" s="177" t="s">
        <v>13447</v>
      </c>
      <c r="H11446" s="127" t="s">
        <v>216</v>
      </c>
    </row>
    <row r="11447" hidden="1">
      <c r="A11447" s="127" t="s">
        <v>234</v>
      </c>
      <c r="C11447" s="127" t="s">
        <v>232</v>
      </c>
      <c r="D11447" s="177" t="s">
        <v>52</v>
      </c>
      <c r="E11447" s="177" t="s">
        <v>13764</v>
      </c>
      <c r="F11447" s="177" t="s">
        <v>2607</v>
      </c>
      <c r="G11447" s="177" t="s">
        <v>13765</v>
      </c>
      <c r="H11447" s="127" t="s">
        <v>210</v>
      </c>
    </row>
    <row r="11448" hidden="1">
      <c r="A11448" s="127" t="s">
        <v>234</v>
      </c>
      <c r="C11448" s="127" t="s">
        <v>232</v>
      </c>
      <c r="D11448" s="177" t="s">
        <v>52</v>
      </c>
      <c r="E11448" s="177" t="s">
        <v>13766</v>
      </c>
      <c r="F11448" s="177" t="s">
        <v>3346</v>
      </c>
      <c r="G11448" s="177" t="s">
        <v>13767</v>
      </c>
      <c r="H11448" s="127" t="s">
        <v>211</v>
      </c>
    </row>
    <row r="11449" hidden="1">
      <c r="A11449" s="127" t="s">
        <v>234</v>
      </c>
      <c r="C11449" s="127" t="s">
        <v>232</v>
      </c>
      <c r="D11449" s="177" t="s">
        <v>52</v>
      </c>
      <c r="E11449" s="177" t="s">
        <v>13768</v>
      </c>
      <c r="F11449" s="177" t="s">
        <v>1931</v>
      </c>
      <c r="G11449" s="177" t="s">
        <v>13769</v>
      </c>
      <c r="H11449" s="127" t="s">
        <v>212</v>
      </c>
    </row>
    <row r="11450" hidden="1">
      <c r="A11450" s="127" t="s">
        <v>234</v>
      </c>
      <c r="C11450" s="127" t="s">
        <v>232</v>
      </c>
      <c r="D11450" s="177" t="s">
        <v>52</v>
      </c>
      <c r="E11450" s="177" t="s">
        <v>13770</v>
      </c>
      <c r="F11450" s="177" t="s">
        <v>2512</v>
      </c>
      <c r="G11450" s="177" t="s">
        <v>13248</v>
      </c>
      <c r="H11450" s="127" t="s">
        <v>213</v>
      </c>
    </row>
    <row r="11451" hidden="1">
      <c r="A11451" s="127" t="s">
        <v>234</v>
      </c>
      <c r="C11451" s="127" t="s">
        <v>232</v>
      </c>
      <c r="D11451" s="177" t="s">
        <v>52</v>
      </c>
      <c r="E11451" s="177" t="s">
        <v>13771</v>
      </c>
      <c r="F11451" s="177" t="s">
        <v>4052</v>
      </c>
      <c r="G11451" s="177" t="s">
        <v>13059</v>
      </c>
      <c r="H11451" s="127" t="s">
        <v>214</v>
      </c>
    </row>
    <row r="11452" hidden="1">
      <c r="A11452" s="127" t="s">
        <v>234</v>
      </c>
      <c r="C11452" s="127" t="s">
        <v>232</v>
      </c>
      <c r="D11452" s="177" t="s">
        <v>52</v>
      </c>
      <c r="E11452" s="177" t="s">
        <v>13772</v>
      </c>
      <c r="F11452" s="177" t="s">
        <v>3625</v>
      </c>
      <c r="G11452" s="177" t="s">
        <v>13266</v>
      </c>
      <c r="H11452" s="127" t="s">
        <v>215</v>
      </c>
    </row>
    <row r="11453" hidden="1">
      <c r="A11453" s="127" t="s">
        <v>234</v>
      </c>
      <c r="C11453" s="127" t="s">
        <v>232</v>
      </c>
      <c r="D11453" s="177" t="s">
        <v>52</v>
      </c>
      <c r="E11453" s="177" t="s">
        <v>13773</v>
      </c>
      <c r="F11453" s="177" t="s">
        <v>2228</v>
      </c>
      <c r="G11453" s="177" t="s">
        <v>12978</v>
      </c>
      <c r="H11453" s="127" t="s">
        <v>216</v>
      </c>
    </row>
    <row r="11454" hidden="1">
      <c r="A11454" s="127" t="s">
        <v>235</v>
      </c>
      <c r="C11454" s="127" t="s">
        <v>236</v>
      </c>
      <c r="D11454" s="177" t="s">
        <v>52</v>
      </c>
      <c r="E11454" s="177" t="s">
        <v>13774</v>
      </c>
      <c r="F11454" s="177" t="s">
        <v>249</v>
      </c>
      <c r="G11454" s="177" t="s">
        <v>13775</v>
      </c>
      <c r="H11454" s="127" t="s">
        <v>210</v>
      </c>
    </row>
    <row r="11455" hidden="1">
      <c r="A11455" s="127" t="s">
        <v>235</v>
      </c>
      <c r="C11455" s="127" t="s">
        <v>236</v>
      </c>
      <c r="D11455" s="177" t="s">
        <v>52</v>
      </c>
      <c r="E11455" s="177" t="s">
        <v>13776</v>
      </c>
      <c r="F11455" s="177" t="s">
        <v>427</v>
      </c>
      <c r="G11455" s="177" t="s">
        <v>13605</v>
      </c>
      <c r="H11455" s="127" t="s">
        <v>211</v>
      </c>
    </row>
    <row r="11456" hidden="1">
      <c r="A11456" s="127" t="s">
        <v>235</v>
      </c>
      <c r="C11456" s="127" t="s">
        <v>236</v>
      </c>
      <c r="D11456" s="177" t="s">
        <v>52</v>
      </c>
      <c r="E11456" s="177" t="s">
        <v>13777</v>
      </c>
      <c r="F11456" s="177" t="s">
        <v>305</v>
      </c>
      <c r="G11456" s="177" t="s">
        <v>13419</v>
      </c>
      <c r="H11456" s="127" t="s">
        <v>212</v>
      </c>
    </row>
    <row r="11457" hidden="1">
      <c r="A11457" s="127" t="s">
        <v>235</v>
      </c>
      <c r="C11457" s="127" t="s">
        <v>236</v>
      </c>
      <c r="D11457" s="177" t="s">
        <v>52</v>
      </c>
      <c r="E11457" s="177" t="s">
        <v>13778</v>
      </c>
      <c r="F11457" s="177" t="s">
        <v>305</v>
      </c>
      <c r="G11457" s="177" t="s">
        <v>12642</v>
      </c>
      <c r="H11457" s="127" t="s">
        <v>213</v>
      </c>
    </row>
    <row r="11458" hidden="1">
      <c r="A11458" s="127" t="s">
        <v>235</v>
      </c>
      <c r="C11458" s="127" t="s">
        <v>236</v>
      </c>
      <c r="D11458" s="177" t="s">
        <v>52</v>
      </c>
      <c r="E11458" s="177" t="s">
        <v>13779</v>
      </c>
      <c r="F11458" s="177" t="s">
        <v>339</v>
      </c>
      <c r="G11458" s="177" t="s">
        <v>13591</v>
      </c>
      <c r="H11458" s="127" t="s">
        <v>214</v>
      </c>
    </row>
    <row r="11459" hidden="1">
      <c r="A11459" s="127" t="s">
        <v>235</v>
      </c>
      <c r="C11459" s="127" t="s">
        <v>236</v>
      </c>
      <c r="D11459" s="177" t="s">
        <v>52</v>
      </c>
      <c r="E11459" s="177" t="s">
        <v>13780</v>
      </c>
      <c r="F11459" s="177" t="s">
        <v>336</v>
      </c>
      <c r="G11459" s="177" t="s">
        <v>13781</v>
      </c>
      <c r="H11459" s="127" t="s">
        <v>215</v>
      </c>
    </row>
    <row r="11460" hidden="1">
      <c r="A11460" s="127" t="s">
        <v>235</v>
      </c>
      <c r="C11460" s="127" t="s">
        <v>236</v>
      </c>
      <c r="D11460" s="177" t="s">
        <v>52</v>
      </c>
      <c r="E11460" s="177" t="s">
        <v>13782</v>
      </c>
      <c r="F11460" s="177" t="s">
        <v>310</v>
      </c>
      <c r="G11460" s="177" t="s">
        <v>13783</v>
      </c>
      <c r="H11460" s="127" t="s">
        <v>216</v>
      </c>
    </row>
    <row r="11461" hidden="1">
      <c r="A11461" s="127" t="s">
        <v>237</v>
      </c>
      <c r="C11461" s="127" t="s">
        <v>236</v>
      </c>
      <c r="D11461" s="177" t="s">
        <v>52</v>
      </c>
      <c r="E11461" s="177" t="s">
        <v>13784</v>
      </c>
      <c r="F11461" s="177" t="s">
        <v>1948</v>
      </c>
      <c r="G11461" s="177" t="s">
        <v>13391</v>
      </c>
      <c r="H11461" s="127" t="s">
        <v>210</v>
      </c>
    </row>
    <row r="11462" hidden="1">
      <c r="A11462" s="127" t="s">
        <v>237</v>
      </c>
      <c r="C11462" s="127" t="s">
        <v>236</v>
      </c>
      <c r="D11462" s="177" t="s">
        <v>52</v>
      </c>
      <c r="E11462" s="177" t="s">
        <v>13785</v>
      </c>
      <c r="F11462" s="177" t="s">
        <v>3145</v>
      </c>
      <c r="G11462" s="177" t="s">
        <v>13786</v>
      </c>
      <c r="H11462" s="127" t="s">
        <v>211</v>
      </c>
    </row>
    <row r="11463" hidden="1">
      <c r="A11463" s="127" t="s">
        <v>237</v>
      </c>
      <c r="C11463" s="127" t="s">
        <v>236</v>
      </c>
      <c r="D11463" s="177" t="s">
        <v>52</v>
      </c>
      <c r="E11463" s="177" t="s">
        <v>13787</v>
      </c>
      <c r="F11463" s="177" t="s">
        <v>2005</v>
      </c>
      <c r="G11463" s="177" t="s">
        <v>13788</v>
      </c>
      <c r="H11463" s="127" t="s">
        <v>212</v>
      </c>
    </row>
    <row r="11464" hidden="1">
      <c r="A11464" s="127" t="s">
        <v>237</v>
      </c>
      <c r="C11464" s="127" t="s">
        <v>236</v>
      </c>
      <c r="D11464" s="177" t="s">
        <v>52</v>
      </c>
      <c r="E11464" s="177" t="s">
        <v>13789</v>
      </c>
      <c r="F11464" s="177" t="s">
        <v>229</v>
      </c>
      <c r="G11464" s="177" t="s">
        <v>12736</v>
      </c>
      <c r="H11464" s="127" t="s">
        <v>213</v>
      </c>
    </row>
    <row r="11465" hidden="1">
      <c r="A11465" s="127" t="s">
        <v>237</v>
      </c>
      <c r="C11465" s="127" t="s">
        <v>236</v>
      </c>
      <c r="D11465" s="177" t="s">
        <v>52</v>
      </c>
      <c r="E11465" s="177" t="s">
        <v>13790</v>
      </c>
      <c r="F11465" s="177" t="s">
        <v>2407</v>
      </c>
      <c r="G11465" s="177" t="s">
        <v>13791</v>
      </c>
      <c r="H11465" s="127" t="s">
        <v>214</v>
      </c>
    </row>
    <row r="11466" hidden="1">
      <c r="A11466" s="127" t="s">
        <v>237</v>
      </c>
      <c r="C11466" s="127" t="s">
        <v>236</v>
      </c>
      <c r="D11466" s="177" t="s">
        <v>52</v>
      </c>
      <c r="E11466" s="177" t="s">
        <v>13792</v>
      </c>
      <c r="F11466" s="177" t="s">
        <v>2339</v>
      </c>
      <c r="G11466" s="177" t="s">
        <v>13391</v>
      </c>
      <c r="H11466" s="127" t="s">
        <v>215</v>
      </c>
    </row>
    <row r="11467" hidden="1">
      <c r="A11467" s="127" t="s">
        <v>237</v>
      </c>
      <c r="C11467" s="127" t="s">
        <v>236</v>
      </c>
      <c r="D11467" s="177" t="s">
        <v>52</v>
      </c>
      <c r="E11467" s="177" t="s">
        <v>13793</v>
      </c>
      <c r="F11467" s="177" t="s">
        <v>675</v>
      </c>
      <c r="G11467" s="177" t="s">
        <v>13454</v>
      </c>
      <c r="H11467" s="127" t="s">
        <v>216</v>
      </c>
    </row>
    <row r="11468" hidden="1">
      <c r="A11468" s="177" t="s">
        <v>204</v>
      </c>
      <c r="B11468" s="127" t="s">
        <v>205</v>
      </c>
      <c r="C11468" s="127" t="s">
        <v>206</v>
      </c>
      <c r="D11468" s="177" t="s">
        <v>53</v>
      </c>
      <c r="E11468" s="177" t="s">
        <v>13794</v>
      </c>
      <c r="F11468" s="177" t="s">
        <v>483</v>
      </c>
      <c r="G11468" s="177" t="s">
        <v>13795</v>
      </c>
      <c r="H11468" s="127" t="s">
        <v>210</v>
      </c>
    </row>
    <row r="11469" hidden="1">
      <c r="A11469" s="177" t="s">
        <v>204</v>
      </c>
      <c r="B11469" s="127" t="s">
        <v>205</v>
      </c>
      <c r="C11469" s="127" t="s">
        <v>206</v>
      </c>
      <c r="D11469" s="177" t="s">
        <v>53</v>
      </c>
      <c r="E11469" s="177" t="s">
        <v>13796</v>
      </c>
      <c r="F11469" s="177" t="s">
        <v>425</v>
      </c>
      <c r="G11469" s="177" t="s">
        <v>13797</v>
      </c>
      <c r="H11469" s="127" t="s">
        <v>211</v>
      </c>
    </row>
    <row r="11470" hidden="1">
      <c r="A11470" s="177" t="s">
        <v>204</v>
      </c>
      <c r="B11470" s="127" t="s">
        <v>205</v>
      </c>
      <c r="C11470" s="127" t="s">
        <v>206</v>
      </c>
      <c r="D11470" s="177" t="s">
        <v>53</v>
      </c>
      <c r="E11470" s="177" t="s">
        <v>13798</v>
      </c>
      <c r="F11470" s="177" t="s">
        <v>478</v>
      </c>
      <c r="G11470" s="177" t="s">
        <v>13799</v>
      </c>
      <c r="H11470" s="127" t="s">
        <v>212</v>
      </c>
    </row>
    <row r="11471" hidden="1">
      <c r="A11471" s="177" t="s">
        <v>204</v>
      </c>
      <c r="B11471" s="127" t="s">
        <v>205</v>
      </c>
      <c r="C11471" s="127" t="s">
        <v>206</v>
      </c>
      <c r="D11471" s="177" t="s">
        <v>53</v>
      </c>
      <c r="E11471" s="177" t="s">
        <v>13800</v>
      </c>
      <c r="F11471" s="177" t="s">
        <v>336</v>
      </c>
      <c r="G11471" s="177" t="s">
        <v>13801</v>
      </c>
      <c r="H11471" s="127" t="s">
        <v>213</v>
      </c>
    </row>
    <row r="11472" hidden="1">
      <c r="A11472" s="177" t="s">
        <v>204</v>
      </c>
      <c r="B11472" s="127" t="s">
        <v>205</v>
      </c>
      <c r="C11472" s="127" t="s">
        <v>206</v>
      </c>
      <c r="D11472" s="177" t="s">
        <v>53</v>
      </c>
      <c r="E11472" s="177" t="s">
        <v>13802</v>
      </c>
      <c r="F11472" s="177" t="s">
        <v>478</v>
      </c>
      <c r="G11472" s="177" t="s">
        <v>12610</v>
      </c>
      <c r="H11472" s="127" t="s">
        <v>214</v>
      </c>
    </row>
    <row r="11473" hidden="1">
      <c r="A11473" s="177" t="s">
        <v>204</v>
      </c>
      <c r="B11473" s="127" t="s">
        <v>205</v>
      </c>
      <c r="C11473" s="127" t="s">
        <v>206</v>
      </c>
      <c r="D11473" s="177" t="s">
        <v>53</v>
      </c>
      <c r="E11473" s="177" t="s">
        <v>13803</v>
      </c>
      <c r="F11473" s="177" t="s">
        <v>799</v>
      </c>
      <c r="G11473" s="177" t="s">
        <v>13761</v>
      </c>
      <c r="H11473" s="127" t="s">
        <v>215</v>
      </c>
    </row>
    <row r="11474" hidden="1">
      <c r="A11474" s="177" t="s">
        <v>204</v>
      </c>
      <c r="B11474" s="127" t="s">
        <v>205</v>
      </c>
      <c r="C11474" s="127" t="s">
        <v>206</v>
      </c>
      <c r="D11474" s="177" t="s">
        <v>53</v>
      </c>
      <c r="E11474" s="177" t="s">
        <v>13804</v>
      </c>
      <c r="F11474" s="177" t="s">
        <v>483</v>
      </c>
      <c r="G11474" s="177" t="s">
        <v>12632</v>
      </c>
      <c r="H11474" s="127" t="s">
        <v>216</v>
      </c>
    </row>
    <row r="11475" hidden="1">
      <c r="A11475" s="177" t="s">
        <v>217</v>
      </c>
      <c r="B11475" s="127" t="s">
        <v>191</v>
      </c>
      <c r="C11475" s="127" t="s">
        <v>206</v>
      </c>
      <c r="D11475" s="177" t="s">
        <v>53</v>
      </c>
      <c r="E11475" s="177" t="s">
        <v>13805</v>
      </c>
      <c r="F11475" s="177" t="s">
        <v>336</v>
      </c>
      <c r="G11475" s="177" t="s">
        <v>13299</v>
      </c>
      <c r="H11475" s="127" t="s">
        <v>210</v>
      </c>
    </row>
    <row r="11476" hidden="1">
      <c r="A11476" s="177" t="s">
        <v>217</v>
      </c>
      <c r="B11476" s="127" t="s">
        <v>191</v>
      </c>
      <c r="C11476" s="127" t="s">
        <v>206</v>
      </c>
      <c r="D11476" s="177" t="s">
        <v>53</v>
      </c>
      <c r="E11476" s="177" t="s">
        <v>13806</v>
      </c>
      <c r="F11476" s="177" t="s">
        <v>534</v>
      </c>
      <c r="G11476" s="177" t="s">
        <v>13807</v>
      </c>
      <c r="H11476" s="127" t="s">
        <v>211</v>
      </c>
    </row>
    <row r="11477" hidden="1">
      <c r="A11477" s="177" t="s">
        <v>217</v>
      </c>
      <c r="B11477" s="127" t="s">
        <v>191</v>
      </c>
      <c r="C11477" s="127" t="s">
        <v>206</v>
      </c>
      <c r="D11477" s="177" t="s">
        <v>53</v>
      </c>
      <c r="E11477" s="177" t="s">
        <v>13808</v>
      </c>
      <c r="F11477" s="177" t="s">
        <v>314</v>
      </c>
      <c r="G11477" s="177" t="s">
        <v>13809</v>
      </c>
      <c r="H11477" s="127" t="s">
        <v>212</v>
      </c>
    </row>
    <row r="11478" hidden="1">
      <c r="A11478" s="177" t="s">
        <v>217</v>
      </c>
      <c r="B11478" s="127" t="s">
        <v>191</v>
      </c>
      <c r="C11478" s="127" t="s">
        <v>206</v>
      </c>
      <c r="D11478" s="177" t="s">
        <v>53</v>
      </c>
      <c r="E11478" s="177" t="s">
        <v>13810</v>
      </c>
      <c r="F11478" s="177" t="s">
        <v>244</v>
      </c>
      <c r="G11478" s="177" t="s">
        <v>13811</v>
      </c>
      <c r="H11478" s="127" t="s">
        <v>213</v>
      </c>
    </row>
    <row r="11479" hidden="1">
      <c r="A11479" s="177" t="s">
        <v>217</v>
      </c>
      <c r="B11479" s="127" t="s">
        <v>191</v>
      </c>
      <c r="C11479" s="127" t="s">
        <v>206</v>
      </c>
      <c r="D11479" s="177" t="s">
        <v>53</v>
      </c>
      <c r="E11479" s="177" t="s">
        <v>13812</v>
      </c>
      <c r="F11479" s="177" t="s">
        <v>290</v>
      </c>
      <c r="G11479" s="177" t="s">
        <v>12565</v>
      </c>
      <c r="H11479" s="127" t="s">
        <v>214</v>
      </c>
    </row>
    <row r="11480" hidden="1">
      <c r="A11480" s="177" t="s">
        <v>217</v>
      </c>
      <c r="B11480" s="127" t="s">
        <v>191</v>
      </c>
      <c r="C11480" s="127" t="s">
        <v>206</v>
      </c>
      <c r="D11480" s="177" t="s">
        <v>53</v>
      </c>
      <c r="E11480" s="177" t="s">
        <v>13813</v>
      </c>
      <c r="F11480" s="177" t="s">
        <v>450</v>
      </c>
      <c r="G11480" s="177" t="s">
        <v>13814</v>
      </c>
      <c r="H11480" s="127" t="s">
        <v>215</v>
      </c>
    </row>
    <row r="11481" hidden="1">
      <c r="A11481" s="177" t="s">
        <v>217</v>
      </c>
      <c r="B11481" s="127" t="s">
        <v>191</v>
      </c>
      <c r="C11481" s="127" t="s">
        <v>206</v>
      </c>
      <c r="D11481" s="177" t="s">
        <v>53</v>
      </c>
      <c r="E11481" s="177" t="s">
        <v>13815</v>
      </c>
      <c r="F11481" s="177" t="s">
        <v>305</v>
      </c>
      <c r="G11481" s="177" t="s">
        <v>12732</v>
      </c>
      <c r="H11481" s="127" t="s">
        <v>216</v>
      </c>
    </row>
    <row r="11482" hidden="1">
      <c r="A11482" s="177" t="s">
        <v>218</v>
      </c>
      <c r="B11482" s="127" t="s">
        <v>219</v>
      </c>
      <c r="C11482" s="127" t="s">
        <v>206</v>
      </c>
      <c r="D11482" s="177" t="s">
        <v>53</v>
      </c>
      <c r="E11482" s="177" t="s">
        <v>13816</v>
      </c>
      <c r="F11482" s="177" t="s">
        <v>760</v>
      </c>
      <c r="G11482" s="177" t="s">
        <v>13817</v>
      </c>
      <c r="H11482" s="127" t="s">
        <v>210</v>
      </c>
    </row>
    <row r="11483" hidden="1">
      <c r="A11483" s="177" t="s">
        <v>218</v>
      </c>
      <c r="B11483" s="127" t="s">
        <v>219</v>
      </c>
      <c r="C11483" s="127" t="s">
        <v>206</v>
      </c>
      <c r="D11483" s="177" t="s">
        <v>53</v>
      </c>
      <c r="E11483" s="177" t="s">
        <v>13818</v>
      </c>
      <c r="F11483" s="177" t="s">
        <v>735</v>
      </c>
      <c r="G11483" s="177" t="s">
        <v>13167</v>
      </c>
      <c r="H11483" s="127" t="s">
        <v>211</v>
      </c>
    </row>
    <row r="11484" hidden="1">
      <c r="A11484" s="177" t="s">
        <v>218</v>
      </c>
      <c r="B11484" s="127" t="s">
        <v>219</v>
      </c>
      <c r="C11484" s="127" t="s">
        <v>206</v>
      </c>
      <c r="D11484" s="177" t="s">
        <v>53</v>
      </c>
      <c r="E11484" s="177" t="s">
        <v>13819</v>
      </c>
      <c r="F11484" s="177" t="s">
        <v>453</v>
      </c>
      <c r="G11484" s="177" t="s">
        <v>13820</v>
      </c>
      <c r="H11484" s="127" t="s">
        <v>212</v>
      </c>
    </row>
    <row r="11485" hidden="1">
      <c r="A11485" s="177" t="s">
        <v>218</v>
      </c>
      <c r="B11485" s="127" t="s">
        <v>219</v>
      </c>
      <c r="C11485" s="127" t="s">
        <v>206</v>
      </c>
      <c r="D11485" s="177" t="s">
        <v>53</v>
      </c>
      <c r="E11485" s="177" t="s">
        <v>13821</v>
      </c>
      <c r="F11485" s="177" t="s">
        <v>1530</v>
      </c>
      <c r="G11485" s="177" t="s">
        <v>12443</v>
      </c>
      <c r="H11485" s="127" t="s">
        <v>213</v>
      </c>
    </row>
    <row r="11486" hidden="1">
      <c r="A11486" s="177" t="s">
        <v>218</v>
      </c>
      <c r="B11486" s="127" t="s">
        <v>219</v>
      </c>
      <c r="C11486" s="127" t="s">
        <v>206</v>
      </c>
      <c r="D11486" s="177" t="s">
        <v>53</v>
      </c>
      <c r="E11486" s="177" t="s">
        <v>13822</v>
      </c>
      <c r="F11486" s="177" t="s">
        <v>448</v>
      </c>
      <c r="G11486" s="177" t="s">
        <v>13823</v>
      </c>
      <c r="H11486" s="127" t="s">
        <v>214</v>
      </c>
    </row>
    <row r="11487" hidden="1">
      <c r="A11487" s="177" t="s">
        <v>218</v>
      </c>
      <c r="B11487" s="127" t="s">
        <v>219</v>
      </c>
      <c r="C11487" s="127" t="s">
        <v>206</v>
      </c>
      <c r="D11487" s="177" t="s">
        <v>53</v>
      </c>
      <c r="E11487" s="177" t="s">
        <v>13824</v>
      </c>
      <c r="F11487" s="177" t="s">
        <v>1999</v>
      </c>
      <c r="G11487" s="177" t="s">
        <v>13165</v>
      </c>
      <c r="H11487" s="127" t="s">
        <v>215</v>
      </c>
    </row>
    <row r="11488" hidden="1">
      <c r="A11488" s="177" t="s">
        <v>218</v>
      </c>
      <c r="B11488" s="127" t="s">
        <v>219</v>
      </c>
      <c r="C11488" s="127" t="s">
        <v>206</v>
      </c>
      <c r="D11488" s="177" t="s">
        <v>53</v>
      </c>
      <c r="E11488" s="177" t="s">
        <v>13825</v>
      </c>
      <c r="F11488" s="177" t="s">
        <v>1530</v>
      </c>
      <c r="G11488" s="177" t="s">
        <v>13826</v>
      </c>
      <c r="H11488" s="127" t="s">
        <v>216</v>
      </c>
    </row>
    <row r="11489" hidden="1">
      <c r="A11489" s="177" t="s">
        <v>220</v>
      </c>
      <c r="B11489" s="127" t="s">
        <v>190</v>
      </c>
      <c r="C11489" s="127" t="s">
        <v>206</v>
      </c>
      <c r="D11489" s="177" t="s">
        <v>53</v>
      </c>
      <c r="E11489" s="177" t="s">
        <v>13827</v>
      </c>
      <c r="F11489" s="177" t="s">
        <v>265</v>
      </c>
      <c r="G11489" s="177" t="s">
        <v>12164</v>
      </c>
      <c r="H11489" s="127" t="s">
        <v>210</v>
      </c>
    </row>
    <row r="11490" hidden="1">
      <c r="A11490" s="177" t="s">
        <v>220</v>
      </c>
      <c r="B11490" s="127" t="s">
        <v>190</v>
      </c>
      <c r="C11490" s="127" t="s">
        <v>206</v>
      </c>
      <c r="D11490" s="177" t="s">
        <v>53</v>
      </c>
      <c r="E11490" s="177" t="s">
        <v>13828</v>
      </c>
      <c r="F11490" s="177" t="s">
        <v>357</v>
      </c>
      <c r="G11490" s="177" t="s">
        <v>13829</v>
      </c>
      <c r="H11490" s="127" t="s">
        <v>211</v>
      </c>
    </row>
    <row r="11491" hidden="1">
      <c r="A11491" s="177" t="s">
        <v>220</v>
      </c>
      <c r="B11491" s="127" t="s">
        <v>190</v>
      </c>
      <c r="C11491" s="127" t="s">
        <v>206</v>
      </c>
      <c r="D11491" s="177" t="s">
        <v>53</v>
      </c>
      <c r="E11491" s="177" t="s">
        <v>13830</v>
      </c>
      <c r="F11491" s="177" t="s">
        <v>483</v>
      </c>
      <c r="G11491" s="177" t="s">
        <v>13831</v>
      </c>
      <c r="H11491" s="127" t="s">
        <v>212</v>
      </c>
    </row>
    <row r="11492" hidden="1">
      <c r="A11492" s="177" t="s">
        <v>220</v>
      </c>
      <c r="B11492" s="127" t="s">
        <v>190</v>
      </c>
      <c r="C11492" s="127" t="s">
        <v>206</v>
      </c>
      <c r="D11492" s="177" t="s">
        <v>53</v>
      </c>
      <c r="E11492" s="177" t="s">
        <v>13832</v>
      </c>
      <c r="F11492" s="177" t="s">
        <v>308</v>
      </c>
      <c r="G11492" s="177" t="s">
        <v>13833</v>
      </c>
      <c r="H11492" s="127" t="s">
        <v>213</v>
      </c>
    </row>
    <row r="11493" hidden="1">
      <c r="A11493" s="177" t="s">
        <v>220</v>
      </c>
      <c r="B11493" s="127" t="s">
        <v>190</v>
      </c>
      <c r="C11493" s="127" t="s">
        <v>206</v>
      </c>
      <c r="D11493" s="177" t="s">
        <v>53</v>
      </c>
      <c r="E11493" s="177" t="s">
        <v>13834</v>
      </c>
      <c r="F11493" s="177" t="s">
        <v>308</v>
      </c>
      <c r="G11493" s="177" t="s">
        <v>13835</v>
      </c>
      <c r="H11493" s="127" t="s">
        <v>214</v>
      </c>
    </row>
    <row r="11494" hidden="1">
      <c r="A11494" s="177" t="s">
        <v>220</v>
      </c>
      <c r="B11494" s="127" t="s">
        <v>190</v>
      </c>
      <c r="C11494" s="127" t="s">
        <v>206</v>
      </c>
      <c r="D11494" s="177" t="s">
        <v>53</v>
      </c>
      <c r="E11494" s="177" t="s">
        <v>13836</v>
      </c>
      <c r="F11494" s="177" t="s">
        <v>305</v>
      </c>
      <c r="G11494" s="177" t="s">
        <v>13837</v>
      </c>
      <c r="H11494" s="127" t="s">
        <v>215</v>
      </c>
    </row>
    <row r="11495" hidden="1">
      <c r="A11495" s="177" t="s">
        <v>220</v>
      </c>
      <c r="B11495" s="127" t="s">
        <v>190</v>
      </c>
      <c r="C11495" s="127" t="s">
        <v>206</v>
      </c>
      <c r="D11495" s="177" t="s">
        <v>53</v>
      </c>
      <c r="E11495" s="177" t="s">
        <v>13838</v>
      </c>
      <c r="F11495" s="177" t="s">
        <v>246</v>
      </c>
      <c r="G11495" s="177" t="s">
        <v>13839</v>
      </c>
      <c r="H11495" s="127" t="s">
        <v>216</v>
      </c>
    </row>
    <row r="11496" hidden="1">
      <c r="A11496" s="177" t="s">
        <v>221</v>
      </c>
      <c r="B11496" s="127" t="s">
        <v>189</v>
      </c>
      <c r="C11496" s="127" t="s">
        <v>206</v>
      </c>
      <c r="D11496" s="177" t="s">
        <v>53</v>
      </c>
      <c r="E11496" s="177" t="s">
        <v>13840</v>
      </c>
      <c r="F11496" s="177" t="s">
        <v>423</v>
      </c>
      <c r="G11496" s="177" t="s">
        <v>13841</v>
      </c>
      <c r="H11496" s="127" t="s">
        <v>210</v>
      </c>
    </row>
    <row r="11497" hidden="1">
      <c r="A11497" s="177" t="s">
        <v>221</v>
      </c>
      <c r="B11497" s="127" t="s">
        <v>189</v>
      </c>
      <c r="C11497" s="127" t="s">
        <v>206</v>
      </c>
      <c r="D11497" s="177" t="s">
        <v>53</v>
      </c>
      <c r="E11497" s="177" t="s">
        <v>13842</v>
      </c>
      <c r="F11497" s="177" t="s">
        <v>677</v>
      </c>
      <c r="G11497" s="177" t="s">
        <v>13843</v>
      </c>
      <c r="H11497" s="127" t="s">
        <v>211</v>
      </c>
    </row>
    <row r="11498" hidden="1">
      <c r="A11498" s="177" t="s">
        <v>221</v>
      </c>
      <c r="B11498" s="127" t="s">
        <v>189</v>
      </c>
      <c r="C11498" s="127" t="s">
        <v>206</v>
      </c>
      <c r="D11498" s="177" t="s">
        <v>53</v>
      </c>
      <c r="E11498" s="177" t="s">
        <v>13844</v>
      </c>
      <c r="F11498" s="177" t="s">
        <v>1889</v>
      </c>
      <c r="G11498" s="177" t="s">
        <v>13845</v>
      </c>
      <c r="H11498" s="127" t="s">
        <v>212</v>
      </c>
    </row>
    <row r="11499" hidden="1">
      <c r="A11499" s="177" t="s">
        <v>221</v>
      </c>
      <c r="B11499" s="127" t="s">
        <v>189</v>
      </c>
      <c r="C11499" s="127" t="s">
        <v>206</v>
      </c>
      <c r="D11499" s="177" t="s">
        <v>53</v>
      </c>
      <c r="E11499" s="177" t="s">
        <v>13846</v>
      </c>
      <c r="F11499" s="177" t="s">
        <v>348</v>
      </c>
      <c r="G11499" s="177" t="s">
        <v>13847</v>
      </c>
      <c r="H11499" s="127" t="s">
        <v>213</v>
      </c>
    </row>
    <row r="11500" hidden="1">
      <c r="A11500" s="177" t="s">
        <v>221</v>
      </c>
      <c r="B11500" s="127" t="s">
        <v>189</v>
      </c>
      <c r="C11500" s="127" t="s">
        <v>206</v>
      </c>
      <c r="D11500" s="177" t="s">
        <v>53</v>
      </c>
      <c r="E11500" s="177" t="s">
        <v>13848</v>
      </c>
      <c r="F11500" s="177" t="s">
        <v>763</v>
      </c>
      <c r="G11500" s="177" t="s">
        <v>13849</v>
      </c>
      <c r="H11500" s="127" t="s">
        <v>214</v>
      </c>
    </row>
    <row r="11501" hidden="1">
      <c r="A11501" s="177" t="s">
        <v>221</v>
      </c>
      <c r="B11501" s="127" t="s">
        <v>189</v>
      </c>
      <c r="C11501" s="127" t="s">
        <v>206</v>
      </c>
      <c r="D11501" s="177" t="s">
        <v>53</v>
      </c>
      <c r="E11501" s="177" t="s">
        <v>13850</v>
      </c>
      <c r="F11501" s="177" t="s">
        <v>3240</v>
      </c>
      <c r="G11501" s="177" t="s">
        <v>13851</v>
      </c>
      <c r="H11501" s="127" t="s">
        <v>215</v>
      </c>
    </row>
    <row r="11502" hidden="1">
      <c r="A11502" s="177" t="s">
        <v>221</v>
      </c>
      <c r="B11502" s="127" t="s">
        <v>189</v>
      </c>
      <c r="C11502" s="127" t="s">
        <v>206</v>
      </c>
      <c r="D11502" s="177" t="s">
        <v>53</v>
      </c>
      <c r="E11502" s="177" t="s">
        <v>13852</v>
      </c>
      <c r="F11502" s="177" t="s">
        <v>448</v>
      </c>
      <c r="G11502" s="177" t="s">
        <v>13853</v>
      </c>
      <c r="H11502" s="127" t="s">
        <v>216</v>
      </c>
    </row>
    <row r="11503" hidden="1">
      <c r="A11503" s="177" t="s">
        <v>222</v>
      </c>
      <c r="B11503" s="127" t="s">
        <v>192</v>
      </c>
      <c r="C11503" s="127" t="s">
        <v>206</v>
      </c>
      <c r="D11503" s="177" t="s">
        <v>53</v>
      </c>
      <c r="E11503" s="177" t="s">
        <v>13854</v>
      </c>
      <c r="F11503" s="177" t="s">
        <v>305</v>
      </c>
      <c r="G11503" s="177" t="s">
        <v>12443</v>
      </c>
      <c r="H11503" s="127" t="s">
        <v>210</v>
      </c>
    </row>
    <row r="11504" hidden="1">
      <c r="A11504" s="177" t="s">
        <v>222</v>
      </c>
      <c r="B11504" s="127" t="s">
        <v>192</v>
      </c>
      <c r="C11504" s="127" t="s">
        <v>206</v>
      </c>
      <c r="D11504" s="177" t="s">
        <v>53</v>
      </c>
      <c r="E11504" s="177" t="s">
        <v>13855</v>
      </c>
      <c r="F11504" s="177" t="s">
        <v>450</v>
      </c>
      <c r="G11504" s="177" t="s">
        <v>13856</v>
      </c>
      <c r="H11504" s="127" t="s">
        <v>211</v>
      </c>
    </row>
    <row r="11505" hidden="1">
      <c r="A11505" s="177" t="s">
        <v>222</v>
      </c>
      <c r="B11505" s="127" t="s">
        <v>192</v>
      </c>
      <c r="C11505" s="127" t="s">
        <v>206</v>
      </c>
      <c r="D11505" s="177" t="s">
        <v>53</v>
      </c>
      <c r="E11505" s="177" t="s">
        <v>13857</v>
      </c>
      <c r="F11505" s="177" t="s">
        <v>331</v>
      </c>
      <c r="G11505" s="177" t="s">
        <v>12597</v>
      </c>
      <c r="H11505" s="127" t="s">
        <v>212</v>
      </c>
    </row>
    <row r="11506" hidden="1">
      <c r="A11506" s="177" t="s">
        <v>222</v>
      </c>
      <c r="B11506" s="127" t="s">
        <v>192</v>
      </c>
      <c r="C11506" s="127" t="s">
        <v>206</v>
      </c>
      <c r="D11506" s="177" t="s">
        <v>53</v>
      </c>
      <c r="E11506" s="177" t="s">
        <v>13858</v>
      </c>
      <c r="F11506" s="177" t="s">
        <v>483</v>
      </c>
      <c r="G11506" s="177" t="s">
        <v>12919</v>
      </c>
      <c r="H11506" s="127" t="s">
        <v>213</v>
      </c>
    </row>
    <row r="11507" hidden="1">
      <c r="A11507" s="177" t="s">
        <v>222</v>
      </c>
      <c r="B11507" s="127" t="s">
        <v>192</v>
      </c>
      <c r="C11507" s="127" t="s">
        <v>206</v>
      </c>
      <c r="D11507" s="177" t="s">
        <v>53</v>
      </c>
      <c r="E11507" s="177" t="s">
        <v>13859</v>
      </c>
      <c r="F11507" s="177" t="s">
        <v>336</v>
      </c>
      <c r="G11507" s="177" t="s">
        <v>12758</v>
      </c>
      <c r="H11507" s="127" t="s">
        <v>214</v>
      </c>
    </row>
    <row r="11508" hidden="1">
      <c r="A11508" s="177" t="s">
        <v>222</v>
      </c>
      <c r="B11508" s="127" t="s">
        <v>192</v>
      </c>
      <c r="C11508" s="127" t="s">
        <v>206</v>
      </c>
      <c r="D11508" s="177" t="s">
        <v>53</v>
      </c>
      <c r="E11508" s="177" t="s">
        <v>13860</v>
      </c>
      <c r="F11508" s="177" t="s">
        <v>336</v>
      </c>
      <c r="G11508" s="177" t="s">
        <v>12493</v>
      </c>
      <c r="H11508" s="127" t="s">
        <v>215</v>
      </c>
    </row>
    <row r="11509" hidden="1">
      <c r="A11509" s="177" t="s">
        <v>222</v>
      </c>
      <c r="B11509" s="127" t="s">
        <v>192</v>
      </c>
      <c r="C11509" s="127" t="s">
        <v>206</v>
      </c>
      <c r="D11509" s="177" t="s">
        <v>53</v>
      </c>
      <c r="E11509" s="177" t="s">
        <v>13861</v>
      </c>
      <c r="F11509" s="177" t="s">
        <v>427</v>
      </c>
      <c r="G11509" s="177" t="s">
        <v>13862</v>
      </c>
      <c r="H11509" s="127" t="s">
        <v>216</v>
      </c>
    </row>
    <row r="11510" hidden="1">
      <c r="A11510" s="177" t="s">
        <v>223</v>
      </c>
      <c r="B11510" s="127" t="s">
        <v>144</v>
      </c>
      <c r="C11510" s="127" t="s">
        <v>206</v>
      </c>
      <c r="D11510" s="177" t="s">
        <v>53</v>
      </c>
      <c r="E11510" s="177" t="s">
        <v>13863</v>
      </c>
      <c r="F11510" s="177" t="s">
        <v>673</v>
      </c>
      <c r="G11510" s="177" t="s">
        <v>13559</v>
      </c>
      <c r="H11510" s="127" t="s">
        <v>210</v>
      </c>
    </row>
    <row r="11511" hidden="1">
      <c r="A11511" s="177" t="s">
        <v>223</v>
      </c>
      <c r="B11511" s="127" t="s">
        <v>144</v>
      </c>
      <c r="C11511" s="127" t="s">
        <v>206</v>
      </c>
      <c r="D11511" s="177" t="s">
        <v>53</v>
      </c>
      <c r="E11511" s="177" t="s">
        <v>13864</v>
      </c>
      <c r="F11511" s="177" t="s">
        <v>2994</v>
      </c>
      <c r="G11511" s="177" t="s">
        <v>13865</v>
      </c>
      <c r="H11511" s="127" t="s">
        <v>211</v>
      </c>
    </row>
    <row r="11512" hidden="1">
      <c r="A11512" s="177" t="s">
        <v>223</v>
      </c>
      <c r="B11512" s="127" t="s">
        <v>144</v>
      </c>
      <c r="C11512" s="127" t="s">
        <v>206</v>
      </c>
      <c r="D11512" s="177" t="s">
        <v>53</v>
      </c>
      <c r="E11512" s="177" t="s">
        <v>13866</v>
      </c>
      <c r="F11512" s="177" t="s">
        <v>673</v>
      </c>
      <c r="G11512" s="177" t="s">
        <v>13293</v>
      </c>
      <c r="H11512" s="127" t="s">
        <v>212</v>
      </c>
    </row>
    <row r="11513" hidden="1">
      <c r="A11513" s="177" t="s">
        <v>223</v>
      </c>
      <c r="B11513" s="127" t="s">
        <v>144</v>
      </c>
      <c r="C11513" s="127" t="s">
        <v>206</v>
      </c>
      <c r="D11513" s="177" t="s">
        <v>53</v>
      </c>
      <c r="E11513" s="177" t="s">
        <v>13867</v>
      </c>
      <c r="F11513" s="177" t="s">
        <v>312</v>
      </c>
      <c r="G11513" s="177" t="s">
        <v>13102</v>
      </c>
      <c r="H11513" s="127" t="s">
        <v>213</v>
      </c>
    </row>
    <row r="11514" hidden="1">
      <c r="A11514" s="177" t="s">
        <v>223</v>
      </c>
      <c r="B11514" s="127" t="s">
        <v>144</v>
      </c>
      <c r="C11514" s="127" t="s">
        <v>206</v>
      </c>
      <c r="D11514" s="177" t="s">
        <v>53</v>
      </c>
      <c r="E11514" s="177" t="s">
        <v>13868</v>
      </c>
      <c r="F11514" s="177" t="s">
        <v>312</v>
      </c>
      <c r="G11514" s="177" t="s">
        <v>13869</v>
      </c>
      <c r="H11514" s="127" t="s">
        <v>214</v>
      </c>
    </row>
    <row r="11515" hidden="1">
      <c r="A11515" s="177" t="s">
        <v>223</v>
      </c>
      <c r="B11515" s="127" t="s">
        <v>144</v>
      </c>
      <c r="C11515" s="127" t="s">
        <v>206</v>
      </c>
      <c r="D11515" s="177" t="s">
        <v>53</v>
      </c>
      <c r="E11515" s="177" t="s">
        <v>13870</v>
      </c>
      <c r="F11515" s="177" t="s">
        <v>453</v>
      </c>
      <c r="G11515" s="177" t="s">
        <v>13181</v>
      </c>
      <c r="H11515" s="127" t="s">
        <v>215</v>
      </c>
    </row>
    <row r="11516" hidden="1">
      <c r="A11516" s="177" t="s">
        <v>223</v>
      </c>
      <c r="B11516" s="127" t="s">
        <v>144</v>
      </c>
      <c r="C11516" s="127" t="s">
        <v>206</v>
      </c>
      <c r="D11516" s="177" t="s">
        <v>53</v>
      </c>
      <c r="E11516" s="177" t="s">
        <v>13871</v>
      </c>
      <c r="F11516" s="177" t="s">
        <v>673</v>
      </c>
      <c r="G11516" s="177" t="s">
        <v>13872</v>
      </c>
      <c r="H11516" s="127" t="s">
        <v>216</v>
      </c>
    </row>
    <row r="11517" hidden="1">
      <c r="A11517" s="177" t="s">
        <v>224</v>
      </c>
      <c r="B11517" s="127" t="s">
        <v>170</v>
      </c>
      <c r="C11517" s="127" t="s">
        <v>206</v>
      </c>
      <c r="D11517" s="177" t="s">
        <v>53</v>
      </c>
      <c r="E11517" s="177" t="s">
        <v>13873</v>
      </c>
      <c r="F11517" s="177" t="s">
        <v>244</v>
      </c>
      <c r="G11517" s="177" t="s">
        <v>12974</v>
      </c>
      <c r="H11517" s="127" t="s">
        <v>210</v>
      </c>
    </row>
    <row r="11518" hidden="1">
      <c r="A11518" s="177" t="s">
        <v>224</v>
      </c>
      <c r="B11518" s="127" t="s">
        <v>170</v>
      </c>
      <c r="C11518" s="127" t="s">
        <v>206</v>
      </c>
      <c r="D11518" s="177" t="s">
        <v>53</v>
      </c>
      <c r="E11518" s="177" t="s">
        <v>13874</v>
      </c>
      <c r="F11518" s="177" t="s">
        <v>351</v>
      </c>
      <c r="G11518" s="177" t="s">
        <v>13875</v>
      </c>
      <c r="H11518" s="127" t="s">
        <v>211</v>
      </c>
    </row>
    <row r="11519" hidden="1">
      <c r="A11519" s="177" t="s">
        <v>224</v>
      </c>
      <c r="B11519" s="127" t="s">
        <v>170</v>
      </c>
      <c r="C11519" s="127" t="s">
        <v>206</v>
      </c>
      <c r="D11519" s="177" t="s">
        <v>53</v>
      </c>
      <c r="E11519" s="177" t="s">
        <v>13876</v>
      </c>
      <c r="F11519" s="177" t="s">
        <v>321</v>
      </c>
      <c r="G11519" s="177" t="s">
        <v>13877</v>
      </c>
      <c r="H11519" s="127" t="s">
        <v>212</v>
      </c>
    </row>
    <row r="11520" hidden="1">
      <c r="A11520" s="177" t="s">
        <v>224</v>
      </c>
      <c r="B11520" s="127" t="s">
        <v>170</v>
      </c>
      <c r="C11520" s="127" t="s">
        <v>206</v>
      </c>
      <c r="D11520" s="177" t="s">
        <v>53</v>
      </c>
      <c r="E11520" s="177" t="s">
        <v>13878</v>
      </c>
      <c r="F11520" s="177" t="s">
        <v>331</v>
      </c>
      <c r="G11520" s="177" t="s">
        <v>13879</v>
      </c>
      <c r="H11520" s="127" t="s">
        <v>213</v>
      </c>
    </row>
    <row r="11521" hidden="1">
      <c r="A11521" s="177" t="s">
        <v>224</v>
      </c>
      <c r="B11521" s="127" t="s">
        <v>170</v>
      </c>
      <c r="C11521" s="127" t="s">
        <v>206</v>
      </c>
      <c r="D11521" s="177" t="s">
        <v>53</v>
      </c>
      <c r="E11521" s="177" t="s">
        <v>13880</v>
      </c>
      <c r="F11521" s="177" t="s">
        <v>532</v>
      </c>
      <c r="G11521" s="177" t="s">
        <v>13881</v>
      </c>
      <c r="H11521" s="127" t="s">
        <v>214</v>
      </c>
    </row>
    <row r="11522" hidden="1">
      <c r="A11522" s="177" t="s">
        <v>224</v>
      </c>
      <c r="B11522" s="127" t="s">
        <v>170</v>
      </c>
      <c r="C11522" s="127" t="s">
        <v>206</v>
      </c>
      <c r="D11522" s="177" t="s">
        <v>53</v>
      </c>
      <c r="E11522" s="177" t="s">
        <v>13882</v>
      </c>
      <c r="F11522" s="177" t="s">
        <v>285</v>
      </c>
      <c r="G11522" s="177" t="s">
        <v>13883</v>
      </c>
      <c r="H11522" s="127" t="s">
        <v>215</v>
      </c>
    </row>
    <row r="11523" hidden="1">
      <c r="A11523" s="177" t="s">
        <v>224</v>
      </c>
      <c r="B11523" s="127" t="s">
        <v>170</v>
      </c>
      <c r="C11523" s="127" t="s">
        <v>206</v>
      </c>
      <c r="D11523" s="177" t="s">
        <v>53</v>
      </c>
      <c r="E11523" s="177" t="s">
        <v>13884</v>
      </c>
      <c r="F11523" s="177" t="s">
        <v>249</v>
      </c>
      <c r="G11523" s="177" t="s">
        <v>13885</v>
      </c>
      <c r="H11523" s="127" t="s">
        <v>216</v>
      </c>
    </row>
    <row r="11524" hidden="1">
      <c r="A11524" s="177" t="s">
        <v>225</v>
      </c>
      <c r="B11524" s="127" t="s">
        <v>226</v>
      </c>
      <c r="C11524" s="127" t="s">
        <v>206</v>
      </c>
      <c r="D11524" s="177" t="s">
        <v>53</v>
      </c>
      <c r="E11524" s="177" t="s">
        <v>13886</v>
      </c>
      <c r="F11524" s="177" t="s">
        <v>325</v>
      </c>
      <c r="G11524" s="177" t="s">
        <v>13053</v>
      </c>
      <c r="H11524" s="127" t="s">
        <v>210</v>
      </c>
    </row>
    <row r="11525" hidden="1">
      <c r="A11525" s="177" t="s">
        <v>225</v>
      </c>
      <c r="B11525" s="127" t="s">
        <v>226</v>
      </c>
      <c r="C11525" s="127" t="s">
        <v>206</v>
      </c>
      <c r="D11525" s="177" t="s">
        <v>53</v>
      </c>
      <c r="E11525" s="177" t="s">
        <v>13887</v>
      </c>
      <c r="F11525" s="177" t="s">
        <v>321</v>
      </c>
      <c r="G11525" s="177" t="s">
        <v>13888</v>
      </c>
      <c r="H11525" s="127" t="s">
        <v>211</v>
      </c>
    </row>
    <row r="11526" hidden="1">
      <c r="A11526" s="177" t="s">
        <v>225</v>
      </c>
      <c r="B11526" s="127" t="s">
        <v>226</v>
      </c>
      <c r="C11526" s="127" t="s">
        <v>206</v>
      </c>
      <c r="D11526" s="177" t="s">
        <v>53</v>
      </c>
      <c r="E11526" s="177" t="s">
        <v>13889</v>
      </c>
      <c r="F11526" s="177" t="s">
        <v>329</v>
      </c>
      <c r="G11526" s="177" t="s">
        <v>12879</v>
      </c>
      <c r="H11526" s="127" t="s">
        <v>212</v>
      </c>
    </row>
    <row r="11527" hidden="1">
      <c r="A11527" s="177" t="s">
        <v>225</v>
      </c>
      <c r="B11527" s="127" t="s">
        <v>226</v>
      </c>
      <c r="C11527" s="127" t="s">
        <v>206</v>
      </c>
      <c r="D11527" s="177" t="s">
        <v>53</v>
      </c>
      <c r="E11527" s="177" t="s">
        <v>13890</v>
      </c>
      <c r="F11527" s="177" t="s">
        <v>427</v>
      </c>
      <c r="G11527" s="177" t="s">
        <v>13891</v>
      </c>
      <c r="H11527" s="127" t="s">
        <v>213</v>
      </c>
    </row>
    <row r="11528" hidden="1">
      <c r="A11528" s="177" t="s">
        <v>225</v>
      </c>
      <c r="B11528" s="127" t="s">
        <v>226</v>
      </c>
      <c r="C11528" s="127" t="s">
        <v>206</v>
      </c>
      <c r="D11528" s="177" t="s">
        <v>53</v>
      </c>
      <c r="E11528" s="177" t="s">
        <v>13892</v>
      </c>
      <c r="F11528" s="177" t="s">
        <v>3218</v>
      </c>
      <c r="G11528" s="177" t="s">
        <v>13893</v>
      </c>
      <c r="H11528" s="127" t="s">
        <v>214</v>
      </c>
    </row>
    <row r="11529" hidden="1">
      <c r="A11529" s="177" t="s">
        <v>225</v>
      </c>
      <c r="B11529" s="127" t="s">
        <v>226</v>
      </c>
      <c r="C11529" s="127" t="s">
        <v>206</v>
      </c>
      <c r="D11529" s="177" t="s">
        <v>53</v>
      </c>
      <c r="E11529" s="177" t="s">
        <v>13894</v>
      </c>
      <c r="F11529" s="177" t="s">
        <v>1530</v>
      </c>
      <c r="G11529" s="177" t="s">
        <v>12506</v>
      </c>
      <c r="H11529" s="127" t="s">
        <v>215</v>
      </c>
    </row>
    <row r="11530" hidden="1">
      <c r="A11530" s="177" t="s">
        <v>225</v>
      </c>
      <c r="B11530" s="127" t="s">
        <v>226</v>
      </c>
      <c r="C11530" s="127" t="s">
        <v>206</v>
      </c>
      <c r="D11530" s="177" t="s">
        <v>53</v>
      </c>
      <c r="E11530" s="177" t="s">
        <v>13895</v>
      </c>
      <c r="F11530" s="177" t="s">
        <v>427</v>
      </c>
      <c r="G11530" s="177" t="s">
        <v>12812</v>
      </c>
      <c r="H11530" s="127" t="s">
        <v>216</v>
      </c>
    </row>
    <row r="11531" hidden="1">
      <c r="A11531" s="177" t="s">
        <v>227</v>
      </c>
      <c r="B11531" s="127" t="s">
        <v>195</v>
      </c>
      <c r="C11531" s="127" t="s">
        <v>206</v>
      </c>
      <c r="D11531" s="177" t="s">
        <v>53</v>
      </c>
      <c r="E11531" s="177" t="s">
        <v>13896</v>
      </c>
      <c r="F11531" s="177" t="s">
        <v>453</v>
      </c>
      <c r="G11531" s="177" t="s">
        <v>13897</v>
      </c>
      <c r="H11531" s="127" t="s">
        <v>210</v>
      </c>
    </row>
    <row r="11532" hidden="1">
      <c r="A11532" s="177" t="s">
        <v>227</v>
      </c>
      <c r="B11532" s="127" t="s">
        <v>195</v>
      </c>
      <c r="C11532" s="127" t="s">
        <v>206</v>
      </c>
      <c r="D11532" s="177" t="s">
        <v>53</v>
      </c>
      <c r="E11532" s="177" t="s">
        <v>13898</v>
      </c>
      <c r="F11532" s="177" t="s">
        <v>448</v>
      </c>
      <c r="G11532" s="177" t="s">
        <v>12760</v>
      </c>
      <c r="H11532" s="127" t="s">
        <v>211</v>
      </c>
    </row>
    <row r="11533" hidden="1">
      <c r="A11533" s="177" t="s">
        <v>227</v>
      </c>
      <c r="B11533" s="127" t="s">
        <v>195</v>
      </c>
      <c r="C11533" s="127" t="s">
        <v>206</v>
      </c>
      <c r="D11533" s="177" t="s">
        <v>53</v>
      </c>
      <c r="E11533" s="177" t="s">
        <v>13899</v>
      </c>
      <c r="F11533" s="177" t="s">
        <v>799</v>
      </c>
      <c r="G11533" s="177" t="s">
        <v>13712</v>
      </c>
      <c r="H11533" s="127" t="s">
        <v>212</v>
      </c>
    </row>
    <row r="11534" hidden="1">
      <c r="A11534" s="177" t="s">
        <v>227</v>
      </c>
      <c r="B11534" s="127" t="s">
        <v>195</v>
      </c>
      <c r="C11534" s="127" t="s">
        <v>206</v>
      </c>
      <c r="D11534" s="177" t="s">
        <v>53</v>
      </c>
      <c r="E11534" s="177" t="s">
        <v>13900</v>
      </c>
      <c r="F11534" s="177" t="s">
        <v>691</v>
      </c>
      <c r="G11534" s="177" t="s">
        <v>13901</v>
      </c>
      <c r="H11534" s="127" t="s">
        <v>213</v>
      </c>
    </row>
    <row r="11535" hidden="1">
      <c r="A11535" s="177" t="s">
        <v>227</v>
      </c>
      <c r="B11535" s="127" t="s">
        <v>195</v>
      </c>
      <c r="C11535" s="127" t="s">
        <v>206</v>
      </c>
      <c r="D11535" s="177" t="s">
        <v>53</v>
      </c>
      <c r="E11535" s="177" t="s">
        <v>13902</v>
      </c>
      <c r="F11535" s="177" t="s">
        <v>718</v>
      </c>
      <c r="G11535" s="177" t="s">
        <v>13903</v>
      </c>
      <c r="H11535" s="127" t="s">
        <v>214</v>
      </c>
    </row>
    <row r="11536" hidden="1">
      <c r="A11536" s="177" t="s">
        <v>227</v>
      </c>
      <c r="B11536" s="127" t="s">
        <v>195</v>
      </c>
      <c r="C11536" s="127" t="s">
        <v>206</v>
      </c>
      <c r="D11536" s="177" t="s">
        <v>53</v>
      </c>
      <c r="E11536" s="177" t="s">
        <v>13904</v>
      </c>
      <c r="F11536" s="177" t="s">
        <v>3218</v>
      </c>
      <c r="G11536" s="177" t="s">
        <v>13905</v>
      </c>
      <c r="H11536" s="127" t="s">
        <v>215</v>
      </c>
    </row>
    <row r="11537" hidden="1">
      <c r="A11537" s="177" t="s">
        <v>227</v>
      </c>
      <c r="B11537" s="127" t="s">
        <v>195</v>
      </c>
      <c r="C11537" s="127" t="s">
        <v>206</v>
      </c>
      <c r="D11537" s="177" t="s">
        <v>53</v>
      </c>
      <c r="E11537" s="177" t="s">
        <v>13906</v>
      </c>
      <c r="F11537" s="177" t="s">
        <v>405</v>
      </c>
      <c r="G11537" s="177" t="s">
        <v>13907</v>
      </c>
      <c r="H11537" s="127" t="s">
        <v>216</v>
      </c>
    </row>
    <row r="11538" hidden="1">
      <c r="A11538" s="177" t="s">
        <v>228</v>
      </c>
      <c r="B11538" s="127" t="s">
        <v>138</v>
      </c>
      <c r="C11538" s="127" t="s">
        <v>206</v>
      </c>
      <c r="D11538" s="177" t="s">
        <v>53</v>
      </c>
      <c r="E11538" s="177" t="s">
        <v>13908</v>
      </c>
      <c r="F11538" s="177" t="s">
        <v>534</v>
      </c>
      <c r="G11538" s="177" t="s">
        <v>13909</v>
      </c>
      <c r="H11538" s="127" t="s">
        <v>210</v>
      </c>
    </row>
    <row r="11539" hidden="1">
      <c r="A11539" s="177" t="s">
        <v>228</v>
      </c>
      <c r="B11539" s="127" t="s">
        <v>138</v>
      </c>
      <c r="C11539" s="127" t="s">
        <v>206</v>
      </c>
      <c r="D11539" s="177" t="s">
        <v>53</v>
      </c>
      <c r="E11539" s="177" t="s">
        <v>13910</v>
      </c>
      <c r="F11539" s="177" t="s">
        <v>725</v>
      </c>
      <c r="G11539" s="177" t="s">
        <v>13911</v>
      </c>
      <c r="H11539" s="127" t="s">
        <v>211</v>
      </c>
    </row>
    <row r="11540" hidden="1">
      <c r="A11540" s="177" t="s">
        <v>228</v>
      </c>
      <c r="B11540" s="127" t="s">
        <v>138</v>
      </c>
      <c r="C11540" s="127" t="s">
        <v>206</v>
      </c>
      <c r="D11540" s="177" t="s">
        <v>53</v>
      </c>
      <c r="E11540" s="177" t="s">
        <v>13912</v>
      </c>
      <c r="F11540" s="177" t="s">
        <v>2416</v>
      </c>
      <c r="G11540" s="177" t="s">
        <v>13913</v>
      </c>
      <c r="H11540" s="127" t="s">
        <v>212</v>
      </c>
    </row>
    <row r="11541" hidden="1">
      <c r="A11541" s="177" t="s">
        <v>228</v>
      </c>
      <c r="B11541" s="127" t="s">
        <v>138</v>
      </c>
      <c r="C11541" s="127" t="s">
        <v>206</v>
      </c>
      <c r="D11541" s="177" t="s">
        <v>53</v>
      </c>
      <c r="E11541" s="177" t="s">
        <v>13914</v>
      </c>
      <c r="F11541" s="177" t="s">
        <v>390</v>
      </c>
      <c r="G11541" s="177" t="s">
        <v>13915</v>
      </c>
      <c r="H11541" s="127" t="s">
        <v>213</v>
      </c>
    </row>
    <row r="11542" hidden="1">
      <c r="A11542" s="177" t="s">
        <v>228</v>
      </c>
      <c r="B11542" s="127" t="s">
        <v>138</v>
      </c>
      <c r="C11542" s="127" t="s">
        <v>206</v>
      </c>
      <c r="D11542" s="177" t="s">
        <v>53</v>
      </c>
      <c r="E11542" s="177" t="s">
        <v>13916</v>
      </c>
      <c r="F11542" s="177" t="s">
        <v>3218</v>
      </c>
      <c r="G11542" s="177" t="s">
        <v>13917</v>
      </c>
      <c r="H11542" s="127" t="s">
        <v>214</v>
      </c>
    </row>
    <row r="11543" hidden="1">
      <c r="A11543" s="177" t="s">
        <v>228</v>
      </c>
      <c r="B11543" s="127" t="s">
        <v>138</v>
      </c>
      <c r="C11543" s="127" t="s">
        <v>206</v>
      </c>
      <c r="D11543" s="177" t="s">
        <v>53</v>
      </c>
      <c r="E11543" s="177" t="s">
        <v>13918</v>
      </c>
      <c r="F11543" s="177" t="s">
        <v>494</v>
      </c>
      <c r="G11543" s="177" t="s">
        <v>12410</v>
      </c>
      <c r="H11543" s="127" t="s">
        <v>215</v>
      </c>
    </row>
    <row r="11544" hidden="1">
      <c r="A11544" s="177" t="s">
        <v>228</v>
      </c>
      <c r="B11544" s="127" t="s">
        <v>138</v>
      </c>
      <c r="C11544" s="127" t="s">
        <v>206</v>
      </c>
      <c r="D11544" s="177" t="s">
        <v>53</v>
      </c>
      <c r="E11544" s="177" t="s">
        <v>13919</v>
      </c>
      <c r="F11544" s="177" t="s">
        <v>799</v>
      </c>
      <c r="G11544" s="177" t="s">
        <v>13920</v>
      </c>
      <c r="H11544" s="127" t="s">
        <v>216</v>
      </c>
    </row>
    <row r="11545" hidden="1">
      <c r="A11545" s="177" t="s">
        <v>229</v>
      </c>
      <c r="B11545" s="127" t="s">
        <v>193</v>
      </c>
      <c r="C11545" s="127" t="s">
        <v>206</v>
      </c>
      <c r="D11545" s="177" t="s">
        <v>53</v>
      </c>
      <c r="E11545" s="177" t="s">
        <v>13921</v>
      </c>
      <c r="F11545" s="177" t="s">
        <v>348</v>
      </c>
      <c r="G11545" s="177" t="s">
        <v>13922</v>
      </c>
      <c r="H11545" s="127" t="s">
        <v>210</v>
      </c>
    </row>
    <row r="11546" hidden="1">
      <c r="A11546" s="177" t="s">
        <v>229</v>
      </c>
      <c r="B11546" s="127" t="s">
        <v>193</v>
      </c>
      <c r="C11546" s="127" t="s">
        <v>206</v>
      </c>
      <c r="D11546" s="177" t="s">
        <v>53</v>
      </c>
      <c r="E11546" s="177" t="s">
        <v>13923</v>
      </c>
      <c r="F11546" s="177" t="s">
        <v>3218</v>
      </c>
      <c r="G11546" s="177" t="s">
        <v>13924</v>
      </c>
      <c r="H11546" s="127" t="s">
        <v>211</v>
      </c>
    </row>
    <row r="11547" hidden="1">
      <c r="A11547" s="177" t="s">
        <v>229</v>
      </c>
      <c r="B11547" s="127" t="s">
        <v>193</v>
      </c>
      <c r="C11547" s="127" t="s">
        <v>206</v>
      </c>
      <c r="D11547" s="177" t="s">
        <v>53</v>
      </c>
      <c r="E11547" s="177" t="s">
        <v>13925</v>
      </c>
      <c r="F11547" s="177" t="s">
        <v>483</v>
      </c>
      <c r="G11547" s="177" t="s">
        <v>12579</v>
      </c>
      <c r="H11547" s="127" t="s">
        <v>212</v>
      </c>
    </row>
    <row r="11548" hidden="1">
      <c r="A11548" s="177" t="s">
        <v>229</v>
      </c>
      <c r="B11548" s="127" t="s">
        <v>193</v>
      </c>
      <c r="C11548" s="127" t="s">
        <v>206</v>
      </c>
      <c r="D11548" s="177" t="s">
        <v>53</v>
      </c>
      <c r="E11548" s="177" t="s">
        <v>13926</v>
      </c>
      <c r="F11548" s="177" t="s">
        <v>390</v>
      </c>
      <c r="G11548" s="177" t="s">
        <v>13927</v>
      </c>
      <c r="H11548" s="127" t="s">
        <v>213</v>
      </c>
    </row>
    <row r="11549" hidden="1">
      <c r="A11549" s="177" t="s">
        <v>229</v>
      </c>
      <c r="B11549" s="127" t="s">
        <v>193</v>
      </c>
      <c r="C11549" s="127" t="s">
        <v>206</v>
      </c>
      <c r="D11549" s="177" t="s">
        <v>53</v>
      </c>
      <c r="E11549" s="177" t="s">
        <v>13928</v>
      </c>
      <c r="F11549" s="177" t="s">
        <v>2407</v>
      </c>
      <c r="G11549" s="177" t="s">
        <v>13929</v>
      </c>
      <c r="H11549" s="127" t="s">
        <v>214</v>
      </c>
    </row>
    <row r="11550" hidden="1">
      <c r="A11550" s="177" t="s">
        <v>229</v>
      </c>
      <c r="B11550" s="127" t="s">
        <v>193</v>
      </c>
      <c r="C11550" s="127" t="s">
        <v>206</v>
      </c>
      <c r="D11550" s="177" t="s">
        <v>53</v>
      </c>
      <c r="E11550" s="177" t="s">
        <v>13930</v>
      </c>
      <c r="F11550" s="177" t="s">
        <v>760</v>
      </c>
      <c r="G11550" s="177" t="s">
        <v>13931</v>
      </c>
      <c r="H11550" s="127" t="s">
        <v>215</v>
      </c>
    </row>
    <row r="11551" hidden="1">
      <c r="A11551" s="177" t="s">
        <v>229</v>
      </c>
      <c r="B11551" s="127" t="s">
        <v>193</v>
      </c>
      <c r="C11551" s="127" t="s">
        <v>206</v>
      </c>
      <c r="D11551" s="177" t="s">
        <v>53</v>
      </c>
      <c r="E11551" s="177" t="s">
        <v>13932</v>
      </c>
      <c r="F11551" s="177" t="s">
        <v>1929</v>
      </c>
      <c r="G11551" s="177" t="s">
        <v>13933</v>
      </c>
      <c r="H11551" s="127" t="s">
        <v>216</v>
      </c>
    </row>
    <row r="11552" hidden="1">
      <c r="A11552" s="177" t="s">
        <v>230</v>
      </c>
      <c r="B11552" s="127" t="s">
        <v>194</v>
      </c>
      <c r="C11552" s="127" t="s">
        <v>206</v>
      </c>
      <c r="D11552" s="177" t="s">
        <v>53</v>
      </c>
      <c r="E11552" s="177" t="s">
        <v>13934</v>
      </c>
      <c r="F11552" s="177" t="s">
        <v>427</v>
      </c>
      <c r="G11552" s="177" t="s">
        <v>13935</v>
      </c>
      <c r="H11552" s="127" t="s">
        <v>210</v>
      </c>
    </row>
    <row r="11553" hidden="1">
      <c r="A11553" s="177" t="s">
        <v>230</v>
      </c>
      <c r="B11553" s="127" t="s">
        <v>194</v>
      </c>
      <c r="C11553" s="127" t="s">
        <v>206</v>
      </c>
      <c r="D11553" s="177" t="s">
        <v>53</v>
      </c>
      <c r="E11553" s="177" t="s">
        <v>13936</v>
      </c>
      <c r="F11553" s="177" t="s">
        <v>310</v>
      </c>
      <c r="G11553" s="177" t="s">
        <v>13937</v>
      </c>
      <c r="H11553" s="127" t="s">
        <v>211</v>
      </c>
    </row>
    <row r="11554" hidden="1">
      <c r="A11554" s="177" t="s">
        <v>230</v>
      </c>
      <c r="B11554" s="127" t="s">
        <v>194</v>
      </c>
      <c r="C11554" s="127" t="s">
        <v>206</v>
      </c>
      <c r="D11554" s="177" t="s">
        <v>53</v>
      </c>
      <c r="E11554" s="177" t="s">
        <v>13938</v>
      </c>
      <c r="F11554" s="177" t="s">
        <v>799</v>
      </c>
      <c r="G11554" s="177" t="s">
        <v>13767</v>
      </c>
      <c r="H11554" s="127" t="s">
        <v>212</v>
      </c>
    </row>
    <row r="11555" hidden="1">
      <c r="A11555" s="177" t="s">
        <v>230</v>
      </c>
      <c r="B11555" s="127" t="s">
        <v>194</v>
      </c>
      <c r="C11555" s="127" t="s">
        <v>206</v>
      </c>
      <c r="D11555" s="177" t="s">
        <v>53</v>
      </c>
      <c r="E11555" s="177" t="s">
        <v>13939</v>
      </c>
      <c r="F11555" s="177" t="s">
        <v>325</v>
      </c>
      <c r="G11555" s="177" t="s">
        <v>13940</v>
      </c>
      <c r="H11555" s="127" t="s">
        <v>213</v>
      </c>
    </row>
    <row r="11556" hidden="1">
      <c r="A11556" s="177" t="s">
        <v>230</v>
      </c>
      <c r="B11556" s="127" t="s">
        <v>194</v>
      </c>
      <c r="C11556" s="127" t="s">
        <v>206</v>
      </c>
      <c r="D11556" s="177" t="s">
        <v>53</v>
      </c>
      <c r="E11556" s="177" t="s">
        <v>13941</v>
      </c>
      <c r="F11556" s="177" t="s">
        <v>799</v>
      </c>
      <c r="G11556" s="177" t="s">
        <v>13942</v>
      </c>
      <c r="H11556" s="127" t="s">
        <v>214</v>
      </c>
    </row>
    <row r="11557" hidden="1">
      <c r="A11557" s="177" t="s">
        <v>230</v>
      </c>
      <c r="B11557" s="127" t="s">
        <v>194</v>
      </c>
      <c r="C11557" s="127" t="s">
        <v>206</v>
      </c>
      <c r="D11557" s="177" t="s">
        <v>53</v>
      </c>
      <c r="E11557" s="177" t="s">
        <v>13943</v>
      </c>
      <c r="F11557" s="177" t="s">
        <v>336</v>
      </c>
      <c r="G11557" s="177" t="s">
        <v>13944</v>
      </c>
      <c r="H11557" s="127" t="s">
        <v>215</v>
      </c>
    </row>
    <row r="11558" hidden="1">
      <c r="A11558" s="177" t="s">
        <v>230</v>
      </c>
      <c r="B11558" s="127" t="s">
        <v>194</v>
      </c>
      <c r="C11558" s="127" t="s">
        <v>206</v>
      </c>
      <c r="D11558" s="177" t="s">
        <v>53</v>
      </c>
      <c r="E11558" s="177" t="s">
        <v>13945</v>
      </c>
      <c r="F11558" s="177" t="s">
        <v>427</v>
      </c>
      <c r="G11558" s="177" t="s">
        <v>13946</v>
      </c>
      <c r="H11558" s="127" t="s">
        <v>216</v>
      </c>
    </row>
    <row r="11559" hidden="1">
      <c r="A11559" s="127" t="s">
        <v>231</v>
      </c>
      <c r="C11559" s="127" t="s">
        <v>232</v>
      </c>
      <c r="D11559" s="177" t="s">
        <v>53</v>
      </c>
      <c r="E11559" s="177" t="s">
        <v>13947</v>
      </c>
      <c r="F11559" s="177" t="s">
        <v>673</v>
      </c>
      <c r="G11559" s="177" t="s">
        <v>12336</v>
      </c>
      <c r="H11559" s="127" t="s">
        <v>210</v>
      </c>
    </row>
    <row r="11560" hidden="1">
      <c r="A11560" s="127" t="s">
        <v>231</v>
      </c>
      <c r="C11560" s="127" t="s">
        <v>232</v>
      </c>
      <c r="D11560" s="177" t="s">
        <v>53</v>
      </c>
      <c r="E11560" s="177" t="s">
        <v>13948</v>
      </c>
      <c r="F11560" s="177" t="s">
        <v>423</v>
      </c>
      <c r="G11560" s="177" t="s">
        <v>13949</v>
      </c>
      <c r="H11560" s="127" t="s">
        <v>211</v>
      </c>
    </row>
    <row r="11561" hidden="1">
      <c r="A11561" s="127" t="s">
        <v>231</v>
      </c>
      <c r="C11561" s="127" t="s">
        <v>232</v>
      </c>
      <c r="D11561" s="177" t="s">
        <v>53</v>
      </c>
      <c r="E11561" s="177" t="s">
        <v>13950</v>
      </c>
      <c r="F11561" s="177" t="s">
        <v>329</v>
      </c>
      <c r="G11561" s="177" t="s">
        <v>13951</v>
      </c>
      <c r="H11561" s="127" t="s">
        <v>212</v>
      </c>
    </row>
    <row r="11562" hidden="1">
      <c r="A11562" s="127" t="s">
        <v>231</v>
      </c>
      <c r="C11562" s="127" t="s">
        <v>232</v>
      </c>
      <c r="D11562" s="177" t="s">
        <v>53</v>
      </c>
      <c r="E11562" s="177" t="s">
        <v>13952</v>
      </c>
      <c r="F11562" s="177" t="s">
        <v>285</v>
      </c>
      <c r="G11562" s="177" t="s">
        <v>13953</v>
      </c>
      <c r="H11562" s="127" t="s">
        <v>213</v>
      </c>
    </row>
    <row r="11563" hidden="1">
      <c r="A11563" s="127" t="s">
        <v>231</v>
      </c>
      <c r="C11563" s="127" t="s">
        <v>232</v>
      </c>
      <c r="D11563" s="177" t="s">
        <v>53</v>
      </c>
      <c r="E11563" s="177" t="s">
        <v>13954</v>
      </c>
      <c r="F11563" s="177" t="s">
        <v>799</v>
      </c>
      <c r="G11563" s="177" t="s">
        <v>13010</v>
      </c>
      <c r="H11563" s="127" t="s">
        <v>214</v>
      </c>
    </row>
    <row r="11564" hidden="1">
      <c r="A11564" s="127" t="s">
        <v>231</v>
      </c>
      <c r="C11564" s="127" t="s">
        <v>232</v>
      </c>
      <c r="D11564" s="177" t="s">
        <v>53</v>
      </c>
      <c r="E11564" s="177" t="s">
        <v>13955</v>
      </c>
      <c r="F11564" s="177" t="s">
        <v>478</v>
      </c>
      <c r="G11564" s="177" t="s">
        <v>13956</v>
      </c>
      <c r="H11564" s="127" t="s">
        <v>215</v>
      </c>
    </row>
    <row r="11565" hidden="1">
      <c r="A11565" s="127" t="s">
        <v>231</v>
      </c>
      <c r="C11565" s="127" t="s">
        <v>232</v>
      </c>
      <c r="D11565" s="177" t="s">
        <v>53</v>
      </c>
      <c r="E11565" s="177" t="s">
        <v>13957</v>
      </c>
      <c r="F11565" s="177" t="s">
        <v>718</v>
      </c>
      <c r="G11565" s="177" t="s">
        <v>13958</v>
      </c>
      <c r="H11565" s="127" t="s">
        <v>216</v>
      </c>
    </row>
    <row r="11566" hidden="1">
      <c r="A11566" s="127" t="s">
        <v>233</v>
      </c>
      <c r="C11566" s="127" t="s">
        <v>232</v>
      </c>
      <c r="D11566" s="177" t="s">
        <v>53</v>
      </c>
      <c r="E11566" s="177" t="s">
        <v>13959</v>
      </c>
      <c r="F11566" s="177" t="s">
        <v>425</v>
      </c>
      <c r="G11566" s="177" t="s">
        <v>13960</v>
      </c>
      <c r="H11566" s="127" t="s">
        <v>210</v>
      </c>
    </row>
    <row r="11567" hidden="1">
      <c r="A11567" s="127" t="s">
        <v>233</v>
      </c>
      <c r="C11567" s="127" t="s">
        <v>232</v>
      </c>
      <c r="D11567" s="177" t="s">
        <v>53</v>
      </c>
      <c r="E11567" s="177" t="s">
        <v>13961</v>
      </c>
      <c r="F11567" s="177" t="s">
        <v>450</v>
      </c>
      <c r="G11567" s="177" t="s">
        <v>13962</v>
      </c>
      <c r="H11567" s="127" t="s">
        <v>211</v>
      </c>
    </row>
    <row r="11568" hidden="1">
      <c r="A11568" s="127" t="s">
        <v>233</v>
      </c>
      <c r="C11568" s="127" t="s">
        <v>232</v>
      </c>
      <c r="D11568" s="177" t="s">
        <v>53</v>
      </c>
      <c r="E11568" s="177" t="s">
        <v>13963</v>
      </c>
      <c r="F11568" s="177" t="s">
        <v>351</v>
      </c>
      <c r="G11568" s="177" t="s">
        <v>13964</v>
      </c>
      <c r="H11568" s="127" t="s">
        <v>212</v>
      </c>
    </row>
    <row r="11569" hidden="1">
      <c r="A11569" s="127" t="s">
        <v>233</v>
      </c>
      <c r="C11569" s="127" t="s">
        <v>232</v>
      </c>
      <c r="D11569" s="177" t="s">
        <v>53</v>
      </c>
      <c r="E11569" s="177" t="s">
        <v>13965</v>
      </c>
      <c r="F11569" s="177" t="s">
        <v>427</v>
      </c>
      <c r="G11569" s="177" t="s">
        <v>13966</v>
      </c>
      <c r="H11569" s="127" t="s">
        <v>213</v>
      </c>
    </row>
    <row r="11570" hidden="1">
      <c r="A11570" s="127" t="s">
        <v>233</v>
      </c>
      <c r="C11570" s="127" t="s">
        <v>232</v>
      </c>
      <c r="D11570" s="177" t="s">
        <v>53</v>
      </c>
      <c r="E11570" s="177" t="s">
        <v>13967</v>
      </c>
      <c r="F11570" s="177" t="s">
        <v>354</v>
      </c>
      <c r="G11570" s="177" t="s">
        <v>13968</v>
      </c>
      <c r="H11570" s="127" t="s">
        <v>214</v>
      </c>
    </row>
    <row r="11571" hidden="1">
      <c r="A11571" s="127" t="s">
        <v>233</v>
      </c>
      <c r="C11571" s="127" t="s">
        <v>232</v>
      </c>
      <c r="D11571" s="177" t="s">
        <v>53</v>
      </c>
      <c r="E11571" s="177" t="s">
        <v>13969</v>
      </c>
      <c r="F11571" s="177" t="s">
        <v>450</v>
      </c>
      <c r="G11571" s="177" t="s">
        <v>13970</v>
      </c>
      <c r="H11571" s="127" t="s">
        <v>215</v>
      </c>
    </row>
    <row r="11572" hidden="1">
      <c r="A11572" s="127" t="s">
        <v>233</v>
      </c>
      <c r="C11572" s="127" t="s">
        <v>232</v>
      </c>
      <c r="D11572" s="177" t="s">
        <v>53</v>
      </c>
      <c r="E11572" s="177" t="s">
        <v>13971</v>
      </c>
      <c r="F11572" s="177" t="s">
        <v>325</v>
      </c>
      <c r="G11572" s="177" t="s">
        <v>13972</v>
      </c>
      <c r="H11572" s="127" t="s">
        <v>216</v>
      </c>
    </row>
    <row r="11573" hidden="1">
      <c r="A11573" s="127" t="s">
        <v>234</v>
      </c>
      <c r="C11573" s="127" t="s">
        <v>232</v>
      </c>
      <c r="D11573" s="177" t="s">
        <v>53</v>
      </c>
      <c r="E11573" s="177" t="s">
        <v>13973</v>
      </c>
      <c r="F11573" s="177" t="s">
        <v>427</v>
      </c>
      <c r="G11573" s="177" t="s">
        <v>13248</v>
      </c>
      <c r="H11573" s="127" t="s">
        <v>210</v>
      </c>
    </row>
    <row r="11574" hidden="1">
      <c r="A11574" s="127" t="s">
        <v>234</v>
      </c>
      <c r="C11574" s="127" t="s">
        <v>232</v>
      </c>
      <c r="D11574" s="177" t="s">
        <v>53</v>
      </c>
      <c r="E11574" s="177" t="s">
        <v>13974</v>
      </c>
      <c r="F11574" s="177" t="s">
        <v>329</v>
      </c>
      <c r="G11574" s="177" t="s">
        <v>13975</v>
      </c>
      <c r="H11574" s="127" t="s">
        <v>211</v>
      </c>
    </row>
    <row r="11575" hidden="1">
      <c r="A11575" s="127" t="s">
        <v>234</v>
      </c>
      <c r="C11575" s="127" t="s">
        <v>232</v>
      </c>
      <c r="D11575" s="177" t="s">
        <v>53</v>
      </c>
      <c r="E11575" s="177" t="s">
        <v>13976</v>
      </c>
      <c r="F11575" s="177" t="s">
        <v>228</v>
      </c>
      <c r="G11575" s="177" t="s">
        <v>13977</v>
      </c>
      <c r="H11575" s="127" t="s">
        <v>212</v>
      </c>
    </row>
    <row r="11576" hidden="1">
      <c r="A11576" s="127" t="s">
        <v>234</v>
      </c>
      <c r="C11576" s="127" t="s">
        <v>232</v>
      </c>
      <c r="D11576" s="177" t="s">
        <v>53</v>
      </c>
      <c r="E11576" s="177" t="s">
        <v>13978</v>
      </c>
      <c r="F11576" s="177" t="s">
        <v>677</v>
      </c>
      <c r="G11576" s="177" t="s">
        <v>12970</v>
      </c>
      <c r="H11576" s="127" t="s">
        <v>213</v>
      </c>
    </row>
    <row r="11577" hidden="1">
      <c r="A11577" s="127" t="s">
        <v>234</v>
      </c>
      <c r="C11577" s="127" t="s">
        <v>232</v>
      </c>
      <c r="D11577" s="177" t="s">
        <v>53</v>
      </c>
      <c r="E11577" s="177" t="s">
        <v>13979</v>
      </c>
      <c r="F11577" s="177" t="s">
        <v>448</v>
      </c>
      <c r="G11577" s="177" t="s">
        <v>13980</v>
      </c>
      <c r="H11577" s="127" t="s">
        <v>214</v>
      </c>
    </row>
    <row r="11578" hidden="1">
      <c r="A11578" s="127" t="s">
        <v>234</v>
      </c>
      <c r="C11578" s="127" t="s">
        <v>232</v>
      </c>
      <c r="D11578" s="177" t="s">
        <v>53</v>
      </c>
      <c r="E11578" s="177" t="s">
        <v>13981</v>
      </c>
      <c r="F11578" s="177" t="s">
        <v>453</v>
      </c>
      <c r="G11578" s="177" t="s">
        <v>13982</v>
      </c>
      <c r="H11578" s="127" t="s">
        <v>215</v>
      </c>
    </row>
    <row r="11579" hidden="1">
      <c r="A11579" s="127" t="s">
        <v>234</v>
      </c>
      <c r="C11579" s="127" t="s">
        <v>232</v>
      </c>
      <c r="D11579" s="177" t="s">
        <v>53</v>
      </c>
      <c r="E11579" s="177" t="s">
        <v>13983</v>
      </c>
      <c r="F11579" s="177" t="s">
        <v>354</v>
      </c>
      <c r="G11579" s="177" t="s">
        <v>13984</v>
      </c>
      <c r="H11579" s="127" t="s">
        <v>216</v>
      </c>
    </row>
    <row r="11580" hidden="1">
      <c r="A11580" s="127" t="s">
        <v>235</v>
      </c>
      <c r="C11580" s="127" t="s">
        <v>236</v>
      </c>
      <c r="D11580" s="177" t="s">
        <v>53</v>
      </c>
      <c r="E11580" s="177" t="s">
        <v>13985</v>
      </c>
      <c r="F11580" s="177" t="s">
        <v>305</v>
      </c>
      <c r="G11580" s="177" t="s">
        <v>13326</v>
      </c>
      <c r="H11580" s="127" t="s">
        <v>210</v>
      </c>
    </row>
    <row r="11581" hidden="1">
      <c r="A11581" s="127" t="s">
        <v>235</v>
      </c>
      <c r="C11581" s="127" t="s">
        <v>236</v>
      </c>
      <c r="D11581" s="177" t="s">
        <v>53</v>
      </c>
      <c r="E11581" s="177" t="s">
        <v>13986</v>
      </c>
      <c r="F11581" s="177" t="s">
        <v>305</v>
      </c>
      <c r="G11581" s="177" t="s">
        <v>13987</v>
      </c>
      <c r="H11581" s="127" t="s">
        <v>211</v>
      </c>
    </row>
    <row r="11582" hidden="1">
      <c r="A11582" s="127" t="s">
        <v>235</v>
      </c>
      <c r="C11582" s="127" t="s">
        <v>236</v>
      </c>
      <c r="D11582" s="177" t="s">
        <v>53</v>
      </c>
      <c r="E11582" s="177" t="s">
        <v>13988</v>
      </c>
      <c r="F11582" s="177" t="s">
        <v>534</v>
      </c>
      <c r="G11582" s="177" t="s">
        <v>12597</v>
      </c>
      <c r="H11582" s="127" t="s">
        <v>212</v>
      </c>
    </row>
    <row r="11583" hidden="1">
      <c r="A11583" s="127" t="s">
        <v>235</v>
      </c>
      <c r="C11583" s="127" t="s">
        <v>236</v>
      </c>
      <c r="D11583" s="177" t="s">
        <v>53</v>
      </c>
      <c r="E11583" s="177" t="s">
        <v>13989</v>
      </c>
      <c r="F11583" s="177" t="s">
        <v>308</v>
      </c>
      <c r="G11583" s="177" t="s">
        <v>13990</v>
      </c>
      <c r="H11583" s="127" t="s">
        <v>213</v>
      </c>
    </row>
    <row r="11584" hidden="1">
      <c r="A11584" s="127" t="s">
        <v>235</v>
      </c>
      <c r="C11584" s="127" t="s">
        <v>236</v>
      </c>
      <c r="D11584" s="177" t="s">
        <v>53</v>
      </c>
      <c r="E11584" s="177" t="s">
        <v>13991</v>
      </c>
      <c r="F11584" s="177" t="s">
        <v>305</v>
      </c>
      <c r="G11584" s="177" t="s">
        <v>13992</v>
      </c>
      <c r="H11584" s="127" t="s">
        <v>214</v>
      </c>
    </row>
    <row r="11585" hidden="1">
      <c r="A11585" s="127" t="s">
        <v>235</v>
      </c>
      <c r="C11585" s="127" t="s">
        <v>236</v>
      </c>
      <c r="D11585" s="177" t="s">
        <v>53</v>
      </c>
      <c r="E11585" s="177" t="s">
        <v>13993</v>
      </c>
      <c r="F11585" s="177" t="s">
        <v>339</v>
      </c>
      <c r="G11585" s="177" t="s">
        <v>13994</v>
      </c>
      <c r="H11585" s="127" t="s">
        <v>215</v>
      </c>
    </row>
    <row r="11586" hidden="1">
      <c r="A11586" s="127" t="s">
        <v>235</v>
      </c>
      <c r="C11586" s="127" t="s">
        <v>236</v>
      </c>
      <c r="D11586" s="177" t="s">
        <v>53</v>
      </c>
      <c r="E11586" s="177" t="s">
        <v>13995</v>
      </c>
      <c r="F11586" s="177" t="s">
        <v>305</v>
      </c>
      <c r="G11586" s="177" t="s">
        <v>13996</v>
      </c>
      <c r="H11586" s="127" t="s">
        <v>216</v>
      </c>
    </row>
    <row r="11587" hidden="1">
      <c r="A11587" s="127" t="s">
        <v>237</v>
      </c>
      <c r="C11587" s="127" t="s">
        <v>236</v>
      </c>
      <c r="D11587" s="177" t="s">
        <v>53</v>
      </c>
      <c r="E11587" s="177" t="s">
        <v>13997</v>
      </c>
      <c r="F11587" s="177" t="s">
        <v>3218</v>
      </c>
      <c r="G11587" s="177" t="s">
        <v>13707</v>
      </c>
      <c r="H11587" s="127" t="s">
        <v>210</v>
      </c>
    </row>
    <row r="11588" hidden="1">
      <c r="A11588" s="127" t="s">
        <v>237</v>
      </c>
      <c r="C11588" s="127" t="s">
        <v>236</v>
      </c>
      <c r="D11588" s="177" t="s">
        <v>53</v>
      </c>
      <c r="E11588" s="177" t="s">
        <v>13998</v>
      </c>
      <c r="F11588" s="177" t="s">
        <v>390</v>
      </c>
      <c r="G11588" s="177" t="s">
        <v>12606</v>
      </c>
      <c r="H11588" s="127" t="s">
        <v>211</v>
      </c>
    </row>
    <row r="11589" hidden="1">
      <c r="A11589" s="127" t="s">
        <v>237</v>
      </c>
      <c r="C11589" s="127" t="s">
        <v>236</v>
      </c>
      <c r="D11589" s="177" t="s">
        <v>53</v>
      </c>
      <c r="E11589" s="177" t="s">
        <v>13999</v>
      </c>
      <c r="F11589" s="177" t="s">
        <v>2512</v>
      </c>
      <c r="G11589" s="177" t="s">
        <v>13841</v>
      </c>
      <c r="H11589" s="127" t="s">
        <v>212</v>
      </c>
    </row>
    <row r="11590" hidden="1">
      <c r="A11590" s="127" t="s">
        <v>237</v>
      </c>
      <c r="C11590" s="127" t="s">
        <v>236</v>
      </c>
      <c r="D11590" s="177" t="s">
        <v>53</v>
      </c>
      <c r="E11590" s="177" t="s">
        <v>14000</v>
      </c>
      <c r="F11590" s="177" t="s">
        <v>766</v>
      </c>
      <c r="G11590" s="177" t="s">
        <v>13552</v>
      </c>
      <c r="H11590" s="127" t="s">
        <v>213</v>
      </c>
    </row>
    <row r="11591" hidden="1">
      <c r="A11591" s="127" t="s">
        <v>237</v>
      </c>
      <c r="C11591" s="127" t="s">
        <v>236</v>
      </c>
      <c r="D11591" s="177" t="s">
        <v>53</v>
      </c>
      <c r="E11591" s="177" t="s">
        <v>14001</v>
      </c>
      <c r="F11591" s="177" t="s">
        <v>3148</v>
      </c>
      <c r="G11591" s="177" t="s">
        <v>14002</v>
      </c>
      <c r="H11591" s="127" t="s">
        <v>214</v>
      </c>
    </row>
    <row r="11592" hidden="1">
      <c r="A11592" s="127" t="s">
        <v>237</v>
      </c>
      <c r="C11592" s="127" t="s">
        <v>236</v>
      </c>
      <c r="D11592" s="177" t="s">
        <v>53</v>
      </c>
      <c r="E11592" s="177" t="s">
        <v>14003</v>
      </c>
      <c r="F11592" s="177" t="s">
        <v>766</v>
      </c>
      <c r="G11592" s="177" t="s">
        <v>13194</v>
      </c>
      <c r="H11592" s="127" t="s">
        <v>215</v>
      </c>
    </row>
    <row r="11593" hidden="1">
      <c r="A11593" s="127" t="s">
        <v>237</v>
      </c>
      <c r="C11593" s="127" t="s">
        <v>236</v>
      </c>
      <c r="D11593" s="177" t="s">
        <v>53</v>
      </c>
      <c r="E11593" s="177" t="s">
        <v>14004</v>
      </c>
      <c r="F11593" s="177" t="s">
        <v>760</v>
      </c>
      <c r="G11593" s="177" t="s">
        <v>14005</v>
      </c>
      <c r="H11593" s="127" t="s">
        <v>216</v>
      </c>
    </row>
    <row r="11594" hidden="1">
      <c r="A11594" s="177" t="s">
        <v>204</v>
      </c>
      <c r="B11594" s="127" t="s">
        <v>205</v>
      </c>
      <c r="C11594" s="127" t="s">
        <v>206</v>
      </c>
      <c r="D11594" s="177" t="s">
        <v>54</v>
      </c>
      <c r="E11594" s="177" t="s">
        <v>14006</v>
      </c>
      <c r="F11594" s="177" t="s">
        <v>329</v>
      </c>
      <c r="G11594" s="177" t="s">
        <v>14007</v>
      </c>
      <c r="H11594" s="127" t="s">
        <v>210</v>
      </c>
    </row>
    <row r="11595" hidden="1">
      <c r="A11595" s="177" t="s">
        <v>204</v>
      </c>
      <c r="B11595" s="127" t="s">
        <v>205</v>
      </c>
      <c r="C11595" s="127" t="s">
        <v>206</v>
      </c>
      <c r="D11595" s="177" t="s">
        <v>54</v>
      </c>
      <c r="E11595" s="177" t="s">
        <v>14008</v>
      </c>
      <c r="F11595" s="177" t="s">
        <v>425</v>
      </c>
      <c r="G11595" s="177" t="s">
        <v>12340</v>
      </c>
      <c r="H11595" s="127" t="s">
        <v>211</v>
      </c>
    </row>
    <row r="11596" hidden="1">
      <c r="A11596" s="177" t="s">
        <v>204</v>
      </c>
      <c r="B11596" s="127" t="s">
        <v>205</v>
      </c>
      <c r="C11596" s="127" t="s">
        <v>206</v>
      </c>
      <c r="D11596" s="177" t="s">
        <v>54</v>
      </c>
      <c r="E11596" s="177" t="s">
        <v>14009</v>
      </c>
      <c r="F11596" s="177" t="s">
        <v>494</v>
      </c>
      <c r="G11596" s="177" t="s">
        <v>14010</v>
      </c>
      <c r="H11596" s="127" t="s">
        <v>212</v>
      </c>
    </row>
    <row r="11597" hidden="1">
      <c r="A11597" s="177" t="s">
        <v>204</v>
      </c>
      <c r="B11597" s="127" t="s">
        <v>205</v>
      </c>
      <c r="C11597" s="127" t="s">
        <v>206</v>
      </c>
      <c r="D11597" s="177" t="s">
        <v>54</v>
      </c>
      <c r="E11597" s="177" t="s">
        <v>14011</v>
      </c>
      <c r="F11597" s="177" t="s">
        <v>423</v>
      </c>
      <c r="G11597" s="177" t="s">
        <v>14012</v>
      </c>
      <c r="H11597" s="127" t="s">
        <v>213</v>
      </c>
    </row>
    <row r="11598" hidden="1">
      <c r="A11598" s="177" t="s">
        <v>204</v>
      </c>
      <c r="B11598" s="127" t="s">
        <v>205</v>
      </c>
      <c r="C11598" s="127" t="s">
        <v>206</v>
      </c>
      <c r="D11598" s="177" t="s">
        <v>54</v>
      </c>
      <c r="E11598" s="177" t="s">
        <v>14013</v>
      </c>
      <c r="F11598" s="177" t="s">
        <v>725</v>
      </c>
      <c r="G11598" s="177" t="s">
        <v>14014</v>
      </c>
      <c r="H11598" s="127" t="s">
        <v>214</v>
      </c>
    </row>
    <row r="11599" hidden="1">
      <c r="A11599" s="177" t="s">
        <v>204</v>
      </c>
      <c r="B11599" s="127" t="s">
        <v>205</v>
      </c>
      <c r="C11599" s="127" t="s">
        <v>206</v>
      </c>
      <c r="D11599" s="177" t="s">
        <v>54</v>
      </c>
      <c r="E11599" s="177" t="s">
        <v>14015</v>
      </c>
      <c r="F11599" s="177" t="s">
        <v>478</v>
      </c>
      <c r="G11599" s="177" t="s">
        <v>14016</v>
      </c>
      <c r="H11599" s="127" t="s">
        <v>215</v>
      </c>
    </row>
    <row r="11600" hidden="1">
      <c r="A11600" s="177" t="s">
        <v>204</v>
      </c>
      <c r="B11600" s="127" t="s">
        <v>205</v>
      </c>
      <c r="C11600" s="127" t="s">
        <v>206</v>
      </c>
      <c r="D11600" s="177" t="s">
        <v>54</v>
      </c>
      <c r="E11600" s="177" t="s">
        <v>14017</v>
      </c>
      <c r="F11600" s="177" t="s">
        <v>799</v>
      </c>
      <c r="G11600" s="177" t="s">
        <v>12942</v>
      </c>
      <c r="H11600" s="127" t="s">
        <v>216</v>
      </c>
    </row>
    <row r="11601" hidden="1">
      <c r="A11601" s="177" t="s">
        <v>217</v>
      </c>
      <c r="B11601" s="127" t="s">
        <v>191</v>
      </c>
      <c r="C11601" s="127" t="s">
        <v>206</v>
      </c>
      <c r="D11601" s="177" t="s">
        <v>54</v>
      </c>
      <c r="E11601" s="177" t="s">
        <v>14018</v>
      </c>
      <c r="F11601" s="177" t="s">
        <v>290</v>
      </c>
      <c r="G11601" s="177" t="s">
        <v>14019</v>
      </c>
      <c r="H11601" s="127" t="s">
        <v>210</v>
      </c>
    </row>
    <row r="11602" hidden="1">
      <c r="A11602" s="177" t="s">
        <v>217</v>
      </c>
      <c r="B11602" s="127" t="s">
        <v>191</v>
      </c>
      <c r="C11602" s="127" t="s">
        <v>206</v>
      </c>
      <c r="D11602" s="177" t="s">
        <v>54</v>
      </c>
      <c r="E11602" s="177" t="s">
        <v>14020</v>
      </c>
      <c r="F11602" s="177" t="s">
        <v>325</v>
      </c>
      <c r="G11602" s="177" t="s">
        <v>12593</v>
      </c>
      <c r="H11602" s="127" t="s">
        <v>211</v>
      </c>
    </row>
    <row r="11603" hidden="1">
      <c r="A11603" s="177" t="s">
        <v>217</v>
      </c>
      <c r="B11603" s="127" t="s">
        <v>191</v>
      </c>
      <c r="C11603" s="127" t="s">
        <v>206</v>
      </c>
      <c r="D11603" s="177" t="s">
        <v>54</v>
      </c>
      <c r="E11603" s="177" t="s">
        <v>14021</v>
      </c>
      <c r="F11603" s="177" t="s">
        <v>532</v>
      </c>
      <c r="G11603" s="177" t="s">
        <v>14022</v>
      </c>
      <c r="H11603" s="127" t="s">
        <v>212</v>
      </c>
    </row>
    <row r="11604" hidden="1">
      <c r="A11604" s="177" t="s">
        <v>217</v>
      </c>
      <c r="B11604" s="127" t="s">
        <v>191</v>
      </c>
      <c r="C11604" s="127" t="s">
        <v>206</v>
      </c>
      <c r="D11604" s="177" t="s">
        <v>54</v>
      </c>
      <c r="E11604" s="177" t="s">
        <v>14023</v>
      </c>
      <c r="F11604" s="177" t="s">
        <v>725</v>
      </c>
      <c r="G11604" s="177" t="s">
        <v>14024</v>
      </c>
      <c r="H11604" s="127" t="s">
        <v>213</v>
      </c>
    </row>
    <row r="11605" hidden="1">
      <c r="A11605" s="177" t="s">
        <v>217</v>
      </c>
      <c r="B11605" s="127" t="s">
        <v>191</v>
      </c>
      <c r="C11605" s="127" t="s">
        <v>206</v>
      </c>
      <c r="D11605" s="177" t="s">
        <v>54</v>
      </c>
      <c r="E11605" s="177" t="s">
        <v>14025</v>
      </c>
      <c r="F11605" s="177" t="s">
        <v>1999</v>
      </c>
      <c r="G11605" s="177" t="s">
        <v>14026</v>
      </c>
      <c r="H11605" s="127" t="s">
        <v>214</v>
      </c>
    </row>
    <row r="11606" hidden="1">
      <c r="A11606" s="177" t="s">
        <v>217</v>
      </c>
      <c r="B11606" s="127" t="s">
        <v>191</v>
      </c>
      <c r="C11606" s="127" t="s">
        <v>206</v>
      </c>
      <c r="D11606" s="177" t="s">
        <v>54</v>
      </c>
      <c r="E11606" s="177" t="s">
        <v>14027</v>
      </c>
      <c r="F11606" s="177" t="s">
        <v>577</v>
      </c>
      <c r="G11606" s="177" t="s">
        <v>12272</v>
      </c>
      <c r="H11606" s="127" t="s">
        <v>215</v>
      </c>
    </row>
    <row r="11607" hidden="1">
      <c r="A11607" s="177" t="s">
        <v>217</v>
      </c>
      <c r="B11607" s="127" t="s">
        <v>191</v>
      </c>
      <c r="C11607" s="127" t="s">
        <v>206</v>
      </c>
      <c r="D11607" s="177" t="s">
        <v>54</v>
      </c>
      <c r="E11607" s="177" t="s">
        <v>14028</v>
      </c>
      <c r="F11607" s="177" t="s">
        <v>336</v>
      </c>
      <c r="G11607" s="177" t="s">
        <v>12593</v>
      </c>
      <c r="H11607" s="127" t="s">
        <v>216</v>
      </c>
    </row>
    <row r="11608" hidden="1">
      <c r="A11608" s="177" t="s">
        <v>218</v>
      </c>
      <c r="B11608" s="127" t="s">
        <v>219</v>
      </c>
      <c r="C11608" s="127" t="s">
        <v>206</v>
      </c>
      <c r="D11608" s="177" t="s">
        <v>54</v>
      </c>
      <c r="E11608" s="177" t="s">
        <v>14029</v>
      </c>
      <c r="F11608" s="177" t="s">
        <v>310</v>
      </c>
      <c r="G11608" s="177" t="s">
        <v>14030</v>
      </c>
      <c r="H11608" s="127" t="s">
        <v>210</v>
      </c>
    </row>
    <row r="11609" hidden="1">
      <c r="A11609" s="177" t="s">
        <v>218</v>
      </c>
      <c r="B11609" s="127" t="s">
        <v>219</v>
      </c>
      <c r="C11609" s="127" t="s">
        <v>206</v>
      </c>
      <c r="D11609" s="177" t="s">
        <v>54</v>
      </c>
      <c r="E11609" s="177" t="s">
        <v>14031</v>
      </c>
      <c r="F11609" s="177" t="s">
        <v>534</v>
      </c>
      <c r="G11609" s="177" t="s">
        <v>14032</v>
      </c>
      <c r="H11609" s="127" t="s">
        <v>211</v>
      </c>
    </row>
    <row r="11610" hidden="1">
      <c r="A11610" s="177" t="s">
        <v>218</v>
      </c>
      <c r="B11610" s="127" t="s">
        <v>219</v>
      </c>
      <c r="C11610" s="127" t="s">
        <v>206</v>
      </c>
      <c r="D11610" s="177" t="s">
        <v>54</v>
      </c>
      <c r="E11610" s="177" t="s">
        <v>14033</v>
      </c>
      <c r="F11610" s="177" t="s">
        <v>336</v>
      </c>
      <c r="G11610" s="177" t="s">
        <v>14034</v>
      </c>
      <c r="H11610" s="127" t="s">
        <v>212</v>
      </c>
    </row>
    <row r="11611" hidden="1">
      <c r="A11611" s="177" t="s">
        <v>218</v>
      </c>
      <c r="B11611" s="127" t="s">
        <v>219</v>
      </c>
      <c r="C11611" s="127" t="s">
        <v>206</v>
      </c>
      <c r="D11611" s="177" t="s">
        <v>54</v>
      </c>
      <c r="E11611" s="177" t="s">
        <v>14035</v>
      </c>
      <c r="F11611" s="177" t="s">
        <v>310</v>
      </c>
      <c r="G11611" s="177" t="s">
        <v>14036</v>
      </c>
      <c r="H11611" s="127" t="s">
        <v>213</v>
      </c>
    </row>
    <row r="11612" hidden="1">
      <c r="A11612" s="177" t="s">
        <v>218</v>
      </c>
      <c r="B11612" s="127" t="s">
        <v>219</v>
      </c>
      <c r="C11612" s="127" t="s">
        <v>206</v>
      </c>
      <c r="D11612" s="177" t="s">
        <v>54</v>
      </c>
      <c r="E11612" s="177" t="s">
        <v>14037</v>
      </c>
      <c r="F11612" s="177" t="s">
        <v>357</v>
      </c>
      <c r="G11612" s="177" t="s">
        <v>14038</v>
      </c>
      <c r="H11612" s="127" t="s">
        <v>214</v>
      </c>
    </row>
    <row r="11613" hidden="1">
      <c r="A11613" s="177" t="s">
        <v>218</v>
      </c>
      <c r="B11613" s="127" t="s">
        <v>219</v>
      </c>
      <c r="C11613" s="127" t="s">
        <v>206</v>
      </c>
      <c r="D11613" s="177" t="s">
        <v>54</v>
      </c>
      <c r="E11613" s="177" t="s">
        <v>14039</v>
      </c>
      <c r="F11613" s="177" t="s">
        <v>310</v>
      </c>
      <c r="G11613" s="177" t="s">
        <v>14007</v>
      </c>
      <c r="H11613" s="127" t="s">
        <v>215</v>
      </c>
    </row>
    <row r="11614" hidden="1">
      <c r="A11614" s="177" t="s">
        <v>218</v>
      </c>
      <c r="B11614" s="127" t="s">
        <v>219</v>
      </c>
      <c r="C11614" s="127" t="s">
        <v>206</v>
      </c>
      <c r="D11614" s="177" t="s">
        <v>54</v>
      </c>
      <c r="E11614" s="177" t="s">
        <v>14040</v>
      </c>
      <c r="F11614" s="177" t="s">
        <v>534</v>
      </c>
      <c r="G11614" s="177" t="s">
        <v>14041</v>
      </c>
      <c r="H11614" s="127" t="s">
        <v>216</v>
      </c>
    </row>
    <row r="11615" hidden="1">
      <c r="A11615" s="177" t="s">
        <v>220</v>
      </c>
      <c r="B11615" s="127" t="s">
        <v>190</v>
      </c>
      <c r="C11615" s="127" t="s">
        <v>206</v>
      </c>
      <c r="D11615" s="177" t="s">
        <v>54</v>
      </c>
      <c r="E11615" s="177" t="s">
        <v>14042</v>
      </c>
      <c r="F11615" s="177" t="s">
        <v>323</v>
      </c>
      <c r="G11615" s="177" t="s">
        <v>12116</v>
      </c>
      <c r="H11615" s="127" t="s">
        <v>210</v>
      </c>
    </row>
    <row r="11616" hidden="1">
      <c r="A11616" s="177" t="s">
        <v>220</v>
      </c>
      <c r="B11616" s="127" t="s">
        <v>190</v>
      </c>
      <c r="C11616" s="127" t="s">
        <v>206</v>
      </c>
      <c r="D11616" s="177" t="s">
        <v>54</v>
      </c>
      <c r="E11616" s="177" t="s">
        <v>14043</v>
      </c>
      <c r="F11616" s="177" t="s">
        <v>257</v>
      </c>
      <c r="G11616" s="177" t="s">
        <v>11994</v>
      </c>
      <c r="H11616" s="127" t="s">
        <v>211</v>
      </c>
    </row>
    <row r="11617" hidden="1">
      <c r="A11617" s="177" t="s">
        <v>220</v>
      </c>
      <c r="B11617" s="127" t="s">
        <v>190</v>
      </c>
      <c r="C11617" s="127" t="s">
        <v>206</v>
      </c>
      <c r="D11617" s="177" t="s">
        <v>54</v>
      </c>
      <c r="E11617" s="177" t="s">
        <v>14044</v>
      </c>
      <c r="F11617" s="177" t="s">
        <v>323</v>
      </c>
      <c r="G11617" s="177" t="s">
        <v>12116</v>
      </c>
      <c r="H11617" s="127" t="s">
        <v>212</v>
      </c>
    </row>
    <row r="11618" hidden="1">
      <c r="A11618" s="177" t="s">
        <v>220</v>
      </c>
      <c r="B11618" s="127" t="s">
        <v>190</v>
      </c>
      <c r="C11618" s="127" t="s">
        <v>206</v>
      </c>
      <c r="D11618" s="177" t="s">
        <v>54</v>
      </c>
      <c r="E11618" s="177" t="s">
        <v>14045</v>
      </c>
      <c r="F11618" s="177" t="s">
        <v>325</v>
      </c>
      <c r="G11618" s="177" t="s">
        <v>12458</v>
      </c>
      <c r="H11618" s="127" t="s">
        <v>213</v>
      </c>
    </row>
    <row r="11619" hidden="1">
      <c r="A11619" s="177" t="s">
        <v>220</v>
      </c>
      <c r="B11619" s="127" t="s">
        <v>190</v>
      </c>
      <c r="C11619" s="127" t="s">
        <v>206</v>
      </c>
      <c r="D11619" s="177" t="s">
        <v>54</v>
      </c>
      <c r="E11619" s="177" t="s">
        <v>14046</v>
      </c>
      <c r="F11619" s="177" t="s">
        <v>359</v>
      </c>
      <c r="G11619" s="177" t="s">
        <v>14047</v>
      </c>
      <c r="H11619" s="127" t="s">
        <v>214</v>
      </c>
    </row>
    <row r="11620" hidden="1">
      <c r="A11620" s="177" t="s">
        <v>220</v>
      </c>
      <c r="B11620" s="127" t="s">
        <v>190</v>
      </c>
      <c r="C11620" s="127" t="s">
        <v>206</v>
      </c>
      <c r="D11620" s="177" t="s">
        <v>54</v>
      </c>
      <c r="E11620" s="177" t="s">
        <v>14048</v>
      </c>
      <c r="F11620" s="177" t="s">
        <v>534</v>
      </c>
      <c r="G11620" s="177" t="s">
        <v>12456</v>
      </c>
      <c r="H11620" s="127" t="s">
        <v>215</v>
      </c>
    </row>
    <row r="11621" hidden="1">
      <c r="A11621" s="177" t="s">
        <v>220</v>
      </c>
      <c r="B11621" s="127" t="s">
        <v>190</v>
      </c>
      <c r="C11621" s="127" t="s">
        <v>206</v>
      </c>
      <c r="D11621" s="177" t="s">
        <v>54</v>
      </c>
      <c r="E11621" s="177" t="s">
        <v>14049</v>
      </c>
      <c r="F11621" s="177" t="s">
        <v>323</v>
      </c>
      <c r="G11621" s="177" t="s">
        <v>14050</v>
      </c>
      <c r="H11621" s="127" t="s">
        <v>216</v>
      </c>
    </row>
    <row r="11622" hidden="1">
      <c r="A11622" s="177" t="s">
        <v>221</v>
      </c>
      <c r="B11622" s="127" t="s">
        <v>189</v>
      </c>
      <c r="C11622" s="127" t="s">
        <v>206</v>
      </c>
      <c r="D11622" s="177" t="s">
        <v>54</v>
      </c>
      <c r="E11622" s="177" t="s">
        <v>14051</v>
      </c>
      <c r="F11622" s="177" t="s">
        <v>1530</v>
      </c>
      <c r="G11622" s="177" t="s">
        <v>12563</v>
      </c>
      <c r="H11622" s="127" t="s">
        <v>210</v>
      </c>
    </row>
    <row r="11623" hidden="1">
      <c r="A11623" s="177" t="s">
        <v>221</v>
      </c>
      <c r="B11623" s="127" t="s">
        <v>189</v>
      </c>
      <c r="C11623" s="127" t="s">
        <v>206</v>
      </c>
      <c r="D11623" s="177" t="s">
        <v>54</v>
      </c>
      <c r="E11623" s="177" t="s">
        <v>14052</v>
      </c>
      <c r="F11623" s="177" t="s">
        <v>390</v>
      </c>
      <c r="G11623" s="177" t="s">
        <v>14053</v>
      </c>
      <c r="H11623" s="127" t="s">
        <v>211</v>
      </c>
    </row>
    <row r="11624" hidden="1">
      <c r="A11624" s="177" t="s">
        <v>221</v>
      </c>
      <c r="B11624" s="127" t="s">
        <v>189</v>
      </c>
      <c r="C11624" s="127" t="s">
        <v>206</v>
      </c>
      <c r="D11624" s="177" t="s">
        <v>54</v>
      </c>
      <c r="E11624" s="177" t="s">
        <v>14054</v>
      </c>
      <c r="F11624" s="177" t="s">
        <v>312</v>
      </c>
      <c r="G11624" s="177" t="s">
        <v>12806</v>
      </c>
      <c r="H11624" s="127" t="s">
        <v>212</v>
      </c>
    </row>
    <row r="11625" hidden="1">
      <c r="A11625" s="177" t="s">
        <v>221</v>
      </c>
      <c r="B11625" s="127" t="s">
        <v>189</v>
      </c>
      <c r="C11625" s="127" t="s">
        <v>206</v>
      </c>
      <c r="D11625" s="177" t="s">
        <v>54</v>
      </c>
      <c r="E11625" s="177" t="s">
        <v>14055</v>
      </c>
      <c r="F11625" s="177" t="s">
        <v>7097</v>
      </c>
      <c r="G11625" s="177" t="s">
        <v>14056</v>
      </c>
      <c r="H11625" s="127" t="s">
        <v>213</v>
      </c>
    </row>
    <row r="11626" hidden="1">
      <c r="A11626" s="177" t="s">
        <v>221</v>
      </c>
      <c r="B11626" s="127" t="s">
        <v>189</v>
      </c>
      <c r="C11626" s="127" t="s">
        <v>206</v>
      </c>
      <c r="D11626" s="177" t="s">
        <v>54</v>
      </c>
      <c r="E11626" s="177" t="s">
        <v>14057</v>
      </c>
      <c r="F11626" s="177" t="s">
        <v>763</v>
      </c>
      <c r="G11626" s="177" t="s">
        <v>14058</v>
      </c>
      <c r="H11626" s="127" t="s">
        <v>214</v>
      </c>
    </row>
    <row r="11627" hidden="1">
      <c r="A11627" s="177" t="s">
        <v>221</v>
      </c>
      <c r="B11627" s="127" t="s">
        <v>189</v>
      </c>
      <c r="C11627" s="127" t="s">
        <v>206</v>
      </c>
      <c r="D11627" s="177" t="s">
        <v>54</v>
      </c>
      <c r="E11627" s="177" t="s">
        <v>14059</v>
      </c>
      <c r="F11627" s="177" t="s">
        <v>2228</v>
      </c>
      <c r="G11627" s="177" t="s">
        <v>14060</v>
      </c>
      <c r="H11627" s="127" t="s">
        <v>215</v>
      </c>
    </row>
    <row r="11628" hidden="1">
      <c r="A11628" s="177" t="s">
        <v>221</v>
      </c>
      <c r="B11628" s="127" t="s">
        <v>189</v>
      </c>
      <c r="C11628" s="127" t="s">
        <v>206</v>
      </c>
      <c r="D11628" s="177" t="s">
        <v>54</v>
      </c>
      <c r="E11628" s="177" t="s">
        <v>14061</v>
      </c>
      <c r="F11628" s="177" t="s">
        <v>348</v>
      </c>
      <c r="G11628" s="177" t="s">
        <v>14062</v>
      </c>
      <c r="H11628" s="127" t="s">
        <v>216</v>
      </c>
    </row>
    <row r="11629" hidden="1">
      <c r="A11629" s="177" t="s">
        <v>222</v>
      </c>
      <c r="B11629" s="127" t="s">
        <v>192</v>
      </c>
      <c r="C11629" s="127" t="s">
        <v>206</v>
      </c>
      <c r="D11629" s="177" t="s">
        <v>54</v>
      </c>
      <c r="E11629" s="177" t="s">
        <v>14063</v>
      </c>
      <c r="F11629" s="177" t="s">
        <v>799</v>
      </c>
      <c r="G11629" s="177" t="s">
        <v>12266</v>
      </c>
      <c r="H11629" s="127" t="s">
        <v>210</v>
      </c>
    </row>
    <row r="11630" hidden="1">
      <c r="A11630" s="177" t="s">
        <v>222</v>
      </c>
      <c r="B11630" s="127" t="s">
        <v>192</v>
      </c>
      <c r="C11630" s="127" t="s">
        <v>206</v>
      </c>
      <c r="D11630" s="177" t="s">
        <v>54</v>
      </c>
      <c r="E11630" s="177" t="s">
        <v>14064</v>
      </c>
      <c r="F11630" s="177" t="s">
        <v>354</v>
      </c>
      <c r="G11630" s="177" t="s">
        <v>14065</v>
      </c>
      <c r="H11630" s="127" t="s">
        <v>211</v>
      </c>
    </row>
    <row r="11631" hidden="1">
      <c r="A11631" s="177" t="s">
        <v>222</v>
      </c>
      <c r="B11631" s="127" t="s">
        <v>192</v>
      </c>
      <c r="C11631" s="127" t="s">
        <v>206</v>
      </c>
      <c r="D11631" s="177" t="s">
        <v>54</v>
      </c>
      <c r="E11631" s="177" t="s">
        <v>14066</v>
      </c>
      <c r="F11631" s="177" t="s">
        <v>483</v>
      </c>
      <c r="G11631" s="177" t="s">
        <v>14067</v>
      </c>
      <c r="H11631" s="127" t="s">
        <v>212</v>
      </c>
    </row>
    <row r="11632" hidden="1">
      <c r="A11632" s="177" t="s">
        <v>222</v>
      </c>
      <c r="B11632" s="127" t="s">
        <v>192</v>
      </c>
      <c r="C11632" s="127" t="s">
        <v>206</v>
      </c>
      <c r="D11632" s="177" t="s">
        <v>54</v>
      </c>
      <c r="E11632" s="177" t="s">
        <v>14068</v>
      </c>
      <c r="F11632" s="177" t="s">
        <v>799</v>
      </c>
      <c r="G11632" s="177" t="s">
        <v>14069</v>
      </c>
      <c r="H11632" s="127" t="s">
        <v>213</v>
      </c>
    </row>
    <row r="11633" hidden="1">
      <c r="A11633" s="177" t="s">
        <v>222</v>
      </c>
      <c r="B11633" s="127" t="s">
        <v>192</v>
      </c>
      <c r="C11633" s="127" t="s">
        <v>206</v>
      </c>
      <c r="D11633" s="177" t="s">
        <v>54</v>
      </c>
      <c r="E11633" s="177" t="s">
        <v>14070</v>
      </c>
      <c r="F11633" s="177" t="s">
        <v>354</v>
      </c>
      <c r="G11633" s="177" t="s">
        <v>14071</v>
      </c>
      <c r="H11633" s="127" t="s">
        <v>214</v>
      </c>
    </row>
    <row r="11634" hidden="1">
      <c r="A11634" s="177" t="s">
        <v>222</v>
      </c>
      <c r="B11634" s="127" t="s">
        <v>192</v>
      </c>
      <c r="C11634" s="127" t="s">
        <v>206</v>
      </c>
      <c r="D11634" s="177" t="s">
        <v>54</v>
      </c>
      <c r="E11634" s="177" t="s">
        <v>14072</v>
      </c>
      <c r="F11634" s="177" t="s">
        <v>725</v>
      </c>
      <c r="G11634" s="177" t="s">
        <v>12447</v>
      </c>
      <c r="H11634" s="127" t="s">
        <v>215</v>
      </c>
    </row>
    <row r="11635" hidden="1">
      <c r="A11635" s="177" t="s">
        <v>222</v>
      </c>
      <c r="B11635" s="127" t="s">
        <v>192</v>
      </c>
      <c r="C11635" s="127" t="s">
        <v>206</v>
      </c>
      <c r="D11635" s="177" t="s">
        <v>54</v>
      </c>
      <c r="E11635" s="177" t="s">
        <v>14073</v>
      </c>
      <c r="F11635" s="177" t="s">
        <v>354</v>
      </c>
      <c r="G11635" s="177" t="s">
        <v>14074</v>
      </c>
      <c r="H11635" s="127" t="s">
        <v>216</v>
      </c>
    </row>
    <row r="11636" hidden="1">
      <c r="A11636" s="177" t="s">
        <v>223</v>
      </c>
      <c r="B11636" s="127" t="s">
        <v>144</v>
      </c>
      <c r="C11636" s="127" t="s">
        <v>206</v>
      </c>
      <c r="D11636" s="177" t="s">
        <v>54</v>
      </c>
      <c r="E11636" s="177" t="s">
        <v>14075</v>
      </c>
      <c r="F11636" s="177" t="s">
        <v>494</v>
      </c>
      <c r="G11636" s="177" t="s">
        <v>14076</v>
      </c>
      <c r="H11636" s="127" t="s">
        <v>210</v>
      </c>
    </row>
    <row r="11637" hidden="1">
      <c r="A11637" s="177" t="s">
        <v>223</v>
      </c>
      <c r="B11637" s="127" t="s">
        <v>144</v>
      </c>
      <c r="C11637" s="127" t="s">
        <v>206</v>
      </c>
      <c r="D11637" s="177" t="s">
        <v>54</v>
      </c>
      <c r="E11637" s="177" t="s">
        <v>14077</v>
      </c>
      <c r="F11637" s="177" t="s">
        <v>483</v>
      </c>
      <c r="G11637" s="177" t="s">
        <v>13624</v>
      </c>
      <c r="H11637" s="127" t="s">
        <v>211</v>
      </c>
    </row>
    <row r="11638" hidden="1">
      <c r="A11638" s="177" t="s">
        <v>223</v>
      </c>
      <c r="B11638" s="127" t="s">
        <v>144</v>
      </c>
      <c r="C11638" s="127" t="s">
        <v>206</v>
      </c>
      <c r="D11638" s="177" t="s">
        <v>54</v>
      </c>
      <c r="E11638" s="177" t="s">
        <v>14078</v>
      </c>
      <c r="F11638" s="177" t="s">
        <v>325</v>
      </c>
      <c r="G11638" s="177" t="s">
        <v>12323</v>
      </c>
      <c r="H11638" s="127" t="s">
        <v>212</v>
      </c>
    </row>
    <row r="11639" hidden="1">
      <c r="A11639" s="177" t="s">
        <v>223</v>
      </c>
      <c r="B11639" s="127" t="s">
        <v>144</v>
      </c>
      <c r="C11639" s="127" t="s">
        <v>206</v>
      </c>
      <c r="D11639" s="177" t="s">
        <v>54</v>
      </c>
      <c r="E11639" s="177" t="s">
        <v>14079</v>
      </c>
      <c r="F11639" s="177" t="s">
        <v>799</v>
      </c>
      <c r="G11639" s="177" t="s">
        <v>14080</v>
      </c>
      <c r="H11639" s="127" t="s">
        <v>213</v>
      </c>
    </row>
    <row r="11640" hidden="1">
      <c r="A11640" s="177" t="s">
        <v>223</v>
      </c>
      <c r="B11640" s="127" t="s">
        <v>144</v>
      </c>
      <c r="C11640" s="127" t="s">
        <v>206</v>
      </c>
      <c r="D11640" s="177" t="s">
        <v>54</v>
      </c>
      <c r="E11640" s="177" t="s">
        <v>14081</v>
      </c>
      <c r="F11640" s="177" t="s">
        <v>450</v>
      </c>
      <c r="G11640" s="177" t="s">
        <v>14082</v>
      </c>
      <c r="H11640" s="127" t="s">
        <v>214</v>
      </c>
    </row>
    <row r="11641" hidden="1">
      <c r="A11641" s="177" t="s">
        <v>223</v>
      </c>
      <c r="B11641" s="127" t="s">
        <v>144</v>
      </c>
      <c r="C11641" s="127" t="s">
        <v>206</v>
      </c>
      <c r="D11641" s="177" t="s">
        <v>54</v>
      </c>
      <c r="E11641" s="177" t="s">
        <v>14083</v>
      </c>
      <c r="F11641" s="177" t="s">
        <v>305</v>
      </c>
      <c r="G11641" s="177" t="s">
        <v>14084</v>
      </c>
      <c r="H11641" s="127" t="s">
        <v>215</v>
      </c>
    </row>
    <row r="11642" hidden="1">
      <c r="A11642" s="177" t="s">
        <v>223</v>
      </c>
      <c r="B11642" s="127" t="s">
        <v>144</v>
      </c>
      <c r="C11642" s="127" t="s">
        <v>206</v>
      </c>
      <c r="D11642" s="177" t="s">
        <v>54</v>
      </c>
      <c r="E11642" s="177" t="s">
        <v>14085</v>
      </c>
      <c r="F11642" s="177" t="s">
        <v>329</v>
      </c>
      <c r="G11642" s="177" t="s">
        <v>14086</v>
      </c>
      <c r="H11642" s="127" t="s">
        <v>216</v>
      </c>
    </row>
    <row r="11643" hidden="1">
      <c r="A11643" s="177" t="s">
        <v>224</v>
      </c>
      <c r="B11643" s="127" t="s">
        <v>170</v>
      </c>
      <c r="C11643" s="127" t="s">
        <v>206</v>
      </c>
      <c r="D11643" s="177" t="s">
        <v>54</v>
      </c>
      <c r="E11643" s="177" t="s">
        <v>14087</v>
      </c>
      <c r="F11643" s="177" t="s">
        <v>766</v>
      </c>
      <c r="G11643" s="177" t="s">
        <v>14088</v>
      </c>
      <c r="H11643" s="127" t="s">
        <v>210</v>
      </c>
    </row>
    <row r="11644" hidden="1">
      <c r="A11644" s="177" t="s">
        <v>224</v>
      </c>
      <c r="B11644" s="127" t="s">
        <v>170</v>
      </c>
      <c r="C11644" s="127" t="s">
        <v>206</v>
      </c>
      <c r="D11644" s="177" t="s">
        <v>54</v>
      </c>
      <c r="E11644" s="177" t="s">
        <v>14089</v>
      </c>
      <c r="F11644" s="177" t="s">
        <v>425</v>
      </c>
      <c r="G11644" s="177" t="s">
        <v>14090</v>
      </c>
      <c r="H11644" s="127" t="s">
        <v>211</v>
      </c>
    </row>
    <row r="11645" hidden="1">
      <c r="A11645" s="177" t="s">
        <v>224</v>
      </c>
      <c r="B11645" s="127" t="s">
        <v>170</v>
      </c>
      <c r="C11645" s="127" t="s">
        <v>206</v>
      </c>
      <c r="D11645" s="177" t="s">
        <v>54</v>
      </c>
      <c r="E11645" s="177" t="s">
        <v>14091</v>
      </c>
      <c r="F11645" s="177" t="s">
        <v>427</v>
      </c>
      <c r="G11645" s="177" t="s">
        <v>14092</v>
      </c>
      <c r="H11645" s="127" t="s">
        <v>212</v>
      </c>
    </row>
    <row r="11646" hidden="1">
      <c r="A11646" s="177" t="s">
        <v>224</v>
      </c>
      <c r="B11646" s="127" t="s">
        <v>170</v>
      </c>
      <c r="C11646" s="127" t="s">
        <v>206</v>
      </c>
      <c r="D11646" s="177" t="s">
        <v>54</v>
      </c>
      <c r="E11646" s="177" t="s">
        <v>14093</v>
      </c>
      <c r="F11646" s="177" t="s">
        <v>290</v>
      </c>
      <c r="G11646" s="177" t="s">
        <v>13552</v>
      </c>
      <c r="H11646" s="127" t="s">
        <v>213</v>
      </c>
    </row>
    <row r="11647" hidden="1">
      <c r="A11647" s="177" t="s">
        <v>224</v>
      </c>
      <c r="B11647" s="127" t="s">
        <v>170</v>
      </c>
      <c r="C11647" s="127" t="s">
        <v>206</v>
      </c>
      <c r="D11647" s="177" t="s">
        <v>54</v>
      </c>
      <c r="E11647" s="177" t="s">
        <v>14094</v>
      </c>
      <c r="F11647" s="177" t="s">
        <v>799</v>
      </c>
      <c r="G11647" s="177" t="s">
        <v>13591</v>
      </c>
      <c r="H11647" s="127" t="s">
        <v>214</v>
      </c>
    </row>
    <row r="11648" hidden="1">
      <c r="A11648" s="177" t="s">
        <v>224</v>
      </c>
      <c r="B11648" s="127" t="s">
        <v>170</v>
      </c>
      <c r="C11648" s="127" t="s">
        <v>206</v>
      </c>
      <c r="D11648" s="177" t="s">
        <v>54</v>
      </c>
      <c r="E11648" s="177" t="s">
        <v>14095</v>
      </c>
      <c r="F11648" s="177" t="s">
        <v>450</v>
      </c>
      <c r="G11648" s="177" t="s">
        <v>14096</v>
      </c>
      <c r="H11648" s="127" t="s">
        <v>215</v>
      </c>
    </row>
    <row r="11649" hidden="1">
      <c r="A11649" s="177" t="s">
        <v>224</v>
      </c>
      <c r="B11649" s="127" t="s">
        <v>170</v>
      </c>
      <c r="C11649" s="127" t="s">
        <v>206</v>
      </c>
      <c r="D11649" s="177" t="s">
        <v>54</v>
      </c>
      <c r="E11649" s="177" t="s">
        <v>14097</v>
      </c>
      <c r="F11649" s="177" t="s">
        <v>718</v>
      </c>
      <c r="G11649" s="177" t="s">
        <v>13502</v>
      </c>
      <c r="H11649" s="127" t="s">
        <v>216</v>
      </c>
    </row>
    <row r="11650" hidden="1">
      <c r="A11650" s="177" t="s">
        <v>225</v>
      </c>
      <c r="B11650" s="127" t="s">
        <v>226</v>
      </c>
      <c r="C11650" s="127" t="s">
        <v>206</v>
      </c>
      <c r="D11650" s="177" t="s">
        <v>54</v>
      </c>
      <c r="E11650" s="177" t="s">
        <v>14098</v>
      </c>
      <c r="F11650" s="177" t="s">
        <v>478</v>
      </c>
      <c r="G11650" s="177" t="s">
        <v>14099</v>
      </c>
      <c r="H11650" s="127" t="s">
        <v>210</v>
      </c>
    </row>
    <row r="11651" hidden="1">
      <c r="A11651" s="177" t="s">
        <v>225</v>
      </c>
      <c r="B11651" s="127" t="s">
        <v>226</v>
      </c>
      <c r="C11651" s="127" t="s">
        <v>206</v>
      </c>
      <c r="D11651" s="177" t="s">
        <v>54</v>
      </c>
      <c r="E11651" s="177" t="s">
        <v>14100</v>
      </c>
      <c r="F11651" s="177" t="s">
        <v>718</v>
      </c>
      <c r="G11651" s="177" t="s">
        <v>14101</v>
      </c>
      <c r="H11651" s="127" t="s">
        <v>211</v>
      </c>
    </row>
    <row r="11652" hidden="1">
      <c r="A11652" s="177" t="s">
        <v>225</v>
      </c>
      <c r="B11652" s="127" t="s">
        <v>226</v>
      </c>
      <c r="C11652" s="127" t="s">
        <v>206</v>
      </c>
      <c r="D11652" s="177" t="s">
        <v>54</v>
      </c>
      <c r="E11652" s="177" t="s">
        <v>14102</v>
      </c>
      <c r="F11652" s="177" t="s">
        <v>312</v>
      </c>
      <c r="G11652" s="177" t="s">
        <v>14103</v>
      </c>
      <c r="H11652" s="127" t="s">
        <v>212</v>
      </c>
    </row>
    <row r="11653" hidden="1">
      <c r="A11653" s="177" t="s">
        <v>225</v>
      </c>
      <c r="B11653" s="127" t="s">
        <v>226</v>
      </c>
      <c r="C11653" s="127" t="s">
        <v>206</v>
      </c>
      <c r="D11653" s="177" t="s">
        <v>54</v>
      </c>
      <c r="E11653" s="177" t="s">
        <v>14104</v>
      </c>
      <c r="F11653" s="177" t="s">
        <v>718</v>
      </c>
      <c r="G11653" s="177" t="s">
        <v>14105</v>
      </c>
      <c r="H11653" s="127" t="s">
        <v>213</v>
      </c>
    </row>
    <row r="11654" hidden="1">
      <c r="A11654" s="177" t="s">
        <v>225</v>
      </c>
      <c r="B11654" s="127" t="s">
        <v>226</v>
      </c>
      <c r="C11654" s="127" t="s">
        <v>206</v>
      </c>
      <c r="D11654" s="177" t="s">
        <v>54</v>
      </c>
      <c r="E11654" s="177" t="s">
        <v>14106</v>
      </c>
      <c r="F11654" s="177" t="s">
        <v>1532</v>
      </c>
      <c r="G11654" s="177" t="s">
        <v>14107</v>
      </c>
      <c r="H11654" s="127" t="s">
        <v>214</v>
      </c>
    </row>
    <row r="11655" hidden="1">
      <c r="A11655" s="177" t="s">
        <v>225</v>
      </c>
      <c r="B11655" s="127" t="s">
        <v>226</v>
      </c>
      <c r="C11655" s="127" t="s">
        <v>206</v>
      </c>
      <c r="D11655" s="177" t="s">
        <v>54</v>
      </c>
      <c r="E11655" s="177" t="s">
        <v>14108</v>
      </c>
      <c r="F11655" s="177" t="s">
        <v>1532</v>
      </c>
      <c r="G11655" s="177" t="s">
        <v>14109</v>
      </c>
      <c r="H11655" s="127" t="s">
        <v>215</v>
      </c>
    </row>
    <row r="11656" hidden="1">
      <c r="A11656" s="177" t="s">
        <v>225</v>
      </c>
      <c r="B11656" s="127" t="s">
        <v>226</v>
      </c>
      <c r="C11656" s="127" t="s">
        <v>206</v>
      </c>
      <c r="D11656" s="177" t="s">
        <v>54</v>
      </c>
      <c r="E11656" s="177" t="s">
        <v>14110</v>
      </c>
      <c r="F11656" s="177" t="s">
        <v>677</v>
      </c>
      <c r="G11656" s="177" t="s">
        <v>14111</v>
      </c>
      <c r="H11656" s="127" t="s">
        <v>216</v>
      </c>
    </row>
    <row r="11657" hidden="1">
      <c r="A11657" s="177" t="s">
        <v>227</v>
      </c>
      <c r="B11657" s="127" t="s">
        <v>195</v>
      </c>
      <c r="C11657" s="127" t="s">
        <v>206</v>
      </c>
      <c r="D11657" s="177" t="s">
        <v>54</v>
      </c>
      <c r="E11657" s="177" t="s">
        <v>14112</v>
      </c>
      <c r="F11657" s="177" t="s">
        <v>310</v>
      </c>
      <c r="G11657" s="177" t="s">
        <v>14113</v>
      </c>
      <c r="H11657" s="127" t="s">
        <v>210</v>
      </c>
    </row>
    <row r="11658" hidden="1">
      <c r="A11658" s="177" t="s">
        <v>227</v>
      </c>
      <c r="B11658" s="127" t="s">
        <v>195</v>
      </c>
      <c r="C11658" s="127" t="s">
        <v>206</v>
      </c>
      <c r="D11658" s="177" t="s">
        <v>54</v>
      </c>
      <c r="E11658" s="177" t="s">
        <v>14114</v>
      </c>
      <c r="F11658" s="177" t="s">
        <v>478</v>
      </c>
      <c r="G11658" s="177" t="s">
        <v>14115</v>
      </c>
      <c r="H11658" s="127" t="s">
        <v>211</v>
      </c>
    </row>
    <row r="11659" hidden="1">
      <c r="A11659" s="177" t="s">
        <v>227</v>
      </c>
      <c r="B11659" s="127" t="s">
        <v>195</v>
      </c>
      <c r="C11659" s="127" t="s">
        <v>206</v>
      </c>
      <c r="D11659" s="177" t="s">
        <v>54</v>
      </c>
      <c r="E11659" s="177" t="s">
        <v>14116</v>
      </c>
      <c r="F11659" s="177" t="s">
        <v>577</v>
      </c>
      <c r="G11659" s="177" t="s">
        <v>12953</v>
      </c>
      <c r="H11659" s="127" t="s">
        <v>212</v>
      </c>
    </row>
    <row r="11660" hidden="1">
      <c r="A11660" s="177" t="s">
        <v>227</v>
      </c>
      <c r="B11660" s="127" t="s">
        <v>195</v>
      </c>
      <c r="C11660" s="127" t="s">
        <v>206</v>
      </c>
      <c r="D11660" s="177" t="s">
        <v>54</v>
      </c>
      <c r="E11660" s="177" t="s">
        <v>14117</v>
      </c>
      <c r="F11660" s="177" t="s">
        <v>310</v>
      </c>
      <c r="G11660" s="177" t="s">
        <v>14118</v>
      </c>
      <c r="H11660" s="127" t="s">
        <v>213</v>
      </c>
    </row>
    <row r="11661" hidden="1">
      <c r="A11661" s="177" t="s">
        <v>227</v>
      </c>
      <c r="B11661" s="127" t="s">
        <v>195</v>
      </c>
      <c r="C11661" s="127" t="s">
        <v>206</v>
      </c>
      <c r="D11661" s="177" t="s">
        <v>54</v>
      </c>
      <c r="E11661" s="177" t="s">
        <v>14119</v>
      </c>
      <c r="F11661" s="177" t="s">
        <v>249</v>
      </c>
      <c r="G11661" s="177" t="s">
        <v>14120</v>
      </c>
      <c r="H11661" s="127" t="s">
        <v>214</v>
      </c>
    </row>
    <row r="11662" hidden="1">
      <c r="A11662" s="177" t="s">
        <v>227</v>
      </c>
      <c r="B11662" s="127" t="s">
        <v>195</v>
      </c>
      <c r="C11662" s="127" t="s">
        <v>206</v>
      </c>
      <c r="D11662" s="177" t="s">
        <v>54</v>
      </c>
      <c r="E11662" s="177" t="s">
        <v>14121</v>
      </c>
      <c r="F11662" s="177" t="s">
        <v>427</v>
      </c>
      <c r="G11662" s="177" t="s">
        <v>14122</v>
      </c>
      <c r="H11662" s="127" t="s">
        <v>215</v>
      </c>
    </row>
    <row r="11663" hidden="1">
      <c r="A11663" s="177" t="s">
        <v>227</v>
      </c>
      <c r="B11663" s="127" t="s">
        <v>195</v>
      </c>
      <c r="C11663" s="127" t="s">
        <v>206</v>
      </c>
      <c r="D11663" s="177" t="s">
        <v>54</v>
      </c>
      <c r="E11663" s="177" t="s">
        <v>14123</v>
      </c>
      <c r="F11663" s="177" t="s">
        <v>450</v>
      </c>
      <c r="G11663" s="177" t="s">
        <v>14124</v>
      </c>
      <c r="H11663" s="127" t="s">
        <v>216</v>
      </c>
    </row>
    <row r="11664" hidden="1">
      <c r="A11664" s="177" t="s">
        <v>228</v>
      </c>
      <c r="B11664" s="127" t="s">
        <v>138</v>
      </c>
      <c r="C11664" s="127" t="s">
        <v>206</v>
      </c>
      <c r="D11664" s="177" t="s">
        <v>54</v>
      </c>
      <c r="E11664" s="177" t="s">
        <v>14125</v>
      </c>
      <c r="F11664" s="177" t="s">
        <v>629</v>
      </c>
      <c r="G11664" s="177" t="s">
        <v>14126</v>
      </c>
      <c r="H11664" s="127" t="s">
        <v>210</v>
      </c>
    </row>
    <row r="11665" hidden="1">
      <c r="A11665" s="177" t="s">
        <v>228</v>
      </c>
      <c r="B11665" s="127" t="s">
        <v>138</v>
      </c>
      <c r="C11665" s="127" t="s">
        <v>206</v>
      </c>
      <c r="D11665" s="177" t="s">
        <v>54</v>
      </c>
      <c r="E11665" s="177" t="s">
        <v>14127</v>
      </c>
      <c r="F11665" s="177" t="s">
        <v>1999</v>
      </c>
      <c r="G11665" s="177" t="s">
        <v>14128</v>
      </c>
      <c r="H11665" s="127" t="s">
        <v>211</v>
      </c>
    </row>
    <row r="11666" hidden="1">
      <c r="A11666" s="177" t="s">
        <v>228</v>
      </c>
      <c r="B11666" s="127" t="s">
        <v>138</v>
      </c>
      <c r="C11666" s="127" t="s">
        <v>206</v>
      </c>
      <c r="D11666" s="177" t="s">
        <v>54</v>
      </c>
      <c r="E11666" s="177" t="s">
        <v>14129</v>
      </c>
      <c r="F11666" s="177" t="s">
        <v>494</v>
      </c>
      <c r="G11666" s="177" t="s">
        <v>14130</v>
      </c>
      <c r="H11666" s="127" t="s">
        <v>212</v>
      </c>
    </row>
    <row r="11667" hidden="1">
      <c r="A11667" s="177" t="s">
        <v>228</v>
      </c>
      <c r="B11667" s="127" t="s">
        <v>138</v>
      </c>
      <c r="C11667" s="127" t="s">
        <v>206</v>
      </c>
      <c r="D11667" s="177" t="s">
        <v>54</v>
      </c>
      <c r="E11667" s="177" t="s">
        <v>14131</v>
      </c>
      <c r="F11667" s="177" t="s">
        <v>3346</v>
      </c>
      <c r="G11667" s="177" t="s">
        <v>14132</v>
      </c>
      <c r="H11667" s="127" t="s">
        <v>213</v>
      </c>
    </row>
    <row r="11668" hidden="1">
      <c r="A11668" s="177" t="s">
        <v>228</v>
      </c>
      <c r="B11668" s="127" t="s">
        <v>138</v>
      </c>
      <c r="C11668" s="127" t="s">
        <v>206</v>
      </c>
      <c r="D11668" s="177" t="s">
        <v>54</v>
      </c>
      <c r="E11668" s="177" t="s">
        <v>14133</v>
      </c>
      <c r="F11668" s="177" t="s">
        <v>691</v>
      </c>
      <c r="G11668" s="177" t="s">
        <v>12715</v>
      </c>
      <c r="H11668" s="127" t="s">
        <v>214</v>
      </c>
    </row>
    <row r="11669" hidden="1">
      <c r="A11669" s="177" t="s">
        <v>228</v>
      </c>
      <c r="B11669" s="127" t="s">
        <v>138</v>
      </c>
      <c r="C11669" s="127" t="s">
        <v>206</v>
      </c>
      <c r="D11669" s="177" t="s">
        <v>54</v>
      </c>
      <c r="E11669" s="177" t="s">
        <v>14134</v>
      </c>
      <c r="F11669" s="177" t="s">
        <v>7374</v>
      </c>
      <c r="G11669" s="177" t="s">
        <v>14135</v>
      </c>
      <c r="H11669" s="127" t="s">
        <v>215</v>
      </c>
    </row>
    <row r="11670" hidden="1">
      <c r="A11670" s="177" t="s">
        <v>228</v>
      </c>
      <c r="B11670" s="127" t="s">
        <v>138</v>
      </c>
      <c r="C11670" s="127" t="s">
        <v>206</v>
      </c>
      <c r="D11670" s="177" t="s">
        <v>54</v>
      </c>
      <c r="E11670" s="177" t="s">
        <v>14136</v>
      </c>
      <c r="F11670" s="177" t="s">
        <v>763</v>
      </c>
      <c r="G11670" s="177" t="s">
        <v>14137</v>
      </c>
      <c r="H11670" s="127" t="s">
        <v>216</v>
      </c>
    </row>
    <row r="11671" hidden="1">
      <c r="A11671" s="177" t="s">
        <v>229</v>
      </c>
      <c r="B11671" s="127" t="s">
        <v>193</v>
      </c>
      <c r="C11671" s="127" t="s">
        <v>206</v>
      </c>
      <c r="D11671" s="177" t="s">
        <v>54</v>
      </c>
      <c r="E11671" s="177" t="s">
        <v>14138</v>
      </c>
      <c r="F11671" s="177" t="s">
        <v>478</v>
      </c>
      <c r="G11671" s="177" t="s">
        <v>13753</v>
      </c>
      <c r="H11671" s="127" t="s">
        <v>210</v>
      </c>
    </row>
    <row r="11672" hidden="1">
      <c r="A11672" s="177" t="s">
        <v>229</v>
      </c>
      <c r="B11672" s="127" t="s">
        <v>193</v>
      </c>
      <c r="C11672" s="127" t="s">
        <v>206</v>
      </c>
      <c r="D11672" s="177" t="s">
        <v>54</v>
      </c>
      <c r="E11672" s="177" t="s">
        <v>14139</v>
      </c>
      <c r="F11672" s="177" t="s">
        <v>725</v>
      </c>
      <c r="G11672" s="177" t="s">
        <v>14140</v>
      </c>
      <c r="H11672" s="127" t="s">
        <v>211</v>
      </c>
    </row>
    <row r="11673" hidden="1">
      <c r="A11673" s="177" t="s">
        <v>229</v>
      </c>
      <c r="B11673" s="127" t="s">
        <v>193</v>
      </c>
      <c r="C11673" s="127" t="s">
        <v>206</v>
      </c>
      <c r="D11673" s="177" t="s">
        <v>54</v>
      </c>
      <c r="E11673" s="177" t="s">
        <v>14141</v>
      </c>
      <c r="F11673" s="177" t="s">
        <v>390</v>
      </c>
      <c r="G11673" s="177" t="s">
        <v>13913</v>
      </c>
      <c r="H11673" s="127" t="s">
        <v>212</v>
      </c>
    </row>
    <row r="11674" hidden="1">
      <c r="A11674" s="177" t="s">
        <v>229</v>
      </c>
      <c r="B11674" s="127" t="s">
        <v>193</v>
      </c>
      <c r="C11674" s="127" t="s">
        <v>206</v>
      </c>
      <c r="D11674" s="177" t="s">
        <v>54</v>
      </c>
      <c r="E11674" s="177" t="s">
        <v>14142</v>
      </c>
      <c r="F11674" s="177" t="s">
        <v>532</v>
      </c>
      <c r="G11674" s="177" t="s">
        <v>14069</v>
      </c>
      <c r="H11674" s="127" t="s">
        <v>213</v>
      </c>
    </row>
    <row r="11675" hidden="1">
      <c r="A11675" s="177" t="s">
        <v>229</v>
      </c>
      <c r="B11675" s="127" t="s">
        <v>193</v>
      </c>
      <c r="C11675" s="127" t="s">
        <v>206</v>
      </c>
      <c r="D11675" s="177" t="s">
        <v>54</v>
      </c>
      <c r="E11675" s="177" t="s">
        <v>14143</v>
      </c>
      <c r="F11675" s="177" t="s">
        <v>3218</v>
      </c>
      <c r="G11675" s="177" t="s">
        <v>12999</v>
      </c>
      <c r="H11675" s="127" t="s">
        <v>214</v>
      </c>
    </row>
    <row r="11676" hidden="1">
      <c r="A11676" s="177" t="s">
        <v>229</v>
      </c>
      <c r="B11676" s="127" t="s">
        <v>193</v>
      </c>
      <c r="C11676" s="127" t="s">
        <v>206</v>
      </c>
      <c r="D11676" s="177" t="s">
        <v>54</v>
      </c>
      <c r="E11676" s="177" t="s">
        <v>14144</v>
      </c>
      <c r="F11676" s="177" t="s">
        <v>629</v>
      </c>
      <c r="G11676" s="177" t="s">
        <v>12752</v>
      </c>
      <c r="H11676" s="127" t="s">
        <v>215</v>
      </c>
    </row>
    <row r="11677" hidden="1">
      <c r="A11677" s="177" t="s">
        <v>229</v>
      </c>
      <c r="B11677" s="127" t="s">
        <v>193</v>
      </c>
      <c r="C11677" s="127" t="s">
        <v>206</v>
      </c>
      <c r="D11677" s="177" t="s">
        <v>54</v>
      </c>
      <c r="E11677" s="177" t="s">
        <v>14145</v>
      </c>
      <c r="F11677" s="177" t="s">
        <v>577</v>
      </c>
      <c r="G11677" s="177" t="s">
        <v>14124</v>
      </c>
      <c r="H11677" s="127" t="s">
        <v>216</v>
      </c>
    </row>
    <row r="11678" hidden="1">
      <c r="A11678" s="177" t="s">
        <v>230</v>
      </c>
      <c r="B11678" s="127" t="s">
        <v>194</v>
      </c>
      <c r="C11678" s="127" t="s">
        <v>206</v>
      </c>
      <c r="D11678" s="177" t="s">
        <v>54</v>
      </c>
      <c r="E11678" s="177" t="s">
        <v>14146</v>
      </c>
      <c r="F11678" s="177" t="s">
        <v>321</v>
      </c>
      <c r="G11678" s="177" t="s">
        <v>14147</v>
      </c>
      <c r="H11678" s="127" t="s">
        <v>210</v>
      </c>
    </row>
    <row r="11679" hidden="1">
      <c r="A11679" s="177" t="s">
        <v>230</v>
      </c>
      <c r="B11679" s="127" t="s">
        <v>194</v>
      </c>
      <c r="C11679" s="127" t="s">
        <v>206</v>
      </c>
      <c r="D11679" s="177" t="s">
        <v>54</v>
      </c>
      <c r="E11679" s="177" t="s">
        <v>14148</v>
      </c>
      <c r="F11679" s="177" t="s">
        <v>314</v>
      </c>
      <c r="G11679" s="177" t="s">
        <v>14149</v>
      </c>
      <c r="H11679" s="127" t="s">
        <v>211</v>
      </c>
    </row>
    <row r="11680" hidden="1">
      <c r="A11680" s="177" t="s">
        <v>230</v>
      </c>
      <c r="B11680" s="127" t="s">
        <v>194</v>
      </c>
      <c r="C11680" s="127" t="s">
        <v>206</v>
      </c>
      <c r="D11680" s="177" t="s">
        <v>54</v>
      </c>
      <c r="E11680" s="177" t="s">
        <v>14150</v>
      </c>
      <c r="F11680" s="177" t="s">
        <v>285</v>
      </c>
      <c r="G11680" s="177" t="s">
        <v>13574</v>
      </c>
      <c r="H11680" s="127" t="s">
        <v>212</v>
      </c>
    </row>
    <row r="11681" hidden="1">
      <c r="A11681" s="177" t="s">
        <v>230</v>
      </c>
      <c r="B11681" s="127" t="s">
        <v>194</v>
      </c>
      <c r="C11681" s="127" t="s">
        <v>206</v>
      </c>
      <c r="D11681" s="177" t="s">
        <v>54</v>
      </c>
      <c r="E11681" s="177" t="s">
        <v>14151</v>
      </c>
      <c r="F11681" s="177" t="s">
        <v>259</v>
      </c>
      <c r="G11681" s="177" t="s">
        <v>12790</v>
      </c>
      <c r="H11681" s="127" t="s">
        <v>213</v>
      </c>
    </row>
    <row r="11682" hidden="1">
      <c r="A11682" s="177" t="s">
        <v>230</v>
      </c>
      <c r="B11682" s="127" t="s">
        <v>194</v>
      </c>
      <c r="C11682" s="127" t="s">
        <v>206</v>
      </c>
      <c r="D11682" s="177" t="s">
        <v>54</v>
      </c>
      <c r="E11682" s="177" t="s">
        <v>14152</v>
      </c>
      <c r="F11682" s="177" t="s">
        <v>287</v>
      </c>
      <c r="G11682" s="177" t="s">
        <v>14153</v>
      </c>
      <c r="H11682" s="127" t="s">
        <v>214</v>
      </c>
    </row>
    <row r="11683" hidden="1">
      <c r="A11683" s="177" t="s">
        <v>230</v>
      </c>
      <c r="B11683" s="127" t="s">
        <v>194</v>
      </c>
      <c r="C11683" s="127" t="s">
        <v>206</v>
      </c>
      <c r="D11683" s="177" t="s">
        <v>54</v>
      </c>
      <c r="E11683" s="177" t="s">
        <v>14154</v>
      </c>
      <c r="F11683" s="177" t="s">
        <v>249</v>
      </c>
      <c r="G11683" s="177" t="s">
        <v>13251</v>
      </c>
      <c r="H11683" s="127" t="s">
        <v>215</v>
      </c>
    </row>
    <row r="11684" hidden="1">
      <c r="A11684" s="177" t="s">
        <v>230</v>
      </c>
      <c r="B11684" s="127" t="s">
        <v>194</v>
      </c>
      <c r="C11684" s="127" t="s">
        <v>206</v>
      </c>
      <c r="D11684" s="177" t="s">
        <v>54</v>
      </c>
      <c r="E11684" s="177" t="s">
        <v>14155</v>
      </c>
      <c r="F11684" s="177" t="s">
        <v>359</v>
      </c>
      <c r="G11684" s="177" t="s">
        <v>14156</v>
      </c>
      <c r="H11684" s="127" t="s">
        <v>216</v>
      </c>
    </row>
    <row r="11685" hidden="1">
      <c r="A11685" s="127" t="s">
        <v>231</v>
      </c>
      <c r="C11685" s="127" t="s">
        <v>232</v>
      </c>
      <c r="D11685" s="177" t="s">
        <v>54</v>
      </c>
      <c r="E11685" s="177" t="s">
        <v>14157</v>
      </c>
      <c r="F11685" s="177" t="s">
        <v>1114</v>
      </c>
      <c r="G11685" s="177" t="s">
        <v>14158</v>
      </c>
      <c r="H11685" s="127" t="s">
        <v>210</v>
      </c>
    </row>
    <row r="11686" hidden="1">
      <c r="A11686" s="127" t="s">
        <v>231</v>
      </c>
      <c r="C11686" s="127" t="s">
        <v>232</v>
      </c>
      <c r="D11686" s="177" t="s">
        <v>54</v>
      </c>
      <c r="E11686" s="177" t="s">
        <v>14159</v>
      </c>
      <c r="F11686" s="177" t="s">
        <v>285</v>
      </c>
      <c r="G11686" s="177" t="s">
        <v>13218</v>
      </c>
      <c r="H11686" s="127" t="s">
        <v>211</v>
      </c>
    </row>
    <row r="11687" hidden="1">
      <c r="A11687" s="127" t="s">
        <v>231</v>
      </c>
      <c r="C11687" s="127" t="s">
        <v>232</v>
      </c>
      <c r="D11687" s="177" t="s">
        <v>54</v>
      </c>
      <c r="E11687" s="177" t="s">
        <v>14160</v>
      </c>
      <c r="F11687" s="177" t="s">
        <v>766</v>
      </c>
      <c r="G11687" s="177" t="s">
        <v>14161</v>
      </c>
      <c r="H11687" s="127" t="s">
        <v>212</v>
      </c>
    </row>
    <row r="11688" hidden="1">
      <c r="A11688" s="127" t="s">
        <v>231</v>
      </c>
      <c r="C11688" s="127" t="s">
        <v>232</v>
      </c>
      <c r="D11688" s="177" t="s">
        <v>54</v>
      </c>
      <c r="E11688" s="177" t="s">
        <v>14162</v>
      </c>
      <c r="F11688" s="177" t="s">
        <v>2607</v>
      </c>
      <c r="G11688" s="177" t="s">
        <v>14163</v>
      </c>
      <c r="H11688" s="127" t="s">
        <v>213</v>
      </c>
    </row>
    <row r="11689" hidden="1">
      <c r="A11689" s="127" t="s">
        <v>231</v>
      </c>
      <c r="C11689" s="127" t="s">
        <v>232</v>
      </c>
      <c r="D11689" s="177" t="s">
        <v>54</v>
      </c>
      <c r="E11689" s="177" t="s">
        <v>14164</v>
      </c>
      <c r="F11689" s="177" t="s">
        <v>691</v>
      </c>
      <c r="G11689" s="177" t="s">
        <v>14165</v>
      </c>
      <c r="H11689" s="127" t="s">
        <v>214</v>
      </c>
    </row>
    <row r="11690" hidden="1">
      <c r="A11690" s="127" t="s">
        <v>231</v>
      </c>
      <c r="C11690" s="127" t="s">
        <v>232</v>
      </c>
      <c r="D11690" s="177" t="s">
        <v>54</v>
      </c>
      <c r="E11690" s="177" t="s">
        <v>14166</v>
      </c>
      <c r="F11690" s="177" t="s">
        <v>312</v>
      </c>
      <c r="G11690" s="177" t="s">
        <v>14167</v>
      </c>
      <c r="H11690" s="127" t="s">
        <v>215</v>
      </c>
    </row>
    <row r="11691" hidden="1">
      <c r="A11691" s="127" t="s">
        <v>231</v>
      </c>
      <c r="C11691" s="127" t="s">
        <v>232</v>
      </c>
      <c r="D11691" s="177" t="s">
        <v>54</v>
      </c>
      <c r="E11691" s="177" t="s">
        <v>14168</v>
      </c>
      <c r="F11691" s="177" t="s">
        <v>257</v>
      </c>
      <c r="G11691" s="177" t="s">
        <v>12352</v>
      </c>
      <c r="H11691" s="127" t="s">
        <v>216</v>
      </c>
    </row>
    <row r="11692" hidden="1">
      <c r="A11692" s="127" t="s">
        <v>233</v>
      </c>
      <c r="C11692" s="127" t="s">
        <v>232</v>
      </c>
      <c r="D11692" s="177" t="s">
        <v>54</v>
      </c>
      <c r="E11692" s="177" t="s">
        <v>14169</v>
      </c>
      <c r="F11692" s="177" t="s">
        <v>354</v>
      </c>
      <c r="G11692" s="177" t="s">
        <v>14032</v>
      </c>
      <c r="H11692" s="127" t="s">
        <v>210</v>
      </c>
    </row>
    <row r="11693" hidden="1">
      <c r="A11693" s="127" t="s">
        <v>233</v>
      </c>
      <c r="C11693" s="127" t="s">
        <v>232</v>
      </c>
      <c r="D11693" s="177" t="s">
        <v>54</v>
      </c>
      <c r="E11693" s="177" t="s">
        <v>14170</v>
      </c>
      <c r="F11693" s="177" t="s">
        <v>483</v>
      </c>
      <c r="G11693" s="177" t="s">
        <v>14171</v>
      </c>
      <c r="H11693" s="127" t="s">
        <v>211</v>
      </c>
    </row>
    <row r="11694" hidden="1">
      <c r="A11694" s="127" t="s">
        <v>233</v>
      </c>
      <c r="C11694" s="127" t="s">
        <v>232</v>
      </c>
      <c r="D11694" s="177" t="s">
        <v>54</v>
      </c>
      <c r="E11694" s="177" t="s">
        <v>14172</v>
      </c>
      <c r="F11694" s="177" t="s">
        <v>483</v>
      </c>
      <c r="G11694" s="177" t="s">
        <v>13124</v>
      </c>
      <c r="H11694" s="127" t="s">
        <v>212</v>
      </c>
    </row>
    <row r="11695" hidden="1">
      <c r="A11695" s="127" t="s">
        <v>233</v>
      </c>
      <c r="C11695" s="127" t="s">
        <v>232</v>
      </c>
      <c r="D11695" s="177" t="s">
        <v>54</v>
      </c>
      <c r="E11695" s="177" t="s">
        <v>14173</v>
      </c>
      <c r="F11695" s="177" t="s">
        <v>336</v>
      </c>
      <c r="G11695" s="177" t="s">
        <v>14174</v>
      </c>
      <c r="H11695" s="127" t="s">
        <v>213</v>
      </c>
    </row>
    <row r="11696" hidden="1">
      <c r="A11696" s="127" t="s">
        <v>233</v>
      </c>
      <c r="C11696" s="127" t="s">
        <v>232</v>
      </c>
      <c r="D11696" s="177" t="s">
        <v>54</v>
      </c>
      <c r="E11696" s="177" t="s">
        <v>14175</v>
      </c>
      <c r="F11696" s="177" t="s">
        <v>425</v>
      </c>
      <c r="G11696" s="177" t="s">
        <v>12447</v>
      </c>
      <c r="H11696" s="127" t="s">
        <v>214</v>
      </c>
    </row>
    <row r="11697" hidden="1">
      <c r="A11697" s="127" t="s">
        <v>233</v>
      </c>
      <c r="C11697" s="127" t="s">
        <v>232</v>
      </c>
      <c r="D11697" s="177" t="s">
        <v>54</v>
      </c>
      <c r="E11697" s="177" t="s">
        <v>14176</v>
      </c>
      <c r="F11697" s="177" t="s">
        <v>354</v>
      </c>
      <c r="G11697" s="177" t="s">
        <v>14177</v>
      </c>
      <c r="H11697" s="127" t="s">
        <v>215</v>
      </c>
    </row>
    <row r="11698" hidden="1">
      <c r="A11698" s="127" t="s">
        <v>233</v>
      </c>
      <c r="C11698" s="127" t="s">
        <v>232</v>
      </c>
      <c r="D11698" s="177" t="s">
        <v>54</v>
      </c>
      <c r="E11698" s="177" t="s">
        <v>14178</v>
      </c>
      <c r="F11698" s="177" t="s">
        <v>329</v>
      </c>
      <c r="G11698" s="177" t="s">
        <v>14179</v>
      </c>
      <c r="H11698" s="127" t="s">
        <v>216</v>
      </c>
    </row>
    <row r="11699" hidden="1">
      <c r="A11699" s="127" t="s">
        <v>234</v>
      </c>
      <c r="C11699" s="127" t="s">
        <v>232</v>
      </c>
      <c r="D11699" s="177" t="s">
        <v>54</v>
      </c>
      <c r="E11699" s="177" t="s">
        <v>14180</v>
      </c>
      <c r="F11699" s="177" t="s">
        <v>763</v>
      </c>
      <c r="G11699" s="177" t="s">
        <v>14181</v>
      </c>
      <c r="H11699" s="127" t="s">
        <v>210</v>
      </c>
    </row>
    <row r="11700" hidden="1">
      <c r="A11700" s="127" t="s">
        <v>234</v>
      </c>
      <c r="C11700" s="127" t="s">
        <v>232</v>
      </c>
      <c r="D11700" s="177" t="s">
        <v>54</v>
      </c>
      <c r="E11700" s="177" t="s">
        <v>14182</v>
      </c>
      <c r="F11700" s="177" t="s">
        <v>312</v>
      </c>
      <c r="G11700" s="177" t="s">
        <v>13688</v>
      </c>
      <c r="H11700" s="127" t="s">
        <v>211</v>
      </c>
    </row>
    <row r="11701" hidden="1">
      <c r="A11701" s="127" t="s">
        <v>234</v>
      </c>
      <c r="C11701" s="127" t="s">
        <v>232</v>
      </c>
      <c r="D11701" s="177" t="s">
        <v>54</v>
      </c>
      <c r="E11701" s="177" t="s">
        <v>14183</v>
      </c>
      <c r="F11701" s="177" t="s">
        <v>799</v>
      </c>
      <c r="G11701" s="177" t="s">
        <v>14184</v>
      </c>
      <c r="H11701" s="127" t="s">
        <v>212</v>
      </c>
    </row>
    <row r="11702" hidden="1">
      <c r="A11702" s="127" t="s">
        <v>234</v>
      </c>
      <c r="C11702" s="127" t="s">
        <v>232</v>
      </c>
      <c r="D11702" s="177" t="s">
        <v>54</v>
      </c>
      <c r="E11702" s="177" t="s">
        <v>14185</v>
      </c>
      <c r="F11702" s="177" t="s">
        <v>780</v>
      </c>
      <c r="G11702" s="177" t="s">
        <v>14186</v>
      </c>
      <c r="H11702" s="127" t="s">
        <v>213</v>
      </c>
    </row>
    <row r="11703" hidden="1">
      <c r="A11703" s="127" t="s">
        <v>234</v>
      </c>
      <c r="C11703" s="127" t="s">
        <v>232</v>
      </c>
      <c r="D11703" s="177" t="s">
        <v>54</v>
      </c>
      <c r="E11703" s="177" t="s">
        <v>14187</v>
      </c>
      <c r="F11703" s="177" t="s">
        <v>677</v>
      </c>
      <c r="G11703" s="177" t="s">
        <v>13023</v>
      </c>
      <c r="H11703" s="127" t="s">
        <v>214</v>
      </c>
    </row>
    <row r="11704" hidden="1">
      <c r="A11704" s="127" t="s">
        <v>234</v>
      </c>
      <c r="C11704" s="127" t="s">
        <v>232</v>
      </c>
      <c r="D11704" s="177" t="s">
        <v>54</v>
      </c>
      <c r="E11704" s="177" t="s">
        <v>14188</v>
      </c>
      <c r="F11704" s="177" t="s">
        <v>3218</v>
      </c>
      <c r="G11704" s="177" t="s">
        <v>14189</v>
      </c>
      <c r="H11704" s="127" t="s">
        <v>215</v>
      </c>
    </row>
    <row r="11705" hidden="1">
      <c r="A11705" s="127" t="s">
        <v>234</v>
      </c>
      <c r="C11705" s="127" t="s">
        <v>232</v>
      </c>
      <c r="D11705" s="177" t="s">
        <v>54</v>
      </c>
      <c r="E11705" s="177" t="s">
        <v>14190</v>
      </c>
      <c r="F11705" s="177" t="s">
        <v>735</v>
      </c>
      <c r="G11705" s="177" t="s">
        <v>12980</v>
      </c>
      <c r="H11705" s="127" t="s">
        <v>216</v>
      </c>
    </row>
    <row r="11706" hidden="1">
      <c r="A11706" s="127" t="s">
        <v>235</v>
      </c>
      <c r="C11706" s="127" t="s">
        <v>236</v>
      </c>
      <c r="D11706" s="177" t="s">
        <v>54</v>
      </c>
      <c r="E11706" s="177" t="s">
        <v>14191</v>
      </c>
      <c r="F11706" s="177" t="s">
        <v>308</v>
      </c>
      <c r="G11706" s="177" t="s">
        <v>12451</v>
      </c>
      <c r="H11706" s="127" t="s">
        <v>210</v>
      </c>
    </row>
    <row r="11707" hidden="1">
      <c r="A11707" s="127" t="s">
        <v>235</v>
      </c>
      <c r="C11707" s="127" t="s">
        <v>236</v>
      </c>
      <c r="D11707" s="177" t="s">
        <v>54</v>
      </c>
      <c r="E11707" s="177" t="s">
        <v>14192</v>
      </c>
      <c r="F11707" s="177" t="s">
        <v>339</v>
      </c>
      <c r="G11707" s="177" t="s">
        <v>14193</v>
      </c>
      <c r="H11707" s="127" t="s">
        <v>211</v>
      </c>
    </row>
    <row r="11708" hidden="1">
      <c r="A11708" s="127" t="s">
        <v>235</v>
      </c>
      <c r="C11708" s="127" t="s">
        <v>236</v>
      </c>
      <c r="D11708" s="177" t="s">
        <v>54</v>
      </c>
      <c r="E11708" s="177" t="s">
        <v>14194</v>
      </c>
      <c r="F11708" s="177" t="s">
        <v>329</v>
      </c>
      <c r="G11708" s="177" t="s">
        <v>14195</v>
      </c>
      <c r="H11708" s="127" t="s">
        <v>212</v>
      </c>
    </row>
    <row r="11709" hidden="1">
      <c r="A11709" s="127" t="s">
        <v>235</v>
      </c>
      <c r="C11709" s="127" t="s">
        <v>236</v>
      </c>
      <c r="D11709" s="177" t="s">
        <v>54</v>
      </c>
      <c r="E11709" s="177" t="s">
        <v>14196</v>
      </c>
      <c r="F11709" s="177" t="s">
        <v>425</v>
      </c>
      <c r="G11709" s="177" t="s">
        <v>12668</v>
      </c>
      <c r="H11709" s="127" t="s">
        <v>213</v>
      </c>
    </row>
    <row r="11710" hidden="1">
      <c r="A11710" s="127" t="s">
        <v>235</v>
      </c>
      <c r="C11710" s="127" t="s">
        <v>236</v>
      </c>
      <c r="D11710" s="177" t="s">
        <v>54</v>
      </c>
      <c r="E11710" s="177" t="s">
        <v>14197</v>
      </c>
      <c r="F11710" s="177" t="s">
        <v>425</v>
      </c>
      <c r="G11710" s="177" t="s">
        <v>14198</v>
      </c>
      <c r="H11710" s="127" t="s">
        <v>214</v>
      </c>
    </row>
    <row r="11711" hidden="1">
      <c r="A11711" s="127" t="s">
        <v>235</v>
      </c>
      <c r="C11711" s="127" t="s">
        <v>236</v>
      </c>
      <c r="D11711" s="177" t="s">
        <v>54</v>
      </c>
      <c r="E11711" s="177" t="s">
        <v>14199</v>
      </c>
      <c r="F11711" s="177" t="s">
        <v>325</v>
      </c>
      <c r="G11711" s="177" t="s">
        <v>12332</v>
      </c>
      <c r="H11711" s="127" t="s">
        <v>215</v>
      </c>
    </row>
    <row r="11712" hidden="1">
      <c r="A11712" s="127" t="s">
        <v>235</v>
      </c>
      <c r="C11712" s="127" t="s">
        <v>236</v>
      </c>
      <c r="D11712" s="177" t="s">
        <v>54</v>
      </c>
      <c r="E11712" s="177" t="s">
        <v>14200</v>
      </c>
      <c r="F11712" s="177" t="s">
        <v>305</v>
      </c>
      <c r="G11712" s="177" t="s">
        <v>13949</v>
      </c>
      <c r="H11712" s="127" t="s">
        <v>216</v>
      </c>
    </row>
    <row r="11713" hidden="1">
      <c r="A11713" s="127" t="s">
        <v>237</v>
      </c>
      <c r="C11713" s="127" t="s">
        <v>236</v>
      </c>
      <c r="D11713" s="177" t="s">
        <v>54</v>
      </c>
      <c r="E11713" s="177" t="s">
        <v>14201</v>
      </c>
      <c r="F11713" s="177" t="s">
        <v>758</v>
      </c>
      <c r="G11713" s="177" t="s">
        <v>13970</v>
      </c>
      <c r="H11713" s="127" t="s">
        <v>210</v>
      </c>
    </row>
    <row r="11714" hidden="1">
      <c r="A11714" s="127" t="s">
        <v>237</v>
      </c>
      <c r="C11714" s="127" t="s">
        <v>236</v>
      </c>
      <c r="D11714" s="177" t="s">
        <v>54</v>
      </c>
      <c r="E11714" s="177" t="s">
        <v>14202</v>
      </c>
      <c r="F11714" s="177" t="s">
        <v>3218</v>
      </c>
      <c r="G11714" s="177" t="s">
        <v>13960</v>
      </c>
      <c r="H11714" s="127" t="s">
        <v>211</v>
      </c>
    </row>
    <row r="11715" hidden="1">
      <c r="A11715" s="127" t="s">
        <v>237</v>
      </c>
      <c r="C11715" s="127" t="s">
        <v>236</v>
      </c>
      <c r="D11715" s="177" t="s">
        <v>54</v>
      </c>
      <c r="E11715" s="177" t="s">
        <v>14203</v>
      </c>
      <c r="F11715" s="177" t="s">
        <v>453</v>
      </c>
      <c r="G11715" s="177" t="s">
        <v>13229</v>
      </c>
      <c r="H11715" s="127" t="s">
        <v>212</v>
      </c>
    </row>
    <row r="11716" hidden="1">
      <c r="A11716" s="127" t="s">
        <v>237</v>
      </c>
      <c r="C11716" s="127" t="s">
        <v>236</v>
      </c>
      <c r="D11716" s="177" t="s">
        <v>54</v>
      </c>
      <c r="E11716" s="177" t="s">
        <v>14204</v>
      </c>
      <c r="F11716" s="177" t="s">
        <v>3148</v>
      </c>
      <c r="G11716" s="177" t="s">
        <v>12699</v>
      </c>
      <c r="H11716" s="127" t="s">
        <v>213</v>
      </c>
    </row>
    <row r="11717" hidden="1">
      <c r="A11717" s="127" t="s">
        <v>237</v>
      </c>
      <c r="C11717" s="127" t="s">
        <v>236</v>
      </c>
      <c r="D11717" s="177" t="s">
        <v>54</v>
      </c>
      <c r="E11717" s="177" t="s">
        <v>14205</v>
      </c>
      <c r="F11717" s="177" t="s">
        <v>2994</v>
      </c>
      <c r="G11717" s="177" t="s">
        <v>14206</v>
      </c>
      <c r="H11717" s="127" t="s">
        <v>214</v>
      </c>
    </row>
    <row r="11718" hidden="1">
      <c r="A11718" s="127" t="s">
        <v>237</v>
      </c>
      <c r="C11718" s="127" t="s">
        <v>236</v>
      </c>
      <c r="D11718" s="177" t="s">
        <v>54</v>
      </c>
      <c r="E11718" s="177" t="s">
        <v>14207</v>
      </c>
      <c r="F11718" s="177" t="s">
        <v>691</v>
      </c>
      <c r="G11718" s="177" t="s">
        <v>14208</v>
      </c>
      <c r="H11718" s="127" t="s">
        <v>215</v>
      </c>
    </row>
    <row r="11719" hidden="1">
      <c r="A11719" s="127" t="s">
        <v>237</v>
      </c>
      <c r="C11719" s="127" t="s">
        <v>236</v>
      </c>
      <c r="D11719" s="177" t="s">
        <v>54</v>
      </c>
      <c r="E11719" s="177" t="s">
        <v>14209</v>
      </c>
      <c r="F11719" s="177" t="s">
        <v>1929</v>
      </c>
      <c r="G11719" s="177" t="s">
        <v>13206</v>
      </c>
      <c r="H11719" s="127" t="s">
        <v>216</v>
      </c>
    </row>
    <row r="11720" hidden="1">
      <c r="A11720" s="177" t="s">
        <v>204</v>
      </c>
      <c r="B11720" s="127" t="s">
        <v>205</v>
      </c>
      <c r="C11720" s="127" t="s">
        <v>206</v>
      </c>
      <c r="D11720" s="177" t="s">
        <v>55</v>
      </c>
      <c r="E11720" s="177" t="s">
        <v>14210</v>
      </c>
      <c r="F11720" s="177" t="s">
        <v>450</v>
      </c>
      <c r="G11720" s="177" t="s">
        <v>14211</v>
      </c>
      <c r="H11720" s="127" t="s">
        <v>210</v>
      </c>
    </row>
    <row r="11721" hidden="1">
      <c r="A11721" s="177" t="s">
        <v>204</v>
      </c>
      <c r="B11721" s="127" t="s">
        <v>205</v>
      </c>
      <c r="C11721" s="127" t="s">
        <v>206</v>
      </c>
      <c r="D11721" s="177" t="s">
        <v>55</v>
      </c>
      <c r="E11721" s="177" t="s">
        <v>14212</v>
      </c>
      <c r="F11721" s="177" t="s">
        <v>305</v>
      </c>
      <c r="G11721" s="177" t="s">
        <v>14213</v>
      </c>
      <c r="H11721" s="127" t="s">
        <v>211</v>
      </c>
    </row>
    <row r="11722" hidden="1">
      <c r="A11722" s="177" t="s">
        <v>204</v>
      </c>
      <c r="B11722" s="127" t="s">
        <v>205</v>
      </c>
      <c r="C11722" s="127" t="s">
        <v>206</v>
      </c>
      <c r="D11722" s="177" t="s">
        <v>55</v>
      </c>
      <c r="E11722" s="177" t="s">
        <v>14214</v>
      </c>
      <c r="F11722" s="177" t="s">
        <v>351</v>
      </c>
      <c r="G11722" s="177" t="s">
        <v>12536</v>
      </c>
      <c r="H11722" s="127" t="s">
        <v>212</v>
      </c>
    </row>
    <row r="11723" hidden="1">
      <c r="A11723" s="177" t="s">
        <v>204</v>
      </c>
      <c r="B11723" s="127" t="s">
        <v>205</v>
      </c>
      <c r="C11723" s="127" t="s">
        <v>206</v>
      </c>
      <c r="D11723" s="177" t="s">
        <v>55</v>
      </c>
      <c r="E11723" s="177" t="s">
        <v>14215</v>
      </c>
      <c r="F11723" s="177" t="s">
        <v>339</v>
      </c>
      <c r="G11723" s="177" t="s">
        <v>13511</v>
      </c>
      <c r="H11723" s="127" t="s">
        <v>213</v>
      </c>
    </row>
    <row r="11724" hidden="1">
      <c r="A11724" s="177" t="s">
        <v>204</v>
      </c>
      <c r="B11724" s="127" t="s">
        <v>205</v>
      </c>
      <c r="C11724" s="127" t="s">
        <v>206</v>
      </c>
      <c r="D11724" s="177" t="s">
        <v>55</v>
      </c>
      <c r="E11724" s="177" t="s">
        <v>14216</v>
      </c>
      <c r="F11724" s="177" t="s">
        <v>534</v>
      </c>
      <c r="G11724" s="177" t="s">
        <v>14217</v>
      </c>
      <c r="H11724" s="127" t="s">
        <v>214</v>
      </c>
    </row>
    <row r="11725" hidden="1">
      <c r="A11725" s="177" t="s">
        <v>204</v>
      </c>
      <c r="B11725" s="127" t="s">
        <v>205</v>
      </c>
      <c r="C11725" s="127" t="s">
        <v>206</v>
      </c>
      <c r="D11725" s="177" t="s">
        <v>55</v>
      </c>
      <c r="E11725" s="177" t="s">
        <v>14218</v>
      </c>
      <c r="F11725" s="177" t="s">
        <v>450</v>
      </c>
      <c r="G11725" s="177" t="s">
        <v>14219</v>
      </c>
      <c r="H11725" s="127" t="s">
        <v>215</v>
      </c>
    </row>
    <row r="11726" hidden="1">
      <c r="A11726" s="177" t="s">
        <v>204</v>
      </c>
      <c r="B11726" s="127" t="s">
        <v>205</v>
      </c>
      <c r="C11726" s="127" t="s">
        <v>206</v>
      </c>
      <c r="D11726" s="177" t="s">
        <v>55</v>
      </c>
      <c r="E11726" s="177" t="s">
        <v>14220</v>
      </c>
      <c r="F11726" s="177" t="s">
        <v>427</v>
      </c>
      <c r="G11726" s="177" t="s">
        <v>14221</v>
      </c>
      <c r="H11726" s="127" t="s">
        <v>216</v>
      </c>
    </row>
    <row r="11727" hidden="1">
      <c r="A11727" s="177" t="s">
        <v>217</v>
      </c>
      <c r="B11727" s="127" t="s">
        <v>191</v>
      </c>
      <c r="C11727" s="127" t="s">
        <v>206</v>
      </c>
      <c r="D11727" s="177" t="s">
        <v>55</v>
      </c>
      <c r="E11727" s="177" t="s">
        <v>14222</v>
      </c>
      <c r="F11727" s="177" t="s">
        <v>285</v>
      </c>
      <c r="G11727" s="177" t="s">
        <v>12993</v>
      </c>
      <c r="H11727" s="127" t="s">
        <v>210</v>
      </c>
    </row>
    <row r="11728" hidden="1">
      <c r="A11728" s="177" t="s">
        <v>217</v>
      </c>
      <c r="B11728" s="127" t="s">
        <v>191</v>
      </c>
      <c r="C11728" s="127" t="s">
        <v>206</v>
      </c>
      <c r="D11728" s="177" t="s">
        <v>55</v>
      </c>
      <c r="E11728" s="177" t="s">
        <v>14223</v>
      </c>
      <c r="F11728" s="177" t="s">
        <v>314</v>
      </c>
      <c r="G11728" s="177" t="s">
        <v>14224</v>
      </c>
      <c r="H11728" s="127" t="s">
        <v>211</v>
      </c>
    </row>
    <row r="11729" hidden="1">
      <c r="A11729" s="177" t="s">
        <v>217</v>
      </c>
      <c r="B11729" s="127" t="s">
        <v>191</v>
      </c>
      <c r="C11729" s="127" t="s">
        <v>206</v>
      </c>
      <c r="D11729" s="177" t="s">
        <v>55</v>
      </c>
      <c r="E11729" s="177" t="s">
        <v>14225</v>
      </c>
      <c r="F11729" s="177" t="s">
        <v>314</v>
      </c>
      <c r="G11729" s="177" t="s">
        <v>14226</v>
      </c>
      <c r="H11729" s="127" t="s">
        <v>212</v>
      </c>
    </row>
    <row r="11730" hidden="1">
      <c r="A11730" s="177" t="s">
        <v>217</v>
      </c>
      <c r="B11730" s="127" t="s">
        <v>191</v>
      </c>
      <c r="C11730" s="127" t="s">
        <v>206</v>
      </c>
      <c r="D11730" s="177" t="s">
        <v>55</v>
      </c>
      <c r="E11730" s="177" t="s">
        <v>14227</v>
      </c>
      <c r="F11730" s="177" t="s">
        <v>323</v>
      </c>
      <c r="G11730" s="177" t="s">
        <v>14228</v>
      </c>
      <c r="H11730" s="127" t="s">
        <v>213</v>
      </c>
    </row>
    <row r="11731" hidden="1">
      <c r="A11731" s="177" t="s">
        <v>217</v>
      </c>
      <c r="B11731" s="127" t="s">
        <v>191</v>
      </c>
      <c r="C11731" s="127" t="s">
        <v>206</v>
      </c>
      <c r="D11731" s="177" t="s">
        <v>55</v>
      </c>
      <c r="E11731" s="177" t="s">
        <v>14229</v>
      </c>
      <c r="F11731" s="177" t="s">
        <v>242</v>
      </c>
      <c r="G11731" s="177" t="s">
        <v>14230</v>
      </c>
      <c r="H11731" s="127" t="s">
        <v>214</v>
      </c>
    </row>
    <row r="11732" hidden="1">
      <c r="A11732" s="177" t="s">
        <v>217</v>
      </c>
      <c r="B11732" s="127" t="s">
        <v>191</v>
      </c>
      <c r="C11732" s="127" t="s">
        <v>206</v>
      </c>
      <c r="D11732" s="177" t="s">
        <v>55</v>
      </c>
      <c r="E11732" s="177" t="s">
        <v>14231</v>
      </c>
      <c r="F11732" s="177" t="s">
        <v>310</v>
      </c>
      <c r="G11732" s="177" t="s">
        <v>12514</v>
      </c>
      <c r="H11732" s="127" t="s">
        <v>215</v>
      </c>
    </row>
    <row r="11733" hidden="1">
      <c r="A11733" s="177" t="s">
        <v>217</v>
      </c>
      <c r="B11733" s="127" t="s">
        <v>191</v>
      </c>
      <c r="C11733" s="127" t="s">
        <v>206</v>
      </c>
      <c r="D11733" s="177" t="s">
        <v>55</v>
      </c>
      <c r="E11733" s="177" t="s">
        <v>14232</v>
      </c>
      <c r="F11733" s="177" t="s">
        <v>359</v>
      </c>
      <c r="G11733" s="177" t="s">
        <v>13640</v>
      </c>
      <c r="H11733" s="127" t="s">
        <v>216</v>
      </c>
    </row>
    <row r="11734" hidden="1">
      <c r="A11734" s="177" t="s">
        <v>218</v>
      </c>
      <c r="B11734" s="127" t="s">
        <v>219</v>
      </c>
      <c r="C11734" s="127" t="s">
        <v>206</v>
      </c>
      <c r="D11734" s="177" t="s">
        <v>55</v>
      </c>
      <c r="E11734" s="177" t="s">
        <v>14233</v>
      </c>
      <c r="F11734" s="177" t="s">
        <v>249</v>
      </c>
      <c r="G11734" s="177" t="s">
        <v>14234</v>
      </c>
      <c r="H11734" s="127" t="s">
        <v>210</v>
      </c>
    </row>
    <row r="11735" hidden="1">
      <c r="A11735" s="177" t="s">
        <v>218</v>
      </c>
      <c r="B11735" s="127" t="s">
        <v>219</v>
      </c>
      <c r="C11735" s="127" t="s">
        <v>206</v>
      </c>
      <c r="D11735" s="177" t="s">
        <v>55</v>
      </c>
      <c r="E11735" s="177" t="s">
        <v>14235</v>
      </c>
      <c r="F11735" s="177" t="s">
        <v>365</v>
      </c>
      <c r="G11735" s="177" t="s">
        <v>14236</v>
      </c>
      <c r="H11735" s="127" t="s">
        <v>211</v>
      </c>
    </row>
    <row r="11736" hidden="1">
      <c r="A11736" s="177" t="s">
        <v>218</v>
      </c>
      <c r="B11736" s="127" t="s">
        <v>219</v>
      </c>
      <c r="C11736" s="127" t="s">
        <v>206</v>
      </c>
      <c r="D11736" s="177" t="s">
        <v>55</v>
      </c>
      <c r="E11736" s="177" t="s">
        <v>14237</v>
      </c>
      <c r="F11736" s="177" t="s">
        <v>244</v>
      </c>
      <c r="G11736" s="177" t="s">
        <v>14238</v>
      </c>
      <c r="H11736" s="127" t="s">
        <v>212</v>
      </c>
    </row>
    <row r="11737" hidden="1">
      <c r="A11737" s="177" t="s">
        <v>218</v>
      </c>
      <c r="B11737" s="127" t="s">
        <v>219</v>
      </c>
      <c r="C11737" s="127" t="s">
        <v>206</v>
      </c>
      <c r="D11737" s="177" t="s">
        <v>55</v>
      </c>
      <c r="E11737" s="177" t="s">
        <v>14239</v>
      </c>
      <c r="F11737" s="177" t="s">
        <v>257</v>
      </c>
      <c r="G11737" s="177" t="s">
        <v>14240</v>
      </c>
      <c r="H11737" s="127" t="s">
        <v>213</v>
      </c>
    </row>
    <row r="11738" hidden="1">
      <c r="A11738" s="177" t="s">
        <v>218</v>
      </c>
      <c r="B11738" s="127" t="s">
        <v>219</v>
      </c>
      <c r="C11738" s="127" t="s">
        <v>206</v>
      </c>
      <c r="D11738" s="177" t="s">
        <v>55</v>
      </c>
      <c r="E11738" s="177" t="s">
        <v>14241</v>
      </c>
      <c r="F11738" s="177" t="s">
        <v>257</v>
      </c>
      <c r="G11738" s="177" t="s">
        <v>14242</v>
      </c>
      <c r="H11738" s="127" t="s">
        <v>214</v>
      </c>
    </row>
    <row r="11739" hidden="1">
      <c r="A11739" s="177" t="s">
        <v>218</v>
      </c>
      <c r="B11739" s="127" t="s">
        <v>219</v>
      </c>
      <c r="C11739" s="127" t="s">
        <v>206</v>
      </c>
      <c r="D11739" s="177" t="s">
        <v>55</v>
      </c>
      <c r="E11739" s="177" t="s">
        <v>14243</v>
      </c>
      <c r="F11739" s="177" t="s">
        <v>357</v>
      </c>
      <c r="G11739" s="177" t="s">
        <v>13433</v>
      </c>
      <c r="H11739" s="127" t="s">
        <v>215</v>
      </c>
    </row>
    <row r="11740" hidden="1">
      <c r="A11740" s="177" t="s">
        <v>218</v>
      </c>
      <c r="B11740" s="127" t="s">
        <v>219</v>
      </c>
      <c r="C11740" s="127" t="s">
        <v>206</v>
      </c>
      <c r="D11740" s="177" t="s">
        <v>55</v>
      </c>
      <c r="E11740" s="177" t="s">
        <v>14244</v>
      </c>
      <c r="F11740" s="177" t="s">
        <v>285</v>
      </c>
      <c r="G11740" s="177" t="s">
        <v>14245</v>
      </c>
      <c r="H11740" s="127" t="s">
        <v>216</v>
      </c>
    </row>
    <row r="11741" hidden="1">
      <c r="A11741" s="177" t="s">
        <v>220</v>
      </c>
      <c r="B11741" s="127" t="s">
        <v>190</v>
      </c>
      <c r="C11741" s="127" t="s">
        <v>206</v>
      </c>
      <c r="D11741" s="177" t="s">
        <v>55</v>
      </c>
      <c r="E11741" s="177" t="s">
        <v>14246</v>
      </c>
      <c r="F11741" s="177" t="s">
        <v>3198</v>
      </c>
      <c r="G11741" s="177" t="s">
        <v>12628</v>
      </c>
      <c r="H11741" s="127" t="s">
        <v>210</v>
      </c>
    </row>
    <row r="11742" hidden="1">
      <c r="A11742" s="177" t="s">
        <v>220</v>
      </c>
      <c r="B11742" s="127" t="s">
        <v>190</v>
      </c>
      <c r="C11742" s="127" t="s">
        <v>206</v>
      </c>
      <c r="D11742" s="177" t="s">
        <v>55</v>
      </c>
      <c r="E11742" s="177" t="s">
        <v>14247</v>
      </c>
      <c r="F11742" s="177" t="s">
        <v>677</v>
      </c>
      <c r="G11742" s="177" t="s">
        <v>11649</v>
      </c>
      <c r="H11742" s="127" t="s">
        <v>211</v>
      </c>
    </row>
    <row r="11743" hidden="1">
      <c r="A11743" s="177" t="s">
        <v>220</v>
      </c>
      <c r="B11743" s="127" t="s">
        <v>190</v>
      </c>
      <c r="C11743" s="127" t="s">
        <v>206</v>
      </c>
      <c r="D11743" s="177" t="s">
        <v>55</v>
      </c>
      <c r="E11743" s="177" t="s">
        <v>14248</v>
      </c>
      <c r="F11743" s="177" t="s">
        <v>478</v>
      </c>
      <c r="G11743" s="177" t="s">
        <v>14249</v>
      </c>
      <c r="H11743" s="127" t="s">
        <v>212</v>
      </c>
    </row>
    <row r="11744" hidden="1">
      <c r="A11744" s="177" t="s">
        <v>220</v>
      </c>
      <c r="B11744" s="127" t="s">
        <v>190</v>
      </c>
      <c r="C11744" s="127" t="s">
        <v>206</v>
      </c>
      <c r="D11744" s="177" t="s">
        <v>55</v>
      </c>
      <c r="E11744" s="177" t="s">
        <v>14250</v>
      </c>
      <c r="F11744" s="177" t="s">
        <v>718</v>
      </c>
      <c r="G11744" s="177" t="s">
        <v>14251</v>
      </c>
      <c r="H11744" s="127" t="s">
        <v>213</v>
      </c>
    </row>
    <row r="11745" hidden="1">
      <c r="A11745" s="177" t="s">
        <v>220</v>
      </c>
      <c r="B11745" s="127" t="s">
        <v>190</v>
      </c>
      <c r="C11745" s="127" t="s">
        <v>206</v>
      </c>
      <c r="D11745" s="177" t="s">
        <v>55</v>
      </c>
      <c r="E11745" s="177" t="s">
        <v>14252</v>
      </c>
      <c r="F11745" s="177" t="s">
        <v>673</v>
      </c>
      <c r="G11745" s="177" t="s">
        <v>14253</v>
      </c>
      <c r="H11745" s="127" t="s">
        <v>214</v>
      </c>
    </row>
    <row r="11746" hidden="1">
      <c r="A11746" s="177" t="s">
        <v>220</v>
      </c>
      <c r="B11746" s="127" t="s">
        <v>190</v>
      </c>
      <c r="C11746" s="127" t="s">
        <v>206</v>
      </c>
      <c r="D11746" s="177" t="s">
        <v>55</v>
      </c>
      <c r="E11746" s="177" t="s">
        <v>14254</v>
      </c>
      <c r="F11746" s="177" t="s">
        <v>483</v>
      </c>
      <c r="G11746" s="177" t="s">
        <v>12389</v>
      </c>
      <c r="H11746" s="127" t="s">
        <v>215</v>
      </c>
    </row>
    <row r="11747" hidden="1">
      <c r="A11747" s="177" t="s">
        <v>220</v>
      </c>
      <c r="B11747" s="127" t="s">
        <v>190</v>
      </c>
      <c r="C11747" s="127" t="s">
        <v>206</v>
      </c>
      <c r="D11747" s="177" t="s">
        <v>55</v>
      </c>
      <c r="E11747" s="177" t="s">
        <v>14255</v>
      </c>
      <c r="F11747" s="177" t="s">
        <v>448</v>
      </c>
      <c r="G11747" s="177" t="s">
        <v>14256</v>
      </c>
      <c r="H11747" s="127" t="s">
        <v>216</v>
      </c>
    </row>
    <row r="11748" hidden="1">
      <c r="A11748" s="177" t="s">
        <v>221</v>
      </c>
      <c r="B11748" s="127" t="s">
        <v>189</v>
      </c>
      <c r="C11748" s="127" t="s">
        <v>206</v>
      </c>
      <c r="D11748" s="177" t="s">
        <v>55</v>
      </c>
      <c r="E11748" s="177" t="s">
        <v>14257</v>
      </c>
      <c r="F11748" s="177" t="s">
        <v>766</v>
      </c>
      <c r="G11748" s="177" t="s">
        <v>13436</v>
      </c>
      <c r="H11748" s="127" t="s">
        <v>210</v>
      </c>
    </row>
    <row r="11749" hidden="1">
      <c r="A11749" s="177" t="s">
        <v>221</v>
      </c>
      <c r="B11749" s="127" t="s">
        <v>189</v>
      </c>
      <c r="C11749" s="127" t="s">
        <v>206</v>
      </c>
      <c r="D11749" s="177" t="s">
        <v>55</v>
      </c>
      <c r="E11749" s="177" t="s">
        <v>14258</v>
      </c>
      <c r="F11749" s="177" t="s">
        <v>2607</v>
      </c>
      <c r="G11749" s="177" t="s">
        <v>13353</v>
      </c>
      <c r="H11749" s="127" t="s">
        <v>211</v>
      </c>
    </row>
    <row r="11750" hidden="1">
      <c r="A11750" s="177" t="s">
        <v>221</v>
      </c>
      <c r="B11750" s="127" t="s">
        <v>189</v>
      </c>
      <c r="C11750" s="127" t="s">
        <v>206</v>
      </c>
      <c r="D11750" s="177" t="s">
        <v>55</v>
      </c>
      <c r="E11750" s="177" t="s">
        <v>14259</v>
      </c>
      <c r="F11750" s="177" t="s">
        <v>1948</v>
      </c>
      <c r="G11750" s="177" t="s">
        <v>13843</v>
      </c>
      <c r="H11750" s="127" t="s">
        <v>212</v>
      </c>
    </row>
    <row r="11751" hidden="1">
      <c r="A11751" s="177" t="s">
        <v>221</v>
      </c>
      <c r="B11751" s="127" t="s">
        <v>189</v>
      </c>
      <c r="C11751" s="127" t="s">
        <v>206</v>
      </c>
      <c r="D11751" s="177" t="s">
        <v>55</v>
      </c>
      <c r="E11751" s="177" t="s">
        <v>14260</v>
      </c>
      <c r="F11751" s="177" t="s">
        <v>637</v>
      </c>
      <c r="G11751" s="177" t="s">
        <v>14058</v>
      </c>
      <c r="H11751" s="127" t="s">
        <v>213</v>
      </c>
    </row>
    <row r="11752" hidden="1">
      <c r="A11752" s="177" t="s">
        <v>221</v>
      </c>
      <c r="B11752" s="127" t="s">
        <v>189</v>
      </c>
      <c r="C11752" s="127" t="s">
        <v>206</v>
      </c>
      <c r="D11752" s="177" t="s">
        <v>55</v>
      </c>
      <c r="E11752" s="177" t="s">
        <v>14261</v>
      </c>
      <c r="F11752" s="177" t="s">
        <v>3346</v>
      </c>
      <c r="G11752" s="177" t="s">
        <v>14262</v>
      </c>
      <c r="H11752" s="127" t="s">
        <v>214</v>
      </c>
    </row>
    <row r="11753" hidden="1">
      <c r="A11753" s="177" t="s">
        <v>221</v>
      </c>
      <c r="B11753" s="127" t="s">
        <v>189</v>
      </c>
      <c r="C11753" s="127" t="s">
        <v>206</v>
      </c>
      <c r="D11753" s="177" t="s">
        <v>55</v>
      </c>
      <c r="E11753" s="177" t="s">
        <v>14263</v>
      </c>
      <c r="F11753" s="177" t="s">
        <v>760</v>
      </c>
      <c r="G11753" s="177" t="s">
        <v>14264</v>
      </c>
      <c r="H11753" s="127" t="s">
        <v>215</v>
      </c>
    </row>
    <row r="11754" hidden="1">
      <c r="A11754" s="177" t="s">
        <v>221</v>
      </c>
      <c r="B11754" s="127" t="s">
        <v>189</v>
      </c>
      <c r="C11754" s="127" t="s">
        <v>206</v>
      </c>
      <c r="D11754" s="177" t="s">
        <v>55</v>
      </c>
      <c r="E11754" s="177" t="s">
        <v>14265</v>
      </c>
      <c r="F11754" s="177" t="s">
        <v>3198</v>
      </c>
      <c r="G11754" s="177" t="s">
        <v>14266</v>
      </c>
      <c r="H11754" s="127" t="s">
        <v>216</v>
      </c>
    </row>
    <row r="11755" hidden="1">
      <c r="A11755" s="177" t="s">
        <v>222</v>
      </c>
      <c r="B11755" s="127" t="s">
        <v>192</v>
      </c>
      <c r="C11755" s="127" t="s">
        <v>206</v>
      </c>
      <c r="D11755" s="177" t="s">
        <v>55</v>
      </c>
      <c r="E11755" s="177" t="s">
        <v>14267</v>
      </c>
      <c r="F11755" s="177" t="s">
        <v>331</v>
      </c>
      <c r="G11755" s="177" t="s">
        <v>12666</v>
      </c>
      <c r="H11755" s="127" t="s">
        <v>210</v>
      </c>
    </row>
    <row r="11756" hidden="1">
      <c r="A11756" s="177" t="s">
        <v>222</v>
      </c>
      <c r="B11756" s="127" t="s">
        <v>192</v>
      </c>
      <c r="C11756" s="127" t="s">
        <v>206</v>
      </c>
      <c r="D11756" s="177" t="s">
        <v>55</v>
      </c>
      <c r="E11756" s="177" t="s">
        <v>14268</v>
      </c>
      <c r="F11756" s="177" t="s">
        <v>321</v>
      </c>
      <c r="G11756" s="177" t="s">
        <v>14269</v>
      </c>
      <c r="H11756" s="127" t="s">
        <v>211</v>
      </c>
    </row>
    <row r="11757" hidden="1">
      <c r="A11757" s="177" t="s">
        <v>222</v>
      </c>
      <c r="B11757" s="127" t="s">
        <v>192</v>
      </c>
      <c r="C11757" s="127" t="s">
        <v>206</v>
      </c>
      <c r="D11757" s="177" t="s">
        <v>55</v>
      </c>
      <c r="E11757" s="177" t="s">
        <v>14270</v>
      </c>
      <c r="F11757" s="177" t="s">
        <v>323</v>
      </c>
      <c r="G11757" s="177" t="s">
        <v>14271</v>
      </c>
      <c r="H11757" s="127" t="s">
        <v>212</v>
      </c>
    </row>
    <row r="11758" hidden="1">
      <c r="A11758" s="177" t="s">
        <v>222</v>
      </c>
      <c r="B11758" s="127" t="s">
        <v>192</v>
      </c>
      <c r="C11758" s="127" t="s">
        <v>206</v>
      </c>
      <c r="D11758" s="177" t="s">
        <v>55</v>
      </c>
      <c r="E11758" s="177" t="s">
        <v>14272</v>
      </c>
      <c r="F11758" s="177" t="s">
        <v>321</v>
      </c>
      <c r="G11758" s="177" t="s">
        <v>12373</v>
      </c>
      <c r="H11758" s="127" t="s">
        <v>213</v>
      </c>
    </row>
    <row r="11759" hidden="1">
      <c r="A11759" s="177" t="s">
        <v>222</v>
      </c>
      <c r="B11759" s="127" t="s">
        <v>192</v>
      </c>
      <c r="C11759" s="127" t="s">
        <v>206</v>
      </c>
      <c r="D11759" s="177" t="s">
        <v>55</v>
      </c>
      <c r="E11759" s="177" t="s">
        <v>14273</v>
      </c>
      <c r="F11759" s="177" t="s">
        <v>427</v>
      </c>
      <c r="G11759" s="177" t="s">
        <v>14274</v>
      </c>
      <c r="H11759" s="127" t="s">
        <v>214</v>
      </c>
    </row>
    <row r="11760" hidden="1">
      <c r="A11760" s="177" t="s">
        <v>222</v>
      </c>
      <c r="B11760" s="127" t="s">
        <v>192</v>
      </c>
      <c r="C11760" s="127" t="s">
        <v>206</v>
      </c>
      <c r="D11760" s="177" t="s">
        <v>55</v>
      </c>
      <c r="E11760" s="177" t="s">
        <v>14275</v>
      </c>
      <c r="F11760" s="177" t="s">
        <v>534</v>
      </c>
      <c r="G11760" s="177" t="s">
        <v>12354</v>
      </c>
      <c r="H11760" s="127" t="s">
        <v>215</v>
      </c>
    </row>
    <row r="11761" hidden="1">
      <c r="A11761" s="177" t="s">
        <v>222</v>
      </c>
      <c r="B11761" s="127" t="s">
        <v>192</v>
      </c>
      <c r="C11761" s="127" t="s">
        <v>206</v>
      </c>
      <c r="D11761" s="177" t="s">
        <v>55</v>
      </c>
      <c r="E11761" s="177" t="s">
        <v>14276</v>
      </c>
      <c r="F11761" s="177" t="s">
        <v>308</v>
      </c>
      <c r="G11761" s="177" t="s">
        <v>14277</v>
      </c>
      <c r="H11761" s="127" t="s">
        <v>216</v>
      </c>
    </row>
    <row r="11762" hidden="1">
      <c r="A11762" s="177" t="s">
        <v>223</v>
      </c>
      <c r="B11762" s="127" t="s">
        <v>144</v>
      </c>
      <c r="C11762" s="127" t="s">
        <v>206</v>
      </c>
      <c r="D11762" s="177" t="s">
        <v>55</v>
      </c>
      <c r="E11762" s="177" t="s">
        <v>14278</v>
      </c>
      <c r="F11762" s="177" t="s">
        <v>351</v>
      </c>
      <c r="G11762" s="177" t="s">
        <v>14279</v>
      </c>
      <c r="H11762" s="127" t="s">
        <v>210</v>
      </c>
    </row>
    <row r="11763" hidden="1">
      <c r="A11763" s="177" t="s">
        <v>223</v>
      </c>
      <c r="B11763" s="127" t="s">
        <v>144</v>
      </c>
      <c r="C11763" s="127" t="s">
        <v>206</v>
      </c>
      <c r="D11763" s="177" t="s">
        <v>55</v>
      </c>
      <c r="E11763" s="177" t="s">
        <v>14280</v>
      </c>
      <c r="F11763" s="177" t="s">
        <v>305</v>
      </c>
      <c r="G11763" s="177" t="s">
        <v>12473</v>
      </c>
      <c r="H11763" s="127" t="s">
        <v>211</v>
      </c>
    </row>
    <row r="11764" hidden="1">
      <c r="A11764" s="177" t="s">
        <v>223</v>
      </c>
      <c r="B11764" s="127" t="s">
        <v>144</v>
      </c>
      <c r="C11764" s="127" t="s">
        <v>206</v>
      </c>
      <c r="D11764" s="177" t="s">
        <v>55</v>
      </c>
      <c r="E11764" s="177" t="s">
        <v>14281</v>
      </c>
      <c r="F11764" s="177" t="s">
        <v>483</v>
      </c>
      <c r="G11764" s="177" t="s">
        <v>14282</v>
      </c>
      <c r="H11764" s="127" t="s">
        <v>212</v>
      </c>
    </row>
    <row r="11765" hidden="1">
      <c r="A11765" s="177" t="s">
        <v>223</v>
      </c>
      <c r="B11765" s="127" t="s">
        <v>144</v>
      </c>
      <c r="C11765" s="127" t="s">
        <v>206</v>
      </c>
      <c r="D11765" s="177" t="s">
        <v>55</v>
      </c>
      <c r="E11765" s="177" t="s">
        <v>14283</v>
      </c>
      <c r="F11765" s="177" t="s">
        <v>305</v>
      </c>
      <c r="G11765" s="177" t="s">
        <v>13351</v>
      </c>
      <c r="H11765" s="127" t="s">
        <v>213</v>
      </c>
    </row>
    <row r="11766" hidden="1">
      <c r="A11766" s="177" t="s">
        <v>223</v>
      </c>
      <c r="B11766" s="127" t="s">
        <v>144</v>
      </c>
      <c r="C11766" s="127" t="s">
        <v>206</v>
      </c>
      <c r="D11766" s="177" t="s">
        <v>55</v>
      </c>
      <c r="E11766" s="177" t="s">
        <v>14284</v>
      </c>
      <c r="F11766" s="177" t="s">
        <v>339</v>
      </c>
      <c r="G11766" s="177" t="s">
        <v>14285</v>
      </c>
      <c r="H11766" s="127" t="s">
        <v>214</v>
      </c>
    </row>
    <row r="11767" hidden="1">
      <c r="A11767" s="177" t="s">
        <v>223</v>
      </c>
      <c r="B11767" s="127" t="s">
        <v>144</v>
      </c>
      <c r="C11767" s="127" t="s">
        <v>206</v>
      </c>
      <c r="D11767" s="177" t="s">
        <v>55</v>
      </c>
      <c r="E11767" s="177" t="s">
        <v>14286</v>
      </c>
      <c r="F11767" s="177" t="s">
        <v>494</v>
      </c>
      <c r="G11767" s="177" t="s">
        <v>14140</v>
      </c>
      <c r="H11767" s="127" t="s">
        <v>215</v>
      </c>
    </row>
    <row r="11768" hidden="1">
      <c r="A11768" s="177" t="s">
        <v>223</v>
      </c>
      <c r="B11768" s="127" t="s">
        <v>144</v>
      </c>
      <c r="C11768" s="127" t="s">
        <v>206</v>
      </c>
      <c r="D11768" s="177" t="s">
        <v>55</v>
      </c>
      <c r="E11768" s="177" t="s">
        <v>14287</v>
      </c>
      <c r="F11768" s="177" t="s">
        <v>351</v>
      </c>
      <c r="G11768" s="177" t="s">
        <v>12344</v>
      </c>
      <c r="H11768" s="127" t="s">
        <v>216</v>
      </c>
    </row>
    <row r="11769" hidden="1">
      <c r="A11769" s="177" t="s">
        <v>224</v>
      </c>
      <c r="B11769" s="127" t="s">
        <v>170</v>
      </c>
      <c r="C11769" s="127" t="s">
        <v>206</v>
      </c>
      <c r="D11769" s="177" t="s">
        <v>55</v>
      </c>
      <c r="E11769" s="177" t="s">
        <v>14288</v>
      </c>
      <c r="F11769" s="177" t="s">
        <v>494</v>
      </c>
      <c r="G11769" s="177" t="s">
        <v>14289</v>
      </c>
      <c r="H11769" s="127" t="s">
        <v>210</v>
      </c>
    </row>
    <row r="11770" hidden="1">
      <c r="A11770" s="177" t="s">
        <v>224</v>
      </c>
      <c r="B11770" s="127" t="s">
        <v>170</v>
      </c>
      <c r="C11770" s="127" t="s">
        <v>206</v>
      </c>
      <c r="D11770" s="177" t="s">
        <v>55</v>
      </c>
      <c r="E11770" s="177" t="s">
        <v>14290</v>
      </c>
      <c r="F11770" s="177" t="s">
        <v>249</v>
      </c>
      <c r="G11770" s="177" t="s">
        <v>14291</v>
      </c>
      <c r="H11770" s="127" t="s">
        <v>211</v>
      </c>
    </row>
    <row r="11771" hidden="1">
      <c r="A11771" s="177" t="s">
        <v>224</v>
      </c>
      <c r="B11771" s="127" t="s">
        <v>170</v>
      </c>
      <c r="C11771" s="127" t="s">
        <v>206</v>
      </c>
      <c r="D11771" s="177" t="s">
        <v>55</v>
      </c>
      <c r="E11771" s="177" t="s">
        <v>14292</v>
      </c>
      <c r="F11771" s="177" t="s">
        <v>359</v>
      </c>
      <c r="G11771" s="177" t="s">
        <v>14293</v>
      </c>
      <c r="H11771" s="127" t="s">
        <v>212</v>
      </c>
    </row>
    <row r="11772" hidden="1">
      <c r="A11772" s="177" t="s">
        <v>224</v>
      </c>
      <c r="B11772" s="127" t="s">
        <v>170</v>
      </c>
      <c r="C11772" s="127" t="s">
        <v>206</v>
      </c>
      <c r="D11772" s="177" t="s">
        <v>55</v>
      </c>
      <c r="E11772" s="177" t="s">
        <v>14294</v>
      </c>
      <c r="F11772" s="177" t="s">
        <v>351</v>
      </c>
      <c r="G11772" s="177" t="s">
        <v>14295</v>
      </c>
      <c r="H11772" s="127" t="s">
        <v>213</v>
      </c>
    </row>
    <row r="11773" hidden="1">
      <c r="A11773" s="177" t="s">
        <v>224</v>
      </c>
      <c r="B11773" s="127" t="s">
        <v>170</v>
      </c>
      <c r="C11773" s="127" t="s">
        <v>206</v>
      </c>
      <c r="D11773" s="177" t="s">
        <v>55</v>
      </c>
      <c r="E11773" s="177" t="s">
        <v>14296</v>
      </c>
      <c r="F11773" s="177" t="s">
        <v>287</v>
      </c>
      <c r="G11773" s="177" t="s">
        <v>14297</v>
      </c>
      <c r="H11773" s="127" t="s">
        <v>214</v>
      </c>
    </row>
    <row r="11774" hidden="1">
      <c r="A11774" s="177" t="s">
        <v>224</v>
      </c>
      <c r="B11774" s="127" t="s">
        <v>170</v>
      </c>
      <c r="C11774" s="127" t="s">
        <v>206</v>
      </c>
      <c r="D11774" s="177" t="s">
        <v>55</v>
      </c>
      <c r="E11774" s="177" t="s">
        <v>14298</v>
      </c>
      <c r="F11774" s="177" t="s">
        <v>329</v>
      </c>
      <c r="G11774" s="177" t="s">
        <v>14299</v>
      </c>
      <c r="H11774" s="127" t="s">
        <v>215</v>
      </c>
    </row>
    <row r="11775" hidden="1">
      <c r="A11775" s="177" t="s">
        <v>224</v>
      </c>
      <c r="B11775" s="127" t="s">
        <v>170</v>
      </c>
      <c r="C11775" s="127" t="s">
        <v>206</v>
      </c>
      <c r="D11775" s="177" t="s">
        <v>55</v>
      </c>
      <c r="E11775" s="177" t="s">
        <v>14300</v>
      </c>
      <c r="F11775" s="177" t="s">
        <v>339</v>
      </c>
      <c r="G11775" s="177" t="s">
        <v>13728</v>
      </c>
      <c r="H11775" s="127" t="s">
        <v>216</v>
      </c>
    </row>
    <row r="11776" hidden="1">
      <c r="A11776" s="177" t="s">
        <v>225</v>
      </c>
      <c r="B11776" s="127" t="s">
        <v>226</v>
      </c>
      <c r="C11776" s="127" t="s">
        <v>206</v>
      </c>
      <c r="D11776" s="177" t="s">
        <v>55</v>
      </c>
      <c r="E11776" s="177" t="s">
        <v>14301</v>
      </c>
      <c r="F11776" s="177" t="s">
        <v>310</v>
      </c>
      <c r="G11776" s="177" t="s">
        <v>14302</v>
      </c>
      <c r="H11776" s="127" t="s">
        <v>210</v>
      </c>
    </row>
    <row r="11777" hidden="1">
      <c r="A11777" s="177" t="s">
        <v>225</v>
      </c>
      <c r="B11777" s="127" t="s">
        <v>226</v>
      </c>
      <c r="C11777" s="127" t="s">
        <v>206</v>
      </c>
      <c r="D11777" s="177" t="s">
        <v>55</v>
      </c>
      <c r="E11777" s="177" t="s">
        <v>14303</v>
      </c>
      <c r="F11777" s="177" t="s">
        <v>534</v>
      </c>
      <c r="G11777" s="177" t="s">
        <v>14304</v>
      </c>
      <c r="H11777" s="127" t="s">
        <v>211</v>
      </c>
    </row>
    <row r="11778" hidden="1">
      <c r="A11778" s="177" t="s">
        <v>225</v>
      </c>
      <c r="B11778" s="127" t="s">
        <v>226</v>
      </c>
      <c r="C11778" s="127" t="s">
        <v>206</v>
      </c>
      <c r="D11778" s="177" t="s">
        <v>55</v>
      </c>
      <c r="E11778" s="177" t="s">
        <v>14305</v>
      </c>
      <c r="F11778" s="177" t="s">
        <v>242</v>
      </c>
      <c r="G11778" s="177" t="s">
        <v>13643</v>
      </c>
      <c r="H11778" s="127" t="s">
        <v>212</v>
      </c>
    </row>
    <row r="11779" hidden="1">
      <c r="A11779" s="177" t="s">
        <v>225</v>
      </c>
      <c r="B11779" s="127" t="s">
        <v>226</v>
      </c>
      <c r="C11779" s="127" t="s">
        <v>206</v>
      </c>
      <c r="D11779" s="177" t="s">
        <v>55</v>
      </c>
      <c r="E11779" s="177" t="s">
        <v>14306</v>
      </c>
      <c r="F11779" s="177" t="s">
        <v>323</v>
      </c>
      <c r="G11779" s="177" t="s">
        <v>14307</v>
      </c>
      <c r="H11779" s="127" t="s">
        <v>213</v>
      </c>
    </row>
    <row r="11780" hidden="1">
      <c r="A11780" s="177" t="s">
        <v>225</v>
      </c>
      <c r="B11780" s="127" t="s">
        <v>226</v>
      </c>
      <c r="C11780" s="127" t="s">
        <v>206</v>
      </c>
      <c r="D11780" s="177" t="s">
        <v>55</v>
      </c>
      <c r="E11780" s="177" t="s">
        <v>14308</v>
      </c>
      <c r="F11780" s="177" t="s">
        <v>305</v>
      </c>
      <c r="G11780" s="177" t="s">
        <v>13353</v>
      </c>
      <c r="H11780" s="127" t="s">
        <v>214</v>
      </c>
    </row>
    <row r="11781" hidden="1">
      <c r="A11781" s="177" t="s">
        <v>225</v>
      </c>
      <c r="B11781" s="127" t="s">
        <v>226</v>
      </c>
      <c r="C11781" s="127" t="s">
        <v>206</v>
      </c>
      <c r="D11781" s="177" t="s">
        <v>55</v>
      </c>
      <c r="E11781" s="177" t="s">
        <v>14309</v>
      </c>
      <c r="F11781" s="177" t="s">
        <v>577</v>
      </c>
      <c r="G11781" s="177" t="s">
        <v>14088</v>
      </c>
      <c r="H11781" s="127" t="s">
        <v>215</v>
      </c>
    </row>
    <row r="11782" hidden="1">
      <c r="A11782" s="177" t="s">
        <v>225</v>
      </c>
      <c r="B11782" s="127" t="s">
        <v>226</v>
      </c>
      <c r="C11782" s="127" t="s">
        <v>206</v>
      </c>
      <c r="D11782" s="177" t="s">
        <v>55</v>
      </c>
      <c r="E11782" s="177" t="s">
        <v>14310</v>
      </c>
      <c r="F11782" s="177" t="s">
        <v>534</v>
      </c>
      <c r="G11782" s="177" t="s">
        <v>14311</v>
      </c>
      <c r="H11782" s="127" t="s">
        <v>216</v>
      </c>
    </row>
    <row r="11783" hidden="1">
      <c r="A11783" s="177" t="s">
        <v>227</v>
      </c>
      <c r="B11783" s="127" t="s">
        <v>195</v>
      </c>
      <c r="C11783" s="127" t="s">
        <v>206</v>
      </c>
      <c r="D11783" s="177" t="s">
        <v>55</v>
      </c>
      <c r="E11783" s="177" t="s">
        <v>14312</v>
      </c>
      <c r="F11783" s="177" t="s">
        <v>242</v>
      </c>
      <c r="G11783" s="177" t="s">
        <v>12715</v>
      </c>
      <c r="H11783" s="127" t="s">
        <v>210</v>
      </c>
    </row>
    <row r="11784" hidden="1">
      <c r="A11784" s="177" t="s">
        <v>227</v>
      </c>
      <c r="B11784" s="127" t="s">
        <v>195</v>
      </c>
      <c r="C11784" s="127" t="s">
        <v>206</v>
      </c>
      <c r="D11784" s="177" t="s">
        <v>55</v>
      </c>
      <c r="E11784" s="177" t="s">
        <v>14313</v>
      </c>
      <c r="F11784" s="177" t="s">
        <v>365</v>
      </c>
      <c r="G11784" s="177" t="s">
        <v>14314</v>
      </c>
      <c r="H11784" s="127" t="s">
        <v>211</v>
      </c>
    </row>
    <row r="11785" hidden="1">
      <c r="A11785" s="177" t="s">
        <v>227</v>
      </c>
      <c r="B11785" s="127" t="s">
        <v>195</v>
      </c>
      <c r="C11785" s="127" t="s">
        <v>206</v>
      </c>
      <c r="D11785" s="177" t="s">
        <v>55</v>
      </c>
      <c r="E11785" s="177" t="s">
        <v>14315</v>
      </c>
      <c r="F11785" s="177" t="s">
        <v>677</v>
      </c>
      <c r="G11785" s="177" t="s">
        <v>14316</v>
      </c>
      <c r="H11785" s="127" t="s">
        <v>212</v>
      </c>
    </row>
    <row r="11786" hidden="1">
      <c r="A11786" s="177" t="s">
        <v>227</v>
      </c>
      <c r="B11786" s="127" t="s">
        <v>195</v>
      </c>
      <c r="C11786" s="127" t="s">
        <v>206</v>
      </c>
      <c r="D11786" s="177" t="s">
        <v>55</v>
      </c>
      <c r="E11786" s="177" t="s">
        <v>14317</v>
      </c>
      <c r="F11786" s="177" t="s">
        <v>321</v>
      </c>
      <c r="G11786" s="177" t="s">
        <v>12666</v>
      </c>
      <c r="H11786" s="127" t="s">
        <v>213</v>
      </c>
    </row>
    <row r="11787" hidden="1">
      <c r="A11787" s="177" t="s">
        <v>227</v>
      </c>
      <c r="B11787" s="127" t="s">
        <v>195</v>
      </c>
      <c r="C11787" s="127" t="s">
        <v>206</v>
      </c>
      <c r="D11787" s="177" t="s">
        <v>55</v>
      </c>
      <c r="E11787" s="177" t="s">
        <v>14318</v>
      </c>
      <c r="F11787" s="177" t="s">
        <v>359</v>
      </c>
      <c r="G11787" s="177" t="s">
        <v>14319</v>
      </c>
      <c r="H11787" s="127" t="s">
        <v>214</v>
      </c>
    </row>
    <row r="11788" hidden="1">
      <c r="A11788" s="177" t="s">
        <v>227</v>
      </c>
      <c r="B11788" s="127" t="s">
        <v>195</v>
      </c>
      <c r="C11788" s="127" t="s">
        <v>206</v>
      </c>
      <c r="D11788" s="177" t="s">
        <v>55</v>
      </c>
      <c r="E11788" s="177" t="s">
        <v>14320</v>
      </c>
      <c r="F11788" s="177" t="s">
        <v>310</v>
      </c>
      <c r="G11788" s="177" t="s">
        <v>14321</v>
      </c>
      <c r="H11788" s="127" t="s">
        <v>215</v>
      </c>
    </row>
    <row r="11789" hidden="1">
      <c r="A11789" s="177" t="s">
        <v>227</v>
      </c>
      <c r="B11789" s="127" t="s">
        <v>195</v>
      </c>
      <c r="C11789" s="127" t="s">
        <v>206</v>
      </c>
      <c r="D11789" s="177" t="s">
        <v>55</v>
      </c>
      <c r="E11789" s="177" t="s">
        <v>14322</v>
      </c>
      <c r="F11789" s="177" t="s">
        <v>323</v>
      </c>
      <c r="G11789" s="177" t="s">
        <v>14323</v>
      </c>
      <c r="H11789" s="127" t="s">
        <v>216</v>
      </c>
    </row>
    <row r="11790" hidden="1">
      <c r="A11790" s="177" t="s">
        <v>228</v>
      </c>
      <c r="B11790" s="127" t="s">
        <v>138</v>
      </c>
      <c r="C11790" s="127" t="s">
        <v>206</v>
      </c>
      <c r="D11790" s="177" t="s">
        <v>55</v>
      </c>
      <c r="E11790" s="177" t="s">
        <v>14324</v>
      </c>
      <c r="F11790" s="177" t="s">
        <v>325</v>
      </c>
      <c r="G11790" s="177" t="s">
        <v>14325</v>
      </c>
      <c r="H11790" s="127" t="s">
        <v>210</v>
      </c>
    </row>
    <row r="11791" hidden="1">
      <c r="A11791" s="177" t="s">
        <v>228</v>
      </c>
      <c r="B11791" s="127" t="s">
        <v>138</v>
      </c>
      <c r="C11791" s="127" t="s">
        <v>206</v>
      </c>
      <c r="D11791" s="177" t="s">
        <v>55</v>
      </c>
      <c r="E11791" s="177" t="s">
        <v>14326</v>
      </c>
      <c r="F11791" s="177" t="s">
        <v>1532</v>
      </c>
      <c r="G11791" s="177" t="s">
        <v>12534</v>
      </c>
      <c r="H11791" s="127" t="s">
        <v>211</v>
      </c>
    </row>
    <row r="11792" hidden="1">
      <c r="A11792" s="177" t="s">
        <v>228</v>
      </c>
      <c r="B11792" s="127" t="s">
        <v>138</v>
      </c>
      <c r="C11792" s="127" t="s">
        <v>206</v>
      </c>
      <c r="D11792" s="177" t="s">
        <v>55</v>
      </c>
      <c r="E11792" s="177" t="s">
        <v>14327</v>
      </c>
      <c r="F11792" s="177" t="s">
        <v>534</v>
      </c>
      <c r="G11792" s="177" t="s">
        <v>14328</v>
      </c>
      <c r="H11792" s="127" t="s">
        <v>212</v>
      </c>
    </row>
    <row r="11793" hidden="1">
      <c r="A11793" s="177" t="s">
        <v>228</v>
      </c>
      <c r="B11793" s="127" t="s">
        <v>138</v>
      </c>
      <c r="C11793" s="127" t="s">
        <v>206</v>
      </c>
      <c r="D11793" s="177" t="s">
        <v>55</v>
      </c>
      <c r="E11793" s="177" t="s">
        <v>14329</v>
      </c>
      <c r="F11793" s="177" t="s">
        <v>450</v>
      </c>
      <c r="G11793" s="177" t="s">
        <v>14330</v>
      </c>
      <c r="H11793" s="127" t="s">
        <v>213</v>
      </c>
    </row>
    <row r="11794" hidden="1">
      <c r="A11794" s="177" t="s">
        <v>228</v>
      </c>
      <c r="B11794" s="127" t="s">
        <v>138</v>
      </c>
      <c r="C11794" s="127" t="s">
        <v>206</v>
      </c>
      <c r="D11794" s="177" t="s">
        <v>55</v>
      </c>
      <c r="E11794" s="177" t="s">
        <v>14331</v>
      </c>
      <c r="F11794" s="177" t="s">
        <v>453</v>
      </c>
      <c r="G11794" s="177" t="s">
        <v>14332</v>
      </c>
      <c r="H11794" s="127" t="s">
        <v>214</v>
      </c>
    </row>
    <row r="11795" hidden="1">
      <c r="A11795" s="177" t="s">
        <v>228</v>
      </c>
      <c r="B11795" s="127" t="s">
        <v>138</v>
      </c>
      <c r="C11795" s="127" t="s">
        <v>206</v>
      </c>
      <c r="D11795" s="177" t="s">
        <v>55</v>
      </c>
      <c r="E11795" s="177" t="s">
        <v>14333</v>
      </c>
      <c r="F11795" s="177" t="s">
        <v>3218</v>
      </c>
      <c r="G11795" s="177" t="s">
        <v>13308</v>
      </c>
      <c r="H11795" s="127" t="s">
        <v>215</v>
      </c>
    </row>
    <row r="11796" hidden="1">
      <c r="A11796" s="177" t="s">
        <v>228</v>
      </c>
      <c r="B11796" s="127" t="s">
        <v>138</v>
      </c>
      <c r="C11796" s="127" t="s">
        <v>206</v>
      </c>
      <c r="D11796" s="177" t="s">
        <v>55</v>
      </c>
      <c r="E11796" s="177" t="s">
        <v>14334</v>
      </c>
      <c r="F11796" s="177" t="s">
        <v>354</v>
      </c>
      <c r="G11796" s="177" t="s">
        <v>12350</v>
      </c>
      <c r="H11796" s="127" t="s">
        <v>216</v>
      </c>
    </row>
    <row r="11797" hidden="1">
      <c r="A11797" s="177" t="s">
        <v>229</v>
      </c>
      <c r="B11797" s="127" t="s">
        <v>193</v>
      </c>
      <c r="C11797" s="127" t="s">
        <v>206</v>
      </c>
      <c r="D11797" s="177" t="s">
        <v>55</v>
      </c>
      <c r="E11797" s="177" t="s">
        <v>14335</v>
      </c>
      <c r="F11797" s="177" t="s">
        <v>329</v>
      </c>
      <c r="G11797" s="177" t="s">
        <v>12670</v>
      </c>
      <c r="H11797" s="127" t="s">
        <v>210</v>
      </c>
    </row>
    <row r="11798" hidden="1">
      <c r="A11798" s="177" t="s">
        <v>229</v>
      </c>
      <c r="B11798" s="127" t="s">
        <v>193</v>
      </c>
      <c r="C11798" s="127" t="s">
        <v>206</v>
      </c>
      <c r="D11798" s="177" t="s">
        <v>55</v>
      </c>
      <c r="E11798" s="177" t="s">
        <v>14336</v>
      </c>
      <c r="F11798" s="177" t="s">
        <v>450</v>
      </c>
      <c r="G11798" s="177" t="s">
        <v>14337</v>
      </c>
      <c r="H11798" s="127" t="s">
        <v>211</v>
      </c>
    </row>
    <row r="11799" hidden="1">
      <c r="A11799" s="177" t="s">
        <v>229</v>
      </c>
      <c r="B11799" s="127" t="s">
        <v>193</v>
      </c>
      <c r="C11799" s="127" t="s">
        <v>206</v>
      </c>
      <c r="D11799" s="177" t="s">
        <v>55</v>
      </c>
      <c r="E11799" s="177" t="s">
        <v>14338</v>
      </c>
      <c r="F11799" s="177" t="s">
        <v>290</v>
      </c>
      <c r="G11799" s="177" t="s">
        <v>14339</v>
      </c>
      <c r="H11799" s="127" t="s">
        <v>212</v>
      </c>
    </row>
    <row r="11800" hidden="1">
      <c r="A11800" s="177" t="s">
        <v>229</v>
      </c>
      <c r="B11800" s="127" t="s">
        <v>193</v>
      </c>
      <c r="C11800" s="127" t="s">
        <v>206</v>
      </c>
      <c r="D11800" s="177" t="s">
        <v>55</v>
      </c>
      <c r="E11800" s="177" t="s">
        <v>14340</v>
      </c>
      <c r="F11800" s="177" t="s">
        <v>305</v>
      </c>
      <c r="G11800" s="177" t="s">
        <v>13717</v>
      </c>
      <c r="H11800" s="127" t="s">
        <v>213</v>
      </c>
    </row>
    <row r="11801" hidden="1">
      <c r="A11801" s="177" t="s">
        <v>229</v>
      </c>
      <c r="B11801" s="127" t="s">
        <v>193</v>
      </c>
      <c r="C11801" s="127" t="s">
        <v>206</v>
      </c>
      <c r="D11801" s="177" t="s">
        <v>55</v>
      </c>
      <c r="E11801" s="177" t="s">
        <v>14341</v>
      </c>
      <c r="F11801" s="177" t="s">
        <v>285</v>
      </c>
      <c r="G11801" s="177" t="s">
        <v>14342</v>
      </c>
      <c r="H11801" s="127" t="s">
        <v>214</v>
      </c>
    </row>
    <row r="11802" hidden="1">
      <c r="A11802" s="177" t="s">
        <v>229</v>
      </c>
      <c r="B11802" s="127" t="s">
        <v>193</v>
      </c>
      <c r="C11802" s="127" t="s">
        <v>206</v>
      </c>
      <c r="D11802" s="177" t="s">
        <v>55</v>
      </c>
      <c r="E11802" s="177" t="s">
        <v>14343</v>
      </c>
      <c r="F11802" s="177" t="s">
        <v>290</v>
      </c>
      <c r="G11802" s="177" t="s">
        <v>13124</v>
      </c>
      <c r="H11802" s="127" t="s">
        <v>215</v>
      </c>
    </row>
    <row r="11803" hidden="1">
      <c r="A11803" s="177" t="s">
        <v>229</v>
      </c>
      <c r="B11803" s="127" t="s">
        <v>193</v>
      </c>
      <c r="C11803" s="127" t="s">
        <v>206</v>
      </c>
      <c r="D11803" s="177" t="s">
        <v>55</v>
      </c>
      <c r="E11803" s="177" t="s">
        <v>14344</v>
      </c>
      <c r="F11803" s="177" t="s">
        <v>450</v>
      </c>
      <c r="G11803" s="177" t="s">
        <v>14345</v>
      </c>
      <c r="H11803" s="127" t="s">
        <v>216</v>
      </c>
    </row>
    <row r="11804" hidden="1">
      <c r="A11804" s="177" t="s">
        <v>230</v>
      </c>
      <c r="B11804" s="127" t="s">
        <v>194</v>
      </c>
      <c r="C11804" s="127" t="s">
        <v>206</v>
      </c>
      <c r="D11804" s="177" t="s">
        <v>55</v>
      </c>
      <c r="E11804" s="177" t="s">
        <v>14346</v>
      </c>
      <c r="F11804" s="177" t="s">
        <v>427</v>
      </c>
      <c r="G11804" s="177" t="s">
        <v>14347</v>
      </c>
      <c r="H11804" s="127" t="s">
        <v>210</v>
      </c>
    </row>
    <row r="11805" hidden="1">
      <c r="A11805" s="177" t="s">
        <v>230</v>
      </c>
      <c r="B11805" s="127" t="s">
        <v>194</v>
      </c>
      <c r="C11805" s="127" t="s">
        <v>206</v>
      </c>
      <c r="D11805" s="177" t="s">
        <v>55</v>
      </c>
      <c r="E11805" s="177" t="s">
        <v>14348</v>
      </c>
      <c r="F11805" s="177" t="s">
        <v>310</v>
      </c>
      <c r="G11805" s="177" t="s">
        <v>13552</v>
      </c>
      <c r="H11805" s="127" t="s">
        <v>211</v>
      </c>
    </row>
    <row r="11806" hidden="1">
      <c r="A11806" s="177" t="s">
        <v>230</v>
      </c>
      <c r="B11806" s="127" t="s">
        <v>194</v>
      </c>
      <c r="C11806" s="127" t="s">
        <v>206</v>
      </c>
      <c r="D11806" s="177" t="s">
        <v>55</v>
      </c>
      <c r="E11806" s="177" t="s">
        <v>14349</v>
      </c>
      <c r="F11806" s="177" t="s">
        <v>314</v>
      </c>
      <c r="G11806" s="177" t="s">
        <v>14350</v>
      </c>
      <c r="H11806" s="127" t="s">
        <v>212</v>
      </c>
    </row>
    <row r="11807" hidden="1">
      <c r="A11807" s="177" t="s">
        <v>230</v>
      </c>
      <c r="B11807" s="127" t="s">
        <v>194</v>
      </c>
      <c r="C11807" s="127" t="s">
        <v>206</v>
      </c>
      <c r="D11807" s="177" t="s">
        <v>55</v>
      </c>
      <c r="E11807" s="177" t="s">
        <v>14351</v>
      </c>
      <c r="F11807" s="177" t="s">
        <v>494</v>
      </c>
      <c r="G11807" s="177" t="s">
        <v>13102</v>
      </c>
      <c r="H11807" s="127" t="s">
        <v>213</v>
      </c>
    </row>
    <row r="11808" hidden="1">
      <c r="A11808" s="177" t="s">
        <v>230</v>
      </c>
      <c r="B11808" s="127" t="s">
        <v>194</v>
      </c>
      <c r="C11808" s="127" t="s">
        <v>206</v>
      </c>
      <c r="D11808" s="177" t="s">
        <v>55</v>
      </c>
      <c r="E11808" s="177" t="s">
        <v>14352</v>
      </c>
      <c r="F11808" s="177" t="s">
        <v>425</v>
      </c>
      <c r="G11808" s="177" t="s">
        <v>12708</v>
      </c>
      <c r="H11808" s="127" t="s">
        <v>214</v>
      </c>
    </row>
    <row r="11809" hidden="1">
      <c r="A11809" s="177" t="s">
        <v>230</v>
      </c>
      <c r="B11809" s="127" t="s">
        <v>194</v>
      </c>
      <c r="C11809" s="127" t="s">
        <v>206</v>
      </c>
      <c r="D11809" s="177" t="s">
        <v>55</v>
      </c>
      <c r="E11809" s="177" t="s">
        <v>14353</v>
      </c>
      <c r="F11809" s="177" t="s">
        <v>249</v>
      </c>
      <c r="G11809" s="177" t="s">
        <v>14354</v>
      </c>
      <c r="H11809" s="127" t="s">
        <v>215</v>
      </c>
    </row>
    <row r="11810" hidden="1">
      <c r="A11810" s="177" t="s">
        <v>230</v>
      </c>
      <c r="B11810" s="127" t="s">
        <v>194</v>
      </c>
      <c r="C11810" s="127" t="s">
        <v>206</v>
      </c>
      <c r="D11810" s="177" t="s">
        <v>55</v>
      </c>
      <c r="E11810" s="177" t="s">
        <v>14355</v>
      </c>
      <c r="F11810" s="177" t="s">
        <v>351</v>
      </c>
      <c r="G11810" s="177" t="s">
        <v>13206</v>
      </c>
      <c r="H11810" s="127" t="s">
        <v>216</v>
      </c>
    </row>
    <row r="11811" hidden="1">
      <c r="A11811" s="127" t="s">
        <v>231</v>
      </c>
      <c r="C11811" s="127" t="s">
        <v>232</v>
      </c>
      <c r="D11811" s="177" t="s">
        <v>55</v>
      </c>
      <c r="E11811" s="177" t="s">
        <v>14356</v>
      </c>
      <c r="F11811" s="177" t="s">
        <v>450</v>
      </c>
      <c r="G11811" s="177" t="s">
        <v>14357</v>
      </c>
      <c r="H11811" s="127" t="s">
        <v>210</v>
      </c>
    </row>
    <row r="11812" hidden="1">
      <c r="A11812" s="127" t="s">
        <v>231</v>
      </c>
      <c r="C11812" s="127" t="s">
        <v>232</v>
      </c>
      <c r="D11812" s="177" t="s">
        <v>55</v>
      </c>
      <c r="E11812" s="177" t="s">
        <v>14358</v>
      </c>
      <c r="F11812" s="177" t="s">
        <v>359</v>
      </c>
      <c r="G11812" s="177" t="s">
        <v>14359</v>
      </c>
      <c r="H11812" s="127" t="s">
        <v>211</v>
      </c>
    </row>
    <row r="11813" hidden="1">
      <c r="A11813" s="127" t="s">
        <v>231</v>
      </c>
      <c r="C11813" s="127" t="s">
        <v>232</v>
      </c>
      <c r="D11813" s="177" t="s">
        <v>55</v>
      </c>
      <c r="E11813" s="177" t="s">
        <v>14360</v>
      </c>
      <c r="F11813" s="177" t="s">
        <v>308</v>
      </c>
      <c r="G11813" s="177" t="s">
        <v>14361</v>
      </c>
      <c r="H11813" s="127" t="s">
        <v>212</v>
      </c>
    </row>
    <row r="11814" hidden="1">
      <c r="A11814" s="127" t="s">
        <v>231</v>
      </c>
      <c r="C11814" s="127" t="s">
        <v>232</v>
      </c>
      <c r="D11814" s="177" t="s">
        <v>55</v>
      </c>
      <c r="E11814" s="177" t="s">
        <v>14362</v>
      </c>
      <c r="F11814" s="177" t="s">
        <v>359</v>
      </c>
      <c r="G11814" s="177" t="s">
        <v>12433</v>
      </c>
      <c r="H11814" s="127" t="s">
        <v>213</v>
      </c>
    </row>
    <row r="11815" hidden="1">
      <c r="A11815" s="127" t="s">
        <v>231</v>
      </c>
      <c r="C11815" s="127" t="s">
        <v>232</v>
      </c>
      <c r="D11815" s="177" t="s">
        <v>55</v>
      </c>
      <c r="E11815" s="177" t="s">
        <v>14363</v>
      </c>
      <c r="F11815" s="177" t="s">
        <v>246</v>
      </c>
      <c r="G11815" s="177" t="s">
        <v>14364</v>
      </c>
      <c r="H11815" s="127" t="s">
        <v>214</v>
      </c>
    </row>
    <row r="11816" hidden="1">
      <c r="A11816" s="127" t="s">
        <v>231</v>
      </c>
      <c r="C11816" s="127" t="s">
        <v>232</v>
      </c>
      <c r="D11816" s="177" t="s">
        <v>55</v>
      </c>
      <c r="E11816" s="177" t="s">
        <v>14365</v>
      </c>
      <c r="F11816" s="177" t="s">
        <v>351</v>
      </c>
      <c r="G11816" s="177" t="s">
        <v>13833</v>
      </c>
      <c r="H11816" s="127" t="s">
        <v>215</v>
      </c>
    </row>
    <row r="11817" hidden="1">
      <c r="A11817" s="127" t="s">
        <v>231</v>
      </c>
      <c r="C11817" s="127" t="s">
        <v>232</v>
      </c>
      <c r="D11817" s="177" t="s">
        <v>55</v>
      </c>
      <c r="E11817" s="177" t="s">
        <v>14366</v>
      </c>
      <c r="F11817" s="177" t="s">
        <v>290</v>
      </c>
      <c r="G11817" s="177" t="s">
        <v>14367</v>
      </c>
      <c r="H11817" s="127" t="s">
        <v>216</v>
      </c>
    </row>
    <row r="11818" hidden="1">
      <c r="A11818" s="127" t="s">
        <v>233</v>
      </c>
      <c r="C11818" s="127" t="s">
        <v>232</v>
      </c>
      <c r="D11818" s="177" t="s">
        <v>55</v>
      </c>
      <c r="E11818" s="177" t="s">
        <v>14368</v>
      </c>
      <c r="F11818" s="177" t="s">
        <v>339</v>
      </c>
      <c r="G11818" s="177" t="s">
        <v>14369</v>
      </c>
      <c r="H11818" s="127" t="s">
        <v>210</v>
      </c>
    </row>
    <row r="11819" hidden="1">
      <c r="A11819" s="127" t="s">
        <v>233</v>
      </c>
      <c r="C11819" s="127" t="s">
        <v>232</v>
      </c>
      <c r="D11819" s="177" t="s">
        <v>55</v>
      </c>
      <c r="E11819" s="177" t="s">
        <v>14370</v>
      </c>
      <c r="F11819" s="177" t="s">
        <v>305</v>
      </c>
      <c r="G11819" s="177" t="s">
        <v>14371</v>
      </c>
      <c r="H11819" s="127" t="s">
        <v>211</v>
      </c>
    </row>
    <row r="11820" hidden="1">
      <c r="A11820" s="127" t="s">
        <v>233</v>
      </c>
      <c r="C11820" s="127" t="s">
        <v>232</v>
      </c>
      <c r="D11820" s="177" t="s">
        <v>55</v>
      </c>
      <c r="E11820" s="177" t="s">
        <v>14372</v>
      </c>
      <c r="F11820" s="177" t="s">
        <v>310</v>
      </c>
      <c r="G11820" s="177" t="s">
        <v>14373</v>
      </c>
      <c r="H11820" s="127" t="s">
        <v>212</v>
      </c>
    </row>
    <row r="11821" hidden="1">
      <c r="A11821" s="127" t="s">
        <v>233</v>
      </c>
      <c r="C11821" s="127" t="s">
        <v>232</v>
      </c>
      <c r="D11821" s="177" t="s">
        <v>55</v>
      </c>
      <c r="E11821" s="177" t="s">
        <v>14374</v>
      </c>
      <c r="F11821" s="177" t="s">
        <v>534</v>
      </c>
      <c r="G11821" s="177" t="s">
        <v>14375</v>
      </c>
      <c r="H11821" s="127" t="s">
        <v>213</v>
      </c>
    </row>
    <row r="11822" hidden="1">
      <c r="A11822" s="127" t="s">
        <v>233</v>
      </c>
      <c r="C11822" s="127" t="s">
        <v>232</v>
      </c>
      <c r="D11822" s="177" t="s">
        <v>55</v>
      </c>
      <c r="E11822" s="177" t="s">
        <v>14376</v>
      </c>
      <c r="F11822" s="177" t="s">
        <v>290</v>
      </c>
      <c r="G11822" s="177" t="s">
        <v>14377</v>
      </c>
      <c r="H11822" s="127" t="s">
        <v>214</v>
      </c>
    </row>
    <row r="11823" hidden="1">
      <c r="A11823" s="127" t="s">
        <v>233</v>
      </c>
      <c r="C11823" s="127" t="s">
        <v>232</v>
      </c>
      <c r="D11823" s="177" t="s">
        <v>55</v>
      </c>
      <c r="E11823" s="177" t="s">
        <v>14378</v>
      </c>
      <c r="F11823" s="177" t="s">
        <v>305</v>
      </c>
      <c r="G11823" s="177" t="s">
        <v>14379</v>
      </c>
      <c r="H11823" s="127" t="s">
        <v>215</v>
      </c>
    </row>
    <row r="11824" hidden="1">
      <c r="A11824" s="127" t="s">
        <v>233</v>
      </c>
      <c r="C11824" s="127" t="s">
        <v>232</v>
      </c>
      <c r="D11824" s="177" t="s">
        <v>55</v>
      </c>
      <c r="E11824" s="177" t="s">
        <v>14380</v>
      </c>
      <c r="F11824" s="177" t="s">
        <v>351</v>
      </c>
      <c r="G11824" s="177" t="s">
        <v>14381</v>
      </c>
      <c r="H11824" s="127" t="s">
        <v>216</v>
      </c>
    </row>
    <row r="11825" hidden="1">
      <c r="A11825" s="127" t="s">
        <v>234</v>
      </c>
      <c r="C11825" s="127" t="s">
        <v>232</v>
      </c>
      <c r="D11825" s="177" t="s">
        <v>55</v>
      </c>
      <c r="E11825" s="177" t="s">
        <v>14382</v>
      </c>
      <c r="F11825" s="177" t="s">
        <v>478</v>
      </c>
      <c r="G11825" s="177" t="s">
        <v>13274</v>
      </c>
      <c r="H11825" s="127" t="s">
        <v>210</v>
      </c>
    </row>
    <row r="11826" hidden="1">
      <c r="A11826" s="127" t="s">
        <v>234</v>
      </c>
      <c r="C11826" s="127" t="s">
        <v>232</v>
      </c>
      <c r="D11826" s="177" t="s">
        <v>55</v>
      </c>
      <c r="E11826" s="177" t="s">
        <v>14383</v>
      </c>
      <c r="F11826" s="177" t="s">
        <v>329</v>
      </c>
      <c r="G11826" s="177" t="s">
        <v>13574</v>
      </c>
      <c r="H11826" s="127" t="s">
        <v>211</v>
      </c>
    </row>
    <row r="11827" hidden="1">
      <c r="A11827" s="127" t="s">
        <v>234</v>
      </c>
      <c r="C11827" s="127" t="s">
        <v>232</v>
      </c>
      <c r="D11827" s="177" t="s">
        <v>55</v>
      </c>
      <c r="E11827" s="177" t="s">
        <v>14384</v>
      </c>
      <c r="F11827" s="177" t="s">
        <v>799</v>
      </c>
      <c r="G11827" s="177" t="s">
        <v>14385</v>
      </c>
      <c r="H11827" s="127" t="s">
        <v>212</v>
      </c>
    </row>
    <row r="11828" hidden="1">
      <c r="A11828" s="127" t="s">
        <v>234</v>
      </c>
      <c r="C11828" s="127" t="s">
        <v>232</v>
      </c>
      <c r="D11828" s="177" t="s">
        <v>55</v>
      </c>
      <c r="E11828" s="177" t="s">
        <v>14386</v>
      </c>
      <c r="F11828" s="177" t="s">
        <v>405</v>
      </c>
      <c r="G11828" s="177" t="s">
        <v>13847</v>
      </c>
      <c r="H11828" s="127" t="s">
        <v>213</v>
      </c>
    </row>
    <row r="11829" hidden="1">
      <c r="A11829" s="127" t="s">
        <v>234</v>
      </c>
      <c r="C11829" s="127" t="s">
        <v>232</v>
      </c>
      <c r="D11829" s="177" t="s">
        <v>55</v>
      </c>
      <c r="E11829" s="177" t="s">
        <v>14387</v>
      </c>
      <c r="F11829" s="177" t="s">
        <v>799</v>
      </c>
      <c r="G11829" s="177" t="s">
        <v>12976</v>
      </c>
      <c r="H11829" s="127" t="s">
        <v>214</v>
      </c>
    </row>
    <row r="11830" hidden="1">
      <c r="A11830" s="127" t="s">
        <v>234</v>
      </c>
      <c r="C11830" s="127" t="s">
        <v>232</v>
      </c>
      <c r="D11830" s="177" t="s">
        <v>55</v>
      </c>
      <c r="E11830" s="177" t="s">
        <v>14388</v>
      </c>
      <c r="F11830" s="177" t="s">
        <v>405</v>
      </c>
      <c r="G11830" s="177" t="s">
        <v>14389</v>
      </c>
      <c r="H11830" s="127" t="s">
        <v>215</v>
      </c>
    </row>
    <row r="11831" hidden="1">
      <c r="A11831" s="127" t="s">
        <v>234</v>
      </c>
      <c r="C11831" s="127" t="s">
        <v>232</v>
      </c>
      <c r="D11831" s="177" t="s">
        <v>55</v>
      </c>
      <c r="E11831" s="177" t="s">
        <v>14390</v>
      </c>
      <c r="F11831" s="177" t="s">
        <v>725</v>
      </c>
      <c r="G11831" s="177" t="s">
        <v>14002</v>
      </c>
      <c r="H11831" s="127" t="s">
        <v>216</v>
      </c>
    </row>
    <row r="11832" hidden="1">
      <c r="A11832" s="127" t="s">
        <v>235</v>
      </c>
      <c r="C11832" s="127" t="s">
        <v>236</v>
      </c>
      <c r="D11832" s="177" t="s">
        <v>55</v>
      </c>
      <c r="E11832" s="177" t="s">
        <v>14391</v>
      </c>
      <c r="F11832" s="177" t="s">
        <v>305</v>
      </c>
      <c r="G11832" s="177" t="s">
        <v>12527</v>
      </c>
      <c r="H11832" s="127" t="s">
        <v>210</v>
      </c>
    </row>
    <row r="11833" hidden="1">
      <c r="A11833" s="127" t="s">
        <v>235</v>
      </c>
      <c r="C11833" s="127" t="s">
        <v>236</v>
      </c>
      <c r="D11833" s="177" t="s">
        <v>55</v>
      </c>
      <c r="E11833" s="177" t="s">
        <v>14392</v>
      </c>
      <c r="F11833" s="177" t="s">
        <v>290</v>
      </c>
      <c r="G11833" s="177" t="s">
        <v>12357</v>
      </c>
      <c r="H11833" s="127" t="s">
        <v>211</v>
      </c>
    </row>
    <row r="11834" hidden="1">
      <c r="A11834" s="127" t="s">
        <v>235</v>
      </c>
      <c r="C11834" s="127" t="s">
        <v>236</v>
      </c>
      <c r="D11834" s="177" t="s">
        <v>55</v>
      </c>
      <c r="E11834" s="177" t="s">
        <v>14393</v>
      </c>
      <c r="F11834" s="177" t="s">
        <v>534</v>
      </c>
      <c r="G11834" s="177" t="s">
        <v>12183</v>
      </c>
      <c r="H11834" s="127" t="s">
        <v>212</v>
      </c>
    </row>
    <row r="11835" hidden="1">
      <c r="A11835" s="127" t="s">
        <v>235</v>
      </c>
      <c r="C11835" s="127" t="s">
        <v>236</v>
      </c>
      <c r="D11835" s="177" t="s">
        <v>55</v>
      </c>
      <c r="E11835" s="177" t="s">
        <v>14394</v>
      </c>
      <c r="F11835" s="177" t="s">
        <v>331</v>
      </c>
      <c r="G11835" s="177" t="s">
        <v>12717</v>
      </c>
      <c r="H11835" s="127" t="s">
        <v>213</v>
      </c>
    </row>
    <row r="11836" hidden="1">
      <c r="A11836" s="127" t="s">
        <v>235</v>
      </c>
      <c r="C11836" s="127" t="s">
        <v>236</v>
      </c>
      <c r="D11836" s="177" t="s">
        <v>55</v>
      </c>
      <c r="E11836" s="177" t="s">
        <v>14395</v>
      </c>
      <c r="F11836" s="177" t="s">
        <v>249</v>
      </c>
      <c r="G11836" s="177" t="s">
        <v>14396</v>
      </c>
      <c r="H11836" s="127" t="s">
        <v>214</v>
      </c>
    </row>
    <row r="11837" hidden="1">
      <c r="A11837" s="127" t="s">
        <v>235</v>
      </c>
      <c r="C11837" s="127" t="s">
        <v>236</v>
      </c>
      <c r="D11837" s="177" t="s">
        <v>55</v>
      </c>
      <c r="E11837" s="177" t="s">
        <v>14397</v>
      </c>
      <c r="F11837" s="177" t="s">
        <v>534</v>
      </c>
      <c r="G11837" s="177" t="s">
        <v>14328</v>
      </c>
      <c r="H11837" s="127" t="s">
        <v>215</v>
      </c>
    </row>
    <row r="11838" hidden="1">
      <c r="A11838" s="127" t="s">
        <v>235</v>
      </c>
      <c r="C11838" s="127" t="s">
        <v>236</v>
      </c>
      <c r="D11838" s="177" t="s">
        <v>55</v>
      </c>
      <c r="E11838" s="177" t="s">
        <v>14398</v>
      </c>
      <c r="F11838" s="177" t="s">
        <v>534</v>
      </c>
      <c r="G11838" s="177" t="s">
        <v>14342</v>
      </c>
      <c r="H11838" s="127" t="s">
        <v>216</v>
      </c>
    </row>
    <row r="11839" hidden="1">
      <c r="A11839" s="127" t="s">
        <v>237</v>
      </c>
      <c r="C11839" s="127" t="s">
        <v>236</v>
      </c>
      <c r="D11839" s="177" t="s">
        <v>55</v>
      </c>
      <c r="E11839" s="177" t="s">
        <v>14399</v>
      </c>
      <c r="F11839" s="177" t="s">
        <v>478</v>
      </c>
      <c r="G11839" s="177" t="s">
        <v>14400</v>
      </c>
      <c r="H11839" s="127" t="s">
        <v>210</v>
      </c>
    </row>
    <row r="11840" hidden="1">
      <c r="A11840" s="127" t="s">
        <v>237</v>
      </c>
      <c r="C11840" s="127" t="s">
        <v>236</v>
      </c>
      <c r="D11840" s="177" t="s">
        <v>55</v>
      </c>
      <c r="E11840" s="177" t="s">
        <v>14401</v>
      </c>
      <c r="F11840" s="177" t="s">
        <v>354</v>
      </c>
      <c r="G11840" s="177" t="s">
        <v>14402</v>
      </c>
      <c r="H11840" s="127" t="s">
        <v>211</v>
      </c>
    </row>
    <row r="11841" hidden="1">
      <c r="A11841" s="127" t="s">
        <v>237</v>
      </c>
      <c r="C11841" s="127" t="s">
        <v>236</v>
      </c>
      <c r="D11841" s="177" t="s">
        <v>55</v>
      </c>
      <c r="E11841" s="177" t="s">
        <v>14403</v>
      </c>
      <c r="F11841" s="177" t="s">
        <v>799</v>
      </c>
      <c r="G11841" s="177" t="s">
        <v>12703</v>
      </c>
      <c r="H11841" s="127" t="s">
        <v>212</v>
      </c>
    </row>
    <row r="11842" hidden="1">
      <c r="A11842" s="127" t="s">
        <v>237</v>
      </c>
      <c r="C11842" s="127" t="s">
        <v>236</v>
      </c>
      <c r="D11842" s="177" t="s">
        <v>55</v>
      </c>
      <c r="E11842" s="177" t="s">
        <v>14404</v>
      </c>
      <c r="F11842" s="177" t="s">
        <v>405</v>
      </c>
      <c r="G11842" s="177" t="s">
        <v>12754</v>
      </c>
      <c r="H11842" s="127" t="s">
        <v>213</v>
      </c>
    </row>
    <row r="11843" hidden="1">
      <c r="A11843" s="127" t="s">
        <v>237</v>
      </c>
      <c r="C11843" s="127" t="s">
        <v>236</v>
      </c>
      <c r="D11843" s="177" t="s">
        <v>55</v>
      </c>
      <c r="E11843" s="177" t="s">
        <v>14405</v>
      </c>
      <c r="F11843" s="177" t="s">
        <v>799</v>
      </c>
      <c r="G11843" s="177" t="s">
        <v>13797</v>
      </c>
      <c r="H11843" s="127" t="s">
        <v>214</v>
      </c>
    </row>
    <row r="11844" hidden="1">
      <c r="A11844" s="127" t="s">
        <v>237</v>
      </c>
      <c r="C11844" s="127" t="s">
        <v>236</v>
      </c>
      <c r="D11844" s="177" t="s">
        <v>55</v>
      </c>
      <c r="E11844" s="177" t="s">
        <v>14406</v>
      </c>
      <c r="F11844" s="177" t="s">
        <v>448</v>
      </c>
      <c r="G11844" s="177" t="s">
        <v>14407</v>
      </c>
      <c r="H11844" s="127" t="s">
        <v>215</v>
      </c>
    </row>
    <row r="11845" hidden="1">
      <c r="A11845" s="127" t="s">
        <v>237</v>
      </c>
      <c r="C11845" s="127" t="s">
        <v>236</v>
      </c>
      <c r="D11845" s="177" t="s">
        <v>55</v>
      </c>
      <c r="E11845" s="177" t="s">
        <v>14408</v>
      </c>
      <c r="F11845" s="177" t="s">
        <v>478</v>
      </c>
      <c r="G11845" s="177" t="s">
        <v>14409</v>
      </c>
      <c r="H11845" s="127" t="s">
        <v>216</v>
      </c>
    </row>
    <row r="11846" hidden="1">
      <c r="A11846" s="177" t="s">
        <v>204</v>
      </c>
      <c r="B11846" s="127" t="s">
        <v>205</v>
      </c>
      <c r="C11846" s="127" t="s">
        <v>206</v>
      </c>
      <c r="D11846" s="177" t="s">
        <v>56</v>
      </c>
      <c r="E11846" s="177" t="s">
        <v>14410</v>
      </c>
      <c r="F11846" s="177" t="s">
        <v>331</v>
      </c>
      <c r="G11846" s="177" t="s">
        <v>14411</v>
      </c>
      <c r="H11846" s="127" t="s">
        <v>210</v>
      </c>
    </row>
    <row r="11847" hidden="1">
      <c r="A11847" s="177" t="s">
        <v>204</v>
      </c>
      <c r="B11847" s="127" t="s">
        <v>205</v>
      </c>
      <c r="C11847" s="127" t="s">
        <v>206</v>
      </c>
      <c r="D11847" s="177" t="s">
        <v>56</v>
      </c>
      <c r="E11847" s="177" t="s">
        <v>14412</v>
      </c>
      <c r="F11847" s="177" t="s">
        <v>249</v>
      </c>
      <c r="G11847" s="177" t="s">
        <v>14413</v>
      </c>
      <c r="H11847" s="127" t="s">
        <v>211</v>
      </c>
    </row>
    <row r="11848" hidden="1">
      <c r="A11848" s="177" t="s">
        <v>204</v>
      </c>
      <c r="B11848" s="127" t="s">
        <v>205</v>
      </c>
      <c r="C11848" s="127" t="s">
        <v>206</v>
      </c>
      <c r="D11848" s="177" t="s">
        <v>56</v>
      </c>
      <c r="E11848" s="177" t="s">
        <v>14414</v>
      </c>
      <c r="F11848" s="177" t="s">
        <v>249</v>
      </c>
      <c r="G11848" s="177" t="s">
        <v>12072</v>
      </c>
      <c r="H11848" s="127" t="s">
        <v>212</v>
      </c>
    </row>
    <row r="11849" hidden="1">
      <c r="A11849" s="177" t="s">
        <v>204</v>
      </c>
      <c r="B11849" s="127" t="s">
        <v>205</v>
      </c>
      <c r="C11849" s="127" t="s">
        <v>206</v>
      </c>
      <c r="D11849" s="177" t="s">
        <v>56</v>
      </c>
      <c r="E11849" s="177" t="s">
        <v>14415</v>
      </c>
      <c r="F11849" s="177" t="s">
        <v>249</v>
      </c>
      <c r="G11849" s="177" t="s">
        <v>14416</v>
      </c>
      <c r="H11849" s="127" t="s">
        <v>213</v>
      </c>
    </row>
    <row r="11850" hidden="1">
      <c r="A11850" s="177" t="s">
        <v>204</v>
      </c>
      <c r="B11850" s="127" t="s">
        <v>205</v>
      </c>
      <c r="C11850" s="127" t="s">
        <v>206</v>
      </c>
      <c r="D11850" s="177" t="s">
        <v>56</v>
      </c>
      <c r="E11850" s="177" t="s">
        <v>14417</v>
      </c>
      <c r="F11850" s="177" t="s">
        <v>285</v>
      </c>
      <c r="G11850" s="177" t="s">
        <v>14418</v>
      </c>
      <c r="H11850" s="127" t="s">
        <v>214</v>
      </c>
    </row>
    <row r="11851" hidden="1">
      <c r="A11851" s="177" t="s">
        <v>204</v>
      </c>
      <c r="B11851" s="127" t="s">
        <v>205</v>
      </c>
      <c r="C11851" s="127" t="s">
        <v>206</v>
      </c>
      <c r="D11851" s="177" t="s">
        <v>56</v>
      </c>
      <c r="E11851" s="177" t="s">
        <v>14419</v>
      </c>
      <c r="F11851" s="177" t="s">
        <v>305</v>
      </c>
      <c r="G11851" s="177" t="s">
        <v>14420</v>
      </c>
      <c r="H11851" s="127" t="s">
        <v>215</v>
      </c>
    </row>
    <row r="11852" hidden="1">
      <c r="A11852" s="177" t="s">
        <v>204</v>
      </c>
      <c r="B11852" s="127" t="s">
        <v>205</v>
      </c>
      <c r="C11852" s="127" t="s">
        <v>206</v>
      </c>
      <c r="D11852" s="177" t="s">
        <v>56</v>
      </c>
      <c r="E11852" s="177" t="s">
        <v>14421</v>
      </c>
      <c r="F11852" s="177" t="s">
        <v>308</v>
      </c>
      <c r="G11852" s="177" t="s">
        <v>12721</v>
      </c>
      <c r="H11852" s="127" t="s">
        <v>216</v>
      </c>
    </row>
    <row r="11853" hidden="1">
      <c r="A11853" s="177" t="s">
        <v>217</v>
      </c>
      <c r="B11853" s="127" t="s">
        <v>191</v>
      </c>
      <c r="C11853" s="127" t="s">
        <v>206</v>
      </c>
      <c r="D11853" s="177" t="s">
        <v>56</v>
      </c>
      <c r="E11853" s="177" t="s">
        <v>14422</v>
      </c>
      <c r="F11853" s="177" t="s">
        <v>269</v>
      </c>
      <c r="G11853" s="177" t="s">
        <v>12170</v>
      </c>
      <c r="H11853" s="127" t="s">
        <v>210</v>
      </c>
    </row>
    <row r="11854" hidden="1">
      <c r="A11854" s="177" t="s">
        <v>217</v>
      </c>
      <c r="B11854" s="127" t="s">
        <v>191</v>
      </c>
      <c r="C11854" s="127" t="s">
        <v>206</v>
      </c>
      <c r="D11854" s="177" t="s">
        <v>56</v>
      </c>
      <c r="E11854" s="177" t="s">
        <v>14423</v>
      </c>
      <c r="F11854" s="177" t="s">
        <v>257</v>
      </c>
      <c r="G11854" s="177" t="s">
        <v>14424</v>
      </c>
      <c r="H11854" s="127" t="s">
        <v>211</v>
      </c>
    </row>
    <row r="11855" hidden="1">
      <c r="A11855" s="177" t="s">
        <v>217</v>
      </c>
      <c r="B11855" s="127" t="s">
        <v>191</v>
      </c>
      <c r="C11855" s="127" t="s">
        <v>206</v>
      </c>
      <c r="D11855" s="177" t="s">
        <v>56</v>
      </c>
      <c r="E11855" s="177" t="s">
        <v>14425</v>
      </c>
      <c r="F11855" s="177" t="s">
        <v>301</v>
      </c>
      <c r="G11855" s="177" t="s">
        <v>12058</v>
      </c>
      <c r="H11855" s="127" t="s">
        <v>212</v>
      </c>
    </row>
    <row r="11856" hidden="1">
      <c r="A11856" s="177" t="s">
        <v>217</v>
      </c>
      <c r="B11856" s="127" t="s">
        <v>191</v>
      </c>
      <c r="C11856" s="127" t="s">
        <v>206</v>
      </c>
      <c r="D11856" s="177" t="s">
        <v>56</v>
      </c>
      <c r="E11856" s="177" t="s">
        <v>14426</v>
      </c>
      <c r="F11856" s="177" t="s">
        <v>265</v>
      </c>
      <c r="G11856" s="177" t="s">
        <v>14427</v>
      </c>
      <c r="H11856" s="127" t="s">
        <v>213</v>
      </c>
    </row>
    <row r="11857" hidden="1">
      <c r="A11857" s="177" t="s">
        <v>217</v>
      </c>
      <c r="B11857" s="127" t="s">
        <v>191</v>
      </c>
      <c r="C11857" s="127" t="s">
        <v>206</v>
      </c>
      <c r="D11857" s="177" t="s">
        <v>56</v>
      </c>
      <c r="E11857" s="177" t="s">
        <v>14428</v>
      </c>
      <c r="F11857" s="177" t="s">
        <v>274</v>
      </c>
      <c r="G11857" s="177" t="s">
        <v>14429</v>
      </c>
      <c r="H11857" s="127" t="s">
        <v>214</v>
      </c>
    </row>
    <row r="11858" hidden="1">
      <c r="A11858" s="177" t="s">
        <v>217</v>
      </c>
      <c r="B11858" s="127" t="s">
        <v>191</v>
      </c>
      <c r="C11858" s="127" t="s">
        <v>206</v>
      </c>
      <c r="D11858" s="177" t="s">
        <v>56</v>
      </c>
      <c r="E11858" s="177" t="s">
        <v>14430</v>
      </c>
      <c r="F11858" s="177" t="s">
        <v>244</v>
      </c>
      <c r="G11858" s="177" t="s">
        <v>14431</v>
      </c>
      <c r="H11858" s="127" t="s">
        <v>215</v>
      </c>
    </row>
    <row r="11859" hidden="1">
      <c r="A11859" s="177" t="s">
        <v>217</v>
      </c>
      <c r="B11859" s="127" t="s">
        <v>191</v>
      </c>
      <c r="C11859" s="127" t="s">
        <v>206</v>
      </c>
      <c r="D11859" s="177" t="s">
        <v>56</v>
      </c>
      <c r="E11859" s="177" t="s">
        <v>14432</v>
      </c>
      <c r="F11859" s="177" t="s">
        <v>269</v>
      </c>
      <c r="G11859" s="177" t="s">
        <v>12288</v>
      </c>
      <c r="H11859" s="127" t="s">
        <v>216</v>
      </c>
    </row>
    <row r="11860" hidden="1">
      <c r="A11860" s="177" t="s">
        <v>218</v>
      </c>
      <c r="B11860" s="127" t="s">
        <v>219</v>
      </c>
      <c r="C11860" s="127" t="s">
        <v>206</v>
      </c>
      <c r="D11860" s="177" t="s">
        <v>56</v>
      </c>
      <c r="E11860" s="177" t="s">
        <v>14433</v>
      </c>
      <c r="F11860" s="177" t="s">
        <v>336</v>
      </c>
      <c r="G11860" s="177" t="s">
        <v>14434</v>
      </c>
      <c r="H11860" s="127" t="s">
        <v>210</v>
      </c>
    </row>
    <row r="11861" hidden="1">
      <c r="A11861" s="177" t="s">
        <v>218</v>
      </c>
      <c r="B11861" s="127" t="s">
        <v>219</v>
      </c>
      <c r="C11861" s="127" t="s">
        <v>206</v>
      </c>
      <c r="D11861" s="177" t="s">
        <v>56</v>
      </c>
      <c r="E11861" s="177" t="s">
        <v>14435</v>
      </c>
      <c r="F11861" s="177" t="s">
        <v>249</v>
      </c>
      <c r="G11861" s="177" t="s">
        <v>14339</v>
      </c>
      <c r="H11861" s="127" t="s">
        <v>211</v>
      </c>
    </row>
    <row r="11862" hidden="1">
      <c r="A11862" s="177" t="s">
        <v>218</v>
      </c>
      <c r="B11862" s="127" t="s">
        <v>219</v>
      </c>
      <c r="C11862" s="127" t="s">
        <v>206</v>
      </c>
      <c r="D11862" s="177" t="s">
        <v>56</v>
      </c>
      <c r="E11862" s="177" t="s">
        <v>14436</v>
      </c>
      <c r="F11862" s="177" t="s">
        <v>323</v>
      </c>
      <c r="G11862" s="177" t="s">
        <v>14437</v>
      </c>
      <c r="H11862" s="127" t="s">
        <v>212</v>
      </c>
    </row>
    <row r="11863" hidden="1">
      <c r="A11863" s="177" t="s">
        <v>218</v>
      </c>
      <c r="B11863" s="127" t="s">
        <v>219</v>
      </c>
      <c r="C11863" s="127" t="s">
        <v>206</v>
      </c>
      <c r="D11863" s="177" t="s">
        <v>56</v>
      </c>
      <c r="E11863" s="177" t="s">
        <v>14438</v>
      </c>
      <c r="F11863" s="177" t="s">
        <v>321</v>
      </c>
      <c r="G11863" s="177" t="s">
        <v>14439</v>
      </c>
      <c r="H11863" s="127" t="s">
        <v>213</v>
      </c>
    </row>
    <row r="11864" hidden="1">
      <c r="A11864" s="177" t="s">
        <v>218</v>
      </c>
      <c r="B11864" s="127" t="s">
        <v>219</v>
      </c>
      <c r="C11864" s="127" t="s">
        <v>206</v>
      </c>
      <c r="D11864" s="177" t="s">
        <v>56</v>
      </c>
      <c r="E11864" s="177" t="s">
        <v>14440</v>
      </c>
      <c r="F11864" s="177" t="s">
        <v>314</v>
      </c>
      <c r="G11864" s="177" t="s">
        <v>14441</v>
      </c>
      <c r="H11864" s="127" t="s">
        <v>214</v>
      </c>
    </row>
    <row r="11865" hidden="1">
      <c r="A11865" s="177" t="s">
        <v>218</v>
      </c>
      <c r="B11865" s="127" t="s">
        <v>219</v>
      </c>
      <c r="C11865" s="127" t="s">
        <v>206</v>
      </c>
      <c r="D11865" s="177" t="s">
        <v>56</v>
      </c>
      <c r="E11865" s="177" t="s">
        <v>14442</v>
      </c>
      <c r="F11865" s="177" t="s">
        <v>314</v>
      </c>
      <c r="G11865" s="177" t="s">
        <v>14443</v>
      </c>
      <c r="H11865" s="127" t="s">
        <v>215</v>
      </c>
    </row>
    <row r="11866" hidden="1">
      <c r="A11866" s="177" t="s">
        <v>218</v>
      </c>
      <c r="B11866" s="127" t="s">
        <v>219</v>
      </c>
      <c r="C11866" s="127" t="s">
        <v>206</v>
      </c>
      <c r="D11866" s="177" t="s">
        <v>56</v>
      </c>
      <c r="E11866" s="177" t="s">
        <v>14444</v>
      </c>
      <c r="F11866" s="177" t="s">
        <v>534</v>
      </c>
      <c r="G11866" s="177" t="s">
        <v>12367</v>
      </c>
      <c r="H11866" s="127" t="s">
        <v>216</v>
      </c>
    </row>
    <row r="11867" hidden="1">
      <c r="A11867" s="177" t="s">
        <v>220</v>
      </c>
      <c r="B11867" s="127" t="s">
        <v>190</v>
      </c>
      <c r="C11867" s="127" t="s">
        <v>206</v>
      </c>
      <c r="D11867" s="177" t="s">
        <v>56</v>
      </c>
      <c r="E11867" s="177" t="s">
        <v>14445</v>
      </c>
      <c r="F11867" s="177" t="s">
        <v>725</v>
      </c>
      <c r="G11867" s="177" t="s">
        <v>10870</v>
      </c>
      <c r="H11867" s="127" t="s">
        <v>210</v>
      </c>
    </row>
    <row r="11868" hidden="1">
      <c r="A11868" s="177" t="s">
        <v>220</v>
      </c>
      <c r="B11868" s="127" t="s">
        <v>190</v>
      </c>
      <c r="C11868" s="127" t="s">
        <v>206</v>
      </c>
      <c r="D11868" s="177" t="s">
        <v>56</v>
      </c>
      <c r="E11868" s="177" t="s">
        <v>14446</v>
      </c>
      <c r="F11868" s="177" t="s">
        <v>354</v>
      </c>
      <c r="G11868" s="177" t="s">
        <v>11017</v>
      </c>
      <c r="H11868" s="127" t="s">
        <v>211</v>
      </c>
    </row>
    <row r="11869" hidden="1">
      <c r="A11869" s="177" t="s">
        <v>220</v>
      </c>
      <c r="B11869" s="127" t="s">
        <v>190</v>
      </c>
      <c r="C11869" s="127" t="s">
        <v>206</v>
      </c>
      <c r="D11869" s="177" t="s">
        <v>56</v>
      </c>
      <c r="E11869" s="177" t="s">
        <v>14447</v>
      </c>
      <c r="F11869" s="177" t="s">
        <v>423</v>
      </c>
      <c r="G11869" s="177" t="s">
        <v>11795</v>
      </c>
      <c r="H11869" s="127" t="s">
        <v>212</v>
      </c>
    </row>
    <row r="11870" hidden="1">
      <c r="A11870" s="177" t="s">
        <v>220</v>
      </c>
      <c r="B11870" s="127" t="s">
        <v>190</v>
      </c>
      <c r="C11870" s="127" t="s">
        <v>206</v>
      </c>
      <c r="D11870" s="177" t="s">
        <v>56</v>
      </c>
      <c r="E11870" s="177" t="s">
        <v>14448</v>
      </c>
      <c r="F11870" s="177" t="s">
        <v>483</v>
      </c>
      <c r="G11870" s="177" t="s">
        <v>10203</v>
      </c>
      <c r="H11870" s="127" t="s">
        <v>213</v>
      </c>
    </row>
    <row r="11871" hidden="1">
      <c r="A11871" s="177" t="s">
        <v>220</v>
      </c>
      <c r="B11871" s="127" t="s">
        <v>190</v>
      </c>
      <c r="C11871" s="127" t="s">
        <v>206</v>
      </c>
      <c r="D11871" s="177" t="s">
        <v>56</v>
      </c>
      <c r="E11871" s="177" t="s">
        <v>14449</v>
      </c>
      <c r="F11871" s="177" t="s">
        <v>494</v>
      </c>
      <c r="G11871" s="177" t="s">
        <v>11760</v>
      </c>
      <c r="H11871" s="127" t="s">
        <v>214</v>
      </c>
    </row>
    <row r="11872" hidden="1">
      <c r="A11872" s="177" t="s">
        <v>220</v>
      </c>
      <c r="B11872" s="127" t="s">
        <v>190</v>
      </c>
      <c r="C11872" s="127" t="s">
        <v>206</v>
      </c>
      <c r="D11872" s="177" t="s">
        <v>56</v>
      </c>
      <c r="E11872" s="177" t="s">
        <v>14450</v>
      </c>
      <c r="F11872" s="177" t="s">
        <v>532</v>
      </c>
      <c r="G11872" s="177" t="s">
        <v>10371</v>
      </c>
      <c r="H11872" s="127" t="s">
        <v>215</v>
      </c>
    </row>
    <row r="11873" hidden="1">
      <c r="A11873" s="177" t="s">
        <v>220</v>
      </c>
      <c r="B11873" s="127" t="s">
        <v>190</v>
      </c>
      <c r="C11873" s="127" t="s">
        <v>206</v>
      </c>
      <c r="D11873" s="177" t="s">
        <v>56</v>
      </c>
      <c r="E11873" s="177" t="s">
        <v>14451</v>
      </c>
      <c r="F11873" s="177" t="s">
        <v>494</v>
      </c>
      <c r="G11873" s="177" t="s">
        <v>14452</v>
      </c>
      <c r="H11873" s="127" t="s">
        <v>216</v>
      </c>
    </row>
    <row r="11874" hidden="1">
      <c r="A11874" s="177" t="s">
        <v>221</v>
      </c>
      <c r="B11874" s="127" t="s">
        <v>189</v>
      </c>
      <c r="C11874" s="127" t="s">
        <v>206</v>
      </c>
      <c r="D11874" s="177" t="s">
        <v>56</v>
      </c>
      <c r="E11874" s="177" t="s">
        <v>14453</v>
      </c>
      <c r="F11874" s="177" t="s">
        <v>312</v>
      </c>
      <c r="G11874" s="177" t="s">
        <v>13417</v>
      </c>
      <c r="H11874" s="127" t="s">
        <v>210</v>
      </c>
    </row>
    <row r="11875" hidden="1">
      <c r="A11875" s="177" t="s">
        <v>221</v>
      </c>
      <c r="B11875" s="127" t="s">
        <v>189</v>
      </c>
      <c r="C11875" s="127" t="s">
        <v>206</v>
      </c>
      <c r="D11875" s="177" t="s">
        <v>56</v>
      </c>
      <c r="E11875" s="177" t="s">
        <v>14454</v>
      </c>
      <c r="F11875" s="177" t="s">
        <v>405</v>
      </c>
      <c r="G11875" s="177" t="s">
        <v>13436</v>
      </c>
      <c r="H11875" s="127" t="s">
        <v>211</v>
      </c>
    </row>
    <row r="11876" hidden="1">
      <c r="A11876" s="177" t="s">
        <v>221</v>
      </c>
      <c r="B11876" s="127" t="s">
        <v>189</v>
      </c>
      <c r="C11876" s="127" t="s">
        <v>206</v>
      </c>
      <c r="D11876" s="177" t="s">
        <v>56</v>
      </c>
      <c r="E11876" s="177" t="s">
        <v>14455</v>
      </c>
      <c r="F11876" s="177" t="s">
        <v>2607</v>
      </c>
      <c r="G11876" s="177" t="s">
        <v>13467</v>
      </c>
      <c r="H11876" s="127" t="s">
        <v>212</v>
      </c>
    </row>
    <row r="11877" hidden="1">
      <c r="A11877" s="177" t="s">
        <v>221</v>
      </c>
      <c r="B11877" s="127" t="s">
        <v>189</v>
      </c>
      <c r="C11877" s="127" t="s">
        <v>206</v>
      </c>
      <c r="D11877" s="177" t="s">
        <v>56</v>
      </c>
      <c r="E11877" s="177" t="s">
        <v>14456</v>
      </c>
      <c r="F11877" s="177" t="s">
        <v>423</v>
      </c>
      <c r="G11877" s="177" t="s">
        <v>13055</v>
      </c>
      <c r="H11877" s="127" t="s">
        <v>213</v>
      </c>
    </row>
    <row r="11878" hidden="1">
      <c r="A11878" s="177" t="s">
        <v>221</v>
      </c>
      <c r="B11878" s="127" t="s">
        <v>189</v>
      </c>
      <c r="C11878" s="127" t="s">
        <v>206</v>
      </c>
      <c r="D11878" s="177" t="s">
        <v>56</v>
      </c>
      <c r="E11878" s="177" t="s">
        <v>14457</v>
      </c>
      <c r="F11878" s="177" t="s">
        <v>629</v>
      </c>
      <c r="G11878" s="177" t="s">
        <v>14458</v>
      </c>
      <c r="H11878" s="127" t="s">
        <v>214</v>
      </c>
    </row>
    <row r="11879" hidden="1">
      <c r="A11879" s="177" t="s">
        <v>221</v>
      </c>
      <c r="B11879" s="127" t="s">
        <v>189</v>
      </c>
      <c r="C11879" s="127" t="s">
        <v>206</v>
      </c>
      <c r="D11879" s="177" t="s">
        <v>56</v>
      </c>
      <c r="E11879" s="177" t="s">
        <v>14459</v>
      </c>
      <c r="F11879" s="177" t="s">
        <v>691</v>
      </c>
      <c r="G11879" s="177" t="s">
        <v>14460</v>
      </c>
      <c r="H11879" s="127" t="s">
        <v>215</v>
      </c>
    </row>
    <row r="11880" hidden="1">
      <c r="A11880" s="177" t="s">
        <v>221</v>
      </c>
      <c r="B11880" s="127" t="s">
        <v>189</v>
      </c>
      <c r="C11880" s="127" t="s">
        <v>206</v>
      </c>
      <c r="D11880" s="177" t="s">
        <v>56</v>
      </c>
      <c r="E11880" s="177" t="s">
        <v>14461</v>
      </c>
      <c r="F11880" s="177" t="s">
        <v>453</v>
      </c>
      <c r="G11880" s="177" t="s">
        <v>14462</v>
      </c>
      <c r="H11880" s="127" t="s">
        <v>216</v>
      </c>
    </row>
    <row r="11881" hidden="1">
      <c r="A11881" s="177" t="s">
        <v>222</v>
      </c>
      <c r="B11881" s="127" t="s">
        <v>192</v>
      </c>
      <c r="C11881" s="127" t="s">
        <v>206</v>
      </c>
      <c r="D11881" s="177" t="s">
        <v>56</v>
      </c>
      <c r="E11881" s="177" t="s">
        <v>14463</v>
      </c>
      <c r="F11881" s="177" t="s">
        <v>249</v>
      </c>
      <c r="G11881" s="177" t="s">
        <v>14464</v>
      </c>
      <c r="H11881" s="127" t="s">
        <v>210</v>
      </c>
    </row>
    <row r="11882" hidden="1">
      <c r="A11882" s="177" t="s">
        <v>222</v>
      </c>
      <c r="B11882" s="127" t="s">
        <v>192</v>
      </c>
      <c r="C11882" s="127" t="s">
        <v>206</v>
      </c>
      <c r="D11882" s="177" t="s">
        <v>56</v>
      </c>
      <c r="E11882" s="177" t="s">
        <v>14465</v>
      </c>
      <c r="F11882" s="177" t="s">
        <v>308</v>
      </c>
      <c r="G11882" s="177" t="s">
        <v>12221</v>
      </c>
      <c r="H11882" s="127" t="s">
        <v>211</v>
      </c>
    </row>
    <row r="11883" hidden="1">
      <c r="A11883" s="177" t="s">
        <v>222</v>
      </c>
      <c r="B11883" s="127" t="s">
        <v>192</v>
      </c>
      <c r="C11883" s="127" t="s">
        <v>206</v>
      </c>
      <c r="D11883" s="177" t="s">
        <v>56</v>
      </c>
      <c r="E11883" s="177" t="s">
        <v>14466</v>
      </c>
      <c r="F11883" s="177" t="s">
        <v>359</v>
      </c>
      <c r="G11883" s="177" t="s">
        <v>12540</v>
      </c>
      <c r="H11883" s="127" t="s">
        <v>212</v>
      </c>
    </row>
    <row r="11884" hidden="1">
      <c r="A11884" s="177" t="s">
        <v>222</v>
      </c>
      <c r="B11884" s="127" t="s">
        <v>192</v>
      </c>
      <c r="C11884" s="127" t="s">
        <v>206</v>
      </c>
      <c r="D11884" s="177" t="s">
        <v>56</v>
      </c>
      <c r="E11884" s="177" t="s">
        <v>14467</v>
      </c>
      <c r="F11884" s="177" t="s">
        <v>249</v>
      </c>
      <c r="G11884" s="177" t="s">
        <v>14468</v>
      </c>
      <c r="H11884" s="127" t="s">
        <v>213</v>
      </c>
    </row>
    <row r="11885" hidden="1">
      <c r="A11885" s="177" t="s">
        <v>222</v>
      </c>
      <c r="B11885" s="127" t="s">
        <v>192</v>
      </c>
      <c r="C11885" s="127" t="s">
        <v>206</v>
      </c>
      <c r="D11885" s="177" t="s">
        <v>56</v>
      </c>
      <c r="E11885" s="177" t="s">
        <v>14469</v>
      </c>
      <c r="F11885" s="177" t="s">
        <v>285</v>
      </c>
      <c r="G11885" s="177" t="s">
        <v>14226</v>
      </c>
      <c r="H11885" s="127" t="s">
        <v>214</v>
      </c>
    </row>
    <row r="11886" hidden="1">
      <c r="A11886" s="177" t="s">
        <v>222</v>
      </c>
      <c r="B11886" s="127" t="s">
        <v>192</v>
      </c>
      <c r="C11886" s="127" t="s">
        <v>206</v>
      </c>
      <c r="D11886" s="177" t="s">
        <v>56</v>
      </c>
      <c r="E11886" s="177" t="s">
        <v>14470</v>
      </c>
      <c r="F11886" s="177" t="s">
        <v>321</v>
      </c>
      <c r="G11886" s="177" t="s">
        <v>12307</v>
      </c>
      <c r="H11886" s="127" t="s">
        <v>215</v>
      </c>
    </row>
    <row r="11887" hidden="1">
      <c r="A11887" s="177" t="s">
        <v>222</v>
      </c>
      <c r="B11887" s="127" t="s">
        <v>192</v>
      </c>
      <c r="C11887" s="127" t="s">
        <v>206</v>
      </c>
      <c r="D11887" s="177" t="s">
        <v>56</v>
      </c>
      <c r="E11887" s="177" t="s">
        <v>14471</v>
      </c>
      <c r="F11887" s="177" t="s">
        <v>249</v>
      </c>
      <c r="G11887" s="177" t="s">
        <v>14468</v>
      </c>
      <c r="H11887" s="127" t="s">
        <v>216</v>
      </c>
    </row>
    <row r="11888" hidden="1">
      <c r="A11888" s="177" t="s">
        <v>223</v>
      </c>
      <c r="B11888" s="127" t="s">
        <v>144</v>
      </c>
      <c r="C11888" s="127" t="s">
        <v>206</v>
      </c>
      <c r="D11888" s="177" t="s">
        <v>56</v>
      </c>
      <c r="E11888" s="177" t="s">
        <v>14472</v>
      </c>
      <c r="F11888" s="177" t="s">
        <v>425</v>
      </c>
      <c r="G11888" s="177" t="s">
        <v>14012</v>
      </c>
      <c r="H11888" s="127" t="s">
        <v>210</v>
      </c>
    </row>
    <row r="11889" hidden="1">
      <c r="A11889" s="177" t="s">
        <v>223</v>
      </c>
      <c r="B11889" s="127" t="s">
        <v>144</v>
      </c>
      <c r="C11889" s="127" t="s">
        <v>206</v>
      </c>
      <c r="D11889" s="177" t="s">
        <v>56</v>
      </c>
      <c r="E11889" s="177" t="s">
        <v>14473</v>
      </c>
      <c r="F11889" s="177" t="s">
        <v>305</v>
      </c>
      <c r="G11889" s="177" t="s">
        <v>14174</v>
      </c>
      <c r="H11889" s="127" t="s">
        <v>211</v>
      </c>
    </row>
    <row r="11890" hidden="1">
      <c r="A11890" s="177" t="s">
        <v>223</v>
      </c>
      <c r="B11890" s="127" t="s">
        <v>144</v>
      </c>
      <c r="C11890" s="127" t="s">
        <v>206</v>
      </c>
      <c r="D11890" s="177" t="s">
        <v>56</v>
      </c>
      <c r="E11890" s="177" t="s">
        <v>14474</v>
      </c>
      <c r="F11890" s="177" t="s">
        <v>310</v>
      </c>
      <c r="G11890" s="177" t="s">
        <v>14135</v>
      </c>
      <c r="H11890" s="127" t="s">
        <v>212</v>
      </c>
    </row>
    <row r="11891" hidden="1">
      <c r="A11891" s="177" t="s">
        <v>223</v>
      </c>
      <c r="B11891" s="127" t="s">
        <v>144</v>
      </c>
      <c r="C11891" s="127" t="s">
        <v>206</v>
      </c>
      <c r="D11891" s="177" t="s">
        <v>56</v>
      </c>
      <c r="E11891" s="177" t="s">
        <v>14475</v>
      </c>
      <c r="F11891" s="177" t="s">
        <v>534</v>
      </c>
      <c r="G11891" s="177" t="s">
        <v>14234</v>
      </c>
      <c r="H11891" s="127" t="s">
        <v>213</v>
      </c>
    </row>
    <row r="11892" hidden="1">
      <c r="A11892" s="177" t="s">
        <v>223</v>
      </c>
      <c r="B11892" s="127" t="s">
        <v>144</v>
      </c>
      <c r="C11892" s="127" t="s">
        <v>206</v>
      </c>
      <c r="D11892" s="177" t="s">
        <v>56</v>
      </c>
      <c r="E11892" s="177" t="s">
        <v>14476</v>
      </c>
      <c r="F11892" s="177" t="s">
        <v>534</v>
      </c>
      <c r="G11892" s="177" t="s">
        <v>12383</v>
      </c>
      <c r="H11892" s="127" t="s">
        <v>214</v>
      </c>
    </row>
    <row r="11893" hidden="1">
      <c r="A11893" s="177" t="s">
        <v>223</v>
      </c>
      <c r="B11893" s="127" t="s">
        <v>144</v>
      </c>
      <c r="C11893" s="127" t="s">
        <v>206</v>
      </c>
      <c r="D11893" s="177" t="s">
        <v>56</v>
      </c>
      <c r="E11893" s="177" t="s">
        <v>14477</v>
      </c>
      <c r="F11893" s="177" t="s">
        <v>405</v>
      </c>
      <c r="G11893" s="177" t="s">
        <v>14478</v>
      </c>
      <c r="H11893" s="127" t="s">
        <v>215</v>
      </c>
    </row>
    <row r="11894" hidden="1">
      <c r="A11894" s="177" t="s">
        <v>223</v>
      </c>
      <c r="B11894" s="127" t="s">
        <v>144</v>
      </c>
      <c r="C11894" s="127" t="s">
        <v>206</v>
      </c>
      <c r="D11894" s="177" t="s">
        <v>56</v>
      </c>
      <c r="E11894" s="177" t="s">
        <v>14479</v>
      </c>
      <c r="F11894" s="177" t="s">
        <v>336</v>
      </c>
      <c r="G11894" s="177" t="s">
        <v>14480</v>
      </c>
      <c r="H11894" s="127" t="s">
        <v>216</v>
      </c>
    </row>
    <row r="11895" hidden="1">
      <c r="A11895" s="177" t="s">
        <v>224</v>
      </c>
      <c r="B11895" s="127" t="s">
        <v>170</v>
      </c>
      <c r="C11895" s="127" t="s">
        <v>206</v>
      </c>
      <c r="D11895" s="177" t="s">
        <v>56</v>
      </c>
      <c r="E11895" s="177" t="s">
        <v>14481</v>
      </c>
      <c r="F11895" s="177" t="s">
        <v>257</v>
      </c>
      <c r="G11895" s="177" t="s">
        <v>12276</v>
      </c>
      <c r="H11895" s="127" t="s">
        <v>210</v>
      </c>
    </row>
    <row r="11896" hidden="1">
      <c r="A11896" s="177" t="s">
        <v>224</v>
      </c>
      <c r="B11896" s="127" t="s">
        <v>170</v>
      </c>
      <c r="C11896" s="127" t="s">
        <v>206</v>
      </c>
      <c r="D11896" s="177" t="s">
        <v>56</v>
      </c>
      <c r="E11896" s="177" t="s">
        <v>14482</v>
      </c>
      <c r="F11896" s="177" t="s">
        <v>265</v>
      </c>
      <c r="G11896" s="177" t="s">
        <v>13216</v>
      </c>
      <c r="H11896" s="127" t="s">
        <v>211</v>
      </c>
    </row>
    <row r="11897" hidden="1">
      <c r="A11897" s="177" t="s">
        <v>224</v>
      </c>
      <c r="B11897" s="127" t="s">
        <v>170</v>
      </c>
      <c r="C11897" s="127" t="s">
        <v>206</v>
      </c>
      <c r="D11897" s="177" t="s">
        <v>56</v>
      </c>
      <c r="E11897" s="177" t="s">
        <v>14483</v>
      </c>
      <c r="F11897" s="177" t="s">
        <v>492</v>
      </c>
      <c r="G11897" s="177" t="s">
        <v>14484</v>
      </c>
      <c r="H11897" s="127" t="s">
        <v>212</v>
      </c>
    </row>
    <row r="11898" hidden="1">
      <c r="A11898" s="177" t="s">
        <v>224</v>
      </c>
      <c r="B11898" s="127" t="s">
        <v>170</v>
      </c>
      <c r="C11898" s="127" t="s">
        <v>206</v>
      </c>
      <c r="D11898" s="177" t="s">
        <v>56</v>
      </c>
      <c r="E11898" s="177" t="s">
        <v>14485</v>
      </c>
      <c r="F11898" s="177" t="s">
        <v>357</v>
      </c>
      <c r="G11898" s="177" t="s">
        <v>14041</v>
      </c>
      <c r="H11898" s="127" t="s">
        <v>213</v>
      </c>
    </row>
    <row r="11899" hidden="1">
      <c r="A11899" s="177" t="s">
        <v>224</v>
      </c>
      <c r="B11899" s="127" t="s">
        <v>170</v>
      </c>
      <c r="C11899" s="127" t="s">
        <v>206</v>
      </c>
      <c r="D11899" s="177" t="s">
        <v>56</v>
      </c>
      <c r="E11899" s="177" t="s">
        <v>14486</v>
      </c>
      <c r="F11899" s="177" t="s">
        <v>244</v>
      </c>
      <c r="G11899" s="177" t="s">
        <v>12379</v>
      </c>
      <c r="H11899" s="127" t="s">
        <v>214</v>
      </c>
    </row>
    <row r="11900" hidden="1">
      <c r="A11900" s="177" t="s">
        <v>224</v>
      </c>
      <c r="B11900" s="127" t="s">
        <v>170</v>
      </c>
      <c r="C11900" s="127" t="s">
        <v>206</v>
      </c>
      <c r="D11900" s="177" t="s">
        <v>56</v>
      </c>
      <c r="E11900" s="177" t="s">
        <v>14487</v>
      </c>
      <c r="F11900" s="177" t="s">
        <v>259</v>
      </c>
      <c r="G11900" s="177" t="s">
        <v>14488</v>
      </c>
      <c r="H11900" s="127" t="s">
        <v>215</v>
      </c>
    </row>
    <row r="11901" hidden="1">
      <c r="A11901" s="177" t="s">
        <v>224</v>
      </c>
      <c r="B11901" s="127" t="s">
        <v>170</v>
      </c>
      <c r="C11901" s="127" t="s">
        <v>206</v>
      </c>
      <c r="D11901" s="177" t="s">
        <v>56</v>
      </c>
      <c r="E11901" s="177" t="s">
        <v>14489</v>
      </c>
      <c r="F11901" s="177" t="s">
        <v>269</v>
      </c>
      <c r="G11901" s="177" t="s">
        <v>14490</v>
      </c>
      <c r="H11901" s="127" t="s">
        <v>216</v>
      </c>
    </row>
    <row r="11902" hidden="1">
      <c r="A11902" s="177" t="s">
        <v>225</v>
      </c>
      <c r="B11902" s="127" t="s">
        <v>226</v>
      </c>
      <c r="C11902" s="127" t="s">
        <v>206</v>
      </c>
      <c r="D11902" s="177" t="s">
        <v>56</v>
      </c>
      <c r="E11902" s="177" t="s">
        <v>14491</v>
      </c>
      <c r="F11902" s="177" t="s">
        <v>285</v>
      </c>
      <c r="G11902" s="177" t="s">
        <v>12985</v>
      </c>
      <c r="H11902" s="127" t="s">
        <v>210</v>
      </c>
    </row>
    <row r="11903" hidden="1">
      <c r="A11903" s="177" t="s">
        <v>225</v>
      </c>
      <c r="B11903" s="127" t="s">
        <v>226</v>
      </c>
      <c r="C11903" s="127" t="s">
        <v>206</v>
      </c>
      <c r="D11903" s="177" t="s">
        <v>56</v>
      </c>
      <c r="E11903" s="177" t="s">
        <v>14492</v>
      </c>
      <c r="F11903" s="177" t="s">
        <v>323</v>
      </c>
      <c r="G11903" s="177" t="s">
        <v>14493</v>
      </c>
      <c r="H11903" s="127" t="s">
        <v>211</v>
      </c>
    </row>
    <row r="11904" hidden="1">
      <c r="A11904" s="177" t="s">
        <v>225</v>
      </c>
      <c r="B11904" s="127" t="s">
        <v>226</v>
      </c>
      <c r="C11904" s="127" t="s">
        <v>206</v>
      </c>
      <c r="D11904" s="177" t="s">
        <v>56</v>
      </c>
      <c r="E11904" s="177" t="s">
        <v>14494</v>
      </c>
      <c r="F11904" s="177" t="s">
        <v>257</v>
      </c>
      <c r="G11904" s="177" t="s">
        <v>12618</v>
      </c>
      <c r="H11904" s="127" t="s">
        <v>212</v>
      </c>
    </row>
    <row r="11905" hidden="1">
      <c r="A11905" s="177" t="s">
        <v>225</v>
      </c>
      <c r="B11905" s="127" t="s">
        <v>226</v>
      </c>
      <c r="C11905" s="127" t="s">
        <v>206</v>
      </c>
      <c r="D11905" s="177" t="s">
        <v>56</v>
      </c>
      <c r="E11905" s="177" t="s">
        <v>14495</v>
      </c>
      <c r="F11905" s="177" t="s">
        <v>240</v>
      </c>
      <c r="G11905" s="177" t="s">
        <v>14496</v>
      </c>
      <c r="H11905" s="127" t="s">
        <v>213</v>
      </c>
    </row>
    <row r="11906" hidden="1">
      <c r="A11906" s="177" t="s">
        <v>225</v>
      </c>
      <c r="B11906" s="127" t="s">
        <v>226</v>
      </c>
      <c r="C11906" s="127" t="s">
        <v>206</v>
      </c>
      <c r="D11906" s="177" t="s">
        <v>56</v>
      </c>
      <c r="E11906" s="177" t="s">
        <v>14497</v>
      </c>
      <c r="F11906" s="177" t="s">
        <v>365</v>
      </c>
      <c r="G11906" s="177" t="s">
        <v>12642</v>
      </c>
      <c r="H11906" s="127" t="s">
        <v>214</v>
      </c>
    </row>
    <row r="11907" hidden="1">
      <c r="A11907" s="177" t="s">
        <v>225</v>
      </c>
      <c r="B11907" s="127" t="s">
        <v>226</v>
      </c>
      <c r="C11907" s="127" t="s">
        <v>206</v>
      </c>
      <c r="D11907" s="177" t="s">
        <v>56</v>
      </c>
      <c r="E11907" s="177" t="s">
        <v>14498</v>
      </c>
      <c r="F11907" s="177" t="s">
        <v>249</v>
      </c>
      <c r="G11907" s="177" t="s">
        <v>12837</v>
      </c>
      <c r="H11907" s="127" t="s">
        <v>215</v>
      </c>
    </row>
    <row r="11908" hidden="1">
      <c r="A11908" s="177" t="s">
        <v>225</v>
      </c>
      <c r="B11908" s="127" t="s">
        <v>226</v>
      </c>
      <c r="C11908" s="127" t="s">
        <v>206</v>
      </c>
      <c r="D11908" s="177" t="s">
        <v>56</v>
      </c>
      <c r="E11908" s="177" t="s">
        <v>14499</v>
      </c>
      <c r="F11908" s="177" t="s">
        <v>323</v>
      </c>
      <c r="G11908" s="177" t="s">
        <v>14500</v>
      </c>
      <c r="H11908" s="127" t="s">
        <v>216</v>
      </c>
    </row>
    <row r="11909" hidden="1">
      <c r="A11909" s="177" t="s">
        <v>227</v>
      </c>
      <c r="B11909" s="127" t="s">
        <v>195</v>
      </c>
      <c r="C11909" s="127" t="s">
        <v>206</v>
      </c>
      <c r="D11909" s="177" t="s">
        <v>56</v>
      </c>
      <c r="E11909" s="177" t="s">
        <v>14501</v>
      </c>
      <c r="F11909" s="177" t="s">
        <v>339</v>
      </c>
      <c r="G11909" s="177" t="s">
        <v>12162</v>
      </c>
      <c r="H11909" s="127" t="s">
        <v>210</v>
      </c>
    </row>
    <row r="11910" hidden="1">
      <c r="A11910" s="177" t="s">
        <v>227</v>
      </c>
      <c r="B11910" s="127" t="s">
        <v>195</v>
      </c>
      <c r="C11910" s="127" t="s">
        <v>206</v>
      </c>
      <c r="D11910" s="177" t="s">
        <v>56</v>
      </c>
      <c r="E11910" s="177" t="s">
        <v>14502</v>
      </c>
      <c r="F11910" s="177" t="s">
        <v>365</v>
      </c>
      <c r="G11910" s="177" t="s">
        <v>14503</v>
      </c>
      <c r="H11910" s="127" t="s">
        <v>211</v>
      </c>
    </row>
    <row r="11911" hidden="1">
      <c r="A11911" s="177" t="s">
        <v>227</v>
      </c>
      <c r="B11911" s="127" t="s">
        <v>195</v>
      </c>
      <c r="C11911" s="127" t="s">
        <v>206</v>
      </c>
      <c r="D11911" s="177" t="s">
        <v>56</v>
      </c>
      <c r="E11911" s="177" t="s">
        <v>14504</v>
      </c>
      <c r="F11911" s="177" t="s">
        <v>249</v>
      </c>
      <c r="G11911" s="177" t="s">
        <v>12294</v>
      </c>
      <c r="H11911" s="127" t="s">
        <v>212</v>
      </c>
    </row>
    <row r="11912" hidden="1">
      <c r="A11912" s="177" t="s">
        <v>227</v>
      </c>
      <c r="B11912" s="127" t="s">
        <v>195</v>
      </c>
      <c r="C11912" s="127" t="s">
        <v>206</v>
      </c>
      <c r="D11912" s="177" t="s">
        <v>56</v>
      </c>
      <c r="E11912" s="177" t="s">
        <v>14505</v>
      </c>
      <c r="F11912" s="177" t="s">
        <v>534</v>
      </c>
      <c r="G11912" s="177" t="s">
        <v>11996</v>
      </c>
      <c r="H11912" s="127" t="s">
        <v>213</v>
      </c>
    </row>
    <row r="11913" hidden="1">
      <c r="A11913" s="177" t="s">
        <v>227</v>
      </c>
      <c r="B11913" s="127" t="s">
        <v>195</v>
      </c>
      <c r="C11913" s="127" t="s">
        <v>206</v>
      </c>
      <c r="D11913" s="177" t="s">
        <v>56</v>
      </c>
      <c r="E11913" s="177" t="s">
        <v>14506</v>
      </c>
      <c r="F11913" s="177" t="s">
        <v>336</v>
      </c>
      <c r="G11913" s="177" t="s">
        <v>14507</v>
      </c>
      <c r="H11913" s="127" t="s">
        <v>214</v>
      </c>
    </row>
    <row r="11914" hidden="1">
      <c r="A11914" s="177" t="s">
        <v>227</v>
      </c>
      <c r="B11914" s="127" t="s">
        <v>195</v>
      </c>
      <c r="C11914" s="127" t="s">
        <v>206</v>
      </c>
      <c r="D11914" s="177" t="s">
        <v>56</v>
      </c>
      <c r="E11914" s="177" t="s">
        <v>14508</v>
      </c>
      <c r="F11914" s="177" t="s">
        <v>534</v>
      </c>
      <c r="G11914" s="177" t="s">
        <v>14509</v>
      </c>
      <c r="H11914" s="127" t="s">
        <v>215</v>
      </c>
    </row>
    <row r="11915" hidden="1">
      <c r="A11915" s="177" t="s">
        <v>227</v>
      </c>
      <c r="B11915" s="127" t="s">
        <v>195</v>
      </c>
      <c r="C11915" s="127" t="s">
        <v>206</v>
      </c>
      <c r="D11915" s="177" t="s">
        <v>56</v>
      </c>
      <c r="E11915" s="177" t="s">
        <v>14510</v>
      </c>
      <c r="F11915" s="177" t="s">
        <v>290</v>
      </c>
      <c r="G11915" s="177" t="s">
        <v>12168</v>
      </c>
      <c r="H11915" s="127" t="s">
        <v>216</v>
      </c>
    </row>
    <row r="11916" hidden="1">
      <c r="A11916" s="177" t="s">
        <v>228</v>
      </c>
      <c r="B11916" s="127" t="s">
        <v>138</v>
      </c>
      <c r="C11916" s="127" t="s">
        <v>206</v>
      </c>
      <c r="D11916" s="177" t="s">
        <v>56</v>
      </c>
      <c r="E11916" s="177" t="s">
        <v>14511</v>
      </c>
      <c r="F11916" s="177" t="s">
        <v>308</v>
      </c>
      <c r="G11916" s="177" t="s">
        <v>14434</v>
      </c>
      <c r="H11916" s="127" t="s">
        <v>210</v>
      </c>
    </row>
    <row r="11917" hidden="1">
      <c r="A11917" s="177" t="s">
        <v>228</v>
      </c>
      <c r="B11917" s="127" t="s">
        <v>138</v>
      </c>
      <c r="C11917" s="127" t="s">
        <v>206</v>
      </c>
      <c r="D11917" s="177" t="s">
        <v>56</v>
      </c>
      <c r="E11917" s="177" t="s">
        <v>14512</v>
      </c>
      <c r="F11917" s="177" t="s">
        <v>425</v>
      </c>
      <c r="G11917" s="177" t="s">
        <v>13084</v>
      </c>
      <c r="H11917" s="127" t="s">
        <v>211</v>
      </c>
    </row>
    <row r="11918" hidden="1">
      <c r="A11918" s="177" t="s">
        <v>228</v>
      </c>
      <c r="B11918" s="127" t="s">
        <v>138</v>
      </c>
      <c r="C11918" s="127" t="s">
        <v>206</v>
      </c>
      <c r="D11918" s="177" t="s">
        <v>56</v>
      </c>
      <c r="E11918" s="177" t="s">
        <v>14513</v>
      </c>
      <c r="F11918" s="177" t="s">
        <v>287</v>
      </c>
      <c r="G11918" s="177" t="s">
        <v>13837</v>
      </c>
      <c r="H11918" s="127" t="s">
        <v>212</v>
      </c>
    </row>
    <row r="11919" hidden="1">
      <c r="A11919" s="177" t="s">
        <v>228</v>
      </c>
      <c r="B11919" s="127" t="s">
        <v>138</v>
      </c>
      <c r="C11919" s="127" t="s">
        <v>206</v>
      </c>
      <c r="D11919" s="177" t="s">
        <v>56</v>
      </c>
      <c r="E11919" s="177" t="s">
        <v>14514</v>
      </c>
      <c r="F11919" s="177" t="s">
        <v>3340</v>
      </c>
      <c r="G11919" s="177" t="s">
        <v>13920</v>
      </c>
      <c r="H11919" s="127" t="s">
        <v>213</v>
      </c>
    </row>
    <row r="11920" hidden="1">
      <c r="A11920" s="177" t="s">
        <v>228</v>
      </c>
      <c r="B11920" s="127" t="s">
        <v>138</v>
      </c>
      <c r="C11920" s="127" t="s">
        <v>206</v>
      </c>
      <c r="D11920" s="177" t="s">
        <v>56</v>
      </c>
      <c r="E11920" s="177" t="s">
        <v>14515</v>
      </c>
      <c r="F11920" s="177" t="s">
        <v>329</v>
      </c>
      <c r="G11920" s="177" t="s">
        <v>13220</v>
      </c>
      <c r="H11920" s="127" t="s">
        <v>214</v>
      </c>
    </row>
    <row r="11921" hidden="1">
      <c r="A11921" s="177" t="s">
        <v>228</v>
      </c>
      <c r="B11921" s="127" t="s">
        <v>138</v>
      </c>
      <c r="C11921" s="127" t="s">
        <v>206</v>
      </c>
      <c r="D11921" s="177" t="s">
        <v>56</v>
      </c>
      <c r="E11921" s="177" t="s">
        <v>14516</v>
      </c>
      <c r="F11921" s="177" t="s">
        <v>483</v>
      </c>
      <c r="G11921" s="177" t="s">
        <v>14118</v>
      </c>
      <c r="H11921" s="127" t="s">
        <v>215</v>
      </c>
    </row>
    <row r="11922" hidden="1">
      <c r="A11922" s="177" t="s">
        <v>228</v>
      </c>
      <c r="B11922" s="127" t="s">
        <v>138</v>
      </c>
      <c r="C11922" s="127" t="s">
        <v>206</v>
      </c>
      <c r="D11922" s="177" t="s">
        <v>56</v>
      </c>
      <c r="E11922" s="177" t="s">
        <v>14517</v>
      </c>
      <c r="F11922" s="177" t="s">
        <v>427</v>
      </c>
      <c r="G11922" s="177" t="s">
        <v>14163</v>
      </c>
      <c r="H11922" s="127" t="s">
        <v>216</v>
      </c>
    </row>
    <row r="11923" hidden="1">
      <c r="A11923" s="177" t="s">
        <v>229</v>
      </c>
      <c r="B11923" s="127" t="s">
        <v>193</v>
      </c>
      <c r="C11923" s="127" t="s">
        <v>206</v>
      </c>
      <c r="D11923" s="177" t="s">
        <v>56</v>
      </c>
      <c r="E11923" s="177" t="s">
        <v>14518</v>
      </c>
      <c r="F11923" s="177" t="s">
        <v>483</v>
      </c>
      <c r="G11923" s="177" t="s">
        <v>14277</v>
      </c>
      <c r="H11923" s="127" t="s">
        <v>210</v>
      </c>
    </row>
    <row r="11924" hidden="1">
      <c r="A11924" s="177" t="s">
        <v>229</v>
      </c>
      <c r="B11924" s="127" t="s">
        <v>193</v>
      </c>
      <c r="C11924" s="127" t="s">
        <v>206</v>
      </c>
      <c r="D11924" s="177" t="s">
        <v>56</v>
      </c>
      <c r="E11924" s="177" t="s">
        <v>14519</v>
      </c>
      <c r="F11924" s="177" t="s">
        <v>483</v>
      </c>
      <c r="G11924" s="177" t="s">
        <v>14520</v>
      </c>
      <c r="H11924" s="127" t="s">
        <v>211</v>
      </c>
    </row>
    <row r="11925" hidden="1">
      <c r="A11925" s="177" t="s">
        <v>229</v>
      </c>
      <c r="B11925" s="127" t="s">
        <v>193</v>
      </c>
      <c r="C11925" s="127" t="s">
        <v>206</v>
      </c>
      <c r="D11925" s="177" t="s">
        <v>56</v>
      </c>
      <c r="E11925" s="177" t="s">
        <v>14521</v>
      </c>
      <c r="F11925" s="177" t="s">
        <v>718</v>
      </c>
      <c r="G11925" s="177" t="s">
        <v>11994</v>
      </c>
      <c r="H11925" s="127" t="s">
        <v>212</v>
      </c>
    </row>
    <row r="11926" hidden="1">
      <c r="A11926" s="177" t="s">
        <v>229</v>
      </c>
      <c r="B11926" s="127" t="s">
        <v>193</v>
      </c>
      <c r="C11926" s="127" t="s">
        <v>206</v>
      </c>
      <c r="D11926" s="177" t="s">
        <v>56</v>
      </c>
      <c r="E11926" s="177" t="s">
        <v>14522</v>
      </c>
      <c r="F11926" s="177" t="s">
        <v>3218</v>
      </c>
      <c r="G11926" s="177" t="s">
        <v>12188</v>
      </c>
      <c r="H11926" s="127" t="s">
        <v>213</v>
      </c>
    </row>
    <row r="11927" hidden="1">
      <c r="A11927" s="177" t="s">
        <v>229</v>
      </c>
      <c r="B11927" s="127" t="s">
        <v>193</v>
      </c>
      <c r="C11927" s="127" t="s">
        <v>206</v>
      </c>
      <c r="D11927" s="177" t="s">
        <v>56</v>
      </c>
      <c r="E11927" s="177" t="s">
        <v>14523</v>
      </c>
      <c r="F11927" s="177" t="s">
        <v>799</v>
      </c>
      <c r="G11927" s="177" t="s">
        <v>14314</v>
      </c>
      <c r="H11927" s="127" t="s">
        <v>214</v>
      </c>
    </row>
    <row r="11928" hidden="1">
      <c r="A11928" s="177" t="s">
        <v>229</v>
      </c>
      <c r="B11928" s="127" t="s">
        <v>193</v>
      </c>
      <c r="C11928" s="127" t="s">
        <v>206</v>
      </c>
      <c r="D11928" s="177" t="s">
        <v>56</v>
      </c>
      <c r="E11928" s="177" t="s">
        <v>14524</v>
      </c>
      <c r="F11928" s="177" t="s">
        <v>390</v>
      </c>
      <c r="G11928" s="177" t="s">
        <v>14236</v>
      </c>
      <c r="H11928" s="127" t="s">
        <v>215</v>
      </c>
    </row>
    <row r="11929" hidden="1">
      <c r="A11929" s="177" t="s">
        <v>229</v>
      </c>
      <c r="B11929" s="127" t="s">
        <v>193</v>
      </c>
      <c r="C11929" s="127" t="s">
        <v>206</v>
      </c>
      <c r="D11929" s="177" t="s">
        <v>56</v>
      </c>
      <c r="E11929" s="177" t="s">
        <v>14525</v>
      </c>
      <c r="F11929" s="177" t="s">
        <v>354</v>
      </c>
      <c r="G11929" s="177" t="s">
        <v>14526</v>
      </c>
      <c r="H11929" s="127" t="s">
        <v>216</v>
      </c>
    </row>
    <row r="11930" hidden="1">
      <c r="A11930" s="177" t="s">
        <v>230</v>
      </c>
      <c r="B11930" s="127" t="s">
        <v>194</v>
      </c>
      <c r="C11930" s="127" t="s">
        <v>206</v>
      </c>
      <c r="D11930" s="177" t="s">
        <v>56</v>
      </c>
      <c r="E11930" s="177" t="s">
        <v>14527</v>
      </c>
      <c r="F11930" s="177" t="s">
        <v>351</v>
      </c>
      <c r="G11930" s="177" t="s">
        <v>14402</v>
      </c>
      <c r="H11930" s="127" t="s">
        <v>210</v>
      </c>
    </row>
    <row r="11931" hidden="1">
      <c r="A11931" s="177" t="s">
        <v>230</v>
      </c>
      <c r="B11931" s="127" t="s">
        <v>194</v>
      </c>
      <c r="C11931" s="127" t="s">
        <v>206</v>
      </c>
      <c r="D11931" s="177" t="s">
        <v>56</v>
      </c>
      <c r="E11931" s="177" t="s">
        <v>14528</v>
      </c>
      <c r="F11931" s="177" t="s">
        <v>321</v>
      </c>
      <c r="G11931" s="177" t="s">
        <v>12837</v>
      </c>
      <c r="H11931" s="127" t="s">
        <v>211</v>
      </c>
    </row>
    <row r="11932" hidden="1">
      <c r="A11932" s="177" t="s">
        <v>230</v>
      </c>
      <c r="B11932" s="127" t="s">
        <v>194</v>
      </c>
      <c r="C11932" s="127" t="s">
        <v>206</v>
      </c>
      <c r="D11932" s="177" t="s">
        <v>56</v>
      </c>
      <c r="E11932" s="177" t="s">
        <v>14529</v>
      </c>
      <c r="F11932" s="177" t="s">
        <v>331</v>
      </c>
      <c r="G11932" s="177" t="s">
        <v>12443</v>
      </c>
      <c r="H11932" s="127" t="s">
        <v>212</v>
      </c>
    </row>
    <row r="11933" hidden="1">
      <c r="A11933" s="177" t="s">
        <v>230</v>
      </c>
      <c r="B11933" s="127" t="s">
        <v>194</v>
      </c>
      <c r="C11933" s="127" t="s">
        <v>206</v>
      </c>
      <c r="D11933" s="177" t="s">
        <v>56</v>
      </c>
      <c r="E11933" s="177" t="s">
        <v>14530</v>
      </c>
      <c r="F11933" s="177" t="s">
        <v>323</v>
      </c>
      <c r="G11933" s="177" t="s">
        <v>14082</v>
      </c>
      <c r="H11933" s="127" t="s">
        <v>213</v>
      </c>
    </row>
    <row r="11934" hidden="1">
      <c r="A11934" s="177" t="s">
        <v>230</v>
      </c>
      <c r="B11934" s="127" t="s">
        <v>194</v>
      </c>
      <c r="C11934" s="127" t="s">
        <v>206</v>
      </c>
      <c r="D11934" s="177" t="s">
        <v>56</v>
      </c>
      <c r="E11934" s="177" t="s">
        <v>14531</v>
      </c>
      <c r="F11934" s="177" t="s">
        <v>242</v>
      </c>
      <c r="G11934" s="177" t="s">
        <v>14532</v>
      </c>
      <c r="H11934" s="127" t="s">
        <v>214</v>
      </c>
    </row>
    <row r="11935" hidden="1">
      <c r="A11935" s="177" t="s">
        <v>230</v>
      </c>
      <c r="B11935" s="127" t="s">
        <v>194</v>
      </c>
      <c r="C11935" s="127" t="s">
        <v>206</v>
      </c>
      <c r="D11935" s="177" t="s">
        <v>56</v>
      </c>
      <c r="E11935" s="177" t="s">
        <v>14533</v>
      </c>
      <c r="F11935" s="177" t="s">
        <v>310</v>
      </c>
      <c r="G11935" s="177" t="s">
        <v>14534</v>
      </c>
      <c r="H11935" s="127" t="s">
        <v>215</v>
      </c>
    </row>
    <row r="11936" hidden="1">
      <c r="A11936" s="177" t="s">
        <v>230</v>
      </c>
      <c r="B11936" s="127" t="s">
        <v>194</v>
      </c>
      <c r="C11936" s="127" t="s">
        <v>206</v>
      </c>
      <c r="D11936" s="177" t="s">
        <v>56</v>
      </c>
      <c r="E11936" s="177" t="s">
        <v>14535</v>
      </c>
      <c r="F11936" s="177" t="s">
        <v>331</v>
      </c>
      <c r="G11936" s="177" t="s">
        <v>14536</v>
      </c>
      <c r="H11936" s="127" t="s">
        <v>216</v>
      </c>
    </row>
    <row r="11937" hidden="1">
      <c r="A11937" s="127" t="s">
        <v>231</v>
      </c>
      <c r="C11937" s="127" t="s">
        <v>232</v>
      </c>
      <c r="D11937" s="177" t="s">
        <v>56</v>
      </c>
      <c r="E11937" s="177" t="s">
        <v>14537</v>
      </c>
      <c r="F11937" s="177" t="s">
        <v>269</v>
      </c>
      <c r="G11937" s="177" t="s">
        <v>14538</v>
      </c>
      <c r="H11937" s="127" t="s">
        <v>210</v>
      </c>
    </row>
    <row r="11938" hidden="1">
      <c r="A11938" s="127" t="s">
        <v>231</v>
      </c>
      <c r="C11938" s="127" t="s">
        <v>232</v>
      </c>
      <c r="D11938" s="177" t="s">
        <v>56</v>
      </c>
      <c r="E11938" s="177" t="s">
        <v>14539</v>
      </c>
      <c r="F11938" s="177" t="s">
        <v>365</v>
      </c>
      <c r="G11938" s="177" t="s">
        <v>12479</v>
      </c>
      <c r="H11938" s="127" t="s">
        <v>211</v>
      </c>
    </row>
    <row r="11939" hidden="1">
      <c r="A11939" s="127" t="s">
        <v>231</v>
      </c>
      <c r="C11939" s="127" t="s">
        <v>232</v>
      </c>
      <c r="D11939" s="177" t="s">
        <v>56</v>
      </c>
      <c r="E11939" s="177" t="s">
        <v>14540</v>
      </c>
      <c r="F11939" s="177" t="s">
        <v>246</v>
      </c>
      <c r="G11939" s="177" t="s">
        <v>12137</v>
      </c>
      <c r="H11939" s="127" t="s">
        <v>212</v>
      </c>
    </row>
    <row r="11940" hidden="1">
      <c r="A11940" s="127" t="s">
        <v>231</v>
      </c>
      <c r="C11940" s="127" t="s">
        <v>232</v>
      </c>
      <c r="D11940" s="177" t="s">
        <v>56</v>
      </c>
      <c r="E11940" s="177" t="s">
        <v>14541</v>
      </c>
      <c r="F11940" s="177" t="s">
        <v>269</v>
      </c>
      <c r="G11940" s="177" t="s">
        <v>12393</v>
      </c>
      <c r="H11940" s="127" t="s">
        <v>213</v>
      </c>
    </row>
    <row r="11941" hidden="1">
      <c r="A11941" s="127" t="s">
        <v>231</v>
      </c>
      <c r="C11941" s="127" t="s">
        <v>232</v>
      </c>
      <c r="D11941" s="177" t="s">
        <v>56</v>
      </c>
      <c r="E11941" s="177" t="s">
        <v>14542</v>
      </c>
      <c r="F11941" s="177" t="s">
        <v>272</v>
      </c>
      <c r="G11941" s="177" t="s">
        <v>12212</v>
      </c>
      <c r="H11941" s="127" t="s">
        <v>214</v>
      </c>
    </row>
    <row r="11942" hidden="1">
      <c r="A11942" s="127" t="s">
        <v>231</v>
      </c>
      <c r="C11942" s="127" t="s">
        <v>232</v>
      </c>
      <c r="D11942" s="177" t="s">
        <v>56</v>
      </c>
      <c r="E11942" s="177" t="s">
        <v>14543</v>
      </c>
      <c r="F11942" s="177" t="s">
        <v>314</v>
      </c>
      <c r="G11942" s="177" t="s">
        <v>12479</v>
      </c>
      <c r="H11942" s="127" t="s">
        <v>215</v>
      </c>
    </row>
    <row r="11943" hidden="1">
      <c r="A11943" s="127" t="s">
        <v>231</v>
      </c>
      <c r="C11943" s="127" t="s">
        <v>232</v>
      </c>
      <c r="D11943" s="177" t="s">
        <v>56</v>
      </c>
      <c r="E11943" s="177" t="s">
        <v>14544</v>
      </c>
      <c r="F11943" s="177" t="s">
        <v>287</v>
      </c>
      <c r="G11943" s="177" t="s">
        <v>11948</v>
      </c>
      <c r="H11943" s="127" t="s">
        <v>216</v>
      </c>
    </row>
    <row r="11944" hidden="1">
      <c r="A11944" s="127" t="s">
        <v>233</v>
      </c>
      <c r="C11944" s="127" t="s">
        <v>232</v>
      </c>
      <c r="D11944" s="177" t="s">
        <v>56</v>
      </c>
      <c r="E11944" s="177" t="s">
        <v>14545</v>
      </c>
      <c r="F11944" s="177" t="s">
        <v>310</v>
      </c>
      <c r="G11944" s="177" t="s">
        <v>12292</v>
      </c>
      <c r="H11944" s="127" t="s">
        <v>210</v>
      </c>
    </row>
    <row r="11945" hidden="1">
      <c r="A11945" s="127" t="s">
        <v>233</v>
      </c>
      <c r="C11945" s="127" t="s">
        <v>232</v>
      </c>
      <c r="D11945" s="177" t="s">
        <v>56</v>
      </c>
      <c r="E11945" s="177" t="s">
        <v>14546</v>
      </c>
      <c r="F11945" s="177" t="s">
        <v>331</v>
      </c>
      <c r="G11945" s="177" t="s">
        <v>12666</v>
      </c>
      <c r="H11945" s="127" t="s">
        <v>211</v>
      </c>
    </row>
    <row r="11946" hidden="1">
      <c r="A11946" s="127" t="s">
        <v>233</v>
      </c>
      <c r="C11946" s="127" t="s">
        <v>232</v>
      </c>
      <c r="D11946" s="177" t="s">
        <v>56</v>
      </c>
      <c r="E11946" s="177" t="s">
        <v>14547</v>
      </c>
      <c r="F11946" s="177" t="s">
        <v>321</v>
      </c>
      <c r="G11946" s="177" t="s">
        <v>12003</v>
      </c>
      <c r="H11946" s="127" t="s">
        <v>212</v>
      </c>
    </row>
    <row r="11947" hidden="1">
      <c r="A11947" s="127" t="s">
        <v>233</v>
      </c>
      <c r="C11947" s="127" t="s">
        <v>232</v>
      </c>
      <c r="D11947" s="177" t="s">
        <v>56</v>
      </c>
      <c r="E11947" s="177" t="s">
        <v>14548</v>
      </c>
      <c r="F11947" s="177" t="s">
        <v>249</v>
      </c>
      <c r="G11947" s="177" t="s">
        <v>11994</v>
      </c>
      <c r="H11947" s="127" t="s">
        <v>213</v>
      </c>
    </row>
    <row r="11948" hidden="1">
      <c r="A11948" s="127" t="s">
        <v>233</v>
      </c>
      <c r="C11948" s="127" t="s">
        <v>232</v>
      </c>
      <c r="D11948" s="177" t="s">
        <v>56</v>
      </c>
      <c r="E11948" s="177" t="s">
        <v>14549</v>
      </c>
      <c r="F11948" s="177" t="s">
        <v>308</v>
      </c>
      <c r="G11948" s="177" t="s">
        <v>14319</v>
      </c>
      <c r="H11948" s="127" t="s">
        <v>214</v>
      </c>
    </row>
    <row r="11949" hidden="1">
      <c r="A11949" s="127" t="s">
        <v>233</v>
      </c>
      <c r="C11949" s="127" t="s">
        <v>232</v>
      </c>
      <c r="D11949" s="177" t="s">
        <v>56</v>
      </c>
      <c r="E11949" s="177" t="s">
        <v>14550</v>
      </c>
      <c r="F11949" s="177" t="s">
        <v>339</v>
      </c>
      <c r="G11949" s="177" t="s">
        <v>14339</v>
      </c>
      <c r="H11949" s="127" t="s">
        <v>215</v>
      </c>
    </row>
    <row r="11950" hidden="1">
      <c r="A11950" s="127" t="s">
        <v>233</v>
      </c>
      <c r="C11950" s="127" t="s">
        <v>232</v>
      </c>
      <c r="D11950" s="177" t="s">
        <v>56</v>
      </c>
      <c r="E11950" s="177" t="s">
        <v>14551</v>
      </c>
      <c r="F11950" s="177" t="s">
        <v>290</v>
      </c>
      <c r="G11950" s="177" t="s">
        <v>14552</v>
      </c>
      <c r="H11950" s="127" t="s">
        <v>216</v>
      </c>
    </row>
    <row r="11951" hidden="1">
      <c r="A11951" s="127" t="s">
        <v>234</v>
      </c>
      <c r="C11951" s="127" t="s">
        <v>232</v>
      </c>
      <c r="D11951" s="177" t="s">
        <v>56</v>
      </c>
      <c r="E11951" s="177" t="s">
        <v>14553</v>
      </c>
      <c r="F11951" s="177" t="s">
        <v>331</v>
      </c>
      <c r="G11951" s="177" t="s">
        <v>13617</v>
      </c>
      <c r="H11951" s="127" t="s">
        <v>210</v>
      </c>
    </row>
    <row r="11952" hidden="1">
      <c r="A11952" s="127" t="s">
        <v>234</v>
      </c>
      <c r="C11952" s="127" t="s">
        <v>232</v>
      </c>
      <c r="D11952" s="177" t="s">
        <v>56</v>
      </c>
      <c r="E11952" s="177" t="s">
        <v>14554</v>
      </c>
      <c r="F11952" s="177" t="s">
        <v>323</v>
      </c>
      <c r="G11952" s="177" t="s">
        <v>13761</v>
      </c>
      <c r="H11952" s="127" t="s">
        <v>211</v>
      </c>
    </row>
    <row r="11953" hidden="1">
      <c r="A11953" s="127" t="s">
        <v>234</v>
      </c>
      <c r="C11953" s="127" t="s">
        <v>232</v>
      </c>
      <c r="D11953" s="177" t="s">
        <v>56</v>
      </c>
      <c r="E11953" s="177" t="s">
        <v>14555</v>
      </c>
      <c r="F11953" s="177" t="s">
        <v>351</v>
      </c>
      <c r="G11953" s="177" t="s">
        <v>12956</v>
      </c>
      <c r="H11953" s="127" t="s">
        <v>212</v>
      </c>
    </row>
    <row r="11954" hidden="1">
      <c r="A11954" s="127" t="s">
        <v>234</v>
      </c>
      <c r="C11954" s="127" t="s">
        <v>232</v>
      </c>
      <c r="D11954" s="177" t="s">
        <v>56</v>
      </c>
      <c r="E11954" s="177" t="s">
        <v>14556</v>
      </c>
      <c r="F11954" s="177" t="s">
        <v>339</v>
      </c>
      <c r="G11954" s="177" t="s">
        <v>12556</v>
      </c>
      <c r="H11954" s="127" t="s">
        <v>213</v>
      </c>
    </row>
    <row r="11955" hidden="1">
      <c r="A11955" s="127" t="s">
        <v>234</v>
      </c>
      <c r="C11955" s="127" t="s">
        <v>232</v>
      </c>
      <c r="D11955" s="177" t="s">
        <v>56</v>
      </c>
      <c r="E11955" s="177" t="s">
        <v>14557</v>
      </c>
      <c r="F11955" s="177" t="s">
        <v>310</v>
      </c>
      <c r="G11955" s="177" t="s">
        <v>14558</v>
      </c>
      <c r="H11955" s="127" t="s">
        <v>214</v>
      </c>
    </row>
    <row r="11956" hidden="1">
      <c r="A11956" s="127" t="s">
        <v>234</v>
      </c>
      <c r="C11956" s="127" t="s">
        <v>232</v>
      </c>
      <c r="D11956" s="177" t="s">
        <v>56</v>
      </c>
      <c r="E11956" s="177" t="s">
        <v>14559</v>
      </c>
      <c r="F11956" s="177" t="s">
        <v>310</v>
      </c>
      <c r="G11956" s="177" t="s">
        <v>12742</v>
      </c>
      <c r="H11956" s="127" t="s">
        <v>215</v>
      </c>
    </row>
    <row r="11957" hidden="1">
      <c r="A11957" s="127" t="s">
        <v>234</v>
      </c>
      <c r="C11957" s="127" t="s">
        <v>232</v>
      </c>
      <c r="D11957" s="177" t="s">
        <v>56</v>
      </c>
      <c r="E11957" s="177" t="s">
        <v>14560</v>
      </c>
      <c r="F11957" s="177" t="s">
        <v>308</v>
      </c>
      <c r="G11957" s="177" t="s">
        <v>14561</v>
      </c>
      <c r="H11957" s="127" t="s">
        <v>216</v>
      </c>
    </row>
    <row r="11958" hidden="1">
      <c r="A11958" s="127" t="s">
        <v>235</v>
      </c>
      <c r="C11958" s="127" t="s">
        <v>236</v>
      </c>
      <c r="D11958" s="177" t="s">
        <v>56</v>
      </c>
      <c r="E11958" s="177" t="s">
        <v>14562</v>
      </c>
      <c r="F11958" s="177" t="s">
        <v>285</v>
      </c>
      <c r="G11958" s="177" t="s">
        <v>14563</v>
      </c>
      <c r="H11958" s="127" t="s">
        <v>210</v>
      </c>
    </row>
    <row r="11959" hidden="1">
      <c r="A11959" s="127" t="s">
        <v>235</v>
      </c>
      <c r="C11959" s="127" t="s">
        <v>236</v>
      </c>
      <c r="D11959" s="177" t="s">
        <v>56</v>
      </c>
      <c r="E11959" s="177" t="s">
        <v>14564</v>
      </c>
      <c r="F11959" s="177" t="s">
        <v>365</v>
      </c>
      <c r="G11959" s="177" t="s">
        <v>14565</v>
      </c>
      <c r="H11959" s="127" t="s">
        <v>211</v>
      </c>
    </row>
    <row r="11960" hidden="1">
      <c r="A11960" s="127" t="s">
        <v>235</v>
      </c>
      <c r="C11960" s="127" t="s">
        <v>236</v>
      </c>
      <c r="D11960" s="177" t="s">
        <v>56</v>
      </c>
      <c r="E11960" s="177" t="s">
        <v>14566</v>
      </c>
      <c r="F11960" s="177" t="s">
        <v>242</v>
      </c>
      <c r="G11960" s="177" t="s">
        <v>14567</v>
      </c>
      <c r="H11960" s="127" t="s">
        <v>212</v>
      </c>
    </row>
    <row r="11961" hidden="1">
      <c r="A11961" s="127" t="s">
        <v>235</v>
      </c>
      <c r="C11961" s="127" t="s">
        <v>236</v>
      </c>
      <c r="D11961" s="177" t="s">
        <v>56</v>
      </c>
      <c r="E11961" s="177" t="s">
        <v>14568</v>
      </c>
      <c r="F11961" s="177" t="s">
        <v>365</v>
      </c>
      <c r="G11961" s="177" t="s">
        <v>12461</v>
      </c>
      <c r="H11961" s="127" t="s">
        <v>213</v>
      </c>
    </row>
    <row r="11962" hidden="1">
      <c r="A11962" s="127" t="s">
        <v>235</v>
      </c>
      <c r="C11962" s="127" t="s">
        <v>236</v>
      </c>
      <c r="D11962" s="177" t="s">
        <v>56</v>
      </c>
      <c r="E11962" s="177" t="s">
        <v>14569</v>
      </c>
      <c r="F11962" s="177" t="s">
        <v>257</v>
      </c>
      <c r="G11962" s="177" t="s">
        <v>12172</v>
      </c>
      <c r="H11962" s="127" t="s">
        <v>214</v>
      </c>
    </row>
    <row r="11963" hidden="1">
      <c r="A11963" s="127" t="s">
        <v>235</v>
      </c>
      <c r="C11963" s="127" t="s">
        <v>236</v>
      </c>
      <c r="D11963" s="177" t="s">
        <v>56</v>
      </c>
      <c r="E11963" s="177" t="s">
        <v>14570</v>
      </c>
      <c r="F11963" s="177" t="s">
        <v>314</v>
      </c>
      <c r="G11963" s="177" t="s">
        <v>12076</v>
      </c>
      <c r="H11963" s="127" t="s">
        <v>215</v>
      </c>
    </row>
    <row r="11964" hidden="1">
      <c r="A11964" s="127" t="s">
        <v>235</v>
      </c>
      <c r="C11964" s="127" t="s">
        <v>236</v>
      </c>
      <c r="D11964" s="177" t="s">
        <v>56</v>
      </c>
      <c r="E11964" s="177" t="s">
        <v>14571</v>
      </c>
      <c r="F11964" s="177" t="s">
        <v>323</v>
      </c>
      <c r="G11964" s="177" t="s">
        <v>14572</v>
      </c>
      <c r="H11964" s="127" t="s">
        <v>216</v>
      </c>
    </row>
    <row r="11965" hidden="1">
      <c r="A11965" s="127" t="s">
        <v>237</v>
      </c>
      <c r="C11965" s="127" t="s">
        <v>236</v>
      </c>
      <c r="D11965" s="177" t="s">
        <v>56</v>
      </c>
      <c r="E11965" s="177" t="s">
        <v>14573</v>
      </c>
      <c r="F11965" s="177" t="s">
        <v>483</v>
      </c>
      <c r="G11965" s="177" t="s">
        <v>14193</v>
      </c>
      <c r="H11965" s="127" t="s">
        <v>210</v>
      </c>
    </row>
    <row r="11966" hidden="1">
      <c r="A11966" s="127" t="s">
        <v>237</v>
      </c>
      <c r="C11966" s="127" t="s">
        <v>236</v>
      </c>
      <c r="D11966" s="177" t="s">
        <v>56</v>
      </c>
      <c r="E11966" s="177" t="s">
        <v>14574</v>
      </c>
      <c r="F11966" s="177" t="s">
        <v>799</v>
      </c>
      <c r="G11966" s="177" t="s">
        <v>14575</v>
      </c>
      <c r="H11966" s="127" t="s">
        <v>211</v>
      </c>
    </row>
    <row r="11967" hidden="1">
      <c r="A11967" s="127" t="s">
        <v>237</v>
      </c>
      <c r="C11967" s="127" t="s">
        <v>236</v>
      </c>
      <c r="D11967" s="177" t="s">
        <v>56</v>
      </c>
      <c r="E11967" s="177" t="s">
        <v>14576</v>
      </c>
      <c r="F11967" s="177" t="s">
        <v>532</v>
      </c>
      <c r="G11967" s="177" t="s">
        <v>13795</v>
      </c>
      <c r="H11967" s="127" t="s">
        <v>212</v>
      </c>
    </row>
    <row r="11968" hidden="1">
      <c r="A11968" s="127" t="s">
        <v>237</v>
      </c>
      <c r="C11968" s="127" t="s">
        <v>236</v>
      </c>
      <c r="D11968" s="177" t="s">
        <v>56</v>
      </c>
      <c r="E11968" s="177" t="s">
        <v>14577</v>
      </c>
      <c r="F11968" s="177" t="s">
        <v>725</v>
      </c>
      <c r="G11968" s="177" t="s">
        <v>14578</v>
      </c>
      <c r="H11968" s="127" t="s">
        <v>213</v>
      </c>
    </row>
    <row r="11969" hidden="1">
      <c r="A11969" s="127" t="s">
        <v>237</v>
      </c>
      <c r="C11969" s="127" t="s">
        <v>236</v>
      </c>
      <c r="D11969" s="177" t="s">
        <v>56</v>
      </c>
      <c r="E11969" s="177" t="s">
        <v>14579</v>
      </c>
      <c r="F11969" s="177" t="s">
        <v>725</v>
      </c>
      <c r="G11969" s="177" t="s">
        <v>12499</v>
      </c>
      <c r="H11969" s="127" t="s">
        <v>214</v>
      </c>
    </row>
    <row r="11970" hidden="1">
      <c r="A11970" s="127" t="s">
        <v>237</v>
      </c>
      <c r="C11970" s="127" t="s">
        <v>236</v>
      </c>
      <c r="D11970" s="177" t="s">
        <v>56</v>
      </c>
      <c r="E11970" s="177" t="s">
        <v>14580</v>
      </c>
      <c r="F11970" s="177" t="s">
        <v>448</v>
      </c>
      <c r="G11970" s="177" t="s">
        <v>13319</v>
      </c>
      <c r="H11970" s="127" t="s">
        <v>215</v>
      </c>
    </row>
    <row r="11971" hidden="1">
      <c r="A11971" s="127" t="s">
        <v>237</v>
      </c>
      <c r="C11971" s="127" t="s">
        <v>236</v>
      </c>
      <c r="D11971" s="177" t="s">
        <v>56</v>
      </c>
      <c r="E11971" s="177" t="s">
        <v>14581</v>
      </c>
      <c r="F11971" s="177" t="s">
        <v>354</v>
      </c>
      <c r="G11971" s="177" t="s">
        <v>14582</v>
      </c>
      <c r="H11971" s="127" t="s">
        <v>216</v>
      </c>
    </row>
    <row r="11972" hidden="1">
      <c r="A11972" s="177" t="s">
        <v>204</v>
      </c>
      <c r="B11972" s="127" t="s">
        <v>205</v>
      </c>
      <c r="C11972" s="127" t="s">
        <v>206</v>
      </c>
      <c r="D11972" s="177" t="s">
        <v>57</v>
      </c>
      <c r="E11972" s="177" t="s">
        <v>14583</v>
      </c>
      <c r="F11972" s="177" t="s">
        <v>249</v>
      </c>
      <c r="G11972" s="177" t="s">
        <v>14584</v>
      </c>
      <c r="H11972" s="127" t="s">
        <v>210</v>
      </c>
    </row>
    <row r="11973" hidden="1">
      <c r="A11973" s="177" t="s">
        <v>204</v>
      </c>
      <c r="B11973" s="127" t="s">
        <v>205</v>
      </c>
      <c r="C11973" s="127" t="s">
        <v>206</v>
      </c>
      <c r="D11973" s="177" t="s">
        <v>57</v>
      </c>
      <c r="E11973" s="177" t="s">
        <v>14585</v>
      </c>
      <c r="F11973" s="177" t="s">
        <v>359</v>
      </c>
      <c r="G11973" s="177" t="s">
        <v>11999</v>
      </c>
      <c r="H11973" s="127" t="s">
        <v>211</v>
      </c>
    </row>
    <row r="11974" hidden="1">
      <c r="A11974" s="177" t="s">
        <v>204</v>
      </c>
      <c r="B11974" s="127" t="s">
        <v>205</v>
      </c>
      <c r="C11974" s="127" t="s">
        <v>206</v>
      </c>
      <c r="D11974" s="177" t="s">
        <v>57</v>
      </c>
      <c r="E11974" s="177" t="s">
        <v>14586</v>
      </c>
      <c r="F11974" s="177" t="s">
        <v>242</v>
      </c>
      <c r="G11974" s="177" t="s">
        <v>14587</v>
      </c>
      <c r="H11974" s="127" t="s">
        <v>212</v>
      </c>
    </row>
    <row r="11975" hidden="1">
      <c r="A11975" s="177" t="s">
        <v>204</v>
      </c>
      <c r="B11975" s="127" t="s">
        <v>205</v>
      </c>
      <c r="C11975" s="127" t="s">
        <v>206</v>
      </c>
      <c r="D11975" s="177" t="s">
        <v>57</v>
      </c>
      <c r="E11975" s="177" t="s">
        <v>14588</v>
      </c>
      <c r="F11975" s="177" t="s">
        <v>357</v>
      </c>
      <c r="G11975" s="177" t="s">
        <v>11821</v>
      </c>
      <c r="H11975" s="127" t="s">
        <v>213</v>
      </c>
    </row>
    <row r="11976" hidden="1">
      <c r="A11976" s="177" t="s">
        <v>204</v>
      </c>
      <c r="B11976" s="127" t="s">
        <v>205</v>
      </c>
      <c r="C11976" s="127" t="s">
        <v>206</v>
      </c>
      <c r="D11976" s="177" t="s">
        <v>57</v>
      </c>
      <c r="E11976" s="177" t="s">
        <v>14589</v>
      </c>
      <c r="F11976" s="177" t="s">
        <v>323</v>
      </c>
      <c r="G11976" s="177" t="s">
        <v>14468</v>
      </c>
      <c r="H11976" s="127" t="s">
        <v>214</v>
      </c>
    </row>
    <row r="11977" hidden="1">
      <c r="A11977" s="177" t="s">
        <v>204</v>
      </c>
      <c r="B11977" s="127" t="s">
        <v>205</v>
      </c>
      <c r="C11977" s="127" t="s">
        <v>206</v>
      </c>
      <c r="D11977" s="177" t="s">
        <v>57</v>
      </c>
      <c r="E11977" s="177" t="s">
        <v>14590</v>
      </c>
      <c r="F11977" s="177" t="s">
        <v>351</v>
      </c>
      <c r="G11977" s="177" t="s">
        <v>14591</v>
      </c>
      <c r="H11977" s="127" t="s">
        <v>215</v>
      </c>
    </row>
    <row r="11978" hidden="1">
      <c r="A11978" s="177" t="s">
        <v>204</v>
      </c>
      <c r="B11978" s="127" t="s">
        <v>205</v>
      </c>
      <c r="C11978" s="127" t="s">
        <v>206</v>
      </c>
      <c r="D11978" s="177" t="s">
        <v>57</v>
      </c>
      <c r="E11978" s="177" t="s">
        <v>14592</v>
      </c>
      <c r="F11978" s="177" t="s">
        <v>314</v>
      </c>
      <c r="G11978" s="177" t="s">
        <v>14593</v>
      </c>
      <c r="H11978" s="127" t="s">
        <v>216</v>
      </c>
    </row>
    <row r="11979" hidden="1">
      <c r="A11979" s="177" t="s">
        <v>217</v>
      </c>
      <c r="B11979" s="127" t="s">
        <v>191</v>
      </c>
      <c r="C11979" s="127" t="s">
        <v>206</v>
      </c>
      <c r="D11979" s="177" t="s">
        <v>57</v>
      </c>
      <c r="E11979" s="177" t="s">
        <v>14594</v>
      </c>
      <c r="F11979" s="177" t="s">
        <v>255</v>
      </c>
      <c r="G11979" s="177" t="s">
        <v>12042</v>
      </c>
      <c r="H11979" s="127" t="s">
        <v>210</v>
      </c>
    </row>
    <row r="11980" hidden="1">
      <c r="A11980" s="177" t="s">
        <v>217</v>
      </c>
      <c r="B11980" s="127" t="s">
        <v>191</v>
      </c>
      <c r="C11980" s="127" t="s">
        <v>206</v>
      </c>
      <c r="D11980" s="177" t="s">
        <v>57</v>
      </c>
      <c r="E11980" s="177" t="s">
        <v>14595</v>
      </c>
      <c r="F11980" s="177" t="s">
        <v>259</v>
      </c>
      <c r="G11980" s="177" t="s">
        <v>12042</v>
      </c>
      <c r="H11980" s="127" t="s">
        <v>211</v>
      </c>
    </row>
    <row r="11981" hidden="1">
      <c r="A11981" s="177" t="s">
        <v>217</v>
      </c>
      <c r="B11981" s="127" t="s">
        <v>191</v>
      </c>
      <c r="C11981" s="127" t="s">
        <v>206</v>
      </c>
      <c r="D11981" s="177" t="s">
        <v>57</v>
      </c>
      <c r="E11981" s="177" t="s">
        <v>14596</v>
      </c>
      <c r="F11981" s="177" t="s">
        <v>458</v>
      </c>
      <c r="G11981" s="177" t="s">
        <v>14597</v>
      </c>
      <c r="H11981" s="127" t="s">
        <v>212</v>
      </c>
    </row>
    <row r="11982" hidden="1">
      <c r="A11982" s="177" t="s">
        <v>217</v>
      </c>
      <c r="B11982" s="127" t="s">
        <v>191</v>
      </c>
      <c r="C11982" s="127" t="s">
        <v>206</v>
      </c>
      <c r="D11982" s="177" t="s">
        <v>57</v>
      </c>
      <c r="E11982" s="177" t="s">
        <v>14598</v>
      </c>
      <c r="F11982" s="177" t="s">
        <v>436</v>
      </c>
      <c r="G11982" s="177" t="s">
        <v>11760</v>
      </c>
      <c r="H11982" s="127" t="s">
        <v>213</v>
      </c>
    </row>
    <row r="11983" hidden="1">
      <c r="A11983" s="177" t="s">
        <v>217</v>
      </c>
      <c r="B11983" s="127" t="s">
        <v>191</v>
      </c>
      <c r="C11983" s="127" t="s">
        <v>206</v>
      </c>
      <c r="D11983" s="177" t="s">
        <v>57</v>
      </c>
      <c r="E11983" s="177" t="s">
        <v>14599</v>
      </c>
      <c r="F11983" s="177" t="s">
        <v>262</v>
      </c>
      <c r="G11983" s="177" t="s">
        <v>12110</v>
      </c>
      <c r="H11983" s="127" t="s">
        <v>214</v>
      </c>
    </row>
    <row r="11984" hidden="1">
      <c r="A11984" s="177" t="s">
        <v>217</v>
      </c>
      <c r="B11984" s="127" t="s">
        <v>191</v>
      </c>
      <c r="C11984" s="127" t="s">
        <v>206</v>
      </c>
      <c r="D11984" s="177" t="s">
        <v>57</v>
      </c>
      <c r="E11984" s="177" t="s">
        <v>14600</v>
      </c>
      <c r="F11984" s="177" t="s">
        <v>308</v>
      </c>
      <c r="G11984" s="177" t="s">
        <v>14601</v>
      </c>
      <c r="H11984" s="127" t="s">
        <v>215</v>
      </c>
    </row>
    <row r="11985" hidden="1">
      <c r="A11985" s="177" t="s">
        <v>217</v>
      </c>
      <c r="B11985" s="127" t="s">
        <v>191</v>
      </c>
      <c r="C11985" s="127" t="s">
        <v>206</v>
      </c>
      <c r="D11985" s="177" t="s">
        <v>57</v>
      </c>
      <c r="E11985" s="177" t="s">
        <v>14602</v>
      </c>
      <c r="F11985" s="177" t="s">
        <v>259</v>
      </c>
      <c r="G11985" s="177" t="s">
        <v>12093</v>
      </c>
      <c r="H11985" s="127" t="s">
        <v>216</v>
      </c>
    </row>
    <row r="11986" hidden="1">
      <c r="A11986" s="177" t="s">
        <v>218</v>
      </c>
      <c r="B11986" s="127" t="s">
        <v>219</v>
      </c>
      <c r="C11986" s="127" t="s">
        <v>206</v>
      </c>
      <c r="D11986" s="177" t="s">
        <v>57</v>
      </c>
      <c r="E11986" s="177" t="s">
        <v>14603</v>
      </c>
      <c r="F11986" s="177" t="s">
        <v>483</v>
      </c>
      <c r="G11986" s="177" t="s">
        <v>14604</v>
      </c>
      <c r="H11986" s="127" t="s">
        <v>210</v>
      </c>
    </row>
    <row r="11987" hidden="1">
      <c r="A11987" s="177" t="s">
        <v>218</v>
      </c>
      <c r="B11987" s="127" t="s">
        <v>219</v>
      </c>
      <c r="C11987" s="127" t="s">
        <v>206</v>
      </c>
      <c r="D11987" s="177" t="s">
        <v>57</v>
      </c>
      <c r="E11987" s="177" t="s">
        <v>14605</v>
      </c>
      <c r="F11987" s="177" t="s">
        <v>325</v>
      </c>
      <c r="G11987" s="177" t="s">
        <v>11992</v>
      </c>
      <c r="H11987" s="127" t="s">
        <v>211</v>
      </c>
    </row>
    <row r="11988" hidden="1">
      <c r="A11988" s="177" t="s">
        <v>218</v>
      </c>
      <c r="B11988" s="127" t="s">
        <v>219</v>
      </c>
      <c r="C11988" s="127" t="s">
        <v>206</v>
      </c>
      <c r="D11988" s="177" t="s">
        <v>57</v>
      </c>
      <c r="E11988" s="177" t="s">
        <v>14606</v>
      </c>
      <c r="F11988" s="177" t="s">
        <v>483</v>
      </c>
      <c r="G11988" s="177" t="s">
        <v>12103</v>
      </c>
      <c r="H11988" s="127" t="s">
        <v>212</v>
      </c>
    </row>
    <row r="11989" hidden="1">
      <c r="A11989" s="177" t="s">
        <v>218</v>
      </c>
      <c r="B11989" s="127" t="s">
        <v>219</v>
      </c>
      <c r="C11989" s="127" t="s">
        <v>206</v>
      </c>
      <c r="D11989" s="177" t="s">
        <v>57</v>
      </c>
      <c r="E11989" s="177" t="s">
        <v>14607</v>
      </c>
      <c r="F11989" s="177" t="s">
        <v>799</v>
      </c>
      <c r="G11989" s="177" t="s">
        <v>14608</v>
      </c>
      <c r="H11989" s="127" t="s">
        <v>213</v>
      </c>
    </row>
    <row r="11990" hidden="1">
      <c r="A11990" s="177" t="s">
        <v>218</v>
      </c>
      <c r="B11990" s="127" t="s">
        <v>219</v>
      </c>
      <c r="C11990" s="127" t="s">
        <v>206</v>
      </c>
      <c r="D11990" s="177" t="s">
        <v>57</v>
      </c>
      <c r="E11990" s="177" t="s">
        <v>14609</v>
      </c>
      <c r="F11990" s="177" t="s">
        <v>312</v>
      </c>
      <c r="G11990" s="177" t="s">
        <v>14610</v>
      </c>
      <c r="H11990" s="127" t="s">
        <v>214</v>
      </c>
    </row>
    <row r="11991" hidden="1">
      <c r="A11991" s="177" t="s">
        <v>218</v>
      </c>
      <c r="B11991" s="127" t="s">
        <v>219</v>
      </c>
      <c r="C11991" s="127" t="s">
        <v>206</v>
      </c>
      <c r="D11991" s="177" t="s">
        <v>57</v>
      </c>
      <c r="E11991" s="177" t="s">
        <v>14611</v>
      </c>
      <c r="F11991" s="177" t="s">
        <v>725</v>
      </c>
      <c r="G11991" s="177" t="s">
        <v>13084</v>
      </c>
      <c r="H11991" s="127" t="s">
        <v>215</v>
      </c>
    </row>
    <row r="11992" hidden="1">
      <c r="A11992" s="177" t="s">
        <v>218</v>
      </c>
      <c r="B11992" s="127" t="s">
        <v>219</v>
      </c>
      <c r="C11992" s="127" t="s">
        <v>206</v>
      </c>
      <c r="D11992" s="177" t="s">
        <v>57</v>
      </c>
      <c r="E11992" s="177" t="s">
        <v>14612</v>
      </c>
      <c r="F11992" s="177" t="s">
        <v>483</v>
      </c>
      <c r="G11992" s="177" t="s">
        <v>14613</v>
      </c>
      <c r="H11992" s="127" t="s">
        <v>216</v>
      </c>
    </row>
    <row r="11993" hidden="1">
      <c r="A11993" s="177" t="s">
        <v>220</v>
      </c>
      <c r="B11993" s="127" t="s">
        <v>190</v>
      </c>
      <c r="C11993" s="127" t="s">
        <v>206</v>
      </c>
      <c r="D11993" s="177" t="s">
        <v>57</v>
      </c>
      <c r="E11993" s="177" t="s">
        <v>14614</v>
      </c>
      <c r="F11993" s="177" t="s">
        <v>242</v>
      </c>
      <c r="G11993" s="177" t="s">
        <v>14615</v>
      </c>
      <c r="H11993" s="127" t="s">
        <v>210</v>
      </c>
    </row>
    <row r="11994" hidden="1">
      <c r="A11994" s="177" t="s">
        <v>220</v>
      </c>
      <c r="B11994" s="127" t="s">
        <v>190</v>
      </c>
      <c r="C11994" s="127" t="s">
        <v>206</v>
      </c>
      <c r="D11994" s="177" t="s">
        <v>57</v>
      </c>
      <c r="E11994" s="177" t="s">
        <v>14616</v>
      </c>
      <c r="F11994" s="177" t="s">
        <v>357</v>
      </c>
      <c r="G11994" s="177" t="s">
        <v>11093</v>
      </c>
      <c r="H11994" s="127" t="s">
        <v>211</v>
      </c>
    </row>
    <row r="11995" hidden="1">
      <c r="A11995" s="177" t="s">
        <v>220</v>
      </c>
      <c r="B11995" s="127" t="s">
        <v>190</v>
      </c>
      <c r="C11995" s="127" t="s">
        <v>206</v>
      </c>
      <c r="D11995" s="177" t="s">
        <v>57</v>
      </c>
      <c r="E11995" s="177" t="s">
        <v>14617</v>
      </c>
      <c r="F11995" s="177" t="s">
        <v>427</v>
      </c>
      <c r="G11995" s="177" t="s">
        <v>10684</v>
      </c>
      <c r="H11995" s="127" t="s">
        <v>212</v>
      </c>
    </row>
    <row r="11996" hidden="1">
      <c r="A11996" s="177" t="s">
        <v>220</v>
      </c>
      <c r="B11996" s="127" t="s">
        <v>190</v>
      </c>
      <c r="C11996" s="127" t="s">
        <v>206</v>
      </c>
      <c r="D11996" s="177" t="s">
        <v>57</v>
      </c>
      <c r="E11996" s="177" t="s">
        <v>14618</v>
      </c>
      <c r="F11996" s="177" t="s">
        <v>244</v>
      </c>
      <c r="G11996" s="177" t="s">
        <v>10342</v>
      </c>
      <c r="H11996" s="127" t="s">
        <v>213</v>
      </c>
    </row>
    <row r="11997" hidden="1">
      <c r="A11997" s="177" t="s">
        <v>220</v>
      </c>
      <c r="B11997" s="127" t="s">
        <v>190</v>
      </c>
      <c r="C11997" s="127" t="s">
        <v>206</v>
      </c>
      <c r="D11997" s="177" t="s">
        <v>57</v>
      </c>
      <c r="E11997" s="177" t="s">
        <v>14619</v>
      </c>
      <c r="F11997" s="177" t="s">
        <v>492</v>
      </c>
      <c r="G11997" s="177" t="s">
        <v>10682</v>
      </c>
      <c r="H11997" s="127" t="s">
        <v>214</v>
      </c>
    </row>
    <row r="11998" hidden="1">
      <c r="A11998" s="177" t="s">
        <v>220</v>
      </c>
      <c r="B11998" s="127" t="s">
        <v>190</v>
      </c>
      <c r="C11998" s="127" t="s">
        <v>206</v>
      </c>
      <c r="D11998" s="177" t="s">
        <v>57</v>
      </c>
      <c r="E11998" s="177" t="s">
        <v>14620</v>
      </c>
      <c r="F11998" s="177" t="s">
        <v>285</v>
      </c>
      <c r="G11998" s="177" t="s">
        <v>11505</v>
      </c>
      <c r="H11998" s="127" t="s">
        <v>215</v>
      </c>
    </row>
    <row r="11999" hidden="1">
      <c r="A11999" s="177" t="s">
        <v>220</v>
      </c>
      <c r="B11999" s="127" t="s">
        <v>190</v>
      </c>
      <c r="C11999" s="127" t="s">
        <v>206</v>
      </c>
      <c r="D11999" s="177" t="s">
        <v>57</v>
      </c>
      <c r="E11999" s="177" t="s">
        <v>14621</v>
      </c>
      <c r="F11999" s="177" t="s">
        <v>357</v>
      </c>
      <c r="G11999" s="177" t="s">
        <v>11024</v>
      </c>
      <c r="H11999" s="127" t="s">
        <v>216</v>
      </c>
    </row>
    <row r="12000" hidden="1">
      <c r="A12000" s="177" t="s">
        <v>221</v>
      </c>
      <c r="B12000" s="127" t="s">
        <v>189</v>
      </c>
      <c r="C12000" s="127" t="s">
        <v>206</v>
      </c>
      <c r="D12000" s="177" t="s">
        <v>57</v>
      </c>
      <c r="E12000" s="177" t="s">
        <v>14622</v>
      </c>
      <c r="F12000" s="177" t="s">
        <v>725</v>
      </c>
      <c r="G12000" s="177" t="s">
        <v>13500</v>
      </c>
      <c r="H12000" s="127" t="s">
        <v>210</v>
      </c>
    </row>
    <row r="12001" hidden="1">
      <c r="A12001" s="177" t="s">
        <v>221</v>
      </c>
      <c r="B12001" s="127" t="s">
        <v>189</v>
      </c>
      <c r="C12001" s="127" t="s">
        <v>206</v>
      </c>
      <c r="D12001" s="177" t="s">
        <v>57</v>
      </c>
      <c r="E12001" s="177" t="s">
        <v>14623</v>
      </c>
      <c r="F12001" s="177" t="s">
        <v>577</v>
      </c>
      <c r="G12001" s="177" t="s">
        <v>14092</v>
      </c>
      <c r="H12001" s="127" t="s">
        <v>211</v>
      </c>
    </row>
    <row r="12002" hidden="1">
      <c r="A12002" s="177" t="s">
        <v>221</v>
      </c>
      <c r="B12002" s="127" t="s">
        <v>189</v>
      </c>
      <c r="C12002" s="127" t="s">
        <v>206</v>
      </c>
      <c r="D12002" s="177" t="s">
        <v>57</v>
      </c>
      <c r="E12002" s="177" t="s">
        <v>14624</v>
      </c>
      <c r="F12002" s="177" t="s">
        <v>285</v>
      </c>
      <c r="G12002" s="177" t="s">
        <v>13686</v>
      </c>
      <c r="H12002" s="127" t="s">
        <v>212</v>
      </c>
    </row>
    <row r="12003" hidden="1">
      <c r="A12003" s="177" t="s">
        <v>221</v>
      </c>
      <c r="B12003" s="127" t="s">
        <v>189</v>
      </c>
      <c r="C12003" s="127" t="s">
        <v>206</v>
      </c>
      <c r="D12003" s="177" t="s">
        <v>57</v>
      </c>
      <c r="E12003" s="177" t="s">
        <v>14625</v>
      </c>
      <c r="F12003" s="177" t="s">
        <v>314</v>
      </c>
      <c r="G12003" s="177" t="s">
        <v>13769</v>
      </c>
      <c r="H12003" s="127" t="s">
        <v>213</v>
      </c>
    </row>
    <row r="12004" hidden="1">
      <c r="A12004" s="177" t="s">
        <v>221</v>
      </c>
      <c r="B12004" s="127" t="s">
        <v>189</v>
      </c>
      <c r="C12004" s="127" t="s">
        <v>206</v>
      </c>
      <c r="D12004" s="177" t="s">
        <v>57</v>
      </c>
      <c r="E12004" s="177" t="s">
        <v>14626</v>
      </c>
      <c r="F12004" s="177" t="s">
        <v>718</v>
      </c>
      <c r="G12004" s="177" t="s">
        <v>14627</v>
      </c>
      <c r="H12004" s="127" t="s">
        <v>214</v>
      </c>
    </row>
    <row r="12005" hidden="1">
      <c r="A12005" s="177" t="s">
        <v>221</v>
      </c>
      <c r="B12005" s="127" t="s">
        <v>189</v>
      </c>
      <c r="C12005" s="127" t="s">
        <v>206</v>
      </c>
      <c r="D12005" s="177" t="s">
        <v>57</v>
      </c>
      <c r="E12005" s="177" t="s">
        <v>14628</v>
      </c>
      <c r="F12005" s="177" t="s">
        <v>2228</v>
      </c>
      <c r="G12005" s="177" t="s">
        <v>14629</v>
      </c>
      <c r="H12005" s="127" t="s">
        <v>215</v>
      </c>
    </row>
    <row r="12006" hidden="1">
      <c r="A12006" s="177" t="s">
        <v>221</v>
      </c>
      <c r="B12006" s="127" t="s">
        <v>189</v>
      </c>
      <c r="C12006" s="127" t="s">
        <v>206</v>
      </c>
      <c r="D12006" s="177" t="s">
        <v>57</v>
      </c>
      <c r="E12006" s="177" t="s">
        <v>14630</v>
      </c>
      <c r="F12006" s="177" t="s">
        <v>725</v>
      </c>
      <c r="G12006" s="177" t="s">
        <v>12680</v>
      </c>
      <c r="H12006" s="127" t="s">
        <v>216</v>
      </c>
    </row>
    <row r="12007" hidden="1">
      <c r="A12007" s="177" t="s">
        <v>222</v>
      </c>
      <c r="B12007" s="127" t="s">
        <v>192</v>
      </c>
      <c r="C12007" s="127" t="s">
        <v>206</v>
      </c>
      <c r="D12007" s="177" t="s">
        <v>57</v>
      </c>
      <c r="E12007" s="177" t="s">
        <v>14631</v>
      </c>
      <c r="F12007" s="177" t="s">
        <v>240</v>
      </c>
      <c r="G12007" s="177" t="s">
        <v>11205</v>
      </c>
      <c r="H12007" s="127" t="s">
        <v>210</v>
      </c>
    </row>
    <row r="12008" hidden="1">
      <c r="A12008" s="177" t="s">
        <v>222</v>
      </c>
      <c r="B12008" s="127" t="s">
        <v>192</v>
      </c>
      <c r="C12008" s="127" t="s">
        <v>206</v>
      </c>
      <c r="D12008" s="177" t="s">
        <v>57</v>
      </c>
      <c r="E12008" s="177" t="s">
        <v>14632</v>
      </c>
      <c r="F12008" s="177" t="s">
        <v>357</v>
      </c>
      <c r="G12008" s="177" t="s">
        <v>12021</v>
      </c>
      <c r="H12008" s="127" t="s">
        <v>211</v>
      </c>
    </row>
    <row r="12009" hidden="1">
      <c r="A12009" s="177" t="s">
        <v>222</v>
      </c>
      <c r="B12009" s="127" t="s">
        <v>192</v>
      </c>
      <c r="C12009" s="127" t="s">
        <v>206</v>
      </c>
      <c r="D12009" s="177" t="s">
        <v>57</v>
      </c>
      <c r="E12009" s="177" t="s">
        <v>14633</v>
      </c>
      <c r="F12009" s="177" t="s">
        <v>323</v>
      </c>
      <c r="G12009" s="177" t="s">
        <v>14634</v>
      </c>
      <c r="H12009" s="127" t="s">
        <v>212</v>
      </c>
    </row>
    <row r="12010" hidden="1">
      <c r="A12010" s="177" t="s">
        <v>222</v>
      </c>
      <c r="B12010" s="127" t="s">
        <v>192</v>
      </c>
      <c r="C12010" s="127" t="s">
        <v>206</v>
      </c>
      <c r="D12010" s="177" t="s">
        <v>57</v>
      </c>
      <c r="E12010" s="177" t="s">
        <v>14635</v>
      </c>
      <c r="F12010" s="177" t="s">
        <v>240</v>
      </c>
      <c r="G12010" s="177" t="s">
        <v>14636</v>
      </c>
      <c r="H12010" s="127" t="s">
        <v>213</v>
      </c>
    </row>
    <row r="12011" hidden="1">
      <c r="A12011" s="177" t="s">
        <v>222</v>
      </c>
      <c r="B12011" s="127" t="s">
        <v>192</v>
      </c>
      <c r="C12011" s="127" t="s">
        <v>206</v>
      </c>
      <c r="D12011" s="177" t="s">
        <v>57</v>
      </c>
      <c r="E12011" s="177" t="s">
        <v>14637</v>
      </c>
      <c r="F12011" s="177" t="s">
        <v>301</v>
      </c>
      <c r="G12011" s="177" t="s">
        <v>14638</v>
      </c>
      <c r="H12011" s="127" t="s">
        <v>214</v>
      </c>
    </row>
    <row r="12012" hidden="1">
      <c r="A12012" s="177" t="s">
        <v>222</v>
      </c>
      <c r="B12012" s="127" t="s">
        <v>192</v>
      </c>
      <c r="C12012" s="127" t="s">
        <v>206</v>
      </c>
      <c r="D12012" s="177" t="s">
        <v>57</v>
      </c>
      <c r="E12012" s="177" t="s">
        <v>14639</v>
      </c>
      <c r="F12012" s="177" t="s">
        <v>255</v>
      </c>
      <c r="G12012" s="177" t="s">
        <v>11953</v>
      </c>
      <c r="H12012" s="127" t="s">
        <v>215</v>
      </c>
    </row>
    <row r="12013" hidden="1">
      <c r="A12013" s="177" t="s">
        <v>222</v>
      </c>
      <c r="B12013" s="127" t="s">
        <v>192</v>
      </c>
      <c r="C12013" s="127" t="s">
        <v>206</v>
      </c>
      <c r="D12013" s="177" t="s">
        <v>57</v>
      </c>
      <c r="E12013" s="177" t="s">
        <v>14640</v>
      </c>
      <c r="F12013" s="177" t="s">
        <v>257</v>
      </c>
      <c r="G12013" s="177" t="s">
        <v>11813</v>
      </c>
      <c r="H12013" s="127" t="s">
        <v>216</v>
      </c>
    </row>
    <row r="12014" hidden="1">
      <c r="A12014" s="177" t="s">
        <v>223</v>
      </c>
      <c r="B12014" s="127" t="s">
        <v>144</v>
      </c>
      <c r="C12014" s="127" t="s">
        <v>206</v>
      </c>
      <c r="D12014" s="177" t="s">
        <v>57</v>
      </c>
      <c r="E12014" s="177" t="s">
        <v>14641</v>
      </c>
      <c r="F12014" s="177" t="s">
        <v>305</v>
      </c>
      <c r="G12014" s="177" t="s">
        <v>14642</v>
      </c>
      <c r="H12014" s="127" t="s">
        <v>210</v>
      </c>
    </row>
    <row r="12015" hidden="1">
      <c r="A12015" s="177" t="s">
        <v>223</v>
      </c>
      <c r="B12015" s="127" t="s">
        <v>144</v>
      </c>
      <c r="C12015" s="127" t="s">
        <v>206</v>
      </c>
      <c r="D12015" s="177" t="s">
        <v>57</v>
      </c>
      <c r="E12015" s="177" t="s">
        <v>14643</v>
      </c>
      <c r="F12015" s="177" t="s">
        <v>290</v>
      </c>
      <c r="G12015" s="177" t="s">
        <v>14644</v>
      </c>
      <c r="H12015" s="127" t="s">
        <v>211</v>
      </c>
    </row>
    <row r="12016" hidden="1">
      <c r="A12016" s="177" t="s">
        <v>223</v>
      </c>
      <c r="B12016" s="127" t="s">
        <v>144</v>
      </c>
      <c r="C12016" s="127" t="s">
        <v>206</v>
      </c>
      <c r="D12016" s="177" t="s">
        <v>57</v>
      </c>
      <c r="E12016" s="177" t="s">
        <v>14645</v>
      </c>
      <c r="F12016" s="177" t="s">
        <v>308</v>
      </c>
      <c r="G12016" s="177" t="s">
        <v>14646</v>
      </c>
      <c r="H12016" s="127" t="s">
        <v>212</v>
      </c>
    </row>
    <row r="12017" hidden="1">
      <c r="A12017" s="177" t="s">
        <v>223</v>
      </c>
      <c r="B12017" s="127" t="s">
        <v>144</v>
      </c>
      <c r="C12017" s="127" t="s">
        <v>206</v>
      </c>
      <c r="D12017" s="177" t="s">
        <v>57</v>
      </c>
      <c r="E12017" s="177" t="s">
        <v>14647</v>
      </c>
      <c r="F12017" s="177" t="s">
        <v>314</v>
      </c>
      <c r="G12017" s="177" t="s">
        <v>14648</v>
      </c>
      <c r="H12017" s="127" t="s">
        <v>213</v>
      </c>
    </row>
    <row r="12018" hidden="1">
      <c r="A12018" s="177" t="s">
        <v>223</v>
      </c>
      <c r="B12018" s="127" t="s">
        <v>144</v>
      </c>
      <c r="C12018" s="127" t="s">
        <v>206</v>
      </c>
      <c r="D12018" s="177" t="s">
        <v>57</v>
      </c>
      <c r="E12018" s="177" t="s">
        <v>14649</v>
      </c>
      <c r="F12018" s="177" t="s">
        <v>314</v>
      </c>
      <c r="G12018" s="177" t="s">
        <v>14650</v>
      </c>
      <c r="H12018" s="127" t="s">
        <v>214</v>
      </c>
    </row>
    <row r="12019" hidden="1">
      <c r="A12019" s="177" t="s">
        <v>223</v>
      </c>
      <c r="B12019" s="127" t="s">
        <v>144</v>
      </c>
      <c r="C12019" s="127" t="s">
        <v>206</v>
      </c>
      <c r="D12019" s="177" t="s">
        <v>57</v>
      </c>
      <c r="E12019" s="177" t="s">
        <v>14651</v>
      </c>
      <c r="F12019" s="177" t="s">
        <v>331</v>
      </c>
      <c r="G12019" s="177" t="s">
        <v>14652</v>
      </c>
      <c r="H12019" s="127" t="s">
        <v>215</v>
      </c>
    </row>
    <row r="12020" hidden="1">
      <c r="A12020" s="177" t="s">
        <v>223</v>
      </c>
      <c r="B12020" s="127" t="s">
        <v>144</v>
      </c>
      <c r="C12020" s="127" t="s">
        <v>206</v>
      </c>
      <c r="D12020" s="177" t="s">
        <v>57</v>
      </c>
      <c r="E12020" s="177" t="s">
        <v>14653</v>
      </c>
      <c r="F12020" s="177" t="s">
        <v>290</v>
      </c>
      <c r="G12020" s="177" t="s">
        <v>14526</v>
      </c>
      <c r="H12020" s="127" t="s">
        <v>216</v>
      </c>
    </row>
    <row r="12021" hidden="1">
      <c r="A12021" s="177" t="s">
        <v>224</v>
      </c>
      <c r="B12021" s="127" t="s">
        <v>170</v>
      </c>
      <c r="C12021" s="127" t="s">
        <v>206</v>
      </c>
      <c r="D12021" s="177" t="s">
        <v>57</v>
      </c>
      <c r="E12021" s="177" t="s">
        <v>14654</v>
      </c>
      <c r="F12021" s="177" t="s">
        <v>725</v>
      </c>
      <c r="G12021" s="177" t="s">
        <v>12604</v>
      </c>
      <c r="H12021" s="127" t="s">
        <v>210</v>
      </c>
    </row>
    <row r="12022" hidden="1">
      <c r="A12022" s="177" t="s">
        <v>224</v>
      </c>
      <c r="B12022" s="127" t="s">
        <v>170</v>
      </c>
      <c r="C12022" s="127" t="s">
        <v>206</v>
      </c>
      <c r="D12022" s="177" t="s">
        <v>57</v>
      </c>
      <c r="E12022" s="177" t="s">
        <v>14655</v>
      </c>
      <c r="F12022" s="177" t="s">
        <v>321</v>
      </c>
      <c r="G12022" s="177" t="s">
        <v>12367</v>
      </c>
      <c r="H12022" s="127" t="s">
        <v>211</v>
      </c>
    </row>
    <row r="12023" hidden="1">
      <c r="A12023" s="177" t="s">
        <v>224</v>
      </c>
      <c r="B12023" s="127" t="s">
        <v>170</v>
      </c>
      <c r="C12023" s="127" t="s">
        <v>206</v>
      </c>
      <c r="D12023" s="177" t="s">
        <v>57</v>
      </c>
      <c r="E12023" s="177" t="s">
        <v>14656</v>
      </c>
      <c r="F12023" s="177" t="s">
        <v>314</v>
      </c>
      <c r="G12023" s="177" t="s">
        <v>12422</v>
      </c>
      <c r="H12023" s="127" t="s">
        <v>212</v>
      </c>
    </row>
    <row r="12024" hidden="1">
      <c r="A12024" s="177" t="s">
        <v>224</v>
      </c>
      <c r="B12024" s="127" t="s">
        <v>170</v>
      </c>
      <c r="C12024" s="127" t="s">
        <v>206</v>
      </c>
      <c r="D12024" s="177" t="s">
        <v>57</v>
      </c>
      <c r="E12024" s="177" t="s">
        <v>14657</v>
      </c>
      <c r="F12024" s="177" t="s">
        <v>308</v>
      </c>
      <c r="G12024" s="177" t="s">
        <v>12416</v>
      </c>
      <c r="H12024" s="127" t="s">
        <v>213</v>
      </c>
    </row>
    <row r="12025" hidden="1">
      <c r="A12025" s="177" t="s">
        <v>224</v>
      </c>
      <c r="B12025" s="127" t="s">
        <v>170</v>
      </c>
      <c r="C12025" s="127" t="s">
        <v>206</v>
      </c>
      <c r="D12025" s="177" t="s">
        <v>57</v>
      </c>
      <c r="E12025" s="177" t="s">
        <v>14658</v>
      </c>
      <c r="F12025" s="177" t="s">
        <v>331</v>
      </c>
      <c r="G12025" s="177" t="s">
        <v>12425</v>
      </c>
      <c r="H12025" s="127" t="s">
        <v>214</v>
      </c>
    </row>
    <row r="12026" hidden="1">
      <c r="A12026" s="177" t="s">
        <v>224</v>
      </c>
      <c r="B12026" s="127" t="s">
        <v>170</v>
      </c>
      <c r="C12026" s="127" t="s">
        <v>206</v>
      </c>
      <c r="D12026" s="177" t="s">
        <v>57</v>
      </c>
      <c r="E12026" s="177" t="s">
        <v>14659</v>
      </c>
      <c r="F12026" s="177" t="s">
        <v>305</v>
      </c>
      <c r="G12026" s="177" t="s">
        <v>13084</v>
      </c>
      <c r="H12026" s="127" t="s">
        <v>215</v>
      </c>
    </row>
    <row r="12027" hidden="1">
      <c r="A12027" s="177" t="s">
        <v>224</v>
      </c>
      <c r="B12027" s="127" t="s">
        <v>170</v>
      </c>
      <c r="C12027" s="127" t="s">
        <v>206</v>
      </c>
      <c r="D12027" s="177" t="s">
        <v>57</v>
      </c>
      <c r="E12027" s="177" t="s">
        <v>14660</v>
      </c>
      <c r="F12027" s="177" t="s">
        <v>339</v>
      </c>
      <c r="G12027" s="177" t="s">
        <v>12416</v>
      </c>
      <c r="H12027" s="127" t="s">
        <v>216</v>
      </c>
    </row>
    <row r="12028" hidden="1">
      <c r="A12028" s="177" t="s">
        <v>225</v>
      </c>
      <c r="B12028" s="127" t="s">
        <v>226</v>
      </c>
      <c r="C12028" s="127" t="s">
        <v>206</v>
      </c>
      <c r="D12028" s="177" t="s">
        <v>57</v>
      </c>
      <c r="E12028" s="177" t="s">
        <v>14661</v>
      </c>
      <c r="F12028" s="177" t="s">
        <v>287</v>
      </c>
      <c r="G12028" s="177" t="s">
        <v>12688</v>
      </c>
      <c r="H12028" s="127" t="s">
        <v>210</v>
      </c>
    </row>
    <row r="12029" hidden="1">
      <c r="A12029" s="177" t="s">
        <v>225</v>
      </c>
      <c r="B12029" s="127" t="s">
        <v>226</v>
      </c>
      <c r="C12029" s="127" t="s">
        <v>206</v>
      </c>
      <c r="D12029" s="177" t="s">
        <v>57</v>
      </c>
      <c r="E12029" s="177" t="s">
        <v>14662</v>
      </c>
      <c r="F12029" s="177" t="s">
        <v>287</v>
      </c>
      <c r="G12029" s="177" t="s">
        <v>13547</v>
      </c>
      <c r="H12029" s="127" t="s">
        <v>211</v>
      </c>
    </row>
    <row r="12030" hidden="1">
      <c r="A12030" s="177" t="s">
        <v>225</v>
      </c>
      <c r="B12030" s="127" t="s">
        <v>226</v>
      </c>
      <c r="C12030" s="127" t="s">
        <v>206</v>
      </c>
      <c r="D12030" s="177" t="s">
        <v>57</v>
      </c>
      <c r="E12030" s="177" t="s">
        <v>14663</v>
      </c>
      <c r="F12030" s="177" t="s">
        <v>244</v>
      </c>
      <c r="G12030" s="177" t="s">
        <v>14664</v>
      </c>
      <c r="H12030" s="127" t="s">
        <v>212</v>
      </c>
    </row>
    <row r="12031" hidden="1">
      <c r="A12031" s="177" t="s">
        <v>225</v>
      </c>
      <c r="B12031" s="127" t="s">
        <v>226</v>
      </c>
      <c r="C12031" s="127" t="s">
        <v>206</v>
      </c>
      <c r="D12031" s="177" t="s">
        <v>57</v>
      </c>
      <c r="E12031" s="177" t="s">
        <v>14665</v>
      </c>
      <c r="F12031" s="177" t="s">
        <v>321</v>
      </c>
      <c r="G12031" s="177" t="s">
        <v>14666</v>
      </c>
      <c r="H12031" s="127" t="s">
        <v>213</v>
      </c>
    </row>
    <row r="12032" hidden="1">
      <c r="A12032" s="177" t="s">
        <v>225</v>
      </c>
      <c r="B12032" s="127" t="s">
        <v>226</v>
      </c>
      <c r="C12032" s="127" t="s">
        <v>206</v>
      </c>
      <c r="D12032" s="177" t="s">
        <v>57</v>
      </c>
      <c r="E12032" s="177" t="s">
        <v>14667</v>
      </c>
      <c r="F12032" s="177" t="s">
        <v>257</v>
      </c>
      <c r="G12032" s="177" t="s">
        <v>14668</v>
      </c>
      <c r="H12032" s="127" t="s">
        <v>214</v>
      </c>
    </row>
    <row r="12033" hidden="1">
      <c r="A12033" s="177" t="s">
        <v>225</v>
      </c>
      <c r="B12033" s="127" t="s">
        <v>226</v>
      </c>
      <c r="C12033" s="127" t="s">
        <v>206</v>
      </c>
      <c r="D12033" s="177" t="s">
        <v>57</v>
      </c>
      <c r="E12033" s="177" t="s">
        <v>14669</v>
      </c>
      <c r="F12033" s="177" t="s">
        <v>314</v>
      </c>
      <c r="G12033" s="177" t="s">
        <v>14480</v>
      </c>
      <c r="H12033" s="127" t="s">
        <v>215</v>
      </c>
    </row>
    <row r="12034" hidden="1">
      <c r="A12034" s="177" t="s">
        <v>225</v>
      </c>
      <c r="B12034" s="127" t="s">
        <v>226</v>
      </c>
      <c r="C12034" s="127" t="s">
        <v>206</v>
      </c>
      <c r="D12034" s="177" t="s">
        <v>57</v>
      </c>
      <c r="E12034" s="177" t="s">
        <v>14670</v>
      </c>
      <c r="F12034" s="177" t="s">
        <v>257</v>
      </c>
      <c r="G12034" s="177" t="s">
        <v>14036</v>
      </c>
      <c r="H12034" s="127" t="s">
        <v>216</v>
      </c>
    </row>
    <row r="12035" hidden="1">
      <c r="A12035" s="177" t="s">
        <v>227</v>
      </c>
      <c r="B12035" s="127" t="s">
        <v>195</v>
      </c>
      <c r="C12035" s="127" t="s">
        <v>206</v>
      </c>
      <c r="D12035" s="177" t="s">
        <v>57</v>
      </c>
      <c r="E12035" s="177" t="s">
        <v>14671</v>
      </c>
      <c r="F12035" s="177" t="s">
        <v>321</v>
      </c>
      <c r="G12035" s="177" t="s">
        <v>11653</v>
      </c>
      <c r="H12035" s="127" t="s">
        <v>210</v>
      </c>
    </row>
    <row r="12036" hidden="1">
      <c r="A12036" s="177" t="s">
        <v>227</v>
      </c>
      <c r="B12036" s="127" t="s">
        <v>195</v>
      </c>
      <c r="C12036" s="127" t="s">
        <v>206</v>
      </c>
      <c r="D12036" s="177" t="s">
        <v>57</v>
      </c>
      <c r="E12036" s="177" t="s">
        <v>14672</v>
      </c>
      <c r="F12036" s="177" t="s">
        <v>310</v>
      </c>
      <c r="G12036" s="177" t="s">
        <v>12103</v>
      </c>
      <c r="H12036" s="127" t="s">
        <v>211</v>
      </c>
    </row>
    <row r="12037" hidden="1">
      <c r="A12037" s="177" t="s">
        <v>227</v>
      </c>
      <c r="B12037" s="127" t="s">
        <v>195</v>
      </c>
      <c r="C12037" s="127" t="s">
        <v>206</v>
      </c>
      <c r="D12037" s="177" t="s">
        <v>57</v>
      </c>
      <c r="E12037" s="177" t="s">
        <v>14673</v>
      </c>
      <c r="F12037" s="177" t="s">
        <v>308</v>
      </c>
      <c r="G12037" s="177" t="s">
        <v>14674</v>
      </c>
      <c r="H12037" s="127" t="s">
        <v>212</v>
      </c>
    </row>
    <row r="12038" hidden="1">
      <c r="A12038" s="177" t="s">
        <v>227</v>
      </c>
      <c r="B12038" s="127" t="s">
        <v>195</v>
      </c>
      <c r="C12038" s="127" t="s">
        <v>206</v>
      </c>
      <c r="D12038" s="177" t="s">
        <v>57</v>
      </c>
      <c r="E12038" s="177" t="s">
        <v>14675</v>
      </c>
      <c r="F12038" s="177" t="s">
        <v>673</v>
      </c>
      <c r="G12038" s="177" t="s">
        <v>12207</v>
      </c>
      <c r="H12038" s="127" t="s">
        <v>213</v>
      </c>
    </row>
    <row r="12039" hidden="1">
      <c r="A12039" s="177" t="s">
        <v>227</v>
      </c>
      <c r="B12039" s="127" t="s">
        <v>195</v>
      </c>
      <c r="C12039" s="127" t="s">
        <v>206</v>
      </c>
      <c r="D12039" s="177" t="s">
        <v>57</v>
      </c>
      <c r="E12039" s="177" t="s">
        <v>14676</v>
      </c>
      <c r="F12039" s="177" t="s">
        <v>799</v>
      </c>
      <c r="G12039" s="177" t="s">
        <v>12196</v>
      </c>
      <c r="H12039" s="127" t="s">
        <v>214</v>
      </c>
    </row>
    <row r="12040" hidden="1">
      <c r="A12040" s="177" t="s">
        <v>227</v>
      </c>
      <c r="B12040" s="127" t="s">
        <v>195</v>
      </c>
      <c r="C12040" s="127" t="s">
        <v>206</v>
      </c>
      <c r="D12040" s="177" t="s">
        <v>57</v>
      </c>
      <c r="E12040" s="177" t="s">
        <v>14677</v>
      </c>
      <c r="F12040" s="177" t="s">
        <v>310</v>
      </c>
      <c r="G12040" s="177" t="s">
        <v>11349</v>
      </c>
      <c r="H12040" s="127" t="s">
        <v>215</v>
      </c>
    </row>
    <row r="12041" hidden="1">
      <c r="A12041" s="177" t="s">
        <v>227</v>
      </c>
      <c r="B12041" s="127" t="s">
        <v>195</v>
      </c>
      <c r="C12041" s="127" t="s">
        <v>206</v>
      </c>
      <c r="D12041" s="177" t="s">
        <v>57</v>
      </c>
      <c r="E12041" s="177" t="s">
        <v>14678</v>
      </c>
      <c r="F12041" s="177" t="s">
        <v>534</v>
      </c>
      <c r="G12041" s="177" t="s">
        <v>11811</v>
      </c>
      <c r="H12041" s="127" t="s">
        <v>216</v>
      </c>
    </row>
    <row r="12042" hidden="1">
      <c r="A12042" s="177" t="s">
        <v>228</v>
      </c>
      <c r="B12042" s="127" t="s">
        <v>138</v>
      </c>
      <c r="C12042" s="127" t="s">
        <v>206</v>
      </c>
      <c r="D12042" s="177" t="s">
        <v>57</v>
      </c>
      <c r="E12042" s="177" t="s">
        <v>14679</v>
      </c>
      <c r="F12042" s="177" t="s">
        <v>799</v>
      </c>
      <c r="G12042" s="177" t="s">
        <v>14680</v>
      </c>
      <c r="H12042" s="127" t="s">
        <v>210</v>
      </c>
    </row>
    <row r="12043" hidden="1">
      <c r="A12043" s="177" t="s">
        <v>228</v>
      </c>
      <c r="B12043" s="127" t="s">
        <v>138</v>
      </c>
      <c r="C12043" s="127" t="s">
        <v>206</v>
      </c>
      <c r="D12043" s="177" t="s">
        <v>57</v>
      </c>
      <c r="E12043" s="177" t="s">
        <v>14681</v>
      </c>
      <c r="F12043" s="177" t="s">
        <v>3240</v>
      </c>
      <c r="G12043" s="177" t="s">
        <v>14682</v>
      </c>
      <c r="H12043" s="127" t="s">
        <v>211</v>
      </c>
    </row>
    <row r="12044" hidden="1">
      <c r="A12044" s="177" t="s">
        <v>228</v>
      </c>
      <c r="B12044" s="127" t="s">
        <v>138</v>
      </c>
      <c r="C12044" s="127" t="s">
        <v>206</v>
      </c>
      <c r="D12044" s="177" t="s">
        <v>57</v>
      </c>
      <c r="E12044" s="177" t="s">
        <v>14683</v>
      </c>
      <c r="F12044" s="177" t="s">
        <v>301</v>
      </c>
      <c r="G12044" s="177" t="s">
        <v>13829</v>
      </c>
      <c r="H12044" s="127" t="s">
        <v>212</v>
      </c>
    </row>
    <row r="12045" hidden="1">
      <c r="A12045" s="177" t="s">
        <v>228</v>
      </c>
      <c r="B12045" s="127" t="s">
        <v>138</v>
      </c>
      <c r="C12045" s="127" t="s">
        <v>206</v>
      </c>
      <c r="D12045" s="177" t="s">
        <v>57</v>
      </c>
      <c r="E12045" s="177" t="s">
        <v>14684</v>
      </c>
      <c r="F12045" s="177" t="s">
        <v>718</v>
      </c>
      <c r="G12045" s="177" t="s">
        <v>13749</v>
      </c>
      <c r="H12045" s="127" t="s">
        <v>213</v>
      </c>
    </row>
    <row r="12046" hidden="1">
      <c r="A12046" s="177" t="s">
        <v>228</v>
      </c>
      <c r="B12046" s="127" t="s">
        <v>138</v>
      </c>
      <c r="C12046" s="127" t="s">
        <v>206</v>
      </c>
      <c r="D12046" s="177" t="s">
        <v>57</v>
      </c>
      <c r="E12046" s="177" t="s">
        <v>14685</v>
      </c>
      <c r="F12046" s="177" t="s">
        <v>2994</v>
      </c>
      <c r="G12046" s="177" t="s">
        <v>14686</v>
      </c>
      <c r="H12046" s="127" t="s">
        <v>214</v>
      </c>
    </row>
    <row r="12047" hidden="1">
      <c r="A12047" s="177" t="s">
        <v>228</v>
      </c>
      <c r="B12047" s="127" t="s">
        <v>138</v>
      </c>
      <c r="C12047" s="127" t="s">
        <v>206</v>
      </c>
      <c r="D12047" s="177" t="s">
        <v>57</v>
      </c>
      <c r="E12047" s="177" t="s">
        <v>14687</v>
      </c>
      <c r="F12047" s="177" t="s">
        <v>312</v>
      </c>
      <c r="G12047" s="177" t="s">
        <v>14688</v>
      </c>
      <c r="H12047" s="127" t="s">
        <v>215</v>
      </c>
    </row>
    <row r="12048" hidden="1">
      <c r="A12048" s="177" t="s">
        <v>228</v>
      </c>
      <c r="B12048" s="127" t="s">
        <v>138</v>
      </c>
      <c r="C12048" s="127" t="s">
        <v>206</v>
      </c>
      <c r="D12048" s="177" t="s">
        <v>57</v>
      </c>
      <c r="E12048" s="177" t="s">
        <v>14689</v>
      </c>
      <c r="F12048" s="177" t="s">
        <v>718</v>
      </c>
      <c r="G12048" s="177" t="s">
        <v>12297</v>
      </c>
      <c r="H12048" s="127" t="s">
        <v>216</v>
      </c>
    </row>
    <row r="12049" hidden="1">
      <c r="A12049" s="177" t="s">
        <v>229</v>
      </c>
      <c r="B12049" s="127" t="s">
        <v>193</v>
      </c>
      <c r="C12049" s="127" t="s">
        <v>206</v>
      </c>
      <c r="D12049" s="177" t="s">
        <v>57</v>
      </c>
      <c r="E12049" s="177" t="s">
        <v>14690</v>
      </c>
      <c r="F12049" s="177" t="s">
        <v>305</v>
      </c>
      <c r="G12049" s="177" t="s">
        <v>12001</v>
      </c>
      <c r="H12049" s="127" t="s">
        <v>210</v>
      </c>
    </row>
    <row r="12050" hidden="1">
      <c r="A12050" s="177" t="s">
        <v>229</v>
      </c>
      <c r="B12050" s="127" t="s">
        <v>193</v>
      </c>
      <c r="C12050" s="127" t="s">
        <v>206</v>
      </c>
      <c r="D12050" s="177" t="s">
        <v>57</v>
      </c>
      <c r="E12050" s="177" t="s">
        <v>14691</v>
      </c>
      <c r="F12050" s="177" t="s">
        <v>450</v>
      </c>
      <c r="G12050" s="177" t="s">
        <v>14692</v>
      </c>
      <c r="H12050" s="127" t="s">
        <v>211</v>
      </c>
    </row>
    <row r="12051" hidden="1">
      <c r="A12051" s="177" t="s">
        <v>229</v>
      </c>
      <c r="B12051" s="127" t="s">
        <v>193</v>
      </c>
      <c r="C12051" s="127" t="s">
        <v>206</v>
      </c>
      <c r="D12051" s="177" t="s">
        <v>57</v>
      </c>
      <c r="E12051" s="177" t="s">
        <v>14693</v>
      </c>
      <c r="F12051" s="177" t="s">
        <v>725</v>
      </c>
      <c r="G12051" s="177" t="s">
        <v>14694</v>
      </c>
      <c r="H12051" s="127" t="s">
        <v>212</v>
      </c>
    </row>
    <row r="12052" hidden="1">
      <c r="A12052" s="177" t="s">
        <v>229</v>
      </c>
      <c r="B12052" s="127" t="s">
        <v>193</v>
      </c>
      <c r="C12052" s="127" t="s">
        <v>206</v>
      </c>
      <c r="D12052" s="177" t="s">
        <v>57</v>
      </c>
      <c r="E12052" s="177" t="s">
        <v>14695</v>
      </c>
      <c r="F12052" s="177" t="s">
        <v>577</v>
      </c>
      <c r="G12052" s="177" t="s">
        <v>14696</v>
      </c>
      <c r="H12052" s="127" t="s">
        <v>213</v>
      </c>
    </row>
    <row r="12053" hidden="1">
      <c r="A12053" s="177" t="s">
        <v>229</v>
      </c>
      <c r="B12053" s="127" t="s">
        <v>193</v>
      </c>
      <c r="C12053" s="127" t="s">
        <v>206</v>
      </c>
      <c r="D12053" s="177" t="s">
        <v>57</v>
      </c>
      <c r="E12053" s="177" t="s">
        <v>14697</v>
      </c>
      <c r="F12053" s="177" t="s">
        <v>351</v>
      </c>
      <c r="G12053" s="177" t="s">
        <v>14321</v>
      </c>
      <c r="H12053" s="127" t="s">
        <v>214</v>
      </c>
    </row>
    <row r="12054" hidden="1">
      <c r="A12054" s="177" t="s">
        <v>229</v>
      </c>
      <c r="B12054" s="127" t="s">
        <v>193</v>
      </c>
      <c r="C12054" s="127" t="s">
        <v>206</v>
      </c>
      <c r="D12054" s="177" t="s">
        <v>57</v>
      </c>
      <c r="E12054" s="177" t="s">
        <v>14698</v>
      </c>
      <c r="F12054" s="177" t="s">
        <v>329</v>
      </c>
      <c r="G12054" s="177" t="s">
        <v>14563</v>
      </c>
      <c r="H12054" s="127" t="s">
        <v>215</v>
      </c>
    </row>
    <row r="12055" hidden="1">
      <c r="A12055" s="177" t="s">
        <v>229</v>
      </c>
      <c r="B12055" s="127" t="s">
        <v>193</v>
      </c>
      <c r="C12055" s="127" t="s">
        <v>206</v>
      </c>
      <c r="D12055" s="177" t="s">
        <v>57</v>
      </c>
      <c r="E12055" s="177" t="s">
        <v>14699</v>
      </c>
      <c r="F12055" s="177" t="s">
        <v>336</v>
      </c>
      <c r="G12055" s="177" t="s">
        <v>12133</v>
      </c>
      <c r="H12055" s="127" t="s">
        <v>216</v>
      </c>
    </row>
    <row r="12056" hidden="1">
      <c r="A12056" s="177" t="s">
        <v>230</v>
      </c>
      <c r="B12056" s="127" t="s">
        <v>194</v>
      </c>
      <c r="C12056" s="127" t="s">
        <v>206</v>
      </c>
      <c r="D12056" s="177" t="s">
        <v>57</v>
      </c>
      <c r="E12056" s="177" t="s">
        <v>14700</v>
      </c>
      <c r="F12056" s="177" t="s">
        <v>249</v>
      </c>
      <c r="G12056" s="177" t="s">
        <v>12410</v>
      </c>
      <c r="H12056" s="127" t="s">
        <v>210</v>
      </c>
    </row>
    <row r="12057" hidden="1">
      <c r="A12057" s="177" t="s">
        <v>230</v>
      </c>
      <c r="B12057" s="127" t="s">
        <v>194</v>
      </c>
      <c r="C12057" s="127" t="s">
        <v>206</v>
      </c>
      <c r="D12057" s="177" t="s">
        <v>57</v>
      </c>
      <c r="E12057" s="177" t="s">
        <v>14701</v>
      </c>
      <c r="F12057" s="177" t="s">
        <v>285</v>
      </c>
      <c r="G12057" s="177" t="s">
        <v>14575</v>
      </c>
      <c r="H12057" s="127" t="s">
        <v>211</v>
      </c>
    </row>
    <row r="12058" hidden="1">
      <c r="A12058" s="177" t="s">
        <v>230</v>
      </c>
      <c r="B12058" s="127" t="s">
        <v>194</v>
      </c>
      <c r="C12058" s="127" t="s">
        <v>206</v>
      </c>
      <c r="D12058" s="177" t="s">
        <v>57</v>
      </c>
      <c r="E12058" s="177" t="s">
        <v>14702</v>
      </c>
      <c r="F12058" s="177" t="s">
        <v>246</v>
      </c>
      <c r="G12058" s="177" t="s">
        <v>14130</v>
      </c>
      <c r="H12058" s="127" t="s">
        <v>212</v>
      </c>
    </row>
    <row r="12059" hidden="1">
      <c r="A12059" s="177" t="s">
        <v>230</v>
      </c>
      <c r="B12059" s="127" t="s">
        <v>194</v>
      </c>
      <c r="C12059" s="127" t="s">
        <v>206</v>
      </c>
      <c r="D12059" s="177" t="s">
        <v>57</v>
      </c>
      <c r="E12059" s="177" t="s">
        <v>14703</v>
      </c>
      <c r="F12059" s="177" t="s">
        <v>285</v>
      </c>
      <c r="G12059" s="177" t="s">
        <v>14704</v>
      </c>
      <c r="H12059" s="127" t="s">
        <v>213</v>
      </c>
    </row>
    <row r="12060" hidden="1">
      <c r="A12060" s="177" t="s">
        <v>230</v>
      </c>
      <c r="B12060" s="127" t="s">
        <v>194</v>
      </c>
      <c r="C12060" s="127" t="s">
        <v>206</v>
      </c>
      <c r="D12060" s="177" t="s">
        <v>57</v>
      </c>
      <c r="E12060" s="177" t="s">
        <v>14705</v>
      </c>
      <c r="F12060" s="177" t="s">
        <v>359</v>
      </c>
      <c r="G12060" s="177" t="s">
        <v>14706</v>
      </c>
      <c r="H12060" s="127" t="s">
        <v>214</v>
      </c>
    </row>
    <row r="12061" hidden="1">
      <c r="A12061" s="177" t="s">
        <v>230</v>
      </c>
      <c r="B12061" s="127" t="s">
        <v>194</v>
      </c>
      <c r="C12061" s="127" t="s">
        <v>206</v>
      </c>
      <c r="D12061" s="177" t="s">
        <v>57</v>
      </c>
      <c r="E12061" s="177" t="s">
        <v>14707</v>
      </c>
      <c r="F12061" s="177" t="s">
        <v>287</v>
      </c>
      <c r="G12061" s="177" t="s">
        <v>12284</v>
      </c>
      <c r="H12061" s="127" t="s">
        <v>215</v>
      </c>
    </row>
    <row r="12062" hidden="1">
      <c r="A12062" s="177" t="s">
        <v>230</v>
      </c>
      <c r="B12062" s="127" t="s">
        <v>194</v>
      </c>
      <c r="C12062" s="127" t="s">
        <v>206</v>
      </c>
      <c r="D12062" s="177" t="s">
        <v>57</v>
      </c>
      <c r="E12062" s="177" t="s">
        <v>14708</v>
      </c>
      <c r="F12062" s="177" t="s">
        <v>359</v>
      </c>
      <c r="G12062" s="177" t="s">
        <v>14709</v>
      </c>
      <c r="H12062" s="127" t="s">
        <v>216</v>
      </c>
    </row>
    <row r="12063" hidden="1">
      <c r="A12063" s="127" t="s">
        <v>231</v>
      </c>
      <c r="C12063" s="127" t="s">
        <v>232</v>
      </c>
      <c r="D12063" s="177" t="s">
        <v>57</v>
      </c>
      <c r="E12063" s="177" t="s">
        <v>14710</v>
      </c>
      <c r="F12063" s="177" t="s">
        <v>1114</v>
      </c>
      <c r="G12063" s="177" t="s">
        <v>11272</v>
      </c>
      <c r="H12063" s="127" t="s">
        <v>210</v>
      </c>
    </row>
    <row r="12064" hidden="1">
      <c r="A12064" s="127" t="s">
        <v>231</v>
      </c>
      <c r="C12064" s="127" t="s">
        <v>232</v>
      </c>
      <c r="D12064" s="177" t="s">
        <v>57</v>
      </c>
      <c r="E12064" s="177" t="s">
        <v>14711</v>
      </c>
      <c r="F12064" s="177" t="s">
        <v>282</v>
      </c>
      <c r="G12064" s="177" t="s">
        <v>14712</v>
      </c>
      <c r="H12064" s="127" t="s">
        <v>211</v>
      </c>
    </row>
    <row r="12065" hidden="1">
      <c r="A12065" s="127" t="s">
        <v>231</v>
      </c>
      <c r="C12065" s="127" t="s">
        <v>232</v>
      </c>
      <c r="D12065" s="177" t="s">
        <v>57</v>
      </c>
      <c r="E12065" s="177" t="s">
        <v>14713</v>
      </c>
      <c r="F12065" s="177" t="s">
        <v>5987</v>
      </c>
      <c r="G12065" s="177" t="s">
        <v>11022</v>
      </c>
      <c r="H12065" s="127" t="s">
        <v>212</v>
      </c>
    </row>
    <row r="12066" hidden="1">
      <c r="A12066" s="127" t="s">
        <v>231</v>
      </c>
      <c r="C12066" s="127" t="s">
        <v>232</v>
      </c>
      <c r="D12066" s="177" t="s">
        <v>57</v>
      </c>
      <c r="E12066" s="177" t="s">
        <v>14714</v>
      </c>
      <c r="F12066" s="177" t="s">
        <v>14715</v>
      </c>
      <c r="G12066" s="177" t="s">
        <v>11320</v>
      </c>
      <c r="H12066" s="127" t="s">
        <v>213</v>
      </c>
    </row>
    <row r="12067" hidden="1">
      <c r="A12067" s="127" t="s">
        <v>231</v>
      </c>
      <c r="C12067" s="127" t="s">
        <v>232</v>
      </c>
      <c r="D12067" s="177" t="s">
        <v>57</v>
      </c>
      <c r="E12067" s="177" t="s">
        <v>14716</v>
      </c>
      <c r="F12067" s="177" t="s">
        <v>5987</v>
      </c>
      <c r="G12067" s="177" t="s">
        <v>10712</v>
      </c>
      <c r="H12067" s="127" t="s">
        <v>214</v>
      </c>
    </row>
    <row r="12068" hidden="1">
      <c r="A12068" s="127" t="s">
        <v>231</v>
      </c>
      <c r="C12068" s="127" t="s">
        <v>232</v>
      </c>
      <c r="D12068" s="177" t="s">
        <v>57</v>
      </c>
      <c r="E12068" s="177" t="s">
        <v>14717</v>
      </c>
      <c r="F12068" s="177" t="s">
        <v>321</v>
      </c>
      <c r="G12068" s="177" t="s">
        <v>14718</v>
      </c>
      <c r="H12068" s="127" t="s">
        <v>215</v>
      </c>
    </row>
    <row r="12069" hidden="1">
      <c r="A12069" s="127" t="s">
        <v>231</v>
      </c>
      <c r="C12069" s="127" t="s">
        <v>232</v>
      </c>
      <c r="D12069" s="177" t="s">
        <v>57</v>
      </c>
      <c r="E12069" s="177" t="s">
        <v>14719</v>
      </c>
      <c r="F12069" s="177" t="s">
        <v>1114</v>
      </c>
      <c r="G12069" s="177" t="s">
        <v>9843</v>
      </c>
      <c r="H12069" s="127" t="s">
        <v>216</v>
      </c>
    </row>
    <row r="12070" hidden="1">
      <c r="A12070" s="127" t="s">
        <v>233</v>
      </c>
      <c r="C12070" s="127" t="s">
        <v>232</v>
      </c>
      <c r="D12070" s="177" t="s">
        <v>57</v>
      </c>
      <c r="E12070" s="177" t="s">
        <v>14720</v>
      </c>
      <c r="F12070" s="177" t="s">
        <v>331</v>
      </c>
      <c r="G12070" s="177" t="s">
        <v>12371</v>
      </c>
      <c r="H12070" s="127" t="s">
        <v>210</v>
      </c>
    </row>
    <row r="12071" hidden="1">
      <c r="A12071" s="127" t="s">
        <v>233</v>
      </c>
      <c r="C12071" s="127" t="s">
        <v>232</v>
      </c>
      <c r="D12071" s="177" t="s">
        <v>57</v>
      </c>
      <c r="E12071" s="177" t="s">
        <v>14721</v>
      </c>
      <c r="F12071" s="177" t="s">
        <v>249</v>
      </c>
      <c r="G12071" s="177" t="s">
        <v>14722</v>
      </c>
      <c r="H12071" s="127" t="s">
        <v>211</v>
      </c>
    </row>
    <row r="12072" hidden="1">
      <c r="A12072" s="127" t="s">
        <v>233</v>
      </c>
      <c r="C12072" s="127" t="s">
        <v>232</v>
      </c>
      <c r="D12072" s="177" t="s">
        <v>57</v>
      </c>
      <c r="E12072" s="177" t="s">
        <v>14723</v>
      </c>
      <c r="F12072" s="177" t="s">
        <v>359</v>
      </c>
      <c r="G12072" s="177" t="s">
        <v>11353</v>
      </c>
      <c r="H12072" s="127" t="s">
        <v>212</v>
      </c>
    </row>
    <row r="12073" hidden="1">
      <c r="A12073" s="127" t="s">
        <v>233</v>
      </c>
      <c r="C12073" s="127" t="s">
        <v>232</v>
      </c>
      <c r="D12073" s="177" t="s">
        <v>57</v>
      </c>
      <c r="E12073" s="177" t="s">
        <v>14724</v>
      </c>
      <c r="F12073" s="177" t="s">
        <v>331</v>
      </c>
      <c r="G12073" s="177" t="s">
        <v>11855</v>
      </c>
      <c r="H12073" s="127" t="s">
        <v>213</v>
      </c>
    </row>
    <row r="12074" hidden="1">
      <c r="A12074" s="127" t="s">
        <v>233</v>
      </c>
      <c r="C12074" s="127" t="s">
        <v>232</v>
      </c>
      <c r="D12074" s="177" t="s">
        <v>57</v>
      </c>
      <c r="E12074" s="177" t="s">
        <v>14725</v>
      </c>
      <c r="F12074" s="177" t="s">
        <v>359</v>
      </c>
      <c r="G12074" s="177" t="s">
        <v>14726</v>
      </c>
      <c r="H12074" s="127" t="s">
        <v>214</v>
      </c>
    </row>
    <row r="12075" hidden="1">
      <c r="A12075" s="127" t="s">
        <v>233</v>
      </c>
      <c r="C12075" s="127" t="s">
        <v>232</v>
      </c>
      <c r="D12075" s="177" t="s">
        <v>57</v>
      </c>
      <c r="E12075" s="177" t="s">
        <v>14727</v>
      </c>
      <c r="F12075" s="177" t="s">
        <v>310</v>
      </c>
      <c r="G12075" s="177" t="s">
        <v>14728</v>
      </c>
      <c r="H12075" s="127" t="s">
        <v>215</v>
      </c>
    </row>
    <row r="12076" hidden="1">
      <c r="A12076" s="127" t="s">
        <v>233</v>
      </c>
      <c r="C12076" s="127" t="s">
        <v>232</v>
      </c>
      <c r="D12076" s="177" t="s">
        <v>57</v>
      </c>
      <c r="E12076" s="177" t="s">
        <v>14729</v>
      </c>
      <c r="F12076" s="177" t="s">
        <v>308</v>
      </c>
      <c r="G12076" s="177" t="s">
        <v>12540</v>
      </c>
      <c r="H12076" s="127" t="s">
        <v>216</v>
      </c>
    </row>
    <row r="12077" hidden="1">
      <c r="A12077" s="127" t="s">
        <v>234</v>
      </c>
      <c r="C12077" s="127" t="s">
        <v>232</v>
      </c>
      <c r="D12077" s="177" t="s">
        <v>57</v>
      </c>
      <c r="E12077" s="177" t="s">
        <v>14730</v>
      </c>
      <c r="F12077" s="177" t="s">
        <v>325</v>
      </c>
      <c r="G12077" s="177" t="s">
        <v>13096</v>
      </c>
      <c r="H12077" s="127" t="s">
        <v>210</v>
      </c>
    </row>
    <row r="12078" hidden="1">
      <c r="A12078" s="127" t="s">
        <v>234</v>
      </c>
      <c r="C12078" s="127" t="s">
        <v>232</v>
      </c>
      <c r="D12078" s="177" t="s">
        <v>57</v>
      </c>
      <c r="E12078" s="177" t="s">
        <v>14731</v>
      </c>
      <c r="F12078" s="177" t="s">
        <v>427</v>
      </c>
      <c r="G12078" s="177" t="s">
        <v>14019</v>
      </c>
      <c r="H12078" s="127" t="s">
        <v>211</v>
      </c>
    </row>
    <row r="12079" hidden="1">
      <c r="A12079" s="127" t="s">
        <v>234</v>
      </c>
      <c r="C12079" s="127" t="s">
        <v>232</v>
      </c>
      <c r="D12079" s="177" t="s">
        <v>57</v>
      </c>
      <c r="E12079" s="177" t="s">
        <v>14732</v>
      </c>
      <c r="F12079" s="177" t="s">
        <v>365</v>
      </c>
      <c r="G12079" s="177" t="s">
        <v>14733</v>
      </c>
      <c r="H12079" s="127" t="s">
        <v>212</v>
      </c>
    </row>
    <row r="12080" hidden="1">
      <c r="A12080" s="127" t="s">
        <v>234</v>
      </c>
      <c r="C12080" s="127" t="s">
        <v>232</v>
      </c>
      <c r="D12080" s="177" t="s">
        <v>57</v>
      </c>
      <c r="E12080" s="177" t="s">
        <v>14734</v>
      </c>
      <c r="F12080" s="177" t="s">
        <v>308</v>
      </c>
      <c r="G12080" s="177" t="s">
        <v>12730</v>
      </c>
      <c r="H12080" s="127" t="s">
        <v>213</v>
      </c>
    </row>
    <row r="12081" hidden="1">
      <c r="A12081" s="127" t="s">
        <v>234</v>
      </c>
      <c r="C12081" s="127" t="s">
        <v>232</v>
      </c>
      <c r="D12081" s="177" t="s">
        <v>57</v>
      </c>
      <c r="E12081" s="177" t="s">
        <v>14735</v>
      </c>
      <c r="F12081" s="177" t="s">
        <v>336</v>
      </c>
      <c r="G12081" s="177" t="s">
        <v>12497</v>
      </c>
      <c r="H12081" s="127" t="s">
        <v>214</v>
      </c>
    </row>
    <row r="12082" hidden="1">
      <c r="A12082" s="127" t="s">
        <v>234</v>
      </c>
      <c r="C12082" s="127" t="s">
        <v>232</v>
      </c>
      <c r="D12082" s="177" t="s">
        <v>57</v>
      </c>
      <c r="E12082" s="177" t="s">
        <v>14736</v>
      </c>
      <c r="F12082" s="177" t="s">
        <v>354</v>
      </c>
      <c r="G12082" s="177" t="s">
        <v>13658</v>
      </c>
      <c r="H12082" s="127" t="s">
        <v>215</v>
      </c>
    </row>
    <row r="12083" hidden="1">
      <c r="A12083" s="127" t="s">
        <v>234</v>
      </c>
      <c r="C12083" s="127" t="s">
        <v>232</v>
      </c>
      <c r="D12083" s="177" t="s">
        <v>57</v>
      </c>
      <c r="E12083" s="177" t="s">
        <v>14737</v>
      </c>
      <c r="F12083" s="177" t="s">
        <v>427</v>
      </c>
      <c r="G12083" s="177" t="s">
        <v>14738</v>
      </c>
      <c r="H12083" s="127" t="s">
        <v>216</v>
      </c>
    </row>
    <row r="12084" hidden="1">
      <c r="A12084" s="127" t="s">
        <v>235</v>
      </c>
      <c r="C12084" s="127" t="s">
        <v>236</v>
      </c>
      <c r="D12084" s="177" t="s">
        <v>57</v>
      </c>
      <c r="E12084" s="177" t="s">
        <v>14739</v>
      </c>
      <c r="F12084" s="177" t="s">
        <v>244</v>
      </c>
      <c r="G12084" s="177" t="s">
        <v>12024</v>
      </c>
      <c r="H12084" s="127" t="s">
        <v>210</v>
      </c>
    </row>
    <row r="12085" hidden="1">
      <c r="A12085" s="127" t="s">
        <v>235</v>
      </c>
      <c r="C12085" s="127" t="s">
        <v>236</v>
      </c>
      <c r="D12085" s="177" t="s">
        <v>57</v>
      </c>
      <c r="E12085" s="177" t="s">
        <v>14740</v>
      </c>
      <c r="F12085" s="177" t="s">
        <v>246</v>
      </c>
      <c r="G12085" s="177" t="s">
        <v>14741</v>
      </c>
      <c r="H12085" s="127" t="s">
        <v>211</v>
      </c>
    </row>
    <row r="12086" hidden="1">
      <c r="A12086" s="127" t="s">
        <v>235</v>
      </c>
      <c r="C12086" s="127" t="s">
        <v>236</v>
      </c>
      <c r="D12086" s="177" t="s">
        <v>57</v>
      </c>
      <c r="E12086" s="177" t="s">
        <v>14742</v>
      </c>
      <c r="F12086" s="177" t="s">
        <v>287</v>
      </c>
      <c r="G12086" s="177" t="s">
        <v>14743</v>
      </c>
      <c r="H12086" s="127" t="s">
        <v>212</v>
      </c>
    </row>
    <row r="12087" hidden="1">
      <c r="A12087" s="127" t="s">
        <v>235</v>
      </c>
      <c r="C12087" s="127" t="s">
        <v>236</v>
      </c>
      <c r="D12087" s="177" t="s">
        <v>57</v>
      </c>
      <c r="E12087" s="177" t="s">
        <v>14744</v>
      </c>
      <c r="F12087" s="177" t="s">
        <v>269</v>
      </c>
      <c r="G12087" s="177" t="s">
        <v>11953</v>
      </c>
      <c r="H12087" s="127" t="s">
        <v>213</v>
      </c>
    </row>
    <row r="12088" hidden="1">
      <c r="A12088" s="127" t="s">
        <v>235</v>
      </c>
      <c r="C12088" s="127" t="s">
        <v>236</v>
      </c>
      <c r="D12088" s="177" t="s">
        <v>57</v>
      </c>
      <c r="E12088" s="177" t="s">
        <v>14745</v>
      </c>
      <c r="F12088" s="177" t="s">
        <v>269</v>
      </c>
      <c r="G12088" s="177" t="s">
        <v>14746</v>
      </c>
      <c r="H12088" s="127" t="s">
        <v>214</v>
      </c>
    </row>
    <row r="12089" hidden="1">
      <c r="A12089" s="127" t="s">
        <v>235</v>
      </c>
      <c r="C12089" s="127" t="s">
        <v>236</v>
      </c>
      <c r="D12089" s="177" t="s">
        <v>57</v>
      </c>
      <c r="E12089" s="177" t="s">
        <v>14747</v>
      </c>
      <c r="F12089" s="177" t="s">
        <v>314</v>
      </c>
      <c r="G12089" s="177" t="s">
        <v>14748</v>
      </c>
      <c r="H12089" s="127" t="s">
        <v>215</v>
      </c>
    </row>
    <row r="12090" hidden="1">
      <c r="A12090" s="127" t="s">
        <v>235</v>
      </c>
      <c r="C12090" s="127" t="s">
        <v>236</v>
      </c>
      <c r="D12090" s="177" t="s">
        <v>57</v>
      </c>
      <c r="E12090" s="177" t="s">
        <v>14749</v>
      </c>
      <c r="F12090" s="177" t="s">
        <v>246</v>
      </c>
      <c r="G12090" s="177" t="s">
        <v>11649</v>
      </c>
      <c r="H12090" s="127" t="s">
        <v>216</v>
      </c>
    </row>
    <row r="12091" hidden="1">
      <c r="A12091" s="127" t="s">
        <v>237</v>
      </c>
      <c r="C12091" s="127" t="s">
        <v>236</v>
      </c>
      <c r="D12091" s="177" t="s">
        <v>57</v>
      </c>
      <c r="E12091" s="177" t="s">
        <v>14750</v>
      </c>
      <c r="F12091" s="177" t="s">
        <v>354</v>
      </c>
      <c r="G12091" s="177" t="s">
        <v>14751</v>
      </c>
      <c r="H12091" s="127" t="s">
        <v>210</v>
      </c>
    </row>
    <row r="12092" hidden="1">
      <c r="A12092" s="127" t="s">
        <v>237</v>
      </c>
      <c r="C12092" s="127" t="s">
        <v>236</v>
      </c>
      <c r="D12092" s="177" t="s">
        <v>57</v>
      </c>
      <c r="E12092" s="177" t="s">
        <v>14752</v>
      </c>
      <c r="F12092" s="177" t="s">
        <v>725</v>
      </c>
      <c r="G12092" s="177" t="s">
        <v>13216</v>
      </c>
      <c r="H12092" s="127" t="s">
        <v>211</v>
      </c>
    </row>
    <row r="12093" hidden="1">
      <c r="A12093" s="127" t="s">
        <v>237</v>
      </c>
      <c r="C12093" s="127" t="s">
        <v>236</v>
      </c>
      <c r="D12093" s="177" t="s">
        <v>57</v>
      </c>
      <c r="E12093" s="177" t="s">
        <v>14753</v>
      </c>
      <c r="F12093" s="177" t="s">
        <v>534</v>
      </c>
      <c r="G12093" s="177" t="s">
        <v>13728</v>
      </c>
      <c r="H12093" s="127" t="s">
        <v>212</v>
      </c>
    </row>
    <row r="12094" hidden="1">
      <c r="A12094" s="127" t="s">
        <v>237</v>
      </c>
      <c r="C12094" s="127" t="s">
        <v>236</v>
      </c>
      <c r="D12094" s="177" t="s">
        <v>57</v>
      </c>
      <c r="E12094" s="177" t="s">
        <v>14754</v>
      </c>
      <c r="F12094" s="177" t="s">
        <v>354</v>
      </c>
      <c r="G12094" s="177" t="s">
        <v>14755</v>
      </c>
      <c r="H12094" s="127" t="s">
        <v>213</v>
      </c>
    </row>
    <row r="12095" hidden="1">
      <c r="A12095" s="127" t="s">
        <v>237</v>
      </c>
      <c r="C12095" s="127" t="s">
        <v>236</v>
      </c>
      <c r="D12095" s="177" t="s">
        <v>57</v>
      </c>
      <c r="E12095" s="177" t="s">
        <v>14756</v>
      </c>
      <c r="F12095" s="177" t="s">
        <v>677</v>
      </c>
      <c r="G12095" s="177" t="s">
        <v>14757</v>
      </c>
      <c r="H12095" s="127" t="s">
        <v>214</v>
      </c>
    </row>
    <row r="12096" hidden="1">
      <c r="A12096" s="127" t="s">
        <v>237</v>
      </c>
      <c r="C12096" s="127" t="s">
        <v>236</v>
      </c>
      <c r="D12096" s="177" t="s">
        <v>57</v>
      </c>
      <c r="E12096" s="177" t="s">
        <v>14758</v>
      </c>
      <c r="F12096" s="177" t="s">
        <v>1530</v>
      </c>
      <c r="G12096" s="177" t="s">
        <v>14402</v>
      </c>
      <c r="H12096" s="127" t="s">
        <v>215</v>
      </c>
    </row>
    <row r="12097" hidden="1">
      <c r="A12097" s="127" t="s">
        <v>237</v>
      </c>
      <c r="C12097" s="127" t="s">
        <v>236</v>
      </c>
      <c r="D12097" s="177" t="s">
        <v>57</v>
      </c>
      <c r="E12097" s="177" t="s">
        <v>14759</v>
      </c>
      <c r="F12097" s="177" t="s">
        <v>494</v>
      </c>
      <c r="G12097" s="177" t="s">
        <v>14760</v>
      </c>
      <c r="H12097" s="127" t="s">
        <v>216</v>
      </c>
    </row>
    <row r="12098" hidden="1">
      <c r="A12098" s="177" t="s">
        <v>204</v>
      </c>
      <c r="B12098" s="127" t="s">
        <v>205</v>
      </c>
      <c r="C12098" s="127" t="s">
        <v>206</v>
      </c>
      <c r="D12098" s="177" t="s">
        <v>58</v>
      </c>
      <c r="E12098" s="177" t="s">
        <v>14761</v>
      </c>
      <c r="F12098" s="177" t="s">
        <v>290</v>
      </c>
      <c r="G12098" s="177" t="s">
        <v>11505</v>
      </c>
      <c r="H12098" s="127" t="s">
        <v>210</v>
      </c>
    </row>
    <row r="12099" hidden="1">
      <c r="A12099" s="177" t="s">
        <v>204</v>
      </c>
      <c r="B12099" s="127" t="s">
        <v>205</v>
      </c>
      <c r="C12099" s="127" t="s">
        <v>206</v>
      </c>
      <c r="D12099" s="177" t="s">
        <v>58</v>
      </c>
      <c r="E12099" s="177" t="s">
        <v>14762</v>
      </c>
      <c r="F12099" s="177" t="s">
        <v>321</v>
      </c>
      <c r="G12099" s="177" t="s">
        <v>11445</v>
      </c>
      <c r="H12099" s="127" t="s">
        <v>211</v>
      </c>
    </row>
    <row r="12100" hidden="1">
      <c r="A12100" s="177" t="s">
        <v>204</v>
      </c>
      <c r="B12100" s="127" t="s">
        <v>205</v>
      </c>
      <c r="C12100" s="127" t="s">
        <v>206</v>
      </c>
      <c r="D12100" s="177" t="s">
        <v>58</v>
      </c>
      <c r="E12100" s="177" t="s">
        <v>14763</v>
      </c>
      <c r="F12100" s="177" t="s">
        <v>290</v>
      </c>
      <c r="G12100" s="177" t="s">
        <v>10991</v>
      </c>
      <c r="H12100" s="127" t="s">
        <v>212</v>
      </c>
    </row>
    <row r="12101" hidden="1">
      <c r="A12101" s="177" t="s">
        <v>204</v>
      </c>
      <c r="B12101" s="127" t="s">
        <v>205</v>
      </c>
      <c r="C12101" s="127" t="s">
        <v>206</v>
      </c>
      <c r="D12101" s="177" t="s">
        <v>58</v>
      </c>
      <c r="E12101" s="177" t="s">
        <v>14764</v>
      </c>
      <c r="F12101" s="177" t="s">
        <v>308</v>
      </c>
      <c r="G12101" s="177" t="s">
        <v>11093</v>
      </c>
      <c r="H12101" s="127" t="s">
        <v>213</v>
      </c>
    </row>
    <row r="12102" hidden="1">
      <c r="A12102" s="177" t="s">
        <v>204</v>
      </c>
      <c r="B12102" s="127" t="s">
        <v>205</v>
      </c>
      <c r="C12102" s="127" t="s">
        <v>206</v>
      </c>
      <c r="D12102" s="177" t="s">
        <v>58</v>
      </c>
      <c r="E12102" s="177" t="s">
        <v>14765</v>
      </c>
      <c r="F12102" s="177" t="s">
        <v>359</v>
      </c>
      <c r="G12102" s="177" t="s">
        <v>9922</v>
      </c>
      <c r="H12102" s="127" t="s">
        <v>214</v>
      </c>
    </row>
    <row r="12103" hidden="1">
      <c r="A12103" s="177" t="s">
        <v>204</v>
      </c>
      <c r="B12103" s="127" t="s">
        <v>205</v>
      </c>
      <c r="C12103" s="127" t="s">
        <v>206</v>
      </c>
      <c r="D12103" s="177" t="s">
        <v>58</v>
      </c>
      <c r="E12103" s="177" t="s">
        <v>14766</v>
      </c>
      <c r="F12103" s="177" t="s">
        <v>249</v>
      </c>
      <c r="G12103" s="177" t="s">
        <v>9841</v>
      </c>
      <c r="H12103" s="127" t="s">
        <v>215</v>
      </c>
    </row>
    <row r="12104" hidden="1">
      <c r="A12104" s="177" t="s">
        <v>204</v>
      </c>
      <c r="B12104" s="127" t="s">
        <v>205</v>
      </c>
      <c r="C12104" s="127" t="s">
        <v>206</v>
      </c>
      <c r="D12104" s="177" t="s">
        <v>58</v>
      </c>
      <c r="E12104" s="177" t="s">
        <v>14767</v>
      </c>
      <c r="F12104" s="177" t="s">
        <v>308</v>
      </c>
      <c r="G12104" s="177" t="s">
        <v>10447</v>
      </c>
      <c r="H12104" s="127" t="s">
        <v>216</v>
      </c>
    </row>
    <row r="12105" hidden="1">
      <c r="A12105" s="177" t="s">
        <v>217</v>
      </c>
      <c r="B12105" s="127" t="s">
        <v>191</v>
      </c>
      <c r="C12105" s="127" t="s">
        <v>206</v>
      </c>
      <c r="D12105" s="177" t="s">
        <v>58</v>
      </c>
      <c r="E12105" s="177" t="s">
        <v>14768</v>
      </c>
      <c r="F12105" s="177" t="s">
        <v>285</v>
      </c>
      <c r="G12105" s="177" t="s">
        <v>10244</v>
      </c>
      <c r="H12105" s="127" t="s">
        <v>210</v>
      </c>
    </row>
    <row r="12106" hidden="1">
      <c r="A12106" s="177" t="s">
        <v>217</v>
      </c>
      <c r="B12106" s="127" t="s">
        <v>191</v>
      </c>
      <c r="C12106" s="127" t="s">
        <v>206</v>
      </c>
      <c r="D12106" s="177" t="s">
        <v>58</v>
      </c>
      <c r="E12106" s="177" t="s">
        <v>14769</v>
      </c>
      <c r="F12106" s="177" t="s">
        <v>285</v>
      </c>
      <c r="G12106" s="177" t="s">
        <v>10640</v>
      </c>
      <c r="H12106" s="127" t="s">
        <v>211</v>
      </c>
    </row>
    <row r="12107" hidden="1">
      <c r="A12107" s="177" t="s">
        <v>217</v>
      </c>
      <c r="B12107" s="127" t="s">
        <v>191</v>
      </c>
      <c r="C12107" s="127" t="s">
        <v>206</v>
      </c>
      <c r="D12107" s="177" t="s">
        <v>58</v>
      </c>
      <c r="E12107" s="177" t="s">
        <v>14770</v>
      </c>
      <c r="F12107" s="177" t="s">
        <v>321</v>
      </c>
      <c r="G12107" s="177" t="s">
        <v>10493</v>
      </c>
      <c r="H12107" s="127" t="s">
        <v>212</v>
      </c>
    </row>
    <row r="12108" hidden="1">
      <c r="A12108" s="177" t="s">
        <v>217</v>
      </c>
      <c r="B12108" s="127" t="s">
        <v>191</v>
      </c>
      <c r="C12108" s="127" t="s">
        <v>206</v>
      </c>
      <c r="D12108" s="177" t="s">
        <v>58</v>
      </c>
      <c r="E12108" s="177" t="s">
        <v>14771</v>
      </c>
      <c r="F12108" s="177" t="s">
        <v>314</v>
      </c>
      <c r="G12108" s="177" t="s">
        <v>10026</v>
      </c>
      <c r="H12108" s="127" t="s">
        <v>213</v>
      </c>
    </row>
    <row r="12109" hidden="1">
      <c r="A12109" s="177" t="s">
        <v>217</v>
      </c>
      <c r="B12109" s="127" t="s">
        <v>191</v>
      </c>
      <c r="C12109" s="127" t="s">
        <v>206</v>
      </c>
      <c r="D12109" s="177" t="s">
        <v>58</v>
      </c>
      <c r="E12109" s="177" t="s">
        <v>14772</v>
      </c>
      <c r="F12109" s="177" t="s">
        <v>285</v>
      </c>
      <c r="G12109" s="177" t="s">
        <v>9868</v>
      </c>
      <c r="H12109" s="127" t="s">
        <v>214</v>
      </c>
    </row>
    <row r="12110" hidden="1">
      <c r="A12110" s="177" t="s">
        <v>217</v>
      </c>
      <c r="B12110" s="127" t="s">
        <v>191</v>
      </c>
      <c r="C12110" s="127" t="s">
        <v>206</v>
      </c>
      <c r="D12110" s="177" t="s">
        <v>58</v>
      </c>
      <c r="E12110" s="177" t="s">
        <v>14773</v>
      </c>
      <c r="F12110" s="177" t="s">
        <v>357</v>
      </c>
      <c r="G12110" s="177" t="s">
        <v>11032</v>
      </c>
      <c r="H12110" s="127" t="s">
        <v>215</v>
      </c>
    </row>
    <row r="12111" hidden="1">
      <c r="A12111" s="177" t="s">
        <v>217</v>
      </c>
      <c r="B12111" s="127" t="s">
        <v>191</v>
      </c>
      <c r="C12111" s="127" t="s">
        <v>206</v>
      </c>
      <c r="D12111" s="177" t="s">
        <v>58</v>
      </c>
      <c r="E12111" s="177" t="s">
        <v>14774</v>
      </c>
      <c r="F12111" s="177" t="s">
        <v>285</v>
      </c>
      <c r="G12111" s="177" t="s">
        <v>14775</v>
      </c>
      <c r="H12111" s="127" t="s">
        <v>216</v>
      </c>
    </row>
    <row r="12112" hidden="1">
      <c r="A12112" s="177" t="s">
        <v>218</v>
      </c>
      <c r="B12112" s="127" t="s">
        <v>219</v>
      </c>
      <c r="C12112" s="127" t="s">
        <v>206</v>
      </c>
      <c r="D12112" s="177" t="s">
        <v>58</v>
      </c>
      <c r="E12112" s="177" t="s">
        <v>14776</v>
      </c>
      <c r="F12112" s="177" t="s">
        <v>331</v>
      </c>
      <c r="G12112" s="177" t="s">
        <v>10544</v>
      </c>
      <c r="H12112" s="127" t="s">
        <v>210</v>
      </c>
    </row>
    <row r="12113" hidden="1">
      <c r="A12113" s="177" t="s">
        <v>218</v>
      </c>
      <c r="B12113" s="127" t="s">
        <v>219</v>
      </c>
      <c r="C12113" s="127" t="s">
        <v>206</v>
      </c>
      <c r="D12113" s="177" t="s">
        <v>58</v>
      </c>
      <c r="E12113" s="177" t="s">
        <v>14777</v>
      </c>
      <c r="F12113" s="177" t="s">
        <v>359</v>
      </c>
      <c r="G12113" s="177" t="s">
        <v>9918</v>
      </c>
      <c r="H12113" s="127" t="s">
        <v>211</v>
      </c>
    </row>
    <row r="12114" hidden="1">
      <c r="A12114" s="177" t="s">
        <v>218</v>
      </c>
      <c r="B12114" s="127" t="s">
        <v>219</v>
      </c>
      <c r="C12114" s="127" t="s">
        <v>206</v>
      </c>
      <c r="D12114" s="177" t="s">
        <v>58</v>
      </c>
      <c r="E12114" s="177" t="s">
        <v>14778</v>
      </c>
      <c r="F12114" s="177" t="s">
        <v>308</v>
      </c>
      <c r="G12114" s="177" t="s">
        <v>10926</v>
      </c>
      <c r="H12114" s="127" t="s">
        <v>212</v>
      </c>
    </row>
    <row r="12115" hidden="1">
      <c r="A12115" s="177" t="s">
        <v>218</v>
      </c>
      <c r="B12115" s="127" t="s">
        <v>219</v>
      </c>
      <c r="C12115" s="127" t="s">
        <v>206</v>
      </c>
      <c r="D12115" s="177" t="s">
        <v>58</v>
      </c>
      <c r="E12115" s="177" t="s">
        <v>14779</v>
      </c>
      <c r="F12115" s="177" t="s">
        <v>246</v>
      </c>
      <c r="G12115" s="177" t="s">
        <v>10282</v>
      </c>
      <c r="H12115" s="127" t="s">
        <v>213</v>
      </c>
    </row>
    <row r="12116" hidden="1">
      <c r="A12116" s="177" t="s">
        <v>218</v>
      </c>
      <c r="B12116" s="127" t="s">
        <v>219</v>
      </c>
      <c r="C12116" s="127" t="s">
        <v>206</v>
      </c>
      <c r="D12116" s="177" t="s">
        <v>58</v>
      </c>
      <c r="E12116" s="177" t="s">
        <v>14780</v>
      </c>
      <c r="F12116" s="177" t="s">
        <v>359</v>
      </c>
      <c r="G12116" s="177" t="s">
        <v>10442</v>
      </c>
      <c r="H12116" s="127" t="s">
        <v>214</v>
      </c>
    </row>
    <row r="12117" hidden="1">
      <c r="A12117" s="177" t="s">
        <v>218</v>
      </c>
      <c r="B12117" s="127" t="s">
        <v>219</v>
      </c>
      <c r="C12117" s="127" t="s">
        <v>206</v>
      </c>
      <c r="D12117" s="177" t="s">
        <v>58</v>
      </c>
      <c r="E12117" s="177" t="s">
        <v>14781</v>
      </c>
      <c r="F12117" s="177" t="s">
        <v>359</v>
      </c>
      <c r="G12117" s="177" t="s">
        <v>11606</v>
      </c>
      <c r="H12117" s="127" t="s">
        <v>215</v>
      </c>
    </row>
    <row r="12118" hidden="1">
      <c r="A12118" s="177" t="s">
        <v>218</v>
      </c>
      <c r="B12118" s="127" t="s">
        <v>219</v>
      </c>
      <c r="C12118" s="127" t="s">
        <v>206</v>
      </c>
      <c r="D12118" s="177" t="s">
        <v>58</v>
      </c>
      <c r="E12118" s="177" t="s">
        <v>14782</v>
      </c>
      <c r="F12118" s="177" t="s">
        <v>321</v>
      </c>
      <c r="G12118" s="177" t="s">
        <v>10532</v>
      </c>
      <c r="H12118" s="127" t="s">
        <v>216</v>
      </c>
    </row>
    <row r="12119" hidden="1">
      <c r="A12119" s="177" t="s">
        <v>220</v>
      </c>
      <c r="B12119" s="127" t="s">
        <v>190</v>
      </c>
      <c r="C12119" s="127" t="s">
        <v>206</v>
      </c>
      <c r="D12119" s="177" t="s">
        <v>58</v>
      </c>
      <c r="E12119" s="177" t="s">
        <v>14783</v>
      </c>
      <c r="F12119" s="177" t="s">
        <v>287</v>
      </c>
      <c r="G12119" s="177" t="s">
        <v>10143</v>
      </c>
      <c r="H12119" s="127" t="s">
        <v>210</v>
      </c>
    </row>
    <row r="12120" hidden="1">
      <c r="A12120" s="177" t="s">
        <v>220</v>
      </c>
      <c r="B12120" s="127" t="s">
        <v>190</v>
      </c>
      <c r="C12120" s="127" t="s">
        <v>206</v>
      </c>
      <c r="D12120" s="177" t="s">
        <v>58</v>
      </c>
      <c r="E12120" s="177" t="s">
        <v>14784</v>
      </c>
      <c r="F12120" s="177" t="s">
        <v>287</v>
      </c>
      <c r="G12120" s="177" t="s">
        <v>14785</v>
      </c>
      <c r="H12120" s="127" t="s">
        <v>211</v>
      </c>
    </row>
    <row r="12121" hidden="1">
      <c r="A12121" s="177" t="s">
        <v>220</v>
      </c>
      <c r="B12121" s="127" t="s">
        <v>190</v>
      </c>
      <c r="C12121" s="127" t="s">
        <v>206</v>
      </c>
      <c r="D12121" s="177" t="s">
        <v>58</v>
      </c>
      <c r="E12121" s="177" t="s">
        <v>14786</v>
      </c>
      <c r="F12121" s="177" t="s">
        <v>244</v>
      </c>
      <c r="G12121" s="177" t="s">
        <v>9873</v>
      </c>
      <c r="H12121" s="127" t="s">
        <v>212</v>
      </c>
    </row>
    <row r="12122" hidden="1">
      <c r="A12122" s="177" t="s">
        <v>220</v>
      </c>
      <c r="B12122" s="127" t="s">
        <v>190</v>
      </c>
      <c r="C12122" s="127" t="s">
        <v>206</v>
      </c>
      <c r="D12122" s="177" t="s">
        <v>58</v>
      </c>
      <c r="E12122" s="177" t="s">
        <v>14787</v>
      </c>
      <c r="F12122" s="177" t="s">
        <v>321</v>
      </c>
      <c r="G12122" s="177" t="s">
        <v>10143</v>
      </c>
      <c r="H12122" s="127" t="s">
        <v>213</v>
      </c>
    </row>
    <row r="12123" hidden="1">
      <c r="A12123" s="177" t="s">
        <v>220</v>
      </c>
      <c r="B12123" s="127" t="s">
        <v>190</v>
      </c>
      <c r="C12123" s="127" t="s">
        <v>206</v>
      </c>
      <c r="D12123" s="177" t="s">
        <v>58</v>
      </c>
      <c r="E12123" s="177" t="s">
        <v>14788</v>
      </c>
      <c r="F12123" s="177" t="s">
        <v>242</v>
      </c>
      <c r="G12123" s="177" t="s">
        <v>9888</v>
      </c>
      <c r="H12123" s="127" t="s">
        <v>214</v>
      </c>
    </row>
    <row r="12124" hidden="1">
      <c r="A12124" s="177" t="s">
        <v>220</v>
      </c>
      <c r="B12124" s="127" t="s">
        <v>190</v>
      </c>
      <c r="C12124" s="127" t="s">
        <v>206</v>
      </c>
      <c r="D12124" s="177" t="s">
        <v>58</v>
      </c>
      <c r="E12124" s="177" t="s">
        <v>14789</v>
      </c>
      <c r="F12124" s="177" t="s">
        <v>308</v>
      </c>
      <c r="G12124" s="177" t="s">
        <v>10640</v>
      </c>
      <c r="H12124" s="127" t="s">
        <v>215</v>
      </c>
    </row>
    <row r="12125" hidden="1">
      <c r="A12125" s="177" t="s">
        <v>220</v>
      </c>
      <c r="B12125" s="127" t="s">
        <v>190</v>
      </c>
      <c r="C12125" s="127" t="s">
        <v>206</v>
      </c>
      <c r="D12125" s="177" t="s">
        <v>58</v>
      </c>
      <c r="E12125" s="177" t="s">
        <v>14790</v>
      </c>
      <c r="F12125" s="177" t="s">
        <v>246</v>
      </c>
      <c r="G12125" s="177" t="s">
        <v>9359</v>
      </c>
      <c r="H12125" s="127" t="s">
        <v>216</v>
      </c>
    </row>
    <row r="12126" hidden="1">
      <c r="A12126" s="177" t="s">
        <v>221</v>
      </c>
      <c r="B12126" s="127" t="s">
        <v>189</v>
      </c>
      <c r="C12126" s="127" t="s">
        <v>206</v>
      </c>
      <c r="D12126" s="177" t="s">
        <v>58</v>
      </c>
      <c r="E12126" s="177" t="s">
        <v>14791</v>
      </c>
      <c r="F12126" s="177" t="s">
        <v>1999</v>
      </c>
      <c r="G12126" s="177" t="s">
        <v>12942</v>
      </c>
      <c r="H12126" s="127" t="s">
        <v>210</v>
      </c>
    </row>
    <row r="12127" hidden="1">
      <c r="A12127" s="177" t="s">
        <v>221</v>
      </c>
      <c r="B12127" s="127" t="s">
        <v>189</v>
      </c>
      <c r="C12127" s="127" t="s">
        <v>206</v>
      </c>
      <c r="D12127" s="177" t="s">
        <v>58</v>
      </c>
      <c r="E12127" s="177" t="s">
        <v>14792</v>
      </c>
      <c r="F12127" s="177" t="s">
        <v>448</v>
      </c>
      <c r="G12127" s="177" t="s">
        <v>13826</v>
      </c>
      <c r="H12127" s="127" t="s">
        <v>211</v>
      </c>
    </row>
    <row r="12128" hidden="1">
      <c r="A12128" s="177" t="s">
        <v>221</v>
      </c>
      <c r="B12128" s="127" t="s">
        <v>189</v>
      </c>
      <c r="C12128" s="127" t="s">
        <v>206</v>
      </c>
      <c r="D12128" s="177" t="s">
        <v>58</v>
      </c>
      <c r="E12128" s="177" t="s">
        <v>14793</v>
      </c>
      <c r="F12128" s="177" t="s">
        <v>249</v>
      </c>
      <c r="G12128" s="177" t="s">
        <v>14582</v>
      </c>
      <c r="H12128" s="127" t="s">
        <v>212</v>
      </c>
    </row>
    <row r="12129" hidden="1">
      <c r="A12129" s="177" t="s">
        <v>221</v>
      </c>
      <c r="B12129" s="127" t="s">
        <v>189</v>
      </c>
      <c r="C12129" s="127" t="s">
        <v>206</v>
      </c>
      <c r="D12129" s="177" t="s">
        <v>58</v>
      </c>
      <c r="E12129" s="177" t="s">
        <v>14794</v>
      </c>
      <c r="F12129" s="177" t="s">
        <v>718</v>
      </c>
      <c r="G12129" s="177" t="s">
        <v>14795</v>
      </c>
      <c r="H12129" s="127" t="s">
        <v>213</v>
      </c>
    </row>
    <row r="12130" hidden="1">
      <c r="A12130" s="177" t="s">
        <v>221</v>
      </c>
      <c r="B12130" s="127" t="s">
        <v>189</v>
      </c>
      <c r="C12130" s="127" t="s">
        <v>206</v>
      </c>
      <c r="D12130" s="177" t="s">
        <v>58</v>
      </c>
      <c r="E12130" s="177" t="s">
        <v>14796</v>
      </c>
      <c r="F12130" s="177" t="s">
        <v>290</v>
      </c>
      <c r="G12130" s="177" t="s">
        <v>14797</v>
      </c>
      <c r="H12130" s="127" t="s">
        <v>214</v>
      </c>
    </row>
    <row r="12131" hidden="1">
      <c r="A12131" s="177" t="s">
        <v>221</v>
      </c>
      <c r="B12131" s="127" t="s">
        <v>189</v>
      </c>
      <c r="C12131" s="127" t="s">
        <v>206</v>
      </c>
      <c r="D12131" s="177" t="s">
        <v>58</v>
      </c>
      <c r="E12131" s="177" t="s">
        <v>14798</v>
      </c>
      <c r="F12131" s="177" t="s">
        <v>423</v>
      </c>
      <c r="G12131" s="177" t="s">
        <v>13324</v>
      </c>
      <c r="H12131" s="127" t="s">
        <v>215</v>
      </c>
    </row>
    <row r="12132" hidden="1">
      <c r="A12132" s="177" t="s">
        <v>221</v>
      </c>
      <c r="B12132" s="127" t="s">
        <v>189</v>
      </c>
      <c r="C12132" s="127" t="s">
        <v>206</v>
      </c>
      <c r="D12132" s="177" t="s">
        <v>58</v>
      </c>
      <c r="E12132" s="177" t="s">
        <v>14799</v>
      </c>
      <c r="F12132" s="177" t="s">
        <v>1532</v>
      </c>
      <c r="G12132" s="177" t="s">
        <v>13709</v>
      </c>
      <c r="H12132" s="127" t="s">
        <v>216</v>
      </c>
    </row>
    <row r="12133" hidden="1">
      <c r="A12133" s="177" t="s">
        <v>222</v>
      </c>
      <c r="B12133" s="127" t="s">
        <v>192</v>
      </c>
      <c r="C12133" s="127" t="s">
        <v>206</v>
      </c>
      <c r="D12133" s="177" t="s">
        <v>58</v>
      </c>
      <c r="E12133" s="177" t="s">
        <v>14800</v>
      </c>
      <c r="F12133" s="177" t="s">
        <v>262</v>
      </c>
      <c r="G12133" s="177" t="s">
        <v>9916</v>
      </c>
      <c r="H12133" s="127" t="s">
        <v>210</v>
      </c>
    </row>
    <row r="12134" hidden="1">
      <c r="A12134" s="177" t="s">
        <v>222</v>
      </c>
      <c r="B12134" s="127" t="s">
        <v>192</v>
      </c>
      <c r="C12134" s="127" t="s">
        <v>206</v>
      </c>
      <c r="D12134" s="177" t="s">
        <v>58</v>
      </c>
      <c r="E12134" s="177" t="s">
        <v>14801</v>
      </c>
      <c r="F12134" s="177" t="s">
        <v>240</v>
      </c>
      <c r="G12134" s="177" t="s">
        <v>10043</v>
      </c>
      <c r="H12134" s="127" t="s">
        <v>211</v>
      </c>
    </row>
    <row r="12135" hidden="1">
      <c r="A12135" s="177" t="s">
        <v>222</v>
      </c>
      <c r="B12135" s="127" t="s">
        <v>192</v>
      </c>
      <c r="C12135" s="127" t="s">
        <v>206</v>
      </c>
      <c r="D12135" s="177" t="s">
        <v>58</v>
      </c>
      <c r="E12135" s="177" t="s">
        <v>14802</v>
      </c>
      <c r="F12135" s="177" t="s">
        <v>240</v>
      </c>
      <c r="G12135" s="177" t="s">
        <v>7470</v>
      </c>
      <c r="H12135" s="127" t="s">
        <v>212</v>
      </c>
    </row>
    <row r="12136" hidden="1">
      <c r="A12136" s="177" t="s">
        <v>222</v>
      </c>
      <c r="B12136" s="127" t="s">
        <v>192</v>
      </c>
      <c r="C12136" s="127" t="s">
        <v>206</v>
      </c>
      <c r="D12136" s="177" t="s">
        <v>58</v>
      </c>
      <c r="E12136" s="177" t="s">
        <v>14803</v>
      </c>
      <c r="F12136" s="177" t="s">
        <v>259</v>
      </c>
      <c r="G12136" s="177" t="s">
        <v>10408</v>
      </c>
      <c r="H12136" s="127" t="s">
        <v>213</v>
      </c>
    </row>
    <row r="12137" hidden="1">
      <c r="A12137" s="177" t="s">
        <v>222</v>
      </c>
      <c r="B12137" s="127" t="s">
        <v>192</v>
      </c>
      <c r="C12137" s="127" t="s">
        <v>206</v>
      </c>
      <c r="D12137" s="177" t="s">
        <v>58</v>
      </c>
      <c r="E12137" s="177" t="s">
        <v>14804</v>
      </c>
      <c r="F12137" s="177" t="s">
        <v>255</v>
      </c>
      <c r="G12137" s="177" t="s">
        <v>9481</v>
      </c>
      <c r="H12137" s="127" t="s">
        <v>214</v>
      </c>
    </row>
    <row r="12138" hidden="1">
      <c r="A12138" s="177" t="s">
        <v>222</v>
      </c>
      <c r="B12138" s="127" t="s">
        <v>192</v>
      </c>
      <c r="C12138" s="127" t="s">
        <v>206</v>
      </c>
      <c r="D12138" s="177" t="s">
        <v>58</v>
      </c>
      <c r="E12138" s="177" t="s">
        <v>14805</v>
      </c>
      <c r="F12138" s="177" t="s">
        <v>357</v>
      </c>
      <c r="G12138" s="177" t="s">
        <v>10049</v>
      </c>
      <c r="H12138" s="127" t="s">
        <v>215</v>
      </c>
    </row>
    <row r="12139" hidden="1">
      <c r="A12139" s="177" t="s">
        <v>222</v>
      </c>
      <c r="B12139" s="127" t="s">
        <v>192</v>
      </c>
      <c r="C12139" s="127" t="s">
        <v>206</v>
      </c>
      <c r="D12139" s="177" t="s">
        <v>58</v>
      </c>
      <c r="E12139" s="177" t="s">
        <v>14806</v>
      </c>
      <c r="F12139" s="177" t="s">
        <v>259</v>
      </c>
      <c r="G12139" s="177" t="s">
        <v>9333</v>
      </c>
      <c r="H12139" s="127" t="s">
        <v>216</v>
      </c>
    </row>
    <row r="12140" hidden="1">
      <c r="A12140" s="177" t="s">
        <v>223</v>
      </c>
      <c r="B12140" s="127" t="s">
        <v>144</v>
      </c>
      <c r="C12140" s="127" t="s">
        <v>206</v>
      </c>
      <c r="D12140" s="177" t="s">
        <v>58</v>
      </c>
      <c r="E12140" s="177" t="s">
        <v>14807</v>
      </c>
      <c r="F12140" s="177" t="s">
        <v>321</v>
      </c>
      <c r="G12140" s="177" t="s">
        <v>10855</v>
      </c>
      <c r="H12140" s="127" t="s">
        <v>210</v>
      </c>
    </row>
    <row r="12141" hidden="1">
      <c r="A12141" s="177" t="s">
        <v>223</v>
      </c>
      <c r="B12141" s="127" t="s">
        <v>144</v>
      </c>
      <c r="C12141" s="127" t="s">
        <v>206</v>
      </c>
      <c r="D12141" s="177" t="s">
        <v>58</v>
      </c>
      <c r="E12141" s="177" t="s">
        <v>14808</v>
      </c>
      <c r="F12141" s="177" t="s">
        <v>365</v>
      </c>
      <c r="G12141" s="177" t="s">
        <v>10783</v>
      </c>
      <c r="H12141" s="127" t="s">
        <v>211</v>
      </c>
    </row>
    <row r="12142" hidden="1">
      <c r="A12142" s="177" t="s">
        <v>223</v>
      </c>
      <c r="B12142" s="127" t="s">
        <v>144</v>
      </c>
      <c r="C12142" s="127" t="s">
        <v>206</v>
      </c>
      <c r="D12142" s="177" t="s">
        <v>58</v>
      </c>
      <c r="E12142" s="177" t="s">
        <v>14809</v>
      </c>
      <c r="F12142" s="177" t="s">
        <v>246</v>
      </c>
      <c r="G12142" s="177" t="s">
        <v>14810</v>
      </c>
      <c r="H12142" s="127" t="s">
        <v>212</v>
      </c>
    </row>
    <row r="12143" hidden="1">
      <c r="A12143" s="177" t="s">
        <v>223</v>
      </c>
      <c r="B12143" s="127" t="s">
        <v>144</v>
      </c>
      <c r="C12143" s="127" t="s">
        <v>206</v>
      </c>
      <c r="D12143" s="177" t="s">
        <v>58</v>
      </c>
      <c r="E12143" s="177" t="s">
        <v>14811</v>
      </c>
      <c r="F12143" s="177" t="s">
        <v>244</v>
      </c>
      <c r="G12143" s="177" t="s">
        <v>10351</v>
      </c>
      <c r="H12143" s="127" t="s">
        <v>213</v>
      </c>
    </row>
    <row r="12144" hidden="1">
      <c r="A12144" s="177" t="s">
        <v>223</v>
      </c>
      <c r="B12144" s="127" t="s">
        <v>144</v>
      </c>
      <c r="C12144" s="127" t="s">
        <v>206</v>
      </c>
      <c r="D12144" s="177" t="s">
        <v>58</v>
      </c>
      <c r="E12144" s="177" t="s">
        <v>14812</v>
      </c>
      <c r="F12144" s="177" t="s">
        <v>257</v>
      </c>
      <c r="G12144" s="177" t="s">
        <v>10434</v>
      </c>
      <c r="H12144" s="127" t="s">
        <v>214</v>
      </c>
    </row>
    <row r="12145" hidden="1">
      <c r="A12145" s="177" t="s">
        <v>223</v>
      </c>
      <c r="B12145" s="127" t="s">
        <v>144</v>
      </c>
      <c r="C12145" s="127" t="s">
        <v>206</v>
      </c>
      <c r="D12145" s="177" t="s">
        <v>58</v>
      </c>
      <c r="E12145" s="177" t="s">
        <v>14813</v>
      </c>
      <c r="F12145" s="177" t="s">
        <v>287</v>
      </c>
      <c r="G12145" s="177" t="s">
        <v>14814</v>
      </c>
      <c r="H12145" s="127" t="s">
        <v>215</v>
      </c>
    </row>
    <row r="12146" hidden="1">
      <c r="A12146" s="177" t="s">
        <v>223</v>
      </c>
      <c r="B12146" s="127" t="s">
        <v>144</v>
      </c>
      <c r="C12146" s="127" t="s">
        <v>206</v>
      </c>
      <c r="D12146" s="177" t="s">
        <v>58</v>
      </c>
      <c r="E12146" s="177" t="s">
        <v>14815</v>
      </c>
      <c r="F12146" s="177" t="s">
        <v>323</v>
      </c>
      <c r="G12146" s="177" t="s">
        <v>11269</v>
      </c>
      <c r="H12146" s="127" t="s">
        <v>216</v>
      </c>
    </row>
    <row r="12147" hidden="1">
      <c r="A12147" s="177" t="s">
        <v>224</v>
      </c>
      <c r="B12147" s="127" t="s">
        <v>170</v>
      </c>
      <c r="C12147" s="127" t="s">
        <v>206</v>
      </c>
      <c r="D12147" s="177" t="s">
        <v>58</v>
      </c>
      <c r="E12147" s="177" t="s">
        <v>14816</v>
      </c>
      <c r="F12147" s="177" t="s">
        <v>244</v>
      </c>
      <c r="G12147" s="177" t="s">
        <v>14817</v>
      </c>
      <c r="H12147" s="127" t="s">
        <v>210</v>
      </c>
    </row>
    <row r="12148" hidden="1">
      <c r="A12148" s="177" t="s">
        <v>224</v>
      </c>
      <c r="B12148" s="127" t="s">
        <v>170</v>
      </c>
      <c r="C12148" s="127" t="s">
        <v>206</v>
      </c>
      <c r="D12148" s="177" t="s">
        <v>58</v>
      </c>
      <c r="E12148" s="177" t="s">
        <v>14818</v>
      </c>
      <c r="F12148" s="177" t="s">
        <v>359</v>
      </c>
      <c r="G12148" s="177" t="s">
        <v>9834</v>
      </c>
      <c r="H12148" s="127" t="s">
        <v>211</v>
      </c>
    </row>
    <row r="12149" hidden="1">
      <c r="A12149" s="177" t="s">
        <v>224</v>
      </c>
      <c r="B12149" s="127" t="s">
        <v>170</v>
      </c>
      <c r="C12149" s="127" t="s">
        <v>206</v>
      </c>
      <c r="D12149" s="177" t="s">
        <v>58</v>
      </c>
      <c r="E12149" s="177" t="s">
        <v>14819</v>
      </c>
      <c r="F12149" s="177" t="s">
        <v>3198</v>
      </c>
      <c r="G12149" s="177" t="s">
        <v>10544</v>
      </c>
      <c r="H12149" s="127" t="s">
        <v>212</v>
      </c>
    </row>
    <row r="12150" hidden="1">
      <c r="A12150" s="177" t="s">
        <v>224</v>
      </c>
      <c r="B12150" s="127" t="s">
        <v>170</v>
      </c>
      <c r="C12150" s="127" t="s">
        <v>206</v>
      </c>
      <c r="D12150" s="177" t="s">
        <v>58</v>
      </c>
      <c r="E12150" s="177" t="s">
        <v>14820</v>
      </c>
      <c r="F12150" s="177" t="s">
        <v>359</v>
      </c>
      <c r="G12150" s="177" t="s">
        <v>11889</v>
      </c>
      <c r="H12150" s="127" t="s">
        <v>213</v>
      </c>
    </row>
    <row r="12151" hidden="1">
      <c r="A12151" s="177" t="s">
        <v>224</v>
      </c>
      <c r="B12151" s="127" t="s">
        <v>170</v>
      </c>
      <c r="C12151" s="127" t="s">
        <v>206</v>
      </c>
      <c r="D12151" s="177" t="s">
        <v>58</v>
      </c>
      <c r="E12151" s="177" t="s">
        <v>14821</v>
      </c>
      <c r="F12151" s="177" t="s">
        <v>323</v>
      </c>
      <c r="G12151" s="177" t="s">
        <v>14634</v>
      </c>
      <c r="H12151" s="127" t="s">
        <v>214</v>
      </c>
    </row>
    <row r="12152" hidden="1">
      <c r="A12152" s="177" t="s">
        <v>224</v>
      </c>
      <c r="B12152" s="127" t="s">
        <v>170</v>
      </c>
      <c r="C12152" s="127" t="s">
        <v>206</v>
      </c>
      <c r="D12152" s="177" t="s">
        <v>58</v>
      </c>
      <c r="E12152" s="177" t="s">
        <v>14822</v>
      </c>
      <c r="F12152" s="177" t="s">
        <v>365</v>
      </c>
      <c r="G12152" s="177" t="s">
        <v>10769</v>
      </c>
      <c r="H12152" s="127" t="s">
        <v>215</v>
      </c>
    </row>
    <row r="12153" hidden="1">
      <c r="A12153" s="177" t="s">
        <v>224</v>
      </c>
      <c r="B12153" s="127" t="s">
        <v>170</v>
      </c>
      <c r="C12153" s="127" t="s">
        <v>206</v>
      </c>
      <c r="D12153" s="177" t="s">
        <v>58</v>
      </c>
      <c r="E12153" s="177" t="s">
        <v>14823</v>
      </c>
      <c r="F12153" s="177" t="s">
        <v>285</v>
      </c>
      <c r="G12153" s="177" t="s">
        <v>12253</v>
      </c>
      <c r="H12153" s="127" t="s">
        <v>216</v>
      </c>
    </row>
    <row r="12154" hidden="1">
      <c r="A12154" s="177" t="s">
        <v>225</v>
      </c>
      <c r="B12154" s="127" t="s">
        <v>226</v>
      </c>
      <c r="C12154" s="127" t="s">
        <v>206</v>
      </c>
      <c r="D12154" s="177" t="s">
        <v>58</v>
      </c>
      <c r="E12154" s="177" t="s">
        <v>14824</v>
      </c>
      <c r="F12154" s="177" t="s">
        <v>423</v>
      </c>
      <c r="G12154" s="177" t="s">
        <v>13831</v>
      </c>
      <c r="H12154" s="127" t="s">
        <v>210</v>
      </c>
    </row>
    <row r="12155" hidden="1">
      <c r="A12155" s="177" t="s">
        <v>225</v>
      </c>
      <c r="B12155" s="127" t="s">
        <v>226</v>
      </c>
      <c r="C12155" s="127" t="s">
        <v>206</v>
      </c>
      <c r="D12155" s="177" t="s">
        <v>58</v>
      </c>
      <c r="E12155" s="177" t="s">
        <v>14825</v>
      </c>
      <c r="F12155" s="177" t="s">
        <v>423</v>
      </c>
      <c r="G12155" s="177" t="s">
        <v>13839</v>
      </c>
      <c r="H12155" s="127" t="s">
        <v>211</v>
      </c>
    </row>
    <row r="12156" hidden="1">
      <c r="A12156" s="177" t="s">
        <v>225</v>
      </c>
      <c r="B12156" s="127" t="s">
        <v>226</v>
      </c>
      <c r="C12156" s="127" t="s">
        <v>206</v>
      </c>
      <c r="D12156" s="177" t="s">
        <v>58</v>
      </c>
      <c r="E12156" s="177" t="s">
        <v>14826</v>
      </c>
      <c r="F12156" s="177" t="s">
        <v>532</v>
      </c>
      <c r="G12156" s="177" t="s">
        <v>14563</v>
      </c>
      <c r="H12156" s="127" t="s">
        <v>212</v>
      </c>
    </row>
    <row r="12157" hidden="1">
      <c r="A12157" s="177" t="s">
        <v>225</v>
      </c>
      <c r="B12157" s="127" t="s">
        <v>226</v>
      </c>
      <c r="C12157" s="127" t="s">
        <v>206</v>
      </c>
      <c r="D12157" s="177" t="s">
        <v>58</v>
      </c>
      <c r="E12157" s="177" t="s">
        <v>14827</v>
      </c>
      <c r="F12157" s="177" t="s">
        <v>673</v>
      </c>
      <c r="G12157" s="177" t="s">
        <v>12307</v>
      </c>
      <c r="H12157" s="127" t="s">
        <v>213</v>
      </c>
    </row>
    <row r="12158" hidden="1">
      <c r="A12158" s="177" t="s">
        <v>225</v>
      </c>
      <c r="B12158" s="127" t="s">
        <v>226</v>
      </c>
      <c r="C12158" s="127" t="s">
        <v>206</v>
      </c>
      <c r="D12158" s="177" t="s">
        <v>58</v>
      </c>
      <c r="E12158" s="177" t="s">
        <v>14828</v>
      </c>
      <c r="F12158" s="177" t="s">
        <v>799</v>
      </c>
      <c r="G12158" s="177" t="s">
        <v>14829</v>
      </c>
      <c r="H12158" s="127" t="s">
        <v>214</v>
      </c>
    </row>
    <row r="12159" hidden="1">
      <c r="A12159" s="177" t="s">
        <v>225</v>
      </c>
      <c r="B12159" s="127" t="s">
        <v>226</v>
      </c>
      <c r="C12159" s="127" t="s">
        <v>206</v>
      </c>
      <c r="D12159" s="177" t="s">
        <v>58</v>
      </c>
      <c r="E12159" s="177" t="s">
        <v>14830</v>
      </c>
      <c r="F12159" s="177" t="s">
        <v>423</v>
      </c>
      <c r="G12159" s="177" t="s">
        <v>12354</v>
      </c>
      <c r="H12159" s="127" t="s">
        <v>215</v>
      </c>
    </row>
    <row r="12160" hidden="1">
      <c r="A12160" s="177" t="s">
        <v>225</v>
      </c>
      <c r="B12160" s="127" t="s">
        <v>226</v>
      </c>
      <c r="C12160" s="127" t="s">
        <v>206</v>
      </c>
      <c r="D12160" s="177" t="s">
        <v>58</v>
      </c>
      <c r="E12160" s="177" t="s">
        <v>14831</v>
      </c>
      <c r="F12160" s="177" t="s">
        <v>423</v>
      </c>
      <c r="G12160" s="177" t="s">
        <v>12373</v>
      </c>
      <c r="H12160" s="127" t="s">
        <v>216</v>
      </c>
    </row>
    <row r="12161" hidden="1">
      <c r="A12161" s="177" t="s">
        <v>227</v>
      </c>
      <c r="B12161" s="127" t="s">
        <v>195</v>
      </c>
      <c r="C12161" s="127" t="s">
        <v>206</v>
      </c>
      <c r="D12161" s="177" t="s">
        <v>58</v>
      </c>
      <c r="E12161" s="177" t="s">
        <v>14832</v>
      </c>
      <c r="F12161" s="177" t="s">
        <v>494</v>
      </c>
      <c r="G12161" s="177" t="s">
        <v>10937</v>
      </c>
      <c r="H12161" s="127" t="s">
        <v>210</v>
      </c>
    </row>
    <row r="12162" hidden="1">
      <c r="A12162" s="177" t="s">
        <v>227</v>
      </c>
      <c r="B12162" s="127" t="s">
        <v>195</v>
      </c>
      <c r="C12162" s="127" t="s">
        <v>206</v>
      </c>
      <c r="D12162" s="177" t="s">
        <v>58</v>
      </c>
      <c r="E12162" s="177" t="s">
        <v>14833</v>
      </c>
      <c r="F12162" s="177" t="s">
        <v>259</v>
      </c>
      <c r="G12162" s="177" t="s">
        <v>10607</v>
      </c>
      <c r="H12162" s="127" t="s">
        <v>211</v>
      </c>
    </row>
    <row r="12163" hidden="1">
      <c r="A12163" s="177" t="s">
        <v>227</v>
      </c>
      <c r="B12163" s="127" t="s">
        <v>195</v>
      </c>
      <c r="C12163" s="127" t="s">
        <v>206</v>
      </c>
      <c r="D12163" s="177" t="s">
        <v>58</v>
      </c>
      <c r="E12163" s="177" t="s">
        <v>14834</v>
      </c>
      <c r="F12163" s="177" t="s">
        <v>534</v>
      </c>
      <c r="G12163" s="177" t="s">
        <v>10600</v>
      </c>
      <c r="H12163" s="127" t="s">
        <v>212</v>
      </c>
    </row>
    <row r="12164" hidden="1">
      <c r="A12164" s="177" t="s">
        <v>227</v>
      </c>
      <c r="B12164" s="127" t="s">
        <v>195</v>
      </c>
      <c r="C12164" s="127" t="s">
        <v>206</v>
      </c>
      <c r="D12164" s="177" t="s">
        <v>58</v>
      </c>
      <c r="E12164" s="177" t="s">
        <v>14835</v>
      </c>
      <c r="F12164" s="177" t="s">
        <v>249</v>
      </c>
      <c r="G12164" s="177" t="s">
        <v>14836</v>
      </c>
      <c r="H12164" s="127" t="s">
        <v>213</v>
      </c>
    </row>
    <row r="12165" hidden="1">
      <c r="A12165" s="177" t="s">
        <v>227</v>
      </c>
      <c r="B12165" s="127" t="s">
        <v>195</v>
      </c>
      <c r="C12165" s="127" t="s">
        <v>206</v>
      </c>
      <c r="D12165" s="177" t="s">
        <v>58</v>
      </c>
      <c r="E12165" s="177" t="s">
        <v>14837</v>
      </c>
      <c r="F12165" s="177" t="s">
        <v>246</v>
      </c>
      <c r="G12165" s="177" t="s">
        <v>10344</v>
      </c>
      <c r="H12165" s="127" t="s">
        <v>214</v>
      </c>
    </row>
    <row r="12166" hidden="1">
      <c r="A12166" s="177" t="s">
        <v>227</v>
      </c>
      <c r="B12166" s="127" t="s">
        <v>195</v>
      </c>
      <c r="C12166" s="127" t="s">
        <v>206</v>
      </c>
      <c r="D12166" s="177" t="s">
        <v>58</v>
      </c>
      <c r="E12166" s="177" t="s">
        <v>14838</v>
      </c>
      <c r="F12166" s="177" t="s">
        <v>359</v>
      </c>
      <c r="G12166" s="177" t="s">
        <v>10228</v>
      </c>
      <c r="H12166" s="127" t="s">
        <v>215</v>
      </c>
    </row>
    <row r="12167" hidden="1">
      <c r="A12167" s="177" t="s">
        <v>227</v>
      </c>
      <c r="B12167" s="127" t="s">
        <v>195</v>
      </c>
      <c r="C12167" s="127" t="s">
        <v>206</v>
      </c>
      <c r="D12167" s="177" t="s">
        <v>58</v>
      </c>
      <c r="E12167" s="177" t="s">
        <v>14839</v>
      </c>
      <c r="F12167" s="177" t="s">
        <v>331</v>
      </c>
      <c r="G12167" s="177" t="s">
        <v>9998</v>
      </c>
      <c r="H12167" s="127" t="s">
        <v>216</v>
      </c>
    </row>
    <row r="12168" hidden="1">
      <c r="A12168" s="177" t="s">
        <v>228</v>
      </c>
      <c r="B12168" s="127" t="s">
        <v>138</v>
      </c>
      <c r="C12168" s="127" t="s">
        <v>206</v>
      </c>
      <c r="D12168" s="177" t="s">
        <v>58</v>
      </c>
      <c r="E12168" s="177" t="s">
        <v>14840</v>
      </c>
      <c r="F12168" s="177" t="s">
        <v>359</v>
      </c>
      <c r="G12168" s="177" t="s">
        <v>12166</v>
      </c>
      <c r="H12168" s="127" t="s">
        <v>210</v>
      </c>
    </row>
    <row r="12169" hidden="1">
      <c r="A12169" s="177" t="s">
        <v>228</v>
      </c>
      <c r="B12169" s="127" t="s">
        <v>138</v>
      </c>
      <c r="C12169" s="127" t="s">
        <v>206</v>
      </c>
      <c r="D12169" s="177" t="s">
        <v>58</v>
      </c>
      <c r="E12169" s="177" t="s">
        <v>14841</v>
      </c>
      <c r="F12169" s="177" t="s">
        <v>314</v>
      </c>
      <c r="G12169" s="177" t="s">
        <v>12454</v>
      </c>
      <c r="H12169" s="127" t="s">
        <v>211</v>
      </c>
    </row>
    <row r="12170" hidden="1">
      <c r="A12170" s="177" t="s">
        <v>228</v>
      </c>
      <c r="B12170" s="127" t="s">
        <v>138</v>
      </c>
      <c r="C12170" s="127" t="s">
        <v>206</v>
      </c>
      <c r="D12170" s="177" t="s">
        <v>58</v>
      </c>
      <c r="E12170" s="177" t="s">
        <v>14842</v>
      </c>
      <c r="F12170" s="177" t="s">
        <v>255</v>
      </c>
      <c r="G12170" s="177" t="s">
        <v>12082</v>
      </c>
      <c r="H12170" s="127" t="s">
        <v>212</v>
      </c>
    </row>
    <row r="12171" hidden="1">
      <c r="A12171" s="177" t="s">
        <v>228</v>
      </c>
      <c r="B12171" s="127" t="s">
        <v>138</v>
      </c>
      <c r="C12171" s="127" t="s">
        <v>206</v>
      </c>
      <c r="D12171" s="177" t="s">
        <v>58</v>
      </c>
      <c r="E12171" s="177" t="s">
        <v>14843</v>
      </c>
      <c r="F12171" s="177" t="s">
        <v>310</v>
      </c>
      <c r="G12171" s="177" t="s">
        <v>14325</v>
      </c>
      <c r="H12171" s="127" t="s">
        <v>213</v>
      </c>
    </row>
    <row r="12172" hidden="1">
      <c r="A12172" s="177" t="s">
        <v>228</v>
      </c>
      <c r="B12172" s="127" t="s">
        <v>138</v>
      </c>
      <c r="C12172" s="127" t="s">
        <v>206</v>
      </c>
      <c r="D12172" s="177" t="s">
        <v>58</v>
      </c>
      <c r="E12172" s="177" t="s">
        <v>14844</v>
      </c>
      <c r="F12172" s="177" t="s">
        <v>265</v>
      </c>
      <c r="G12172" s="177" t="s">
        <v>14845</v>
      </c>
      <c r="H12172" s="127" t="s">
        <v>214</v>
      </c>
    </row>
    <row r="12173" hidden="1">
      <c r="A12173" s="177" t="s">
        <v>228</v>
      </c>
      <c r="B12173" s="127" t="s">
        <v>138</v>
      </c>
      <c r="C12173" s="127" t="s">
        <v>206</v>
      </c>
      <c r="D12173" s="177" t="s">
        <v>58</v>
      </c>
      <c r="E12173" s="177" t="s">
        <v>14846</v>
      </c>
      <c r="F12173" s="177" t="s">
        <v>287</v>
      </c>
      <c r="G12173" s="177" t="s">
        <v>14484</v>
      </c>
      <c r="H12173" s="127" t="s">
        <v>215</v>
      </c>
    </row>
    <row r="12174" hidden="1">
      <c r="A12174" s="177" t="s">
        <v>228</v>
      </c>
      <c r="B12174" s="127" t="s">
        <v>138</v>
      </c>
      <c r="C12174" s="127" t="s">
        <v>206</v>
      </c>
      <c r="D12174" s="177" t="s">
        <v>58</v>
      </c>
      <c r="E12174" s="177" t="s">
        <v>14847</v>
      </c>
      <c r="F12174" s="177" t="s">
        <v>285</v>
      </c>
      <c r="G12174" s="177" t="s">
        <v>12114</v>
      </c>
      <c r="H12174" s="127" t="s">
        <v>216</v>
      </c>
    </row>
    <row r="12175" hidden="1">
      <c r="A12175" s="177" t="s">
        <v>229</v>
      </c>
      <c r="B12175" s="127" t="s">
        <v>193</v>
      </c>
      <c r="C12175" s="127" t="s">
        <v>206</v>
      </c>
      <c r="D12175" s="177" t="s">
        <v>58</v>
      </c>
      <c r="E12175" s="177" t="s">
        <v>14848</v>
      </c>
      <c r="F12175" s="177" t="s">
        <v>312</v>
      </c>
      <c r="G12175" s="177" t="s">
        <v>10100</v>
      </c>
      <c r="H12175" s="127" t="s">
        <v>210</v>
      </c>
    </row>
    <row r="12176" hidden="1">
      <c r="A12176" s="177" t="s">
        <v>229</v>
      </c>
      <c r="B12176" s="127" t="s">
        <v>193</v>
      </c>
      <c r="C12176" s="127" t="s">
        <v>206</v>
      </c>
      <c r="D12176" s="177" t="s">
        <v>58</v>
      </c>
      <c r="E12176" s="177" t="s">
        <v>14849</v>
      </c>
      <c r="F12176" s="177" t="s">
        <v>494</v>
      </c>
      <c r="G12176" s="177" t="s">
        <v>11679</v>
      </c>
      <c r="H12176" s="127" t="s">
        <v>211</v>
      </c>
    </row>
    <row r="12177" hidden="1">
      <c r="A12177" s="177" t="s">
        <v>229</v>
      </c>
      <c r="B12177" s="127" t="s">
        <v>193</v>
      </c>
      <c r="C12177" s="127" t="s">
        <v>206</v>
      </c>
      <c r="D12177" s="177" t="s">
        <v>58</v>
      </c>
      <c r="E12177" s="177" t="s">
        <v>14850</v>
      </c>
      <c r="F12177" s="177" t="s">
        <v>339</v>
      </c>
      <c r="G12177" s="177" t="s">
        <v>11160</v>
      </c>
      <c r="H12177" s="127" t="s">
        <v>212</v>
      </c>
    </row>
    <row r="12178" hidden="1">
      <c r="A12178" s="177" t="s">
        <v>229</v>
      </c>
      <c r="B12178" s="127" t="s">
        <v>193</v>
      </c>
      <c r="C12178" s="127" t="s">
        <v>206</v>
      </c>
      <c r="D12178" s="177" t="s">
        <v>58</v>
      </c>
      <c r="E12178" s="177" t="s">
        <v>14851</v>
      </c>
      <c r="F12178" s="177" t="s">
        <v>450</v>
      </c>
      <c r="G12178" s="177" t="s">
        <v>12863</v>
      </c>
      <c r="H12178" s="127" t="s">
        <v>213</v>
      </c>
    </row>
    <row r="12179" hidden="1">
      <c r="A12179" s="177" t="s">
        <v>229</v>
      </c>
      <c r="B12179" s="127" t="s">
        <v>193</v>
      </c>
      <c r="C12179" s="127" t="s">
        <v>206</v>
      </c>
      <c r="D12179" s="177" t="s">
        <v>58</v>
      </c>
      <c r="E12179" s="177" t="s">
        <v>14852</v>
      </c>
      <c r="F12179" s="177" t="s">
        <v>405</v>
      </c>
      <c r="G12179" s="177" t="s">
        <v>11885</v>
      </c>
      <c r="H12179" s="127" t="s">
        <v>214</v>
      </c>
    </row>
    <row r="12180" hidden="1">
      <c r="A12180" s="177" t="s">
        <v>229</v>
      </c>
      <c r="B12180" s="127" t="s">
        <v>193</v>
      </c>
      <c r="C12180" s="127" t="s">
        <v>206</v>
      </c>
      <c r="D12180" s="177" t="s">
        <v>58</v>
      </c>
      <c r="E12180" s="177" t="s">
        <v>14853</v>
      </c>
      <c r="F12180" s="177" t="s">
        <v>1999</v>
      </c>
      <c r="G12180" s="177" t="s">
        <v>12093</v>
      </c>
      <c r="H12180" s="127" t="s">
        <v>215</v>
      </c>
    </row>
    <row r="12181" hidden="1">
      <c r="A12181" s="177" t="s">
        <v>229</v>
      </c>
      <c r="B12181" s="127" t="s">
        <v>193</v>
      </c>
      <c r="C12181" s="127" t="s">
        <v>206</v>
      </c>
      <c r="D12181" s="177" t="s">
        <v>58</v>
      </c>
      <c r="E12181" s="177" t="s">
        <v>14854</v>
      </c>
      <c r="F12181" s="177" t="s">
        <v>478</v>
      </c>
      <c r="G12181" s="177" t="s">
        <v>12101</v>
      </c>
      <c r="H12181" s="127" t="s">
        <v>216</v>
      </c>
    </row>
    <row r="12182" hidden="1">
      <c r="A12182" s="177" t="s">
        <v>230</v>
      </c>
      <c r="B12182" s="127" t="s">
        <v>194</v>
      </c>
      <c r="C12182" s="127" t="s">
        <v>206</v>
      </c>
      <c r="D12182" s="177" t="s">
        <v>58</v>
      </c>
      <c r="E12182" s="177" t="s">
        <v>14855</v>
      </c>
      <c r="F12182" s="177" t="s">
        <v>365</v>
      </c>
      <c r="G12182" s="177" t="s">
        <v>12398</v>
      </c>
      <c r="H12182" s="127" t="s">
        <v>210</v>
      </c>
    </row>
    <row r="12183" hidden="1">
      <c r="A12183" s="177" t="s">
        <v>230</v>
      </c>
      <c r="B12183" s="127" t="s">
        <v>194</v>
      </c>
      <c r="C12183" s="127" t="s">
        <v>206</v>
      </c>
      <c r="D12183" s="177" t="s">
        <v>58</v>
      </c>
      <c r="E12183" s="177" t="s">
        <v>14856</v>
      </c>
      <c r="F12183" s="177" t="s">
        <v>314</v>
      </c>
      <c r="G12183" s="177" t="s">
        <v>14857</v>
      </c>
      <c r="H12183" s="127" t="s">
        <v>211</v>
      </c>
    </row>
    <row r="12184" hidden="1">
      <c r="A12184" s="177" t="s">
        <v>230</v>
      </c>
      <c r="B12184" s="127" t="s">
        <v>194</v>
      </c>
      <c r="C12184" s="127" t="s">
        <v>206</v>
      </c>
      <c r="D12184" s="177" t="s">
        <v>58</v>
      </c>
      <c r="E12184" s="177" t="s">
        <v>14858</v>
      </c>
      <c r="F12184" s="177" t="s">
        <v>357</v>
      </c>
      <c r="G12184" s="177" t="s">
        <v>11556</v>
      </c>
      <c r="H12184" s="127" t="s">
        <v>212</v>
      </c>
    </row>
    <row r="12185" hidden="1">
      <c r="A12185" s="177" t="s">
        <v>230</v>
      </c>
      <c r="B12185" s="127" t="s">
        <v>194</v>
      </c>
      <c r="C12185" s="127" t="s">
        <v>206</v>
      </c>
      <c r="D12185" s="177" t="s">
        <v>58</v>
      </c>
      <c r="E12185" s="177" t="s">
        <v>14859</v>
      </c>
      <c r="F12185" s="177" t="s">
        <v>323</v>
      </c>
      <c r="G12185" s="177" t="s">
        <v>11917</v>
      </c>
      <c r="H12185" s="127" t="s">
        <v>213</v>
      </c>
    </row>
    <row r="12186" hidden="1">
      <c r="A12186" s="177" t="s">
        <v>230</v>
      </c>
      <c r="B12186" s="127" t="s">
        <v>194</v>
      </c>
      <c r="C12186" s="127" t="s">
        <v>206</v>
      </c>
      <c r="D12186" s="177" t="s">
        <v>58</v>
      </c>
      <c r="E12186" s="177" t="s">
        <v>14860</v>
      </c>
      <c r="F12186" s="177" t="s">
        <v>287</v>
      </c>
      <c r="G12186" s="177" t="s">
        <v>13086</v>
      </c>
      <c r="H12186" s="127" t="s">
        <v>214</v>
      </c>
    </row>
    <row r="12187" hidden="1">
      <c r="A12187" s="177" t="s">
        <v>230</v>
      </c>
      <c r="B12187" s="127" t="s">
        <v>194</v>
      </c>
      <c r="C12187" s="127" t="s">
        <v>206</v>
      </c>
      <c r="D12187" s="177" t="s">
        <v>58</v>
      </c>
      <c r="E12187" s="177" t="s">
        <v>14861</v>
      </c>
      <c r="F12187" s="177" t="s">
        <v>308</v>
      </c>
      <c r="G12187" s="177" t="s">
        <v>14862</v>
      </c>
      <c r="H12187" s="127" t="s">
        <v>215</v>
      </c>
    </row>
    <row r="12188" hidden="1">
      <c r="A12188" s="177" t="s">
        <v>230</v>
      </c>
      <c r="B12188" s="127" t="s">
        <v>194</v>
      </c>
      <c r="C12188" s="127" t="s">
        <v>206</v>
      </c>
      <c r="D12188" s="177" t="s">
        <v>58</v>
      </c>
      <c r="E12188" s="177" t="s">
        <v>14863</v>
      </c>
      <c r="F12188" s="177" t="s">
        <v>323</v>
      </c>
      <c r="G12188" s="177" t="s">
        <v>12039</v>
      </c>
      <c r="H12188" s="127" t="s">
        <v>216</v>
      </c>
    </row>
    <row r="12189" hidden="1">
      <c r="A12189" s="127" t="s">
        <v>231</v>
      </c>
      <c r="C12189" s="127" t="s">
        <v>232</v>
      </c>
      <c r="D12189" s="177" t="s">
        <v>58</v>
      </c>
      <c r="E12189" s="177" t="s">
        <v>14864</v>
      </c>
      <c r="F12189" s="177" t="s">
        <v>2166</v>
      </c>
      <c r="G12189" s="177" t="s">
        <v>14865</v>
      </c>
      <c r="H12189" s="127" t="s">
        <v>210</v>
      </c>
    </row>
    <row r="12190" hidden="1">
      <c r="A12190" s="127" t="s">
        <v>231</v>
      </c>
      <c r="C12190" s="127" t="s">
        <v>232</v>
      </c>
      <c r="D12190" s="177" t="s">
        <v>58</v>
      </c>
      <c r="E12190" s="177" t="s">
        <v>14866</v>
      </c>
      <c r="F12190" s="177" t="s">
        <v>5987</v>
      </c>
      <c r="G12190" s="177" t="s">
        <v>11007</v>
      </c>
      <c r="H12190" s="127" t="s">
        <v>211</v>
      </c>
    </row>
    <row r="12191" hidden="1">
      <c r="A12191" s="127" t="s">
        <v>231</v>
      </c>
      <c r="C12191" s="127" t="s">
        <v>232</v>
      </c>
      <c r="D12191" s="177" t="s">
        <v>58</v>
      </c>
      <c r="E12191" s="177" t="s">
        <v>14867</v>
      </c>
      <c r="F12191" s="177" t="s">
        <v>1992</v>
      </c>
      <c r="G12191" s="177" t="s">
        <v>10164</v>
      </c>
      <c r="H12191" s="127" t="s">
        <v>212</v>
      </c>
    </row>
    <row r="12192" hidden="1">
      <c r="A12192" s="127" t="s">
        <v>231</v>
      </c>
      <c r="C12192" s="127" t="s">
        <v>232</v>
      </c>
      <c r="D12192" s="177" t="s">
        <v>58</v>
      </c>
      <c r="E12192" s="177" t="s">
        <v>14868</v>
      </c>
      <c r="F12192" s="177" t="s">
        <v>3978</v>
      </c>
      <c r="G12192" s="177" t="s">
        <v>9767</v>
      </c>
      <c r="H12192" s="127" t="s">
        <v>213</v>
      </c>
    </row>
    <row r="12193" hidden="1">
      <c r="A12193" s="127" t="s">
        <v>231</v>
      </c>
      <c r="C12193" s="127" t="s">
        <v>232</v>
      </c>
      <c r="D12193" s="177" t="s">
        <v>58</v>
      </c>
      <c r="E12193" s="177" t="s">
        <v>14869</v>
      </c>
      <c r="F12193" s="177" t="s">
        <v>14715</v>
      </c>
      <c r="G12193" s="177" t="s">
        <v>10008</v>
      </c>
      <c r="H12193" s="127" t="s">
        <v>214</v>
      </c>
    </row>
    <row r="12194" hidden="1">
      <c r="A12194" s="127" t="s">
        <v>231</v>
      </c>
      <c r="C12194" s="127" t="s">
        <v>232</v>
      </c>
      <c r="D12194" s="177" t="s">
        <v>58</v>
      </c>
      <c r="E12194" s="177" t="s">
        <v>14870</v>
      </c>
      <c r="F12194" s="177" t="s">
        <v>1107</v>
      </c>
      <c r="G12194" s="177" t="s">
        <v>10421</v>
      </c>
      <c r="H12194" s="127" t="s">
        <v>215</v>
      </c>
    </row>
    <row r="12195" hidden="1">
      <c r="A12195" s="127" t="s">
        <v>231</v>
      </c>
      <c r="C12195" s="127" t="s">
        <v>232</v>
      </c>
      <c r="D12195" s="177" t="s">
        <v>58</v>
      </c>
      <c r="E12195" s="177" t="s">
        <v>14871</v>
      </c>
      <c r="F12195" s="177" t="s">
        <v>3978</v>
      </c>
      <c r="G12195" s="177" t="s">
        <v>9866</v>
      </c>
      <c r="H12195" s="127" t="s">
        <v>216</v>
      </c>
    </row>
    <row r="12196" hidden="1">
      <c r="A12196" s="127" t="s">
        <v>233</v>
      </c>
      <c r="C12196" s="127" t="s">
        <v>232</v>
      </c>
      <c r="D12196" s="177" t="s">
        <v>58</v>
      </c>
      <c r="E12196" s="177" t="s">
        <v>14872</v>
      </c>
      <c r="F12196" s="177" t="s">
        <v>427</v>
      </c>
      <c r="G12196" s="177" t="s">
        <v>10699</v>
      </c>
      <c r="H12196" s="127" t="s">
        <v>210</v>
      </c>
    </row>
    <row r="12197" hidden="1">
      <c r="A12197" s="127" t="s">
        <v>233</v>
      </c>
      <c r="C12197" s="127" t="s">
        <v>232</v>
      </c>
      <c r="D12197" s="177" t="s">
        <v>58</v>
      </c>
      <c r="E12197" s="177" t="s">
        <v>14873</v>
      </c>
      <c r="F12197" s="177" t="s">
        <v>290</v>
      </c>
      <c r="G12197" s="177" t="s">
        <v>10434</v>
      </c>
      <c r="H12197" s="127" t="s">
        <v>211</v>
      </c>
    </row>
    <row r="12198" hidden="1">
      <c r="A12198" s="127" t="s">
        <v>233</v>
      </c>
      <c r="C12198" s="127" t="s">
        <v>232</v>
      </c>
      <c r="D12198" s="177" t="s">
        <v>58</v>
      </c>
      <c r="E12198" s="177" t="s">
        <v>14874</v>
      </c>
      <c r="F12198" s="177" t="s">
        <v>308</v>
      </c>
      <c r="G12198" s="177" t="s">
        <v>9486</v>
      </c>
      <c r="H12198" s="127" t="s">
        <v>212</v>
      </c>
    </row>
    <row r="12199" hidden="1">
      <c r="A12199" s="127" t="s">
        <v>233</v>
      </c>
      <c r="C12199" s="127" t="s">
        <v>232</v>
      </c>
      <c r="D12199" s="177" t="s">
        <v>58</v>
      </c>
      <c r="E12199" s="177" t="s">
        <v>14875</v>
      </c>
      <c r="F12199" s="177" t="s">
        <v>310</v>
      </c>
      <c r="G12199" s="177" t="s">
        <v>10665</v>
      </c>
      <c r="H12199" s="127" t="s">
        <v>213</v>
      </c>
    </row>
    <row r="12200" hidden="1">
      <c r="A12200" s="127" t="s">
        <v>233</v>
      </c>
      <c r="C12200" s="127" t="s">
        <v>232</v>
      </c>
      <c r="D12200" s="177" t="s">
        <v>58</v>
      </c>
      <c r="E12200" s="177" t="s">
        <v>14876</v>
      </c>
      <c r="F12200" s="177" t="s">
        <v>351</v>
      </c>
      <c r="G12200" s="177" t="s">
        <v>10512</v>
      </c>
      <c r="H12200" s="127" t="s">
        <v>214</v>
      </c>
    </row>
    <row r="12201" hidden="1">
      <c r="A12201" s="127" t="s">
        <v>233</v>
      </c>
      <c r="C12201" s="127" t="s">
        <v>232</v>
      </c>
      <c r="D12201" s="177" t="s">
        <v>58</v>
      </c>
      <c r="E12201" s="177" t="s">
        <v>14877</v>
      </c>
      <c r="F12201" s="177" t="s">
        <v>290</v>
      </c>
      <c r="G12201" s="177" t="s">
        <v>11541</v>
      </c>
      <c r="H12201" s="127" t="s">
        <v>215</v>
      </c>
    </row>
    <row r="12202" hidden="1">
      <c r="A12202" s="127" t="s">
        <v>233</v>
      </c>
      <c r="C12202" s="127" t="s">
        <v>232</v>
      </c>
      <c r="D12202" s="177" t="s">
        <v>58</v>
      </c>
      <c r="E12202" s="177" t="s">
        <v>14878</v>
      </c>
      <c r="F12202" s="177" t="s">
        <v>305</v>
      </c>
      <c r="G12202" s="177" t="s">
        <v>9816</v>
      </c>
      <c r="H12202" s="127" t="s">
        <v>216</v>
      </c>
    </row>
    <row r="12203" hidden="1">
      <c r="A12203" s="127" t="s">
        <v>234</v>
      </c>
      <c r="C12203" s="127" t="s">
        <v>232</v>
      </c>
      <c r="D12203" s="177" t="s">
        <v>58</v>
      </c>
      <c r="E12203" s="177" t="s">
        <v>14879</v>
      </c>
      <c r="F12203" s="177" t="s">
        <v>290</v>
      </c>
      <c r="G12203" s="177" t="s">
        <v>14880</v>
      </c>
      <c r="H12203" s="127" t="s">
        <v>210</v>
      </c>
    </row>
    <row r="12204" hidden="1">
      <c r="A12204" s="127" t="s">
        <v>234</v>
      </c>
      <c r="C12204" s="127" t="s">
        <v>232</v>
      </c>
      <c r="D12204" s="177" t="s">
        <v>58</v>
      </c>
      <c r="E12204" s="177" t="s">
        <v>14881</v>
      </c>
      <c r="F12204" s="177" t="s">
        <v>336</v>
      </c>
      <c r="G12204" s="177" t="s">
        <v>14128</v>
      </c>
      <c r="H12204" s="127" t="s">
        <v>211</v>
      </c>
    </row>
    <row r="12205" hidden="1">
      <c r="A12205" s="127" t="s">
        <v>234</v>
      </c>
      <c r="C12205" s="127" t="s">
        <v>232</v>
      </c>
      <c r="D12205" s="177" t="s">
        <v>58</v>
      </c>
      <c r="E12205" s="177" t="s">
        <v>14882</v>
      </c>
      <c r="F12205" s="177" t="s">
        <v>735</v>
      </c>
      <c r="G12205" s="177" t="s">
        <v>14666</v>
      </c>
      <c r="H12205" s="127" t="s">
        <v>212</v>
      </c>
    </row>
    <row r="12206" hidden="1">
      <c r="A12206" s="127" t="s">
        <v>234</v>
      </c>
      <c r="C12206" s="127" t="s">
        <v>232</v>
      </c>
      <c r="D12206" s="177" t="s">
        <v>58</v>
      </c>
      <c r="E12206" s="177" t="s">
        <v>14883</v>
      </c>
      <c r="F12206" s="177" t="s">
        <v>483</v>
      </c>
      <c r="G12206" s="177" t="s">
        <v>12379</v>
      </c>
      <c r="H12206" s="127" t="s">
        <v>213</v>
      </c>
    </row>
    <row r="12207" hidden="1">
      <c r="A12207" s="127" t="s">
        <v>234</v>
      </c>
      <c r="C12207" s="127" t="s">
        <v>232</v>
      </c>
      <c r="D12207" s="177" t="s">
        <v>58</v>
      </c>
      <c r="E12207" s="177" t="s">
        <v>14884</v>
      </c>
      <c r="F12207" s="177" t="s">
        <v>359</v>
      </c>
      <c r="G12207" s="177" t="s">
        <v>14885</v>
      </c>
      <c r="H12207" s="127" t="s">
        <v>214</v>
      </c>
    </row>
    <row r="12208" hidden="1">
      <c r="A12208" s="127" t="s">
        <v>234</v>
      </c>
      <c r="C12208" s="127" t="s">
        <v>232</v>
      </c>
      <c r="D12208" s="177" t="s">
        <v>58</v>
      </c>
      <c r="E12208" s="177" t="s">
        <v>14886</v>
      </c>
      <c r="F12208" s="177" t="s">
        <v>354</v>
      </c>
      <c r="G12208" s="177" t="s">
        <v>12995</v>
      </c>
      <c r="H12208" s="127" t="s">
        <v>215</v>
      </c>
    </row>
    <row r="12209" hidden="1">
      <c r="A12209" s="127" t="s">
        <v>234</v>
      </c>
      <c r="C12209" s="127" t="s">
        <v>232</v>
      </c>
      <c r="D12209" s="177" t="s">
        <v>58</v>
      </c>
      <c r="E12209" s="177" t="s">
        <v>14887</v>
      </c>
      <c r="F12209" s="177" t="s">
        <v>339</v>
      </c>
      <c r="G12209" s="177" t="s">
        <v>13082</v>
      </c>
      <c r="H12209" s="127" t="s">
        <v>216</v>
      </c>
    </row>
    <row r="12210" hidden="1">
      <c r="A12210" s="127" t="s">
        <v>235</v>
      </c>
      <c r="C12210" s="127" t="s">
        <v>236</v>
      </c>
      <c r="D12210" s="177" t="s">
        <v>58</v>
      </c>
      <c r="E12210" s="177" t="s">
        <v>14888</v>
      </c>
      <c r="F12210" s="177" t="s">
        <v>242</v>
      </c>
      <c r="G12210" s="177" t="s">
        <v>10457</v>
      </c>
      <c r="H12210" s="127" t="s">
        <v>210</v>
      </c>
    </row>
    <row r="12211" hidden="1">
      <c r="A12211" s="127" t="s">
        <v>235</v>
      </c>
      <c r="C12211" s="127" t="s">
        <v>236</v>
      </c>
      <c r="D12211" s="177" t="s">
        <v>58</v>
      </c>
      <c r="E12211" s="177" t="s">
        <v>14889</v>
      </c>
      <c r="F12211" s="177" t="s">
        <v>357</v>
      </c>
      <c r="G12211" s="177" t="s">
        <v>10293</v>
      </c>
      <c r="H12211" s="127" t="s">
        <v>211</v>
      </c>
    </row>
    <row r="12212" hidden="1">
      <c r="A12212" s="127" t="s">
        <v>235</v>
      </c>
      <c r="C12212" s="127" t="s">
        <v>236</v>
      </c>
      <c r="D12212" s="177" t="s">
        <v>58</v>
      </c>
      <c r="E12212" s="177" t="s">
        <v>14890</v>
      </c>
      <c r="F12212" s="177" t="s">
        <v>359</v>
      </c>
      <c r="G12212" s="177" t="s">
        <v>9131</v>
      </c>
      <c r="H12212" s="127" t="s">
        <v>212</v>
      </c>
    </row>
    <row r="12213" hidden="1">
      <c r="A12213" s="127" t="s">
        <v>235</v>
      </c>
      <c r="C12213" s="127" t="s">
        <v>236</v>
      </c>
      <c r="D12213" s="177" t="s">
        <v>58</v>
      </c>
      <c r="E12213" s="177" t="s">
        <v>14891</v>
      </c>
      <c r="F12213" s="177" t="s">
        <v>285</v>
      </c>
      <c r="G12213" s="177" t="s">
        <v>10251</v>
      </c>
      <c r="H12213" s="127" t="s">
        <v>213</v>
      </c>
    </row>
    <row r="12214" hidden="1">
      <c r="A12214" s="127" t="s">
        <v>235</v>
      </c>
      <c r="C12214" s="127" t="s">
        <v>236</v>
      </c>
      <c r="D12214" s="177" t="s">
        <v>58</v>
      </c>
      <c r="E12214" s="177" t="s">
        <v>14892</v>
      </c>
      <c r="F12214" s="177" t="s">
        <v>242</v>
      </c>
      <c r="G12214" s="177" t="s">
        <v>10258</v>
      </c>
      <c r="H12214" s="127" t="s">
        <v>214</v>
      </c>
    </row>
    <row r="12215" hidden="1">
      <c r="A12215" s="127" t="s">
        <v>235</v>
      </c>
      <c r="C12215" s="127" t="s">
        <v>236</v>
      </c>
      <c r="D12215" s="177" t="s">
        <v>58</v>
      </c>
      <c r="E12215" s="177" t="s">
        <v>14893</v>
      </c>
      <c r="F12215" s="177" t="s">
        <v>357</v>
      </c>
      <c r="G12215" s="177" t="s">
        <v>9996</v>
      </c>
      <c r="H12215" s="127" t="s">
        <v>215</v>
      </c>
    </row>
    <row r="12216" hidden="1">
      <c r="A12216" s="127" t="s">
        <v>235</v>
      </c>
      <c r="C12216" s="127" t="s">
        <v>236</v>
      </c>
      <c r="D12216" s="177" t="s">
        <v>58</v>
      </c>
      <c r="E12216" s="177" t="s">
        <v>14894</v>
      </c>
      <c r="F12216" s="177" t="s">
        <v>357</v>
      </c>
      <c r="G12216" s="177" t="s">
        <v>9644</v>
      </c>
      <c r="H12216" s="127" t="s">
        <v>216</v>
      </c>
    </row>
    <row r="12217" hidden="1">
      <c r="A12217" s="127" t="s">
        <v>237</v>
      </c>
      <c r="C12217" s="127" t="s">
        <v>236</v>
      </c>
      <c r="D12217" s="177" t="s">
        <v>58</v>
      </c>
      <c r="E12217" s="177" t="s">
        <v>14895</v>
      </c>
      <c r="F12217" s="177" t="s">
        <v>478</v>
      </c>
      <c r="G12217" s="177" t="s">
        <v>12082</v>
      </c>
      <c r="H12217" s="127" t="s">
        <v>210</v>
      </c>
    </row>
    <row r="12218" hidden="1">
      <c r="A12218" s="127" t="s">
        <v>237</v>
      </c>
      <c r="C12218" s="127" t="s">
        <v>236</v>
      </c>
      <c r="D12218" s="177" t="s">
        <v>58</v>
      </c>
      <c r="E12218" s="177" t="s">
        <v>14896</v>
      </c>
      <c r="F12218" s="177" t="s">
        <v>799</v>
      </c>
      <c r="G12218" s="177" t="s">
        <v>14897</v>
      </c>
      <c r="H12218" s="127" t="s">
        <v>211</v>
      </c>
    </row>
    <row r="12219" hidden="1">
      <c r="A12219" s="127" t="s">
        <v>237</v>
      </c>
      <c r="C12219" s="127" t="s">
        <v>236</v>
      </c>
      <c r="D12219" s="177" t="s">
        <v>58</v>
      </c>
      <c r="E12219" s="177" t="s">
        <v>14898</v>
      </c>
      <c r="F12219" s="177" t="s">
        <v>718</v>
      </c>
      <c r="G12219" s="177" t="s">
        <v>12260</v>
      </c>
      <c r="H12219" s="127" t="s">
        <v>212</v>
      </c>
    </row>
    <row r="12220" hidden="1">
      <c r="A12220" s="127" t="s">
        <v>237</v>
      </c>
      <c r="C12220" s="127" t="s">
        <v>236</v>
      </c>
      <c r="D12220" s="177" t="s">
        <v>58</v>
      </c>
      <c r="E12220" s="177" t="s">
        <v>14899</v>
      </c>
      <c r="F12220" s="177" t="s">
        <v>354</v>
      </c>
      <c r="G12220" s="177" t="s">
        <v>14900</v>
      </c>
      <c r="H12220" s="127" t="s">
        <v>213</v>
      </c>
    </row>
    <row r="12221" hidden="1">
      <c r="A12221" s="127" t="s">
        <v>237</v>
      </c>
      <c r="C12221" s="127" t="s">
        <v>236</v>
      </c>
      <c r="D12221" s="177" t="s">
        <v>58</v>
      </c>
      <c r="E12221" s="177" t="s">
        <v>14901</v>
      </c>
      <c r="F12221" s="177" t="s">
        <v>450</v>
      </c>
      <c r="G12221" s="177" t="s">
        <v>14902</v>
      </c>
      <c r="H12221" s="127" t="s">
        <v>214</v>
      </c>
    </row>
    <row r="12222" hidden="1">
      <c r="A12222" s="127" t="s">
        <v>237</v>
      </c>
      <c r="C12222" s="127" t="s">
        <v>236</v>
      </c>
      <c r="D12222" s="177" t="s">
        <v>58</v>
      </c>
      <c r="E12222" s="177" t="s">
        <v>14903</v>
      </c>
      <c r="F12222" s="177" t="s">
        <v>577</v>
      </c>
      <c r="G12222" s="177" t="s">
        <v>14904</v>
      </c>
      <c r="H12222" s="127" t="s">
        <v>215</v>
      </c>
    </row>
    <row r="12223" hidden="1">
      <c r="A12223" s="127" t="s">
        <v>237</v>
      </c>
      <c r="C12223" s="127" t="s">
        <v>236</v>
      </c>
      <c r="D12223" s="177" t="s">
        <v>58</v>
      </c>
      <c r="E12223" s="177" t="s">
        <v>14905</v>
      </c>
      <c r="F12223" s="177" t="s">
        <v>494</v>
      </c>
      <c r="G12223" s="177" t="s">
        <v>12531</v>
      </c>
      <c r="H12223" s="127" t="s">
        <v>216</v>
      </c>
    </row>
    <row r="12224" hidden="1">
      <c r="A12224" s="177" t="s">
        <v>204</v>
      </c>
      <c r="B12224" s="127" t="s">
        <v>205</v>
      </c>
      <c r="C12224" s="127" t="s">
        <v>206</v>
      </c>
      <c r="D12224" s="177" t="s">
        <v>59</v>
      </c>
      <c r="E12224" s="177" t="s">
        <v>14906</v>
      </c>
      <c r="F12224" s="177" t="s">
        <v>365</v>
      </c>
      <c r="G12224" s="177" t="s">
        <v>9902</v>
      </c>
      <c r="H12224" s="127" t="s">
        <v>210</v>
      </c>
    </row>
    <row r="12225" hidden="1">
      <c r="A12225" s="177" t="s">
        <v>204</v>
      </c>
      <c r="B12225" s="127" t="s">
        <v>205</v>
      </c>
      <c r="C12225" s="127" t="s">
        <v>206</v>
      </c>
      <c r="D12225" s="177" t="s">
        <v>59</v>
      </c>
      <c r="E12225" s="177" t="s">
        <v>14907</v>
      </c>
      <c r="F12225" s="177" t="s">
        <v>359</v>
      </c>
      <c r="G12225" s="177" t="s">
        <v>10130</v>
      </c>
      <c r="H12225" s="127" t="s">
        <v>211</v>
      </c>
    </row>
    <row r="12226" hidden="1">
      <c r="A12226" s="177" t="s">
        <v>204</v>
      </c>
      <c r="B12226" s="127" t="s">
        <v>205</v>
      </c>
      <c r="C12226" s="127" t="s">
        <v>206</v>
      </c>
      <c r="D12226" s="177" t="s">
        <v>59</v>
      </c>
      <c r="E12226" s="177" t="s">
        <v>14908</v>
      </c>
      <c r="F12226" s="177" t="s">
        <v>321</v>
      </c>
      <c r="G12226" s="177" t="s">
        <v>5168</v>
      </c>
      <c r="H12226" s="127" t="s">
        <v>212</v>
      </c>
    </row>
    <row r="12227" hidden="1">
      <c r="A12227" s="177" t="s">
        <v>204</v>
      </c>
      <c r="B12227" s="127" t="s">
        <v>205</v>
      </c>
      <c r="C12227" s="127" t="s">
        <v>206</v>
      </c>
      <c r="D12227" s="177" t="s">
        <v>59</v>
      </c>
      <c r="E12227" s="177" t="s">
        <v>14909</v>
      </c>
      <c r="F12227" s="177" t="s">
        <v>249</v>
      </c>
      <c r="G12227" s="177" t="s">
        <v>5039</v>
      </c>
      <c r="H12227" s="127" t="s">
        <v>213</v>
      </c>
    </row>
    <row r="12228" hidden="1">
      <c r="A12228" s="177" t="s">
        <v>204</v>
      </c>
      <c r="B12228" s="127" t="s">
        <v>205</v>
      </c>
      <c r="C12228" s="127" t="s">
        <v>206</v>
      </c>
      <c r="D12228" s="177" t="s">
        <v>59</v>
      </c>
      <c r="E12228" s="177" t="s">
        <v>14910</v>
      </c>
      <c r="F12228" s="177" t="s">
        <v>365</v>
      </c>
      <c r="G12228" s="177" t="s">
        <v>9357</v>
      </c>
      <c r="H12228" s="127" t="s">
        <v>214</v>
      </c>
    </row>
    <row r="12229" hidden="1">
      <c r="A12229" s="177" t="s">
        <v>204</v>
      </c>
      <c r="B12229" s="127" t="s">
        <v>205</v>
      </c>
      <c r="C12229" s="127" t="s">
        <v>206</v>
      </c>
      <c r="D12229" s="177" t="s">
        <v>59</v>
      </c>
      <c r="E12229" s="177" t="s">
        <v>14911</v>
      </c>
      <c r="F12229" s="177" t="s">
        <v>321</v>
      </c>
      <c r="G12229" s="177" t="s">
        <v>10141</v>
      </c>
      <c r="H12229" s="127" t="s">
        <v>215</v>
      </c>
    </row>
    <row r="12230" hidden="1">
      <c r="A12230" s="177" t="s">
        <v>204</v>
      </c>
      <c r="B12230" s="127" t="s">
        <v>205</v>
      </c>
      <c r="C12230" s="127" t="s">
        <v>206</v>
      </c>
      <c r="D12230" s="177" t="s">
        <v>59</v>
      </c>
      <c r="E12230" s="177" t="s">
        <v>14912</v>
      </c>
      <c r="F12230" s="177" t="s">
        <v>285</v>
      </c>
      <c r="G12230" s="177" t="s">
        <v>9359</v>
      </c>
      <c r="H12230" s="127" t="s">
        <v>216</v>
      </c>
    </row>
    <row r="12231" hidden="1">
      <c r="A12231" s="177" t="s">
        <v>217</v>
      </c>
      <c r="B12231" s="127" t="s">
        <v>191</v>
      </c>
      <c r="C12231" s="127" t="s">
        <v>206</v>
      </c>
      <c r="D12231" s="177" t="s">
        <v>59</v>
      </c>
      <c r="E12231" s="177" t="s">
        <v>14913</v>
      </c>
      <c r="F12231" s="177" t="s">
        <v>357</v>
      </c>
      <c r="G12231" s="177" t="s">
        <v>3460</v>
      </c>
      <c r="H12231" s="127" t="s">
        <v>210</v>
      </c>
    </row>
    <row r="12232" hidden="1">
      <c r="A12232" s="177" t="s">
        <v>217</v>
      </c>
      <c r="B12232" s="127" t="s">
        <v>191</v>
      </c>
      <c r="C12232" s="127" t="s">
        <v>206</v>
      </c>
      <c r="D12232" s="177" t="s">
        <v>59</v>
      </c>
      <c r="E12232" s="177" t="s">
        <v>14914</v>
      </c>
      <c r="F12232" s="177" t="s">
        <v>242</v>
      </c>
      <c r="G12232" s="177" t="s">
        <v>4509</v>
      </c>
      <c r="H12232" s="127" t="s">
        <v>211</v>
      </c>
    </row>
    <row r="12233" hidden="1">
      <c r="A12233" s="177" t="s">
        <v>217</v>
      </c>
      <c r="B12233" s="127" t="s">
        <v>191</v>
      </c>
      <c r="C12233" s="127" t="s">
        <v>206</v>
      </c>
      <c r="D12233" s="177" t="s">
        <v>59</v>
      </c>
      <c r="E12233" s="177" t="s">
        <v>14915</v>
      </c>
      <c r="F12233" s="177" t="s">
        <v>242</v>
      </c>
      <c r="G12233" s="177" t="s">
        <v>3913</v>
      </c>
      <c r="H12233" s="127" t="s">
        <v>212</v>
      </c>
    </row>
    <row r="12234" hidden="1">
      <c r="A12234" s="177" t="s">
        <v>217</v>
      </c>
      <c r="B12234" s="127" t="s">
        <v>191</v>
      </c>
      <c r="C12234" s="127" t="s">
        <v>206</v>
      </c>
      <c r="D12234" s="177" t="s">
        <v>59</v>
      </c>
      <c r="E12234" s="177" t="s">
        <v>14916</v>
      </c>
      <c r="F12234" s="177" t="s">
        <v>365</v>
      </c>
      <c r="G12234" s="177" t="s">
        <v>3911</v>
      </c>
      <c r="H12234" s="127" t="s">
        <v>213</v>
      </c>
    </row>
    <row r="12235" hidden="1">
      <c r="A12235" s="177" t="s">
        <v>217</v>
      </c>
      <c r="B12235" s="127" t="s">
        <v>191</v>
      </c>
      <c r="C12235" s="127" t="s">
        <v>206</v>
      </c>
      <c r="D12235" s="177" t="s">
        <v>59</v>
      </c>
      <c r="E12235" s="177" t="s">
        <v>14917</v>
      </c>
      <c r="F12235" s="177" t="s">
        <v>301</v>
      </c>
      <c r="G12235" s="177" t="s">
        <v>3543</v>
      </c>
      <c r="H12235" s="127" t="s">
        <v>214</v>
      </c>
    </row>
    <row r="12236" hidden="1">
      <c r="A12236" s="177" t="s">
        <v>217</v>
      </c>
      <c r="B12236" s="127" t="s">
        <v>191</v>
      </c>
      <c r="C12236" s="127" t="s">
        <v>206</v>
      </c>
      <c r="D12236" s="177" t="s">
        <v>59</v>
      </c>
      <c r="E12236" s="177" t="s">
        <v>14918</v>
      </c>
      <c r="F12236" s="177" t="s">
        <v>285</v>
      </c>
      <c r="G12236" s="177" t="s">
        <v>4371</v>
      </c>
      <c r="H12236" s="127" t="s">
        <v>215</v>
      </c>
    </row>
    <row r="12237" hidden="1">
      <c r="A12237" s="177" t="s">
        <v>217</v>
      </c>
      <c r="B12237" s="127" t="s">
        <v>191</v>
      </c>
      <c r="C12237" s="127" t="s">
        <v>206</v>
      </c>
      <c r="D12237" s="177" t="s">
        <v>59</v>
      </c>
      <c r="E12237" s="177" t="s">
        <v>14919</v>
      </c>
      <c r="F12237" s="177" t="s">
        <v>242</v>
      </c>
      <c r="G12237" s="177" t="s">
        <v>4169</v>
      </c>
      <c r="H12237" s="127" t="s">
        <v>216</v>
      </c>
    </row>
    <row r="12238" hidden="1">
      <c r="A12238" s="177" t="s">
        <v>218</v>
      </c>
      <c r="B12238" s="127" t="s">
        <v>219</v>
      </c>
      <c r="C12238" s="127" t="s">
        <v>206</v>
      </c>
      <c r="D12238" s="177" t="s">
        <v>59</v>
      </c>
      <c r="E12238" s="177" t="s">
        <v>14920</v>
      </c>
      <c r="F12238" s="177" t="s">
        <v>321</v>
      </c>
      <c r="G12238" s="177" t="s">
        <v>10638</v>
      </c>
      <c r="H12238" s="127" t="s">
        <v>210</v>
      </c>
    </row>
    <row r="12239" hidden="1">
      <c r="A12239" s="177" t="s">
        <v>218</v>
      </c>
      <c r="B12239" s="127" t="s">
        <v>219</v>
      </c>
      <c r="C12239" s="127" t="s">
        <v>206</v>
      </c>
      <c r="D12239" s="177" t="s">
        <v>59</v>
      </c>
      <c r="E12239" s="177" t="s">
        <v>14921</v>
      </c>
      <c r="F12239" s="177" t="s">
        <v>314</v>
      </c>
      <c r="G12239" s="177" t="s">
        <v>10408</v>
      </c>
      <c r="H12239" s="127" t="s">
        <v>211</v>
      </c>
    </row>
    <row r="12240" hidden="1">
      <c r="A12240" s="177" t="s">
        <v>218</v>
      </c>
      <c r="B12240" s="127" t="s">
        <v>219</v>
      </c>
      <c r="C12240" s="127" t="s">
        <v>206</v>
      </c>
      <c r="D12240" s="177" t="s">
        <v>59</v>
      </c>
      <c r="E12240" s="177" t="s">
        <v>14922</v>
      </c>
      <c r="F12240" s="177" t="s">
        <v>308</v>
      </c>
      <c r="G12240" s="177" t="s">
        <v>5041</v>
      </c>
      <c r="H12240" s="127" t="s">
        <v>212</v>
      </c>
    </row>
    <row r="12241" hidden="1">
      <c r="A12241" s="177" t="s">
        <v>218</v>
      </c>
      <c r="B12241" s="127" t="s">
        <v>219</v>
      </c>
      <c r="C12241" s="127" t="s">
        <v>206</v>
      </c>
      <c r="D12241" s="177" t="s">
        <v>59</v>
      </c>
      <c r="E12241" s="177" t="s">
        <v>14923</v>
      </c>
      <c r="F12241" s="177" t="s">
        <v>365</v>
      </c>
      <c r="G12241" s="177" t="s">
        <v>9195</v>
      </c>
      <c r="H12241" s="127" t="s">
        <v>213</v>
      </c>
    </row>
    <row r="12242" hidden="1">
      <c r="A12242" s="177" t="s">
        <v>218</v>
      </c>
      <c r="B12242" s="127" t="s">
        <v>219</v>
      </c>
      <c r="C12242" s="127" t="s">
        <v>206</v>
      </c>
      <c r="D12242" s="177" t="s">
        <v>59</v>
      </c>
      <c r="E12242" s="177" t="s">
        <v>14924</v>
      </c>
      <c r="F12242" s="177" t="s">
        <v>323</v>
      </c>
      <c r="G12242" s="177" t="s">
        <v>9504</v>
      </c>
      <c r="H12242" s="127" t="s">
        <v>214</v>
      </c>
    </row>
    <row r="12243" hidden="1">
      <c r="A12243" s="177" t="s">
        <v>218</v>
      </c>
      <c r="B12243" s="127" t="s">
        <v>219</v>
      </c>
      <c r="C12243" s="127" t="s">
        <v>206</v>
      </c>
      <c r="D12243" s="177" t="s">
        <v>59</v>
      </c>
      <c r="E12243" s="177" t="s">
        <v>14925</v>
      </c>
      <c r="F12243" s="177" t="s">
        <v>314</v>
      </c>
      <c r="G12243" s="177" t="s">
        <v>14926</v>
      </c>
      <c r="H12243" s="127" t="s">
        <v>215</v>
      </c>
    </row>
    <row r="12244" hidden="1">
      <c r="A12244" s="177" t="s">
        <v>218</v>
      </c>
      <c r="B12244" s="127" t="s">
        <v>219</v>
      </c>
      <c r="C12244" s="127" t="s">
        <v>206</v>
      </c>
      <c r="D12244" s="177" t="s">
        <v>59</v>
      </c>
      <c r="E12244" s="177" t="s">
        <v>14927</v>
      </c>
      <c r="F12244" s="177" t="s">
        <v>314</v>
      </c>
      <c r="G12244" s="177" t="s">
        <v>10087</v>
      </c>
      <c r="H12244" s="127" t="s">
        <v>216</v>
      </c>
    </row>
    <row r="12245" hidden="1">
      <c r="A12245" s="177" t="s">
        <v>220</v>
      </c>
      <c r="B12245" s="127" t="s">
        <v>190</v>
      </c>
      <c r="C12245" s="127" t="s">
        <v>206</v>
      </c>
      <c r="D12245" s="177" t="s">
        <v>59</v>
      </c>
      <c r="E12245" s="177" t="s">
        <v>14928</v>
      </c>
      <c r="F12245" s="177" t="s">
        <v>5561</v>
      </c>
      <c r="G12245" s="177" t="s">
        <v>5821</v>
      </c>
      <c r="H12245" s="127" t="s">
        <v>210</v>
      </c>
    </row>
    <row r="12246" hidden="1">
      <c r="A12246" s="177" t="s">
        <v>220</v>
      </c>
      <c r="B12246" s="127" t="s">
        <v>190</v>
      </c>
      <c r="C12246" s="127" t="s">
        <v>206</v>
      </c>
      <c r="D12246" s="177" t="s">
        <v>59</v>
      </c>
      <c r="E12246" s="177" t="s">
        <v>14929</v>
      </c>
      <c r="F12246" s="177" t="s">
        <v>265</v>
      </c>
      <c r="G12246" s="177" t="s">
        <v>4075</v>
      </c>
      <c r="H12246" s="127" t="s">
        <v>211</v>
      </c>
    </row>
    <row r="12247" hidden="1">
      <c r="A12247" s="177" t="s">
        <v>220</v>
      </c>
      <c r="B12247" s="127" t="s">
        <v>190</v>
      </c>
      <c r="C12247" s="127" t="s">
        <v>206</v>
      </c>
      <c r="D12247" s="177" t="s">
        <v>59</v>
      </c>
      <c r="E12247" s="177" t="s">
        <v>14930</v>
      </c>
      <c r="F12247" s="177" t="s">
        <v>301</v>
      </c>
      <c r="G12247" s="177" t="s">
        <v>2001</v>
      </c>
      <c r="H12247" s="127" t="s">
        <v>212</v>
      </c>
    </row>
    <row r="12248" hidden="1">
      <c r="A12248" s="177" t="s">
        <v>220</v>
      </c>
      <c r="B12248" s="127" t="s">
        <v>190</v>
      </c>
      <c r="C12248" s="127" t="s">
        <v>206</v>
      </c>
      <c r="D12248" s="177" t="s">
        <v>59</v>
      </c>
      <c r="E12248" s="177" t="s">
        <v>14931</v>
      </c>
      <c r="F12248" s="177" t="s">
        <v>492</v>
      </c>
      <c r="G12248" s="177" t="s">
        <v>4178</v>
      </c>
      <c r="H12248" s="127" t="s">
        <v>213</v>
      </c>
    </row>
    <row r="12249" hidden="1">
      <c r="A12249" s="177" t="s">
        <v>220</v>
      </c>
      <c r="B12249" s="127" t="s">
        <v>190</v>
      </c>
      <c r="C12249" s="127" t="s">
        <v>206</v>
      </c>
      <c r="D12249" s="177" t="s">
        <v>59</v>
      </c>
      <c r="E12249" s="177" t="s">
        <v>14932</v>
      </c>
      <c r="F12249" s="177" t="s">
        <v>255</v>
      </c>
      <c r="G12249" s="177" t="s">
        <v>3440</v>
      </c>
      <c r="H12249" s="127" t="s">
        <v>214</v>
      </c>
    </row>
    <row r="12250" hidden="1">
      <c r="A12250" s="177" t="s">
        <v>220</v>
      </c>
      <c r="B12250" s="127" t="s">
        <v>190</v>
      </c>
      <c r="C12250" s="127" t="s">
        <v>206</v>
      </c>
      <c r="D12250" s="177" t="s">
        <v>59</v>
      </c>
      <c r="E12250" s="177" t="s">
        <v>14933</v>
      </c>
      <c r="F12250" s="177" t="s">
        <v>269</v>
      </c>
      <c r="G12250" s="177" t="s">
        <v>9442</v>
      </c>
      <c r="H12250" s="127" t="s">
        <v>215</v>
      </c>
    </row>
    <row r="12251" hidden="1">
      <c r="A12251" s="177" t="s">
        <v>220</v>
      </c>
      <c r="B12251" s="127" t="s">
        <v>190</v>
      </c>
      <c r="C12251" s="127" t="s">
        <v>206</v>
      </c>
      <c r="D12251" s="177" t="s">
        <v>59</v>
      </c>
      <c r="E12251" s="177" t="s">
        <v>14934</v>
      </c>
      <c r="F12251" s="177" t="s">
        <v>1551</v>
      </c>
      <c r="G12251" s="177" t="s">
        <v>1785</v>
      </c>
      <c r="H12251" s="127" t="s">
        <v>216</v>
      </c>
    </row>
    <row r="12252" hidden="1">
      <c r="A12252" s="177" t="s">
        <v>221</v>
      </c>
      <c r="B12252" s="127" t="s">
        <v>189</v>
      </c>
      <c r="C12252" s="127" t="s">
        <v>206</v>
      </c>
      <c r="D12252" s="177" t="s">
        <v>59</v>
      </c>
      <c r="E12252" s="177" t="s">
        <v>14935</v>
      </c>
      <c r="F12252" s="177" t="s">
        <v>285</v>
      </c>
      <c r="G12252" s="177" t="s">
        <v>14936</v>
      </c>
      <c r="H12252" s="127" t="s">
        <v>210</v>
      </c>
    </row>
    <row r="12253" hidden="1">
      <c r="A12253" s="177" t="s">
        <v>221</v>
      </c>
      <c r="B12253" s="127" t="s">
        <v>189</v>
      </c>
      <c r="C12253" s="127" t="s">
        <v>206</v>
      </c>
      <c r="D12253" s="177" t="s">
        <v>59</v>
      </c>
      <c r="E12253" s="177" t="s">
        <v>14937</v>
      </c>
      <c r="F12253" s="177" t="s">
        <v>760</v>
      </c>
      <c r="G12253" s="177" t="s">
        <v>12406</v>
      </c>
      <c r="H12253" s="127" t="s">
        <v>211</v>
      </c>
    </row>
    <row r="12254" hidden="1">
      <c r="A12254" s="177" t="s">
        <v>221</v>
      </c>
      <c r="B12254" s="127" t="s">
        <v>189</v>
      </c>
      <c r="C12254" s="127" t="s">
        <v>206</v>
      </c>
      <c r="D12254" s="177" t="s">
        <v>59</v>
      </c>
      <c r="E12254" s="177" t="s">
        <v>14938</v>
      </c>
      <c r="F12254" s="177" t="s">
        <v>718</v>
      </c>
      <c r="G12254" s="177" t="s">
        <v>14269</v>
      </c>
      <c r="H12254" s="127" t="s">
        <v>212</v>
      </c>
    </row>
    <row r="12255" hidden="1">
      <c r="A12255" s="177" t="s">
        <v>221</v>
      </c>
      <c r="B12255" s="127" t="s">
        <v>189</v>
      </c>
      <c r="C12255" s="127" t="s">
        <v>206</v>
      </c>
      <c r="D12255" s="177" t="s">
        <v>59</v>
      </c>
      <c r="E12255" s="177" t="s">
        <v>14939</v>
      </c>
      <c r="F12255" s="177" t="s">
        <v>1999</v>
      </c>
      <c r="G12255" s="177" t="s">
        <v>14940</v>
      </c>
      <c r="H12255" s="127" t="s">
        <v>213</v>
      </c>
    </row>
    <row r="12256" hidden="1">
      <c r="A12256" s="177" t="s">
        <v>221</v>
      </c>
      <c r="B12256" s="127" t="s">
        <v>189</v>
      </c>
      <c r="C12256" s="127" t="s">
        <v>206</v>
      </c>
      <c r="D12256" s="177" t="s">
        <v>59</v>
      </c>
      <c r="E12256" s="177" t="s">
        <v>14941</v>
      </c>
      <c r="F12256" s="177" t="s">
        <v>310</v>
      </c>
      <c r="G12256" s="177" t="s">
        <v>12516</v>
      </c>
      <c r="H12256" s="127" t="s">
        <v>214</v>
      </c>
    </row>
    <row r="12257" hidden="1">
      <c r="A12257" s="177" t="s">
        <v>221</v>
      </c>
      <c r="B12257" s="127" t="s">
        <v>189</v>
      </c>
      <c r="C12257" s="127" t="s">
        <v>206</v>
      </c>
      <c r="D12257" s="177" t="s">
        <v>59</v>
      </c>
      <c r="E12257" s="177" t="s">
        <v>14942</v>
      </c>
      <c r="F12257" s="177" t="s">
        <v>483</v>
      </c>
      <c r="G12257" s="177" t="s">
        <v>14943</v>
      </c>
      <c r="H12257" s="127" t="s">
        <v>215</v>
      </c>
    </row>
    <row r="12258" hidden="1">
      <c r="A12258" s="177" t="s">
        <v>221</v>
      </c>
      <c r="B12258" s="127" t="s">
        <v>189</v>
      </c>
      <c r="C12258" s="127" t="s">
        <v>206</v>
      </c>
      <c r="D12258" s="177" t="s">
        <v>59</v>
      </c>
      <c r="E12258" s="177" t="s">
        <v>14944</v>
      </c>
      <c r="F12258" s="177" t="s">
        <v>483</v>
      </c>
      <c r="G12258" s="177" t="s">
        <v>14024</v>
      </c>
      <c r="H12258" s="127" t="s">
        <v>216</v>
      </c>
    </row>
    <row r="12259" hidden="1">
      <c r="A12259" s="177" t="s">
        <v>222</v>
      </c>
      <c r="B12259" s="127" t="s">
        <v>192</v>
      </c>
      <c r="C12259" s="127" t="s">
        <v>206</v>
      </c>
      <c r="D12259" s="177" t="s">
        <v>59</v>
      </c>
      <c r="E12259" s="177" t="s">
        <v>14945</v>
      </c>
      <c r="F12259" s="177" t="s">
        <v>246</v>
      </c>
      <c r="G12259" s="177" t="s">
        <v>3618</v>
      </c>
      <c r="H12259" s="127" t="s">
        <v>210</v>
      </c>
    </row>
    <row r="12260" hidden="1">
      <c r="A12260" s="177" t="s">
        <v>222</v>
      </c>
      <c r="B12260" s="127" t="s">
        <v>192</v>
      </c>
      <c r="C12260" s="127" t="s">
        <v>206</v>
      </c>
      <c r="D12260" s="177" t="s">
        <v>59</v>
      </c>
      <c r="E12260" s="177" t="s">
        <v>14946</v>
      </c>
      <c r="F12260" s="177" t="s">
        <v>257</v>
      </c>
      <c r="G12260" s="177" t="s">
        <v>4034</v>
      </c>
      <c r="H12260" s="127" t="s">
        <v>211</v>
      </c>
    </row>
    <row r="12261" hidden="1">
      <c r="A12261" s="177" t="s">
        <v>222</v>
      </c>
      <c r="B12261" s="127" t="s">
        <v>192</v>
      </c>
      <c r="C12261" s="127" t="s">
        <v>206</v>
      </c>
      <c r="D12261" s="177" t="s">
        <v>59</v>
      </c>
      <c r="E12261" s="177" t="s">
        <v>14947</v>
      </c>
      <c r="F12261" s="177" t="s">
        <v>287</v>
      </c>
      <c r="G12261" s="177" t="s">
        <v>2519</v>
      </c>
      <c r="H12261" s="127" t="s">
        <v>212</v>
      </c>
    </row>
    <row r="12262" hidden="1">
      <c r="A12262" s="177" t="s">
        <v>222</v>
      </c>
      <c r="B12262" s="127" t="s">
        <v>192</v>
      </c>
      <c r="C12262" s="127" t="s">
        <v>206</v>
      </c>
      <c r="D12262" s="177" t="s">
        <v>59</v>
      </c>
      <c r="E12262" s="177" t="s">
        <v>14948</v>
      </c>
      <c r="F12262" s="177" t="s">
        <v>242</v>
      </c>
      <c r="G12262" s="177" t="s">
        <v>3941</v>
      </c>
      <c r="H12262" s="127" t="s">
        <v>213</v>
      </c>
    </row>
    <row r="12263" hidden="1">
      <c r="A12263" s="177" t="s">
        <v>222</v>
      </c>
      <c r="B12263" s="127" t="s">
        <v>192</v>
      </c>
      <c r="C12263" s="127" t="s">
        <v>206</v>
      </c>
      <c r="D12263" s="177" t="s">
        <v>59</v>
      </c>
      <c r="E12263" s="177" t="s">
        <v>14949</v>
      </c>
      <c r="F12263" s="177" t="s">
        <v>314</v>
      </c>
      <c r="G12263" s="177" t="s">
        <v>3917</v>
      </c>
      <c r="H12263" s="127" t="s">
        <v>214</v>
      </c>
    </row>
    <row r="12264" hidden="1">
      <c r="A12264" s="177" t="s">
        <v>222</v>
      </c>
      <c r="B12264" s="127" t="s">
        <v>192</v>
      </c>
      <c r="C12264" s="127" t="s">
        <v>206</v>
      </c>
      <c r="D12264" s="177" t="s">
        <v>59</v>
      </c>
      <c r="E12264" s="177" t="s">
        <v>14950</v>
      </c>
      <c r="F12264" s="177" t="s">
        <v>244</v>
      </c>
      <c r="G12264" s="177" t="s">
        <v>2008</v>
      </c>
      <c r="H12264" s="127" t="s">
        <v>215</v>
      </c>
    </row>
    <row r="12265" hidden="1">
      <c r="A12265" s="177" t="s">
        <v>222</v>
      </c>
      <c r="B12265" s="127" t="s">
        <v>192</v>
      </c>
      <c r="C12265" s="127" t="s">
        <v>206</v>
      </c>
      <c r="D12265" s="177" t="s">
        <v>59</v>
      </c>
      <c r="E12265" s="177" t="s">
        <v>14951</v>
      </c>
      <c r="F12265" s="177" t="s">
        <v>246</v>
      </c>
      <c r="G12265" s="177" t="s">
        <v>2352</v>
      </c>
      <c r="H12265" s="127" t="s">
        <v>216</v>
      </c>
    </row>
    <row r="12266" hidden="1">
      <c r="A12266" s="177" t="s">
        <v>223</v>
      </c>
      <c r="B12266" s="127" t="s">
        <v>144</v>
      </c>
      <c r="C12266" s="127" t="s">
        <v>206</v>
      </c>
      <c r="D12266" s="177" t="s">
        <v>59</v>
      </c>
      <c r="E12266" s="177" t="s">
        <v>14952</v>
      </c>
      <c r="F12266" s="177" t="s">
        <v>249</v>
      </c>
      <c r="G12266" s="177" t="s">
        <v>10382</v>
      </c>
      <c r="H12266" s="127" t="s">
        <v>210</v>
      </c>
    </row>
    <row r="12267" hidden="1">
      <c r="A12267" s="177" t="s">
        <v>223</v>
      </c>
      <c r="B12267" s="127" t="s">
        <v>144</v>
      </c>
      <c r="C12267" s="127" t="s">
        <v>206</v>
      </c>
      <c r="D12267" s="177" t="s">
        <v>59</v>
      </c>
      <c r="E12267" s="177" t="s">
        <v>14953</v>
      </c>
      <c r="F12267" s="177" t="s">
        <v>323</v>
      </c>
      <c r="G12267" s="177" t="s">
        <v>10057</v>
      </c>
      <c r="H12267" s="127" t="s">
        <v>211</v>
      </c>
    </row>
    <row r="12268" hidden="1">
      <c r="A12268" s="177" t="s">
        <v>223</v>
      </c>
      <c r="B12268" s="127" t="s">
        <v>144</v>
      </c>
      <c r="C12268" s="127" t="s">
        <v>206</v>
      </c>
      <c r="D12268" s="177" t="s">
        <v>59</v>
      </c>
      <c r="E12268" s="177" t="s">
        <v>14954</v>
      </c>
      <c r="F12268" s="177" t="s">
        <v>357</v>
      </c>
      <c r="G12268" s="177" t="s">
        <v>9800</v>
      </c>
      <c r="H12268" s="127" t="s">
        <v>212</v>
      </c>
    </row>
    <row r="12269" hidden="1">
      <c r="A12269" s="177" t="s">
        <v>223</v>
      </c>
      <c r="B12269" s="127" t="s">
        <v>144</v>
      </c>
      <c r="C12269" s="127" t="s">
        <v>206</v>
      </c>
      <c r="D12269" s="177" t="s">
        <v>59</v>
      </c>
      <c r="E12269" s="177" t="s">
        <v>14955</v>
      </c>
      <c r="F12269" s="177" t="s">
        <v>290</v>
      </c>
      <c r="G12269" s="177" t="s">
        <v>10215</v>
      </c>
      <c r="H12269" s="127" t="s">
        <v>213</v>
      </c>
    </row>
    <row r="12270" hidden="1">
      <c r="A12270" s="177" t="s">
        <v>223</v>
      </c>
      <c r="B12270" s="127" t="s">
        <v>144</v>
      </c>
      <c r="C12270" s="127" t="s">
        <v>206</v>
      </c>
      <c r="D12270" s="177" t="s">
        <v>59</v>
      </c>
      <c r="E12270" s="177" t="s">
        <v>14956</v>
      </c>
      <c r="F12270" s="177" t="s">
        <v>242</v>
      </c>
      <c r="G12270" s="177" t="s">
        <v>9442</v>
      </c>
      <c r="H12270" s="127" t="s">
        <v>214</v>
      </c>
    </row>
    <row r="12271" hidden="1">
      <c r="A12271" s="177" t="s">
        <v>223</v>
      </c>
      <c r="B12271" s="127" t="s">
        <v>144</v>
      </c>
      <c r="C12271" s="127" t="s">
        <v>206</v>
      </c>
      <c r="D12271" s="177" t="s">
        <v>59</v>
      </c>
      <c r="E12271" s="177" t="s">
        <v>14957</v>
      </c>
      <c r="F12271" s="177" t="s">
        <v>310</v>
      </c>
      <c r="G12271" s="177" t="s">
        <v>9488</v>
      </c>
      <c r="H12271" s="127" t="s">
        <v>215</v>
      </c>
    </row>
    <row r="12272" hidden="1">
      <c r="A12272" s="177" t="s">
        <v>223</v>
      </c>
      <c r="B12272" s="127" t="s">
        <v>144</v>
      </c>
      <c r="C12272" s="127" t="s">
        <v>206</v>
      </c>
      <c r="D12272" s="177" t="s">
        <v>59</v>
      </c>
      <c r="E12272" s="177" t="s">
        <v>14958</v>
      </c>
      <c r="F12272" s="177" t="s">
        <v>314</v>
      </c>
      <c r="G12272" s="177" t="s">
        <v>10314</v>
      </c>
      <c r="H12272" s="127" t="s">
        <v>216</v>
      </c>
    </row>
    <row r="12273" hidden="1">
      <c r="A12273" s="177" t="s">
        <v>224</v>
      </c>
      <c r="B12273" s="127" t="s">
        <v>170</v>
      </c>
      <c r="C12273" s="127" t="s">
        <v>206</v>
      </c>
      <c r="D12273" s="177" t="s">
        <v>59</v>
      </c>
      <c r="E12273" s="177" t="s">
        <v>14959</v>
      </c>
      <c r="F12273" s="177" t="s">
        <v>265</v>
      </c>
      <c r="G12273" s="177" t="s">
        <v>11401</v>
      </c>
      <c r="H12273" s="127" t="s">
        <v>210</v>
      </c>
    </row>
    <row r="12274" hidden="1">
      <c r="A12274" s="177" t="s">
        <v>224</v>
      </c>
      <c r="B12274" s="127" t="s">
        <v>170</v>
      </c>
      <c r="C12274" s="127" t="s">
        <v>206</v>
      </c>
      <c r="D12274" s="177" t="s">
        <v>59</v>
      </c>
      <c r="E12274" s="177" t="s">
        <v>14960</v>
      </c>
      <c r="F12274" s="177" t="s">
        <v>269</v>
      </c>
      <c r="G12274" s="177" t="s">
        <v>9210</v>
      </c>
      <c r="H12274" s="127" t="s">
        <v>211</v>
      </c>
    </row>
    <row r="12275" hidden="1">
      <c r="A12275" s="177" t="s">
        <v>224</v>
      </c>
      <c r="B12275" s="127" t="s">
        <v>170</v>
      </c>
      <c r="C12275" s="127" t="s">
        <v>206</v>
      </c>
      <c r="D12275" s="177" t="s">
        <v>59</v>
      </c>
      <c r="E12275" s="177" t="s">
        <v>14961</v>
      </c>
      <c r="F12275" s="177" t="s">
        <v>450</v>
      </c>
      <c r="G12275" s="177" t="s">
        <v>10082</v>
      </c>
      <c r="H12275" s="127" t="s">
        <v>212</v>
      </c>
    </row>
    <row r="12276" hidden="1">
      <c r="A12276" s="177" t="s">
        <v>224</v>
      </c>
      <c r="B12276" s="127" t="s">
        <v>170</v>
      </c>
      <c r="C12276" s="127" t="s">
        <v>206</v>
      </c>
      <c r="D12276" s="177" t="s">
        <v>59</v>
      </c>
      <c r="E12276" s="177" t="s">
        <v>14962</v>
      </c>
      <c r="F12276" s="177" t="s">
        <v>323</v>
      </c>
      <c r="G12276" s="177" t="s">
        <v>10145</v>
      </c>
      <c r="H12276" s="127" t="s">
        <v>213</v>
      </c>
    </row>
    <row r="12277" hidden="1">
      <c r="A12277" s="177" t="s">
        <v>224</v>
      </c>
      <c r="B12277" s="127" t="s">
        <v>170</v>
      </c>
      <c r="C12277" s="127" t="s">
        <v>206</v>
      </c>
      <c r="D12277" s="177" t="s">
        <v>59</v>
      </c>
      <c r="E12277" s="177" t="s">
        <v>14963</v>
      </c>
      <c r="F12277" s="177" t="s">
        <v>265</v>
      </c>
      <c r="G12277" s="177" t="s">
        <v>9796</v>
      </c>
      <c r="H12277" s="127" t="s">
        <v>214</v>
      </c>
    </row>
    <row r="12278" hidden="1">
      <c r="A12278" s="177" t="s">
        <v>224</v>
      </c>
      <c r="B12278" s="127" t="s">
        <v>170</v>
      </c>
      <c r="C12278" s="127" t="s">
        <v>206</v>
      </c>
      <c r="D12278" s="177" t="s">
        <v>59</v>
      </c>
      <c r="E12278" s="177" t="s">
        <v>14964</v>
      </c>
      <c r="F12278" s="177" t="s">
        <v>365</v>
      </c>
      <c r="G12278" s="177" t="s">
        <v>4231</v>
      </c>
      <c r="H12278" s="127" t="s">
        <v>215</v>
      </c>
    </row>
    <row r="12279" hidden="1">
      <c r="A12279" s="177" t="s">
        <v>224</v>
      </c>
      <c r="B12279" s="127" t="s">
        <v>170</v>
      </c>
      <c r="C12279" s="127" t="s">
        <v>206</v>
      </c>
      <c r="D12279" s="177" t="s">
        <v>59</v>
      </c>
      <c r="E12279" s="177" t="s">
        <v>14965</v>
      </c>
      <c r="F12279" s="177" t="s">
        <v>269</v>
      </c>
      <c r="G12279" s="177" t="s">
        <v>9492</v>
      </c>
      <c r="H12279" s="127" t="s">
        <v>216</v>
      </c>
    </row>
    <row r="12280" hidden="1">
      <c r="A12280" s="177" t="s">
        <v>225</v>
      </c>
      <c r="B12280" s="127" t="s">
        <v>226</v>
      </c>
      <c r="C12280" s="127" t="s">
        <v>206</v>
      </c>
      <c r="D12280" s="177" t="s">
        <v>59</v>
      </c>
      <c r="E12280" s="177" t="s">
        <v>14966</v>
      </c>
      <c r="F12280" s="177" t="s">
        <v>249</v>
      </c>
      <c r="G12280" s="177" t="s">
        <v>12203</v>
      </c>
      <c r="H12280" s="127" t="s">
        <v>210</v>
      </c>
    </row>
    <row r="12281" hidden="1">
      <c r="A12281" s="177" t="s">
        <v>225</v>
      </c>
      <c r="B12281" s="127" t="s">
        <v>226</v>
      </c>
      <c r="C12281" s="127" t="s">
        <v>206</v>
      </c>
      <c r="D12281" s="177" t="s">
        <v>59</v>
      </c>
      <c r="E12281" s="177" t="s">
        <v>14967</v>
      </c>
      <c r="F12281" s="177" t="s">
        <v>323</v>
      </c>
      <c r="G12281" s="177" t="s">
        <v>10706</v>
      </c>
      <c r="H12281" s="127" t="s">
        <v>211</v>
      </c>
    </row>
    <row r="12282" hidden="1">
      <c r="A12282" s="177" t="s">
        <v>225</v>
      </c>
      <c r="B12282" s="127" t="s">
        <v>226</v>
      </c>
      <c r="C12282" s="127" t="s">
        <v>206</v>
      </c>
      <c r="D12282" s="177" t="s">
        <v>59</v>
      </c>
      <c r="E12282" s="177" t="s">
        <v>14968</v>
      </c>
      <c r="F12282" s="177" t="s">
        <v>242</v>
      </c>
      <c r="G12282" s="177" t="s">
        <v>11107</v>
      </c>
      <c r="H12282" s="127" t="s">
        <v>212</v>
      </c>
    </row>
    <row r="12283" hidden="1">
      <c r="A12283" s="177" t="s">
        <v>225</v>
      </c>
      <c r="B12283" s="127" t="s">
        <v>226</v>
      </c>
      <c r="C12283" s="127" t="s">
        <v>206</v>
      </c>
      <c r="D12283" s="177" t="s">
        <v>59</v>
      </c>
      <c r="E12283" s="177" t="s">
        <v>14969</v>
      </c>
      <c r="F12283" s="177" t="s">
        <v>359</v>
      </c>
      <c r="G12283" s="177" t="s">
        <v>10851</v>
      </c>
      <c r="H12283" s="127" t="s">
        <v>213</v>
      </c>
    </row>
    <row r="12284" hidden="1">
      <c r="A12284" s="177" t="s">
        <v>225</v>
      </c>
      <c r="B12284" s="127" t="s">
        <v>226</v>
      </c>
      <c r="C12284" s="127" t="s">
        <v>206</v>
      </c>
      <c r="D12284" s="177" t="s">
        <v>59</v>
      </c>
      <c r="E12284" s="177" t="s">
        <v>14970</v>
      </c>
      <c r="F12284" s="177" t="s">
        <v>321</v>
      </c>
      <c r="G12284" s="177" t="s">
        <v>11178</v>
      </c>
      <c r="H12284" s="127" t="s">
        <v>214</v>
      </c>
    </row>
    <row r="12285" hidden="1">
      <c r="A12285" s="177" t="s">
        <v>225</v>
      </c>
      <c r="B12285" s="127" t="s">
        <v>226</v>
      </c>
      <c r="C12285" s="127" t="s">
        <v>206</v>
      </c>
      <c r="D12285" s="177" t="s">
        <v>59</v>
      </c>
      <c r="E12285" s="177" t="s">
        <v>14971</v>
      </c>
      <c r="F12285" s="177" t="s">
        <v>365</v>
      </c>
      <c r="G12285" s="177" t="s">
        <v>11659</v>
      </c>
      <c r="H12285" s="127" t="s">
        <v>215</v>
      </c>
    </row>
    <row r="12286" hidden="1">
      <c r="A12286" s="177" t="s">
        <v>225</v>
      </c>
      <c r="B12286" s="127" t="s">
        <v>226</v>
      </c>
      <c r="C12286" s="127" t="s">
        <v>206</v>
      </c>
      <c r="D12286" s="177" t="s">
        <v>59</v>
      </c>
      <c r="E12286" s="177" t="s">
        <v>14972</v>
      </c>
      <c r="F12286" s="177" t="s">
        <v>359</v>
      </c>
      <c r="G12286" s="177" t="s">
        <v>11889</v>
      </c>
      <c r="H12286" s="127" t="s">
        <v>216</v>
      </c>
    </row>
    <row r="12287" hidden="1">
      <c r="A12287" s="177" t="s">
        <v>227</v>
      </c>
      <c r="B12287" s="127" t="s">
        <v>195</v>
      </c>
      <c r="C12287" s="127" t="s">
        <v>206</v>
      </c>
      <c r="D12287" s="177" t="s">
        <v>59</v>
      </c>
      <c r="E12287" s="177" t="s">
        <v>14973</v>
      </c>
      <c r="F12287" s="177" t="s">
        <v>308</v>
      </c>
      <c r="G12287" s="177" t="s">
        <v>9197</v>
      </c>
      <c r="H12287" s="127" t="s">
        <v>210</v>
      </c>
    </row>
    <row r="12288" hidden="1">
      <c r="A12288" s="177" t="s">
        <v>227</v>
      </c>
      <c r="B12288" s="127" t="s">
        <v>195</v>
      </c>
      <c r="C12288" s="127" t="s">
        <v>206</v>
      </c>
      <c r="D12288" s="177" t="s">
        <v>59</v>
      </c>
      <c r="E12288" s="177" t="s">
        <v>14974</v>
      </c>
      <c r="F12288" s="177" t="s">
        <v>365</v>
      </c>
      <c r="G12288" s="177" t="s">
        <v>4653</v>
      </c>
      <c r="H12288" s="127" t="s">
        <v>211</v>
      </c>
    </row>
    <row r="12289" hidden="1">
      <c r="A12289" s="177" t="s">
        <v>227</v>
      </c>
      <c r="B12289" s="127" t="s">
        <v>195</v>
      </c>
      <c r="C12289" s="127" t="s">
        <v>206</v>
      </c>
      <c r="D12289" s="177" t="s">
        <v>59</v>
      </c>
      <c r="E12289" s="177" t="s">
        <v>14975</v>
      </c>
      <c r="F12289" s="177" t="s">
        <v>242</v>
      </c>
      <c r="G12289" s="177" t="s">
        <v>9787</v>
      </c>
      <c r="H12289" s="127" t="s">
        <v>212</v>
      </c>
    </row>
    <row r="12290" hidden="1">
      <c r="A12290" s="177" t="s">
        <v>227</v>
      </c>
      <c r="B12290" s="127" t="s">
        <v>195</v>
      </c>
      <c r="C12290" s="127" t="s">
        <v>206</v>
      </c>
      <c r="D12290" s="177" t="s">
        <v>59</v>
      </c>
      <c r="E12290" s="177" t="s">
        <v>14976</v>
      </c>
      <c r="F12290" s="177" t="s">
        <v>323</v>
      </c>
      <c r="G12290" s="177" t="s">
        <v>9555</v>
      </c>
      <c r="H12290" s="127" t="s">
        <v>213</v>
      </c>
    </row>
    <row r="12291" hidden="1">
      <c r="A12291" s="177" t="s">
        <v>227</v>
      </c>
      <c r="B12291" s="127" t="s">
        <v>195</v>
      </c>
      <c r="C12291" s="127" t="s">
        <v>206</v>
      </c>
      <c r="D12291" s="177" t="s">
        <v>59</v>
      </c>
      <c r="E12291" s="177" t="s">
        <v>14977</v>
      </c>
      <c r="F12291" s="177" t="s">
        <v>325</v>
      </c>
      <c r="G12291" s="177" t="s">
        <v>7597</v>
      </c>
      <c r="H12291" s="127" t="s">
        <v>214</v>
      </c>
    </row>
    <row r="12292" hidden="1">
      <c r="A12292" s="177" t="s">
        <v>227</v>
      </c>
      <c r="B12292" s="127" t="s">
        <v>195</v>
      </c>
      <c r="C12292" s="127" t="s">
        <v>206</v>
      </c>
      <c r="D12292" s="177" t="s">
        <v>59</v>
      </c>
      <c r="E12292" s="177" t="s">
        <v>14978</v>
      </c>
      <c r="F12292" s="177" t="s">
        <v>249</v>
      </c>
      <c r="G12292" s="177" t="s">
        <v>9391</v>
      </c>
      <c r="H12292" s="127" t="s">
        <v>215</v>
      </c>
    </row>
    <row r="12293" hidden="1">
      <c r="A12293" s="177" t="s">
        <v>227</v>
      </c>
      <c r="B12293" s="127" t="s">
        <v>195</v>
      </c>
      <c r="C12293" s="127" t="s">
        <v>206</v>
      </c>
      <c r="D12293" s="177" t="s">
        <v>59</v>
      </c>
      <c r="E12293" s="177" t="s">
        <v>14979</v>
      </c>
      <c r="F12293" s="177" t="s">
        <v>321</v>
      </c>
      <c r="G12293" s="177" t="s">
        <v>5301</v>
      </c>
      <c r="H12293" s="127" t="s">
        <v>216</v>
      </c>
    </row>
    <row r="12294" hidden="1">
      <c r="A12294" s="177" t="s">
        <v>228</v>
      </c>
      <c r="B12294" s="127" t="s">
        <v>138</v>
      </c>
      <c r="C12294" s="127" t="s">
        <v>206</v>
      </c>
      <c r="D12294" s="177" t="s">
        <v>59</v>
      </c>
      <c r="E12294" s="177" t="s">
        <v>14980</v>
      </c>
      <c r="F12294" s="177" t="s">
        <v>298</v>
      </c>
      <c r="G12294" s="177" t="s">
        <v>14437</v>
      </c>
      <c r="H12294" s="127" t="s">
        <v>210</v>
      </c>
    </row>
    <row r="12295" hidden="1">
      <c r="A12295" s="177" t="s">
        <v>228</v>
      </c>
      <c r="B12295" s="127" t="s">
        <v>138</v>
      </c>
      <c r="C12295" s="127" t="s">
        <v>206</v>
      </c>
      <c r="D12295" s="177" t="s">
        <v>59</v>
      </c>
      <c r="E12295" s="177" t="s">
        <v>14981</v>
      </c>
      <c r="F12295" s="177" t="s">
        <v>298</v>
      </c>
      <c r="G12295" s="177" t="s">
        <v>11823</v>
      </c>
      <c r="H12295" s="127" t="s">
        <v>211</v>
      </c>
    </row>
    <row r="12296" hidden="1">
      <c r="A12296" s="177" t="s">
        <v>228</v>
      </c>
      <c r="B12296" s="127" t="s">
        <v>138</v>
      </c>
      <c r="C12296" s="127" t="s">
        <v>206</v>
      </c>
      <c r="D12296" s="177" t="s">
        <v>59</v>
      </c>
      <c r="E12296" s="177" t="s">
        <v>14982</v>
      </c>
      <c r="F12296" s="177" t="s">
        <v>329</v>
      </c>
      <c r="G12296" s="177" t="s">
        <v>12367</v>
      </c>
      <c r="H12296" s="127" t="s">
        <v>212</v>
      </c>
    </row>
    <row r="12297" hidden="1">
      <c r="A12297" s="177" t="s">
        <v>228</v>
      </c>
      <c r="B12297" s="127" t="s">
        <v>138</v>
      </c>
      <c r="C12297" s="127" t="s">
        <v>206</v>
      </c>
      <c r="D12297" s="177" t="s">
        <v>59</v>
      </c>
      <c r="E12297" s="177" t="s">
        <v>14983</v>
      </c>
      <c r="F12297" s="177" t="s">
        <v>259</v>
      </c>
      <c r="G12297" s="177" t="s">
        <v>14984</v>
      </c>
      <c r="H12297" s="127" t="s">
        <v>213</v>
      </c>
    </row>
    <row r="12298" hidden="1">
      <c r="A12298" s="177" t="s">
        <v>228</v>
      </c>
      <c r="B12298" s="127" t="s">
        <v>138</v>
      </c>
      <c r="C12298" s="127" t="s">
        <v>206</v>
      </c>
      <c r="D12298" s="177" t="s">
        <v>59</v>
      </c>
      <c r="E12298" s="177" t="s">
        <v>14985</v>
      </c>
      <c r="F12298" s="177" t="s">
        <v>276</v>
      </c>
      <c r="G12298" s="177" t="s">
        <v>14986</v>
      </c>
      <c r="H12298" s="127" t="s">
        <v>214</v>
      </c>
    </row>
    <row r="12299" hidden="1">
      <c r="A12299" s="177" t="s">
        <v>228</v>
      </c>
      <c r="B12299" s="127" t="s">
        <v>138</v>
      </c>
      <c r="C12299" s="127" t="s">
        <v>206</v>
      </c>
      <c r="D12299" s="177" t="s">
        <v>59</v>
      </c>
      <c r="E12299" s="177" t="s">
        <v>14987</v>
      </c>
      <c r="F12299" s="177" t="s">
        <v>298</v>
      </c>
      <c r="G12299" s="177" t="s">
        <v>12688</v>
      </c>
      <c r="H12299" s="127" t="s">
        <v>215</v>
      </c>
    </row>
    <row r="12300" hidden="1">
      <c r="A12300" s="177" t="s">
        <v>228</v>
      </c>
      <c r="B12300" s="127" t="s">
        <v>138</v>
      </c>
      <c r="C12300" s="127" t="s">
        <v>206</v>
      </c>
      <c r="D12300" s="177" t="s">
        <v>59</v>
      </c>
      <c r="E12300" s="177" t="s">
        <v>14988</v>
      </c>
      <c r="F12300" s="177" t="s">
        <v>262</v>
      </c>
      <c r="G12300" s="177" t="s">
        <v>14989</v>
      </c>
      <c r="H12300" s="127" t="s">
        <v>216</v>
      </c>
    </row>
    <row r="12301" hidden="1">
      <c r="A12301" s="177" t="s">
        <v>229</v>
      </c>
      <c r="B12301" s="127" t="s">
        <v>193</v>
      </c>
      <c r="C12301" s="127" t="s">
        <v>206</v>
      </c>
      <c r="D12301" s="177" t="s">
        <v>59</v>
      </c>
      <c r="E12301" s="177" t="s">
        <v>14990</v>
      </c>
      <c r="F12301" s="177" t="s">
        <v>532</v>
      </c>
      <c r="G12301" s="177" t="s">
        <v>14991</v>
      </c>
      <c r="H12301" s="127" t="s">
        <v>210</v>
      </c>
    </row>
    <row r="12302" hidden="1">
      <c r="A12302" s="177" t="s">
        <v>229</v>
      </c>
      <c r="B12302" s="127" t="s">
        <v>193</v>
      </c>
      <c r="C12302" s="127" t="s">
        <v>206</v>
      </c>
      <c r="D12302" s="177" t="s">
        <v>59</v>
      </c>
      <c r="E12302" s="177" t="s">
        <v>14992</v>
      </c>
      <c r="F12302" s="177" t="s">
        <v>1532</v>
      </c>
      <c r="G12302" s="177" t="s">
        <v>10417</v>
      </c>
      <c r="H12302" s="127" t="s">
        <v>211</v>
      </c>
    </row>
    <row r="12303" hidden="1">
      <c r="A12303" s="177" t="s">
        <v>229</v>
      </c>
      <c r="B12303" s="127" t="s">
        <v>193</v>
      </c>
      <c r="C12303" s="127" t="s">
        <v>206</v>
      </c>
      <c r="D12303" s="177" t="s">
        <v>59</v>
      </c>
      <c r="E12303" s="177" t="s">
        <v>14993</v>
      </c>
      <c r="F12303" s="177" t="s">
        <v>453</v>
      </c>
      <c r="G12303" s="177" t="s">
        <v>14994</v>
      </c>
      <c r="H12303" s="127" t="s">
        <v>212</v>
      </c>
    </row>
    <row r="12304" hidden="1">
      <c r="A12304" s="177" t="s">
        <v>229</v>
      </c>
      <c r="B12304" s="127" t="s">
        <v>193</v>
      </c>
      <c r="C12304" s="127" t="s">
        <v>206</v>
      </c>
      <c r="D12304" s="177" t="s">
        <v>59</v>
      </c>
      <c r="E12304" s="177" t="s">
        <v>14995</v>
      </c>
      <c r="F12304" s="177" t="s">
        <v>3218</v>
      </c>
      <c r="G12304" s="177" t="s">
        <v>10741</v>
      </c>
      <c r="H12304" s="127" t="s">
        <v>213</v>
      </c>
    </row>
    <row r="12305" hidden="1">
      <c r="A12305" s="177" t="s">
        <v>229</v>
      </c>
      <c r="B12305" s="127" t="s">
        <v>193</v>
      </c>
      <c r="C12305" s="127" t="s">
        <v>206</v>
      </c>
      <c r="D12305" s="177" t="s">
        <v>59</v>
      </c>
      <c r="E12305" s="177" t="s">
        <v>14996</v>
      </c>
      <c r="F12305" s="177" t="s">
        <v>453</v>
      </c>
      <c r="G12305" s="177" t="s">
        <v>9818</v>
      </c>
      <c r="H12305" s="127" t="s">
        <v>214</v>
      </c>
    </row>
    <row r="12306" hidden="1">
      <c r="A12306" s="177" t="s">
        <v>229</v>
      </c>
      <c r="B12306" s="127" t="s">
        <v>193</v>
      </c>
      <c r="C12306" s="127" t="s">
        <v>206</v>
      </c>
      <c r="D12306" s="177" t="s">
        <v>59</v>
      </c>
      <c r="E12306" s="177" t="s">
        <v>14997</v>
      </c>
      <c r="F12306" s="177" t="s">
        <v>390</v>
      </c>
      <c r="G12306" s="177" t="s">
        <v>14998</v>
      </c>
      <c r="H12306" s="127" t="s">
        <v>215</v>
      </c>
    </row>
    <row r="12307" hidden="1">
      <c r="A12307" s="177" t="s">
        <v>229</v>
      </c>
      <c r="B12307" s="127" t="s">
        <v>193</v>
      </c>
      <c r="C12307" s="127" t="s">
        <v>206</v>
      </c>
      <c r="D12307" s="177" t="s">
        <v>59</v>
      </c>
      <c r="E12307" s="177" t="s">
        <v>14999</v>
      </c>
      <c r="F12307" s="177" t="s">
        <v>1532</v>
      </c>
      <c r="G12307" s="177" t="s">
        <v>10794</v>
      </c>
      <c r="H12307" s="127" t="s">
        <v>216</v>
      </c>
    </row>
    <row r="12308" hidden="1">
      <c r="A12308" s="177" t="s">
        <v>230</v>
      </c>
      <c r="B12308" s="127" t="s">
        <v>194</v>
      </c>
      <c r="C12308" s="127" t="s">
        <v>206</v>
      </c>
      <c r="D12308" s="177" t="s">
        <v>59</v>
      </c>
      <c r="E12308" s="177" t="s">
        <v>15000</v>
      </c>
      <c r="F12308" s="177" t="s">
        <v>351</v>
      </c>
      <c r="G12308" s="177" t="s">
        <v>5175</v>
      </c>
      <c r="H12308" s="127" t="s">
        <v>210</v>
      </c>
    </row>
    <row r="12309" hidden="1">
      <c r="A12309" s="177" t="s">
        <v>230</v>
      </c>
      <c r="B12309" s="127" t="s">
        <v>194</v>
      </c>
      <c r="C12309" s="127" t="s">
        <v>206</v>
      </c>
      <c r="D12309" s="177" t="s">
        <v>59</v>
      </c>
      <c r="E12309" s="177" t="s">
        <v>15001</v>
      </c>
      <c r="F12309" s="177" t="s">
        <v>242</v>
      </c>
      <c r="G12309" s="177" t="s">
        <v>5303</v>
      </c>
      <c r="H12309" s="127" t="s">
        <v>211</v>
      </c>
    </row>
    <row r="12310" hidden="1">
      <c r="A12310" s="177" t="s">
        <v>230</v>
      </c>
      <c r="B12310" s="127" t="s">
        <v>194</v>
      </c>
      <c r="C12310" s="127" t="s">
        <v>206</v>
      </c>
      <c r="D12310" s="177" t="s">
        <v>59</v>
      </c>
      <c r="E12310" s="177" t="s">
        <v>15002</v>
      </c>
      <c r="F12310" s="177" t="s">
        <v>240</v>
      </c>
      <c r="G12310" s="177" t="s">
        <v>3535</v>
      </c>
      <c r="H12310" s="127" t="s">
        <v>212</v>
      </c>
    </row>
    <row r="12311" hidden="1">
      <c r="A12311" s="177" t="s">
        <v>230</v>
      </c>
      <c r="B12311" s="127" t="s">
        <v>194</v>
      </c>
      <c r="C12311" s="127" t="s">
        <v>206</v>
      </c>
      <c r="D12311" s="177" t="s">
        <v>59</v>
      </c>
      <c r="E12311" s="177" t="s">
        <v>15003</v>
      </c>
      <c r="F12311" s="177" t="s">
        <v>357</v>
      </c>
      <c r="G12311" s="177" t="s">
        <v>4268</v>
      </c>
      <c r="H12311" s="127" t="s">
        <v>213</v>
      </c>
    </row>
    <row r="12312" hidden="1">
      <c r="A12312" s="177" t="s">
        <v>230</v>
      </c>
      <c r="B12312" s="127" t="s">
        <v>194</v>
      </c>
      <c r="C12312" s="127" t="s">
        <v>206</v>
      </c>
      <c r="D12312" s="177" t="s">
        <v>59</v>
      </c>
      <c r="E12312" s="177" t="s">
        <v>15004</v>
      </c>
      <c r="F12312" s="177" t="s">
        <v>285</v>
      </c>
      <c r="G12312" s="177" t="s">
        <v>5039</v>
      </c>
      <c r="H12312" s="127" t="s">
        <v>214</v>
      </c>
    </row>
    <row r="12313" hidden="1">
      <c r="A12313" s="177" t="s">
        <v>230</v>
      </c>
      <c r="B12313" s="127" t="s">
        <v>194</v>
      </c>
      <c r="C12313" s="127" t="s">
        <v>206</v>
      </c>
      <c r="D12313" s="177" t="s">
        <v>59</v>
      </c>
      <c r="E12313" s="177" t="s">
        <v>15005</v>
      </c>
      <c r="F12313" s="177" t="s">
        <v>357</v>
      </c>
      <c r="G12313" s="177" t="s">
        <v>9829</v>
      </c>
      <c r="H12313" s="127" t="s">
        <v>215</v>
      </c>
    </row>
    <row r="12314" hidden="1">
      <c r="A12314" s="177" t="s">
        <v>230</v>
      </c>
      <c r="B12314" s="127" t="s">
        <v>194</v>
      </c>
      <c r="C12314" s="127" t="s">
        <v>206</v>
      </c>
      <c r="D12314" s="177" t="s">
        <v>59</v>
      </c>
      <c r="E12314" s="177" t="s">
        <v>15006</v>
      </c>
      <c r="F12314" s="177" t="s">
        <v>321</v>
      </c>
      <c r="G12314" s="177" t="s">
        <v>5301</v>
      </c>
      <c r="H12314" s="127" t="s">
        <v>216</v>
      </c>
    </row>
    <row r="12315" hidden="1">
      <c r="A12315" s="127" t="s">
        <v>231</v>
      </c>
      <c r="C12315" s="127" t="s">
        <v>232</v>
      </c>
      <c r="D12315" s="177" t="s">
        <v>59</v>
      </c>
      <c r="E12315" s="177" t="s">
        <v>15007</v>
      </c>
      <c r="F12315" s="177" t="s">
        <v>262</v>
      </c>
      <c r="G12315" s="177" t="s">
        <v>4026</v>
      </c>
      <c r="H12315" s="127" t="s">
        <v>210</v>
      </c>
    </row>
    <row r="12316" hidden="1">
      <c r="A12316" s="127" t="s">
        <v>231</v>
      </c>
      <c r="C12316" s="127" t="s">
        <v>232</v>
      </c>
      <c r="D12316" s="177" t="s">
        <v>59</v>
      </c>
      <c r="E12316" s="177" t="s">
        <v>15008</v>
      </c>
      <c r="F12316" s="177" t="s">
        <v>265</v>
      </c>
      <c r="G12316" s="177" t="s">
        <v>4178</v>
      </c>
      <c r="H12316" s="127" t="s">
        <v>211</v>
      </c>
    </row>
    <row r="12317" hidden="1">
      <c r="A12317" s="127" t="s">
        <v>231</v>
      </c>
      <c r="C12317" s="127" t="s">
        <v>232</v>
      </c>
      <c r="D12317" s="177" t="s">
        <v>59</v>
      </c>
      <c r="E12317" s="177" t="s">
        <v>15009</v>
      </c>
      <c r="F12317" s="177" t="s">
        <v>1994</v>
      </c>
      <c r="G12317" s="177" t="s">
        <v>4442</v>
      </c>
      <c r="H12317" s="127" t="s">
        <v>212</v>
      </c>
    </row>
    <row r="12318" hidden="1">
      <c r="A12318" s="127" t="s">
        <v>231</v>
      </c>
      <c r="C12318" s="127" t="s">
        <v>232</v>
      </c>
      <c r="D12318" s="177" t="s">
        <v>59</v>
      </c>
      <c r="E12318" s="177" t="s">
        <v>15010</v>
      </c>
      <c r="F12318" s="177" t="s">
        <v>501</v>
      </c>
      <c r="G12318" s="177" t="s">
        <v>5821</v>
      </c>
      <c r="H12318" s="127" t="s">
        <v>213</v>
      </c>
    </row>
    <row r="12319" hidden="1">
      <c r="A12319" s="127" t="s">
        <v>231</v>
      </c>
      <c r="C12319" s="127" t="s">
        <v>232</v>
      </c>
      <c r="D12319" s="177" t="s">
        <v>59</v>
      </c>
      <c r="E12319" s="177" t="s">
        <v>15011</v>
      </c>
      <c r="F12319" s="177" t="s">
        <v>436</v>
      </c>
      <c r="G12319" s="177" t="s">
        <v>3543</v>
      </c>
      <c r="H12319" s="127" t="s">
        <v>214</v>
      </c>
    </row>
    <row r="12320" hidden="1">
      <c r="A12320" s="127" t="s">
        <v>231</v>
      </c>
      <c r="C12320" s="127" t="s">
        <v>232</v>
      </c>
      <c r="D12320" s="177" t="s">
        <v>59</v>
      </c>
      <c r="E12320" s="177" t="s">
        <v>15012</v>
      </c>
      <c r="F12320" s="177" t="s">
        <v>1181</v>
      </c>
      <c r="G12320" s="177" t="s">
        <v>3597</v>
      </c>
      <c r="H12320" s="127" t="s">
        <v>215</v>
      </c>
    </row>
    <row r="12321" hidden="1">
      <c r="A12321" s="127" t="s">
        <v>231</v>
      </c>
      <c r="C12321" s="127" t="s">
        <v>232</v>
      </c>
      <c r="D12321" s="177" t="s">
        <v>59</v>
      </c>
      <c r="E12321" s="177" t="s">
        <v>15013</v>
      </c>
      <c r="F12321" s="177" t="s">
        <v>298</v>
      </c>
      <c r="G12321" s="177" t="s">
        <v>4031</v>
      </c>
      <c r="H12321" s="127" t="s">
        <v>216</v>
      </c>
    </row>
    <row r="12322" hidden="1">
      <c r="A12322" s="127" t="s">
        <v>233</v>
      </c>
      <c r="C12322" s="127" t="s">
        <v>232</v>
      </c>
      <c r="D12322" s="177" t="s">
        <v>59</v>
      </c>
      <c r="E12322" s="177" t="s">
        <v>15014</v>
      </c>
      <c r="F12322" s="177" t="s">
        <v>359</v>
      </c>
      <c r="G12322" s="177" t="s">
        <v>10493</v>
      </c>
      <c r="H12322" s="127" t="s">
        <v>210</v>
      </c>
    </row>
    <row r="12323" hidden="1">
      <c r="A12323" s="127" t="s">
        <v>233</v>
      </c>
      <c r="C12323" s="127" t="s">
        <v>232</v>
      </c>
      <c r="D12323" s="177" t="s">
        <v>59</v>
      </c>
      <c r="E12323" s="177" t="s">
        <v>15015</v>
      </c>
      <c r="F12323" s="177" t="s">
        <v>314</v>
      </c>
      <c r="G12323" s="177" t="s">
        <v>5305</v>
      </c>
      <c r="H12323" s="127" t="s">
        <v>211</v>
      </c>
    </row>
    <row r="12324" hidden="1">
      <c r="A12324" s="127" t="s">
        <v>233</v>
      </c>
      <c r="C12324" s="127" t="s">
        <v>232</v>
      </c>
      <c r="D12324" s="177" t="s">
        <v>59</v>
      </c>
      <c r="E12324" s="177" t="s">
        <v>15016</v>
      </c>
      <c r="F12324" s="177" t="s">
        <v>308</v>
      </c>
      <c r="G12324" s="177" t="s">
        <v>2183</v>
      </c>
      <c r="H12324" s="127" t="s">
        <v>212</v>
      </c>
    </row>
    <row r="12325" hidden="1">
      <c r="A12325" s="127" t="s">
        <v>233</v>
      </c>
      <c r="C12325" s="127" t="s">
        <v>232</v>
      </c>
      <c r="D12325" s="177" t="s">
        <v>59</v>
      </c>
      <c r="E12325" s="177" t="s">
        <v>15017</v>
      </c>
      <c r="F12325" s="177" t="s">
        <v>331</v>
      </c>
      <c r="G12325" s="177" t="s">
        <v>3699</v>
      </c>
      <c r="H12325" s="127" t="s">
        <v>213</v>
      </c>
    </row>
    <row r="12326" hidden="1">
      <c r="A12326" s="127" t="s">
        <v>233</v>
      </c>
      <c r="C12326" s="127" t="s">
        <v>232</v>
      </c>
      <c r="D12326" s="177" t="s">
        <v>59</v>
      </c>
      <c r="E12326" s="177" t="s">
        <v>15018</v>
      </c>
      <c r="F12326" s="177" t="s">
        <v>359</v>
      </c>
      <c r="G12326" s="177" t="s">
        <v>4221</v>
      </c>
      <c r="H12326" s="127" t="s">
        <v>214</v>
      </c>
    </row>
    <row r="12327" hidden="1">
      <c r="A12327" s="127" t="s">
        <v>233</v>
      </c>
      <c r="C12327" s="127" t="s">
        <v>232</v>
      </c>
      <c r="D12327" s="177" t="s">
        <v>59</v>
      </c>
      <c r="E12327" s="177" t="s">
        <v>15019</v>
      </c>
      <c r="F12327" s="177" t="s">
        <v>310</v>
      </c>
      <c r="G12327" s="177" t="s">
        <v>6901</v>
      </c>
      <c r="H12327" s="127" t="s">
        <v>215</v>
      </c>
    </row>
    <row r="12328" hidden="1">
      <c r="A12328" s="127" t="s">
        <v>233</v>
      </c>
      <c r="C12328" s="127" t="s">
        <v>232</v>
      </c>
      <c r="D12328" s="177" t="s">
        <v>59</v>
      </c>
      <c r="E12328" s="177" t="s">
        <v>15020</v>
      </c>
      <c r="F12328" s="177" t="s">
        <v>314</v>
      </c>
      <c r="G12328" s="177" t="s">
        <v>5037</v>
      </c>
      <c r="H12328" s="127" t="s">
        <v>216</v>
      </c>
    </row>
    <row r="12329" hidden="1">
      <c r="A12329" s="127" t="s">
        <v>234</v>
      </c>
      <c r="C12329" s="127" t="s">
        <v>232</v>
      </c>
      <c r="D12329" s="177" t="s">
        <v>59</v>
      </c>
      <c r="E12329" s="177" t="s">
        <v>15021</v>
      </c>
      <c r="F12329" s="177" t="s">
        <v>365</v>
      </c>
      <c r="G12329" s="177" t="s">
        <v>15022</v>
      </c>
      <c r="H12329" s="127" t="s">
        <v>210</v>
      </c>
    </row>
    <row r="12330" hidden="1">
      <c r="A12330" s="127" t="s">
        <v>234</v>
      </c>
      <c r="C12330" s="127" t="s">
        <v>232</v>
      </c>
      <c r="D12330" s="177" t="s">
        <v>59</v>
      </c>
      <c r="E12330" s="177" t="s">
        <v>15023</v>
      </c>
      <c r="F12330" s="177" t="s">
        <v>305</v>
      </c>
      <c r="G12330" s="177" t="s">
        <v>11935</v>
      </c>
      <c r="H12330" s="127" t="s">
        <v>211</v>
      </c>
    </row>
    <row r="12331" hidden="1">
      <c r="A12331" s="127" t="s">
        <v>234</v>
      </c>
      <c r="C12331" s="127" t="s">
        <v>232</v>
      </c>
      <c r="D12331" s="177" t="s">
        <v>59</v>
      </c>
      <c r="E12331" s="177" t="s">
        <v>15024</v>
      </c>
      <c r="F12331" s="177" t="s">
        <v>483</v>
      </c>
      <c r="G12331" s="177" t="s">
        <v>15025</v>
      </c>
      <c r="H12331" s="127" t="s">
        <v>212</v>
      </c>
    </row>
    <row r="12332" hidden="1">
      <c r="A12332" s="127" t="s">
        <v>234</v>
      </c>
      <c r="C12332" s="127" t="s">
        <v>232</v>
      </c>
      <c r="D12332" s="177" t="s">
        <v>59</v>
      </c>
      <c r="E12332" s="177" t="s">
        <v>15026</v>
      </c>
      <c r="F12332" s="177" t="s">
        <v>427</v>
      </c>
      <c r="G12332" s="177" t="s">
        <v>15027</v>
      </c>
      <c r="H12332" s="127" t="s">
        <v>213</v>
      </c>
    </row>
    <row r="12333" hidden="1">
      <c r="A12333" s="127" t="s">
        <v>234</v>
      </c>
      <c r="C12333" s="127" t="s">
        <v>232</v>
      </c>
      <c r="D12333" s="177" t="s">
        <v>59</v>
      </c>
      <c r="E12333" s="177" t="s">
        <v>15028</v>
      </c>
      <c r="F12333" s="177" t="s">
        <v>246</v>
      </c>
      <c r="G12333" s="177" t="s">
        <v>11358</v>
      </c>
      <c r="H12333" s="127" t="s">
        <v>214</v>
      </c>
    </row>
    <row r="12334" hidden="1">
      <c r="A12334" s="127" t="s">
        <v>234</v>
      </c>
      <c r="C12334" s="127" t="s">
        <v>232</v>
      </c>
      <c r="D12334" s="177" t="s">
        <v>59</v>
      </c>
      <c r="E12334" s="177" t="s">
        <v>15029</v>
      </c>
      <c r="F12334" s="177" t="s">
        <v>314</v>
      </c>
      <c r="G12334" s="177" t="s">
        <v>11953</v>
      </c>
      <c r="H12334" s="127" t="s">
        <v>215</v>
      </c>
    </row>
    <row r="12335" hidden="1">
      <c r="A12335" s="127" t="s">
        <v>234</v>
      </c>
      <c r="C12335" s="127" t="s">
        <v>232</v>
      </c>
      <c r="D12335" s="177" t="s">
        <v>59</v>
      </c>
      <c r="E12335" s="177" t="s">
        <v>15030</v>
      </c>
      <c r="F12335" s="177" t="s">
        <v>249</v>
      </c>
      <c r="G12335" s="177" t="s">
        <v>11940</v>
      </c>
      <c r="H12335" s="127" t="s">
        <v>216</v>
      </c>
    </row>
    <row r="12336" hidden="1">
      <c r="A12336" s="127" t="s">
        <v>235</v>
      </c>
      <c r="C12336" s="127" t="s">
        <v>236</v>
      </c>
      <c r="D12336" s="177" t="s">
        <v>59</v>
      </c>
      <c r="E12336" s="177" t="s">
        <v>15031</v>
      </c>
      <c r="F12336" s="177" t="s">
        <v>240</v>
      </c>
      <c r="G12336" s="177" t="s">
        <v>3466</v>
      </c>
      <c r="H12336" s="127" t="s">
        <v>210</v>
      </c>
    </row>
    <row r="12337" hidden="1">
      <c r="A12337" s="127" t="s">
        <v>235</v>
      </c>
      <c r="C12337" s="127" t="s">
        <v>236</v>
      </c>
      <c r="D12337" s="177" t="s">
        <v>59</v>
      </c>
      <c r="E12337" s="177" t="s">
        <v>15032</v>
      </c>
      <c r="F12337" s="177" t="s">
        <v>246</v>
      </c>
      <c r="G12337" s="177" t="s">
        <v>3440</v>
      </c>
      <c r="H12337" s="127" t="s">
        <v>211</v>
      </c>
    </row>
    <row r="12338" hidden="1">
      <c r="A12338" s="127" t="s">
        <v>235</v>
      </c>
      <c r="C12338" s="127" t="s">
        <v>236</v>
      </c>
      <c r="D12338" s="177" t="s">
        <v>59</v>
      </c>
      <c r="E12338" s="177" t="s">
        <v>15033</v>
      </c>
      <c r="F12338" s="177" t="s">
        <v>242</v>
      </c>
      <c r="G12338" s="177" t="s">
        <v>3911</v>
      </c>
      <c r="H12338" s="127" t="s">
        <v>212</v>
      </c>
    </row>
    <row r="12339" hidden="1">
      <c r="A12339" s="127" t="s">
        <v>235</v>
      </c>
      <c r="C12339" s="127" t="s">
        <v>236</v>
      </c>
      <c r="D12339" s="177" t="s">
        <v>59</v>
      </c>
      <c r="E12339" s="177" t="s">
        <v>15034</v>
      </c>
      <c r="F12339" s="177" t="s">
        <v>323</v>
      </c>
      <c r="G12339" s="177" t="s">
        <v>3543</v>
      </c>
      <c r="H12339" s="127" t="s">
        <v>213</v>
      </c>
    </row>
    <row r="12340" hidden="1">
      <c r="A12340" s="127" t="s">
        <v>235</v>
      </c>
      <c r="C12340" s="127" t="s">
        <v>236</v>
      </c>
      <c r="D12340" s="177" t="s">
        <v>59</v>
      </c>
      <c r="E12340" s="177" t="s">
        <v>15035</v>
      </c>
      <c r="F12340" s="177" t="s">
        <v>287</v>
      </c>
      <c r="G12340" s="177" t="s">
        <v>4842</v>
      </c>
      <c r="H12340" s="127" t="s">
        <v>214</v>
      </c>
    </row>
    <row r="12341" hidden="1">
      <c r="A12341" s="127" t="s">
        <v>235</v>
      </c>
      <c r="C12341" s="127" t="s">
        <v>236</v>
      </c>
      <c r="D12341" s="177" t="s">
        <v>59</v>
      </c>
      <c r="E12341" s="177" t="s">
        <v>15036</v>
      </c>
      <c r="F12341" s="177" t="s">
        <v>244</v>
      </c>
      <c r="G12341" s="177" t="s">
        <v>3466</v>
      </c>
      <c r="H12341" s="127" t="s">
        <v>215</v>
      </c>
    </row>
    <row r="12342" hidden="1">
      <c r="A12342" s="127" t="s">
        <v>235</v>
      </c>
      <c r="C12342" s="127" t="s">
        <v>236</v>
      </c>
      <c r="D12342" s="177" t="s">
        <v>59</v>
      </c>
      <c r="E12342" s="177" t="s">
        <v>15037</v>
      </c>
      <c r="F12342" s="177" t="s">
        <v>257</v>
      </c>
      <c r="G12342" s="177" t="s">
        <v>4709</v>
      </c>
      <c r="H12342" s="127" t="s">
        <v>216</v>
      </c>
    </row>
    <row r="12343" hidden="1">
      <c r="A12343" s="127" t="s">
        <v>237</v>
      </c>
      <c r="C12343" s="127" t="s">
        <v>236</v>
      </c>
      <c r="D12343" s="177" t="s">
        <v>59</v>
      </c>
      <c r="E12343" s="177" t="s">
        <v>15038</v>
      </c>
      <c r="F12343" s="177" t="s">
        <v>310</v>
      </c>
      <c r="G12343" s="177" t="s">
        <v>11940</v>
      </c>
      <c r="H12343" s="127" t="s">
        <v>210</v>
      </c>
    </row>
    <row r="12344" hidden="1">
      <c r="A12344" s="127" t="s">
        <v>237</v>
      </c>
      <c r="C12344" s="127" t="s">
        <v>236</v>
      </c>
      <c r="D12344" s="177" t="s">
        <v>59</v>
      </c>
      <c r="E12344" s="177" t="s">
        <v>15039</v>
      </c>
      <c r="F12344" s="177" t="s">
        <v>494</v>
      </c>
      <c r="G12344" s="177" t="s">
        <v>15040</v>
      </c>
      <c r="H12344" s="127" t="s">
        <v>211</v>
      </c>
    </row>
    <row r="12345" hidden="1">
      <c r="A12345" s="127" t="s">
        <v>237</v>
      </c>
      <c r="C12345" s="127" t="s">
        <v>236</v>
      </c>
      <c r="D12345" s="177" t="s">
        <v>59</v>
      </c>
      <c r="E12345" s="177" t="s">
        <v>15041</v>
      </c>
      <c r="F12345" s="177" t="s">
        <v>312</v>
      </c>
      <c r="G12345" s="177" t="s">
        <v>12124</v>
      </c>
      <c r="H12345" s="127" t="s">
        <v>212</v>
      </c>
    </row>
    <row r="12346" hidden="1">
      <c r="A12346" s="127" t="s">
        <v>237</v>
      </c>
      <c r="C12346" s="127" t="s">
        <v>236</v>
      </c>
      <c r="D12346" s="177" t="s">
        <v>59</v>
      </c>
      <c r="E12346" s="177" t="s">
        <v>15042</v>
      </c>
      <c r="F12346" s="177" t="s">
        <v>329</v>
      </c>
      <c r="G12346" s="177" t="s">
        <v>14361</v>
      </c>
      <c r="H12346" s="127" t="s">
        <v>213</v>
      </c>
    </row>
    <row r="12347" hidden="1">
      <c r="A12347" s="127" t="s">
        <v>237</v>
      </c>
      <c r="C12347" s="127" t="s">
        <v>236</v>
      </c>
      <c r="D12347" s="177" t="s">
        <v>59</v>
      </c>
      <c r="E12347" s="177" t="s">
        <v>15043</v>
      </c>
      <c r="F12347" s="177" t="s">
        <v>339</v>
      </c>
      <c r="G12347" s="177" t="s">
        <v>14686</v>
      </c>
      <c r="H12347" s="127" t="s">
        <v>214</v>
      </c>
    </row>
    <row r="12348" hidden="1">
      <c r="A12348" s="127" t="s">
        <v>237</v>
      </c>
      <c r="C12348" s="127" t="s">
        <v>236</v>
      </c>
      <c r="D12348" s="177" t="s">
        <v>59</v>
      </c>
      <c r="E12348" s="177" t="s">
        <v>15044</v>
      </c>
      <c r="F12348" s="177" t="s">
        <v>677</v>
      </c>
      <c r="G12348" s="177" t="s">
        <v>14373</v>
      </c>
      <c r="H12348" s="127" t="s">
        <v>215</v>
      </c>
    </row>
    <row r="12349" hidden="1">
      <c r="A12349" s="127" t="s">
        <v>237</v>
      </c>
      <c r="C12349" s="127" t="s">
        <v>236</v>
      </c>
      <c r="D12349" s="177" t="s">
        <v>59</v>
      </c>
      <c r="E12349" s="177" t="s">
        <v>15045</v>
      </c>
      <c r="F12349" s="177" t="s">
        <v>325</v>
      </c>
      <c r="G12349" s="177" t="s">
        <v>11730</v>
      </c>
      <c r="H12349" s="127" t="s">
        <v>216</v>
      </c>
    </row>
    <row r="12350" hidden="1">
      <c r="A12350" s="177" t="s">
        <v>204</v>
      </c>
      <c r="B12350" s="127" t="s">
        <v>205</v>
      </c>
      <c r="C12350" s="127" t="s">
        <v>206</v>
      </c>
      <c r="D12350" s="177" t="s">
        <v>60</v>
      </c>
      <c r="E12350" s="177" t="s">
        <v>15046</v>
      </c>
      <c r="F12350" s="177" t="s">
        <v>285</v>
      </c>
      <c r="G12350" s="177" t="s">
        <v>4079</v>
      </c>
      <c r="H12350" s="127" t="s">
        <v>210</v>
      </c>
    </row>
    <row r="12351" hidden="1">
      <c r="A12351" s="177" t="s">
        <v>204</v>
      </c>
      <c r="B12351" s="127" t="s">
        <v>205</v>
      </c>
      <c r="C12351" s="127" t="s">
        <v>206</v>
      </c>
      <c r="D12351" s="177" t="s">
        <v>60</v>
      </c>
      <c r="E12351" s="177" t="s">
        <v>15047</v>
      </c>
      <c r="F12351" s="177" t="s">
        <v>321</v>
      </c>
      <c r="G12351" s="177" t="s">
        <v>4472</v>
      </c>
      <c r="H12351" s="127" t="s">
        <v>211</v>
      </c>
    </row>
    <row r="12352" hidden="1">
      <c r="A12352" s="177" t="s">
        <v>204</v>
      </c>
      <c r="B12352" s="127" t="s">
        <v>205</v>
      </c>
      <c r="C12352" s="127" t="s">
        <v>206</v>
      </c>
      <c r="D12352" s="177" t="s">
        <v>60</v>
      </c>
      <c r="E12352" s="177" t="s">
        <v>15048</v>
      </c>
      <c r="F12352" s="177" t="s">
        <v>357</v>
      </c>
      <c r="G12352" s="177" t="s">
        <v>3595</v>
      </c>
      <c r="H12352" s="127" t="s">
        <v>212</v>
      </c>
    </row>
    <row r="12353" hidden="1">
      <c r="A12353" s="177" t="s">
        <v>204</v>
      </c>
      <c r="B12353" s="127" t="s">
        <v>205</v>
      </c>
      <c r="C12353" s="127" t="s">
        <v>206</v>
      </c>
      <c r="D12353" s="177" t="s">
        <v>60</v>
      </c>
      <c r="E12353" s="177" t="s">
        <v>15049</v>
      </c>
      <c r="F12353" s="177" t="s">
        <v>249</v>
      </c>
      <c r="G12353" s="177" t="s">
        <v>3541</v>
      </c>
      <c r="H12353" s="127" t="s">
        <v>213</v>
      </c>
    </row>
    <row r="12354" hidden="1">
      <c r="A12354" s="177" t="s">
        <v>204</v>
      </c>
      <c r="B12354" s="127" t="s">
        <v>205</v>
      </c>
      <c r="C12354" s="127" t="s">
        <v>206</v>
      </c>
      <c r="D12354" s="177" t="s">
        <v>60</v>
      </c>
      <c r="E12354" s="177" t="s">
        <v>15050</v>
      </c>
      <c r="F12354" s="177" t="s">
        <v>308</v>
      </c>
      <c r="G12354" s="177" t="s">
        <v>3298</v>
      </c>
      <c r="H12354" s="127" t="s">
        <v>214</v>
      </c>
    </row>
    <row r="12355" hidden="1">
      <c r="A12355" s="177" t="s">
        <v>204</v>
      </c>
      <c r="B12355" s="127" t="s">
        <v>205</v>
      </c>
      <c r="C12355" s="127" t="s">
        <v>206</v>
      </c>
      <c r="D12355" s="177" t="s">
        <v>60</v>
      </c>
      <c r="E12355" s="177" t="s">
        <v>15051</v>
      </c>
      <c r="F12355" s="177" t="s">
        <v>305</v>
      </c>
      <c r="G12355" s="177" t="s">
        <v>7600</v>
      </c>
      <c r="H12355" s="127" t="s">
        <v>215</v>
      </c>
    </row>
    <row r="12356" hidden="1">
      <c r="A12356" s="177" t="s">
        <v>204</v>
      </c>
      <c r="B12356" s="127" t="s">
        <v>205</v>
      </c>
      <c r="C12356" s="127" t="s">
        <v>206</v>
      </c>
      <c r="D12356" s="177" t="s">
        <v>60</v>
      </c>
      <c r="E12356" s="177" t="s">
        <v>15052</v>
      </c>
      <c r="F12356" s="177" t="s">
        <v>314</v>
      </c>
      <c r="G12356" s="177" t="s">
        <v>3539</v>
      </c>
      <c r="H12356" s="127" t="s">
        <v>216</v>
      </c>
    </row>
    <row r="12357" hidden="1">
      <c r="A12357" s="177" t="s">
        <v>217</v>
      </c>
      <c r="B12357" s="127" t="s">
        <v>191</v>
      </c>
      <c r="C12357" s="127" t="s">
        <v>206</v>
      </c>
      <c r="D12357" s="177" t="s">
        <v>60</v>
      </c>
      <c r="E12357" s="177" t="s">
        <v>15053</v>
      </c>
      <c r="F12357" s="177" t="s">
        <v>305</v>
      </c>
      <c r="G12357" s="177" t="s">
        <v>3919</v>
      </c>
      <c r="H12357" s="127" t="s">
        <v>210</v>
      </c>
    </row>
    <row r="12358" hidden="1">
      <c r="A12358" s="177" t="s">
        <v>217</v>
      </c>
      <c r="B12358" s="127" t="s">
        <v>191</v>
      </c>
      <c r="C12358" s="127" t="s">
        <v>206</v>
      </c>
      <c r="D12358" s="177" t="s">
        <v>60</v>
      </c>
      <c r="E12358" s="177" t="s">
        <v>15054</v>
      </c>
      <c r="F12358" s="177" t="s">
        <v>310</v>
      </c>
      <c r="G12358" s="177" t="s">
        <v>3117</v>
      </c>
      <c r="H12358" s="127" t="s">
        <v>211</v>
      </c>
    </row>
    <row r="12359" hidden="1">
      <c r="A12359" s="177" t="s">
        <v>217</v>
      </c>
      <c r="B12359" s="127" t="s">
        <v>191</v>
      </c>
      <c r="C12359" s="127" t="s">
        <v>206</v>
      </c>
      <c r="D12359" s="177" t="s">
        <v>60</v>
      </c>
      <c r="E12359" s="177" t="s">
        <v>15055</v>
      </c>
      <c r="F12359" s="177" t="s">
        <v>308</v>
      </c>
      <c r="G12359" s="177" t="s">
        <v>3396</v>
      </c>
      <c r="H12359" s="127" t="s">
        <v>212</v>
      </c>
    </row>
    <row r="12360" hidden="1">
      <c r="A12360" s="177" t="s">
        <v>217</v>
      </c>
      <c r="B12360" s="127" t="s">
        <v>191</v>
      </c>
      <c r="C12360" s="127" t="s">
        <v>206</v>
      </c>
      <c r="D12360" s="177" t="s">
        <v>60</v>
      </c>
      <c r="E12360" s="177" t="s">
        <v>15056</v>
      </c>
      <c r="F12360" s="177" t="s">
        <v>336</v>
      </c>
      <c r="G12360" s="177" t="s">
        <v>3410</v>
      </c>
      <c r="H12360" s="127" t="s">
        <v>213</v>
      </c>
    </row>
    <row r="12361" hidden="1">
      <c r="A12361" s="177" t="s">
        <v>217</v>
      </c>
      <c r="B12361" s="127" t="s">
        <v>191</v>
      </c>
      <c r="C12361" s="127" t="s">
        <v>206</v>
      </c>
      <c r="D12361" s="177" t="s">
        <v>60</v>
      </c>
      <c r="E12361" s="177" t="s">
        <v>15057</v>
      </c>
      <c r="F12361" s="177" t="s">
        <v>483</v>
      </c>
      <c r="G12361" s="177" t="s">
        <v>2510</v>
      </c>
      <c r="H12361" s="127" t="s">
        <v>214</v>
      </c>
    </row>
    <row r="12362" hidden="1">
      <c r="A12362" s="177" t="s">
        <v>217</v>
      </c>
      <c r="B12362" s="127" t="s">
        <v>191</v>
      </c>
      <c r="C12362" s="127" t="s">
        <v>206</v>
      </c>
      <c r="D12362" s="177" t="s">
        <v>60</v>
      </c>
      <c r="E12362" s="177" t="s">
        <v>15058</v>
      </c>
      <c r="F12362" s="177" t="s">
        <v>494</v>
      </c>
      <c r="G12362" s="177" t="s">
        <v>4077</v>
      </c>
      <c r="H12362" s="127" t="s">
        <v>215</v>
      </c>
    </row>
    <row r="12363" hidden="1">
      <c r="A12363" s="177" t="s">
        <v>217</v>
      </c>
      <c r="B12363" s="127" t="s">
        <v>191</v>
      </c>
      <c r="C12363" s="127" t="s">
        <v>206</v>
      </c>
      <c r="D12363" s="177" t="s">
        <v>60</v>
      </c>
      <c r="E12363" s="177" t="s">
        <v>15059</v>
      </c>
      <c r="F12363" s="177" t="s">
        <v>305</v>
      </c>
      <c r="G12363" s="177" t="s">
        <v>3900</v>
      </c>
      <c r="H12363" s="127" t="s">
        <v>216</v>
      </c>
    </row>
    <row r="12364" hidden="1">
      <c r="A12364" s="177" t="s">
        <v>218</v>
      </c>
      <c r="B12364" s="127" t="s">
        <v>219</v>
      </c>
      <c r="C12364" s="127" t="s">
        <v>206</v>
      </c>
      <c r="D12364" s="177" t="s">
        <v>60</v>
      </c>
      <c r="E12364" s="177" t="s">
        <v>15060</v>
      </c>
      <c r="F12364" s="177" t="s">
        <v>259</v>
      </c>
      <c r="G12364" s="177" t="s">
        <v>3468</v>
      </c>
      <c r="H12364" s="127" t="s">
        <v>210</v>
      </c>
    </row>
    <row r="12365" hidden="1">
      <c r="A12365" s="177" t="s">
        <v>218</v>
      </c>
      <c r="B12365" s="127" t="s">
        <v>219</v>
      </c>
      <c r="C12365" s="127" t="s">
        <v>206</v>
      </c>
      <c r="D12365" s="177" t="s">
        <v>60</v>
      </c>
      <c r="E12365" s="177" t="s">
        <v>15061</v>
      </c>
      <c r="F12365" s="177" t="s">
        <v>242</v>
      </c>
      <c r="G12365" s="177" t="s">
        <v>3265</v>
      </c>
      <c r="H12365" s="127" t="s">
        <v>211</v>
      </c>
    </row>
    <row r="12366" hidden="1">
      <c r="A12366" s="177" t="s">
        <v>218</v>
      </c>
      <c r="B12366" s="127" t="s">
        <v>219</v>
      </c>
      <c r="C12366" s="127" t="s">
        <v>206</v>
      </c>
      <c r="D12366" s="177" t="s">
        <v>60</v>
      </c>
      <c r="E12366" s="177" t="s">
        <v>15062</v>
      </c>
      <c r="F12366" s="177" t="s">
        <v>492</v>
      </c>
      <c r="G12366" s="177" t="s">
        <v>3790</v>
      </c>
      <c r="H12366" s="127" t="s">
        <v>212</v>
      </c>
    </row>
    <row r="12367" hidden="1">
      <c r="A12367" s="177" t="s">
        <v>218</v>
      </c>
      <c r="B12367" s="127" t="s">
        <v>219</v>
      </c>
      <c r="C12367" s="127" t="s">
        <v>206</v>
      </c>
      <c r="D12367" s="177" t="s">
        <v>60</v>
      </c>
      <c r="E12367" s="177" t="s">
        <v>15063</v>
      </c>
      <c r="F12367" s="177" t="s">
        <v>246</v>
      </c>
      <c r="G12367" s="177" t="s">
        <v>4659</v>
      </c>
      <c r="H12367" s="127" t="s">
        <v>213</v>
      </c>
    </row>
    <row r="12368" hidden="1">
      <c r="A12368" s="177" t="s">
        <v>218</v>
      </c>
      <c r="B12368" s="127" t="s">
        <v>219</v>
      </c>
      <c r="C12368" s="127" t="s">
        <v>206</v>
      </c>
      <c r="D12368" s="177" t="s">
        <v>60</v>
      </c>
      <c r="E12368" s="177" t="s">
        <v>15064</v>
      </c>
      <c r="F12368" s="177" t="s">
        <v>287</v>
      </c>
      <c r="G12368" s="177" t="s">
        <v>4167</v>
      </c>
      <c r="H12368" s="127" t="s">
        <v>214</v>
      </c>
    </row>
    <row r="12369" hidden="1">
      <c r="A12369" s="177" t="s">
        <v>218</v>
      </c>
      <c r="B12369" s="127" t="s">
        <v>219</v>
      </c>
      <c r="C12369" s="127" t="s">
        <v>206</v>
      </c>
      <c r="D12369" s="177" t="s">
        <v>60</v>
      </c>
      <c r="E12369" s="177" t="s">
        <v>15065</v>
      </c>
      <c r="F12369" s="177" t="s">
        <v>365</v>
      </c>
      <c r="G12369" s="177" t="s">
        <v>3304</v>
      </c>
      <c r="H12369" s="127" t="s">
        <v>215</v>
      </c>
    </row>
    <row r="12370" hidden="1">
      <c r="A12370" s="177" t="s">
        <v>218</v>
      </c>
      <c r="B12370" s="127" t="s">
        <v>219</v>
      </c>
      <c r="C12370" s="127" t="s">
        <v>206</v>
      </c>
      <c r="D12370" s="177" t="s">
        <v>60</v>
      </c>
      <c r="E12370" s="177" t="s">
        <v>15066</v>
      </c>
      <c r="F12370" s="177" t="s">
        <v>240</v>
      </c>
      <c r="G12370" s="177" t="s">
        <v>3937</v>
      </c>
      <c r="H12370" s="127" t="s">
        <v>216</v>
      </c>
    </row>
    <row r="12371" hidden="1">
      <c r="A12371" s="177" t="s">
        <v>220</v>
      </c>
      <c r="B12371" s="127" t="s">
        <v>190</v>
      </c>
      <c r="C12371" s="127" t="s">
        <v>206</v>
      </c>
      <c r="D12371" s="177" t="s">
        <v>60</v>
      </c>
      <c r="E12371" s="177" t="s">
        <v>15067</v>
      </c>
      <c r="F12371" s="177" t="s">
        <v>262</v>
      </c>
      <c r="G12371" s="177" t="s">
        <v>2816</v>
      </c>
      <c r="H12371" s="127" t="s">
        <v>210</v>
      </c>
    </row>
    <row r="12372" hidden="1">
      <c r="A12372" s="177" t="s">
        <v>220</v>
      </c>
      <c r="B12372" s="127" t="s">
        <v>190</v>
      </c>
      <c r="C12372" s="127" t="s">
        <v>206</v>
      </c>
      <c r="D12372" s="177" t="s">
        <v>60</v>
      </c>
      <c r="E12372" s="177" t="s">
        <v>15068</v>
      </c>
      <c r="F12372" s="177" t="s">
        <v>262</v>
      </c>
      <c r="G12372" s="177" t="s">
        <v>4219</v>
      </c>
      <c r="H12372" s="127" t="s">
        <v>211</v>
      </c>
    </row>
    <row r="12373" hidden="1">
      <c r="A12373" s="177" t="s">
        <v>220</v>
      </c>
      <c r="B12373" s="127" t="s">
        <v>190</v>
      </c>
      <c r="C12373" s="127" t="s">
        <v>206</v>
      </c>
      <c r="D12373" s="177" t="s">
        <v>60</v>
      </c>
      <c r="E12373" s="177" t="s">
        <v>15069</v>
      </c>
      <c r="F12373" s="177" t="s">
        <v>442</v>
      </c>
      <c r="G12373" s="177" t="s">
        <v>3618</v>
      </c>
      <c r="H12373" s="127" t="s">
        <v>212</v>
      </c>
    </row>
    <row r="12374" hidden="1">
      <c r="A12374" s="177" t="s">
        <v>220</v>
      </c>
      <c r="B12374" s="127" t="s">
        <v>190</v>
      </c>
      <c r="C12374" s="127" t="s">
        <v>206</v>
      </c>
      <c r="D12374" s="177" t="s">
        <v>60</v>
      </c>
      <c r="E12374" s="177" t="s">
        <v>15070</v>
      </c>
      <c r="F12374" s="177" t="s">
        <v>374</v>
      </c>
      <c r="G12374" s="177" t="s">
        <v>2008</v>
      </c>
      <c r="H12374" s="127" t="s">
        <v>213</v>
      </c>
    </row>
    <row r="12375" hidden="1">
      <c r="A12375" s="177" t="s">
        <v>220</v>
      </c>
      <c r="B12375" s="127" t="s">
        <v>190</v>
      </c>
      <c r="C12375" s="127" t="s">
        <v>206</v>
      </c>
      <c r="D12375" s="177" t="s">
        <v>60</v>
      </c>
      <c r="E12375" s="177" t="s">
        <v>15071</v>
      </c>
      <c r="F12375" s="177" t="s">
        <v>1992</v>
      </c>
      <c r="G12375" s="177" t="s">
        <v>3815</v>
      </c>
      <c r="H12375" s="127" t="s">
        <v>214</v>
      </c>
    </row>
    <row r="12376" hidden="1">
      <c r="A12376" s="177" t="s">
        <v>220</v>
      </c>
      <c r="B12376" s="127" t="s">
        <v>190</v>
      </c>
      <c r="C12376" s="127" t="s">
        <v>206</v>
      </c>
      <c r="D12376" s="177" t="s">
        <v>60</v>
      </c>
      <c r="E12376" s="177" t="s">
        <v>15072</v>
      </c>
      <c r="F12376" s="177" t="s">
        <v>458</v>
      </c>
      <c r="G12376" s="177" t="s">
        <v>4031</v>
      </c>
      <c r="H12376" s="127" t="s">
        <v>215</v>
      </c>
    </row>
    <row r="12377" hidden="1">
      <c r="A12377" s="177" t="s">
        <v>220</v>
      </c>
      <c r="B12377" s="127" t="s">
        <v>190</v>
      </c>
      <c r="C12377" s="127" t="s">
        <v>206</v>
      </c>
      <c r="D12377" s="177" t="s">
        <v>60</v>
      </c>
      <c r="E12377" s="177" t="s">
        <v>15073</v>
      </c>
      <c r="F12377" s="177" t="s">
        <v>298</v>
      </c>
      <c r="G12377" s="177" t="s">
        <v>2508</v>
      </c>
      <c r="H12377" s="127" t="s">
        <v>216</v>
      </c>
    </row>
    <row r="12378" hidden="1">
      <c r="A12378" s="177" t="s">
        <v>221</v>
      </c>
      <c r="B12378" s="127" t="s">
        <v>189</v>
      </c>
      <c r="C12378" s="127" t="s">
        <v>206</v>
      </c>
      <c r="D12378" s="177" t="s">
        <v>60</v>
      </c>
      <c r="E12378" s="177" t="s">
        <v>15074</v>
      </c>
      <c r="F12378" s="177" t="s">
        <v>310</v>
      </c>
      <c r="G12378" s="177" t="s">
        <v>15075</v>
      </c>
      <c r="H12378" s="127" t="s">
        <v>210</v>
      </c>
    </row>
    <row r="12379" hidden="1">
      <c r="A12379" s="177" t="s">
        <v>221</v>
      </c>
      <c r="B12379" s="127" t="s">
        <v>189</v>
      </c>
      <c r="C12379" s="127" t="s">
        <v>206</v>
      </c>
      <c r="D12379" s="177" t="s">
        <v>60</v>
      </c>
      <c r="E12379" s="177" t="s">
        <v>15076</v>
      </c>
      <c r="F12379" s="177" t="s">
        <v>799</v>
      </c>
      <c r="G12379" s="177" t="s">
        <v>15077</v>
      </c>
      <c r="H12379" s="127" t="s">
        <v>211</v>
      </c>
    </row>
    <row r="12380" hidden="1">
      <c r="A12380" s="177" t="s">
        <v>221</v>
      </c>
      <c r="B12380" s="127" t="s">
        <v>189</v>
      </c>
      <c r="C12380" s="127" t="s">
        <v>206</v>
      </c>
      <c r="D12380" s="177" t="s">
        <v>60</v>
      </c>
      <c r="E12380" s="177" t="s">
        <v>15078</v>
      </c>
      <c r="F12380" s="177" t="s">
        <v>308</v>
      </c>
      <c r="G12380" s="177" t="s">
        <v>15079</v>
      </c>
      <c r="H12380" s="127" t="s">
        <v>212</v>
      </c>
    </row>
    <row r="12381" hidden="1">
      <c r="A12381" s="177" t="s">
        <v>221</v>
      </c>
      <c r="B12381" s="127" t="s">
        <v>189</v>
      </c>
      <c r="C12381" s="127" t="s">
        <v>206</v>
      </c>
      <c r="D12381" s="177" t="s">
        <v>60</v>
      </c>
      <c r="E12381" s="177" t="s">
        <v>15080</v>
      </c>
      <c r="F12381" s="177" t="s">
        <v>308</v>
      </c>
      <c r="G12381" s="177" t="s">
        <v>14897</v>
      </c>
      <c r="H12381" s="127" t="s">
        <v>213</v>
      </c>
    </row>
    <row r="12382" hidden="1">
      <c r="A12382" s="177" t="s">
        <v>221</v>
      </c>
      <c r="B12382" s="127" t="s">
        <v>189</v>
      </c>
      <c r="C12382" s="127" t="s">
        <v>206</v>
      </c>
      <c r="D12382" s="177" t="s">
        <v>60</v>
      </c>
      <c r="E12382" s="177" t="s">
        <v>15081</v>
      </c>
      <c r="F12382" s="177" t="s">
        <v>673</v>
      </c>
      <c r="G12382" s="177" t="s">
        <v>14601</v>
      </c>
      <c r="H12382" s="127" t="s">
        <v>214</v>
      </c>
    </row>
    <row r="12383" hidden="1">
      <c r="A12383" s="177" t="s">
        <v>221</v>
      </c>
      <c r="B12383" s="127" t="s">
        <v>189</v>
      </c>
      <c r="C12383" s="127" t="s">
        <v>206</v>
      </c>
      <c r="D12383" s="177" t="s">
        <v>60</v>
      </c>
      <c r="E12383" s="177" t="s">
        <v>15082</v>
      </c>
      <c r="F12383" s="177" t="s">
        <v>2607</v>
      </c>
      <c r="G12383" s="177" t="s">
        <v>14325</v>
      </c>
      <c r="H12383" s="127" t="s">
        <v>215</v>
      </c>
    </row>
    <row r="12384" hidden="1">
      <c r="A12384" s="177" t="s">
        <v>221</v>
      </c>
      <c r="B12384" s="127" t="s">
        <v>189</v>
      </c>
      <c r="C12384" s="127" t="s">
        <v>206</v>
      </c>
      <c r="D12384" s="177" t="s">
        <v>60</v>
      </c>
      <c r="E12384" s="177" t="s">
        <v>15083</v>
      </c>
      <c r="F12384" s="177" t="s">
        <v>450</v>
      </c>
      <c r="G12384" s="177" t="s">
        <v>12162</v>
      </c>
      <c r="H12384" s="127" t="s">
        <v>216</v>
      </c>
    </row>
    <row r="12385" hidden="1">
      <c r="A12385" s="177" t="s">
        <v>222</v>
      </c>
      <c r="B12385" s="127" t="s">
        <v>192</v>
      </c>
      <c r="C12385" s="127" t="s">
        <v>206</v>
      </c>
      <c r="D12385" s="177" t="s">
        <v>60</v>
      </c>
      <c r="E12385" s="177" t="s">
        <v>15084</v>
      </c>
      <c r="F12385" s="177" t="s">
        <v>269</v>
      </c>
      <c r="G12385" s="177" t="s">
        <v>3356</v>
      </c>
      <c r="H12385" s="127" t="s">
        <v>210</v>
      </c>
    </row>
    <row r="12386" hidden="1">
      <c r="A12386" s="177" t="s">
        <v>222</v>
      </c>
      <c r="B12386" s="127" t="s">
        <v>192</v>
      </c>
      <c r="C12386" s="127" t="s">
        <v>206</v>
      </c>
      <c r="D12386" s="177" t="s">
        <v>60</v>
      </c>
      <c r="E12386" s="177" t="s">
        <v>15085</v>
      </c>
      <c r="F12386" s="177" t="s">
        <v>492</v>
      </c>
      <c r="G12386" s="177" t="s">
        <v>2113</v>
      </c>
      <c r="H12386" s="127" t="s">
        <v>211</v>
      </c>
    </row>
    <row r="12387" hidden="1">
      <c r="A12387" s="177" t="s">
        <v>222</v>
      </c>
      <c r="B12387" s="127" t="s">
        <v>192</v>
      </c>
      <c r="C12387" s="127" t="s">
        <v>206</v>
      </c>
      <c r="D12387" s="177" t="s">
        <v>60</v>
      </c>
      <c r="E12387" s="177" t="s">
        <v>15086</v>
      </c>
      <c r="F12387" s="177" t="s">
        <v>301</v>
      </c>
      <c r="G12387" s="177" t="s">
        <v>3458</v>
      </c>
      <c r="H12387" s="127" t="s">
        <v>212</v>
      </c>
    </row>
    <row r="12388" hidden="1">
      <c r="A12388" s="177" t="s">
        <v>222</v>
      </c>
      <c r="B12388" s="127" t="s">
        <v>192</v>
      </c>
      <c r="C12388" s="127" t="s">
        <v>206</v>
      </c>
      <c r="D12388" s="177" t="s">
        <v>60</v>
      </c>
      <c r="E12388" s="177" t="s">
        <v>15087</v>
      </c>
      <c r="F12388" s="177" t="s">
        <v>255</v>
      </c>
      <c r="G12388" s="177" t="s">
        <v>3226</v>
      </c>
      <c r="H12388" s="127" t="s">
        <v>213</v>
      </c>
    </row>
    <row r="12389" hidden="1">
      <c r="A12389" s="177" t="s">
        <v>222</v>
      </c>
      <c r="B12389" s="127" t="s">
        <v>192</v>
      </c>
      <c r="C12389" s="127" t="s">
        <v>206</v>
      </c>
      <c r="D12389" s="177" t="s">
        <v>60</v>
      </c>
      <c r="E12389" s="177" t="s">
        <v>15088</v>
      </c>
      <c r="F12389" s="177" t="s">
        <v>269</v>
      </c>
      <c r="G12389" s="177" t="s">
        <v>2383</v>
      </c>
      <c r="H12389" s="127" t="s">
        <v>214</v>
      </c>
    </row>
    <row r="12390" hidden="1">
      <c r="A12390" s="177" t="s">
        <v>222</v>
      </c>
      <c r="B12390" s="127" t="s">
        <v>192</v>
      </c>
      <c r="C12390" s="127" t="s">
        <v>206</v>
      </c>
      <c r="D12390" s="177" t="s">
        <v>60</v>
      </c>
      <c r="E12390" s="177" t="s">
        <v>15089</v>
      </c>
      <c r="F12390" s="177" t="s">
        <v>246</v>
      </c>
      <c r="G12390" s="177" t="s">
        <v>2760</v>
      </c>
      <c r="H12390" s="127" t="s">
        <v>215</v>
      </c>
    </row>
    <row r="12391" hidden="1">
      <c r="A12391" s="177" t="s">
        <v>222</v>
      </c>
      <c r="B12391" s="127" t="s">
        <v>192</v>
      </c>
      <c r="C12391" s="127" t="s">
        <v>206</v>
      </c>
      <c r="D12391" s="177" t="s">
        <v>60</v>
      </c>
      <c r="E12391" s="177" t="s">
        <v>15090</v>
      </c>
      <c r="F12391" s="177" t="s">
        <v>255</v>
      </c>
      <c r="G12391" s="177" t="s">
        <v>2109</v>
      </c>
      <c r="H12391" s="127" t="s">
        <v>216</v>
      </c>
    </row>
    <row r="12392" hidden="1">
      <c r="A12392" s="177" t="s">
        <v>223</v>
      </c>
      <c r="B12392" s="127" t="s">
        <v>144</v>
      </c>
      <c r="C12392" s="127" t="s">
        <v>206</v>
      </c>
      <c r="D12392" s="177" t="s">
        <v>60</v>
      </c>
      <c r="E12392" s="177" t="s">
        <v>15091</v>
      </c>
      <c r="F12392" s="177" t="s">
        <v>357</v>
      </c>
      <c r="G12392" s="177" t="s">
        <v>9294</v>
      </c>
      <c r="H12392" s="127" t="s">
        <v>210</v>
      </c>
    </row>
    <row r="12393" hidden="1">
      <c r="A12393" s="177" t="s">
        <v>223</v>
      </c>
      <c r="B12393" s="127" t="s">
        <v>144</v>
      </c>
      <c r="C12393" s="127" t="s">
        <v>206</v>
      </c>
      <c r="D12393" s="177" t="s">
        <v>60</v>
      </c>
      <c r="E12393" s="177" t="s">
        <v>15092</v>
      </c>
      <c r="F12393" s="177" t="s">
        <v>359</v>
      </c>
      <c r="G12393" s="177" t="s">
        <v>3934</v>
      </c>
      <c r="H12393" s="127" t="s">
        <v>211</v>
      </c>
    </row>
    <row r="12394" hidden="1">
      <c r="A12394" s="177" t="s">
        <v>223</v>
      </c>
      <c r="B12394" s="127" t="s">
        <v>144</v>
      </c>
      <c r="C12394" s="127" t="s">
        <v>206</v>
      </c>
      <c r="D12394" s="177" t="s">
        <v>60</v>
      </c>
      <c r="E12394" s="177" t="s">
        <v>15093</v>
      </c>
      <c r="F12394" s="177" t="s">
        <v>323</v>
      </c>
      <c r="G12394" s="177" t="s">
        <v>4029</v>
      </c>
      <c r="H12394" s="127" t="s">
        <v>212</v>
      </c>
    </row>
    <row r="12395" hidden="1">
      <c r="A12395" s="177" t="s">
        <v>223</v>
      </c>
      <c r="B12395" s="127" t="s">
        <v>144</v>
      </c>
      <c r="C12395" s="127" t="s">
        <v>206</v>
      </c>
      <c r="D12395" s="177" t="s">
        <v>60</v>
      </c>
      <c r="E12395" s="177" t="s">
        <v>15094</v>
      </c>
      <c r="F12395" s="177" t="s">
        <v>242</v>
      </c>
      <c r="G12395" s="177" t="s">
        <v>2003</v>
      </c>
      <c r="H12395" s="127" t="s">
        <v>213</v>
      </c>
    </row>
    <row r="12396" hidden="1">
      <c r="A12396" s="177" t="s">
        <v>223</v>
      </c>
      <c r="B12396" s="127" t="s">
        <v>144</v>
      </c>
      <c r="C12396" s="127" t="s">
        <v>206</v>
      </c>
      <c r="D12396" s="177" t="s">
        <v>60</v>
      </c>
      <c r="E12396" s="177" t="s">
        <v>15095</v>
      </c>
      <c r="F12396" s="177" t="s">
        <v>323</v>
      </c>
      <c r="G12396" s="177" t="s">
        <v>4029</v>
      </c>
      <c r="H12396" s="127" t="s">
        <v>214</v>
      </c>
    </row>
    <row r="12397" hidden="1">
      <c r="A12397" s="177" t="s">
        <v>223</v>
      </c>
      <c r="B12397" s="127" t="s">
        <v>144</v>
      </c>
      <c r="C12397" s="127" t="s">
        <v>206</v>
      </c>
      <c r="D12397" s="177" t="s">
        <v>60</v>
      </c>
      <c r="E12397" s="177" t="s">
        <v>15096</v>
      </c>
      <c r="F12397" s="177" t="s">
        <v>285</v>
      </c>
      <c r="G12397" s="177" t="s">
        <v>8928</v>
      </c>
      <c r="H12397" s="127" t="s">
        <v>215</v>
      </c>
    </row>
    <row r="12398" hidden="1">
      <c r="A12398" s="177" t="s">
        <v>223</v>
      </c>
      <c r="B12398" s="127" t="s">
        <v>144</v>
      </c>
      <c r="C12398" s="127" t="s">
        <v>206</v>
      </c>
      <c r="D12398" s="177" t="s">
        <v>60</v>
      </c>
      <c r="E12398" s="177" t="s">
        <v>15097</v>
      </c>
      <c r="F12398" s="177" t="s">
        <v>323</v>
      </c>
      <c r="G12398" s="177" t="s">
        <v>3930</v>
      </c>
      <c r="H12398" s="127" t="s">
        <v>216</v>
      </c>
    </row>
    <row r="12399" hidden="1">
      <c r="A12399" s="177" t="s">
        <v>224</v>
      </c>
      <c r="B12399" s="127" t="s">
        <v>170</v>
      </c>
      <c r="C12399" s="127" t="s">
        <v>206</v>
      </c>
      <c r="D12399" s="177" t="s">
        <v>60</v>
      </c>
      <c r="E12399" s="177" t="s">
        <v>15098</v>
      </c>
      <c r="F12399" s="177" t="s">
        <v>246</v>
      </c>
      <c r="G12399" s="177" t="s">
        <v>4297</v>
      </c>
      <c r="H12399" s="127" t="s">
        <v>210</v>
      </c>
    </row>
    <row r="12400" hidden="1">
      <c r="A12400" s="177" t="s">
        <v>224</v>
      </c>
      <c r="B12400" s="127" t="s">
        <v>170</v>
      </c>
      <c r="C12400" s="127" t="s">
        <v>206</v>
      </c>
      <c r="D12400" s="177" t="s">
        <v>60</v>
      </c>
      <c r="E12400" s="177" t="s">
        <v>15099</v>
      </c>
      <c r="F12400" s="177" t="s">
        <v>357</v>
      </c>
      <c r="G12400" s="177" t="s">
        <v>4283</v>
      </c>
      <c r="H12400" s="127" t="s">
        <v>211</v>
      </c>
    </row>
    <row r="12401" hidden="1">
      <c r="A12401" s="177" t="s">
        <v>224</v>
      </c>
      <c r="B12401" s="127" t="s">
        <v>170</v>
      </c>
      <c r="C12401" s="127" t="s">
        <v>206</v>
      </c>
      <c r="D12401" s="177" t="s">
        <v>60</v>
      </c>
      <c r="E12401" s="177" t="s">
        <v>15100</v>
      </c>
      <c r="F12401" s="177" t="s">
        <v>244</v>
      </c>
      <c r="G12401" s="177" t="s">
        <v>6901</v>
      </c>
      <c r="H12401" s="127" t="s">
        <v>212</v>
      </c>
    </row>
    <row r="12402" hidden="1">
      <c r="A12402" s="177" t="s">
        <v>224</v>
      </c>
      <c r="B12402" s="127" t="s">
        <v>170</v>
      </c>
      <c r="C12402" s="127" t="s">
        <v>206</v>
      </c>
      <c r="D12402" s="177" t="s">
        <v>60</v>
      </c>
      <c r="E12402" s="177" t="s">
        <v>15101</v>
      </c>
      <c r="F12402" s="177" t="s">
        <v>321</v>
      </c>
      <c r="G12402" s="177" t="s">
        <v>3267</v>
      </c>
      <c r="H12402" s="127" t="s">
        <v>213</v>
      </c>
    </row>
    <row r="12403" hidden="1">
      <c r="A12403" s="177" t="s">
        <v>224</v>
      </c>
      <c r="B12403" s="127" t="s">
        <v>170</v>
      </c>
      <c r="C12403" s="127" t="s">
        <v>206</v>
      </c>
      <c r="D12403" s="177" t="s">
        <v>60</v>
      </c>
      <c r="E12403" s="177" t="s">
        <v>15102</v>
      </c>
      <c r="F12403" s="177" t="s">
        <v>287</v>
      </c>
      <c r="G12403" s="177" t="s">
        <v>4146</v>
      </c>
      <c r="H12403" s="127" t="s">
        <v>214</v>
      </c>
    </row>
    <row r="12404" hidden="1">
      <c r="A12404" s="177" t="s">
        <v>224</v>
      </c>
      <c r="B12404" s="127" t="s">
        <v>170</v>
      </c>
      <c r="C12404" s="127" t="s">
        <v>206</v>
      </c>
      <c r="D12404" s="177" t="s">
        <v>60</v>
      </c>
      <c r="E12404" s="177" t="s">
        <v>15103</v>
      </c>
      <c r="F12404" s="177" t="s">
        <v>269</v>
      </c>
      <c r="G12404" s="177" t="s">
        <v>1995</v>
      </c>
      <c r="H12404" s="127" t="s">
        <v>215</v>
      </c>
    </row>
    <row r="12405" hidden="1">
      <c r="A12405" s="177" t="s">
        <v>224</v>
      </c>
      <c r="B12405" s="127" t="s">
        <v>170</v>
      </c>
      <c r="C12405" s="127" t="s">
        <v>206</v>
      </c>
      <c r="D12405" s="177" t="s">
        <v>60</v>
      </c>
      <c r="E12405" s="177" t="s">
        <v>15104</v>
      </c>
      <c r="F12405" s="177" t="s">
        <v>244</v>
      </c>
      <c r="G12405" s="177" t="s">
        <v>3756</v>
      </c>
      <c r="H12405" s="127" t="s">
        <v>216</v>
      </c>
    </row>
    <row r="12406" hidden="1">
      <c r="A12406" s="177" t="s">
        <v>225</v>
      </c>
      <c r="B12406" s="127" t="s">
        <v>226</v>
      </c>
      <c r="C12406" s="127" t="s">
        <v>206</v>
      </c>
      <c r="D12406" s="177" t="s">
        <v>60</v>
      </c>
      <c r="E12406" s="177" t="s">
        <v>15105</v>
      </c>
      <c r="F12406" s="177" t="s">
        <v>321</v>
      </c>
      <c r="G12406" s="177" t="s">
        <v>10075</v>
      </c>
      <c r="H12406" s="127" t="s">
        <v>210</v>
      </c>
    </row>
    <row r="12407" hidden="1">
      <c r="A12407" s="177" t="s">
        <v>225</v>
      </c>
      <c r="B12407" s="127" t="s">
        <v>226</v>
      </c>
      <c r="C12407" s="127" t="s">
        <v>206</v>
      </c>
      <c r="D12407" s="177" t="s">
        <v>60</v>
      </c>
      <c r="E12407" s="177" t="s">
        <v>15106</v>
      </c>
      <c r="F12407" s="177" t="s">
        <v>357</v>
      </c>
      <c r="G12407" s="177" t="s">
        <v>10006</v>
      </c>
      <c r="H12407" s="127" t="s">
        <v>211</v>
      </c>
    </row>
    <row r="12408" hidden="1">
      <c r="A12408" s="177" t="s">
        <v>225</v>
      </c>
      <c r="B12408" s="127" t="s">
        <v>226</v>
      </c>
      <c r="C12408" s="127" t="s">
        <v>206</v>
      </c>
      <c r="D12408" s="177" t="s">
        <v>60</v>
      </c>
      <c r="E12408" s="177" t="s">
        <v>15107</v>
      </c>
      <c r="F12408" s="177" t="s">
        <v>359</v>
      </c>
      <c r="G12408" s="177" t="s">
        <v>9941</v>
      </c>
      <c r="H12408" s="127" t="s">
        <v>212</v>
      </c>
    </row>
    <row r="12409" hidden="1">
      <c r="A12409" s="177" t="s">
        <v>225</v>
      </c>
      <c r="B12409" s="127" t="s">
        <v>226</v>
      </c>
      <c r="C12409" s="127" t="s">
        <v>206</v>
      </c>
      <c r="D12409" s="177" t="s">
        <v>60</v>
      </c>
      <c r="E12409" s="177" t="s">
        <v>15108</v>
      </c>
      <c r="F12409" s="177" t="s">
        <v>314</v>
      </c>
      <c r="G12409" s="177" t="s">
        <v>10138</v>
      </c>
      <c r="H12409" s="127" t="s">
        <v>213</v>
      </c>
    </row>
    <row r="12410" hidden="1">
      <c r="A12410" s="177" t="s">
        <v>225</v>
      </c>
      <c r="B12410" s="127" t="s">
        <v>226</v>
      </c>
      <c r="C12410" s="127" t="s">
        <v>206</v>
      </c>
      <c r="D12410" s="177" t="s">
        <v>60</v>
      </c>
      <c r="E12410" s="177" t="s">
        <v>15109</v>
      </c>
      <c r="F12410" s="177" t="s">
        <v>359</v>
      </c>
      <c r="G12410" s="177" t="s">
        <v>10075</v>
      </c>
      <c r="H12410" s="127" t="s">
        <v>214</v>
      </c>
    </row>
    <row r="12411" hidden="1">
      <c r="A12411" s="177" t="s">
        <v>225</v>
      </c>
      <c r="B12411" s="127" t="s">
        <v>226</v>
      </c>
      <c r="C12411" s="127" t="s">
        <v>206</v>
      </c>
      <c r="D12411" s="177" t="s">
        <v>60</v>
      </c>
      <c r="E12411" s="177" t="s">
        <v>15110</v>
      </c>
      <c r="F12411" s="177" t="s">
        <v>290</v>
      </c>
      <c r="G12411" s="177" t="s">
        <v>10650</v>
      </c>
      <c r="H12411" s="127" t="s">
        <v>215</v>
      </c>
    </row>
    <row r="12412" hidden="1">
      <c r="A12412" s="177" t="s">
        <v>225</v>
      </c>
      <c r="B12412" s="127" t="s">
        <v>226</v>
      </c>
      <c r="C12412" s="127" t="s">
        <v>206</v>
      </c>
      <c r="D12412" s="177" t="s">
        <v>60</v>
      </c>
      <c r="E12412" s="177" t="s">
        <v>15111</v>
      </c>
      <c r="F12412" s="177" t="s">
        <v>359</v>
      </c>
      <c r="G12412" s="177" t="s">
        <v>9419</v>
      </c>
      <c r="H12412" s="127" t="s">
        <v>216</v>
      </c>
    </row>
    <row r="12413" hidden="1">
      <c r="A12413" s="177" t="s">
        <v>227</v>
      </c>
      <c r="B12413" s="127" t="s">
        <v>195</v>
      </c>
      <c r="C12413" s="127" t="s">
        <v>206</v>
      </c>
      <c r="D12413" s="177" t="s">
        <v>60</v>
      </c>
      <c r="E12413" s="177" t="s">
        <v>15112</v>
      </c>
      <c r="F12413" s="177" t="s">
        <v>308</v>
      </c>
      <c r="G12413" s="177" t="s">
        <v>3629</v>
      </c>
      <c r="H12413" s="127" t="s">
        <v>210</v>
      </c>
    </row>
    <row r="12414" hidden="1">
      <c r="A12414" s="177" t="s">
        <v>227</v>
      </c>
      <c r="B12414" s="127" t="s">
        <v>195</v>
      </c>
      <c r="C12414" s="127" t="s">
        <v>206</v>
      </c>
      <c r="D12414" s="177" t="s">
        <v>60</v>
      </c>
      <c r="E12414" s="177" t="s">
        <v>15113</v>
      </c>
      <c r="F12414" s="177" t="s">
        <v>354</v>
      </c>
      <c r="G12414" s="177" t="s">
        <v>3599</v>
      </c>
      <c r="H12414" s="127" t="s">
        <v>211</v>
      </c>
    </row>
    <row r="12415" hidden="1">
      <c r="A12415" s="177" t="s">
        <v>227</v>
      </c>
      <c r="B12415" s="127" t="s">
        <v>195</v>
      </c>
      <c r="C12415" s="127" t="s">
        <v>206</v>
      </c>
      <c r="D12415" s="177" t="s">
        <v>60</v>
      </c>
      <c r="E12415" s="177" t="s">
        <v>15114</v>
      </c>
      <c r="F12415" s="177" t="s">
        <v>244</v>
      </c>
      <c r="G12415" s="177" t="s">
        <v>3535</v>
      </c>
      <c r="H12415" s="127" t="s">
        <v>212</v>
      </c>
    </row>
    <row r="12416" hidden="1">
      <c r="A12416" s="177" t="s">
        <v>227</v>
      </c>
      <c r="B12416" s="127" t="s">
        <v>195</v>
      </c>
      <c r="C12416" s="127" t="s">
        <v>206</v>
      </c>
      <c r="D12416" s="177" t="s">
        <v>60</v>
      </c>
      <c r="E12416" s="177" t="s">
        <v>15115</v>
      </c>
      <c r="F12416" s="177" t="s">
        <v>269</v>
      </c>
      <c r="G12416" s="177" t="s">
        <v>3699</v>
      </c>
      <c r="H12416" s="127" t="s">
        <v>213</v>
      </c>
    </row>
    <row r="12417" hidden="1">
      <c r="A12417" s="177" t="s">
        <v>227</v>
      </c>
      <c r="B12417" s="127" t="s">
        <v>195</v>
      </c>
      <c r="C12417" s="127" t="s">
        <v>206</v>
      </c>
      <c r="D12417" s="177" t="s">
        <v>60</v>
      </c>
      <c r="E12417" s="177" t="s">
        <v>15116</v>
      </c>
      <c r="F12417" s="177" t="s">
        <v>240</v>
      </c>
      <c r="G12417" s="177" t="s">
        <v>4026</v>
      </c>
      <c r="H12417" s="127" t="s">
        <v>214</v>
      </c>
    </row>
    <row r="12418" hidden="1">
      <c r="A12418" s="177" t="s">
        <v>227</v>
      </c>
      <c r="B12418" s="127" t="s">
        <v>195</v>
      </c>
      <c r="C12418" s="127" t="s">
        <v>206</v>
      </c>
      <c r="D12418" s="177" t="s">
        <v>60</v>
      </c>
      <c r="E12418" s="177" t="s">
        <v>15117</v>
      </c>
      <c r="F12418" s="177" t="s">
        <v>246</v>
      </c>
      <c r="G12418" s="177" t="s">
        <v>3756</v>
      </c>
      <c r="H12418" s="127" t="s">
        <v>215</v>
      </c>
    </row>
    <row r="12419" hidden="1">
      <c r="A12419" s="177" t="s">
        <v>227</v>
      </c>
      <c r="B12419" s="127" t="s">
        <v>195</v>
      </c>
      <c r="C12419" s="127" t="s">
        <v>206</v>
      </c>
      <c r="D12419" s="177" t="s">
        <v>60</v>
      </c>
      <c r="E12419" s="177" t="s">
        <v>15118</v>
      </c>
      <c r="F12419" s="177" t="s">
        <v>290</v>
      </c>
      <c r="G12419" s="177" t="s">
        <v>3304</v>
      </c>
      <c r="H12419" s="127" t="s">
        <v>216</v>
      </c>
    </row>
    <row r="12420" hidden="1">
      <c r="A12420" s="177" t="s">
        <v>228</v>
      </c>
      <c r="B12420" s="127" t="s">
        <v>138</v>
      </c>
      <c r="C12420" s="127" t="s">
        <v>206</v>
      </c>
      <c r="D12420" s="177" t="s">
        <v>60</v>
      </c>
      <c r="E12420" s="177" t="s">
        <v>15119</v>
      </c>
      <c r="F12420" s="177" t="s">
        <v>246</v>
      </c>
      <c r="G12420" s="177" t="s">
        <v>11511</v>
      </c>
      <c r="H12420" s="127" t="s">
        <v>210</v>
      </c>
    </row>
    <row r="12421" hidden="1">
      <c r="A12421" s="177" t="s">
        <v>228</v>
      </c>
      <c r="B12421" s="127" t="s">
        <v>138</v>
      </c>
      <c r="C12421" s="127" t="s">
        <v>206</v>
      </c>
      <c r="D12421" s="177" t="s">
        <v>60</v>
      </c>
      <c r="E12421" s="177" t="s">
        <v>15120</v>
      </c>
      <c r="F12421" s="177" t="s">
        <v>242</v>
      </c>
      <c r="G12421" s="177" t="s">
        <v>12131</v>
      </c>
      <c r="H12421" s="127" t="s">
        <v>211</v>
      </c>
    </row>
    <row r="12422" hidden="1">
      <c r="A12422" s="177" t="s">
        <v>228</v>
      </c>
      <c r="B12422" s="127" t="s">
        <v>138</v>
      </c>
      <c r="C12422" s="127" t="s">
        <v>206</v>
      </c>
      <c r="D12422" s="177" t="s">
        <v>60</v>
      </c>
      <c r="E12422" s="177" t="s">
        <v>15121</v>
      </c>
      <c r="F12422" s="177" t="s">
        <v>9480</v>
      </c>
      <c r="G12422" s="177" t="s">
        <v>15122</v>
      </c>
      <c r="H12422" s="127" t="s">
        <v>212</v>
      </c>
    </row>
    <row r="12423" hidden="1">
      <c r="A12423" s="177" t="s">
        <v>228</v>
      </c>
      <c r="B12423" s="127" t="s">
        <v>138</v>
      </c>
      <c r="C12423" s="127" t="s">
        <v>206</v>
      </c>
      <c r="D12423" s="177" t="s">
        <v>60</v>
      </c>
      <c r="E12423" s="177" t="s">
        <v>15123</v>
      </c>
      <c r="F12423" s="177" t="s">
        <v>314</v>
      </c>
      <c r="G12423" s="177" t="s">
        <v>14316</v>
      </c>
      <c r="H12423" s="127" t="s">
        <v>213</v>
      </c>
    </row>
    <row r="12424" hidden="1">
      <c r="A12424" s="177" t="s">
        <v>228</v>
      </c>
      <c r="B12424" s="127" t="s">
        <v>138</v>
      </c>
      <c r="C12424" s="127" t="s">
        <v>206</v>
      </c>
      <c r="D12424" s="177" t="s">
        <v>60</v>
      </c>
      <c r="E12424" s="177" t="s">
        <v>15124</v>
      </c>
      <c r="F12424" s="177" t="s">
        <v>301</v>
      </c>
      <c r="G12424" s="177" t="s">
        <v>12093</v>
      </c>
      <c r="H12424" s="127" t="s">
        <v>214</v>
      </c>
    </row>
    <row r="12425" hidden="1">
      <c r="A12425" s="177" t="s">
        <v>228</v>
      </c>
      <c r="B12425" s="127" t="s">
        <v>138</v>
      </c>
      <c r="C12425" s="127" t="s">
        <v>206</v>
      </c>
      <c r="D12425" s="177" t="s">
        <v>60</v>
      </c>
      <c r="E12425" s="177" t="s">
        <v>15125</v>
      </c>
      <c r="F12425" s="177" t="s">
        <v>1931</v>
      </c>
      <c r="G12425" s="177" t="s">
        <v>12471</v>
      </c>
      <c r="H12425" s="127" t="s">
        <v>215</v>
      </c>
    </row>
    <row r="12426" hidden="1">
      <c r="A12426" s="177" t="s">
        <v>228</v>
      </c>
      <c r="B12426" s="127" t="s">
        <v>138</v>
      </c>
      <c r="C12426" s="127" t="s">
        <v>206</v>
      </c>
      <c r="D12426" s="177" t="s">
        <v>60</v>
      </c>
      <c r="E12426" s="177" t="s">
        <v>15126</v>
      </c>
      <c r="F12426" s="177" t="s">
        <v>359</v>
      </c>
      <c r="G12426" s="177" t="s">
        <v>12393</v>
      </c>
      <c r="H12426" s="127" t="s">
        <v>216</v>
      </c>
    </row>
    <row r="12427" hidden="1">
      <c r="A12427" s="177" t="s">
        <v>229</v>
      </c>
      <c r="B12427" s="127" t="s">
        <v>193</v>
      </c>
      <c r="C12427" s="127" t="s">
        <v>206</v>
      </c>
      <c r="D12427" s="177" t="s">
        <v>60</v>
      </c>
      <c r="E12427" s="177" t="s">
        <v>15127</v>
      </c>
      <c r="F12427" s="177" t="s">
        <v>357</v>
      </c>
      <c r="G12427" s="177" t="s">
        <v>9727</v>
      </c>
      <c r="H12427" s="127" t="s">
        <v>210</v>
      </c>
    </row>
    <row r="12428" hidden="1">
      <c r="A12428" s="177" t="s">
        <v>229</v>
      </c>
      <c r="B12428" s="127" t="s">
        <v>193</v>
      </c>
      <c r="C12428" s="127" t="s">
        <v>206</v>
      </c>
      <c r="D12428" s="177" t="s">
        <v>60</v>
      </c>
      <c r="E12428" s="177" t="s">
        <v>15128</v>
      </c>
      <c r="F12428" s="177" t="s">
        <v>321</v>
      </c>
      <c r="G12428" s="177" t="s">
        <v>9341</v>
      </c>
      <c r="H12428" s="127" t="s">
        <v>211</v>
      </c>
    </row>
    <row r="12429" hidden="1">
      <c r="A12429" s="177" t="s">
        <v>229</v>
      </c>
      <c r="B12429" s="127" t="s">
        <v>193</v>
      </c>
      <c r="C12429" s="127" t="s">
        <v>206</v>
      </c>
      <c r="D12429" s="177" t="s">
        <v>60</v>
      </c>
      <c r="E12429" s="177" t="s">
        <v>15129</v>
      </c>
      <c r="F12429" s="177" t="s">
        <v>1181</v>
      </c>
      <c r="G12429" s="177" t="s">
        <v>4268</v>
      </c>
      <c r="H12429" s="127" t="s">
        <v>212</v>
      </c>
    </row>
    <row r="12430" hidden="1">
      <c r="A12430" s="177" t="s">
        <v>229</v>
      </c>
      <c r="B12430" s="127" t="s">
        <v>193</v>
      </c>
      <c r="C12430" s="127" t="s">
        <v>206</v>
      </c>
      <c r="D12430" s="177" t="s">
        <v>60</v>
      </c>
      <c r="E12430" s="177" t="s">
        <v>15130</v>
      </c>
      <c r="F12430" s="177" t="s">
        <v>351</v>
      </c>
      <c r="G12430" s="177" t="s">
        <v>9760</v>
      </c>
      <c r="H12430" s="127" t="s">
        <v>213</v>
      </c>
    </row>
    <row r="12431" hidden="1">
      <c r="A12431" s="177" t="s">
        <v>229</v>
      </c>
      <c r="B12431" s="127" t="s">
        <v>193</v>
      </c>
      <c r="C12431" s="127" t="s">
        <v>206</v>
      </c>
      <c r="D12431" s="177" t="s">
        <v>60</v>
      </c>
      <c r="E12431" s="177" t="s">
        <v>15131</v>
      </c>
      <c r="F12431" s="177" t="s">
        <v>305</v>
      </c>
      <c r="G12431" s="177" t="s">
        <v>9916</v>
      </c>
      <c r="H12431" s="127" t="s">
        <v>214</v>
      </c>
    </row>
    <row r="12432" hidden="1">
      <c r="A12432" s="177" t="s">
        <v>229</v>
      </c>
      <c r="B12432" s="127" t="s">
        <v>193</v>
      </c>
      <c r="C12432" s="127" t="s">
        <v>206</v>
      </c>
      <c r="D12432" s="177" t="s">
        <v>60</v>
      </c>
      <c r="E12432" s="177" t="s">
        <v>15132</v>
      </c>
      <c r="F12432" s="177" t="s">
        <v>725</v>
      </c>
      <c r="G12432" s="177" t="s">
        <v>11120</v>
      </c>
      <c r="H12432" s="127" t="s">
        <v>215</v>
      </c>
    </row>
    <row r="12433" hidden="1">
      <c r="A12433" s="177" t="s">
        <v>229</v>
      </c>
      <c r="B12433" s="127" t="s">
        <v>193</v>
      </c>
      <c r="C12433" s="127" t="s">
        <v>206</v>
      </c>
      <c r="D12433" s="177" t="s">
        <v>60</v>
      </c>
      <c r="E12433" s="177" t="s">
        <v>15133</v>
      </c>
      <c r="F12433" s="177" t="s">
        <v>359</v>
      </c>
      <c r="G12433" s="177" t="s">
        <v>9278</v>
      </c>
      <c r="H12433" s="127" t="s">
        <v>216</v>
      </c>
    </row>
    <row r="12434" hidden="1">
      <c r="A12434" s="177" t="s">
        <v>230</v>
      </c>
      <c r="B12434" s="127" t="s">
        <v>194</v>
      </c>
      <c r="C12434" s="127" t="s">
        <v>206</v>
      </c>
      <c r="D12434" s="177" t="s">
        <v>60</v>
      </c>
      <c r="E12434" s="177" t="s">
        <v>15134</v>
      </c>
      <c r="F12434" s="177" t="s">
        <v>305</v>
      </c>
      <c r="G12434" s="177" t="s">
        <v>3968</v>
      </c>
      <c r="H12434" s="127" t="s">
        <v>210</v>
      </c>
    </row>
    <row r="12435" hidden="1">
      <c r="A12435" s="177" t="s">
        <v>230</v>
      </c>
      <c r="B12435" s="127" t="s">
        <v>194</v>
      </c>
      <c r="C12435" s="127" t="s">
        <v>206</v>
      </c>
      <c r="D12435" s="177" t="s">
        <v>60</v>
      </c>
      <c r="E12435" s="177" t="s">
        <v>15135</v>
      </c>
      <c r="F12435" s="177" t="s">
        <v>308</v>
      </c>
      <c r="G12435" s="177" t="s">
        <v>3917</v>
      </c>
      <c r="H12435" s="127" t="s">
        <v>211</v>
      </c>
    </row>
    <row r="12436" hidden="1">
      <c r="A12436" s="177" t="s">
        <v>230</v>
      </c>
      <c r="B12436" s="127" t="s">
        <v>194</v>
      </c>
      <c r="C12436" s="127" t="s">
        <v>206</v>
      </c>
      <c r="D12436" s="177" t="s">
        <v>60</v>
      </c>
      <c r="E12436" s="177" t="s">
        <v>15136</v>
      </c>
      <c r="F12436" s="177" t="s">
        <v>321</v>
      </c>
      <c r="G12436" s="177" t="s">
        <v>3057</v>
      </c>
      <c r="H12436" s="127" t="s">
        <v>212</v>
      </c>
    </row>
    <row r="12437" hidden="1">
      <c r="A12437" s="177" t="s">
        <v>230</v>
      </c>
      <c r="B12437" s="127" t="s">
        <v>194</v>
      </c>
      <c r="C12437" s="127" t="s">
        <v>206</v>
      </c>
      <c r="D12437" s="177" t="s">
        <v>60</v>
      </c>
      <c r="E12437" s="177" t="s">
        <v>15137</v>
      </c>
      <c r="F12437" s="177" t="s">
        <v>249</v>
      </c>
      <c r="G12437" s="177" t="s">
        <v>1927</v>
      </c>
      <c r="H12437" s="127" t="s">
        <v>213</v>
      </c>
    </row>
    <row r="12438" hidden="1">
      <c r="A12438" s="177" t="s">
        <v>230</v>
      </c>
      <c r="B12438" s="127" t="s">
        <v>194</v>
      </c>
      <c r="C12438" s="127" t="s">
        <v>206</v>
      </c>
      <c r="D12438" s="177" t="s">
        <v>60</v>
      </c>
      <c r="E12438" s="177" t="s">
        <v>15138</v>
      </c>
      <c r="F12438" s="177" t="s">
        <v>534</v>
      </c>
      <c r="G12438" s="177" t="s">
        <v>4206</v>
      </c>
      <c r="H12438" s="127" t="s">
        <v>214</v>
      </c>
    </row>
    <row r="12439" hidden="1">
      <c r="A12439" s="177" t="s">
        <v>230</v>
      </c>
      <c r="B12439" s="127" t="s">
        <v>194</v>
      </c>
      <c r="C12439" s="127" t="s">
        <v>206</v>
      </c>
      <c r="D12439" s="177" t="s">
        <v>60</v>
      </c>
      <c r="E12439" s="177" t="s">
        <v>15139</v>
      </c>
      <c r="F12439" s="177" t="s">
        <v>305</v>
      </c>
      <c r="G12439" s="177" t="s">
        <v>3915</v>
      </c>
      <c r="H12439" s="127" t="s">
        <v>215</v>
      </c>
    </row>
    <row r="12440" hidden="1">
      <c r="A12440" s="177" t="s">
        <v>230</v>
      </c>
      <c r="B12440" s="127" t="s">
        <v>194</v>
      </c>
      <c r="C12440" s="127" t="s">
        <v>206</v>
      </c>
      <c r="D12440" s="177" t="s">
        <v>60</v>
      </c>
      <c r="E12440" s="177" t="s">
        <v>15140</v>
      </c>
      <c r="F12440" s="177" t="s">
        <v>290</v>
      </c>
      <c r="G12440" s="177" t="s">
        <v>3913</v>
      </c>
      <c r="H12440" s="127" t="s">
        <v>216</v>
      </c>
    </row>
    <row r="12441" hidden="1">
      <c r="A12441" s="127" t="s">
        <v>231</v>
      </c>
      <c r="C12441" s="127" t="s">
        <v>232</v>
      </c>
      <c r="D12441" s="177" t="s">
        <v>60</v>
      </c>
      <c r="E12441" s="177" t="s">
        <v>15141</v>
      </c>
      <c r="F12441" s="177" t="s">
        <v>282</v>
      </c>
      <c r="G12441" s="177" t="s">
        <v>2995</v>
      </c>
      <c r="H12441" s="127" t="s">
        <v>210</v>
      </c>
    </row>
    <row r="12442" hidden="1">
      <c r="A12442" s="127" t="s">
        <v>231</v>
      </c>
      <c r="C12442" s="127" t="s">
        <v>232</v>
      </c>
      <c r="D12442" s="177" t="s">
        <v>60</v>
      </c>
      <c r="E12442" s="177" t="s">
        <v>15142</v>
      </c>
      <c r="F12442" s="177" t="s">
        <v>433</v>
      </c>
      <c r="G12442" s="177" t="s">
        <v>2820</v>
      </c>
      <c r="H12442" s="127" t="s">
        <v>211</v>
      </c>
    </row>
    <row r="12443" hidden="1">
      <c r="A12443" s="127" t="s">
        <v>231</v>
      </c>
      <c r="C12443" s="127" t="s">
        <v>232</v>
      </c>
      <c r="D12443" s="177" t="s">
        <v>60</v>
      </c>
      <c r="E12443" s="177" t="s">
        <v>15143</v>
      </c>
      <c r="F12443" s="177" t="s">
        <v>1236</v>
      </c>
      <c r="G12443" s="177" t="s">
        <v>2219</v>
      </c>
      <c r="H12443" s="127" t="s">
        <v>212</v>
      </c>
    </row>
    <row r="12444" hidden="1">
      <c r="A12444" s="127" t="s">
        <v>231</v>
      </c>
      <c r="C12444" s="127" t="s">
        <v>232</v>
      </c>
      <c r="D12444" s="177" t="s">
        <v>60</v>
      </c>
      <c r="E12444" s="177" t="s">
        <v>15144</v>
      </c>
      <c r="F12444" s="177" t="s">
        <v>436</v>
      </c>
      <c r="G12444" s="177" t="s">
        <v>3142</v>
      </c>
      <c r="H12444" s="127" t="s">
        <v>213</v>
      </c>
    </row>
    <row r="12445" hidden="1">
      <c r="A12445" s="127" t="s">
        <v>231</v>
      </c>
      <c r="C12445" s="127" t="s">
        <v>232</v>
      </c>
      <c r="D12445" s="177" t="s">
        <v>60</v>
      </c>
      <c r="E12445" s="177" t="s">
        <v>15145</v>
      </c>
      <c r="F12445" s="177" t="s">
        <v>15146</v>
      </c>
      <c r="G12445" s="177" t="s">
        <v>3412</v>
      </c>
      <c r="H12445" s="127" t="s">
        <v>214</v>
      </c>
    </row>
    <row r="12446" hidden="1">
      <c r="A12446" s="127" t="s">
        <v>231</v>
      </c>
      <c r="C12446" s="127" t="s">
        <v>232</v>
      </c>
      <c r="D12446" s="177" t="s">
        <v>60</v>
      </c>
      <c r="E12446" s="177" t="s">
        <v>15147</v>
      </c>
      <c r="F12446" s="177" t="s">
        <v>433</v>
      </c>
      <c r="G12446" s="177" t="s">
        <v>2179</v>
      </c>
      <c r="H12446" s="127" t="s">
        <v>215</v>
      </c>
    </row>
    <row r="12447" hidden="1">
      <c r="A12447" s="127" t="s">
        <v>231</v>
      </c>
      <c r="C12447" s="127" t="s">
        <v>232</v>
      </c>
      <c r="D12447" s="177" t="s">
        <v>60</v>
      </c>
      <c r="E12447" s="177" t="s">
        <v>15148</v>
      </c>
      <c r="F12447" s="177" t="s">
        <v>1992</v>
      </c>
      <c r="G12447" s="177" t="s">
        <v>3443</v>
      </c>
      <c r="H12447" s="127" t="s">
        <v>216</v>
      </c>
    </row>
    <row r="12448" hidden="1">
      <c r="A12448" s="127" t="s">
        <v>233</v>
      </c>
      <c r="C12448" s="127" t="s">
        <v>232</v>
      </c>
      <c r="D12448" s="177" t="s">
        <v>60</v>
      </c>
      <c r="E12448" s="177" t="s">
        <v>15149</v>
      </c>
      <c r="F12448" s="177" t="s">
        <v>331</v>
      </c>
      <c r="G12448" s="177" t="s">
        <v>4167</v>
      </c>
      <c r="H12448" s="127" t="s">
        <v>210</v>
      </c>
    </row>
    <row r="12449" hidden="1">
      <c r="A12449" s="127" t="s">
        <v>233</v>
      </c>
      <c r="C12449" s="127" t="s">
        <v>232</v>
      </c>
      <c r="D12449" s="177" t="s">
        <v>60</v>
      </c>
      <c r="E12449" s="177" t="s">
        <v>15150</v>
      </c>
      <c r="F12449" s="177" t="s">
        <v>310</v>
      </c>
      <c r="G12449" s="177" t="s">
        <v>3113</v>
      </c>
      <c r="H12449" s="127" t="s">
        <v>211</v>
      </c>
    </row>
    <row r="12450" hidden="1">
      <c r="A12450" s="127" t="s">
        <v>233</v>
      </c>
      <c r="C12450" s="127" t="s">
        <v>232</v>
      </c>
      <c r="D12450" s="177" t="s">
        <v>60</v>
      </c>
      <c r="E12450" s="177" t="s">
        <v>15151</v>
      </c>
      <c r="F12450" s="177" t="s">
        <v>285</v>
      </c>
      <c r="G12450" s="177" t="s">
        <v>3205</v>
      </c>
      <c r="H12450" s="127" t="s">
        <v>212</v>
      </c>
    </row>
    <row r="12451" hidden="1">
      <c r="A12451" s="127" t="s">
        <v>233</v>
      </c>
      <c r="C12451" s="127" t="s">
        <v>232</v>
      </c>
      <c r="D12451" s="177" t="s">
        <v>60</v>
      </c>
      <c r="E12451" s="177" t="s">
        <v>15152</v>
      </c>
      <c r="F12451" s="177" t="s">
        <v>290</v>
      </c>
      <c r="G12451" s="177" t="s">
        <v>3968</v>
      </c>
      <c r="H12451" s="127" t="s">
        <v>213</v>
      </c>
    </row>
    <row r="12452" hidden="1">
      <c r="A12452" s="127" t="s">
        <v>233</v>
      </c>
      <c r="C12452" s="127" t="s">
        <v>232</v>
      </c>
      <c r="D12452" s="177" t="s">
        <v>60</v>
      </c>
      <c r="E12452" s="177" t="s">
        <v>15153</v>
      </c>
      <c r="F12452" s="177" t="s">
        <v>351</v>
      </c>
      <c r="G12452" s="177" t="s">
        <v>4317</v>
      </c>
      <c r="H12452" s="127" t="s">
        <v>214</v>
      </c>
    </row>
    <row r="12453" hidden="1">
      <c r="A12453" s="127" t="s">
        <v>233</v>
      </c>
      <c r="C12453" s="127" t="s">
        <v>232</v>
      </c>
      <c r="D12453" s="177" t="s">
        <v>60</v>
      </c>
      <c r="E12453" s="177" t="s">
        <v>15154</v>
      </c>
      <c r="F12453" s="177" t="s">
        <v>427</v>
      </c>
      <c r="G12453" s="177" t="s">
        <v>4688</v>
      </c>
      <c r="H12453" s="127" t="s">
        <v>215</v>
      </c>
    </row>
    <row r="12454" hidden="1">
      <c r="A12454" s="127" t="s">
        <v>233</v>
      </c>
      <c r="C12454" s="127" t="s">
        <v>232</v>
      </c>
      <c r="D12454" s="177" t="s">
        <v>60</v>
      </c>
      <c r="E12454" s="177" t="s">
        <v>15155</v>
      </c>
      <c r="F12454" s="177" t="s">
        <v>290</v>
      </c>
      <c r="G12454" s="177" t="s">
        <v>2185</v>
      </c>
      <c r="H12454" s="127" t="s">
        <v>216</v>
      </c>
    </row>
    <row r="12455" hidden="1">
      <c r="A12455" s="127" t="s">
        <v>234</v>
      </c>
      <c r="C12455" s="127" t="s">
        <v>232</v>
      </c>
      <c r="D12455" s="177" t="s">
        <v>60</v>
      </c>
      <c r="E12455" s="177" t="s">
        <v>15156</v>
      </c>
      <c r="F12455" s="177" t="s">
        <v>323</v>
      </c>
      <c r="G12455" s="177" t="s">
        <v>10346</v>
      </c>
      <c r="H12455" s="127" t="s">
        <v>210</v>
      </c>
    </row>
    <row r="12456" hidden="1">
      <c r="A12456" s="127" t="s">
        <v>234</v>
      </c>
      <c r="C12456" s="127" t="s">
        <v>232</v>
      </c>
      <c r="D12456" s="177" t="s">
        <v>60</v>
      </c>
      <c r="E12456" s="177" t="s">
        <v>15157</v>
      </c>
      <c r="F12456" s="177" t="s">
        <v>285</v>
      </c>
      <c r="G12456" s="177" t="s">
        <v>10181</v>
      </c>
      <c r="H12456" s="127" t="s">
        <v>211</v>
      </c>
    </row>
    <row r="12457" hidden="1">
      <c r="A12457" s="127" t="s">
        <v>234</v>
      </c>
      <c r="C12457" s="127" t="s">
        <v>232</v>
      </c>
      <c r="D12457" s="177" t="s">
        <v>60</v>
      </c>
      <c r="E12457" s="177" t="s">
        <v>15158</v>
      </c>
      <c r="F12457" s="177" t="s">
        <v>314</v>
      </c>
      <c r="G12457" s="177" t="s">
        <v>11692</v>
      </c>
      <c r="H12457" s="127" t="s">
        <v>212</v>
      </c>
    </row>
    <row r="12458" hidden="1">
      <c r="A12458" s="127" t="s">
        <v>234</v>
      </c>
      <c r="C12458" s="127" t="s">
        <v>232</v>
      </c>
      <c r="D12458" s="177" t="s">
        <v>60</v>
      </c>
      <c r="E12458" s="177" t="s">
        <v>15159</v>
      </c>
      <c r="F12458" s="177" t="s">
        <v>308</v>
      </c>
      <c r="G12458" s="177" t="s">
        <v>15160</v>
      </c>
      <c r="H12458" s="127" t="s">
        <v>213</v>
      </c>
    </row>
    <row r="12459" hidden="1">
      <c r="A12459" s="127" t="s">
        <v>234</v>
      </c>
      <c r="C12459" s="127" t="s">
        <v>232</v>
      </c>
      <c r="D12459" s="177" t="s">
        <v>60</v>
      </c>
      <c r="E12459" s="177" t="s">
        <v>15161</v>
      </c>
      <c r="F12459" s="177" t="s">
        <v>290</v>
      </c>
      <c r="G12459" s="177" t="s">
        <v>10427</v>
      </c>
      <c r="H12459" s="127" t="s">
        <v>214</v>
      </c>
    </row>
    <row r="12460" hidden="1">
      <c r="A12460" s="127" t="s">
        <v>234</v>
      </c>
      <c r="C12460" s="127" t="s">
        <v>232</v>
      </c>
      <c r="D12460" s="177" t="s">
        <v>60</v>
      </c>
      <c r="E12460" s="177" t="s">
        <v>15162</v>
      </c>
      <c r="F12460" s="177" t="s">
        <v>329</v>
      </c>
      <c r="G12460" s="177" t="s">
        <v>10449</v>
      </c>
      <c r="H12460" s="127" t="s">
        <v>215</v>
      </c>
    </row>
    <row r="12461" hidden="1">
      <c r="A12461" s="127" t="s">
        <v>234</v>
      </c>
      <c r="C12461" s="127" t="s">
        <v>232</v>
      </c>
      <c r="D12461" s="177" t="s">
        <v>60</v>
      </c>
      <c r="E12461" s="177" t="s">
        <v>15163</v>
      </c>
      <c r="F12461" s="177" t="s">
        <v>359</v>
      </c>
      <c r="G12461" s="177" t="s">
        <v>10348</v>
      </c>
      <c r="H12461" s="127" t="s">
        <v>216</v>
      </c>
    </row>
    <row r="12462" hidden="1">
      <c r="A12462" s="127" t="s">
        <v>235</v>
      </c>
      <c r="C12462" s="127" t="s">
        <v>236</v>
      </c>
      <c r="D12462" s="177" t="s">
        <v>60</v>
      </c>
      <c r="E12462" s="177" t="s">
        <v>15164</v>
      </c>
      <c r="F12462" s="177" t="s">
        <v>323</v>
      </c>
      <c r="G12462" s="177" t="s">
        <v>3558</v>
      </c>
      <c r="H12462" s="127" t="s">
        <v>210</v>
      </c>
    </row>
    <row r="12463" hidden="1">
      <c r="A12463" s="127" t="s">
        <v>235</v>
      </c>
      <c r="C12463" s="127" t="s">
        <v>236</v>
      </c>
      <c r="D12463" s="177" t="s">
        <v>60</v>
      </c>
      <c r="E12463" s="177" t="s">
        <v>15165</v>
      </c>
      <c r="F12463" s="177" t="s">
        <v>365</v>
      </c>
      <c r="G12463" s="177" t="s">
        <v>2820</v>
      </c>
      <c r="H12463" s="127" t="s">
        <v>211</v>
      </c>
    </row>
    <row r="12464" hidden="1">
      <c r="A12464" s="127" t="s">
        <v>235</v>
      </c>
      <c r="C12464" s="127" t="s">
        <v>236</v>
      </c>
      <c r="D12464" s="177" t="s">
        <v>60</v>
      </c>
      <c r="E12464" s="177" t="s">
        <v>15166</v>
      </c>
      <c r="F12464" s="177" t="s">
        <v>365</v>
      </c>
      <c r="G12464" s="177" t="s">
        <v>2346</v>
      </c>
      <c r="H12464" s="127" t="s">
        <v>212</v>
      </c>
    </row>
    <row r="12465" hidden="1">
      <c r="A12465" s="127" t="s">
        <v>235</v>
      </c>
      <c r="C12465" s="127" t="s">
        <v>236</v>
      </c>
      <c r="D12465" s="177" t="s">
        <v>60</v>
      </c>
      <c r="E12465" s="177" t="s">
        <v>15167</v>
      </c>
      <c r="F12465" s="177" t="s">
        <v>321</v>
      </c>
      <c r="G12465" s="177" t="s">
        <v>2667</v>
      </c>
      <c r="H12465" s="127" t="s">
        <v>213</v>
      </c>
    </row>
    <row r="12466" hidden="1">
      <c r="A12466" s="127" t="s">
        <v>235</v>
      </c>
      <c r="C12466" s="127" t="s">
        <v>236</v>
      </c>
      <c r="D12466" s="177" t="s">
        <v>60</v>
      </c>
      <c r="E12466" s="177" t="s">
        <v>15168</v>
      </c>
      <c r="F12466" s="177" t="s">
        <v>359</v>
      </c>
      <c r="G12466" s="177" t="s">
        <v>2187</v>
      </c>
      <c r="H12466" s="127" t="s">
        <v>214</v>
      </c>
    </row>
    <row r="12467" hidden="1">
      <c r="A12467" s="127" t="s">
        <v>235</v>
      </c>
      <c r="C12467" s="127" t="s">
        <v>236</v>
      </c>
      <c r="D12467" s="177" t="s">
        <v>60</v>
      </c>
      <c r="E12467" s="177" t="s">
        <v>15169</v>
      </c>
      <c r="F12467" s="177" t="s">
        <v>321</v>
      </c>
      <c r="G12467" s="177" t="s">
        <v>3875</v>
      </c>
      <c r="H12467" s="127" t="s">
        <v>215</v>
      </c>
    </row>
    <row r="12468" hidden="1">
      <c r="A12468" s="127" t="s">
        <v>235</v>
      </c>
      <c r="C12468" s="127" t="s">
        <v>236</v>
      </c>
      <c r="D12468" s="177" t="s">
        <v>60</v>
      </c>
      <c r="E12468" s="177" t="s">
        <v>15170</v>
      </c>
      <c r="F12468" s="177" t="s">
        <v>323</v>
      </c>
      <c r="G12468" s="177" t="s">
        <v>2663</v>
      </c>
      <c r="H12468" s="127" t="s">
        <v>216</v>
      </c>
    </row>
    <row r="12469" hidden="1">
      <c r="A12469" s="127" t="s">
        <v>237</v>
      </c>
      <c r="C12469" s="127" t="s">
        <v>236</v>
      </c>
      <c r="D12469" s="177" t="s">
        <v>60</v>
      </c>
      <c r="E12469" s="177" t="s">
        <v>15171</v>
      </c>
      <c r="F12469" s="177" t="s">
        <v>321</v>
      </c>
      <c r="G12469" s="177" t="s">
        <v>11062</v>
      </c>
      <c r="H12469" s="127" t="s">
        <v>210</v>
      </c>
    </row>
    <row r="12470" hidden="1">
      <c r="A12470" s="127" t="s">
        <v>237</v>
      </c>
      <c r="C12470" s="127" t="s">
        <v>236</v>
      </c>
      <c r="D12470" s="177" t="s">
        <v>60</v>
      </c>
      <c r="E12470" s="177" t="s">
        <v>15172</v>
      </c>
      <c r="F12470" s="177" t="s">
        <v>325</v>
      </c>
      <c r="G12470" s="177" t="s">
        <v>11493</v>
      </c>
      <c r="H12470" s="127" t="s">
        <v>211</v>
      </c>
    </row>
    <row r="12471" hidden="1">
      <c r="A12471" s="127" t="s">
        <v>237</v>
      </c>
      <c r="C12471" s="127" t="s">
        <v>236</v>
      </c>
      <c r="D12471" s="177" t="s">
        <v>60</v>
      </c>
      <c r="E12471" s="177" t="s">
        <v>15173</v>
      </c>
      <c r="F12471" s="177" t="s">
        <v>246</v>
      </c>
      <c r="G12471" s="177" t="s">
        <v>12039</v>
      </c>
      <c r="H12471" s="127" t="s">
        <v>212</v>
      </c>
    </row>
    <row r="12472" hidden="1">
      <c r="A12472" s="127" t="s">
        <v>237</v>
      </c>
      <c r="C12472" s="127" t="s">
        <v>236</v>
      </c>
      <c r="D12472" s="177" t="s">
        <v>60</v>
      </c>
      <c r="E12472" s="177" t="s">
        <v>15174</v>
      </c>
      <c r="F12472" s="177" t="s">
        <v>308</v>
      </c>
      <c r="G12472" s="177" t="s">
        <v>11176</v>
      </c>
      <c r="H12472" s="127" t="s">
        <v>213</v>
      </c>
    </row>
    <row r="12473" hidden="1">
      <c r="A12473" s="127" t="s">
        <v>237</v>
      </c>
      <c r="C12473" s="127" t="s">
        <v>236</v>
      </c>
      <c r="D12473" s="177" t="s">
        <v>60</v>
      </c>
      <c r="E12473" s="177" t="s">
        <v>15175</v>
      </c>
      <c r="F12473" s="177" t="s">
        <v>450</v>
      </c>
      <c r="G12473" s="177" t="s">
        <v>11603</v>
      </c>
      <c r="H12473" s="127" t="s">
        <v>214</v>
      </c>
    </row>
    <row r="12474" hidden="1">
      <c r="A12474" s="127" t="s">
        <v>237</v>
      </c>
      <c r="C12474" s="127" t="s">
        <v>236</v>
      </c>
      <c r="D12474" s="177" t="s">
        <v>60</v>
      </c>
      <c r="E12474" s="177" t="s">
        <v>15176</v>
      </c>
      <c r="F12474" s="177" t="s">
        <v>532</v>
      </c>
      <c r="G12474" s="177" t="s">
        <v>15177</v>
      </c>
      <c r="H12474" s="127" t="s">
        <v>215</v>
      </c>
    </row>
    <row r="12475" hidden="1">
      <c r="A12475" s="127" t="s">
        <v>237</v>
      </c>
      <c r="C12475" s="127" t="s">
        <v>236</v>
      </c>
      <c r="D12475" s="177" t="s">
        <v>60</v>
      </c>
      <c r="E12475" s="177" t="s">
        <v>15178</v>
      </c>
      <c r="F12475" s="177" t="s">
        <v>310</v>
      </c>
      <c r="G12475" s="177" t="s">
        <v>10269</v>
      </c>
      <c r="H12475" s="127" t="s">
        <v>216</v>
      </c>
    </row>
    <row r="12476" hidden="1">
      <c r="A12476" s="177" t="s">
        <v>204</v>
      </c>
      <c r="B12476" s="127" t="s">
        <v>205</v>
      </c>
      <c r="C12476" s="127" t="s">
        <v>206</v>
      </c>
      <c r="D12476" s="177" t="s">
        <v>61</v>
      </c>
      <c r="E12476" s="177" t="s">
        <v>15179</v>
      </c>
      <c r="F12476" s="177" t="s">
        <v>425</v>
      </c>
      <c r="G12476" s="177" t="s">
        <v>3616</v>
      </c>
      <c r="H12476" s="127" t="s">
        <v>210</v>
      </c>
    </row>
    <row r="12477" hidden="1">
      <c r="A12477" s="177" t="s">
        <v>204</v>
      </c>
      <c r="B12477" s="127" t="s">
        <v>205</v>
      </c>
      <c r="C12477" s="127" t="s">
        <v>206</v>
      </c>
      <c r="D12477" s="177" t="s">
        <v>61</v>
      </c>
      <c r="E12477" s="177" t="s">
        <v>15180</v>
      </c>
      <c r="F12477" s="177" t="s">
        <v>336</v>
      </c>
      <c r="G12477" s="177" t="s">
        <v>3989</v>
      </c>
      <c r="H12477" s="127" t="s">
        <v>211</v>
      </c>
    </row>
    <row r="12478" hidden="1">
      <c r="A12478" s="177" t="s">
        <v>204</v>
      </c>
      <c r="B12478" s="127" t="s">
        <v>205</v>
      </c>
      <c r="C12478" s="127" t="s">
        <v>206</v>
      </c>
      <c r="D12478" s="177" t="s">
        <v>61</v>
      </c>
      <c r="E12478" s="177" t="s">
        <v>15181</v>
      </c>
      <c r="F12478" s="177" t="s">
        <v>310</v>
      </c>
      <c r="G12478" s="177" t="s">
        <v>3572</v>
      </c>
      <c r="H12478" s="127" t="s">
        <v>212</v>
      </c>
    </row>
    <row r="12479" hidden="1">
      <c r="A12479" s="177" t="s">
        <v>204</v>
      </c>
      <c r="B12479" s="127" t="s">
        <v>205</v>
      </c>
      <c r="C12479" s="127" t="s">
        <v>206</v>
      </c>
      <c r="D12479" s="177" t="s">
        <v>61</v>
      </c>
      <c r="E12479" s="177" t="s">
        <v>15182</v>
      </c>
      <c r="F12479" s="177" t="s">
        <v>354</v>
      </c>
      <c r="G12479" s="177" t="s">
        <v>4209</v>
      </c>
      <c r="H12479" s="127" t="s">
        <v>213</v>
      </c>
    </row>
    <row r="12480" hidden="1">
      <c r="A12480" s="177" t="s">
        <v>204</v>
      </c>
      <c r="B12480" s="127" t="s">
        <v>205</v>
      </c>
      <c r="C12480" s="127" t="s">
        <v>206</v>
      </c>
      <c r="D12480" s="177" t="s">
        <v>61</v>
      </c>
      <c r="E12480" s="177" t="s">
        <v>15183</v>
      </c>
      <c r="F12480" s="177" t="s">
        <v>427</v>
      </c>
      <c r="G12480" s="177" t="s">
        <v>3989</v>
      </c>
      <c r="H12480" s="127" t="s">
        <v>214</v>
      </c>
    </row>
    <row r="12481" hidden="1">
      <c r="A12481" s="177" t="s">
        <v>204</v>
      </c>
      <c r="B12481" s="127" t="s">
        <v>205</v>
      </c>
      <c r="C12481" s="127" t="s">
        <v>206</v>
      </c>
      <c r="D12481" s="177" t="s">
        <v>61</v>
      </c>
      <c r="E12481" s="177" t="s">
        <v>15184</v>
      </c>
      <c r="F12481" s="177" t="s">
        <v>351</v>
      </c>
      <c r="G12481" s="177" t="s">
        <v>4029</v>
      </c>
      <c r="H12481" s="127" t="s">
        <v>215</v>
      </c>
    </row>
    <row r="12482" hidden="1">
      <c r="A12482" s="177" t="s">
        <v>204</v>
      </c>
      <c r="B12482" s="127" t="s">
        <v>205</v>
      </c>
      <c r="C12482" s="127" t="s">
        <v>206</v>
      </c>
      <c r="D12482" s="177" t="s">
        <v>61</v>
      </c>
      <c r="E12482" s="177" t="s">
        <v>15185</v>
      </c>
      <c r="F12482" s="177" t="s">
        <v>450</v>
      </c>
      <c r="G12482" s="177" t="s">
        <v>3968</v>
      </c>
      <c r="H12482" s="127" t="s">
        <v>216</v>
      </c>
    </row>
    <row r="12483" hidden="1">
      <c r="A12483" s="177" t="s">
        <v>217</v>
      </c>
      <c r="B12483" s="127" t="s">
        <v>191</v>
      </c>
      <c r="C12483" s="127" t="s">
        <v>206</v>
      </c>
      <c r="D12483" s="177" t="s">
        <v>61</v>
      </c>
      <c r="E12483" s="177" t="s">
        <v>15186</v>
      </c>
      <c r="F12483" s="177" t="s">
        <v>2994</v>
      </c>
      <c r="G12483" s="177" t="s">
        <v>4013</v>
      </c>
      <c r="H12483" s="127" t="s">
        <v>210</v>
      </c>
    </row>
    <row r="12484" hidden="1">
      <c r="A12484" s="177" t="s">
        <v>217</v>
      </c>
      <c r="B12484" s="127" t="s">
        <v>191</v>
      </c>
      <c r="C12484" s="127" t="s">
        <v>206</v>
      </c>
      <c r="D12484" s="177" t="s">
        <v>61</v>
      </c>
      <c r="E12484" s="177" t="s">
        <v>15187</v>
      </c>
      <c r="F12484" s="177" t="s">
        <v>673</v>
      </c>
      <c r="G12484" s="177" t="s">
        <v>3408</v>
      </c>
      <c r="H12484" s="127" t="s">
        <v>211</v>
      </c>
    </row>
    <row r="12485" hidden="1">
      <c r="A12485" s="177" t="s">
        <v>217</v>
      </c>
      <c r="B12485" s="127" t="s">
        <v>191</v>
      </c>
      <c r="C12485" s="127" t="s">
        <v>206</v>
      </c>
      <c r="D12485" s="177" t="s">
        <v>61</v>
      </c>
      <c r="E12485" s="177" t="s">
        <v>15188</v>
      </c>
      <c r="F12485" s="177" t="s">
        <v>405</v>
      </c>
      <c r="G12485" s="177" t="s">
        <v>2762</v>
      </c>
      <c r="H12485" s="127" t="s">
        <v>212</v>
      </c>
    </row>
    <row r="12486" hidden="1">
      <c r="A12486" s="177" t="s">
        <v>217</v>
      </c>
      <c r="B12486" s="127" t="s">
        <v>191</v>
      </c>
      <c r="C12486" s="127" t="s">
        <v>206</v>
      </c>
      <c r="D12486" s="177" t="s">
        <v>61</v>
      </c>
      <c r="E12486" s="177" t="s">
        <v>15189</v>
      </c>
      <c r="F12486" s="177" t="s">
        <v>1530</v>
      </c>
      <c r="G12486" s="177" t="s">
        <v>3691</v>
      </c>
      <c r="H12486" s="127" t="s">
        <v>213</v>
      </c>
    </row>
    <row r="12487" hidden="1">
      <c r="A12487" s="177" t="s">
        <v>217</v>
      </c>
      <c r="B12487" s="127" t="s">
        <v>191</v>
      </c>
      <c r="C12487" s="127" t="s">
        <v>206</v>
      </c>
      <c r="D12487" s="177" t="s">
        <v>61</v>
      </c>
      <c r="E12487" s="177" t="s">
        <v>15190</v>
      </c>
      <c r="F12487" s="177" t="s">
        <v>673</v>
      </c>
      <c r="G12487" s="177" t="s">
        <v>3482</v>
      </c>
      <c r="H12487" s="127" t="s">
        <v>214</v>
      </c>
    </row>
    <row r="12488" hidden="1">
      <c r="A12488" s="177" t="s">
        <v>217</v>
      </c>
      <c r="B12488" s="127" t="s">
        <v>191</v>
      </c>
      <c r="C12488" s="127" t="s">
        <v>206</v>
      </c>
      <c r="D12488" s="177" t="s">
        <v>61</v>
      </c>
      <c r="E12488" s="177" t="s">
        <v>15191</v>
      </c>
      <c r="F12488" s="177" t="s">
        <v>534</v>
      </c>
      <c r="G12488" s="177" t="s">
        <v>2181</v>
      </c>
      <c r="H12488" s="127" t="s">
        <v>215</v>
      </c>
    </row>
    <row r="12489" hidden="1">
      <c r="A12489" s="177" t="s">
        <v>217</v>
      </c>
      <c r="B12489" s="127" t="s">
        <v>191</v>
      </c>
      <c r="C12489" s="127" t="s">
        <v>206</v>
      </c>
      <c r="D12489" s="177" t="s">
        <v>61</v>
      </c>
      <c r="E12489" s="177" t="s">
        <v>15192</v>
      </c>
      <c r="F12489" s="177" t="s">
        <v>735</v>
      </c>
      <c r="G12489" s="177" t="s">
        <v>3412</v>
      </c>
      <c r="H12489" s="127" t="s">
        <v>216</v>
      </c>
    </row>
    <row r="12490" hidden="1">
      <c r="A12490" s="177" t="s">
        <v>218</v>
      </c>
      <c r="B12490" s="127" t="s">
        <v>219</v>
      </c>
      <c r="C12490" s="127" t="s">
        <v>206</v>
      </c>
      <c r="D12490" s="177" t="s">
        <v>61</v>
      </c>
      <c r="E12490" s="177" t="s">
        <v>15193</v>
      </c>
      <c r="F12490" s="177" t="s">
        <v>255</v>
      </c>
      <c r="G12490" s="177" t="s">
        <v>3205</v>
      </c>
      <c r="H12490" s="127" t="s">
        <v>210</v>
      </c>
    </row>
    <row r="12491" hidden="1">
      <c r="A12491" s="177" t="s">
        <v>218</v>
      </c>
      <c r="B12491" s="127" t="s">
        <v>219</v>
      </c>
      <c r="C12491" s="127" t="s">
        <v>206</v>
      </c>
      <c r="D12491" s="177" t="s">
        <v>61</v>
      </c>
      <c r="E12491" s="177" t="s">
        <v>15194</v>
      </c>
      <c r="F12491" s="177" t="s">
        <v>374</v>
      </c>
      <c r="G12491" s="177" t="s">
        <v>3412</v>
      </c>
      <c r="H12491" s="127" t="s">
        <v>211</v>
      </c>
    </row>
    <row r="12492" hidden="1">
      <c r="A12492" s="177" t="s">
        <v>218</v>
      </c>
      <c r="B12492" s="127" t="s">
        <v>219</v>
      </c>
      <c r="C12492" s="127" t="s">
        <v>206</v>
      </c>
      <c r="D12492" s="177" t="s">
        <v>61</v>
      </c>
      <c r="E12492" s="177" t="s">
        <v>15195</v>
      </c>
      <c r="F12492" s="177" t="s">
        <v>501</v>
      </c>
      <c r="G12492" s="177" t="s">
        <v>2109</v>
      </c>
      <c r="H12492" s="127" t="s">
        <v>212</v>
      </c>
    </row>
    <row r="12493" hidden="1">
      <c r="A12493" s="177" t="s">
        <v>218</v>
      </c>
      <c r="B12493" s="127" t="s">
        <v>219</v>
      </c>
      <c r="C12493" s="127" t="s">
        <v>206</v>
      </c>
      <c r="D12493" s="177" t="s">
        <v>61</v>
      </c>
      <c r="E12493" s="177" t="s">
        <v>15196</v>
      </c>
      <c r="F12493" s="177" t="s">
        <v>262</v>
      </c>
      <c r="G12493" s="177" t="s">
        <v>1925</v>
      </c>
      <c r="H12493" s="127" t="s">
        <v>213</v>
      </c>
    </row>
    <row r="12494" hidden="1">
      <c r="A12494" s="177" t="s">
        <v>218</v>
      </c>
      <c r="B12494" s="127" t="s">
        <v>219</v>
      </c>
      <c r="C12494" s="127" t="s">
        <v>206</v>
      </c>
      <c r="D12494" s="177" t="s">
        <v>61</v>
      </c>
      <c r="E12494" s="177" t="s">
        <v>15197</v>
      </c>
      <c r="F12494" s="177" t="s">
        <v>374</v>
      </c>
      <c r="G12494" s="177" t="s">
        <v>1782</v>
      </c>
      <c r="H12494" s="127" t="s">
        <v>214</v>
      </c>
    </row>
    <row r="12495" hidden="1">
      <c r="A12495" s="177" t="s">
        <v>218</v>
      </c>
      <c r="B12495" s="127" t="s">
        <v>219</v>
      </c>
      <c r="C12495" s="127" t="s">
        <v>206</v>
      </c>
      <c r="D12495" s="177" t="s">
        <v>61</v>
      </c>
      <c r="E12495" s="177" t="s">
        <v>15198</v>
      </c>
      <c r="F12495" s="177" t="s">
        <v>255</v>
      </c>
      <c r="G12495" s="177" t="s">
        <v>3611</v>
      </c>
      <c r="H12495" s="127" t="s">
        <v>215</v>
      </c>
    </row>
    <row r="12496" hidden="1">
      <c r="A12496" s="177" t="s">
        <v>218</v>
      </c>
      <c r="B12496" s="127" t="s">
        <v>219</v>
      </c>
      <c r="C12496" s="127" t="s">
        <v>206</v>
      </c>
      <c r="D12496" s="177" t="s">
        <v>61</v>
      </c>
      <c r="E12496" s="177" t="s">
        <v>15199</v>
      </c>
      <c r="F12496" s="177" t="s">
        <v>265</v>
      </c>
      <c r="G12496" s="177" t="s">
        <v>2177</v>
      </c>
      <c r="H12496" s="127" t="s">
        <v>216</v>
      </c>
    </row>
    <row r="12497" hidden="1">
      <c r="A12497" s="177" t="s">
        <v>220</v>
      </c>
      <c r="B12497" s="127" t="s">
        <v>190</v>
      </c>
      <c r="C12497" s="127" t="s">
        <v>206</v>
      </c>
      <c r="D12497" s="177" t="s">
        <v>61</v>
      </c>
      <c r="E12497" s="177" t="s">
        <v>15200</v>
      </c>
      <c r="F12497" s="177" t="s">
        <v>3218</v>
      </c>
      <c r="G12497" s="177" t="s">
        <v>3278</v>
      </c>
      <c r="H12497" s="127" t="s">
        <v>210</v>
      </c>
    </row>
    <row r="12498" hidden="1">
      <c r="A12498" s="177" t="s">
        <v>220</v>
      </c>
      <c r="B12498" s="127" t="s">
        <v>190</v>
      </c>
      <c r="C12498" s="127" t="s">
        <v>206</v>
      </c>
      <c r="D12498" s="177" t="s">
        <v>61</v>
      </c>
      <c r="E12498" s="177" t="s">
        <v>15201</v>
      </c>
      <c r="F12498" s="177" t="s">
        <v>329</v>
      </c>
      <c r="G12498" s="177" t="s">
        <v>3691</v>
      </c>
      <c r="H12498" s="127" t="s">
        <v>211</v>
      </c>
    </row>
    <row r="12499" hidden="1">
      <c r="A12499" s="177" t="s">
        <v>220</v>
      </c>
      <c r="B12499" s="127" t="s">
        <v>190</v>
      </c>
      <c r="C12499" s="127" t="s">
        <v>206</v>
      </c>
      <c r="D12499" s="177" t="s">
        <v>61</v>
      </c>
      <c r="E12499" s="177" t="s">
        <v>15202</v>
      </c>
      <c r="F12499" s="177" t="s">
        <v>259</v>
      </c>
      <c r="G12499" s="177" t="s">
        <v>3513</v>
      </c>
      <c r="H12499" s="127" t="s">
        <v>212</v>
      </c>
    </row>
    <row r="12500" hidden="1">
      <c r="A12500" s="177" t="s">
        <v>220</v>
      </c>
      <c r="B12500" s="127" t="s">
        <v>190</v>
      </c>
      <c r="C12500" s="127" t="s">
        <v>206</v>
      </c>
      <c r="D12500" s="177" t="s">
        <v>61</v>
      </c>
      <c r="E12500" s="177" t="s">
        <v>15203</v>
      </c>
      <c r="F12500" s="177" t="s">
        <v>534</v>
      </c>
      <c r="G12500" s="177" t="s">
        <v>2667</v>
      </c>
      <c r="H12500" s="127" t="s">
        <v>213</v>
      </c>
    </row>
    <row r="12501" hidden="1">
      <c r="A12501" s="177" t="s">
        <v>220</v>
      </c>
      <c r="B12501" s="127" t="s">
        <v>190</v>
      </c>
      <c r="C12501" s="127" t="s">
        <v>206</v>
      </c>
      <c r="D12501" s="177" t="s">
        <v>61</v>
      </c>
      <c r="E12501" s="177" t="s">
        <v>15204</v>
      </c>
      <c r="F12501" s="177" t="s">
        <v>677</v>
      </c>
      <c r="G12501" s="177" t="s">
        <v>3203</v>
      </c>
      <c r="H12501" s="127" t="s">
        <v>214</v>
      </c>
    </row>
    <row r="12502" hidden="1">
      <c r="A12502" s="177" t="s">
        <v>220</v>
      </c>
      <c r="B12502" s="127" t="s">
        <v>190</v>
      </c>
      <c r="C12502" s="127" t="s">
        <v>206</v>
      </c>
      <c r="D12502" s="177" t="s">
        <v>61</v>
      </c>
      <c r="E12502" s="177" t="s">
        <v>15205</v>
      </c>
      <c r="F12502" s="177" t="s">
        <v>425</v>
      </c>
      <c r="G12502" s="177" t="s">
        <v>1791</v>
      </c>
      <c r="H12502" s="127" t="s">
        <v>215</v>
      </c>
    </row>
    <row r="12503" hidden="1">
      <c r="A12503" s="177" t="s">
        <v>220</v>
      </c>
      <c r="B12503" s="127" t="s">
        <v>190</v>
      </c>
      <c r="C12503" s="127" t="s">
        <v>206</v>
      </c>
      <c r="D12503" s="177" t="s">
        <v>61</v>
      </c>
      <c r="E12503" s="177" t="s">
        <v>15206</v>
      </c>
      <c r="F12503" s="177" t="s">
        <v>478</v>
      </c>
      <c r="G12503" s="177" t="s">
        <v>3445</v>
      </c>
      <c r="H12503" s="127" t="s">
        <v>216</v>
      </c>
    </row>
    <row r="12504" hidden="1">
      <c r="A12504" s="177" t="s">
        <v>221</v>
      </c>
      <c r="B12504" s="127" t="s">
        <v>189</v>
      </c>
      <c r="C12504" s="127" t="s">
        <v>206</v>
      </c>
      <c r="D12504" s="177" t="s">
        <v>61</v>
      </c>
      <c r="E12504" s="177" t="s">
        <v>15207</v>
      </c>
      <c r="F12504" s="177" t="s">
        <v>534</v>
      </c>
      <c r="G12504" s="177" t="s">
        <v>11353</v>
      </c>
      <c r="H12504" s="127" t="s">
        <v>210</v>
      </c>
    </row>
    <row r="12505" hidden="1">
      <c r="A12505" s="177" t="s">
        <v>221</v>
      </c>
      <c r="B12505" s="127" t="s">
        <v>189</v>
      </c>
      <c r="C12505" s="127" t="s">
        <v>206</v>
      </c>
      <c r="D12505" s="177" t="s">
        <v>61</v>
      </c>
      <c r="E12505" s="177" t="s">
        <v>15208</v>
      </c>
      <c r="F12505" s="177" t="s">
        <v>249</v>
      </c>
      <c r="G12505" s="177" t="s">
        <v>12152</v>
      </c>
      <c r="H12505" s="127" t="s">
        <v>211</v>
      </c>
    </row>
    <row r="12506" hidden="1">
      <c r="A12506" s="177" t="s">
        <v>221</v>
      </c>
      <c r="B12506" s="127" t="s">
        <v>189</v>
      </c>
      <c r="C12506" s="127" t="s">
        <v>206</v>
      </c>
      <c r="D12506" s="177" t="s">
        <v>61</v>
      </c>
      <c r="E12506" s="177" t="s">
        <v>15209</v>
      </c>
      <c r="F12506" s="177" t="s">
        <v>357</v>
      </c>
      <c r="G12506" s="177" t="s">
        <v>11176</v>
      </c>
      <c r="H12506" s="127" t="s">
        <v>212</v>
      </c>
    </row>
    <row r="12507" hidden="1">
      <c r="A12507" s="177" t="s">
        <v>221</v>
      </c>
      <c r="B12507" s="127" t="s">
        <v>189</v>
      </c>
      <c r="C12507" s="127" t="s">
        <v>206</v>
      </c>
      <c r="D12507" s="177" t="s">
        <v>61</v>
      </c>
      <c r="E12507" s="177" t="s">
        <v>15210</v>
      </c>
      <c r="F12507" s="177" t="s">
        <v>314</v>
      </c>
      <c r="G12507" s="177" t="s">
        <v>12221</v>
      </c>
      <c r="H12507" s="127" t="s">
        <v>213</v>
      </c>
    </row>
    <row r="12508" hidden="1">
      <c r="A12508" s="177" t="s">
        <v>221</v>
      </c>
      <c r="B12508" s="127" t="s">
        <v>189</v>
      </c>
      <c r="C12508" s="127" t="s">
        <v>206</v>
      </c>
      <c r="D12508" s="177" t="s">
        <v>61</v>
      </c>
      <c r="E12508" s="177" t="s">
        <v>15211</v>
      </c>
      <c r="F12508" s="177" t="s">
        <v>310</v>
      </c>
      <c r="G12508" s="177" t="s">
        <v>12369</v>
      </c>
      <c r="H12508" s="127" t="s">
        <v>214</v>
      </c>
    </row>
    <row r="12509" hidden="1">
      <c r="A12509" s="177" t="s">
        <v>221</v>
      </c>
      <c r="B12509" s="127" t="s">
        <v>189</v>
      </c>
      <c r="C12509" s="127" t="s">
        <v>206</v>
      </c>
      <c r="D12509" s="177" t="s">
        <v>61</v>
      </c>
      <c r="E12509" s="177" t="s">
        <v>15212</v>
      </c>
      <c r="F12509" s="177" t="s">
        <v>312</v>
      </c>
      <c r="G12509" s="177" t="s">
        <v>15213</v>
      </c>
      <c r="H12509" s="127" t="s">
        <v>215</v>
      </c>
    </row>
    <row r="12510" hidden="1">
      <c r="A12510" s="177" t="s">
        <v>221</v>
      </c>
      <c r="B12510" s="127" t="s">
        <v>189</v>
      </c>
      <c r="C12510" s="127" t="s">
        <v>206</v>
      </c>
      <c r="D12510" s="177" t="s">
        <v>61</v>
      </c>
      <c r="E12510" s="177" t="s">
        <v>15214</v>
      </c>
      <c r="F12510" s="177" t="s">
        <v>290</v>
      </c>
      <c r="G12510" s="177" t="s">
        <v>11720</v>
      </c>
      <c r="H12510" s="127" t="s">
        <v>216</v>
      </c>
    </row>
    <row r="12511" hidden="1">
      <c r="A12511" s="177" t="s">
        <v>222</v>
      </c>
      <c r="B12511" s="127" t="s">
        <v>192</v>
      </c>
      <c r="C12511" s="127" t="s">
        <v>206</v>
      </c>
      <c r="D12511" s="177" t="s">
        <v>61</v>
      </c>
      <c r="E12511" s="177" t="s">
        <v>15215</v>
      </c>
      <c r="F12511" s="177" t="s">
        <v>287</v>
      </c>
      <c r="G12511" s="177" t="s">
        <v>2472</v>
      </c>
      <c r="H12511" s="127" t="s">
        <v>210</v>
      </c>
    </row>
    <row r="12512" hidden="1">
      <c r="A12512" s="177" t="s">
        <v>222</v>
      </c>
      <c r="B12512" s="127" t="s">
        <v>192</v>
      </c>
      <c r="C12512" s="127" t="s">
        <v>206</v>
      </c>
      <c r="D12512" s="177" t="s">
        <v>61</v>
      </c>
      <c r="E12512" s="177" t="s">
        <v>15216</v>
      </c>
      <c r="F12512" s="177" t="s">
        <v>244</v>
      </c>
      <c r="G12512" s="177" t="s">
        <v>3151</v>
      </c>
      <c r="H12512" s="127" t="s">
        <v>211</v>
      </c>
    </row>
    <row r="12513" hidden="1">
      <c r="A12513" s="177" t="s">
        <v>222</v>
      </c>
      <c r="B12513" s="127" t="s">
        <v>192</v>
      </c>
      <c r="C12513" s="127" t="s">
        <v>206</v>
      </c>
      <c r="D12513" s="177" t="s">
        <v>61</v>
      </c>
      <c r="E12513" s="177" t="s">
        <v>15217</v>
      </c>
      <c r="F12513" s="177" t="s">
        <v>262</v>
      </c>
      <c r="G12513" s="177" t="s">
        <v>2311</v>
      </c>
      <c r="H12513" s="127" t="s">
        <v>212</v>
      </c>
    </row>
    <row r="12514" hidden="1">
      <c r="A12514" s="177" t="s">
        <v>222</v>
      </c>
      <c r="B12514" s="127" t="s">
        <v>192</v>
      </c>
      <c r="C12514" s="127" t="s">
        <v>206</v>
      </c>
      <c r="D12514" s="177" t="s">
        <v>61</v>
      </c>
      <c r="E12514" s="177" t="s">
        <v>15218</v>
      </c>
      <c r="F12514" s="177" t="s">
        <v>244</v>
      </c>
      <c r="G12514" s="177" t="s">
        <v>2107</v>
      </c>
      <c r="H12514" s="127" t="s">
        <v>213</v>
      </c>
    </row>
    <row r="12515" hidden="1">
      <c r="A12515" s="177" t="s">
        <v>222</v>
      </c>
      <c r="B12515" s="127" t="s">
        <v>192</v>
      </c>
      <c r="C12515" s="127" t="s">
        <v>206</v>
      </c>
      <c r="D12515" s="177" t="s">
        <v>61</v>
      </c>
      <c r="E12515" s="177" t="s">
        <v>15219</v>
      </c>
      <c r="F12515" s="177" t="s">
        <v>269</v>
      </c>
      <c r="G12515" s="177" t="s">
        <v>3221</v>
      </c>
      <c r="H12515" s="127" t="s">
        <v>214</v>
      </c>
    </row>
    <row r="12516" hidden="1">
      <c r="A12516" s="177" t="s">
        <v>222</v>
      </c>
      <c r="B12516" s="127" t="s">
        <v>192</v>
      </c>
      <c r="C12516" s="127" t="s">
        <v>206</v>
      </c>
      <c r="D12516" s="177" t="s">
        <v>61</v>
      </c>
      <c r="E12516" s="177" t="s">
        <v>15220</v>
      </c>
      <c r="F12516" s="177" t="s">
        <v>357</v>
      </c>
      <c r="G12516" s="177" t="s">
        <v>2450</v>
      </c>
      <c r="H12516" s="127" t="s">
        <v>215</v>
      </c>
    </row>
    <row r="12517" hidden="1">
      <c r="A12517" s="177" t="s">
        <v>222</v>
      </c>
      <c r="B12517" s="127" t="s">
        <v>192</v>
      </c>
      <c r="C12517" s="127" t="s">
        <v>206</v>
      </c>
      <c r="D12517" s="177" t="s">
        <v>61</v>
      </c>
      <c r="E12517" s="177" t="s">
        <v>15221</v>
      </c>
      <c r="F12517" s="177" t="s">
        <v>257</v>
      </c>
      <c r="G12517" s="177" t="s">
        <v>1918</v>
      </c>
      <c r="H12517" s="127" t="s">
        <v>216</v>
      </c>
    </row>
    <row r="12518" hidden="1">
      <c r="A12518" s="177" t="s">
        <v>223</v>
      </c>
      <c r="B12518" s="127" t="s">
        <v>144</v>
      </c>
      <c r="C12518" s="127" t="s">
        <v>206</v>
      </c>
      <c r="D12518" s="177" t="s">
        <v>61</v>
      </c>
      <c r="E12518" s="177" t="s">
        <v>15222</v>
      </c>
      <c r="F12518" s="177" t="s">
        <v>357</v>
      </c>
      <c r="G12518" s="177" t="s">
        <v>2822</v>
      </c>
      <c r="H12518" s="127" t="s">
        <v>210</v>
      </c>
    </row>
    <row r="12519" hidden="1">
      <c r="A12519" s="177" t="s">
        <v>223</v>
      </c>
      <c r="B12519" s="127" t="s">
        <v>144</v>
      </c>
      <c r="C12519" s="127" t="s">
        <v>206</v>
      </c>
      <c r="D12519" s="177" t="s">
        <v>61</v>
      </c>
      <c r="E12519" s="177" t="s">
        <v>15223</v>
      </c>
      <c r="F12519" s="177" t="s">
        <v>257</v>
      </c>
      <c r="G12519" s="177" t="s">
        <v>2181</v>
      </c>
      <c r="H12519" s="127" t="s">
        <v>211</v>
      </c>
    </row>
    <row r="12520" hidden="1">
      <c r="A12520" s="177" t="s">
        <v>223</v>
      </c>
      <c r="B12520" s="127" t="s">
        <v>144</v>
      </c>
      <c r="C12520" s="127" t="s">
        <v>206</v>
      </c>
      <c r="D12520" s="177" t="s">
        <v>61</v>
      </c>
      <c r="E12520" s="177" t="s">
        <v>15224</v>
      </c>
      <c r="F12520" s="177" t="s">
        <v>323</v>
      </c>
      <c r="G12520" s="177" t="s">
        <v>2506</v>
      </c>
      <c r="H12520" s="127" t="s">
        <v>212</v>
      </c>
    </row>
    <row r="12521" hidden="1">
      <c r="A12521" s="177" t="s">
        <v>223</v>
      </c>
      <c r="B12521" s="127" t="s">
        <v>144</v>
      </c>
      <c r="C12521" s="127" t="s">
        <v>206</v>
      </c>
      <c r="D12521" s="177" t="s">
        <v>61</v>
      </c>
      <c r="E12521" s="177" t="s">
        <v>15225</v>
      </c>
      <c r="F12521" s="177" t="s">
        <v>314</v>
      </c>
      <c r="G12521" s="177" t="s">
        <v>3262</v>
      </c>
      <c r="H12521" s="127" t="s">
        <v>213</v>
      </c>
    </row>
    <row r="12522" hidden="1">
      <c r="A12522" s="177" t="s">
        <v>223</v>
      </c>
      <c r="B12522" s="127" t="s">
        <v>144</v>
      </c>
      <c r="C12522" s="127" t="s">
        <v>206</v>
      </c>
      <c r="D12522" s="177" t="s">
        <v>61</v>
      </c>
      <c r="E12522" s="177" t="s">
        <v>15226</v>
      </c>
      <c r="F12522" s="177" t="s">
        <v>257</v>
      </c>
      <c r="G12522" s="177" t="s">
        <v>3394</v>
      </c>
      <c r="H12522" s="127" t="s">
        <v>214</v>
      </c>
    </row>
    <row r="12523" hidden="1">
      <c r="A12523" s="177" t="s">
        <v>223</v>
      </c>
      <c r="B12523" s="127" t="s">
        <v>144</v>
      </c>
      <c r="C12523" s="127" t="s">
        <v>206</v>
      </c>
      <c r="D12523" s="177" t="s">
        <v>61</v>
      </c>
      <c r="E12523" s="177" t="s">
        <v>15227</v>
      </c>
      <c r="F12523" s="177" t="s">
        <v>308</v>
      </c>
      <c r="G12523" s="177" t="s">
        <v>3905</v>
      </c>
      <c r="H12523" s="127" t="s">
        <v>215</v>
      </c>
    </row>
    <row r="12524" hidden="1">
      <c r="A12524" s="177" t="s">
        <v>223</v>
      </c>
      <c r="B12524" s="127" t="s">
        <v>144</v>
      </c>
      <c r="C12524" s="127" t="s">
        <v>206</v>
      </c>
      <c r="D12524" s="177" t="s">
        <v>61</v>
      </c>
      <c r="E12524" s="177" t="s">
        <v>15228</v>
      </c>
      <c r="F12524" s="177" t="s">
        <v>242</v>
      </c>
      <c r="G12524" s="177" t="s">
        <v>2348</v>
      </c>
      <c r="H12524" s="127" t="s">
        <v>216</v>
      </c>
    </row>
    <row r="12525" hidden="1">
      <c r="A12525" s="177" t="s">
        <v>224</v>
      </c>
      <c r="B12525" s="127" t="s">
        <v>170</v>
      </c>
      <c r="C12525" s="127" t="s">
        <v>206</v>
      </c>
      <c r="D12525" s="177" t="s">
        <v>61</v>
      </c>
      <c r="E12525" s="177" t="s">
        <v>15229</v>
      </c>
      <c r="F12525" s="177" t="s">
        <v>244</v>
      </c>
      <c r="G12525" s="177" t="s">
        <v>2995</v>
      </c>
      <c r="H12525" s="127" t="s">
        <v>210</v>
      </c>
    </row>
    <row r="12526" hidden="1">
      <c r="A12526" s="177" t="s">
        <v>224</v>
      </c>
      <c r="B12526" s="127" t="s">
        <v>170</v>
      </c>
      <c r="C12526" s="127" t="s">
        <v>206</v>
      </c>
      <c r="D12526" s="177" t="s">
        <v>61</v>
      </c>
      <c r="E12526" s="177" t="s">
        <v>15230</v>
      </c>
      <c r="F12526" s="177" t="s">
        <v>365</v>
      </c>
      <c r="G12526" s="177" t="s">
        <v>2989</v>
      </c>
      <c r="H12526" s="127" t="s">
        <v>211</v>
      </c>
    </row>
    <row r="12527" hidden="1">
      <c r="A12527" s="177" t="s">
        <v>224</v>
      </c>
      <c r="B12527" s="127" t="s">
        <v>170</v>
      </c>
      <c r="C12527" s="127" t="s">
        <v>206</v>
      </c>
      <c r="D12527" s="177" t="s">
        <v>61</v>
      </c>
      <c r="E12527" s="177" t="s">
        <v>15231</v>
      </c>
      <c r="F12527" s="177" t="s">
        <v>262</v>
      </c>
      <c r="G12527" s="177" t="s">
        <v>2455</v>
      </c>
      <c r="H12527" s="127" t="s">
        <v>212</v>
      </c>
    </row>
    <row r="12528" hidden="1">
      <c r="A12528" s="177" t="s">
        <v>224</v>
      </c>
      <c r="B12528" s="127" t="s">
        <v>170</v>
      </c>
      <c r="C12528" s="127" t="s">
        <v>206</v>
      </c>
      <c r="D12528" s="177" t="s">
        <v>61</v>
      </c>
      <c r="E12528" s="177" t="s">
        <v>15232</v>
      </c>
      <c r="F12528" s="177" t="s">
        <v>357</v>
      </c>
      <c r="G12528" s="177" t="s">
        <v>3443</v>
      </c>
      <c r="H12528" s="127" t="s">
        <v>213</v>
      </c>
    </row>
    <row r="12529" hidden="1">
      <c r="A12529" s="177" t="s">
        <v>224</v>
      </c>
      <c r="B12529" s="127" t="s">
        <v>170</v>
      </c>
      <c r="C12529" s="127" t="s">
        <v>206</v>
      </c>
      <c r="D12529" s="177" t="s">
        <v>61</v>
      </c>
      <c r="E12529" s="177" t="s">
        <v>15233</v>
      </c>
      <c r="F12529" s="177" t="s">
        <v>255</v>
      </c>
      <c r="G12529" s="177" t="s">
        <v>2113</v>
      </c>
      <c r="H12529" s="127" t="s">
        <v>214</v>
      </c>
    </row>
    <row r="12530" hidden="1">
      <c r="A12530" s="177" t="s">
        <v>224</v>
      </c>
      <c r="B12530" s="127" t="s">
        <v>170</v>
      </c>
      <c r="C12530" s="127" t="s">
        <v>206</v>
      </c>
      <c r="D12530" s="177" t="s">
        <v>61</v>
      </c>
      <c r="E12530" s="177" t="s">
        <v>15234</v>
      </c>
      <c r="F12530" s="177" t="s">
        <v>287</v>
      </c>
      <c r="G12530" s="177" t="s">
        <v>2999</v>
      </c>
      <c r="H12530" s="127" t="s">
        <v>215</v>
      </c>
    </row>
    <row r="12531" hidden="1">
      <c r="A12531" s="177" t="s">
        <v>224</v>
      </c>
      <c r="B12531" s="127" t="s">
        <v>170</v>
      </c>
      <c r="C12531" s="127" t="s">
        <v>206</v>
      </c>
      <c r="D12531" s="177" t="s">
        <v>61</v>
      </c>
      <c r="E12531" s="177" t="s">
        <v>15235</v>
      </c>
      <c r="F12531" s="177" t="s">
        <v>244</v>
      </c>
      <c r="G12531" s="177" t="s">
        <v>3950</v>
      </c>
      <c r="H12531" s="127" t="s">
        <v>216</v>
      </c>
    </row>
    <row r="12532" hidden="1">
      <c r="A12532" s="177" t="s">
        <v>225</v>
      </c>
      <c r="B12532" s="127" t="s">
        <v>226</v>
      </c>
      <c r="C12532" s="127" t="s">
        <v>206</v>
      </c>
      <c r="D12532" s="177" t="s">
        <v>61</v>
      </c>
      <c r="E12532" s="177" t="s">
        <v>15236</v>
      </c>
      <c r="F12532" s="177" t="s">
        <v>310</v>
      </c>
      <c r="G12532" s="177" t="s">
        <v>9515</v>
      </c>
      <c r="H12532" s="127" t="s">
        <v>210</v>
      </c>
    </row>
    <row r="12533" hidden="1">
      <c r="A12533" s="177" t="s">
        <v>225</v>
      </c>
      <c r="B12533" s="127" t="s">
        <v>226</v>
      </c>
      <c r="C12533" s="127" t="s">
        <v>206</v>
      </c>
      <c r="D12533" s="177" t="s">
        <v>61</v>
      </c>
      <c r="E12533" s="177" t="s">
        <v>15237</v>
      </c>
      <c r="F12533" s="177" t="s">
        <v>323</v>
      </c>
      <c r="G12533" s="177" t="s">
        <v>4709</v>
      </c>
      <c r="H12533" s="127" t="s">
        <v>211</v>
      </c>
    </row>
    <row r="12534" hidden="1">
      <c r="A12534" s="177" t="s">
        <v>225</v>
      </c>
      <c r="B12534" s="127" t="s">
        <v>226</v>
      </c>
      <c r="C12534" s="127" t="s">
        <v>206</v>
      </c>
      <c r="D12534" s="177" t="s">
        <v>61</v>
      </c>
      <c r="E12534" s="177" t="s">
        <v>15238</v>
      </c>
      <c r="F12534" s="177" t="s">
        <v>357</v>
      </c>
      <c r="G12534" s="177" t="s">
        <v>3699</v>
      </c>
      <c r="H12534" s="127" t="s">
        <v>212</v>
      </c>
    </row>
    <row r="12535" hidden="1">
      <c r="A12535" s="177" t="s">
        <v>225</v>
      </c>
      <c r="B12535" s="127" t="s">
        <v>226</v>
      </c>
      <c r="C12535" s="127" t="s">
        <v>206</v>
      </c>
      <c r="D12535" s="177" t="s">
        <v>61</v>
      </c>
      <c r="E12535" s="177" t="s">
        <v>15239</v>
      </c>
      <c r="F12535" s="177" t="s">
        <v>257</v>
      </c>
      <c r="G12535" s="177" t="s">
        <v>4905</v>
      </c>
      <c r="H12535" s="127" t="s">
        <v>213</v>
      </c>
    </row>
    <row r="12536" hidden="1">
      <c r="A12536" s="177" t="s">
        <v>225</v>
      </c>
      <c r="B12536" s="127" t="s">
        <v>226</v>
      </c>
      <c r="C12536" s="127" t="s">
        <v>206</v>
      </c>
      <c r="D12536" s="177" t="s">
        <v>61</v>
      </c>
      <c r="E12536" s="177" t="s">
        <v>15240</v>
      </c>
      <c r="F12536" s="177" t="s">
        <v>244</v>
      </c>
      <c r="G12536" s="177" t="s">
        <v>3434</v>
      </c>
      <c r="H12536" s="127" t="s">
        <v>214</v>
      </c>
    </row>
    <row r="12537" hidden="1">
      <c r="A12537" s="177" t="s">
        <v>225</v>
      </c>
      <c r="B12537" s="127" t="s">
        <v>226</v>
      </c>
      <c r="C12537" s="127" t="s">
        <v>206</v>
      </c>
      <c r="D12537" s="177" t="s">
        <v>61</v>
      </c>
      <c r="E12537" s="177" t="s">
        <v>15241</v>
      </c>
      <c r="F12537" s="177" t="s">
        <v>290</v>
      </c>
      <c r="G12537" s="177" t="s">
        <v>9692</v>
      </c>
      <c r="H12537" s="127" t="s">
        <v>215</v>
      </c>
    </row>
    <row r="12538" hidden="1">
      <c r="A12538" s="177" t="s">
        <v>225</v>
      </c>
      <c r="B12538" s="127" t="s">
        <v>226</v>
      </c>
      <c r="C12538" s="127" t="s">
        <v>206</v>
      </c>
      <c r="D12538" s="177" t="s">
        <v>61</v>
      </c>
      <c r="E12538" s="177" t="s">
        <v>15242</v>
      </c>
      <c r="F12538" s="177" t="s">
        <v>321</v>
      </c>
      <c r="G12538" s="177" t="s">
        <v>9391</v>
      </c>
      <c r="H12538" s="127" t="s">
        <v>216</v>
      </c>
    </row>
    <row r="12539" hidden="1">
      <c r="A12539" s="177" t="s">
        <v>227</v>
      </c>
      <c r="B12539" s="127" t="s">
        <v>195</v>
      </c>
      <c r="C12539" s="127" t="s">
        <v>206</v>
      </c>
      <c r="D12539" s="177" t="s">
        <v>61</v>
      </c>
      <c r="E12539" s="177" t="s">
        <v>15243</v>
      </c>
      <c r="F12539" s="177" t="s">
        <v>501</v>
      </c>
      <c r="G12539" s="177" t="s">
        <v>3913</v>
      </c>
      <c r="H12539" s="127" t="s">
        <v>210</v>
      </c>
    </row>
    <row r="12540" hidden="1">
      <c r="A12540" s="177" t="s">
        <v>227</v>
      </c>
      <c r="B12540" s="127" t="s">
        <v>195</v>
      </c>
      <c r="C12540" s="127" t="s">
        <v>206</v>
      </c>
      <c r="D12540" s="177" t="s">
        <v>61</v>
      </c>
      <c r="E12540" s="177" t="s">
        <v>15244</v>
      </c>
      <c r="F12540" s="177" t="s">
        <v>458</v>
      </c>
      <c r="G12540" s="177" t="s">
        <v>3611</v>
      </c>
      <c r="H12540" s="127" t="s">
        <v>211</v>
      </c>
    </row>
    <row r="12541" hidden="1">
      <c r="A12541" s="177" t="s">
        <v>227</v>
      </c>
      <c r="B12541" s="127" t="s">
        <v>195</v>
      </c>
      <c r="C12541" s="127" t="s">
        <v>206</v>
      </c>
      <c r="D12541" s="177" t="s">
        <v>61</v>
      </c>
      <c r="E12541" s="177" t="s">
        <v>15245</v>
      </c>
      <c r="F12541" s="177" t="s">
        <v>301</v>
      </c>
      <c r="G12541" s="177" t="s">
        <v>3262</v>
      </c>
      <c r="H12541" s="127" t="s">
        <v>212</v>
      </c>
    </row>
    <row r="12542" hidden="1">
      <c r="A12542" s="177" t="s">
        <v>227</v>
      </c>
      <c r="B12542" s="127" t="s">
        <v>195</v>
      </c>
      <c r="C12542" s="127" t="s">
        <v>206</v>
      </c>
      <c r="D12542" s="177" t="s">
        <v>61</v>
      </c>
      <c r="E12542" s="177" t="s">
        <v>15246</v>
      </c>
      <c r="F12542" s="177" t="s">
        <v>259</v>
      </c>
      <c r="G12542" s="177" t="s">
        <v>4026</v>
      </c>
      <c r="H12542" s="127" t="s">
        <v>213</v>
      </c>
    </row>
    <row r="12543" hidden="1">
      <c r="A12543" s="177" t="s">
        <v>227</v>
      </c>
      <c r="B12543" s="127" t="s">
        <v>195</v>
      </c>
      <c r="C12543" s="127" t="s">
        <v>206</v>
      </c>
      <c r="D12543" s="177" t="s">
        <v>61</v>
      </c>
      <c r="E12543" s="177" t="s">
        <v>15247</v>
      </c>
      <c r="F12543" s="177" t="s">
        <v>255</v>
      </c>
      <c r="G12543" s="177" t="s">
        <v>3908</v>
      </c>
      <c r="H12543" s="127" t="s">
        <v>214</v>
      </c>
    </row>
    <row r="12544" hidden="1">
      <c r="A12544" s="177" t="s">
        <v>227</v>
      </c>
      <c r="B12544" s="127" t="s">
        <v>195</v>
      </c>
      <c r="C12544" s="127" t="s">
        <v>206</v>
      </c>
      <c r="D12544" s="177" t="s">
        <v>61</v>
      </c>
      <c r="E12544" s="177" t="s">
        <v>15248</v>
      </c>
      <c r="F12544" s="177" t="s">
        <v>242</v>
      </c>
      <c r="G12544" s="177" t="s">
        <v>3117</v>
      </c>
      <c r="H12544" s="127" t="s">
        <v>215</v>
      </c>
    </row>
    <row r="12545" hidden="1">
      <c r="A12545" s="177" t="s">
        <v>227</v>
      </c>
      <c r="B12545" s="127" t="s">
        <v>195</v>
      </c>
      <c r="C12545" s="127" t="s">
        <v>206</v>
      </c>
      <c r="D12545" s="177" t="s">
        <v>61</v>
      </c>
      <c r="E12545" s="177" t="s">
        <v>15249</v>
      </c>
      <c r="F12545" s="177" t="s">
        <v>458</v>
      </c>
      <c r="G12545" s="177" t="s">
        <v>1995</v>
      </c>
      <c r="H12545" s="127" t="s">
        <v>216</v>
      </c>
    </row>
    <row r="12546" hidden="1">
      <c r="A12546" s="177" t="s">
        <v>228</v>
      </c>
      <c r="B12546" s="127" t="s">
        <v>138</v>
      </c>
      <c r="C12546" s="127" t="s">
        <v>206</v>
      </c>
      <c r="D12546" s="177" t="s">
        <v>61</v>
      </c>
      <c r="E12546" s="177" t="s">
        <v>15250</v>
      </c>
      <c r="F12546" s="177" t="s">
        <v>2745</v>
      </c>
      <c r="G12546" s="177" t="s">
        <v>9715</v>
      </c>
      <c r="H12546" s="127" t="s">
        <v>210</v>
      </c>
    </row>
    <row r="12547" hidden="1">
      <c r="A12547" s="177" t="s">
        <v>228</v>
      </c>
      <c r="B12547" s="127" t="s">
        <v>138</v>
      </c>
      <c r="C12547" s="127" t="s">
        <v>206</v>
      </c>
      <c r="D12547" s="177" t="s">
        <v>61</v>
      </c>
      <c r="E12547" s="177" t="s">
        <v>15251</v>
      </c>
      <c r="F12547" s="177" t="s">
        <v>2146</v>
      </c>
      <c r="G12547" s="177" t="s">
        <v>15252</v>
      </c>
      <c r="H12547" s="127" t="s">
        <v>211</v>
      </c>
    </row>
    <row r="12548" hidden="1">
      <c r="A12548" s="177" t="s">
        <v>228</v>
      </c>
      <c r="B12548" s="127" t="s">
        <v>138</v>
      </c>
      <c r="C12548" s="127" t="s">
        <v>206</v>
      </c>
      <c r="D12548" s="177" t="s">
        <v>61</v>
      </c>
      <c r="E12548" s="177" t="s">
        <v>15253</v>
      </c>
      <c r="F12548" s="177" t="s">
        <v>1852</v>
      </c>
      <c r="G12548" s="177" t="s">
        <v>11772</v>
      </c>
      <c r="H12548" s="127" t="s">
        <v>212</v>
      </c>
    </row>
    <row r="12549" hidden="1">
      <c r="A12549" s="177" t="s">
        <v>228</v>
      </c>
      <c r="B12549" s="127" t="s">
        <v>138</v>
      </c>
      <c r="C12549" s="127" t="s">
        <v>206</v>
      </c>
      <c r="D12549" s="177" t="s">
        <v>61</v>
      </c>
      <c r="E12549" s="177" t="s">
        <v>15254</v>
      </c>
      <c r="F12549" s="177" t="s">
        <v>2413</v>
      </c>
      <c r="G12549" s="177" t="s">
        <v>12101</v>
      </c>
      <c r="H12549" s="127" t="s">
        <v>213</v>
      </c>
    </row>
    <row r="12550" hidden="1">
      <c r="A12550" s="177" t="s">
        <v>228</v>
      </c>
      <c r="B12550" s="127" t="s">
        <v>138</v>
      </c>
      <c r="C12550" s="127" t="s">
        <v>206</v>
      </c>
      <c r="D12550" s="177" t="s">
        <v>61</v>
      </c>
      <c r="E12550" s="177" t="s">
        <v>15255</v>
      </c>
      <c r="F12550" s="177" t="s">
        <v>1974</v>
      </c>
      <c r="G12550" s="177" t="s">
        <v>9926</v>
      </c>
      <c r="H12550" s="127" t="s">
        <v>214</v>
      </c>
    </row>
    <row r="12551" hidden="1">
      <c r="A12551" s="177" t="s">
        <v>228</v>
      </c>
      <c r="B12551" s="127" t="s">
        <v>138</v>
      </c>
      <c r="C12551" s="127" t="s">
        <v>206</v>
      </c>
      <c r="D12551" s="177" t="s">
        <v>61</v>
      </c>
      <c r="E12551" s="177" t="s">
        <v>15256</v>
      </c>
      <c r="F12551" s="177" t="s">
        <v>2852</v>
      </c>
      <c r="G12551" s="177" t="s">
        <v>12158</v>
      </c>
      <c r="H12551" s="127" t="s">
        <v>215</v>
      </c>
    </row>
    <row r="12552" hidden="1">
      <c r="A12552" s="177" t="s">
        <v>228</v>
      </c>
      <c r="B12552" s="127" t="s">
        <v>138</v>
      </c>
      <c r="C12552" s="127" t="s">
        <v>206</v>
      </c>
      <c r="D12552" s="177" t="s">
        <v>61</v>
      </c>
      <c r="E12552" s="177" t="s">
        <v>15257</v>
      </c>
      <c r="F12552" s="177" t="s">
        <v>1735</v>
      </c>
      <c r="G12552" s="177" t="s">
        <v>10353</v>
      </c>
      <c r="H12552" s="127" t="s">
        <v>216</v>
      </c>
    </row>
    <row r="12553" hidden="1">
      <c r="A12553" s="177" t="s">
        <v>229</v>
      </c>
      <c r="B12553" s="127" t="s">
        <v>193</v>
      </c>
      <c r="C12553" s="127" t="s">
        <v>206</v>
      </c>
      <c r="D12553" s="177" t="s">
        <v>61</v>
      </c>
      <c r="E12553" s="177" t="s">
        <v>15258</v>
      </c>
      <c r="F12553" s="177" t="s">
        <v>325</v>
      </c>
      <c r="G12553" s="177" t="s">
        <v>9800</v>
      </c>
      <c r="H12553" s="127" t="s">
        <v>210</v>
      </c>
    </row>
    <row r="12554" hidden="1">
      <c r="A12554" s="177" t="s">
        <v>229</v>
      </c>
      <c r="B12554" s="127" t="s">
        <v>193</v>
      </c>
      <c r="C12554" s="127" t="s">
        <v>206</v>
      </c>
      <c r="D12554" s="177" t="s">
        <v>61</v>
      </c>
      <c r="E12554" s="177" t="s">
        <v>15259</v>
      </c>
      <c r="F12554" s="177" t="s">
        <v>325</v>
      </c>
      <c r="G12554" s="177" t="s">
        <v>4521</v>
      </c>
      <c r="H12554" s="127" t="s">
        <v>211</v>
      </c>
    </row>
    <row r="12555" hidden="1">
      <c r="A12555" s="177" t="s">
        <v>229</v>
      </c>
      <c r="B12555" s="127" t="s">
        <v>193</v>
      </c>
      <c r="C12555" s="127" t="s">
        <v>206</v>
      </c>
      <c r="D12555" s="177" t="s">
        <v>61</v>
      </c>
      <c r="E12555" s="177" t="s">
        <v>15260</v>
      </c>
      <c r="F12555" s="177" t="s">
        <v>339</v>
      </c>
      <c r="G12555" s="177" t="s">
        <v>4161</v>
      </c>
      <c r="H12555" s="127" t="s">
        <v>212</v>
      </c>
    </row>
    <row r="12556" hidden="1">
      <c r="A12556" s="177" t="s">
        <v>229</v>
      </c>
      <c r="B12556" s="127" t="s">
        <v>193</v>
      </c>
      <c r="C12556" s="127" t="s">
        <v>206</v>
      </c>
      <c r="D12556" s="177" t="s">
        <v>61</v>
      </c>
      <c r="E12556" s="177" t="s">
        <v>15261</v>
      </c>
      <c r="F12556" s="177" t="s">
        <v>673</v>
      </c>
      <c r="G12556" s="177" t="s">
        <v>10134</v>
      </c>
      <c r="H12556" s="127" t="s">
        <v>213</v>
      </c>
    </row>
    <row r="12557" hidden="1">
      <c r="A12557" s="177" t="s">
        <v>229</v>
      </c>
      <c r="B12557" s="127" t="s">
        <v>193</v>
      </c>
      <c r="C12557" s="127" t="s">
        <v>206</v>
      </c>
      <c r="D12557" s="177" t="s">
        <v>61</v>
      </c>
      <c r="E12557" s="177" t="s">
        <v>15262</v>
      </c>
      <c r="F12557" s="177" t="s">
        <v>285</v>
      </c>
      <c r="G12557" s="177" t="s">
        <v>3434</v>
      </c>
      <c r="H12557" s="127" t="s">
        <v>214</v>
      </c>
    </row>
    <row r="12558" hidden="1">
      <c r="A12558" s="177" t="s">
        <v>229</v>
      </c>
      <c r="B12558" s="127" t="s">
        <v>193</v>
      </c>
      <c r="C12558" s="127" t="s">
        <v>206</v>
      </c>
      <c r="D12558" s="177" t="s">
        <v>61</v>
      </c>
      <c r="E12558" s="177" t="s">
        <v>15263</v>
      </c>
      <c r="F12558" s="177" t="s">
        <v>718</v>
      </c>
      <c r="G12558" s="177" t="s">
        <v>10842</v>
      </c>
      <c r="H12558" s="127" t="s">
        <v>215</v>
      </c>
    </row>
    <row r="12559" hidden="1">
      <c r="A12559" s="177" t="s">
        <v>229</v>
      </c>
      <c r="B12559" s="127" t="s">
        <v>193</v>
      </c>
      <c r="C12559" s="127" t="s">
        <v>206</v>
      </c>
      <c r="D12559" s="177" t="s">
        <v>61</v>
      </c>
      <c r="E12559" s="177" t="s">
        <v>15264</v>
      </c>
      <c r="F12559" s="177" t="s">
        <v>425</v>
      </c>
      <c r="G12559" s="177" t="s">
        <v>5434</v>
      </c>
      <c r="H12559" s="127" t="s">
        <v>216</v>
      </c>
    </row>
    <row r="12560" hidden="1">
      <c r="A12560" s="177" t="s">
        <v>230</v>
      </c>
      <c r="B12560" s="127" t="s">
        <v>194</v>
      </c>
      <c r="C12560" s="127" t="s">
        <v>206</v>
      </c>
      <c r="D12560" s="177" t="s">
        <v>61</v>
      </c>
      <c r="E12560" s="177" t="s">
        <v>15265</v>
      </c>
      <c r="F12560" s="177" t="s">
        <v>354</v>
      </c>
      <c r="G12560" s="177" t="s">
        <v>3613</v>
      </c>
      <c r="H12560" s="127" t="s">
        <v>210</v>
      </c>
    </row>
    <row r="12561" hidden="1">
      <c r="A12561" s="177" t="s">
        <v>230</v>
      </c>
      <c r="B12561" s="127" t="s">
        <v>194</v>
      </c>
      <c r="C12561" s="127" t="s">
        <v>206</v>
      </c>
      <c r="D12561" s="177" t="s">
        <v>61</v>
      </c>
      <c r="E12561" s="177" t="s">
        <v>15266</v>
      </c>
      <c r="F12561" s="177" t="s">
        <v>285</v>
      </c>
      <c r="G12561" s="177" t="s">
        <v>2989</v>
      </c>
      <c r="H12561" s="127" t="s">
        <v>211</v>
      </c>
    </row>
    <row r="12562" hidden="1">
      <c r="A12562" s="177" t="s">
        <v>230</v>
      </c>
      <c r="B12562" s="127" t="s">
        <v>194</v>
      </c>
      <c r="C12562" s="127" t="s">
        <v>206</v>
      </c>
      <c r="D12562" s="177" t="s">
        <v>61</v>
      </c>
      <c r="E12562" s="177" t="s">
        <v>15267</v>
      </c>
      <c r="F12562" s="177" t="s">
        <v>290</v>
      </c>
      <c r="G12562" s="177" t="s">
        <v>2221</v>
      </c>
      <c r="H12562" s="127" t="s">
        <v>212</v>
      </c>
    </row>
    <row r="12563" hidden="1">
      <c r="A12563" s="177" t="s">
        <v>230</v>
      </c>
      <c r="B12563" s="127" t="s">
        <v>194</v>
      </c>
      <c r="C12563" s="127" t="s">
        <v>206</v>
      </c>
      <c r="D12563" s="177" t="s">
        <v>61</v>
      </c>
      <c r="E12563" s="177" t="s">
        <v>15268</v>
      </c>
      <c r="F12563" s="177" t="s">
        <v>365</v>
      </c>
      <c r="G12563" s="177" t="s">
        <v>2216</v>
      </c>
      <c r="H12563" s="127" t="s">
        <v>213</v>
      </c>
    </row>
    <row r="12564" hidden="1">
      <c r="A12564" s="177" t="s">
        <v>230</v>
      </c>
      <c r="B12564" s="127" t="s">
        <v>194</v>
      </c>
      <c r="C12564" s="127" t="s">
        <v>206</v>
      </c>
      <c r="D12564" s="177" t="s">
        <v>61</v>
      </c>
      <c r="E12564" s="177" t="s">
        <v>15269</v>
      </c>
      <c r="F12564" s="177" t="s">
        <v>321</v>
      </c>
      <c r="G12564" s="177" t="s">
        <v>3485</v>
      </c>
      <c r="H12564" s="127" t="s">
        <v>214</v>
      </c>
    </row>
    <row r="12565" hidden="1">
      <c r="A12565" s="177" t="s">
        <v>230</v>
      </c>
      <c r="B12565" s="127" t="s">
        <v>194</v>
      </c>
      <c r="C12565" s="127" t="s">
        <v>206</v>
      </c>
      <c r="D12565" s="177" t="s">
        <v>61</v>
      </c>
      <c r="E12565" s="177" t="s">
        <v>15270</v>
      </c>
      <c r="F12565" s="177" t="s">
        <v>285</v>
      </c>
      <c r="G12565" s="177" t="s">
        <v>3445</v>
      </c>
      <c r="H12565" s="127" t="s">
        <v>215</v>
      </c>
    </row>
    <row r="12566" hidden="1">
      <c r="A12566" s="177" t="s">
        <v>230</v>
      </c>
      <c r="B12566" s="127" t="s">
        <v>194</v>
      </c>
      <c r="C12566" s="127" t="s">
        <v>206</v>
      </c>
      <c r="D12566" s="177" t="s">
        <v>61</v>
      </c>
      <c r="E12566" s="177" t="s">
        <v>15271</v>
      </c>
      <c r="F12566" s="177" t="s">
        <v>305</v>
      </c>
      <c r="G12566" s="177" t="s">
        <v>3513</v>
      </c>
      <c r="H12566" s="127" t="s">
        <v>216</v>
      </c>
    </row>
    <row r="12567" hidden="1">
      <c r="A12567" s="127" t="s">
        <v>231</v>
      </c>
      <c r="C12567" s="127" t="s">
        <v>232</v>
      </c>
      <c r="D12567" s="177" t="s">
        <v>61</v>
      </c>
      <c r="E12567" s="177" t="s">
        <v>15272</v>
      </c>
      <c r="F12567" s="177" t="s">
        <v>2005</v>
      </c>
      <c r="G12567" s="177" t="s">
        <v>2109</v>
      </c>
      <c r="H12567" s="127" t="s">
        <v>210</v>
      </c>
    </row>
    <row r="12568" hidden="1">
      <c r="A12568" s="127" t="s">
        <v>231</v>
      </c>
      <c r="C12568" s="127" t="s">
        <v>232</v>
      </c>
      <c r="D12568" s="177" t="s">
        <v>61</v>
      </c>
      <c r="E12568" s="177" t="s">
        <v>15273</v>
      </c>
      <c r="F12568" s="177" t="s">
        <v>3340</v>
      </c>
      <c r="G12568" s="177" t="s">
        <v>3691</v>
      </c>
      <c r="H12568" s="127" t="s">
        <v>211</v>
      </c>
    </row>
    <row r="12569" hidden="1">
      <c r="A12569" s="127" t="s">
        <v>231</v>
      </c>
      <c r="C12569" s="127" t="s">
        <v>232</v>
      </c>
      <c r="D12569" s="177" t="s">
        <v>61</v>
      </c>
      <c r="E12569" s="177" t="s">
        <v>15274</v>
      </c>
      <c r="F12569" s="177" t="s">
        <v>448</v>
      </c>
      <c r="G12569" s="177" t="s">
        <v>2992</v>
      </c>
      <c r="H12569" s="127" t="s">
        <v>212</v>
      </c>
    </row>
    <row r="12570" hidden="1">
      <c r="A12570" s="127" t="s">
        <v>231</v>
      </c>
      <c r="C12570" s="127" t="s">
        <v>232</v>
      </c>
      <c r="D12570" s="177" t="s">
        <v>61</v>
      </c>
      <c r="E12570" s="177" t="s">
        <v>15275</v>
      </c>
      <c r="F12570" s="177" t="s">
        <v>1790</v>
      </c>
      <c r="G12570" s="177" t="s">
        <v>3908</v>
      </c>
      <c r="H12570" s="127" t="s">
        <v>213</v>
      </c>
    </row>
    <row r="12571" hidden="1">
      <c r="A12571" s="127" t="s">
        <v>231</v>
      </c>
      <c r="C12571" s="127" t="s">
        <v>232</v>
      </c>
      <c r="D12571" s="177" t="s">
        <v>61</v>
      </c>
      <c r="E12571" s="177" t="s">
        <v>15276</v>
      </c>
      <c r="F12571" s="177" t="s">
        <v>9508</v>
      </c>
      <c r="G12571" s="177" t="s">
        <v>3443</v>
      </c>
      <c r="H12571" s="127" t="s">
        <v>214</v>
      </c>
    </row>
    <row r="12572" hidden="1">
      <c r="A12572" s="127" t="s">
        <v>231</v>
      </c>
      <c r="C12572" s="127" t="s">
        <v>232</v>
      </c>
      <c r="D12572" s="177" t="s">
        <v>61</v>
      </c>
      <c r="E12572" s="177" t="s">
        <v>15277</v>
      </c>
      <c r="F12572" s="177" t="s">
        <v>339</v>
      </c>
      <c r="G12572" s="177" t="s">
        <v>3400</v>
      </c>
      <c r="H12572" s="127" t="s">
        <v>215</v>
      </c>
    </row>
    <row r="12573" hidden="1">
      <c r="A12573" s="127" t="s">
        <v>231</v>
      </c>
      <c r="C12573" s="127" t="s">
        <v>232</v>
      </c>
      <c r="D12573" s="177" t="s">
        <v>61</v>
      </c>
      <c r="E12573" s="177" t="s">
        <v>15278</v>
      </c>
      <c r="F12573" s="177" t="s">
        <v>444</v>
      </c>
      <c r="G12573" s="177" t="s">
        <v>2661</v>
      </c>
      <c r="H12573" s="127" t="s">
        <v>216</v>
      </c>
    </row>
    <row r="12574" hidden="1">
      <c r="A12574" s="127" t="s">
        <v>233</v>
      </c>
      <c r="C12574" s="127" t="s">
        <v>232</v>
      </c>
      <c r="D12574" s="177" t="s">
        <v>61</v>
      </c>
      <c r="E12574" s="177" t="s">
        <v>15279</v>
      </c>
      <c r="F12574" s="177" t="s">
        <v>305</v>
      </c>
      <c r="G12574" s="177" t="s">
        <v>3875</v>
      </c>
      <c r="H12574" s="127" t="s">
        <v>210</v>
      </c>
    </row>
    <row r="12575" hidden="1">
      <c r="A12575" s="127" t="s">
        <v>233</v>
      </c>
      <c r="C12575" s="127" t="s">
        <v>232</v>
      </c>
      <c r="D12575" s="177" t="s">
        <v>61</v>
      </c>
      <c r="E12575" s="177" t="s">
        <v>15280</v>
      </c>
      <c r="F12575" s="177" t="s">
        <v>305</v>
      </c>
      <c r="G12575" s="177" t="s">
        <v>3262</v>
      </c>
      <c r="H12575" s="127" t="s">
        <v>211</v>
      </c>
    </row>
    <row r="12576" hidden="1">
      <c r="A12576" s="127" t="s">
        <v>233</v>
      </c>
      <c r="C12576" s="127" t="s">
        <v>232</v>
      </c>
      <c r="D12576" s="177" t="s">
        <v>61</v>
      </c>
      <c r="E12576" s="177" t="s">
        <v>15281</v>
      </c>
      <c r="F12576" s="177" t="s">
        <v>534</v>
      </c>
      <c r="G12576" s="177" t="s">
        <v>3950</v>
      </c>
      <c r="H12576" s="127" t="s">
        <v>212</v>
      </c>
    </row>
    <row r="12577" hidden="1">
      <c r="A12577" s="127" t="s">
        <v>233</v>
      </c>
      <c r="C12577" s="127" t="s">
        <v>232</v>
      </c>
      <c r="D12577" s="177" t="s">
        <v>61</v>
      </c>
      <c r="E12577" s="177" t="s">
        <v>15282</v>
      </c>
      <c r="F12577" s="177" t="s">
        <v>425</v>
      </c>
      <c r="G12577" s="177" t="s">
        <v>3572</v>
      </c>
      <c r="H12577" s="127" t="s">
        <v>213</v>
      </c>
    </row>
    <row r="12578" hidden="1">
      <c r="A12578" s="127" t="s">
        <v>233</v>
      </c>
      <c r="C12578" s="127" t="s">
        <v>232</v>
      </c>
      <c r="D12578" s="177" t="s">
        <v>61</v>
      </c>
      <c r="E12578" s="177" t="s">
        <v>15283</v>
      </c>
      <c r="F12578" s="177" t="s">
        <v>331</v>
      </c>
      <c r="G12578" s="177" t="s">
        <v>3209</v>
      </c>
      <c r="H12578" s="127" t="s">
        <v>214</v>
      </c>
    </row>
    <row r="12579" hidden="1">
      <c r="A12579" s="127" t="s">
        <v>233</v>
      </c>
      <c r="C12579" s="127" t="s">
        <v>232</v>
      </c>
      <c r="D12579" s="177" t="s">
        <v>61</v>
      </c>
      <c r="E12579" s="177" t="s">
        <v>15284</v>
      </c>
      <c r="F12579" s="177" t="s">
        <v>534</v>
      </c>
      <c r="G12579" s="177" t="s">
        <v>4073</v>
      </c>
      <c r="H12579" s="127" t="s">
        <v>215</v>
      </c>
    </row>
    <row r="12580" hidden="1">
      <c r="A12580" s="127" t="s">
        <v>233</v>
      </c>
      <c r="C12580" s="127" t="s">
        <v>232</v>
      </c>
      <c r="D12580" s="177" t="s">
        <v>61</v>
      </c>
      <c r="E12580" s="177" t="s">
        <v>15285</v>
      </c>
      <c r="F12580" s="177" t="s">
        <v>305</v>
      </c>
      <c r="G12580" s="177" t="s">
        <v>3815</v>
      </c>
      <c r="H12580" s="127" t="s">
        <v>216</v>
      </c>
    </row>
    <row r="12581" hidden="1">
      <c r="A12581" s="127" t="s">
        <v>234</v>
      </c>
      <c r="C12581" s="127" t="s">
        <v>232</v>
      </c>
      <c r="D12581" s="177" t="s">
        <v>61</v>
      </c>
      <c r="E12581" s="177" t="s">
        <v>15286</v>
      </c>
      <c r="F12581" s="177" t="s">
        <v>339</v>
      </c>
      <c r="G12581" s="177" t="s">
        <v>9687</v>
      </c>
      <c r="H12581" s="127" t="s">
        <v>210</v>
      </c>
    </row>
    <row r="12582" hidden="1">
      <c r="A12582" s="127" t="s">
        <v>234</v>
      </c>
      <c r="C12582" s="127" t="s">
        <v>232</v>
      </c>
      <c r="D12582" s="177" t="s">
        <v>61</v>
      </c>
      <c r="E12582" s="177" t="s">
        <v>15287</v>
      </c>
      <c r="F12582" s="177" t="s">
        <v>534</v>
      </c>
      <c r="G12582" s="177" t="s">
        <v>9780</v>
      </c>
      <c r="H12582" s="127" t="s">
        <v>211</v>
      </c>
    </row>
    <row r="12583" hidden="1">
      <c r="A12583" s="127" t="s">
        <v>234</v>
      </c>
      <c r="C12583" s="127" t="s">
        <v>232</v>
      </c>
      <c r="D12583" s="177" t="s">
        <v>61</v>
      </c>
      <c r="E12583" s="177" t="s">
        <v>15288</v>
      </c>
      <c r="F12583" s="177" t="s">
        <v>365</v>
      </c>
      <c r="G12583" s="177" t="s">
        <v>14865</v>
      </c>
      <c r="H12583" s="127" t="s">
        <v>212</v>
      </c>
    </row>
    <row r="12584" hidden="1">
      <c r="A12584" s="127" t="s">
        <v>234</v>
      </c>
      <c r="C12584" s="127" t="s">
        <v>232</v>
      </c>
      <c r="D12584" s="177" t="s">
        <v>61</v>
      </c>
      <c r="E12584" s="177" t="s">
        <v>15289</v>
      </c>
      <c r="F12584" s="177" t="s">
        <v>325</v>
      </c>
      <c r="G12584" s="177" t="s">
        <v>10888</v>
      </c>
      <c r="H12584" s="127" t="s">
        <v>213</v>
      </c>
    </row>
    <row r="12585" hidden="1">
      <c r="A12585" s="127" t="s">
        <v>234</v>
      </c>
      <c r="C12585" s="127" t="s">
        <v>232</v>
      </c>
      <c r="D12585" s="177" t="s">
        <v>61</v>
      </c>
      <c r="E12585" s="177" t="s">
        <v>15290</v>
      </c>
      <c r="F12585" s="177" t="s">
        <v>321</v>
      </c>
      <c r="G12585" s="177" t="s">
        <v>9359</v>
      </c>
      <c r="H12585" s="127" t="s">
        <v>214</v>
      </c>
    </row>
    <row r="12586" hidden="1">
      <c r="A12586" s="127" t="s">
        <v>234</v>
      </c>
      <c r="C12586" s="127" t="s">
        <v>232</v>
      </c>
      <c r="D12586" s="177" t="s">
        <v>61</v>
      </c>
      <c r="E12586" s="177" t="s">
        <v>15291</v>
      </c>
      <c r="F12586" s="177" t="s">
        <v>494</v>
      </c>
      <c r="G12586" s="177" t="s">
        <v>9669</v>
      </c>
      <c r="H12586" s="127" t="s">
        <v>215</v>
      </c>
    </row>
    <row r="12587" hidden="1">
      <c r="A12587" s="127" t="s">
        <v>234</v>
      </c>
      <c r="C12587" s="127" t="s">
        <v>232</v>
      </c>
      <c r="D12587" s="177" t="s">
        <v>61</v>
      </c>
      <c r="E12587" s="177" t="s">
        <v>15292</v>
      </c>
      <c r="F12587" s="177" t="s">
        <v>305</v>
      </c>
      <c r="G12587" s="177" t="s">
        <v>9711</v>
      </c>
      <c r="H12587" s="127" t="s">
        <v>216</v>
      </c>
    </row>
    <row r="12588" hidden="1">
      <c r="A12588" s="127" t="s">
        <v>235</v>
      </c>
      <c r="C12588" s="127" t="s">
        <v>236</v>
      </c>
      <c r="D12588" s="177" t="s">
        <v>61</v>
      </c>
      <c r="E12588" s="177" t="s">
        <v>15293</v>
      </c>
      <c r="F12588" s="177" t="s">
        <v>325</v>
      </c>
      <c r="G12588" s="177" t="s">
        <v>3230</v>
      </c>
      <c r="H12588" s="127" t="s">
        <v>210</v>
      </c>
    </row>
    <row r="12589" hidden="1">
      <c r="A12589" s="127" t="s">
        <v>235</v>
      </c>
      <c r="C12589" s="127" t="s">
        <v>236</v>
      </c>
      <c r="D12589" s="177" t="s">
        <v>61</v>
      </c>
      <c r="E12589" s="177" t="s">
        <v>15294</v>
      </c>
      <c r="F12589" s="177" t="s">
        <v>336</v>
      </c>
      <c r="G12589" s="177" t="s">
        <v>1782</v>
      </c>
      <c r="H12589" s="127" t="s">
        <v>211</v>
      </c>
    </row>
    <row r="12590" hidden="1">
      <c r="A12590" s="127" t="s">
        <v>235</v>
      </c>
      <c r="C12590" s="127" t="s">
        <v>236</v>
      </c>
      <c r="D12590" s="177" t="s">
        <v>61</v>
      </c>
      <c r="E12590" s="177" t="s">
        <v>15295</v>
      </c>
      <c r="F12590" s="177" t="s">
        <v>305</v>
      </c>
      <c r="G12590" s="177" t="s">
        <v>1862</v>
      </c>
      <c r="H12590" s="127" t="s">
        <v>212</v>
      </c>
    </row>
    <row r="12591" hidden="1">
      <c r="A12591" s="127" t="s">
        <v>235</v>
      </c>
      <c r="C12591" s="127" t="s">
        <v>236</v>
      </c>
      <c r="D12591" s="177" t="s">
        <v>61</v>
      </c>
      <c r="E12591" s="177" t="s">
        <v>15296</v>
      </c>
      <c r="F12591" s="177" t="s">
        <v>329</v>
      </c>
      <c r="G12591" s="177" t="s">
        <v>2224</v>
      </c>
      <c r="H12591" s="127" t="s">
        <v>213</v>
      </c>
    </row>
    <row r="12592" hidden="1">
      <c r="A12592" s="127" t="s">
        <v>235</v>
      </c>
      <c r="C12592" s="127" t="s">
        <v>236</v>
      </c>
      <c r="D12592" s="177" t="s">
        <v>61</v>
      </c>
      <c r="E12592" s="177" t="s">
        <v>15297</v>
      </c>
      <c r="F12592" s="177" t="s">
        <v>339</v>
      </c>
      <c r="G12592" s="177" t="s">
        <v>3226</v>
      </c>
      <c r="H12592" s="127" t="s">
        <v>214</v>
      </c>
    </row>
    <row r="12593" hidden="1">
      <c r="A12593" s="127" t="s">
        <v>235</v>
      </c>
      <c r="C12593" s="127" t="s">
        <v>236</v>
      </c>
      <c r="D12593" s="177" t="s">
        <v>61</v>
      </c>
      <c r="E12593" s="177" t="s">
        <v>15298</v>
      </c>
      <c r="F12593" s="177" t="s">
        <v>249</v>
      </c>
      <c r="G12593" s="177" t="s">
        <v>2113</v>
      </c>
      <c r="H12593" s="127" t="s">
        <v>215</v>
      </c>
    </row>
    <row r="12594" hidden="1">
      <c r="A12594" s="127" t="s">
        <v>235</v>
      </c>
      <c r="C12594" s="127" t="s">
        <v>236</v>
      </c>
      <c r="D12594" s="177" t="s">
        <v>61</v>
      </c>
      <c r="E12594" s="177" t="s">
        <v>15299</v>
      </c>
      <c r="F12594" s="177" t="s">
        <v>336</v>
      </c>
      <c r="G12594" s="177" t="s">
        <v>2762</v>
      </c>
      <c r="H12594" s="127" t="s">
        <v>216</v>
      </c>
    </row>
    <row r="12595" hidden="1">
      <c r="A12595" s="127" t="s">
        <v>237</v>
      </c>
      <c r="C12595" s="127" t="s">
        <v>236</v>
      </c>
      <c r="D12595" s="177" t="s">
        <v>61</v>
      </c>
      <c r="E12595" s="177" t="s">
        <v>15300</v>
      </c>
      <c r="F12595" s="177" t="s">
        <v>483</v>
      </c>
      <c r="G12595" s="177" t="s">
        <v>10047</v>
      </c>
      <c r="H12595" s="127" t="s">
        <v>210</v>
      </c>
    </row>
    <row r="12596" hidden="1">
      <c r="A12596" s="127" t="s">
        <v>237</v>
      </c>
      <c r="C12596" s="127" t="s">
        <v>236</v>
      </c>
      <c r="D12596" s="177" t="s">
        <v>61</v>
      </c>
      <c r="E12596" s="177" t="s">
        <v>15301</v>
      </c>
      <c r="F12596" s="177" t="s">
        <v>450</v>
      </c>
      <c r="G12596" s="177" t="s">
        <v>10079</v>
      </c>
      <c r="H12596" s="127" t="s">
        <v>211</v>
      </c>
    </row>
    <row r="12597" hidden="1">
      <c r="A12597" s="127" t="s">
        <v>237</v>
      </c>
      <c r="C12597" s="127" t="s">
        <v>236</v>
      </c>
      <c r="D12597" s="177" t="s">
        <v>61</v>
      </c>
      <c r="E12597" s="177" t="s">
        <v>15302</v>
      </c>
      <c r="F12597" s="177" t="s">
        <v>331</v>
      </c>
      <c r="G12597" s="177" t="s">
        <v>10463</v>
      </c>
      <c r="H12597" s="127" t="s">
        <v>212</v>
      </c>
    </row>
    <row r="12598" hidden="1">
      <c r="A12598" s="127" t="s">
        <v>237</v>
      </c>
      <c r="C12598" s="127" t="s">
        <v>236</v>
      </c>
      <c r="D12598" s="177" t="s">
        <v>61</v>
      </c>
      <c r="E12598" s="177" t="s">
        <v>15303</v>
      </c>
      <c r="F12598" s="177" t="s">
        <v>718</v>
      </c>
      <c r="G12598" s="177" t="s">
        <v>15304</v>
      </c>
      <c r="H12598" s="127" t="s">
        <v>213</v>
      </c>
    </row>
    <row r="12599" hidden="1">
      <c r="A12599" s="127" t="s">
        <v>237</v>
      </c>
      <c r="C12599" s="127" t="s">
        <v>236</v>
      </c>
      <c r="D12599" s="177" t="s">
        <v>61</v>
      </c>
      <c r="E12599" s="177" t="s">
        <v>15305</v>
      </c>
      <c r="F12599" s="177" t="s">
        <v>450</v>
      </c>
      <c r="G12599" s="177" t="s">
        <v>10937</v>
      </c>
      <c r="H12599" s="127" t="s">
        <v>214</v>
      </c>
    </row>
    <row r="12600" hidden="1">
      <c r="A12600" s="127" t="s">
        <v>237</v>
      </c>
      <c r="C12600" s="127" t="s">
        <v>236</v>
      </c>
      <c r="D12600" s="177" t="s">
        <v>61</v>
      </c>
      <c r="E12600" s="177" t="s">
        <v>15306</v>
      </c>
      <c r="F12600" s="177" t="s">
        <v>532</v>
      </c>
      <c r="G12600" s="177" t="s">
        <v>15307</v>
      </c>
      <c r="H12600" s="127" t="s">
        <v>215</v>
      </c>
    </row>
    <row r="12601" hidden="1">
      <c r="A12601" s="127" t="s">
        <v>237</v>
      </c>
      <c r="C12601" s="127" t="s">
        <v>236</v>
      </c>
      <c r="D12601" s="177" t="s">
        <v>61</v>
      </c>
      <c r="E12601" s="177" t="s">
        <v>15308</v>
      </c>
      <c r="F12601" s="177" t="s">
        <v>483</v>
      </c>
      <c r="G12601" s="177" t="s">
        <v>10353</v>
      </c>
      <c r="H12601" s="127" t="s">
        <v>216</v>
      </c>
    </row>
    <row r="12602" hidden="1">
      <c r="A12602" s="177" t="s">
        <v>204</v>
      </c>
      <c r="B12602" s="127" t="s">
        <v>205</v>
      </c>
      <c r="C12602" s="127" t="s">
        <v>206</v>
      </c>
      <c r="D12602" s="177" t="s">
        <v>62</v>
      </c>
      <c r="E12602" s="177" t="s">
        <v>15309</v>
      </c>
      <c r="F12602" s="177" t="s">
        <v>331</v>
      </c>
      <c r="G12602" s="177" t="s">
        <v>3142</v>
      </c>
      <c r="H12602" s="127" t="s">
        <v>210</v>
      </c>
    </row>
    <row r="12603" hidden="1">
      <c r="A12603" s="177" t="s">
        <v>204</v>
      </c>
      <c r="B12603" s="127" t="s">
        <v>205</v>
      </c>
      <c r="C12603" s="127" t="s">
        <v>206</v>
      </c>
      <c r="D12603" s="177" t="s">
        <v>62</v>
      </c>
      <c r="E12603" s="177" t="s">
        <v>15310</v>
      </c>
      <c r="F12603" s="177" t="s">
        <v>331</v>
      </c>
      <c r="G12603" s="177" t="s">
        <v>2814</v>
      </c>
      <c r="H12603" s="127" t="s">
        <v>211</v>
      </c>
    </row>
    <row r="12604" hidden="1">
      <c r="A12604" s="177" t="s">
        <v>204</v>
      </c>
      <c r="B12604" s="127" t="s">
        <v>205</v>
      </c>
      <c r="C12604" s="127" t="s">
        <v>206</v>
      </c>
      <c r="D12604" s="177" t="s">
        <v>62</v>
      </c>
      <c r="E12604" s="177" t="s">
        <v>15311</v>
      </c>
      <c r="F12604" s="177" t="s">
        <v>308</v>
      </c>
      <c r="G12604" s="177" t="s">
        <v>3057</v>
      </c>
      <c r="H12604" s="127" t="s">
        <v>212</v>
      </c>
    </row>
    <row r="12605" hidden="1">
      <c r="A12605" s="177" t="s">
        <v>204</v>
      </c>
      <c r="B12605" s="127" t="s">
        <v>205</v>
      </c>
      <c r="C12605" s="127" t="s">
        <v>206</v>
      </c>
      <c r="D12605" s="177" t="s">
        <v>62</v>
      </c>
      <c r="E12605" s="177" t="s">
        <v>15312</v>
      </c>
      <c r="F12605" s="177" t="s">
        <v>290</v>
      </c>
      <c r="G12605" s="177" t="s">
        <v>3570</v>
      </c>
      <c r="H12605" s="127" t="s">
        <v>213</v>
      </c>
    </row>
    <row r="12606" hidden="1">
      <c r="A12606" s="177" t="s">
        <v>204</v>
      </c>
      <c r="B12606" s="127" t="s">
        <v>205</v>
      </c>
      <c r="C12606" s="127" t="s">
        <v>206</v>
      </c>
      <c r="D12606" s="177" t="s">
        <v>62</v>
      </c>
      <c r="E12606" s="177" t="s">
        <v>15313</v>
      </c>
      <c r="F12606" s="177" t="s">
        <v>290</v>
      </c>
      <c r="G12606" s="177" t="s">
        <v>3207</v>
      </c>
      <c r="H12606" s="127" t="s">
        <v>214</v>
      </c>
    </row>
    <row r="12607" hidden="1">
      <c r="A12607" s="177" t="s">
        <v>204</v>
      </c>
      <c r="B12607" s="127" t="s">
        <v>205</v>
      </c>
      <c r="C12607" s="127" t="s">
        <v>206</v>
      </c>
      <c r="D12607" s="177" t="s">
        <v>62</v>
      </c>
      <c r="E12607" s="177" t="s">
        <v>15314</v>
      </c>
      <c r="F12607" s="177" t="s">
        <v>308</v>
      </c>
      <c r="G12607" s="177" t="s">
        <v>1995</v>
      </c>
      <c r="H12607" s="127" t="s">
        <v>215</v>
      </c>
    </row>
    <row r="12608" hidden="1">
      <c r="A12608" s="177" t="s">
        <v>204</v>
      </c>
      <c r="B12608" s="127" t="s">
        <v>205</v>
      </c>
      <c r="C12608" s="127" t="s">
        <v>206</v>
      </c>
      <c r="D12608" s="177" t="s">
        <v>62</v>
      </c>
      <c r="E12608" s="177" t="s">
        <v>15315</v>
      </c>
      <c r="F12608" s="177" t="s">
        <v>331</v>
      </c>
      <c r="G12608" s="177" t="s">
        <v>4305</v>
      </c>
      <c r="H12608" s="127" t="s">
        <v>216</v>
      </c>
    </row>
    <row r="12609" hidden="1">
      <c r="A12609" s="177" t="s">
        <v>217</v>
      </c>
      <c r="B12609" s="127" t="s">
        <v>191</v>
      </c>
      <c r="C12609" s="127" t="s">
        <v>206</v>
      </c>
      <c r="D12609" s="177" t="s">
        <v>62</v>
      </c>
      <c r="E12609" s="177" t="s">
        <v>15316</v>
      </c>
      <c r="F12609" s="177" t="s">
        <v>331</v>
      </c>
      <c r="G12609" s="177" t="s">
        <v>2455</v>
      </c>
      <c r="H12609" s="127" t="s">
        <v>210</v>
      </c>
    </row>
    <row r="12610" hidden="1">
      <c r="A12610" s="177" t="s">
        <v>217</v>
      </c>
      <c r="B12610" s="127" t="s">
        <v>191</v>
      </c>
      <c r="C12610" s="127" t="s">
        <v>206</v>
      </c>
      <c r="D12610" s="177" t="s">
        <v>62</v>
      </c>
      <c r="E12610" s="177" t="s">
        <v>15317</v>
      </c>
      <c r="F12610" s="177" t="s">
        <v>290</v>
      </c>
      <c r="G12610" s="177" t="s">
        <v>3485</v>
      </c>
      <c r="H12610" s="127" t="s">
        <v>211</v>
      </c>
    </row>
    <row r="12611" hidden="1">
      <c r="A12611" s="177" t="s">
        <v>217</v>
      </c>
      <c r="B12611" s="127" t="s">
        <v>191</v>
      </c>
      <c r="C12611" s="127" t="s">
        <v>206</v>
      </c>
      <c r="D12611" s="177" t="s">
        <v>62</v>
      </c>
      <c r="E12611" s="177" t="s">
        <v>15318</v>
      </c>
      <c r="F12611" s="177" t="s">
        <v>305</v>
      </c>
      <c r="G12611" s="177" t="s">
        <v>3226</v>
      </c>
      <c r="H12611" s="127" t="s">
        <v>212</v>
      </c>
    </row>
    <row r="12612" hidden="1">
      <c r="A12612" s="177" t="s">
        <v>217</v>
      </c>
      <c r="B12612" s="127" t="s">
        <v>191</v>
      </c>
      <c r="C12612" s="127" t="s">
        <v>206</v>
      </c>
      <c r="D12612" s="177" t="s">
        <v>62</v>
      </c>
      <c r="E12612" s="177" t="s">
        <v>15319</v>
      </c>
      <c r="F12612" s="177" t="s">
        <v>351</v>
      </c>
      <c r="G12612" s="177" t="s">
        <v>2986</v>
      </c>
      <c r="H12612" s="127" t="s">
        <v>213</v>
      </c>
    </row>
    <row r="12613" hidden="1">
      <c r="A12613" s="177" t="s">
        <v>217</v>
      </c>
      <c r="B12613" s="127" t="s">
        <v>191</v>
      </c>
      <c r="C12613" s="127" t="s">
        <v>206</v>
      </c>
      <c r="D12613" s="177" t="s">
        <v>62</v>
      </c>
      <c r="E12613" s="177" t="s">
        <v>15320</v>
      </c>
      <c r="F12613" s="177" t="s">
        <v>427</v>
      </c>
      <c r="G12613" s="177" t="s">
        <v>2455</v>
      </c>
      <c r="H12613" s="127" t="s">
        <v>214</v>
      </c>
    </row>
    <row r="12614" hidden="1">
      <c r="A12614" s="177" t="s">
        <v>217</v>
      </c>
      <c r="B12614" s="127" t="s">
        <v>191</v>
      </c>
      <c r="C12614" s="127" t="s">
        <v>206</v>
      </c>
      <c r="D12614" s="177" t="s">
        <v>62</v>
      </c>
      <c r="E12614" s="177" t="s">
        <v>15321</v>
      </c>
      <c r="F12614" s="177" t="s">
        <v>310</v>
      </c>
      <c r="G12614" s="177" t="s">
        <v>3207</v>
      </c>
      <c r="H12614" s="127" t="s">
        <v>215</v>
      </c>
    </row>
    <row r="12615" hidden="1">
      <c r="A12615" s="177" t="s">
        <v>217</v>
      </c>
      <c r="B12615" s="127" t="s">
        <v>191</v>
      </c>
      <c r="C12615" s="127" t="s">
        <v>206</v>
      </c>
      <c r="D12615" s="177" t="s">
        <v>62</v>
      </c>
      <c r="E12615" s="177" t="s">
        <v>15322</v>
      </c>
      <c r="F12615" s="177" t="s">
        <v>290</v>
      </c>
      <c r="G12615" s="177" t="s">
        <v>3380</v>
      </c>
      <c r="H12615" s="127" t="s">
        <v>216</v>
      </c>
    </row>
    <row r="12616" hidden="1">
      <c r="A12616" s="177" t="s">
        <v>218</v>
      </c>
      <c r="B12616" s="127" t="s">
        <v>219</v>
      </c>
      <c r="C12616" s="127" t="s">
        <v>206</v>
      </c>
      <c r="D12616" s="177" t="s">
        <v>62</v>
      </c>
      <c r="E12616" s="177" t="s">
        <v>15323</v>
      </c>
      <c r="F12616" s="177" t="s">
        <v>310</v>
      </c>
      <c r="G12616" s="177" t="s">
        <v>4305</v>
      </c>
      <c r="H12616" s="127" t="s">
        <v>210</v>
      </c>
    </row>
    <row r="12617" hidden="1">
      <c r="A12617" s="177" t="s">
        <v>218</v>
      </c>
      <c r="B12617" s="127" t="s">
        <v>219</v>
      </c>
      <c r="C12617" s="127" t="s">
        <v>206</v>
      </c>
      <c r="D12617" s="177" t="s">
        <v>62</v>
      </c>
      <c r="E12617" s="177" t="s">
        <v>15324</v>
      </c>
      <c r="F12617" s="177" t="s">
        <v>249</v>
      </c>
      <c r="G12617" s="177" t="s">
        <v>2762</v>
      </c>
      <c r="H12617" s="127" t="s">
        <v>211</v>
      </c>
    </row>
    <row r="12618" hidden="1">
      <c r="A12618" s="177" t="s">
        <v>218</v>
      </c>
      <c r="B12618" s="127" t="s">
        <v>219</v>
      </c>
      <c r="C12618" s="127" t="s">
        <v>206</v>
      </c>
      <c r="D12618" s="177" t="s">
        <v>62</v>
      </c>
      <c r="E12618" s="177" t="s">
        <v>15325</v>
      </c>
      <c r="F12618" s="177" t="s">
        <v>321</v>
      </c>
      <c r="G12618" s="177" t="s">
        <v>2242</v>
      </c>
      <c r="H12618" s="127" t="s">
        <v>212</v>
      </c>
    </row>
    <row r="12619" hidden="1">
      <c r="A12619" s="177" t="s">
        <v>218</v>
      </c>
      <c r="B12619" s="127" t="s">
        <v>219</v>
      </c>
      <c r="C12619" s="127" t="s">
        <v>206</v>
      </c>
      <c r="D12619" s="177" t="s">
        <v>62</v>
      </c>
      <c r="E12619" s="177" t="s">
        <v>15326</v>
      </c>
      <c r="F12619" s="177" t="s">
        <v>359</v>
      </c>
      <c r="G12619" s="177" t="s">
        <v>2393</v>
      </c>
      <c r="H12619" s="127" t="s">
        <v>213</v>
      </c>
    </row>
    <row r="12620" hidden="1">
      <c r="A12620" s="177" t="s">
        <v>218</v>
      </c>
      <c r="B12620" s="127" t="s">
        <v>219</v>
      </c>
      <c r="C12620" s="127" t="s">
        <v>206</v>
      </c>
      <c r="D12620" s="177" t="s">
        <v>62</v>
      </c>
      <c r="E12620" s="177" t="s">
        <v>15327</v>
      </c>
      <c r="F12620" s="177" t="s">
        <v>308</v>
      </c>
      <c r="G12620" s="177" t="s">
        <v>2111</v>
      </c>
      <c r="H12620" s="127" t="s">
        <v>214</v>
      </c>
    </row>
    <row r="12621" hidden="1">
      <c r="A12621" s="177" t="s">
        <v>218</v>
      </c>
      <c r="B12621" s="127" t="s">
        <v>219</v>
      </c>
      <c r="C12621" s="127" t="s">
        <v>206</v>
      </c>
      <c r="D12621" s="177" t="s">
        <v>62</v>
      </c>
      <c r="E12621" s="177" t="s">
        <v>15328</v>
      </c>
      <c r="F12621" s="177" t="s">
        <v>310</v>
      </c>
      <c r="G12621" s="177" t="s">
        <v>4013</v>
      </c>
      <c r="H12621" s="127" t="s">
        <v>215</v>
      </c>
    </row>
    <row r="12622" hidden="1">
      <c r="A12622" s="177" t="s">
        <v>218</v>
      </c>
      <c r="B12622" s="127" t="s">
        <v>219</v>
      </c>
      <c r="C12622" s="127" t="s">
        <v>206</v>
      </c>
      <c r="D12622" s="177" t="s">
        <v>62</v>
      </c>
      <c r="E12622" s="177" t="s">
        <v>15329</v>
      </c>
      <c r="F12622" s="177" t="s">
        <v>331</v>
      </c>
      <c r="G12622" s="177" t="s">
        <v>2283</v>
      </c>
      <c r="H12622" s="127" t="s">
        <v>216</v>
      </c>
    </row>
    <row r="12623" hidden="1">
      <c r="A12623" s="177" t="s">
        <v>220</v>
      </c>
      <c r="B12623" s="127" t="s">
        <v>190</v>
      </c>
      <c r="C12623" s="127" t="s">
        <v>206</v>
      </c>
      <c r="D12623" s="177" t="s">
        <v>62</v>
      </c>
      <c r="E12623" s="177" t="s">
        <v>15330</v>
      </c>
      <c r="F12623" s="177" t="s">
        <v>312</v>
      </c>
      <c r="G12623" s="177" t="s">
        <v>2472</v>
      </c>
      <c r="H12623" s="127" t="s">
        <v>210</v>
      </c>
    </row>
    <row r="12624" hidden="1">
      <c r="A12624" s="177" t="s">
        <v>220</v>
      </c>
      <c r="B12624" s="127" t="s">
        <v>190</v>
      </c>
      <c r="C12624" s="127" t="s">
        <v>206</v>
      </c>
      <c r="D12624" s="177" t="s">
        <v>62</v>
      </c>
      <c r="E12624" s="177" t="s">
        <v>15331</v>
      </c>
      <c r="F12624" s="177" t="s">
        <v>331</v>
      </c>
      <c r="G12624" s="177" t="s">
        <v>2305</v>
      </c>
      <c r="H12624" s="127" t="s">
        <v>211</v>
      </c>
    </row>
    <row r="12625" hidden="1">
      <c r="A12625" s="177" t="s">
        <v>220</v>
      </c>
      <c r="B12625" s="127" t="s">
        <v>190</v>
      </c>
      <c r="C12625" s="127" t="s">
        <v>206</v>
      </c>
      <c r="D12625" s="177" t="s">
        <v>62</v>
      </c>
      <c r="E12625" s="177" t="s">
        <v>15332</v>
      </c>
      <c r="F12625" s="177" t="s">
        <v>534</v>
      </c>
      <c r="G12625" s="177" t="s">
        <v>2624</v>
      </c>
      <c r="H12625" s="127" t="s">
        <v>212</v>
      </c>
    </row>
    <row r="12626" hidden="1">
      <c r="A12626" s="177" t="s">
        <v>220</v>
      </c>
      <c r="B12626" s="127" t="s">
        <v>190</v>
      </c>
      <c r="C12626" s="127" t="s">
        <v>206</v>
      </c>
      <c r="D12626" s="177" t="s">
        <v>62</v>
      </c>
      <c r="E12626" s="177" t="s">
        <v>15333</v>
      </c>
      <c r="F12626" s="177" t="s">
        <v>425</v>
      </c>
      <c r="G12626" s="177" t="s">
        <v>1921</v>
      </c>
      <c r="H12626" s="127" t="s">
        <v>213</v>
      </c>
    </row>
    <row r="12627" hidden="1">
      <c r="A12627" s="177" t="s">
        <v>220</v>
      </c>
      <c r="B12627" s="127" t="s">
        <v>190</v>
      </c>
      <c r="C12627" s="127" t="s">
        <v>206</v>
      </c>
      <c r="D12627" s="177" t="s">
        <v>62</v>
      </c>
      <c r="E12627" s="177" t="s">
        <v>15334</v>
      </c>
      <c r="F12627" s="177" t="s">
        <v>336</v>
      </c>
      <c r="G12627" s="177" t="s">
        <v>2455</v>
      </c>
      <c r="H12627" s="127" t="s">
        <v>214</v>
      </c>
    </row>
    <row r="12628" hidden="1">
      <c r="A12628" s="177" t="s">
        <v>220</v>
      </c>
      <c r="B12628" s="127" t="s">
        <v>190</v>
      </c>
      <c r="C12628" s="127" t="s">
        <v>206</v>
      </c>
      <c r="D12628" s="177" t="s">
        <v>62</v>
      </c>
      <c r="E12628" s="177" t="s">
        <v>15335</v>
      </c>
      <c r="F12628" s="177" t="s">
        <v>310</v>
      </c>
      <c r="G12628" s="177" t="s">
        <v>2283</v>
      </c>
      <c r="H12628" s="127" t="s">
        <v>215</v>
      </c>
    </row>
    <row r="12629" hidden="1">
      <c r="A12629" s="177" t="s">
        <v>220</v>
      </c>
      <c r="B12629" s="127" t="s">
        <v>190</v>
      </c>
      <c r="C12629" s="127" t="s">
        <v>206</v>
      </c>
      <c r="D12629" s="177" t="s">
        <v>62</v>
      </c>
      <c r="E12629" s="177" t="s">
        <v>15336</v>
      </c>
      <c r="F12629" s="177" t="s">
        <v>325</v>
      </c>
      <c r="G12629" s="177" t="s">
        <v>2221</v>
      </c>
      <c r="H12629" s="127" t="s">
        <v>216</v>
      </c>
    </row>
    <row r="12630" hidden="1">
      <c r="A12630" s="177" t="s">
        <v>221</v>
      </c>
      <c r="B12630" s="127" t="s">
        <v>189</v>
      </c>
      <c r="C12630" s="127" t="s">
        <v>206</v>
      </c>
      <c r="D12630" s="177" t="s">
        <v>62</v>
      </c>
      <c r="E12630" s="177" t="s">
        <v>15337</v>
      </c>
      <c r="F12630" s="177" t="s">
        <v>244</v>
      </c>
      <c r="G12630" s="177" t="s">
        <v>4521</v>
      </c>
      <c r="H12630" s="127" t="s">
        <v>210</v>
      </c>
    </row>
    <row r="12631" hidden="1">
      <c r="A12631" s="177" t="s">
        <v>221</v>
      </c>
      <c r="B12631" s="127" t="s">
        <v>189</v>
      </c>
      <c r="C12631" s="127" t="s">
        <v>206</v>
      </c>
      <c r="D12631" s="177" t="s">
        <v>62</v>
      </c>
      <c r="E12631" s="177" t="s">
        <v>15338</v>
      </c>
      <c r="F12631" s="177" t="s">
        <v>323</v>
      </c>
      <c r="G12631" s="177" t="s">
        <v>10047</v>
      </c>
      <c r="H12631" s="127" t="s">
        <v>211</v>
      </c>
    </row>
    <row r="12632" hidden="1">
      <c r="A12632" s="177" t="s">
        <v>221</v>
      </c>
      <c r="B12632" s="127" t="s">
        <v>189</v>
      </c>
      <c r="C12632" s="127" t="s">
        <v>206</v>
      </c>
      <c r="D12632" s="177" t="s">
        <v>62</v>
      </c>
      <c r="E12632" s="177" t="s">
        <v>15339</v>
      </c>
      <c r="F12632" s="177" t="s">
        <v>242</v>
      </c>
      <c r="G12632" s="177" t="s">
        <v>11452</v>
      </c>
      <c r="H12632" s="127" t="s">
        <v>212</v>
      </c>
    </row>
    <row r="12633" hidden="1">
      <c r="A12633" s="177" t="s">
        <v>221</v>
      </c>
      <c r="B12633" s="127" t="s">
        <v>189</v>
      </c>
      <c r="C12633" s="127" t="s">
        <v>206</v>
      </c>
      <c r="D12633" s="177" t="s">
        <v>62</v>
      </c>
      <c r="E12633" s="177" t="s">
        <v>15340</v>
      </c>
      <c r="F12633" s="177" t="s">
        <v>257</v>
      </c>
      <c r="G12633" s="177" t="s">
        <v>9671</v>
      </c>
      <c r="H12633" s="127" t="s">
        <v>213</v>
      </c>
    </row>
    <row r="12634" hidden="1">
      <c r="A12634" s="177" t="s">
        <v>221</v>
      </c>
      <c r="B12634" s="127" t="s">
        <v>189</v>
      </c>
      <c r="C12634" s="127" t="s">
        <v>206</v>
      </c>
      <c r="D12634" s="177" t="s">
        <v>62</v>
      </c>
      <c r="E12634" s="177" t="s">
        <v>15341</v>
      </c>
      <c r="F12634" s="177" t="s">
        <v>257</v>
      </c>
      <c r="G12634" s="177" t="s">
        <v>9579</v>
      </c>
      <c r="H12634" s="127" t="s">
        <v>214</v>
      </c>
    </row>
    <row r="12635" hidden="1">
      <c r="A12635" s="177" t="s">
        <v>221</v>
      </c>
      <c r="B12635" s="127" t="s">
        <v>189</v>
      </c>
      <c r="C12635" s="127" t="s">
        <v>206</v>
      </c>
      <c r="D12635" s="177" t="s">
        <v>62</v>
      </c>
      <c r="E12635" s="177" t="s">
        <v>15342</v>
      </c>
      <c r="F12635" s="177" t="s">
        <v>290</v>
      </c>
      <c r="G12635" s="177" t="s">
        <v>10861</v>
      </c>
      <c r="H12635" s="127" t="s">
        <v>215</v>
      </c>
    </row>
    <row r="12636" hidden="1">
      <c r="A12636" s="177" t="s">
        <v>221</v>
      </c>
      <c r="B12636" s="127" t="s">
        <v>189</v>
      </c>
      <c r="C12636" s="127" t="s">
        <v>206</v>
      </c>
      <c r="D12636" s="177" t="s">
        <v>62</v>
      </c>
      <c r="E12636" s="177" t="s">
        <v>15343</v>
      </c>
      <c r="F12636" s="177" t="s">
        <v>357</v>
      </c>
      <c r="G12636" s="177" t="s">
        <v>10208</v>
      </c>
      <c r="H12636" s="127" t="s">
        <v>216</v>
      </c>
    </row>
    <row r="12637" hidden="1">
      <c r="A12637" s="177" t="s">
        <v>222</v>
      </c>
      <c r="B12637" s="127" t="s">
        <v>192</v>
      </c>
      <c r="C12637" s="127" t="s">
        <v>206</v>
      </c>
      <c r="D12637" s="177" t="s">
        <v>62</v>
      </c>
      <c r="E12637" s="177" t="s">
        <v>15344</v>
      </c>
      <c r="F12637" s="177" t="s">
        <v>269</v>
      </c>
      <c r="G12637" s="177" t="s">
        <v>2567</v>
      </c>
      <c r="H12637" s="127" t="s">
        <v>210</v>
      </c>
    </row>
    <row r="12638" hidden="1">
      <c r="A12638" s="177" t="s">
        <v>222</v>
      </c>
      <c r="B12638" s="127" t="s">
        <v>192</v>
      </c>
      <c r="C12638" s="127" t="s">
        <v>206</v>
      </c>
      <c r="D12638" s="177" t="s">
        <v>62</v>
      </c>
      <c r="E12638" s="177" t="s">
        <v>15345</v>
      </c>
      <c r="F12638" s="177" t="s">
        <v>374</v>
      </c>
      <c r="G12638" s="177" t="s">
        <v>2563</v>
      </c>
      <c r="H12638" s="127" t="s">
        <v>211</v>
      </c>
    </row>
    <row r="12639" hidden="1">
      <c r="A12639" s="177" t="s">
        <v>222</v>
      </c>
      <c r="B12639" s="127" t="s">
        <v>192</v>
      </c>
      <c r="C12639" s="127" t="s">
        <v>206</v>
      </c>
      <c r="D12639" s="177" t="s">
        <v>62</v>
      </c>
      <c r="E12639" s="177" t="s">
        <v>15346</v>
      </c>
      <c r="F12639" s="177" t="s">
        <v>492</v>
      </c>
      <c r="G12639" s="177" t="s">
        <v>2057</v>
      </c>
      <c r="H12639" s="127" t="s">
        <v>212</v>
      </c>
    </row>
    <row r="12640" hidden="1">
      <c r="A12640" s="177" t="s">
        <v>222</v>
      </c>
      <c r="B12640" s="127" t="s">
        <v>192</v>
      </c>
      <c r="C12640" s="127" t="s">
        <v>206</v>
      </c>
      <c r="D12640" s="177" t="s">
        <v>62</v>
      </c>
      <c r="E12640" s="177" t="s">
        <v>15347</v>
      </c>
      <c r="F12640" s="177" t="s">
        <v>492</v>
      </c>
      <c r="G12640" s="177" t="s">
        <v>2060</v>
      </c>
      <c r="H12640" s="127" t="s">
        <v>213</v>
      </c>
    </row>
    <row r="12641" hidden="1">
      <c r="A12641" s="177" t="s">
        <v>222</v>
      </c>
      <c r="B12641" s="127" t="s">
        <v>192</v>
      </c>
      <c r="C12641" s="127" t="s">
        <v>206</v>
      </c>
      <c r="D12641" s="177" t="s">
        <v>62</v>
      </c>
      <c r="E12641" s="177" t="s">
        <v>15348</v>
      </c>
      <c r="F12641" s="177" t="s">
        <v>374</v>
      </c>
      <c r="G12641" s="177" t="s">
        <v>1856</v>
      </c>
      <c r="H12641" s="127" t="s">
        <v>214</v>
      </c>
    </row>
    <row r="12642" hidden="1">
      <c r="A12642" s="177" t="s">
        <v>222</v>
      </c>
      <c r="B12642" s="127" t="s">
        <v>192</v>
      </c>
      <c r="C12642" s="127" t="s">
        <v>206</v>
      </c>
      <c r="D12642" s="177" t="s">
        <v>62</v>
      </c>
      <c r="E12642" s="177" t="s">
        <v>15349</v>
      </c>
      <c r="F12642" s="177" t="s">
        <v>240</v>
      </c>
      <c r="G12642" s="177" t="s">
        <v>2129</v>
      </c>
      <c r="H12642" s="127" t="s">
        <v>215</v>
      </c>
    </row>
    <row r="12643" hidden="1">
      <c r="A12643" s="177" t="s">
        <v>222</v>
      </c>
      <c r="B12643" s="127" t="s">
        <v>192</v>
      </c>
      <c r="C12643" s="127" t="s">
        <v>206</v>
      </c>
      <c r="D12643" s="177" t="s">
        <v>62</v>
      </c>
      <c r="E12643" s="177" t="s">
        <v>15350</v>
      </c>
      <c r="F12643" s="177" t="s">
        <v>259</v>
      </c>
      <c r="G12643" s="177" t="s">
        <v>2060</v>
      </c>
      <c r="H12643" s="127" t="s">
        <v>216</v>
      </c>
    </row>
    <row r="12644" hidden="1">
      <c r="A12644" s="177" t="s">
        <v>223</v>
      </c>
      <c r="B12644" s="127" t="s">
        <v>144</v>
      </c>
      <c r="C12644" s="127" t="s">
        <v>206</v>
      </c>
      <c r="D12644" s="177" t="s">
        <v>62</v>
      </c>
      <c r="E12644" s="177" t="s">
        <v>15351</v>
      </c>
      <c r="F12644" s="177" t="s">
        <v>290</v>
      </c>
      <c r="G12644" s="177" t="s">
        <v>4006</v>
      </c>
      <c r="H12644" s="127" t="s">
        <v>210</v>
      </c>
    </row>
    <row r="12645" hidden="1">
      <c r="A12645" s="177" t="s">
        <v>223</v>
      </c>
      <c r="B12645" s="127" t="s">
        <v>144</v>
      </c>
      <c r="C12645" s="127" t="s">
        <v>206</v>
      </c>
      <c r="D12645" s="177" t="s">
        <v>62</v>
      </c>
      <c r="E12645" s="177" t="s">
        <v>15352</v>
      </c>
      <c r="F12645" s="177" t="s">
        <v>323</v>
      </c>
      <c r="G12645" s="177" t="s">
        <v>2455</v>
      </c>
      <c r="H12645" s="127" t="s">
        <v>211</v>
      </c>
    </row>
    <row r="12646" hidden="1">
      <c r="A12646" s="177" t="s">
        <v>223</v>
      </c>
      <c r="B12646" s="127" t="s">
        <v>144</v>
      </c>
      <c r="C12646" s="127" t="s">
        <v>206</v>
      </c>
      <c r="D12646" s="177" t="s">
        <v>62</v>
      </c>
      <c r="E12646" s="177" t="s">
        <v>15353</v>
      </c>
      <c r="F12646" s="177" t="s">
        <v>323</v>
      </c>
      <c r="G12646" s="177" t="s">
        <v>2281</v>
      </c>
      <c r="H12646" s="127" t="s">
        <v>212</v>
      </c>
    </row>
    <row r="12647" hidden="1">
      <c r="A12647" s="177" t="s">
        <v>223</v>
      </c>
      <c r="B12647" s="127" t="s">
        <v>144</v>
      </c>
      <c r="C12647" s="127" t="s">
        <v>206</v>
      </c>
      <c r="D12647" s="177" t="s">
        <v>62</v>
      </c>
      <c r="E12647" s="177" t="s">
        <v>15354</v>
      </c>
      <c r="F12647" s="177" t="s">
        <v>359</v>
      </c>
      <c r="G12647" s="177" t="s">
        <v>3384</v>
      </c>
      <c r="H12647" s="127" t="s">
        <v>213</v>
      </c>
    </row>
    <row r="12648" hidden="1">
      <c r="A12648" s="177" t="s">
        <v>223</v>
      </c>
      <c r="B12648" s="127" t="s">
        <v>144</v>
      </c>
      <c r="C12648" s="127" t="s">
        <v>206</v>
      </c>
      <c r="D12648" s="177" t="s">
        <v>62</v>
      </c>
      <c r="E12648" s="177" t="s">
        <v>15355</v>
      </c>
      <c r="F12648" s="177" t="s">
        <v>323</v>
      </c>
      <c r="G12648" s="177" t="s">
        <v>2242</v>
      </c>
      <c r="H12648" s="127" t="s">
        <v>214</v>
      </c>
    </row>
    <row r="12649" hidden="1">
      <c r="A12649" s="177" t="s">
        <v>223</v>
      </c>
      <c r="B12649" s="127" t="s">
        <v>144</v>
      </c>
      <c r="C12649" s="127" t="s">
        <v>206</v>
      </c>
      <c r="D12649" s="177" t="s">
        <v>62</v>
      </c>
      <c r="E12649" s="177" t="s">
        <v>15356</v>
      </c>
      <c r="F12649" s="177" t="s">
        <v>321</v>
      </c>
      <c r="G12649" s="177" t="s">
        <v>3558</v>
      </c>
      <c r="H12649" s="127" t="s">
        <v>215</v>
      </c>
    </row>
    <row r="12650" hidden="1">
      <c r="A12650" s="177" t="s">
        <v>223</v>
      </c>
      <c r="B12650" s="127" t="s">
        <v>144</v>
      </c>
      <c r="C12650" s="127" t="s">
        <v>206</v>
      </c>
      <c r="D12650" s="177" t="s">
        <v>62</v>
      </c>
      <c r="E12650" s="177" t="s">
        <v>15357</v>
      </c>
      <c r="F12650" s="177" t="s">
        <v>321</v>
      </c>
      <c r="G12650" s="177" t="s">
        <v>3282</v>
      </c>
      <c r="H12650" s="127" t="s">
        <v>216</v>
      </c>
    </row>
    <row r="12651" hidden="1">
      <c r="A12651" s="177" t="s">
        <v>224</v>
      </c>
      <c r="B12651" s="127" t="s">
        <v>170</v>
      </c>
      <c r="C12651" s="127" t="s">
        <v>206</v>
      </c>
      <c r="D12651" s="177" t="s">
        <v>62</v>
      </c>
      <c r="E12651" s="177" t="s">
        <v>15358</v>
      </c>
      <c r="F12651" s="177" t="s">
        <v>244</v>
      </c>
      <c r="G12651" s="177" t="s">
        <v>2287</v>
      </c>
      <c r="H12651" s="127" t="s">
        <v>210</v>
      </c>
    </row>
    <row r="12652" hidden="1">
      <c r="A12652" s="177" t="s">
        <v>224</v>
      </c>
      <c r="B12652" s="127" t="s">
        <v>170</v>
      </c>
      <c r="C12652" s="127" t="s">
        <v>206</v>
      </c>
      <c r="D12652" s="177" t="s">
        <v>62</v>
      </c>
      <c r="E12652" s="177" t="s">
        <v>15359</v>
      </c>
      <c r="F12652" s="177" t="s">
        <v>246</v>
      </c>
      <c r="G12652" s="177" t="s">
        <v>2694</v>
      </c>
      <c r="H12652" s="127" t="s">
        <v>211</v>
      </c>
    </row>
    <row r="12653" hidden="1">
      <c r="A12653" s="177" t="s">
        <v>224</v>
      </c>
      <c r="B12653" s="127" t="s">
        <v>170</v>
      </c>
      <c r="C12653" s="127" t="s">
        <v>206</v>
      </c>
      <c r="D12653" s="177" t="s">
        <v>62</v>
      </c>
      <c r="E12653" s="177" t="s">
        <v>15360</v>
      </c>
      <c r="F12653" s="177" t="s">
        <v>257</v>
      </c>
      <c r="G12653" s="177" t="s">
        <v>2845</v>
      </c>
      <c r="H12653" s="127" t="s">
        <v>212</v>
      </c>
    </row>
    <row r="12654" hidden="1">
      <c r="A12654" s="177" t="s">
        <v>224</v>
      </c>
      <c r="B12654" s="127" t="s">
        <v>170</v>
      </c>
      <c r="C12654" s="127" t="s">
        <v>206</v>
      </c>
      <c r="D12654" s="177" t="s">
        <v>62</v>
      </c>
      <c r="E12654" s="177" t="s">
        <v>15361</v>
      </c>
      <c r="F12654" s="177" t="s">
        <v>240</v>
      </c>
      <c r="G12654" s="177" t="s">
        <v>2065</v>
      </c>
      <c r="H12654" s="127" t="s">
        <v>213</v>
      </c>
    </row>
    <row r="12655" hidden="1">
      <c r="A12655" s="177" t="s">
        <v>224</v>
      </c>
      <c r="B12655" s="127" t="s">
        <v>170</v>
      </c>
      <c r="C12655" s="127" t="s">
        <v>206</v>
      </c>
      <c r="D12655" s="177" t="s">
        <v>62</v>
      </c>
      <c r="E12655" s="177" t="s">
        <v>15362</v>
      </c>
      <c r="F12655" s="177" t="s">
        <v>321</v>
      </c>
      <c r="G12655" s="177" t="s">
        <v>2455</v>
      </c>
      <c r="H12655" s="127" t="s">
        <v>214</v>
      </c>
    </row>
    <row r="12656" hidden="1">
      <c r="A12656" s="177" t="s">
        <v>224</v>
      </c>
      <c r="B12656" s="127" t="s">
        <v>170</v>
      </c>
      <c r="C12656" s="127" t="s">
        <v>206</v>
      </c>
      <c r="D12656" s="177" t="s">
        <v>62</v>
      </c>
      <c r="E12656" s="177" t="s">
        <v>15363</v>
      </c>
      <c r="F12656" s="177" t="s">
        <v>246</v>
      </c>
      <c r="G12656" s="177" t="s">
        <v>2385</v>
      </c>
      <c r="H12656" s="127" t="s">
        <v>215</v>
      </c>
    </row>
    <row r="12657" hidden="1">
      <c r="A12657" s="177" t="s">
        <v>224</v>
      </c>
      <c r="B12657" s="127" t="s">
        <v>170</v>
      </c>
      <c r="C12657" s="127" t="s">
        <v>206</v>
      </c>
      <c r="D12657" s="177" t="s">
        <v>62</v>
      </c>
      <c r="E12657" s="177" t="s">
        <v>15364</v>
      </c>
      <c r="F12657" s="177" t="s">
        <v>244</v>
      </c>
      <c r="G12657" s="177" t="s">
        <v>2452</v>
      </c>
      <c r="H12657" s="127" t="s">
        <v>216</v>
      </c>
    </row>
    <row r="12658" hidden="1">
      <c r="A12658" s="177" t="s">
        <v>225</v>
      </c>
      <c r="B12658" s="127" t="s">
        <v>226</v>
      </c>
      <c r="C12658" s="127" t="s">
        <v>206</v>
      </c>
      <c r="D12658" s="177" t="s">
        <v>62</v>
      </c>
      <c r="E12658" s="177" t="s">
        <v>15365</v>
      </c>
      <c r="F12658" s="177" t="s">
        <v>285</v>
      </c>
      <c r="G12658" s="177" t="s">
        <v>1776</v>
      </c>
      <c r="H12658" s="127" t="s">
        <v>210</v>
      </c>
    </row>
    <row r="12659" hidden="1">
      <c r="A12659" s="177" t="s">
        <v>225</v>
      </c>
      <c r="B12659" s="127" t="s">
        <v>226</v>
      </c>
      <c r="C12659" s="127" t="s">
        <v>206</v>
      </c>
      <c r="D12659" s="177" t="s">
        <v>62</v>
      </c>
      <c r="E12659" s="177" t="s">
        <v>15366</v>
      </c>
      <c r="F12659" s="177" t="s">
        <v>310</v>
      </c>
      <c r="G12659" s="177" t="s">
        <v>2354</v>
      </c>
      <c r="H12659" s="127" t="s">
        <v>211</v>
      </c>
    </row>
    <row r="12660" hidden="1">
      <c r="A12660" s="177" t="s">
        <v>225</v>
      </c>
      <c r="B12660" s="127" t="s">
        <v>226</v>
      </c>
      <c r="C12660" s="127" t="s">
        <v>206</v>
      </c>
      <c r="D12660" s="177" t="s">
        <v>62</v>
      </c>
      <c r="E12660" s="177" t="s">
        <v>15367</v>
      </c>
      <c r="F12660" s="177" t="s">
        <v>310</v>
      </c>
      <c r="G12660" s="177" t="s">
        <v>3613</v>
      </c>
      <c r="H12660" s="127" t="s">
        <v>212</v>
      </c>
    </row>
    <row r="12661" hidden="1">
      <c r="A12661" s="177" t="s">
        <v>225</v>
      </c>
      <c r="B12661" s="127" t="s">
        <v>226</v>
      </c>
      <c r="C12661" s="127" t="s">
        <v>206</v>
      </c>
      <c r="D12661" s="177" t="s">
        <v>62</v>
      </c>
      <c r="E12661" s="177" t="s">
        <v>15368</v>
      </c>
      <c r="F12661" s="177" t="s">
        <v>725</v>
      </c>
      <c r="G12661" s="177" t="s">
        <v>4992</v>
      </c>
      <c r="H12661" s="127" t="s">
        <v>213</v>
      </c>
    </row>
    <row r="12662" hidden="1">
      <c r="A12662" s="177" t="s">
        <v>225</v>
      </c>
      <c r="B12662" s="127" t="s">
        <v>226</v>
      </c>
      <c r="C12662" s="127" t="s">
        <v>206</v>
      </c>
      <c r="D12662" s="177" t="s">
        <v>62</v>
      </c>
      <c r="E12662" s="177" t="s">
        <v>15369</v>
      </c>
      <c r="F12662" s="177" t="s">
        <v>290</v>
      </c>
      <c r="G12662" s="177" t="s">
        <v>3966</v>
      </c>
      <c r="H12662" s="127" t="s">
        <v>214</v>
      </c>
    </row>
    <row r="12663" hidden="1">
      <c r="A12663" s="177" t="s">
        <v>225</v>
      </c>
      <c r="B12663" s="127" t="s">
        <v>226</v>
      </c>
      <c r="C12663" s="127" t="s">
        <v>206</v>
      </c>
      <c r="D12663" s="177" t="s">
        <v>62</v>
      </c>
      <c r="E12663" s="177" t="s">
        <v>15370</v>
      </c>
      <c r="F12663" s="177" t="s">
        <v>305</v>
      </c>
      <c r="G12663" s="177" t="s">
        <v>4472</v>
      </c>
      <c r="H12663" s="127" t="s">
        <v>215</v>
      </c>
    </row>
    <row r="12664" hidden="1">
      <c r="A12664" s="177" t="s">
        <v>225</v>
      </c>
      <c r="B12664" s="127" t="s">
        <v>226</v>
      </c>
      <c r="C12664" s="127" t="s">
        <v>206</v>
      </c>
      <c r="D12664" s="177" t="s">
        <v>62</v>
      </c>
      <c r="E12664" s="177" t="s">
        <v>15371</v>
      </c>
      <c r="F12664" s="177" t="s">
        <v>331</v>
      </c>
      <c r="G12664" s="177" t="s">
        <v>3875</v>
      </c>
      <c r="H12664" s="127" t="s">
        <v>216</v>
      </c>
    </row>
    <row r="12665" hidden="1">
      <c r="A12665" s="177" t="s">
        <v>227</v>
      </c>
      <c r="B12665" s="127" t="s">
        <v>195</v>
      </c>
      <c r="C12665" s="127" t="s">
        <v>206</v>
      </c>
      <c r="D12665" s="177" t="s">
        <v>62</v>
      </c>
      <c r="E12665" s="177" t="s">
        <v>15372</v>
      </c>
      <c r="F12665" s="177" t="s">
        <v>308</v>
      </c>
      <c r="G12665" s="177" t="s">
        <v>3443</v>
      </c>
      <c r="H12665" s="127" t="s">
        <v>210</v>
      </c>
    </row>
    <row r="12666" hidden="1">
      <c r="A12666" s="177" t="s">
        <v>227</v>
      </c>
      <c r="B12666" s="127" t="s">
        <v>195</v>
      </c>
      <c r="C12666" s="127" t="s">
        <v>206</v>
      </c>
      <c r="D12666" s="177" t="s">
        <v>62</v>
      </c>
      <c r="E12666" s="177" t="s">
        <v>15373</v>
      </c>
      <c r="F12666" s="177" t="s">
        <v>1929</v>
      </c>
      <c r="G12666" s="177" t="s">
        <v>3558</v>
      </c>
      <c r="H12666" s="127" t="s">
        <v>211</v>
      </c>
    </row>
    <row r="12667" hidden="1">
      <c r="A12667" s="177" t="s">
        <v>227</v>
      </c>
      <c r="B12667" s="127" t="s">
        <v>195</v>
      </c>
      <c r="C12667" s="127" t="s">
        <v>206</v>
      </c>
      <c r="D12667" s="177" t="s">
        <v>62</v>
      </c>
      <c r="E12667" s="177" t="s">
        <v>15374</v>
      </c>
      <c r="F12667" s="177" t="s">
        <v>305</v>
      </c>
      <c r="G12667" s="177" t="s">
        <v>3412</v>
      </c>
      <c r="H12667" s="127" t="s">
        <v>212</v>
      </c>
    </row>
    <row r="12668" hidden="1">
      <c r="A12668" s="177" t="s">
        <v>227</v>
      </c>
      <c r="B12668" s="127" t="s">
        <v>195</v>
      </c>
      <c r="C12668" s="127" t="s">
        <v>206</v>
      </c>
      <c r="D12668" s="177" t="s">
        <v>62</v>
      </c>
      <c r="E12668" s="177" t="s">
        <v>15375</v>
      </c>
      <c r="F12668" s="177" t="s">
        <v>494</v>
      </c>
      <c r="G12668" s="177" t="s">
        <v>3570</v>
      </c>
      <c r="H12668" s="127" t="s">
        <v>213</v>
      </c>
    </row>
    <row r="12669" hidden="1">
      <c r="A12669" s="177" t="s">
        <v>227</v>
      </c>
      <c r="B12669" s="127" t="s">
        <v>195</v>
      </c>
      <c r="C12669" s="127" t="s">
        <v>206</v>
      </c>
      <c r="D12669" s="177" t="s">
        <v>62</v>
      </c>
      <c r="E12669" s="177" t="s">
        <v>15376</v>
      </c>
      <c r="F12669" s="177" t="s">
        <v>323</v>
      </c>
      <c r="G12669" s="177" t="s">
        <v>3003</v>
      </c>
      <c r="H12669" s="127" t="s">
        <v>214</v>
      </c>
    </row>
    <row r="12670" hidden="1">
      <c r="A12670" s="177" t="s">
        <v>227</v>
      </c>
      <c r="B12670" s="127" t="s">
        <v>195</v>
      </c>
      <c r="C12670" s="127" t="s">
        <v>206</v>
      </c>
      <c r="D12670" s="177" t="s">
        <v>62</v>
      </c>
      <c r="E12670" s="177" t="s">
        <v>15377</v>
      </c>
      <c r="F12670" s="177" t="s">
        <v>287</v>
      </c>
      <c r="G12670" s="177" t="s">
        <v>2113</v>
      </c>
      <c r="H12670" s="127" t="s">
        <v>215</v>
      </c>
    </row>
    <row r="12671" hidden="1">
      <c r="A12671" s="177" t="s">
        <v>227</v>
      </c>
      <c r="B12671" s="127" t="s">
        <v>195</v>
      </c>
      <c r="C12671" s="127" t="s">
        <v>206</v>
      </c>
      <c r="D12671" s="177" t="s">
        <v>62</v>
      </c>
      <c r="E12671" s="177" t="s">
        <v>15378</v>
      </c>
      <c r="F12671" s="177" t="s">
        <v>483</v>
      </c>
      <c r="G12671" s="177" t="s">
        <v>3478</v>
      </c>
      <c r="H12671" s="127" t="s">
        <v>216</v>
      </c>
    </row>
    <row r="12672" hidden="1">
      <c r="A12672" s="177" t="s">
        <v>228</v>
      </c>
      <c r="B12672" s="127" t="s">
        <v>138</v>
      </c>
      <c r="C12672" s="127" t="s">
        <v>206</v>
      </c>
      <c r="D12672" s="177" t="s">
        <v>62</v>
      </c>
      <c r="E12672" s="177" t="s">
        <v>15379</v>
      </c>
      <c r="F12672" s="177" t="s">
        <v>244</v>
      </c>
      <c r="G12672" s="177" t="s">
        <v>7885</v>
      </c>
      <c r="H12672" s="127" t="s">
        <v>210</v>
      </c>
    </row>
    <row r="12673" hidden="1">
      <c r="A12673" s="177" t="s">
        <v>228</v>
      </c>
      <c r="B12673" s="127" t="s">
        <v>138</v>
      </c>
      <c r="C12673" s="127" t="s">
        <v>206</v>
      </c>
      <c r="D12673" s="177" t="s">
        <v>62</v>
      </c>
      <c r="E12673" s="177" t="s">
        <v>15380</v>
      </c>
      <c r="F12673" s="177" t="s">
        <v>351</v>
      </c>
      <c r="G12673" s="177" t="s">
        <v>9423</v>
      </c>
      <c r="H12673" s="127" t="s">
        <v>211</v>
      </c>
    </row>
    <row r="12674" hidden="1">
      <c r="A12674" s="177" t="s">
        <v>228</v>
      </c>
      <c r="B12674" s="127" t="s">
        <v>138</v>
      </c>
      <c r="C12674" s="127" t="s">
        <v>206</v>
      </c>
      <c r="D12674" s="177" t="s">
        <v>62</v>
      </c>
      <c r="E12674" s="177" t="s">
        <v>15381</v>
      </c>
      <c r="F12674" s="177" t="s">
        <v>799</v>
      </c>
      <c r="G12674" s="177" t="s">
        <v>10277</v>
      </c>
      <c r="H12674" s="127" t="s">
        <v>212</v>
      </c>
    </row>
    <row r="12675" hidden="1">
      <c r="A12675" s="177" t="s">
        <v>228</v>
      </c>
      <c r="B12675" s="127" t="s">
        <v>138</v>
      </c>
      <c r="C12675" s="127" t="s">
        <v>206</v>
      </c>
      <c r="D12675" s="177" t="s">
        <v>62</v>
      </c>
      <c r="E12675" s="177" t="s">
        <v>15382</v>
      </c>
      <c r="F12675" s="177" t="s">
        <v>244</v>
      </c>
      <c r="G12675" s="177" t="s">
        <v>11165</v>
      </c>
      <c r="H12675" s="127" t="s">
        <v>213</v>
      </c>
    </row>
    <row r="12676" hidden="1">
      <c r="A12676" s="177" t="s">
        <v>228</v>
      </c>
      <c r="B12676" s="127" t="s">
        <v>138</v>
      </c>
      <c r="C12676" s="127" t="s">
        <v>206</v>
      </c>
      <c r="D12676" s="177" t="s">
        <v>62</v>
      </c>
      <c r="E12676" s="177" t="s">
        <v>15383</v>
      </c>
      <c r="F12676" s="177" t="s">
        <v>478</v>
      </c>
      <c r="G12676" s="177" t="s">
        <v>9988</v>
      </c>
      <c r="H12676" s="127" t="s">
        <v>214</v>
      </c>
    </row>
    <row r="12677" hidden="1">
      <c r="A12677" s="177" t="s">
        <v>228</v>
      </c>
      <c r="B12677" s="127" t="s">
        <v>138</v>
      </c>
      <c r="C12677" s="127" t="s">
        <v>206</v>
      </c>
      <c r="D12677" s="177" t="s">
        <v>62</v>
      </c>
      <c r="E12677" s="177" t="s">
        <v>15384</v>
      </c>
      <c r="F12677" s="177" t="s">
        <v>331</v>
      </c>
      <c r="G12677" s="177" t="s">
        <v>15385</v>
      </c>
      <c r="H12677" s="127" t="s">
        <v>215</v>
      </c>
    </row>
    <row r="12678" hidden="1">
      <c r="A12678" s="177" t="s">
        <v>228</v>
      </c>
      <c r="B12678" s="127" t="s">
        <v>138</v>
      </c>
      <c r="C12678" s="127" t="s">
        <v>206</v>
      </c>
      <c r="D12678" s="177" t="s">
        <v>62</v>
      </c>
      <c r="E12678" s="177" t="s">
        <v>15386</v>
      </c>
      <c r="F12678" s="177" t="s">
        <v>321</v>
      </c>
      <c r="G12678" s="177" t="s">
        <v>9269</v>
      </c>
      <c r="H12678" s="127" t="s">
        <v>216</v>
      </c>
    </row>
    <row r="12679" hidden="1">
      <c r="A12679" s="177" t="s">
        <v>229</v>
      </c>
      <c r="B12679" s="127" t="s">
        <v>193</v>
      </c>
      <c r="C12679" s="127" t="s">
        <v>206</v>
      </c>
      <c r="D12679" s="177" t="s">
        <v>62</v>
      </c>
      <c r="E12679" s="177" t="s">
        <v>15387</v>
      </c>
      <c r="F12679" s="177" t="s">
        <v>799</v>
      </c>
      <c r="G12679" s="177" t="s">
        <v>5438</v>
      </c>
      <c r="H12679" s="127" t="s">
        <v>210</v>
      </c>
    </row>
    <row r="12680" hidden="1">
      <c r="A12680" s="177" t="s">
        <v>229</v>
      </c>
      <c r="B12680" s="127" t="s">
        <v>193</v>
      </c>
      <c r="C12680" s="127" t="s">
        <v>206</v>
      </c>
      <c r="D12680" s="177" t="s">
        <v>62</v>
      </c>
      <c r="E12680" s="177" t="s">
        <v>15388</v>
      </c>
      <c r="F12680" s="177" t="s">
        <v>425</v>
      </c>
      <c r="G12680" s="177" t="s">
        <v>3699</v>
      </c>
      <c r="H12680" s="127" t="s">
        <v>211</v>
      </c>
    </row>
    <row r="12681" hidden="1">
      <c r="A12681" s="177" t="s">
        <v>229</v>
      </c>
      <c r="B12681" s="127" t="s">
        <v>193</v>
      </c>
      <c r="C12681" s="127" t="s">
        <v>206</v>
      </c>
      <c r="D12681" s="177" t="s">
        <v>62</v>
      </c>
      <c r="E12681" s="177" t="s">
        <v>15389</v>
      </c>
      <c r="F12681" s="177" t="s">
        <v>453</v>
      </c>
      <c r="G12681" s="177" t="s">
        <v>3818</v>
      </c>
      <c r="H12681" s="127" t="s">
        <v>212</v>
      </c>
    </row>
    <row r="12682" hidden="1">
      <c r="A12682" s="177" t="s">
        <v>229</v>
      </c>
      <c r="B12682" s="127" t="s">
        <v>193</v>
      </c>
      <c r="C12682" s="127" t="s">
        <v>206</v>
      </c>
      <c r="D12682" s="177" t="s">
        <v>62</v>
      </c>
      <c r="E12682" s="177" t="s">
        <v>15390</v>
      </c>
      <c r="F12682" s="177" t="s">
        <v>450</v>
      </c>
      <c r="G12682" s="177" t="s">
        <v>9056</v>
      </c>
      <c r="H12682" s="127" t="s">
        <v>213</v>
      </c>
    </row>
    <row r="12683" hidden="1">
      <c r="A12683" s="177" t="s">
        <v>229</v>
      </c>
      <c r="B12683" s="127" t="s">
        <v>193</v>
      </c>
      <c r="C12683" s="127" t="s">
        <v>206</v>
      </c>
      <c r="D12683" s="177" t="s">
        <v>62</v>
      </c>
      <c r="E12683" s="177" t="s">
        <v>15391</v>
      </c>
      <c r="F12683" s="177" t="s">
        <v>425</v>
      </c>
      <c r="G12683" s="177" t="s">
        <v>3930</v>
      </c>
      <c r="H12683" s="127" t="s">
        <v>214</v>
      </c>
    </row>
    <row r="12684" hidden="1">
      <c r="A12684" s="177" t="s">
        <v>229</v>
      </c>
      <c r="B12684" s="127" t="s">
        <v>193</v>
      </c>
      <c r="C12684" s="127" t="s">
        <v>206</v>
      </c>
      <c r="D12684" s="177" t="s">
        <v>62</v>
      </c>
      <c r="E12684" s="177" t="s">
        <v>15392</v>
      </c>
      <c r="F12684" s="177" t="s">
        <v>312</v>
      </c>
      <c r="G12684" s="177" t="s">
        <v>10053</v>
      </c>
      <c r="H12684" s="127" t="s">
        <v>215</v>
      </c>
    </row>
    <row r="12685" hidden="1">
      <c r="A12685" s="177" t="s">
        <v>229</v>
      </c>
      <c r="B12685" s="127" t="s">
        <v>193</v>
      </c>
      <c r="C12685" s="127" t="s">
        <v>206</v>
      </c>
      <c r="D12685" s="177" t="s">
        <v>62</v>
      </c>
      <c r="E12685" s="177" t="s">
        <v>15393</v>
      </c>
      <c r="F12685" s="177" t="s">
        <v>329</v>
      </c>
      <c r="G12685" s="177" t="s">
        <v>3776</v>
      </c>
      <c r="H12685" s="127" t="s">
        <v>216</v>
      </c>
    </row>
    <row r="12686" hidden="1">
      <c r="A12686" s="177" t="s">
        <v>230</v>
      </c>
      <c r="B12686" s="127" t="s">
        <v>194</v>
      </c>
      <c r="C12686" s="127" t="s">
        <v>206</v>
      </c>
      <c r="D12686" s="177" t="s">
        <v>62</v>
      </c>
      <c r="E12686" s="177" t="s">
        <v>15394</v>
      </c>
      <c r="F12686" s="177" t="s">
        <v>249</v>
      </c>
      <c r="G12686" s="177" t="s">
        <v>3396</v>
      </c>
      <c r="H12686" s="127" t="s">
        <v>210</v>
      </c>
    </row>
    <row r="12687" hidden="1">
      <c r="A12687" s="177" t="s">
        <v>230</v>
      </c>
      <c r="B12687" s="127" t="s">
        <v>194</v>
      </c>
      <c r="C12687" s="127" t="s">
        <v>206</v>
      </c>
      <c r="D12687" s="177" t="s">
        <v>62</v>
      </c>
      <c r="E12687" s="177" t="s">
        <v>15395</v>
      </c>
      <c r="F12687" s="177" t="s">
        <v>314</v>
      </c>
      <c r="G12687" s="177" t="s">
        <v>2301</v>
      </c>
      <c r="H12687" s="127" t="s">
        <v>211</v>
      </c>
    </row>
    <row r="12688" hidden="1">
      <c r="A12688" s="177" t="s">
        <v>230</v>
      </c>
      <c r="B12688" s="127" t="s">
        <v>194</v>
      </c>
      <c r="C12688" s="127" t="s">
        <v>206</v>
      </c>
      <c r="D12688" s="177" t="s">
        <v>62</v>
      </c>
      <c r="E12688" s="177" t="s">
        <v>15396</v>
      </c>
      <c r="F12688" s="177" t="s">
        <v>249</v>
      </c>
      <c r="G12688" s="177" t="s">
        <v>2391</v>
      </c>
      <c r="H12688" s="127" t="s">
        <v>212</v>
      </c>
    </row>
    <row r="12689" hidden="1">
      <c r="A12689" s="177" t="s">
        <v>230</v>
      </c>
      <c r="B12689" s="127" t="s">
        <v>194</v>
      </c>
      <c r="C12689" s="127" t="s">
        <v>206</v>
      </c>
      <c r="D12689" s="177" t="s">
        <v>62</v>
      </c>
      <c r="E12689" s="177" t="s">
        <v>15397</v>
      </c>
      <c r="F12689" s="177" t="s">
        <v>321</v>
      </c>
      <c r="G12689" s="177" t="s">
        <v>2138</v>
      </c>
      <c r="H12689" s="127" t="s">
        <v>213</v>
      </c>
    </row>
    <row r="12690" hidden="1">
      <c r="A12690" s="177" t="s">
        <v>230</v>
      </c>
      <c r="B12690" s="127" t="s">
        <v>194</v>
      </c>
      <c r="C12690" s="127" t="s">
        <v>206</v>
      </c>
      <c r="D12690" s="177" t="s">
        <v>62</v>
      </c>
      <c r="E12690" s="177" t="s">
        <v>15398</v>
      </c>
      <c r="F12690" s="177" t="s">
        <v>329</v>
      </c>
      <c r="G12690" s="177" t="s">
        <v>3503</v>
      </c>
      <c r="H12690" s="127" t="s">
        <v>214</v>
      </c>
    </row>
    <row r="12691" hidden="1">
      <c r="A12691" s="177" t="s">
        <v>230</v>
      </c>
      <c r="B12691" s="127" t="s">
        <v>194</v>
      </c>
      <c r="C12691" s="127" t="s">
        <v>206</v>
      </c>
      <c r="D12691" s="177" t="s">
        <v>62</v>
      </c>
      <c r="E12691" s="177" t="s">
        <v>15399</v>
      </c>
      <c r="F12691" s="177" t="s">
        <v>323</v>
      </c>
      <c r="G12691" s="177" t="s">
        <v>2845</v>
      </c>
      <c r="H12691" s="127" t="s">
        <v>215</v>
      </c>
    </row>
    <row r="12692" hidden="1">
      <c r="A12692" s="177" t="s">
        <v>230</v>
      </c>
      <c r="B12692" s="127" t="s">
        <v>194</v>
      </c>
      <c r="C12692" s="127" t="s">
        <v>206</v>
      </c>
      <c r="D12692" s="177" t="s">
        <v>62</v>
      </c>
      <c r="E12692" s="177" t="s">
        <v>15400</v>
      </c>
      <c r="F12692" s="177" t="s">
        <v>321</v>
      </c>
      <c r="G12692" s="177" t="s">
        <v>2605</v>
      </c>
      <c r="H12692" s="127" t="s">
        <v>216</v>
      </c>
    </row>
    <row r="12693" hidden="1">
      <c r="A12693" s="127" t="s">
        <v>231</v>
      </c>
      <c r="C12693" s="127" t="s">
        <v>232</v>
      </c>
      <c r="D12693" s="177" t="s">
        <v>62</v>
      </c>
      <c r="E12693" s="177" t="s">
        <v>15401</v>
      </c>
      <c r="F12693" s="177" t="s">
        <v>244</v>
      </c>
      <c r="G12693" s="177" t="s">
        <v>1858</v>
      </c>
      <c r="H12693" s="127" t="s">
        <v>210</v>
      </c>
    </row>
    <row r="12694" hidden="1">
      <c r="A12694" s="127" t="s">
        <v>231</v>
      </c>
      <c r="C12694" s="127" t="s">
        <v>232</v>
      </c>
      <c r="D12694" s="177" t="s">
        <v>62</v>
      </c>
      <c r="E12694" s="177" t="s">
        <v>15402</v>
      </c>
      <c r="F12694" s="177" t="s">
        <v>242</v>
      </c>
      <c r="G12694" s="177" t="s">
        <v>2779</v>
      </c>
      <c r="H12694" s="127" t="s">
        <v>211</v>
      </c>
    </row>
    <row r="12695" hidden="1">
      <c r="A12695" s="127" t="s">
        <v>231</v>
      </c>
      <c r="C12695" s="127" t="s">
        <v>232</v>
      </c>
      <c r="D12695" s="177" t="s">
        <v>62</v>
      </c>
      <c r="E12695" s="177" t="s">
        <v>15403</v>
      </c>
      <c r="F12695" s="177" t="s">
        <v>242</v>
      </c>
      <c r="G12695" s="177" t="s">
        <v>2070</v>
      </c>
      <c r="H12695" s="127" t="s">
        <v>212</v>
      </c>
    </row>
    <row r="12696" hidden="1">
      <c r="A12696" s="127" t="s">
        <v>231</v>
      </c>
      <c r="C12696" s="127" t="s">
        <v>232</v>
      </c>
      <c r="D12696" s="177" t="s">
        <v>62</v>
      </c>
      <c r="E12696" s="177" t="s">
        <v>15404</v>
      </c>
      <c r="F12696" s="177" t="s">
        <v>357</v>
      </c>
      <c r="G12696" s="177" t="s">
        <v>1834</v>
      </c>
      <c r="H12696" s="127" t="s">
        <v>213</v>
      </c>
    </row>
    <row r="12697" hidden="1">
      <c r="A12697" s="127" t="s">
        <v>231</v>
      </c>
      <c r="C12697" s="127" t="s">
        <v>232</v>
      </c>
      <c r="D12697" s="177" t="s">
        <v>62</v>
      </c>
      <c r="E12697" s="177" t="s">
        <v>15405</v>
      </c>
      <c r="F12697" s="177" t="s">
        <v>357</v>
      </c>
      <c r="G12697" s="177" t="s">
        <v>2929</v>
      </c>
      <c r="H12697" s="127" t="s">
        <v>214</v>
      </c>
    </row>
    <row r="12698" hidden="1">
      <c r="A12698" s="127" t="s">
        <v>231</v>
      </c>
      <c r="C12698" s="127" t="s">
        <v>232</v>
      </c>
      <c r="D12698" s="177" t="s">
        <v>62</v>
      </c>
      <c r="E12698" s="177" t="s">
        <v>15406</v>
      </c>
      <c r="F12698" s="177" t="s">
        <v>677</v>
      </c>
      <c r="G12698" s="177" t="s">
        <v>1921</v>
      </c>
      <c r="H12698" s="127" t="s">
        <v>215</v>
      </c>
    </row>
    <row r="12699" hidden="1">
      <c r="A12699" s="127" t="s">
        <v>231</v>
      </c>
      <c r="C12699" s="127" t="s">
        <v>232</v>
      </c>
      <c r="D12699" s="177" t="s">
        <v>62</v>
      </c>
      <c r="E12699" s="177" t="s">
        <v>15407</v>
      </c>
      <c r="F12699" s="177" t="s">
        <v>357</v>
      </c>
      <c r="G12699" s="177" t="s">
        <v>2694</v>
      </c>
      <c r="H12699" s="127" t="s">
        <v>216</v>
      </c>
    </row>
    <row r="12700" hidden="1">
      <c r="A12700" s="127" t="s">
        <v>233</v>
      </c>
      <c r="C12700" s="127" t="s">
        <v>232</v>
      </c>
      <c r="D12700" s="177" t="s">
        <v>62</v>
      </c>
      <c r="E12700" s="177" t="s">
        <v>15408</v>
      </c>
      <c r="F12700" s="177" t="s">
        <v>305</v>
      </c>
      <c r="G12700" s="177" t="s">
        <v>2826</v>
      </c>
      <c r="H12700" s="127" t="s">
        <v>210</v>
      </c>
    </row>
    <row r="12701" hidden="1">
      <c r="A12701" s="127" t="s">
        <v>233</v>
      </c>
      <c r="C12701" s="127" t="s">
        <v>232</v>
      </c>
      <c r="D12701" s="177" t="s">
        <v>62</v>
      </c>
      <c r="E12701" s="177" t="s">
        <v>15409</v>
      </c>
      <c r="F12701" s="177" t="s">
        <v>351</v>
      </c>
      <c r="G12701" s="177" t="s">
        <v>3691</v>
      </c>
      <c r="H12701" s="127" t="s">
        <v>211</v>
      </c>
    </row>
    <row r="12702" hidden="1">
      <c r="A12702" s="127" t="s">
        <v>233</v>
      </c>
      <c r="C12702" s="127" t="s">
        <v>232</v>
      </c>
      <c r="D12702" s="177" t="s">
        <v>62</v>
      </c>
      <c r="E12702" s="177" t="s">
        <v>15410</v>
      </c>
      <c r="F12702" s="177" t="s">
        <v>534</v>
      </c>
      <c r="G12702" s="177" t="s">
        <v>2609</v>
      </c>
      <c r="H12702" s="127" t="s">
        <v>212</v>
      </c>
    </row>
    <row r="12703" hidden="1">
      <c r="A12703" s="127" t="s">
        <v>233</v>
      </c>
      <c r="C12703" s="127" t="s">
        <v>232</v>
      </c>
      <c r="D12703" s="177" t="s">
        <v>62</v>
      </c>
      <c r="E12703" s="177" t="s">
        <v>15411</v>
      </c>
      <c r="F12703" s="177" t="s">
        <v>351</v>
      </c>
      <c r="G12703" s="177" t="s">
        <v>2285</v>
      </c>
      <c r="H12703" s="127" t="s">
        <v>213</v>
      </c>
    </row>
    <row r="12704" hidden="1">
      <c r="A12704" s="127" t="s">
        <v>233</v>
      </c>
      <c r="C12704" s="127" t="s">
        <v>232</v>
      </c>
      <c r="D12704" s="177" t="s">
        <v>62</v>
      </c>
      <c r="E12704" s="177" t="s">
        <v>15412</v>
      </c>
      <c r="F12704" s="177" t="s">
        <v>305</v>
      </c>
      <c r="G12704" s="177" t="s">
        <v>2224</v>
      </c>
      <c r="H12704" s="127" t="s">
        <v>214</v>
      </c>
    </row>
    <row r="12705" hidden="1">
      <c r="A12705" s="127" t="s">
        <v>233</v>
      </c>
      <c r="C12705" s="127" t="s">
        <v>232</v>
      </c>
      <c r="D12705" s="177" t="s">
        <v>62</v>
      </c>
      <c r="E12705" s="177" t="s">
        <v>15413</v>
      </c>
      <c r="F12705" s="177" t="s">
        <v>308</v>
      </c>
      <c r="G12705" s="177" t="s">
        <v>2506</v>
      </c>
      <c r="H12705" s="127" t="s">
        <v>215</v>
      </c>
    </row>
    <row r="12706" hidden="1">
      <c r="A12706" s="127" t="s">
        <v>233</v>
      </c>
      <c r="C12706" s="127" t="s">
        <v>232</v>
      </c>
      <c r="D12706" s="177" t="s">
        <v>62</v>
      </c>
      <c r="E12706" s="177" t="s">
        <v>15414</v>
      </c>
      <c r="F12706" s="177" t="s">
        <v>305</v>
      </c>
      <c r="G12706" s="177" t="s">
        <v>3207</v>
      </c>
      <c r="H12706" s="127" t="s">
        <v>216</v>
      </c>
    </row>
    <row r="12707" hidden="1">
      <c r="A12707" s="127" t="s">
        <v>234</v>
      </c>
      <c r="C12707" s="127" t="s">
        <v>232</v>
      </c>
      <c r="D12707" s="177" t="s">
        <v>62</v>
      </c>
      <c r="E12707" s="177" t="s">
        <v>15415</v>
      </c>
      <c r="F12707" s="177" t="s">
        <v>244</v>
      </c>
      <c r="G12707" s="177" t="s">
        <v>3108</v>
      </c>
      <c r="H12707" s="127" t="s">
        <v>210</v>
      </c>
    </row>
    <row r="12708" hidden="1">
      <c r="A12708" s="127" t="s">
        <v>234</v>
      </c>
      <c r="C12708" s="127" t="s">
        <v>232</v>
      </c>
      <c r="D12708" s="177" t="s">
        <v>62</v>
      </c>
      <c r="E12708" s="177" t="s">
        <v>15416</v>
      </c>
      <c r="F12708" s="177" t="s">
        <v>242</v>
      </c>
      <c r="G12708" s="177" t="s">
        <v>2822</v>
      </c>
      <c r="H12708" s="127" t="s">
        <v>211</v>
      </c>
    </row>
    <row r="12709" hidden="1">
      <c r="A12709" s="127" t="s">
        <v>234</v>
      </c>
      <c r="C12709" s="127" t="s">
        <v>232</v>
      </c>
      <c r="D12709" s="177" t="s">
        <v>62</v>
      </c>
      <c r="E12709" s="177" t="s">
        <v>15417</v>
      </c>
      <c r="F12709" s="177" t="s">
        <v>365</v>
      </c>
      <c r="G12709" s="177" t="s">
        <v>3597</v>
      </c>
      <c r="H12709" s="127" t="s">
        <v>212</v>
      </c>
    </row>
    <row r="12710" hidden="1">
      <c r="A12710" s="127" t="s">
        <v>234</v>
      </c>
      <c r="C12710" s="127" t="s">
        <v>232</v>
      </c>
      <c r="D12710" s="177" t="s">
        <v>62</v>
      </c>
      <c r="E12710" s="177" t="s">
        <v>15418</v>
      </c>
      <c r="F12710" s="177" t="s">
        <v>357</v>
      </c>
      <c r="G12710" s="177" t="s">
        <v>6901</v>
      </c>
      <c r="H12710" s="127" t="s">
        <v>213</v>
      </c>
    </row>
    <row r="12711" hidden="1">
      <c r="A12711" s="127" t="s">
        <v>234</v>
      </c>
      <c r="C12711" s="127" t="s">
        <v>232</v>
      </c>
      <c r="D12711" s="177" t="s">
        <v>62</v>
      </c>
      <c r="E12711" s="177" t="s">
        <v>15419</v>
      </c>
      <c r="F12711" s="177" t="s">
        <v>323</v>
      </c>
      <c r="G12711" s="177" t="s">
        <v>4167</v>
      </c>
      <c r="H12711" s="127" t="s">
        <v>214</v>
      </c>
    </row>
    <row r="12712" hidden="1">
      <c r="A12712" s="127" t="s">
        <v>234</v>
      </c>
      <c r="C12712" s="127" t="s">
        <v>232</v>
      </c>
      <c r="D12712" s="177" t="s">
        <v>62</v>
      </c>
      <c r="E12712" s="177" t="s">
        <v>15420</v>
      </c>
      <c r="F12712" s="177" t="s">
        <v>287</v>
      </c>
      <c r="G12712" s="177" t="s">
        <v>7597</v>
      </c>
      <c r="H12712" s="127" t="s">
        <v>215</v>
      </c>
    </row>
    <row r="12713" hidden="1">
      <c r="A12713" s="127" t="s">
        <v>234</v>
      </c>
      <c r="C12713" s="127" t="s">
        <v>232</v>
      </c>
      <c r="D12713" s="177" t="s">
        <v>62</v>
      </c>
      <c r="E12713" s="177" t="s">
        <v>15421</v>
      </c>
      <c r="F12713" s="177" t="s">
        <v>242</v>
      </c>
      <c r="G12713" s="177" t="s">
        <v>3939</v>
      </c>
      <c r="H12713" s="127" t="s">
        <v>216</v>
      </c>
    </row>
    <row r="12714" hidden="1">
      <c r="A12714" s="127" t="s">
        <v>235</v>
      </c>
      <c r="C12714" s="127" t="s">
        <v>236</v>
      </c>
      <c r="D12714" s="177" t="s">
        <v>62</v>
      </c>
      <c r="E12714" s="177" t="s">
        <v>15422</v>
      </c>
      <c r="F12714" s="177" t="s">
        <v>331</v>
      </c>
      <c r="G12714" s="177" t="s">
        <v>3287</v>
      </c>
      <c r="H12714" s="127" t="s">
        <v>210</v>
      </c>
    </row>
    <row r="12715" hidden="1">
      <c r="A12715" s="127" t="s">
        <v>235</v>
      </c>
      <c r="C12715" s="127" t="s">
        <v>236</v>
      </c>
      <c r="D12715" s="177" t="s">
        <v>62</v>
      </c>
      <c r="E12715" s="177" t="s">
        <v>15423</v>
      </c>
      <c r="F12715" s="177" t="s">
        <v>321</v>
      </c>
      <c r="G12715" s="177" t="s">
        <v>2389</v>
      </c>
      <c r="H12715" s="127" t="s">
        <v>211</v>
      </c>
    </row>
    <row r="12716" hidden="1">
      <c r="A12716" s="127" t="s">
        <v>235</v>
      </c>
      <c r="C12716" s="127" t="s">
        <v>236</v>
      </c>
      <c r="D12716" s="177" t="s">
        <v>62</v>
      </c>
      <c r="E12716" s="177" t="s">
        <v>15424</v>
      </c>
      <c r="F12716" s="177" t="s">
        <v>249</v>
      </c>
      <c r="G12716" s="177" t="s">
        <v>1918</v>
      </c>
      <c r="H12716" s="127" t="s">
        <v>212</v>
      </c>
    </row>
    <row r="12717" hidden="1">
      <c r="A12717" s="127" t="s">
        <v>235</v>
      </c>
      <c r="C12717" s="127" t="s">
        <v>236</v>
      </c>
      <c r="D12717" s="177" t="s">
        <v>62</v>
      </c>
      <c r="E12717" s="177" t="s">
        <v>15425</v>
      </c>
      <c r="F12717" s="177" t="s">
        <v>290</v>
      </c>
      <c r="G12717" s="177" t="s">
        <v>2119</v>
      </c>
      <c r="H12717" s="127" t="s">
        <v>213</v>
      </c>
    </row>
    <row r="12718" hidden="1">
      <c r="A12718" s="127" t="s">
        <v>235</v>
      </c>
      <c r="C12718" s="127" t="s">
        <v>236</v>
      </c>
      <c r="D12718" s="177" t="s">
        <v>62</v>
      </c>
      <c r="E12718" s="177" t="s">
        <v>15426</v>
      </c>
      <c r="F12718" s="177" t="s">
        <v>331</v>
      </c>
      <c r="G12718" s="177" t="s">
        <v>1951</v>
      </c>
      <c r="H12718" s="127" t="s">
        <v>214</v>
      </c>
    </row>
    <row r="12719" hidden="1">
      <c r="A12719" s="127" t="s">
        <v>235</v>
      </c>
      <c r="C12719" s="127" t="s">
        <v>236</v>
      </c>
      <c r="D12719" s="177" t="s">
        <v>62</v>
      </c>
      <c r="E12719" s="177" t="s">
        <v>15427</v>
      </c>
      <c r="F12719" s="177" t="s">
        <v>249</v>
      </c>
      <c r="G12719" s="177" t="s">
        <v>3226</v>
      </c>
      <c r="H12719" s="127" t="s">
        <v>215</v>
      </c>
    </row>
    <row r="12720" hidden="1">
      <c r="A12720" s="127" t="s">
        <v>235</v>
      </c>
      <c r="C12720" s="127" t="s">
        <v>236</v>
      </c>
      <c r="D12720" s="177" t="s">
        <v>62</v>
      </c>
      <c r="E12720" s="177" t="s">
        <v>15428</v>
      </c>
      <c r="F12720" s="177" t="s">
        <v>308</v>
      </c>
      <c r="G12720" s="177" t="s">
        <v>2242</v>
      </c>
      <c r="H12720" s="127" t="s">
        <v>216</v>
      </c>
    </row>
    <row r="12721" hidden="1">
      <c r="A12721" s="127" t="s">
        <v>237</v>
      </c>
      <c r="C12721" s="127" t="s">
        <v>236</v>
      </c>
      <c r="D12721" s="177" t="s">
        <v>62</v>
      </c>
      <c r="E12721" s="177" t="s">
        <v>15429</v>
      </c>
      <c r="F12721" s="177" t="s">
        <v>308</v>
      </c>
      <c r="G12721" s="177" t="s">
        <v>3776</v>
      </c>
      <c r="H12721" s="127" t="s">
        <v>210</v>
      </c>
    </row>
    <row r="12722" hidden="1">
      <c r="A12722" s="127" t="s">
        <v>237</v>
      </c>
      <c r="C12722" s="127" t="s">
        <v>236</v>
      </c>
      <c r="D12722" s="177" t="s">
        <v>62</v>
      </c>
      <c r="E12722" s="177" t="s">
        <v>15430</v>
      </c>
      <c r="F12722" s="177" t="s">
        <v>427</v>
      </c>
      <c r="G12722" s="177" t="s">
        <v>6901</v>
      </c>
      <c r="H12722" s="127" t="s">
        <v>211</v>
      </c>
    </row>
    <row r="12723" hidden="1">
      <c r="A12723" s="127" t="s">
        <v>237</v>
      </c>
      <c r="C12723" s="127" t="s">
        <v>236</v>
      </c>
      <c r="D12723" s="177" t="s">
        <v>62</v>
      </c>
      <c r="E12723" s="177" t="s">
        <v>15431</v>
      </c>
      <c r="F12723" s="177" t="s">
        <v>290</v>
      </c>
      <c r="G12723" s="177" t="s">
        <v>10625</v>
      </c>
      <c r="H12723" s="127" t="s">
        <v>212</v>
      </c>
    </row>
    <row r="12724" hidden="1">
      <c r="A12724" s="127" t="s">
        <v>237</v>
      </c>
      <c r="C12724" s="127" t="s">
        <v>236</v>
      </c>
      <c r="D12724" s="177" t="s">
        <v>62</v>
      </c>
      <c r="E12724" s="177" t="s">
        <v>15432</v>
      </c>
      <c r="F12724" s="177" t="s">
        <v>290</v>
      </c>
      <c r="G12724" s="177" t="s">
        <v>9941</v>
      </c>
      <c r="H12724" s="127" t="s">
        <v>213</v>
      </c>
    </row>
    <row r="12725" hidden="1">
      <c r="A12725" s="127" t="s">
        <v>237</v>
      </c>
      <c r="C12725" s="127" t="s">
        <v>236</v>
      </c>
      <c r="D12725" s="177" t="s">
        <v>62</v>
      </c>
      <c r="E12725" s="177" t="s">
        <v>15433</v>
      </c>
      <c r="F12725" s="177" t="s">
        <v>310</v>
      </c>
      <c r="G12725" s="177" t="s">
        <v>10408</v>
      </c>
      <c r="H12725" s="127" t="s">
        <v>214</v>
      </c>
    </row>
    <row r="12726" hidden="1">
      <c r="A12726" s="127" t="s">
        <v>237</v>
      </c>
      <c r="C12726" s="127" t="s">
        <v>236</v>
      </c>
      <c r="D12726" s="177" t="s">
        <v>62</v>
      </c>
      <c r="E12726" s="177" t="s">
        <v>15434</v>
      </c>
      <c r="F12726" s="177" t="s">
        <v>331</v>
      </c>
      <c r="G12726" s="177" t="s">
        <v>10467</v>
      </c>
      <c r="H12726" s="127" t="s">
        <v>215</v>
      </c>
    </row>
    <row r="12727" hidden="1">
      <c r="A12727" s="127" t="s">
        <v>237</v>
      </c>
      <c r="C12727" s="127" t="s">
        <v>236</v>
      </c>
      <c r="D12727" s="177" t="s">
        <v>62</v>
      </c>
      <c r="E12727" s="177" t="s">
        <v>15435</v>
      </c>
      <c r="F12727" s="177" t="s">
        <v>534</v>
      </c>
      <c r="G12727" s="177" t="s">
        <v>5434</v>
      </c>
      <c r="H12727" s="127" t="s">
        <v>216</v>
      </c>
    </row>
    <row r="12728" hidden="1">
      <c r="A12728" s="177" t="s">
        <v>204</v>
      </c>
      <c r="B12728" s="127" t="s">
        <v>205</v>
      </c>
      <c r="C12728" s="127" t="s">
        <v>206</v>
      </c>
      <c r="D12728" s="177" t="s">
        <v>63</v>
      </c>
      <c r="E12728" s="177" t="s">
        <v>15436</v>
      </c>
      <c r="F12728" s="177" t="s">
        <v>257</v>
      </c>
      <c r="G12728" s="177" t="s">
        <v>3525</v>
      </c>
      <c r="H12728" s="127" t="s">
        <v>210</v>
      </c>
    </row>
    <row r="12729" hidden="1">
      <c r="A12729" s="177" t="s">
        <v>204</v>
      </c>
      <c r="B12729" s="127" t="s">
        <v>205</v>
      </c>
      <c r="C12729" s="127" t="s">
        <v>206</v>
      </c>
      <c r="D12729" s="177" t="s">
        <v>63</v>
      </c>
      <c r="E12729" s="177" t="s">
        <v>15437</v>
      </c>
      <c r="F12729" s="177" t="s">
        <v>246</v>
      </c>
      <c r="G12729" s="177" t="s">
        <v>3282</v>
      </c>
      <c r="H12729" s="127" t="s">
        <v>211</v>
      </c>
    </row>
    <row r="12730" hidden="1">
      <c r="A12730" s="177" t="s">
        <v>204</v>
      </c>
      <c r="B12730" s="127" t="s">
        <v>205</v>
      </c>
      <c r="C12730" s="127" t="s">
        <v>206</v>
      </c>
      <c r="D12730" s="177" t="s">
        <v>63</v>
      </c>
      <c r="E12730" s="177" t="s">
        <v>15438</v>
      </c>
      <c r="F12730" s="177" t="s">
        <v>240</v>
      </c>
      <c r="G12730" s="177" t="s">
        <v>2602</v>
      </c>
      <c r="H12730" s="127" t="s">
        <v>212</v>
      </c>
    </row>
    <row r="12731" hidden="1">
      <c r="A12731" s="177" t="s">
        <v>204</v>
      </c>
      <c r="B12731" s="127" t="s">
        <v>205</v>
      </c>
      <c r="C12731" s="127" t="s">
        <v>206</v>
      </c>
      <c r="D12731" s="177" t="s">
        <v>63</v>
      </c>
      <c r="E12731" s="177" t="s">
        <v>15439</v>
      </c>
      <c r="F12731" s="177" t="s">
        <v>269</v>
      </c>
      <c r="G12731" s="177" t="s">
        <v>3513</v>
      </c>
      <c r="H12731" s="127" t="s">
        <v>213</v>
      </c>
    </row>
    <row r="12732" hidden="1">
      <c r="A12732" s="177" t="s">
        <v>204</v>
      </c>
      <c r="B12732" s="127" t="s">
        <v>205</v>
      </c>
      <c r="C12732" s="127" t="s">
        <v>206</v>
      </c>
      <c r="D12732" s="177" t="s">
        <v>63</v>
      </c>
      <c r="E12732" s="177" t="s">
        <v>15440</v>
      </c>
      <c r="F12732" s="177" t="s">
        <v>246</v>
      </c>
      <c r="G12732" s="177" t="s">
        <v>2219</v>
      </c>
      <c r="H12732" s="127" t="s">
        <v>214</v>
      </c>
    </row>
    <row r="12733" hidden="1">
      <c r="A12733" s="177" t="s">
        <v>204</v>
      </c>
      <c r="B12733" s="127" t="s">
        <v>205</v>
      </c>
      <c r="C12733" s="127" t="s">
        <v>206</v>
      </c>
      <c r="D12733" s="177" t="s">
        <v>63</v>
      </c>
      <c r="E12733" s="177" t="s">
        <v>15441</v>
      </c>
      <c r="F12733" s="177" t="s">
        <v>257</v>
      </c>
      <c r="G12733" s="177" t="s">
        <v>3475</v>
      </c>
      <c r="H12733" s="127" t="s">
        <v>215</v>
      </c>
    </row>
    <row r="12734" hidden="1">
      <c r="A12734" s="177" t="s">
        <v>204</v>
      </c>
      <c r="B12734" s="127" t="s">
        <v>205</v>
      </c>
      <c r="C12734" s="127" t="s">
        <v>206</v>
      </c>
      <c r="D12734" s="177" t="s">
        <v>63</v>
      </c>
      <c r="E12734" s="177" t="s">
        <v>15442</v>
      </c>
      <c r="F12734" s="177" t="s">
        <v>257</v>
      </c>
      <c r="G12734" s="177" t="s">
        <v>3950</v>
      </c>
      <c r="H12734" s="127" t="s">
        <v>216</v>
      </c>
    </row>
    <row r="12735" hidden="1">
      <c r="A12735" s="177" t="s">
        <v>217</v>
      </c>
      <c r="B12735" s="127" t="s">
        <v>191</v>
      </c>
      <c r="C12735" s="127" t="s">
        <v>206</v>
      </c>
      <c r="D12735" s="177" t="s">
        <v>63</v>
      </c>
      <c r="E12735" s="177" t="s">
        <v>15443</v>
      </c>
      <c r="F12735" s="177" t="s">
        <v>298</v>
      </c>
      <c r="G12735" s="177" t="s">
        <v>1843</v>
      </c>
      <c r="H12735" s="127" t="s">
        <v>210</v>
      </c>
    </row>
    <row r="12736" hidden="1">
      <c r="A12736" s="177" t="s">
        <v>217</v>
      </c>
      <c r="B12736" s="127" t="s">
        <v>191</v>
      </c>
      <c r="C12736" s="127" t="s">
        <v>206</v>
      </c>
      <c r="D12736" s="177" t="s">
        <v>63</v>
      </c>
      <c r="E12736" s="177" t="s">
        <v>15444</v>
      </c>
      <c r="F12736" s="177" t="s">
        <v>262</v>
      </c>
      <c r="G12736" s="177" t="s">
        <v>3221</v>
      </c>
      <c r="H12736" s="127" t="s">
        <v>211</v>
      </c>
    </row>
    <row r="12737" hidden="1">
      <c r="A12737" s="177" t="s">
        <v>217</v>
      </c>
      <c r="B12737" s="127" t="s">
        <v>191</v>
      </c>
      <c r="C12737" s="127" t="s">
        <v>206</v>
      </c>
      <c r="D12737" s="177" t="s">
        <v>63</v>
      </c>
      <c r="E12737" s="177" t="s">
        <v>15445</v>
      </c>
      <c r="F12737" s="177" t="s">
        <v>374</v>
      </c>
      <c r="G12737" s="177" t="s">
        <v>2777</v>
      </c>
      <c r="H12737" s="127" t="s">
        <v>212</v>
      </c>
    </row>
    <row r="12738" hidden="1">
      <c r="A12738" s="177" t="s">
        <v>217</v>
      </c>
      <c r="B12738" s="127" t="s">
        <v>191</v>
      </c>
      <c r="C12738" s="127" t="s">
        <v>206</v>
      </c>
      <c r="D12738" s="177" t="s">
        <v>63</v>
      </c>
      <c r="E12738" s="177" t="s">
        <v>15446</v>
      </c>
      <c r="F12738" s="177" t="s">
        <v>374</v>
      </c>
      <c r="G12738" s="177" t="s">
        <v>2405</v>
      </c>
      <c r="H12738" s="127" t="s">
        <v>213</v>
      </c>
    </row>
    <row r="12739" hidden="1">
      <c r="A12739" s="177" t="s">
        <v>217</v>
      </c>
      <c r="B12739" s="127" t="s">
        <v>191</v>
      </c>
      <c r="C12739" s="127" t="s">
        <v>206</v>
      </c>
      <c r="D12739" s="177" t="s">
        <v>63</v>
      </c>
      <c r="E12739" s="177" t="s">
        <v>15447</v>
      </c>
      <c r="F12739" s="177" t="s">
        <v>374</v>
      </c>
      <c r="G12739" s="177" t="s">
        <v>1918</v>
      </c>
      <c r="H12739" s="127" t="s">
        <v>214</v>
      </c>
    </row>
    <row r="12740" hidden="1">
      <c r="A12740" s="177" t="s">
        <v>217</v>
      </c>
      <c r="B12740" s="127" t="s">
        <v>191</v>
      </c>
      <c r="C12740" s="127" t="s">
        <v>206</v>
      </c>
      <c r="D12740" s="177" t="s">
        <v>63</v>
      </c>
      <c r="E12740" s="177" t="s">
        <v>15448</v>
      </c>
      <c r="F12740" s="177" t="s">
        <v>265</v>
      </c>
      <c r="G12740" s="177" t="s">
        <v>3384</v>
      </c>
      <c r="H12740" s="127" t="s">
        <v>215</v>
      </c>
    </row>
    <row r="12741" hidden="1">
      <c r="A12741" s="177" t="s">
        <v>217</v>
      </c>
      <c r="B12741" s="127" t="s">
        <v>191</v>
      </c>
      <c r="C12741" s="127" t="s">
        <v>206</v>
      </c>
      <c r="D12741" s="177" t="s">
        <v>63</v>
      </c>
      <c r="E12741" s="177" t="s">
        <v>15449</v>
      </c>
      <c r="F12741" s="177" t="s">
        <v>262</v>
      </c>
      <c r="G12741" s="177" t="s">
        <v>2929</v>
      </c>
      <c r="H12741" s="127" t="s">
        <v>216</v>
      </c>
    </row>
    <row r="12742" hidden="1">
      <c r="A12742" s="177" t="s">
        <v>218</v>
      </c>
      <c r="B12742" s="127" t="s">
        <v>219</v>
      </c>
      <c r="C12742" s="127" t="s">
        <v>206</v>
      </c>
      <c r="D12742" s="177" t="s">
        <v>63</v>
      </c>
      <c r="E12742" s="177" t="s">
        <v>15450</v>
      </c>
      <c r="F12742" s="177" t="s">
        <v>262</v>
      </c>
      <c r="G12742" s="177" t="s">
        <v>2624</v>
      </c>
      <c r="H12742" s="127" t="s">
        <v>210</v>
      </c>
    </row>
    <row r="12743" hidden="1">
      <c r="A12743" s="177" t="s">
        <v>218</v>
      </c>
      <c r="B12743" s="127" t="s">
        <v>219</v>
      </c>
      <c r="C12743" s="127" t="s">
        <v>206</v>
      </c>
      <c r="D12743" s="177" t="s">
        <v>63</v>
      </c>
      <c r="E12743" s="177" t="s">
        <v>15451</v>
      </c>
      <c r="F12743" s="177" t="s">
        <v>492</v>
      </c>
      <c r="G12743" s="177" t="s">
        <v>1843</v>
      </c>
      <c r="H12743" s="127" t="s">
        <v>211</v>
      </c>
    </row>
    <row r="12744" hidden="1">
      <c r="A12744" s="177" t="s">
        <v>218</v>
      </c>
      <c r="B12744" s="127" t="s">
        <v>219</v>
      </c>
      <c r="C12744" s="127" t="s">
        <v>206</v>
      </c>
      <c r="D12744" s="177" t="s">
        <v>63</v>
      </c>
      <c r="E12744" s="177" t="s">
        <v>15452</v>
      </c>
      <c r="F12744" s="177" t="s">
        <v>255</v>
      </c>
      <c r="G12744" s="177" t="s">
        <v>2243</v>
      </c>
      <c r="H12744" s="127" t="s">
        <v>212</v>
      </c>
    </row>
    <row r="12745" hidden="1">
      <c r="A12745" s="177" t="s">
        <v>218</v>
      </c>
      <c r="B12745" s="127" t="s">
        <v>219</v>
      </c>
      <c r="C12745" s="127" t="s">
        <v>206</v>
      </c>
      <c r="D12745" s="177" t="s">
        <v>63</v>
      </c>
      <c r="E12745" s="177" t="s">
        <v>15453</v>
      </c>
      <c r="F12745" s="177" t="s">
        <v>262</v>
      </c>
      <c r="G12745" s="177" t="s">
        <v>1836</v>
      </c>
      <c r="H12745" s="127" t="s">
        <v>213</v>
      </c>
    </row>
    <row r="12746" hidden="1">
      <c r="A12746" s="177" t="s">
        <v>218</v>
      </c>
      <c r="B12746" s="127" t="s">
        <v>219</v>
      </c>
      <c r="C12746" s="127" t="s">
        <v>206</v>
      </c>
      <c r="D12746" s="177" t="s">
        <v>63</v>
      </c>
      <c r="E12746" s="177" t="s">
        <v>15454</v>
      </c>
      <c r="F12746" s="177" t="s">
        <v>492</v>
      </c>
      <c r="G12746" s="177" t="s">
        <v>1839</v>
      </c>
      <c r="H12746" s="127" t="s">
        <v>214</v>
      </c>
    </row>
    <row r="12747" hidden="1">
      <c r="A12747" s="177" t="s">
        <v>218</v>
      </c>
      <c r="B12747" s="127" t="s">
        <v>219</v>
      </c>
      <c r="C12747" s="127" t="s">
        <v>206</v>
      </c>
      <c r="D12747" s="177" t="s">
        <v>63</v>
      </c>
      <c r="E12747" s="177" t="s">
        <v>15455</v>
      </c>
      <c r="F12747" s="177" t="s">
        <v>259</v>
      </c>
      <c r="G12747" s="177" t="s">
        <v>3221</v>
      </c>
      <c r="H12747" s="127" t="s">
        <v>215</v>
      </c>
    </row>
    <row r="12748" hidden="1">
      <c r="A12748" s="177" t="s">
        <v>218</v>
      </c>
      <c r="B12748" s="127" t="s">
        <v>219</v>
      </c>
      <c r="C12748" s="127" t="s">
        <v>206</v>
      </c>
      <c r="D12748" s="177" t="s">
        <v>63</v>
      </c>
      <c r="E12748" s="177" t="s">
        <v>15456</v>
      </c>
      <c r="F12748" s="177" t="s">
        <v>492</v>
      </c>
      <c r="G12748" s="177" t="s">
        <v>2929</v>
      </c>
      <c r="H12748" s="127" t="s">
        <v>216</v>
      </c>
    </row>
    <row r="12749" hidden="1">
      <c r="A12749" s="177" t="s">
        <v>220</v>
      </c>
      <c r="B12749" s="127" t="s">
        <v>190</v>
      </c>
      <c r="C12749" s="127" t="s">
        <v>206</v>
      </c>
      <c r="D12749" s="177" t="s">
        <v>63</v>
      </c>
      <c r="E12749" s="177" t="s">
        <v>15457</v>
      </c>
      <c r="F12749" s="177" t="s">
        <v>458</v>
      </c>
      <c r="G12749" s="177" t="s">
        <v>1858</v>
      </c>
      <c r="H12749" s="127" t="s">
        <v>210</v>
      </c>
    </row>
    <row r="12750" hidden="1">
      <c r="A12750" s="177" t="s">
        <v>220</v>
      </c>
      <c r="B12750" s="127" t="s">
        <v>190</v>
      </c>
      <c r="C12750" s="127" t="s">
        <v>206</v>
      </c>
      <c r="D12750" s="177" t="s">
        <v>63</v>
      </c>
      <c r="E12750" s="177" t="s">
        <v>15458</v>
      </c>
      <c r="F12750" s="177" t="s">
        <v>257</v>
      </c>
      <c r="G12750" s="177" t="s">
        <v>1860</v>
      </c>
      <c r="H12750" s="127" t="s">
        <v>211</v>
      </c>
    </row>
    <row r="12751" hidden="1">
      <c r="A12751" s="177" t="s">
        <v>220</v>
      </c>
      <c r="B12751" s="127" t="s">
        <v>190</v>
      </c>
      <c r="C12751" s="127" t="s">
        <v>206</v>
      </c>
      <c r="D12751" s="177" t="s">
        <v>63</v>
      </c>
      <c r="E12751" s="177" t="s">
        <v>15459</v>
      </c>
      <c r="F12751" s="177" t="s">
        <v>314</v>
      </c>
      <c r="G12751" s="177" t="s">
        <v>2847</v>
      </c>
      <c r="H12751" s="127" t="s">
        <v>212</v>
      </c>
    </row>
    <row r="12752" hidden="1">
      <c r="A12752" s="177" t="s">
        <v>220</v>
      </c>
      <c r="B12752" s="127" t="s">
        <v>190</v>
      </c>
      <c r="C12752" s="127" t="s">
        <v>206</v>
      </c>
      <c r="D12752" s="177" t="s">
        <v>63</v>
      </c>
      <c r="E12752" s="177" t="s">
        <v>15460</v>
      </c>
      <c r="F12752" s="177" t="s">
        <v>255</v>
      </c>
      <c r="G12752" s="177" t="s">
        <v>2242</v>
      </c>
      <c r="H12752" s="127" t="s">
        <v>213</v>
      </c>
    </row>
    <row r="12753" hidden="1">
      <c r="A12753" s="177" t="s">
        <v>220</v>
      </c>
      <c r="B12753" s="127" t="s">
        <v>190</v>
      </c>
      <c r="C12753" s="127" t="s">
        <v>206</v>
      </c>
      <c r="D12753" s="177" t="s">
        <v>63</v>
      </c>
      <c r="E12753" s="177" t="s">
        <v>15461</v>
      </c>
      <c r="F12753" s="177" t="s">
        <v>357</v>
      </c>
      <c r="G12753" s="177" t="s">
        <v>2847</v>
      </c>
      <c r="H12753" s="127" t="s">
        <v>214</v>
      </c>
    </row>
    <row r="12754" hidden="1">
      <c r="A12754" s="177" t="s">
        <v>220</v>
      </c>
      <c r="B12754" s="127" t="s">
        <v>190</v>
      </c>
      <c r="C12754" s="127" t="s">
        <v>206</v>
      </c>
      <c r="D12754" s="177" t="s">
        <v>63</v>
      </c>
      <c r="E12754" s="177" t="s">
        <v>15462</v>
      </c>
      <c r="F12754" s="177" t="s">
        <v>242</v>
      </c>
      <c r="G12754" s="177" t="s">
        <v>2457</v>
      </c>
      <c r="H12754" s="127" t="s">
        <v>215</v>
      </c>
    </row>
    <row r="12755" hidden="1">
      <c r="A12755" s="177" t="s">
        <v>220</v>
      </c>
      <c r="B12755" s="127" t="s">
        <v>190</v>
      </c>
      <c r="C12755" s="127" t="s">
        <v>206</v>
      </c>
      <c r="D12755" s="177" t="s">
        <v>63</v>
      </c>
      <c r="E12755" s="177" t="s">
        <v>15463</v>
      </c>
      <c r="F12755" s="177" t="s">
        <v>259</v>
      </c>
      <c r="G12755" s="177" t="s">
        <v>2694</v>
      </c>
      <c r="H12755" s="127" t="s">
        <v>216</v>
      </c>
    </row>
    <row r="12756" hidden="1">
      <c r="A12756" s="177" t="s">
        <v>221</v>
      </c>
      <c r="B12756" s="127" t="s">
        <v>189</v>
      </c>
      <c r="C12756" s="127" t="s">
        <v>206</v>
      </c>
      <c r="D12756" s="177" t="s">
        <v>63</v>
      </c>
      <c r="E12756" s="177" t="s">
        <v>15464</v>
      </c>
      <c r="F12756" s="177" t="s">
        <v>290</v>
      </c>
      <c r="G12756" s="177" t="s">
        <v>6391</v>
      </c>
      <c r="H12756" s="127" t="s">
        <v>210</v>
      </c>
    </row>
    <row r="12757" hidden="1">
      <c r="A12757" s="177" t="s">
        <v>221</v>
      </c>
      <c r="B12757" s="127" t="s">
        <v>189</v>
      </c>
      <c r="C12757" s="127" t="s">
        <v>206</v>
      </c>
      <c r="D12757" s="177" t="s">
        <v>63</v>
      </c>
      <c r="E12757" s="177" t="s">
        <v>15465</v>
      </c>
      <c r="F12757" s="177" t="s">
        <v>365</v>
      </c>
      <c r="G12757" s="177" t="s">
        <v>9492</v>
      </c>
      <c r="H12757" s="127" t="s">
        <v>211</v>
      </c>
    </row>
    <row r="12758" hidden="1">
      <c r="A12758" s="177" t="s">
        <v>221</v>
      </c>
      <c r="B12758" s="127" t="s">
        <v>189</v>
      </c>
      <c r="C12758" s="127" t="s">
        <v>206</v>
      </c>
      <c r="D12758" s="177" t="s">
        <v>63</v>
      </c>
      <c r="E12758" s="177" t="s">
        <v>15466</v>
      </c>
      <c r="F12758" s="177" t="s">
        <v>240</v>
      </c>
      <c r="G12758" s="177" t="s">
        <v>11376</v>
      </c>
      <c r="H12758" s="127" t="s">
        <v>212</v>
      </c>
    </row>
    <row r="12759" hidden="1">
      <c r="A12759" s="177" t="s">
        <v>221</v>
      </c>
      <c r="B12759" s="127" t="s">
        <v>189</v>
      </c>
      <c r="C12759" s="127" t="s">
        <v>206</v>
      </c>
      <c r="D12759" s="177" t="s">
        <v>63</v>
      </c>
      <c r="E12759" s="177" t="s">
        <v>15467</v>
      </c>
      <c r="F12759" s="177" t="s">
        <v>249</v>
      </c>
      <c r="G12759" s="177" t="s">
        <v>10272</v>
      </c>
      <c r="H12759" s="127" t="s">
        <v>213</v>
      </c>
    </row>
    <row r="12760" hidden="1">
      <c r="A12760" s="177" t="s">
        <v>221</v>
      </c>
      <c r="B12760" s="127" t="s">
        <v>189</v>
      </c>
      <c r="C12760" s="127" t="s">
        <v>206</v>
      </c>
      <c r="D12760" s="177" t="s">
        <v>63</v>
      </c>
      <c r="E12760" s="177" t="s">
        <v>15468</v>
      </c>
      <c r="F12760" s="177" t="s">
        <v>259</v>
      </c>
      <c r="G12760" s="177" t="s">
        <v>10400</v>
      </c>
      <c r="H12760" s="127" t="s">
        <v>214</v>
      </c>
    </row>
    <row r="12761" hidden="1">
      <c r="A12761" s="177" t="s">
        <v>221</v>
      </c>
      <c r="B12761" s="127" t="s">
        <v>189</v>
      </c>
      <c r="C12761" s="127" t="s">
        <v>206</v>
      </c>
      <c r="D12761" s="177" t="s">
        <v>63</v>
      </c>
      <c r="E12761" s="177" t="s">
        <v>15469</v>
      </c>
      <c r="F12761" s="177" t="s">
        <v>427</v>
      </c>
      <c r="G12761" s="177" t="s">
        <v>10934</v>
      </c>
      <c r="H12761" s="127" t="s">
        <v>215</v>
      </c>
    </row>
    <row r="12762" hidden="1">
      <c r="A12762" s="177" t="s">
        <v>221</v>
      </c>
      <c r="B12762" s="127" t="s">
        <v>189</v>
      </c>
      <c r="C12762" s="127" t="s">
        <v>206</v>
      </c>
      <c r="D12762" s="177" t="s">
        <v>63</v>
      </c>
      <c r="E12762" s="177" t="s">
        <v>15470</v>
      </c>
      <c r="F12762" s="177" t="s">
        <v>314</v>
      </c>
      <c r="G12762" s="177" t="s">
        <v>9945</v>
      </c>
      <c r="H12762" s="127" t="s">
        <v>216</v>
      </c>
    </row>
    <row r="12763" hidden="1">
      <c r="A12763" s="177" t="s">
        <v>222</v>
      </c>
      <c r="B12763" s="127" t="s">
        <v>192</v>
      </c>
      <c r="C12763" s="127" t="s">
        <v>206</v>
      </c>
      <c r="D12763" s="177" t="s">
        <v>63</v>
      </c>
      <c r="E12763" s="177" t="s">
        <v>15471</v>
      </c>
      <c r="F12763" s="177" t="s">
        <v>287</v>
      </c>
      <c r="G12763" s="177" t="s">
        <v>2633</v>
      </c>
      <c r="H12763" s="127" t="s">
        <v>210</v>
      </c>
    </row>
    <row r="12764" hidden="1">
      <c r="A12764" s="177" t="s">
        <v>222</v>
      </c>
      <c r="B12764" s="127" t="s">
        <v>192</v>
      </c>
      <c r="C12764" s="127" t="s">
        <v>206</v>
      </c>
      <c r="D12764" s="177" t="s">
        <v>63</v>
      </c>
      <c r="E12764" s="177" t="s">
        <v>15472</v>
      </c>
      <c r="F12764" s="177" t="s">
        <v>257</v>
      </c>
      <c r="G12764" s="177" t="s">
        <v>2705</v>
      </c>
      <c r="H12764" s="127" t="s">
        <v>211</v>
      </c>
    </row>
    <row r="12765" hidden="1">
      <c r="A12765" s="177" t="s">
        <v>222</v>
      </c>
      <c r="B12765" s="127" t="s">
        <v>192</v>
      </c>
      <c r="C12765" s="127" t="s">
        <v>206</v>
      </c>
      <c r="D12765" s="177" t="s">
        <v>63</v>
      </c>
      <c r="E12765" s="177" t="s">
        <v>15473</v>
      </c>
      <c r="F12765" s="177" t="s">
        <v>269</v>
      </c>
      <c r="G12765" s="177" t="s">
        <v>1722</v>
      </c>
      <c r="H12765" s="127" t="s">
        <v>212</v>
      </c>
    </row>
    <row r="12766" hidden="1">
      <c r="A12766" s="177" t="s">
        <v>222</v>
      </c>
      <c r="B12766" s="127" t="s">
        <v>192</v>
      </c>
      <c r="C12766" s="127" t="s">
        <v>206</v>
      </c>
      <c r="D12766" s="177" t="s">
        <v>63</v>
      </c>
      <c r="E12766" s="177" t="s">
        <v>15474</v>
      </c>
      <c r="F12766" s="177" t="s">
        <v>269</v>
      </c>
      <c r="G12766" s="177" t="s">
        <v>2680</v>
      </c>
      <c r="H12766" s="127" t="s">
        <v>213</v>
      </c>
    </row>
    <row r="12767" hidden="1">
      <c r="A12767" s="177" t="s">
        <v>222</v>
      </c>
      <c r="B12767" s="127" t="s">
        <v>192</v>
      </c>
      <c r="C12767" s="127" t="s">
        <v>206</v>
      </c>
      <c r="D12767" s="177" t="s">
        <v>63</v>
      </c>
      <c r="E12767" s="177" t="s">
        <v>15475</v>
      </c>
      <c r="F12767" s="177" t="s">
        <v>244</v>
      </c>
      <c r="G12767" s="177" t="s">
        <v>2401</v>
      </c>
      <c r="H12767" s="127" t="s">
        <v>214</v>
      </c>
    </row>
    <row r="12768" hidden="1">
      <c r="A12768" s="177" t="s">
        <v>222</v>
      </c>
      <c r="B12768" s="127" t="s">
        <v>192</v>
      </c>
      <c r="C12768" s="127" t="s">
        <v>206</v>
      </c>
      <c r="D12768" s="177" t="s">
        <v>63</v>
      </c>
      <c r="E12768" s="177" t="s">
        <v>15476</v>
      </c>
      <c r="F12768" s="177" t="s">
        <v>458</v>
      </c>
      <c r="G12768" s="177" t="s">
        <v>2785</v>
      </c>
      <c r="H12768" s="127" t="s">
        <v>215</v>
      </c>
    </row>
    <row r="12769" hidden="1">
      <c r="A12769" s="177" t="s">
        <v>222</v>
      </c>
      <c r="B12769" s="127" t="s">
        <v>192</v>
      </c>
      <c r="C12769" s="127" t="s">
        <v>206</v>
      </c>
      <c r="D12769" s="177" t="s">
        <v>63</v>
      </c>
      <c r="E12769" s="177" t="s">
        <v>15477</v>
      </c>
      <c r="F12769" s="177" t="s">
        <v>287</v>
      </c>
      <c r="G12769" s="177" t="s">
        <v>2680</v>
      </c>
      <c r="H12769" s="127" t="s">
        <v>216</v>
      </c>
    </row>
    <row r="12770" hidden="1">
      <c r="A12770" s="177" t="s">
        <v>223</v>
      </c>
      <c r="B12770" s="127" t="s">
        <v>144</v>
      </c>
      <c r="C12770" s="127" t="s">
        <v>206</v>
      </c>
      <c r="D12770" s="177" t="s">
        <v>63</v>
      </c>
      <c r="E12770" s="177" t="s">
        <v>15478</v>
      </c>
      <c r="F12770" s="177" t="s">
        <v>314</v>
      </c>
      <c r="G12770" s="177" t="s">
        <v>3142</v>
      </c>
      <c r="H12770" s="127" t="s">
        <v>210</v>
      </c>
    </row>
    <row r="12771" hidden="1">
      <c r="A12771" s="177" t="s">
        <v>223</v>
      </c>
      <c r="B12771" s="127" t="s">
        <v>144</v>
      </c>
      <c r="C12771" s="127" t="s">
        <v>206</v>
      </c>
      <c r="D12771" s="177" t="s">
        <v>63</v>
      </c>
      <c r="E12771" s="177" t="s">
        <v>15479</v>
      </c>
      <c r="F12771" s="177" t="s">
        <v>534</v>
      </c>
      <c r="G12771" s="177" t="s">
        <v>2661</v>
      </c>
      <c r="H12771" s="127" t="s">
        <v>211</v>
      </c>
    </row>
    <row r="12772" hidden="1">
      <c r="A12772" s="177" t="s">
        <v>223</v>
      </c>
      <c r="B12772" s="127" t="s">
        <v>144</v>
      </c>
      <c r="C12772" s="127" t="s">
        <v>206</v>
      </c>
      <c r="D12772" s="177" t="s">
        <v>63</v>
      </c>
      <c r="E12772" s="177" t="s">
        <v>15480</v>
      </c>
      <c r="F12772" s="177" t="s">
        <v>321</v>
      </c>
      <c r="G12772" s="177" t="s">
        <v>3282</v>
      </c>
      <c r="H12772" s="127" t="s">
        <v>212</v>
      </c>
    </row>
    <row r="12773" hidden="1">
      <c r="A12773" s="177" t="s">
        <v>223</v>
      </c>
      <c r="B12773" s="127" t="s">
        <v>144</v>
      </c>
      <c r="C12773" s="127" t="s">
        <v>206</v>
      </c>
      <c r="D12773" s="177" t="s">
        <v>63</v>
      </c>
      <c r="E12773" s="177" t="s">
        <v>15481</v>
      </c>
      <c r="F12773" s="177" t="s">
        <v>427</v>
      </c>
      <c r="G12773" s="177" t="s">
        <v>2224</v>
      </c>
      <c r="H12773" s="127" t="s">
        <v>213</v>
      </c>
    </row>
    <row r="12774" hidden="1">
      <c r="A12774" s="177" t="s">
        <v>223</v>
      </c>
      <c r="B12774" s="127" t="s">
        <v>144</v>
      </c>
      <c r="C12774" s="127" t="s">
        <v>206</v>
      </c>
      <c r="D12774" s="177" t="s">
        <v>63</v>
      </c>
      <c r="E12774" s="177" t="s">
        <v>15482</v>
      </c>
      <c r="F12774" s="177" t="s">
        <v>308</v>
      </c>
      <c r="G12774" s="177" t="s">
        <v>3389</v>
      </c>
      <c r="H12774" s="127" t="s">
        <v>214</v>
      </c>
    </row>
    <row r="12775" hidden="1">
      <c r="A12775" s="177" t="s">
        <v>223</v>
      </c>
      <c r="B12775" s="127" t="s">
        <v>144</v>
      </c>
      <c r="C12775" s="127" t="s">
        <v>206</v>
      </c>
      <c r="D12775" s="177" t="s">
        <v>63</v>
      </c>
      <c r="E12775" s="177" t="s">
        <v>15483</v>
      </c>
      <c r="F12775" s="177" t="s">
        <v>321</v>
      </c>
      <c r="G12775" s="177" t="s">
        <v>3558</v>
      </c>
      <c r="H12775" s="127" t="s">
        <v>215</v>
      </c>
    </row>
    <row r="12776" hidden="1">
      <c r="A12776" s="177" t="s">
        <v>223</v>
      </c>
      <c r="B12776" s="127" t="s">
        <v>144</v>
      </c>
      <c r="C12776" s="127" t="s">
        <v>206</v>
      </c>
      <c r="D12776" s="177" t="s">
        <v>63</v>
      </c>
      <c r="E12776" s="177" t="s">
        <v>15484</v>
      </c>
      <c r="F12776" s="177" t="s">
        <v>308</v>
      </c>
      <c r="G12776" s="177" t="s">
        <v>3115</v>
      </c>
      <c r="H12776" s="127" t="s">
        <v>216</v>
      </c>
    </row>
    <row r="12777" hidden="1">
      <c r="A12777" s="177" t="s">
        <v>224</v>
      </c>
      <c r="B12777" s="127" t="s">
        <v>170</v>
      </c>
      <c r="C12777" s="127" t="s">
        <v>206</v>
      </c>
      <c r="D12777" s="177" t="s">
        <v>63</v>
      </c>
      <c r="E12777" s="177" t="s">
        <v>15485</v>
      </c>
      <c r="F12777" s="177" t="s">
        <v>262</v>
      </c>
      <c r="G12777" s="177" t="s">
        <v>2041</v>
      </c>
      <c r="H12777" s="127" t="s">
        <v>210</v>
      </c>
    </row>
    <row r="12778" hidden="1">
      <c r="A12778" s="177" t="s">
        <v>224</v>
      </c>
      <c r="B12778" s="127" t="s">
        <v>170</v>
      </c>
      <c r="C12778" s="127" t="s">
        <v>206</v>
      </c>
      <c r="D12778" s="177" t="s">
        <v>63</v>
      </c>
      <c r="E12778" s="177" t="s">
        <v>15486</v>
      </c>
      <c r="F12778" s="177" t="s">
        <v>276</v>
      </c>
      <c r="G12778" s="177" t="s">
        <v>1816</v>
      </c>
      <c r="H12778" s="127" t="s">
        <v>211</v>
      </c>
    </row>
    <row r="12779" hidden="1">
      <c r="A12779" s="177" t="s">
        <v>224</v>
      </c>
      <c r="B12779" s="127" t="s">
        <v>170</v>
      </c>
      <c r="C12779" s="127" t="s">
        <v>206</v>
      </c>
      <c r="D12779" s="177" t="s">
        <v>63</v>
      </c>
      <c r="E12779" s="177" t="s">
        <v>15487</v>
      </c>
      <c r="F12779" s="177" t="s">
        <v>501</v>
      </c>
      <c r="G12779" s="177" t="s">
        <v>2852</v>
      </c>
      <c r="H12779" s="127" t="s">
        <v>212</v>
      </c>
    </row>
    <row r="12780" hidden="1">
      <c r="A12780" s="177" t="s">
        <v>224</v>
      </c>
      <c r="B12780" s="127" t="s">
        <v>170</v>
      </c>
      <c r="C12780" s="127" t="s">
        <v>206</v>
      </c>
      <c r="D12780" s="177" t="s">
        <v>63</v>
      </c>
      <c r="E12780" s="177" t="s">
        <v>15488</v>
      </c>
      <c r="F12780" s="177" t="s">
        <v>501</v>
      </c>
      <c r="G12780" s="177" t="s">
        <v>1839</v>
      </c>
      <c r="H12780" s="127" t="s">
        <v>213</v>
      </c>
    </row>
    <row r="12781" hidden="1">
      <c r="A12781" s="177" t="s">
        <v>224</v>
      </c>
      <c r="B12781" s="127" t="s">
        <v>170</v>
      </c>
      <c r="C12781" s="127" t="s">
        <v>206</v>
      </c>
      <c r="D12781" s="177" t="s">
        <v>63</v>
      </c>
      <c r="E12781" s="177" t="s">
        <v>15489</v>
      </c>
      <c r="F12781" s="177" t="s">
        <v>269</v>
      </c>
      <c r="G12781" s="177" t="s">
        <v>2413</v>
      </c>
      <c r="H12781" s="127" t="s">
        <v>214</v>
      </c>
    </row>
    <row r="12782" hidden="1">
      <c r="A12782" s="177" t="s">
        <v>224</v>
      </c>
      <c r="B12782" s="127" t="s">
        <v>170</v>
      </c>
      <c r="C12782" s="127" t="s">
        <v>206</v>
      </c>
      <c r="D12782" s="177" t="s">
        <v>63</v>
      </c>
      <c r="E12782" s="177" t="s">
        <v>15490</v>
      </c>
      <c r="F12782" s="177" t="s">
        <v>436</v>
      </c>
      <c r="G12782" s="177" t="s">
        <v>2703</v>
      </c>
      <c r="H12782" s="127" t="s">
        <v>215</v>
      </c>
    </row>
    <row r="12783" hidden="1">
      <c r="A12783" s="177" t="s">
        <v>224</v>
      </c>
      <c r="B12783" s="127" t="s">
        <v>170</v>
      </c>
      <c r="C12783" s="127" t="s">
        <v>206</v>
      </c>
      <c r="D12783" s="177" t="s">
        <v>63</v>
      </c>
      <c r="E12783" s="177" t="s">
        <v>15491</v>
      </c>
      <c r="F12783" s="177" t="s">
        <v>298</v>
      </c>
      <c r="G12783" s="177" t="s">
        <v>1864</v>
      </c>
      <c r="H12783" s="127" t="s">
        <v>216</v>
      </c>
    </row>
    <row r="12784" hidden="1">
      <c r="A12784" s="177" t="s">
        <v>225</v>
      </c>
      <c r="B12784" s="127" t="s">
        <v>226</v>
      </c>
      <c r="C12784" s="127" t="s">
        <v>206</v>
      </c>
      <c r="D12784" s="177" t="s">
        <v>63</v>
      </c>
      <c r="E12784" s="177" t="s">
        <v>15492</v>
      </c>
      <c r="F12784" s="177" t="s">
        <v>494</v>
      </c>
      <c r="G12784" s="177" t="s">
        <v>2826</v>
      </c>
      <c r="H12784" s="127" t="s">
        <v>210</v>
      </c>
    </row>
    <row r="12785" hidden="1">
      <c r="A12785" s="177" t="s">
        <v>225</v>
      </c>
      <c r="B12785" s="127" t="s">
        <v>226</v>
      </c>
      <c r="C12785" s="127" t="s">
        <v>206</v>
      </c>
      <c r="D12785" s="177" t="s">
        <v>63</v>
      </c>
      <c r="E12785" s="177" t="s">
        <v>15493</v>
      </c>
      <c r="F12785" s="177" t="s">
        <v>425</v>
      </c>
      <c r="G12785" s="177" t="s">
        <v>4006</v>
      </c>
      <c r="H12785" s="127" t="s">
        <v>211</v>
      </c>
    </row>
    <row r="12786" hidden="1">
      <c r="A12786" s="177" t="s">
        <v>225</v>
      </c>
      <c r="B12786" s="127" t="s">
        <v>226</v>
      </c>
      <c r="C12786" s="127" t="s">
        <v>206</v>
      </c>
      <c r="D12786" s="177" t="s">
        <v>63</v>
      </c>
      <c r="E12786" s="177" t="s">
        <v>15494</v>
      </c>
      <c r="F12786" s="177" t="s">
        <v>425</v>
      </c>
      <c r="G12786" s="177" t="s">
        <v>2113</v>
      </c>
      <c r="H12786" s="127" t="s">
        <v>212</v>
      </c>
    </row>
    <row r="12787" hidden="1">
      <c r="A12787" s="177" t="s">
        <v>225</v>
      </c>
      <c r="B12787" s="127" t="s">
        <v>226</v>
      </c>
      <c r="C12787" s="127" t="s">
        <v>206</v>
      </c>
      <c r="D12787" s="177" t="s">
        <v>63</v>
      </c>
      <c r="E12787" s="177" t="s">
        <v>15495</v>
      </c>
      <c r="F12787" s="177" t="s">
        <v>494</v>
      </c>
      <c r="G12787" s="177" t="s">
        <v>3574</v>
      </c>
      <c r="H12787" s="127" t="s">
        <v>213</v>
      </c>
    </row>
    <row r="12788" hidden="1">
      <c r="A12788" s="177" t="s">
        <v>225</v>
      </c>
      <c r="B12788" s="127" t="s">
        <v>226</v>
      </c>
      <c r="C12788" s="127" t="s">
        <v>206</v>
      </c>
      <c r="D12788" s="177" t="s">
        <v>63</v>
      </c>
      <c r="E12788" s="177" t="s">
        <v>15496</v>
      </c>
      <c r="F12788" s="177" t="s">
        <v>351</v>
      </c>
      <c r="G12788" s="177" t="s">
        <v>2181</v>
      </c>
      <c r="H12788" s="127" t="s">
        <v>214</v>
      </c>
    </row>
    <row r="12789" hidden="1">
      <c r="A12789" s="177" t="s">
        <v>225</v>
      </c>
      <c r="B12789" s="127" t="s">
        <v>226</v>
      </c>
      <c r="C12789" s="127" t="s">
        <v>206</v>
      </c>
      <c r="D12789" s="177" t="s">
        <v>63</v>
      </c>
      <c r="E12789" s="177" t="s">
        <v>15497</v>
      </c>
      <c r="F12789" s="177" t="s">
        <v>290</v>
      </c>
      <c r="G12789" s="177" t="s">
        <v>3915</v>
      </c>
      <c r="H12789" s="127" t="s">
        <v>215</v>
      </c>
    </row>
    <row r="12790" hidden="1">
      <c r="A12790" s="177" t="s">
        <v>225</v>
      </c>
      <c r="B12790" s="127" t="s">
        <v>226</v>
      </c>
      <c r="C12790" s="127" t="s">
        <v>206</v>
      </c>
      <c r="D12790" s="177" t="s">
        <v>63</v>
      </c>
      <c r="E12790" s="177" t="s">
        <v>15498</v>
      </c>
      <c r="F12790" s="177" t="s">
        <v>329</v>
      </c>
      <c r="G12790" s="177" t="s">
        <v>2671</v>
      </c>
      <c r="H12790" s="127" t="s">
        <v>216</v>
      </c>
    </row>
    <row r="12791" hidden="1">
      <c r="A12791" s="177" t="s">
        <v>227</v>
      </c>
      <c r="B12791" s="127" t="s">
        <v>195</v>
      </c>
      <c r="C12791" s="127" t="s">
        <v>206</v>
      </c>
      <c r="D12791" s="177" t="s">
        <v>63</v>
      </c>
      <c r="E12791" s="177" t="s">
        <v>15499</v>
      </c>
      <c r="F12791" s="177" t="s">
        <v>255</v>
      </c>
      <c r="G12791" s="177" t="s">
        <v>2387</v>
      </c>
      <c r="H12791" s="127" t="s">
        <v>210</v>
      </c>
    </row>
    <row r="12792" hidden="1">
      <c r="A12792" s="177" t="s">
        <v>227</v>
      </c>
      <c r="B12792" s="127" t="s">
        <v>195</v>
      </c>
      <c r="C12792" s="127" t="s">
        <v>206</v>
      </c>
      <c r="D12792" s="177" t="s">
        <v>63</v>
      </c>
      <c r="E12792" s="177" t="s">
        <v>15500</v>
      </c>
      <c r="F12792" s="177" t="s">
        <v>249</v>
      </c>
      <c r="G12792" s="177" t="s">
        <v>3154</v>
      </c>
      <c r="H12792" s="127" t="s">
        <v>211</v>
      </c>
    </row>
    <row r="12793" hidden="1">
      <c r="A12793" s="177" t="s">
        <v>227</v>
      </c>
      <c r="B12793" s="127" t="s">
        <v>195</v>
      </c>
      <c r="C12793" s="127" t="s">
        <v>206</v>
      </c>
      <c r="D12793" s="177" t="s">
        <v>63</v>
      </c>
      <c r="E12793" s="177" t="s">
        <v>15501</v>
      </c>
      <c r="F12793" s="177" t="s">
        <v>242</v>
      </c>
      <c r="G12793" s="177" t="s">
        <v>3523</v>
      </c>
      <c r="H12793" s="127" t="s">
        <v>212</v>
      </c>
    </row>
    <row r="12794" hidden="1">
      <c r="A12794" s="177" t="s">
        <v>227</v>
      </c>
      <c r="B12794" s="127" t="s">
        <v>195</v>
      </c>
      <c r="C12794" s="127" t="s">
        <v>206</v>
      </c>
      <c r="D12794" s="177" t="s">
        <v>63</v>
      </c>
      <c r="E12794" s="177" t="s">
        <v>15502</v>
      </c>
      <c r="F12794" s="177" t="s">
        <v>246</v>
      </c>
      <c r="G12794" s="177" t="s">
        <v>3138</v>
      </c>
      <c r="H12794" s="127" t="s">
        <v>213</v>
      </c>
    </row>
    <row r="12795" hidden="1">
      <c r="A12795" s="177" t="s">
        <v>227</v>
      </c>
      <c r="B12795" s="127" t="s">
        <v>195</v>
      </c>
      <c r="C12795" s="127" t="s">
        <v>206</v>
      </c>
      <c r="D12795" s="177" t="s">
        <v>63</v>
      </c>
      <c r="E12795" s="177" t="s">
        <v>15503</v>
      </c>
      <c r="F12795" s="177" t="s">
        <v>365</v>
      </c>
      <c r="G12795" s="177" t="s">
        <v>2287</v>
      </c>
      <c r="H12795" s="127" t="s">
        <v>214</v>
      </c>
    </row>
    <row r="12796" hidden="1">
      <c r="A12796" s="177" t="s">
        <v>227</v>
      </c>
      <c r="B12796" s="127" t="s">
        <v>195</v>
      </c>
      <c r="C12796" s="127" t="s">
        <v>206</v>
      </c>
      <c r="D12796" s="177" t="s">
        <v>63</v>
      </c>
      <c r="E12796" s="177" t="s">
        <v>15504</v>
      </c>
      <c r="F12796" s="177" t="s">
        <v>242</v>
      </c>
      <c r="G12796" s="177" t="s">
        <v>2242</v>
      </c>
      <c r="H12796" s="127" t="s">
        <v>215</v>
      </c>
    </row>
    <row r="12797" hidden="1">
      <c r="A12797" s="177" t="s">
        <v>227</v>
      </c>
      <c r="B12797" s="127" t="s">
        <v>195</v>
      </c>
      <c r="C12797" s="127" t="s">
        <v>206</v>
      </c>
      <c r="D12797" s="177" t="s">
        <v>63</v>
      </c>
      <c r="E12797" s="177" t="s">
        <v>15505</v>
      </c>
      <c r="F12797" s="177" t="s">
        <v>244</v>
      </c>
      <c r="G12797" s="177" t="s">
        <v>3525</v>
      </c>
      <c r="H12797" s="127" t="s">
        <v>216</v>
      </c>
    </row>
    <row r="12798" hidden="1">
      <c r="A12798" s="177" t="s">
        <v>228</v>
      </c>
      <c r="B12798" s="127" t="s">
        <v>138</v>
      </c>
      <c r="C12798" s="127" t="s">
        <v>206</v>
      </c>
      <c r="D12798" s="177" t="s">
        <v>63</v>
      </c>
      <c r="E12798" s="177" t="s">
        <v>15506</v>
      </c>
      <c r="F12798" s="177" t="s">
        <v>244</v>
      </c>
      <c r="G12798" s="177" t="s">
        <v>2185</v>
      </c>
      <c r="H12798" s="127" t="s">
        <v>210</v>
      </c>
    </row>
    <row r="12799" hidden="1">
      <c r="A12799" s="177" t="s">
        <v>228</v>
      </c>
      <c r="B12799" s="127" t="s">
        <v>138</v>
      </c>
      <c r="C12799" s="127" t="s">
        <v>206</v>
      </c>
      <c r="D12799" s="177" t="s">
        <v>63</v>
      </c>
      <c r="E12799" s="177" t="s">
        <v>15507</v>
      </c>
      <c r="F12799" s="177" t="s">
        <v>287</v>
      </c>
      <c r="G12799" s="177" t="s">
        <v>9902</v>
      </c>
      <c r="H12799" s="127" t="s">
        <v>211</v>
      </c>
    </row>
    <row r="12800" hidden="1">
      <c r="A12800" s="177" t="s">
        <v>228</v>
      </c>
      <c r="B12800" s="127" t="s">
        <v>138</v>
      </c>
      <c r="C12800" s="127" t="s">
        <v>206</v>
      </c>
      <c r="D12800" s="177" t="s">
        <v>63</v>
      </c>
      <c r="E12800" s="177" t="s">
        <v>15508</v>
      </c>
      <c r="F12800" s="177" t="s">
        <v>240</v>
      </c>
      <c r="G12800" s="177" t="s">
        <v>10387</v>
      </c>
      <c r="H12800" s="127" t="s">
        <v>212</v>
      </c>
    </row>
    <row r="12801" hidden="1">
      <c r="A12801" s="177" t="s">
        <v>228</v>
      </c>
      <c r="B12801" s="127" t="s">
        <v>138</v>
      </c>
      <c r="C12801" s="127" t="s">
        <v>206</v>
      </c>
      <c r="D12801" s="177" t="s">
        <v>63</v>
      </c>
      <c r="E12801" s="177" t="s">
        <v>15509</v>
      </c>
      <c r="F12801" s="177" t="s">
        <v>308</v>
      </c>
      <c r="G12801" s="177" t="s">
        <v>10272</v>
      </c>
      <c r="H12801" s="127" t="s">
        <v>213</v>
      </c>
    </row>
    <row r="12802" hidden="1">
      <c r="A12802" s="177" t="s">
        <v>228</v>
      </c>
      <c r="B12802" s="127" t="s">
        <v>138</v>
      </c>
      <c r="C12802" s="127" t="s">
        <v>206</v>
      </c>
      <c r="D12802" s="177" t="s">
        <v>63</v>
      </c>
      <c r="E12802" s="177" t="s">
        <v>15510</v>
      </c>
      <c r="F12802" s="177" t="s">
        <v>339</v>
      </c>
      <c r="G12802" s="177" t="s">
        <v>14926</v>
      </c>
      <c r="H12802" s="127" t="s">
        <v>214</v>
      </c>
    </row>
    <row r="12803" hidden="1">
      <c r="A12803" s="177" t="s">
        <v>228</v>
      </c>
      <c r="B12803" s="127" t="s">
        <v>138</v>
      </c>
      <c r="C12803" s="127" t="s">
        <v>206</v>
      </c>
      <c r="D12803" s="177" t="s">
        <v>63</v>
      </c>
      <c r="E12803" s="177" t="s">
        <v>15511</v>
      </c>
      <c r="F12803" s="177" t="s">
        <v>312</v>
      </c>
      <c r="G12803" s="177" t="s">
        <v>10100</v>
      </c>
      <c r="H12803" s="127" t="s">
        <v>215</v>
      </c>
    </row>
    <row r="12804" hidden="1">
      <c r="A12804" s="177" t="s">
        <v>228</v>
      </c>
      <c r="B12804" s="127" t="s">
        <v>138</v>
      </c>
      <c r="C12804" s="127" t="s">
        <v>206</v>
      </c>
      <c r="D12804" s="177" t="s">
        <v>63</v>
      </c>
      <c r="E12804" s="177" t="s">
        <v>15512</v>
      </c>
      <c r="F12804" s="177" t="s">
        <v>357</v>
      </c>
      <c r="G12804" s="177" t="s">
        <v>7470</v>
      </c>
      <c r="H12804" s="127" t="s">
        <v>216</v>
      </c>
    </row>
    <row r="12805" hidden="1">
      <c r="A12805" s="177" t="s">
        <v>229</v>
      </c>
      <c r="B12805" s="127" t="s">
        <v>193</v>
      </c>
      <c r="C12805" s="127" t="s">
        <v>206</v>
      </c>
      <c r="D12805" s="177" t="s">
        <v>63</v>
      </c>
      <c r="E12805" s="177" t="s">
        <v>15513</v>
      </c>
      <c r="F12805" s="177" t="s">
        <v>534</v>
      </c>
      <c r="G12805" s="177" t="s">
        <v>3468</v>
      </c>
      <c r="H12805" s="127" t="s">
        <v>210</v>
      </c>
    </row>
    <row r="12806" hidden="1">
      <c r="A12806" s="177" t="s">
        <v>229</v>
      </c>
      <c r="B12806" s="127" t="s">
        <v>193</v>
      </c>
      <c r="C12806" s="127" t="s">
        <v>206</v>
      </c>
      <c r="D12806" s="177" t="s">
        <v>63</v>
      </c>
      <c r="E12806" s="177" t="s">
        <v>15514</v>
      </c>
      <c r="F12806" s="177" t="s">
        <v>427</v>
      </c>
      <c r="G12806" s="177" t="s">
        <v>3432</v>
      </c>
      <c r="H12806" s="127" t="s">
        <v>211</v>
      </c>
    </row>
    <row r="12807" hidden="1">
      <c r="A12807" s="177" t="s">
        <v>229</v>
      </c>
      <c r="B12807" s="127" t="s">
        <v>193</v>
      </c>
      <c r="C12807" s="127" t="s">
        <v>206</v>
      </c>
      <c r="D12807" s="177" t="s">
        <v>63</v>
      </c>
      <c r="E12807" s="177" t="s">
        <v>15515</v>
      </c>
      <c r="F12807" s="177" t="s">
        <v>351</v>
      </c>
      <c r="G12807" s="177" t="s">
        <v>3111</v>
      </c>
      <c r="H12807" s="127" t="s">
        <v>212</v>
      </c>
    </row>
    <row r="12808" hidden="1">
      <c r="A12808" s="177" t="s">
        <v>229</v>
      </c>
      <c r="B12808" s="127" t="s">
        <v>193</v>
      </c>
      <c r="C12808" s="127" t="s">
        <v>206</v>
      </c>
      <c r="D12808" s="177" t="s">
        <v>63</v>
      </c>
      <c r="E12808" s="177" t="s">
        <v>15516</v>
      </c>
      <c r="F12808" s="177" t="s">
        <v>204</v>
      </c>
      <c r="G12808" s="177" t="s">
        <v>3629</v>
      </c>
      <c r="H12808" s="127" t="s">
        <v>213</v>
      </c>
    </row>
    <row r="12809" hidden="1">
      <c r="A12809" s="177" t="s">
        <v>229</v>
      </c>
      <c r="B12809" s="127" t="s">
        <v>193</v>
      </c>
      <c r="C12809" s="127" t="s">
        <v>206</v>
      </c>
      <c r="D12809" s="177" t="s">
        <v>63</v>
      </c>
      <c r="E12809" s="177" t="s">
        <v>15517</v>
      </c>
      <c r="F12809" s="177" t="s">
        <v>799</v>
      </c>
      <c r="G12809" s="177" t="s">
        <v>3701</v>
      </c>
      <c r="H12809" s="127" t="s">
        <v>214</v>
      </c>
    </row>
    <row r="12810" hidden="1">
      <c r="A12810" s="177" t="s">
        <v>229</v>
      </c>
      <c r="B12810" s="127" t="s">
        <v>193</v>
      </c>
      <c r="C12810" s="127" t="s">
        <v>206</v>
      </c>
      <c r="D12810" s="177" t="s">
        <v>63</v>
      </c>
      <c r="E12810" s="177" t="s">
        <v>15518</v>
      </c>
      <c r="F12810" s="177" t="s">
        <v>365</v>
      </c>
      <c r="G12810" s="177" t="s">
        <v>9711</v>
      </c>
      <c r="H12810" s="127" t="s">
        <v>215</v>
      </c>
    </row>
    <row r="12811" hidden="1">
      <c r="A12811" s="177" t="s">
        <v>229</v>
      </c>
      <c r="B12811" s="127" t="s">
        <v>193</v>
      </c>
      <c r="C12811" s="127" t="s">
        <v>206</v>
      </c>
      <c r="D12811" s="177" t="s">
        <v>63</v>
      </c>
      <c r="E12811" s="177" t="s">
        <v>15519</v>
      </c>
      <c r="F12811" s="177" t="s">
        <v>534</v>
      </c>
      <c r="G12811" s="177" t="s">
        <v>3636</v>
      </c>
      <c r="H12811" s="127" t="s">
        <v>216</v>
      </c>
    </row>
    <row r="12812" hidden="1">
      <c r="A12812" s="177" t="s">
        <v>230</v>
      </c>
      <c r="B12812" s="127" t="s">
        <v>194</v>
      </c>
      <c r="C12812" s="127" t="s">
        <v>206</v>
      </c>
      <c r="D12812" s="177" t="s">
        <v>63</v>
      </c>
      <c r="E12812" s="177" t="s">
        <v>15520</v>
      </c>
      <c r="F12812" s="177" t="s">
        <v>534</v>
      </c>
      <c r="G12812" s="177" t="s">
        <v>2989</v>
      </c>
      <c r="H12812" s="127" t="s">
        <v>210</v>
      </c>
    </row>
    <row r="12813" hidden="1">
      <c r="A12813" s="177" t="s">
        <v>230</v>
      </c>
      <c r="B12813" s="127" t="s">
        <v>194</v>
      </c>
      <c r="C12813" s="127" t="s">
        <v>206</v>
      </c>
      <c r="D12813" s="177" t="s">
        <v>63</v>
      </c>
      <c r="E12813" s="177" t="s">
        <v>15521</v>
      </c>
      <c r="F12813" s="177" t="s">
        <v>323</v>
      </c>
      <c r="G12813" s="177" t="s">
        <v>2309</v>
      </c>
      <c r="H12813" s="127" t="s">
        <v>211</v>
      </c>
    </row>
    <row r="12814" hidden="1">
      <c r="A12814" s="177" t="s">
        <v>230</v>
      </c>
      <c r="B12814" s="127" t="s">
        <v>194</v>
      </c>
      <c r="C12814" s="127" t="s">
        <v>206</v>
      </c>
      <c r="D12814" s="177" t="s">
        <v>63</v>
      </c>
      <c r="E12814" s="177" t="s">
        <v>15522</v>
      </c>
      <c r="F12814" s="177" t="s">
        <v>242</v>
      </c>
      <c r="G12814" s="177" t="s">
        <v>2243</v>
      </c>
      <c r="H12814" s="127" t="s">
        <v>212</v>
      </c>
    </row>
    <row r="12815" hidden="1">
      <c r="A12815" s="177" t="s">
        <v>230</v>
      </c>
      <c r="B12815" s="127" t="s">
        <v>194</v>
      </c>
      <c r="C12815" s="127" t="s">
        <v>206</v>
      </c>
      <c r="D12815" s="177" t="s">
        <v>63</v>
      </c>
      <c r="E12815" s="177" t="s">
        <v>15523</v>
      </c>
      <c r="F12815" s="177" t="s">
        <v>290</v>
      </c>
      <c r="G12815" s="177" t="s">
        <v>3647</v>
      </c>
      <c r="H12815" s="127" t="s">
        <v>213</v>
      </c>
    </row>
    <row r="12816" hidden="1">
      <c r="A12816" s="177" t="s">
        <v>230</v>
      </c>
      <c r="B12816" s="127" t="s">
        <v>194</v>
      </c>
      <c r="C12816" s="127" t="s">
        <v>206</v>
      </c>
      <c r="D12816" s="177" t="s">
        <v>63</v>
      </c>
      <c r="E12816" s="177" t="s">
        <v>15524</v>
      </c>
      <c r="F12816" s="177" t="s">
        <v>314</v>
      </c>
      <c r="G12816" s="177" t="s">
        <v>2859</v>
      </c>
      <c r="H12816" s="127" t="s">
        <v>214</v>
      </c>
    </row>
    <row r="12817" hidden="1">
      <c r="A12817" s="177" t="s">
        <v>230</v>
      </c>
      <c r="B12817" s="127" t="s">
        <v>194</v>
      </c>
      <c r="C12817" s="127" t="s">
        <v>206</v>
      </c>
      <c r="D12817" s="177" t="s">
        <v>63</v>
      </c>
      <c r="E12817" s="177" t="s">
        <v>15525</v>
      </c>
      <c r="F12817" s="177" t="s">
        <v>249</v>
      </c>
      <c r="G12817" s="177" t="s">
        <v>2620</v>
      </c>
      <c r="H12817" s="127" t="s">
        <v>215</v>
      </c>
    </row>
    <row r="12818" hidden="1">
      <c r="A12818" s="177" t="s">
        <v>230</v>
      </c>
      <c r="B12818" s="127" t="s">
        <v>194</v>
      </c>
      <c r="C12818" s="127" t="s">
        <v>206</v>
      </c>
      <c r="D12818" s="177" t="s">
        <v>63</v>
      </c>
      <c r="E12818" s="177" t="s">
        <v>15526</v>
      </c>
      <c r="F12818" s="177" t="s">
        <v>249</v>
      </c>
      <c r="G12818" s="177" t="s">
        <v>3151</v>
      </c>
      <c r="H12818" s="127" t="s">
        <v>216</v>
      </c>
    </row>
    <row r="12819" hidden="1">
      <c r="A12819" s="127" t="s">
        <v>231</v>
      </c>
      <c r="C12819" s="127" t="s">
        <v>232</v>
      </c>
      <c r="D12819" s="177" t="s">
        <v>63</v>
      </c>
      <c r="E12819" s="177" t="s">
        <v>15527</v>
      </c>
      <c r="F12819" s="177" t="s">
        <v>5962</v>
      </c>
      <c r="G12819" s="177" t="s">
        <v>2011</v>
      </c>
      <c r="H12819" s="127" t="s">
        <v>210</v>
      </c>
    </row>
    <row r="12820" hidden="1">
      <c r="A12820" s="127" t="s">
        <v>231</v>
      </c>
      <c r="C12820" s="127" t="s">
        <v>232</v>
      </c>
      <c r="D12820" s="177" t="s">
        <v>63</v>
      </c>
      <c r="E12820" s="177" t="s">
        <v>15528</v>
      </c>
      <c r="F12820" s="177" t="s">
        <v>15529</v>
      </c>
      <c r="G12820" s="177" t="s">
        <v>1896</v>
      </c>
      <c r="H12820" s="127" t="s">
        <v>211</v>
      </c>
    </row>
    <row r="12821" hidden="1">
      <c r="A12821" s="127" t="s">
        <v>231</v>
      </c>
      <c r="C12821" s="127" t="s">
        <v>232</v>
      </c>
      <c r="D12821" s="177" t="s">
        <v>63</v>
      </c>
      <c r="E12821" s="177" t="s">
        <v>15530</v>
      </c>
      <c r="F12821" s="177" t="s">
        <v>15531</v>
      </c>
      <c r="G12821" s="177" t="s">
        <v>2321</v>
      </c>
      <c r="H12821" s="127" t="s">
        <v>212</v>
      </c>
    </row>
    <row r="12822" hidden="1">
      <c r="A12822" s="127" t="s">
        <v>231</v>
      </c>
      <c r="C12822" s="127" t="s">
        <v>232</v>
      </c>
      <c r="D12822" s="177" t="s">
        <v>63</v>
      </c>
      <c r="E12822" s="177" t="s">
        <v>15532</v>
      </c>
      <c r="F12822" s="177" t="s">
        <v>15531</v>
      </c>
      <c r="G12822" s="177" t="s">
        <v>1735</v>
      </c>
      <c r="H12822" s="127" t="s">
        <v>213</v>
      </c>
    </row>
    <row r="12823" hidden="1">
      <c r="A12823" s="127" t="s">
        <v>231</v>
      </c>
      <c r="C12823" s="127" t="s">
        <v>232</v>
      </c>
      <c r="D12823" s="177" t="s">
        <v>63</v>
      </c>
      <c r="E12823" s="177" t="s">
        <v>15533</v>
      </c>
      <c r="F12823" s="177" t="s">
        <v>5567</v>
      </c>
      <c r="G12823" s="177" t="s">
        <v>2091</v>
      </c>
      <c r="H12823" s="127" t="s">
        <v>214</v>
      </c>
    </row>
    <row r="12824" hidden="1">
      <c r="A12824" s="127" t="s">
        <v>231</v>
      </c>
      <c r="C12824" s="127" t="s">
        <v>232</v>
      </c>
      <c r="D12824" s="177" t="s">
        <v>63</v>
      </c>
      <c r="E12824" s="177" t="s">
        <v>15534</v>
      </c>
      <c r="F12824" s="177" t="s">
        <v>287</v>
      </c>
      <c r="G12824" s="177" t="s">
        <v>3284</v>
      </c>
      <c r="H12824" s="127" t="s">
        <v>215</v>
      </c>
    </row>
    <row r="12825" hidden="1">
      <c r="A12825" s="127" t="s">
        <v>231</v>
      </c>
      <c r="C12825" s="127" t="s">
        <v>232</v>
      </c>
      <c r="D12825" s="177" t="s">
        <v>63</v>
      </c>
      <c r="E12825" s="177" t="s">
        <v>15535</v>
      </c>
      <c r="F12825" s="177" t="s">
        <v>15536</v>
      </c>
      <c r="G12825" s="177" t="s">
        <v>1916</v>
      </c>
      <c r="H12825" s="127" t="s">
        <v>216</v>
      </c>
    </row>
    <row r="12826" hidden="1">
      <c r="A12826" s="127" t="s">
        <v>233</v>
      </c>
      <c r="C12826" s="127" t="s">
        <v>232</v>
      </c>
      <c r="D12826" s="177" t="s">
        <v>63</v>
      </c>
      <c r="E12826" s="177" t="s">
        <v>15537</v>
      </c>
      <c r="F12826" s="177" t="s">
        <v>323</v>
      </c>
      <c r="G12826" s="177" t="s">
        <v>3402</v>
      </c>
      <c r="H12826" s="127" t="s">
        <v>210</v>
      </c>
    </row>
    <row r="12827" hidden="1">
      <c r="A12827" s="127" t="s">
        <v>233</v>
      </c>
      <c r="C12827" s="127" t="s">
        <v>232</v>
      </c>
      <c r="D12827" s="177" t="s">
        <v>63</v>
      </c>
      <c r="E12827" s="177" t="s">
        <v>15538</v>
      </c>
      <c r="F12827" s="177" t="s">
        <v>314</v>
      </c>
      <c r="G12827" s="177" t="s">
        <v>2995</v>
      </c>
      <c r="H12827" s="127" t="s">
        <v>211</v>
      </c>
    </row>
    <row r="12828" hidden="1">
      <c r="A12828" s="127" t="s">
        <v>233</v>
      </c>
      <c r="C12828" s="127" t="s">
        <v>232</v>
      </c>
      <c r="D12828" s="177" t="s">
        <v>63</v>
      </c>
      <c r="E12828" s="177" t="s">
        <v>15539</v>
      </c>
      <c r="F12828" s="177" t="s">
        <v>285</v>
      </c>
      <c r="G12828" s="177" t="s">
        <v>2307</v>
      </c>
      <c r="H12828" s="127" t="s">
        <v>212</v>
      </c>
    </row>
    <row r="12829" hidden="1">
      <c r="A12829" s="127" t="s">
        <v>233</v>
      </c>
      <c r="C12829" s="127" t="s">
        <v>232</v>
      </c>
      <c r="D12829" s="177" t="s">
        <v>63</v>
      </c>
      <c r="E12829" s="177" t="s">
        <v>15540</v>
      </c>
      <c r="F12829" s="177" t="s">
        <v>242</v>
      </c>
      <c r="G12829" s="177" t="s">
        <v>1782</v>
      </c>
      <c r="H12829" s="127" t="s">
        <v>213</v>
      </c>
    </row>
    <row r="12830" hidden="1">
      <c r="A12830" s="127" t="s">
        <v>233</v>
      </c>
      <c r="C12830" s="127" t="s">
        <v>232</v>
      </c>
      <c r="D12830" s="177" t="s">
        <v>63</v>
      </c>
      <c r="E12830" s="177" t="s">
        <v>15541</v>
      </c>
      <c r="F12830" s="177" t="s">
        <v>285</v>
      </c>
      <c r="G12830" s="177" t="s">
        <v>2219</v>
      </c>
      <c r="H12830" s="127" t="s">
        <v>214</v>
      </c>
    </row>
    <row r="12831" hidden="1">
      <c r="A12831" s="127" t="s">
        <v>233</v>
      </c>
      <c r="C12831" s="127" t="s">
        <v>232</v>
      </c>
      <c r="D12831" s="177" t="s">
        <v>63</v>
      </c>
      <c r="E12831" s="177" t="s">
        <v>15542</v>
      </c>
      <c r="F12831" s="177" t="s">
        <v>246</v>
      </c>
      <c r="G12831" s="177" t="s">
        <v>2285</v>
      </c>
      <c r="H12831" s="127" t="s">
        <v>215</v>
      </c>
    </row>
    <row r="12832" hidden="1">
      <c r="A12832" s="127" t="s">
        <v>233</v>
      </c>
      <c r="C12832" s="127" t="s">
        <v>232</v>
      </c>
      <c r="D12832" s="177" t="s">
        <v>63</v>
      </c>
      <c r="E12832" s="177" t="s">
        <v>15543</v>
      </c>
      <c r="F12832" s="177" t="s">
        <v>285</v>
      </c>
      <c r="G12832" s="177" t="s">
        <v>3513</v>
      </c>
      <c r="H12832" s="127" t="s">
        <v>216</v>
      </c>
    </row>
    <row r="12833" hidden="1">
      <c r="A12833" s="127" t="s">
        <v>234</v>
      </c>
      <c r="C12833" s="127" t="s">
        <v>232</v>
      </c>
      <c r="D12833" s="177" t="s">
        <v>63</v>
      </c>
      <c r="E12833" s="177" t="s">
        <v>15544</v>
      </c>
      <c r="F12833" s="177" t="s">
        <v>246</v>
      </c>
      <c r="G12833" s="177" t="s">
        <v>4206</v>
      </c>
      <c r="H12833" s="127" t="s">
        <v>210</v>
      </c>
    </row>
    <row r="12834" hidden="1">
      <c r="A12834" s="127" t="s">
        <v>234</v>
      </c>
      <c r="C12834" s="127" t="s">
        <v>232</v>
      </c>
      <c r="D12834" s="177" t="s">
        <v>63</v>
      </c>
      <c r="E12834" s="177" t="s">
        <v>15545</v>
      </c>
      <c r="F12834" s="177" t="s">
        <v>255</v>
      </c>
      <c r="G12834" s="177" t="s">
        <v>2667</v>
      </c>
      <c r="H12834" s="127" t="s">
        <v>211</v>
      </c>
    </row>
    <row r="12835" hidden="1">
      <c r="A12835" s="127" t="s">
        <v>234</v>
      </c>
      <c r="C12835" s="127" t="s">
        <v>232</v>
      </c>
      <c r="D12835" s="177" t="s">
        <v>63</v>
      </c>
      <c r="E12835" s="177" t="s">
        <v>15546</v>
      </c>
      <c r="F12835" s="177" t="s">
        <v>276</v>
      </c>
      <c r="G12835" s="177" t="s">
        <v>3696</v>
      </c>
      <c r="H12835" s="127" t="s">
        <v>212</v>
      </c>
    </row>
    <row r="12836" hidden="1">
      <c r="A12836" s="127" t="s">
        <v>234</v>
      </c>
      <c r="C12836" s="127" t="s">
        <v>232</v>
      </c>
      <c r="D12836" s="177" t="s">
        <v>63</v>
      </c>
      <c r="E12836" s="177" t="s">
        <v>15547</v>
      </c>
      <c r="F12836" s="177" t="s">
        <v>287</v>
      </c>
      <c r="G12836" s="177" t="s">
        <v>9391</v>
      </c>
      <c r="H12836" s="127" t="s">
        <v>213</v>
      </c>
    </row>
    <row r="12837" hidden="1">
      <c r="A12837" s="127" t="s">
        <v>234</v>
      </c>
      <c r="C12837" s="127" t="s">
        <v>232</v>
      </c>
      <c r="D12837" s="177" t="s">
        <v>63</v>
      </c>
      <c r="E12837" s="177" t="s">
        <v>15548</v>
      </c>
      <c r="F12837" s="177" t="s">
        <v>257</v>
      </c>
      <c r="G12837" s="177" t="s">
        <v>3915</v>
      </c>
      <c r="H12837" s="127" t="s">
        <v>214</v>
      </c>
    </row>
    <row r="12838" hidden="1">
      <c r="A12838" s="127" t="s">
        <v>234</v>
      </c>
      <c r="C12838" s="127" t="s">
        <v>232</v>
      </c>
      <c r="D12838" s="177" t="s">
        <v>63</v>
      </c>
      <c r="E12838" s="177" t="s">
        <v>15549</v>
      </c>
      <c r="F12838" s="177" t="s">
        <v>240</v>
      </c>
      <c r="G12838" s="177" t="s">
        <v>4509</v>
      </c>
      <c r="H12838" s="127" t="s">
        <v>215</v>
      </c>
    </row>
    <row r="12839" hidden="1">
      <c r="A12839" s="127" t="s">
        <v>234</v>
      </c>
      <c r="C12839" s="127" t="s">
        <v>232</v>
      </c>
      <c r="D12839" s="177" t="s">
        <v>63</v>
      </c>
      <c r="E12839" s="177" t="s">
        <v>15550</v>
      </c>
      <c r="F12839" s="177" t="s">
        <v>240</v>
      </c>
      <c r="G12839" s="177" t="s">
        <v>3272</v>
      </c>
      <c r="H12839" s="127" t="s">
        <v>216</v>
      </c>
    </row>
    <row r="12840" hidden="1">
      <c r="A12840" s="127" t="s">
        <v>235</v>
      </c>
      <c r="C12840" s="127" t="s">
        <v>236</v>
      </c>
      <c r="D12840" s="177" t="s">
        <v>63</v>
      </c>
      <c r="E12840" s="177" t="s">
        <v>15551</v>
      </c>
      <c r="F12840" s="177" t="s">
        <v>374</v>
      </c>
      <c r="G12840" s="177" t="s">
        <v>2718</v>
      </c>
      <c r="H12840" s="127" t="s">
        <v>210</v>
      </c>
    </row>
    <row r="12841" hidden="1">
      <c r="A12841" s="127" t="s">
        <v>235</v>
      </c>
      <c r="C12841" s="127" t="s">
        <v>236</v>
      </c>
      <c r="D12841" s="177" t="s">
        <v>63</v>
      </c>
      <c r="E12841" s="177" t="s">
        <v>15552</v>
      </c>
      <c r="F12841" s="177" t="s">
        <v>301</v>
      </c>
      <c r="G12841" s="177" t="s">
        <v>2045</v>
      </c>
      <c r="H12841" s="127" t="s">
        <v>211</v>
      </c>
    </row>
    <row r="12842" hidden="1">
      <c r="A12842" s="127" t="s">
        <v>235</v>
      </c>
      <c r="C12842" s="127" t="s">
        <v>236</v>
      </c>
      <c r="D12842" s="177" t="s">
        <v>63</v>
      </c>
      <c r="E12842" s="177" t="s">
        <v>15553</v>
      </c>
      <c r="F12842" s="177" t="s">
        <v>301</v>
      </c>
      <c r="G12842" s="177" t="s">
        <v>2138</v>
      </c>
      <c r="H12842" s="127" t="s">
        <v>212</v>
      </c>
    </row>
    <row r="12843" hidden="1">
      <c r="A12843" s="127" t="s">
        <v>235</v>
      </c>
      <c r="C12843" s="127" t="s">
        <v>236</v>
      </c>
      <c r="D12843" s="177" t="s">
        <v>63</v>
      </c>
      <c r="E12843" s="177" t="s">
        <v>15554</v>
      </c>
      <c r="F12843" s="177" t="s">
        <v>265</v>
      </c>
      <c r="G12843" s="177" t="s">
        <v>2067</v>
      </c>
      <c r="H12843" s="127" t="s">
        <v>213</v>
      </c>
    </row>
    <row r="12844" hidden="1">
      <c r="A12844" s="127" t="s">
        <v>235</v>
      </c>
      <c r="C12844" s="127" t="s">
        <v>236</v>
      </c>
      <c r="D12844" s="177" t="s">
        <v>63</v>
      </c>
      <c r="E12844" s="177" t="s">
        <v>15555</v>
      </c>
      <c r="F12844" s="177" t="s">
        <v>255</v>
      </c>
      <c r="G12844" s="177" t="s">
        <v>2925</v>
      </c>
      <c r="H12844" s="127" t="s">
        <v>214</v>
      </c>
    </row>
    <row r="12845" hidden="1">
      <c r="A12845" s="127" t="s">
        <v>235</v>
      </c>
      <c r="C12845" s="127" t="s">
        <v>236</v>
      </c>
      <c r="D12845" s="177" t="s">
        <v>63</v>
      </c>
      <c r="E12845" s="177" t="s">
        <v>15556</v>
      </c>
      <c r="F12845" s="177" t="s">
        <v>259</v>
      </c>
      <c r="G12845" s="177" t="s">
        <v>3284</v>
      </c>
      <c r="H12845" s="127" t="s">
        <v>215</v>
      </c>
    </row>
    <row r="12846" hidden="1">
      <c r="A12846" s="127" t="s">
        <v>235</v>
      </c>
      <c r="C12846" s="127" t="s">
        <v>236</v>
      </c>
      <c r="D12846" s="177" t="s">
        <v>63</v>
      </c>
      <c r="E12846" s="177" t="s">
        <v>15557</v>
      </c>
      <c r="F12846" s="177" t="s">
        <v>259</v>
      </c>
      <c r="G12846" s="177" t="s">
        <v>2391</v>
      </c>
      <c r="H12846" s="127" t="s">
        <v>216</v>
      </c>
    </row>
    <row r="12847" hidden="1">
      <c r="A12847" s="127" t="s">
        <v>237</v>
      </c>
      <c r="C12847" s="127" t="s">
        <v>236</v>
      </c>
      <c r="D12847" s="177" t="s">
        <v>63</v>
      </c>
      <c r="E12847" s="177" t="s">
        <v>15558</v>
      </c>
      <c r="F12847" s="177" t="s">
        <v>308</v>
      </c>
      <c r="G12847" s="177" t="s">
        <v>3930</v>
      </c>
      <c r="H12847" s="127" t="s">
        <v>210</v>
      </c>
    </row>
    <row r="12848" hidden="1">
      <c r="A12848" s="127" t="s">
        <v>237</v>
      </c>
      <c r="C12848" s="127" t="s">
        <v>236</v>
      </c>
      <c r="D12848" s="177" t="s">
        <v>63</v>
      </c>
      <c r="E12848" s="177" t="s">
        <v>15559</v>
      </c>
      <c r="F12848" s="177" t="s">
        <v>331</v>
      </c>
      <c r="G12848" s="177" t="s">
        <v>7597</v>
      </c>
      <c r="H12848" s="127" t="s">
        <v>211</v>
      </c>
    </row>
    <row r="12849" hidden="1">
      <c r="A12849" s="127" t="s">
        <v>237</v>
      </c>
      <c r="C12849" s="127" t="s">
        <v>236</v>
      </c>
      <c r="D12849" s="177" t="s">
        <v>63</v>
      </c>
      <c r="E12849" s="177" t="s">
        <v>15560</v>
      </c>
      <c r="F12849" s="177" t="s">
        <v>365</v>
      </c>
      <c r="G12849" s="177" t="s">
        <v>9784</v>
      </c>
      <c r="H12849" s="127" t="s">
        <v>212</v>
      </c>
    </row>
    <row r="12850" hidden="1">
      <c r="A12850" s="127" t="s">
        <v>237</v>
      </c>
      <c r="C12850" s="127" t="s">
        <v>236</v>
      </c>
      <c r="D12850" s="177" t="s">
        <v>63</v>
      </c>
      <c r="E12850" s="177" t="s">
        <v>15561</v>
      </c>
      <c r="F12850" s="177" t="s">
        <v>249</v>
      </c>
      <c r="G12850" s="177" t="s">
        <v>9850</v>
      </c>
      <c r="H12850" s="127" t="s">
        <v>213</v>
      </c>
    </row>
    <row r="12851" hidden="1">
      <c r="A12851" s="127" t="s">
        <v>237</v>
      </c>
      <c r="C12851" s="127" t="s">
        <v>236</v>
      </c>
      <c r="D12851" s="177" t="s">
        <v>63</v>
      </c>
      <c r="E12851" s="177" t="s">
        <v>15562</v>
      </c>
      <c r="F12851" s="177" t="s">
        <v>310</v>
      </c>
      <c r="G12851" s="177" t="s">
        <v>5039</v>
      </c>
      <c r="H12851" s="127" t="s">
        <v>214</v>
      </c>
    </row>
    <row r="12852" hidden="1">
      <c r="A12852" s="127" t="s">
        <v>237</v>
      </c>
      <c r="C12852" s="127" t="s">
        <v>236</v>
      </c>
      <c r="D12852" s="177" t="s">
        <v>63</v>
      </c>
      <c r="E12852" s="177" t="s">
        <v>15563</v>
      </c>
      <c r="F12852" s="177" t="s">
        <v>534</v>
      </c>
      <c r="G12852" s="177" t="s">
        <v>10045</v>
      </c>
      <c r="H12852" s="127" t="s">
        <v>215</v>
      </c>
    </row>
    <row r="12853" hidden="1">
      <c r="A12853" s="127" t="s">
        <v>237</v>
      </c>
      <c r="C12853" s="127" t="s">
        <v>236</v>
      </c>
      <c r="D12853" s="177" t="s">
        <v>63</v>
      </c>
      <c r="E12853" s="177" t="s">
        <v>15564</v>
      </c>
      <c r="F12853" s="177" t="s">
        <v>308</v>
      </c>
      <c r="G12853" s="177" t="s">
        <v>9135</v>
      </c>
      <c r="H12853" s="127" t="s">
        <v>216</v>
      </c>
    </row>
    <row r="12854" hidden="1">
      <c r="A12854" s="177" t="s">
        <v>204</v>
      </c>
      <c r="B12854" s="127" t="s">
        <v>205</v>
      </c>
      <c r="C12854" s="127" t="s">
        <v>206</v>
      </c>
      <c r="D12854" s="177" t="s">
        <v>64</v>
      </c>
      <c r="E12854" s="177" t="s">
        <v>15565</v>
      </c>
      <c r="F12854" s="177" t="s">
        <v>365</v>
      </c>
      <c r="G12854" s="177" t="s">
        <v>2281</v>
      </c>
      <c r="H12854" s="127" t="s">
        <v>210</v>
      </c>
    </row>
    <row r="12855" hidden="1">
      <c r="A12855" s="177" t="s">
        <v>204</v>
      </c>
      <c r="B12855" s="127" t="s">
        <v>205</v>
      </c>
      <c r="C12855" s="127" t="s">
        <v>206</v>
      </c>
      <c r="D12855" s="177" t="s">
        <v>64</v>
      </c>
      <c r="E12855" s="177" t="s">
        <v>15566</v>
      </c>
      <c r="F12855" s="177" t="s">
        <v>240</v>
      </c>
      <c r="G12855" s="177" t="s">
        <v>2923</v>
      </c>
      <c r="H12855" s="127" t="s">
        <v>211</v>
      </c>
    </row>
    <row r="12856" hidden="1">
      <c r="A12856" s="177" t="s">
        <v>204</v>
      </c>
      <c r="B12856" s="127" t="s">
        <v>205</v>
      </c>
      <c r="C12856" s="127" t="s">
        <v>206</v>
      </c>
      <c r="D12856" s="177" t="s">
        <v>64</v>
      </c>
      <c r="E12856" s="177" t="s">
        <v>15567</v>
      </c>
      <c r="F12856" s="177" t="s">
        <v>301</v>
      </c>
      <c r="G12856" s="177" t="s">
        <v>2134</v>
      </c>
      <c r="H12856" s="127" t="s">
        <v>212</v>
      </c>
    </row>
    <row r="12857" hidden="1">
      <c r="A12857" s="177" t="s">
        <v>204</v>
      </c>
      <c r="B12857" s="127" t="s">
        <v>205</v>
      </c>
      <c r="C12857" s="127" t="s">
        <v>206</v>
      </c>
      <c r="D12857" s="177" t="s">
        <v>64</v>
      </c>
      <c r="E12857" s="177" t="s">
        <v>15568</v>
      </c>
      <c r="F12857" s="177" t="s">
        <v>269</v>
      </c>
      <c r="G12857" s="177" t="s">
        <v>2065</v>
      </c>
      <c r="H12857" s="127" t="s">
        <v>213</v>
      </c>
    </row>
    <row r="12858" hidden="1">
      <c r="A12858" s="177" t="s">
        <v>204</v>
      </c>
      <c r="B12858" s="127" t="s">
        <v>205</v>
      </c>
      <c r="C12858" s="127" t="s">
        <v>206</v>
      </c>
      <c r="D12858" s="177" t="s">
        <v>64</v>
      </c>
      <c r="E12858" s="177" t="s">
        <v>15569</v>
      </c>
      <c r="F12858" s="177" t="s">
        <v>255</v>
      </c>
      <c r="G12858" s="177" t="s">
        <v>2845</v>
      </c>
      <c r="H12858" s="127" t="s">
        <v>214</v>
      </c>
    </row>
    <row r="12859" hidden="1">
      <c r="A12859" s="177" t="s">
        <v>204</v>
      </c>
      <c r="B12859" s="127" t="s">
        <v>205</v>
      </c>
      <c r="C12859" s="127" t="s">
        <v>206</v>
      </c>
      <c r="D12859" s="177" t="s">
        <v>64</v>
      </c>
      <c r="E12859" s="177" t="s">
        <v>15570</v>
      </c>
      <c r="F12859" s="177" t="s">
        <v>242</v>
      </c>
      <c r="G12859" s="177" t="s">
        <v>3950</v>
      </c>
      <c r="H12859" s="127" t="s">
        <v>215</v>
      </c>
    </row>
    <row r="12860" hidden="1">
      <c r="A12860" s="177" t="s">
        <v>204</v>
      </c>
      <c r="B12860" s="127" t="s">
        <v>205</v>
      </c>
      <c r="C12860" s="127" t="s">
        <v>206</v>
      </c>
      <c r="D12860" s="177" t="s">
        <v>64</v>
      </c>
      <c r="E12860" s="177" t="s">
        <v>15571</v>
      </c>
      <c r="F12860" s="177" t="s">
        <v>246</v>
      </c>
      <c r="G12860" s="177" t="s">
        <v>3226</v>
      </c>
      <c r="H12860" s="127" t="s">
        <v>216</v>
      </c>
    </row>
    <row r="12861" hidden="1">
      <c r="A12861" s="177" t="s">
        <v>217</v>
      </c>
      <c r="B12861" s="127" t="s">
        <v>191</v>
      </c>
      <c r="C12861" s="127" t="s">
        <v>206</v>
      </c>
      <c r="D12861" s="177" t="s">
        <v>64</v>
      </c>
      <c r="E12861" s="177" t="s">
        <v>15572</v>
      </c>
      <c r="F12861" s="177" t="s">
        <v>259</v>
      </c>
      <c r="G12861" s="177" t="s">
        <v>2410</v>
      </c>
      <c r="H12861" s="127" t="s">
        <v>210</v>
      </c>
    </row>
    <row r="12862" hidden="1">
      <c r="A12862" s="177" t="s">
        <v>217</v>
      </c>
      <c r="B12862" s="127" t="s">
        <v>191</v>
      </c>
      <c r="C12862" s="127" t="s">
        <v>206</v>
      </c>
      <c r="D12862" s="177" t="s">
        <v>64</v>
      </c>
      <c r="E12862" s="177" t="s">
        <v>15573</v>
      </c>
      <c r="F12862" s="177" t="s">
        <v>276</v>
      </c>
      <c r="G12862" s="177" t="s">
        <v>2718</v>
      </c>
      <c r="H12862" s="127" t="s">
        <v>211</v>
      </c>
    </row>
    <row r="12863" hidden="1">
      <c r="A12863" s="177" t="s">
        <v>217</v>
      </c>
      <c r="B12863" s="127" t="s">
        <v>191</v>
      </c>
      <c r="C12863" s="127" t="s">
        <v>206</v>
      </c>
      <c r="D12863" s="177" t="s">
        <v>64</v>
      </c>
      <c r="E12863" s="177" t="s">
        <v>15574</v>
      </c>
      <c r="F12863" s="177" t="s">
        <v>204</v>
      </c>
      <c r="G12863" s="177" t="s">
        <v>2039</v>
      </c>
      <c r="H12863" s="127" t="s">
        <v>212</v>
      </c>
    </row>
    <row r="12864" hidden="1">
      <c r="A12864" s="177" t="s">
        <v>217</v>
      </c>
      <c r="B12864" s="127" t="s">
        <v>191</v>
      </c>
      <c r="C12864" s="127" t="s">
        <v>206</v>
      </c>
      <c r="D12864" s="177" t="s">
        <v>64</v>
      </c>
      <c r="E12864" s="177" t="s">
        <v>15575</v>
      </c>
      <c r="F12864" s="177" t="s">
        <v>458</v>
      </c>
      <c r="G12864" s="177" t="s">
        <v>2303</v>
      </c>
      <c r="H12864" s="127" t="s">
        <v>213</v>
      </c>
    </row>
    <row r="12865" hidden="1">
      <c r="A12865" s="177" t="s">
        <v>217</v>
      </c>
      <c r="B12865" s="127" t="s">
        <v>191</v>
      </c>
      <c r="C12865" s="127" t="s">
        <v>206</v>
      </c>
      <c r="D12865" s="177" t="s">
        <v>64</v>
      </c>
      <c r="E12865" s="177" t="s">
        <v>15576</v>
      </c>
      <c r="F12865" s="177" t="s">
        <v>204</v>
      </c>
      <c r="G12865" s="177" t="s">
        <v>1836</v>
      </c>
      <c r="H12865" s="127" t="s">
        <v>214</v>
      </c>
    </row>
    <row r="12866" hidden="1">
      <c r="A12866" s="177" t="s">
        <v>217</v>
      </c>
      <c r="B12866" s="127" t="s">
        <v>191</v>
      </c>
      <c r="C12866" s="127" t="s">
        <v>206</v>
      </c>
      <c r="D12866" s="177" t="s">
        <v>64</v>
      </c>
      <c r="E12866" s="177" t="s">
        <v>15577</v>
      </c>
      <c r="F12866" s="177" t="s">
        <v>259</v>
      </c>
      <c r="G12866" s="177" t="s">
        <v>3503</v>
      </c>
      <c r="H12866" s="127" t="s">
        <v>215</v>
      </c>
    </row>
    <row r="12867" hidden="1">
      <c r="A12867" s="177" t="s">
        <v>217</v>
      </c>
      <c r="B12867" s="127" t="s">
        <v>191</v>
      </c>
      <c r="C12867" s="127" t="s">
        <v>206</v>
      </c>
      <c r="D12867" s="177" t="s">
        <v>64</v>
      </c>
      <c r="E12867" s="177" t="s">
        <v>15578</v>
      </c>
      <c r="F12867" s="177" t="s">
        <v>492</v>
      </c>
      <c r="G12867" s="177" t="s">
        <v>1942</v>
      </c>
      <c r="H12867" s="127" t="s">
        <v>216</v>
      </c>
    </row>
    <row r="12868" hidden="1">
      <c r="A12868" s="177" t="s">
        <v>218</v>
      </c>
      <c r="B12868" s="127" t="s">
        <v>219</v>
      </c>
      <c r="C12868" s="127" t="s">
        <v>206</v>
      </c>
      <c r="D12868" s="177" t="s">
        <v>64</v>
      </c>
      <c r="E12868" s="177" t="s">
        <v>15579</v>
      </c>
      <c r="F12868" s="177" t="s">
        <v>534</v>
      </c>
      <c r="G12868" s="177" t="s">
        <v>3389</v>
      </c>
      <c r="H12868" s="127" t="s">
        <v>210</v>
      </c>
    </row>
    <row r="12869" hidden="1">
      <c r="A12869" s="177" t="s">
        <v>218</v>
      </c>
      <c r="B12869" s="127" t="s">
        <v>219</v>
      </c>
      <c r="C12869" s="127" t="s">
        <v>206</v>
      </c>
      <c r="D12869" s="177" t="s">
        <v>64</v>
      </c>
      <c r="E12869" s="177" t="s">
        <v>15580</v>
      </c>
      <c r="F12869" s="177" t="s">
        <v>249</v>
      </c>
      <c r="G12869" s="177" t="s">
        <v>2472</v>
      </c>
      <c r="H12869" s="127" t="s">
        <v>211</v>
      </c>
    </row>
    <row r="12870" hidden="1">
      <c r="A12870" s="177" t="s">
        <v>218</v>
      </c>
      <c r="B12870" s="127" t="s">
        <v>219</v>
      </c>
      <c r="C12870" s="127" t="s">
        <v>206</v>
      </c>
      <c r="D12870" s="177" t="s">
        <v>64</v>
      </c>
      <c r="E12870" s="177" t="s">
        <v>15581</v>
      </c>
      <c r="F12870" s="177" t="s">
        <v>365</v>
      </c>
      <c r="G12870" s="177" t="s">
        <v>2039</v>
      </c>
      <c r="H12870" s="127" t="s">
        <v>212</v>
      </c>
    </row>
    <row r="12871" hidden="1">
      <c r="A12871" s="177" t="s">
        <v>218</v>
      </c>
      <c r="B12871" s="127" t="s">
        <v>219</v>
      </c>
      <c r="C12871" s="127" t="s">
        <v>206</v>
      </c>
      <c r="D12871" s="177" t="s">
        <v>64</v>
      </c>
      <c r="E12871" s="177" t="s">
        <v>15582</v>
      </c>
      <c r="F12871" s="177" t="s">
        <v>249</v>
      </c>
      <c r="G12871" s="177" t="s">
        <v>2410</v>
      </c>
      <c r="H12871" s="127" t="s">
        <v>213</v>
      </c>
    </row>
    <row r="12872" hidden="1">
      <c r="A12872" s="177" t="s">
        <v>218</v>
      </c>
      <c r="B12872" s="127" t="s">
        <v>219</v>
      </c>
      <c r="C12872" s="127" t="s">
        <v>206</v>
      </c>
      <c r="D12872" s="177" t="s">
        <v>64</v>
      </c>
      <c r="E12872" s="177" t="s">
        <v>15583</v>
      </c>
      <c r="F12872" s="177" t="s">
        <v>331</v>
      </c>
      <c r="G12872" s="177" t="s">
        <v>2062</v>
      </c>
      <c r="H12872" s="127" t="s">
        <v>214</v>
      </c>
    </row>
    <row r="12873" hidden="1">
      <c r="A12873" s="177" t="s">
        <v>218</v>
      </c>
      <c r="B12873" s="127" t="s">
        <v>219</v>
      </c>
      <c r="C12873" s="127" t="s">
        <v>206</v>
      </c>
      <c r="D12873" s="177" t="s">
        <v>64</v>
      </c>
      <c r="E12873" s="177" t="s">
        <v>15584</v>
      </c>
      <c r="F12873" s="177" t="s">
        <v>331</v>
      </c>
      <c r="G12873" s="177" t="s">
        <v>2221</v>
      </c>
      <c r="H12873" s="127" t="s">
        <v>215</v>
      </c>
    </row>
    <row r="12874" hidden="1">
      <c r="A12874" s="177" t="s">
        <v>218</v>
      </c>
      <c r="B12874" s="127" t="s">
        <v>219</v>
      </c>
      <c r="C12874" s="127" t="s">
        <v>206</v>
      </c>
      <c r="D12874" s="177" t="s">
        <v>64</v>
      </c>
      <c r="E12874" s="177" t="s">
        <v>15585</v>
      </c>
      <c r="F12874" s="177" t="s">
        <v>331</v>
      </c>
      <c r="G12874" s="177" t="s">
        <v>1918</v>
      </c>
      <c r="H12874" s="127" t="s">
        <v>216</v>
      </c>
    </row>
    <row r="12875" hidden="1">
      <c r="A12875" s="177" t="s">
        <v>220</v>
      </c>
      <c r="B12875" s="127" t="s">
        <v>190</v>
      </c>
      <c r="C12875" s="127" t="s">
        <v>206</v>
      </c>
      <c r="D12875" s="177" t="s">
        <v>64</v>
      </c>
      <c r="E12875" s="177" t="s">
        <v>15586</v>
      </c>
      <c r="F12875" s="177" t="s">
        <v>279</v>
      </c>
      <c r="G12875" s="177" t="s">
        <v>2864</v>
      </c>
      <c r="H12875" s="127" t="s">
        <v>210</v>
      </c>
    </row>
    <row r="12876" hidden="1">
      <c r="A12876" s="177" t="s">
        <v>220</v>
      </c>
      <c r="B12876" s="127" t="s">
        <v>190</v>
      </c>
      <c r="C12876" s="127" t="s">
        <v>206</v>
      </c>
      <c r="D12876" s="177" t="s">
        <v>64</v>
      </c>
      <c r="E12876" s="177" t="s">
        <v>15587</v>
      </c>
      <c r="F12876" s="177" t="s">
        <v>255</v>
      </c>
      <c r="G12876" s="177" t="s">
        <v>2211</v>
      </c>
      <c r="H12876" s="127" t="s">
        <v>211</v>
      </c>
    </row>
    <row r="12877" hidden="1">
      <c r="A12877" s="177" t="s">
        <v>220</v>
      </c>
      <c r="B12877" s="127" t="s">
        <v>190</v>
      </c>
      <c r="C12877" s="127" t="s">
        <v>206</v>
      </c>
      <c r="D12877" s="177" t="s">
        <v>64</v>
      </c>
      <c r="E12877" s="177" t="s">
        <v>15588</v>
      </c>
      <c r="F12877" s="177" t="s">
        <v>259</v>
      </c>
      <c r="G12877" s="177" t="s">
        <v>2062</v>
      </c>
      <c r="H12877" s="127" t="s">
        <v>212</v>
      </c>
    </row>
    <row r="12878" hidden="1">
      <c r="A12878" s="177" t="s">
        <v>220</v>
      </c>
      <c r="B12878" s="127" t="s">
        <v>190</v>
      </c>
      <c r="C12878" s="127" t="s">
        <v>206</v>
      </c>
      <c r="D12878" s="177" t="s">
        <v>64</v>
      </c>
      <c r="E12878" s="177" t="s">
        <v>15589</v>
      </c>
      <c r="F12878" s="177" t="s">
        <v>357</v>
      </c>
      <c r="G12878" s="177" t="s">
        <v>2929</v>
      </c>
      <c r="H12878" s="127" t="s">
        <v>213</v>
      </c>
    </row>
    <row r="12879" hidden="1">
      <c r="A12879" s="177" t="s">
        <v>220</v>
      </c>
      <c r="B12879" s="127" t="s">
        <v>190</v>
      </c>
      <c r="C12879" s="127" t="s">
        <v>206</v>
      </c>
      <c r="D12879" s="177" t="s">
        <v>64</v>
      </c>
      <c r="E12879" s="177" t="s">
        <v>15590</v>
      </c>
      <c r="F12879" s="177" t="s">
        <v>274</v>
      </c>
      <c r="G12879" s="177" t="s">
        <v>2070</v>
      </c>
      <c r="H12879" s="127" t="s">
        <v>214</v>
      </c>
    </row>
    <row r="12880" hidden="1">
      <c r="A12880" s="177" t="s">
        <v>220</v>
      </c>
      <c r="B12880" s="127" t="s">
        <v>190</v>
      </c>
      <c r="C12880" s="127" t="s">
        <v>206</v>
      </c>
      <c r="D12880" s="177" t="s">
        <v>64</v>
      </c>
      <c r="E12880" s="177" t="s">
        <v>15591</v>
      </c>
      <c r="F12880" s="177" t="s">
        <v>257</v>
      </c>
      <c r="G12880" s="177" t="s">
        <v>2134</v>
      </c>
      <c r="H12880" s="127" t="s">
        <v>215</v>
      </c>
    </row>
    <row r="12881" hidden="1">
      <c r="A12881" s="177" t="s">
        <v>220</v>
      </c>
      <c r="B12881" s="127" t="s">
        <v>190</v>
      </c>
      <c r="C12881" s="127" t="s">
        <v>206</v>
      </c>
      <c r="D12881" s="177" t="s">
        <v>64</v>
      </c>
      <c r="E12881" s="177" t="s">
        <v>15592</v>
      </c>
      <c r="F12881" s="177" t="s">
        <v>262</v>
      </c>
      <c r="G12881" s="177" t="s">
        <v>2852</v>
      </c>
      <c r="H12881" s="127" t="s">
        <v>216</v>
      </c>
    </row>
    <row r="12882" hidden="1">
      <c r="A12882" s="177" t="s">
        <v>221</v>
      </c>
      <c r="B12882" s="127" t="s">
        <v>189</v>
      </c>
      <c r="C12882" s="127" t="s">
        <v>206</v>
      </c>
      <c r="D12882" s="177" t="s">
        <v>64</v>
      </c>
      <c r="E12882" s="177" t="s">
        <v>15593</v>
      </c>
      <c r="F12882" s="177" t="s">
        <v>354</v>
      </c>
      <c r="G12882" s="177" t="s">
        <v>4176</v>
      </c>
      <c r="H12882" s="127" t="s">
        <v>210</v>
      </c>
    </row>
    <row r="12883" hidden="1">
      <c r="A12883" s="177" t="s">
        <v>221</v>
      </c>
      <c r="B12883" s="127" t="s">
        <v>189</v>
      </c>
      <c r="C12883" s="127" t="s">
        <v>206</v>
      </c>
      <c r="D12883" s="177" t="s">
        <v>64</v>
      </c>
      <c r="E12883" s="177" t="s">
        <v>15594</v>
      </c>
      <c r="F12883" s="177" t="s">
        <v>305</v>
      </c>
      <c r="G12883" s="177" t="s">
        <v>4515</v>
      </c>
      <c r="H12883" s="127" t="s">
        <v>211</v>
      </c>
    </row>
    <row r="12884" hidden="1">
      <c r="A12884" s="177" t="s">
        <v>221</v>
      </c>
      <c r="B12884" s="127" t="s">
        <v>189</v>
      </c>
      <c r="C12884" s="127" t="s">
        <v>206</v>
      </c>
      <c r="D12884" s="177" t="s">
        <v>64</v>
      </c>
      <c r="E12884" s="177" t="s">
        <v>15595</v>
      </c>
      <c r="F12884" s="177" t="s">
        <v>534</v>
      </c>
      <c r="G12884" s="177" t="s">
        <v>9353</v>
      </c>
      <c r="H12884" s="127" t="s">
        <v>212</v>
      </c>
    </row>
    <row r="12885" hidden="1">
      <c r="A12885" s="177" t="s">
        <v>221</v>
      </c>
      <c r="B12885" s="127" t="s">
        <v>189</v>
      </c>
      <c r="C12885" s="127" t="s">
        <v>206</v>
      </c>
      <c r="D12885" s="177" t="s">
        <v>64</v>
      </c>
      <c r="E12885" s="177" t="s">
        <v>15596</v>
      </c>
      <c r="F12885" s="177" t="s">
        <v>242</v>
      </c>
      <c r="G12885" s="177" t="s">
        <v>9339</v>
      </c>
      <c r="H12885" s="127" t="s">
        <v>213</v>
      </c>
    </row>
    <row r="12886" hidden="1">
      <c r="A12886" s="177" t="s">
        <v>221</v>
      </c>
      <c r="B12886" s="127" t="s">
        <v>189</v>
      </c>
      <c r="C12886" s="127" t="s">
        <v>206</v>
      </c>
      <c r="D12886" s="177" t="s">
        <v>64</v>
      </c>
      <c r="E12886" s="177" t="s">
        <v>15597</v>
      </c>
      <c r="F12886" s="177" t="s">
        <v>276</v>
      </c>
      <c r="G12886" s="177" t="s">
        <v>3599</v>
      </c>
      <c r="H12886" s="127" t="s">
        <v>214</v>
      </c>
    </row>
    <row r="12887" hidden="1">
      <c r="A12887" s="177" t="s">
        <v>221</v>
      </c>
      <c r="B12887" s="127" t="s">
        <v>189</v>
      </c>
      <c r="C12887" s="127" t="s">
        <v>206</v>
      </c>
      <c r="D12887" s="177" t="s">
        <v>64</v>
      </c>
      <c r="E12887" s="177" t="s">
        <v>15598</v>
      </c>
      <c r="F12887" s="177" t="s">
        <v>425</v>
      </c>
      <c r="G12887" s="177" t="s">
        <v>9502</v>
      </c>
      <c r="H12887" s="127" t="s">
        <v>215</v>
      </c>
    </row>
    <row r="12888" hidden="1">
      <c r="A12888" s="177" t="s">
        <v>221</v>
      </c>
      <c r="B12888" s="127" t="s">
        <v>189</v>
      </c>
      <c r="C12888" s="127" t="s">
        <v>206</v>
      </c>
      <c r="D12888" s="177" t="s">
        <v>64</v>
      </c>
      <c r="E12888" s="177" t="s">
        <v>15599</v>
      </c>
      <c r="F12888" s="177" t="s">
        <v>339</v>
      </c>
      <c r="G12888" s="177" t="s">
        <v>4653</v>
      </c>
      <c r="H12888" s="127" t="s">
        <v>216</v>
      </c>
    </row>
    <row r="12889" hidden="1">
      <c r="A12889" s="177" t="s">
        <v>222</v>
      </c>
      <c r="B12889" s="127" t="s">
        <v>192</v>
      </c>
      <c r="C12889" s="127" t="s">
        <v>206</v>
      </c>
      <c r="D12889" s="177" t="s">
        <v>64</v>
      </c>
      <c r="E12889" s="177" t="s">
        <v>15600</v>
      </c>
      <c r="F12889" s="177" t="s">
        <v>323</v>
      </c>
      <c r="G12889" s="177" t="s">
        <v>2364</v>
      </c>
      <c r="H12889" s="127" t="s">
        <v>210</v>
      </c>
    </row>
    <row r="12890" hidden="1">
      <c r="A12890" s="177" t="s">
        <v>222</v>
      </c>
      <c r="B12890" s="127" t="s">
        <v>192</v>
      </c>
      <c r="C12890" s="127" t="s">
        <v>206</v>
      </c>
      <c r="D12890" s="177" t="s">
        <v>64</v>
      </c>
      <c r="E12890" s="177" t="s">
        <v>15601</v>
      </c>
      <c r="F12890" s="177" t="s">
        <v>246</v>
      </c>
      <c r="G12890" s="177" t="s">
        <v>635</v>
      </c>
      <c r="H12890" s="127" t="s">
        <v>211</v>
      </c>
    </row>
    <row r="12891" hidden="1">
      <c r="A12891" s="177" t="s">
        <v>222</v>
      </c>
      <c r="B12891" s="127" t="s">
        <v>192</v>
      </c>
      <c r="C12891" s="127" t="s">
        <v>206</v>
      </c>
      <c r="D12891" s="177" t="s">
        <v>64</v>
      </c>
      <c r="E12891" s="177" t="s">
        <v>15602</v>
      </c>
      <c r="F12891" s="177" t="s">
        <v>259</v>
      </c>
      <c r="G12891" s="177" t="s">
        <v>1725</v>
      </c>
      <c r="H12891" s="127" t="s">
        <v>212</v>
      </c>
    </row>
    <row r="12892" hidden="1">
      <c r="A12892" s="177" t="s">
        <v>222</v>
      </c>
      <c r="B12892" s="127" t="s">
        <v>192</v>
      </c>
      <c r="C12892" s="127" t="s">
        <v>206</v>
      </c>
      <c r="D12892" s="177" t="s">
        <v>64</v>
      </c>
      <c r="E12892" s="177" t="s">
        <v>15603</v>
      </c>
      <c r="F12892" s="177" t="s">
        <v>323</v>
      </c>
      <c r="G12892" s="177" t="s">
        <v>2838</v>
      </c>
      <c r="H12892" s="127" t="s">
        <v>213</v>
      </c>
    </row>
    <row r="12893" hidden="1">
      <c r="A12893" s="177" t="s">
        <v>222</v>
      </c>
      <c r="B12893" s="127" t="s">
        <v>192</v>
      </c>
      <c r="C12893" s="127" t="s">
        <v>206</v>
      </c>
      <c r="D12893" s="177" t="s">
        <v>64</v>
      </c>
      <c r="E12893" s="177" t="s">
        <v>15604</v>
      </c>
      <c r="F12893" s="177" t="s">
        <v>365</v>
      </c>
      <c r="G12893" s="177" t="s">
        <v>1976</v>
      </c>
      <c r="H12893" s="127" t="s">
        <v>214</v>
      </c>
    </row>
    <row r="12894" hidden="1">
      <c r="A12894" s="177" t="s">
        <v>222</v>
      </c>
      <c r="B12894" s="127" t="s">
        <v>192</v>
      </c>
      <c r="C12894" s="127" t="s">
        <v>206</v>
      </c>
      <c r="D12894" s="177" t="s">
        <v>64</v>
      </c>
      <c r="E12894" s="177" t="s">
        <v>15605</v>
      </c>
      <c r="F12894" s="177" t="s">
        <v>310</v>
      </c>
      <c r="G12894" s="177" t="s">
        <v>2470</v>
      </c>
      <c r="H12894" s="127" t="s">
        <v>215</v>
      </c>
    </row>
    <row r="12895" hidden="1">
      <c r="A12895" s="177" t="s">
        <v>222</v>
      </c>
      <c r="B12895" s="127" t="s">
        <v>192</v>
      </c>
      <c r="C12895" s="127" t="s">
        <v>206</v>
      </c>
      <c r="D12895" s="177" t="s">
        <v>64</v>
      </c>
      <c r="E12895" s="177" t="s">
        <v>15606</v>
      </c>
      <c r="F12895" s="177" t="s">
        <v>357</v>
      </c>
      <c r="G12895" s="177" t="s">
        <v>2838</v>
      </c>
      <c r="H12895" s="127" t="s">
        <v>216</v>
      </c>
    </row>
    <row r="12896" hidden="1">
      <c r="A12896" s="177" t="s">
        <v>223</v>
      </c>
      <c r="B12896" s="127" t="s">
        <v>144</v>
      </c>
      <c r="C12896" s="127" t="s">
        <v>206</v>
      </c>
      <c r="D12896" s="177" t="s">
        <v>64</v>
      </c>
      <c r="E12896" s="177" t="s">
        <v>15607</v>
      </c>
      <c r="F12896" s="177" t="s">
        <v>285</v>
      </c>
      <c r="G12896" s="177" t="s">
        <v>2279</v>
      </c>
      <c r="H12896" s="127" t="s">
        <v>210</v>
      </c>
    </row>
    <row r="12897" hidden="1">
      <c r="A12897" s="177" t="s">
        <v>223</v>
      </c>
      <c r="B12897" s="127" t="s">
        <v>144</v>
      </c>
      <c r="C12897" s="127" t="s">
        <v>206</v>
      </c>
      <c r="D12897" s="177" t="s">
        <v>64</v>
      </c>
      <c r="E12897" s="177" t="s">
        <v>15608</v>
      </c>
      <c r="F12897" s="177" t="s">
        <v>323</v>
      </c>
      <c r="G12897" s="177" t="s">
        <v>2455</v>
      </c>
      <c r="H12897" s="127" t="s">
        <v>211</v>
      </c>
    </row>
    <row r="12898" hidden="1">
      <c r="A12898" s="177" t="s">
        <v>223</v>
      </c>
      <c r="B12898" s="127" t="s">
        <v>144</v>
      </c>
      <c r="C12898" s="127" t="s">
        <v>206</v>
      </c>
      <c r="D12898" s="177" t="s">
        <v>64</v>
      </c>
      <c r="E12898" s="177" t="s">
        <v>15609</v>
      </c>
      <c r="F12898" s="177" t="s">
        <v>321</v>
      </c>
      <c r="G12898" s="177" t="s">
        <v>2287</v>
      </c>
      <c r="H12898" s="127" t="s">
        <v>212</v>
      </c>
    </row>
    <row r="12899" hidden="1">
      <c r="A12899" s="177" t="s">
        <v>223</v>
      </c>
      <c r="B12899" s="127" t="s">
        <v>144</v>
      </c>
      <c r="C12899" s="127" t="s">
        <v>206</v>
      </c>
      <c r="D12899" s="177" t="s">
        <v>64</v>
      </c>
      <c r="E12899" s="177" t="s">
        <v>15610</v>
      </c>
      <c r="F12899" s="177" t="s">
        <v>357</v>
      </c>
      <c r="G12899" s="177" t="s">
        <v>2065</v>
      </c>
      <c r="H12899" s="127" t="s">
        <v>213</v>
      </c>
    </row>
    <row r="12900" hidden="1">
      <c r="A12900" s="177" t="s">
        <v>223</v>
      </c>
      <c r="B12900" s="127" t="s">
        <v>144</v>
      </c>
      <c r="C12900" s="127" t="s">
        <v>206</v>
      </c>
      <c r="D12900" s="177" t="s">
        <v>64</v>
      </c>
      <c r="E12900" s="177" t="s">
        <v>15611</v>
      </c>
      <c r="F12900" s="177" t="s">
        <v>285</v>
      </c>
      <c r="G12900" s="177" t="s">
        <v>2777</v>
      </c>
      <c r="H12900" s="127" t="s">
        <v>214</v>
      </c>
    </row>
    <row r="12901" hidden="1">
      <c r="A12901" s="177" t="s">
        <v>223</v>
      </c>
      <c r="B12901" s="127" t="s">
        <v>144</v>
      </c>
      <c r="C12901" s="127" t="s">
        <v>206</v>
      </c>
      <c r="D12901" s="177" t="s">
        <v>64</v>
      </c>
      <c r="E12901" s="177" t="s">
        <v>15612</v>
      </c>
      <c r="F12901" s="177" t="s">
        <v>242</v>
      </c>
      <c r="G12901" s="177" t="s">
        <v>3513</v>
      </c>
      <c r="H12901" s="127" t="s">
        <v>215</v>
      </c>
    </row>
    <row r="12902" hidden="1">
      <c r="A12902" s="177" t="s">
        <v>223</v>
      </c>
      <c r="B12902" s="127" t="s">
        <v>144</v>
      </c>
      <c r="C12902" s="127" t="s">
        <v>206</v>
      </c>
      <c r="D12902" s="177" t="s">
        <v>64</v>
      </c>
      <c r="E12902" s="177" t="s">
        <v>15613</v>
      </c>
      <c r="F12902" s="177" t="s">
        <v>285</v>
      </c>
      <c r="G12902" s="177" t="s">
        <v>3278</v>
      </c>
      <c r="H12902" s="127" t="s">
        <v>216</v>
      </c>
    </row>
    <row r="12903" hidden="1">
      <c r="A12903" s="177" t="s">
        <v>224</v>
      </c>
      <c r="B12903" s="127" t="s">
        <v>170</v>
      </c>
      <c r="C12903" s="127" t="s">
        <v>206</v>
      </c>
      <c r="D12903" s="177" t="s">
        <v>64</v>
      </c>
      <c r="E12903" s="177" t="s">
        <v>15614</v>
      </c>
      <c r="F12903" s="177" t="s">
        <v>285</v>
      </c>
      <c r="G12903" s="177" t="s">
        <v>2391</v>
      </c>
      <c r="H12903" s="127" t="s">
        <v>210</v>
      </c>
    </row>
    <row r="12904" hidden="1">
      <c r="A12904" s="177" t="s">
        <v>224</v>
      </c>
      <c r="B12904" s="127" t="s">
        <v>170</v>
      </c>
      <c r="C12904" s="127" t="s">
        <v>206</v>
      </c>
      <c r="D12904" s="177" t="s">
        <v>64</v>
      </c>
      <c r="E12904" s="177" t="s">
        <v>15615</v>
      </c>
      <c r="F12904" s="177" t="s">
        <v>269</v>
      </c>
      <c r="G12904" s="177" t="s">
        <v>2366</v>
      </c>
      <c r="H12904" s="127" t="s">
        <v>211</v>
      </c>
    </row>
    <row r="12905" hidden="1">
      <c r="A12905" s="177" t="s">
        <v>224</v>
      </c>
      <c r="B12905" s="127" t="s">
        <v>170</v>
      </c>
      <c r="C12905" s="127" t="s">
        <v>206</v>
      </c>
      <c r="D12905" s="177" t="s">
        <v>64</v>
      </c>
      <c r="E12905" s="177" t="s">
        <v>15616</v>
      </c>
      <c r="F12905" s="177" t="s">
        <v>492</v>
      </c>
      <c r="G12905" s="177" t="s">
        <v>2864</v>
      </c>
      <c r="H12905" s="127" t="s">
        <v>212</v>
      </c>
    </row>
    <row r="12906" hidden="1">
      <c r="A12906" s="177" t="s">
        <v>224</v>
      </c>
      <c r="B12906" s="127" t="s">
        <v>170</v>
      </c>
      <c r="C12906" s="127" t="s">
        <v>206</v>
      </c>
      <c r="D12906" s="177" t="s">
        <v>64</v>
      </c>
      <c r="E12906" s="177" t="s">
        <v>15617</v>
      </c>
      <c r="F12906" s="177" t="s">
        <v>287</v>
      </c>
      <c r="G12906" s="177" t="s">
        <v>2057</v>
      </c>
      <c r="H12906" s="127" t="s">
        <v>213</v>
      </c>
    </row>
    <row r="12907" hidden="1">
      <c r="A12907" s="177" t="s">
        <v>224</v>
      </c>
      <c r="B12907" s="127" t="s">
        <v>170</v>
      </c>
      <c r="C12907" s="127" t="s">
        <v>206</v>
      </c>
      <c r="D12907" s="177" t="s">
        <v>64</v>
      </c>
      <c r="E12907" s="177" t="s">
        <v>15618</v>
      </c>
      <c r="F12907" s="177" t="s">
        <v>259</v>
      </c>
      <c r="G12907" s="177" t="s">
        <v>2705</v>
      </c>
      <c r="H12907" s="127" t="s">
        <v>214</v>
      </c>
    </row>
    <row r="12908" hidden="1">
      <c r="A12908" s="177" t="s">
        <v>224</v>
      </c>
      <c r="B12908" s="127" t="s">
        <v>170</v>
      </c>
      <c r="C12908" s="127" t="s">
        <v>206</v>
      </c>
      <c r="D12908" s="177" t="s">
        <v>64</v>
      </c>
      <c r="E12908" s="177" t="s">
        <v>15619</v>
      </c>
      <c r="F12908" s="177" t="s">
        <v>246</v>
      </c>
      <c r="G12908" s="177" t="s">
        <v>2688</v>
      </c>
      <c r="H12908" s="127" t="s">
        <v>215</v>
      </c>
    </row>
    <row r="12909" hidden="1">
      <c r="A12909" s="177" t="s">
        <v>224</v>
      </c>
      <c r="B12909" s="127" t="s">
        <v>170</v>
      </c>
      <c r="C12909" s="127" t="s">
        <v>206</v>
      </c>
      <c r="D12909" s="177" t="s">
        <v>64</v>
      </c>
      <c r="E12909" s="177" t="s">
        <v>15620</v>
      </c>
      <c r="F12909" s="177" t="s">
        <v>246</v>
      </c>
      <c r="G12909" s="177" t="s">
        <v>2470</v>
      </c>
      <c r="H12909" s="127" t="s">
        <v>216</v>
      </c>
    </row>
    <row r="12910" hidden="1">
      <c r="A12910" s="177" t="s">
        <v>225</v>
      </c>
      <c r="B12910" s="127" t="s">
        <v>226</v>
      </c>
      <c r="C12910" s="127" t="s">
        <v>206</v>
      </c>
      <c r="D12910" s="177" t="s">
        <v>64</v>
      </c>
      <c r="E12910" s="177" t="s">
        <v>15621</v>
      </c>
      <c r="F12910" s="177" t="s">
        <v>365</v>
      </c>
      <c r="G12910" s="177" t="s">
        <v>3525</v>
      </c>
      <c r="H12910" s="127" t="s">
        <v>210</v>
      </c>
    </row>
    <row r="12911" hidden="1">
      <c r="A12911" s="177" t="s">
        <v>225</v>
      </c>
      <c r="B12911" s="127" t="s">
        <v>226</v>
      </c>
      <c r="C12911" s="127" t="s">
        <v>206</v>
      </c>
      <c r="D12911" s="177" t="s">
        <v>64</v>
      </c>
      <c r="E12911" s="177" t="s">
        <v>15622</v>
      </c>
      <c r="F12911" s="177" t="s">
        <v>357</v>
      </c>
      <c r="G12911" s="177" t="s">
        <v>2065</v>
      </c>
      <c r="H12911" s="127" t="s">
        <v>211</v>
      </c>
    </row>
    <row r="12912" hidden="1">
      <c r="A12912" s="177" t="s">
        <v>225</v>
      </c>
      <c r="B12912" s="127" t="s">
        <v>226</v>
      </c>
      <c r="C12912" s="127" t="s">
        <v>206</v>
      </c>
      <c r="D12912" s="177" t="s">
        <v>64</v>
      </c>
      <c r="E12912" s="177" t="s">
        <v>15623</v>
      </c>
      <c r="F12912" s="177" t="s">
        <v>255</v>
      </c>
      <c r="G12912" s="177" t="s">
        <v>3151</v>
      </c>
      <c r="H12912" s="127" t="s">
        <v>212</v>
      </c>
    </row>
    <row r="12913" hidden="1">
      <c r="A12913" s="177" t="s">
        <v>225</v>
      </c>
      <c r="B12913" s="127" t="s">
        <v>226</v>
      </c>
      <c r="C12913" s="127" t="s">
        <v>206</v>
      </c>
      <c r="D12913" s="177" t="s">
        <v>64</v>
      </c>
      <c r="E12913" s="177" t="s">
        <v>15624</v>
      </c>
      <c r="F12913" s="177" t="s">
        <v>262</v>
      </c>
      <c r="G12913" s="177" t="s">
        <v>3384</v>
      </c>
      <c r="H12913" s="127" t="s">
        <v>213</v>
      </c>
    </row>
    <row r="12914" hidden="1">
      <c r="A12914" s="177" t="s">
        <v>225</v>
      </c>
      <c r="B12914" s="127" t="s">
        <v>226</v>
      </c>
      <c r="C12914" s="127" t="s">
        <v>206</v>
      </c>
      <c r="D12914" s="177" t="s">
        <v>64</v>
      </c>
      <c r="E12914" s="177" t="s">
        <v>15625</v>
      </c>
      <c r="F12914" s="177" t="s">
        <v>287</v>
      </c>
      <c r="G12914" s="177" t="s">
        <v>1925</v>
      </c>
      <c r="H12914" s="127" t="s">
        <v>214</v>
      </c>
    </row>
    <row r="12915" hidden="1">
      <c r="A12915" s="177" t="s">
        <v>225</v>
      </c>
      <c r="B12915" s="127" t="s">
        <v>226</v>
      </c>
      <c r="C12915" s="127" t="s">
        <v>206</v>
      </c>
      <c r="D12915" s="177" t="s">
        <v>64</v>
      </c>
      <c r="E12915" s="177" t="s">
        <v>15626</v>
      </c>
      <c r="F12915" s="177" t="s">
        <v>323</v>
      </c>
      <c r="G12915" s="177" t="s">
        <v>3815</v>
      </c>
      <c r="H12915" s="127" t="s">
        <v>215</v>
      </c>
    </row>
    <row r="12916" hidden="1">
      <c r="A12916" s="177" t="s">
        <v>225</v>
      </c>
      <c r="B12916" s="127" t="s">
        <v>226</v>
      </c>
      <c r="C12916" s="127" t="s">
        <v>206</v>
      </c>
      <c r="D12916" s="177" t="s">
        <v>64</v>
      </c>
      <c r="E12916" s="177" t="s">
        <v>15627</v>
      </c>
      <c r="F12916" s="177" t="s">
        <v>242</v>
      </c>
      <c r="G12916" s="177" t="s">
        <v>3384</v>
      </c>
      <c r="H12916" s="127" t="s">
        <v>216</v>
      </c>
    </row>
    <row r="12917" hidden="1">
      <c r="A12917" s="177" t="s">
        <v>227</v>
      </c>
      <c r="B12917" s="127" t="s">
        <v>195</v>
      </c>
      <c r="C12917" s="127" t="s">
        <v>206</v>
      </c>
      <c r="D12917" s="177" t="s">
        <v>64</v>
      </c>
      <c r="E12917" s="177" t="s">
        <v>15628</v>
      </c>
      <c r="F12917" s="177" t="s">
        <v>329</v>
      </c>
      <c r="G12917" s="177" t="s">
        <v>3364</v>
      </c>
      <c r="H12917" s="127" t="s">
        <v>210</v>
      </c>
    </row>
    <row r="12918" hidden="1">
      <c r="A12918" s="177" t="s">
        <v>227</v>
      </c>
      <c r="B12918" s="127" t="s">
        <v>195</v>
      </c>
      <c r="C12918" s="127" t="s">
        <v>206</v>
      </c>
      <c r="D12918" s="177" t="s">
        <v>64</v>
      </c>
      <c r="E12918" s="177" t="s">
        <v>15629</v>
      </c>
      <c r="F12918" s="177" t="s">
        <v>262</v>
      </c>
      <c r="G12918" s="177" t="s">
        <v>2986</v>
      </c>
      <c r="H12918" s="127" t="s">
        <v>211</v>
      </c>
    </row>
    <row r="12919" hidden="1">
      <c r="A12919" s="177" t="s">
        <v>227</v>
      </c>
      <c r="B12919" s="127" t="s">
        <v>195</v>
      </c>
      <c r="C12919" s="127" t="s">
        <v>206</v>
      </c>
      <c r="D12919" s="177" t="s">
        <v>64</v>
      </c>
      <c r="E12919" s="177" t="s">
        <v>15630</v>
      </c>
      <c r="F12919" s="177" t="s">
        <v>269</v>
      </c>
      <c r="G12919" s="177" t="s">
        <v>3151</v>
      </c>
      <c r="H12919" s="127" t="s">
        <v>212</v>
      </c>
    </row>
    <row r="12920" hidden="1">
      <c r="A12920" s="177" t="s">
        <v>227</v>
      </c>
      <c r="B12920" s="127" t="s">
        <v>195</v>
      </c>
      <c r="C12920" s="127" t="s">
        <v>206</v>
      </c>
      <c r="D12920" s="177" t="s">
        <v>64</v>
      </c>
      <c r="E12920" s="177" t="s">
        <v>15631</v>
      </c>
      <c r="F12920" s="177" t="s">
        <v>357</v>
      </c>
      <c r="G12920" s="177" t="s">
        <v>2219</v>
      </c>
      <c r="H12920" s="127" t="s">
        <v>213</v>
      </c>
    </row>
    <row r="12921" hidden="1">
      <c r="A12921" s="177" t="s">
        <v>227</v>
      </c>
      <c r="B12921" s="127" t="s">
        <v>195</v>
      </c>
      <c r="C12921" s="127" t="s">
        <v>206</v>
      </c>
      <c r="D12921" s="177" t="s">
        <v>64</v>
      </c>
      <c r="E12921" s="177" t="s">
        <v>15632</v>
      </c>
      <c r="F12921" s="177" t="s">
        <v>325</v>
      </c>
      <c r="G12921" s="177" t="s">
        <v>2119</v>
      </c>
      <c r="H12921" s="127" t="s">
        <v>214</v>
      </c>
    </row>
    <row r="12922" hidden="1">
      <c r="A12922" s="177" t="s">
        <v>227</v>
      </c>
      <c r="B12922" s="127" t="s">
        <v>195</v>
      </c>
      <c r="C12922" s="127" t="s">
        <v>206</v>
      </c>
      <c r="D12922" s="177" t="s">
        <v>64</v>
      </c>
      <c r="E12922" s="177" t="s">
        <v>15633</v>
      </c>
      <c r="F12922" s="177" t="s">
        <v>257</v>
      </c>
      <c r="G12922" s="177" t="s">
        <v>2216</v>
      </c>
      <c r="H12922" s="127" t="s">
        <v>215</v>
      </c>
    </row>
    <row r="12923" hidden="1">
      <c r="A12923" s="177" t="s">
        <v>227</v>
      </c>
      <c r="B12923" s="127" t="s">
        <v>195</v>
      </c>
      <c r="C12923" s="127" t="s">
        <v>206</v>
      </c>
      <c r="D12923" s="177" t="s">
        <v>64</v>
      </c>
      <c r="E12923" s="177" t="s">
        <v>15634</v>
      </c>
      <c r="F12923" s="177" t="s">
        <v>321</v>
      </c>
      <c r="G12923" s="177" t="s">
        <v>3356</v>
      </c>
      <c r="H12923" s="127" t="s">
        <v>216</v>
      </c>
    </row>
    <row r="12924" hidden="1">
      <c r="A12924" s="177" t="s">
        <v>228</v>
      </c>
      <c r="B12924" s="127" t="s">
        <v>138</v>
      </c>
      <c r="C12924" s="127" t="s">
        <v>206</v>
      </c>
      <c r="D12924" s="177" t="s">
        <v>64</v>
      </c>
      <c r="E12924" s="177" t="s">
        <v>15635</v>
      </c>
      <c r="F12924" s="177" t="s">
        <v>450</v>
      </c>
      <c r="G12924" s="177" t="s">
        <v>4851</v>
      </c>
      <c r="H12924" s="127" t="s">
        <v>210</v>
      </c>
    </row>
    <row r="12925" hidden="1">
      <c r="A12925" s="177" t="s">
        <v>228</v>
      </c>
      <c r="B12925" s="127" t="s">
        <v>138</v>
      </c>
      <c r="C12925" s="127" t="s">
        <v>206</v>
      </c>
      <c r="D12925" s="177" t="s">
        <v>64</v>
      </c>
      <c r="E12925" s="177" t="s">
        <v>15636</v>
      </c>
      <c r="F12925" s="177" t="s">
        <v>799</v>
      </c>
      <c r="G12925" s="177" t="s">
        <v>9719</v>
      </c>
      <c r="H12925" s="127" t="s">
        <v>211</v>
      </c>
    </row>
    <row r="12926" hidden="1">
      <c r="A12926" s="177" t="s">
        <v>228</v>
      </c>
      <c r="B12926" s="127" t="s">
        <v>138</v>
      </c>
      <c r="C12926" s="127" t="s">
        <v>206</v>
      </c>
      <c r="D12926" s="177" t="s">
        <v>64</v>
      </c>
      <c r="E12926" s="177" t="s">
        <v>15637</v>
      </c>
      <c r="F12926" s="177" t="s">
        <v>244</v>
      </c>
      <c r="G12926" s="177" t="s">
        <v>10842</v>
      </c>
      <c r="H12926" s="127" t="s">
        <v>212</v>
      </c>
    </row>
    <row r="12927" hidden="1">
      <c r="A12927" s="177" t="s">
        <v>228</v>
      </c>
      <c r="B12927" s="127" t="s">
        <v>138</v>
      </c>
      <c r="C12927" s="127" t="s">
        <v>206</v>
      </c>
      <c r="D12927" s="177" t="s">
        <v>64</v>
      </c>
      <c r="E12927" s="177" t="s">
        <v>15638</v>
      </c>
      <c r="F12927" s="177" t="s">
        <v>677</v>
      </c>
      <c r="G12927" s="177" t="s">
        <v>10109</v>
      </c>
      <c r="H12927" s="127" t="s">
        <v>213</v>
      </c>
    </row>
    <row r="12928" hidden="1">
      <c r="A12928" s="177" t="s">
        <v>228</v>
      </c>
      <c r="B12928" s="127" t="s">
        <v>138</v>
      </c>
      <c r="C12928" s="127" t="s">
        <v>206</v>
      </c>
      <c r="D12928" s="177" t="s">
        <v>64</v>
      </c>
      <c r="E12928" s="177" t="s">
        <v>15639</v>
      </c>
      <c r="F12928" s="177" t="s">
        <v>257</v>
      </c>
      <c r="G12928" s="177" t="s">
        <v>10008</v>
      </c>
      <c r="H12928" s="127" t="s">
        <v>214</v>
      </c>
    </row>
    <row r="12929" hidden="1">
      <c r="A12929" s="177" t="s">
        <v>228</v>
      </c>
      <c r="B12929" s="127" t="s">
        <v>138</v>
      </c>
      <c r="C12929" s="127" t="s">
        <v>206</v>
      </c>
      <c r="D12929" s="177" t="s">
        <v>64</v>
      </c>
      <c r="E12929" s="177" t="s">
        <v>15640</v>
      </c>
      <c r="F12929" s="177" t="s">
        <v>287</v>
      </c>
      <c r="G12929" s="177" t="s">
        <v>9748</v>
      </c>
      <c r="H12929" s="127" t="s">
        <v>215</v>
      </c>
    </row>
    <row r="12930" hidden="1">
      <c r="A12930" s="177" t="s">
        <v>228</v>
      </c>
      <c r="B12930" s="127" t="s">
        <v>138</v>
      </c>
      <c r="C12930" s="127" t="s">
        <v>206</v>
      </c>
      <c r="D12930" s="177" t="s">
        <v>64</v>
      </c>
      <c r="E12930" s="177" t="s">
        <v>15641</v>
      </c>
      <c r="F12930" s="177" t="s">
        <v>450</v>
      </c>
      <c r="G12930" s="177" t="s">
        <v>5299</v>
      </c>
      <c r="H12930" s="127" t="s">
        <v>216</v>
      </c>
    </row>
    <row r="12931" hidden="1">
      <c r="A12931" s="177" t="s">
        <v>229</v>
      </c>
      <c r="B12931" s="127" t="s">
        <v>193</v>
      </c>
      <c r="C12931" s="127" t="s">
        <v>206</v>
      </c>
      <c r="D12931" s="177" t="s">
        <v>64</v>
      </c>
      <c r="E12931" s="177" t="s">
        <v>15642</v>
      </c>
      <c r="F12931" s="177" t="s">
        <v>285</v>
      </c>
      <c r="G12931" s="177" t="s">
        <v>4659</v>
      </c>
      <c r="H12931" s="127" t="s">
        <v>210</v>
      </c>
    </row>
    <row r="12932" hidden="1">
      <c r="A12932" s="177" t="s">
        <v>229</v>
      </c>
      <c r="B12932" s="127" t="s">
        <v>193</v>
      </c>
      <c r="C12932" s="127" t="s">
        <v>206</v>
      </c>
      <c r="D12932" s="177" t="s">
        <v>64</v>
      </c>
      <c r="E12932" s="177" t="s">
        <v>15643</v>
      </c>
      <c r="F12932" s="177" t="s">
        <v>242</v>
      </c>
      <c r="G12932" s="177" t="s">
        <v>4743</v>
      </c>
      <c r="H12932" s="127" t="s">
        <v>211</v>
      </c>
    </row>
    <row r="12933" hidden="1">
      <c r="A12933" s="177" t="s">
        <v>229</v>
      </c>
      <c r="B12933" s="127" t="s">
        <v>193</v>
      </c>
      <c r="C12933" s="127" t="s">
        <v>206</v>
      </c>
      <c r="D12933" s="177" t="s">
        <v>64</v>
      </c>
      <c r="E12933" s="177" t="s">
        <v>15644</v>
      </c>
      <c r="F12933" s="177" t="s">
        <v>310</v>
      </c>
      <c r="G12933" s="177" t="s">
        <v>3840</v>
      </c>
      <c r="H12933" s="127" t="s">
        <v>212</v>
      </c>
    </row>
    <row r="12934" hidden="1">
      <c r="A12934" s="177" t="s">
        <v>229</v>
      </c>
      <c r="B12934" s="127" t="s">
        <v>193</v>
      </c>
      <c r="C12934" s="127" t="s">
        <v>206</v>
      </c>
      <c r="D12934" s="177" t="s">
        <v>64</v>
      </c>
      <c r="E12934" s="177" t="s">
        <v>15645</v>
      </c>
      <c r="F12934" s="177" t="s">
        <v>246</v>
      </c>
      <c r="G12934" s="177" t="s">
        <v>4077</v>
      </c>
      <c r="H12934" s="127" t="s">
        <v>213</v>
      </c>
    </row>
    <row r="12935" hidden="1">
      <c r="A12935" s="177" t="s">
        <v>229</v>
      </c>
      <c r="B12935" s="127" t="s">
        <v>193</v>
      </c>
      <c r="C12935" s="127" t="s">
        <v>206</v>
      </c>
      <c r="D12935" s="177" t="s">
        <v>64</v>
      </c>
      <c r="E12935" s="177" t="s">
        <v>15646</v>
      </c>
      <c r="F12935" s="177" t="s">
        <v>321</v>
      </c>
      <c r="G12935" s="177" t="s">
        <v>8269</v>
      </c>
      <c r="H12935" s="127" t="s">
        <v>214</v>
      </c>
    </row>
    <row r="12936" hidden="1">
      <c r="A12936" s="177" t="s">
        <v>229</v>
      </c>
      <c r="B12936" s="127" t="s">
        <v>193</v>
      </c>
      <c r="C12936" s="127" t="s">
        <v>206</v>
      </c>
      <c r="D12936" s="177" t="s">
        <v>64</v>
      </c>
      <c r="E12936" s="177" t="s">
        <v>15647</v>
      </c>
      <c r="F12936" s="177" t="s">
        <v>290</v>
      </c>
      <c r="G12936" s="177" t="s">
        <v>5037</v>
      </c>
      <c r="H12936" s="127" t="s">
        <v>215</v>
      </c>
    </row>
    <row r="12937" hidden="1">
      <c r="A12937" s="177" t="s">
        <v>229</v>
      </c>
      <c r="B12937" s="127" t="s">
        <v>193</v>
      </c>
      <c r="C12937" s="127" t="s">
        <v>206</v>
      </c>
      <c r="D12937" s="177" t="s">
        <v>64</v>
      </c>
      <c r="E12937" s="177" t="s">
        <v>15648</v>
      </c>
      <c r="F12937" s="177" t="s">
        <v>323</v>
      </c>
      <c r="G12937" s="177" t="s">
        <v>3113</v>
      </c>
      <c r="H12937" s="127" t="s">
        <v>216</v>
      </c>
    </row>
    <row r="12938" hidden="1">
      <c r="A12938" s="177" t="s">
        <v>230</v>
      </c>
      <c r="B12938" s="127" t="s">
        <v>194</v>
      </c>
      <c r="C12938" s="127" t="s">
        <v>206</v>
      </c>
      <c r="D12938" s="177" t="s">
        <v>64</v>
      </c>
      <c r="E12938" s="177" t="s">
        <v>15649</v>
      </c>
      <c r="F12938" s="177" t="s">
        <v>265</v>
      </c>
      <c r="G12938" s="177" t="s">
        <v>2289</v>
      </c>
      <c r="H12938" s="127" t="s">
        <v>210</v>
      </c>
    </row>
    <row r="12939" hidden="1">
      <c r="A12939" s="177" t="s">
        <v>230</v>
      </c>
      <c r="B12939" s="127" t="s">
        <v>194</v>
      </c>
      <c r="C12939" s="127" t="s">
        <v>206</v>
      </c>
      <c r="D12939" s="177" t="s">
        <v>64</v>
      </c>
      <c r="E12939" s="177" t="s">
        <v>15650</v>
      </c>
      <c r="F12939" s="177" t="s">
        <v>246</v>
      </c>
      <c r="G12939" s="177" t="s">
        <v>2925</v>
      </c>
      <c r="H12939" s="127" t="s">
        <v>211</v>
      </c>
    </row>
    <row r="12940" hidden="1">
      <c r="A12940" s="177" t="s">
        <v>230</v>
      </c>
      <c r="B12940" s="127" t="s">
        <v>194</v>
      </c>
      <c r="C12940" s="127" t="s">
        <v>206</v>
      </c>
      <c r="D12940" s="177" t="s">
        <v>64</v>
      </c>
      <c r="E12940" s="177" t="s">
        <v>15651</v>
      </c>
      <c r="F12940" s="177" t="s">
        <v>257</v>
      </c>
      <c r="G12940" s="177" t="s">
        <v>2243</v>
      </c>
      <c r="H12940" s="127" t="s">
        <v>212</v>
      </c>
    </row>
    <row r="12941" hidden="1">
      <c r="A12941" s="177" t="s">
        <v>230</v>
      </c>
      <c r="B12941" s="127" t="s">
        <v>194</v>
      </c>
      <c r="C12941" s="127" t="s">
        <v>206</v>
      </c>
      <c r="D12941" s="177" t="s">
        <v>64</v>
      </c>
      <c r="E12941" s="177" t="s">
        <v>15652</v>
      </c>
      <c r="F12941" s="177" t="s">
        <v>298</v>
      </c>
      <c r="G12941" s="177" t="s">
        <v>2243</v>
      </c>
      <c r="H12941" s="127" t="s">
        <v>213</v>
      </c>
    </row>
    <row r="12942" hidden="1">
      <c r="A12942" s="177" t="s">
        <v>230</v>
      </c>
      <c r="B12942" s="127" t="s">
        <v>194</v>
      </c>
      <c r="C12942" s="127" t="s">
        <v>206</v>
      </c>
      <c r="D12942" s="177" t="s">
        <v>64</v>
      </c>
      <c r="E12942" s="177" t="s">
        <v>15653</v>
      </c>
      <c r="F12942" s="177" t="s">
        <v>298</v>
      </c>
      <c r="G12942" s="177" t="s">
        <v>3007</v>
      </c>
      <c r="H12942" s="127" t="s">
        <v>214</v>
      </c>
    </row>
    <row r="12943" hidden="1">
      <c r="A12943" s="177" t="s">
        <v>230</v>
      </c>
      <c r="B12943" s="127" t="s">
        <v>194</v>
      </c>
      <c r="C12943" s="127" t="s">
        <v>206</v>
      </c>
      <c r="D12943" s="177" t="s">
        <v>64</v>
      </c>
      <c r="E12943" s="177" t="s">
        <v>15654</v>
      </c>
      <c r="F12943" s="177" t="s">
        <v>204</v>
      </c>
      <c r="G12943" s="177" t="s">
        <v>1858</v>
      </c>
      <c r="H12943" s="127" t="s">
        <v>215</v>
      </c>
    </row>
    <row r="12944" hidden="1">
      <c r="A12944" s="177" t="s">
        <v>230</v>
      </c>
      <c r="B12944" s="127" t="s">
        <v>194</v>
      </c>
      <c r="C12944" s="127" t="s">
        <v>206</v>
      </c>
      <c r="D12944" s="177" t="s">
        <v>64</v>
      </c>
      <c r="E12944" s="177" t="s">
        <v>15655</v>
      </c>
      <c r="F12944" s="177" t="s">
        <v>255</v>
      </c>
      <c r="G12944" s="177" t="s">
        <v>4338</v>
      </c>
      <c r="H12944" s="127" t="s">
        <v>216</v>
      </c>
    </row>
    <row r="12945" hidden="1">
      <c r="A12945" s="127" t="s">
        <v>231</v>
      </c>
      <c r="C12945" s="127" t="s">
        <v>232</v>
      </c>
      <c r="D12945" s="177" t="s">
        <v>64</v>
      </c>
      <c r="E12945" s="177" t="s">
        <v>15656</v>
      </c>
      <c r="F12945" s="177" t="s">
        <v>458</v>
      </c>
      <c r="G12945" s="177" t="s">
        <v>639</v>
      </c>
      <c r="H12945" s="127" t="s">
        <v>210</v>
      </c>
    </row>
    <row r="12946" hidden="1">
      <c r="A12946" s="127" t="s">
        <v>231</v>
      </c>
      <c r="C12946" s="127" t="s">
        <v>232</v>
      </c>
      <c r="D12946" s="177" t="s">
        <v>64</v>
      </c>
      <c r="E12946" s="177" t="s">
        <v>15657</v>
      </c>
      <c r="F12946" s="177" t="s">
        <v>279</v>
      </c>
      <c r="G12946" s="177" t="s">
        <v>6580</v>
      </c>
      <c r="H12946" s="127" t="s">
        <v>211</v>
      </c>
    </row>
    <row r="12947" hidden="1">
      <c r="A12947" s="127" t="s">
        <v>231</v>
      </c>
      <c r="C12947" s="127" t="s">
        <v>232</v>
      </c>
      <c r="D12947" s="177" t="s">
        <v>64</v>
      </c>
      <c r="E12947" s="177" t="s">
        <v>15658</v>
      </c>
      <c r="F12947" s="177" t="s">
        <v>5561</v>
      </c>
      <c r="G12947" s="177" t="s">
        <v>9464</v>
      </c>
      <c r="H12947" s="127" t="s">
        <v>212</v>
      </c>
    </row>
    <row r="12948" hidden="1">
      <c r="A12948" s="127" t="s">
        <v>231</v>
      </c>
      <c r="C12948" s="127" t="s">
        <v>232</v>
      </c>
      <c r="D12948" s="177" t="s">
        <v>64</v>
      </c>
      <c r="E12948" s="177" t="s">
        <v>15659</v>
      </c>
      <c r="F12948" s="177" t="s">
        <v>2166</v>
      </c>
      <c r="G12948" s="177" t="s">
        <v>1986</v>
      </c>
      <c r="H12948" s="127" t="s">
        <v>213</v>
      </c>
    </row>
    <row r="12949" hidden="1">
      <c r="A12949" s="127" t="s">
        <v>231</v>
      </c>
      <c r="C12949" s="127" t="s">
        <v>232</v>
      </c>
      <c r="D12949" s="177" t="s">
        <v>64</v>
      </c>
      <c r="E12949" s="177" t="s">
        <v>15660</v>
      </c>
      <c r="F12949" s="177" t="s">
        <v>2168</v>
      </c>
      <c r="G12949" s="177" t="s">
        <v>9840</v>
      </c>
      <c r="H12949" s="127" t="s">
        <v>214</v>
      </c>
    </row>
    <row r="12950" hidden="1">
      <c r="A12950" s="127" t="s">
        <v>231</v>
      </c>
      <c r="C12950" s="127" t="s">
        <v>232</v>
      </c>
      <c r="D12950" s="177" t="s">
        <v>64</v>
      </c>
      <c r="E12950" s="177" t="s">
        <v>15661</v>
      </c>
      <c r="F12950" s="177" t="s">
        <v>1181</v>
      </c>
      <c r="G12950" s="177" t="s">
        <v>1753</v>
      </c>
      <c r="H12950" s="127" t="s">
        <v>215</v>
      </c>
    </row>
    <row r="12951" hidden="1">
      <c r="A12951" s="127" t="s">
        <v>231</v>
      </c>
      <c r="C12951" s="127" t="s">
        <v>232</v>
      </c>
      <c r="D12951" s="177" t="s">
        <v>64</v>
      </c>
      <c r="E12951" s="177" t="s">
        <v>15662</v>
      </c>
      <c r="F12951" s="177" t="s">
        <v>442</v>
      </c>
      <c r="G12951" s="177" t="s">
        <v>1762</v>
      </c>
      <c r="H12951" s="127" t="s">
        <v>216</v>
      </c>
    </row>
    <row r="12952" hidden="1">
      <c r="A12952" s="127" t="s">
        <v>233</v>
      </c>
      <c r="C12952" s="127" t="s">
        <v>232</v>
      </c>
      <c r="D12952" s="177" t="s">
        <v>64</v>
      </c>
      <c r="E12952" s="177" t="s">
        <v>15663</v>
      </c>
      <c r="F12952" s="177" t="s">
        <v>323</v>
      </c>
      <c r="G12952" s="177" t="s">
        <v>3482</v>
      </c>
      <c r="H12952" s="127" t="s">
        <v>210</v>
      </c>
    </row>
    <row r="12953" hidden="1">
      <c r="A12953" s="127" t="s">
        <v>233</v>
      </c>
      <c r="C12953" s="127" t="s">
        <v>232</v>
      </c>
      <c r="D12953" s="177" t="s">
        <v>64</v>
      </c>
      <c r="E12953" s="177" t="s">
        <v>15664</v>
      </c>
      <c r="F12953" s="177" t="s">
        <v>240</v>
      </c>
      <c r="G12953" s="177" t="s">
        <v>1921</v>
      </c>
      <c r="H12953" s="127" t="s">
        <v>211</v>
      </c>
    </row>
    <row r="12954" hidden="1">
      <c r="A12954" s="127" t="s">
        <v>233</v>
      </c>
      <c r="C12954" s="127" t="s">
        <v>232</v>
      </c>
      <c r="D12954" s="177" t="s">
        <v>64</v>
      </c>
      <c r="E12954" s="177" t="s">
        <v>15665</v>
      </c>
      <c r="F12954" s="177" t="s">
        <v>287</v>
      </c>
      <c r="G12954" s="177" t="s">
        <v>2845</v>
      </c>
      <c r="H12954" s="127" t="s">
        <v>212</v>
      </c>
    </row>
    <row r="12955" hidden="1">
      <c r="A12955" s="127" t="s">
        <v>233</v>
      </c>
      <c r="C12955" s="127" t="s">
        <v>232</v>
      </c>
      <c r="D12955" s="177" t="s">
        <v>64</v>
      </c>
      <c r="E12955" s="177" t="s">
        <v>15666</v>
      </c>
      <c r="F12955" s="177" t="s">
        <v>287</v>
      </c>
      <c r="G12955" s="177" t="s">
        <v>3230</v>
      </c>
      <c r="H12955" s="127" t="s">
        <v>213</v>
      </c>
    </row>
    <row r="12956" hidden="1">
      <c r="A12956" s="127" t="s">
        <v>233</v>
      </c>
      <c r="C12956" s="127" t="s">
        <v>232</v>
      </c>
      <c r="D12956" s="177" t="s">
        <v>64</v>
      </c>
      <c r="E12956" s="177" t="s">
        <v>15667</v>
      </c>
      <c r="F12956" s="177" t="s">
        <v>257</v>
      </c>
      <c r="G12956" s="177" t="s">
        <v>2609</v>
      </c>
      <c r="H12956" s="127" t="s">
        <v>214</v>
      </c>
    </row>
    <row r="12957" hidden="1">
      <c r="A12957" s="127" t="s">
        <v>233</v>
      </c>
      <c r="C12957" s="127" t="s">
        <v>232</v>
      </c>
      <c r="D12957" s="177" t="s">
        <v>64</v>
      </c>
      <c r="E12957" s="177" t="s">
        <v>15668</v>
      </c>
      <c r="F12957" s="177" t="s">
        <v>365</v>
      </c>
      <c r="G12957" s="177" t="s">
        <v>3482</v>
      </c>
      <c r="H12957" s="127" t="s">
        <v>215</v>
      </c>
    </row>
    <row r="12958" hidden="1">
      <c r="A12958" s="127" t="s">
        <v>233</v>
      </c>
      <c r="C12958" s="127" t="s">
        <v>232</v>
      </c>
      <c r="D12958" s="177" t="s">
        <v>64</v>
      </c>
      <c r="E12958" s="177" t="s">
        <v>15669</v>
      </c>
      <c r="F12958" s="177" t="s">
        <v>244</v>
      </c>
      <c r="G12958" s="177" t="s">
        <v>3485</v>
      </c>
      <c r="H12958" s="127" t="s">
        <v>216</v>
      </c>
    </row>
    <row r="12959" hidden="1">
      <c r="A12959" s="127" t="s">
        <v>234</v>
      </c>
      <c r="C12959" s="127" t="s">
        <v>232</v>
      </c>
      <c r="D12959" s="177" t="s">
        <v>64</v>
      </c>
      <c r="E12959" s="177" t="s">
        <v>15670</v>
      </c>
      <c r="F12959" s="177" t="s">
        <v>308</v>
      </c>
      <c r="G12959" s="177" t="s">
        <v>3057</v>
      </c>
      <c r="H12959" s="127" t="s">
        <v>210</v>
      </c>
    </row>
    <row r="12960" hidden="1">
      <c r="A12960" s="127" t="s">
        <v>234</v>
      </c>
      <c r="C12960" s="127" t="s">
        <v>232</v>
      </c>
      <c r="D12960" s="177" t="s">
        <v>64</v>
      </c>
      <c r="E12960" s="177" t="s">
        <v>15671</v>
      </c>
      <c r="F12960" s="177" t="s">
        <v>365</v>
      </c>
      <c r="G12960" s="177" t="s">
        <v>2387</v>
      </c>
      <c r="H12960" s="127" t="s">
        <v>211</v>
      </c>
    </row>
    <row r="12961" hidden="1">
      <c r="A12961" s="127" t="s">
        <v>234</v>
      </c>
      <c r="C12961" s="127" t="s">
        <v>232</v>
      </c>
      <c r="D12961" s="177" t="s">
        <v>64</v>
      </c>
      <c r="E12961" s="177" t="s">
        <v>15672</v>
      </c>
      <c r="F12961" s="177" t="s">
        <v>244</v>
      </c>
      <c r="G12961" s="177" t="s">
        <v>3262</v>
      </c>
      <c r="H12961" s="127" t="s">
        <v>212</v>
      </c>
    </row>
    <row r="12962" hidden="1">
      <c r="A12962" s="127" t="s">
        <v>234</v>
      </c>
      <c r="C12962" s="127" t="s">
        <v>232</v>
      </c>
      <c r="D12962" s="177" t="s">
        <v>64</v>
      </c>
      <c r="E12962" s="177" t="s">
        <v>15673</v>
      </c>
      <c r="F12962" s="177" t="s">
        <v>357</v>
      </c>
      <c r="G12962" s="177" t="s">
        <v>3996</v>
      </c>
      <c r="H12962" s="127" t="s">
        <v>213</v>
      </c>
    </row>
    <row r="12963" hidden="1">
      <c r="A12963" s="127" t="s">
        <v>234</v>
      </c>
      <c r="C12963" s="127" t="s">
        <v>232</v>
      </c>
      <c r="D12963" s="177" t="s">
        <v>64</v>
      </c>
      <c r="E12963" s="177" t="s">
        <v>15674</v>
      </c>
      <c r="F12963" s="177" t="s">
        <v>276</v>
      </c>
      <c r="G12963" s="177" t="s">
        <v>2609</v>
      </c>
      <c r="H12963" s="127" t="s">
        <v>214</v>
      </c>
    </row>
    <row r="12964" hidden="1">
      <c r="A12964" s="127" t="s">
        <v>234</v>
      </c>
      <c r="C12964" s="127" t="s">
        <v>232</v>
      </c>
      <c r="D12964" s="177" t="s">
        <v>64</v>
      </c>
      <c r="E12964" s="177" t="s">
        <v>15675</v>
      </c>
      <c r="F12964" s="177" t="s">
        <v>321</v>
      </c>
      <c r="G12964" s="177" t="s">
        <v>3812</v>
      </c>
      <c r="H12964" s="127" t="s">
        <v>215</v>
      </c>
    </row>
    <row r="12965" hidden="1">
      <c r="A12965" s="127" t="s">
        <v>234</v>
      </c>
      <c r="C12965" s="127" t="s">
        <v>232</v>
      </c>
      <c r="D12965" s="177" t="s">
        <v>64</v>
      </c>
      <c r="E12965" s="177" t="s">
        <v>15676</v>
      </c>
      <c r="F12965" s="177" t="s">
        <v>285</v>
      </c>
      <c r="G12965" s="177" t="s">
        <v>3057</v>
      </c>
      <c r="H12965" s="127" t="s">
        <v>216</v>
      </c>
    </row>
    <row r="12966" hidden="1">
      <c r="A12966" s="127" t="s">
        <v>235</v>
      </c>
      <c r="C12966" s="127" t="s">
        <v>236</v>
      </c>
      <c r="D12966" s="177" t="s">
        <v>64</v>
      </c>
      <c r="E12966" s="177" t="s">
        <v>15677</v>
      </c>
      <c r="F12966" s="177" t="s">
        <v>259</v>
      </c>
      <c r="G12966" s="177" t="s">
        <v>2703</v>
      </c>
      <c r="H12966" s="127" t="s">
        <v>210</v>
      </c>
    </row>
    <row r="12967" hidden="1">
      <c r="A12967" s="127" t="s">
        <v>235</v>
      </c>
      <c r="C12967" s="127" t="s">
        <v>236</v>
      </c>
      <c r="D12967" s="177" t="s">
        <v>64</v>
      </c>
      <c r="E12967" s="177" t="s">
        <v>15678</v>
      </c>
      <c r="F12967" s="177" t="s">
        <v>265</v>
      </c>
      <c r="G12967" s="177" t="s">
        <v>2211</v>
      </c>
      <c r="H12967" s="127" t="s">
        <v>211</v>
      </c>
    </row>
    <row r="12968" hidden="1">
      <c r="A12968" s="127" t="s">
        <v>235</v>
      </c>
      <c r="C12968" s="127" t="s">
        <v>236</v>
      </c>
      <c r="D12968" s="177" t="s">
        <v>64</v>
      </c>
      <c r="E12968" s="177" t="s">
        <v>15679</v>
      </c>
      <c r="F12968" s="177" t="s">
        <v>262</v>
      </c>
      <c r="G12968" s="177" t="s">
        <v>2132</v>
      </c>
      <c r="H12968" s="127" t="s">
        <v>212</v>
      </c>
    </row>
    <row r="12969" hidden="1">
      <c r="A12969" s="127" t="s">
        <v>235</v>
      </c>
      <c r="C12969" s="127" t="s">
        <v>236</v>
      </c>
      <c r="D12969" s="177" t="s">
        <v>64</v>
      </c>
      <c r="E12969" s="177" t="s">
        <v>15680</v>
      </c>
      <c r="F12969" s="177" t="s">
        <v>265</v>
      </c>
      <c r="G12969" s="177" t="s">
        <v>2129</v>
      </c>
      <c r="H12969" s="127" t="s">
        <v>213</v>
      </c>
    </row>
    <row r="12970" hidden="1">
      <c r="A12970" s="127" t="s">
        <v>235</v>
      </c>
      <c r="C12970" s="127" t="s">
        <v>236</v>
      </c>
      <c r="D12970" s="177" t="s">
        <v>64</v>
      </c>
      <c r="E12970" s="177" t="s">
        <v>15681</v>
      </c>
      <c r="F12970" s="177" t="s">
        <v>492</v>
      </c>
      <c r="G12970" s="177" t="s">
        <v>2398</v>
      </c>
      <c r="H12970" s="127" t="s">
        <v>214</v>
      </c>
    </row>
    <row r="12971" hidden="1">
      <c r="A12971" s="127" t="s">
        <v>235</v>
      </c>
      <c r="C12971" s="127" t="s">
        <v>236</v>
      </c>
      <c r="D12971" s="177" t="s">
        <v>64</v>
      </c>
      <c r="E12971" s="177" t="s">
        <v>15682</v>
      </c>
      <c r="F12971" s="177" t="s">
        <v>240</v>
      </c>
      <c r="G12971" s="177" t="s">
        <v>2410</v>
      </c>
      <c r="H12971" s="127" t="s">
        <v>215</v>
      </c>
    </row>
    <row r="12972" hidden="1">
      <c r="A12972" s="127" t="s">
        <v>235</v>
      </c>
      <c r="C12972" s="127" t="s">
        <v>236</v>
      </c>
      <c r="D12972" s="177" t="s">
        <v>64</v>
      </c>
      <c r="E12972" s="177" t="s">
        <v>15683</v>
      </c>
      <c r="F12972" s="177" t="s">
        <v>265</v>
      </c>
      <c r="G12972" s="177" t="s">
        <v>2211</v>
      </c>
      <c r="H12972" s="127" t="s">
        <v>216</v>
      </c>
    </row>
    <row r="12973" hidden="1">
      <c r="A12973" s="127" t="s">
        <v>237</v>
      </c>
      <c r="C12973" s="127" t="s">
        <v>236</v>
      </c>
      <c r="D12973" s="177" t="s">
        <v>64</v>
      </c>
      <c r="E12973" s="177" t="s">
        <v>15684</v>
      </c>
      <c r="F12973" s="177" t="s">
        <v>325</v>
      </c>
      <c r="G12973" s="177" t="s">
        <v>3543</v>
      </c>
      <c r="H12973" s="127" t="s">
        <v>210</v>
      </c>
    </row>
    <row r="12974" hidden="1">
      <c r="A12974" s="127" t="s">
        <v>237</v>
      </c>
      <c r="C12974" s="127" t="s">
        <v>236</v>
      </c>
      <c r="D12974" s="177" t="s">
        <v>64</v>
      </c>
      <c r="E12974" s="177" t="s">
        <v>15685</v>
      </c>
      <c r="F12974" s="177" t="s">
        <v>308</v>
      </c>
      <c r="G12974" s="177" t="s">
        <v>3298</v>
      </c>
      <c r="H12974" s="127" t="s">
        <v>211</v>
      </c>
    </row>
    <row r="12975" hidden="1">
      <c r="A12975" s="127" t="s">
        <v>237</v>
      </c>
      <c r="C12975" s="127" t="s">
        <v>236</v>
      </c>
      <c r="D12975" s="177" t="s">
        <v>64</v>
      </c>
      <c r="E12975" s="177" t="s">
        <v>15686</v>
      </c>
      <c r="F12975" s="177" t="s">
        <v>290</v>
      </c>
      <c r="G12975" s="177" t="s">
        <v>4509</v>
      </c>
      <c r="H12975" s="127" t="s">
        <v>212</v>
      </c>
    </row>
    <row r="12976" hidden="1">
      <c r="A12976" s="127" t="s">
        <v>237</v>
      </c>
      <c r="C12976" s="127" t="s">
        <v>236</v>
      </c>
      <c r="D12976" s="177" t="s">
        <v>64</v>
      </c>
      <c r="E12976" s="177" t="s">
        <v>15687</v>
      </c>
      <c r="F12976" s="177" t="s">
        <v>314</v>
      </c>
      <c r="G12976" s="177" t="s">
        <v>9391</v>
      </c>
      <c r="H12976" s="127" t="s">
        <v>213</v>
      </c>
    </row>
    <row r="12977" hidden="1">
      <c r="A12977" s="127" t="s">
        <v>237</v>
      </c>
      <c r="C12977" s="127" t="s">
        <v>236</v>
      </c>
      <c r="D12977" s="177" t="s">
        <v>64</v>
      </c>
      <c r="E12977" s="177" t="s">
        <v>15688</v>
      </c>
      <c r="F12977" s="177" t="s">
        <v>242</v>
      </c>
      <c r="G12977" s="177" t="s">
        <v>3440</v>
      </c>
      <c r="H12977" s="127" t="s">
        <v>214</v>
      </c>
    </row>
    <row r="12978" hidden="1">
      <c r="A12978" s="127" t="s">
        <v>237</v>
      </c>
      <c r="C12978" s="127" t="s">
        <v>236</v>
      </c>
      <c r="D12978" s="177" t="s">
        <v>64</v>
      </c>
      <c r="E12978" s="177" t="s">
        <v>15689</v>
      </c>
      <c r="F12978" s="177" t="s">
        <v>310</v>
      </c>
      <c r="G12978" s="177" t="s">
        <v>9976</v>
      </c>
      <c r="H12978" s="127" t="s">
        <v>215</v>
      </c>
    </row>
    <row r="12979" hidden="1">
      <c r="A12979" s="127" t="s">
        <v>237</v>
      </c>
      <c r="C12979" s="127" t="s">
        <v>236</v>
      </c>
      <c r="D12979" s="177" t="s">
        <v>64</v>
      </c>
      <c r="E12979" s="177" t="s">
        <v>15690</v>
      </c>
      <c r="F12979" s="177" t="s">
        <v>305</v>
      </c>
      <c r="G12979" s="177" t="s">
        <v>4085</v>
      </c>
      <c r="H12979" s="127" t="s">
        <v>216</v>
      </c>
    </row>
    <row r="12980" hidden="1">
      <c r="A12980" s="177" t="s">
        <v>204</v>
      </c>
      <c r="B12980" s="127" t="s">
        <v>205</v>
      </c>
      <c r="C12980" s="127" t="s">
        <v>206</v>
      </c>
      <c r="D12980" s="177" t="s">
        <v>65</v>
      </c>
      <c r="E12980" s="177" t="s">
        <v>15691</v>
      </c>
      <c r="F12980" s="177" t="s">
        <v>357</v>
      </c>
      <c r="G12980" s="177" t="s">
        <v>2845</v>
      </c>
      <c r="H12980" s="127" t="s">
        <v>210</v>
      </c>
    </row>
    <row r="12981" hidden="1">
      <c r="A12981" s="177" t="s">
        <v>204</v>
      </c>
      <c r="B12981" s="127" t="s">
        <v>205</v>
      </c>
      <c r="C12981" s="127" t="s">
        <v>206</v>
      </c>
      <c r="D12981" s="177" t="s">
        <v>65</v>
      </c>
      <c r="E12981" s="177" t="s">
        <v>15692</v>
      </c>
      <c r="F12981" s="177" t="s">
        <v>365</v>
      </c>
      <c r="G12981" s="177" t="s">
        <v>1834</v>
      </c>
      <c r="H12981" s="127" t="s">
        <v>211</v>
      </c>
    </row>
    <row r="12982" hidden="1">
      <c r="A12982" s="177" t="s">
        <v>204</v>
      </c>
      <c r="B12982" s="127" t="s">
        <v>205</v>
      </c>
      <c r="C12982" s="127" t="s">
        <v>206</v>
      </c>
      <c r="D12982" s="177" t="s">
        <v>65</v>
      </c>
      <c r="E12982" s="177" t="s">
        <v>15693</v>
      </c>
      <c r="F12982" s="177" t="s">
        <v>244</v>
      </c>
      <c r="G12982" s="177" t="s">
        <v>3647</v>
      </c>
      <c r="H12982" s="127" t="s">
        <v>212</v>
      </c>
    </row>
    <row r="12983" hidden="1">
      <c r="A12983" s="177" t="s">
        <v>204</v>
      </c>
      <c r="B12983" s="127" t="s">
        <v>205</v>
      </c>
      <c r="C12983" s="127" t="s">
        <v>206</v>
      </c>
      <c r="D12983" s="177" t="s">
        <v>65</v>
      </c>
      <c r="E12983" s="177" t="s">
        <v>15694</v>
      </c>
      <c r="F12983" s="177" t="s">
        <v>244</v>
      </c>
      <c r="G12983" s="177" t="s">
        <v>2847</v>
      </c>
      <c r="H12983" s="127" t="s">
        <v>213</v>
      </c>
    </row>
    <row r="12984" hidden="1">
      <c r="A12984" s="177" t="s">
        <v>204</v>
      </c>
      <c r="B12984" s="127" t="s">
        <v>205</v>
      </c>
      <c r="C12984" s="127" t="s">
        <v>206</v>
      </c>
      <c r="D12984" s="177" t="s">
        <v>65</v>
      </c>
      <c r="E12984" s="177" t="s">
        <v>15695</v>
      </c>
      <c r="F12984" s="177" t="s">
        <v>357</v>
      </c>
      <c r="G12984" s="177" t="s">
        <v>3007</v>
      </c>
      <c r="H12984" s="127" t="s">
        <v>214</v>
      </c>
    </row>
    <row r="12985" hidden="1">
      <c r="A12985" s="177" t="s">
        <v>204</v>
      </c>
      <c r="B12985" s="127" t="s">
        <v>205</v>
      </c>
      <c r="C12985" s="127" t="s">
        <v>206</v>
      </c>
      <c r="D12985" s="177" t="s">
        <v>65</v>
      </c>
      <c r="E12985" s="177" t="s">
        <v>15696</v>
      </c>
      <c r="F12985" s="177" t="s">
        <v>323</v>
      </c>
      <c r="G12985" s="177" t="s">
        <v>3230</v>
      </c>
      <c r="H12985" s="127" t="s">
        <v>215</v>
      </c>
    </row>
    <row r="12986" hidden="1">
      <c r="A12986" s="177" t="s">
        <v>204</v>
      </c>
      <c r="B12986" s="127" t="s">
        <v>205</v>
      </c>
      <c r="C12986" s="127" t="s">
        <v>206</v>
      </c>
      <c r="D12986" s="177" t="s">
        <v>65</v>
      </c>
      <c r="E12986" s="177" t="s">
        <v>15697</v>
      </c>
      <c r="F12986" s="177" t="s">
        <v>357</v>
      </c>
      <c r="G12986" s="177" t="s">
        <v>3221</v>
      </c>
      <c r="H12986" s="127" t="s">
        <v>216</v>
      </c>
    </row>
    <row r="12987" hidden="1">
      <c r="A12987" s="177" t="s">
        <v>217</v>
      </c>
      <c r="B12987" s="127" t="s">
        <v>191</v>
      </c>
      <c r="C12987" s="127" t="s">
        <v>206</v>
      </c>
      <c r="D12987" s="177" t="s">
        <v>65</v>
      </c>
      <c r="E12987" s="177" t="s">
        <v>15698</v>
      </c>
      <c r="F12987" s="177" t="s">
        <v>365</v>
      </c>
      <c r="G12987" s="177" t="s">
        <v>2132</v>
      </c>
      <c r="H12987" s="127" t="s">
        <v>210</v>
      </c>
    </row>
    <row r="12988" hidden="1">
      <c r="A12988" s="177" t="s">
        <v>217</v>
      </c>
      <c r="B12988" s="127" t="s">
        <v>191</v>
      </c>
      <c r="C12988" s="127" t="s">
        <v>206</v>
      </c>
      <c r="D12988" s="177" t="s">
        <v>65</v>
      </c>
      <c r="E12988" s="177" t="s">
        <v>15699</v>
      </c>
      <c r="F12988" s="177" t="s">
        <v>357</v>
      </c>
      <c r="G12988" s="177" t="s">
        <v>2880</v>
      </c>
      <c r="H12988" s="127" t="s">
        <v>211</v>
      </c>
    </row>
    <row r="12989" hidden="1">
      <c r="A12989" s="177" t="s">
        <v>217</v>
      </c>
      <c r="B12989" s="127" t="s">
        <v>191</v>
      </c>
      <c r="C12989" s="127" t="s">
        <v>206</v>
      </c>
      <c r="D12989" s="177" t="s">
        <v>65</v>
      </c>
      <c r="E12989" s="177" t="s">
        <v>15700</v>
      </c>
      <c r="F12989" s="177" t="s">
        <v>269</v>
      </c>
      <c r="G12989" s="177" t="s">
        <v>2697</v>
      </c>
      <c r="H12989" s="127" t="s">
        <v>212</v>
      </c>
    </row>
    <row r="12990" hidden="1">
      <c r="A12990" s="177" t="s">
        <v>217</v>
      </c>
      <c r="B12990" s="127" t="s">
        <v>191</v>
      </c>
      <c r="C12990" s="127" t="s">
        <v>206</v>
      </c>
      <c r="D12990" s="177" t="s">
        <v>65</v>
      </c>
      <c r="E12990" s="177" t="s">
        <v>15701</v>
      </c>
      <c r="F12990" s="177" t="s">
        <v>246</v>
      </c>
      <c r="G12990" s="177" t="s">
        <v>1836</v>
      </c>
      <c r="H12990" s="127" t="s">
        <v>213</v>
      </c>
    </row>
    <row r="12991" hidden="1">
      <c r="A12991" s="177" t="s">
        <v>217</v>
      </c>
      <c r="B12991" s="127" t="s">
        <v>191</v>
      </c>
      <c r="C12991" s="127" t="s">
        <v>206</v>
      </c>
      <c r="D12991" s="177" t="s">
        <v>65</v>
      </c>
      <c r="E12991" s="177" t="s">
        <v>15702</v>
      </c>
      <c r="F12991" s="177" t="s">
        <v>285</v>
      </c>
      <c r="G12991" s="177" t="s">
        <v>2697</v>
      </c>
      <c r="H12991" s="127" t="s">
        <v>214</v>
      </c>
    </row>
    <row r="12992" hidden="1">
      <c r="A12992" s="177" t="s">
        <v>217</v>
      </c>
      <c r="B12992" s="127" t="s">
        <v>191</v>
      </c>
      <c r="C12992" s="127" t="s">
        <v>206</v>
      </c>
      <c r="D12992" s="177" t="s">
        <v>65</v>
      </c>
      <c r="E12992" s="177" t="s">
        <v>15703</v>
      </c>
      <c r="F12992" s="177" t="s">
        <v>240</v>
      </c>
      <c r="G12992" s="177" t="s">
        <v>2779</v>
      </c>
      <c r="H12992" s="127" t="s">
        <v>215</v>
      </c>
    </row>
    <row r="12993" hidden="1">
      <c r="A12993" s="177" t="s">
        <v>217</v>
      </c>
      <c r="B12993" s="127" t="s">
        <v>191</v>
      </c>
      <c r="C12993" s="127" t="s">
        <v>206</v>
      </c>
      <c r="D12993" s="177" t="s">
        <v>65</v>
      </c>
      <c r="E12993" s="177" t="s">
        <v>15704</v>
      </c>
      <c r="F12993" s="177" t="s">
        <v>357</v>
      </c>
      <c r="G12993" s="177" t="s">
        <v>2852</v>
      </c>
      <c r="H12993" s="127" t="s">
        <v>216</v>
      </c>
    </row>
    <row r="12994" hidden="1">
      <c r="A12994" s="177" t="s">
        <v>218</v>
      </c>
      <c r="B12994" s="127" t="s">
        <v>219</v>
      </c>
      <c r="C12994" s="127" t="s">
        <v>206</v>
      </c>
      <c r="D12994" s="177" t="s">
        <v>65</v>
      </c>
      <c r="E12994" s="177" t="s">
        <v>15705</v>
      </c>
      <c r="F12994" s="177" t="s">
        <v>276</v>
      </c>
      <c r="G12994" s="177" t="s">
        <v>2303</v>
      </c>
      <c r="H12994" s="127" t="s">
        <v>210</v>
      </c>
    </row>
    <row r="12995" hidden="1">
      <c r="A12995" s="177" t="s">
        <v>218</v>
      </c>
      <c r="B12995" s="127" t="s">
        <v>219</v>
      </c>
      <c r="C12995" s="127" t="s">
        <v>206</v>
      </c>
      <c r="D12995" s="177" t="s">
        <v>65</v>
      </c>
      <c r="E12995" s="177" t="s">
        <v>15706</v>
      </c>
      <c r="F12995" s="177" t="s">
        <v>255</v>
      </c>
      <c r="G12995" s="177" t="s">
        <v>2785</v>
      </c>
      <c r="H12995" s="127" t="s">
        <v>211</v>
      </c>
    </row>
    <row r="12996" hidden="1">
      <c r="A12996" s="177" t="s">
        <v>218</v>
      </c>
      <c r="B12996" s="127" t="s">
        <v>219</v>
      </c>
      <c r="C12996" s="127" t="s">
        <v>206</v>
      </c>
      <c r="D12996" s="177" t="s">
        <v>65</v>
      </c>
      <c r="E12996" s="177" t="s">
        <v>15707</v>
      </c>
      <c r="F12996" s="177" t="s">
        <v>374</v>
      </c>
      <c r="G12996" s="177" t="s">
        <v>1812</v>
      </c>
      <c r="H12996" s="127" t="s">
        <v>212</v>
      </c>
    </row>
    <row r="12997" hidden="1">
      <c r="A12997" s="177" t="s">
        <v>218</v>
      </c>
      <c r="B12997" s="127" t="s">
        <v>219</v>
      </c>
      <c r="C12997" s="127" t="s">
        <v>206</v>
      </c>
      <c r="D12997" s="177" t="s">
        <v>65</v>
      </c>
      <c r="E12997" s="177" t="s">
        <v>15708</v>
      </c>
      <c r="F12997" s="177" t="s">
        <v>265</v>
      </c>
      <c r="G12997" s="177" t="s">
        <v>2142</v>
      </c>
      <c r="H12997" s="127" t="s">
        <v>213</v>
      </c>
    </row>
    <row r="12998" hidden="1">
      <c r="A12998" s="177" t="s">
        <v>218</v>
      </c>
      <c r="B12998" s="127" t="s">
        <v>219</v>
      </c>
      <c r="C12998" s="127" t="s">
        <v>206</v>
      </c>
      <c r="D12998" s="177" t="s">
        <v>65</v>
      </c>
      <c r="E12998" s="177" t="s">
        <v>15709</v>
      </c>
      <c r="F12998" s="177" t="s">
        <v>492</v>
      </c>
      <c r="G12998" s="177" t="s">
        <v>2633</v>
      </c>
      <c r="H12998" s="127" t="s">
        <v>214</v>
      </c>
    </row>
    <row r="12999" hidden="1">
      <c r="A12999" s="177" t="s">
        <v>218</v>
      </c>
      <c r="B12999" s="127" t="s">
        <v>219</v>
      </c>
      <c r="C12999" s="127" t="s">
        <v>206</v>
      </c>
      <c r="D12999" s="177" t="s">
        <v>65</v>
      </c>
      <c r="E12999" s="177" t="s">
        <v>15710</v>
      </c>
      <c r="F12999" s="177" t="s">
        <v>298</v>
      </c>
      <c r="G12999" s="177" t="s">
        <v>1816</v>
      </c>
      <c r="H12999" s="127" t="s">
        <v>215</v>
      </c>
    </row>
    <row r="13000" hidden="1">
      <c r="A13000" s="177" t="s">
        <v>218</v>
      </c>
      <c r="B13000" s="127" t="s">
        <v>219</v>
      </c>
      <c r="C13000" s="127" t="s">
        <v>206</v>
      </c>
      <c r="D13000" s="177" t="s">
        <v>65</v>
      </c>
      <c r="E13000" s="177" t="s">
        <v>15711</v>
      </c>
      <c r="F13000" s="177" t="s">
        <v>492</v>
      </c>
      <c r="G13000" s="177" t="s">
        <v>2864</v>
      </c>
      <c r="H13000" s="127" t="s">
        <v>216</v>
      </c>
    </row>
    <row r="13001" hidden="1">
      <c r="A13001" s="177" t="s">
        <v>220</v>
      </c>
      <c r="B13001" s="127" t="s">
        <v>190</v>
      </c>
      <c r="C13001" s="127" t="s">
        <v>206</v>
      </c>
      <c r="D13001" s="177" t="s">
        <v>65</v>
      </c>
      <c r="E13001" s="177" t="s">
        <v>15712</v>
      </c>
      <c r="F13001" s="177" t="s">
        <v>1994</v>
      </c>
      <c r="G13001" s="177" t="s">
        <v>2530</v>
      </c>
      <c r="H13001" s="127" t="s">
        <v>210</v>
      </c>
    </row>
    <row r="13002" hidden="1">
      <c r="A13002" s="177" t="s">
        <v>220</v>
      </c>
      <c r="B13002" s="127" t="s">
        <v>190</v>
      </c>
      <c r="C13002" s="127" t="s">
        <v>206</v>
      </c>
      <c r="D13002" s="177" t="s">
        <v>65</v>
      </c>
      <c r="E13002" s="177" t="s">
        <v>15713</v>
      </c>
      <c r="F13002" s="177" t="s">
        <v>1181</v>
      </c>
      <c r="G13002" s="177" t="s">
        <v>2034</v>
      </c>
      <c r="H13002" s="127" t="s">
        <v>211</v>
      </c>
    </row>
    <row r="13003" hidden="1">
      <c r="A13003" s="177" t="s">
        <v>220</v>
      </c>
      <c r="B13003" s="127" t="s">
        <v>190</v>
      </c>
      <c r="C13003" s="127" t="s">
        <v>206</v>
      </c>
      <c r="D13003" s="177" t="s">
        <v>65</v>
      </c>
      <c r="E13003" s="177" t="s">
        <v>15714</v>
      </c>
      <c r="F13003" s="177" t="s">
        <v>492</v>
      </c>
      <c r="G13003" s="177" t="s">
        <v>1841</v>
      </c>
      <c r="H13003" s="127" t="s">
        <v>212</v>
      </c>
    </row>
    <row r="13004" hidden="1">
      <c r="A13004" s="177" t="s">
        <v>220</v>
      </c>
      <c r="B13004" s="127" t="s">
        <v>190</v>
      </c>
      <c r="C13004" s="127" t="s">
        <v>206</v>
      </c>
      <c r="D13004" s="177" t="s">
        <v>65</v>
      </c>
      <c r="E13004" s="177" t="s">
        <v>15715</v>
      </c>
      <c r="F13004" s="177" t="s">
        <v>501</v>
      </c>
      <c r="G13004" s="177" t="s">
        <v>1868</v>
      </c>
      <c r="H13004" s="127" t="s">
        <v>213</v>
      </c>
    </row>
    <row r="13005" hidden="1">
      <c r="A13005" s="177" t="s">
        <v>220</v>
      </c>
      <c r="B13005" s="127" t="s">
        <v>190</v>
      </c>
      <c r="C13005" s="127" t="s">
        <v>206</v>
      </c>
      <c r="D13005" s="177" t="s">
        <v>65</v>
      </c>
      <c r="E13005" s="177" t="s">
        <v>15716</v>
      </c>
      <c r="F13005" s="177" t="s">
        <v>1181</v>
      </c>
      <c r="G13005" s="177" t="s">
        <v>2680</v>
      </c>
      <c r="H13005" s="127" t="s">
        <v>214</v>
      </c>
    </row>
    <row r="13006" hidden="1">
      <c r="A13006" s="177" t="s">
        <v>220</v>
      </c>
      <c r="B13006" s="127" t="s">
        <v>190</v>
      </c>
      <c r="C13006" s="127" t="s">
        <v>206</v>
      </c>
      <c r="D13006" s="177" t="s">
        <v>65</v>
      </c>
      <c r="E13006" s="177" t="s">
        <v>15717</v>
      </c>
      <c r="F13006" s="177" t="s">
        <v>301</v>
      </c>
      <c r="G13006" s="177" t="s">
        <v>2779</v>
      </c>
      <c r="H13006" s="127" t="s">
        <v>215</v>
      </c>
    </row>
    <row r="13007" hidden="1">
      <c r="A13007" s="177" t="s">
        <v>220</v>
      </c>
      <c r="B13007" s="127" t="s">
        <v>190</v>
      </c>
      <c r="C13007" s="127" t="s">
        <v>206</v>
      </c>
      <c r="D13007" s="177" t="s">
        <v>65</v>
      </c>
      <c r="E13007" s="177" t="s">
        <v>15718</v>
      </c>
      <c r="F13007" s="177" t="s">
        <v>1236</v>
      </c>
      <c r="G13007" s="177" t="s">
        <v>2203</v>
      </c>
      <c r="H13007" s="127" t="s">
        <v>216</v>
      </c>
    </row>
    <row r="13008" hidden="1">
      <c r="A13008" s="177" t="s">
        <v>221</v>
      </c>
      <c r="B13008" s="127" t="s">
        <v>189</v>
      </c>
      <c r="C13008" s="127" t="s">
        <v>206</v>
      </c>
      <c r="D13008" s="177" t="s">
        <v>65</v>
      </c>
      <c r="E13008" s="177" t="s">
        <v>15719</v>
      </c>
      <c r="F13008" s="177" t="s">
        <v>298</v>
      </c>
      <c r="G13008" s="177" t="s">
        <v>3371</v>
      </c>
      <c r="H13008" s="127" t="s">
        <v>210</v>
      </c>
    </row>
    <row r="13009" hidden="1">
      <c r="A13009" s="177" t="s">
        <v>221</v>
      </c>
      <c r="B13009" s="127" t="s">
        <v>189</v>
      </c>
      <c r="C13009" s="127" t="s">
        <v>206</v>
      </c>
      <c r="D13009" s="177" t="s">
        <v>65</v>
      </c>
      <c r="E13009" s="177" t="s">
        <v>15720</v>
      </c>
      <c r="F13009" s="177" t="s">
        <v>314</v>
      </c>
      <c r="G13009" s="177" t="s">
        <v>4231</v>
      </c>
      <c r="H13009" s="127" t="s">
        <v>211</v>
      </c>
    </row>
    <row r="13010" hidden="1">
      <c r="A13010" s="177" t="s">
        <v>221</v>
      </c>
      <c r="B13010" s="127" t="s">
        <v>189</v>
      </c>
      <c r="C13010" s="127" t="s">
        <v>206</v>
      </c>
      <c r="D13010" s="177" t="s">
        <v>65</v>
      </c>
      <c r="E13010" s="177" t="s">
        <v>15721</v>
      </c>
      <c r="F13010" s="177" t="s">
        <v>249</v>
      </c>
      <c r="G13010" s="177" t="s">
        <v>2348</v>
      </c>
      <c r="H13010" s="127" t="s">
        <v>212</v>
      </c>
    </row>
    <row r="13011" hidden="1">
      <c r="A13011" s="177" t="s">
        <v>221</v>
      </c>
      <c r="B13011" s="127" t="s">
        <v>189</v>
      </c>
      <c r="C13011" s="127" t="s">
        <v>206</v>
      </c>
      <c r="D13011" s="177" t="s">
        <v>65</v>
      </c>
      <c r="E13011" s="177" t="s">
        <v>15722</v>
      </c>
      <c r="F13011" s="177" t="s">
        <v>359</v>
      </c>
      <c r="G13011" s="177" t="s">
        <v>9609</v>
      </c>
      <c r="H13011" s="127" t="s">
        <v>213</v>
      </c>
    </row>
    <row r="13012" hidden="1">
      <c r="A13012" s="177" t="s">
        <v>221</v>
      </c>
      <c r="B13012" s="127" t="s">
        <v>189</v>
      </c>
      <c r="C13012" s="127" t="s">
        <v>206</v>
      </c>
      <c r="D13012" s="177" t="s">
        <v>65</v>
      </c>
      <c r="E13012" s="177" t="s">
        <v>15723</v>
      </c>
      <c r="F13012" s="177" t="s">
        <v>321</v>
      </c>
      <c r="G13012" s="177" t="s">
        <v>3616</v>
      </c>
      <c r="H13012" s="127" t="s">
        <v>214</v>
      </c>
    </row>
    <row r="13013" hidden="1">
      <c r="A13013" s="177" t="s">
        <v>221</v>
      </c>
      <c r="B13013" s="127" t="s">
        <v>189</v>
      </c>
      <c r="C13013" s="127" t="s">
        <v>206</v>
      </c>
      <c r="D13013" s="177" t="s">
        <v>65</v>
      </c>
      <c r="E13013" s="177" t="s">
        <v>15724</v>
      </c>
      <c r="F13013" s="177" t="s">
        <v>359</v>
      </c>
      <c r="G13013" s="177" t="s">
        <v>9504</v>
      </c>
      <c r="H13013" s="127" t="s">
        <v>215</v>
      </c>
    </row>
    <row r="13014" hidden="1">
      <c r="A13014" s="177" t="s">
        <v>221</v>
      </c>
      <c r="B13014" s="127" t="s">
        <v>189</v>
      </c>
      <c r="C13014" s="127" t="s">
        <v>206</v>
      </c>
      <c r="D13014" s="177" t="s">
        <v>65</v>
      </c>
      <c r="E13014" s="177" t="s">
        <v>15725</v>
      </c>
      <c r="F13014" s="177" t="s">
        <v>257</v>
      </c>
      <c r="G13014" s="177" t="s">
        <v>4582</v>
      </c>
      <c r="H13014" s="127" t="s">
        <v>216</v>
      </c>
    </row>
    <row r="13015" hidden="1">
      <c r="A13015" s="177" t="s">
        <v>222</v>
      </c>
      <c r="B13015" s="127" t="s">
        <v>192</v>
      </c>
      <c r="C13015" s="127" t="s">
        <v>206</v>
      </c>
      <c r="D13015" s="177" t="s">
        <v>65</v>
      </c>
      <c r="E13015" s="177" t="s">
        <v>15726</v>
      </c>
      <c r="F13015" s="177" t="s">
        <v>246</v>
      </c>
      <c r="G13015" s="177" t="s">
        <v>1749</v>
      </c>
      <c r="H13015" s="127" t="s">
        <v>210</v>
      </c>
    </row>
    <row r="13016" hidden="1">
      <c r="A13016" s="177" t="s">
        <v>222</v>
      </c>
      <c r="B13016" s="127" t="s">
        <v>192</v>
      </c>
      <c r="C13016" s="127" t="s">
        <v>206</v>
      </c>
      <c r="D13016" s="177" t="s">
        <v>65</v>
      </c>
      <c r="E13016" s="177" t="s">
        <v>15727</v>
      </c>
      <c r="F13016" s="177" t="s">
        <v>246</v>
      </c>
      <c r="G13016" s="177" t="s">
        <v>1852</v>
      </c>
      <c r="H13016" s="127" t="s">
        <v>211</v>
      </c>
    </row>
    <row r="13017" hidden="1">
      <c r="A13017" s="177" t="s">
        <v>222</v>
      </c>
      <c r="B13017" s="127" t="s">
        <v>192</v>
      </c>
      <c r="C13017" s="127" t="s">
        <v>206</v>
      </c>
      <c r="D13017" s="177" t="s">
        <v>65</v>
      </c>
      <c r="E13017" s="177" t="s">
        <v>15728</v>
      </c>
      <c r="F13017" s="177" t="s">
        <v>240</v>
      </c>
      <c r="G13017" s="177" t="s">
        <v>1739</v>
      </c>
      <c r="H13017" s="127" t="s">
        <v>212</v>
      </c>
    </row>
    <row r="13018" hidden="1">
      <c r="A13018" s="177" t="s">
        <v>222</v>
      </c>
      <c r="B13018" s="127" t="s">
        <v>192</v>
      </c>
      <c r="C13018" s="127" t="s">
        <v>206</v>
      </c>
      <c r="D13018" s="177" t="s">
        <v>65</v>
      </c>
      <c r="E13018" s="177" t="s">
        <v>15729</v>
      </c>
      <c r="F13018" s="177" t="s">
        <v>240</v>
      </c>
      <c r="G13018" s="177" t="s">
        <v>2051</v>
      </c>
      <c r="H13018" s="127" t="s">
        <v>213</v>
      </c>
    </row>
    <row r="13019" hidden="1">
      <c r="A13019" s="177" t="s">
        <v>222</v>
      </c>
      <c r="B13019" s="127" t="s">
        <v>192</v>
      </c>
      <c r="C13019" s="127" t="s">
        <v>206</v>
      </c>
      <c r="D13019" s="177" t="s">
        <v>65</v>
      </c>
      <c r="E13019" s="177" t="s">
        <v>15730</v>
      </c>
      <c r="F13019" s="177" t="s">
        <v>287</v>
      </c>
      <c r="G13019" s="177" t="s">
        <v>1722</v>
      </c>
      <c r="H13019" s="127" t="s">
        <v>214</v>
      </c>
    </row>
    <row r="13020" hidden="1">
      <c r="A13020" s="177" t="s">
        <v>222</v>
      </c>
      <c r="B13020" s="127" t="s">
        <v>192</v>
      </c>
      <c r="C13020" s="127" t="s">
        <v>206</v>
      </c>
      <c r="D13020" s="177" t="s">
        <v>65</v>
      </c>
      <c r="E13020" s="177" t="s">
        <v>15731</v>
      </c>
      <c r="F13020" s="177" t="s">
        <v>269</v>
      </c>
      <c r="G13020" s="177" t="s">
        <v>2146</v>
      </c>
      <c r="H13020" s="127" t="s">
        <v>215</v>
      </c>
    </row>
    <row r="13021" hidden="1">
      <c r="A13021" s="177" t="s">
        <v>222</v>
      </c>
      <c r="B13021" s="127" t="s">
        <v>192</v>
      </c>
      <c r="C13021" s="127" t="s">
        <v>206</v>
      </c>
      <c r="D13021" s="177" t="s">
        <v>65</v>
      </c>
      <c r="E13021" s="177" t="s">
        <v>15732</v>
      </c>
      <c r="F13021" s="177" t="s">
        <v>257</v>
      </c>
      <c r="G13021" s="177" t="s">
        <v>2023</v>
      </c>
      <c r="H13021" s="127" t="s">
        <v>216</v>
      </c>
    </row>
    <row r="13022" hidden="1">
      <c r="A13022" s="177" t="s">
        <v>223</v>
      </c>
      <c r="B13022" s="127" t="s">
        <v>144</v>
      </c>
      <c r="C13022" s="127" t="s">
        <v>206</v>
      </c>
      <c r="D13022" s="177" t="s">
        <v>65</v>
      </c>
      <c r="E13022" s="177" t="s">
        <v>15733</v>
      </c>
      <c r="F13022" s="177" t="s">
        <v>269</v>
      </c>
      <c r="G13022" s="177" t="s">
        <v>2845</v>
      </c>
      <c r="H13022" s="127" t="s">
        <v>210</v>
      </c>
    </row>
    <row r="13023" hidden="1">
      <c r="A13023" s="177" t="s">
        <v>223</v>
      </c>
      <c r="B13023" s="127" t="s">
        <v>144</v>
      </c>
      <c r="C13023" s="127" t="s">
        <v>206</v>
      </c>
      <c r="D13023" s="177" t="s">
        <v>65</v>
      </c>
      <c r="E13023" s="177" t="s">
        <v>15734</v>
      </c>
      <c r="F13023" s="177" t="s">
        <v>301</v>
      </c>
      <c r="G13023" s="177" t="s">
        <v>3487</v>
      </c>
      <c r="H13023" s="127" t="s">
        <v>211</v>
      </c>
    </row>
    <row r="13024" hidden="1">
      <c r="A13024" s="177" t="s">
        <v>223</v>
      </c>
      <c r="B13024" s="127" t="s">
        <v>144</v>
      </c>
      <c r="C13024" s="127" t="s">
        <v>206</v>
      </c>
      <c r="D13024" s="177" t="s">
        <v>65</v>
      </c>
      <c r="E13024" s="177" t="s">
        <v>15735</v>
      </c>
      <c r="F13024" s="177" t="s">
        <v>262</v>
      </c>
      <c r="G13024" s="177" t="s">
        <v>3028</v>
      </c>
      <c r="H13024" s="127" t="s">
        <v>212</v>
      </c>
    </row>
    <row r="13025" hidden="1">
      <c r="A13025" s="177" t="s">
        <v>223</v>
      </c>
      <c r="B13025" s="127" t="s">
        <v>144</v>
      </c>
      <c r="C13025" s="127" t="s">
        <v>206</v>
      </c>
      <c r="D13025" s="177" t="s">
        <v>65</v>
      </c>
      <c r="E13025" s="177" t="s">
        <v>15736</v>
      </c>
      <c r="F13025" s="177" t="s">
        <v>492</v>
      </c>
      <c r="G13025" s="177" t="s">
        <v>2311</v>
      </c>
      <c r="H13025" s="127" t="s">
        <v>213</v>
      </c>
    </row>
    <row r="13026" hidden="1">
      <c r="A13026" s="177" t="s">
        <v>223</v>
      </c>
      <c r="B13026" s="127" t="s">
        <v>144</v>
      </c>
      <c r="C13026" s="127" t="s">
        <v>206</v>
      </c>
      <c r="D13026" s="177" t="s">
        <v>65</v>
      </c>
      <c r="E13026" s="177" t="s">
        <v>15737</v>
      </c>
      <c r="F13026" s="177" t="s">
        <v>259</v>
      </c>
      <c r="G13026" s="177" t="s">
        <v>2542</v>
      </c>
      <c r="H13026" s="127" t="s">
        <v>214</v>
      </c>
    </row>
    <row r="13027" hidden="1">
      <c r="A13027" s="177" t="s">
        <v>223</v>
      </c>
      <c r="B13027" s="127" t="s">
        <v>144</v>
      </c>
      <c r="C13027" s="127" t="s">
        <v>206</v>
      </c>
      <c r="D13027" s="177" t="s">
        <v>65</v>
      </c>
      <c r="E13027" s="177" t="s">
        <v>15738</v>
      </c>
      <c r="F13027" s="177" t="s">
        <v>365</v>
      </c>
      <c r="G13027" s="177" t="s">
        <v>3458</v>
      </c>
      <c r="H13027" s="127" t="s">
        <v>215</v>
      </c>
    </row>
    <row r="13028" hidden="1">
      <c r="A13028" s="177" t="s">
        <v>223</v>
      </c>
      <c r="B13028" s="127" t="s">
        <v>144</v>
      </c>
      <c r="C13028" s="127" t="s">
        <v>206</v>
      </c>
      <c r="D13028" s="177" t="s">
        <v>65</v>
      </c>
      <c r="E13028" s="177" t="s">
        <v>15739</v>
      </c>
      <c r="F13028" s="177" t="s">
        <v>301</v>
      </c>
      <c r="G13028" s="177" t="s">
        <v>1951</v>
      </c>
      <c r="H13028" s="127" t="s">
        <v>216</v>
      </c>
    </row>
    <row r="13029" hidden="1">
      <c r="A13029" s="177" t="s">
        <v>224</v>
      </c>
      <c r="B13029" s="127" t="s">
        <v>170</v>
      </c>
      <c r="C13029" s="127" t="s">
        <v>206</v>
      </c>
      <c r="D13029" s="177" t="s">
        <v>65</v>
      </c>
      <c r="E13029" s="177" t="s">
        <v>15740</v>
      </c>
      <c r="F13029" s="177" t="s">
        <v>310</v>
      </c>
      <c r="G13029" s="177" t="s">
        <v>2309</v>
      </c>
      <c r="H13029" s="127" t="s">
        <v>210</v>
      </c>
    </row>
    <row r="13030" hidden="1">
      <c r="A13030" s="177" t="s">
        <v>224</v>
      </c>
      <c r="B13030" s="127" t="s">
        <v>170</v>
      </c>
      <c r="C13030" s="127" t="s">
        <v>206</v>
      </c>
      <c r="D13030" s="177" t="s">
        <v>65</v>
      </c>
      <c r="E13030" s="177" t="s">
        <v>15741</v>
      </c>
      <c r="F13030" s="177" t="s">
        <v>285</v>
      </c>
      <c r="G13030" s="177" t="s">
        <v>1722</v>
      </c>
      <c r="H13030" s="127" t="s">
        <v>211</v>
      </c>
    </row>
    <row r="13031" hidden="1">
      <c r="A13031" s="177" t="s">
        <v>224</v>
      </c>
      <c r="B13031" s="127" t="s">
        <v>170</v>
      </c>
      <c r="C13031" s="127" t="s">
        <v>206</v>
      </c>
      <c r="D13031" s="177" t="s">
        <v>65</v>
      </c>
      <c r="E13031" s="177" t="s">
        <v>15742</v>
      </c>
      <c r="F13031" s="177" t="s">
        <v>314</v>
      </c>
      <c r="G13031" s="177" t="s">
        <v>1866</v>
      </c>
      <c r="H13031" s="127" t="s">
        <v>212</v>
      </c>
    </row>
    <row r="13032" hidden="1">
      <c r="A13032" s="177" t="s">
        <v>224</v>
      </c>
      <c r="B13032" s="127" t="s">
        <v>170</v>
      </c>
      <c r="C13032" s="127" t="s">
        <v>206</v>
      </c>
      <c r="D13032" s="177" t="s">
        <v>65</v>
      </c>
      <c r="E13032" s="177" t="s">
        <v>15743</v>
      </c>
      <c r="F13032" s="177" t="s">
        <v>534</v>
      </c>
      <c r="G13032" s="177" t="s">
        <v>1818</v>
      </c>
      <c r="H13032" s="127" t="s">
        <v>213</v>
      </c>
    </row>
    <row r="13033" hidden="1">
      <c r="A13033" s="177" t="s">
        <v>224</v>
      </c>
      <c r="B13033" s="127" t="s">
        <v>170</v>
      </c>
      <c r="C13033" s="127" t="s">
        <v>206</v>
      </c>
      <c r="D13033" s="177" t="s">
        <v>65</v>
      </c>
      <c r="E13033" s="177" t="s">
        <v>15744</v>
      </c>
      <c r="F13033" s="177" t="s">
        <v>359</v>
      </c>
      <c r="G13033" s="177" t="s">
        <v>1852</v>
      </c>
      <c r="H13033" s="127" t="s">
        <v>214</v>
      </c>
    </row>
    <row r="13034" hidden="1">
      <c r="A13034" s="177" t="s">
        <v>224</v>
      </c>
      <c r="B13034" s="127" t="s">
        <v>170</v>
      </c>
      <c r="C13034" s="127" t="s">
        <v>206</v>
      </c>
      <c r="D13034" s="177" t="s">
        <v>65</v>
      </c>
      <c r="E13034" s="177" t="s">
        <v>15745</v>
      </c>
      <c r="F13034" s="177" t="s">
        <v>478</v>
      </c>
      <c r="G13034" s="177" t="s">
        <v>2703</v>
      </c>
      <c r="H13034" s="127" t="s">
        <v>215</v>
      </c>
    </row>
    <row r="13035" hidden="1">
      <c r="A13035" s="177" t="s">
        <v>224</v>
      </c>
      <c r="B13035" s="127" t="s">
        <v>170</v>
      </c>
      <c r="C13035" s="127" t="s">
        <v>206</v>
      </c>
      <c r="D13035" s="177" t="s">
        <v>65</v>
      </c>
      <c r="E13035" s="177" t="s">
        <v>15746</v>
      </c>
      <c r="F13035" s="177" t="s">
        <v>331</v>
      </c>
      <c r="G13035" s="177" t="s">
        <v>2703</v>
      </c>
      <c r="H13035" s="127" t="s">
        <v>216</v>
      </c>
    </row>
    <row r="13036" hidden="1">
      <c r="A13036" s="177" t="s">
        <v>225</v>
      </c>
      <c r="B13036" s="127" t="s">
        <v>226</v>
      </c>
      <c r="C13036" s="127" t="s">
        <v>206</v>
      </c>
      <c r="D13036" s="177" t="s">
        <v>65</v>
      </c>
      <c r="E13036" s="177" t="s">
        <v>15747</v>
      </c>
      <c r="F13036" s="177" t="s">
        <v>321</v>
      </c>
      <c r="G13036" s="177" t="s">
        <v>3278</v>
      </c>
      <c r="H13036" s="127" t="s">
        <v>210</v>
      </c>
    </row>
    <row r="13037" hidden="1">
      <c r="A13037" s="177" t="s">
        <v>225</v>
      </c>
      <c r="B13037" s="127" t="s">
        <v>226</v>
      </c>
      <c r="C13037" s="127" t="s">
        <v>206</v>
      </c>
      <c r="D13037" s="177" t="s">
        <v>65</v>
      </c>
      <c r="E13037" s="177" t="s">
        <v>15748</v>
      </c>
      <c r="F13037" s="177" t="s">
        <v>323</v>
      </c>
      <c r="G13037" s="177" t="s">
        <v>3389</v>
      </c>
      <c r="H13037" s="127" t="s">
        <v>211</v>
      </c>
    </row>
    <row r="13038" hidden="1">
      <c r="A13038" s="177" t="s">
        <v>225</v>
      </c>
      <c r="B13038" s="127" t="s">
        <v>226</v>
      </c>
      <c r="C13038" s="127" t="s">
        <v>206</v>
      </c>
      <c r="D13038" s="177" t="s">
        <v>65</v>
      </c>
      <c r="E13038" s="177" t="s">
        <v>15749</v>
      </c>
      <c r="F13038" s="177" t="s">
        <v>285</v>
      </c>
      <c r="G13038" s="177" t="s">
        <v>2929</v>
      </c>
      <c r="H13038" s="127" t="s">
        <v>212</v>
      </c>
    </row>
    <row r="13039" hidden="1">
      <c r="A13039" s="177" t="s">
        <v>225</v>
      </c>
      <c r="B13039" s="127" t="s">
        <v>226</v>
      </c>
      <c r="C13039" s="127" t="s">
        <v>206</v>
      </c>
      <c r="D13039" s="177" t="s">
        <v>65</v>
      </c>
      <c r="E13039" s="177" t="s">
        <v>15750</v>
      </c>
      <c r="F13039" s="177" t="s">
        <v>365</v>
      </c>
      <c r="G13039" s="177" t="s">
        <v>2289</v>
      </c>
      <c r="H13039" s="127" t="s">
        <v>213</v>
      </c>
    </row>
    <row r="13040" hidden="1">
      <c r="A13040" s="177" t="s">
        <v>225</v>
      </c>
      <c r="B13040" s="127" t="s">
        <v>226</v>
      </c>
      <c r="C13040" s="127" t="s">
        <v>206</v>
      </c>
      <c r="D13040" s="177" t="s">
        <v>65</v>
      </c>
      <c r="E13040" s="177" t="s">
        <v>15751</v>
      </c>
      <c r="F13040" s="177" t="s">
        <v>314</v>
      </c>
      <c r="G13040" s="177" t="s">
        <v>3360</v>
      </c>
      <c r="H13040" s="127" t="s">
        <v>214</v>
      </c>
    </row>
    <row r="13041" hidden="1">
      <c r="A13041" s="177" t="s">
        <v>225</v>
      </c>
      <c r="B13041" s="127" t="s">
        <v>226</v>
      </c>
      <c r="C13041" s="127" t="s">
        <v>206</v>
      </c>
      <c r="D13041" s="177" t="s">
        <v>65</v>
      </c>
      <c r="E13041" s="177" t="s">
        <v>15752</v>
      </c>
      <c r="F13041" s="177" t="s">
        <v>359</v>
      </c>
      <c r="G13041" s="177" t="s">
        <v>3402</v>
      </c>
      <c r="H13041" s="127" t="s">
        <v>215</v>
      </c>
    </row>
    <row r="13042" hidden="1">
      <c r="A13042" s="177" t="s">
        <v>225</v>
      </c>
      <c r="B13042" s="127" t="s">
        <v>226</v>
      </c>
      <c r="C13042" s="127" t="s">
        <v>206</v>
      </c>
      <c r="D13042" s="177" t="s">
        <v>65</v>
      </c>
      <c r="E13042" s="177" t="s">
        <v>15753</v>
      </c>
      <c r="F13042" s="177" t="s">
        <v>359</v>
      </c>
      <c r="G13042" s="177" t="s">
        <v>2281</v>
      </c>
      <c r="H13042" s="127" t="s">
        <v>216</v>
      </c>
    </row>
    <row r="13043" hidden="1">
      <c r="A13043" s="177" t="s">
        <v>227</v>
      </c>
      <c r="B13043" s="127" t="s">
        <v>195</v>
      </c>
      <c r="C13043" s="127" t="s">
        <v>206</v>
      </c>
      <c r="D13043" s="177" t="s">
        <v>65</v>
      </c>
      <c r="E13043" s="177" t="s">
        <v>15754</v>
      </c>
      <c r="F13043" s="177" t="s">
        <v>494</v>
      </c>
      <c r="G13043" s="177" t="s">
        <v>2845</v>
      </c>
      <c r="H13043" s="127" t="s">
        <v>210</v>
      </c>
    </row>
    <row r="13044" hidden="1">
      <c r="A13044" s="177" t="s">
        <v>227</v>
      </c>
      <c r="B13044" s="127" t="s">
        <v>195</v>
      </c>
      <c r="C13044" s="127" t="s">
        <v>206</v>
      </c>
      <c r="D13044" s="177" t="s">
        <v>65</v>
      </c>
      <c r="E13044" s="177" t="s">
        <v>15755</v>
      </c>
      <c r="F13044" s="177" t="s">
        <v>760</v>
      </c>
      <c r="G13044" s="177" t="s">
        <v>2455</v>
      </c>
      <c r="H13044" s="127" t="s">
        <v>211</v>
      </c>
    </row>
    <row r="13045" hidden="1">
      <c r="A13045" s="177" t="s">
        <v>227</v>
      </c>
      <c r="B13045" s="127" t="s">
        <v>195</v>
      </c>
      <c r="C13045" s="127" t="s">
        <v>206</v>
      </c>
      <c r="D13045" s="177" t="s">
        <v>65</v>
      </c>
      <c r="E13045" s="177" t="s">
        <v>15756</v>
      </c>
      <c r="F13045" s="177" t="s">
        <v>534</v>
      </c>
      <c r="G13045" s="177" t="s">
        <v>2107</v>
      </c>
      <c r="H13045" s="127" t="s">
        <v>212</v>
      </c>
    </row>
    <row r="13046" hidden="1">
      <c r="A13046" s="177" t="s">
        <v>227</v>
      </c>
      <c r="B13046" s="127" t="s">
        <v>195</v>
      </c>
      <c r="C13046" s="127" t="s">
        <v>206</v>
      </c>
      <c r="D13046" s="177" t="s">
        <v>65</v>
      </c>
      <c r="E13046" s="177" t="s">
        <v>15757</v>
      </c>
      <c r="F13046" s="177" t="s">
        <v>308</v>
      </c>
      <c r="G13046" s="177" t="s">
        <v>2600</v>
      </c>
      <c r="H13046" s="127" t="s">
        <v>213</v>
      </c>
    </row>
    <row r="13047" hidden="1">
      <c r="A13047" s="177" t="s">
        <v>227</v>
      </c>
      <c r="B13047" s="127" t="s">
        <v>195</v>
      </c>
      <c r="C13047" s="127" t="s">
        <v>206</v>
      </c>
      <c r="D13047" s="177" t="s">
        <v>65</v>
      </c>
      <c r="E13047" s="177" t="s">
        <v>15758</v>
      </c>
      <c r="F13047" s="177" t="s">
        <v>799</v>
      </c>
      <c r="G13047" s="177" t="s">
        <v>2923</v>
      </c>
      <c r="H13047" s="127" t="s">
        <v>214</v>
      </c>
    </row>
    <row r="13048" hidden="1">
      <c r="A13048" s="177" t="s">
        <v>227</v>
      </c>
      <c r="B13048" s="127" t="s">
        <v>195</v>
      </c>
      <c r="C13048" s="127" t="s">
        <v>206</v>
      </c>
      <c r="D13048" s="177" t="s">
        <v>65</v>
      </c>
      <c r="E13048" s="177" t="s">
        <v>15759</v>
      </c>
      <c r="F13048" s="177" t="s">
        <v>290</v>
      </c>
      <c r="G13048" s="177" t="s">
        <v>3001</v>
      </c>
      <c r="H13048" s="127" t="s">
        <v>215</v>
      </c>
    </row>
    <row r="13049" hidden="1">
      <c r="A13049" s="177" t="s">
        <v>227</v>
      </c>
      <c r="B13049" s="127" t="s">
        <v>195</v>
      </c>
      <c r="C13049" s="127" t="s">
        <v>206</v>
      </c>
      <c r="D13049" s="177" t="s">
        <v>65</v>
      </c>
      <c r="E13049" s="177" t="s">
        <v>15760</v>
      </c>
      <c r="F13049" s="177" t="s">
        <v>577</v>
      </c>
      <c r="G13049" s="177" t="s">
        <v>2393</v>
      </c>
      <c r="H13049" s="127" t="s">
        <v>216</v>
      </c>
    </row>
    <row r="13050" hidden="1">
      <c r="A13050" s="177" t="s">
        <v>228</v>
      </c>
      <c r="B13050" s="127" t="s">
        <v>138</v>
      </c>
      <c r="C13050" s="127" t="s">
        <v>206</v>
      </c>
      <c r="D13050" s="177" t="s">
        <v>65</v>
      </c>
      <c r="E13050" s="177" t="s">
        <v>15761</v>
      </c>
      <c r="F13050" s="177" t="s">
        <v>246</v>
      </c>
      <c r="G13050" s="177" t="s">
        <v>3966</v>
      </c>
      <c r="H13050" s="127" t="s">
        <v>210</v>
      </c>
    </row>
    <row r="13051" hidden="1">
      <c r="A13051" s="177" t="s">
        <v>228</v>
      </c>
      <c r="B13051" s="127" t="s">
        <v>138</v>
      </c>
      <c r="C13051" s="127" t="s">
        <v>206</v>
      </c>
      <c r="D13051" s="177" t="s">
        <v>65</v>
      </c>
      <c r="E13051" s="177" t="s">
        <v>15762</v>
      </c>
      <c r="F13051" s="177" t="s">
        <v>323</v>
      </c>
      <c r="G13051" s="177" t="s">
        <v>9339</v>
      </c>
      <c r="H13051" s="127" t="s">
        <v>211</v>
      </c>
    </row>
    <row r="13052" hidden="1">
      <c r="A13052" s="177" t="s">
        <v>228</v>
      </c>
      <c r="B13052" s="127" t="s">
        <v>138</v>
      </c>
      <c r="C13052" s="127" t="s">
        <v>206</v>
      </c>
      <c r="D13052" s="177" t="s">
        <v>65</v>
      </c>
      <c r="E13052" s="177" t="s">
        <v>15763</v>
      </c>
      <c r="F13052" s="177" t="s">
        <v>677</v>
      </c>
      <c r="G13052" s="177" t="s">
        <v>9962</v>
      </c>
      <c r="H13052" s="127" t="s">
        <v>212</v>
      </c>
    </row>
    <row r="13053" hidden="1">
      <c r="A13053" s="177" t="s">
        <v>228</v>
      </c>
      <c r="B13053" s="127" t="s">
        <v>138</v>
      </c>
      <c r="C13053" s="127" t="s">
        <v>206</v>
      </c>
      <c r="D13053" s="177" t="s">
        <v>65</v>
      </c>
      <c r="E13053" s="177" t="s">
        <v>15764</v>
      </c>
      <c r="F13053" s="177" t="s">
        <v>246</v>
      </c>
      <c r="G13053" s="177" t="s">
        <v>10293</v>
      </c>
      <c r="H13053" s="127" t="s">
        <v>213</v>
      </c>
    </row>
    <row r="13054" hidden="1">
      <c r="A13054" s="177" t="s">
        <v>228</v>
      </c>
      <c r="B13054" s="127" t="s">
        <v>138</v>
      </c>
      <c r="C13054" s="127" t="s">
        <v>206</v>
      </c>
      <c r="D13054" s="177" t="s">
        <v>65</v>
      </c>
      <c r="E13054" s="177" t="s">
        <v>15765</v>
      </c>
      <c r="F13054" s="177" t="s">
        <v>240</v>
      </c>
      <c r="G13054" s="177" t="s">
        <v>9192</v>
      </c>
      <c r="H13054" s="127" t="s">
        <v>214</v>
      </c>
    </row>
    <row r="13055" hidden="1">
      <c r="A13055" s="177" t="s">
        <v>228</v>
      </c>
      <c r="B13055" s="127" t="s">
        <v>138</v>
      </c>
      <c r="C13055" s="127" t="s">
        <v>206</v>
      </c>
      <c r="D13055" s="177" t="s">
        <v>65</v>
      </c>
      <c r="E13055" s="177" t="s">
        <v>15766</v>
      </c>
      <c r="F13055" s="177" t="s">
        <v>323</v>
      </c>
      <c r="G13055" s="177" t="s">
        <v>10346</v>
      </c>
      <c r="H13055" s="127" t="s">
        <v>215</v>
      </c>
    </row>
    <row r="13056" hidden="1">
      <c r="A13056" s="177" t="s">
        <v>228</v>
      </c>
      <c r="B13056" s="127" t="s">
        <v>138</v>
      </c>
      <c r="C13056" s="127" t="s">
        <v>206</v>
      </c>
      <c r="D13056" s="177" t="s">
        <v>65</v>
      </c>
      <c r="E13056" s="177" t="s">
        <v>15767</v>
      </c>
      <c r="F13056" s="177" t="s">
        <v>357</v>
      </c>
      <c r="G13056" s="177" t="s">
        <v>3633</v>
      </c>
      <c r="H13056" s="127" t="s">
        <v>216</v>
      </c>
    </row>
    <row r="13057" hidden="1">
      <c r="A13057" s="177" t="s">
        <v>229</v>
      </c>
      <c r="B13057" s="127" t="s">
        <v>193</v>
      </c>
      <c r="C13057" s="127" t="s">
        <v>206</v>
      </c>
      <c r="D13057" s="177" t="s">
        <v>65</v>
      </c>
      <c r="E13057" s="177" t="s">
        <v>15768</v>
      </c>
      <c r="F13057" s="177" t="s">
        <v>331</v>
      </c>
      <c r="G13057" s="177" t="s">
        <v>2822</v>
      </c>
      <c r="H13057" s="127" t="s">
        <v>210</v>
      </c>
    </row>
    <row r="13058" hidden="1">
      <c r="A13058" s="177" t="s">
        <v>229</v>
      </c>
      <c r="B13058" s="127" t="s">
        <v>193</v>
      </c>
      <c r="C13058" s="127" t="s">
        <v>206</v>
      </c>
      <c r="D13058" s="177" t="s">
        <v>65</v>
      </c>
      <c r="E13058" s="177" t="s">
        <v>15769</v>
      </c>
      <c r="F13058" s="177" t="s">
        <v>321</v>
      </c>
      <c r="G13058" s="177" t="s">
        <v>3844</v>
      </c>
      <c r="H13058" s="127" t="s">
        <v>211</v>
      </c>
    </row>
    <row r="13059" hidden="1">
      <c r="A13059" s="177" t="s">
        <v>229</v>
      </c>
      <c r="B13059" s="127" t="s">
        <v>193</v>
      </c>
      <c r="C13059" s="127" t="s">
        <v>206</v>
      </c>
      <c r="D13059" s="177" t="s">
        <v>65</v>
      </c>
      <c r="E13059" s="177" t="s">
        <v>15770</v>
      </c>
      <c r="F13059" s="177" t="s">
        <v>483</v>
      </c>
      <c r="G13059" s="177" t="s">
        <v>3616</v>
      </c>
      <c r="H13059" s="127" t="s">
        <v>212</v>
      </c>
    </row>
    <row r="13060" hidden="1">
      <c r="A13060" s="177" t="s">
        <v>229</v>
      </c>
      <c r="B13060" s="127" t="s">
        <v>193</v>
      </c>
      <c r="C13060" s="127" t="s">
        <v>206</v>
      </c>
      <c r="D13060" s="177" t="s">
        <v>65</v>
      </c>
      <c r="E13060" s="177" t="s">
        <v>15771</v>
      </c>
      <c r="F13060" s="177" t="s">
        <v>305</v>
      </c>
      <c r="G13060" s="177" t="s">
        <v>3764</v>
      </c>
      <c r="H13060" s="127" t="s">
        <v>213</v>
      </c>
    </row>
    <row r="13061" hidden="1">
      <c r="A13061" s="177" t="s">
        <v>229</v>
      </c>
      <c r="B13061" s="127" t="s">
        <v>193</v>
      </c>
      <c r="C13061" s="127" t="s">
        <v>206</v>
      </c>
      <c r="D13061" s="177" t="s">
        <v>65</v>
      </c>
      <c r="E13061" s="177" t="s">
        <v>15772</v>
      </c>
      <c r="F13061" s="177" t="s">
        <v>323</v>
      </c>
      <c r="G13061" s="177" t="s">
        <v>3989</v>
      </c>
      <c r="H13061" s="127" t="s">
        <v>214</v>
      </c>
    </row>
    <row r="13062" hidden="1">
      <c r="A13062" s="177" t="s">
        <v>229</v>
      </c>
      <c r="B13062" s="127" t="s">
        <v>193</v>
      </c>
      <c r="C13062" s="127" t="s">
        <v>206</v>
      </c>
      <c r="D13062" s="177" t="s">
        <v>65</v>
      </c>
      <c r="E13062" s="177" t="s">
        <v>15773</v>
      </c>
      <c r="F13062" s="177" t="s">
        <v>249</v>
      </c>
      <c r="G13062" s="177" t="s">
        <v>3472</v>
      </c>
      <c r="H13062" s="127" t="s">
        <v>215</v>
      </c>
    </row>
    <row r="13063" hidden="1">
      <c r="A13063" s="177" t="s">
        <v>229</v>
      </c>
      <c r="B13063" s="127" t="s">
        <v>193</v>
      </c>
      <c r="C13063" s="127" t="s">
        <v>206</v>
      </c>
      <c r="D13063" s="177" t="s">
        <v>65</v>
      </c>
      <c r="E13063" s="177" t="s">
        <v>15774</v>
      </c>
      <c r="F13063" s="177" t="s">
        <v>331</v>
      </c>
      <c r="G13063" s="177" t="s">
        <v>3915</v>
      </c>
      <c r="H13063" s="127" t="s">
        <v>216</v>
      </c>
    </row>
    <row r="13064" hidden="1">
      <c r="A13064" s="177" t="s">
        <v>230</v>
      </c>
      <c r="B13064" s="127" t="s">
        <v>194</v>
      </c>
      <c r="C13064" s="127" t="s">
        <v>206</v>
      </c>
      <c r="D13064" s="177" t="s">
        <v>65</v>
      </c>
      <c r="E13064" s="177" t="s">
        <v>15775</v>
      </c>
      <c r="F13064" s="177" t="s">
        <v>249</v>
      </c>
      <c r="G13064" s="177" t="s">
        <v>2119</v>
      </c>
      <c r="H13064" s="127" t="s">
        <v>210</v>
      </c>
    </row>
    <row r="13065" hidden="1">
      <c r="A13065" s="177" t="s">
        <v>230</v>
      </c>
      <c r="B13065" s="127" t="s">
        <v>194</v>
      </c>
      <c r="C13065" s="127" t="s">
        <v>206</v>
      </c>
      <c r="D13065" s="177" t="s">
        <v>65</v>
      </c>
      <c r="E13065" s="177" t="s">
        <v>15776</v>
      </c>
      <c r="F13065" s="177" t="s">
        <v>357</v>
      </c>
      <c r="G13065" s="177" t="s">
        <v>2542</v>
      </c>
      <c r="H13065" s="127" t="s">
        <v>211</v>
      </c>
    </row>
    <row r="13066" hidden="1">
      <c r="A13066" s="177" t="s">
        <v>230</v>
      </c>
      <c r="B13066" s="127" t="s">
        <v>194</v>
      </c>
      <c r="C13066" s="127" t="s">
        <v>206</v>
      </c>
      <c r="D13066" s="177" t="s">
        <v>65</v>
      </c>
      <c r="E13066" s="177" t="s">
        <v>15777</v>
      </c>
      <c r="F13066" s="177" t="s">
        <v>242</v>
      </c>
      <c r="G13066" s="177" t="s">
        <v>2376</v>
      </c>
      <c r="H13066" s="127" t="s">
        <v>212</v>
      </c>
    </row>
    <row r="13067" hidden="1">
      <c r="A13067" s="177" t="s">
        <v>230</v>
      </c>
      <c r="B13067" s="127" t="s">
        <v>194</v>
      </c>
      <c r="C13067" s="127" t="s">
        <v>206</v>
      </c>
      <c r="D13067" s="177" t="s">
        <v>65</v>
      </c>
      <c r="E13067" s="177" t="s">
        <v>15778</v>
      </c>
      <c r="F13067" s="177" t="s">
        <v>265</v>
      </c>
      <c r="G13067" s="177" t="s">
        <v>2790</v>
      </c>
      <c r="H13067" s="127" t="s">
        <v>213</v>
      </c>
    </row>
    <row r="13068" hidden="1">
      <c r="A13068" s="177" t="s">
        <v>230</v>
      </c>
      <c r="B13068" s="127" t="s">
        <v>194</v>
      </c>
      <c r="C13068" s="127" t="s">
        <v>206</v>
      </c>
      <c r="D13068" s="177" t="s">
        <v>65</v>
      </c>
      <c r="E13068" s="177" t="s">
        <v>15779</v>
      </c>
      <c r="F13068" s="177" t="s">
        <v>246</v>
      </c>
      <c r="G13068" s="177" t="s">
        <v>2852</v>
      </c>
      <c r="H13068" s="127" t="s">
        <v>214</v>
      </c>
    </row>
    <row r="13069" hidden="1">
      <c r="A13069" s="177" t="s">
        <v>230</v>
      </c>
      <c r="B13069" s="127" t="s">
        <v>194</v>
      </c>
      <c r="C13069" s="127" t="s">
        <v>206</v>
      </c>
      <c r="D13069" s="177" t="s">
        <v>65</v>
      </c>
      <c r="E13069" s="177" t="s">
        <v>15780</v>
      </c>
      <c r="F13069" s="177" t="s">
        <v>285</v>
      </c>
      <c r="G13069" s="177" t="s">
        <v>1816</v>
      </c>
      <c r="H13069" s="127" t="s">
        <v>215</v>
      </c>
    </row>
    <row r="13070" hidden="1">
      <c r="A13070" s="177" t="s">
        <v>230</v>
      </c>
      <c r="B13070" s="127" t="s">
        <v>194</v>
      </c>
      <c r="C13070" s="127" t="s">
        <v>206</v>
      </c>
      <c r="D13070" s="177" t="s">
        <v>65</v>
      </c>
      <c r="E13070" s="177" t="s">
        <v>15781</v>
      </c>
      <c r="F13070" s="177" t="s">
        <v>323</v>
      </c>
      <c r="G13070" s="177" t="s">
        <v>3007</v>
      </c>
      <c r="H13070" s="127" t="s">
        <v>216</v>
      </c>
    </row>
    <row r="13071" hidden="1">
      <c r="A13071" s="127" t="s">
        <v>231</v>
      </c>
      <c r="C13071" s="127" t="s">
        <v>232</v>
      </c>
      <c r="D13071" s="177" t="s">
        <v>65</v>
      </c>
      <c r="E13071" s="177" t="s">
        <v>15782</v>
      </c>
      <c r="F13071" s="177" t="s">
        <v>483</v>
      </c>
      <c r="G13071" s="177" t="s">
        <v>1784</v>
      </c>
      <c r="H13071" s="127" t="s">
        <v>210</v>
      </c>
    </row>
    <row r="13072" hidden="1">
      <c r="A13072" s="127" t="s">
        <v>231</v>
      </c>
      <c r="C13072" s="127" t="s">
        <v>232</v>
      </c>
      <c r="D13072" s="177" t="s">
        <v>65</v>
      </c>
      <c r="E13072" s="177" t="s">
        <v>15783</v>
      </c>
      <c r="F13072" s="177" t="s">
        <v>677</v>
      </c>
      <c r="G13072" s="177" t="s">
        <v>1762</v>
      </c>
      <c r="H13072" s="127" t="s">
        <v>211</v>
      </c>
    </row>
    <row r="13073" hidden="1">
      <c r="A13073" s="127" t="s">
        <v>231</v>
      </c>
      <c r="C13073" s="127" t="s">
        <v>232</v>
      </c>
      <c r="D13073" s="177" t="s">
        <v>65</v>
      </c>
      <c r="E13073" s="177" t="s">
        <v>15784</v>
      </c>
      <c r="F13073" s="177" t="s">
        <v>323</v>
      </c>
      <c r="G13073" s="177" t="s">
        <v>2223</v>
      </c>
      <c r="H13073" s="127" t="s">
        <v>212</v>
      </c>
    </row>
    <row r="13074" hidden="1">
      <c r="A13074" s="127" t="s">
        <v>231</v>
      </c>
      <c r="C13074" s="127" t="s">
        <v>232</v>
      </c>
      <c r="D13074" s="177" t="s">
        <v>65</v>
      </c>
      <c r="E13074" s="177" t="s">
        <v>15785</v>
      </c>
      <c r="F13074" s="177" t="s">
        <v>285</v>
      </c>
      <c r="G13074" s="177" t="s">
        <v>1986</v>
      </c>
      <c r="H13074" s="127" t="s">
        <v>213</v>
      </c>
    </row>
    <row r="13075" hidden="1">
      <c r="A13075" s="127" t="s">
        <v>231</v>
      </c>
      <c r="C13075" s="127" t="s">
        <v>232</v>
      </c>
      <c r="D13075" s="177" t="s">
        <v>65</v>
      </c>
      <c r="E13075" s="177" t="s">
        <v>15786</v>
      </c>
      <c r="F13075" s="177" t="s">
        <v>532</v>
      </c>
      <c r="G13075" s="177" t="s">
        <v>2657</v>
      </c>
      <c r="H13075" s="127" t="s">
        <v>214</v>
      </c>
    </row>
    <row r="13076" hidden="1">
      <c r="A13076" s="127" t="s">
        <v>231</v>
      </c>
      <c r="C13076" s="127" t="s">
        <v>232</v>
      </c>
      <c r="D13076" s="177" t="s">
        <v>65</v>
      </c>
      <c r="E13076" s="177" t="s">
        <v>15787</v>
      </c>
      <c r="F13076" s="177" t="s">
        <v>357</v>
      </c>
      <c r="G13076" s="177" t="s">
        <v>1870</v>
      </c>
      <c r="H13076" s="127" t="s">
        <v>215</v>
      </c>
    </row>
    <row r="13077" hidden="1">
      <c r="A13077" s="127" t="s">
        <v>231</v>
      </c>
      <c r="C13077" s="127" t="s">
        <v>232</v>
      </c>
      <c r="D13077" s="177" t="s">
        <v>65</v>
      </c>
      <c r="E13077" s="177" t="s">
        <v>15788</v>
      </c>
      <c r="F13077" s="177" t="s">
        <v>329</v>
      </c>
      <c r="G13077" s="177" t="s">
        <v>1771</v>
      </c>
      <c r="H13077" s="127" t="s">
        <v>216</v>
      </c>
    </row>
    <row r="13078" hidden="1">
      <c r="A13078" s="127" t="s">
        <v>233</v>
      </c>
      <c r="C13078" s="127" t="s">
        <v>232</v>
      </c>
      <c r="D13078" s="177" t="s">
        <v>65</v>
      </c>
      <c r="E13078" s="177" t="s">
        <v>15789</v>
      </c>
      <c r="F13078" s="177" t="s">
        <v>257</v>
      </c>
      <c r="G13078" s="177" t="s">
        <v>3458</v>
      </c>
      <c r="H13078" s="127" t="s">
        <v>210</v>
      </c>
    </row>
    <row r="13079" hidden="1">
      <c r="A13079" s="127" t="s">
        <v>233</v>
      </c>
      <c r="C13079" s="127" t="s">
        <v>232</v>
      </c>
      <c r="D13079" s="177" t="s">
        <v>65</v>
      </c>
      <c r="E13079" s="177" t="s">
        <v>15790</v>
      </c>
      <c r="F13079" s="177" t="s">
        <v>257</v>
      </c>
      <c r="G13079" s="177" t="s">
        <v>2624</v>
      </c>
      <c r="H13079" s="127" t="s">
        <v>211</v>
      </c>
    </row>
    <row r="13080" hidden="1">
      <c r="A13080" s="127" t="s">
        <v>233</v>
      </c>
      <c r="C13080" s="127" t="s">
        <v>232</v>
      </c>
      <c r="D13080" s="177" t="s">
        <v>65</v>
      </c>
      <c r="E13080" s="177" t="s">
        <v>15791</v>
      </c>
      <c r="F13080" s="177" t="s">
        <v>257</v>
      </c>
      <c r="G13080" s="177" t="s">
        <v>1834</v>
      </c>
      <c r="H13080" s="127" t="s">
        <v>212</v>
      </c>
    </row>
    <row r="13081" hidden="1">
      <c r="A13081" s="127" t="s">
        <v>233</v>
      </c>
      <c r="C13081" s="127" t="s">
        <v>232</v>
      </c>
      <c r="D13081" s="177" t="s">
        <v>65</v>
      </c>
      <c r="E13081" s="177" t="s">
        <v>15792</v>
      </c>
      <c r="F13081" s="177" t="s">
        <v>287</v>
      </c>
      <c r="G13081" s="177" t="s">
        <v>2923</v>
      </c>
      <c r="H13081" s="127" t="s">
        <v>213</v>
      </c>
    </row>
    <row r="13082" hidden="1">
      <c r="A13082" s="127" t="s">
        <v>233</v>
      </c>
      <c r="C13082" s="127" t="s">
        <v>232</v>
      </c>
      <c r="D13082" s="177" t="s">
        <v>65</v>
      </c>
      <c r="E13082" s="177" t="s">
        <v>15793</v>
      </c>
      <c r="F13082" s="177" t="s">
        <v>287</v>
      </c>
      <c r="G13082" s="177" t="s">
        <v>2242</v>
      </c>
      <c r="H13082" s="127" t="s">
        <v>214</v>
      </c>
    </row>
    <row r="13083" hidden="1">
      <c r="A13083" s="127" t="s">
        <v>233</v>
      </c>
      <c r="C13083" s="127" t="s">
        <v>232</v>
      </c>
      <c r="D13083" s="177" t="s">
        <v>65</v>
      </c>
      <c r="E13083" s="177" t="s">
        <v>15794</v>
      </c>
      <c r="F13083" s="177" t="s">
        <v>323</v>
      </c>
      <c r="G13083" s="177" t="s">
        <v>2109</v>
      </c>
      <c r="H13083" s="127" t="s">
        <v>215</v>
      </c>
    </row>
    <row r="13084" hidden="1">
      <c r="A13084" s="127" t="s">
        <v>233</v>
      </c>
      <c r="C13084" s="127" t="s">
        <v>232</v>
      </c>
      <c r="D13084" s="177" t="s">
        <v>65</v>
      </c>
      <c r="E13084" s="177" t="s">
        <v>15795</v>
      </c>
      <c r="F13084" s="177" t="s">
        <v>257</v>
      </c>
      <c r="G13084" s="177" t="s">
        <v>3364</v>
      </c>
      <c r="H13084" s="127" t="s">
        <v>216</v>
      </c>
    </row>
    <row r="13085" hidden="1">
      <c r="A13085" s="127" t="s">
        <v>234</v>
      </c>
      <c r="C13085" s="127" t="s">
        <v>232</v>
      </c>
      <c r="D13085" s="177" t="s">
        <v>65</v>
      </c>
      <c r="E13085" s="177" t="s">
        <v>15796</v>
      </c>
      <c r="F13085" s="177" t="s">
        <v>359</v>
      </c>
      <c r="G13085" s="177" t="s">
        <v>2219</v>
      </c>
      <c r="H13085" s="127" t="s">
        <v>210</v>
      </c>
    </row>
    <row r="13086" hidden="1">
      <c r="A13086" s="127" t="s">
        <v>234</v>
      </c>
      <c r="C13086" s="127" t="s">
        <v>232</v>
      </c>
      <c r="D13086" s="177" t="s">
        <v>65</v>
      </c>
      <c r="E13086" s="177" t="s">
        <v>15797</v>
      </c>
      <c r="F13086" s="177" t="s">
        <v>314</v>
      </c>
      <c r="G13086" s="177" t="s">
        <v>2230</v>
      </c>
      <c r="H13086" s="127" t="s">
        <v>211</v>
      </c>
    </row>
    <row r="13087" hidden="1">
      <c r="A13087" s="127" t="s">
        <v>234</v>
      </c>
      <c r="C13087" s="127" t="s">
        <v>232</v>
      </c>
      <c r="D13087" s="177" t="s">
        <v>65</v>
      </c>
      <c r="E13087" s="177" t="s">
        <v>15798</v>
      </c>
      <c r="F13087" s="177" t="s">
        <v>285</v>
      </c>
      <c r="G13087" s="177" t="s">
        <v>2307</v>
      </c>
      <c r="H13087" s="127" t="s">
        <v>212</v>
      </c>
    </row>
    <row r="13088" hidden="1">
      <c r="A13088" s="127" t="s">
        <v>234</v>
      </c>
      <c r="C13088" s="127" t="s">
        <v>232</v>
      </c>
      <c r="D13088" s="177" t="s">
        <v>65</v>
      </c>
      <c r="E13088" s="177" t="s">
        <v>15799</v>
      </c>
      <c r="F13088" s="177" t="s">
        <v>314</v>
      </c>
      <c r="G13088" s="177" t="s">
        <v>3710</v>
      </c>
      <c r="H13088" s="127" t="s">
        <v>213</v>
      </c>
    </row>
    <row r="13089" hidden="1">
      <c r="A13089" s="127" t="s">
        <v>234</v>
      </c>
      <c r="C13089" s="127" t="s">
        <v>232</v>
      </c>
      <c r="D13089" s="177" t="s">
        <v>65</v>
      </c>
      <c r="E13089" s="177" t="s">
        <v>15800</v>
      </c>
      <c r="F13089" s="177" t="s">
        <v>365</v>
      </c>
      <c r="G13089" s="177" t="s">
        <v>4338</v>
      </c>
      <c r="H13089" s="127" t="s">
        <v>214</v>
      </c>
    </row>
    <row r="13090" hidden="1">
      <c r="A13090" s="127" t="s">
        <v>234</v>
      </c>
      <c r="C13090" s="127" t="s">
        <v>232</v>
      </c>
      <c r="D13090" s="177" t="s">
        <v>65</v>
      </c>
      <c r="E13090" s="177" t="s">
        <v>15801</v>
      </c>
      <c r="F13090" s="177" t="s">
        <v>359</v>
      </c>
      <c r="G13090" s="177" t="s">
        <v>3200</v>
      </c>
      <c r="H13090" s="127" t="s">
        <v>215</v>
      </c>
    </row>
    <row r="13091" hidden="1">
      <c r="A13091" s="127" t="s">
        <v>234</v>
      </c>
      <c r="C13091" s="127" t="s">
        <v>232</v>
      </c>
      <c r="D13091" s="177" t="s">
        <v>65</v>
      </c>
      <c r="E13091" s="177" t="s">
        <v>15802</v>
      </c>
      <c r="F13091" s="177" t="s">
        <v>359</v>
      </c>
      <c r="G13091" s="177" t="s">
        <v>2992</v>
      </c>
      <c r="H13091" s="127" t="s">
        <v>216</v>
      </c>
    </row>
    <row r="13092" hidden="1">
      <c r="A13092" s="127" t="s">
        <v>235</v>
      </c>
      <c r="C13092" s="127" t="s">
        <v>236</v>
      </c>
      <c r="D13092" s="177" t="s">
        <v>65</v>
      </c>
      <c r="E13092" s="177" t="s">
        <v>15803</v>
      </c>
      <c r="F13092" s="177" t="s">
        <v>240</v>
      </c>
      <c r="G13092" s="177" t="s">
        <v>2534</v>
      </c>
      <c r="H13092" s="127" t="s">
        <v>210</v>
      </c>
    </row>
    <row r="13093" hidden="1">
      <c r="A13093" s="127" t="s">
        <v>235</v>
      </c>
      <c r="C13093" s="127" t="s">
        <v>236</v>
      </c>
      <c r="D13093" s="177" t="s">
        <v>65</v>
      </c>
      <c r="E13093" s="177" t="s">
        <v>15804</v>
      </c>
      <c r="F13093" s="177" t="s">
        <v>287</v>
      </c>
      <c r="G13093" s="177" t="s">
        <v>1820</v>
      </c>
      <c r="H13093" s="127" t="s">
        <v>211</v>
      </c>
    </row>
    <row r="13094" hidden="1">
      <c r="A13094" s="127" t="s">
        <v>235</v>
      </c>
      <c r="C13094" s="127" t="s">
        <v>236</v>
      </c>
      <c r="D13094" s="177" t="s">
        <v>65</v>
      </c>
      <c r="E13094" s="177" t="s">
        <v>15805</v>
      </c>
      <c r="F13094" s="177" t="s">
        <v>287</v>
      </c>
      <c r="G13094" s="177" t="s">
        <v>2567</v>
      </c>
      <c r="H13094" s="127" t="s">
        <v>212</v>
      </c>
    </row>
    <row r="13095" hidden="1">
      <c r="A13095" s="127" t="s">
        <v>235</v>
      </c>
      <c r="C13095" s="127" t="s">
        <v>236</v>
      </c>
      <c r="D13095" s="177" t="s">
        <v>65</v>
      </c>
      <c r="E13095" s="177" t="s">
        <v>15806</v>
      </c>
      <c r="F13095" s="177" t="s">
        <v>240</v>
      </c>
      <c r="G13095" s="177" t="s">
        <v>3010</v>
      </c>
      <c r="H13095" s="127" t="s">
        <v>213</v>
      </c>
    </row>
    <row r="13096" hidden="1">
      <c r="A13096" s="127" t="s">
        <v>235</v>
      </c>
      <c r="C13096" s="127" t="s">
        <v>236</v>
      </c>
      <c r="D13096" s="177" t="s">
        <v>65</v>
      </c>
      <c r="E13096" s="177" t="s">
        <v>15807</v>
      </c>
      <c r="F13096" s="177" t="s">
        <v>287</v>
      </c>
      <c r="G13096" s="177" t="s">
        <v>2688</v>
      </c>
      <c r="H13096" s="127" t="s">
        <v>214</v>
      </c>
    </row>
    <row r="13097" hidden="1">
      <c r="A13097" s="127" t="s">
        <v>235</v>
      </c>
      <c r="C13097" s="127" t="s">
        <v>236</v>
      </c>
      <c r="D13097" s="177" t="s">
        <v>65</v>
      </c>
      <c r="E13097" s="177" t="s">
        <v>15808</v>
      </c>
      <c r="F13097" s="177" t="s">
        <v>242</v>
      </c>
      <c r="G13097" s="177" t="s">
        <v>2563</v>
      </c>
      <c r="H13097" s="127" t="s">
        <v>215</v>
      </c>
    </row>
    <row r="13098" hidden="1">
      <c r="A13098" s="127" t="s">
        <v>235</v>
      </c>
      <c r="C13098" s="127" t="s">
        <v>236</v>
      </c>
      <c r="D13098" s="177" t="s">
        <v>65</v>
      </c>
      <c r="E13098" s="177" t="s">
        <v>15809</v>
      </c>
      <c r="F13098" s="177" t="s">
        <v>287</v>
      </c>
      <c r="G13098" s="177" t="s">
        <v>1820</v>
      </c>
      <c r="H13098" s="127" t="s">
        <v>216</v>
      </c>
    </row>
    <row r="13099" hidden="1">
      <c r="A13099" s="127" t="s">
        <v>237</v>
      </c>
      <c r="C13099" s="127" t="s">
        <v>236</v>
      </c>
      <c r="D13099" s="177" t="s">
        <v>65</v>
      </c>
      <c r="E13099" s="177" t="s">
        <v>15810</v>
      </c>
      <c r="F13099" s="177" t="s">
        <v>308</v>
      </c>
      <c r="G13099" s="177" t="s">
        <v>4317</v>
      </c>
      <c r="H13099" s="127" t="s">
        <v>210</v>
      </c>
    </row>
    <row r="13100" hidden="1">
      <c r="A13100" s="127" t="s">
        <v>237</v>
      </c>
      <c r="C13100" s="127" t="s">
        <v>236</v>
      </c>
      <c r="D13100" s="177" t="s">
        <v>65</v>
      </c>
      <c r="E13100" s="177" t="s">
        <v>15811</v>
      </c>
      <c r="F13100" s="177" t="s">
        <v>336</v>
      </c>
      <c r="G13100" s="177" t="s">
        <v>4491</v>
      </c>
      <c r="H13100" s="127" t="s">
        <v>211</v>
      </c>
    </row>
    <row r="13101" hidden="1">
      <c r="A13101" s="127" t="s">
        <v>237</v>
      </c>
      <c r="C13101" s="127" t="s">
        <v>236</v>
      </c>
      <c r="D13101" s="177" t="s">
        <v>65</v>
      </c>
      <c r="E13101" s="177" t="s">
        <v>15812</v>
      </c>
      <c r="F13101" s="177" t="s">
        <v>331</v>
      </c>
      <c r="G13101" s="177" t="s">
        <v>3900</v>
      </c>
      <c r="H13101" s="127" t="s">
        <v>212</v>
      </c>
    </row>
    <row r="13102" hidden="1">
      <c r="A13102" s="127" t="s">
        <v>237</v>
      </c>
      <c r="C13102" s="127" t="s">
        <v>236</v>
      </c>
      <c r="D13102" s="177" t="s">
        <v>65</v>
      </c>
      <c r="E13102" s="177" t="s">
        <v>15813</v>
      </c>
      <c r="F13102" s="177" t="s">
        <v>308</v>
      </c>
      <c r="G13102" s="177" t="s">
        <v>2003</v>
      </c>
      <c r="H13102" s="127" t="s">
        <v>213</v>
      </c>
    </row>
    <row r="13103" hidden="1">
      <c r="A13103" s="127" t="s">
        <v>237</v>
      </c>
      <c r="C13103" s="127" t="s">
        <v>236</v>
      </c>
      <c r="D13103" s="177" t="s">
        <v>65</v>
      </c>
      <c r="E13103" s="177" t="s">
        <v>15814</v>
      </c>
      <c r="F13103" s="177" t="s">
        <v>534</v>
      </c>
      <c r="G13103" s="177" t="s">
        <v>4196</v>
      </c>
      <c r="H13103" s="127" t="s">
        <v>214</v>
      </c>
    </row>
    <row r="13104" hidden="1">
      <c r="A13104" s="127" t="s">
        <v>237</v>
      </c>
      <c r="C13104" s="127" t="s">
        <v>236</v>
      </c>
      <c r="D13104" s="177" t="s">
        <v>65</v>
      </c>
      <c r="E13104" s="177" t="s">
        <v>15815</v>
      </c>
      <c r="F13104" s="177" t="s">
        <v>310</v>
      </c>
      <c r="G13104" s="177" t="s">
        <v>9787</v>
      </c>
      <c r="H13104" s="127" t="s">
        <v>215</v>
      </c>
    </row>
    <row r="13105" hidden="1">
      <c r="A13105" s="127" t="s">
        <v>237</v>
      </c>
      <c r="C13105" s="127" t="s">
        <v>236</v>
      </c>
      <c r="D13105" s="177" t="s">
        <v>65</v>
      </c>
      <c r="E13105" s="177" t="s">
        <v>15816</v>
      </c>
      <c r="F13105" s="177" t="s">
        <v>310</v>
      </c>
      <c r="G13105" s="177" t="s">
        <v>4280</v>
      </c>
      <c r="H13105" s="127" t="s">
        <v>216</v>
      </c>
    </row>
    <row r="13106" hidden="1">
      <c r="A13106" s="177" t="s">
        <v>204</v>
      </c>
      <c r="B13106" s="127" t="s">
        <v>205</v>
      </c>
      <c r="C13106" s="127" t="s">
        <v>206</v>
      </c>
      <c r="D13106" s="177" t="s">
        <v>66</v>
      </c>
      <c r="E13106" s="177" t="s">
        <v>15817</v>
      </c>
      <c r="F13106" s="177" t="s">
        <v>357</v>
      </c>
      <c r="G13106" s="177" t="s">
        <v>3335</v>
      </c>
      <c r="H13106" s="127" t="s">
        <v>210</v>
      </c>
    </row>
    <row r="13107" hidden="1">
      <c r="A13107" s="177" t="s">
        <v>204</v>
      </c>
      <c r="B13107" s="127" t="s">
        <v>205</v>
      </c>
      <c r="C13107" s="127" t="s">
        <v>206</v>
      </c>
      <c r="D13107" s="177" t="s">
        <v>66</v>
      </c>
      <c r="E13107" s="177" t="s">
        <v>15818</v>
      </c>
      <c r="F13107" s="177" t="s">
        <v>242</v>
      </c>
      <c r="G13107" s="177" t="s">
        <v>1864</v>
      </c>
      <c r="H13107" s="127" t="s">
        <v>211</v>
      </c>
    </row>
    <row r="13108" hidden="1">
      <c r="A13108" s="177" t="s">
        <v>204</v>
      </c>
      <c r="B13108" s="127" t="s">
        <v>205</v>
      </c>
      <c r="C13108" s="127" t="s">
        <v>206</v>
      </c>
      <c r="D13108" s="177" t="s">
        <v>66</v>
      </c>
      <c r="E13108" s="177" t="s">
        <v>15819</v>
      </c>
      <c r="F13108" s="177" t="s">
        <v>244</v>
      </c>
      <c r="G13108" s="177" t="s">
        <v>3010</v>
      </c>
      <c r="H13108" s="127" t="s">
        <v>212</v>
      </c>
    </row>
    <row r="13109" hidden="1">
      <c r="A13109" s="177" t="s">
        <v>204</v>
      </c>
      <c r="B13109" s="127" t="s">
        <v>205</v>
      </c>
      <c r="C13109" s="127" t="s">
        <v>206</v>
      </c>
      <c r="D13109" s="177" t="s">
        <v>66</v>
      </c>
      <c r="E13109" s="177" t="s">
        <v>15820</v>
      </c>
      <c r="F13109" s="177" t="s">
        <v>365</v>
      </c>
      <c r="G13109" s="177" t="s">
        <v>3071</v>
      </c>
      <c r="H13109" s="127" t="s">
        <v>213</v>
      </c>
    </row>
    <row r="13110" hidden="1">
      <c r="A13110" s="177" t="s">
        <v>204</v>
      </c>
      <c r="B13110" s="127" t="s">
        <v>205</v>
      </c>
      <c r="C13110" s="127" t="s">
        <v>206</v>
      </c>
      <c r="D13110" s="177" t="s">
        <v>66</v>
      </c>
      <c r="E13110" s="177" t="s">
        <v>15821</v>
      </c>
      <c r="F13110" s="177" t="s">
        <v>323</v>
      </c>
      <c r="G13110" s="177" t="s">
        <v>1836</v>
      </c>
      <c r="H13110" s="127" t="s">
        <v>214</v>
      </c>
    </row>
    <row r="13111" hidden="1">
      <c r="A13111" s="177" t="s">
        <v>204</v>
      </c>
      <c r="B13111" s="127" t="s">
        <v>205</v>
      </c>
      <c r="C13111" s="127" t="s">
        <v>206</v>
      </c>
      <c r="D13111" s="177" t="s">
        <v>66</v>
      </c>
      <c r="E13111" s="177" t="s">
        <v>15822</v>
      </c>
      <c r="F13111" s="177" t="s">
        <v>365</v>
      </c>
      <c r="G13111" s="177" t="s">
        <v>2134</v>
      </c>
      <c r="H13111" s="127" t="s">
        <v>215</v>
      </c>
    </row>
    <row r="13112" hidden="1">
      <c r="A13112" s="177" t="s">
        <v>204</v>
      </c>
      <c r="B13112" s="127" t="s">
        <v>205</v>
      </c>
      <c r="C13112" s="127" t="s">
        <v>206</v>
      </c>
      <c r="D13112" s="177" t="s">
        <v>66</v>
      </c>
      <c r="E13112" s="177" t="s">
        <v>15823</v>
      </c>
      <c r="F13112" s="177" t="s">
        <v>357</v>
      </c>
      <c r="G13112" s="177" t="s">
        <v>3341</v>
      </c>
      <c r="H13112" s="127" t="s">
        <v>216</v>
      </c>
    </row>
    <row r="13113" hidden="1">
      <c r="A13113" s="177" t="s">
        <v>217</v>
      </c>
      <c r="B13113" s="127" t="s">
        <v>191</v>
      </c>
      <c r="C13113" s="127" t="s">
        <v>206</v>
      </c>
      <c r="D13113" s="177" t="s">
        <v>66</v>
      </c>
      <c r="E13113" s="177" t="s">
        <v>15824</v>
      </c>
      <c r="F13113" s="177" t="s">
        <v>257</v>
      </c>
      <c r="G13113" s="177" t="s">
        <v>2785</v>
      </c>
      <c r="H13113" s="127" t="s">
        <v>210</v>
      </c>
    </row>
    <row r="13114" hidden="1">
      <c r="A13114" s="177" t="s">
        <v>217</v>
      </c>
      <c r="B13114" s="127" t="s">
        <v>191</v>
      </c>
      <c r="C13114" s="127" t="s">
        <v>206</v>
      </c>
      <c r="D13114" s="177" t="s">
        <v>66</v>
      </c>
      <c r="E13114" s="177" t="s">
        <v>15825</v>
      </c>
      <c r="F13114" s="177" t="s">
        <v>240</v>
      </c>
      <c r="G13114" s="177" t="s">
        <v>2790</v>
      </c>
      <c r="H13114" s="127" t="s">
        <v>211</v>
      </c>
    </row>
    <row r="13115" hidden="1">
      <c r="A13115" s="177" t="s">
        <v>217</v>
      </c>
      <c r="B13115" s="127" t="s">
        <v>191</v>
      </c>
      <c r="C13115" s="127" t="s">
        <v>206</v>
      </c>
      <c r="D13115" s="177" t="s">
        <v>66</v>
      </c>
      <c r="E13115" s="177" t="s">
        <v>15826</v>
      </c>
      <c r="F13115" s="177" t="s">
        <v>287</v>
      </c>
      <c r="G13115" s="177" t="s">
        <v>1961</v>
      </c>
      <c r="H13115" s="127" t="s">
        <v>212</v>
      </c>
    </row>
    <row r="13116" hidden="1">
      <c r="A13116" s="177" t="s">
        <v>217</v>
      </c>
      <c r="B13116" s="127" t="s">
        <v>191</v>
      </c>
      <c r="C13116" s="127" t="s">
        <v>206</v>
      </c>
      <c r="D13116" s="177" t="s">
        <v>66</v>
      </c>
      <c r="E13116" s="177" t="s">
        <v>15827</v>
      </c>
      <c r="F13116" s="177" t="s">
        <v>259</v>
      </c>
      <c r="G13116" s="177" t="s">
        <v>2366</v>
      </c>
      <c r="H13116" s="127" t="s">
        <v>213</v>
      </c>
    </row>
    <row r="13117" hidden="1">
      <c r="A13117" s="177" t="s">
        <v>217</v>
      </c>
      <c r="B13117" s="127" t="s">
        <v>191</v>
      </c>
      <c r="C13117" s="127" t="s">
        <v>206</v>
      </c>
      <c r="D13117" s="177" t="s">
        <v>66</v>
      </c>
      <c r="E13117" s="177" t="s">
        <v>15828</v>
      </c>
      <c r="F13117" s="177" t="s">
        <v>257</v>
      </c>
      <c r="G13117" s="177" t="s">
        <v>1957</v>
      </c>
      <c r="H13117" s="127" t="s">
        <v>214</v>
      </c>
    </row>
    <row r="13118" hidden="1">
      <c r="A13118" s="177" t="s">
        <v>217</v>
      </c>
      <c r="B13118" s="127" t="s">
        <v>191</v>
      </c>
      <c r="C13118" s="127" t="s">
        <v>206</v>
      </c>
      <c r="D13118" s="177" t="s">
        <v>66</v>
      </c>
      <c r="E13118" s="177" t="s">
        <v>15829</v>
      </c>
      <c r="F13118" s="177" t="s">
        <v>269</v>
      </c>
      <c r="G13118" s="177" t="s">
        <v>2470</v>
      </c>
      <c r="H13118" s="127" t="s">
        <v>215</v>
      </c>
    </row>
    <row r="13119" hidden="1">
      <c r="A13119" s="177" t="s">
        <v>217</v>
      </c>
      <c r="B13119" s="127" t="s">
        <v>191</v>
      </c>
      <c r="C13119" s="127" t="s">
        <v>206</v>
      </c>
      <c r="D13119" s="177" t="s">
        <v>66</v>
      </c>
      <c r="E13119" s="177" t="s">
        <v>15830</v>
      </c>
      <c r="F13119" s="177" t="s">
        <v>287</v>
      </c>
      <c r="G13119" s="177" t="s">
        <v>1820</v>
      </c>
      <c r="H13119" s="127" t="s">
        <v>216</v>
      </c>
    </row>
    <row r="13120" hidden="1">
      <c r="A13120" s="177" t="s">
        <v>218</v>
      </c>
      <c r="B13120" s="127" t="s">
        <v>219</v>
      </c>
      <c r="C13120" s="127" t="s">
        <v>206</v>
      </c>
      <c r="D13120" s="177" t="s">
        <v>66</v>
      </c>
      <c r="E13120" s="177" t="s">
        <v>15831</v>
      </c>
      <c r="F13120" s="177" t="s">
        <v>427</v>
      </c>
      <c r="G13120" s="177" t="s">
        <v>2129</v>
      </c>
      <c r="H13120" s="127" t="s">
        <v>210</v>
      </c>
    </row>
    <row r="13121" hidden="1">
      <c r="A13121" s="177" t="s">
        <v>218</v>
      </c>
      <c r="B13121" s="127" t="s">
        <v>219</v>
      </c>
      <c r="C13121" s="127" t="s">
        <v>206</v>
      </c>
      <c r="D13121" s="177" t="s">
        <v>66</v>
      </c>
      <c r="E13121" s="177" t="s">
        <v>15832</v>
      </c>
      <c r="F13121" s="177" t="s">
        <v>427</v>
      </c>
      <c r="G13121" s="177" t="s">
        <v>1866</v>
      </c>
      <c r="H13121" s="127" t="s">
        <v>211</v>
      </c>
    </row>
    <row r="13122" hidden="1">
      <c r="A13122" s="177" t="s">
        <v>218</v>
      </c>
      <c r="B13122" s="127" t="s">
        <v>219</v>
      </c>
      <c r="C13122" s="127" t="s">
        <v>206</v>
      </c>
      <c r="D13122" s="177" t="s">
        <v>66</v>
      </c>
      <c r="E13122" s="177" t="s">
        <v>15833</v>
      </c>
      <c r="F13122" s="177" t="s">
        <v>323</v>
      </c>
      <c r="G13122" s="177" t="s">
        <v>2093</v>
      </c>
      <c r="H13122" s="127" t="s">
        <v>212</v>
      </c>
    </row>
    <row r="13123" hidden="1">
      <c r="A13123" s="177" t="s">
        <v>218</v>
      </c>
      <c r="B13123" s="127" t="s">
        <v>219</v>
      </c>
      <c r="C13123" s="127" t="s">
        <v>206</v>
      </c>
      <c r="D13123" s="177" t="s">
        <v>66</v>
      </c>
      <c r="E13123" s="177" t="s">
        <v>15834</v>
      </c>
      <c r="F13123" s="177" t="s">
        <v>351</v>
      </c>
      <c r="G13123" s="177" t="s">
        <v>1753</v>
      </c>
      <c r="H13123" s="127" t="s">
        <v>213</v>
      </c>
    </row>
    <row r="13124" hidden="1">
      <c r="A13124" s="177" t="s">
        <v>218</v>
      </c>
      <c r="B13124" s="127" t="s">
        <v>219</v>
      </c>
      <c r="C13124" s="127" t="s">
        <v>206</v>
      </c>
      <c r="D13124" s="177" t="s">
        <v>66</v>
      </c>
      <c r="E13124" s="177" t="s">
        <v>15835</v>
      </c>
      <c r="F13124" s="177" t="s">
        <v>450</v>
      </c>
      <c r="G13124" s="177" t="s">
        <v>2379</v>
      </c>
      <c r="H13124" s="127" t="s">
        <v>214</v>
      </c>
    </row>
    <row r="13125" hidden="1">
      <c r="A13125" s="177" t="s">
        <v>218</v>
      </c>
      <c r="B13125" s="127" t="s">
        <v>219</v>
      </c>
      <c r="C13125" s="127" t="s">
        <v>206</v>
      </c>
      <c r="D13125" s="177" t="s">
        <v>66</v>
      </c>
      <c r="E13125" s="177" t="s">
        <v>15836</v>
      </c>
      <c r="F13125" s="177" t="s">
        <v>799</v>
      </c>
      <c r="G13125" s="177" t="s">
        <v>2039</v>
      </c>
      <c r="H13125" s="127" t="s">
        <v>215</v>
      </c>
    </row>
    <row r="13126" hidden="1">
      <c r="A13126" s="177" t="s">
        <v>218</v>
      </c>
      <c r="B13126" s="127" t="s">
        <v>219</v>
      </c>
      <c r="C13126" s="127" t="s">
        <v>206</v>
      </c>
      <c r="D13126" s="177" t="s">
        <v>66</v>
      </c>
      <c r="E13126" s="177" t="s">
        <v>15837</v>
      </c>
      <c r="F13126" s="177" t="s">
        <v>427</v>
      </c>
      <c r="G13126" s="177" t="s">
        <v>3010</v>
      </c>
      <c r="H13126" s="127" t="s">
        <v>216</v>
      </c>
    </row>
    <row r="13127" hidden="1">
      <c r="A13127" s="177" t="s">
        <v>220</v>
      </c>
      <c r="B13127" s="127" t="s">
        <v>190</v>
      </c>
      <c r="C13127" s="127" t="s">
        <v>206</v>
      </c>
      <c r="D13127" s="177" t="s">
        <v>66</v>
      </c>
      <c r="E13127" s="177" t="s">
        <v>15838</v>
      </c>
      <c r="F13127" s="177" t="s">
        <v>436</v>
      </c>
      <c r="G13127" s="177" t="s">
        <v>2093</v>
      </c>
      <c r="H13127" s="127" t="s">
        <v>210</v>
      </c>
    </row>
    <row r="13128" hidden="1">
      <c r="A13128" s="177" t="s">
        <v>220</v>
      </c>
      <c r="B13128" s="127" t="s">
        <v>190</v>
      </c>
      <c r="C13128" s="127" t="s">
        <v>206</v>
      </c>
      <c r="D13128" s="177" t="s">
        <v>66</v>
      </c>
      <c r="E13128" s="177" t="s">
        <v>15839</v>
      </c>
      <c r="F13128" s="177" t="s">
        <v>1992</v>
      </c>
      <c r="G13128" s="177" t="s">
        <v>2093</v>
      </c>
      <c r="H13128" s="127" t="s">
        <v>211</v>
      </c>
    </row>
    <row r="13129" hidden="1">
      <c r="A13129" s="177" t="s">
        <v>220</v>
      </c>
      <c r="B13129" s="127" t="s">
        <v>190</v>
      </c>
      <c r="C13129" s="127" t="s">
        <v>206</v>
      </c>
      <c r="D13129" s="177" t="s">
        <v>66</v>
      </c>
      <c r="E13129" s="177" t="s">
        <v>15840</v>
      </c>
      <c r="F13129" s="177" t="s">
        <v>433</v>
      </c>
      <c r="G13129" s="177" t="s">
        <v>1955</v>
      </c>
      <c r="H13129" s="127" t="s">
        <v>212</v>
      </c>
    </row>
    <row r="13130" hidden="1">
      <c r="A13130" s="177" t="s">
        <v>220</v>
      </c>
      <c r="B13130" s="127" t="s">
        <v>190</v>
      </c>
      <c r="C13130" s="127" t="s">
        <v>206</v>
      </c>
      <c r="D13130" s="177" t="s">
        <v>66</v>
      </c>
      <c r="E13130" s="177" t="s">
        <v>15841</v>
      </c>
      <c r="F13130" s="177" t="s">
        <v>501</v>
      </c>
      <c r="G13130" s="177" t="s">
        <v>2366</v>
      </c>
      <c r="H13130" s="127" t="s">
        <v>213</v>
      </c>
    </row>
    <row r="13131" hidden="1">
      <c r="A13131" s="177" t="s">
        <v>220</v>
      </c>
      <c r="B13131" s="127" t="s">
        <v>190</v>
      </c>
      <c r="C13131" s="127" t="s">
        <v>206</v>
      </c>
      <c r="D13131" s="177" t="s">
        <v>66</v>
      </c>
      <c r="E13131" s="177" t="s">
        <v>15842</v>
      </c>
      <c r="F13131" s="177" t="s">
        <v>433</v>
      </c>
      <c r="G13131" s="177" t="s">
        <v>1731</v>
      </c>
      <c r="H13131" s="127" t="s">
        <v>214</v>
      </c>
    </row>
    <row r="13132" hidden="1">
      <c r="A13132" s="177" t="s">
        <v>220</v>
      </c>
      <c r="B13132" s="127" t="s">
        <v>190</v>
      </c>
      <c r="C13132" s="127" t="s">
        <v>206</v>
      </c>
      <c r="D13132" s="177" t="s">
        <v>66</v>
      </c>
      <c r="E13132" s="177" t="s">
        <v>15843</v>
      </c>
      <c r="F13132" s="177" t="s">
        <v>276</v>
      </c>
      <c r="G13132" s="177" t="s">
        <v>2880</v>
      </c>
      <c r="H13132" s="127" t="s">
        <v>215</v>
      </c>
    </row>
    <row r="13133" hidden="1">
      <c r="A13133" s="177" t="s">
        <v>220</v>
      </c>
      <c r="B13133" s="127" t="s">
        <v>190</v>
      </c>
      <c r="C13133" s="127" t="s">
        <v>206</v>
      </c>
      <c r="D13133" s="177" t="s">
        <v>66</v>
      </c>
      <c r="E13133" s="177" t="s">
        <v>15844</v>
      </c>
      <c r="F13133" s="177" t="s">
        <v>501</v>
      </c>
      <c r="G13133" s="177" t="s">
        <v>2521</v>
      </c>
      <c r="H13133" s="127" t="s">
        <v>216</v>
      </c>
    </row>
    <row r="13134" hidden="1">
      <c r="A13134" s="177" t="s">
        <v>221</v>
      </c>
      <c r="B13134" s="127" t="s">
        <v>189</v>
      </c>
      <c r="C13134" s="127" t="s">
        <v>206</v>
      </c>
      <c r="D13134" s="177" t="s">
        <v>66</v>
      </c>
      <c r="E13134" s="177" t="s">
        <v>15845</v>
      </c>
      <c r="F13134" s="177" t="s">
        <v>359</v>
      </c>
      <c r="G13134" s="177" t="s">
        <v>3572</v>
      </c>
      <c r="H13134" s="127" t="s">
        <v>210</v>
      </c>
    </row>
    <row r="13135" hidden="1">
      <c r="A13135" s="177" t="s">
        <v>221</v>
      </c>
      <c r="B13135" s="127" t="s">
        <v>189</v>
      </c>
      <c r="C13135" s="127" t="s">
        <v>206</v>
      </c>
      <c r="D13135" s="177" t="s">
        <v>66</v>
      </c>
      <c r="E13135" s="177" t="s">
        <v>15846</v>
      </c>
      <c r="F13135" s="177" t="s">
        <v>534</v>
      </c>
      <c r="G13135" s="177" t="s">
        <v>4688</v>
      </c>
      <c r="H13135" s="127" t="s">
        <v>211</v>
      </c>
    </row>
    <row r="13136" hidden="1">
      <c r="A13136" s="177" t="s">
        <v>221</v>
      </c>
      <c r="B13136" s="127" t="s">
        <v>189</v>
      </c>
      <c r="C13136" s="127" t="s">
        <v>206</v>
      </c>
      <c r="D13136" s="177" t="s">
        <v>66</v>
      </c>
      <c r="E13136" s="177" t="s">
        <v>15847</v>
      </c>
      <c r="F13136" s="177" t="s">
        <v>290</v>
      </c>
      <c r="G13136" s="177" t="s">
        <v>2354</v>
      </c>
      <c r="H13136" s="127" t="s">
        <v>212</v>
      </c>
    </row>
    <row r="13137" hidden="1">
      <c r="A13137" s="177" t="s">
        <v>221</v>
      </c>
      <c r="B13137" s="127" t="s">
        <v>189</v>
      </c>
      <c r="C13137" s="127" t="s">
        <v>206</v>
      </c>
      <c r="D13137" s="177" t="s">
        <v>66</v>
      </c>
      <c r="E13137" s="177" t="s">
        <v>15848</v>
      </c>
      <c r="F13137" s="177" t="s">
        <v>351</v>
      </c>
      <c r="G13137" s="177" t="s">
        <v>2352</v>
      </c>
      <c r="H13137" s="127" t="s">
        <v>213</v>
      </c>
    </row>
    <row r="13138" hidden="1">
      <c r="A13138" s="177" t="s">
        <v>221</v>
      </c>
      <c r="B13138" s="127" t="s">
        <v>189</v>
      </c>
      <c r="C13138" s="127" t="s">
        <v>206</v>
      </c>
      <c r="D13138" s="177" t="s">
        <v>66</v>
      </c>
      <c r="E13138" s="177" t="s">
        <v>15849</v>
      </c>
      <c r="F13138" s="177" t="s">
        <v>534</v>
      </c>
      <c r="G13138" s="177" t="s">
        <v>3710</v>
      </c>
      <c r="H13138" s="127" t="s">
        <v>214</v>
      </c>
    </row>
    <row r="13139" hidden="1">
      <c r="A13139" s="177" t="s">
        <v>221</v>
      </c>
      <c r="B13139" s="127" t="s">
        <v>189</v>
      </c>
      <c r="C13139" s="127" t="s">
        <v>206</v>
      </c>
      <c r="D13139" s="177" t="s">
        <v>66</v>
      </c>
      <c r="E13139" s="177" t="s">
        <v>15850</v>
      </c>
      <c r="F13139" s="177" t="s">
        <v>331</v>
      </c>
      <c r="G13139" s="177" t="s">
        <v>9796</v>
      </c>
      <c r="H13139" s="127" t="s">
        <v>215</v>
      </c>
    </row>
    <row r="13140" hidden="1">
      <c r="A13140" s="177" t="s">
        <v>221</v>
      </c>
      <c r="B13140" s="127" t="s">
        <v>189</v>
      </c>
      <c r="C13140" s="127" t="s">
        <v>206</v>
      </c>
      <c r="D13140" s="177" t="s">
        <v>66</v>
      </c>
      <c r="E13140" s="177" t="s">
        <v>15851</v>
      </c>
      <c r="F13140" s="177" t="s">
        <v>308</v>
      </c>
      <c r="G13140" s="177" t="s">
        <v>3996</v>
      </c>
      <c r="H13140" s="127" t="s">
        <v>216</v>
      </c>
    </row>
    <row r="13141" hidden="1">
      <c r="A13141" s="177" t="s">
        <v>222</v>
      </c>
      <c r="B13141" s="127" t="s">
        <v>192</v>
      </c>
      <c r="C13141" s="127" t="s">
        <v>206</v>
      </c>
      <c r="D13141" s="177" t="s">
        <v>66</v>
      </c>
      <c r="E13141" s="177" t="s">
        <v>15852</v>
      </c>
      <c r="F13141" s="177" t="s">
        <v>265</v>
      </c>
      <c r="G13141" s="177" t="s">
        <v>1936</v>
      </c>
      <c r="H13141" s="127" t="s">
        <v>210</v>
      </c>
    </row>
    <row r="13142" hidden="1">
      <c r="A13142" s="177" t="s">
        <v>222</v>
      </c>
      <c r="B13142" s="127" t="s">
        <v>192</v>
      </c>
      <c r="C13142" s="127" t="s">
        <v>206</v>
      </c>
      <c r="D13142" s="177" t="s">
        <v>66</v>
      </c>
      <c r="E13142" s="177" t="s">
        <v>15853</v>
      </c>
      <c r="F13142" s="177" t="s">
        <v>301</v>
      </c>
      <c r="G13142" s="177" t="s">
        <v>2037</v>
      </c>
      <c r="H13142" s="127" t="s">
        <v>211</v>
      </c>
    </row>
    <row r="13143" hidden="1">
      <c r="A13143" s="177" t="s">
        <v>222</v>
      </c>
      <c r="B13143" s="127" t="s">
        <v>192</v>
      </c>
      <c r="C13143" s="127" t="s">
        <v>206</v>
      </c>
      <c r="D13143" s="177" t="s">
        <v>66</v>
      </c>
      <c r="E13143" s="177" t="s">
        <v>15854</v>
      </c>
      <c r="F13143" s="177" t="s">
        <v>492</v>
      </c>
      <c r="G13143" s="177" t="s">
        <v>1773</v>
      </c>
      <c r="H13143" s="127" t="s">
        <v>212</v>
      </c>
    </row>
    <row r="13144" hidden="1">
      <c r="A13144" s="177" t="s">
        <v>222</v>
      </c>
      <c r="B13144" s="127" t="s">
        <v>192</v>
      </c>
      <c r="C13144" s="127" t="s">
        <v>206</v>
      </c>
      <c r="D13144" s="177" t="s">
        <v>66</v>
      </c>
      <c r="E13144" s="177" t="s">
        <v>15855</v>
      </c>
      <c r="F13144" s="177" t="s">
        <v>262</v>
      </c>
      <c r="G13144" s="177" t="s">
        <v>1775</v>
      </c>
      <c r="H13144" s="127" t="s">
        <v>213</v>
      </c>
    </row>
    <row r="13145" hidden="1">
      <c r="A13145" s="177" t="s">
        <v>222</v>
      </c>
      <c r="B13145" s="127" t="s">
        <v>192</v>
      </c>
      <c r="C13145" s="127" t="s">
        <v>206</v>
      </c>
      <c r="D13145" s="177" t="s">
        <v>66</v>
      </c>
      <c r="E13145" s="177" t="s">
        <v>15856</v>
      </c>
      <c r="F13145" s="177" t="s">
        <v>242</v>
      </c>
      <c r="G13145" s="177" t="s">
        <v>2321</v>
      </c>
      <c r="H13145" s="127" t="s">
        <v>214</v>
      </c>
    </row>
    <row r="13146" hidden="1">
      <c r="A13146" s="177" t="s">
        <v>222</v>
      </c>
      <c r="B13146" s="127" t="s">
        <v>192</v>
      </c>
      <c r="C13146" s="127" t="s">
        <v>206</v>
      </c>
      <c r="D13146" s="177" t="s">
        <v>66</v>
      </c>
      <c r="E13146" s="177" t="s">
        <v>15857</v>
      </c>
      <c r="F13146" s="177" t="s">
        <v>492</v>
      </c>
      <c r="G13146" s="177" t="s">
        <v>1825</v>
      </c>
      <c r="H13146" s="127" t="s">
        <v>215</v>
      </c>
    </row>
    <row r="13147" hidden="1">
      <c r="A13147" s="177" t="s">
        <v>222</v>
      </c>
      <c r="B13147" s="127" t="s">
        <v>192</v>
      </c>
      <c r="C13147" s="127" t="s">
        <v>206</v>
      </c>
      <c r="D13147" s="177" t="s">
        <v>66</v>
      </c>
      <c r="E13147" s="177" t="s">
        <v>15858</v>
      </c>
      <c r="F13147" s="177" t="s">
        <v>259</v>
      </c>
      <c r="G13147" s="177" t="s">
        <v>1885</v>
      </c>
      <c r="H13147" s="127" t="s">
        <v>216</v>
      </c>
    </row>
    <row r="13148" hidden="1">
      <c r="A13148" s="177" t="s">
        <v>223</v>
      </c>
      <c r="B13148" s="127" t="s">
        <v>144</v>
      </c>
      <c r="C13148" s="127" t="s">
        <v>206</v>
      </c>
      <c r="D13148" s="177" t="s">
        <v>66</v>
      </c>
      <c r="E13148" s="177" t="s">
        <v>15859</v>
      </c>
      <c r="F13148" s="177" t="s">
        <v>244</v>
      </c>
      <c r="G13148" s="177" t="s">
        <v>3007</v>
      </c>
      <c r="H13148" s="127" t="s">
        <v>210</v>
      </c>
    </row>
    <row r="13149" hidden="1">
      <c r="A13149" s="177" t="s">
        <v>223</v>
      </c>
      <c r="B13149" s="127" t="s">
        <v>144</v>
      </c>
      <c r="C13149" s="127" t="s">
        <v>206</v>
      </c>
      <c r="D13149" s="177" t="s">
        <v>66</v>
      </c>
      <c r="E13149" s="177" t="s">
        <v>15860</v>
      </c>
      <c r="F13149" s="177" t="s">
        <v>244</v>
      </c>
      <c r="G13149" s="177" t="s">
        <v>2542</v>
      </c>
      <c r="H13149" s="127" t="s">
        <v>211</v>
      </c>
    </row>
    <row r="13150" hidden="1">
      <c r="A13150" s="177" t="s">
        <v>223</v>
      </c>
      <c r="B13150" s="127" t="s">
        <v>144</v>
      </c>
      <c r="C13150" s="127" t="s">
        <v>206</v>
      </c>
      <c r="D13150" s="177" t="s">
        <v>66</v>
      </c>
      <c r="E13150" s="177" t="s">
        <v>15861</v>
      </c>
      <c r="F13150" s="177" t="s">
        <v>314</v>
      </c>
      <c r="G13150" s="177" t="s">
        <v>1836</v>
      </c>
      <c r="H13150" s="127" t="s">
        <v>212</v>
      </c>
    </row>
    <row r="13151" hidden="1">
      <c r="A13151" s="177" t="s">
        <v>223</v>
      </c>
      <c r="B13151" s="127" t="s">
        <v>144</v>
      </c>
      <c r="C13151" s="127" t="s">
        <v>206</v>
      </c>
      <c r="D13151" s="177" t="s">
        <v>66</v>
      </c>
      <c r="E13151" s="177" t="s">
        <v>15862</v>
      </c>
      <c r="F13151" s="177" t="s">
        <v>257</v>
      </c>
      <c r="G13151" s="177" t="s">
        <v>2542</v>
      </c>
      <c r="H13151" s="127" t="s">
        <v>213</v>
      </c>
    </row>
    <row r="13152" hidden="1">
      <c r="A13152" s="177" t="s">
        <v>223</v>
      </c>
      <c r="B13152" s="127" t="s">
        <v>144</v>
      </c>
      <c r="C13152" s="127" t="s">
        <v>206</v>
      </c>
      <c r="D13152" s="177" t="s">
        <v>66</v>
      </c>
      <c r="E13152" s="177" t="s">
        <v>15863</v>
      </c>
      <c r="F13152" s="177" t="s">
        <v>257</v>
      </c>
      <c r="G13152" s="177" t="s">
        <v>1818</v>
      </c>
      <c r="H13152" s="127" t="s">
        <v>214</v>
      </c>
    </row>
    <row r="13153" hidden="1">
      <c r="A13153" s="177" t="s">
        <v>223</v>
      </c>
      <c r="B13153" s="127" t="s">
        <v>144</v>
      </c>
      <c r="C13153" s="127" t="s">
        <v>206</v>
      </c>
      <c r="D13153" s="177" t="s">
        <v>66</v>
      </c>
      <c r="E13153" s="177" t="s">
        <v>15864</v>
      </c>
      <c r="F13153" s="177" t="s">
        <v>359</v>
      </c>
      <c r="G13153" s="177" t="s">
        <v>3364</v>
      </c>
      <c r="H13153" s="127" t="s">
        <v>215</v>
      </c>
    </row>
    <row r="13154" hidden="1">
      <c r="A13154" s="177" t="s">
        <v>223</v>
      </c>
      <c r="B13154" s="127" t="s">
        <v>144</v>
      </c>
      <c r="C13154" s="127" t="s">
        <v>206</v>
      </c>
      <c r="D13154" s="177" t="s">
        <v>66</v>
      </c>
      <c r="E13154" s="177" t="s">
        <v>15865</v>
      </c>
      <c r="F13154" s="177" t="s">
        <v>244</v>
      </c>
      <c r="G13154" s="177" t="s">
        <v>2410</v>
      </c>
      <c r="H13154" s="127" t="s">
        <v>216</v>
      </c>
    </row>
    <row r="13155" hidden="1">
      <c r="A13155" s="177" t="s">
        <v>224</v>
      </c>
      <c r="B13155" s="127" t="s">
        <v>170</v>
      </c>
      <c r="C13155" s="127" t="s">
        <v>206</v>
      </c>
      <c r="D13155" s="177" t="s">
        <v>66</v>
      </c>
      <c r="E13155" s="177" t="s">
        <v>15866</v>
      </c>
      <c r="F13155" s="177" t="s">
        <v>483</v>
      </c>
      <c r="G13155" s="177" t="s">
        <v>2070</v>
      </c>
      <c r="H13155" s="127" t="s">
        <v>210</v>
      </c>
    </row>
    <row r="13156" hidden="1">
      <c r="A13156" s="177" t="s">
        <v>224</v>
      </c>
      <c r="B13156" s="127" t="s">
        <v>170</v>
      </c>
      <c r="C13156" s="127" t="s">
        <v>206</v>
      </c>
      <c r="D13156" s="177" t="s">
        <v>66</v>
      </c>
      <c r="E13156" s="177" t="s">
        <v>15867</v>
      </c>
      <c r="F13156" s="177" t="s">
        <v>305</v>
      </c>
      <c r="G13156" s="177" t="s">
        <v>1749</v>
      </c>
      <c r="H13156" s="127" t="s">
        <v>211</v>
      </c>
    </row>
    <row r="13157" hidden="1">
      <c r="A13157" s="177" t="s">
        <v>224</v>
      </c>
      <c r="B13157" s="127" t="s">
        <v>170</v>
      </c>
      <c r="C13157" s="127" t="s">
        <v>206</v>
      </c>
      <c r="D13157" s="177" t="s">
        <v>66</v>
      </c>
      <c r="E13157" s="177" t="s">
        <v>15868</v>
      </c>
      <c r="F13157" s="177" t="s">
        <v>249</v>
      </c>
      <c r="G13157" s="177" t="s">
        <v>2705</v>
      </c>
      <c r="H13157" s="127" t="s">
        <v>212</v>
      </c>
    </row>
    <row r="13158" hidden="1">
      <c r="A13158" s="177" t="s">
        <v>224</v>
      </c>
      <c r="B13158" s="127" t="s">
        <v>170</v>
      </c>
      <c r="C13158" s="127" t="s">
        <v>206</v>
      </c>
      <c r="D13158" s="177" t="s">
        <v>66</v>
      </c>
      <c r="E13158" s="177" t="s">
        <v>15869</v>
      </c>
      <c r="F13158" s="177" t="s">
        <v>427</v>
      </c>
      <c r="G13158" s="177" t="s">
        <v>2398</v>
      </c>
      <c r="H13158" s="127" t="s">
        <v>213</v>
      </c>
    </row>
    <row r="13159" hidden="1">
      <c r="A13159" s="177" t="s">
        <v>224</v>
      </c>
      <c r="B13159" s="127" t="s">
        <v>170</v>
      </c>
      <c r="C13159" s="127" t="s">
        <v>206</v>
      </c>
      <c r="D13159" s="177" t="s">
        <v>66</v>
      </c>
      <c r="E13159" s="177" t="s">
        <v>15870</v>
      </c>
      <c r="F13159" s="177" t="s">
        <v>310</v>
      </c>
      <c r="G13159" s="177" t="s">
        <v>2051</v>
      </c>
      <c r="H13159" s="127" t="s">
        <v>214</v>
      </c>
    </row>
    <row r="13160" hidden="1">
      <c r="A13160" s="177" t="s">
        <v>224</v>
      </c>
      <c r="B13160" s="127" t="s">
        <v>170</v>
      </c>
      <c r="C13160" s="127" t="s">
        <v>206</v>
      </c>
      <c r="D13160" s="177" t="s">
        <v>66</v>
      </c>
      <c r="E13160" s="177" t="s">
        <v>15871</v>
      </c>
      <c r="F13160" s="177" t="s">
        <v>325</v>
      </c>
      <c r="G13160" s="177" t="s">
        <v>2697</v>
      </c>
      <c r="H13160" s="127" t="s">
        <v>215</v>
      </c>
    </row>
    <row r="13161" hidden="1">
      <c r="A13161" s="177" t="s">
        <v>224</v>
      </c>
      <c r="B13161" s="127" t="s">
        <v>170</v>
      </c>
      <c r="C13161" s="127" t="s">
        <v>206</v>
      </c>
      <c r="D13161" s="177" t="s">
        <v>66</v>
      </c>
      <c r="E13161" s="177" t="s">
        <v>15872</v>
      </c>
      <c r="F13161" s="177" t="s">
        <v>336</v>
      </c>
      <c r="G13161" s="177" t="s">
        <v>2057</v>
      </c>
      <c r="H13161" s="127" t="s">
        <v>216</v>
      </c>
    </row>
    <row r="13162" hidden="1">
      <c r="A13162" s="177" t="s">
        <v>225</v>
      </c>
      <c r="B13162" s="127" t="s">
        <v>226</v>
      </c>
      <c r="C13162" s="127" t="s">
        <v>206</v>
      </c>
      <c r="D13162" s="177" t="s">
        <v>66</v>
      </c>
      <c r="E13162" s="177" t="s">
        <v>15873</v>
      </c>
      <c r="F13162" s="177" t="s">
        <v>365</v>
      </c>
      <c r="G13162" s="177" t="s">
        <v>2393</v>
      </c>
      <c r="H13162" s="127" t="s">
        <v>210</v>
      </c>
    </row>
    <row r="13163" hidden="1">
      <c r="A13163" s="177" t="s">
        <v>225</v>
      </c>
      <c r="B13163" s="127" t="s">
        <v>226</v>
      </c>
      <c r="C13163" s="127" t="s">
        <v>206</v>
      </c>
      <c r="D13163" s="177" t="s">
        <v>66</v>
      </c>
      <c r="E13163" s="177" t="s">
        <v>15874</v>
      </c>
      <c r="F13163" s="177" t="s">
        <v>357</v>
      </c>
      <c r="G13163" s="177" t="s">
        <v>2309</v>
      </c>
      <c r="H13163" s="127" t="s">
        <v>211</v>
      </c>
    </row>
    <row r="13164" hidden="1">
      <c r="A13164" s="177" t="s">
        <v>225</v>
      </c>
      <c r="B13164" s="127" t="s">
        <v>226</v>
      </c>
      <c r="C13164" s="127" t="s">
        <v>206</v>
      </c>
      <c r="D13164" s="177" t="s">
        <v>66</v>
      </c>
      <c r="E13164" s="177" t="s">
        <v>15875</v>
      </c>
      <c r="F13164" s="177" t="s">
        <v>246</v>
      </c>
      <c r="G13164" s="177" t="s">
        <v>1868</v>
      </c>
      <c r="H13164" s="127" t="s">
        <v>212</v>
      </c>
    </row>
    <row r="13165" hidden="1">
      <c r="A13165" s="177" t="s">
        <v>225</v>
      </c>
      <c r="B13165" s="127" t="s">
        <v>226</v>
      </c>
      <c r="C13165" s="127" t="s">
        <v>206</v>
      </c>
      <c r="D13165" s="177" t="s">
        <v>66</v>
      </c>
      <c r="E13165" s="177" t="s">
        <v>15876</v>
      </c>
      <c r="F13165" s="177" t="s">
        <v>259</v>
      </c>
      <c r="G13165" s="177" t="s">
        <v>3075</v>
      </c>
      <c r="H13165" s="127" t="s">
        <v>213</v>
      </c>
    </row>
    <row r="13166" hidden="1">
      <c r="A13166" s="177" t="s">
        <v>225</v>
      </c>
      <c r="B13166" s="127" t="s">
        <v>226</v>
      </c>
      <c r="C13166" s="127" t="s">
        <v>206</v>
      </c>
      <c r="D13166" s="177" t="s">
        <v>66</v>
      </c>
      <c r="E13166" s="177" t="s">
        <v>15877</v>
      </c>
      <c r="F13166" s="177" t="s">
        <v>323</v>
      </c>
      <c r="G13166" s="177" t="s">
        <v>1843</v>
      </c>
      <c r="H13166" s="127" t="s">
        <v>214</v>
      </c>
    </row>
    <row r="13167" hidden="1">
      <c r="A13167" s="177" t="s">
        <v>225</v>
      </c>
      <c r="B13167" s="127" t="s">
        <v>226</v>
      </c>
      <c r="C13167" s="127" t="s">
        <v>206</v>
      </c>
      <c r="D13167" s="177" t="s">
        <v>66</v>
      </c>
      <c r="E13167" s="177" t="s">
        <v>15878</v>
      </c>
      <c r="F13167" s="177" t="s">
        <v>285</v>
      </c>
      <c r="G13167" s="177" t="s">
        <v>2602</v>
      </c>
      <c r="H13167" s="127" t="s">
        <v>215</v>
      </c>
    </row>
    <row r="13168" hidden="1">
      <c r="A13168" s="177" t="s">
        <v>225</v>
      </c>
      <c r="B13168" s="127" t="s">
        <v>226</v>
      </c>
      <c r="C13168" s="127" t="s">
        <v>206</v>
      </c>
      <c r="D13168" s="177" t="s">
        <v>66</v>
      </c>
      <c r="E13168" s="177" t="s">
        <v>15879</v>
      </c>
      <c r="F13168" s="177" t="s">
        <v>357</v>
      </c>
      <c r="G13168" s="177" t="s">
        <v>3221</v>
      </c>
      <c r="H13168" s="127" t="s">
        <v>216</v>
      </c>
    </row>
    <row r="13169" hidden="1">
      <c r="A13169" s="177" t="s">
        <v>227</v>
      </c>
      <c r="B13169" s="127" t="s">
        <v>195</v>
      </c>
      <c r="C13169" s="127" t="s">
        <v>206</v>
      </c>
      <c r="D13169" s="177" t="s">
        <v>66</v>
      </c>
      <c r="E13169" s="177" t="s">
        <v>15880</v>
      </c>
      <c r="F13169" s="177" t="s">
        <v>442</v>
      </c>
      <c r="G13169" s="177" t="s">
        <v>3071</v>
      </c>
      <c r="H13169" s="127" t="s">
        <v>210</v>
      </c>
    </row>
    <row r="13170" hidden="1">
      <c r="A13170" s="177" t="s">
        <v>227</v>
      </c>
      <c r="B13170" s="127" t="s">
        <v>195</v>
      </c>
      <c r="C13170" s="127" t="s">
        <v>206</v>
      </c>
      <c r="D13170" s="177" t="s">
        <v>66</v>
      </c>
      <c r="E13170" s="177" t="s">
        <v>15881</v>
      </c>
      <c r="F13170" s="177" t="s">
        <v>255</v>
      </c>
      <c r="G13170" s="177" t="s">
        <v>3587</v>
      </c>
      <c r="H13170" s="127" t="s">
        <v>211</v>
      </c>
    </row>
    <row r="13171" hidden="1">
      <c r="A13171" s="177" t="s">
        <v>227</v>
      </c>
      <c r="B13171" s="127" t="s">
        <v>195</v>
      </c>
      <c r="C13171" s="127" t="s">
        <v>206</v>
      </c>
      <c r="D13171" s="177" t="s">
        <v>66</v>
      </c>
      <c r="E13171" s="177" t="s">
        <v>15882</v>
      </c>
      <c r="F13171" s="177" t="s">
        <v>265</v>
      </c>
      <c r="G13171" s="177" t="s">
        <v>2303</v>
      </c>
      <c r="H13171" s="127" t="s">
        <v>212</v>
      </c>
    </row>
    <row r="13172" hidden="1">
      <c r="A13172" s="177" t="s">
        <v>227</v>
      </c>
      <c r="B13172" s="127" t="s">
        <v>195</v>
      </c>
      <c r="C13172" s="127" t="s">
        <v>206</v>
      </c>
      <c r="D13172" s="177" t="s">
        <v>66</v>
      </c>
      <c r="E13172" s="177" t="s">
        <v>15883</v>
      </c>
      <c r="F13172" s="177" t="s">
        <v>359</v>
      </c>
      <c r="G13172" s="177" t="s">
        <v>2777</v>
      </c>
      <c r="H13172" s="127" t="s">
        <v>213</v>
      </c>
    </row>
    <row r="13173" hidden="1">
      <c r="A13173" s="177" t="s">
        <v>227</v>
      </c>
      <c r="B13173" s="127" t="s">
        <v>195</v>
      </c>
      <c r="C13173" s="127" t="s">
        <v>206</v>
      </c>
      <c r="D13173" s="177" t="s">
        <v>66</v>
      </c>
      <c r="E13173" s="177" t="s">
        <v>15884</v>
      </c>
      <c r="F13173" s="177" t="s">
        <v>374</v>
      </c>
      <c r="G13173" s="177" t="s">
        <v>1834</v>
      </c>
      <c r="H13173" s="127" t="s">
        <v>214</v>
      </c>
    </row>
    <row r="13174" hidden="1">
      <c r="A13174" s="177" t="s">
        <v>227</v>
      </c>
      <c r="B13174" s="127" t="s">
        <v>195</v>
      </c>
      <c r="C13174" s="127" t="s">
        <v>206</v>
      </c>
      <c r="D13174" s="177" t="s">
        <v>66</v>
      </c>
      <c r="E13174" s="177" t="s">
        <v>15885</v>
      </c>
      <c r="F13174" s="177" t="s">
        <v>269</v>
      </c>
      <c r="G13174" s="177" t="s">
        <v>2470</v>
      </c>
      <c r="H13174" s="127" t="s">
        <v>215</v>
      </c>
    </row>
    <row r="13175" hidden="1">
      <c r="A13175" s="177" t="s">
        <v>227</v>
      </c>
      <c r="B13175" s="127" t="s">
        <v>195</v>
      </c>
      <c r="C13175" s="127" t="s">
        <v>206</v>
      </c>
      <c r="D13175" s="177" t="s">
        <v>66</v>
      </c>
      <c r="E13175" s="177" t="s">
        <v>15886</v>
      </c>
      <c r="F13175" s="177" t="s">
        <v>262</v>
      </c>
      <c r="G13175" s="177" t="s">
        <v>1832</v>
      </c>
      <c r="H13175" s="127" t="s">
        <v>216</v>
      </c>
    </row>
    <row r="13176" hidden="1">
      <c r="A13176" s="177" t="s">
        <v>228</v>
      </c>
      <c r="B13176" s="127" t="s">
        <v>138</v>
      </c>
      <c r="C13176" s="127" t="s">
        <v>206</v>
      </c>
      <c r="D13176" s="177" t="s">
        <v>66</v>
      </c>
      <c r="E13176" s="177" t="s">
        <v>15887</v>
      </c>
      <c r="F13176" s="177" t="s">
        <v>287</v>
      </c>
      <c r="G13176" s="177" t="s">
        <v>2826</v>
      </c>
      <c r="H13176" s="127" t="s">
        <v>210</v>
      </c>
    </row>
    <row r="13177" hidden="1">
      <c r="A13177" s="177" t="s">
        <v>228</v>
      </c>
      <c r="B13177" s="127" t="s">
        <v>138</v>
      </c>
      <c r="C13177" s="127" t="s">
        <v>206</v>
      </c>
      <c r="D13177" s="177" t="s">
        <v>66</v>
      </c>
      <c r="E13177" s="177" t="s">
        <v>15888</v>
      </c>
      <c r="F13177" s="177" t="s">
        <v>357</v>
      </c>
      <c r="G13177" s="177" t="s">
        <v>9598</v>
      </c>
      <c r="H13177" s="127" t="s">
        <v>211</v>
      </c>
    </row>
    <row r="13178" hidden="1">
      <c r="A13178" s="177" t="s">
        <v>228</v>
      </c>
      <c r="B13178" s="127" t="s">
        <v>138</v>
      </c>
      <c r="C13178" s="127" t="s">
        <v>206</v>
      </c>
      <c r="D13178" s="177" t="s">
        <v>66</v>
      </c>
      <c r="E13178" s="177" t="s">
        <v>15889</v>
      </c>
      <c r="F13178" s="177" t="s">
        <v>249</v>
      </c>
      <c r="G13178" s="177" t="s">
        <v>9771</v>
      </c>
      <c r="H13178" s="127" t="s">
        <v>212</v>
      </c>
    </row>
    <row r="13179" hidden="1">
      <c r="A13179" s="177" t="s">
        <v>228</v>
      </c>
      <c r="B13179" s="127" t="s">
        <v>138</v>
      </c>
      <c r="C13179" s="127" t="s">
        <v>206</v>
      </c>
      <c r="D13179" s="177" t="s">
        <v>66</v>
      </c>
      <c r="E13179" s="177" t="s">
        <v>15890</v>
      </c>
      <c r="F13179" s="177" t="s">
        <v>348</v>
      </c>
      <c r="G13179" s="177" t="s">
        <v>9511</v>
      </c>
      <c r="H13179" s="127" t="s">
        <v>213</v>
      </c>
    </row>
    <row r="13180" hidden="1">
      <c r="A13180" s="177" t="s">
        <v>228</v>
      </c>
      <c r="B13180" s="127" t="s">
        <v>138</v>
      </c>
      <c r="C13180" s="127" t="s">
        <v>206</v>
      </c>
      <c r="D13180" s="177" t="s">
        <v>66</v>
      </c>
      <c r="E13180" s="177" t="s">
        <v>15891</v>
      </c>
      <c r="F13180" s="177" t="s">
        <v>405</v>
      </c>
      <c r="G13180" s="177" t="s">
        <v>15892</v>
      </c>
      <c r="H13180" s="127" t="s">
        <v>214</v>
      </c>
    </row>
    <row r="13181" hidden="1">
      <c r="A13181" s="177" t="s">
        <v>228</v>
      </c>
      <c r="B13181" s="127" t="s">
        <v>138</v>
      </c>
      <c r="C13181" s="127" t="s">
        <v>206</v>
      </c>
      <c r="D13181" s="177" t="s">
        <v>66</v>
      </c>
      <c r="E13181" s="177" t="s">
        <v>15893</v>
      </c>
      <c r="F13181" s="177" t="s">
        <v>3359</v>
      </c>
      <c r="G13181" s="177" t="s">
        <v>10893</v>
      </c>
      <c r="H13181" s="127" t="s">
        <v>215</v>
      </c>
    </row>
    <row r="13182" hidden="1">
      <c r="A13182" s="177" t="s">
        <v>228</v>
      </c>
      <c r="B13182" s="127" t="s">
        <v>138</v>
      </c>
      <c r="C13182" s="127" t="s">
        <v>206</v>
      </c>
      <c r="D13182" s="177" t="s">
        <v>66</v>
      </c>
      <c r="E13182" s="177" t="s">
        <v>15894</v>
      </c>
      <c r="F13182" s="177" t="s">
        <v>321</v>
      </c>
      <c r="G13182" s="177" t="s">
        <v>3937</v>
      </c>
      <c r="H13182" s="127" t="s">
        <v>216</v>
      </c>
    </row>
    <row r="13183" hidden="1">
      <c r="A13183" s="177" t="s">
        <v>229</v>
      </c>
      <c r="B13183" s="127" t="s">
        <v>193</v>
      </c>
      <c r="C13183" s="127" t="s">
        <v>206</v>
      </c>
      <c r="D13183" s="177" t="s">
        <v>66</v>
      </c>
      <c r="E13183" s="177" t="s">
        <v>15895</v>
      </c>
      <c r="F13183" s="177" t="s">
        <v>331</v>
      </c>
      <c r="G13183" s="177" t="s">
        <v>2519</v>
      </c>
      <c r="H13183" s="127" t="s">
        <v>210</v>
      </c>
    </row>
    <row r="13184" hidden="1">
      <c r="A13184" s="177" t="s">
        <v>229</v>
      </c>
      <c r="B13184" s="127" t="s">
        <v>193</v>
      </c>
      <c r="C13184" s="127" t="s">
        <v>206</v>
      </c>
      <c r="D13184" s="177" t="s">
        <v>66</v>
      </c>
      <c r="E13184" s="177" t="s">
        <v>15896</v>
      </c>
      <c r="F13184" s="177" t="s">
        <v>450</v>
      </c>
      <c r="G13184" s="177" t="s">
        <v>1995</v>
      </c>
      <c r="H13184" s="127" t="s">
        <v>211</v>
      </c>
    </row>
    <row r="13185" hidden="1">
      <c r="A13185" s="177" t="s">
        <v>229</v>
      </c>
      <c r="B13185" s="127" t="s">
        <v>193</v>
      </c>
      <c r="C13185" s="127" t="s">
        <v>206</v>
      </c>
      <c r="D13185" s="177" t="s">
        <v>66</v>
      </c>
      <c r="E13185" s="177" t="s">
        <v>15897</v>
      </c>
      <c r="F13185" s="177" t="s">
        <v>325</v>
      </c>
      <c r="G13185" s="177" t="s">
        <v>2508</v>
      </c>
      <c r="H13185" s="127" t="s">
        <v>212</v>
      </c>
    </row>
    <row r="13186" hidden="1">
      <c r="A13186" s="177" t="s">
        <v>229</v>
      </c>
      <c r="B13186" s="127" t="s">
        <v>193</v>
      </c>
      <c r="C13186" s="127" t="s">
        <v>206</v>
      </c>
      <c r="D13186" s="177" t="s">
        <v>66</v>
      </c>
      <c r="E13186" s="177" t="s">
        <v>15898</v>
      </c>
      <c r="F13186" s="177" t="s">
        <v>1532</v>
      </c>
      <c r="G13186" s="177" t="s">
        <v>1997</v>
      </c>
      <c r="H13186" s="127" t="s">
        <v>213</v>
      </c>
    </row>
    <row r="13187" hidden="1">
      <c r="A13187" s="177" t="s">
        <v>229</v>
      </c>
      <c r="B13187" s="127" t="s">
        <v>193</v>
      </c>
      <c r="C13187" s="127" t="s">
        <v>206</v>
      </c>
      <c r="D13187" s="177" t="s">
        <v>66</v>
      </c>
      <c r="E13187" s="177" t="s">
        <v>15899</v>
      </c>
      <c r="F13187" s="177" t="s">
        <v>577</v>
      </c>
      <c r="G13187" s="177" t="s">
        <v>3272</v>
      </c>
      <c r="H13187" s="127" t="s">
        <v>214</v>
      </c>
    </row>
    <row r="13188" hidden="1">
      <c r="A13188" s="177" t="s">
        <v>229</v>
      </c>
      <c r="B13188" s="127" t="s">
        <v>193</v>
      </c>
      <c r="C13188" s="127" t="s">
        <v>206</v>
      </c>
      <c r="D13188" s="177" t="s">
        <v>66</v>
      </c>
      <c r="E13188" s="177" t="s">
        <v>15900</v>
      </c>
      <c r="F13188" s="177" t="s">
        <v>242</v>
      </c>
      <c r="G13188" s="177" t="s">
        <v>4077</v>
      </c>
      <c r="H13188" s="127" t="s">
        <v>215</v>
      </c>
    </row>
    <row r="13189" hidden="1">
      <c r="A13189" s="177" t="s">
        <v>229</v>
      </c>
      <c r="B13189" s="127" t="s">
        <v>193</v>
      </c>
      <c r="C13189" s="127" t="s">
        <v>206</v>
      </c>
      <c r="D13189" s="177" t="s">
        <v>66</v>
      </c>
      <c r="E13189" s="177" t="s">
        <v>15901</v>
      </c>
      <c r="F13189" s="177" t="s">
        <v>339</v>
      </c>
      <c r="G13189" s="177" t="s">
        <v>2189</v>
      </c>
      <c r="H13189" s="127" t="s">
        <v>216</v>
      </c>
    </row>
    <row r="13190" hidden="1">
      <c r="A13190" s="177" t="s">
        <v>230</v>
      </c>
      <c r="B13190" s="127" t="s">
        <v>194</v>
      </c>
      <c r="C13190" s="127" t="s">
        <v>206</v>
      </c>
      <c r="D13190" s="177" t="s">
        <v>66</v>
      </c>
      <c r="E13190" s="177" t="s">
        <v>15902</v>
      </c>
      <c r="F13190" s="177" t="s">
        <v>285</v>
      </c>
      <c r="G13190" s="177" t="s">
        <v>2999</v>
      </c>
      <c r="H13190" s="127" t="s">
        <v>210</v>
      </c>
    </row>
    <row r="13191" hidden="1">
      <c r="A13191" s="177" t="s">
        <v>230</v>
      </c>
      <c r="B13191" s="127" t="s">
        <v>194</v>
      </c>
      <c r="C13191" s="127" t="s">
        <v>206</v>
      </c>
      <c r="D13191" s="177" t="s">
        <v>66</v>
      </c>
      <c r="E13191" s="177" t="s">
        <v>15903</v>
      </c>
      <c r="F13191" s="177" t="s">
        <v>321</v>
      </c>
      <c r="G13191" s="177" t="s">
        <v>1836</v>
      </c>
      <c r="H13191" s="127" t="s">
        <v>211</v>
      </c>
    </row>
    <row r="13192" hidden="1">
      <c r="A13192" s="177" t="s">
        <v>230</v>
      </c>
      <c r="B13192" s="127" t="s">
        <v>194</v>
      </c>
      <c r="C13192" s="127" t="s">
        <v>206</v>
      </c>
      <c r="D13192" s="177" t="s">
        <v>66</v>
      </c>
      <c r="E13192" s="177" t="s">
        <v>15904</v>
      </c>
      <c r="F13192" s="177" t="s">
        <v>357</v>
      </c>
      <c r="G13192" s="177" t="s">
        <v>2705</v>
      </c>
      <c r="H13192" s="127" t="s">
        <v>212</v>
      </c>
    </row>
    <row r="13193" hidden="1">
      <c r="A13193" s="177" t="s">
        <v>230</v>
      </c>
      <c r="B13193" s="127" t="s">
        <v>194</v>
      </c>
      <c r="C13193" s="127" t="s">
        <v>206</v>
      </c>
      <c r="D13193" s="177" t="s">
        <v>66</v>
      </c>
      <c r="E13193" s="177" t="s">
        <v>15905</v>
      </c>
      <c r="F13193" s="177" t="s">
        <v>323</v>
      </c>
      <c r="G13193" s="177" t="s">
        <v>2539</v>
      </c>
      <c r="H13193" s="127" t="s">
        <v>213</v>
      </c>
    </row>
    <row r="13194" hidden="1">
      <c r="A13194" s="177" t="s">
        <v>230</v>
      </c>
      <c r="B13194" s="127" t="s">
        <v>194</v>
      </c>
      <c r="C13194" s="127" t="s">
        <v>206</v>
      </c>
      <c r="D13194" s="177" t="s">
        <v>66</v>
      </c>
      <c r="E13194" s="177" t="s">
        <v>15906</v>
      </c>
      <c r="F13194" s="177" t="s">
        <v>308</v>
      </c>
      <c r="G13194" s="177" t="s">
        <v>1942</v>
      </c>
      <c r="H13194" s="127" t="s">
        <v>214</v>
      </c>
    </row>
    <row r="13195" hidden="1">
      <c r="A13195" s="177" t="s">
        <v>230</v>
      </c>
      <c r="B13195" s="127" t="s">
        <v>194</v>
      </c>
      <c r="C13195" s="127" t="s">
        <v>206</v>
      </c>
      <c r="D13195" s="177" t="s">
        <v>66</v>
      </c>
      <c r="E13195" s="177" t="s">
        <v>15907</v>
      </c>
      <c r="F13195" s="177" t="s">
        <v>244</v>
      </c>
      <c r="G13195" s="177" t="s">
        <v>2539</v>
      </c>
      <c r="H13195" s="127" t="s">
        <v>215</v>
      </c>
    </row>
    <row r="13196" hidden="1">
      <c r="A13196" s="177" t="s">
        <v>230</v>
      </c>
      <c r="B13196" s="127" t="s">
        <v>194</v>
      </c>
      <c r="C13196" s="127" t="s">
        <v>206</v>
      </c>
      <c r="D13196" s="177" t="s">
        <v>66</v>
      </c>
      <c r="E13196" s="177" t="s">
        <v>15908</v>
      </c>
      <c r="F13196" s="177" t="s">
        <v>285</v>
      </c>
      <c r="G13196" s="177" t="s">
        <v>3007</v>
      </c>
      <c r="H13196" s="127" t="s">
        <v>216</v>
      </c>
    </row>
    <row r="13197" hidden="1">
      <c r="A13197" s="127" t="s">
        <v>231</v>
      </c>
      <c r="C13197" s="127" t="s">
        <v>232</v>
      </c>
      <c r="D13197" s="177" t="s">
        <v>66</v>
      </c>
      <c r="E13197" s="177" t="s">
        <v>15909</v>
      </c>
      <c r="F13197" s="177" t="s">
        <v>433</v>
      </c>
      <c r="G13197" s="177" t="s">
        <v>11592</v>
      </c>
      <c r="H13197" s="127" t="s">
        <v>210</v>
      </c>
    </row>
    <row r="13198" hidden="1">
      <c r="A13198" s="127" t="s">
        <v>231</v>
      </c>
      <c r="C13198" s="127" t="s">
        <v>232</v>
      </c>
      <c r="D13198" s="177" t="s">
        <v>66</v>
      </c>
      <c r="E13198" s="177" t="s">
        <v>15910</v>
      </c>
      <c r="F13198" s="177" t="s">
        <v>5564</v>
      </c>
      <c r="G13198" s="177" t="s">
        <v>9480</v>
      </c>
      <c r="H13198" s="127" t="s">
        <v>211</v>
      </c>
    </row>
    <row r="13199" hidden="1">
      <c r="A13199" s="127" t="s">
        <v>231</v>
      </c>
      <c r="C13199" s="127" t="s">
        <v>232</v>
      </c>
      <c r="D13199" s="177" t="s">
        <v>66</v>
      </c>
      <c r="E13199" s="177" t="s">
        <v>15911</v>
      </c>
      <c r="F13199" s="177" t="s">
        <v>262</v>
      </c>
      <c r="G13199" s="177" t="s">
        <v>725</v>
      </c>
      <c r="H13199" s="127" t="s">
        <v>212</v>
      </c>
    </row>
    <row r="13200" hidden="1">
      <c r="A13200" s="127" t="s">
        <v>231</v>
      </c>
      <c r="C13200" s="127" t="s">
        <v>232</v>
      </c>
      <c r="D13200" s="177" t="s">
        <v>66</v>
      </c>
      <c r="E13200" s="177" t="s">
        <v>15912</v>
      </c>
      <c r="F13200" s="177" t="s">
        <v>1181</v>
      </c>
      <c r="G13200" s="177" t="s">
        <v>453</v>
      </c>
      <c r="H13200" s="127" t="s">
        <v>213</v>
      </c>
    </row>
    <row r="13201" hidden="1">
      <c r="A13201" s="127" t="s">
        <v>231</v>
      </c>
      <c r="C13201" s="127" t="s">
        <v>232</v>
      </c>
      <c r="D13201" s="177" t="s">
        <v>66</v>
      </c>
      <c r="E13201" s="177" t="s">
        <v>15913</v>
      </c>
      <c r="F13201" s="177" t="s">
        <v>458</v>
      </c>
      <c r="G13201" s="177" t="s">
        <v>405</v>
      </c>
      <c r="H13201" s="127" t="s">
        <v>214</v>
      </c>
    </row>
    <row r="13202" hidden="1">
      <c r="A13202" s="127" t="s">
        <v>231</v>
      </c>
      <c r="C13202" s="127" t="s">
        <v>232</v>
      </c>
      <c r="D13202" s="177" t="s">
        <v>66</v>
      </c>
      <c r="E13202" s="177" t="s">
        <v>15914</v>
      </c>
      <c r="F13202" s="177" t="s">
        <v>265</v>
      </c>
      <c r="G13202" s="177" t="s">
        <v>2155</v>
      </c>
      <c r="H13202" s="127" t="s">
        <v>215</v>
      </c>
    </row>
    <row r="13203" hidden="1">
      <c r="A13203" s="127" t="s">
        <v>231</v>
      </c>
      <c r="C13203" s="127" t="s">
        <v>232</v>
      </c>
      <c r="D13203" s="177" t="s">
        <v>66</v>
      </c>
      <c r="E13203" s="177" t="s">
        <v>15915</v>
      </c>
      <c r="F13203" s="177" t="s">
        <v>1992</v>
      </c>
      <c r="G13203" s="177" t="s">
        <v>230</v>
      </c>
      <c r="H13203" s="127" t="s">
        <v>216</v>
      </c>
    </row>
    <row r="13204" hidden="1">
      <c r="A13204" s="127" t="s">
        <v>233</v>
      </c>
      <c r="C13204" s="127" t="s">
        <v>232</v>
      </c>
      <c r="D13204" s="177" t="s">
        <v>66</v>
      </c>
      <c r="E13204" s="177" t="s">
        <v>15916</v>
      </c>
      <c r="F13204" s="177" t="s">
        <v>365</v>
      </c>
      <c r="G13204" s="177" t="s">
        <v>2242</v>
      </c>
      <c r="H13204" s="127" t="s">
        <v>210</v>
      </c>
    </row>
    <row r="13205" hidden="1">
      <c r="A13205" s="127" t="s">
        <v>233</v>
      </c>
      <c r="C13205" s="127" t="s">
        <v>232</v>
      </c>
      <c r="D13205" s="177" t="s">
        <v>66</v>
      </c>
      <c r="E13205" s="177" t="s">
        <v>15917</v>
      </c>
      <c r="F13205" s="177" t="s">
        <v>323</v>
      </c>
      <c r="G13205" s="177" t="s">
        <v>2929</v>
      </c>
      <c r="H13205" s="127" t="s">
        <v>211</v>
      </c>
    </row>
    <row r="13206" hidden="1">
      <c r="A13206" s="127" t="s">
        <v>233</v>
      </c>
      <c r="C13206" s="127" t="s">
        <v>232</v>
      </c>
      <c r="D13206" s="177" t="s">
        <v>66</v>
      </c>
      <c r="E13206" s="177" t="s">
        <v>15918</v>
      </c>
      <c r="F13206" s="177" t="s">
        <v>257</v>
      </c>
      <c r="G13206" s="177" t="s">
        <v>2718</v>
      </c>
      <c r="H13206" s="127" t="s">
        <v>212</v>
      </c>
    </row>
    <row r="13207" hidden="1">
      <c r="A13207" s="127" t="s">
        <v>233</v>
      </c>
      <c r="C13207" s="127" t="s">
        <v>232</v>
      </c>
      <c r="D13207" s="177" t="s">
        <v>66</v>
      </c>
      <c r="E13207" s="177" t="s">
        <v>15919</v>
      </c>
      <c r="F13207" s="177" t="s">
        <v>365</v>
      </c>
      <c r="G13207" s="177" t="s">
        <v>2777</v>
      </c>
      <c r="H13207" s="127" t="s">
        <v>213</v>
      </c>
    </row>
    <row r="13208" hidden="1">
      <c r="A13208" s="127" t="s">
        <v>233</v>
      </c>
      <c r="C13208" s="127" t="s">
        <v>232</v>
      </c>
      <c r="D13208" s="177" t="s">
        <v>66</v>
      </c>
      <c r="E13208" s="177" t="s">
        <v>15920</v>
      </c>
      <c r="F13208" s="177" t="s">
        <v>285</v>
      </c>
      <c r="G13208" s="177" t="s">
        <v>2067</v>
      </c>
      <c r="H13208" s="127" t="s">
        <v>214</v>
      </c>
    </row>
    <row r="13209" hidden="1">
      <c r="A13209" s="127" t="s">
        <v>233</v>
      </c>
      <c r="C13209" s="127" t="s">
        <v>232</v>
      </c>
      <c r="D13209" s="177" t="s">
        <v>66</v>
      </c>
      <c r="E13209" s="177" t="s">
        <v>15921</v>
      </c>
      <c r="F13209" s="177" t="s">
        <v>242</v>
      </c>
      <c r="G13209" s="177" t="s">
        <v>2301</v>
      </c>
      <c r="H13209" s="127" t="s">
        <v>215</v>
      </c>
    </row>
    <row r="13210" hidden="1">
      <c r="A13210" s="127" t="s">
        <v>233</v>
      </c>
      <c r="C13210" s="127" t="s">
        <v>232</v>
      </c>
      <c r="D13210" s="177" t="s">
        <v>66</v>
      </c>
      <c r="E13210" s="177" t="s">
        <v>15922</v>
      </c>
      <c r="F13210" s="177" t="s">
        <v>365</v>
      </c>
      <c r="G13210" s="177" t="s">
        <v>3587</v>
      </c>
      <c r="H13210" s="127" t="s">
        <v>216</v>
      </c>
    </row>
    <row r="13211" hidden="1">
      <c r="A13211" s="127" t="s">
        <v>234</v>
      </c>
      <c r="C13211" s="127" t="s">
        <v>232</v>
      </c>
      <c r="D13211" s="177" t="s">
        <v>66</v>
      </c>
      <c r="E13211" s="177" t="s">
        <v>15923</v>
      </c>
      <c r="F13211" s="177" t="s">
        <v>314</v>
      </c>
      <c r="G13211" s="177" t="s">
        <v>2845</v>
      </c>
      <c r="H13211" s="127" t="s">
        <v>210</v>
      </c>
    </row>
    <row r="13212" hidden="1">
      <c r="A13212" s="127" t="s">
        <v>234</v>
      </c>
      <c r="C13212" s="127" t="s">
        <v>232</v>
      </c>
      <c r="D13212" s="177" t="s">
        <v>66</v>
      </c>
      <c r="E13212" s="177" t="s">
        <v>15924</v>
      </c>
      <c r="F13212" s="177" t="s">
        <v>290</v>
      </c>
      <c r="G13212" s="177" t="s">
        <v>3221</v>
      </c>
      <c r="H13212" s="127" t="s">
        <v>211</v>
      </c>
    </row>
    <row r="13213" hidden="1">
      <c r="A13213" s="127" t="s">
        <v>234</v>
      </c>
      <c r="C13213" s="127" t="s">
        <v>232</v>
      </c>
      <c r="D13213" s="177" t="s">
        <v>66</v>
      </c>
      <c r="E13213" s="177" t="s">
        <v>15925</v>
      </c>
      <c r="F13213" s="177" t="s">
        <v>331</v>
      </c>
      <c r="G13213" s="177" t="s">
        <v>3151</v>
      </c>
      <c r="H13213" s="127" t="s">
        <v>212</v>
      </c>
    </row>
    <row r="13214" hidden="1">
      <c r="A13214" s="127" t="s">
        <v>234</v>
      </c>
      <c r="C13214" s="127" t="s">
        <v>232</v>
      </c>
      <c r="D13214" s="177" t="s">
        <v>66</v>
      </c>
      <c r="E13214" s="177" t="s">
        <v>15926</v>
      </c>
      <c r="F13214" s="177" t="s">
        <v>310</v>
      </c>
      <c r="G13214" s="177" t="s">
        <v>2219</v>
      </c>
      <c r="H13214" s="127" t="s">
        <v>213</v>
      </c>
    </row>
    <row r="13215" hidden="1">
      <c r="A13215" s="127" t="s">
        <v>234</v>
      </c>
      <c r="C13215" s="127" t="s">
        <v>232</v>
      </c>
      <c r="D13215" s="177" t="s">
        <v>66</v>
      </c>
      <c r="E13215" s="177" t="s">
        <v>15927</v>
      </c>
      <c r="F13215" s="177" t="s">
        <v>308</v>
      </c>
      <c r="G13215" s="177" t="s">
        <v>3001</v>
      </c>
      <c r="H13215" s="127" t="s">
        <v>214</v>
      </c>
    </row>
    <row r="13216" hidden="1">
      <c r="A13216" s="127" t="s">
        <v>234</v>
      </c>
      <c r="C13216" s="127" t="s">
        <v>232</v>
      </c>
      <c r="D13216" s="177" t="s">
        <v>66</v>
      </c>
      <c r="E13216" s="177" t="s">
        <v>15928</v>
      </c>
      <c r="F13216" s="177" t="s">
        <v>310</v>
      </c>
      <c r="G13216" s="177" t="s">
        <v>2824</v>
      </c>
      <c r="H13216" s="127" t="s">
        <v>215</v>
      </c>
    </row>
    <row r="13217" hidden="1">
      <c r="A13217" s="127" t="s">
        <v>234</v>
      </c>
      <c r="C13217" s="127" t="s">
        <v>232</v>
      </c>
      <c r="D13217" s="177" t="s">
        <v>66</v>
      </c>
      <c r="E13217" s="177" t="s">
        <v>15929</v>
      </c>
      <c r="F13217" s="177" t="s">
        <v>308</v>
      </c>
      <c r="G13217" s="177" t="s">
        <v>2301</v>
      </c>
      <c r="H13217" s="127" t="s">
        <v>216</v>
      </c>
    </row>
    <row r="13218" hidden="1">
      <c r="A13218" s="127" t="s">
        <v>235</v>
      </c>
      <c r="C13218" s="127" t="s">
        <v>236</v>
      </c>
      <c r="D13218" s="177" t="s">
        <v>66</v>
      </c>
      <c r="E13218" s="177" t="s">
        <v>15930</v>
      </c>
      <c r="F13218" s="177" t="s">
        <v>244</v>
      </c>
      <c r="G13218" s="177" t="s">
        <v>2530</v>
      </c>
      <c r="H13218" s="127" t="s">
        <v>210</v>
      </c>
    </row>
    <row r="13219" hidden="1">
      <c r="A13219" s="127" t="s">
        <v>235</v>
      </c>
      <c r="C13219" s="127" t="s">
        <v>236</v>
      </c>
      <c r="D13219" s="177" t="s">
        <v>66</v>
      </c>
      <c r="E13219" s="177" t="s">
        <v>15931</v>
      </c>
      <c r="F13219" s="177" t="s">
        <v>257</v>
      </c>
      <c r="G13219" s="177" t="s">
        <v>1729</v>
      </c>
      <c r="H13219" s="127" t="s">
        <v>211</v>
      </c>
    </row>
    <row r="13220" hidden="1">
      <c r="A13220" s="127" t="s">
        <v>235</v>
      </c>
      <c r="C13220" s="127" t="s">
        <v>236</v>
      </c>
      <c r="D13220" s="177" t="s">
        <v>66</v>
      </c>
      <c r="E13220" s="177" t="s">
        <v>15932</v>
      </c>
      <c r="F13220" s="177" t="s">
        <v>240</v>
      </c>
      <c r="G13220" s="177" t="s">
        <v>2730</v>
      </c>
      <c r="H13220" s="127" t="s">
        <v>212</v>
      </c>
    </row>
    <row r="13221" hidden="1">
      <c r="A13221" s="127" t="s">
        <v>235</v>
      </c>
      <c r="C13221" s="127" t="s">
        <v>236</v>
      </c>
      <c r="D13221" s="177" t="s">
        <v>66</v>
      </c>
      <c r="E13221" s="177" t="s">
        <v>15933</v>
      </c>
      <c r="F13221" s="177" t="s">
        <v>287</v>
      </c>
      <c r="G13221" s="177" t="s">
        <v>2034</v>
      </c>
      <c r="H13221" s="127" t="s">
        <v>213</v>
      </c>
    </row>
    <row r="13222" hidden="1">
      <c r="A13222" s="127" t="s">
        <v>235</v>
      </c>
      <c r="C13222" s="127" t="s">
        <v>236</v>
      </c>
      <c r="D13222" s="177" t="s">
        <v>66</v>
      </c>
      <c r="E13222" s="177" t="s">
        <v>15934</v>
      </c>
      <c r="F13222" s="177" t="s">
        <v>357</v>
      </c>
      <c r="G13222" s="177" t="s">
        <v>2023</v>
      </c>
      <c r="H13222" s="127" t="s">
        <v>214</v>
      </c>
    </row>
    <row r="13223" hidden="1">
      <c r="A13223" s="127" t="s">
        <v>235</v>
      </c>
      <c r="C13223" s="127" t="s">
        <v>236</v>
      </c>
      <c r="D13223" s="177" t="s">
        <v>66</v>
      </c>
      <c r="E13223" s="177" t="s">
        <v>15935</v>
      </c>
      <c r="F13223" s="177" t="s">
        <v>244</v>
      </c>
      <c r="G13223" s="177" t="s">
        <v>1976</v>
      </c>
      <c r="H13223" s="127" t="s">
        <v>215</v>
      </c>
    </row>
    <row r="13224" hidden="1">
      <c r="A13224" s="127" t="s">
        <v>235</v>
      </c>
      <c r="C13224" s="127" t="s">
        <v>236</v>
      </c>
      <c r="D13224" s="177" t="s">
        <v>66</v>
      </c>
      <c r="E13224" s="177" t="s">
        <v>15936</v>
      </c>
      <c r="F13224" s="177" t="s">
        <v>246</v>
      </c>
      <c r="G13224" s="177" t="s">
        <v>2901</v>
      </c>
      <c r="H13224" s="127" t="s">
        <v>216</v>
      </c>
    </row>
    <row r="13225" hidden="1">
      <c r="A13225" s="127" t="s">
        <v>237</v>
      </c>
      <c r="C13225" s="127" t="s">
        <v>236</v>
      </c>
      <c r="D13225" s="177" t="s">
        <v>66</v>
      </c>
      <c r="E13225" s="177" t="s">
        <v>15937</v>
      </c>
      <c r="F13225" s="177" t="s">
        <v>323</v>
      </c>
      <c r="G13225" s="177" t="s">
        <v>2665</v>
      </c>
      <c r="H13225" s="127" t="s">
        <v>210</v>
      </c>
    </row>
    <row r="13226" hidden="1">
      <c r="A13226" s="127" t="s">
        <v>237</v>
      </c>
      <c r="C13226" s="127" t="s">
        <v>236</v>
      </c>
      <c r="D13226" s="177" t="s">
        <v>66</v>
      </c>
      <c r="E13226" s="177" t="s">
        <v>15938</v>
      </c>
      <c r="F13226" s="177" t="s">
        <v>308</v>
      </c>
      <c r="G13226" s="177" t="s">
        <v>3915</v>
      </c>
      <c r="H13226" s="127" t="s">
        <v>211</v>
      </c>
    </row>
    <row r="13227" hidden="1">
      <c r="A13227" s="127" t="s">
        <v>237</v>
      </c>
      <c r="C13227" s="127" t="s">
        <v>236</v>
      </c>
      <c r="D13227" s="177" t="s">
        <v>66</v>
      </c>
      <c r="E13227" s="177" t="s">
        <v>15939</v>
      </c>
      <c r="F13227" s="177" t="s">
        <v>331</v>
      </c>
      <c r="G13227" s="177" t="s">
        <v>3154</v>
      </c>
      <c r="H13227" s="127" t="s">
        <v>212</v>
      </c>
    </row>
    <row r="13228" hidden="1">
      <c r="A13228" s="127" t="s">
        <v>237</v>
      </c>
      <c r="C13228" s="127" t="s">
        <v>236</v>
      </c>
      <c r="D13228" s="177" t="s">
        <v>66</v>
      </c>
      <c r="E13228" s="177" t="s">
        <v>15940</v>
      </c>
      <c r="F13228" s="177" t="s">
        <v>427</v>
      </c>
      <c r="G13228" s="177" t="s">
        <v>4386</v>
      </c>
      <c r="H13228" s="127" t="s">
        <v>213</v>
      </c>
    </row>
    <row r="13229" hidden="1">
      <c r="A13229" s="127" t="s">
        <v>237</v>
      </c>
      <c r="C13229" s="127" t="s">
        <v>236</v>
      </c>
      <c r="D13229" s="177" t="s">
        <v>66</v>
      </c>
      <c r="E13229" s="177" t="s">
        <v>15941</v>
      </c>
      <c r="F13229" s="177" t="s">
        <v>308</v>
      </c>
      <c r="G13229" s="177" t="s">
        <v>3262</v>
      </c>
      <c r="H13229" s="127" t="s">
        <v>214</v>
      </c>
    </row>
    <row r="13230" hidden="1">
      <c r="A13230" s="127" t="s">
        <v>237</v>
      </c>
      <c r="C13230" s="127" t="s">
        <v>236</v>
      </c>
      <c r="D13230" s="177" t="s">
        <v>66</v>
      </c>
      <c r="E13230" s="177" t="s">
        <v>15942</v>
      </c>
      <c r="F13230" s="177" t="s">
        <v>308</v>
      </c>
      <c r="G13230" s="177" t="s">
        <v>3699</v>
      </c>
      <c r="H13230" s="127" t="s">
        <v>215</v>
      </c>
    </row>
    <row r="13231" hidden="1">
      <c r="A13231" s="127" t="s">
        <v>237</v>
      </c>
      <c r="C13231" s="127" t="s">
        <v>236</v>
      </c>
      <c r="D13231" s="177" t="s">
        <v>66</v>
      </c>
      <c r="E13231" s="177" t="s">
        <v>15943</v>
      </c>
      <c r="F13231" s="177" t="s">
        <v>321</v>
      </c>
      <c r="G13231" s="177" t="s">
        <v>3734</v>
      </c>
      <c r="H13231" s="127" t="s">
        <v>216</v>
      </c>
    </row>
    <row r="13232" hidden="1">
      <c r="A13232" s="177" t="s">
        <v>204</v>
      </c>
      <c r="B13232" s="127" t="s">
        <v>205</v>
      </c>
      <c r="C13232" s="127" t="s">
        <v>206</v>
      </c>
      <c r="D13232" s="177" t="s">
        <v>67</v>
      </c>
      <c r="E13232" s="177" t="s">
        <v>15944</v>
      </c>
      <c r="F13232" s="177" t="s">
        <v>323</v>
      </c>
      <c r="G13232" s="177" t="s">
        <v>2925</v>
      </c>
      <c r="H13232" s="127" t="s">
        <v>210</v>
      </c>
    </row>
    <row r="13233" hidden="1">
      <c r="A13233" s="177" t="s">
        <v>204</v>
      </c>
      <c r="B13233" s="127" t="s">
        <v>205</v>
      </c>
      <c r="C13233" s="127" t="s">
        <v>206</v>
      </c>
      <c r="D13233" s="177" t="s">
        <v>67</v>
      </c>
      <c r="E13233" s="177" t="s">
        <v>15945</v>
      </c>
      <c r="F13233" s="177" t="s">
        <v>365</v>
      </c>
      <c r="G13233" s="177" t="s">
        <v>2299</v>
      </c>
      <c r="H13233" s="127" t="s">
        <v>211</v>
      </c>
    </row>
    <row r="13234" hidden="1">
      <c r="A13234" s="177" t="s">
        <v>204</v>
      </c>
      <c r="B13234" s="127" t="s">
        <v>205</v>
      </c>
      <c r="C13234" s="127" t="s">
        <v>206</v>
      </c>
      <c r="D13234" s="177" t="s">
        <v>67</v>
      </c>
      <c r="E13234" s="177" t="s">
        <v>15946</v>
      </c>
      <c r="F13234" s="177" t="s">
        <v>242</v>
      </c>
      <c r="G13234" s="177" t="s">
        <v>2705</v>
      </c>
      <c r="H13234" s="127" t="s">
        <v>212</v>
      </c>
    </row>
    <row r="13235" hidden="1">
      <c r="A13235" s="177" t="s">
        <v>204</v>
      </c>
      <c r="B13235" s="127" t="s">
        <v>205</v>
      </c>
      <c r="C13235" s="127" t="s">
        <v>206</v>
      </c>
      <c r="D13235" s="177" t="s">
        <v>67</v>
      </c>
      <c r="E13235" s="177" t="s">
        <v>15947</v>
      </c>
      <c r="F13235" s="177" t="s">
        <v>285</v>
      </c>
      <c r="G13235" s="177" t="s">
        <v>2039</v>
      </c>
      <c r="H13235" s="127" t="s">
        <v>213</v>
      </c>
    </row>
    <row r="13236" hidden="1">
      <c r="A13236" s="177" t="s">
        <v>204</v>
      </c>
      <c r="B13236" s="127" t="s">
        <v>205</v>
      </c>
      <c r="C13236" s="127" t="s">
        <v>206</v>
      </c>
      <c r="D13236" s="177" t="s">
        <v>67</v>
      </c>
      <c r="E13236" s="177" t="s">
        <v>15948</v>
      </c>
      <c r="F13236" s="177" t="s">
        <v>285</v>
      </c>
      <c r="G13236" s="177" t="s">
        <v>2703</v>
      </c>
      <c r="H13236" s="127" t="s">
        <v>214</v>
      </c>
    </row>
    <row r="13237" hidden="1">
      <c r="A13237" s="177" t="s">
        <v>204</v>
      </c>
      <c r="B13237" s="127" t="s">
        <v>205</v>
      </c>
      <c r="C13237" s="127" t="s">
        <v>206</v>
      </c>
      <c r="D13237" s="177" t="s">
        <v>67</v>
      </c>
      <c r="E13237" s="177" t="s">
        <v>15949</v>
      </c>
      <c r="F13237" s="177" t="s">
        <v>314</v>
      </c>
      <c r="G13237" s="177" t="s">
        <v>3284</v>
      </c>
      <c r="H13237" s="127" t="s">
        <v>215</v>
      </c>
    </row>
    <row r="13238" hidden="1">
      <c r="A13238" s="177" t="s">
        <v>204</v>
      </c>
      <c r="B13238" s="127" t="s">
        <v>205</v>
      </c>
      <c r="C13238" s="127" t="s">
        <v>206</v>
      </c>
      <c r="D13238" s="177" t="s">
        <v>67</v>
      </c>
      <c r="E13238" s="177" t="s">
        <v>15950</v>
      </c>
      <c r="F13238" s="177" t="s">
        <v>323</v>
      </c>
      <c r="G13238" s="177" t="s">
        <v>2413</v>
      </c>
      <c r="H13238" s="127" t="s">
        <v>216</v>
      </c>
    </row>
    <row r="13239" hidden="1">
      <c r="A13239" s="177" t="s">
        <v>217</v>
      </c>
      <c r="B13239" s="127" t="s">
        <v>191</v>
      </c>
      <c r="C13239" s="127" t="s">
        <v>206</v>
      </c>
      <c r="D13239" s="177" t="s">
        <v>67</v>
      </c>
      <c r="E13239" s="177" t="s">
        <v>15951</v>
      </c>
      <c r="F13239" s="177" t="s">
        <v>365</v>
      </c>
      <c r="G13239" s="177" t="s">
        <v>2567</v>
      </c>
      <c r="H13239" s="127" t="s">
        <v>210</v>
      </c>
    </row>
    <row r="13240" hidden="1">
      <c r="A13240" s="177" t="s">
        <v>217</v>
      </c>
      <c r="B13240" s="127" t="s">
        <v>191</v>
      </c>
      <c r="C13240" s="127" t="s">
        <v>206</v>
      </c>
      <c r="D13240" s="177" t="s">
        <v>67</v>
      </c>
      <c r="E13240" s="177" t="s">
        <v>15952</v>
      </c>
      <c r="F13240" s="177" t="s">
        <v>244</v>
      </c>
      <c r="G13240" s="177" t="s">
        <v>2688</v>
      </c>
      <c r="H13240" s="127" t="s">
        <v>211</v>
      </c>
    </row>
    <row r="13241" hidden="1">
      <c r="A13241" s="177" t="s">
        <v>217</v>
      </c>
      <c r="B13241" s="127" t="s">
        <v>191</v>
      </c>
      <c r="C13241" s="127" t="s">
        <v>206</v>
      </c>
      <c r="D13241" s="177" t="s">
        <v>67</v>
      </c>
      <c r="E13241" s="177" t="s">
        <v>15953</v>
      </c>
      <c r="F13241" s="177" t="s">
        <v>357</v>
      </c>
      <c r="G13241" s="177" t="s">
        <v>1849</v>
      </c>
      <c r="H13241" s="127" t="s">
        <v>212</v>
      </c>
    </row>
    <row r="13242" hidden="1">
      <c r="A13242" s="177" t="s">
        <v>217</v>
      </c>
      <c r="B13242" s="127" t="s">
        <v>191</v>
      </c>
      <c r="C13242" s="127" t="s">
        <v>206</v>
      </c>
      <c r="D13242" s="177" t="s">
        <v>67</v>
      </c>
      <c r="E13242" s="177" t="s">
        <v>15954</v>
      </c>
      <c r="F13242" s="177" t="s">
        <v>244</v>
      </c>
      <c r="G13242" s="177" t="s">
        <v>2364</v>
      </c>
      <c r="H13242" s="127" t="s">
        <v>213</v>
      </c>
    </row>
    <row r="13243" hidden="1">
      <c r="A13243" s="177" t="s">
        <v>217</v>
      </c>
      <c r="B13243" s="127" t="s">
        <v>191</v>
      </c>
      <c r="C13243" s="127" t="s">
        <v>206</v>
      </c>
      <c r="D13243" s="177" t="s">
        <v>67</v>
      </c>
      <c r="E13243" s="177" t="s">
        <v>15955</v>
      </c>
      <c r="F13243" s="177" t="s">
        <v>357</v>
      </c>
      <c r="G13243" s="177" t="s">
        <v>1974</v>
      </c>
      <c r="H13243" s="127" t="s">
        <v>214</v>
      </c>
    </row>
    <row r="13244" hidden="1">
      <c r="A13244" s="177" t="s">
        <v>217</v>
      </c>
      <c r="B13244" s="127" t="s">
        <v>191</v>
      </c>
      <c r="C13244" s="127" t="s">
        <v>206</v>
      </c>
      <c r="D13244" s="177" t="s">
        <v>67</v>
      </c>
      <c r="E13244" s="177" t="s">
        <v>15956</v>
      </c>
      <c r="F13244" s="177" t="s">
        <v>357</v>
      </c>
      <c r="G13244" s="177" t="s">
        <v>1818</v>
      </c>
      <c r="H13244" s="127" t="s">
        <v>215</v>
      </c>
    </row>
    <row r="13245" hidden="1">
      <c r="A13245" s="177" t="s">
        <v>217</v>
      </c>
      <c r="B13245" s="127" t="s">
        <v>191</v>
      </c>
      <c r="C13245" s="127" t="s">
        <v>206</v>
      </c>
      <c r="D13245" s="177" t="s">
        <v>67</v>
      </c>
      <c r="E13245" s="177" t="s">
        <v>15957</v>
      </c>
      <c r="F13245" s="177" t="s">
        <v>357</v>
      </c>
      <c r="G13245" s="177" t="s">
        <v>2203</v>
      </c>
      <c r="H13245" s="127" t="s">
        <v>216</v>
      </c>
    </row>
    <row r="13246" hidden="1">
      <c r="A13246" s="177" t="s">
        <v>218</v>
      </c>
      <c r="B13246" s="127" t="s">
        <v>219</v>
      </c>
      <c r="C13246" s="127" t="s">
        <v>206</v>
      </c>
      <c r="D13246" s="177" t="s">
        <v>67</v>
      </c>
      <c r="E13246" s="177" t="s">
        <v>15958</v>
      </c>
      <c r="F13246" s="177" t="s">
        <v>357</v>
      </c>
      <c r="G13246" s="177" t="s">
        <v>2880</v>
      </c>
      <c r="H13246" s="127" t="s">
        <v>210</v>
      </c>
    </row>
    <row r="13247" hidden="1">
      <c r="A13247" s="177" t="s">
        <v>218</v>
      </c>
      <c r="B13247" s="127" t="s">
        <v>219</v>
      </c>
      <c r="C13247" s="127" t="s">
        <v>206</v>
      </c>
      <c r="D13247" s="177" t="s">
        <v>67</v>
      </c>
      <c r="E13247" s="177" t="s">
        <v>15959</v>
      </c>
      <c r="F13247" s="177" t="s">
        <v>240</v>
      </c>
      <c r="G13247" s="177" t="s">
        <v>2376</v>
      </c>
      <c r="H13247" s="127" t="s">
        <v>211</v>
      </c>
    </row>
    <row r="13248" hidden="1">
      <c r="A13248" s="177" t="s">
        <v>218</v>
      </c>
      <c r="B13248" s="127" t="s">
        <v>219</v>
      </c>
      <c r="C13248" s="127" t="s">
        <v>206</v>
      </c>
      <c r="D13248" s="177" t="s">
        <v>67</v>
      </c>
      <c r="E13248" s="177" t="s">
        <v>15960</v>
      </c>
      <c r="F13248" s="177" t="s">
        <v>269</v>
      </c>
      <c r="G13248" s="177" t="s">
        <v>2637</v>
      </c>
      <c r="H13248" s="127" t="s">
        <v>212</v>
      </c>
    </row>
    <row r="13249" hidden="1">
      <c r="A13249" s="177" t="s">
        <v>218</v>
      </c>
      <c r="B13249" s="127" t="s">
        <v>219</v>
      </c>
      <c r="C13249" s="127" t="s">
        <v>206</v>
      </c>
      <c r="D13249" s="177" t="s">
        <v>67</v>
      </c>
      <c r="E13249" s="177" t="s">
        <v>15961</v>
      </c>
      <c r="F13249" s="177" t="s">
        <v>287</v>
      </c>
      <c r="G13249" s="177" t="s">
        <v>2901</v>
      </c>
      <c r="H13249" s="127" t="s">
        <v>213</v>
      </c>
    </row>
    <row r="13250" hidden="1">
      <c r="A13250" s="177" t="s">
        <v>218</v>
      </c>
      <c r="B13250" s="127" t="s">
        <v>219</v>
      </c>
      <c r="C13250" s="127" t="s">
        <v>206</v>
      </c>
      <c r="D13250" s="177" t="s">
        <v>67</v>
      </c>
      <c r="E13250" s="177" t="s">
        <v>15962</v>
      </c>
      <c r="F13250" s="177" t="s">
        <v>269</v>
      </c>
      <c r="G13250" s="177" t="s">
        <v>1818</v>
      </c>
      <c r="H13250" s="127" t="s">
        <v>214</v>
      </c>
    </row>
    <row r="13251" hidden="1">
      <c r="A13251" s="177" t="s">
        <v>218</v>
      </c>
      <c r="B13251" s="127" t="s">
        <v>219</v>
      </c>
      <c r="C13251" s="127" t="s">
        <v>206</v>
      </c>
      <c r="D13251" s="177" t="s">
        <v>67</v>
      </c>
      <c r="E13251" s="177" t="s">
        <v>15963</v>
      </c>
      <c r="F13251" s="177" t="s">
        <v>242</v>
      </c>
      <c r="G13251" s="177" t="s">
        <v>1868</v>
      </c>
      <c r="H13251" s="127" t="s">
        <v>215</v>
      </c>
    </row>
    <row r="13252" hidden="1">
      <c r="A13252" s="177" t="s">
        <v>218</v>
      </c>
      <c r="B13252" s="127" t="s">
        <v>219</v>
      </c>
      <c r="C13252" s="127" t="s">
        <v>206</v>
      </c>
      <c r="D13252" s="177" t="s">
        <v>67</v>
      </c>
      <c r="E13252" s="177" t="s">
        <v>15964</v>
      </c>
      <c r="F13252" s="177" t="s">
        <v>246</v>
      </c>
      <c r="G13252" s="177" t="s">
        <v>2539</v>
      </c>
      <c r="H13252" s="127" t="s">
        <v>216</v>
      </c>
    </row>
    <row r="13253" hidden="1">
      <c r="A13253" s="177" t="s">
        <v>220</v>
      </c>
      <c r="B13253" s="127" t="s">
        <v>190</v>
      </c>
      <c r="C13253" s="127" t="s">
        <v>206</v>
      </c>
      <c r="D13253" s="177" t="s">
        <v>67</v>
      </c>
      <c r="E13253" s="177" t="s">
        <v>15965</v>
      </c>
      <c r="F13253" s="177" t="s">
        <v>249</v>
      </c>
      <c r="G13253" s="177" t="s">
        <v>2087</v>
      </c>
      <c r="H13253" s="127" t="s">
        <v>210</v>
      </c>
    </row>
    <row r="13254" hidden="1">
      <c r="A13254" s="177" t="s">
        <v>220</v>
      </c>
      <c r="B13254" s="127" t="s">
        <v>190</v>
      </c>
      <c r="C13254" s="127" t="s">
        <v>206</v>
      </c>
      <c r="D13254" s="177" t="s">
        <v>67</v>
      </c>
      <c r="E13254" s="177" t="s">
        <v>15966</v>
      </c>
      <c r="F13254" s="177" t="s">
        <v>287</v>
      </c>
      <c r="G13254" s="177" t="s">
        <v>1873</v>
      </c>
      <c r="H13254" s="127" t="s">
        <v>211</v>
      </c>
    </row>
    <row r="13255" hidden="1">
      <c r="A13255" s="177" t="s">
        <v>220</v>
      </c>
      <c r="B13255" s="127" t="s">
        <v>190</v>
      </c>
      <c r="C13255" s="127" t="s">
        <v>206</v>
      </c>
      <c r="D13255" s="177" t="s">
        <v>67</v>
      </c>
      <c r="E13255" s="177" t="s">
        <v>15967</v>
      </c>
      <c r="F13255" s="177" t="s">
        <v>321</v>
      </c>
      <c r="G13255" s="177" t="s">
        <v>1757</v>
      </c>
      <c r="H13255" s="127" t="s">
        <v>212</v>
      </c>
    </row>
    <row r="13256" hidden="1">
      <c r="A13256" s="177" t="s">
        <v>220</v>
      </c>
      <c r="B13256" s="127" t="s">
        <v>190</v>
      </c>
      <c r="C13256" s="127" t="s">
        <v>206</v>
      </c>
      <c r="D13256" s="177" t="s">
        <v>67</v>
      </c>
      <c r="E13256" s="177" t="s">
        <v>15968</v>
      </c>
      <c r="F13256" s="177" t="s">
        <v>285</v>
      </c>
      <c r="G13256" s="177" t="s">
        <v>1854</v>
      </c>
      <c r="H13256" s="127" t="s">
        <v>213</v>
      </c>
    </row>
    <row r="13257" hidden="1">
      <c r="A13257" s="177" t="s">
        <v>220</v>
      </c>
      <c r="B13257" s="127" t="s">
        <v>190</v>
      </c>
      <c r="C13257" s="127" t="s">
        <v>206</v>
      </c>
      <c r="D13257" s="177" t="s">
        <v>67</v>
      </c>
      <c r="E13257" s="177" t="s">
        <v>15969</v>
      </c>
      <c r="F13257" s="177" t="s">
        <v>314</v>
      </c>
      <c r="G13257" s="177" t="s">
        <v>1889</v>
      </c>
      <c r="H13257" s="127" t="s">
        <v>214</v>
      </c>
    </row>
    <row r="13258" hidden="1">
      <c r="A13258" s="177" t="s">
        <v>220</v>
      </c>
      <c r="B13258" s="127" t="s">
        <v>190</v>
      </c>
      <c r="C13258" s="127" t="s">
        <v>206</v>
      </c>
      <c r="D13258" s="177" t="s">
        <v>67</v>
      </c>
      <c r="E13258" s="177" t="s">
        <v>15970</v>
      </c>
      <c r="F13258" s="177" t="s">
        <v>259</v>
      </c>
      <c r="G13258" s="177" t="s">
        <v>2686</v>
      </c>
      <c r="H13258" s="127" t="s">
        <v>215</v>
      </c>
    </row>
    <row r="13259" hidden="1">
      <c r="A13259" s="177" t="s">
        <v>220</v>
      </c>
      <c r="B13259" s="127" t="s">
        <v>190</v>
      </c>
      <c r="C13259" s="127" t="s">
        <v>206</v>
      </c>
      <c r="D13259" s="177" t="s">
        <v>67</v>
      </c>
      <c r="E13259" s="177" t="s">
        <v>15971</v>
      </c>
      <c r="F13259" s="177" t="s">
        <v>323</v>
      </c>
      <c r="G13259" s="177" t="s">
        <v>1883</v>
      </c>
      <c r="H13259" s="127" t="s">
        <v>216</v>
      </c>
    </row>
    <row r="13260" hidden="1">
      <c r="A13260" s="177" t="s">
        <v>221</v>
      </c>
      <c r="B13260" s="127" t="s">
        <v>189</v>
      </c>
      <c r="C13260" s="127" t="s">
        <v>206</v>
      </c>
      <c r="D13260" s="177" t="s">
        <v>67</v>
      </c>
      <c r="E13260" s="177" t="s">
        <v>15972</v>
      </c>
      <c r="F13260" s="177" t="s">
        <v>331</v>
      </c>
      <c r="G13260" s="177" t="s">
        <v>2995</v>
      </c>
      <c r="H13260" s="127" t="s">
        <v>210</v>
      </c>
    </row>
    <row r="13261" hidden="1">
      <c r="A13261" s="177" t="s">
        <v>221</v>
      </c>
      <c r="B13261" s="127" t="s">
        <v>189</v>
      </c>
      <c r="C13261" s="127" t="s">
        <v>206</v>
      </c>
      <c r="D13261" s="177" t="s">
        <v>67</v>
      </c>
      <c r="E13261" s="177" t="s">
        <v>15973</v>
      </c>
      <c r="F13261" s="177" t="s">
        <v>450</v>
      </c>
      <c r="G13261" s="177" t="s">
        <v>3294</v>
      </c>
      <c r="H13261" s="127" t="s">
        <v>211</v>
      </c>
    </row>
    <row r="13262" hidden="1">
      <c r="A13262" s="177" t="s">
        <v>221</v>
      </c>
      <c r="B13262" s="127" t="s">
        <v>189</v>
      </c>
      <c r="C13262" s="127" t="s">
        <v>206</v>
      </c>
      <c r="D13262" s="177" t="s">
        <v>67</v>
      </c>
      <c r="E13262" s="177" t="s">
        <v>15974</v>
      </c>
      <c r="F13262" s="177" t="s">
        <v>308</v>
      </c>
      <c r="G13262" s="177" t="s">
        <v>2992</v>
      </c>
      <c r="H13262" s="127" t="s">
        <v>212</v>
      </c>
    </row>
    <row r="13263" hidden="1">
      <c r="A13263" s="177" t="s">
        <v>221</v>
      </c>
      <c r="B13263" s="127" t="s">
        <v>189</v>
      </c>
      <c r="C13263" s="127" t="s">
        <v>206</v>
      </c>
      <c r="D13263" s="177" t="s">
        <v>67</v>
      </c>
      <c r="E13263" s="177" t="s">
        <v>15975</v>
      </c>
      <c r="F13263" s="177" t="s">
        <v>365</v>
      </c>
      <c r="G13263" s="177" t="s">
        <v>1927</v>
      </c>
      <c r="H13263" s="127" t="s">
        <v>213</v>
      </c>
    </row>
    <row r="13264" hidden="1">
      <c r="A13264" s="177" t="s">
        <v>221</v>
      </c>
      <c r="B13264" s="127" t="s">
        <v>189</v>
      </c>
      <c r="C13264" s="127" t="s">
        <v>206</v>
      </c>
      <c r="D13264" s="177" t="s">
        <v>67</v>
      </c>
      <c r="E13264" s="177" t="s">
        <v>15976</v>
      </c>
      <c r="F13264" s="177" t="s">
        <v>325</v>
      </c>
      <c r="G13264" s="177" t="s">
        <v>2814</v>
      </c>
      <c r="H13264" s="127" t="s">
        <v>214</v>
      </c>
    </row>
    <row r="13265" hidden="1">
      <c r="A13265" s="177" t="s">
        <v>221</v>
      </c>
      <c r="B13265" s="127" t="s">
        <v>189</v>
      </c>
      <c r="C13265" s="127" t="s">
        <v>206</v>
      </c>
      <c r="D13265" s="177" t="s">
        <v>67</v>
      </c>
      <c r="E13265" s="177" t="s">
        <v>15977</v>
      </c>
      <c r="F13265" s="177" t="s">
        <v>450</v>
      </c>
      <c r="G13265" s="177" t="s">
        <v>7600</v>
      </c>
      <c r="H13265" s="127" t="s">
        <v>215</v>
      </c>
    </row>
    <row r="13266" hidden="1">
      <c r="A13266" s="177" t="s">
        <v>221</v>
      </c>
      <c r="B13266" s="127" t="s">
        <v>189</v>
      </c>
      <c r="C13266" s="127" t="s">
        <v>206</v>
      </c>
      <c r="D13266" s="177" t="s">
        <v>67</v>
      </c>
      <c r="E13266" s="177" t="s">
        <v>15978</v>
      </c>
      <c r="F13266" s="177" t="s">
        <v>310</v>
      </c>
      <c r="G13266" s="177" t="s">
        <v>2354</v>
      </c>
      <c r="H13266" s="127" t="s">
        <v>216</v>
      </c>
    </row>
    <row r="13267" hidden="1">
      <c r="A13267" s="177" t="s">
        <v>222</v>
      </c>
      <c r="B13267" s="127" t="s">
        <v>192</v>
      </c>
      <c r="C13267" s="127" t="s">
        <v>206</v>
      </c>
      <c r="D13267" s="177" t="s">
        <v>67</v>
      </c>
      <c r="E13267" s="177" t="s">
        <v>15979</v>
      </c>
      <c r="F13267" s="177" t="s">
        <v>249</v>
      </c>
      <c r="G13267" s="177" t="s">
        <v>1873</v>
      </c>
      <c r="H13267" s="127" t="s">
        <v>210</v>
      </c>
    </row>
    <row r="13268" hidden="1">
      <c r="A13268" s="177" t="s">
        <v>222</v>
      </c>
      <c r="B13268" s="127" t="s">
        <v>192</v>
      </c>
      <c r="C13268" s="127" t="s">
        <v>206</v>
      </c>
      <c r="D13268" s="177" t="s">
        <v>67</v>
      </c>
      <c r="E13268" s="177" t="s">
        <v>15980</v>
      </c>
      <c r="F13268" s="177" t="s">
        <v>365</v>
      </c>
      <c r="G13268" s="177" t="s">
        <v>1911</v>
      </c>
      <c r="H13268" s="127" t="s">
        <v>211</v>
      </c>
    </row>
    <row r="13269" hidden="1">
      <c r="A13269" s="177" t="s">
        <v>222</v>
      </c>
      <c r="B13269" s="127" t="s">
        <v>192</v>
      </c>
      <c r="C13269" s="127" t="s">
        <v>206</v>
      </c>
      <c r="D13269" s="177" t="s">
        <v>67</v>
      </c>
      <c r="E13269" s="177" t="s">
        <v>15981</v>
      </c>
      <c r="F13269" s="177" t="s">
        <v>374</v>
      </c>
      <c r="G13269" s="177" t="s">
        <v>10676</v>
      </c>
      <c r="H13269" s="127" t="s">
        <v>212</v>
      </c>
    </row>
    <row r="13270" hidden="1">
      <c r="A13270" s="177" t="s">
        <v>222</v>
      </c>
      <c r="B13270" s="127" t="s">
        <v>192</v>
      </c>
      <c r="C13270" s="127" t="s">
        <v>206</v>
      </c>
      <c r="D13270" s="177" t="s">
        <v>67</v>
      </c>
      <c r="E13270" s="177" t="s">
        <v>15982</v>
      </c>
      <c r="F13270" s="177" t="s">
        <v>359</v>
      </c>
      <c r="G13270" s="177" t="s">
        <v>2126</v>
      </c>
      <c r="H13270" s="127" t="s">
        <v>213</v>
      </c>
    </row>
    <row r="13271" hidden="1">
      <c r="A13271" s="177" t="s">
        <v>222</v>
      </c>
      <c r="B13271" s="127" t="s">
        <v>192</v>
      </c>
      <c r="C13271" s="127" t="s">
        <v>206</v>
      </c>
      <c r="D13271" s="177" t="s">
        <v>67</v>
      </c>
      <c r="E13271" s="177" t="s">
        <v>15983</v>
      </c>
      <c r="F13271" s="177" t="s">
        <v>365</v>
      </c>
      <c r="G13271" s="177" t="s">
        <v>1901</v>
      </c>
      <c r="H13271" s="127" t="s">
        <v>214</v>
      </c>
    </row>
    <row r="13272" hidden="1">
      <c r="A13272" s="177" t="s">
        <v>222</v>
      </c>
      <c r="B13272" s="127" t="s">
        <v>192</v>
      </c>
      <c r="C13272" s="127" t="s">
        <v>206</v>
      </c>
      <c r="D13272" s="177" t="s">
        <v>67</v>
      </c>
      <c r="E13272" s="177" t="s">
        <v>15984</v>
      </c>
      <c r="F13272" s="177" t="s">
        <v>242</v>
      </c>
      <c r="G13272" s="177" t="s">
        <v>1741</v>
      </c>
      <c r="H13272" s="127" t="s">
        <v>215</v>
      </c>
    </row>
    <row r="13273" hidden="1">
      <c r="A13273" s="177" t="s">
        <v>222</v>
      </c>
      <c r="B13273" s="127" t="s">
        <v>192</v>
      </c>
      <c r="C13273" s="127" t="s">
        <v>206</v>
      </c>
      <c r="D13273" s="177" t="s">
        <v>67</v>
      </c>
      <c r="E13273" s="177" t="s">
        <v>15985</v>
      </c>
      <c r="F13273" s="177" t="s">
        <v>285</v>
      </c>
      <c r="G13273" s="177" t="s">
        <v>1889</v>
      </c>
      <c r="H13273" s="127" t="s">
        <v>216</v>
      </c>
    </row>
    <row r="13274" hidden="1">
      <c r="A13274" s="177" t="s">
        <v>223</v>
      </c>
      <c r="B13274" s="127" t="s">
        <v>144</v>
      </c>
      <c r="C13274" s="127" t="s">
        <v>206</v>
      </c>
      <c r="D13274" s="177" t="s">
        <v>67</v>
      </c>
      <c r="E13274" s="177" t="s">
        <v>15986</v>
      </c>
      <c r="F13274" s="177" t="s">
        <v>365</v>
      </c>
      <c r="G13274" s="177" t="s">
        <v>1942</v>
      </c>
      <c r="H13274" s="127" t="s">
        <v>210</v>
      </c>
    </row>
    <row r="13275" hidden="1">
      <c r="A13275" s="177" t="s">
        <v>223</v>
      </c>
      <c r="B13275" s="127" t="s">
        <v>144</v>
      </c>
      <c r="C13275" s="127" t="s">
        <v>206</v>
      </c>
      <c r="D13275" s="177" t="s">
        <v>67</v>
      </c>
      <c r="E13275" s="177" t="s">
        <v>15987</v>
      </c>
      <c r="F13275" s="177" t="s">
        <v>249</v>
      </c>
      <c r="G13275" s="177" t="s">
        <v>2211</v>
      </c>
      <c r="H13275" s="127" t="s">
        <v>211</v>
      </c>
    </row>
    <row r="13276" hidden="1">
      <c r="A13276" s="177" t="s">
        <v>223</v>
      </c>
      <c r="B13276" s="127" t="s">
        <v>144</v>
      </c>
      <c r="C13276" s="127" t="s">
        <v>206</v>
      </c>
      <c r="D13276" s="177" t="s">
        <v>67</v>
      </c>
      <c r="E13276" s="177" t="s">
        <v>15988</v>
      </c>
      <c r="F13276" s="177" t="s">
        <v>244</v>
      </c>
      <c r="G13276" s="177" t="s">
        <v>2025</v>
      </c>
      <c r="H13276" s="127" t="s">
        <v>212</v>
      </c>
    </row>
    <row r="13277" hidden="1">
      <c r="A13277" s="177" t="s">
        <v>223</v>
      </c>
      <c r="B13277" s="127" t="s">
        <v>144</v>
      </c>
      <c r="C13277" s="127" t="s">
        <v>206</v>
      </c>
      <c r="D13277" s="177" t="s">
        <v>67</v>
      </c>
      <c r="E13277" s="177" t="s">
        <v>15989</v>
      </c>
      <c r="F13277" s="177" t="s">
        <v>534</v>
      </c>
      <c r="G13277" s="177" t="s">
        <v>2852</v>
      </c>
      <c r="H13277" s="127" t="s">
        <v>213</v>
      </c>
    </row>
    <row r="13278" hidden="1">
      <c r="A13278" s="177" t="s">
        <v>223</v>
      </c>
      <c r="B13278" s="127" t="s">
        <v>144</v>
      </c>
      <c r="C13278" s="127" t="s">
        <v>206</v>
      </c>
      <c r="D13278" s="177" t="s">
        <v>67</v>
      </c>
      <c r="E13278" s="177" t="s">
        <v>15990</v>
      </c>
      <c r="F13278" s="177" t="s">
        <v>323</v>
      </c>
      <c r="G13278" s="177" t="s">
        <v>2838</v>
      </c>
      <c r="H13278" s="127" t="s">
        <v>214</v>
      </c>
    </row>
    <row r="13279" hidden="1">
      <c r="A13279" s="177" t="s">
        <v>223</v>
      </c>
      <c r="B13279" s="127" t="s">
        <v>144</v>
      </c>
      <c r="C13279" s="127" t="s">
        <v>206</v>
      </c>
      <c r="D13279" s="177" t="s">
        <v>67</v>
      </c>
      <c r="E13279" s="177" t="s">
        <v>15991</v>
      </c>
      <c r="F13279" s="177" t="s">
        <v>249</v>
      </c>
      <c r="G13279" s="177" t="s">
        <v>2107</v>
      </c>
      <c r="H13279" s="127" t="s">
        <v>215</v>
      </c>
    </row>
    <row r="13280" hidden="1">
      <c r="A13280" s="177" t="s">
        <v>223</v>
      </c>
      <c r="B13280" s="127" t="s">
        <v>144</v>
      </c>
      <c r="C13280" s="127" t="s">
        <v>206</v>
      </c>
      <c r="D13280" s="177" t="s">
        <v>67</v>
      </c>
      <c r="E13280" s="177" t="s">
        <v>15992</v>
      </c>
      <c r="F13280" s="177" t="s">
        <v>359</v>
      </c>
      <c r="G13280" s="177" t="s">
        <v>2299</v>
      </c>
      <c r="H13280" s="127" t="s">
        <v>216</v>
      </c>
    </row>
    <row r="13281" hidden="1">
      <c r="A13281" s="177" t="s">
        <v>224</v>
      </c>
      <c r="B13281" s="127" t="s">
        <v>170</v>
      </c>
      <c r="C13281" s="127" t="s">
        <v>206</v>
      </c>
      <c r="D13281" s="177" t="s">
        <v>67</v>
      </c>
      <c r="E13281" s="177" t="s">
        <v>15993</v>
      </c>
      <c r="F13281" s="177" t="s">
        <v>290</v>
      </c>
      <c r="G13281" s="177" t="s">
        <v>2864</v>
      </c>
      <c r="H13281" s="127" t="s">
        <v>210</v>
      </c>
    </row>
    <row r="13282" hidden="1">
      <c r="A13282" s="177" t="s">
        <v>224</v>
      </c>
      <c r="B13282" s="127" t="s">
        <v>170</v>
      </c>
      <c r="C13282" s="127" t="s">
        <v>206</v>
      </c>
      <c r="D13282" s="177" t="s">
        <v>67</v>
      </c>
      <c r="E13282" s="177" t="s">
        <v>15994</v>
      </c>
      <c r="F13282" s="177" t="s">
        <v>331</v>
      </c>
      <c r="G13282" s="177" t="s">
        <v>2521</v>
      </c>
      <c r="H13282" s="127" t="s">
        <v>211</v>
      </c>
    </row>
    <row r="13283" hidden="1">
      <c r="A13283" s="177" t="s">
        <v>224</v>
      </c>
      <c r="B13283" s="127" t="s">
        <v>170</v>
      </c>
      <c r="C13283" s="127" t="s">
        <v>206</v>
      </c>
      <c r="D13283" s="177" t="s">
        <v>67</v>
      </c>
      <c r="E13283" s="177" t="s">
        <v>15995</v>
      </c>
      <c r="F13283" s="177" t="s">
        <v>249</v>
      </c>
      <c r="G13283" s="177" t="s">
        <v>2376</v>
      </c>
      <c r="H13283" s="127" t="s">
        <v>212</v>
      </c>
    </row>
    <row r="13284" hidden="1">
      <c r="A13284" s="177" t="s">
        <v>224</v>
      </c>
      <c r="B13284" s="127" t="s">
        <v>170</v>
      </c>
      <c r="C13284" s="127" t="s">
        <v>206</v>
      </c>
      <c r="D13284" s="177" t="s">
        <v>67</v>
      </c>
      <c r="E13284" s="177" t="s">
        <v>15996</v>
      </c>
      <c r="F13284" s="177" t="s">
        <v>336</v>
      </c>
      <c r="G13284" s="177" t="s">
        <v>2539</v>
      </c>
      <c r="H13284" s="127" t="s">
        <v>213</v>
      </c>
    </row>
    <row r="13285" hidden="1">
      <c r="A13285" s="177" t="s">
        <v>224</v>
      </c>
      <c r="B13285" s="127" t="s">
        <v>170</v>
      </c>
      <c r="C13285" s="127" t="s">
        <v>206</v>
      </c>
      <c r="D13285" s="177" t="s">
        <v>67</v>
      </c>
      <c r="E13285" s="177" t="s">
        <v>15997</v>
      </c>
      <c r="F13285" s="177" t="s">
        <v>331</v>
      </c>
      <c r="G13285" s="177" t="s">
        <v>2730</v>
      </c>
      <c r="H13285" s="127" t="s">
        <v>214</v>
      </c>
    </row>
    <row r="13286" hidden="1">
      <c r="A13286" s="177" t="s">
        <v>224</v>
      </c>
      <c r="B13286" s="127" t="s">
        <v>170</v>
      </c>
      <c r="C13286" s="127" t="s">
        <v>206</v>
      </c>
      <c r="D13286" s="177" t="s">
        <v>67</v>
      </c>
      <c r="E13286" s="177" t="s">
        <v>15998</v>
      </c>
      <c r="F13286" s="177" t="s">
        <v>478</v>
      </c>
      <c r="G13286" s="177" t="s">
        <v>2852</v>
      </c>
      <c r="H13286" s="127" t="s">
        <v>215</v>
      </c>
    </row>
    <row r="13287" hidden="1">
      <c r="A13287" s="177" t="s">
        <v>224</v>
      </c>
      <c r="B13287" s="127" t="s">
        <v>170</v>
      </c>
      <c r="C13287" s="127" t="s">
        <v>206</v>
      </c>
      <c r="D13287" s="177" t="s">
        <v>67</v>
      </c>
      <c r="E13287" s="177" t="s">
        <v>15999</v>
      </c>
      <c r="F13287" s="177" t="s">
        <v>534</v>
      </c>
      <c r="G13287" s="177" t="s">
        <v>2534</v>
      </c>
      <c r="H13287" s="127" t="s">
        <v>216</v>
      </c>
    </row>
    <row r="13288" hidden="1">
      <c r="A13288" s="177" t="s">
        <v>225</v>
      </c>
      <c r="B13288" s="127" t="s">
        <v>226</v>
      </c>
      <c r="C13288" s="127" t="s">
        <v>206</v>
      </c>
      <c r="D13288" s="177" t="s">
        <v>67</v>
      </c>
      <c r="E13288" s="177" t="s">
        <v>16000</v>
      </c>
      <c r="F13288" s="177" t="s">
        <v>323</v>
      </c>
      <c r="G13288" s="177" t="s">
        <v>2134</v>
      </c>
      <c r="H13288" s="127" t="s">
        <v>210</v>
      </c>
    </row>
    <row r="13289" hidden="1">
      <c r="A13289" s="177" t="s">
        <v>225</v>
      </c>
      <c r="B13289" s="127" t="s">
        <v>226</v>
      </c>
      <c r="C13289" s="127" t="s">
        <v>206</v>
      </c>
      <c r="D13289" s="177" t="s">
        <v>67</v>
      </c>
      <c r="E13289" s="177" t="s">
        <v>16001</v>
      </c>
      <c r="F13289" s="177" t="s">
        <v>285</v>
      </c>
      <c r="G13289" s="177" t="s">
        <v>3487</v>
      </c>
      <c r="H13289" s="127" t="s">
        <v>211</v>
      </c>
    </row>
    <row r="13290" hidden="1">
      <c r="A13290" s="177" t="s">
        <v>225</v>
      </c>
      <c r="B13290" s="127" t="s">
        <v>226</v>
      </c>
      <c r="C13290" s="127" t="s">
        <v>206</v>
      </c>
      <c r="D13290" s="177" t="s">
        <v>67</v>
      </c>
      <c r="E13290" s="177" t="s">
        <v>16002</v>
      </c>
      <c r="F13290" s="177" t="s">
        <v>242</v>
      </c>
      <c r="G13290" s="177" t="s">
        <v>1868</v>
      </c>
      <c r="H13290" s="127" t="s">
        <v>212</v>
      </c>
    </row>
    <row r="13291" hidden="1">
      <c r="A13291" s="177" t="s">
        <v>225</v>
      </c>
      <c r="B13291" s="127" t="s">
        <v>226</v>
      </c>
      <c r="C13291" s="127" t="s">
        <v>206</v>
      </c>
      <c r="D13291" s="177" t="s">
        <v>67</v>
      </c>
      <c r="E13291" s="177" t="s">
        <v>16003</v>
      </c>
      <c r="F13291" s="177" t="s">
        <v>308</v>
      </c>
      <c r="G13291" s="177" t="s">
        <v>2929</v>
      </c>
      <c r="H13291" s="127" t="s">
        <v>213</v>
      </c>
    </row>
    <row r="13292" hidden="1">
      <c r="A13292" s="177" t="s">
        <v>225</v>
      </c>
      <c r="B13292" s="127" t="s">
        <v>226</v>
      </c>
      <c r="C13292" s="127" t="s">
        <v>206</v>
      </c>
      <c r="D13292" s="177" t="s">
        <v>67</v>
      </c>
      <c r="E13292" s="177" t="s">
        <v>16004</v>
      </c>
      <c r="F13292" s="177" t="s">
        <v>314</v>
      </c>
      <c r="G13292" s="177" t="s">
        <v>2062</v>
      </c>
      <c r="H13292" s="127" t="s">
        <v>214</v>
      </c>
    </row>
    <row r="13293" hidden="1">
      <c r="A13293" s="177" t="s">
        <v>225</v>
      </c>
      <c r="B13293" s="127" t="s">
        <v>226</v>
      </c>
      <c r="C13293" s="127" t="s">
        <v>206</v>
      </c>
      <c r="D13293" s="177" t="s">
        <v>67</v>
      </c>
      <c r="E13293" s="177" t="s">
        <v>16005</v>
      </c>
      <c r="F13293" s="177" t="s">
        <v>359</v>
      </c>
      <c r="G13293" s="177" t="s">
        <v>3360</v>
      </c>
      <c r="H13293" s="127" t="s">
        <v>215</v>
      </c>
    </row>
    <row r="13294" hidden="1">
      <c r="A13294" s="177" t="s">
        <v>225</v>
      </c>
      <c r="B13294" s="127" t="s">
        <v>226</v>
      </c>
      <c r="C13294" s="127" t="s">
        <v>206</v>
      </c>
      <c r="D13294" s="177" t="s">
        <v>67</v>
      </c>
      <c r="E13294" s="177" t="s">
        <v>16006</v>
      </c>
      <c r="F13294" s="177" t="s">
        <v>285</v>
      </c>
      <c r="G13294" s="177" t="s">
        <v>2929</v>
      </c>
      <c r="H13294" s="127" t="s">
        <v>216</v>
      </c>
    </row>
    <row r="13295" hidden="1">
      <c r="A13295" s="177" t="s">
        <v>227</v>
      </c>
      <c r="B13295" s="127" t="s">
        <v>195</v>
      </c>
      <c r="C13295" s="127" t="s">
        <v>206</v>
      </c>
      <c r="D13295" s="177" t="s">
        <v>67</v>
      </c>
      <c r="E13295" s="177" t="s">
        <v>16007</v>
      </c>
      <c r="F13295" s="177" t="s">
        <v>323</v>
      </c>
      <c r="G13295" s="177" t="s">
        <v>2694</v>
      </c>
      <c r="H13295" s="127" t="s">
        <v>210</v>
      </c>
    </row>
    <row r="13296" hidden="1">
      <c r="A13296" s="177" t="s">
        <v>227</v>
      </c>
      <c r="B13296" s="127" t="s">
        <v>195</v>
      </c>
      <c r="C13296" s="127" t="s">
        <v>206</v>
      </c>
      <c r="D13296" s="177" t="s">
        <v>67</v>
      </c>
      <c r="E13296" s="177" t="s">
        <v>16008</v>
      </c>
      <c r="F13296" s="177" t="s">
        <v>458</v>
      </c>
      <c r="G13296" s="177" t="s">
        <v>2045</v>
      </c>
      <c r="H13296" s="127" t="s">
        <v>211</v>
      </c>
    </row>
    <row r="13297" hidden="1">
      <c r="A13297" s="177" t="s">
        <v>227</v>
      </c>
      <c r="B13297" s="127" t="s">
        <v>195</v>
      </c>
      <c r="C13297" s="127" t="s">
        <v>206</v>
      </c>
      <c r="D13297" s="177" t="s">
        <v>67</v>
      </c>
      <c r="E13297" s="177" t="s">
        <v>16009</v>
      </c>
      <c r="F13297" s="177" t="s">
        <v>492</v>
      </c>
      <c r="G13297" s="177" t="s">
        <v>2901</v>
      </c>
      <c r="H13297" s="127" t="s">
        <v>212</v>
      </c>
    </row>
    <row r="13298" hidden="1">
      <c r="A13298" s="177" t="s">
        <v>227</v>
      </c>
      <c r="B13298" s="127" t="s">
        <v>195</v>
      </c>
      <c r="C13298" s="127" t="s">
        <v>206</v>
      </c>
      <c r="D13298" s="177" t="s">
        <v>67</v>
      </c>
      <c r="E13298" s="177" t="s">
        <v>16010</v>
      </c>
      <c r="F13298" s="177" t="s">
        <v>321</v>
      </c>
      <c r="G13298" s="177" t="s">
        <v>4338</v>
      </c>
      <c r="H13298" s="127" t="s">
        <v>213</v>
      </c>
    </row>
    <row r="13299" hidden="1">
      <c r="A13299" s="177" t="s">
        <v>227</v>
      </c>
      <c r="B13299" s="127" t="s">
        <v>195</v>
      </c>
      <c r="C13299" s="127" t="s">
        <v>206</v>
      </c>
      <c r="D13299" s="177" t="s">
        <v>67</v>
      </c>
      <c r="E13299" s="177" t="s">
        <v>16011</v>
      </c>
      <c r="F13299" s="177" t="s">
        <v>287</v>
      </c>
      <c r="G13299" s="177" t="s">
        <v>1843</v>
      </c>
      <c r="H13299" s="127" t="s">
        <v>214</v>
      </c>
    </row>
    <row r="13300" hidden="1">
      <c r="A13300" s="177" t="s">
        <v>227</v>
      </c>
      <c r="B13300" s="127" t="s">
        <v>195</v>
      </c>
      <c r="C13300" s="127" t="s">
        <v>206</v>
      </c>
      <c r="D13300" s="177" t="s">
        <v>67</v>
      </c>
      <c r="E13300" s="177" t="s">
        <v>16012</v>
      </c>
      <c r="F13300" s="177" t="s">
        <v>301</v>
      </c>
      <c r="G13300" s="177" t="s">
        <v>1808</v>
      </c>
      <c r="H13300" s="127" t="s">
        <v>215</v>
      </c>
    </row>
    <row r="13301" hidden="1">
      <c r="A13301" s="177" t="s">
        <v>227</v>
      </c>
      <c r="B13301" s="127" t="s">
        <v>195</v>
      </c>
      <c r="C13301" s="127" t="s">
        <v>206</v>
      </c>
      <c r="D13301" s="177" t="s">
        <v>67</v>
      </c>
      <c r="E13301" s="177" t="s">
        <v>16013</v>
      </c>
      <c r="F13301" s="177" t="s">
        <v>240</v>
      </c>
      <c r="G13301" s="177" t="s">
        <v>2391</v>
      </c>
      <c r="H13301" s="127" t="s">
        <v>216</v>
      </c>
    </row>
    <row r="13302" hidden="1">
      <c r="A13302" s="177" t="s">
        <v>228</v>
      </c>
      <c r="B13302" s="127" t="s">
        <v>138</v>
      </c>
      <c r="C13302" s="127" t="s">
        <v>206</v>
      </c>
      <c r="D13302" s="177" t="s">
        <v>67</v>
      </c>
      <c r="E13302" s="177" t="s">
        <v>16014</v>
      </c>
      <c r="F13302" s="177" t="s">
        <v>339</v>
      </c>
      <c r="G13302" s="177" t="s">
        <v>3475</v>
      </c>
      <c r="H13302" s="127" t="s">
        <v>210</v>
      </c>
    </row>
    <row r="13303" hidden="1">
      <c r="A13303" s="177" t="s">
        <v>228</v>
      </c>
      <c r="B13303" s="127" t="s">
        <v>138</v>
      </c>
      <c r="C13303" s="127" t="s">
        <v>206</v>
      </c>
      <c r="D13303" s="177" t="s">
        <v>67</v>
      </c>
      <c r="E13303" s="177" t="s">
        <v>16015</v>
      </c>
      <c r="F13303" s="177" t="s">
        <v>331</v>
      </c>
      <c r="G13303" s="177" t="s">
        <v>5438</v>
      </c>
      <c r="H13303" s="127" t="s">
        <v>211</v>
      </c>
    </row>
    <row r="13304" hidden="1">
      <c r="A13304" s="177" t="s">
        <v>228</v>
      </c>
      <c r="B13304" s="127" t="s">
        <v>138</v>
      </c>
      <c r="C13304" s="127" t="s">
        <v>206</v>
      </c>
      <c r="D13304" s="177" t="s">
        <v>67</v>
      </c>
      <c r="E13304" s="177" t="s">
        <v>16016</v>
      </c>
      <c r="F13304" s="177" t="s">
        <v>257</v>
      </c>
      <c r="G13304" s="177" t="s">
        <v>5037</v>
      </c>
      <c r="H13304" s="127" t="s">
        <v>212</v>
      </c>
    </row>
    <row r="13305" hidden="1">
      <c r="A13305" s="177" t="s">
        <v>228</v>
      </c>
      <c r="B13305" s="127" t="s">
        <v>138</v>
      </c>
      <c r="C13305" s="127" t="s">
        <v>206</v>
      </c>
      <c r="D13305" s="177" t="s">
        <v>67</v>
      </c>
      <c r="E13305" s="177" t="s">
        <v>16017</v>
      </c>
      <c r="F13305" s="177" t="s">
        <v>478</v>
      </c>
      <c r="G13305" s="177" t="s">
        <v>10293</v>
      </c>
      <c r="H13305" s="127" t="s">
        <v>213</v>
      </c>
    </row>
    <row r="13306" hidden="1">
      <c r="A13306" s="177" t="s">
        <v>228</v>
      </c>
      <c r="B13306" s="127" t="s">
        <v>138</v>
      </c>
      <c r="C13306" s="127" t="s">
        <v>206</v>
      </c>
      <c r="D13306" s="177" t="s">
        <v>67</v>
      </c>
      <c r="E13306" s="177" t="s">
        <v>16018</v>
      </c>
      <c r="F13306" s="177" t="s">
        <v>242</v>
      </c>
      <c r="G13306" s="177" t="s">
        <v>4229</v>
      </c>
      <c r="H13306" s="127" t="s">
        <v>214</v>
      </c>
    </row>
    <row r="13307" hidden="1">
      <c r="A13307" s="177" t="s">
        <v>228</v>
      </c>
      <c r="B13307" s="127" t="s">
        <v>138</v>
      </c>
      <c r="C13307" s="127" t="s">
        <v>206</v>
      </c>
      <c r="D13307" s="177" t="s">
        <v>67</v>
      </c>
      <c r="E13307" s="177" t="s">
        <v>16019</v>
      </c>
      <c r="F13307" s="177" t="s">
        <v>244</v>
      </c>
      <c r="G13307" s="177" t="s">
        <v>10124</v>
      </c>
      <c r="H13307" s="127" t="s">
        <v>215</v>
      </c>
    </row>
    <row r="13308" hidden="1">
      <c r="A13308" s="177" t="s">
        <v>228</v>
      </c>
      <c r="B13308" s="127" t="s">
        <v>138</v>
      </c>
      <c r="C13308" s="127" t="s">
        <v>206</v>
      </c>
      <c r="D13308" s="177" t="s">
        <v>67</v>
      </c>
      <c r="E13308" s="177" t="s">
        <v>16020</v>
      </c>
      <c r="F13308" s="177" t="s">
        <v>310</v>
      </c>
      <c r="G13308" s="177" t="s">
        <v>3265</v>
      </c>
      <c r="H13308" s="127" t="s">
        <v>216</v>
      </c>
    </row>
    <row r="13309" hidden="1">
      <c r="A13309" s="177" t="s">
        <v>229</v>
      </c>
      <c r="B13309" s="127" t="s">
        <v>193</v>
      </c>
      <c r="C13309" s="127" t="s">
        <v>206</v>
      </c>
      <c r="D13309" s="177" t="s">
        <v>67</v>
      </c>
      <c r="E13309" s="177" t="s">
        <v>16021</v>
      </c>
      <c r="F13309" s="177" t="s">
        <v>262</v>
      </c>
      <c r="G13309" s="177" t="s">
        <v>3404</v>
      </c>
      <c r="H13309" s="127" t="s">
        <v>210</v>
      </c>
    </row>
    <row r="13310" hidden="1">
      <c r="A13310" s="177" t="s">
        <v>229</v>
      </c>
      <c r="B13310" s="127" t="s">
        <v>193</v>
      </c>
      <c r="C13310" s="127" t="s">
        <v>206</v>
      </c>
      <c r="D13310" s="177" t="s">
        <v>67</v>
      </c>
      <c r="E13310" s="177" t="s">
        <v>16022</v>
      </c>
      <c r="F13310" s="177" t="s">
        <v>244</v>
      </c>
      <c r="G13310" s="177" t="s">
        <v>3611</v>
      </c>
      <c r="H13310" s="127" t="s">
        <v>211</v>
      </c>
    </row>
    <row r="13311" hidden="1">
      <c r="A13311" s="177" t="s">
        <v>229</v>
      </c>
      <c r="B13311" s="127" t="s">
        <v>193</v>
      </c>
      <c r="C13311" s="127" t="s">
        <v>206</v>
      </c>
      <c r="D13311" s="177" t="s">
        <v>67</v>
      </c>
      <c r="E13311" s="177" t="s">
        <v>16023</v>
      </c>
      <c r="F13311" s="177" t="s">
        <v>458</v>
      </c>
      <c r="G13311" s="177" t="s">
        <v>3611</v>
      </c>
      <c r="H13311" s="127" t="s">
        <v>212</v>
      </c>
    </row>
    <row r="13312" hidden="1">
      <c r="A13312" s="177" t="s">
        <v>229</v>
      </c>
      <c r="B13312" s="127" t="s">
        <v>193</v>
      </c>
      <c r="C13312" s="127" t="s">
        <v>206</v>
      </c>
      <c r="D13312" s="177" t="s">
        <v>67</v>
      </c>
      <c r="E13312" s="177" t="s">
        <v>16024</v>
      </c>
      <c r="F13312" s="177" t="s">
        <v>244</v>
      </c>
      <c r="G13312" s="177" t="s">
        <v>3812</v>
      </c>
      <c r="H13312" s="127" t="s">
        <v>213</v>
      </c>
    </row>
    <row r="13313" hidden="1">
      <c r="A13313" s="177" t="s">
        <v>229</v>
      </c>
      <c r="B13313" s="127" t="s">
        <v>193</v>
      </c>
      <c r="C13313" s="127" t="s">
        <v>206</v>
      </c>
      <c r="D13313" s="177" t="s">
        <v>67</v>
      </c>
      <c r="E13313" s="177" t="s">
        <v>16025</v>
      </c>
      <c r="F13313" s="177" t="s">
        <v>255</v>
      </c>
      <c r="G13313" s="177" t="s">
        <v>2820</v>
      </c>
      <c r="H13313" s="127" t="s">
        <v>214</v>
      </c>
    </row>
    <row r="13314" hidden="1">
      <c r="A13314" s="177" t="s">
        <v>229</v>
      </c>
      <c r="B13314" s="127" t="s">
        <v>193</v>
      </c>
      <c r="C13314" s="127" t="s">
        <v>206</v>
      </c>
      <c r="D13314" s="177" t="s">
        <v>67</v>
      </c>
      <c r="E13314" s="177" t="s">
        <v>16026</v>
      </c>
      <c r="F13314" s="177" t="s">
        <v>365</v>
      </c>
      <c r="G13314" s="177" t="s">
        <v>3783</v>
      </c>
      <c r="H13314" s="127" t="s">
        <v>215</v>
      </c>
    </row>
    <row r="13315" hidden="1">
      <c r="A13315" s="177" t="s">
        <v>229</v>
      </c>
      <c r="B13315" s="127" t="s">
        <v>193</v>
      </c>
      <c r="C13315" s="127" t="s">
        <v>206</v>
      </c>
      <c r="D13315" s="177" t="s">
        <v>67</v>
      </c>
      <c r="E13315" s="177" t="s">
        <v>16027</v>
      </c>
      <c r="F13315" s="177" t="s">
        <v>301</v>
      </c>
      <c r="G13315" s="177" t="s">
        <v>2818</v>
      </c>
      <c r="H13315" s="127" t="s">
        <v>216</v>
      </c>
    </row>
    <row r="13316" hidden="1">
      <c r="A13316" s="177" t="s">
        <v>230</v>
      </c>
      <c r="B13316" s="127" t="s">
        <v>194</v>
      </c>
      <c r="C13316" s="127" t="s">
        <v>206</v>
      </c>
      <c r="D13316" s="177" t="s">
        <v>67</v>
      </c>
      <c r="E13316" s="177" t="s">
        <v>16028</v>
      </c>
      <c r="F13316" s="177" t="s">
        <v>285</v>
      </c>
      <c r="G13316" s="177" t="s">
        <v>2242</v>
      </c>
      <c r="H13316" s="127" t="s">
        <v>210</v>
      </c>
    </row>
    <row r="13317" hidden="1">
      <c r="A13317" s="177" t="s">
        <v>230</v>
      </c>
      <c r="B13317" s="127" t="s">
        <v>194</v>
      </c>
      <c r="C13317" s="127" t="s">
        <v>206</v>
      </c>
      <c r="D13317" s="177" t="s">
        <v>67</v>
      </c>
      <c r="E13317" s="177" t="s">
        <v>16029</v>
      </c>
      <c r="F13317" s="177" t="s">
        <v>323</v>
      </c>
      <c r="G13317" s="177" t="s">
        <v>2703</v>
      </c>
      <c r="H13317" s="127" t="s">
        <v>211</v>
      </c>
    </row>
    <row r="13318" hidden="1">
      <c r="A13318" s="177" t="s">
        <v>230</v>
      </c>
      <c r="B13318" s="127" t="s">
        <v>194</v>
      </c>
      <c r="C13318" s="127" t="s">
        <v>206</v>
      </c>
      <c r="D13318" s="177" t="s">
        <v>67</v>
      </c>
      <c r="E13318" s="177" t="s">
        <v>16030</v>
      </c>
      <c r="F13318" s="177" t="s">
        <v>269</v>
      </c>
      <c r="G13318" s="177" t="s">
        <v>2838</v>
      </c>
      <c r="H13318" s="127" t="s">
        <v>212</v>
      </c>
    </row>
    <row r="13319" hidden="1">
      <c r="A13319" s="177" t="s">
        <v>230</v>
      </c>
      <c r="B13319" s="127" t="s">
        <v>194</v>
      </c>
      <c r="C13319" s="127" t="s">
        <v>206</v>
      </c>
      <c r="D13319" s="177" t="s">
        <v>67</v>
      </c>
      <c r="E13319" s="177" t="s">
        <v>16031</v>
      </c>
      <c r="F13319" s="177" t="s">
        <v>242</v>
      </c>
      <c r="G13319" s="177" t="s">
        <v>2142</v>
      </c>
      <c r="H13319" s="127" t="s">
        <v>213</v>
      </c>
    </row>
    <row r="13320" hidden="1">
      <c r="A13320" s="177" t="s">
        <v>230</v>
      </c>
      <c r="B13320" s="127" t="s">
        <v>194</v>
      </c>
      <c r="C13320" s="127" t="s">
        <v>206</v>
      </c>
      <c r="D13320" s="177" t="s">
        <v>67</v>
      </c>
      <c r="E13320" s="177" t="s">
        <v>16032</v>
      </c>
      <c r="F13320" s="177" t="s">
        <v>249</v>
      </c>
      <c r="G13320" s="177" t="s">
        <v>2880</v>
      </c>
      <c r="H13320" s="127" t="s">
        <v>214</v>
      </c>
    </row>
    <row r="13321" hidden="1">
      <c r="A13321" s="177" t="s">
        <v>230</v>
      </c>
      <c r="B13321" s="127" t="s">
        <v>194</v>
      </c>
      <c r="C13321" s="127" t="s">
        <v>206</v>
      </c>
      <c r="D13321" s="177" t="s">
        <v>67</v>
      </c>
      <c r="E13321" s="177" t="s">
        <v>16033</v>
      </c>
      <c r="F13321" s="177" t="s">
        <v>359</v>
      </c>
      <c r="G13321" s="177" t="s">
        <v>1841</v>
      </c>
      <c r="H13321" s="127" t="s">
        <v>215</v>
      </c>
    </row>
    <row r="13322" hidden="1">
      <c r="A13322" s="177" t="s">
        <v>230</v>
      </c>
      <c r="B13322" s="127" t="s">
        <v>194</v>
      </c>
      <c r="C13322" s="127" t="s">
        <v>206</v>
      </c>
      <c r="D13322" s="177" t="s">
        <v>67</v>
      </c>
      <c r="E13322" s="177" t="s">
        <v>16034</v>
      </c>
      <c r="F13322" s="177" t="s">
        <v>323</v>
      </c>
      <c r="G13322" s="177" t="s">
        <v>2410</v>
      </c>
      <c r="H13322" s="127" t="s">
        <v>216</v>
      </c>
    </row>
    <row r="13323" hidden="1">
      <c r="A13323" s="127" t="s">
        <v>231</v>
      </c>
      <c r="C13323" s="127" t="s">
        <v>232</v>
      </c>
      <c r="D13323" s="177" t="s">
        <v>67</v>
      </c>
      <c r="E13323" s="177" t="s">
        <v>16035</v>
      </c>
      <c r="F13323" s="177" t="s">
        <v>314</v>
      </c>
      <c r="G13323" s="177" t="s">
        <v>633</v>
      </c>
      <c r="H13323" s="127" t="s">
        <v>210</v>
      </c>
    </row>
    <row r="13324" hidden="1">
      <c r="A13324" s="127" t="s">
        <v>231</v>
      </c>
      <c r="C13324" s="127" t="s">
        <v>232</v>
      </c>
      <c r="D13324" s="177" t="s">
        <v>67</v>
      </c>
      <c r="E13324" s="177" t="s">
        <v>16036</v>
      </c>
      <c r="F13324" s="177" t="s">
        <v>287</v>
      </c>
      <c r="G13324" s="177" t="s">
        <v>292</v>
      </c>
      <c r="H13324" s="127" t="s">
        <v>211</v>
      </c>
    </row>
    <row r="13325" hidden="1">
      <c r="A13325" s="127" t="s">
        <v>231</v>
      </c>
      <c r="C13325" s="127" t="s">
        <v>232</v>
      </c>
      <c r="D13325" s="177" t="s">
        <v>67</v>
      </c>
      <c r="E13325" s="177" t="s">
        <v>16037</v>
      </c>
      <c r="F13325" s="177" t="s">
        <v>483</v>
      </c>
      <c r="G13325" s="177" t="s">
        <v>673</v>
      </c>
      <c r="H13325" s="127" t="s">
        <v>212</v>
      </c>
    </row>
    <row r="13326" hidden="1">
      <c r="A13326" s="127" t="s">
        <v>231</v>
      </c>
      <c r="C13326" s="127" t="s">
        <v>232</v>
      </c>
      <c r="D13326" s="177" t="s">
        <v>67</v>
      </c>
      <c r="E13326" s="177" t="s">
        <v>16038</v>
      </c>
      <c r="F13326" s="177" t="s">
        <v>329</v>
      </c>
      <c r="G13326" s="177" t="s">
        <v>2607</v>
      </c>
      <c r="H13326" s="127" t="s">
        <v>213</v>
      </c>
    </row>
    <row r="13327" hidden="1">
      <c r="A13327" s="127" t="s">
        <v>231</v>
      </c>
      <c r="C13327" s="127" t="s">
        <v>232</v>
      </c>
      <c r="D13327" s="177" t="s">
        <v>67</v>
      </c>
      <c r="E13327" s="177" t="s">
        <v>16039</v>
      </c>
      <c r="F13327" s="177" t="s">
        <v>359</v>
      </c>
      <c r="G13327" s="177" t="s">
        <v>760</v>
      </c>
      <c r="H13327" s="127" t="s">
        <v>214</v>
      </c>
    </row>
    <row r="13328" hidden="1">
      <c r="A13328" s="127" t="s">
        <v>231</v>
      </c>
      <c r="C13328" s="127" t="s">
        <v>232</v>
      </c>
      <c r="D13328" s="177" t="s">
        <v>67</v>
      </c>
      <c r="E13328" s="177" t="s">
        <v>16040</v>
      </c>
      <c r="F13328" s="177" t="s">
        <v>323</v>
      </c>
      <c r="G13328" s="177" t="s">
        <v>5849</v>
      </c>
      <c r="H13328" s="127" t="s">
        <v>215</v>
      </c>
    </row>
    <row r="13329" hidden="1">
      <c r="A13329" s="127" t="s">
        <v>231</v>
      </c>
      <c r="C13329" s="127" t="s">
        <v>232</v>
      </c>
      <c r="D13329" s="177" t="s">
        <v>67</v>
      </c>
      <c r="E13329" s="177" t="s">
        <v>16041</v>
      </c>
      <c r="F13329" s="177" t="s">
        <v>285</v>
      </c>
      <c r="G13329" s="177" t="s">
        <v>2223</v>
      </c>
      <c r="H13329" s="127" t="s">
        <v>216</v>
      </c>
    </row>
    <row r="13330" hidden="1">
      <c r="A13330" s="127" t="s">
        <v>233</v>
      </c>
      <c r="C13330" s="127" t="s">
        <v>232</v>
      </c>
      <c r="D13330" s="177" t="s">
        <v>67</v>
      </c>
      <c r="E13330" s="177" t="s">
        <v>16042</v>
      </c>
      <c r="F13330" s="177" t="s">
        <v>357</v>
      </c>
      <c r="G13330" s="177" t="s">
        <v>2309</v>
      </c>
      <c r="H13330" s="127" t="s">
        <v>210</v>
      </c>
    </row>
    <row r="13331" hidden="1">
      <c r="A13331" s="127" t="s">
        <v>233</v>
      </c>
      <c r="C13331" s="127" t="s">
        <v>232</v>
      </c>
      <c r="D13331" s="177" t="s">
        <v>67</v>
      </c>
      <c r="E13331" s="177" t="s">
        <v>16043</v>
      </c>
      <c r="F13331" s="177" t="s">
        <v>357</v>
      </c>
      <c r="G13331" s="177" t="s">
        <v>3487</v>
      </c>
      <c r="H13331" s="127" t="s">
        <v>211</v>
      </c>
    </row>
    <row r="13332" hidden="1">
      <c r="A13332" s="127" t="s">
        <v>233</v>
      </c>
      <c r="C13332" s="127" t="s">
        <v>232</v>
      </c>
      <c r="D13332" s="177" t="s">
        <v>67</v>
      </c>
      <c r="E13332" s="177" t="s">
        <v>16044</v>
      </c>
      <c r="F13332" s="177" t="s">
        <v>257</v>
      </c>
      <c r="G13332" s="177" t="s">
        <v>2211</v>
      </c>
      <c r="H13332" s="127" t="s">
        <v>212</v>
      </c>
    </row>
    <row r="13333" hidden="1">
      <c r="A13333" s="127" t="s">
        <v>233</v>
      </c>
      <c r="C13333" s="127" t="s">
        <v>232</v>
      </c>
      <c r="D13333" s="177" t="s">
        <v>67</v>
      </c>
      <c r="E13333" s="177" t="s">
        <v>16045</v>
      </c>
      <c r="F13333" s="177" t="s">
        <v>242</v>
      </c>
      <c r="G13333" s="177" t="s">
        <v>1832</v>
      </c>
      <c r="H13333" s="127" t="s">
        <v>213</v>
      </c>
    </row>
    <row r="13334" hidden="1">
      <c r="A13334" s="127" t="s">
        <v>233</v>
      </c>
      <c r="C13334" s="127" t="s">
        <v>232</v>
      </c>
      <c r="D13334" s="177" t="s">
        <v>67</v>
      </c>
      <c r="E13334" s="177" t="s">
        <v>16046</v>
      </c>
      <c r="F13334" s="177" t="s">
        <v>357</v>
      </c>
      <c r="G13334" s="177" t="s">
        <v>1860</v>
      </c>
      <c r="H13334" s="127" t="s">
        <v>214</v>
      </c>
    </row>
    <row r="13335" hidden="1">
      <c r="A13335" s="127" t="s">
        <v>233</v>
      </c>
      <c r="C13335" s="127" t="s">
        <v>232</v>
      </c>
      <c r="D13335" s="177" t="s">
        <v>67</v>
      </c>
      <c r="E13335" s="177" t="s">
        <v>16047</v>
      </c>
      <c r="F13335" s="177" t="s">
        <v>285</v>
      </c>
      <c r="G13335" s="177" t="s">
        <v>2107</v>
      </c>
      <c r="H13335" s="127" t="s">
        <v>215</v>
      </c>
    </row>
    <row r="13336" hidden="1">
      <c r="A13336" s="127" t="s">
        <v>233</v>
      </c>
      <c r="C13336" s="127" t="s">
        <v>232</v>
      </c>
      <c r="D13336" s="177" t="s">
        <v>67</v>
      </c>
      <c r="E13336" s="177" t="s">
        <v>16048</v>
      </c>
      <c r="F13336" s="177" t="s">
        <v>357</v>
      </c>
      <c r="G13336" s="177" t="s">
        <v>2779</v>
      </c>
      <c r="H13336" s="127" t="s">
        <v>216</v>
      </c>
    </row>
    <row r="13337" hidden="1">
      <c r="A13337" s="127" t="s">
        <v>234</v>
      </c>
      <c r="C13337" s="127" t="s">
        <v>232</v>
      </c>
      <c r="D13337" s="177" t="s">
        <v>67</v>
      </c>
      <c r="E13337" s="177" t="s">
        <v>16049</v>
      </c>
      <c r="F13337" s="177" t="s">
        <v>249</v>
      </c>
      <c r="G13337" s="177" t="s">
        <v>2472</v>
      </c>
      <c r="H13337" s="127" t="s">
        <v>210</v>
      </c>
    </row>
    <row r="13338" hidden="1">
      <c r="A13338" s="127" t="s">
        <v>234</v>
      </c>
      <c r="C13338" s="127" t="s">
        <v>232</v>
      </c>
      <c r="D13338" s="177" t="s">
        <v>67</v>
      </c>
      <c r="E13338" s="177" t="s">
        <v>16050</v>
      </c>
      <c r="F13338" s="177" t="s">
        <v>331</v>
      </c>
      <c r="G13338" s="177" t="s">
        <v>2472</v>
      </c>
      <c r="H13338" s="127" t="s">
        <v>211</v>
      </c>
    </row>
    <row r="13339" hidden="1">
      <c r="A13339" s="127" t="s">
        <v>234</v>
      </c>
      <c r="C13339" s="127" t="s">
        <v>232</v>
      </c>
      <c r="D13339" s="177" t="s">
        <v>67</v>
      </c>
      <c r="E13339" s="177" t="s">
        <v>16051</v>
      </c>
      <c r="F13339" s="177" t="s">
        <v>244</v>
      </c>
      <c r="G13339" s="177" t="s">
        <v>3075</v>
      </c>
      <c r="H13339" s="127" t="s">
        <v>212</v>
      </c>
    </row>
    <row r="13340" hidden="1">
      <c r="A13340" s="127" t="s">
        <v>234</v>
      </c>
      <c r="C13340" s="127" t="s">
        <v>232</v>
      </c>
      <c r="D13340" s="177" t="s">
        <v>67</v>
      </c>
      <c r="E13340" s="177" t="s">
        <v>16052</v>
      </c>
      <c r="F13340" s="177" t="s">
        <v>308</v>
      </c>
      <c r="G13340" s="177" t="s">
        <v>2119</v>
      </c>
      <c r="H13340" s="127" t="s">
        <v>213</v>
      </c>
    </row>
    <row r="13341" hidden="1">
      <c r="A13341" s="127" t="s">
        <v>234</v>
      </c>
      <c r="C13341" s="127" t="s">
        <v>232</v>
      </c>
      <c r="D13341" s="177" t="s">
        <v>67</v>
      </c>
      <c r="E13341" s="177" t="s">
        <v>16053</v>
      </c>
      <c r="F13341" s="177" t="s">
        <v>290</v>
      </c>
      <c r="G13341" s="177" t="s">
        <v>2299</v>
      </c>
      <c r="H13341" s="127" t="s">
        <v>214</v>
      </c>
    </row>
    <row r="13342" hidden="1">
      <c r="A13342" s="127" t="s">
        <v>234</v>
      </c>
      <c r="C13342" s="127" t="s">
        <v>232</v>
      </c>
      <c r="D13342" s="177" t="s">
        <v>67</v>
      </c>
      <c r="E13342" s="177" t="s">
        <v>16054</v>
      </c>
      <c r="F13342" s="177" t="s">
        <v>305</v>
      </c>
      <c r="G13342" s="177" t="s">
        <v>2989</v>
      </c>
      <c r="H13342" s="127" t="s">
        <v>215</v>
      </c>
    </row>
    <row r="13343" hidden="1">
      <c r="A13343" s="127" t="s">
        <v>234</v>
      </c>
      <c r="C13343" s="127" t="s">
        <v>232</v>
      </c>
      <c r="D13343" s="177" t="s">
        <v>67</v>
      </c>
      <c r="E13343" s="177" t="s">
        <v>16055</v>
      </c>
      <c r="F13343" s="177" t="s">
        <v>249</v>
      </c>
      <c r="G13343" s="177" t="s">
        <v>1834</v>
      </c>
      <c r="H13343" s="127" t="s">
        <v>216</v>
      </c>
    </row>
    <row r="13344" hidden="1">
      <c r="A13344" s="127" t="s">
        <v>235</v>
      </c>
      <c r="C13344" s="127" t="s">
        <v>236</v>
      </c>
      <c r="D13344" s="177" t="s">
        <v>67</v>
      </c>
      <c r="E13344" s="177" t="s">
        <v>16056</v>
      </c>
      <c r="F13344" s="177" t="s">
        <v>323</v>
      </c>
      <c r="G13344" s="177" t="s">
        <v>2730</v>
      </c>
      <c r="H13344" s="127" t="s">
        <v>210</v>
      </c>
    </row>
    <row r="13345" hidden="1">
      <c r="A13345" s="127" t="s">
        <v>235</v>
      </c>
      <c r="C13345" s="127" t="s">
        <v>236</v>
      </c>
      <c r="D13345" s="177" t="s">
        <v>67</v>
      </c>
      <c r="E13345" s="177" t="s">
        <v>16057</v>
      </c>
      <c r="F13345" s="177" t="s">
        <v>242</v>
      </c>
      <c r="G13345" s="177" t="s">
        <v>2023</v>
      </c>
      <c r="H13345" s="127" t="s">
        <v>211</v>
      </c>
    </row>
    <row r="13346" hidden="1">
      <c r="A13346" s="127" t="s">
        <v>235</v>
      </c>
      <c r="C13346" s="127" t="s">
        <v>236</v>
      </c>
      <c r="D13346" s="177" t="s">
        <v>67</v>
      </c>
      <c r="E13346" s="177" t="s">
        <v>16058</v>
      </c>
      <c r="F13346" s="177" t="s">
        <v>244</v>
      </c>
      <c r="G13346" s="177" t="s">
        <v>2091</v>
      </c>
      <c r="H13346" s="127" t="s">
        <v>212</v>
      </c>
    </row>
    <row r="13347" hidden="1">
      <c r="A13347" s="127" t="s">
        <v>235</v>
      </c>
      <c r="C13347" s="127" t="s">
        <v>236</v>
      </c>
      <c r="D13347" s="177" t="s">
        <v>67</v>
      </c>
      <c r="E13347" s="177" t="s">
        <v>16059</v>
      </c>
      <c r="F13347" s="177" t="s">
        <v>357</v>
      </c>
      <c r="G13347" s="177" t="s">
        <v>1812</v>
      </c>
      <c r="H13347" s="127" t="s">
        <v>213</v>
      </c>
    </row>
    <row r="13348" hidden="1">
      <c r="A13348" s="127" t="s">
        <v>235</v>
      </c>
      <c r="C13348" s="127" t="s">
        <v>236</v>
      </c>
      <c r="D13348" s="177" t="s">
        <v>67</v>
      </c>
      <c r="E13348" s="177" t="s">
        <v>16060</v>
      </c>
      <c r="F13348" s="177" t="s">
        <v>365</v>
      </c>
      <c r="G13348" s="177" t="s">
        <v>2637</v>
      </c>
      <c r="H13348" s="127" t="s">
        <v>214</v>
      </c>
    </row>
    <row r="13349" hidden="1">
      <c r="A13349" s="127" t="s">
        <v>235</v>
      </c>
      <c r="C13349" s="127" t="s">
        <v>236</v>
      </c>
      <c r="D13349" s="177" t="s">
        <v>67</v>
      </c>
      <c r="E13349" s="177" t="s">
        <v>16061</v>
      </c>
      <c r="F13349" s="177" t="s">
        <v>323</v>
      </c>
      <c r="G13349" s="177" t="s">
        <v>2146</v>
      </c>
      <c r="H13349" s="127" t="s">
        <v>215</v>
      </c>
    </row>
    <row r="13350" hidden="1">
      <c r="A13350" s="127" t="s">
        <v>235</v>
      </c>
      <c r="C13350" s="127" t="s">
        <v>236</v>
      </c>
      <c r="D13350" s="177" t="s">
        <v>67</v>
      </c>
      <c r="E13350" s="177" t="s">
        <v>16062</v>
      </c>
      <c r="F13350" s="177" t="s">
        <v>365</v>
      </c>
      <c r="G13350" s="177" t="s">
        <v>2055</v>
      </c>
      <c r="H13350" s="127" t="s">
        <v>216</v>
      </c>
    </row>
    <row r="13351" hidden="1">
      <c r="A13351" s="127" t="s">
        <v>237</v>
      </c>
      <c r="C13351" s="127" t="s">
        <v>236</v>
      </c>
      <c r="D13351" s="177" t="s">
        <v>67</v>
      </c>
      <c r="E13351" s="177" t="s">
        <v>16063</v>
      </c>
      <c r="F13351" s="177" t="s">
        <v>323</v>
      </c>
      <c r="G13351" s="177" t="s">
        <v>3546</v>
      </c>
      <c r="H13351" s="127" t="s">
        <v>210</v>
      </c>
    </row>
    <row r="13352" hidden="1">
      <c r="A13352" s="127" t="s">
        <v>237</v>
      </c>
      <c r="C13352" s="127" t="s">
        <v>236</v>
      </c>
      <c r="D13352" s="177" t="s">
        <v>67</v>
      </c>
      <c r="E13352" s="177" t="s">
        <v>16064</v>
      </c>
      <c r="F13352" s="177" t="s">
        <v>321</v>
      </c>
      <c r="G13352" s="177" t="s">
        <v>3900</v>
      </c>
      <c r="H13352" s="127" t="s">
        <v>211</v>
      </c>
    </row>
    <row r="13353" hidden="1">
      <c r="A13353" s="127" t="s">
        <v>237</v>
      </c>
      <c r="C13353" s="127" t="s">
        <v>236</v>
      </c>
      <c r="D13353" s="177" t="s">
        <v>67</v>
      </c>
      <c r="E13353" s="177" t="s">
        <v>16065</v>
      </c>
      <c r="F13353" s="177" t="s">
        <v>323</v>
      </c>
      <c r="G13353" s="177" t="s">
        <v>3115</v>
      </c>
      <c r="H13353" s="127" t="s">
        <v>212</v>
      </c>
    </row>
    <row r="13354" hidden="1">
      <c r="A13354" s="127" t="s">
        <v>237</v>
      </c>
      <c r="C13354" s="127" t="s">
        <v>236</v>
      </c>
      <c r="D13354" s="177" t="s">
        <v>67</v>
      </c>
      <c r="E13354" s="177" t="s">
        <v>16066</v>
      </c>
      <c r="F13354" s="177" t="s">
        <v>310</v>
      </c>
      <c r="G13354" s="177" t="s">
        <v>2513</v>
      </c>
      <c r="H13354" s="127" t="s">
        <v>213</v>
      </c>
    </row>
    <row r="13355" hidden="1">
      <c r="A13355" s="127" t="s">
        <v>237</v>
      </c>
      <c r="C13355" s="127" t="s">
        <v>236</v>
      </c>
      <c r="D13355" s="177" t="s">
        <v>67</v>
      </c>
      <c r="E13355" s="177" t="s">
        <v>16067</v>
      </c>
      <c r="F13355" s="177" t="s">
        <v>249</v>
      </c>
      <c r="G13355" s="177" t="s">
        <v>2826</v>
      </c>
      <c r="H13355" s="127" t="s">
        <v>214</v>
      </c>
    </row>
    <row r="13356" hidden="1">
      <c r="A13356" s="127" t="s">
        <v>237</v>
      </c>
      <c r="C13356" s="127" t="s">
        <v>236</v>
      </c>
      <c r="D13356" s="177" t="s">
        <v>67</v>
      </c>
      <c r="E13356" s="177" t="s">
        <v>16068</v>
      </c>
      <c r="F13356" s="177" t="s">
        <v>534</v>
      </c>
      <c r="G13356" s="177" t="s">
        <v>3438</v>
      </c>
      <c r="H13356" s="127" t="s">
        <v>215</v>
      </c>
    </row>
    <row r="13357" hidden="1">
      <c r="A13357" s="127" t="s">
        <v>237</v>
      </c>
      <c r="C13357" s="127" t="s">
        <v>236</v>
      </c>
      <c r="D13357" s="177" t="s">
        <v>67</v>
      </c>
      <c r="E13357" s="177" t="s">
        <v>16069</v>
      </c>
      <c r="F13357" s="177" t="s">
        <v>359</v>
      </c>
      <c r="G13357" s="177" t="s">
        <v>3574</v>
      </c>
      <c r="H13357" s="127" t="s">
        <v>216</v>
      </c>
    </row>
    <row r="13358" hidden="1">
      <c r="A13358" s="177" t="s">
        <v>204</v>
      </c>
      <c r="B13358" s="127" t="s">
        <v>205</v>
      </c>
      <c r="C13358" s="127" t="s">
        <v>206</v>
      </c>
      <c r="D13358" s="177" t="s">
        <v>68</v>
      </c>
      <c r="E13358" s="177" t="s">
        <v>16070</v>
      </c>
      <c r="F13358" s="177" t="s">
        <v>314</v>
      </c>
      <c r="G13358" s="177" t="s">
        <v>1839</v>
      </c>
      <c r="H13358" s="127" t="s">
        <v>210</v>
      </c>
    </row>
    <row r="13359" hidden="1">
      <c r="A13359" s="177" t="s">
        <v>204</v>
      </c>
      <c r="B13359" s="127" t="s">
        <v>205</v>
      </c>
      <c r="C13359" s="127" t="s">
        <v>206</v>
      </c>
      <c r="D13359" s="177" t="s">
        <v>68</v>
      </c>
      <c r="E13359" s="177" t="s">
        <v>16071</v>
      </c>
      <c r="F13359" s="177" t="s">
        <v>359</v>
      </c>
      <c r="G13359" s="177" t="s">
        <v>2043</v>
      </c>
      <c r="H13359" s="127" t="s">
        <v>211</v>
      </c>
    </row>
    <row r="13360" hidden="1">
      <c r="A13360" s="177" t="s">
        <v>204</v>
      </c>
      <c r="B13360" s="127" t="s">
        <v>205</v>
      </c>
      <c r="C13360" s="127" t="s">
        <v>206</v>
      </c>
      <c r="D13360" s="177" t="s">
        <v>68</v>
      </c>
      <c r="E13360" s="177" t="s">
        <v>16072</v>
      </c>
      <c r="F13360" s="177" t="s">
        <v>285</v>
      </c>
      <c r="G13360" s="177" t="s">
        <v>2401</v>
      </c>
      <c r="H13360" s="127" t="s">
        <v>212</v>
      </c>
    </row>
    <row r="13361" hidden="1">
      <c r="A13361" s="177" t="s">
        <v>204</v>
      </c>
      <c r="B13361" s="127" t="s">
        <v>205</v>
      </c>
      <c r="C13361" s="127" t="s">
        <v>206</v>
      </c>
      <c r="D13361" s="177" t="s">
        <v>68</v>
      </c>
      <c r="E13361" s="177" t="s">
        <v>16073</v>
      </c>
      <c r="F13361" s="177" t="s">
        <v>323</v>
      </c>
      <c r="G13361" s="177" t="s">
        <v>2299</v>
      </c>
      <c r="H13361" s="127" t="s">
        <v>213</v>
      </c>
    </row>
    <row r="13362" hidden="1">
      <c r="A13362" s="177" t="s">
        <v>204</v>
      </c>
      <c r="B13362" s="127" t="s">
        <v>205</v>
      </c>
      <c r="C13362" s="127" t="s">
        <v>206</v>
      </c>
      <c r="D13362" s="177" t="s">
        <v>68</v>
      </c>
      <c r="E13362" s="177" t="s">
        <v>16074</v>
      </c>
      <c r="F13362" s="177" t="s">
        <v>359</v>
      </c>
      <c r="G13362" s="177" t="s">
        <v>2697</v>
      </c>
      <c r="H13362" s="127" t="s">
        <v>214</v>
      </c>
    </row>
    <row r="13363" hidden="1">
      <c r="A13363" s="177" t="s">
        <v>204</v>
      </c>
      <c r="B13363" s="127" t="s">
        <v>205</v>
      </c>
      <c r="C13363" s="127" t="s">
        <v>206</v>
      </c>
      <c r="D13363" s="177" t="s">
        <v>68</v>
      </c>
      <c r="E13363" s="177" t="s">
        <v>16075</v>
      </c>
      <c r="F13363" s="177" t="s">
        <v>314</v>
      </c>
      <c r="G13363" s="177" t="s">
        <v>2779</v>
      </c>
      <c r="H13363" s="127" t="s">
        <v>215</v>
      </c>
    </row>
    <row r="13364" hidden="1">
      <c r="A13364" s="177" t="s">
        <v>204</v>
      </c>
      <c r="B13364" s="127" t="s">
        <v>205</v>
      </c>
      <c r="C13364" s="127" t="s">
        <v>206</v>
      </c>
      <c r="D13364" s="177" t="s">
        <v>68</v>
      </c>
      <c r="E13364" s="177" t="s">
        <v>16076</v>
      </c>
      <c r="F13364" s="177" t="s">
        <v>359</v>
      </c>
      <c r="G13364" s="177" t="s">
        <v>2070</v>
      </c>
      <c r="H13364" s="127" t="s">
        <v>216</v>
      </c>
    </row>
    <row r="13365" hidden="1">
      <c r="A13365" s="177" t="s">
        <v>217</v>
      </c>
      <c r="B13365" s="127" t="s">
        <v>191</v>
      </c>
      <c r="C13365" s="127" t="s">
        <v>206</v>
      </c>
      <c r="D13365" s="177" t="s">
        <v>68</v>
      </c>
      <c r="E13365" s="177" t="s">
        <v>16077</v>
      </c>
      <c r="F13365" s="177" t="s">
        <v>314</v>
      </c>
      <c r="G13365" s="177" t="s">
        <v>3010</v>
      </c>
      <c r="H13365" s="127" t="s">
        <v>210</v>
      </c>
    </row>
    <row r="13366" hidden="1">
      <c r="A13366" s="177" t="s">
        <v>217</v>
      </c>
      <c r="B13366" s="127" t="s">
        <v>191</v>
      </c>
      <c r="C13366" s="127" t="s">
        <v>206</v>
      </c>
      <c r="D13366" s="177" t="s">
        <v>68</v>
      </c>
      <c r="E13366" s="177" t="s">
        <v>16078</v>
      </c>
      <c r="F13366" s="177" t="s">
        <v>285</v>
      </c>
      <c r="G13366" s="177" t="s">
        <v>2401</v>
      </c>
      <c r="H13366" s="127" t="s">
        <v>211</v>
      </c>
    </row>
    <row r="13367" hidden="1">
      <c r="A13367" s="177" t="s">
        <v>217</v>
      </c>
      <c r="B13367" s="127" t="s">
        <v>191</v>
      </c>
      <c r="C13367" s="127" t="s">
        <v>206</v>
      </c>
      <c r="D13367" s="177" t="s">
        <v>68</v>
      </c>
      <c r="E13367" s="177" t="s">
        <v>16079</v>
      </c>
      <c r="F13367" s="177" t="s">
        <v>285</v>
      </c>
      <c r="G13367" s="177" t="s">
        <v>2364</v>
      </c>
      <c r="H13367" s="127" t="s">
        <v>212</v>
      </c>
    </row>
    <row r="13368" hidden="1">
      <c r="A13368" s="177" t="s">
        <v>217</v>
      </c>
      <c r="B13368" s="127" t="s">
        <v>191</v>
      </c>
      <c r="C13368" s="127" t="s">
        <v>206</v>
      </c>
      <c r="D13368" s="177" t="s">
        <v>68</v>
      </c>
      <c r="E13368" s="177" t="s">
        <v>16080</v>
      </c>
      <c r="F13368" s="177" t="s">
        <v>285</v>
      </c>
      <c r="G13368" s="177" t="s">
        <v>1820</v>
      </c>
      <c r="H13368" s="127" t="s">
        <v>213</v>
      </c>
    </row>
    <row r="13369" hidden="1">
      <c r="A13369" s="177" t="s">
        <v>217</v>
      </c>
      <c r="B13369" s="127" t="s">
        <v>191</v>
      </c>
      <c r="C13369" s="127" t="s">
        <v>206</v>
      </c>
      <c r="D13369" s="177" t="s">
        <v>68</v>
      </c>
      <c r="E13369" s="177" t="s">
        <v>16081</v>
      </c>
      <c r="F13369" s="177" t="s">
        <v>249</v>
      </c>
      <c r="G13369" s="177" t="s">
        <v>2398</v>
      </c>
      <c r="H13369" s="127" t="s">
        <v>214</v>
      </c>
    </row>
    <row r="13370" hidden="1">
      <c r="A13370" s="177" t="s">
        <v>217</v>
      </c>
      <c r="B13370" s="127" t="s">
        <v>191</v>
      </c>
      <c r="C13370" s="127" t="s">
        <v>206</v>
      </c>
      <c r="D13370" s="177" t="s">
        <v>68</v>
      </c>
      <c r="E13370" s="177" t="s">
        <v>16082</v>
      </c>
      <c r="F13370" s="177" t="s">
        <v>257</v>
      </c>
      <c r="G13370" s="177" t="s">
        <v>2057</v>
      </c>
      <c r="H13370" s="127" t="s">
        <v>215</v>
      </c>
    </row>
    <row r="13371" hidden="1">
      <c r="A13371" s="177" t="s">
        <v>217</v>
      </c>
      <c r="B13371" s="127" t="s">
        <v>191</v>
      </c>
      <c r="C13371" s="127" t="s">
        <v>206</v>
      </c>
      <c r="D13371" s="177" t="s">
        <v>68</v>
      </c>
      <c r="E13371" s="177" t="s">
        <v>16083</v>
      </c>
      <c r="F13371" s="177" t="s">
        <v>359</v>
      </c>
      <c r="G13371" s="177" t="s">
        <v>2785</v>
      </c>
      <c r="H13371" s="127" t="s">
        <v>216</v>
      </c>
    </row>
    <row r="13372" hidden="1">
      <c r="A13372" s="177" t="s">
        <v>218</v>
      </c>
      <c r="B13372" s="127" t="s">
        <v>219</v>
      </c>
      <c r="C13372" s="127" t="s">
        <v>206</v>
      </c>
      <c r="D13372" s="177" t="s">
        <v>68</v>
      </c>
      <c r="E13372" s="177" t="s">
        <v>16084</v>
      </c>
      <c r="F13372" s="177" t="s">
        <v>285</v>
      </c>
      <c r="G13372" s="177" t="s">
        <v>2398</v>
      </c>
      <c r="H13372" s="127" t="s">
        <v>210</v>
      </c>
    </row>
    <row r="13373" hidden="1">
      <c r="A13373" s="177" t="s">
        <v>218</v>
      </c>
      <c r="B13373" s="127" t="s">
        <v>219</v>
      </c>
      <c r="C13373" s="127" t="s">
        <v>206</v>
      </c>
      <c r="D13373" s="177" t="s">
        <v>68</v>
      </c>
      <c r="E13373" s="177" t="s">
        <v>16085</v>
      </c>
      <c r="F13373" s="177" t="s">
        <v>314</v>
      </c>
      <c r="G13373" s="177" t="s">
        <v>1818</v>
      </c>
      <c r="H13373" s="127" t="s">
        <v>211</v>
      </c>
    </row>
    <row r="13374" hidden="1">
      <c r="A13374" s="177" t="s">
        <v>218</v>
      </c>
      <c r="B13374" s="127" t="s">
        <v>219</v>
      </c>
      <c r="C13374" s="127" t="s">
        <v>206</v>
      </c>
      <c r="D13374" s="177" t="s">
        <v>68</v>
      </c>
      <c r="E13374" s="177" t="s">
        <v>16086</v>
      </c>
      <c r="F13374" s="177" t="s">
        <v>308</v>
      </c>
      <c r="G13374" s="177" t="s">
        <v>1749</v>
      </c>
      <c r="H13374" s="127" t="s">
        <v>212</v>
      </c>
    </row>
    <row r="13375" hidden="1">
      <c r="A13375" s="177" t="s">
        <v>218</v>
      </c>
      <c r="B13375" s="127" t="s">
        <v>219</v>
      </c>
      <c r="C13375" s="127" t="s">
        <v>206</v>
      </c>
      <c r="D13375" s="177" t="s">
        <v>68</v>
      </c>
      <c r="E13375" s="177" t="s">
        <v>16087</v>
      </c>
      <c r="F13375" s="177" t="s">
        <v>310</v>
      </c>
      <c r="G13375" s="177" t="s">
        <v>2688</v>
      </c>
      <c r="H13375" s="127" t="s">
        <v>213</v>
      </c>
    </row>
    <row r="13376" hidden="1">
      <c r="A13376" s="177" t="s">
        <v>218</v>
      </c>
      <c r="B13376" s="127" t="s">
        <v>219</v>
      </c>
      <c r="C13376" s="127" t="s">
        <v>206</v>
      </c>
      <c r="D13376" s="177" t="s">
        <v>68</v>
      </c>
      <c r="E13376" s="177" t="s">
        <v>16088</v>
      </c>
      <c r="F13376" s="177" t="s">
        <v>314</v>
      </c>
      <c r="G13376" s="177" t="s">
        <v>1818</v>
      </c>
      <c r="H13376" s="127" t="s">
        <v>214</v>
      </c>
    </row>
    <row r="13377" hidden="1">
      <c r="A13377" s="177" t="s">
        <v>218</v>
      </c>
      <c r="B13377" s="127" t="s">
        <v>219</v>
      </c>
      <c r="C13377" s="127" t="s">
        <v>206</v>
      </c>
      <c r="D13377" s="177" t="s">
        <v>68</v>
      </c>
      <c r="E13377" s="177" t="s">
        <v>16089</v>
      </c>
      <c r="F13377" s="177" t="s">
        <v>249</v>
      </c>
      <c r="G13377" s="177" t="s">
        <v>2129</v>
      </c>
      <c r="H13377" s="127" t="s">
        <v>215</v>
      </c>
    </row>
    <row r="13378" hidden="1">
      <c r="A13378" s="177" t="s">
        <v>218</v>
      </c>
      <c r="B13378" s="127" t="s">
        <v>219</v>
      </c>
      <c r="C13378" s="127" t="s">
        <v>206</v>
      </c>
      <c r="D13378" s="177" t="s">
        <v>68</v>
      </c>
      <c r="E13378" s="177" t="s">
        <v>16090</v>
      </c>
      <c r="F13378" s="177" t="s">
        <v>314</v>
      </c>
      <c r="G13378" s="177" t="s">
        <v>2376</v>
      </c>
      <c r="H13378" s="127" t="s">
        <v>216</v>
      </c>
    </row>
    <row r="13379" hidden="1">
      <c r="A13379" s="177" t="s">
        <v>220</v>
      </c>
      <c r="B13379" s="127" t="s">
        <v>190</v>
      </c>
      <c r="C13379" s="127" t="s">
        <v>206</v>
      </c>
      <c r="D13379" s="177" t="s">
        <v>68</v>
      </c>
      <c r="E13379" s="177" t="s">
        <v>16091</v>
      </c>
      <c r="F13379" s="177" t="s">
        <v>305</v>
      </c>
      <c r="G13379" s="177" t="s">
        <v>7097</v>
      </c>
      <c r="H13379" s="127" t="s">
        <v>210</v>
      </c>
    </row>
    <row r="13380" hidden="1">
      <c r="A13380" s="177" t="s">
        <v>220</v>
      </c>
      <c r="B13380" s="127" t="s">
        <v>190</v>
      </c>
      <c r="C13380" s="127" t="s">
        <v>206</v>
      </c>
      <c r="D13380" s="177" t="s">
        <v>68</v>
      </c>
      <c r="E13380" s="177" t="s">
        <v>16092</v>
      </c>
      <c r="F13380" s="177" t="s">
        <v>287</v>
      </c>
      <c r="G13380" s="177" t="s">
        <v>1801</v>
      </c>
      <c r="H13380" s="127" t="s">
        <v>211</v>
      </c>
    </row>
    <row r="13381" hidden="1">
      <c r="A13381" s="177" t="s">
        <v>220</v>
      </c>
      <c r="B13381" s="127" t="s">
        <v>190</v>
      </c>
      <c r="C13381" s="127" t="s">
        <v>206</v>
      </c>
      <c r="D13381" s="177" t="s">
        <v>68</v>
      </c>
      <c r="E13381" s="177" t="s">
        <v>16093</v>
      </c>
      <c r="F13381" s="177" t="s">
        <v>244</v>
      </c>
      <c r="G13381" s="177" t="s">
        <v>1787</v>
      </c>
      <c r="H13381" s="127" t="s">
        <v>212</v>
      </c>
    </row>
    <row r="13382" hidden="1">
      <c r="A13382" s="177" t="s">
        <v>220</v>
      </c>
      <c r="B13382" s="127" t="s">
        <v>190</v>
      </c>
      <c r="C13382" s="127" t="s">
        <v>206</v>
      </c>
      <c r="D13382" s="177" t="s">
        <v>68</v>
      </c>
      <c r="E13382" s="177" t="s">
        <v>16094</v>
      </c>
      <c r="F13382" s="177" t="s">
        <v>359</v>
      </c>
      <c r="G13382" s="177" t="s">
        <v>1908</v>
      </c>
      <c r="H13382" s="127" t="s">
        <v>213</v>
      </c>
    </row>
    <row r="13383" hidden="1">
      <c r="A13383" s="177" t="s">
        <v>220</v>
      </c>
      <c r="B13383" s="127" t="s">
        <v>190</v>
      </c>
      <c r="C13383" s="127" t="s">
        <v>206</v>
      </c>
      <c r="D13383" s="177" t="s">
        <v>68</v>
      </c>
      <c r="E13383" s="177" t="s">
        <v>16095</v>
      </c>
      <c r="F13383" s="177" t="s">
        <v>321</v>
      </c>
      <c r="G13383" s="177" t="s">
        <v>1822</v>
      </c>
      <c r="H13383" s="127" t="s">
        <v>214</v>
      </c>
    </row>
    <row r="13384" hidden="1">
      <c r="A13384" s="177" t="s">
        <v>220</v>
      </c>
      <c r="B13384" s="127" t="s">
        <v>190</v>
      </c>
      <c r="C13384" s="127" t="s">
        <v>206</v>
      </c>
      <c r="D13384" s="177" t="s">
        <v>68</v>
      </c>
      <c r="E13384" s="177" t="s">
        <v>16096</v>
      </c>
      <c r="F13384" s="177" t="s">
        <v>323</v>
      </c>
      <c r="G13384" s="177" t="s">
        <v>2051</v>
      </c>
      <c r="H13384" s="127" t="s">
        <v>215</v>
      </c>
    </row>
    <row r="13385" hidden="1">
      <c r="A13385" s="177" t="s">
        <v>220</v>
      </c>
      <c r="B13385" s="127" t="s">
        <v>190</v>
      </c>
      <c r="C13385" s="127" t="s">
        <v>206</v>
      </c>
      <c r="D13385" s="177" t="s">
        <v>68</v>
      </c>
      <c r="E13385" s="177" t="s">
        <v>16097</v>
      </c>
      <c r="F13385" s="177" t="s">
        <v>314</v>
      </c>
      <c r="G13385" s="177" t="s">
        <v>1806</v>
      </c>
      <c r="H13385" s="127" t="s">
        <v>216</v>
      </c>
    </row>
    <row r="13386" hidden="1">
      <c r="A13386" s="177" t="s">
        <v>221</v>
      </c>
      <c r="B13386" s="127" t="s">
        <v>189</v>
      </c>
      <c r="C13386" s="127" t="s">
        <v>206</v>
      </c>
      <c r="D13386" s="177" t="s">
        <v>68</v>
      </c>
      <c r="E13386" s="177" t="s">
        <v>16098</v>
      </c>
      <c r="F13386" s="177" t="s">
        <v>359</v>
      </c>
      <c r="G13386" s="177" t="s">
        <v>1921</v>
      </c>
      <c r="H13386" s="127" t="s">
        <v>210</v>
      </c>
    </row>
    <row r="13387" hidden="1">
      <c r="A13387" s="177" t="s">
        <v>221</v>
      </c>
      <c r="B13387" s="127" t="s">
        <v>189</v>
      </c>
      <c r="C13387" s="127" t="s">
        <v>206</v>
      </c>
      <c r="D13387" s="177" t="s">
        <v>68</v>
      </c>
      <c r="E13387" s="177" t="s">
        <v>16099</v>
      </c>
      <c r="F13387" s="177" t="s">
        <v>305</v>
      </c>
      <c r="G13387" s="177" t="s">
        <v>2508</v>
      </c>
      <c r="H13387" s="127" t="s">
        <v>211</v>
      </c>
    </row>
    <row r="13388" hidden="1">
      <c r="A13388" s="177" t="s">
        <v>221</v>
      </c>
      <c r="B13388" s="127" t="s">
        <v>189</v>
      </c>
      <c r="C13388" s="127" t="s">
        <v>206</v>
      </c>
      <c r="D13388" s="177" t="s">
        <v>68</v>
      </c>
      <c r="E13388" s="177" t="s">
        <v>16100</v>
      </c>
      <c r="F13388" s="177" t="s">
        <v>365</v>
      </c>
      <c r="G13388" s="177" t="s">
        <v>3284</v>
      </c>
      <c r="H13388" s="127" t="s">
        <v>212</v>
      </c>
    </row>
    <row r="13389" hidden="1">
      <c r="A13389" s="177" t="s">
        <v>221</v>
      </c>
      <c r="B13389" s="127" t="s">
        <v>189</v>
      </c>
      <c r="C13389" s="127" t="s">
        <v>206</v>
      </c>
      <c r="D13389" s="177" t="s">
        <v>68</v>
      </c>
      <c r="E13389" s="177" t="s">
        <v>16101</v>
      </c>
      <c r="F13389" s="177" t="s">
        <v>359</v>
      </c>
      <c r="G13389" s="177" t="s">
        <v>3237</v>
      </c>
      <c r="H13389" s="127" t="s">
        <v>213</v>
      </c>
    </row>
    <row r="13390" hidden="1">
      <c r="A13390" s="177" t="s">
        <v>221</v>
      </c>
      <c r="B13390" s="127" t="s">
        <v>189</v>
      </c>
      <c r="C13390" s="127" t="s">
        <v>206</v>
      </c>
      <c r="D13390" s="177" t="s">
        <v>68</v>
      </c>
      <c r="E13390" s="177" t="s">
        <v>16102</v>
      </c>
      <c r="F13390" s="177" t="s">
        <v>725</v>
      </c>
      <c r="G13390" s="177" t="s">
        <v>1782</v>
      </c>
      <c r="H13390" s="127" t="s">
        <v>214</v>
      </c>
    </row>
    <row r="13391" hidden="1">
      <c r="A13391" s="177" t="s">
        <v>221</v>
      </c>
      <c r="B13391" s="127" t="s">
        <v>189</v>
      </c>
      <c r="C13391" s="127" t="s">
        <v>206</v>
      </c>
      <c r="D13391" s="177" t="s">
        <v>68</v>
      </c>
      <c r="E13391" s="177" t="s">
        <v>16103</v>
      </c>
      <c r="F13391" s="177" t="s">
        <v>478</v>
      </c>
      <c r="G13391" s="177" t="s">
        <v>3930</v>
      </c>
      <c r="H13391" s="127" t="s">
        <v>215</v>
      </c>
    </row>
    <row r="13392" hidden="1">
      <c r="A13392" s="177" t="s">
        <v>221</v>
      </c>
      <c r="B13392" s="127" t="s">
        <v>189</v>
      </c>
      <c r="C13392" s="127" t="s">
        <v>206</v>
      </c>
      <c r="D13392" s="177" t="s">
        <v>68</v>
      </c>
      <c r="E13392" s="177" t="s">
        <v>16104</v>
      </c>
      <c r="F13392" s="177" t="s">
        <v>331</v>
      </c>
      <c r="G13392" s="177" t="s">
        <v>3412</v>
      </c>
      <c r="H13392" s="127" t="s">
        <v>216</v>
      </c>
    </row>
    <row r="13393" hidden="1">
      <c r="A13393" s="177" t="s">
        <v>222</v>
      </c>
      <c r="B13393" s="127" t="s">
        <v>192</v>
      </c>
      <c r="C13393" s="127" t="s">
        <v>206</v>
      </c>
      <c r="D13393" s="177" t="s">
        <v>68</v>
      </c>
      <c r="E13393" s="177" t="s">
        <v>16105</v>
      </c>
      <c r="F13393" s="177" t="s">
        <v>365</v>
      </c>
      <c r="G13393" s="177" t="s">
        <v>1737</v>
      </c>
      <c r="H13393" s="127" t="s">
        <v>210</v>
      </c>
    </row>
    <row r="13394" hidden="1">
      <c r="A13394" s="177" t="s">
        <v>222</v>
      </c>
      <c r="B13394" s="127" t="s">
        <v>192</v>
      </c>
      <c r="C13394" s="127" t="s">
        <v>206</v>
      </c>
      <c r="D13394" s="177" t="s">
        <v>68</v>
      </c>
      <c r="E13394" s="177" t="s">
        <v>16106</v>
      </c>
      <c r="F13394" s="177" t="s">
        <v>287</v>
      </c>
      <c r="G13394" s="177" t="s">
        <v>2087</v>
      </c>
      <c r="H13394" s="127" t="s">
        <v>211</v>
      </c>
    </row>
    <row r="13395" hidden="1">
      <c r="A13395" s="177" t="s">
        <v>222</v>
      </c>
      <c r="B13395" s="127" t="s">
        <v>192</v>
      </c>
      <c r="C13395" s="127" t="s">
        <v>206</v>
      </c>
      <c r="D13395" s="177" t="s">
        <v>68</v>
      </c>
      <c r="E13395" s="177" t="s">
        <v>16107</v>
      </c>
      <c r="F13395" s="177" t="s">
        <v>492</v>
      </c>
      <c r="G13395" s="177" t="s">
        <v>11634</v>
      </c>
      <c r="H13395" s="127" t="s">
        <v>212</v>
      </c>
    </row>
    <row r="13396" hidden="1">
      <c r="A13396" s="177" t="s">
        <v>222</v>
      </c>
      <c r="B13396" s="127" t="s">
        <v>192</v>
      </c>
      <c r="C13396" s="127" t="s">
        <v>206</v>
      </c>
      <c r="D13396" s="177" t="s">
        <v>68</v>
      </c>
      <c r="E13396" s="177" t="s">
        <v>16108</v>
      </c>
      <c r="F13396" s="177" t="s">
        <v>257</v>
      </c>
      <c r="G13396" s="177" t="s">
        <v>1806</v>
      </c>
      <c r="H13396" s="127" t="s">
        <v>213</v>
      </c>
    </row>
    <row r="13397" hidden="1">
      <c r="A13397" s="177" t="s">
        <v>222</v>
      </c>
      <c r="B13397" s="127" t="s">
        <v>192</v>
      </c>
      <c r="C13397" s="127" t="s">
        <v>206</v>
      </c>
      <c r="D13397" s="177" t="s">
        <v>68</v>
      </c>
      <c r="E13397" s="177" t="s">
        <v>16109</v>
      </c>
      <c r="F13397" s="177" t="s">
        <v>301</v>
      </c>
      <c r="G13397" s="177" t="s">
        <v>1775</v>
      </c>
      <c r="H13397" s="127" t="s">
        <v>214</v>
      </c>
    </row>
    <row r="13398" hidden="1">
      <c r="A13398" s="177" t="s">
        <v>222</v>
      </c>
      <c r="B13398" s="127" t="s">
        <v>192</v>
      </c>
      <c r="C13398" s="127" t="s">
        <v>206</v>
      </c>
      <c r="D13398" s="177" t="s">
        <v>68</v>
      </c>
      <c r="E13398" s="177" t="s">
        <v>16110</v>
      </c>
      <c r="F13398" s="177" t="s">
        <v>242</v>
      </c>
      <c r="G13398" s="177" t="s">
        <v>1883</v>
      </c>
      <c r="H13398" s="127" t="s">
        <v>215</v>
      </c>
    </row>
    <row r="13399" hidden="1">
      <c r="A13399" s="177" t="s">
        <v>222</v>
      </c>
      <c r="B13399" s="127" t="s">
        <v>192</v>
      </c>
      <c r="C13399" s="127" t="s">
        <v>206</v>
      </c>
      <c r="D13399" s="177" t="s">
        <v>68</v>
      </c>
      <c r="E13399" s="177" t="s">
        <v>16111</v>
      </c>
      <c r="F13399" s="177" t="s">
        <v>246</v>
      </c>
      <c r="G13399" s="177" t="s">
        <v>2735</v>
      </c>
      <c r="H13399" s="127" t="s">
        <v>216</v>
      </c>
    </row>
    <row r="13400" hidden="1">
      <c r="A13400" s="177" t="s">
        <v>223</v>
      </c>
      <c r="B13400" s="127" t="s">
        <v>144</v>
      </c>
      <c r="C13400" s="127" t="s">
        <v>206</v>
      </c>
      <c r="D13400" s="177" t="s">
        <v>68</v>
      </c>
      <c r="E13400" s="177" t="s">
        <v>16112</v>
      </c>
      <c r="F13400" s="177" t="s">
        <v>257</v>
      </c>
      <c r="G13400" s="177" t="s">
        <v>2060</v>
      </c>
      <c r="H13400" s="127" t="s">
        <v>210</v>
      </c>
    </row>
    <row r="13401" hidden="1">
      <c r="A13401" s="177" t="s">
        <v>223</v>
      </c>
      <c r="B13401" s="127" t="s">
        <v>144</v>
      </c>
      <c r="C13401" s="127" t="s">
        <v>206</v>
      </c>
      <c r="D13401" s="177" t="s">
        <v>68</v>
      </c>
      <c r="E13401" s="177" t="s">
        <v>16113</v>
      </c>
      <c r="F13401" s="177" t="s">
        <v>359</v>
      </c>
      <c r="G13401" s="177" t="s">
        <v>1810</v>
      </c>
      <c r="H13401" s="127" t="s">
        <v>211</v>
      </c>
    </row>
    <row r="13402" hidden="1">
      <c r="A13402" s="177" t="s">
        <v>223</v>
      </c>
      <c r="B13402" s="127" t="s">
        <v>144</v>
      </c>
      <c r="C13402" s="127" t="s">
        <v>206</v>
      </c>
      <c r="D13402" s="177" t="s">
        <v>68</v>
      </c>
      <c r="E13402" s="177" t="s">
        <v>16114</v>
      </c>
      <c r="F13402" s="177" t="s">
        <v>285</v>
      </c>
      <c r="G13402" s="177" t="s">
        <v>635</v>
      </c>
      <c r="H13402" s="127" t="s">
        <v>212</v>
      </c>
    </row>
    <row r="13403" hidden="1">
      <c r="A13403" s="177" t="s">
        <v>223</v>
      </c>
      <c r="B13403" s="127" t="s">
        <v>144</v>
      </c>
      <c r="C13403" s="127" t="s">
        <v>206</v>
      </c>
      <c r="D13403" s="177" t="s">
        <v>68</v>
      </c>
      <c r="E13403" s="177" t="s">
        <v>16115</v>
      </c>
      <c r="F13403" s="177" t="s">
        <v>257</v>
      </c>
      <c r="G13403" s="177" t="s">
        <v>1841</v>
      </c>
      <c r="H13403" s="127" t="s">
        <v>213</v>
      </c>
    </row>
    <row r="13404" hidden="1">
      <c r="A13404" s="177" t="s">
        <v>223</v>
      </c>
      <c r="B13404" s="127" t="s">
        <v>144</v>
      </c>
      <c r="C13404" s="127" t="s">
        <v>206</v>
      </c>
      <c r="D13404" s="177" t="s">
        <v>68</v>
      </c>
      <c r="E13404" s="177" t="s">
        <v>16116</v>
      </c>
      <c r="F13404" s="177" t="s">
        <v>323</v>
      </c>
      <c r="G13404" s="177" t="s">
        <v>1955</v>
      </c>
      <c r="H13404" s="127" t="s">
        <v>214</v>
      </c>
    </row>
    <row r="13405" hidden="1">
      <c r="A13405" s="177" t="s">
        <v>223</v>
      </c>
      <c r="B13405" s="127" t="s">
        <v>144</v>
      </c>
      <c r="C13405" s="127" t="s">
        <v>206</v>
      </c>
      <c r="D13405" s="177" t="s">
        <v>68</v>
      </c>
      <c r="E13405" s="177" t="s">
        <v>16117</v>
      </c>
      <c r="F13405" s="177" t="s">
        <v>257</v>
      </c>
      <c r="G13405" s="177" t="s">
        <v>2299</v>
      </c>
      <c r="H13405" s="127" t="s">
        <v>215</v>
      </c>
    </row>
    <row r="13406" hidden="1">
      <c r="A13406" s="177" t="s">
        <v>223</v>
      </c>
      <c r="B13406" s="127" t="s">
        <v>144</v>
      </c>
      <c r="C13406" s="127" t="s">
        <v>206</v>
      </c>
      <c r="D13406" s="177" t="s">
        <v>68</v>
      </c>
      <c r="E13406" s="177" t="s">
        <v>16118</v>
      </c>
      <c r="F13406" s="177" t="s">
        <v>242</v>
      </c>
      <c r="G13406" s="177" t="s">
        <v>2398</v>
      </c>
      <c r="H13406" s="127" t="s">
        <v>216</v>
      </c>
    </row>
    <row r="13407" hidden="1">
      <c r="A13407" s="177" t="s">
        <v>224</v>
      </c>
      <c r="B13407" s="127" t="s">
        <v>170</v>
      </c>
      <c r="C13407" s="127" t="s">
        <v>206</v>
      </c>
      <c r="D13407" s="177" t="s">
        <v>68</v>
      </c>
      <c r="E13407" s="177" t="s">
        <v>16119</v>
      </c>
      <c r="F13407" s="177" t="s">
        <v>339</v>
      </c>
      <c r="G13407" s="177" t="s">
        <v>2413</v>
      </c>
      <c r="H13407" s="127" t="s">
        <v>210</v>
      </c>
    </row>
    <row r="13408" hidden="1">
      <c r="A13408" s="177" t="s">
        <v>224</v>
      </c>
      <c r="B13408" s="127" t="s">
        <v>170</v>
      </c>
      <c r="C13408" s="127" t="s">
        <v>206</v>
      </c>
      <c r="D13408" s="177" t="s">
        <v>68</v>
      </c>
      <c r="E13408" s="177" t="s">
        <v>16120</v>
      </c>
      <c r="F13408" s="177" t="s">
        <v>325</v>
      </c>
      <c r="G13408" s="177" t="s">
        <v>1818</v>
      </c>
      <c r="H13408" s="127" t="s">
        <v>211</v>
      </c>
    </row>
    <row r="13409" hidden="1">
      <c r="A13409" s="177" t="s">
        <v>224</v>
      </c>
      <c r="B13409" s="127" t="s">
        <v>170</v>
      </c>
      <c r="C13409" s="127" t="s">
        <v>206</v>
      </c>
      <c r="D13409" s="177" t="s">
        <v>68</v>
      </c>
      <c r="E13409" s="177" t="s">
        <v>16121</v>
      </c>
      <c r="F13409" s="177" t="s">
        <v>351</v>
      </c>
      <c r="G13409" s="177" t="s">
        <v>1858</v>
      </c>
      <c r="H13409" s="127" t="s">
        <v>212</v>
      </c>
    </row>
    <row r="13410" hidden="1">
      <c r="A13410" s="177" t="s">
        <v>224</v>
      </c>
      <c r="B13410" s="127" t="s">
        <v>170</v>
      </c>
      <c r="C13410" s="127" t="s">
        <v>206</v>
      </c>
      <c r="D13410" s="177" t="s">
        <v>68</v>
      </c>
      <c r="E13410" s="177" t="s">
        <v>16122</v>
      </c>
      <c r="F13410" s="177" t="s">
        <v>314</v>
      </c>
      <c r="G13410" s="177" t="s">
        <v>2703</v>
      </c>
      <c r="H13410" s="127" t="s">
        <v>213</v>
      </c>
    </row>
    <row r="13411" hidden="1">
      <c r="A13411" s="177" t="s">
        <v>224</v>
      </c>
      <c r="B13411" s="127" t="s">
        <v>170</v>
      </c>
      <c r="C13411" s="127" t="s">
        <v>206</v>
      </c>
      <c r="D13411" s="177" t="s">
        <v>68</v>
      </c>
      <c r="E13411" s="177" t="s">
        <v>16123</v>
      </c>
      <c r="F13411" s="177" t="s">
        <v>290</v>
      </c>
      <c r="G13411" s="177" t="s">
        <v>2530</v>
      </c>
      <c r="H13411" s="127" t="s">
        <v>214</v>
      </c>
    </row>
    <row r="13412" hidden="1">
      <c r="A13412" s="177" t="s">
        <v>224</v>
      </c>
      <c r="B13412" s="127" t="s">
        <v>170</v>
      </c>
      <c r="C13412" s="127" t="s">
        <v>206</v>
      </c>
      <c r="D13412" s="177" t="s">
        <v>68</v>
      </c>
      <c r="E13412" s="177" t="s">
        <v>16124</v>
      </c>
      <c r="F13412" s="177" t="s">
        <v>325</v>
      </c>
      <c r="G13412" s="177" t="s">
        <v>2311</v>
      </c>
      <c r="H13412" s="127" t="s">
        <v>215</v>
      </c>
    </row>
    <row r="13413" hidden="1">
      <c r="A13413" s="177" t="s">
        <v>224</v>
      </c>
      <c r="B13413" s="127" t="s">
        <v>170</v>
      </c>
      <c r="C13413" s="127" t="s">
        <v>206</v>
      </c>
      <c r="D13413" s="177" t="s">
        <v>68</v>
      </c>
      <c r="E13413" s="177" t="s">
        <v>16125</v>
      </c>
      <c r="F13413" s="177" t="s">
        <v>427</v>
      </c>
      <c r="G13413" s="177" t="s">
        <v>1816</v>
      </c>
      <c r="H13413" s="127" t="s">
        <v>216</v>
      </c>
    </row>
    <row r="13414" hidden="1">
      <c r="A13414" s="177" t="s">
        <v>225</v>
      </c>
      <c r="B13414" s="127" t="s">
        <v>226</v>
      </c>
      <c r="C13414" s="127" t="s">
        <v>206</v>
      </c>
      <c r="D13414" s="177" t="s">
        <v>68</v>
      </c>
      <c r="E13414" s="177" t="s">
        <v>16126</v>
      </c>
      <c r="F13414" s="177" t="s">
        <v>359</v>
      </c>
      <c r="G13414" s="177" t="s">
        <v>2452</v>
      </c>
      <c r="H13414" s="127" t="s">
        <v>210</v>
      </c>
    </row>
    <row r="13415" hidden="1">
      <c r="A13415" s="177" t="s">
        <v>225</v>
      </c>
      <c r="B13415" s="127" t="s">
        <v>226</v>
      </c>
      <c r="C13415" s="127" t="s">
        <v>206</v>
      </c>
      <c r="D13415" s="177" t="s">
        <v>68</v>
      </c>
      <c r="E13415" s="177" t="s">
        <v>16127</v>
      </c>
      <c r="F13415" s="177" t="s">
        <v>365</v>
      </c>
      <c r="G13415" s="177" t="s">
        <v>2138</v>
      </c>
      <c r="H13415" s="127" t="s">
        <v>211</v>
      </c>
    </row>
    <row r="13416" hidden="1">
      <c r="A13416" s="177" t="s">
        <v>225</v>
      </c>
      <c r="B13416" s="127" t="s">
        <v>226</v>
      </c>
      <c r="C13416" s="127" t="s">
        <v>206</v>
      </c>
      <c r="D13416" s="177" t="s">
        <v>68</v>
      </c>
      <c r="E13416" s="177" t="s">
        <v>16128</v>
      </c>
      <c r="F13416" s="177" t="s">
        <v>323</v>
      </c>
      <c r="G13416" s="177" t="s">
        <v>1942</v>
      </c>
      <c r="H13416" s="127" t="s">
        <v>212</v>
      </c>
    </row>
    <row r="13417" hidden="1">
      <c r="A13417" s="177" t="s">
        <v>225</v>
      </c>
      <c r="B13417" s="127" t="s">
        <v>226</v>
      </c>
      <c r="C13417" s="127" t="s">
        <v>206</v>
      </c>
      <c r="D13417" s="177" t="s">
        <v>68</v>
      </c>
      <c r="E13417" s="177" t="s">
        <v>16129</v>
      </c>
      <c r="F13417" s="177" t="s">
        <v>314</v>
      </c>
      <c r="G13417" s="177" t="s">
        <v>2221</v>
      </c>
      <c r="H13417" s="127" t="s">
        <v>213</v>
      </c>
    </row>
    <row r="13418" hidden="1">
      <c r="A13418" s="177" t="s">
        <v>225</v>
      </c>
      <c r="B13418" s="127" t="s">
        <v>226</v>
      </c>
      <c r="C13418" s="127" t="s">
        <v>206</v>
      </c>
      <c r="D13418" s="177" t="s">
        <v>68</v>
      </c>
      <c r="E13418" s="177" t="s">
        <v>16130</v>
      </c>
      <c r="F13418" s="177" t="s">
        <v>290</v>
      </c>
      <c r="G13418" s="177" t="s">
        <v>1832</v>
      </c>
      <c r="H13418" s="127" t="s">
        <v>214</v>
      </c>
    </row>
    <row r="13419" hidden="1">
      <c r="A13419" s="177" t="s">
        <v>225</v>
      </c>
      <c r="B13419" s="127" t="s">
        <v>226</v>
      </c>
      <c r="C13419" s="127" t="s">
        <v>206</v>
      </c>
      <c r="D13419" s="177" t="s">
        <v>68</v>
      </c>
      <c r="E13419" s="177" t="s">
        <v>16131</v>
      </c>
      <c r="F13419" s="177" t="s">
        <v>365</v>
      </c>
      <c r="G13419" s="177" t="s">
        <v>2389</v>
      </c>
      <c r="H13419" s="127" t="s">
        <v>215</v>
      </c>
    </row>
    <row r="13420" hidden="1">
      <c r="A13420" s="177" t="s">
        <v>225</v>
      </c>
      <c r="B13420" s="127" t="s">
        <v>226</v>
      </c>
      <c r="C13420" s="127" t="s">
        <v>206</v>
      </c>
      <c r="D13420" s="177" t="s">
        <v>68</v>
      </c>
      <c r="E13420" s="177" t="s">
        <v>16132</v>
      </c>
      <c r="F13420" s="177" t="s">
        <v>285</v>
      </c>
      <c r="G13420" s="177" t="s">
        <v>4338</v>
      </c>
      <c r="H13420" s="127" t="s">
        <v>216</v>
      </c>
    </row>
    <row r="13421" hidden="1">
      <c r="A13421" s="177" t="s">
        <v>227</v>
      </c>
      <c r="B13421" s="127" t="s">
        <v>195</v>
      </c>
      <c r="C13421" s="127" t="s">
        <v>206</v>
      </c>
      <c r="D13421" s="177" t="s">
        <v>68</v>
      </c>
      <c r="E13421" s="177" t="s">
        <v>16133</v>
      </c>
      <c r="F13421" s="177" t="s">
        <v>257</v>
      </c>
      <c r="G13421" s="177" t="s">
        <v>2299</v>
      </c>
      <c r="H13421" s="127" t="s">
        <v>210</v>
      </c>
    </row>
    <row r="13422" hidden="1">
      <c r="A13422" s="177" t="s">
        <v>227</v>
      </c>
      <c r="B13422" s="127" t="s">
        <v>195</v>
      </c>
      <c r="C13422" s="127" t="s">
        <v>206</v>
      </c>
      <c r="D13422" s="177" t="s">
        <v>68</v>
      </c>
      <c r="E13422" s="177" t="s">
        <v>16134</v>
      </c>
      <c r="F13422" s="177" t="s">
        <v>242</v>
      </c>
      <c r="G13422" s="177" t="s">
        <v>1860</v>
      </c>
      <c r="H13422" s="127" t="s">
        <v>211</v>
      </c>
    </row>
    <row r="13423" hidden="1">
      <c r="A13423" s="177" t="s">
        <v>227</v>
      </c>
      <c r="B13423" s="127" t="s">
        <v>195</v>
      </c>
      <c r="C13423" s="127" t="s">
        <v>206</v>
      </c>
      <c r="D13423" s="177" t="s">
        <v>68</v>
      </c>
      <c r="E13423" s="177" t="s">
        <v>16135</v>
      </c>
      <c r="F13423" s="177" t="s">
        <v>314</v>
      </c>
      <c r="G13423" s="177" t="s">
        <v>1814</v>
      </c>
      <c r="H13423" s="127" t="s">
        <v>212</v>
      </c>
    </row>
    <row r="13424" hidden="1">
      <c r="A13424" s="177" t="s">
        <v>227</v>
      </c>
      <c r="B13424" s="127" t="s">
        <v>195</v>
      </c>
      <c r="C13424" s="127" t="s">
        <v>206</v>
      </c>
      <c r="D13424" s="177" t="s">
        <v>68</v>
      </c>
      <c r="E13424" s="177" t="s">
        <v>16136</v>
      </c>
      <c r="F13424" s="177" t="s">
        <v>242</v>
      </c>
      <c r="G13424" s="177" t="s">
        <v>1843</v>
      </c>
      <c r="H13424" s="127" t="s">
        <v>213</v>
      </c>
    </row>
    <row r="13425" hidden="1">
      <c r="A13425" s="177" t="s">
        <v>227</v>
      </c>
      <c r="B13425" s="127" t="s">
        <v>195</v>
      </c>
      <c r="C13425" s="127" t="s">
        <v>206</v>
      </c>
      <c r="D13425" s="177" t="s">
        <v>68</v>
      </c>
      <c r="E13425" s="177" t="s">
        <v>16137</v>
      </c>
      <c r="F13425" s="177" t="s">
        <v>301</v>
      </c>
      <c r="G13425" s="177" t="s">
        <v>2043</v>
      </c>
      <c r="H13425" s="127" t="s">
        <v>214</v>
      </c>
    </row>
    <row r="13426" hidden="1">
      <c r="A13426" s="177" t="s">
        <v>227</v>
      </c>
      <c r="B13426" s="127" t="s">
        <v>195</v>
      </c>
      <c r="C13426" s="127" t="s">
        <v>206</v>
      </c>
      <c r="D13426" s="177" t="s">
        <v>68</v>
      </c>
      <c r="E13426" s="177" t="s">
        <v>16138</v>
      </c>
      <c r="F13426" s="177" t="s">
        <v>269</v>
      </c>
      <c r="G13426" s="177" t="s">
        <v>1722</v>
      </c>
      <c r="H13426" s="127" t="s">
        <v>215</v>
      </c>
    </row>
    <row r="13427" hidden="1">
      <c r="A13427" s="177" t="s">
        <v>227</v>
      </c>
      <c r="B13427" s="127" t="s">
        <v>195</v>
      </c>
      <c r="C13427" s="127" t="s">
        <v>206</v>
      </c>
      <c r="D13427" s="177" t="s">
        <v>68</v>
      </c>
      <c r="E13427" s="177" t="s">
        <v>16139</v>
      </c>
      <c r="F13427" s="177" t="s">
        <v>246</v>
      </c>
      <c r="G13427" s="177" t="s">
        <v>1868</v>
      </c>
      <c r="H13427" s="127" t="s">
        <v>216</v>
      </c>
    </row>
    <row r="13428" hidden="1">
      <c r="A13428" s="177" t="s">
        <v>228</v>
      </c>
      <c r="B13428" s="127" t="s">
        <v>138</v>
      </c>
      <c r="C13428" s="127" t="s">
        <v>206</v>
      </c>
      <c r="D13428" s="177" t="s">
        <v>68</v>
      </c>
      <c r="E13428" s="177" t="s">
        <v>16140</v>
      </c>
      <c r="F13428" s="177" t="s">
        <v>246</v>
      </c>
      <c r="G13428" s="177" t="s">
        <v>2824</v>
      </c>
      <c r="H13428" s="127" t="s">
        <v>210</v>
      </c>
    </row>
    <row r="13429" hidden="1">
      <c r="A13429" s="177" t="s">
        <v>228</v>
      </c>
      <c r="B13429" s="127" t="s">
        <v>138</v>
      </c>
      <c r="C13429" s="127" t="s">
        <v>206</v>
      </c>
      <c r="D13429" s="177" t="s">
        <v>68</v>
      </c>
      <c r="E13429" s="177" t="s">
        <v>16141</v>
      </c>
      <c r="F13429" s="177" t="s">
        <v>365</v>
      </c>
      <c r="G13429" s="177" t="s">
        <v>4493</v>
      </c>
      <c r="H13429" s="127" t="s">
        <v>211</v>
      </c>
    </row>
    <row r="13430" hidden="1">
      <c r="A13430" s="177" t="s">
        <v>228</v>
      </c>
      <c r="B13430" s="127" t="s">
        <v>138</v>
      </c>
      <c r="C13430" s="127" t="s">
        <v>206</v>
      </c>
      <c r="D13430" s="177" t="s">
        <v>68</v>
      </c>
      <c r="E13430" s="177" t="s">
        <v>16142</v>
      </c>
      <c r="F13430" s="177" t="s">
        <v>298</v>
      </c>
      <c r="G13430" s="177" t="s">
        <v>7282</v>
      </c>
      <c r="H13430" s="127" t="s">
        <v>212</v>
      </c>
    </row>
    <row r="13431" hidden="1">
      <c r="A13431" s="177" t="s">
        <v>228</v>
      </c>
      <c r="B13431" s="127" t="s">
        <v>138</v>
      </c>
      <c r="C13431" s="127" t="s">
        <v>206</v>
      </c>
      <c r="D13431" s="177" t="s">
        <v>68</v>
      </c>
      <c r="E13431" s="177" t="s">
        <v>16143</v>
      </c>
      <c r="F13431" s="177" t="s">
        <v>246</v>
      </c>
      <c r="G13431" s="177" t="s">
        <v>9719</v>
      </c>
      <c r="H13431" s="127" t="s">
        <v>213</v>
      </c>
    </row>
    <row r="13432" hidden="1">
      <c r="A13432" s="177" t="s">
        <v>228</v>
      </c>
      <c r="B13432" s="127" t="s">
        <v>138</v>
      </c>
      <c r="C13432" s="127" t="s">
        <v>206</v>
      </c>
      <c r="D13432" s="177" t="s">
        <v>68</v>
      </c>
      <c r="E13432" s="177" t="s">
        <v>16144</v>
      </c>
      <c r="F13432" s="177" t="s">
        <v>365</v>
      </c>
      <c r="G13432" s="177" t="s">
        <v>4472</v>
      </c>
      <c r="H13432" s="127" t="s">
        <v>214</v>
      </c>
    </row>
    <row r="13433" hidden="1">
      <c r="A13433" s="177" t="s">
        <v>228</v>
      </c>
      <c r="B13433" s="127" t="s">
        <v>138</v>
      </c>
      <c r="C13433" s="127" t="s">
        <v>206</v>
      </c>
      <c r="D13433" s="177" t="s">
        <v>68</v>
      </c>
      <c r="E13433" s="177" t="s">
        <v>16145</v>
      </c>
      <c r="F13433" s="177" t="s">
        <v>323</v>
      </c>
      <c r="G13433" s="177" t="s">
        <v>16146</v>
      </c>
      <c r="H13433" s="127" t="s">
        <v>215</v>
      </c>
    </row>
    <row r="13434" hidden="1">
      <c r="A13434" s="177" t="s">
        <v>228</v>
      </c>
      <c r="B13434" s="127" t="s">
        <v>138</v>
      </c>
      <c r="C13434" s="127" t="s">
        <v>206</v>
      </c>
      <c r="D13434" s="177" t="s">
        <v>68</v>
      </c>
      <c r="E13434" s="177" t="s">
        <v>16147</v>
      </c>
      <c r="F13434" s="177" t="s">
        <v>244</v>
      </c>
      <c r="G13434" s="177" t="s">
        <v>3783</v>
      </c>
      <c r="H13434" s="127" t="s">
        <v>216</v>
      </c>
    </row>
    <row r="13435" hidden="1">
      <c r="A13435" s="177" t="s">
        <v>229</v>
      </c>
      <c r="B13435" s="127" t="s">
        <v>193</v>
      </c>
      <c r="C13435" s="127" t="s">
        <v>206</v>
      </c>
      <c r="D13435" s="177" t="s">
        <v>68</v>
      </c>
      <c r="E13435" s="177" t="s">
        <v>16148</v>
      </c>
      <c r="F13435" s="177" t="s">
        <v>308</v>
      </c>
      <c r="G13435" s="177" t="s">
        <v>2279</v>
      </c>
      <c r="H13435" s="127" t="s">
        <v>210</v>
      </c>
    </row>
    <row r="13436" hidden="1">
      <c r="A13436" s="177" t="s">
        <v>229</v>
      </c>
      <c r="B13436" s="127" t="s">
        <v>193</v>
      </c>
      <c r="C13436" s="127" t="s">
        <v>206</v>
      </c>
      <c r="D13436" s="177" t="s">
        <v>68</v>
      </c>
      <c r="E13436" s="177" t="s">
        <v>16149</v>
      </c>
      <c r="F13436" s="177" t="s">
        <v>323</v>
      </c>
      <c r="G13436" s="177" t="s">
        <v>3138</v>
      </c>
      <c r="H13436" s="127" t="s">
        <v>211</v>
      </c>
    </row>
    <row r="13437" hidden="1">
      <c r="A13437" s="177" t="s">
        <v>229</v>
      </c>
      <c r="B13437" s="127" t="s">
        <v>193</v>
      </c>
      <c r="C13437" s="127" t="s">
        <v>206</v>
      </c>
      <c r="D13437" s="177" t="s">
        <v>68</v>
      </c>
      <c r="E13437" s="177" t="s">
        <v>16150</v>
      </c>
      <c r="F13437" s="177" t="s">
        <v>249</v>
      </c>
      <c r="G13437" s="177" t="s">
        <v>3404</v>
      </c>
      <c r="H13437" s="127" t="s">
        <v>212</v>
      </c>
    </row>
    <row r="13438" hidden="1">
      <c r="A13438" s="177" t="s">
        <v>229</v>
      </c>
      <c r="B13438" s="127" t="s">
        <v>193</v>
      </c>
      <c r="C13438" s="127" t="s">
        <v>206</v>
      </c>
      <c r="D13438" s="177" t="s">
        <v>68</v>
      </c>
      <c r="E13438" s="177" t="s">
        <v>16151</v>
      </c>
      <c r="F13438" s="177" t="s">
        <v>323</v>
      </c>
      <c r="G13438" s="177" t="s">
        <v>2354</v>
      </c>
      <c r="H13438" s="127" t="s">
        <v>213</v>
      </c>
    </row>
    <row r="13439" hidden="1">
      <c r="A13439" s="177" t="s">
        <v>229</v>
      </c>
      <c r="B13439" s="127" t="s">
        <v>193</v>
      </c>
      <c r="C13439" s="127" t="s">
        <v>206</v>
      </c>
      <c r="D13439" s="177" t="s">
        <v>68</v>
      </c>
      <c r="E13439" s="177" t="s">
        <v>16152</v>
      </c>
      <c r="F13439" s="177" t="s">
        <v>442</v>
      </c>
      <c r="G13439" s="177" t="s">
        <v>3396</v>
      </c>
      <c r="H13439" s="127" t="s">
        <v>214</v>
      </c>
    </row>
    <row r="13440" hidden="1">
      <c r="A13440" s="177" t="s">
        <v>229</v>
      </c>
      <c r="B13440" s="127" t="s">
        <v>193</v>
      </c>
      <c r="C13440" s="127" t="s">
        <v>206</v>
      </c>
      <c r="D13440" s="177" t="s">
        <v>68</v>
      </c>
      <c r="E13440" s="177" t="s">
        <v>16153</v>
      </c>
      <c r="F13440" s="177" t="s">
        <v>357</v>
      </c>
      <c r="G13440" s="177" t="s">
        <v>3875</v>
      </c>
      <c r="H13440" s="127" t="s">
        <v>215</v>
      </c>
    </row>
    <row r="13441" hidden="1">
      <c r="A13441" s="177" t="s">
        <v>229</v>
      </c>
      <c r="B13441" s="127" t="s">
        <v>193</v>
      </c>
      <c r="C13441" s="127" t="s">
        <v>206</v>
      </c>
      <c r="D13441" s="177" t="s">
        <v>68</v>
      </c>
      <c r="E13441" s="177" t="s">
        <v>16154</v>
      </c>
      <c r="F13441" s="177" t="s">
        <v>285</v>
      </c>
      <c r="G13441" s="177" t="s">
        <v>3404</v>
      </c>
      <c r="H13441" s="127" t="s">
        <v>216</v>
      </c>
    </row>
    <row r="13442" hidden="1">
      <c r="A13442" s="177" t="s">
        <v>230</v>
      </c>
      <c r="B13442" s="127" t="s">
        <v>194</v>
      </c>
      <c r="C13442" s="127" t="s">
        <v>206</v>
      </c>
      <c r="D13442" s="177" t="s">
        <v>68</v>
      </c>
      <c r="E13442" s="177" t="s">
        <v>16155</v>
      </c>
      <c r="F13442" s="177" t="s">
        <v>359</v>
      </c>
      <c r="G13442" s="177" t="s">
        <v>4338</v>
      </c>
      <c r="H13442" s="127" t="s">
        <v>210</v>
      </c>
    </row>
    <row r="13443" hidden="1">
      <c r="A13443" s="177" t="s">
        <v>230</v>
      </c>
      <c r="B13443" s="127" t="s">
        <v>194</v>
      </c>
      <c r="C13443" s="127" t="s">
        <v>206</v>
      </c>
      <c r="D13443" s="177" t="s">
        <v>68</v>
      </c>
      <c r="E13443" s="177" t="s">
        <v>16156</v>
      </c>
      <c r="F13443" s="177" t="s">
        <v>249</v>
      </c>
      <c r="G13443" s="177" t="s">
        <v>3010</v>
      </c>
      <c r="H13443" s="127" t="s">
        <v>211</v>
      </c>
    </row>
    <row r="13444" hidden="1">
      <c r="A13444" s="177" t="s">
        <v>230</v>
      </c>
      <c r="B13444" s="127" t="s">
        <v>194</v>
      </c>
      <c r="C13444" s="127" t="s">
        <v>206</v>
      </c>
      <c r="D13444" s="177" t="s">
        <v>68</v>
      </c>
      <c r="E13444" s="177" t="s">
        <v>16157</v>
      </c>
      <c r="F13444" s="177" t="s">
        <v>321</v>
      </c>
      <c r="G13444" s="177" t="s">
        <v>2633</v>
      </c>
      <c r="H13444" s="127" t="s">
        <v>212</v>
      </c>
    </row>
    <row r="13445" hidden="1">
      <c r="A13445" s="177" t="s">
        <v>230</v>
      </c>
      <c r="B13445" s="127" t="s">
        <v>194</v>
      </c>
      <c r="C13445" s="127" t="s">
        <v>206</v>
      </c>
      <c r="D13445" s="177" t="s">
        <v>68</v>
      </c>
      <c r="E13445" s="177" t="s">
        <v>16158</v>
      </c>
      <c r="F13445" s="177" t="s">
        <v>359</v>
      </c>
      <c r="G13445" s="177" t="s">
        <v>2633</v>
      </c>
      <c r="H13445" s="127" t="s">
        <v>213</v>
      </c>
    </row>
    <row r="13446" hidden="1">
      <c r="A13446" s="177" t="s">
        <v>230</v>
      </c>
      <c r="B13446" s="127" t="s">
        <v>194</v>
      </c>
      <c r="C13446" s="127" t="s">
        <v>206</v>
      </c>
      <c r="D13446" s="177" t="s">
        <v>68</v>
      </c>
      <c r="E13446" s="177" t="s">
        <v>16159</v>
      </c>
      <c r="F13446" s="177" t="s">
        <v>323</v>
      </c>
      <c r="G13446" s="177" t="s">
        <v>1836</v>
      </c>
      <c r="H13446" s="127" t="s">
        <v>214</v>
      </c>
    </row>
    <row r="13447" hidden="1">
      <c r="A13447" s="177" t="s">
        <v>230</v>
      </c>
      <c r="B13447" s="127" t="s">
        <v>194</v>
      </c>
      <c r="C13447" s="127" t="s">
        <v>206</v>
      </c>
      <c r="D13447" s="177" t="s">
        <v>68</v>
      </c>
      <c r="E13447" s="177" t="s">
        <v>16160</v>
      </c>
      <c r="F13447" s="177" t="s">
        <v>290</v>
      </c>
      <c r="G13447" s="177" t="s">
        <v>2379</v>
      </c>
      <c r="H13447" s="127" t="s">
        <v>215</v>
      </c>
    </row>
    <row r="13448" hidden="1">
      <c r="A13448" s="177" t="s">
        <v>230</v>
      </c>
      <c r="B13448" s="127" t="s">
        <v>194</v>
      </c>
      <c r="C13448" s="127" t="s">
        <v>206</v>
      </c>
      <c r="D13448" s="177" t="s">
        <v>68</v>
      </c>
      <c r="E13448" s="177" t="s">
        <v>16161</v>
      </c>
      <c r="F13448" s="177" t="s">
        <v>314</v>
      </c>
      <c r="G13448" s="177" t="s">
        <v>1839</v>
      </c>
      <c r="H13448" s="127" t="s">
        <v>216</v>
      </c>
    </row>
    <row r="13449" hidden="1">
      <c r="A13449" s="127" t="s">
        <v>231</v>
      </c>
      <c r="C13449" s="127" t="s">
        <v>232</v>
      </c>
      <c r="D13449" s="177" t="s">
        <v>68</v>
      </c>
      <c r="E13449" s="177" t="s">
        <v>16162</v>
      </c>
      <c r="F13449" s="177" t="s">
        <v>534</v>
      </c>
      <c r="G13449" s="177" t="s">
        <v>10676</v>
      </c>
      <c r="H13449" s="127" t="s">
        <v>210</v>
      </c>
    </row>
    <row r="13450" hidden="1">
      <c r="A13450" s="127" t="s">
        <v>231</v>
      </c>
      <c r="C13450" s="127" t="s">
        <v>232</v>
      </c>
      <c r="D13450" s="177" t="s">
        <v>68</v>
      </c>
      <c r="E13450" s="177" t="s">
        <v>16163</v>
      </c>
      <c r="F13450" s="177" t="s">
        <v>359</v>
      </c>
      <c r="G13450" s="177" t="s">
        <v>2218</v>
      </c>
      <c r="H13450" s="127" t="s">
        <v>211</v>
      </c>
    </row>
    <row r="13451" hidden="1">
      <c r="A13451" s="127" t="s">
        <v>231</v>
      </c>
      <c r="C13451" s="127" t="s">
        <v>232</v>
      </c>
      <c r="D13451" s="177" t="s">
        <v>68</v>
      </c>
      <c r="E13451" s="177" t="s">
        <v>16164</v>
      </c>
      <c r="F13451" s="177" t="s">
        <v>285</v>
      </c>
      <c r="G13451" s="177" t="s">
        <v>1929</v>
      </c>
      <c r="H13451" s="127" t="s">
        <v>212</v>
      </c>
    </row>
    <row r="13452" hidden="1">
      <c r="A13452" s="127" t="s">
        <v>231</v>
      </c>
      <c r="C13452" s="127" t="s">
        <v>232</v>
      </c>
      <c r="D13452" s="177" t="s">
        <v>68</v>
      </c>
      <c r="E13452" s="177" t="s">
        <v>16165</v>
      </c>
      <c r="F13452" s="177" t="s">
        <v>483</v>
      </c>
      <c r="G13452" s="177" t="s">
        <v>1920</v>
      </c>
      <c r="H13452" s="127" t="s">
        <v>213</v>
      </c>
    </row>
    <row r="13453" hidden="1">
      <c r="A13453" s="127" t="s">
        <v>231</v>
      </c>
      <c r="C13453" s="127" t="s">
        <v>232</v>
      </c>
      <c r="D13453" s="177" t="s">
        <v>68</v>
      </c>
      <c r="E13453" s="177" t="s">
        <v>16166</v>
      </c>
      <c r="F13453" s="177" t="s">
        <v>425</v>
      </c>
      <c r="G13453" s="177" t="s">
        <v>633</v>
      </c>
      <c r="H13453" s="127" t="s">
        <v>214</v>
      </c>
    </row>
    <row r="13454" hidden="1">
      <c r="A13454" s="127" t="s">
        <v>231</v>
      </c>
      <c r="C13454" s="127" t="s">
        <v>232</v>
      </c>
      <c r="D13454" s="177" t="s">
        <v>68</v>
      </c>
      <c r="E13454" s="177" t="s">
        <v>16167</v>
      </c>
      <c r="F13454" s="177" t="s">
        <v>365</v>
      </c>
      <c r="G13454" s="177" t="s">
        <v>2175</v>
      </c>
      <c r="H13454" s="127" t="s">
        <v>215</v>
      </c>
    </row>
    <row r="13455" hidden="1">
      <c r="A13455" s="127" t="s">
        <v>231</v>
      </c>
      <c r="C13455" s="127" t="s">
        <v>232</v>
      </c>
      <c r="D13455" s="177" t="s">
        <v>68</v>
      </c>
      <c r="E13455" s="177" t="s">
        <v>16168</v>
      </c>
      <c r="F13455" s="177" t="s">
        <v>331</v>
      </c>
      <c r="G13455" s="177" t="s">
        <v>9469</v>
      </c>
      <c r="H13455" s="127" t="s">
        <v>216</v>
      </c>
    </row>
    <row r="13456" hidden="1">
      <c r="A13456" s="127" t="s">
        <v>233</v>
      </c>
      <c r="C13456" s="127" t="s">
        <v>232</v>
      </c>
      <c r="D13456" s="177" t="s">
        <v>68</v>
      </c>
      <c r="E13456" s="177" t="s">
        <v>16169</v>
      </c>
      <c r="F13456" s="177" t="s">
        <v>314</v>
      </c>
      <c r="G13456" s="177" t="s">
        <v>1843</v>
      </c>
      <c r="H13456" s="127" t="s">
        <v>210</v>
      </c>
    </row>
    <row r="13457" hidden="1">
      <c r="A13457" s="127" t="s">
        <v>233</v>
      </c>
      <c r="C13457" s="127" t="s">
        <v>232</v>
      </c>
      <c r="D13457" s="177" t="s">
        <v>68</v>
      </c>
      <c r="E13457" s="177" t="s">
        <v>16170</v>
      </c>
      <c r="F13457" s="177" t="s">
        <v>285</v>
      </c>
      <c r="G13457" s="177" t="s">
        <v>2062</v>
      </c>
      <c r="H13457" s="127" t="s">
        <v>211</v>
      </c>
    </row>
    <row r="13458" hidden="1">
      <c r="A13458" s="127" t="s">
        <v>233</v>
      </c>
      <c r="C13458" s="127" t="s">
        <v>232</v>
      </c>
      <c r="D13458" s="177" t="s">
        <v>68</v>
      </c>
      <c r="E13458" s="177" t="s">
        <v>16171</v>
      </c>
      <c r="F13458" s="177" t="s">
        <v>285</v>
      </c>
      <c r="G13458" s="177" t="s">
        <v>1856</v>
      </c>
      <c r="H13458" s="127" t="s">
        <v>212</v>
      </c>
    </row>
    <row r="13459" hidden="1">
      <c r="A13459" s="127" t="s">
        <v>233</v>
      </c>
      <c r="C13459" s="127" t="s">
        <v>232</v>
      </c>
      <c r="D13459" s="177" t="s">
        <v>68</v>
      </c>
      <c r="E13459" s="177" t="s">
        <v>16172</v>
      </c>
      <c r="F13459" s="177" t="s">
        <v>357</v>
      </c>
      <c r="G13459" s="177" t="s">
        <v>3071</v>
      </c>
      <c r="H13459" s="127" t="s">
        <v>213</v>
      </c>
    </row>
    <row r="13460" hidden="1">
      <c r="A13460" s="127" t="s">
        <v>233</v>
      </c>
      <c r="C13460" s="127" t="s">
        <v>232</v>
      </c>
      <c r="D13460" s="177" t="s">
        <v>68</v>
      </c>
      <c r="E13460" s="177" t="s">
        <v>16173</v>
      </c>
      <c r="F13460" s="177" t="s">
        <v>242</v>
      </c>
      <c r="G13460" s="177" t="s">
        <v>1942</v>
      </c>
      <c r="H13460" s="127" t="s">
        <v>214</v>
      </c>
    </row>
    <row r="13461" hidden="1">
      <c r="A13461" s="127" t="s">
        <v>233</v>
      </c>
      <c r="C13461" s="127" t="s">
        <v>232</v>
      </c>
      <c r="D13461" s="177" t="s">
        <v>68</v>
      </c>
      <c r="E13461" s="177" t="s">
        <v>16174</v>
      </c>
      <c r="F13461" s="177" t="s">
        <v>285</v>
      </c>
      <c r="G13461" s="177" t="s">
        <v>3075</v>
      </c>
      <c r="H13461" s="127" t="s">
        <v>215</v>
      </c>
    </row>
    <row r="13462" hidden="1">
      <c r="A13462" s="127" t="s">
        <v>233</v>
      </c>
      <c r="C13462" s="127" t="s">
        <v>232</v>
      </c>
      <c r="D13462" s="177" t="s">
        <v>68</v>
      </c>
      <c r="E13462" s="177" t="s">
        <v>16175</v>
      </c>
      <c r="F13462" s="177" t="s">
        <v>285</v>
      </c>
      <c r="G13462" s="177" t="s">
        <v>1860</v>
      </c>
      <c r="H13462" s="127" t="s">
        <v>216</v>
      </c>
    </row>
    <row r="13463" hidden="1">
      <c r="A13463" s="127" t="s">
        <v>234</v>
      </c>
      <c r="C13463" s="127" t="s">
        <v>232</v>
      </c>
      <c r="D13463" s="177" t="s">
        <v>68</v>
      </c>
      <c r="E13463" s="177" t="s">
        <v>16176</v>
      </c>
      <c r="F13463" s="177" t="s">
        <v>285</v>
      </c>
      <c r="G13463" s="177" t="s">
        <v>1843</v>
      </c>
      <c r="H13463" s="127" t="s">
        <v>210</v>
      </c>
    </row>
    <row r="13464" hidden="1">
      <c r="A13464" s="127" t="s">
        <v>234</v>
      </c>
      <c r="C13464" s="127" t="s">
        <v>232</v>
      </c>
      <c r="D13464" s="177" t="s">
        <v>68</v>
      </c>
      <c r="E13464" s="177" t="s">
        <v>16177</v>
      </c>
      <c r="F13464" s="177" t="s">
        <v>290</v>
      </c>
      <c r="G13464" s="177" t="s">
        <v>1944</v>
      </c>
      <c r="H13464" s="127" t="s">
        <v>211</v>
      </c>
    </row>
    <row r="13465" hidden="1">
      <c r="A13465" s="127" t="s">
        <v>234</v>
      </c>
      <c r="C13465" s="127" t="s">
        <v>232</v>
      </c>
      <c r="D13465" s="177" t="s">
        <v>68</v>
      </c>
      <c r="E13465" s="177" t="s">
        <v>16178</v>
      </c>
      <c r="F13465" s="177" t="s">
        <v>323</v>
      </c>
      <c r="G13465" s="177" t="s">
        <v>2391</v>
      </c>
      <c r="H13465" s="127" t="s">
        <v>212</v>
      </c>
    </row>
    <row r="13466" hidden="1">
      <c r="A13466" s="127" t="s">
        <v>234</v>
      </c>
      <c r="C13466" s="127" t="s">
        <v>232</v>
      </c>
      <c r="D13466" s="177" t="s">
        <v>68</v>
      </c>
      <c r="E13466" s="177" t="s">
        <v>16179</v>
      </c>
      <c r="F13466" s="177" t="s">
        <v>323</v>
      </c>
      <c r="G13466" s="177" t="s">
        <v>3503</v>
      </c>
      <c r="H13466" s="127" t="s">
        <v>213</v>
      </c>
    </row>
    <row r="13467" hidden="1">
      <c r="A13467" s="127" t="s">
        <v>234</v>
      </c>
      <c r="C13467" s="127" t="s">
        <v>232</v>
      </c>
      <c r="D13467" s="177" t="s">
        <v>68</v>
      </c>
      <c r="E13467" s="177" t="s">
        <v>16180</v>
      </c>
      <c r="F13467" s="177" t="s">
        <v>351</v>
      </c>
      <c r="G13467" s="177" t="s">
        <v>2243</v>
      </c>
      <c r="H13467" s="127" t="s">
        <v>214</v>
      </c>
    </row>
    <row r="13468" hidden="1">
      <c r="A13468" s="127" t="s">
        <v>234</v>
      </c>
      <c r="C13468" s="127" t="s">
        <v>232</v>
      </c>
      <c r="D13468" s="177" t="s">
        <v>68</v>
      </c>
      <c r="E13468" s="177" t="s">
        <v>16181</v>
      </c>
      <c r="F13468" s="177" t="s">
        <v>339</v>
      </c>
      <c r="G13468" s="177" t="s">
        <v>1927</v>
      </c>
      <c r="H13468" s="127" t="s">
        <v>215</v>
      </c>
    </row>
    <row r="13469" hidden="1">
      <c r="A13469" s="127" t="s">
        <v>234</v>
      </c>
      <c r="C13469" s="127" t="s">
        <v>232</v>
      </c>
      <c r="D13469" s="177" t="s">
        <v>68</v>
      </c>
      <c r="E13469" s="177" t="s">
        <v>16182</v>
      </c>
      <c r="F13469" s="177" t="s">
        <v>249</v>
      </c>
      <c r="G13469" s="177" t="s">
        <v>2041</v>
      </c>
      <c r="H13469" s="127" t="s">
        <v>216</v>
      </c>
    </row>
    <row r="13470" hidden="1">
      <c r="A13470" s="127" t="s">
        <v>235</v>
      </c>
      <c r="C13470" s="127" t="s">
        <v>236</v>
      </c>
      <c r="D13470" s="177" t="s">
        <v>68</v>
      </c>
      <c r="E13470" s="177" t="s">
        <v>16183</v>
      </c>
      <c r="F13470" s="177" t="s">
        <v>321</v>
      </c>
      <c r="G13470" s="177" t="s">
        <v>1974</v>
      </c>
      <c r="H13470" s="127" t="s">
        <v>210</v>
      </c>
    </row>
    <row r="13471" hidden="1">
      <c r="A13471" s="127" t="s">
        <v>235</v>
      </c>
      <c r="C13471" s="127" t="s">
        <v>236</v>
      </c>
      <c r="D13471" s="177" t="s">
        <v>68</v>
      </c>
      <c r="E13471" s="177" t="s">
        <v>16184</v>
      </c>
      <c r="F13471" s="177" t="s">
        <v>323</v>
      </c>
      <c r="G13471" s="177" t="s">
        <v>1727</v>
      </c>
      <c r="H13471" s="127" t="s">
        <v>211</v>
      </c>
    </row>
    <row r="13472" hidden="1">
      <c r="A13472" s="127" t="s">
        <v>235</v>
      </c>
      <c r="C13472" s="127" t="s">
        <v>236</v>
      </c>
      <c r="D13472" s="177" t="s">
        <v>68</v>
      </c>
      <c r="E13472" s="177" t="s">
        <v>16185</v>
      </c>
      <c r="F13472" s="177" t="s">
        <v>323</v>
      </c>
      <c r="G13472" s="177" t="s">
        <v>1751</v>
      </c>
      <c r="H13472" s="127" t="s">
        <v>212</v>
      </c>
    </row>
    <row r="13473" hidden="1">
      <c r="A13473" s="127" t="s">
        <v>235</v>
      </c>
      <c r="C13473" s="127" t="s">
        <v>236</v>
      </c>
      <c r="D13473" s="177" t="s">
        <v>68</v>
      </c>
      <c r="E13473" s="177" t="s">
        <v>16186</v>
      </c>
      <c r="F13473" s="177" t="s">
        <v>323</v>
      </c>
      <c r="G13473" s="177" t="s">
        <v>2901</v>
      </c>
      <c r="H13473" s="127" t="s">
        <v>213</v>
      </c>
    </row>
    <row r="13474" hidden="1">
      <c r="A13474" s="127" t="s">
        <v>235</v>
      </c>
      <c r="C13474" s="127" t="s">
        <v>236</v>
      </c>
      <c r="D13474" s="177" t="s">
        <v>68</v>
      </c>
      <c r="E13474" s="177" t="s">
        <v>16187</v>
      </c>
      <c r="F13474" s="177" t="s">
        <v>359</v>
      </c>
      <c r="G13474" s="177" t="s">
        <v>1727</v>
      </c>
      <c r="H13474" s="127" t="s">
        <v>214</v>
      </c>
    </row>
    <row r="13475" hidden="1">
      <c r="A13475" s="127" t="s">
        <v>235</v>
      </c>
      <c r="C13475" s="127" t="s">
        <v>236</v>
      </c>
      <c r="D13475" s="177" t="s">
        <v>68</v>
      </c>
      <c r="E13475" s="177" t="s">
        <v>16188</v>
      </c>
      <c r="F13475" s="177" t="s">
        <v>285</v>
      </c>
      <c r="G13475" s="177" t="s">
        <v>2838</v>
      </c>
      <c r="H13475" s="127" t="s">
        <v>215</v>
      </c>
    </row>
    <row r="13476" hidden="1">
      <c r="A13476" s="127" t="s">
        <v>235</v>
      </c>
      <c r="C13476" s="127" t="s">
        <v>236</v>
      </c>
      <c r="D13476" s="177" t="s">
        <v>68</v>
      </c>
      <c r="E13476" s="177" t="s">
        <v>16189</v>
      </c>
      <c r="F13476" s="177" t="s">
        <v>359</v>
      </c>
      <c r="G13476" s="177" t="s">
        <v>2730</v>
      </c>
      <c r="H13476" s="127" t="s">
        <v>216</v>
      </c>
    </row>
    <row r="13477" hidden="1">
      <c r="A13477" s="127" t="s">
        <v>237</v>
      </c>
      <c r="C13477" s="127" t="s">
        <v>236</v>
      </c>
      <c r="D13477" s="177" t="s">
        <v>68</v>
      </c>
      <c r="E13477" s="177" t="s">
        <v>16190</v>
      </c>
      <c r="F13477" s="177" t="s">
        <v>359</v>
      </c>
      <c r="G13477" s="177" t="s">
        <v>2283</v>
      </c>
      <c r="H13477" s="127" t="s">
        <v>210</v>
      </c>
    </row>
    <row r="13478" hidden="1">
      <c r="A13478" s="127" t="s">
        <v>237</v>
      </c>
      <c r="C13478" s="127" t="s">
        <v>236</v>
      </c>
      <c r="D13478" s="177" t="s">
        <v>68</v>
      </c>
      <c r="E13478" s="177" t="s">
        <v>16191</v>
      </c>
      <c r="F13478" s="177" t="s">
        <v>290</v>
      </c>
      <c r="G13478" s="177" t="s">
        <v>3572</v>
      </c>
      <c r="H13478" s="127" t="s">
        <v>211</v>
      </c>
    </row>
    <row r="13479" hidden="1">
      <c r="A13479" s="127" t="s">
        <v>237</v>
      </c>
      <c r="C13479" s="127" t="s">
        <v>236</v>
      </c>
      <c r="D13479" s="177" t="s">
        <v>68</v>
      </c>
      <c r="E13479" s="177" t="s">
        <v>16192</v>
      </c>
      <c r="F13479" s="177" t="s">
        <v>359</v>
      </c>
      <c r="G13479" s="177" t="s">
        <v>3380</v>
      </c>
      <c r="H13479" s="127" t="s">
        <v>212</v>
      </c>
    </row>
    <row r="13480" hidden="1">
      <c r="A13480" s="127" t="s">
        <v>237</v>
      </c>
      <c r="C13480" s="127" t="s">
        <v>236</v>
      </c>
      <c r="D13480" s="177" t="s">
        <v>68</v>
      </c>
      <c r="E13480" s="177" t="s">
        <v>16193</v>
      </c>
      <c r="F13480" s="177" t="s">
        <v>323</v>
      </c>
      <c r="G13480" s="177" t="s">
        <v>3478</v>
      </c>
      <c r="H13480" s="127" t="s">
        <v>213</v>
      </c>
    </row>
    <row r="13481" hidden="1">
      <c r="A13481" s="127" t="s">
        <v>237</v>
      </c>
      <c r="C13481" s="127" t="s">
        <v>236</v>
      </c>
      <c r="D13481" s="177" t="s">
        <v>68</v>
      </c>
      <c r="E13481" s="177" t="s">
        <v>16194</v>
      </c>
      <c r="F13481" s="177" t="s">
        <v>321</v>
      </c>
      <c r="G13481" s="177" t="s">
        <v>2346</v>
      </c>
      <c r="H13481" s="127" t="s">
        <v>214</v>
      </c>
    </row>
    <row r="13482" hidden="1">
      <c r="A13482" s="127" t="s">
        <v>237</v>
      </c>
      <c r="C13482" s="127" t="s">
        <v>236</v>
      </c>
      <c r="D13482" s="177" t="s">
        <v>68</v>
      </c>
      <c r="E13482" s="177" t="s">
        <v>16195</v>
      </c>
      <c r="F13482" s="177" t="s">
        <v>331</v>
      </c>
      <c r="G13482" s="177" t="s">
        <v>3302</v>
      </c>
      <c r="H13482" s="127" t="s">
        <v>215</v>
      </c>
    </row>
    <row r="13483" hidden="1">
      <c r="A13483" s="127" t="s">
        <v>237</v>
      </c>
      <c r="C13483" s="127" t="s">
        <v>236</v>
      </c>
      <c r="D13483" s="177" t="s">
        <v>68</v>
      </c>
      <c r="E13483" s="177" t="s">
        <v>16196</v>
      </c>
      <c r="F13483" s="177" t="s">
        <v>321</v>
      </c>
      <c r="G13483" s="177" t="s">
        <v>2187</v>
      </c>
      <c r="H13483" s="127" t="s">
        <v>216</v>
      </c>
    </row>
    <row r="13484" hidden="1">
      <c r="A13484" s="177" t="s">
        <v>204</v>
      </c>
      <c r="B13484" s="127" t="s">
        <v>205</v>
      </c>
      <c r="C13484" s="127" t="s">
        <v>206</v>
      </c>
      <c r="D13484" s="177" t="s">
        <v>69</v>
      </c>
      <c r="E13484" s="177" t="s">
        <v>16197</v>
      </c>
      <c r="F13484" s="177" t="s">
        <v>321</v>
      </c>
      <c r="G13484" s="177" t="s">
        <v>2413</v>
      </c>
      <c r="H13484" s="127" t="s">
        <v>210</v>
      </c>
    </row>
    <row r="13485" hidden="1">
      <c r="A13485" s="177" t="s">
        <v>204</v>
      </c>
      <c r="B13485" s="127" t="s">
        <v>205</v>
      </c>
      <c r="C13485" s="127" t="s">
        <v>206</v>
      </c>
      <c r="D13485" s="177" t="s">
        <v>69</v>
      </c>
      <c r="E13485" s="177" t="s">
        <v>16198</v>
      </c>
      <c r="F13485" s="177" t="s">
        <v>321</v>
      </c>
      <c r="G13485" s="177" t="s">
        <v>1836</v>
      </c>
      <c r="H13485" s="127" t="s">
        <v>211</v>
      </c>
    </row>
    <row r="13486" hidden="1">
      <c r="A13486" s="177" t="s">
        <v>204</v>
      </c>
      <c r="B13486" s="127" t="s">
        <v>205</v>
      </c>
      <c r="C13486" s="127" t="s">
        <v>206</v>
      </c>
      <c r="D13486" s="177" t="s">
        <v>69</v>
      </c>
      <c r="E13486" s="177" t="s">
        <v>16199</v>
      </c>
      <c r="F13486" s="177" t="s">
        <v>314</v>
      </c>
      <c r="G13486" s="177" t="s">
        <v>2567</v>
      </c>
      <c r="H13486" s="127" t="s">
        <v>212</v>
      </c>
    </row>
    <row r="13487" hidden="1">
      <c r="A13487" s="177" t="s">
        <v>204</v>
      </c>
      <c r="B13487" s="127" t="s">
        <v>205</v>
      </c>
      <c r="C13487" s="127" t="s">
        <v>206</v>
      </c>
      <c r="D13487" s="177" t="s">
        <v>69</v>
      </c>
      <c r="E13487" s="177" t="s">
        <v>16200</v>
      </c>
      <c r="F13487" s="177" t="s">
        <v>359</v>
      </c>
      <c r="G13487" s="177" t="s">
        <v>2039</v>
      </c>
      <c r="H13487" s="127" t="s">
        <v>213</v>
      </c>
    </row>
    <row r="13488" hidden="1">
      <c r="A13488" s="177" t="s">
        <v>204</v>
      </c>
      <c r="B13488" s="127" t="s">
        <v>205</v>
      </c>
      <c r="C13488" s="127" t="s">
        <v>206</v>
      </c>
      <c r="D13488" s="177" t="s">
        <v>69</v>
      </c>
      <c r="E13488" s="177" t="s">
        <v>16201</v>
      </c>
      <c r="F13488" s="177" t="s">
        <v>331</v>
      </c>
      <c r="G13488" s="177" t="s">
        <v>2043</v>
      </c>
      <c r="H13488" s="127" t="s">
        <v>214</v>
      </c>
    </row>
    <row r="13489" hidden="1">
      <c r="A13489" s="177" t="s">
        <v>204</v>
      </c>
      <c r="B13489" s="127" t="s">
        <v>205</v>
      </c>
      <c r="C13489" s="127" t="s">
        <v>206</v>
      </c>
      <c r="D13489" s="177" t="s">
        <v>69</v>
      </c>
      <c r="E13489" s="177" t="s">
        <v>16202</v>
      </c>
      <c r="F13489" s="177" t="s">
        <v>359</v>
      </c>
      <c r="G13489" s="177" t="s">
        <v>2062</v>
      </c>
      <c r="H13489" s="127" t="s">
        <v>215</v>
      </c>
    </row>
    <row r="13490" hidden="1">
      <c r="A13490" s="177" t="s">
        <v>204</v>
      </c>
      <c r="B13490" s="127" t="s">
        <v>205</v>
      </c>
      <c r="C13490" s="127" t="s">
        <v>206</v>
      </c>
      <c r="D13490" s="177" t="s">
        <v>69</v>
      </c>
      <c r="E13490" s="177" t="s">
        <v>16203</v>
      </c>
      <c r="F13490" s="177" t="s">
        <v>321</v>
      </c>
      <c r="G13490" s="177" t="s">
        <v>2243</v>
      </c>
      <c r="H13490" s="127" t="s">
        <v>216</v>
      </c>
    </row>
    <row r="13491" hidden="1">
      <c r="A13491" s="177" t="s">
        <v>217</v>
      </c>
      <c r="B13491" s="127" t="s">
        <v>191</v>
      </c>
      <c r="C13491" s="127" t="s">
        <v>206</v>
      </c>
      <c r="D13491" s="177" t="s">
        <v>69</v>
      </c>
      <c r="E13491" s="177" t="s">
        <v>16204</v>
      </c>
      <c r="F13491" s="177" t="s">
        <v>331</v>
      </c>
      <c r="G13491" s="177" t="s">
        <v>1942</v>
      </c>
      <c r="H13491" s="127" t="s">
        <v>210</v>
      </c>
    </row>
    <row r="13492" hidden="1">
      <c r="A13492" s="177" t="s">
        <v>217</v>
      </c>
      <c r="B13492" s="127" t="s">
        <v>191</v>
      </c>
      <c r="C13492" s="127" t="s">
        <v>206</v>
      </c>
      <c r="D13492" s="177" t="s">
        <v>69</v>
      </c>
      <c r="E13492" s="177" t="s">
        <v>16205</v>
      </c>
      <c r="F13492" s="177" t="s">
        <v>308</v>
      </c>
      <c r="G13492" s="177" t="s">
        <v>2703</v>
      </c>
      <c r="H13492" s="127" t="s">
        <v>211</v>
      </c>
    </row>
    <row r="13493" hidden="1">
      <c r="A13493" s="177" t="s">
        <v>217</v>
      </c>
      <c r="B13493" s="127" t="s">
        <v>191</v>
      </c>
      <c r="C13493" s="127" t="s">
        <v>206</v>
      </c>
      <c r="D13493" s="177" t="s">
        <v>69</v>
      </c>
      <c r="E13493" s="177" t="s">
        <v>16206</v>
      </c>
      <c r="F13493" s="177" t="s">
        <v>305</v>
      </c>
      <c r="G13493" s="177" t="s">
        <v>2703</v>
      </c>
      <c r="H13493" s="127" t="s">
        <v>212</v>
      </c>
    </row>
    <row r="13494" hidden="1">
      <c r="A13494" s="177" t="s">
        <v>217</v>
      </c>
      <c r="B13494" s="127" t="s">
        <v>191</v>
      </c>
      <c r="C13494" s="127" t="s">
        <v>206</v>
      </c>
      <c r="D13494" s="177" t="s">
        <v>69</v>
      </c>
      <c r="E13494" s="177" t="s">
        <v>16207</v>
      </c>
      <c r="F13494" s="177" t="s">
        <v>351</v>
      </c>
      <c r="G13494" s="177" t="s">
        <v>1858</v>
      </c>
      <c r="H13494" s="127" t="s">
        <v>213</v>
      </c>
    </row>
    <row r="13495" hidden="1">
      <c r="A13495" s="177" t="s">
        <v>217</v>
      </c>
      <c r="B13495" s="127" t="s">
        <v>191</v>
      </c>
      <c r="C13495" s="127" t="s">
        <v>206</v>
      </c>
      <c r="D13495" s="177" t="s">
        <v>69</v>
      </c>
      <c r="E13495" s="177" t="s">
        <v>16208</v>
      </c>
      <c r="F13495" s="177" t="s">
        <v>339</v>
      </c>
      <c r="G13495" s="177" t="s">
        <v>1864</v>
      </c>
      <c r="H13495" s="127" t="s">
        <v>214</v>
      </c>
    </row>
    <row r="13496" hidden="1">
      <c r="A13496" s="177" t="s">
        <v>217</v>
      </c>
      <c r="B13496" s="127" t="s">
        <v>191</v>
      </c>
      <c r="C13496" s="127" t="s">
        <v>206</v>
      </c>
      <c r="D13496" s="177" t="s">
        <v>69</v>
      </c>
      <c r="E13496" s="177" t="s">
        <v>16209</v>
      </c>
      <c r="F13496" s="177" t="s">
        <v>323</v>
      </c>
      <c r="G13496" s="177" t="s">
        <v>1808</v>
      </c>
      <c r="H13496" s="127" t="s">
        <v>215</v>
      </c>
    </row>
    <row r="13497" hidden="1">
      <c r="A13497" s="177" t="s">
        <v>217</v>
      </c>
      <c r="B13497" s="127" t="s">
        <v>191</v>
      </c>
      <c r="C13497" s="127" t="s">
        <v>206</v>
      </c>
      <c r="D13497" s="177" t="s">
        <v>69</v>
      </c>
      <c r="E13497" s="177" t="s">
        <v>16210</v>
      </c>
      <c r="F13497" s="177" t="s">
        <v>331</v>
      </c>
      <c r="G13497" s="177" t="s">
        <v>2299</v>
      </c>
      <c r="H13497" s="127" t="s">
        <v>216</v>
      </c>
    </row>
    <row r="13498" hidden="1">
      <c r="A13498" s="177" t="s">
        <v>218</v>
      </c>
      <c r="B13498" s="127" t="s">
        <v>219</v>
      </c>
      <c r="C13498" s="127" t="s">
        <v>206</v>
      </c>
      <c r="D13498" s="177" t="s">
        <v>69</v>
      </c>
      <c r="E13498" s="177" t="s">
        <v>16211</v>
      </c>
      <c r="F13498" s="177" t="s">
        <v>269</v>
      </c>
      <c r="G13498" s="177" t="s">
        <v>1729</v>
      </c>
      <c r="H13498" s="127" t="s">
        <v>210</v>
      </c>
    </row>
    <row r="13499" hidden="1">
      <c r="A13499" s="177" t="s">
        <v>218</v>
      </c>
      <c r="B13499" s="127" t="s">
        <v>219</v>
      </c>
      <c r="C13499" s="127" t="s">
        <v>206</v>
      </c>
      <c r="D13499" s="177" t="s">
        <v>69</v>
      </c>
      <c r="E13499" s="177" t="s">
        <v>16212</v>
      </c>
      <c r="F13499" s="177" t="s">
        <v>301</v>
      </c>
      <c r="G13499" s="177" t="s">
        <v>1849</v>
      </c>
      <c r="H13499" s="127" t="s">
        <v>211</v>
      </c>
    </row>
    <row r="13500" hidden="1">
      <c r="A13500" s="177" t="s">
        <v>218</v>
      </c>
      <c r="B13500" s="127" t="s">
        <v>219</v>
      </c>
      <c r="C13500" s="127" t="s">
        <v>206</v>
      </c>
      <c r="D13500" s="177" t="s">
        <v>69</v>
      </c>
      <c r="E13500" s="177" t="s">
        <v>16213</v>
      </c>
      <c r="F13500" s="177" t="s">
        <v>259</v>
      </c>
      <c r="G13500" s="177" t="s">
        <v>1747</v>
      </c>
      <c r="H13500" s="127" t="s">
        <v>212</v>
      </c>
    </row>
    <row r="13501" hidden="1">
      <c r="A13501" s="177" t="s">
        <v>218</v>
      </c>
      <c r="B13501" s="127" t="s">
        <v>219</v>
      </c>
      <c r="C13501" s="127" t="s">
        <v>206</v>
      </c>
      <c r="D13501" s="177" t="s">
        <v>69</v>
      </c>
      <c r="E13501" s="177" t="s">
        <v>16214</v>
      </c>
      <c r="F13501" s="177" t="s">
        <v>301</v>
      </c>
      <c r="G13501" s="177" t="s">
        <v>1827</v>
      </c>
      <c r="H13501" s="127" t="s">
        <v>213</v>
      </c>
    </row>
    <row r="13502" hidden="1">
      <c r="A13502" s="177" t="s">
        <v>218</v>
      </c>
      <c r="B13502" s="127" t="s">
        <v>219</v>
      </c>
      <c r="C13502" s="127" t="s">
        <v>206</v>
      </c>
      <c r="D13502" s="177" t="s">
        <v>69</v>
      </c>
      <c r="E13502" s="177" t="s">
        <v>16215</v>
      </c>
      <c r="F13502" s="177" t="s">
        <v>287</v>
      </c>
      <c r="G13502" s="177" t="s">
        <v>1749</v>
      </c>
      <c r="H13502" s="127" t="s">
        <v>214</v>
      </c>
    </row>
    <row r="13503" hidden="1">
      <c r="A13503" s="177" t="s">
        <v>218</v>
      </c>
      <c r="B13503" s="127" t="s">
        <v>219</v>
      </c>
      <c r="C13503" s="127" t="s">
        <v>206</v>
      </c>
      <c r="D13503" s="177" t="s">
        <v>69</v>
      </c>
      <c r="E13503" s="177" t="s">
        <v>16216</v>
      </c>
      <c r="F13503" s="177" t="s">
        <v>287</v>
      </c>
      <c r="G13503" s="177" t="s">
        <v>1820</v>
      </c>
      <c r="H13503" s="127" t="s">
        <v>215</v>
      </c>
    </row>
    <row r="13504" hidden="1">
      <c r="A13504" s="177" t="s">
        <v>218</v>
      </c>
      <c r="B13504" s="127" t="s">
        <v>219</v>
      </c>
      <c r="C13504" s="127" t="s">
        <v>206</v>
      </c>
      <c r="D13504" s="177" t="s">
        <v>69</v>
      </c>
      <c r="E13504" s="177" t="s">
        <v>16217</v>
      </c>
      <c r="F13504" s="177" t="s">
        <v>269</v>
      </c>
      <c r="G13504" s="177" t="s">
        <v>2730</v>
      </c>
      <c r="H13504" s="127" t="s">
        <v>216</v>
      </c>
    </row>
    <row r="13505" hidden="1">
      <c r="A13505" s="177" t="s">
        <v>220</v>
      </c>
      <c r="B13505" s="127" t="s">
        <v>190</v>
      </c>
      <c r="C13505" s="127" t="s">
        <v>206</v>
      </c>
      <c r="D13505" s="177" t="s">
        <v>69</v>
      </c>
      <c r="E13505" s="177" t="s">
        <v>16218</v>
      </c>
      <c r="F13505" s="177" t="s">
        <v>276</v>
      </c>
      <c r="G13505" s="177" t="s">
        <v>1799</v>
      </c>
      <c r="H13505" s="127" t="s">
        <v>210</v>
      </c>
    </row>
    <row r="13506" hidden="1">
      <c r="A13506" s="177" t="s">
        <v>220</v>
      </c>
      <c r="B13506" s="127" t="s">
        <v>190</v>
      </c>
      <c r="C13506" s="127" t="s">
        <v>206</v>
      </c>
      <c r="D13506" s="177" t="s">
        <v>69</v>
      </c>
      <c r="E13506" s="177" t="s">
        <v>16219</v>
      </c>
      <c r="F13506" s="177" t="s">
        <v>259</v>
      </c>
      <c r="G13506" s="177" t="s">
        <v>2435</v>
      </c>
      <c r="H13506" s="127" t="s">
        <v>211</v>
      </c>
    </row>
    <row r="13507" hidden="1">
      <c r="A13507" s="177" t="s">
        <v>220</v>
      </c>
      <c r="B13507" s="127" t="s">
        <v>190</v>
      </c>
      <c r="C13507" s="127" t="s">
        <v>206</v>
      </c>
      <c r="D13507" s="177" t="s">
        <v>69</v>
      </c>
      <c r="E13507" s="177" t="s">
        <v>16220</v>
      </c>
      <c r="F13507" s="177" t="s">
        <v>298</v>
      </c>
      <c r="G13507" s="177" t="s">
        <v>2420</v>
      </c>
      <c r="H13507" s="127" t="s">
        <v>212</v>
      </c>
    </row>
    <row r="13508" hidden="1">
      <c r="A13508" s="177" t="s">
        <v>220</v>
      </c>
      <c r="B13508" s="127" t="s">
        <v>190</v>
      </c>
      <c r="C13508" s="127" t="s">
        <v>206</v>
      </c>
      <c r="D13508" s="177" t="s">
        <v>69</v>
      </c>
      <c r="E13508" s="177" t="s">
        <v>16221</v>
      </c>
      <c r="F13508" s="177" t="s">
        <v>301</v>
      </c>
      <c r="G13508" s="177" t="s">
        <v>1936</v>
      </c>
      <c r="H13508" s="127" t="s">
        <v>213</v>
      </c>
    </row>
    <row r="13509" hidden="1">
      <c r="A13509" s="177" t="s">
        <v>220</v>
      </c>
      <c r="B13509" s="127" t="s">
        <v>190</v>
      </c>
      <c r="C13509" s="127" t="s">
        <v>206</v>
      </c>
      <c r="D13509" s="177" t="s">
        <v>69</v>
      </c>
      <c r="E13509" s="177" t="s">
        <v>16222</v>
      </c>
      <c r="F13509" s="177" t="s">
        <v>262</v>
      </c>
      <c r="G13509" s="177" t="s">
        <v>1806</v>
      </c>
      <c r="H13509" s="127" t="s">
        <v>214</v>
      </c>
    </row>
    <row r="13510" hidden="1">
      <c r="A13510" s="177" t="s">
        <v>220</v>
      </c>
      <c r="B13510" s="127" t="s">
        <v>190</v>
      </c>
      <c r="C13510" s="127" t="s">
        <v>206</v>
      </c>
      <c r="D13510" s="177" t="s">
        <v>69</v>
      </c>
      <c r="E13510" s="177" t="s">
        <v>16223</v>
      </c>
      <c r="F13510" s="177" t="s">
        <v>433</v>
      </c>
      <c r="G13510" s="177" t="s">
        <v>1911</v>
      </c>
      <c r="H13510" s="127" t="s">
        <v>215</v>
      </c>
    </row>
    <row r="13511" hidden="1">
      <c r="A13511" s="177" t="s">
        <v>220</v>
      </c>
      <c r="B13511" s="127" t="s">
        <v>190</v>
      </c>
      <c r="C13511" s="127" t="s">
        <v>206</v>
      </c>
      <c r="D13511" s="177" t="s">
        <v>69</v>
      </c>
      <c r="E13511" s="177" t="s">
        <v>16224</v>
      </c>
      <c r="F13511" s="177" t="s">
        <v>262</v>
      </c>
      <c r="G13511" s="177" t="s">
        <v>6580</v>
      </c>
      <c r="H13511" s="127" t="s">
        <v>216</v>
      </c>
    </row>
    <row r="13512" hidden="1">
      <c r="A13512" s="177" t="s">
        <v>221</v>
      </c>
      <c r="B13512" s="127" t="s">
        <v>189</v>
      </c>
      <c r="C13512" s="127" t="s">
        <v>206</v>
      </c>
      <c r="D13512" s="177" t="s">
        <v>69</v>
      </c>
      <c r="E13512" s="177" t="s">
        <v>16225</v>
      </c>
      <c r="F13512" s="177" t="s">
        <v>351</v>
      </c>
      <c r="G13512" s="177" t="s">
        <v>3356</v>
      </c>
      <c r="H13512" s="127" t="s">
        <v>210</v>
      </c>
    </row>
    <row r="13513" hidden="1">
      <c r="A13513" s="177" t="s">
        <v>221</v>
      </c>
      <c r="B13513" s="127" t="s">
        <v>189</v>
      </c>
      <c r="C13513" s="127" t="s">
        <v>206</v>
      </c>
      <c r="D13513" s="177" t="s">
        <v>69</v>
      </c>
      <c r="E13513" s="177" t="s">
        <v>16226</v>
      </c>
      <c r="F13513" s="177" t="s">
        <v>427</v>
      </c>
      <c r="G13513" s="177" t="s">
        <v>2820</v>
      </c>
      <c r="H13513" s="127" t="s">
        <v>211</v>
      </c>
    </row>
    <row r="13514" hidden="1">
      <c r="A13514" s="177" t="s">
        <v>221</v>
      </c>
      <c r="B13514" s="127" t="s">
        <v>189</v>
      </c>
      <c r="C13514" s="127" t="s">
        <v>206</v>
      </c>
      <c r="D13514" s="177" t="s">
        <v>69</v>
      </c>
      <c r="E13514" s="177" t="s">
        <v>16227</v>
      </c>
      <c r="F13514" s="177" t="s">
        <v>242</v>
      </c>
      <c r="G13514" s="177" t="s">
        <v>2472</v>
      </c>
      <c r="H13514" s="127" t="s">
        <v>212</v>
      </c>
    </row>
    <row r="13515" hidden="1">
      <c r="A13515" s="177" t="s">
        <v>221</v>
      </c>
      <c r="B13515" s="127" t="s">
        <v>189</v>
      </c>
      <c r="C13515" s="127" t="s">
        <v>206</v>
      </c>
      <c r="D13515" s="177" t="s">
        <v>69</v>
      </c>
      <c r="E13515" s="177" t="s">
        <v>16228</v>
      </c>
      <c r="F13515" s="177" t="s">
        <v>351</v>
      </c>
      <c r="G13515" s="177" t="s">
        <v>2758</v>
      </c>
      <c r="H13515" s="127" t="s">
        <v>213</v>
      </c>
    </row>
    <row r="13516" hidden="1">
      <c r="A13516" s="177" t="s">
        <v>221</v>
      </c>
      <c r="B13516" s="127" t="s">
        <v>189</v>
      </c>
      <c r="C13516" s="127" t="s">
        <v>206</v>
      </c>
      <c r="D13516" s="177" t="s">
        <v>69</v>
      </c>
      <c r="E13516" s="177" t="s">
        <v>16229</v>
      </c>
      <c r="F13516" s="177" t="s">
        <v>312</v>
      </c>
      <c r="G13516" s="177" t="s">
        <v>1925</v>
      </c>
      <c r="H13516" s="127" t="s">
        <v>214</v>
      </c>
    </row>
    <row r="13517" hidden="1">
      <c r="A13517" s="177" t="s">
        <v>221</v>
      </c>
      <c r="B13517" s="127" t="s">
        <v>189</v>
      </c>
      <c r="C13517" s="127" t="s">
        <v>206</v>
      </c>
      <c r="D13517" s="177" t="s">
        <v>69</v>
      </c>
      <c r="E13517" s="177" t="s">
        <v>16230</v>
      </c>
      <c r="F13517" s="177" t="s">
        <v>312</v>
      </c>
      <c r="G13517" s="177" t="s">
        <v>4376</v>
      </c>
      <c r="H13517" s="127" t="s">
        <v>215</v>
      </c>
    </row>
    <row r="13518" hidden="1">
      <c r="A13518" s="177" t="s">
        <v>221</v>
      </c>
      <c r="B13518" s="127" t="s">
        <v>189</v>
      </c>
      <c r="C13518" s="127" t="s">
        <v>206</v>
      </c>
      <c r="D13518" s="177" t="s">
        <v>69</v>
      </c>
      <c r="E13518" s="177" t="s">
        <v>16231</v>
      </c>
      <c r="F13518" s="177" t="s">
        <v>339</v>
      </c>
      <c r="G13518" s="177" t="s">
        <v>2910</v>
      </c>
      <c r="H13518" s="127" t="s">
        <v>216</v>
      </c>
    </row>
    <row r="13519" hidden="1">
      <c r="A13519" s="177" t="s">
        <v>222</v>
      </c>
      <c r="B13519" s="127" t="s">
        <v>192</v>
      </c>
      <c r="C13519" s="127" t="s">
        <v>206</v>
      </c>
      <c r="D13519" s="177" t="s">
        <v>69</v>
      </c>
      <c r="E13519" s="177" t="s">
        <v>16232</v>
      </c>
      <c r="F13519" s="177" t="s">
        <v>301</v>
      </c>
      <c r="G13519" s="177" t="s">
        <v>1775</v>
      </c>
      <c r="H13519" s="127" t="s">
        <v>210</v>
      </c>
    </row>
    <row r="13520" hidden="1">
      <c r="A13520" s="177" t="s">
        <v>222</v>
      </c>
      <c r="B13520" s="127" t="s">
        <v>192</v>
      </c>
      <c r="C13520" s="127" t="s">
        <v>206</v>
      </c>
      <c r="D13520" s="177" t="s">
        <v>69</v>
      </c>
      <c r="E13520" s="177" t="s">
        <v>16233</v>
      </c>
      <c r="F13520" s="177" t="s">
        <v>255</v>
      </c>
      <c r="G13520" s="177" t="s">
        <v>1806</v>
      </c>
      <c r="H13520" s="127" t="s">
        <v>211</v>
      </c>
    </row>
    <row r="13521" hidden="1">
      <c r="A13521" s="177" t="s">
        <v>222</v>
      </c>
      <c r="B13521" s="127" t="s">
        <v>192</v>
      </c>
      <c r="C13521" s="127" t="s">
        <v>206</v>
      </c>
      <c r="D13521" s="177" t="s">
        <v>69</v>
      </c>
      <c r="E13521" s="177" t="s">
        <v>16234</v>
      </c>
      <c r="F13521" s="177" t="s">
        <v>287</v>
      </c>
      <c r="G13521" s="177" t="s">
        <v>9840</v>
      </c>
      <c r="H13521" s="127" t="s">
        <v>212</v>
      </c>
    </row>
    <row r="13522" hidden="1">
      <c r="A13522" s="177" t="s">
        <v>222</v>
      </c>
      <c r="B13522" s="127" t="s">
        <v>192</v>
      </c>
      <c r="C13522" s="127" t="s">
        <v>206</v>
      </c>
      <c r="D13522" s="177" t="s">
        <v>69</v>
      </c>
      <c r="E13522" s="177" t="s">
        <v>16235</v>
      </c>
      <c r="F13522" s="177" t="s">
        <v>301</v>
      </c>
      <c r="G13522" s="177" t="s">
        <v>2958</v>
      </c>
      <c r="H13522" s="127" t="s">
        <v>213</v>
      </c>
    </row>
    <row r="13523" hidden="1">
      <c r="A13523" s="177" t="s">
        <v>222</v>
      </c>
      <c r="B13523" s="127" t="s">
        <v>192</v>
      </c>
      <c r="C13523" s="127" t="s">
        <v>206</v>
      </c>
      <c r="D13523" s="177" t="s">
        <v>69</v>
      </c>
      <c r="E13523" s="177" t="s">
        <v>16236</v>
      </c>
      <c r="F13523" s="177" t="s">
        <v>301</v>
      </c>
      <c r="G13523" s="177" t="s">
        <v>1775</v>
      </c>
      <c r="H13523" s="127" t="s">
        <v>214</v>
      </c>
    </row>
    <row r="13524" hidden="1">
      <c r="A13524" s="177" t="s">
        <v>222</v>
      </c>
      <c r="B13524" s="127" t="s">
        <v>192</v>
      </c>
      <c r="C13524" s="127" t="s">
        <v>206</v>
      </c>
      <c r="D13524" s="177" t="s">
        <v>69</v>
      </c>
      <c r="E13524" s="177" t="s">
        <v>16237</v>
      </c>
      <c r="F13524" s="177" t="s">
        <v>365</v>
      </c>
      <c r="G13524" s="177" t="s">
        <v>1908</v>
      </c>
      <c r="H13524" s="127" t="s">
        <v>215</v>
      </c>
    </row>
    <row r="13525" hidden="1">
      <c r="A13525" s="177" t="s">
        <v>222</v>
      </c>
      <c r="B13525" s="127" t="s">
        <v>192</v>
      </c>
      <c r="C13525" s="127" t="s">
        <v>206</v>
      </c>
      <c r="D13525" s="177" t="s">
        <v>69</v>
      </c>
      <c r="E13525" s="177" t="s">
        <v>16238</v>
      </c>
      <c r="F13525" s="177" t="s">
        <v>301</v>
      </c>
      <c r="G13525" s="177" t="s">
        <v>1797</v>
      </c>
      <c r="H13525" s="127" t="s">
        <v>216</v>
      </c>
    </row>
    <row r="13526" hidden="1">
      <c r="A13526" s="177" t="s">
        <v>223</v>
      </c>
      <c r="B13526" s="127" t="s">
        <v>144</v>
      </c>
      <c r="C13526" s="127" t="s">
        <v>206</v>
      </c>
      <c r="D13526" s="177" t="s">
        <v>69</v>
      </c>
      <c r="E13526" s="177" t="s">
        <v>16239</v>
      </c>
      <c r="F13526" s="177" t="s">
        <v>321</v>
      </c>
      <c r="G13526" s="177" t="s">
        <v>2376</v>
      </c>
      <c r="H13526" s="127" t="s">
        <v>210</v>
      </c>
    </row>
    <row r="13527" hidden="1">
      <c r="A13527" s="177" t="s">
        <v>223</v>
      </c>
      <c r="B13527" s="127" t="s">
        <v>144</v>
      </c>
      <c r="C13527" s="127" t="s">
        <v>206</v>
      </c>
      <c r="D13527" s="177" t="s">
        <v>69</v>
      </c>
      <c r="E13527" s="177" t="s">
        <v>16240</v>
      </c>
      <c r="F13527" s="177" t="s">
        <v>359</v>
      </c>
      <c r="G13527" s="177" t="s">
        <v>2567</v>
      </c>
      <c r="H13527" s="127" t="s">
        <v>211</v>
      </c>
    </row>
    <row r="13528" hidden="1">
      <c r="A13528" s="177" t="s">
        <v>223</v>
      </c>
      <c r="B13528" s="127" t="s">
        <v>144</v>
      </c>
      <c r="C13528" s="127" t="s">
        <v>206</v>
      </c>
      <c r="D13528" s="177" t="s">
        <v>69</v>
      </c>
      <c r="E13528" s="177" t="s">
        <v>16241</v>
      </c>
      <c r="F13528" s="177" t="s">
        <v>323</v>
      </c>
      <c r="G13528" s="177" t="s">
        <v>2530</v>
      </c>
      <c r="H13528" s="127" t="s">
        <v>212</v>
      </c>
    </row>
    <row r="13529" hidden="1">
      <c r="A13529" s="177" t="s">
        <v>223</v>
      </c>
      <c r="B13529" s="127" t="s">
        <v>144</v>
      </c>
      <c r="C13529" s="127" t="s">
        <v>206</v>
      </c>
      <c r="D13529" s="177" t="s">
        <v>69</v>
      </c>
      <c r="E13529" s="177" t="s">
        <v>16242</v>
      </c>
      <c r="F13529" s="177" t="s">
        <v>321</v>
      </c>
      <c r="G13529" s="177" t="s">
        <v>2398</v>
      </c>
      <c r="H13529" s="127" t="s">
        <v>213</v>
      </c>
    </row>
    <row r="13530" hidden="1">
      <c r="A13530" s="177" t="s">
        <v>223</v>
      </c>
      <c r="B13530" s="127" t="s">
        <v>144</v>
      </c>
      <c r="C13530" s="127" t="s">
        <v>206</v>
      </c>
      <c r="D13530" s="177" t="s">
        <v>69</v>
      </c>
      <c r="E13530" s="177" t="s">
        <v>16243</v>
      </c>
      <c r="F13530" s="177" t="s">
        <v>285</v>
      </c>
      <c r="G13530" s="177" t="s">
        <v>1974</v>
      </c>
      <c r="H13530" s="127" t="s">
        <v>214</v>
      </c>
    </row>
    <row r="13531" hidden="1">
      <c r="A13531" s="177" t="s">
        <v>223</v>
      </c>
      <c r="B13531" s="127" t="s">
        <v>144</v>
      </c>
      <c r="C13531" s="127" t="s">
        <v>206</v>
      </c>
      <c r="D13531" s="177" t="s">
        <v>69</v>
      </c>
      <c r="E13531" s="177" t="s">
        <v>16244</v>
      </c>
      <c r="F13531" s="177" t="s">
        <v>249</v>
      </c>
      <c r="G13531" s="177" t="s">
        <v>2043</v>
      </c>
      <c r="H13531" s="127" t="s">
        <v>215</v>
      </c>
    </row>
    <row r="13532" hidden="1">
      <c r="A13532" s="177" t="s">
        <v>223</v>
      </c>
      <c r="B13532" s="127" t="s">
        <v>144</v>
      </c>
      <c r="C13532" s="127" t="s">
        <v>206</v>
      </c>
      <c r="D13532" s="177" t="s">
        <v>69</v>
      </c>
      <c r="E13532" s="177" t="s">
        <v>16245</v>
      </c>
      <c r="F13532" s="177" t="s">
        <v>314</v>
      </c>
      <c r="G13532" s="177" t="s">
        <v>2025</v>
      </c>
      <c r="H13532" s="127" t="s">
        <v>216</v>
      </c>
    </row>
    <row r="13533" hidden="1">
      <c r="A13533" s="177" t="s">
        <v>224</v>
      </c>
      <c r="B13533" s="127" t="s">
        <v>170</v>
      </c>
      <c r="C13533" s="127" t="s">
        <v>206</v>
      </c>
      <c r="D13533" s="177" t="s">
        <v>69</v>
      </c>
      <c r="E13533" s="177" t="s">
        <v>16246</v>
      </c>
      <c r="F13533" s="177" t="s">
        <v>331</v>
      </c>
      <c r="G13533" s="177" t="s">
        <v>2703</v>
      </c>
      <c r="H13533" s="127" t="s">
        <v>210</v>
      </c>
    </row>
    <row r="13534" hidden="1">
      <c r="A13534" s="177" t="s">
        <v>224</v>
      </c>
      <c r="B13534" s="127" t="s">
        <v>170</v>
      </c>
      <c r="C13534" s="127" t="s">
        <v>206</v>
      </c>
      <c r="D13534" s="177" t="s">
        <v>69</v>
      </c>
      <c r="E13534" s="177" t="s">
        <v>16247</v>
      </c>
      <c r="F13534" s="177" t="s">
        <v>310</v>
      </c>
      <c r="G13534" s="177" t="s">
        <v>2546</v>
      </c>
      <c r="H13534" s="127" t="s">
        <v>211</v>
      </c>
    </row>
    <row r="13535" hidden="1">
      <c r="A13535" s="177" t="s">
        <v>224</v>
      </c>
      <c r="B13535" s="127" t="s">
        <v>170</v>
      </c>
      <c r="C13535" s="127" t="s">
        <v>206</v>
      </c>
      <c r="D13535" s="177" t="s">
        <v>69</v>
      </c>
      <c r="E13535" s="177" t="s">
        <v>16248</v>
      </c>
      <c r="F13535" s="177" t="s">
        <v>305</v>
      </c>
      <c r="G13535" s="177" t="s">
        <v>3028</v>
      </c>
      <c r="H13535" s="127" t="s">
        <v>212</v>
      </c>
    </row>
    <row r="13536" hidden="1">
      <c r="A13536" s="177" t="s">
        <v>224</v>
      </c>
      <c r="B13536" s="127" t="s">
        <v>170</v>
      </c>
      <c r="C13536" s="127" t="s">
        <v>206</v>
      </c>
      <c r="D13536" s="177" t="s">
        <v>69</v>
      </c>
      <c r="E13536" s="177" t="s">
        <v>16249</v>
      </c>
      <c r="F13536" s="177" t="s">
        <v>321</v>
      </c>
      <c r="G13536" s="177" t="s">
        <v>2557</v>
      </c>
      <c r="H13536" s="127" t="s">
        <v>213</v>
      </c>
    </row>
    <row r="13537" hidden="1">
      <c r="A13537" s="177" t="s">
        <v>224</v>
      </c>
      <c r="B13537" s="127" t="s">
        <v>170</v>
      </c>
      <c r="C13537" s="127" t="s">
        <v>206</v>
      </c>
      <c r="D13537" s="177" t="s">
        <v>69</v>
      </c>
      <c r="E13537" s="177" t="s">
        <v>16250</v>
      </c>
      <c r="F13537" s="177" t="s">
        <v>478</v>
      </c>
      <c r="G13537" s="177" t="s">
        <v>2785</v>
      </c>
      <c r="H13537" s="127" t="s">
        <v>214</v>
      </c>
    </row>
    <row r="13538" hidden="1">
      <c r="A13538" s="177" t="s">
        <v>224</v>
      </c>
      <c r="B13538" s="127" t="s">
        <v>170</v>
      </c>
      <c r="C13538" s="127" t="s">
        <v>206</v>
      </c>
      <c r="D13538" s="177" t="s">
        <v>69</v>
      </c>
      <c r="E13538" s="177" t="s">
        <v>16251</v>
      </c>
      <c r="F13538" s="177" t="s">
        <v>310</v>
      </c>
      <c r="G13538" s="177" t="s">
        <v>1832</v>
      </c>
      <c r="H13538" s="127" t="s">
        <v>215</v>
      </c>
    </row>
    <row r="13539" hidden="1">
      <c r="A13539" s="177" t="s">
        <v>224</v>
      </c>
      <c r="B13539" s="127" t="s">
        <v>170</v>
      </c>
      <c r="C13539" s="127" t="s">
        <v>206</v>
      </c>
      <c r="D13539" s="177" t="s">
        <v>69</v>
      </c>
      <c r="E13539" s="177" t="s">
        <v>16252</v>
      </c>
      <c r="F13539" s="177" t="s">
        <v>534</v>
      </c>
      <c r="G13539" s="177" t="s">
        <v>1856</v>
      </c>
      <c r="H13539" s="127" t="s">
        <v>216</v>
      </c>
    </row>
    <row r="13540" hidden="1">
      <c r="A13540" s="177" t="s">
        <v>225</v>
      </c>
      <c r="B13540" s="127" t="s">
        <v>226</v>
      </c>
      <c r="C13540" s="127" t="s">
        <v>206</v>
      </c>
      <c r="D13540" s="177" t="s">
        <v>69</v>
      </c>
      <c r="E13540" s="177" t="s">
        <v>16253</v>
      </c>
      <c r="F13540" s="177" t="s">
        <v>331</v>
      </c>
      <c r="G13540" s="177" t="s">
        <v>2119</v>
      </c>
      <c r="H13540" s="127" t="s">
        <v>210</v>
      </c>
    </row>
    <row r="13541" hidden="1">
      <c r="A13541" s="177" t="s">
        <v>225</v>
      </c>
      <c r="B13541" s="127" t="s">
        <v>226</v>
      </c>
      <c r="C13541" s="127" t="s">
        <v>206</v>
      </c>
      <c r="D13541" s="177" t="s">
        <v>69</v>
      </c>
      <c r="E13541" s="177" t="s">
        <v>16254</v>
      </c>
      <c r="F13541" s="177" t="s">
        <v>249</v>
      </c>
      <c r="G13541" s="177" t="s">
        <v>3284</v>
      </c>
      <c r="H13541" s="127" t="s">
        <v>211</v>
      </c>
    </row>
    <row r="13542" hidden="1">
      <c r="A13542" s="177" t="s">
        <v>225</v>
      </c>
      <c r="B13542" s="127" t="s">
        <v>226</v>
      </c>
      <c r="C13542" s="127" t="s">
        <v>206</v>
      </c>
      <c r="D13542" s="177" t="s">
        <v>69</v>
      </c>
      <c r="E13542" s="177" t="s">
        <v>16255</v>
      </c>
      <c r="F13542" s="177" t="s">
        <v>331</v>
      </c>
      <c r="G13542" s="177" t="s">
        <v>2045</v>
      </c>
      <c r="H13542" s="127" t="s">
        <v>212</v>
      </c>
    </row>
    <row r="13543" hidden="1">
      <c r="A13543" s="177" t="s">
        <v>225</v>
      </c>
      <c r="B13543" s="127" t="s">
        <v>226</v>
      </c>
      <c r="C13543" s="127" t="s">
        <v>206</v>
      </c>
      <c r="D13543" s="177" t="s">
        <v>69</v>
      </c>
      <c r="E13543" s="177" t="s">
        <v>16256</v>
      </c>
      <c r="F13543" s="177" t="s">
        <v>321</v>
      </c>
      <c r="G13543" s="177" t="s">
        <v>2242</v>
      </c>
      <c r="H13543" s="127" t="s">
        <v>213</v>
      </c>
    </row>
    <row r="13544" hidden="1">
      <c r="A13544" s="177" t="s">
        <v>225</v>
      </c>
      <c r="B13544" s="127" t="s">
        <v>226</v>
      </c>
      <c r="C13544" s="127" t="s">
        <v>206</v>
      </c>
      <c r="D13544" s="177" t="s">
        <v>69</v>
      </c>
      <c r="E13544" s="177" t="s">
        <v>16257</v>
      </c>
      <c r="F13544" s="177" t="s">
        <v>359</v>
      </c>
      <c r="G13544" s="177" t="s">
        <v>2041</v>
      </c>
      <c r="H13544" s="127" t="s">
        <v>214</v>
      </c>
    </row>
    <row r="13545" hidden="1">
      <c r="A13545" s="177" t="s">
        <v>225</v>
      </c>
      <c r="B13545" s="127" t="s">
        <v>226</v>
      </c>
      <c r="C13545" s="127" t="s">
        <v>206</v>
      </c>
      <c r="D13545" s="177" t="s">
        <v>69</v>
      </c>
      <c r="E13545" s="177" t="s">
        <v>16258</v>
      </c>
      <c r="F13545" s="177" t="s">
        <v>534</v>
      </c>
      <c r="G13545" s="177" t="s">
        <v>2111</v>
      </c>
      <c r="H13545" s="127" t="s">
        <v>215</v>
      </c>
    </row>
    <row r="13546" hidden="1">
      <c r="A13546" s="177" t="s">
        <v>225</v>
      </c>
      <c r="B13546" s="127" t="s">
        <v>226</v>
      </c>
      <c r="C13546" s="127" t="s">
        <v>206</v>
      </c>
      <c r="D13546" s="177" t="s">
        <v>69</v>
      </c>
      <c r="E13546" s="177" t="s">
        <v>16259</v>
      </c>
      <c r="F13546" s="177" t="s">
        <v>308</v>
      </c>
      <c r="G13546" s="177" t="s">
        <v>2847</v>
      </c>
      <c r="H13546" s="127" t="s">
        <v>216</v>
      </c>
    </row>
    <row r="13547" hidden="1">
      <c r="A13547" s="177" t="s">
        <v>227</v>
      </c>
      <c r="B13547" s="127" t="s">
        <v>195</v>
      </c>
      <c r="C13547" s="127" t="s">
        <v>206</v>
      </c>
      <c r="D13547" s="177" t="s">
        <v>69</v>
      </c>
      <c r="E13547" s="177" t="s">
        <v>16260</v>
      </c>
      <c r="F13547" s="177" t="s">
        <v>308</v>
      </c>
      <c r="G13547" s="177" t="s">
        <v>2243</v>
      </c>
      <c r="H13547" s="127" t="s">
        <v>210</v>
      </c>
    </row>
    <row r="13548" hidden="1">
      <c r="A13548" s="177" t="s">
        <v>227</v>
      </c>
      <c r="B13548" s="127" t="s">
        <v>195</v>
      </c>
      <c r="C13548" s="127" t="s">
        <v>206</v>
      </c>
      <c r="D13548" s="177" t="s">
        <v>69</v>
      </c>
      <c r="E13548" s="177" t="s">
        <v>16261</v>
      </c>
      <c r="F13548" s="177" t="s">
        <v>308</v>
      </c>
      <c r="G13548" s="177" t="s">
        <v>2062</v>
      </c>
      <c r="H13548" s="127" t="s">
        <v>211</v>
      </c>
    </row>
    <row r="13549" hidden="1">
      <c r="A13549" s="177" t="s">
        <v>227</v>
      </c>
      <c r="B13549" s="127" t="s">
        <v>195</v>
      </c>
      <c r="C13549" s="127" t="s">
        <v>206</v>
      </c>
      <c r="D13549" s="177" t="s">
        <v>69</v>
      </c>
      <c r="E13549" s="177" t="s">
        <v>16262</v>
      </c>
      <c r="F13549" s="177" t="s">
        <v>242</v>
      </c>
      <c r="G13549" s="177" t="s">
        <v>2055</v>
      </c>
      <c r="H13549" s="127" t="s">
        <v>212</v>
      </c>
    </row>
    <row r="13550" hidden="1">
      <c r="A13550" s="177" t="s">
        <v>227</v>
      </c>
      <c r="B13550" s="127" t="s">
        <v>195</v>
      </c>
      <c r="C13550" s="127" t="s">
        <v>206</v>
      </c>
      <c r="D13550" s="177" t="s">
        <v>69</v>
      </c>
      <c r="E13550" s="177" t="s">
        <v>16263</v>
      </c>
      <c r="F13550" s="177" t="s">
        <v>265</v>
      </c>
      <c r="G13550" s="177" t="s">
        <v>1820</v>
      </c>
      <c r="H13550" s="127" t="s">
        <v>213</v>
      </c>
    </row>
    <row r="13551" hidden="1">
      <c r="A13551" s="177" t="s">
        <v>227</v>
      </c>
      <c r="B13551" s="127" t="s">
        <v>195</v>
      </c>
      <c r="C13551" s="127" t="s">
        <v>206</v>
      </c>
      <c r="D13551" s="177" t="s">
        <v>69</v>
      </c>
      <c r="E13551" s="177" t="s">
        <v>16264</v>
      </c>
      <c r="F13551" s="177" t="s">
        <v>244</v>
      </c>
      <c r="G13551" s="177" t="s">
        <v>1976</v>
      </c>
      <c r="H13551" s="127" t="s">
        <v>214</v>
      </c>
    </row>
    <row r="13552" hidden="1">
      <c r="A13552" s="177" t="s">
        <v>227</v>
      </c>
      <c r="B13552" s="127" t="s">
        <v>195</v>
      </c>
      <c r="C13552" s="127" t="s">
        <v>206</v>
      </c>
      <c r="D13552" s="177" t="s">
        <v>69</v>
      </c>
      <c r="E13552" s="177" t="s">
        <v>16265</v>
      </c>
      <c r="F13552" s="177" t="s">
        <v>244</v>
      </c>
      <c r="G13552" s="177" t="s">
        <v>2091</v>
      </c>
      <c r="H13552" s="127" t="s">
        <v>215</v>
      </c>
    </row>
    <row r="13553" hidden="1">
      <c r="A13553" s="177" t="s">
        <v>227</v>
      </c>
      <c r="B13553" s="127" t="s">
        <v>195</v>
      </c>
      <c r="C13553" s="127" t="s">
        <v>206</v>
      </c>
      <c r="D13553" s="177" t="s">
        <v>69</v>
      </c>
      <c r="E13553" s="177" t="s">
        <v>16266</v>
      </c>
      <c r="F13553" s="177" t="s">
        <v>314</v>
      </c>
      <c r="G13553" s="177" t="s">
        <v>2043</v>
      </c>
      <c r="H13553" s="127" t="s">
        <v>216</v>
      </c>
    </row>
    <row r="13554" hidden="1">
      <c r="A13554" s="177" t="s">
        <v>228</v>
      </c>
      <c r="B13554" s="127" t="s">
        <v>138</v>
      </c>
      <c r="C13554" s="127" t="s">
        <v>206</v>
      </c>
      <c r="D13554" s="177" t="s">
        <v>69</v>
      </c>
      <c r="E13554" s="177" t="s">
        <v>16267</v>
      </c>
      <c r="F13554" s="177" t="s">
        <v>310</v>
      </c>
      <c r="G13554" s="177" t="s">
        <v>3513</v>
      </c>
      <c r="H13554" s="127" t="s">
        <v>210</v>
      </c>
    </row>
    <row r="13555" hidden="1">
      <c r="A13555" s="177" t="s">
        <v>228</v>
      </c>
      <c r="B13555" s="127" t="s">
        <v>138</v>
      </c>
      <c r="C13555" s="127" t="s">
        <v>206</v>
      </c>
      <c r="D13555" s="177" t="s">
        <v>69</v>
      </c>
      <c r="E13555" s="177" t="s">
        <v>16268</v>
      </c>
      <c r="F13555" s="177" t="s">
        <v>287</v>
      </c>
      <c r="G13555" s="177" t="s">
        <v>4215</v>
      </c>
      <c r="H13555" s="127" t="s">
        <v>211</v>
      </c>
    </row>
    <row r="13556" hidden="1">
      <c r="A13556" s="177" t="s">
        <v>228</v>
      </c>
      <c r="B13556" s="127" t="s">
        <v>138</v>
      </c>
      <c r="C13556" s="127" t="s">
        <v>206</v>
      </c>
      <c r="D13556" s="177" t="s">
        <v>69</v>
      </c>
      <c r="E13556" s="177" t="s">
        <v>16269</v>
      </c>
      <c r="F13556" s="177" t="s">
        <v>259</v>
      </c>
      <c r="G13556" s="177" t="s">
        <v>9400</v>
      </c>
      <c r="H13556" s="127" t="s">
        <v>212</v>
      </c>
    </row>
    <row r="13557" hidden="1">
      <c r="A13557" s="177" t="s">
        <v>228</v>
      </c>
      <c r="B13557" s="127" t="s">
        <v>138</v>
      </c>
      <c r="C13557" s="127" t="s">
        <v>206</v>
      </c>
      <c r="D13557" s="177" t="s">
        <v>69</v>
      </c>
      <c r="E13557" s="177" t="s">
        <v>16270</v>
      </c>
      <c r="F13557" s="177" t="s">
        <v>287</v>
      </c>
      <c r="G13557" s="177" t="s">
        <v>9713</v>
      </c>
      <c r="H13557" s="127" t="s">
        <v>213</v>
      </c>
    </row>
    <row r="13558" hidden="1">
      <c r="A13558" s="177" t="s">
        <v>228</v>
      </c>
      <c r="B13558" s="127" t="s">
        <v>138</v>
      </c>
      <c r="C13558" s="127" t="s">
        <v>206</v>
      </c>
      <c r="D13558" s="177" t="s">
        <v>69</v>
      </c>
      <c r="E13558" s="177" t="s">
        <v>16271</v>
      </c>
      <c r="F13558" s="177" t="s">
        <v>244</v>
      </c>
      <c r="G13558" s="177" t="s">
        <v>3905</v>
      </c>
      <c r="H13558" s="127" t="s">
        <v>214</v>
      </c>
    </row>
    <row r="13559" hidden="1">
      <c r="A13559" s="177" t="s">
        <v>228</v>
      </c>
      <c r="B13559" s="127" t="s">
        <v>138</v>
      </c>
      <c r="C13559" s="127" t="s">
        <v>206</v>
      </c>
      <c r="D13559" s="177" t="s">
        <v>69</v>
      </c>
      <c r="E13559" s="177" t="s">
        <v>16272</v>
      </c>
      <c r="F13559" s="177" t="s">
        <v>365</v>
      </c>
      <c r="G13559" s="177" t="s">
        <v>10164</v>
      </c>
      <c r="H13559" s="127" t="s">
        <v>215</v>
      </c>
    </row>
    <row r="13560" hidden="1">
      <c r="A13560" s="177" t="s">
        <v>228</v>
      </c>
      <c r="B13560" s="127" t="s">
        <v>138</v>
      </c>
      <c r="C13560" s="127" t="s">
        <v>206</v>
      </c>
      <c r="D13560" s="177" t="s">
        <v>69</v>
      </c>
      <c r="E13560" s="177" t="s">
        <v>16273</v>
      </c>
      <c r="F13560" s="177" t="s">
        <v>285</v>
      </c>
      <c r="G13560" s="177" t="s">
        <v>3300</v>
      </c>
      <c r="H13560" s="127" t="s">
        <v>216</v>
      </c>
    </row>
    <row r="13561" hidden="1">
      <c r="A13561" s="177" t="s">
        <v>229</v>
      </c>
      <c r="B13561" s="127" t="s">
        <v>193</v>
      </c>
      <c r="C13561" s="127" t="s">
        <v>206</v>
      </c>
      <c r="D13561" s="177" t="s">
        <v>69</v>
      </c>
      <c r="E13561" s="177" t="s">
        <v>16274</v>
      </c>
      <c r="F13561" s="177" t="s">
        <v>249</v>
      </c>
      <c r="G13561" s="177" t="s">
        <v>3059</v>
      </c>
      <c r="H13561" s="127" t="s">
        <v>210</v>
      </c>
    </row>
    <row r="13562" hidden="1">
      <c r="A13562" s="177" t="s">
        <v>229</v>
      </c>
      <c r="B13562" s="127" t="s">
        <v>193</v>
      </c>
      <c r="C13562" s="127" t="s">
        <v>206</v>
      </c>
      <c r="D13562" s="177" t="s">
        <v>69</v>
      </c>
      <c r="E13562" s="177" t="s">
        <v>16275</v>
      </c>
      <c r="F13562" s="177" t="s">
        <v>331</v>
      </c>
      <c r="G13562" s="177" t="s">
        <v>2285</v>
      </c>
      <c r="H13562" s="127" t="s">
        <v>211</v>
      </c>
    </row>
    <row r="13563" hidden="1">
      <c r="A13563" s="177" t="s">
        <v>229</v>
      </c>
      <c r="B13563" s="127" t="s">
        <v>193</v>
      </c>
      <c r="C13563" s="127" t="s">
        <v>206</v>
      </c>
      <c r="D13563" s="177" t="s">
        <v>69</v>
      </c>
      <c r="E13563" s="177" t="s">
        <v>16276</v>
      </c>
      <c r="F13563" s="177" t="s">
        <v>351</v>
      </c>
      <c r="G13563" s="177" t="s">
        <v>2115</v>
      </c>
      <c r="H13563" s="127" t="s">
        <v>212</v>
      </c>
    </row>
    <row r="13564" hidden="1">
      <c r="A13564" s="177" t="s">
        <v>229</v>
      </c>
      <c r="B13564" s="127" t="s">
        <v>193</v>
      </c>
      <c r="C13564" s="127" t="s">
        <v>206</v>
      </c>
      <c r="D13564" s="177" t="s">
        <v>69</v>
      </c>
      <c r="E13564" s="177" t="s">
        <v>16277</v>
      </c>
      <c r="F13564" s="177" t="s">
        <v>276</v>
      </c>
      <c r="G13564" s="177" t="s">
        <v>2989</v>
      </c>
      <c r="H13564" s="127" t="s">
        <v>213</v>
      </c>
    </row>
    <row r="13565" hidden="1">
      <c r="A13565" s="177" t="s">
        <v>229</v>
      </c>
      <c r="B13565" s="127" t="s">
        <v>193</v>
      </c>
      <c r="C13565" s="127" t="s">
        <v>206</v>
      </c>
      <c r="D13565" s="177" t="s">
        <v>69</v>
      </c>
      <c r="E13565" s="177" t="s">
        <v>16278</v>
      </c>
      <c r="F13565" s="177" t="s">
        <v>244</v>
      </c>
      <c r="G13565" s="177" t="s">
        <v>3523</v>
      </c>
      <c r="H13565" s="127" t="s">
        <v>214</v>
      </c>
    </row>
    <row r="13566" hidden="1">
      <c r="A13566" s="177" t="s">
        <v>229</v>
      </c>
      <c r="B13566" s="127" t="s">
        <v>193</v>
      </c>
      <c r="C13566" s="127" t="s">
        <v>206</v>
      </c>
      <c r="D13566" s="177" t="s">
        <v>69</v>
      </c>
      <c r="E13566" s="177" t="s">
        <v>16279</v>
      </c>
      <c r="F13566" s="177" t="s">
        <v>323</v>
      </c>
      <c r="G13566" s="177" t="s">
        <v>3572</v>
      </c>
      <c r="H13566" s="127" t="s">
        <v>215</v>
      </c>
    </row>
    <row r="13567" hidden="1">
      <c r="A13567" s="177" t="s">
        <v>229</v>
      </c>
      <c r="B13567" s="127" t="s">
        <v>193</v>
      </c>
      <c r="C13567" s="127" t="s">
        <v>206</v>
      </c>
      <c r="D13567" s="177" t="s">
        <v>69</v>
      </c>
      <c r="E13567" s="177" t="s">
        <v>16280</v>
      </c>
      <c r="F13567" s="177" t="s">
        <v>321</v>
      </c>
      <c r="G13567" s="177" t="s">
        <v>2910</v>
      </c>
      <c r="H13567" s="127" t="s">
        <v>216</v>
      </c>
    </row>
    <row r="13568" hidden="1">
      <c r="A13568" s="177" t="s">
        <v>230</v>
      </c>
      <c r="B13568" s="127" t="s">
        <v>194</v>
      </c>
      <c r="C13568" s="127" t="s">
        <v>206</v>
      </c>
      <c r="D13568" s="177" t="s">
        <v>69</v>
      </c>
      <c r="E13568" s="177" t="s">
        <v>16281</v>
      </c>
      <c r="F13568" s="177" t="s">
        <v>321</v>
      </c>
      <c r="G13568" s="177" t="s">
        <v>4338</v>
      </c>
      <c r="H13568" s="127" t="s">
        <v>210</v>
      </c>
    </row>
    <row r="13569" hidden="1">
      <c r="A13569" s="177" t="s">
        <v>230</v>
      </c>
      <c r="B13569" s="127" t="s">
        <v>194</v>
      </c>
      <c r="C13569" s="127" t="s">
        <v>206</v>
      </c>
      <c r="D13569" s="177" t="s">
        <v>69</v>
      </c>
      <c r="E13569" s="177" t="s">
        <v>16282</v>
      </c>
      <c r="F13569" s="177" t="s">
        <v>249</v>
      </c>
      <c r="G13569" s="177" t="s">
        <v>2563</v>
      </c>
      <c r="H13569" s="127" t="s">
        <v>211</v>
      </c>
    </row>
    <row r="13570" hidden="1">
      <c r="A13570" s="177" t="s">
        <v>230</v>
      </c>
      <c r="B13570" s="127" t="s">
        <v>194</v>
      </c>
      <c r="C13570" s="127" t="s">
        <v>206</v>
      </c>
      <c r="D13570" s="177" t="s">
        <v>69</v>
      </c>
      <c r="E13570" s="177" t="s">
        <v>16283</v>
      </c>
      <c r="F13570" s="177" t="s">
        <v>257</v>
      </c>
      <c r="G13570" s="177" t="s">
        <v>2364</v>
      </c>
      <c r="H13570" s="127" t="s">
        <v>212</v>
      </c>
    </row>
    <row r="13571" hidden="1">
      <c r="A13571" s="177" t="s">
        <v>230</v>
      </c>
      <c r="B13571" s="127" t="s">
        <v>194</v>
      </c>
      <c r="C13571" s="127" t="s">
        <v>206</v>
      </c>
      <c r="D13571" s="177" t="s">
        <v>69</v>
      </c>
      <c r="E13571" s="177" t="s">
        <v>16284</v>
      </c>
      <c r="F13571" s="177" t="s">
        <v>331</v>
      </c>
      <c r="G13571" s="177" t="s">
        <v>2034</v>
      </c>
      <c r="H13571" s="127" t="s">
        <v>213</v>
      </c>
    </row>
    <row r="13572" hidden="1">
      <c r="A13572" s="177" t="s">
        <v>230</v>
      </c>
      <c r="B13572" s="127" t="s">
        <v>194</v>
      </c>
      <c r="C13572" s="127" t="s">
        <v>206</v>
      </c>
      <c r="D13572" s="177" t="s">
        <v>69</v>
      </c>
      <c r="E13572" s="177" t="s">
        <v>16285</v>
      </c>
      <c r="F13572" s="177" t="s">
        <v>321</v>
      </c>
      <c r="G13572" s="177" t="s">
        <v>2070</v>
      </c>
      <c r="H13572" s="127" t="s">
        <v>214</v>
      </c>
    </row>
    <row r="13573" hidden="1">
      <c r="A13573" s="177" t="s">
        <v>230</v>
      </c>
      <c r="B13573" s="127" t="s">
        <v>194</v>
      </c>
      <c r="C13573" s="127" t="s">
        <v>206</v>
      </c>
      <c r="D13573" s="177" t="s">
        <v>69</v>
      </c>
      <c r="E13573" s="177" t="s">
        <v>16286</v>
      </c>
      <c r="F13573" s="177" t="s">
        <v>321</v>
      </c>
      <c r="G13573" s="177" t="s">
        <v>3010</v>
      </c>
      <c r="H13573" s="127" t="s">
        <v>215</v>
      </c>
    </row>
    <row r="13574" hidden="1">
      <c r="A13574" s="177" t="s">
        <v>230</v>
      </c>
      <c r="B13574" s="127" t="s">
        <v>194</v>
      </c>
      <c r="C13574" s="127" t="s">
        <v>206</v>
      </c>
      <c r="D13574" s="177" t="s">
        <v>69</v>
      </c>
      <c r="E13574" s="177" t="s">
        <v>16287</v>
      </c>
      <c r="F13574" s="177" t="s">
        <v>321</v>
      </c>
      <c r="G13574" s="177" t="s">
        <v>2467</v>
      </c>
      <c r="H13574" s="127" t="s">
        <v>216</v>
      </c>
    </row>
    <row r="13575" hidden="1">
      <c r="A13575" s="127" t="s">
        <v>231</v>
      </c>
      <c r="C13575" s="127" t="s">
        <v>232</v>
      </c>
      <c r="D13575" s="177" t="s">
        <v>69</v>
      </c>
      <c r="E13575" s="177" t="s">
        <v>16288</v>
      </c>
      <c r="F13575" s="177" t="s">
        <v>442</v>
      </c>
      <c r="G13575" s="177" t="s">
        <v>1983</v>
      </c>
      <c r="H13575" s="127" t="s">
        <v>210</v>
      </c>
    </row>
    <row r="13576" hidden="1">
      <c r="A13576" s="127" t="s">
        <v>231</v>
      </c>
      <c r="C13576" s="127" t="s">
        <v>232</v>
      </c>
      <c r="D13576" s="177" t="s">
        <v>69</v>
      </c>
      <c r="E13576" s="177" t="s">
        <v>16289</v>
      </c>
      <c r="F13576" s="177" t="s">
        <v>255</v>
      </c>
      <c r="G13576" s="177" t="s">
        <v>3254</v>
      </c>
      <c r="H13576" s="127" t="s">
        <v>211</v>
      </c>
    </row>
    <row r="13577" hidden="1">
      <c r="A13577" s="127" t="s">
        <v>231</v>
      </c>
      <c r="C13577" s="127" t="s">
        <v>232</v>
      </c>
      <c r="D13577" s="177" t="s">
        <v>69</v>
      </c>
      <c r="E13577" s="177" t="s">
        <v>16290</v>
      </c>
      <c r="F13577" s="177" t="s">
        <v>314</v>
      </c>
      <c r="G13577" s="177" t="s">
        <v>2654</v>
      </c>
      <c r="H13577" s="127" t="s">
        <v>212</v>
      </c>
    </row>
    <row r="13578" hidden="1">
      <c r="A13578" s="127" t="s">
        <v>231</v>
      </c>
      <c r="C13578" s="127" t="s">
        <v>232</v>
      </c>
      <c r="D13578" s="177" t="s">
        <v>69</v>
      </c>
      <c r="E13578" s="177" t="s">
        <v>16291</v>
      </c>
      <c r="F13578" s="177" t="s">
        <v>255</v>
      </c>
      <c r="G13578" s="177" t="s">
        <v>1804</v>
      </c>
      <c r="H13578" s="127" t="s">
        <v>213</v>
      </c>
    </row>
    <row r="13579" hidden="1">
      <c r="A13579" s="127" t="s">
        <v>231</v>
      </c>
      <c r="C13579" s="127" t="s">
        <v>232</v>
      </c>
      <c r="D13579" s="177" t="s">
        <v>69</v>
      </c>
      <c r="E13579" s="177" t="s">
        <v>16292</v>
      </c>
      <c r="F13579" s="177" t="s">
        <v>433</v>
      </c>
      <c r="G13579" s="177" t="s">
        <v>5852</v>
      </c>
      <c r="H13579" s="127" t="s">
        <v>214</v>
      </c>
    </row>
    <row r="13580" hidden="1">
      <c r="A13580" s="127" t="s">
        <v>231</v>
      </c>
      <c r="C13580" s="127" t="s">
        <v>232</v>
      </c>
      <c r="D13580" s="177" t="s">
        <v>69</v>
      </c>
      <c r="E13580" s="177" t="s">
        <v>16293</v>
      </c>
      <c r="F13580" s="177" t="s">
        <v>259</v>
      </c>
      <c r="G13580" s="177" t="s">
        <v>6323</v>
      </c>
      <c r="H13580" s="127" t="s">
        <v>215</v>
      </c>
    </row>
    <row r="13581" hidden="1">
      <c r="A13581" s="127" t="s">
        <v>231</v>
      </c>
      <c r="C13581" s="127" t="s">
        <v>232</v>
      </c>
      <c r="D13581" s="177" t="s">
        <v>69</v>
      </c>
      <c r="E13581" s="177" t="s">
        <v>16294</v>
      </c>
      <c r="F13581" s="177" t="s">
        <v>298</v>
      </c>
      <c r="G13581" s="177" t="s">
        <v>1771</v>
      </c>
      <c r="H13581" s="127" t="s">
        <v>216</v>
      </c>
    </row>
    <row r="13582" hidden="1">
      <c r="A13582" s="127" t="s">
        <v>233</v>
      </c>
      <c r="C13582" s="127" t="s">
        <v>232</v>
      </c>
      <c r="D13582" s="177" t="s">
        <v>69</v>
      </c>
      <c r="E13582" s="177" t="s">
        <v>16295</v>
      </c>
      <c r="F13582" s="177" t="s">
        <v>331</v>
      </c>
      <c r="G13582" s="177" t="s">
        <v>3007</v>
      </c>
      <c r="H13582" s="127" t="s">
        <v>210</v>
      </c>
    </row>
    <row r="13583" hidden="1">
      <c r="A13583" s="127" t="s">
        <v>233</v>
      </c>
      <c r="C13583" s="127" t="s">
        <v>232</v>
      </c>
      <c r="D13583" s="177" t="s">
        <v>69</v>
      </c>
      <c r="E13583" s="177" t="s">
        <v>16296</v>
      </c>
      <c r="F13583" s="177" t="s">
        <v>249</v>
      </c>
      <c r="G13583" s="177" t="s">
        <v>2062</v>
      </c>
      <c r="H13583" s="127" t="s">
        <v>211</v>
      </c>
    </row>
    <row r="13584" hidden="1">
      <c r="A13584" s="127" t="s">
        <v>233</v>
      </c>
      <c r="C13584" s="127" t="s">
        <v>232</v>
      </c>
      <c r="D13584" s="177" t="s">
        <v>69</v>
      </c>
      <c r="E13584" s="177" t="s">
        <v>16297</v>
      </c>
      <c r="F13584" s="177" t="s">
        <v>314</v>
      </c>
      <c r="G13584" s="177" t="s">
        <v>3010</v>
      </c>
      <c r="H13584" s="127" t="s">
        <v>212</v>
      </c>
    </row>
    <row r="13585" hidden="1">
      <c r="A13585" s="127" t="s">
        <v>233</v>
      </c>
      <c r="C13585" s="127" t="s">
        <v>232</v>
      </c>
      <c r="D13585" s="177" t="s">
        <v>69</v>
      </c>
      <c r="E13585" s="177" t="s">
        <v>16298</v>
      </c>
      <c r="F13585" s="177" t="s">
        <v>314</v>
      </c>
      <c r="G13585" s="177" t="s">
        <v>3001</v>
      </c>
      <c r="H13585" s="127" t="s">
        <v>213</v>
      </c>
    </row>
    <row r="13586" hidden="1">
      <c r="A13586" s="127" t="s">
        <v>233</v>
      </c>
      <c r="C13586" s="127" t="s">
        <v>232</v>
      </c>
      <c r="D13586" s="177" t="s">
        <v>69</v>
      </c>
      <c r="E13586" s="177" t="s">
        <v>16299</v>
      </c>
      <c r="F13586" s="177" t="s">
        <v>331</v>
      </c>
      <c r="G13586" s="177" t="s">
        <v>2062</v>
      </c>
      <c r="H13586" s="127" t="s">
        <v>214</v>
      </c>
    </row>
    <row r="13587" hidden="1">
      <c r="A13587" s="127" t="s">
        <v>233</v>
      </c>
      <c r="C13587" s="127" t="s">
        <v>232</v>
      </c>
      <c r="D13587" s="177" t="s">
        <v>69</v>
      </c>
      <c r="E13587" s="177" t="s">
        <v>16300</v>
      </c>
      <c r="F13587" s="177" t="s">
        <v>357</v>
      </c>
      <c r="G13587" s="177" t="s">
        <v>3071</v>
      </c>
      <c r="H13587" s="127" t="s">
        <v>215</v>
      </c>
    </row>
    <row r="13588" hidden="1">
      <c r="A13588" s="127" t="s">
        <v>233</v>
      </c>
      <c r="C13588" s="127" t="s">
        <v>232</v>
      </c>
      <c r="D13588" s="177" t="s">
        <v>69</v>
      </c>
      <c r="E13588" s="177" t="s">
        <v>16301</v>
      </c>
      <c r="F13588" s="177" t="s">
        <v>249</v>
      </c>
      <c r="G13588" s="177" t="s">
        <v>3647</v>
      </c>
      <c r="H13588" s="127" t="s">
        <v>216</v>
      </c>
    </row>
    <row r="13589" hidden="1">
      <c r="A13589" s="127" t="s">
        <v>234</v>
      </c>
      <c r="C13589" s="127" t="s">
        <v>232</v>
      </c>
      <c r="D13589" s="177" t="s">
        <v>69</v>
      </c>
      <c r="E13589" s="177" t="s">
        <v>16302</v>
      </c>
      <c r="F13589" s="177" t="s">
        <v>331</v>
      </c>
      <c r="G13589" s="177" t="s">
        <v>3001</v>
      </c>
      <c r="H13589" s="127" t="s">
        <v>210</v>
      </c>
    </row>
    <row r="13590" hidden="1">
      <c r="A13590" s="127" t="s">
        <v>234</v>
      </c>
      <c r="C13590" s="127" t="s">
        <v>232</v>
      </c>
      <c r="D13590" s="177" t="s">
        <v>69</v>
      </c>
      <c r="E13590" s="177" t="s">
        <v>16303</v>
      </c>
      <c r="F13590" s="177" t="s">
        <v>308</v>
      </c>
      <c r="G13590" s="177" t="s">
        <v>2309</v>
      </c>
      <c r="H13590" s="127" t="s">
        <v>211</v>
      </c>
    </row>
    <row r="13591" hidden="1">
      <c r="A13591" s="127" t="s">
        <v>234</v>
      </c>
      <c r="C13591" s="127" t="s">
        <v>232</v>
      </c>
      <c r="D13591" s="177" t="s">
        <v>69</v>
      </c>
      <c r="E13591" s="177" t="s">
        <v>16304</v>
      </c>
      <c r="F13591" s="177" t="s">
        <v>285</v>
      </c>
      <c r="G13591" s="177" t="s">
        <v>3647</v>
      </c>
      <c r="H13591" s="127" t="s">
        <v>212</v>
      </c>
    </row>
    <row r="13592" hidden="1">
      <c r="A13592" s="127" t="s">
        <v>234</v>
      </c>
      <c r="C13592" s="127" t="s">
        <v>232</v>
      </c>
      <c r="D13592" s="177" t="s">
        <v>69</v>
      </c>
      <c r="E13592" s="177" t="s">
        <v>16305</v>
      </c>
      <c r="F13592" s="177" t="s">
        <v>308</v>
      </c>
      <c r="G13592" s="177" t="s">
        <v>3503</v>
      </c>
      <c r="H13592" s="127" t="s">
        <v>213</v>
      </c>
    </row>
    <row r="13593" hidden="1">
      <c r="A13593" s="127" t="s">
        <v>234</v>
      </c>
      <c r="C13593" s="127" t="s">
        <v>232</v>
      </c>
      <c r="D13593" s="177" t="s">
        <v>69</v>
      </c>
      <c r="E13593" s="177" t="s">
        <v>16306</v>
      </c>
      <c r="F13593" s="177" t="s">
        <v>354</v>
      </c>
      <c r="G13593" s="177" t="s">
        <v>1942</v>
      </c>
      <c r="H13593" s="127" t="s">
        <v>214</v>
      </c>
    </row>
    <row r="13594" hidden="1">
      <c r="A13594" s="127" t="s">
        <v>234</v>
      </c>
      <c r="C13594" s="127" t="s">
        <v>232</v>
      </c>
      <c r="D13594" s="177" t="s">
        <v>69</v>
      </c>
      <c r="E13594" s="177" t="s">
        <v>16307</v>
      </c>
      <c r="F13594" s="177" t="s">
        <v>354</v>
      </c>
      <c r="G13594" s="177" t="s">
        <v>1927</v>
      </c>
      <c r="H13594" s="127" t="s">
        <v>215</v>
      </c>
    </row>
    <row r="13595" hidden="1">
      <c r="A13595" s="127" t="s">
        <v>234</v>
      </c>
      <c r="C13595" s="127" t="s">
        <v>232</v>
      </c>
      <c r="D13595" s="177" t="s">
        <v>69</v>
      </c>
      <c r="E13595" s="177" t="s">
        <v>16308</v>
      </c>
      <c r="F13595" s="177" t="s">
        <v>290</v>
      </c>
      <c r="G13595" s="177" t="s">
        <v>2779</v>
      </c>
      <c r="H13595" s="127" t="s">
        <v>216</v>
      </c>
    </row>
    <row r="13596" hidden="1">
      <c r="A13596" s="127" t="s">
        <v>235</v>
      </c>
      <c r="C13596" s="127" t="s">
        <v>236</v>
      </c>
      <c r="D13596" s="177" t="s">
        <v>69</v>
      </c>
      <c r="E13596" s="177" t="s">
        <v>16309</v>
      </c>
      <c r="F13596" s="177" t="s">
        <v>359</v>
      </c>
      <c r="G13596" s="177" t="s">
        <v>1753</v>
      </c>
      <c r="H13596" s="127" t="s">
        <v>210</v>
      </c>
    </row>
    <row r="13597" hidden="1">
      <c r="A13597" s="127" t="s">
        <v>235</v>
      </c>
      <c r="C13597" s="127" t="s">
        <v>236</v>
      </c>
      <c r="D13597" s="177" t="s">
        <v>69</v>
      </c>
      <c r="E13597" s="177" t="s">
        <v>16310</v>
      </c>
      <c r="F13597" s="177" t="s">
        <v>359</v>
      </c>
      <c r="G13597" s="177" t="s">
        <v>1957</v>
      </c>
      <c r="H13597" s="127" t="s">
        <v>211</v>
      </c>
    </row>
    <row r="13598" hidden="1">
      <c r="A13598" s="127" t="s">
        <v>235</v>
      </c>
      <c r="C13598" s="127" t="s">
        <v>236</v>
      </c>
      <c r="D13598" s="177" t="s">
        <v>69</v>
      </c>
      <c r="E13598" s="177" t="s">
        <v>16311</v>
      </c>
      <c r="F13598" s="177" t="s">
        <v>321</v>
      </c>
      <c r="G13598" s="177" t="s">
        <v>1722</v>
      </c>
      <c r="H13598" s="127" t="s">
        <v>212</v>
      </c>
    </row>
    <row r="13599" hidden="1">
      <c r="A13599" s="127" t="s">
        <v>235</v>
      </c>
      <c r="C13599" s="127" t="s">
        <v>236</v>
      </c>
      <c r="D13599" s="177" t="s">
        <v>69</v>
      </c>
      <c r="E13599" s="177" t="s">
        <v>16312</v>
      </c>
      <c r="F13599" s="177" t="s">
        <v>359</v>
      </c>
      <c r="G13599" s="177" t="s">
        <v>2203</v>
      </c>
      <c r="H13599" s="127" t="s">
        <v>213</v>
      </c>
    </row>
    <row r="13600" hidden="1">
      <c r="A13600" s="127" t="s">
        <v>235</v>
      </c>
      <c r="C13600" s="127" t="s">
        <v>236</v>
      </c>
      <c r="D13600" s="177" t="s">
        <v>69</v>
      </c>
      <c r="E13600" s="177" t="s">
        <v>16313</v>
      </c>
      <c r="F13600" s="177" t="s">
        <v>314</v>
      </c>
      <c r="G13600" s="177" t="s">
        <v>2901</v>
      </c>
      <c r="H13600" s="127" t="s">
        <v>214</v>
      </c>
    </row>
    <row r="13601" hidden="1">
      <c r="A13601" s="127" t="s">
        <v>235</v>
      </c>
      <c r="C13601" s="127" t="s">
        <v>236</v>
      </c>
      <c r="D13601" s="177" t="s">
        <v>69</v>
      </c>
      <c r="E13601" s="177" t="s">
        <v>16314</v>
      </c>
      <c r="F13601" s="177" t="s">
        <v>244</v>
      </c>
      <c r="G13601" s="177" t="s">
        <v>1812</v>
      </c>
      <c r="H13601" s="127" t="s">
        <v>215</v>
      </c>
    </row>
    <row r="13602" hidden="1">
      <c r="A13602" s="127" t="s">
        <v>235</v>
      </c>
      <c r="C13602" s="127" t="s">
        <v>236</v>
      </c>
      <c r="D13602" s="177" t="s">
        <v>69</v>
      </c>
      <c r="E13602" s="177" t="s">
        <v>16315</v>
      </c>
      <c r="F13602" s="177" t="s">
        <v>359</v>
      </c>
      <c r="G13602" s="177" t="s">
        <v>1812</v>
      </c>
      <c r="H13602" s="127" t="s">
        <v>216</v>
      </c>
    </row>
    <row r="13603" hidden="1">
      <c r="A13603" s="127" t="s">
        <v>237</v>
      </c>
      <c r="C13603" s="127" t="s">
        <v>236</v>
      </c>
      <c r="D13603" s="177" t="s">
        <v>69</v>
      </c>
      <c r="E13603" s="177" t="s">
        <v>16316</v>
      </c>
      <c r="F13603" s="177" t="s">
        <v>331</v>
      </c>
      <c r="G13603" s="177" t="s">
        <v>3003</v>
      </c>
      <c r="H13603" s="127" t="s">
        <v>210</v>
      </c>
    </row>
    <row r="13604" hidden="1">
      <c r="A13604" s="127" t="s">
        <v>237</v>
      </c>
      <c r="C13604" s="127" t="s">
        <v>236</v>
      </c>
      <c r="D13604" s="177" t="s">
        <v>69</v>
      </c>
      <c r="E13604" s="177" t="s">
        <v>16317</v>
      </c>
      <c r="F13604" s="177" t="s">
        <v>534</v>
      </c>
      <c r="G13604" s="177" t="s">
        <v>2006</v>
      </c>
      <c r="H13604" s="127" t="s">
        <v>211</v>
      </c>
    </row>
    <row r="13605" hidden="1">
      <c r="A13605" s="127" t="s">
        <v>237</v>
      </c>
      <c r="C13605" s="127" t="s">
        <v>236</v>
      </c>
      <c r="D13605" s="177" t="s">
        <v>69</v>
      </c>
      <c r="E13605" s="177" t="s">
        <v>16318</v>
      </c>
      <c r="F13605" s="177" t="s">
        <v>365</v>
      </c>
      <c r="G13605" s="177" t="s">
        <v>2287</v>
      </c>
      <c r="H13605" s="127" t="s">
        <v>212</v>
      </c>
    </row>
    <row r="13606" hidden="1">
      <c r="A13606" s="127" t="s">
        <v>237</v>
      </c>
      <c r="C13606" s="127" t="s">
        <v>236</v>
      </c>
      <c r="D13606" s="177" t="s">
        <v>69</v>
      </c>
      <c r="E13606" s="177" t="s">
        <v>16319</v>
      </c>
      <c r="F13606" s="177" t="s">
        <v>314</v>
      </c>
      <c r="G13606" s="177" t="s">
        <v>3057</v>
      </c>
      <c r="H13606" s="127" t="s">
        <v>213</v>
      </c>
    </row>
    <row r="13607" hidden="1">
      <c r="A13607" s="127" t="s">
        <v>237</v>
      </c>
      <c r="C13607" s="127" t="s">
        <v>236</v>
      </c>
      <c r="D13607" s="177" t="s">
        <v>69</v>
      </c>
      <c r="E13607" s="177" t="s">
        <v>16320</v>
      </c>
      <c r="F13607" s="177" t="s">
        <v>450</v>
      </c>
      <c r="G13607" s="177" t="s">
        <v>2115</v>
      </c>
      <c r="H13607" s="127" t="s">
        <v>214</v>
      </c>
    </row>
    <row r="13608" hidden="1">
      <c r="A13608" s="127" t="s">
        <v>237</v>
      </c>
      <c r="C13608" s="127" t="s">
        <v>236</v>
      </c>
      <c r="D13608" s="177" t="s">
        <v>69</v>
      </c>
      <c r="E13608" s="177" t="s">
        <v>16321</v>
      </c>
      <c r="F13608" s="177" t="s">
        <v>325</v>
      </c>
      <c r="G13608" s="177" t="s">
        <v>3917</v>
      </c>
      <c r="H13608" s="127" t="s">
        <v>215</v>
      </c>
    </row>
    <row r="13609" hidden="1">
      <c r="A13609" s="127" t="s">
        <v>237</v>
      </c>
      <c r="C13609" s="127" t="s">
        <v>236</v>
      </c>
      <c r="D13609" s="177" t="s">
        <v>69</v>
      </c>
      <c r="E13609" s="177" t="s">
        <v>16322</v>
      </c>
      <c r="F13609" s="177" t="s">
        <v>290</v>
      </c>
      <c r="G13609" s="177" t="s">
        <v>3445</v>
      </c>
      <c r="H13609" s="127" t="s">
        <v>216</v>
      </c>
    </row>
    <row r="13610" hidden="1">
      <c r="A13610" s="177" t="s">
        <v>204</v>
      </c>
      <c r="B13610" s="127" t="s">
        <v>205</v>
      </c>
      <c r="C13610" s="127" t="s">
        <v>206</v>
      </c>
      <c r="D13610" s="177" t="s">
        <v>16323</v>
      </c>
      <c r="E13610" s="177" t="s">
        <v>16324</v>
      </c>
      <c r="F13610" s="177" t="s">
        <v>331</v>
      </c>
      <c r="G13610" s="177" t="s">
        <v>2129</v>
      </c>
      <c r="H13610" s="127" t="s">
        <v>210</v>
      </c>
    </row>
    <row r="13611" hidden="1">
      <c r="A13611" s="177" t="s">
        <v>204</v>
      </c>
      <c r="B13611" s="127" t="s">
        <v>205</v>
      </c>
      <c r="C13611" s="127" t="s">
        <v>206</v>
      </c>
      <c r="D13611" s="177" t="s">
        <v>16323</v>
      </c>
      <c r="E13611" s="177" t="s">
        <v>16325</v>
      </c>
      <c r="F13611" s="177" t="s">
        <v>290</v>
      </c>
      <c r="G13611" s="177" t="s">
        <v>1868</v>
      </c>
      <c r="H13611" s="127" t="s">
        <v>211</v>
      </c>
    </row>
    <row r="13612" hidden="1">
      <c r="A13612" s="177" t="s">
        <v>204</v>
      </c>
      <c r="B13612" s="127" t="s">
        <v>205</v>
      </c>
      <c r="C13612" s="127" t="s">
        <v>206</v>
      </c>
      <c r="D13612" s="177" t="s">
        <v>16323</v>
      </c>
      <c r="E13612" s="177" t="s">
        <v>16326</v>
      </c>
      <c r="F13612" s="177" t="s">
        <v>339</v>
      </c>
      <c r="G13612" s="177" t="s">
        <v>2546</v>
      </c>
      <c r="H13612" s="127" t="s">
        <v>212</v>
      </c>
    </row>
    <row r="13613" hidden="1">
      <c r="A13613" s="177" t="s">
        <v>204</v>
      </c>
      <c r="B13613" s="127" t="s">
        <v>205</v>
      </c>
      <c r="C13613" s="127" t="s">
        <v>206</v>
      </c>
      <c r="D13613" s="177" t="s">
        <v>16323</v>
      </c>
      <c r="E13613" s="177" t="s">
        <v>16327</v>
      </c>
      <c r="F13613" s="177" t="s">
        <v>249</v>
      </c>
      <c r="G13613" s="177" t="s">
        <v>2243</v>
      </c>
      <c r="H13613" s="127" t="s">
        <v>213</v>
      </c>
    </row>
    <row r="13614" hidden="1">
      <c r="A13614" s="177" t="s">
        <v>204</v>
      </c>
      <c r="B13614" s="127" t="s">
        <v>205</v>
      </c>
      <c r="C13614" s="127" t="s">
        <v>206</v>
      </c>
      <c r="D13614" s="177" t="s">
        <v>16323</v>
      </c>
      <c r="E13614" s="177" t="s">
        <v>16328</v>
      </c>
      <c r="F13614" s="177" t="s">
        <v>534</v>
      </c>
      <c r="G13614" s="177" t="s">
        <v>2129</v>
      </c>
      <c r="H13614" s="127" t="s">
        <v>214</v>
      </c>
    </row>
    <row r="13615" hidden="1">
      <c r="A13615" s="177" t="s">
        <v>204</v>
      </c>
      <c r="B13615" s="127" t="s">
        <v>205</v>
      </c>
      <c r="C13615" s="127" t="s">
        <v>206</v>
      </c>
      <c r="D13615" s="177" t="s">
        <v>16323</v>
      </c>
      <c r="E13615" s="177" t="s">
        <v>16329</v>
      </c>
      <c r="F13615" s="177" t="s">
        <v>249</v>
      </c>
      <c r="G13615" s="177" t="s">
        <v>3028</v>
      </c>
      <c r="H13615" s="127" t="s">
        <v>215</v>
      </c>
    </row>
    <row r="13616" hidden="1">
      <c r="A13616" s="177" t="s">
        <v>204</v>
      </c>
      <c r="B13616" s="127" t="s">
        <v>205</v>
      </c>
      <c r="C13616" s="127" t="s">
        <v>206</v>
      </c>
      <c r="D13616" s="177" t="s">
        <v>16323</v>
      </c>
      <c r="E13616" s="177" t="s">
        <v>16330</v>
      </c>
      <c r="F13616" s="177" t="s">
        <v>331</v>
      </c>
      <c r="G13616" s="177" t="s">
        <v>1868</v>
      </c>
      <c r="H13616" s="127" t="s">
        <v>216</v>
      </c>
    </row>
    <row r="13617" hidden="1">
      <c r="A13617" s="177" t="s">
        <v>217</v>
      </c>
      <c r="B13617" s="127" t="s">
        <v>191</v>
      </c>
      <c r="C13617" s="127" t="s">
        <v>206</v>
      </c>
      <c r="D13617" s="177" t="s">
        <v>16323</v>
      </c>
      <c r="E13617" s="177" t="s">
        <v>16331</v>
      </c>
      <c r="F13617" s="177" t="s">
        <v>249</v>
      </c>
      <c r="G13617" s="177" t="s">
        <v>1923</v>
      </c>
      <c r="H13617" s="127" t="s">
        <v>210</v>
      </c>
    </row>
    <row r="13618" hidden="1">
      <c r="A13618" s="177" t="s">
        <v>217</v>
      </c>
      <c r="B13618" s="127" t="s">
        <v>191</v>
      </c>
      <c r="C13618" s="127" t="s">
        <v>206</v>
      </c>
      <c r="D13618" s="177" t="s">
        <v>16323</v>
      </c>
      <c r="E13618" s="177" t="s">
        <v>16332</v>
      </c>
      <c r="F13618" s="177" t="s">
        <v>427</v>
      </c>
      <c r="G13618" s="177" t="s">
        <v>1868</v>
      </c>
      <c r="H13618" s="127" t="s">
        <v>211</v>
      </c>
    </row>
    <row r="13619" hidden="1">
      <c r="A13619" s="177" t="s">
        <v>217</v>
      </c>
      <c r="B13619" s="127" t="s">
        <v>191</v>
      </c>
      <c r="C13619" s="127" t="s">
        <v>206</v>
      </c>
      <c r="D13619" s="177" t="s">
        <v>16323</v>
      </c>
      <c r="E13619" s="177" t="s">
        <v>16333</v>
      </c>
      <c r="F13619" s="177" t="s">
        <v>577</v>
      </c>
      <c r="G13619" s="177" t="s">
        <v>1864</v>
      </c>
      <c r="H13619" s="127" t="s">
        <v>212</v>
      </c>
    </row>
    <row r="13620" hidden="1">
      <c r="A13620" s="177" t="s">
        <v>217</v>
      </c>
      <c r="B13620" s="127" t="s">
        <v>191</v>
      </c>
      <c r="C13620" s="127" t="s">
        <v>206</v>
      </c>
      <c r="D13620" s="177" t="s">
        <v>16323</v>
      </c>
      <c r="E13620" s="177" t="s">
        <v>16334</v>
      </c>
      <c r="F13620" s="177" t="s">
        <v>427</v>
      </c>
      <c r="G13620" s="177" t="s">
        <v>3647</v>
      </c>
      <c r="H13620" s="127" t="s">
        <v>213</v>
      </c>
    </row>
    <row r="13621" hidden="1">
      <c r="A13621" s="177" t="s">
        <v>217</v>
      </c>
      <c r="B13621" s="127" t="s">
        <v>191</v>
      </c>
      <c r="C13621" s="127" t="s">
        <v>206</v>
      </c>
      <c r="D13621" s="177" t="s">
        <v>16323</v>
      </c>
      <c r="E13621" s="177" t="s">
        <v>16335</v>
      </c>
      <c r="F13621" s="177" t="s">
        <v>351</v>
      </c>
      <c r="G13621" s="177" t="s">
        <v>1843</v>
      </c>
      <c r="H13621" s="127" t="s">
        <v>214</v>
      </c>
    </row>
    <row r="13622" hidden="1">
      <c r="A13622" s="177" t="s">
        <v>217</v>
      </c>
      <c r="B13622" s="127" t="s">
        <v>191</v>
      </c>
      <c r="C13622" s="127" t="s">
        <v>206</v>
      </c>
      <c r="D13622" s="177" t="s">
        <v>16323</v>
      </c>
      <c r="E13622" s="177" t="s">
        <v>16336</v>
      </c>
      <c r="F13622" s="177" t="s">
        <v>534</v>
      </c>
      <c r="G13622" s="177" t="s">
        <v>2379</v>
      </c>
      <c r="H13622" s="127" t="s">
        <v>215</v>
      </c>
    </row>
    <row r="13623" hidden="1">
      <c r="A13623" s="177" t="s">
        <v>217</v>
      </c>
      <c r="B13623" s="127" t="s">
        <v>191</v>
      </c>
      <c r="C13623" s="127" t="s">
        <v>206</v>
      </c>
      <c r="D13623" s="177" t="s">
        <v>16323</v>
      </c>
      <c r="E13623" s="177" t="s">
        <v>16337</v>
      </c>
      <c r="F13623" s="177" t="s">
        <v>310</v>
      </c>
      <c r="G13623" s="177" t="s">
        <v>2467</v>
      </c>
      <c r="H13623" s="127" t="s">
        <v>216</v>
      </c>
    </row>
    <row r="13624" hidden="1">
      <c r="A13624" s="177" t="s">
        <v>218</v>
      </c>
      <c r="B13624" s="127" t="s">
        <v>219</v>
      </c>
      <c r="C13624" s="127" t="s">
        <v>206</v>
      </c>
      <c r="D13624" s="177" t="s">
        <v>16323</v>
      </c>
      <c r="E13624" s="177" t="s">
        <v>16338</v>
      </c>
      <c r="F13624" s="177" t="s">
        <v>310</v>
      </c>
      <c r="G13624" s="177" t="s">
        <v>2142</v>
      </c>
      <c r="H13624" s="127" t="s">
        <v>210</v>
      </c>
    </row>
    <row r="13625" hidden="1">
      <c r="A13625" s="177" t="s">
        <v>218</v>
      </c>
      <c r="B13625" s="127" t="s">
        <v>219</v>
      </c>
      <c r="C13625" s="127" t="s">
        <v>206</v>
      </c>
      <c r="D13625" s="177" t="s">
        <v>16323</v>
      </c>
      <c r="E13625" s="177" t="s">
        <v>16339</v>
      </c>
      <c r="F13625" s="177" t="s">
        <v>308</v>
      </c>
      <c r="G13625" s="177" t="s">
        <v>1974</v>
      </c>
      <c r="H13625" s="127" t="s">
        <v>211</v>
      </c>
    </row>
    <row r="13626" hidden="1">
      <c r="A13626" s="177" t="s">
        <v>218</v>
      </c>
      <c r="B13626" s="127" t="s">
        <v>219</v>
      </c>
      <c r="C13626" s="127" t="s">
        <v>206</v>
      </c>
      <c r="D13626" s="177" t="s">
        <v>16323</v>
      </c>
      <c r="E13626" s="177" t="s">
        <v>16340</v>
      </c>
      <c r="F13626" s="177" t="s">
        <v>359</v>
      </c>
      <c r="G13626" s="177" t="s">
        <v>1877</v>
      </c>
      <c r="H13626" s="127" t="s">
        <v>212</v>
      </c>
    </row>
    <row r="13627" hidden="1">
      <c r="A13627" s="177" t="s">
        <v>218</v>
      </c>
      <c r="B13627" s="127" t="s">
        <v>219</v>
      </c>
      <c r="C13627" s="127" t="s">
        <v>206</v>
      </c>
      <c r="D13627" s="177" t="s">
        <v>16323</v>
      </c>
      <c r="E13627" s="177" t="s">
        <v>16341</v>
      </c>
      <c r="F13627" s="177" t="s">
        <v>321</v>
      </c>
      <c r="G13627" s="177" t="s">
        <v>2331</v>
      </c>
      <c r="H13627" s="127" t="s">
        <v>213</v>
      </c>
    </row>
    <row r="13628" hidden="1">
      <c r="A13628" s="177" t="s">
        <v>218</v>
      </c>
      <c r="B13628" s="127" t="s">
        <v>219</v>
      </c>
      <c r="C13628" s="127" t="s">
        <v>206</v>
      </c>
      <c r="D13628" s="177" t="s">
        <v>16323</v>
      </c>
      <c r="E13628" s="177" t="s">
        <v>16342</v>
      </c>
      <c r="F13628" s="177" t="s">
        <v>331</v>
      </c>
      <c r="G13628" s="177" t="s">
        <v>1733</v>
      </c>
      <c r="H13628" s="127" t="s">
        <v>214</v>
      </c>
    </row>
    <row r="13629" hidden="1">
      <c r="A13629" s="177" t="s">
        <v>218</v>
      </c>
      <c r="B13629" s="127" t="s">
        <v>219</v>
      </c>
      <c r="C13629" s="127" t="s">
        <v>206</v>
      </c>
      <c r="D13629" s="177" t="s">
        <v>16323</v>
      </c>
      <c r="E13629" s="177" t="s">
        <v>16343</v>
      </c>
      <c r="F13629" s="177" t="s">
        <v>314</v>
      </c>
      <c r="G13629" s="177" t="s">
        <v>1820</v>
      </c>
      <c r="H13629" s="127" t="s">
        <v>215</v>
      </c>
    </row>
    <row r="13630" hidden="1">
      <c r="A13630" s="177" t="s">
        <v>218</v>
      </c>
      <c r="B13630" s="127" t="s">
        <v>219</v>
      </c>
      <c r="C13630" s="127" t="s">
        <v>206</v>
      </c>
      <c r="D13630" s="177" t="s">
        <v>16323</v>
      </c>
      <c r="E13630" s="177" t="s">
        <v>16344</v>
      </c>
      <c r="F13630" s="177" t="s">
        <v>331</v>
      </c>
      <c r="G13630" s="177" t="s">
        <v>1974</v>
      </c>
      <c r="H13630" s="127" t="s">
        <v>216</v>
      </c>
    </row>
    <row r="13631" hidden="1">
      <c r="A13631" s="177" t="s">
        <v>220</v>
      </c>
      <c r="B13631" s="127" t="s">
        <v>190</v>
      </c>
      <c r="C13631" s="127" t="s">
        <v>206</v>
      </c>
      <c r="D13631" s="177" t="s">
        <v>16323</v>
      </c>
      <c r="E13631" s="177" t="s">
        <v>16345</v>
      </c>
      <c r="F13631" s="177" t="s">
        <v>240</v>
      </c>
      <c r="G13631" s="177" t="s">
        <v>2249</v>
      </c>
      <c r="H13631" s="127" t="s">
        <v>210</v>
      </c>
    </row>
    <row r="13632" hidden="1">
      <c r="A13632" s="177" t="s">
        <v>220</v>
      </c>
      <c r="B13632" s="127" t="s">
        <v>190</v>
      </c>
      <c r="C13632" s="127" t="s">
        <v>206</v>
      </c>
      <c r="D13632" s="177" t="s">
        <v>16323</v>
      </c>
      <c r="E13632" s="177" t="s">
        <v>16346</v>
      </c>
      <c r="F13632" s="177" t="s">
        <v>259</v>
      </c>
      <c r="G13632" s="177" t="s">
        <v>2404</v>
      </c>
      <c r="H13632" s="127" t="s">
        <v>211</v>
      </c>
    </row>
    <row r="13633" hidden="1">
      <c r="A13633" s="177" t="s">
        <v>220</v>
      </c>
      <c r="B13633" s="127" t="s">
        <v>190</v>
      </c>
      <c r="C13633" s="127" t="s">
        <v>206</v>
      </c>
      <c r="D13633" s="177" t="s">
        <v>16323</v>
      </c>
      <c r="E13633" s="177" t="s">
        <v>16347</v>
      </c>
      <c r="F13633" s="177" t="s">
        <v>374</v>
      </c>
      <c r="G13633" s="177" t="s">
        <v>4251</v>
      </c>
      <c r="H13633" s="127" t="s">
        <v>212</v>
      </c>
    </row>
    <row r="13634" hidden="1">
      <c r="A13634" s="177" t="s">
        <v>220</v>
      </c>
      <c r="B13634" s="127" t="s">
        <v>190</v>
      </c>
      <c r="C13634" s="127" t="s">
        <v>206</v>
      </c>
      <c r="D13634" s="177" t="s">
        <v>16323</v>
      </c>
      <c r="E13634" s="177" t="s">
        <v>16348</v>
      </c>
      <c r="F13634" s="177" t="s">
        <v>265</v>
      </c>
      <c r="G13634" s="177" t="s">
        <v>2011</v>
      </c>
      <c r="H13634" s="127" t="s">
        <v>213</v>
      </c>
    </row>
    <row r="13635" hidden="1">
      <c r="A13635" s="177" t="s">
        <v>220</v>
      </c>
      <c r="B13635" s="127" t="s">
        <v>190</v>
      </c>
      <c r="C13635" s="127" t="s">
        <v>206</v>
      </c>
      <c r="D13635" s="177" t="s">
        <v>16323</v>
      </c>
      <c r="E13635" s="177" t="s">
        <v>16349</v>
      </c>
      <c r="F13635" s="177" t="s">
        <v>257</v>
      </c>
      <c r="G13635" s="177" t="s">
        <v>1745</v>
      </c>
      <c r="H13635" s="127" t="s">
        <v>214</v>
      </c>
    </row>
    <row r="13636" hidden="1">
      <c r="A13636" s="177" t="s">
        <v>220</v>
      </c>
      <c r="B13636" s="127" t="s">
        <v>190</v>
      </c>
      <c r="C13636" s="127" t="s">
        <v>206</v>
      </c>
      <c r="D13636" s="177" t="s">
        <v>16323</v>
      </c>
      <c r="E13636" s="177" t="s">
        <v>16350</v>
      </c>
      <c r="F13636" s="177" t="s">
        <v>259</v>
      </c>
      <c r="G13636" s="177" t="s">
        <v>2029</v>
      </c>
      <c r="H13636" s="127" t="s">
        <v>215</v>
      </c>
    </row>
    <row r="13637" hidden="1">
      <c r="A13637" s="177" t="s">
        <v>220</v>
      </c>
      <c r="B13637" s="127" t="s">
        <v>190</v>
      </c>
      <c r="C13637" s="127" t="s">
        <v>206</v>
      </c>
      <c r="D13637" s="177" t="s">
        <v>16323</v>
      </c>
      <c r="E13637" s="177" t="s">
        <v>16351</v>
      </c>
      <c r="F13637" s="177" t="s">
        <v>301</v>
      </c>
      <c r="G13637" s="177" t="s">
        <v>2435</v>
      </c>
      <c r="H13637" s="127" t="s">
        <v>216</v>
      </c>
    </row>
    <row r="13638" hidden="1">
      <c r="A13638" s="177" t="s">
        <v>221</v>
      </c>
      <c r="B13638" s="127" t="s">
        <v>189</v>
      </c>
      <c r="C13638" s="127" t="s">
        <v>206</v>
      </c>
      <c r="D13638" s="177" t="s">
        <v>16323</v>
      </c>
      <c r="E13638" s="177" t="s">
        <v>16352</v>
      </c>
      <c r="F13638" s="177" t="s">
        <v>325</v>
      </c>
      <c r="G13638" s="177" t="s">
        <v>2847</v>
      </c>
      <c r="H13638" s="127" t="s">
        <v>210</v>
      </c>
    </row>
    <row r="13639" hidden="1">
      <c r="A13639" s="177" t="s">
        <v>221</v>
      </c>
      <c r="B13639" s="127" t="s">
        <v>189</v>
      </c>
      <c r="C13639" s="127" t="s">
        <v>206</v>
      </c>
      <c r="D13639" s="177" t="s">
        <v>16323</v>
      </c>
      <c r="E13639" s="177" t="s">
        <v>16353</v>
      </c>
      <c r="F13639" s="177" t="s">
        <v>351</v>
      </c>
      <c r="G13639" s="177" t="s">
        <v>3478</v>
      </c>
      <c r="H13639" s="127" t="s">
        <v>211</v>
      </c>
    </row>
    <row r="13640" hidden="1">
      <c r="A13640" s="177" t="s">
        <v>221</v>
      </c>
      <c r="B13640" s="127" t="s">
        <v>189</v>
      </c>
      <c r="C13640" s="127" t="s">
        <v>206</v>
      </c>
      <c r="D13640" s="177" t="s">
        <v>16323</v>
      </c>
      <c r="E13640" s="177" t="s">
        <v>16354</v>
      </c>
      <c r="F13640" s="177" t="s">
        <v>450</v>
      </c>
      <c r="G13640" s="177" t="s">
        <v>2107</v>
      </c>
      <c r="H13640" s="127" t="s">
        <v>212</v>
      </c>
    </row>
    <row r="13641" hidden="1">
      <c r="A13641" s="177" t="s">
        <v>221</v>
      </c>
      <c r="B13641" s="127" t="s">
        <v>189</v>
      </c>
      <c r="C13641" s="127" t="s">
        <v>206</v>
      </c>
      <c r="D13641" s="177" t="s">
        <v>16323</v>
      </c>
      <c r="E13641" s="177" t="s">
        <v>16355</v>
      </c>
      <c r="F13641" s="177" t="s">
        <v>314</v>
      </c>
      <c r="G13641" s="177" t="s">
        <v>3503</v>
      </c>
      <c r="H13641" s="127" t="s">
        <v>213</v>
      </c>
    </row>
    <row r="13642" hidden="1">
      <c r="A13642" s="177" t="s">
        <v>221</v>
      </c>
      <c r="B13642" s="127" t="s">
        <v>189</v>
      </c>
      <c r="C13642" s="127" t="s">
        <v>206</v>
      </c>
      <c r="D13642" s="177" t="s">
        <v>16323</v>
      </c>
      <c r="E13642" s="177" t="s">
        <v>16356</v>
      </c>
      <c r="F13642" s="177" t="s">
        <v>321</v>
      </c>
      <c r="G13642" s="177" t="s">
        <v>3278</v>
      </c>
      <c r="H13642" s="127" t="s">
        <v>214</v>
      </c>
    </row>
    <row r="13643" hidden="1">
      <c r="A13643" s="177" t="s">
        <v>221</v>
      </c>
      <c r="B13643" s="127" t="s">
        <v>189</v>
      </c>
      <c r="C13643" s="127" t="s">
        <v>206</v>
      </c>
      <c r="D13643" s="177" t="s">
        <v>16323</v>
      </c>
      <c r="E13643" s="177" t="s">
        <v>16357</v>
      </c>
      <c r="F13643" s="177" t="s">
        <v>331</v>
      </c>
      <c r="G13643" s="177" t="s">
        <v>3111</v>
      </c>
      <c r="H13643" s="127" t="s">
        <v>215</v>
      </c>
    </row>
    <row r="13644" hidden="1">
      <c r="A13644" s="177" t="s">
        <v>221</v>
      </c>
      <c r="B13644" s="127" t="s">
        <v>189</v>
      </c>
      <c r="C13644" s="127" t="s">
        <v>206</v>
      </c>
      <c r="D13644" s="177" t="s">
        <v>16323</v>
      </c>
      <c r="E13644" s="177" t="s">
        <v>16358</v>
      </c>
      <c r="F13644" s="177" t="s">
        <v>339</v>
      </c>
      <c r="G13644" s="177" t="s">
        <v>2602</v>
      </c>
      <c r="H13644" s="127" t="s">
        <v>216</v>
      </c>
    </row>
    <row r="13645" hidden="1">
      <c r="A13645" s="177" t="s">
        <v>222</v>
      </c>
      <c r="B13645" s="127" t="s">
        <v>192</v>
      </c>
      <c r="C13645" s="127" t="s">
        <v>206</v>
      </c>
      <c r="D13645" s="177" t="s">
        <v>16323</v>
      </c>
      <c r="E13645" s="177" t="s">
        <v>16359</v>
      </c>
      <c r="F13645" s="177" t="s">
        <v>359</v>
      </c>
      <c r="G13645" s="177" t="s">
        <v>1916</v>
      </c>
      <c r="H13645" s="127" t="s">
        <v>210</v>
      </c>
    </row>
    <row r="13646" hidden="1">
      <c r="A13646" s="177" t="s">
        <v>222</v>
      </c>
      <c r="B13646" s="127" t="s">
        <v>192</v>
      </c>
      <c r="C13646" s="127" t="s">
        <v>206</v>
      </c>
      <c r="D13646" s="177" t="s">
        <v>16323</v>
      </c>
      <c r="E13646" s="177" t="s">
        <v>16360</v>
      </c>
      <c r="F13646" s="177" t="s">
        <v>242</v>
      </c>
      <c r="G13646" s="177" t="s">
        <v>2029</v>
      </c>
      <c r="H13646" s="127" t="s">
        <v>211</v>
      </c>
    </row>
    <row r="13647" hidden="1">
      <c r="A13647" s="177" t="s">
        <v>222</v>
      </c>
      <c r="B13647" s="127" t="s">
        <v>192</v>
      </c>
      <c r="C13647" s="127" t="s">
        <v>206</v>
      </c>
      <c r="D13647" s="177" t="s">
        <v>16323</v>
      </c>
      <c r="E13647" s="177" t="s">
        <v>16361</v>
      </c>
      <c r="F13647" s="177" t="s">
        <v>244</v>
      </c>
      <c r="G13647" s="177" t="s">
        <v>589</v>
      </c>
      <c r="H13647" s="127" t="s">
        <v>212</v>
      </c>
    </row>
    <row r="13648" hidden="1">
      <c r="A13648" s="177" t="s">
        <v>222</v>
      </c>
      <c r="B13648" s="127" t="s">
        <v>192</v>
      </c>
      <c r="C13648" s="127" t="s">
        <v>206</v>
      </c>
      <c r="D13648" s="177" t="s">
        <v>16323</v>
      </c>
      <c r="E13648" s="177" t="s">
        <v>16362</v>
      </c>
      <c r="F13648" s="177" t="s">
        <v>244</v>
      </c>
      <c r="G13648" s="177" t="s">
        <v>2011</v>
      </c>
      <c r="H13648" s="127" t="s">
        <v>213</v>
      </c>
    </row>
    <row r="13649" hidden="1">
      <c r="A13649" s="177" t="s">
        <v>222</v>
      </c>
      <c r="B13649" s="127" t="s">
        <v>192</v>
      </c>
      <c r="C13649" s="127" t="s">
        <v>206</v>
      </c>
      <c r="D13649" s="177" t="s">
        <v>16323</v>
      </c>
      <c r="E13649" s="177" t="s">
        <v>16363</v>
      </c>
      <c r="F13649" s="177" t="s">
        <v>314</v>
      </c>
      <c r="G13649" s="177" t="s">
        <v>1741</v>
      </c>
      <c r="H13649" s="127" t="s">
        <v>214</v>
      </c>
    </row>
    <row r="13650" hidden="1">
      <c r="A13650" s="177" t="s">
        <v>222</v>
      </c>
      <c r="B13650" s="127" t="s">
        <v>192</v>
      </c>
      <c r="C13650" s="127" t="s">
        <v>206</v>
      </c>
      <c r="D13650" s="177" t="s">
        <v>16323</v>
      </c>
      <c r="E13650" s="177" t="s">
        <v>16364</v>
      </c>
      <c r="F13650" s="177" t="s">
        <v>255</v>
      </c>
      <c r="G13650" s="177" t="s">
        <v>1883</v>
      </c>
      <c r="H13650" s="127" t="s">
        <v>215</v>
      </c>
    </row>
    <row r="13651" hidden="1">
      <c r="A13651" s="177" t="s">
        <v>222</v>
      </c>
      <c r="B13651" s="127" t="s">
        <v>192</v>
      </c>
      <c r="C13651" s="127" t="s">
        <v>206</v>
      </c>
      <c r="D13651" s="177" t="s">
        <v>16323</v>
      </c>
      <c r="E13651" s="177" t="s">
        <v>16365</v>
      </c>
      <c r="F13651" s="177" t="s">
        <v>365</v>
      </c>
      <c r="G13651" s="177" t="s">
        <v>2077</v>
      </c>
      <c r="H13651" s="127" t="s">
        <v>216</v>
      </c>
    </row>
    <row r="13652" hidden="1">
      <c r="A13652" s="177" t="s">
        <v>223</v>
      </c>
      <c r="B13652" s="127" t="s">
        <v>144</v>
      </c>
      <c r="C13652" s="127" t="s">
        <v>206</v>
      </c>
      <c r="D13652" s="177" t="s">
        <v>16323</v>
      </c>
      <c r="E13652" s="177" t="s">
        <v>16366</v>
      </c>
      <c r="F13652" s="177" t="s">
        <v>314</v>
      </c>
      <c r="G13652" s="177" t="s">
        <v>2376</v>
      </c>
      <c r="H13652" s="127" t="s">
        <v>210</v>
      </c>
    </row>
    <row r="13653" hidden="1">
      <c r="A13653" s="177" t="s">
        <v>223</v>
      </c>
      <c r="B13653" s="127" t="s">
        <v>144</v>
      </c>
      <c r="C13653" s="127" t="s">
        <v>206</v>
      </c>
      <c r="D13653" s="177" t="s">
        <v>16323</v>
      </c>
      <c r="E13653" s="177" t="s">
        <v>16367</v>
      </c>
      <c r="F13653" s="177" t="s">
        <v>357</v>
      </c>
      <c r="G13653" s="177" t="s">
        <v>2025</v>
      </c>
      <c r="H13653" s="127" t="s">
        <v>211</v>
      </c>
    </row>
    <row r="13654" hidden="1">
      <c r="A13654" s="177" t="s">
        <v>223</v>
      </c>
      <c r="B13654" s="127" t="s">
        <v>144</v>
      </c>
      <c r="C13654" s="127" t="s">
        <v>206</v>
      </c>
      <c r="D13654" s="177" t="s">
        <v>16323</v>
      </c>
      <c r="E13654" s="177" t="s">
        <v>16368</v>
      </c>
      <c r="F13654" s="177" t="s">
        <v>246</v>
      </c>
      <c r="G13654" s="177" t="s">
        <v>2530</v>
      </c>
      <c r="H13654" s="127" t="s">
        <v>212</v>
      </c>
    </row>
    <row r="13655" hidden="1">
      <c r="A13655" s="177" t="s">
        <v>223</v>
      </c>
      <c r="B13655" s="127" t="s">
        <v>144</v>
      </c>
      <c r="C13655" s="127" t="s">
        <v>206</v>
      </c>
      <c r="D13655" s="177" t="s">
        <v>16323</v>
      </c>
      <c r="E13655" s="177" t="s">
        <v>16369</v>
      </c>
      <c r="F13655" s="177" t="s">
        <v>357</v>
      </c>
      <c r="G13655" s="177" t="s">
        <v>2539</v>
      </c>
      <c r="H13655" s="127" t="s">
        <v>213</v>
      </c>
    </row>
    <row r="13656" hidden="1">
      <c r="A13656" s="177" t="s">
        <v>223</v>
      </c>
      <c r="B13656" s="127" t="s">
        <v>144</v>
      </c>
      <c r="C13656" s="127" t="s">
        <v>206</v>
      </c>
      <c r="D13656" s="177" t="s">
        <v>16323</v>
      </c>
      <c r="E13656" s="177" t="s">
        <v>16370</v>
      </c>
      <c r="F13656" s="177" t="s">
        <v>242</v>
      </c>
      <c r="G13656" s="177" t="s">
        <v>1814</v>
      </c>
      <c r="H13656" s="127" t="s">
        <v>214</v>
      </c>
    </row>
    <row r="13657" hidden="1">
      <c r="A13657" s="177" t="s">
        <v>223</v>
      </c>
      <c r="B13657" s="127" t="s">
        <v>144</v>
      </c>
      <c r="C13657" s="127" t="s">
        <v>206</v>
      </c>
      <c r="D13657" s="177" t="s">
        <v>16323</v>
      </c>
      <c r="E13657" s="177" t="s">
        <v>16371</v>
      </c>
      <c r="F13657" s="177" t="s">
        <v>244</v>
      </c>
      <c r="G13657" s="177" t="s">
        <v>2303</v>
      </c>
      <c r="H13657" s="127" t="s">
        <v>215</v>
      </c>
    </row>
    <row r="13658" hidden="1">
      <c r="A13658" s="177" t="s">
        <v>223</v>
      </c>
      <c r="B13658" s="127" t="s">
        <v>144</v>
      </c>
      <c r="C13658" s="127" t="s">
        <v>206</v>
      </c>
      <c r="D13658" s="177" t="s">
        <v>16323</v>
      </c>
      <c r="E13658" s="177" t="s">
        <v>16372</v>
      </c>
      <c r="F13658" s="177" t="s">
        <v>323</v>
      </c>
      <c r="G13658" s="177" t="s">
        <v>2025</v>
      </c>
      <c r="H13658" s="127" t="s">
        <v>216</v>
      </c>
    </row>
    <row r="13659" hidden="1">
      <c r="A13659" s="177" t="s">
        <v>224</v>
      </c>
      <c r="B13659" s="127" t="s">
        <v>170</v>
      </c>
      <c r="C13659" s="127" t="s">
        <v>206</v>
      </c>
      <c r="D13659" s="177" t="s">
        <v>16323</v>
      </c>
      <c r="E13659" s="177" t="s">
        <v>16373</v>
      </c>
      <c r="F13659" s="177" t="s">
        <v>799</v>
      </c>
      <c r="G13659" s="177" t="s">
        <v>2062</v>
      </c>
      <c r="H13659" s="127" t="s">
        <v>210</v>
      </c>
    </row>
    <row r="13660" hidden="1">
      <c r="A13660" s="177" t="s">
        <v>224</v>
      </c>
      <c r="B13660" s="127" t="s">
        <v>170</v>
      </c>
      <c r="C13660" s="127" t="s">
        <v>206</v>
      </c>
      <c r="D13660" s="177" t="s">
        <v>16323</v>
      </c>
      <c r="E13660" s="177" t="s">
        <v>16374</v>
      </c>
      <c r="F13660" s="177" t="s">
        <v>336</v>
      </c>
      <c r="G13660" s="177" t="s">
        <v>2716</v>
      </c>
      <c r="H13660" s="127" t="s">
        <v>211</v>
      </c>
    </row>
    <row r="13661" hidden="1">
      <c r="A13661" s="177" t="s">
        <v>224</v>
      </c>
      <c r="B13661" s="127" t="s">
        <v>170</v>
      </c>
      <c r="C13661" s="127" t="s">
        <v>206</v>
      </c>
      <c r="D13661" s="177" t="s">
        <v>16323</v>
      </c>
      <c r="E13661" s="177" t="s">
        <v>16375</v>
      </c>
      <c r="F13661" s="177" t="s">
        <v>336</v>
      </c>
      <c r="G13661" s="177" t="s">
        <v>2379</v>
      </c>
      <c r="H13661" s="127" t="s">
        <v>212</v>
      </c>
    </row>
    <row r="13662" hidden="1">
      <c r="A13662" s="177" t="s">
        <v>224</v>
      </c>
      <c r="B13662" s="127" t="s">
        <v>170</v>
      </c>
      <c r="C13662" s="127" t="s">
        <v>206</v>
      </c>
      <c r="D13662" s="177" t="s">
        <v>16323</v>
      </c>
      <c r="E13662" s="177" t="s">
        <v>16376</v>
      </c>
      <c r="F13662" s="177" t="s">
        <v>478</v>
      </c>
      <c r="G13662" s="177" t="s">
        <v>2410</v>
      </c>
      <c r="H13662" s="127" t="s">
        <v>213</v>
      </c>
    </row>
    <row r="13663" hidden="1">
      <c r="A13663" s="177" t="s">
        <v>224</v>
      </c>
      <c r="B13663" s="127" t="s">
        <v>170</v>
      </c>
      <c r="C13663" s="127" t="s">
        <v>206</v>
      </c>
      <c r="D13663" s="177" t="s">
        <v>16323</v>
      </c>
      <c r="E13663" s="177" t="s">
        <v>16377</v>
      </c>
      <c r="F13663" s="177" t="s">
        <v>425</v>
      </c>
      <c r="G13663" s="177" t="s">
        <v>2542</v>
      </c>
      <c r="H13663" s="127" t="s">
        <v>214</v>
      </c>
    </row>
    <row r="13664" hidden="1">
      <c r="A13664" s="177" t="s">
        <v>224</v>
      </c>
      <c r="B13664" s="127" t="s">
        <v>170</v>
      </c>
      <c r="C13664" s="127" t="s">
        <v>206</v>
      </c>
      <c r="D13664" s="177" t="s">
        <v>16323</v>
      </c>
      <c r="E13664" s="177" t="s">
        <v>16378</v>
      </c>
      <c r="F13664" s="177" t="s">
        <v>354</v>
      </c>
      <c r="G13664" s="177" t="s">
        <v>2847</v>
      </c>
      <c r="H13664" s="127" t="s">
        <v>215</v>
      </c>
    </row>
    <row r="13665" hidden="1">
      <c r="A13665" s="177" t="s">
        <v>224</v>
      </c>
      <c r="B13665" s="127" t="s">
        <v>170</v>
      </c>
      <c r="C13665" s="127" t="s">
        <v>206</v>
      </c>
      <c r="D13665" s="177" t="s">
        <v>16323</v>
      </c>
      <c r="E13665" s="177" t="s">
        <v>16379</v>
      </c>
      <c r="F13665" s="177" t="s">
        <v>483</v>
      </c>
      <c r="G13665" s="177" t="s">
        <v>1839</v>
      </c>
      <c r="H13665" s="127" t="s">
        <v>216</v>
      </c>
    </row>
    <row r="13666" hidden="1">
      <c r="A13666" s="177" t="s">
        <v>225</v>
      </c>
      <c r="B13666" s="127" t="s">
        <v>226</v>
      </c>
      <c r="C13666" s="127" t="s">
        <v>206</v>
      </c>
      <c r="D13666" s="177" t="s">
        <v>16323</v>
      </c>
      <c r="E13666" s="177" t="s">
        <v>16380</v>
      </c>
      <c r="F13666" s="177" t="s">
        <v>336</v>
      </c>
      <c r="G13666" s="177" t="s">
        <v>2452</v>
      </c>
      <c r="H13666" s="127" t="s">
        <v>210</v>
      </c>
    </row>
    <row r="13667" hidden="1">
      <c r="A13667" s="177" t="s">
        <v>225</v>
      </c>
      <c r="B13667" s="127" t="s">
        <v>226</v>
      </c>
      <c r="C13667" s="127" t="s">
        <v>206</v>
      </c>
      <c r="D13667" s="177" t="s">
        <v>16323</v>
      </c>
      <c r="E13667" s="177" t="s">
        <v>16381</v>
      </c>
      <c r="F13667" s="177" t="s">
        <v>310</v>
      </c>
      <c r="G13667" s="177" t="s">
        <v>3028</v>
      </c>
      <c r="H13667" s="127" t="s">
        <v>211</v>
      </c>
    </row>
    <row r="13668" hidden="1">
      <c r="A13668" s="177" t="s">
        <v>225</v>
      </c>
      <c r="B13668" s="127" t="s">
        <v>226</v>
      </c>
      <c r="C13668" s="127" t="s">
        <v>206</v>
      </c>
      <c r="D13668" s="177" t="s">
        <v>16323</v>
      </c>
      <c r="E13668" s="177" t="s">
        <v>16382</v>
      </c>
      <c r="F13668" s="177" t="s">
        <v>331</v>
      </c>
      <c r="G13668" s="177" t="s">
        <v>2852</v>
      </c>
      <c r="H13668" s="127" t="s">
        <v>212</v>
      </c>
    </row>
    <row r="13669" hidden="1">
      <c r="A13669" s="177" t="s">
        <v>225</v>
      </c>
      <c r="B13669" s="127" t="s">
        <v>226</v>
      </c>
      <c r="C13669" s="127" t="s">
        <v>206</v>
      </c>
      <c r="D13669" s="177" t="s">
        <v>16323</v>
      </c>
      <c r="E13669" s="177" t="s">
        <v>16383</v>
      </c>
      <c r="F13669" s="177" t="s">
        <v>331</v>
      </c>
      <c r="G13669" s="177" t="s">
        <v>2391</v>
      </c>
      <c r="H13669" s="127" t="s">
        <v>213</v>
      </c>
    </row>
    <row r="13670" hidden="1">
      <c r="A13670" s="177" t="s">
        <v>225</v>
      </c>
      <c r="B13670" s="127" t="s">
        <v>226</v>
      </c>
      <c r="C13670" s="127" t="s">
        <v>206</v>
      </c>
      <c r="D13670" s="177" t="s">
        <v>16323</v>
      </c>
      <c r="E13670" s="177" t="s">
        <v>16384</v>
      </c>
      <c r="F13670" s="177" t="s">
        <v>534</v>
      </c>
      <c r="G13670" s="177" t="s">
        <v>2045</v>
      </c>
      <c r="H13670" s="127" t="s">
        <v>214</v>
      </c>
    </row>
    <row r="13671" hidden="1">
      <c r="A13671" s="177" t="s">
        <v>225</v>
      </c>
      <c r="B13671" s="127" t="s">
        <v>226</v>
      </c>
      <c r="C13671" s="127" t="s">
        <v>206</v>
      </c>
      <c r="D13671" s="177" t="s">
        <v>16323</v>
      </c>
      <c r="E13671" s="177" t="s">
        <v>16385</v>
      </c>
      <c r="F13671" s="177" t="s">
        <v>534</v>
      </c>
      <c r="G13671" s="177" t="s">
        <v>4338</v>
      </c>
      <c r="H13671" s="127" t="s">
        <v>215</v>
      </c>
    </row>
    <row r="13672" hidden="1">
      <c r="A13672" s="177" t="s">
        <v>225</v>
      </c>
      <c r="B13672" s="127" t="s">
        <v>226</v>
      </c>
      <c r="C13672" s="127" t="s">
        <v>206</v>
      </c>
      <c r="D13672" s="177" t="s">
        <v>16323</v>
      </c>
      <c r="E13672" s="177" t="s">
        <v>16386</v>
      </c>
      <c r="F13672" s="177" t="s">
        <v>351</v>
      </c>
      <c r="G13672" s="177" t="s">
        <v>2309</v>
      </c>
      <c r="H13672" s="127" t="s">
        <v>216</v>
      </c>
    </row>
    <row r="13673" hidden="1">
      <c r="A13673" s="177" t="s">
        <v>227</v>
      </c>
      <c r="B13673" s="127" t="s">
        <v>195</v>
      </c>
      <c r="C13673" s="127" t="s">
        <v>206</v>
      </c>
      <c r="D13673" s="177" t="s">
        <v>16323</v>
      </c>
      <c r="E13673" s="177" t="s">
        <v>16387</v>
      </c>
      <c r="F13673" s="177" t="s">
        <v>308</v>
      </c>
      <c r="G13673" s="177" t="s">
        <v>2060</v>
      </c>
      <c r="H13673" s="127" t="s">
        <v>210</v>
      </c>
    </row>
    <row r="13674" hidden="1">
      <c r="A13674" s="177" t="s">
        <v>227</v>
      </c>
      <c r="B13674" s="127" t="s">
        <v>195</v>
      </c>
      <c r="C13674" s="127" t="s">
        <v>206</v>
      </c>
      <c r="D13674" s="177" t="s">
        <v>16323</v>
      </c>
      <c r="E13674" s="177" t="s">
        <v>16388</v>
      </c>
      <c r="F13674" s="177" t="s">
        <v>249</v>
      </c>
      <c r="G13674" s="177" t="s">
        <v>2041</v>
      </c>
      <c r="H13674" s="127" t="s">
        <v>211</v>
      </c>
    </row>
    <row r="13675" hidden="1">
      <c r="A13675" s="177" t="s">
        <v>227</v>
      </c>
      <c r="B13675" s="127" t="s">
        <v>195</v>
      </c>
      <c r="C13675" s="127" t="s">
        <v>206</v>
      </c>
      <c r="D13675" s="177" t="s">
        <v>16323</v>
      </c>
      <c r="E13675" s="177" t="s">
        <v>16389</v>
      </c>
      <c r="F13675" s="177" t="s">
        <v>534</v>
      </c>
      <c r="G13675" s="177" t="s">
        <v>1852</v>
      </c>
      <c r="H13675" s="127" t="s">
        <v>212</v>
      </c>
    </row>
    <row r="13676" hidden="1">
      <c r="A13676" s="177" t="s">
        <v>227</v>
      </c>
      <c r="B13676" s="127" t="s">
        <v>195</v>
      </c>
      <c r="C13676" s="127" t="s">
        <v>206</v>
      </c>
      <c r="D13676" s="177" t="s">
        <v>16323</v>
      </c>
      <c r="E13676" s="177" t="s">
        <v>16390</v>
      </c>
      <c r="F13676" s="177" t="s">
        <v>255</v>
      </c>
      <c r="G13676" s="177" t="s">
        <v>2901</v>
      </c>
      <c r="H13676" s="127" t="s">
        <v>213</v>
      </c>
    </row>
    <row r="13677" hidden="1">
      <c r="A13677" s="177" t="s">
        <v>227</v>
      </c>
      <c r="B13677" s="127" t="s">
        <v>195</v>
      </c>
      <c r="C13677" s="127" t="s">
        <v>206</v>
      </c>
      <c r="D13677" s="177" t="s">
        <v>16323</v>
      </c>
      <c r="E13677" s="177" t="s">
        <v>16391</v>
      </c>
      <c r="F13677" s="177" t="s">
        <v>249</v>
      </c>
      <c r="G13677" s="177" t="s">
        <v>1810</v>
      </c>
      <c r="H13677" s="127" t="s">
        <v>214</v>
      </c>
    </row>
    <row r="13678" hidden="1">
      <c r="A13678" s="177" t="s">
        <v>227</v>
      </c>
      <c r="B13678" s="127" t="s">
        <v>195</v>
      </c>
      <c r="C13678" s="127" t="s">
        <v>206</v>
      </c>
      <c r="D13678" s="177" t="s">
        <v>16323</v>
      </c>
      <c r="E13678" s="177" t="s">
        <v>16392</v>
      </c>
      <c r="F13678" s="177" t="s">
        <v>357</v>
      </c>
      <c r="G13678" s="177" t="s">
        <v>1757</v>
      </c>
      <c r="H13678" s="127" t="s">
        <v>215</v>
      </c>
    </row>
    <row r="13679" hidden="1">
      <c r="A13679" s="177" t="s">
        <v>227</v>
      </c>
      <c r="B13679" s="127" t="s">
        <v>195</v>
      </c>
      <c r="C13679" s="127" t="s">
        <v>206</v>
      </c>
      <c r="D13679" s="177" t="s">
        <v>16323</v>
      </c>
      <c r="E13679" s="177" t="s">
        <v>16393</v>
      </c>
      <c r="F13679" s="177" t="s">
        <v>321</v>
      </c>
      <c r="G13679" s="177" t="s">
        <v>2716</v>
      </c>
      <c r="H13679" s="127" t="s">
        <v>216</v>
      </c>
    </row>
    <row r="13680" hidden="1">
      <c r="A13680" s="177" t="s">
        <v>228</v>
      </c>
      <c r="B13680" s="127" t="s">
        <v>138</v>
      </c>
      <c r="C13680" s="127" t="s">
        <v>206</v>
      </c>
      <c r="D13680" s="177" t="s">
        <v>16323</v>
      </c>
      <c r="E13680" s="177" t="s">
        <v>16394</v>
      </c>
      <c r="F13680" s="177" t="s">
        <v>274</v>
      </c>
      <c r="G13680" s="177" t="s">
        <v>2758</v>
      </c>
      <c r="H13680" s="127" t="s">
        <v>210</v>
      </c>
    </row>
    <row r="13681" hidden="1">
      <c r="A13681" s="177" t="s">
        <v>228</v>
      </c>
      <c r="B13681" s="127" t="s">
        <v>138</v>
      </c>
      <c r="C13681" s="127" t="s">
        <v>206</v>
      </c>
      <c r="D13681" s="177" t="s">
        <v>16323</v>
      </c>
      <c r="E13681" s="177" t="s">
        <v>16395</v>
      </c>
      <c r="F13681" s="177" t="s">
        <v>287</v>
      </c>
      <c r="G13681" s="177" t="s">
        <v>4280</v>
      </c>
      <c r="H13681" s="127" t="s">
        <v>211</v>
      </c>
    </row>
    <row r="13682" hidden="1">
      <c r="A13682" s="177" t="s">
        <v>228</v>
      </c>
      <c r="B13682" s="127" t="s">
        <v>138</v>
      </c>
      <c r="C13682" s="127" t="s">
        <v>206</v>
      </c>
      <c r="D13682" s="177" t="s">
        <v>16323</v>
      </c>
      <c r="E13682" s="177" t="s">
        <v>16396</v>
      </c>
      <c r="F13682" s="177" t="s">
        <v>272</v>
      </c>
      <c r="G13682" s="177" t="s">
        <v>3468</v>
      </c>
      <c r="H13682" s="127" t="s">
        <v>212</v>
      </c>
    </row>
    <row r="13683" hidden="1">
      <c r="A13683" s="177" t="s">
        <v>228</v>
      </c>
      <c r="B13683" s="127" t="s">
        <v>138</v>
      </c>
      <c r="C13683" s="127" t="s">
        <v>206</v>
      </c>
      <c r="D13683" s="177" t="s">
        <v>16323</v>
      </c>
      <c r="E13683" s="177" t="s">
        <v>16397</v>
      </c>
      <c r="F13683" s="177" t="s">
        <v>255</v>
      </c>
      <c r="G13683" s="177" t="s">
        <v>9796</v>
      </c>
      <c r="H13683" s="127" t="s">
        <v>213</v>
      </c>
    </row>
    <row r="13684" hidden="1">
      <c r="A13684" s="177" t="s">
        <v>228</v>
      </c>
      <c r="B13684" s="127" t="s">
        <v>138</v>
      </c>
      <c r="C13684" s="127" t="s">
        <v>206</v>
      </c>
      <c r="D13684" s="177" t="s">
        <v>16323</v>
      </c>
      <c r="E13684" s="177" t="s">
        <v>16398</v>
      </c>
      <c r="F13684" s="177" t="s">
        <v>246</v>
      </c>
      <c r="G13684" s="177" t="s">
        <v>4215</v>
      </c>
      <c r="H13684" s="127" t="s">
        <v>214</v>
      </c>
    </row>
    <row r="13685" hidden="1">
      <c r="A13685" s="177" t="s">
        <v>228</v>
      </c>
      <c r="B13685" s="127" t="s">
        <v>138</v>
      </c>
      <c r="C13685" s="127" t="s">
        <v>206</v>
      </c>
      <c r="D13685" s="177" t="s">
        <v>16323</v>
      </c>
      <c r="E13685" s="177" t="s">
        <v>16399</v>
      </c>
      <c r="F13685" s="177" t="s">
        <v>255</v>
      </c>
      <c r="G13685" s="177" t="s">
        <v>9276</v>
      </c>
      <c r="H13685" s="127" t="s">
        <v>215</v>
      </c>
    </row>
    <row r="13686" hidden="1">
      <c r="A13686" s="177" t="s">
        <v>228</v>
      </c>
      <c r="B13686" s="127" t="s">
        <v>138</v>
      </c>
      <c r="C13686" s="127" t="s">
        <v>206</v>
      </c>
      <c r="D13686" s="177" t="s">
        <v>16323</v>
      </c>
      <c r="E13686" s="177" t="s">
        <v>16400</v>
      </c>
      <c r="F13686" s="177" t="s">
        <v>298</v>
      </c>
      <c r="G13686" s="177" t="s">
        <v>1995</v>
      </c>
      <c r="H13686" s="127" t="s">
        <v>216</v>
      </c>
    </row>
    <row r="13687" hidden="1">
      <c r="A13687" s="177" t="s">
        <v>229</v>
      </c>
      <c r="B13687" s="127" t="s">
        <v>193</v>
      </c>
      <c r="C13687" s="127" t="s">
        <v>206</v>
      </c>
      <c r="D13687" s="177" t="s">
        <v>16323</v>
      </c>
      <c r="E13687" s="177" t="s">
        <v>16401</v>
      </c>
      <c r="F13687" s="177" t="s">
        <v>308</v>
      </c>
      <c r="G13687" s="177" t="s">
        <v>2986</v>
      </c>
      <c r="H13687" s="127" t="s">
        <v>210</v>
      </c>
    </row>
    <row r="13688" hidden="1">
      <c r="A13688" s="177" t="s">
        <v>229</v>
      </c>
      <c r="B13688" s="127" t="s">
        <v>193</v>
      </c>
      <c r="C13688" s="127" t="s">
        <v>206</v>
      </c>
      <c r="D13688" s="177" t="s">
        <v>16323</v>
      </c>
      <c r="E13688" s="177" t="s">
        <v>16402</v>
      </c>
      <c r="F13688" s="177" t="s">
        <v>483</v>
      </c>
      <c r="G13688" s="177" t="s">
        <v>3513</v>
      </c>
      <c r="H13688" s="127" t="s">
        <v>211</v>
      </c>
    </row>
    <row r="13689" hidden="1">
      <c r="A13689" s="177" t="s">
        <v>229</v>
      </c>
      <c r="B13689" s="127" t="s">
        <v>193</v>
      </c>
      <c r="C13689" s="127" t="s">
        <v>206</v>
      </c>
      <c r="D13689" s="177" t="s">
        <v>16323</v>
      </c>
      <c r="E13689" s="177" t="s">
        <v>16403</v>
      </c>
      <c r="F13689" s="177" t="s">
        <v>325</v>
      </c>
      <c r="G13689" s="177" t="s">
        <v>3513</v>
      </c>
      <c r="H13689" s="127" t="s">
        <v>212</v>
      </c>
    </row>
    <row r="13690" hidden="1">
      <c r="A13690" s="177" t="s">
        <v>229</v>
      </c>
      <c r="B13690" s="127" t="s">
        <v>193</v>
      </c>
      <c r="C13690" s="127" t="s">
        <v>206</v>
      </c>
      <c r="D13690" s="177" t="s">
        <v>16323</v>
      </c>
      <c r="E13690" s="177" t="s">
        <v>16404</v>
      </c>
      <c r="F13690" s="177" t="s">
        <v>244</v>
      </c>
      <c r="G13690" s="177" t="s">
        <v>3458</v>
      </c>
      <c r="H13690" s="127" t="s">
        <v>213</v>
      </c>
    </row>
    <row r="13691" hidden="1">
      <c r="A13691" s="177" t="s">
        <v>229</v>
      </c>
      <c r="B13691" s="127" t="s">
        <v>193</v>
      </c>
      <c r="C13691" s="127" t="s">
        <v>206</v>
      </c>
      <c r="D13691" s="177" t="s">
        <v>16323</v>
      </c>
      <c r="E13691" s="177" t="s">
        <v>16405</v>
      </c>
      <c r="F13691" s="177" t="s">
        <v>725</v>
      </c>
      <c r="G13691" s="177" t="s">
        <v>3380</v>
      </c>
      <c r="H13691" s="127" t="s">
        <v>214</v>
      </c>
    </row>
    <row r="13692" hidden="1">
      <c r="A13692" s="177" t="s">
        <v>229</v>
      </c>
      <c r="B13692" s="127" t="s">
        <v>193</v>
      </c>
      <c r="C13692" s="127" t="s">
        <v>206</v>
      </c>
      <c r="D13692" s="177" t="s">
        <v>16323</v>
      </c>
      <c r="E13692" s="177" t="s">
        <v>16406</v>
      </c>
      <c r="F13692" s="177" t="s">
        <v>357</v>
      </c>
      <c r="G13692" s="177" t="s">
        <v>3136</v>
      </c>
      <c r="H13692" s="127" t="s">
        <v>215</v>
      </c>
    </row>
    <row r="13693" hidden="1">
      <c r="A13693" s="177" t="s">
        <v>229</v>
      </c>
      <c r="B13693" s="127" t="s">
        <v>193</v>
      </c>
      <c r="C13693" s="127" t="s">
        <v>206</v>
      </c>
      <c r="D13693" s="177" t="s">
        <v>16323</v>
      </c>
      <c r="E13693" s="177" t="s">
        <v>16407</v>
      </c>
      <c r="F13693" s="177" t="s">
        <v>305</v>
      </c>
      <c r="G13693" s="177" t="s">
        <v>2992</v>
      </c>
      <c r="H13693" s="127" t="s">
        <v>216</v>
      </c>
    </row>
    <row r="13694" hidden="1">
      <c r="A13694" s="177" t="s">
        <v>230</v>
      </c>
      <c r="B13694" s="127" t="s">
        <v>194</v>
      </c>
      <c r="C13694" s="127" t="s">
        <v>206</v>
      </c>
      <c r="D13694" s="177" t="s">
        <v>16323</v>
      </c>
      <c r="E13694" s="177" t="s">
        <v>16408</v>
      </c>
      <c r="F13694" s="177" t="s">
        <v>339</v>
      </c>
      <c r="G13694" s="177" t="s">
        <v>2389</v>
      </c>
      <c r="H13694" s="127" t="s">
        <v>210</v>
      </c>
    </row>
    <row r="13695" hidden="1">
      <c r="A13695" s="177" t="s">
        <v>230</v>
      </c>
      <c r="B13695" s="127" t="s">
        <v>194</v>
      </c>
      <c r="C13695" s="127" t="s">
        <v>206</v>
      </c>
      <c r="D13695" s="177" t="s">
        <v>16323</v>
      </c>
      <c r="E13695" s="177" t="s">
        <v>16409</v>
      </c>
      <c r="F13695" s="177" t="s">
        <v>365</v>
      </c>
      <c r="G13695" s="177" t="s">
        <v>3010</v>
      </c>
      <c r="H13695" s="127" t="s">
        <v>211</v>
      </c>
    </row>
    <row r="13696" hidden="1">
      <c r="A13696" s="177" t="s">
        <v>230</v>
      </c>
      <c r="B13696" s="127" t="s">
        <v>194</v>
      </c>
      <c r="C13696" s="127" t="s">
        <v>206</v>
      </c>
      <c r="D13696" s="177" t="s">
        <v>16323</v>
      </c>
      <c r="E13696" s="177" t="s">
        <v>16410</v>
      </c>
      <c r="F13696" s="177" t="s">
        <v>359</v>
      </c>
      <c r="G13696" s="177" t="s">
        <v>2838</v>
      </c>
      <c r="H13696" s="127" t="s">
        <v>212</v>
      </c>
    </row>
    <row r="13697" hidden="1">
      <c r="A13697" s="177" t="s">
        <v>230</v>
      </c>
      <c r="B13697" s="127" t="s">
        <v>194</v>
      </c>
      <c r="C13697" s="127" t="s">
        <v>206</v>
      </c>
      <c r="D13697" s="177" t="s">
        <v>16323</v>
      </c>
      <c r="E13697" s="177" t="s">
        <v>16411</v>
      </c>
      <c r="F13697" s="177" t="s">
        <v>323</v>
      </c>
      <c r="G13697" s="177" t="s">
        <v>2034</v>
      </c>
      <c r="H13697" s="127" t="s">
        <v>213</v>
      </c>
    </row>
    <row r="13698" hidden="1">
      <c r="A13698" s="177" t="s">
        <v>230</v>
      </c>
      <c r="B13698" s="127" t="s">
        <v>194</v>
      </c>
      <c r="C13698" s="127" t="s">
        <v>206</v>
      </c>
      <c r="D13698" s="177" t="s">
        <v>16323</v>
      </c>
      <c r="E13698" s="177" t="s">
        <v>16412</v>
      </c>
      <c r="F13698" s="177" t="s">
        <v>359</v>
      </c>
      <c r="G13698" s="177" t="s">
        <v>2410</v>
      </c>
      <c r="H13698" s="127" t="s">
        <v>214</v>
      </c>
    </row>
    <row r="13699" hidden="1">
      <c r="A13699" s="177" t="s">
        <v>230</v>
      </c>
      <c r="B13699" s="127" t="s">
        <v>194</v>
      </c>
      <c r="C13699" s="127" t="s">
        <v>206</v>
      </c>
      <c r="D13699" s="177" t="s">
        <v>16323</v>
      </c>
      <c r="E13699" s="177" t="s">
        <v>16413</v>
      </c>
      <c r="F13699" s="177" t="s">
        <v>323</v>
      </c>
      <c r="G13699" s="177" t="s">
        <v>2539</v>
      </c>
      <c r="H13699" s="127" t="s">
        <v>215</v>
      </c>
    </row>
    <row r="13700" hidden="1">
      <c r="A13700" s="177" t="s">
        <v>230</v>
      </c>
      <c r="B13700" s="127" t="s">
        <v>194</v>
      </c>
      <c r="C13700" s="127" t="s">
        <v>206</v>
      </c>
      <c r="D13700" s="177" t="s">
        <v>16323</v>
      </c>
      <c r="E13700" s="177" t="s">
        <v>16414</v>
      </c>
      <c r="F13700" s="177" t="s">
        <v>249</v>
      </c>
      <c r="G13700" s="177" t="s">
        <v>3028</v>
      </c>
      <c r="H13700" s="127" t="s">
        <v>216</v>
      </c>
    </row>
    <row r="13701" hidden="1">
      <c r="A13701" s="127" t="s">
        <v>231</v>
      </c>
      <c r="C13701" s="127" t="s">
        <v>232</v>
      </c>
      <c r="D13701" s="177" t="s">
        <v>16323</v>
      </c>
      <c r="E13701" s="177" t="s">
        <v>16415</v>
      </c>
      <c r="F13701" s="177" t="s">
        <v>265</v>
      </c>
      <c r="G13701" s="177" t="s">
        <v>2812</v>
      </c>
      <c r="H13701" s="127" t="s">
        <v>210</v>
      </c>
    </row>
    <row r="13702" hidden="1">
      <c r="A13702" s="127" t="s">
        <v>231</v>
      </c>
      <c r="C13702" s="127" t="s">
        <v>232</v>
      </c>
      <c r="D13702" s="177" t="s">
        <v>16323</v>
      </c>
      <c r="E13702" s="177" t="s">
        <v>16416</v>
      </c>
      <c r="F13702" s="177" t="s">
        <v>374</v>
      </c>
      <c r="G13702" s="177" t="s">
        <v>2193</v>
      </c>
      <c r="H13702" s="127" t="s">
        <v>211</v>
      </c>
    </row>
    <row r="13703" hidden="1">
      <c r="A13703" s="127" t="s">
        <v>231</v>
      </c>
      <c r="C13703" s="127" t="s">
        <v>232</v>
      </c>
      <c r="D13703" s="177" t="s">
        <v>16323</v>
      </c>
      <c r="E13703" s="177" t="s">
        <v>16417</v>
      </c>
      <c r="F13703" s="177" t="s">
        <v>279</v>
      </c>
      <c r="G13703" s="177" t="s">
        <v>2512</v>
      </c>
      <c r="H13703" s="127" t="s">
        <v>212</v>
      </c>
    </row>
    <row r="13704" hidden="1">
      <c r="A13704" s="127" t="s">
        <v>231</v>
      </c>
      <c r="C13704" s="127" t="s">
        <v>232</v>
      </c>
      <c r="D13704" s="177" t="s">
        <v>16323</v>
      </c>
      <c r="E13704" s="177" t="s">
        <v>16418</v>
      </c>
      <c r="F13704" s="177" t="s">
        <v>265</v>
      </c>
      <c r="G13704" s="177" t="s">
        <v>2735</v>
      </c>
      <c r="H13704" s="127" t="s">
        <v>213</v>
      </c>
    </row>
    <row r="13705" hidden="1">
      <c r="A13705" s="127" t="s">
        <v>231</v>
      </c>
      <c r="C13705" s="127" t="s">
        <v>232</v>
      </c>
      <c r="D13705" s="177" t="s">
        <v>16323</v>
      </c>
      <c r="E13705" s="177" t="s">
        <v>16419</v>
      </c>
      <c r="F13705" s="177" t="s">
        <v>1181</v>
      </c>
      <c r="G13705" s="177" t="s">
        <v>2029</v>
      </c>
      <c r="H13705" s="127" t="s">
        <v>214</v>
      </c>
    </row>
    <row r="13706" hidden="1">
      <c r="A13706" s="127" t="s">
        <v>231</v>
      </c>
      <c r="C13706" s="127" t="s">
        <v>232</v>
      </c>
      <c r="D13706" s="177" t="s">
        <v>16323</v>
      </c>
      <c r="E13706" s="177" t="s">
        <v>16420</v>
      </c>
      <c r="F13706" s="177" t="s">
        <v>204</v>
      </c>
      <c r="G13706" s="177" t="s">
        <v>1801</v>
      </c>
      <c r="H13706" s="127" t="s">
        <v>215</v>
      </c>
    </row>
    <row r="13707" hidden="1">
      <c r="A13707" s="127" t="s">
        <v>231</v>
      </c>
      <c r="C13707" s="127" t="s">
        <v>232</v>
      </c>
      <c r="D13707" s="177" t="s">
        <v>16323</v>
      </c>
      <c r="E13707" s="177" t="s">
        <v>16421</v>
      </c>
      <c r="F13707" s="177" t="s">
        <v>492</v>
      </c>
      <c r="G13707" s="177" t="s">
        <v>7097</v>
      </c>
      <c r="H13707" s="127" t="s">
        <v>216</v>
      </c>
    </row>
    <row r="13708" hidden="1">
      <c r="A13708" s="127" t="s">
        <v>233</v>
      </c>
      <c r="C13708" s="127" t="s">
        <v>232</v>
      </c>
      <c r="D13708" s="177" t="s">
        <v>16323</v>
      </c>
      <c r="E13708" s="177" t="s">
        <v>16422</v>
      </c>
      <c r="F13708" s="177" t="s">
        <v>534</v>
      </c>
      <c r="G13708" s="177" t="s">
        <v>3647</v>
      </c>
      <c r="H13708" s="127" t="s">
        <v>210</v>
      </c>
    </row>
    <row r="13709" hidden="1">
      <c r="A13709" s="127" t="s">
        <v>233</v>
      </c>
      <c r="C13709" s="127" t="s">
        <v>232</v>
      </c>
      <c r="D13709" s="177" t="s">
        <v>16323</v>
      </c>
      <c r="E13709" s="177" t="s">
        <v>16423</v>
      </c>
      <c r="F13709" s="177" t="s">
        <v>310</v>
      </c>
      <c r="G13709" s="177" t="s">
        <v>3071</v>
      </c>
      <c r="H13709" s="127" t="s">
        <v>211</v>
      </c>
    </row>
    <row r="13710" hidden="1">
      <c r="A13710" s="127" t="s">
        <v>233</v>
      </c>
      <c r="C13710" s="127" t="s">
        <v>232</v>
      </c>
      <c r="D13710" s="177" t="s">
        <v>16323</v>
      </c>
      <c r="E13710" s="177" t="s">
        <v>16424</v>
      </c>
      <c r="F13710" s="177" t="s">
        <v>325</v>
      </c>
      <c r="G13710" s="177" t="s">
        <v>2070</v>
      </c>
      <c r="H13710" s="127" t="s">
        <v>212</v>
      </c>
    </row>
    <row r="13711" hidden="1">
      <c r="A13711" s="127" t="s">
        <v>233</v>
      </c>
      <c r="C13711" s="127" t="s">
        <v>232</v>
      </c>
      <c r="D13711" s="177" t="s">
        <v>16323</v>
      </c>
      <c r="E13711" s="177" t="s">
        <v>16425</v>
      </c>
      <c r="F13711" s="177" t="s">
        <v>308</v>
      </c>
      <c r="G13711" s="177" t="s">
        <v>1942</v>
      </c>
      <c r="H13711" s="127" t="s">
        <v>213</v>
      </c>
    </row>
    <row r="13712" hidden="1">
      <c r="A13712" s="127" t="s">
        <v>233</v>
      </c>
      <c r="C13712" s="127" t="s">
        <v>232</v>
      </c>
      <c r="D13712" s="177" t="s">
        <v>16323</v>
      </c>
      <c r="E13712" s="177" t="s">
        <v>16426</v>
      </c>
      <c r="F13712" s="177" t="s">
        <v>339</v>
      </c>
      <c r="G13712" s="177" t="s">
        <v>3071</v>
      </c>
      <c r="H13712" s="127" t="s">
        <v>214</v>
      </c>
    </row>
    <row r="13713" hidden="1">
      <c r="A13713" s="127" t="s">
        <v>233</v>
      </c>
      <c r="C13713" s="127" t="s">
        <v>232</v>
      </c>
      <c r="D13713" s="177" t="s">
        <v>16323</v>
      </c>
      <c r="E13713" s="177" t="s">
        <v>16427</v>
      </c>
      <c r="F13713" s="177" t="s">
        <v>249</v>
      </c>
      <c r="G13713" s="177" t="s">
        <v>1923</v>
      </c>
      <c r="H13713" s="127" t="s">
        <v>215</v>
      </c>
    </row>
    <row r="13714" hidden="1">
      <c r="A13714" s="127" t="s">
        <v>233</v>
      </c>
      <c r="C13714" s="127" t="s">
        <v>232</v>
      </c>
      <c r="D13714" s="177" t="s">
        <v>16323</v>
      </c>
      <c r="E13714" s="177" t="s">
        <v>16428</v>
      </c>
      <c r="F13714" s="177" t="s">
        <v>534</v>
      </c>
      <c r="G13714" s="177" t="s">
        <v>2391</v>
      </c>
      <c r="H13714" s="127" t="s">
        <v>216</v>
      </c>
    </row>
    <row r="13715" hidden="1">
      <c r="A13715" s="127" t="s">
        <v>234</v>
      </c>
      <c r="C13715" s="127" t="s">
        <v>232</v>
      </c>
      <c r="D13715" s="177" t="s">
        <v>16323</v>
      </c>
      <c r="E13715" s="177" t="s">
        <v>16429</v>
      </c>
      <c r="F13715" s="177" t="s">
        <v>310</v>
      </c>
      <c r="G13715" s="177" t="s">
        <v>2062</v>
      </c>
      <c r="H13715" s="127" t="s">
        <v>210</v>
      </c>
    </row>
    <row r="13716" hidden="1">
      <c r="A13716" s="127" t="s">
        <v>234</v>
      </c>
      <c r="C13716" s="127" t="s">
        <v>232</v>
      </c>
      <c r="D13716" s="177" t="s">
        <v>16323</v>
      </c>
      <c r="E13716" s="177" t="s">
        <v>16430</v>
      </c>
      <c r="F13716" s="177" t="s">
        <v>336</v>
      </c>
      <c r="G13716" s="177" t="s">
        <v>2309</v>
      </c>
      <c r="H13716" s="127" t="s">
        <v>211</v>
      </c>
    </row>
    <row r="13717" hidden="1">
      <c r="A13717" s="127" t="s">
        <v>234</v>
      </c>
      <c r="C13717" s="127" t="s">
        <v>232</v>
      </c>
      <c r="D13717" s="177" t="s">
        <v>16323</v>
      </c>
      <c r="E13717" s="177" t="s">
        <v>16431</v>
      </c>
      <c r="F13717" s="177" t="s">
        <v>427</v>
      </c>
      <c r="G13717" s="177" t="s">
        <v>2132</v>
      </c>
      <c r="H13717" s="127" t="s">
        <v>212</v>
      </c>
    </row>
    <row r="13718" hidden="1">
      <c r="A13718" s="127" t="s">
        <v>234</v>
      </c>
      <c r="C13718" s="127" t="s">
        <v>232</v>
      </c>
      <c r="D13718" s="177" t="s">
        <v>16323</v>
      </c>
      <c r="E13718" s="177" t="s">
        <v>16432</v>
      </c>
      <c r="F13718" s="177" t="s">
        <v>310</v>
      </c>
      <c r="G13718" s="177" t="s">
        <v>3587</v>
      </c>
      <c r="H13718" s="127" t="s">
        <v>213</v>
      </c>
    </row>
    <row r="13719" hidden="1">
      <c r="A13719" s="127" t="s">
        <v>234</v>
      </c>
      <c r="C13719" s="127" t="s">
        <v>232</v>
      </c>
      <c r="D13719" s="177" t="s">
        <v>16323</v>
      </c>
      <c r="E13719" s="177" t="s">
        <v>16433</v>
      </c>
      <c r="F13719" s="177" t="s">
        <v>534</v>
      </c>
      <c r="G13719" s="177" t="s">
        <v>3647</v>
      </c>
      <c r="H13719" s="127" t="s">
        <v>214</v>
      </c>
    </row>
    <row r="13720" hidden="1">
      <c r="A13720" s="127" t="s">
        <v>234</v>
      </c>
      <c r="C13720" s="127" t="s">
        <v>232</v>
      </c>
      <c r="D13720" s="177" t="s">
        <v>16323</v>
      </c>
      <c r="E13720" s="177" t="s">
        <v>16434</v>
      </c>
      <c r="F13720" s="177" t="s">
        <v>427</v>
      </c>
      <c r="G13720" s="177" t="s">
        <v>3384</v>
      </c>
      <c r="H13720" s="127" t="s">
        <v>215</v>
      </c>
    </row>
    <row r="13721" hidden="1">
      <c r="A13721" s="127" t="s">
        <v>234</v>
      </c>
      <c r="C13721" s="127" t="s">
        <v>232</v>
      </c>
      <c r="D13721" s="177" t="s">
        <v>16323</v>
      </c>
      <c r="E13721" s="177" t="s">
        <v>16435</v>
      </c>
      <c r="F13721" s="177" t="s">
        <v>351</v>
      </c>
      <c r="G13721" s="177" t="s">
        <v>1832</v>
      </c>
      <c r="H13721" s="127" t="s">
        <v>216</v>
      </c>
    </row>
    <row r="13722" hidden="1">
      <c r="A13722" s="127" t="s">
        <v>235</v>
      </c>
      <c r="C13722" s="127" t="s">
        <v>236</v>
      </c>
      <c r="D13722" s="177" t="s">
        <v>16323</v>
      </c>
      <c r="E13722" s="177" t="s">
        <v>16436</v>
      </c>
      <c r="F13722" s="177" t="s">
        <v>314</v>
      </c>
      <c r="G13722" s="177" t="s">
        <v>2688</v>
      </c>
      <c r="H13722" s="127" t="s">
        <v>210</v>
      </c>
    </row>
    <row r="13723" hidden="1">
      <c r="A13723" s="127" t="s">
        <v>235</v>
      </c>
      <c r="C13723" s="127" t="s">
        <v>236</v>
      </c>
      <c r="D13723" s="177" t="s">
        <v>16323</v>
      </c>
      <c r="E13723" s="177" t="s">
        <v>16437</v>
      </c>
      <c r="F13723" s="177" t="s">
        <v>308</v>
      </c>
      <c r="G13723" s="177" t="s">
        <v>2364</v>
      </c>
      <c r="H13723" s="127" t="s">
        <v>211</v>
      </c>
    </row>
    <row r="13724" hidden="1">
      <c r="A13724" s="127" t="s">
        <v>235</v>
      </c>
      <c r="C13724" s="127" t="s">
        <v>236</v>
      </c>
      <c r="D13724" s="177" t="s">
        <v>16323</v>
      </c>
      <c r="E13724" s="177" t="s">
        <v>16438</v>
      </c>
      <c r="F13724" s="177" t="s">
        <v>351</v>
      </c>
      <c r="G13724" s="177" t="s">
        <v>2633</v>
      </c>
      <c r="H13724" s="127" t="s">
        <v>212</v>
      </c>
    </row>
    <row r="13725" hidden="1">
      <c r="A13725" s="127" t="s">
        <v>235</v>
      </c>
      <c r="C13725" s="127" t="s">
        <v>236</v>
      </c>
      <c r="D13725" s="177" t="s">
        <v>16323</v>
      </c>
      <c r="E13725" s="177" t="s">
        <v>16439</v>
      </c>
      <c r="F13725" s="177" t="s">
        <v>321</v>
      </c>
      <c r="G13725" s="177" t="s">
        <v>2790</v>
      </c>
      <c r="H13725" s="127" t="s">
        <v>213</v>
      </c>
    </row>
    <row r="13726" hidden="1">
      <c r="A13726" s="127" t="s">
        <v>235</v>
      </c>
      <c r="C13726" s="127" t="s">
        <v>236</v>
      </c>
      <c r="D13726" s="177" t="s">
        <v>16323</v>
      </c>
      <c r="E13726" s="177" t="s">
        <v>16440</v>
      </c>
      <c r="F13726" s="177" t="s">
        <v>290</v>
      </c>
      <c r="G13726" s="177" t="s">
        <v>2203</v>
      </c>
      <c r="H13726" s="127" t="s">
        <v>214</v>
      </c>
    </row>
    <row r="13727" hidden="1">
      <c r="A13727" s="127" t="s">
        <v>235</v>
      </c>
      <c r="C13727" s="127" t="s">
        <v>236</v>
      </c>
      <c r="D13727" s="177" t="s">
        <v>16323</v>
      </c>
      <c r="E13727" s="177" t="s">
        <v>16441</v>
      </c>
      <c r="F13727" s="177" t="s">
        <v>249</v>
      </c>
      <c r="G13727" s="177" t="s">
        <v>2838</v>
      </c>
      <c r="H13727" s="127" t="s">
        <v>215</v>
      </c>
    </row>
    <row r="13728" hidden="1">
      <c r="A13728" s="127" t="s">
        <v>235</v>
      </c>
      <c r="C13728" s="127" t="s">
        <v>236</v>
      </c>
      <c r="D13728" s="177" t="s">
        <v>16323</v>
      </c>
      <c r="E13728" s="177" t="s">
        <v>16442</v>
      </c>
      <c r="F13728" s="177" t="s">
        <v>249</v>
      </c>
      <c r="G13728" s="177" t="s">
        <v>2838</v>
      </c>
      <c r="H13728" s="127" t="s">
        <v>216</v>
      </c>
    </row>
    <row r="13729" hidden="1">
      <c r="A13729" s="127" t="s">
        <v>237</v>
      </c>
      <c r="C13729" s="127" t="s">
        <v>236</v>
      </c>
      <c r="D13729" s="177" t="s">
        <v>16323</v>
      </c>
      <c r="E13729" s="177" t="s">
        <v>16443</v>
      </c>
      <c r="F13729" s="177" t="s">
        <v>339</v>
      </c>
      <c r="G13729" s="177" t="s">
        <v>2307</v>
      </c>
      <c r="H13729" s="127" t="s">
        <v>210</v>
      </c>
    </row>
    <row r="13730" hidden="1">
      <c r="A13730" s="127" t="s">
        <v>237</v>
      </c>
      <c r="C13730" s="127" t="s">
        <v>236</v>
      </c>
      <c r="D13730" s="177" t="s">
        <v>16323</v>
      </c>
      <c r="E13730" s="177" t="s">
        <v>16444</v>
      </c>
      <c r="F13730" s="177" t="s">
        <v>427</v>
      </c>
      <c r="G13730" s="177" t="s">
        <v>2970</v>
      </c>
      <c r="H13730" s="127" t="s">
        <v>211</v>
      </c>
    </row>
    <row r="13731" hidden="1">
      <c r="A13731" s="127" t="s">
        <v>237</v>
      </c>
      <c r="C13731" s="127" t="s">
        <v>236</v>
      </c>
      <c r="D13731" s="177" t="s">
        <v>16323</v>
      </c>
      <c r="E13731" s="177" t="s">
        <v>16445</v>
      </c>
      <c r="F13731" s="177" t="s">
        <v>450</v>
      </c>
      <c r="G13731" s="177" t="s">
        <v>2624</v>
      </c>
      <c r="H13731" s="127" t="s">
        <v>212</v>
      </c>
    </row>
    <row r="13732" hidden="1">
      <c r="A13732" s="127" t="s">
        <v>237</v>
      </c>
      <c r="C13732" s="127" t="s">
        <v>236</v>
      </c>
      <c r="D13732" s="177" t="s">
        <v>16323</v>
      </c>
      <c r="E13732" s="177" t="s">
        <v>16446</v>
      </c>
      <c r="F13732" s="177" t="s">
        <v>534</v>
      </c>
      <c r="G13732" s="177" t="s">
        <v>1927</v>
      </c>
      <c r="H13732" s="127" t="s">
        <v>213</v>
      </c>
    </row>
    <row r="13733" hidden="1">
      <c r="A13733" s="127" t="s">
        <v>237</v>
      </c>
      <c r="C13733" s="127" t="s">
        <v>236</v>
      </c>
      <c r="D13733" s="177" t="s">
        <v>16323</v>
      </c>
      <c r="E13733" s="177" t="s">
        <v>16447</v>
      </c>
      <c r="F13733" s="177" t="s">
        <v>310</v>
      </c>
      <c r="G13733" s="177" t="s">
        <v>2219</v>
      </c>
      <c r="H13733" s="127" t="s">
        <v>214</v>
      </c>
    </row>
    <row r="13734" hidden="1">
      <c r="A13734" s="127" t="s">
        <v>237</v>
      </c>
      <c r="C13734" s="127" t="s">
        <v>236</v>
      </c>
      <c r="D13734" s="177" t="s">
        <v>16323</v>
      </c>
      <c r="E13734" s="177" t="s">
        <v>16448</v>
      </c>
      <c r="F13734" s="177" t="s">
        <v>314</v>
      </c>
      <c r="G13734" s="177" t="s">
        <v>3815</v>
      </c>
      <c r="H13734" s="127" t="s">
        <v>215</v>
      </c>
    </row>
    <row r="13735" hidden="1">
      <c r="A13735" s="127" t="s">
        <v>237</v>
      </c>
      <c r="C13735" s="127" t="s">
        <v>236</v>
      </c>
      <c r="D13735" s="177" t="s">
        <v>16323</v>
      </c>
      <c r="E13735" s="177" t="s">
        <v>16449</v>
      </c>
      <c r="F13735" s="177" t="s">
        <v>339</v>
      </c>
      <c r="G13735" s="177" t="s">
        <v>3059</v>
      </c>
      <c r="H13735" s="127" t="s">
        <v>216</v>
      </c>
    </row>
    <row r="13736" hidden="1">
      <c r="A13736" s="177" t="s">
        <v>204</v>
      </c>
      <c r="B13736" s="127" t="s">
        <v>205</v>
      </c>
      <c r="C13736" s="127" t="s">
        <v>206</v>
      </c>
      <c r="D13736" s="177" t="s">
        <v>16450</v>
      </c>
      <c r="E13736" s="177" t="s">
        <v>16451</v>
      </c>
      <c r="F13736" s="177" t="s">
        <v>331</v>
      </c>
      <c r="G13736" s="177" t="s">
        <v>3001</v>
      </c>
      <c r="H13736" s="127" t="s">
        <v>210</v>
      </c>
    </row>
    <row r="13737" hidden="1">
      <c r="A13737" s="177" t="s">
        <v>204</v>
      </c>
      <c r="B13737" s="127" t="s">
        <v>205</v>
      </c>
      <c r="C13737" s="127" t="s">
        <v>206</v>
      </c>
      <c r="D13737" s="177" t="s">
        <v>16450</v>
      </c>
      <c r="E13737" s="177" t="s">
        <v>16452</v>
      </c>
      <c r="F13737" s="177" t="s">
        <v>290</v>
      </c>
      <c r="G13737" s="177" t="s">
        <v>2467</v>
      </c>
      <c r="H13737" s="127" t="s">
        <v>211</v>
      </c>
    </row>
    <row r="13738" hidden="1">
      <c r="A13738" s="177" t="s">
        <v>204</v>
      </c>
      <c r="B13738" s="127" t="s">
        <v>205</v>
      </c>
      <c r="C13738" s="127" t="s">
        <v>206</v>
      </c>
      <c r="D13738" s="177" t="s">
        <v>16450</v>
      </c>
      <c r="E13738" s="177" t="s">
        <v>16453</v>
      </c>
      <c r="F13738" s="177" t="s">
        <v>325</v>
      </c>
      <c r="G13738" s="177" t="s">
        <v>2716</v>
      </c>
      <c r="H13738" s="127" t="s">
        <v>212</v>
      </c>
    </row>
    <row r="13739" hidden="1">
      <c r="A13739" s="177" t="s">
        <v>204</v>
      </c>
      <c r="B13739" s="127" t="s">
        <v>205</v>
      </c>
      <c r="C13739" s="127" t="s">
        <v>206</v>
      </c>
      <c r="D13739" s="177" t="s">
        <v>16450</v>
      </c>
      <c r="E13739" s="177" t="s">
        <v>16454</v>
      </c>
      <c r="F13739" s="177" t="s">
        <v>331</v>
      </c>
      <c r="G13739" s="177" t="s">
        <v>2413</v>
      </c>
      <c r="H13739" s="127" t="s">
        <v>213</v>
      </c>
    </row>
    <row r="13740" hidden="1">
      <c r="A13740" s="177" t="s">
        <v>204</v>
      </c>
      <c r="B13740" s="127" t="s">
        <v>205</v>
      </c>
      <c r="C13740" s="127" t="s">
        <v>206</v>
      </c>
      <c r="D13740" s="177" t="s">
        <v>16450</v>
      </c>
      <c r="E13740" s="177" t="s">
        <v>16455</v>
      </c>
      <c r="F13740" s="177" t="s">
        <v>534</v>
      </c>
      <c r="G13740" s="177" t="s">
        <v>2062</v>
      </c>
      <c r="H13740" s="127" t="s">
        <v>214</v>
      </c>
    </row>
    <row r="13741" hidden="1">
      <c r="A13741" s="177" t="s">
        <v>204</v>
      </c>
      <c r="B13741" s="127" t="s">
        <v>205</v>
      </c>
      <c r="C13741" s="127" t="s">
        <v>206</v>
      </c>
      <c r="D13741" s="177" t="s">
        <v>16450</v>
      </c>
      <c r="E13741" s="177" t="s">
        <v>16456</v>
      </c>
      <c r="F13741" s="177" t="s">
        <v>290</v>
      </c>
      <c r="G13741" s="177" t="s">
        <v>1860</v>
      </c>
      <c r="H13741" s="127" t="s">
        <v>215</v>
      </c>
    </row>
    <row r="13742" hidden="1">
      <c r="A13742" s="177" t="s">
        <v>204</v>
      </c>
      <c r="B13742" s="127" t="s">
        <v>205</v>
      </c>
      <c r="C13742" s="127" t="s">
        <v>206</v>
      </c>
      <c r="D13742" s="177" t="s">
        <v>16450</v>
      </c>
      <c r="E13742" s="177" t="s">
        <v>16457</v>
      </c>
      <c r="F13742" s="177" t="s">
        <v>290</v>
      </c>
      <c r="G13742" s="177" t="s">
        <v>2410</v>
      </c>
      <c r="H13742" s="127" t="s">
        <v>216</v>
      </c>
    </row>
    <row r="13743" hidden="1">
      <c r="A13743" s="177" t="s">
        <v>217</v>
      </c>
      <c r="B13743" s="127" t="s">
        <v>191</v>
      </c>
      <c r="C13743" s="127" t="s">
        <v>206</v>
      </c>
      <c r="D13743" s="177" t="s">
        <v>16450</v>
      </c>
      <c r="E13743" s="177" t="s">
        <v>16458</v>
      </c>
      <c r="F13743" s="177" t="s">
        <v>718</v>
      </c>
      <c r="G13743" s="177" t="s">
        <v>2242</v>
      </c>
      <c r="H13743" s="127" t="s">
        <v>210</v>
      </c>
    </row>
    <row r="13744" hidden="1">
      <c r="A13744" s="177" t="s">
        <v>217</v>
      </c>
      <c r="B13744" s="127" t="s">
        <v>191</v>
      </c>
      <c r="C13744" s="127" t="s">
        <v>206</v>
      </c>
      <c r="D13744" s="177" t="s">
        <v>16450</v>
      </c>
      <c r="E13744" s="177" t="s">
        <v>16459</v>
      </c>
      <c r="F13744" s="177" t="s">
        <v>725</v>
      </c>
      <c r="G13744" s="177" t="s">
        <v>2309</v>
      </c>
      <c r="H13744" s="127" t="s">
        <v>211</v>
      </c>
    </row>
    <row r="13745" hidden="1">
      <c r="A13745" s="177" t="s">
        <v>217</v>
      </c>
      <c r="B13745" s="127" t="s">
        <v>191</v>
      </c>
      <c r="C13745" s="127" t="s">
        <v>206</v>
      </c>
      <c r="D13745" s="177" t="s">
        <v>16450</v>
      </c>
      <c r="E13745" s="177" t="s">
        <v>16460</v>
      </c>
      <c r="F13745" s="177" t="s">
        <v>577</v>
      </c>
      <c r="G13745" s="177" t="s">
        <v>2107</v>
      </c>
      <c r="H13745" s="127" t="s">
        <v>212</v>
      </c>
    </row>
    <row r="13746" hidden="1">
      <c r="A13746" s="177" t="s">
        <v>217</v>
      </c>
      <c r="B13746" s="127" t="s">
        <v>191</v>
      </c>
      <c r="C13746" s="127" t="s">
        <v>206</v>
      </c>
      <c r="D13746" s="177" t="s">
        <v>16450</v>
      </c>
      <c r="E13746" s="177" t="s">
        <v>16461</v>
      </c>
      <c r="F13746" s="177" t="s">
        <v>329</v>
      </c>
      <c r="G13746" s="177" t="s">
        <v>1944</v>
      </c>
      <c r="H13746" s="127" t="s">
        <v>213</v>
      </c>
    </row>
    <row r="13747" hidden="1">
      <c r="A13747" s="177" t="s">
        <v>217</v>
      </c>
      <c r="B13747" s="127" t="s">
        <v>191</v>
      </c>
      <c r="C13747" s="127" t="s">
        <v>206</v>
      </c>
      <c r="D13747" s="177" t="s">
        <v>16450</v>
      </c>
      <c r="E13747" s="177" t="s">
        <v>16462</v>
      </c>
      <c r="F13747" s="177" t="s">
        <v>483</v>
      </c>
      <c r="G13747" s="177" t="s">
        <v>2923</v>
      </c>
      <c r="H13747" s="127" t="s">
        <v>214</v>
      </c>
    </row>
    <row r="13748" hidden="1">
      <c r="A13748" s="177" t="s">
        <v>217</v>
      </c>
      <c r="B13748" s="127" t="s">
        <v>191</v>
      </c>
      <c r="C13748" s="127" t="s">
        <v>206</v>
      </c>
      <c r="D13748" s="177" t="s">
        <v>16450</v>
      </c>
      <c r="E13748" s="177" t="s">
        <v>16463</v>
      </c>
      <c r="F13748" s="177" t="s">
        <v>339</v>
      </c>
      <c r="G13748" s="177" t="s">
        <v>2697</v>
      </c>
      <c r="H13748" s="127" t="s">
        <v>215</v>
      </c>
    </row>
    <row r="13749" hidden="1">
      <c r="A13749" s="177" t="s">
        <v>217</v>
      </c>
      <c r="B13749" s="127" t="s">
        <v>191</v>
      </c>
      <c r="C13749" s="127" t="s">
        <v>206</v>
      </c>
      <c r="D13749" s="177" t="s">
        <v>16450</v>
      </c>
      <c r="E13749" s="177" t="s">
        <v>16464</v>
      </c>
      <c r="F13749" s="177" t="s">
        <v>312</v>
      </c>
      <c r="G13749" s="177" t="s">
        <v>2385</v>
      </c>
      <c r="H13749" s="127" t="s">
        <v>216</v>
      </c>
    </row>
    <row r="13750" hidden="1">
      <c r="A13750" s="177" t="s">
        <v>218</v>
      </c>
      <c r="B13750" s="127" t="s">
        <v>219</v>
      </c>
      <c r="C13750" s="127" t="s">
        <v>206</v>
      </c>
      <c r="D13750" s="177" t="s">
        <v>16450</v>
      </c>
      <c r="E13750" s="177" t="s">
        <v>16465</v>
      </c>
      <c r="F13750" s="177" t="s">
        <v>240</v>
      </c>
      <c r="G13750" s="177" t="s">
        <v>1727</v>
      </c>
      <c r="H13750" s="127" t="s">
        <v>210</v>
      </c>
    </row>
    <row r="13751" hidden="1">
      <c r="A13751" s="177" t="s">
        <v>218</v>
      </c>
      <c r="B13751" s="127" t="s">
        <v>219</v>
      </c>
      <c r="C13751" s="127" t="s">
        <v>206</v>
      </c>
      <c r="D13751" s="177" t="s">
        <v>16450</v>
      </c>
      <c r="E13751" s="177" t="s">
        <v>16466</v>
      </c>
      <c r="F13751" s="177" t="s">
        <v>246</v>
      </c>
      <c r="G13751" s="177" t="s">
        <v>1727</v>
      </c>
      <c r="H13751" s="127" t="s">
        <v>211</v>
      </c>
    </row>
    <row r="13752" hidden="1">
      <c r="A13752" s="177" t="s">
        <v>218</v>
      </c>
      <c r="B13752" s="127" t="s">
        <v>219</v>
      </c>
      <c r="C13752" s="127" t="s">
        <v>206</v>
      </c>
      <c r="D13752" s="177" t="s">
        <v>16450</v>
      </c>
      <c r="E13752" s="177" t="s">
        <v>16467</v>
      </c>
      <c r="F13752" s="177" t="s">
        <v>244</v>
      </c>
      <c r="G13752" s="177" t="s">
        <v>2409</v>
      </c>
      <c r="H13752" s="127" t="s">
        <v>212</v>
      </c>
    </row>
    <row r="13753" hidden="1">
      <c r="A13753" s="177" t="s">
        <v>218</v>
      </c>
      <c r="B13753" s="127" t="s">
        <v>219</v>
      </c>
      <c r="C13753" s="127" t="s">
        <v>206</v>
      </c>
      <c r="D13753" s="177" t="s">
        <v>16450</v>
      </c>
      <c r="E13753" s="177" t="s">
        <v>16468</v>
      </c>
      <c r="F13753" s="177" t="s">
        <v>246</v>
      </c>
      <c r="G13753" s="177" t="s">
        <v>1846</v>
      </c>
      <c r="H13753" s="127" t="s">
        <v>213</v>
      </c>
    </row>
    <row r="13754" hidden="1">
      <c r="A13754" s="177" t="s">
        <v>218</v>
      </c>
      <c r="B13754" s="127" t="s">
        <v>219</v>
      </c>
      <c r="C13754" s="127" t="s">
        <v>206</v>
      </c>
      <c r="D13754" s="177" t="s">
        <v>16450</v>
      </c>
      <c r="E13754" s="177" t="s">
        <v>16469</v>
      </c>
      <c r="F13754" s="177" t="s">
        <v>257</v>
      </c>
      <c r="G13754" s="177" t="s">
        <v>2331</v>
      </c>
      <c r="H13754" s="127" t="s">
        <v>214</v>
      </c>
    </row>
    <row r="13755" hidden="1">
      <c r="A13755" s="177" t="s">
        <v>218</v>
      </c>
      <c r="B13755" s="127" t="s">
        <v>219</v>
      </c>
      <c r="C13755" s="127" t="s">
        <v>206</v>
      </c>
      <c r="D13755" s="177" t="s">
        <v>16450</v>
      </c>
      <c r="E13755" s="177" t="s">
        <v>16470</v>
      </c>
      <c r="F13755" s="177" t="s">
        <v>285</v>
      </c>
      <c r="G13755" s="177" t="s">
        <v>2790</v>
      </c>
      <c r="H13755" s="127" t="s">
        <v>215</v>
      </c>
    </row>
    <row r="13756" hidden="1">
      <c r="A13756" s="177" t="s">
        <v>218</v>
      </c>
      <c r="B13756" s="127" t="s">
        <v>219</v>
      </c>
      <c r="C13756" s="127" t="s">
        <v>206</v>
      </c>
      <c r="D13756" s="177" t="s">
        <v>16450</v>
      </c>
      <c r="E13756" s="177" t="s">
        <v>16471</v>
      </c>
      <c r="F13756" s="177" t="s">
        <v>257</v>
      </c>
      <c r="G13756" s="177" t="s">
        <v>1749</v>
      </c>
      <c r="H13756" s="127" t="s">
        <v>216</v>
      </c>
    </row>
    <row r="13757" hidden="1">
      <c r="A13757" s="177" t="s">
        <v>220</v>
      </c>
      <c r="B13757" s="127" t="s">
        <v>190</v>
      </c>
      <c r="C13757" s="127" t="s">
        <v>206</v>
      </c>
      <c r="D13757" s="177" t="s">
        <v>16450</v>
      </c>
      <c r="E13757" s="177" t="s">
        <v>16472</v>
      </c>
      <c r="F13757" s="177" t="s">
        <v>5987</v>
      </c>
      <c r="G13757" s="177" t="s">
        <v>2745</v>
      </c>
      <c r="H13757" s="127" t="s">
        <v>210</v>
      </c>
    </row>
    <row r="13758" hidden="1">
      <c r="A13758" s="177" t="s">
        <v>220</v>
      </c>
      <c r="B13758" s="127" t="s">
        <v>190</v>
      </c>
      <c r="C13758" s="127" t="s">
        <v>206</v>
      </c>
      <c r="D13758" s="177" t="s">
        <v>16450</v>
      </c>
      <c r="E13758" s="177" t="s">
        <v>16473</v>
      </c>
      <c r="F13758" s="177" t="s">
        <v>298</v>
      </c>
      <c r="G13758" s="177" t="s">
        <v>4251</v>
      </c>
      <c r="H13758" s="127" t="s">
        <v>211</v>
      </c>
    </row>
    <row r="13759" hidden="1">
      <c r="A13759" s="177" t="s">
        <v>220</v>
      </c>
      <c r="B13759" s="127" t="s">
        <v>190</v>
      </c>
      <c r="C13759" s="127" t="s">
        <v>206</v>
      </c>
      <c r="D13759" s="177" t="s">
        <v>16450</v>
      </c>
      <c r="E13759" s="177" t="s">
        <v>16474</v>
      </c>
      <c r="F13759" s="177" t="s">
        <v>269</v>
      </c>
      <c r="G13759" s="177" t="s">
        <v>6323</v>
      </c>
      <c r="H13759" s="127" t="s">
        <v>212</v>
      </c>
    </row>
    <row r="13760" hidden="1">
      <c r="A13760" s="177" t="s">
        <v>220</v>
      </c>
      <c r="B13760" s="127" t="s">
        <v>190</v>
      </c>
      <c r="C13760" s="127" t="s">
        <v>206</v>
      </c>
      <c r="D13760" s="177" t="s">
        <v>16450</v>
      </c>
      <c r="E13760" s="177" t="s">
        <v>16475</v>
      </c>
      <c r="F13760" s="177" t="s">
        <v>204</v>
      </c>
      <c r="G13760" s="177" t="s">
        <v>1822</v>
      </c>
      <c r="H13760" s="127" t="s">
        <v>213</v>
      </c>
    </row>
    <row r="13761" hidden="1">
      <c r="A13761" s="177" t="s">
        <v>220</v>
      </c>
      <c r="B13761" s="127" t="s">
        <v>190</v>
      </c>
      <c r="C13761" s="127" t="s">
        <v>206</v>
      </c>
      <c r="D13761" s="177" t="s">
        <v>16450</v>
      </c>
      <c r="E13761" s="177" t="s">
        <v>16476</v>
      </c>
      <c r="F13761" s="177" t="s">
        <v>279</v>
      </c>
      <c r="G13761" s="177" t="s">
        <v>1762</v>
      </c>
      <c r="H13761" s="127" t="s">
        <v>214</v>
      </c>
    </row>
    <row r="13762" hidden="1">
      <c r="A13762" s="177" t="s">
        <v>220</v>
      </c>
      <c r="B13762" s="127" t="s">
        <v>190</v>
      </c>
      <c r="C13762" s="127" t="s">
        <v>206</v>
      </c>
      <c r="D13762" s="177" t="s">
        <v>16450</v>
      </c>
      <c r="E13762" s="177" t="s">
        <v>16477</v>
      </c>
      <c r="F13762" s="177" t="s">
        <v>240</v>
      </c>
      <c r="G13762" s="177" t="s">
        <v>1797</v>
      </c>
      <c r="H13762" s="127" t="s">
        <v>215</v>
      </c>
    </row>
    <row r="13763" hidden="1">
      <c r="A13763" s="177" t="s">
        <v>220</v>
      </c>
      <c r="B13763" s="127" t="s">
        <v>190</v>
      </c>
      <c r="C13763" s="127" t="s">
        <v>206</v>
      </c>
      <c r="D13763" s="177" t="s">
        <v>16450</v>
      </c>
      <c r="E13763" s="177" t="s">
        <v>16478</v>
      </c>
      <c r="F13763" s="177" t="s">
        <v>433</v>
      </c>
      <c r="G13763" s="177" t="s">
        <v>639</v>
      </c>
      <c r="H13763" s="127" t="s">
        <v>216</v>
      </c>
    </row>
    <row r="13764" hidden="1">
      <c r="A13764" s="177" t="s">
        <v>221</v>
      </c>
      <c r="B13764" s="127" t="s">
        <v>189</v>
      </c>
      <c r="C13764" s="127" t="s">
        <v>206</v>
      </c>
      <c r="D13764" s="177" t="s">
        <v>16450</v>
      </c>
      <c r="E13764" s="177" t="s">
        <v>16479</v>
      </c>
      <c r="F13764" s="177" t="s">
        <v>323</v>
      </c>
      <c r="G13764" s="177" t="s">
        <v>2242</v>
      </c>
      <c r="H13764" s="127" t="s">
        <v>210</v>
      </c>
    </row>
    <row r="13765" hidden="1">
      <c r="A13765" s="177" t="s">
        <v>221</v>
      </c>
      <c r="B13765" s="127" t="s">
        <v>189</v>
      </c>
      <c r="C13765" s="127" t="s">
        <v>206</v>
      </c>
      <c r="D13765" s="177" t="s">
        <v>16450</v>
      </c>
      <c r="E13765" s="177" t="s">
        <v>16480</v>
      </c>
      <c r="F13765" s="177" t="s">
        <v>351</v>
      </c>
      <c r="G13765" s="177" t="s">
        <v>3950</v>
      </c>
      <c r="H13765" s="127" t="s">
        <v>211</v>
      </c>
    </row>
    <row r="13766" hidden="1">
      <c r="A13766" s="177" t="s">
        <v>221</v>
      </c>
      <c r="B13766" s="127" t="s">
        <v>189</v>
      </c>
      <c r="C13766" s="127" t="s">
        <v>206</v>
      </c>
      <c r="D13766" s="177" t="s">
        <v>16450</v>
      </c>
      <c r="E13766" s="177" t="s">
        <v>16481</v>
      </c>
      <c r="F13766" s="177" t="s">
        <v>3625</v>
      </c>
      <c r="G13766" s="177" t="s">
        <v>2383</v>
      </c>
      <c r="H13766" s="127" t="s">
        <v>212</v>
      </c>
    </row>
    <row r="13767" hidden="1">
      <c r="A13767" s="177" t="s">
        <v>221</v>
      </c>
      <c r="B13767" s="127" t="s">
        <v>189</v>
      </c>
      <c r="C13767" s="127" t="s">
        <v>206</v>
      </c>
      <c r="D13767" s="177" t="s">
        <v>16450</v>
      </c>
      <c r="E13767" s="177" t="s">
        <v>16482</v>
      </c>
      <c r="F13767" s="177" t="s">
        <v>308</v>
      </c>
      <c r="G13767" s="177" t="s">
        <v>2045</v>
      </c>
      <c r="H13767" s="127" t="s">
        <v>213</v>
      </c>
    </row>
    <row r="13768" hidden="1">
      <c r="A13768" s="177" t="s">
        <v>221</v>
      </c>
      <c r="B13768" s="127" t="s">
        <v>189</v>
      </c>
      <c r="C13768" s="127" t="s">
        <v>206</v>
      </c>
      <c r="D13768" s="177" t="s">
        <v>16450</v>
      </c>
      <c r="E13768" s="177" t="s">
        <v>16483</v>
      </c>
      <c r="F13768" s="177" t="s">
        <v>357</v>
      </c>
      <c r="G13768" s="177" t="s">
        <v>2986</v>
      </c>
      <c r="H13768" s="127" t="s">
        <v>214</v>
      </c>
    </row>
    <row r="13769" hidden="1">
      <c r="A13769" s="177" t="s">
        <v>221</v>
      </c>
      <c r="B13769" s="127" t="s">
        <v>189</v>
      </c>
      <c r="C13769" s="127" t="s">
        <v>206</v>
      </c>
      <c r="D13769" s="177" t="s">
        <v>16450</v>
      </c>
      <c r="E13769" s="177" t="s">
        <v>16484</v>
      </c>
      <c r="F13769" s="177" t="s">
        <v>494</v>
      </c>
      <c r="G13769" s="177" t="s">
        <v>3783</v>
      </c>
      <c r="H13769" s="127" t="s">
        <v>215</v>
      </c>
    </row>
    <row r="13770" hidden="1">
      <c r="A13770" s="177" t="s">
        <v>221</v>
      </c>
      <c r="B13770" s="127" t="s">
        <v>189</v>
      </c>
      <c r="C13770" s="127" t="s">
        <v>206</v>
      </c>
      <c r="D13770" s="177" t="s">
        <v>16450</v>
      </c>
      <c r="E13770" s="177" t="s">
        <v>16485</v>
      </c>
      <c r="F13770" s="177" t="s">
        <v>534</v>
      </c>
      <c r="G13770" s="177" t="s">
        <v>2289</v>
      </c>
      <c r="H13770" s="127" t="s">
        <v>216</v>
      </c>
    </row>
    <row r="13771" hidden="1">
      <c r="A13771" s="177" t="s">
        <v>222</v>
      </c>
      <c r="B13771" s="127" t="s">
        <v>192</v>
      </c>
      <c r="C13771" s="127" t="s">
        <v>206</v>
      </c>
      <c r="D13771" s="177" t="s">
        <v>16450</v>
      </c>
      <c r="E13771" s="177" t="s">
        <v>16486</v>
      </c>
      <c r="F13771" s="177" t="s">
        <v>257</v>
      </c>
      <c r="G13771" s="177" t="s">
        <v>1913</v>
      </c>
      <c r="H13771" s="127" t="s">
        <v>210</v>
      </c>
    </row>
    <row r="13772" hidden="1">
      <c r="A13772" s="177" t="s">
        <v>222</v>
      </c>
      <c r="B13772" s="127" t="s">
        <v>192</v>
      </c>
      <c r="C13772" s="127" t="s">
        <v>206</v>
      </c>
      <c r="D13772" s="177" t="s">
        <v>16450</v>
      </c>
      <c r="E13772" s="177" t="s">
        <v>16487</v>
      </c>
      <c r="F13772" s="177" t="s">
        <v>285</v>
      </c>
      <c r="G13772" s="177" t="s">
        <v>1875</v>
      </c>
      <c r="H13772" s="127" t="s">
        <v>211</v>
      </c>
    </row>
    <row r="13773" hidden="1">
      <c r="A13773" s="177" t="s">
        <v>222</v>
      </c>
      <c r="B13773" s="127" t="s">
        <v>192</v>
      </c>
      <c r="C13773" s="127" t="s">
        <v>206</v>
      </c>
      <c r="D13773" s="177" t="s">
        <v>16450</v>
      </c>
      <c r="E13773" s="177" t="s">
        <v>16488</v>
      </c>
      <c r="F13773" s="177" t="s">
        <v>257</v>
      </c>
      <c r="G13773" s="177" t="s">
        <v>589</v>
      </c>
      <c r="H13773" s="127" t="s">
        <v>212</v>
      </c>
    </row>
    <row r="13774" hidden="1">
      <c r="A13774" s="177" t="s">
        <v>222</v>
      </c>
      <c r="B13774" s="127" t="s">
        <v>192</v>
      </c>
      <c r="C13774" s="127" t="s">
        <v>206</v>
      </c>
      <c r="D13774" s="177" t="s">
        <v>16450</v>
      </c>
      <c r="E13774" s="177" t="s">
        <v>16489</v>
      </c>
      <c r="F13774" s="177" t="s">
        <v>323</v>
      </c>
      <c r="G13774" s="177" t="s">
        <v>2087</v>
      </c>
      <c r="H13774" s="127" t="s">
        <v>213</v>
      </c>
    </row>
    <row r="13775" hidden="1">
      <c r="A13775" s="177" t="s">
        <v>222</v>
      </c>
      <c r="B13775" s="127" t="s">
        <v>192</v>
      </c>
      <c r="C13775" s="127" t="s">
        <v>206</v>
      </c>
      <c r="D13775" s="177" t="s">
        <v>16450</v>
      </c>
      <c r="E13775" s="177" t="s">
        <v>16490</v>
      </c>
      <c r="F13775" s="177" t="s">
        <v>285</v>
      </c>
      <c r="G13775" s="177" t="s">
        <v>1901</v>
      </c>
      <c r="H13775" s="127" t="s">
        <v>214</v>
      </c>
    </row>
    <row r="13776" hidden="1">
      <c r="A13776" s="177" t="s">
        <v>222</v>
      </c>
      <c r="B13776" s="127" t="s">
        <v>192</v>
      </c>
      <c r="C13776" s="127" t="s">
        <v>206</v>
      </c>
      <c r="D13776" s="177" t="s">
        <v>16450</v>
      </c>
      <c r="E13776" s="177" t="s">
        <v>16491</v>
      </c>
      <c r="F13776" s="177" t="s">
        <v>365</v>
      </c>
      <c r="G13776" s="177" t="s">
        <v>1936</v>
      </c>
      <c r="H13776" s="127" t="s">
        <v>215</v>
      </c>
    </row>
    <row r="13777" hidden="1">
      <c r="A13777" s="177" t="s">
        <v>222</v>
      </c>
      <c r="B13777" s="127" t="s">
        <v>192</v>
      </c>
      <c r="C13777" s="127" t="s">
        <v>206</v>
      </c>
      <c r="D13777" s="177" t="s">
        <v>16450</v>
      </c>
      <c r="E13777" s="177" t="s">
        <v>16492</v>
      </c>
      <c r="F13777" s="177" t="s">
        <v>242</v>
      </c>
      <c r="G13777" s="177" t="s">
        <v>1778</v>
      </c>
      <c r="H13777" s="127" t="s">
        <v>216</v>
      </c>
    </row>
    <row r="13778" hidden="1">
      <c r="A13778" s="177" t="s">
        <v>223</v>
      </c>
      <c r="B13778" s="127" t="s">
        <v>144</v>
      </c>
      <c r="C13778" s="127" t="s">
        <v>206</v>
      </c>
      <c r="D13778" s="177" t="s">
        <v>16450</v>
      </c>
      <c r="E13778" s="177" t="s">
        <v>16493</v>
      </c>
      <c r="F13778" s="177" t="s">
        <v>285</v>
      </c>
      <c r="G13778" s="177" t="s">
        <v>2057</v>
      </c>
      <c r="H13778" s="127" t="s">
        <v>210</v>
      </c>
    </row>
    <row r="13779" hidden="1">
      <c r="A13779" s="177" t="s">
        <v>223</v>
      </c>
      <c r="B13779" s="127" t="s">
        <v>144</v>
      </c>
      <c r="C13779" s="127" t="s">
        <v>206</v>
      </c>
      <c r="D13779" s="177" t="s">
        <v>16450</v>
      </c>
      <c r="E13779" s="177" t="s">
        <v>16494</v>
      </c>
      <c r="F13779" s="177" t="s">
        <v>321</v>
      </c>
      <c r="G13779" s="177" t="s">
        <v>2785</v>
      </c>
      <c r="H13779" s="127" t="s">
        <v>211</v>
      </c>
    </row>
    <row r="13780" hidden="1">
      <c r="A13780" s="177" t="s">
        <v>223</v>
      </c>
      <c r="B13780" s="127" t="s">
        <v>144</v>
      </c>
      <c r="C13780" s="127" t="s">
        <v>206</v>
      </c>
      <c r="D13780" s="177" t="s">
        <v>16450</v>
      </c>
      <c r="E13780" s="177" t="s">
        <v>16495</v>
      </c>
      <c r="F13780" s="177" t="s">
        <v>285</v>
      </c>
      <c r="G13780" s="177" t="s">
        <v>2688</v>
      </c>
      <c r="H13780" s="127" t="s">
        <v>212</v>
      </c>
    </row>
    <row r="13781" hidden="1">
      <c r="A13781" s="177" t="s">
        <v>223</v>
      </c>
      <c r="B13781" s="127" t="s">
        <v>144</v>
      </c>
      <c r="C13781" s="127" t="s">
        <v>206</v>
      </c>
      <c r="D13781" s="177" t="s">
        <v>16450</v>
      </c>
      <c r="E13781" s="177" t="s">
        <v>16496</v>
      </c>
      <c r="F13781" s="177" t="s">
        <v>249</v>
      </c>
      <c r="G13781" s="177" t="s">
        <v>1841</v>
      </c>
      <c r="H13781" s="127" t="s">
        <v>213</v>
      </c>
    </row>
    <row r="13782" hidden="1">
      <c r="A13782" s="177" t="s">
        <v>223</v>
      </c>
      <c r="B13782" s="127" t="s">
        <v>144</v>
      </c>
      <c r="C13782" s="127" t="s">
        <v>206</v>
      </c>
      <c r="D13782" s="177" t="s">
        <v>16450</v>
      </c>
      <c r="E13782" s="177" t="s">
        <v>16497</v>
      </c>
      <c r="F13782" s="177" t="s">
        <v>359</v>
      </c>
      <c r="G13782" s="177" t="s">
        <v>1753</v>
      </c>
      <c r="H13782" s="127" t="s">
        <v>214</v>
      </c>
    </row>
    <row r="13783" hidden="1">
      <c r="A13783" s="177" t="s">
        <v>223</v>
      </c>
      <c r="B13783" s="127" t="s">
        <v>144</v>
      </c>
      <c r="C13783" s="127" t="s">
        <v>206</v>
      </c>
      <c r="D13783" s="177" t="s">
        <v>16450</v>
      </c>
      <c r="E13783" s="177" t="s">
        <v>16498</v>
      </c>
      <c r="F13783" s="177" t="s">
        <v>308</v>
      </c>
      <c r="G13783" s="177" t="s">
        <v>2852</v>
      </c>
      <c r="H13783" s="127" t="s">
        <v>215</v>
      </c>
    </row>
    <row r="13784" hidden="1">
      <c r="A13784" s="177" t="s">
        <v>223</v>
      </c>
      <c r="B13784" s="127" t="s">
        <v>144</v>
      </c>
      <c r="C13784" s="127" t="s">
        <v>206</v>
      </c>
      <c r="D13784" s="177" t="s">
        <v>16450</v>
      </c>
      <c r="E13784" s="177" t="s">
        <v>16499</v>
      </c>
      <c r="F13784" s="177" t="s">
        <v>359</v>
      </c>
      <c r="G13784" s="177" t="s">
        <v>2025</v>
      </c>
      <c r="H13784" s="127" t="s">
        <v>216</v>
      </c>
    </row>
    <row r="13785" hidden="1">
      <c r="A13785" s="177" t="s">
        <v>224</v>
      </c>
      <c r="B13785" s="127" t="s">
        <v>170</v>
      </c>
      <c r="C13785" s="127" t="s">
        <v>206</v>
      </c>
      <c r="D13785" s="177" t="s">
        <v>16450</v>
      </c>
      <c r="E13785" s="177" t="s">
        <v>16500</v>
      </c>
      <c r="F13785" s="177" t="s">
        <v>269</v>
      </c>
      <c r="G13785" s="177" t="s">
        <v>2694</v>
      </c>
      <c r="H13785" s="127" t="s">
        <v>210</v>
      </c>
    </row>
    <row r="13786" hidden="1">
      <c r="A13786" s="177" t="s">
        <v>224</v>
      </c>
      <c r="B13786" s="127" t="s">
        <v>170</v>
      </c>
      <c r="C13786" s="127" t="s">
        <v>206</v>
      </c>
      <c r="D13786" s="177" t="s">
        <v>16450</v>
      </c>
      <c r="E13786" s="177" t="s">
        <v>16501</v>
      </c>
      <c r="F13786" s="177" t="s">
        <v>365</v>
      </c>
      <c r="G13786" s="177" t="s">
        <v>1868</v>
      </c>
      <c r="H13786" s="127" t="s">
        <v>211</v>
      </c>
    </row>
    <row r="13787" hidden="1">
      <c r="A13787" s="177" t="s">
        <v>224</v>
      </c>
      <c r="B13787" s="127" t="s">
        <v>170</v>
      </c>
      <c r="C13787" s="127" t="s">
        <v>206</v>
      </c>
      <c r="D13787" s="177" t="s">
        <v>16450</v>
      </c>
      <c r="E13787" s="177" t="s">
        <v>16502</v>
      </c>
      <c r="F13787" s="177" t="s">
        <v>242</v>
      </c>
      <c r="G13787" s="177" t="s">
        <v>2364</v>
      </c>
      <c r="H13787" s="127" t="s">
        <v>212</v>
      </c>
    </row>
    <row r="13788" hidden="1">
      <c r="A13788" s="177" t="s">
        <v>224</v>
      </c>
      <c r="B13788" s="127" t="s">
        <v>170</v>
      </c>
      <c r="C13788" s="127" t="s">
        <v>206</v>
      </c>
      <c r="D13788" s="177" t="s">
        <v>16450</v>
      </c>
      <c r="E13788" s="177" t="s">
        <v>16503</v>
      </c>
      <c r="F13788" s="177" t="s">
        <v>321</v>
      </c>
      <c r="G13788" s="177" t="s">
        <v>3028</v>
      </c>
      <c r="H13788" s="127" t="s">
        <v>213</v>
      </c>
    </row>
    <row r="13789" hidden="1">
      <c r="A13789" s="177" t="s">
        <v>224</v>
      </c>
      <c r="B13789" s="127" t="s">
        <v>170</v>
      </c>
      <c r="C13789" s="127" t="s">
        <v>206</v>
      </c>
      <c r="D13789" s="177" t="s">
        <v>16450</v>
      </c>
      <c r="E13789" s="177" t="s">
        <v>16504</v>
      </c>
      <c r="F13789" s="177" t="s">
        <v>725</v>
      </c>
      <c r="G13789" s="177" t="s">
        <v>1951</v>
      </c>
      <c r="H13789" s="127" t="s">
        <v>214</v>
      </c>
    </row>
    <row r="13790" hidden="1">
      <c r="A13790" s="177" t="s">
        <v>224</v>
      </c>
      <c r="B13790" s="127" t="s">
        <v>170</v>
      </c>
      <c r="C13790" s="127" t="s">
        <v>206</v>
      </c>
      <c r="D13790" s="177" t="s">
        <v>16450</v>
      </c>
      <c r="E13790" s="177" t="s">
        <v>16505</v>
      </c>
      <c r="F13790" s="177" t="s">
        <v>308</v>
      </c>
      <c r="G13790" s="177" t="s">
        <v>3360</v>
      </c>
      <c r="H13790" s="127" t="s">
        <v>215</v>
      </c>
    </row>
    <row r="13791" hidden="1">
      <c r="A13791" s="177" t="s">
        <v>224</v>
      </c>
      <c r="B13791" s="127" t="s">
        <v>170</v>
      </c>
      <c r="C13791" s="127" t="s">
        <v>206</v>
      </c>
      <c r="D13791" s="177" t="s">
        <v>16450</v>
      </c>
      <c r="E13791" s="177" t="s">
        <v>16506</v>
      </c>
      <c r="F13791" s="177" t="s">
        <v>242</v>
      </c>
      <c r="G13791" s="177" t="s">
        <v>1923</v>
      </c>
      <c r="H13791" s="127" t="s">
        <v>216</v>
      </c>
    </row>
    <row r="13792" hidden="1">
      <c r="A13792" s="177" t="s">
        <v>225</v>
      </c>
      <c r="B13792" s="127" t="s">
        <v>226</v>
      </c>
      <c r="C13792" s="127" t="s">
        <v>206</v>
      </c>
      <c r="D13792" s="177" t="s">
        <v>16450</v>
      </c>
      <c r="E13792" s="177" t="s">
        <v>16507</v>
      </c>
      <c r="F13792" s="177" t="s">
        <v>425</v>
      </c>
      <c r="G13792" s="177" t="s">
        <v>2230</v>
      </c>
      <c r="H13792" s="127" t="s">
        <v>210</v>
      </c>
    </row>
    <row r="13793" hidden="1">
      <c r="A13793" s="177" t="s">
        <v>225</v>
      </c>
      <c r="B13793" s="127" t="s">
        <v>226</v>
      </c>
      <c r="C13793" s="127" t="s">
        <v>206</v>
      </c>
      <c r="D13793" s="177" t="s">
        <v>16450</v>
      </c>
      <c r="E13793" s="177" t="s">
        <v>16508</v>
      </c>
      <c r="F13793" s="177" t="s">
        <v>339</v>
      </c>
      <c r="G13793" s="177" t="s">
        <v>3335</v>
      </c>
      <c r="H13793" s="127" t="s">
        <v>211</v>
      </c>
    </row>
    <row r="13794" hidden="1">
      <c r="A13794" s="177" t="s">
        <v>225</v>
      </c>
      <c r="B13794" s="127" t="s">
        <v>226</v>
      </c>
      <c r="C13794" s="127" t="s">
        <v>206</v>
      </c>
      <c r="D13794" s="177" t="s">
        <v>16450</v>
      </c>
      <c r="E13794" s="177" t="s">
        <v>16509</v>
      </c>
      <c r="F13794" s="177" t="s">
        <v>339</v>
      </c>
      <c r="G13794" s="177" t="s">
        <v>3001</v>
      </c>
      <c r="H13794" s="127" t="s">
        <v>212</v>
      </c>
    </row>
    <row r="13795" hidden="1">
      <c r="A13795" s="177" t="s">
        <v>225</v>
      </c>
      <c r="B13795" s="127" t="s">
        <v>226</v>
      </c>
      <c r="C13795" s="127" t="s">
        <v>206</v>
      </c>
      <c r="D13795" s="177" t="s">
        <v>16450</v>
      </c>
      <c r="E13795" s="177" t="s">
        <v>16510</v>
      </c>
      <c r="F13795" s="177" t="s">
        <v>351</v>
      </c>
      <c r="G13795" s="177" t="s">
        <v>2779</v>
      </c>
      <c r="H13795" s="127" t="s">
        <v>213</v>
      </c>
    </row>
    <row r="13796" hidden="1">
      <c r="A13796" s="177" t="s">
        <v>225</v>
      </c>
      <c r="B13796" s="127" t="s">
        <v>226</v>
      </c>
      <c r="C13796" s="127" t="s">
        <v>206</v>
      </c>
      <c r="D13796" s="177" t="s">
        <v>16450</v>
      </c>
      <c r="E13796" s="177" t="s">
        <v>16511</v>
      </c>
      <c r="F13796" s="177" t="s">
        <v>427</v>
      </c>
      <c r="G13796" s="177" t="s">
        <v>2309</v>
      </c>
      <c r="H13796" s="127" t="s">
        <v>214</v>
      </c>
    </row>
    <row r="13797" hidden="1">
      <c r="A13797" s="177" t="s">
        <v>225</v>
      </c>
      <c r="B13797" s="127" t="s">
        <v>226</v>
      </c>
      <c r="C13797" s="127" t="s">
        <v>206</v>
      </c>
      <c r="D13797" s="177" t="s">
        <v>16450</v>
      </c>
      <c r="E13797" s="177" t="s">
        <v>16512</v>
      </c>
      <c r="F13797" s="177" t="s">
        <v>450</v>
      </c>
      <c r="G13797" s="177" t="s">
        <v>2624</v>
      </c>
      <c r="H13797" s="127" t="s">
        <v>215</v>
      </c>
    </row>
    <row r="13798" hidden="1">
      <c r="A13798" s="177" t="s">
        <v>225</v>
      </c>
      <c r="B13798" s="127" t="s">
        <v>226</v>
      </c>
      <c r="C13798" s="127" t="s">
        <v>206</v>
      </c>
      <c r="D13798" s="177" t="s">
        <v>16450</v>
      </c>
      <c r="E13798" s="177" t="s">
        <v>16513</v>
      </c>
      <c r="F13798" s="177" t="s">
        <v>336</v>
      </c>
      <c r="G13798" s="177" t="s">
        <v>2620</v>
      </c>
      <c r="H13798" s="127" t="s">
        <v>216</v>
      </c>
    </row>
    <row r="13799" hidden="1">
      <c r="A13799" s="177" t="s">
        <v>227</v>
      </c>
      <c r="B13799" s="127" t="s">
        <v>195</v>
      </c>
      <c r="C13799" s="127" t="s">
        <v>206</v>
      </c>
      <c r="D13799" s="177" t="s">
        <v>16450</v>
      </c>
      <c r="E13799" s="177" t="s">
        <v>16514</v>
      </c>
      <c r="F13799" s="177" t="s">
        <v>255</v>
      </c>
      <c r="G13799" s="177" t="s">
        <v>635</v>
      </c>
      <c r="H13799" s="127" t="s">
        <v>210</v>
      </c>
    </row>
    <row r="13800" hidden="1">
      <c r="A13800" s="177" t="s">
        <v>227</v>
      </c>
      <c r="B13800" s="127" t="s">
        <v>195</v>
      </c>
      <c r="C13800" s="127" t="s">
        <v>206</v>
      </c>
      <c r="D13800" s="177" t="s">
        <v>16450</v>
      </c>
      <c r="E13800" s="177" t="s">
        <v>16515</v>
      </c>
      <c r="F13800" s="177" t="s">
        <v>458</v>
      </c>
      <c r="G13800" s="177" t="s">
        <v>3028</v>
      </c>
      <c r="H13800" s="127" t="s">
        <v>211</v>
      </c>
    </row>
    <row r="13801" hidden="1">
      <c r="A13801" s="177" t="s">
        <v>227</v>
      </c>
      <c r="B13801" s="127" t="s">
        <v>195</v>
      </c>
      <c r="C13801" s="127" t="s">
        <v>206</v>
      </c>
      <c r="D13801" s="177" t="s">
        <v>16450</v>
      </c>
      <c r="E13801" s="177" t="s">
        <v>16516</v>
      </c>
      <c r="F13801" s="177" t="s">
        <v>244</v>
      </c>
      <c r="G13801" s="177" t="s">
        <v>1852</v>
      </c>
      <c r="H13801" s="127" t="s">
        <v>212</v>
      </c>
    </row>
    <row r="13802" hidden="1">
      <c r="A13802" s="177" t="s">
        <v>227</v>
      </c>
      <c r="B13802" s="127" t="s">
        <v>195</v>
      </c>
      <c r="C13802" s="127" t="s">
        <v>206</v>
      </c>
      <c r="D13802" s="177" t="s">
        <v>16450</v>
      </c>
      <c r="E13802" s="177" t="s">
        <v>16517</v>
      </c>
      <c r="F13802" s="177" t="s">
        <v>321</v>
      </c>
      <c r="G13802" s="177" t="s">
        <v>2366</v>
      </c>
      <c r="H13802" s="127" t="s">
        <v>213</v>
      </c>
    </row>
    <row r="13803" hidden="1">
      <c r="A13803" s="177" t="s">
        <v>227</v>
      </c>
      <c r="B13803" s="127" t="s">
        <v>195</v>
      </c>
      <c r="C13803" s="127" t="s">
        <v>206</v>
      </c>
      <c r="D13803" s="177" t="s">
        <v>16450</v>
      </c>
      <c r="E13803" s="177" t="s">
        <v>16518</v>
      </c>
      <c r="F13803" s="177" t="s">
        <v>249</v>
      </c>
      <c r="G13803" s="177" t="s">
        <v>2534</v>
      </c>
      <c r="H13803" s="127" t="s">
        <v>214</v>
      </c>
    </row>
    <row r="13804" hidden="1">
      <c r="A13804" s="177" t="s">
        <v>227</v>
      </c>
      <c r="B13804" s="127" t="s">
        <v>195</v>
      </c>
      <c r="C13804" s="127" t="s">
        <v>206</v>
      </c>
      <c r="D13804" s="177" t="s">
        <v>16450</v>
      </c>
      <c r="E13804" s="177" t="s">
        <v>16519</v>
      </c>
      <c r="F13804" s="177" t="s">
        <v>314</v>
      </c>
      <c r="G13804" s="177" t="s">
        <v>2072</v>
      </c>
      <c r="H13804" s="127" t="s">
        <v>215</v>
      </c>
    </row>
    <row r="13805" hidden="1">
      <c r="A13805" s="177" t="s">
        <v>227</v>
      </c>
      <c r="B13805" s="127" t="s">
        <v>195</v>
      </c>
      <c r="C13805" s="127" t="s">
        <v>206</v>
      </c>
      <c r="D13805" s="177" t="s">
        <v>16450</v>
      </c>
      <c r="E13805" s="177" t="s">
        <v>16520</v>
      </c>
      <c r="F13805" s="177" t="s">
        <v>255</v>
      </c>
      <c r="G13805" s="177" t="s">
        <v>2785</v>
      </c>
      <c r="H13805" s="127" t="s">
        <v>216</v>
      </c>
    </row>
    <row r="13806" hidden="1">
      <c r="A13806" s="177" t="s">
        <v>228</v>
      </c>
      <c r="B13806" s="127" t="s">
        <v>138</v>
      </c>
      <c r="C13806" s="127" t="s">
        <v>206</v>
      </c>
      <c r="D13806" s="177" t="s">
        <v>16450</v>
      </c>
      <c r="E13806" s="177" t="s">
        <v>16521</v>
      </c>
      <c r="F13806" s="177" t="s">
        <v>374</v>
      </c>
      <c r="G13806" s="177" t="s">
        <v>3380</v>
      </c>
      <c r="H13806" s="127" t="s">
        <v>210</v>
      </c>
    </row>
    <row r="13807" hidden="1">
      <c r="A13807" s="177" t="s">
        <v>228</v>
      </c>
      <c r="B13807" s="127" t="s">
        <v>138</v>
      </c>
      <c r="C13807" s="127" t="s">
        <v>206</v>
      </c>
      <c r="D13807" s="177" t="s">
        <v>16450</v>
      </c>
      <c r="E13807" s="177" t="s">
        <v>16522</v>
      </c>
      <c r="F13807" s="177" t="s">
        <v>492</v>
      </c>
      <c r="G13807" s="177" t="s">
        <v>3111</v>
      </c>
      <c r="H13807" s="127" t="s">
        <v>211</v>
      </c>
    </row>
    <row r="13808" hidden="1">
      <c r="A13808" s="177" t="s">
        <v>228</v>
      </c>
      <c r="B13808" s="127" t="s">
        <v>138</v>
      </c>
      <c r="C13808" s="127" t="s">
        <v>206</v>
      </c>
      <c r="D13808" s="177" t="s">
        <v>16450</v>
      </c>
      <c r="E13808" s="177" t="s">
        <v>16523</v>
      </c>
      <c r="F13808" s="177" t="s">
        <v>492</v>
      </c>
      <c r="G13808" s="177" t="s">
        <v>4376</v>
      </c>
      <c r="H13808" s="127" t="s">
        <v>212</v>
      </c>
    </row>
    <row r="13809" hidden="1">
      <c r="A13809" s="177" t="s">
        <v>228</v>
      </c>
      <c r="B13809" s="127" t="s">
        <v>138</v>
      </c>
      <c r="C13809" s="127" t="s">
        <v>206</v>
      </c>
      <c r="D13809" s="177" t="s">
        <v>16450</v>
      </c>
      <c r="E13809" s="177" t="s">
        <v>16524</v>
      </c>
      <c r="F13809" s="177" t="s">
        <v>374</v>
      </c>
      <c r="G13809" s="177" t="s">
        <v>5434</v>
      </c>
      <c r="H13809" s="127" t="s">
        <v>213</v>
      </c>
    </row>
    <row r="13810" hidden="1">
      <c r="A13810" s="177" t="s">
        <v>228</v>
      </c>
      <c r="B13810" s="127" t="s">
        <v>138</v>
      </c>
      <c r="C13810" s="127" t="s">
        <v>206</v>
      </c>
      <c r="D13810" s="177" t="s">
        <v>16450</v>
      </c>
      <c r="E13810" s="177" t="s">
        <v>16525</v>
      </c>
      <c r="F13810" s="177" t="s">
        <v>259</v>
      </c>
      <c r="G13810" s="177" t="s">
        <v>4077</v>
      </c>
      <c r="H13810" s="127" t="s">
        <v>214</v>
      </c>
    </row>
    <row r="13811" hidden="1">
      <c r="A13811" s="177" t="s">
        <v>228</v>
      </c>
      <c r="B13811" s="127" t="s">
        <v>138</v>
      </c>
      <c r="C13811" s="127" t="s">
        <v>206</v>
      </c>
      <c r="D13811" s="177" t="s">
        <v>16450</v>
      </c>
      <c r="E13811" s="177" t="s">
        <v>16526</v>
      </c>
      <c r="F13811" s="177" t="s">
        <v>279</v>
      </c>
      <c r="G13811" s="177" t="s">
        <v>9339</v>
      </c>
      <c r="H13811" s="127" t="s">
        <v>215</v>
      </c>
    </row>
    <row r="13812" hidden="1">
      <c r="A13812" s="177" t="s">
        <v>228</v>
      </c>
      <c r="B13812" s="127" t="s">
        <v>138</v>
      </c>
      <c r="C13812" s="127" t="s">
        <v>206</v>
      </c>
      <c r="D13812" s="177" t="s">
        <v>16450</v>
      </c>
      <c r="E13812" s="177" t="s">
        <v>16527</v>
      </c>
      <c r="F13812" s="177" t="s">
        <v>492</v>
      </c>
      <c r="G13812" s="177" t="s">
        <v>3734</v>
      </c>
      <c r="H13812" s="127" t="s">
        <v>216</v>
      </c>
    </row>
    <row r="13813" hidden="1">
      <c r="A13813" s="177" t="s">
        <v>229</v>
      </c>
      <c r="B13813" s="127" t="s">
        <v>193</v>
      </c>
      <c r="C13813" s="127" t="s">
        <v>206</v>
      </c>
      <c r="D13813" s="177" t="s">
        <v>16450</v>
      </c>
      <c r="E13813" s="177" t="s">
        <v>16528</v>
      </c>
      <c r="F13813" s="177" t="s">
        <v>577</v>
      </c>
      <c r="G13813" s="177" t="s">
        <v>1862</v>
      </c>
      <c r="H13813" s="127" t="s">
        <v>210</v>
      </c>
    </row>
    <row r="13814" hidden="1">
      <c r="A13814" s="177" t="s">
        <v>229</v>
      </c>
      <c r="B13814" s="127" t="s">
        <v>193</v>
      </c>
      <c r="C13814" s="127" t="s">
        <v>206</v>
      </c>
      <c r="D13814" s="177" t="s">
        <v>16450</v>
      </c>
      <c r="E13814" s="177" t="s">
        <v>16529</v>
      </c>
      <c r="F13814" s="177" t="s">
        <v>325</v>
      </c>
      <c r="G13814" s="177" t="s">
        <v>2912</v>
      </c>
      <c r="H13814" s="127" t="s">
        <v>211</v>
      </c>
    </row>
    <row r="13815" hidden="1">
      <c r="A13815" s="177" t="s">
        <v>229</v>
      </c>
      <c r="B13815" s="127" t="s">
        <v>193</v>
      </c>
      <c r="C13815" s="127" t="s">
        <v>206</v>
      </c>
      <c r="D13815" s="177" t="s">
        <v>16450</v>
      </c>
      <c r="E13815" s="177" t="s">
        <v>16530</v>
      </c>
      <c r="F13815" s="177" t="s">
        <v>494</v>
      </c>
      <c r="G13815" s="177" t="s">
        <v>1927</v>
      </c>
      <c r="H13815" s="127" t="s">
        <v>212</v>
      </c>
    </row>
    <row r="13816" hidden="1">
      <c r="A13816" s="177" t="s">
        <v>229</v>
      </c>
      <c r="B13816" s="127" t="s">
        <v>193</v>
      </c>
      <c r="C13816" s="127" t="s">
        <v>206</v>
      </c>
      <c r="D13816" s="177" t="s">
        <v>16450</v>
      </c>
      <c r="E13816" s="177" t="s">
        <v>16531</v>
      </c>
      <c r="F13816" s="177" t="s">
        <v>534</v>
      </c>
      <c r="G13816" s="177" t="s">
        <v>2620</v>
      </c>
      <c r="H13816" s="127" t="s">
        <v>213</v>
      </c>
    </row>
    <row r="13817" hidden="1">
      <c r="A13817" s="177" t="s">
        <v>229</v>
      </c>
      <c r="B13817" s="127" t="s">
        <v>193</v>
      </c>
      <c r="C13817" s="127" t="s">
        <v>206</v>
      </c>
      <c r="D13817" s="177" t="s">
        <v>16450</v>
      </c>
      <c r="E13817" s="177" t="s">
        <v>16532</v>
      </c>
      <c r="F13817" s="177" t="s">
        <v>351</v>
      </c>
      <c r="G13817" s="177" t="s">
        <v>1932</v>
      </c>
      <c r="H13817" s="127" t="s">
        <v>214</v>
      </c>
    </row>
    <row r="13818" hidden="1">
      <c r="A13818" s="177" t="s">
        <v>229</v>
      </c>
      <c r="B13818" s="127" t="s">
        <v>193</v>
      </c>
      <c r="C13818" s="127" t="s">
        <v>206</v>
      </c>
      <c r="D13818" s="177" t="s">
        <v>16450</v>
      </c>
      <c r="E13818" s="177" t="s">
        <v>16533</v>
      </c>
      <c r="F13818" s="177" t="s">
        <v>331</v>
      </c>
      <c r="G13818" s="177" t="s">
        <v>2986</v>
      </c>
      <c r="H13818" s="127" t="s">
        <v>215</v>
      </c>
    </row>
    <row r="13819" hidden="1">
      <c r="A13819" s="177" t="s">
        <v>229</v>
      </c>
      <c r="B13819" s="127" t="s">
        <v>193</v>
      </c>
      <c r="C13819" s="127" t="s">
        <v>206</v>
      </c>
      <c r="D13819" s="177" t="s">
        <v>16450</v>
      </c>
      <c r="E13819" s="177" t="s">
        <v>16534</v>
      </c>
      <c r="F13819" s="177" t="s">
        <v>329</v>
      </c>
      <c r="G13819" s="177" t="s">
        <v>2281</v>
      </c>
      <c r="H13819" s="127" t="s">
        <v>216</v>
      </c>
    </row>
    <row r="13820" hidden="1">
      <c r="A13820" s="177" t="s">
        <v>230</v>
      </c>
      <c r="B13820" s="127" t="s">
        <v>194</v>
      </c>
      <c r="C13820" s="127" t="s">
        <v>206</v>
      </c>
      <c r="D13820" s="177" t="s">
        <v>16450</v>
      </c>
      <c r="E13820" s="177" t="s">
        <v>16535</v>
      </c>
      <c r="F13820" s="177" t="s">
        <v>290</v>
      </c>
      <c r="G13820" s="177" t="s">
        <v>2242</v>
      </c>
      <c r="H13820" s="127" t="s">
        <v>210</v>
      </c>
    </row>
    <row r="13821" hidden="1">
      <c r="A13821" s="177" t="s">
        <v>230</v>
      </c>
      <c r="B13821" s="127" t="s">
        <v>194</v>
      </c>
      <c r="C13821" s="127" t="s">
        <v>206</v>
      </c>
      <c r="D13821" s="177" t="s">
        <v>16450</v>
      </c>
      <c r="E13821" s="177" t="s">
        <v>16536</v>
      </c>
      <c r="F13821" s="177" t="s">
        <v>249</v>
      </c>
      <c r="G13821" s="177" t="s">
        <v>2043</v>
      </c>
      <c r="H13821" s="127" t="s">
        <v>211</v>
      </c>
    </row>
    <row r="13822" hidden="1">
      <c r="A13822" s="177" t="s">
        <v>230</v>
      </c>
      <c r="B13822" s="127" t="s">
        <v>194</v>
      </c>
      <c r="C13822" s="127" t="s">
        <v>206</v>
      </c>
      <c r="D13822" s="177" t="s">
        <v>16450</v>
      </c>
      <c r="E13822" s="177" t="s">
        <v>16537</v>
      </c>
      <c r="F13822" s="177" t="s">
        <v>249</v>
      </c>
      <c r="G13822" s="177" t="s">
        <v>1818</v>
      </c>
      <c r="H13822" s="127" t="s">
        <v>212</v>
      </c>
    </row>
    <row r="13823" hidden="1">
      <c r="A13823" s="177" t="s">
        <v>230</v>
      </c>
      <c r="B13823" s="127" t="s">
        <v>194</v>
      </c>
      <c r="C13823" s="127" t="s">
        <v>206</v>
      </c>
      <c r="D13823" s="177" t="s">
        <v>16450</v>
      </c>
      <c r="E13823" s="177" t="s">
        <v>16538</v>
      </c>
      <c r="F13823" s="177" t="s">
        <v>244</v>
      </c>
      <c r="G13823" s="177" t="s">
        <v>2146</v>
      </c>
      <c r="H13823" s="127" t="s">
        <v>213</v>
      </c>
    </row>
    <row r="13824" hidden="1">
      <c r="A13824" s="177" t="s">
        <v>230</v>
      </c>
      <c r="B13824" s="127" t="s">
        <v>194</v>
      </c>
      <c r="C13824" s="127" t="s">
        <v>206</v>
      </c>
      <c r="D13824" s="177" t="s">
        <v>16450</v>
      </c>
      <c r="E13824" s="177" t="s">
        <v>16539</v>
      </c>
      <c r="F13824" s="177" t="s">
        <v>336</v>
      </c>
      <c r="G13824" s="177" t="s">
        <v>2779</v>
      </c>
      <c r="H13824" s="127" t="s">
        <v>214</v>
      </c>
    </row>
    <row r="13825" hidden="1">
      <c r="A13825" s="177" t="s">
        <v>230</v>
      </c>
      <c r="B13825" s="127" t="s">
        <v>194</v>
      </c>
      <c r="C13825" s="127" t="s">
        <v>206</v>
      </c>
      <c r="D13825" s="177" t="s">
        <v>16450</v>
      </c>
      <c r="E13825" s="177" t="s">
        <v>16540</v>
      </c>
      <c r="F13825" s="177" t="s">
        <v>321</v>
      </c>
      <c r="G13825" s="177" t="s">
        <v>2703</v>
      </c>
      <c r="H13825" s="127" t="s">
        <v>215</v>
      </c>
    </row>
    <row r="13826" hidden="1">
      <c r="A13826" s="177" t="s">
        <v>230</v>
      </c>
      <c r="B13826" s="127" t="s">
        <v>194</v>
      </c>
      <c r="C13826" s="127" t="s">
        <v>206</v>
      </c>
      <c r="D13826" s="177" t="s">
        <v>16450</v>
      </c>
      <c r="E13826" s="177" t="s">
        <v>16541</v>
      </c>
      <c r="F13826" s="177" t="s">
        <v>308</v>
      </c>
      <c r="G13826" s="177" t="s">
        <v>3071</v>
      </c>
      <c r="H13826" s="127" t="s">
        <v>216</v>
      </c>
    </row>
    <row r="13827" hidden="1">
      <c r="A13827" s="127" t="s">
        <v>231</v>
      </c>
      <c r="C13827" s="127" t="s">
        <v>232</v>
      </c>
      <c r="D13827" s="177" t="s">
        <v>16450</v>
      </c>
      <c r="E13827" s="177" t="s">
        <v>16542</v>
      </c>
      <c r="F13827" s="177" t="s">
        <v>453</v>
      </c>
      <c r="G13827" s="177" t="s">
        <v>2023</v>
      </c>
      <c r="H13827" s="127" t="s">
        <v>210</v>
      </c>
    </row>
    <row r="13828" hidden="1">
      <c r="A13828" s="127" t="s">
        <v>231</v>
      </c>
      <c r="C13828" s="127" t="s">
        <v>232</v>
      </c>
      <c r="D13828" s="177" t="s">
        <v>16450</v>
      </c>
      <c r="E13828" s="177" t="s">
        <v>16543</v>
      </c>
      <c r="F13828" s="177" t="s">
        <v>2994</v>
      </c>
      <c r="G13828" s="177" t="s">
        <v>1825</v>
      </c>
      <c r="H13828" s="127" t="s">
        <v>211</v>
      </c>
    </row>
    <row r="13829" hidden="1">
      <c r="A13829" s="127" t="s">
        <v>231</v>
      </c>
      <c r="C13829" s="127" t="s">
        <v>232</v>
      </c>
      <c r="D13829" s="177" t="s">
        <v>16450</v>
      </c>
      <c r="E13829" s="177" t="s">
        <v>16544</v>
      </c>
      <c r="F13829" s="177" t="s">
        <v>763</v>
      </c>
      <c r="G13829" s="177" t="s">
        <v>2037</v>
      </c>
      <c r="H13829" s="127" t="s">
        <v>212</v>
      </c>
    </row>
    <row r="13830" hidden="1">
      <c r="A13830" s="127" t="s">
        <v>231</v>
      </c>
      <c r="C13830" s="127" t="s">
        <v>232</v>
      </c>
      <c r="D13830" s="177" t="s">
        <v>16450</v>
      </c>
      <c r="E13830" s="177" t="s">
        <v>16545</v>
      </c>
      <c r="F13830" s="177" t="s">
        <v>448</v>
      </c>
      <c r="G13830" s="177" t="s">
        <v>2364</v>
      </c>
      <c r="H13830" s="127" t="s">
        <v>213</v>
      </c>
    </row>
    <row r="13831" hidden="1">
      <c r="A13831" s="127" t="s">
        <v>231</v>
      </c>
      <c r="C13831" s="127" t="s">
        <v>232</v>
      </c>
      <c r="D13831" s="177" t="s">
        <v>16450</v>
      </c>
      <c r="E13831" s="177" t="s">
        <v>16546</v>
      </c>
      <c r="F13831" s="177" t="s">
        <v>532</v>
      </c>
      <c r="G13831" s="177" t="s">
        <v>2093</v>
      </c>
      <c r="H13831" s="127" t="s">
        <v>214</v>
      </c>
    </row>
    <row r="13832" hidden="1">
      <c r="A13832" s="127" t="s">
        <v>231</v>
      </c>
      <c r="C13832" s="127" t="s">
        <v>232</v>
      </c>
      <c r="D13832" s="177" t="s">
        <v>16450</v>
      </c>
      <c r="E13832" s="177" t="s">
        <v>16547</v>
      </c>
      <c r="F13832" s="177" t="s">
        <v>290</v>
      </c>
      <c r="G13832" s="177" t="s">
        <v>1741</v>
      </c>
      <c r="H13832" s="127" t="s">
        <v>215</v>
      </c>
    </row>
    <row r="13833" hidden="1">
      <c r="A13833" s="127" t="s">
        <v>231</v>
      </c>
      <c r="C13833" s="127" t="s">
        <v>232</v>
      </c>
      <c r="D13833" s="177" t="s">
        <v>16450</v>
      </c>
      <c r="E13833" s="177" t="s">
        <v>16548</v>
      </c>
      <c r="F13833" s="177" t="s">
        <v>405</v>
      </c>
      <c r="G13833" s="177" t="s">
        <v>2051</v>
      </c>
      <c r="H13833" s="127" t="s">
        <v>216</v>
      </c>
    </row>
    <row r="13834" hidden="1">
      <c r="A13834" s="127" t="s">
        <v>233</v>
      </c>
      <c r="C13834" s="127" t="s">
        <v>232</v>
      </c>
      <c r="D13834" s="177" t="s">
        <v>16450</v>
      </c>
      <c r="E13834" s="177" t="s">
        <v>16549</v>
      </c>
      <c r="F13834" s="177" t="s">
        <v>308</v>
      </c>
      <c r="G13834" s="177" t="s">
        <v>2138</v>
      </c>
      <c r="H13834" s="127" t="s">
        <v>210</v>
      </c>
    </row>
    <row r="13835" hidden="1">
      <c r="A13835" s="127" t="s">
        <v>233</v>
      </c>
      <c r="C13835" s="127" t="s">
        <v>232</v>
      </c>
      <c r="D13835" s="177" t="s">
        <v>16450</v>
      </c>
      <c r="E13835" s="177" t="s">
        <v>16550</v>
      </c>
      <c r="F13835" s="177" t="s">
        <v>249</v>
      </c>
      <c r="G13835" s="177" t="s">
        <v>1860</v>
      </c>
      <c r="H13835" s="127" t="s">
        <v>211</v>
      </c>
    </row>
    <row r="13836" hidden="1">
      <c r="A13836" s="127" t="s">
        <v>233</v>
      </c>
      <c r="C13836" s="127" t="s">
        <v>232</v>
      </c>
      <c r="D13836" s="177" t="s">
        <v>16450</v>
      </c>
      <c r="E13836" s="177" t="s">
        <v>16551</v>
      </c>
      <c r="F13836" s="177" t="s">
        <v>534</v>
      </c>
      <c r="G13836" s="177" t="s">
        <v>2039</v>
      </c>
      <c r="H13836" s="127" t="s">
        <v>212</v>
      </c>
    </row>
    <row r="13837" hidden="1">
      <c r="A13837" s="127" t="s">
        <v>233</v>
      </c>
      <c r="C13837" s="127" t="s">
        <v>232</v>
      </c>
      <c r="D13837" s="177" t="s">
        <v>16450</v>
      </c>
      <c r="E13837" s="177" t="s">
        <v>16552</v>
      </c>
      <c r="F13837" s="177" t="s">
        <v>249</v>
      </c>
      <c r="G13837" s="177" t="s">
        <v>1858</v>
      </c>
      <c r="H13837" s="127" t="s">
        <v>213</v>
      </c>
    </row>
    <row r="13838" hidden="1">
      <c r="A13838" s="127" t="s">
        <v>233</v>
      </c>
      <c r="C13838" s="127" t="s">
        <v>232</v>
      </c>
      <c r="D13838" s="177" t="s">
        <v>16450</v>
      </c>
      <c r="E13838" s="177" t="s">
        <v>16553</v>
      </c>
      <c r="F13838" s="177" t="s">
        <v>321</v>
      </c>
      <c r="G13838" s="177" t="s">
        <v>1860</v>
      </c>
      <c r="H13838" s="127" t="s">
        <v>214</v>
      </c>
    </row>
    <row r="13839" hidden="1">
      <c r="A13839" s="127" t="s">
        <v>233</v>
      </c>
      <c r="C13839" s="127" t="s">
        <v>232</v>
      </c>
      <c r="D13839" s="177" t="s">
        <v>16450</v>
      </c>
      <c r="E13839" s="177" t="s">
        <v>16554</v>
      </c>
      <c r="F13839" s="177" t="s">
        <v>331</v>
      </c>
      <c r="G13839" s="177" t="s">
        <v>2925</v>
      </c>
      <c r="H13839" s="127" t="s">
        <v>215</v>
      </c>
    </row>
    <row r="13840" hidden="1">
      <c r="A13840" s="127" t="s">
        <v>233</v>
      </c>
      <c r="C13840" s="127" t="s">
        <v>232</v>
      </c>
      <c r="D13840" s="177" t="s">
        <v>16450</v>
      </c>
      <c r="E13840" s="177" t="s">
        <v>16555</v>
      </c>
      <c r="F13840" s="177" t="s">
        <v>249</v>
      </c>
      <c r="G13840" s="177" t="s">
        <v>1860</v>
      </c>
      <c r="H13840" s="127" t="s">
        <v>216</v>
      </c>
    </row>
    <row r="13841" hidden="1">
      <c r="A13841" s="127" t="s">
        <v>234</v>
      </c>
      <c r="C13841" s="127" t="s">
        <v>232</v>
      </c>
      <c r="D13841" s="177" t="s">
        <v>16450</v>
      </c>
      <c r="E13841" s="177" t="s">
        <v>16556</v>
      </c>
      <c r="F13841" s="177" t="s">
        <v>365</v>
      </c>
      <c r="G13841" s="177" t="s">
        <v>2062</v>
      </c>
      <c r="H13841" s="127" t="s">
        <v>210</v>
      </c>
    </row>
    <row r="13842" hidden="1">
      <c r="A13842" s="127" t="s">
        <v>234</v>
      </c>
      <c r="C13842" s="127" t="s">
        <v>232</v>
      </c>
      <c r="D13842" s="177" t="s">
        <v>16450</v>
      </c>
      <c r="E13842" s="177" t="s">
        <v>16557</v>
      </c>
      <c r="F13842" s="177" t="s">
        <v>359</v>
      </c>
      <c r="G13842" s="177" t="s">
        <v>2138</v>
      </c>
      <c r="H13842" s="127" t="s">
        <v>211</v>
      </c>
    </row>
    <row r="13843" hidden="1">
      <c r="A13843" s="127" t="s">
        <v>234</v>
      </c>
      <c r="C13843" s="127" t="s">
        <v>232</v>
      </c>
      <c r="D13843" s="177" t="s">
        <v>16450</v>
      </c>
      <c r="E13843" s="177" t="s">
        <v>16558</v>
      </c>
      <c r="F13843" s="177" t="s">
        <v>453</v>
      </c>
      <c r="G13843" s="177" t="s">
        <v>2718</v>
      </c>
      <c r="H13843" s="127" t="s">
        <v>212</v>
      </c>
    </row>
    <row r="13844" hidden="1">
      <c r="A13844" s="127" t="s">
        <v>234</v>
      </c>
      <c r="C13844" s="127" t="s">
        <v>232</v>
      </c>
      <c r="D13844" s="177" t="s">
        <v>16450</v>
      </c>
      <c r="E13844" s="177" t="s">
        <v>16559</v>
      </c>
      <c r="F13844" s="177" t="s">
        <v>285</v>
      </c>
      <c r="G13844" s="177" t="s">
        <v>2311</v>
      </c>
      <c r="H13844" s="127" t="s">
        <v>213</v>
      </c>
    </row>
    <row r="13845" hidden="1">
      <c r="A13845" s="127" t="s">
        <v>234</v>
      </c>
      <c r="C13845" s="127" t="s">
        <v>232</v>
      </c>
      <c r="D13845" s="177" t="s">
        <v>16450</v>
      </c>
      <c r="E13845" s="177" t="s">
        <v>16560</v>
      </c>
      <c r="F13845" s="177" t="s">
        <v>336</v>
      </c>
      <c r="G13845" s="177" t="s">
        <v>2777</v>
      </c>
      <c r="H13845" s="127" t="s">
        <v>214</v>
      </c>
    </row>
    <row r="13846" hidden="1">
      <c r="A13846" s="127" t="s">
        <v>234</v>
      </c>
      <c r="C13846" s="127" t="s">
        <v>232</v>
      </c>
      <c r="D13846" s="177" t="s">
        <v>16450</v>
      </c>
      <c r="E13846" s="177" t="s">
        <v>16561</v>
      </c>
      <c r="F13846" s="177" t="s">
        <v>534</v>
      </c>
      <c r="G13846" s="177" t="s">
        <v>3059</v>
      </c>
      <c r="H13846" s="127" t="s">
        <v>215</v>
      </c>
    </row>
    <row r="13847" hidden="1">
      <c r="A13847" s="127" t="s">
        <v>234</v>
      </c>
      <c r="C13847" s="127" t="s">
        <v>232</v>
      </c>
      <c r="D13847" s="177" t="s">
        <v>16450</v>
      </c>
      <c r="E13847" s="177" t="s">
        <v>16562</v>
      </c>
      <c r="F13847" s="177" t="s">
        <v>314</v>
      </c>
      <c r="G13847" s="177" t="s">
        <v>3007</v>
      </c>
      <c r="H13847" s="127" t="s">
        <v>216</v>
      </c>
    </row>
    <row r="13848" hidden="1">
      <c r="A13848" s="127" t="s">
        <v>235</v>
      </c>
      <c r="C13848" s="127" t="s">
        <v>236</v>
      </c>
      <c r="D13848" s="177" t="s">
        <v>16450</v>
      </c>
      <c r="E13848" s="177" t="s">
        <v>16563</v>
      </c>
      <c r="F13848" s="177" t="s">
        <v>308</v>
      </c>
      <c r="G13848" s="177" t="s">
        <v>2379</v>
      </c>
      <c r="H13848" s="127" t="s">
        <v>210</v>
      </c>
    </row>
    <row r="13849" hidden="1">
      <c r="A13849" s="127" t="s">
        <v>235</v>
      </c>
      <c r="C13849" s="127" t="s">
        <v>236</v>
      </c>
      <c r="D13849" s="177" t="s">
        <v>16450</v>
      </c>
      <c r="E13849" s="177" t="s">
        <v>16564</v>
      </c>
      <c r="F13849" s="177" t="s">
        <v>534</v>
      </c>
      <c r="G13849" s="177" t="s">
        <v>1976</v>
      </c>
      <c r="H13849" s="127" t="s">
        <v>211</v>
      </c>
    </row>
    <row r="13850" hidden="1">
      <c r="A13850" s="127" t="s">
        <v>235</v>
      </c>
      <c r="C13850" s="127" t="s">
        <v>236</v>
      </c>
      <c r="D13850" s="177" t="s">
        <v>16450</v>
      </c>
      <c r="E13850" s="177" t="s">
        <v>16565</v>
      </c>
      <c r="F13850" s="177" t="s">
        <v>351</v>
      </c>
      <c r="G13850" s="177" t="s">
        <v>2705</v>
      </c>
      <c r="H13850" s="127" t="s">
        <v>212</v>
      </c>
    </row>
    <row r="13851" hidden="1">
      <c r="A13851" s="127" t="s">
        <v>235</v>
      </c>
      <c r="C13851" s="127" t="s">
        <v>236</v>
      </c>
      <c r="D13851" s="177" t="s">
        <v>16450</v>
      </c>
      <c r="E13851" s="177" t="s">
        <v>16566</v>
      </c>
      <c r="F13851" s="177" t="s">
        <v>308</v>
      </c>
      <c r="G13851" s="177" t="s">
        <v>2376</v>
      </c>
      <c r="H13851" s="127" t="s">
        <v>213</v>
      </c>
    </row>
    <row r="13852" hidden="1">
      <c r="A13852" s="127" t="s">
        <v>235</v>
      </c>
      <c r="C13852" s="127" t="s">
        <v>236</v>
      </c>
      <c r="D13852" s="177" t="s">
        <v>16450</v>
      </c>
      <c r="E13852" s="177" t="s">
        <v>16567</v>
      </c>
      <c r="F13852" s="177" t="s">
        <v>321</v>
      </c>
      <c r="G13852" s="177" t="s">
        <v>2785</v>
      </c>
      <c r="H13852" s="127" t="s">
        <v>214</v>
      </c>
    </row>
    <row r="13853" hidden="1">
      <c r="A13853" s="127" t="s">
        <v>235</v>
      </c>
      <c r="C13853" s="127" t="s">
        <v>236</v>
      </c>
      <c r="D13853" s="177" t="s">
        <v>16450</v>
      </c>
      <c r="E13853" s="177" t="s">
        <v>16568</v>
      </c>
      <c r="F13853" s="177" t="s">
        <v>314</v>
      </c>
      <c r="G13853" s="177" t="s">
        <v>2534</v>
      </c>
      <c r="H13853" s="127" t="s">
        <v>215</v>
      </c>
    </row>
    <row r="13854" hidden="1">
      <c r="A13854" s="127" t="s">
        <v>235</v>
      </c>
      <c r="C13854" s="127" t="s">
        <v>236</v>
      </c>
      <c r="D13854" s="177" t="s">
        <v>16450</v>
      </c>
      <c r="E13854" s="177" t="s">
        <v>16569</v>
      </c>
      <c r="F13854" s="177" t="s">
        <v>331</v>
      </c>
      <c r="G13854" s="177" t="s">
        <v>1818</v>
      </c>
      <c r="H13854" s="127" t="s">
        <v>216</v>
      </c>
    </row>
    <row r="13855" hidden="1">
      <c r="A13855" s="127" t="s">
        <v>237</v>
      </c>
      <c r="C13855" s="127" t="s">
        <v>236</v>
      </c>
      <c r="D13855" s="177" t="s">
        <v>16450</v>
      </c>
      <c r="E13855" s="177" t="s">
        <v>16570</v>
      </c>
      <c r="F13855" s="177" t="s">
        <v>331</v>
      </c>
      <c r="G13855" s="177" t="s">
        <v>3237</v>
      </c>
      <c r="H13855" s="127" t="s">
        <v>210</v>
      </c>
    </row>
    <row r="13856" hidden="1">
      <c r="A13856" s="127" t="s">
        <v>237</v>
      </c>
      <c r="C13856" s="127" t="s">
        <v>236</v>
      </c>
      <c r="D13856" s="177" t="s">
        <v>16450</v>
      </c>
      <c r="E13856" s="177" t="s">
        <v>16571</v>
      </c>
      <c r="F13856" s="177" t="s">
        <v>308</v>
      </c>
      <c r="G13856" s="177" t="s">
        <v>3445</v>
      </c>
      <c r="H13856" s="127" t="s">
        <v>211</v>
      </c>
    </row>
    <row r="13857" hidden="1">
      <c r="A13857" s="127" t="s">
        <v>237</v>
      </c>
      <c r="C13857" s="127" t="s">
        <v>236</v>
      </c>
      <c r="D13857" s="177" t="s">
        <v>16450</v>
      </c>
      <c r="E13857" s="177" t="s">
        <v>16572</v>
      </c>
      <c r="F13857" s="177" t="s">
        <v>3218</v>
      </c>
      <c r="G13857" s="177" t="s">
        <v>3389</v>
      </c>
      <c r="H13857" s="127" t="s">
        <v>212</v>
      </c>
    </row>
    <row r="13858" hidden="1">
      <c r="A13858" s="127" t="s">
        <v>237</v>
      </c>
      <c r="C13858" s="127" t="s">
        <v>236</v>
      </c>
      <c r="D13858" s="177" t="s">
        <v>16450</v>
      </c>
      <c r="E13858" s="177" t="s">
        <v>16573</v>
      </c>
      <c r="F13858" s="177" t="s">
        <v>310</v>
      </c>
      <c r="G13858" s="177" t="s">
        <v>3278</v>
      </c>
      <c r="H13858" s="127" t="s">
        <v>213</v>
      </c>
    </row>
    <row r="13859" hidden="1">
      <c r="A13859" s="127" t="s">
        <v>237</v>
      </c>
      <c r="C13859" s="127" t="s">
        <v>236</v>
      </c>
      <c r="D13859" s="177" t="s">
        <v>16450</v>
      </c>
      <c r="E13859" s="177" t="s">
        <v>16574</v>
      </c>
      <c r="F13859" s="177" t="s">
        <v>799</v>
      </c>
      <c r="G13859" s="177" t="s">
        <v>4006</v>
      </c>
      <c r="H13859" s="127" t="s">
        <v>214</v>
      </c>
    </row>
    <row r="13860" hidden="1">
      <c r="A13860" s="127" t="s">
        <v>237</v>
      </c>
      <c r="C13860" s="127" t="s">
        <v>236</v>
      </c>
      <c r="D13860" s="177" t="s">
        <v>16450</v>
      </c>
      <c r="E13860" s="177" t="s">
        <v>16575</v>
      </c>
      <c r="F13860" s="177" t="s">
        <v>329</v>
      </c>
      <c r="G13860" s="177" t="s">
        <v>3572</v>
      </c>
      <c r="H13860" s="127" t="s">
        <v>215</v>
      </c>
    </row>
    <row r="13861" hidden="1">
      <c r="A13861" s="127" t="s">
        <v>237</v>
      </c>
      <c r="C13861" s="127" t="s">
        <v>236</v>
      </c>
      <c r="D13861" s="177" t="s">
        <v>16450</v>
      </c>
      <c r="E13861" s="177" t="s">
        <v>16576</v>
      </c>
      <c r="F13861" s="177" t="s">
        <v>310</v>
      </c>
      <c r="G13861" s="177" t="s">
        <v>2383</v>
      </c>
      <c r="H13861" s="127" t="s">
        <v>216</v>
      </c>
    </row>
    <row r="13862" hidden="1"/>
    <row r="13863" hidden="1"/>
  </sheetData>
  <autoFilter ref="$D$1:$D$13863">
    <filterColumn colId="0">
      <filters>
        <filter val="202405"/>
      </filters>
    </filterColumn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0.63"/>
    <col customWidth="1" min="3" max="3" width="8.63"/>
    <col customWidth="1" min="4" max="4" width="12.5"/>
    <col customWidth="1" min="5" max="5" width="14.25"/>
  </cols>
  <sheetData>
    <row r="1">
      <c r="A1" s="178" t="str">
        <f>IFERROR(__xludf.DUMMYFUNCTION("QUERY(ipc_indec_raw!A:H, ""SELECT A,B,D,E,F WHERE H='GBA' AND D &gt;= '202405' AND D &lt;= '202511' AND A MATCHES '0[1-9]|1[0-2]' LABEL A 'ipc_code', B 'ipc_description', D 'period', E 'ipc_index_raw', F 'ipc_monthly_var'"", 1)"),"ipc_code")</f>
        <v>ipc_code</v>
      </c>
      <c r="B1" s="179" t="str">
        <f>IFERROR(__xludf.DUMMYFUNCTION("""COMPUTED_VALUE"""),"ipc_description")</f>
        <v>ipc_description</v>
      </c>
      <c r="C1" s="179" t="str">
        <f>IFERROR(__xludf.DUMMYFUNCTION("""COMPUTED_VALUE"""),"period")</f>
        <v>period</v>
      </c>
      <c r="D1" s="179" t="str">
        <f>IFERROR(__xludf.DUMMYFUNCTION("""COMPUTED_VALUE"""),"ipc_index_raw")</f>
        <v>ipc_index_raw</v>
      </c>
      <c r="E1" s="180" t="str">
        <f>IFERROR(__xludf.DUMMYFUNCTION("""COMPUTED_VALUE"""),"ipc_monthly_var")</f>
        <v>ipc_monthly_var</v>
      </c>
      <c r="F1" s="150" t="s">
        <v>16577</v>
      </c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</row>
    <row r="2">
      <c r="A2" s="182" t="str">
        <f>IFERROR(__xludf.DUMMYFUNCTION("""COMPUTED_VALUE"""),"01")</f>
        <v>01</v>
      </c>
      <c r="B2" s="183" t="str">
        <f>IFERROR(__xludf.DUMMYFUNCTION("""COMPUTED_VALUE"""),"Alimentos y bebidas no alcohólicas")</f>
        <v>Alimentos y bebidas no alcohólicas</v>
      </c>
      <c r="C2" s="67" t="str">
        <f>IFERROR(__xludf.DUMMYFUNCTION("""COMPUTED_VALUE"""),"202405")</f>
        <v>202405</v>
      </c>
      <c r="D2" s="184" t="str">
        <f>IFERROR(__xludf.DUMMYFUNCTION("""COMPUTED_VALUE"""),"7015,674")</f>
        <v>7015,674</v>
      </c>
      <c r="E2" s="185" t="str">
        <f>IFERROR(__xludf.DUMMYFUNCTION("""COMPUTED_VALUE"""),"5,4")</f>
        <v>5,4</v>
      </c>
      <c r="F2" s="184" t="str">
        <f t="shared" ref="F2:F229" si="1">A2&amp;C2</f>
        <v>01202405</v>
      </c>
      <c r="G2" s="181"/>
      <c r="H2" s="181"/>
      <c r="I2" s="181"/>
      <c r="J2" s="181"/>
      <c r="K2" s="181"/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  <c r="X2" s="181"/>
      <c r="Y2" s="181"/>
      <c r="Z2" s="181"/>
    </row>
    <row r="3">
      <c r="A3" s="186" t="str">
        <f>IFERROR(__xludf.DUMMYFUNCTION("""COMPUTED_VALUE"""),"02")</f>
        <v>02</v>
      </c>
      <c r="B3" s="187" t="str">
        <f>IFERROR(__xludf.DUMMYFUNCTION("""COMPUTED_VALUE"""),"Bebidas alcohólicas y tabaco")</f>
        <v>Bebidas alcohólicas y tabaco</v>
      </c>
      <c r="C3" s="170" t="str">
        <f>IFERROR(__xludf.DUMMYFUNCTION("""COMPUTED_VALUE"""),"202405")</f>
        <v>202405</v>
      </c>
      <c r="D3" s="188" t="str">
        <f>IFERROR(__xludf.DUMMYFUNCTION("""COMPUTED_VALUE"""),"4725,028")</f>
        <v>4725,028</v>
      </c>
      <c r="E3" s="189" t="str">
        <f>IFERROR(__xludf.DUMMYFUNCTION("""COMPUTED_VALUE"""),"7,2")</f>
        <v>7,2</v>
      </c>
      <c r="F3" s="188" t="str">
        <f t="shared" si="1"/>
        <v>02202405</v>
      </c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  <c r="Z3" s="181"/>
    </row>
    <row r="4">
      <c r="A4" s="182" t="str">
        <f>IFERROR(__xludf.DUMMYFUNCTION("""COMPUTED_VALUE"""),"03")</f>
        <v>03</v>
      </c>
      <c r="B4" s="183" t="str">
        <f>IFERROR(__xludf.DUMMYFUNCTION("""COMPUTED_VALUE"""),"Prendas de vestir y calzado")</f>
        <v>Prendas de vestir y calzado</v>
      </c>
      <c r="C4" s="67" t="str">
        <f>IFERROR(__xludf.DUMMYFUNCTION("""COMPUTED_VALUE"""),"202405")</f>
        <v>202405</v>
      </c>
      <c r="D4" s="184" t="str">
        <f>IFERROR(__xludf.DUMMYFUNCTION("""COMPUTED_VALUE"""),"5861,215")</f>
        <v>5861,215</v>
      </c>
      <c r="E4" s="185" t="str">
        <f>IFERROR(__xludf.DUMMYFUNCTION("""COMPUTED_VALUE"""),"2,4")</f>
        <v>2,4</v>
      </c>
      <c r="F4" s="184" t="str">
        <f t="shared" si="1"/>
        <v>03202405</v>
      </c>
      <c r="G4" s="181"/>
      <c r="H4" s="181"/>
      <c r="I4" s="181"/>
      <c r="J4" s="181"/>
      <c r="K4" s="181"/>
      <c r="L4" s="181"/>
      <c r="M4" s="181"/>
      <c r="N4" s="181"/>
      <c r="O4" s="181"/>
      <c r="P4" s="181"/>
      <c r="Q4" s="181"/>
      <c r="R4" s="181"/>
      <c r="S4" s="181"/>
      <c r="T4" s="181"/>
      <c r="U4" s="181"/>
      <c r="V4" s="181"/>
      <c r="W4" s="181"/>
      <c r="X4" s="181"/>
      <c r="Y4" s="181"/>
      <c r="Z4" s="181"/>
    </row>
    <row r="5">
      <c r="A5" s="186" t="str">
        <f>IFERROR(__xludf.DUMMYFUNCTION("""COMPUTED_VALUE"""),"04")</f>
        <v>04</v>
      </c>
      <c r="B5" s="187" t="str">
        <f>IFERROR(__xludf.DUMMYFUNCTION("""COMPUTED_VALUE"""),"Vivienda, agua, electricidad, gas y otros combustibles")</f>
        <v>Vivienda, agua, electricidad, gas y otros combustibles</v>
      </c>
      <c r="C5" s="170" t="str">
        <f>IFERROR(__xludf.DUMMYFUNCTION("""COMPUTED_VALUE"""),"202405")</f>
        <v>202405</v>
      </c>
      <c r="D5" s="188" t="str">
        <f>IFERROR(__xludf.DUMMYFUNCTION("""COMPUTED_VALUE"""),"4703,333")</f>
        <v>4703,333</v>
      </c>
      <c r="E5" s="189" t="str">
        <f>IFERROR(__xludf.DUMMYFUNCTION("""COMPUTED_VALUE"""),"2,1")</f>
        <v>2,1</v>
      </c>
      <c r="F5" s="188" t="str">
        <f t="shared" si="1"/>
        <v>04202405</v>
      </c>
      <c r="G5" s="181"/>
      <c r="H5" s="181"/>
      <c r="I5" s="181"/>
      <c r="J5" s="181"/>
      <c r="K5" s="181"/>
      <c r="L5" s="181"/>
      <c r="M5" s="181"/>
      <c r="N5" s="181"/>
      <c r="O5" s="181"/>
      <c r="P5" s="181"/>
      <c r="Q5" s="181"/>
      <c r="R5" s="181"/>
      <c r="S5" s="181"/>
      <c r="T5" s="181"/>
      <c r="U5" s="181"/>
      <c r="V5" s="181"/>
      <c r="W5" s="181"/>
      <c r="X5" s="181"/>
      <c r="Y5" s="181"/>
      <c r="Z5" s="181"/>
    </row>
    <row r="6">
      <c r="A6" s="182" t="str">
        <f>IFERROR(__xludf.DUMMYFUNCTION("""COMPUTED_VALUE"""),"05")</f>
        <v>05</v>
      </c>
      <c r="B6" s="183" t="str">
        <f>IFERROR(__xludf.DUMMYFUNCTION("""COMPUTED_VALUE"""),"Equipamiento y mantenimiento del hogar")</f>
        <v>Equipamiento y mantenimiento del hogar</v>
      </c>
      <c r="C6" s="67" t="str">
        <f>IFERROR(__xludf.DUMMYFUNCTION("""COMPUTED_VALUE"""),"202405")</f>
        <v>202405</v>
      </c>
      <c r="D6" s="184" t="str">
        <f>IFERROR(__xludf.DUMMYFUNCTION("""COMPUTED_VALUE"""),"5899,493")</f>
        <v>5899,493</v>
      </c>
      <c r="E6" s="185" t="str">
        <f>IFERROR(__xludf.DUMMYFUNCTION("""COMPUTED_VALUE"""),"3,1")</f>
        <v>3,1</v>
      </c>
      <c r="F6" s="184" t="str">
        <f t="shared" si="1"/>
        <v>05202405</v>
      </c>
      <c r="G6" s="181"/>
      <c r="H6" s="181"/>
      <c r="I6" s="181"/>
      <c r="J6" s="181"/>
      <c r="K6" s="181"/>
      <c r="L6" s="181"/>
      <c r="M6" s="181"/>
      <c r="N6" s="181"/>
      <c r="O6" s="181"/>
      <c r="P6" s="181"/>
      <c r="Q6" s="181"/>
      <c r="R6" s="181"/>
      <c r="S6" s="181"/>
      <c r="T6" s="181"/>
      <c r="U6" s="181"/>
      <c r="V6" s="181"/>
      <c r="W6" s="181"/>
      <c r="X6" s="181"/>
      <c r="Y6" s="181"/>
      <c r="Z6" s="181"/>
    </row>
    <row r="7">
      <c r="A7" s="186" t="str">
        <f>IFERROR(__xludf.DUMMYFUNCTION("""COMPUTED_VALUE"""),"06")</f>
        <v>06</v>
      </c>
      <c r="B7" s="187" t="str">
        <f>IFERROR(__xludf.DUMMYFUNCTION("""COMPUTED_VALUE"""),"Salud")</f>
        <v>Salud</v>
      </c>
      <c r="C7" s="170" t="str">
        <f>IFERROR(__xludf.DUMMYFUNCTION("""COMPUTED_VALUE"""),"202405")</f>
        <v>202405</v>
      </c>
      <c r="D7" s="188" t="str">
        <f>IFERROR(__xludf.DUMMYFUNCTION("""COMPUTED_VALUE"""),"6389,106")</f>
        <v>6389,106</v>
      </c>
      <c r="E7" s="189" t="str">
        <f>IFERROR(__xludf.DUMMYFUNCTION("""COMPUTED_VALUE"""),"0,1")</f>
        <v>0,1</v>
      </c>
      <c r="F7" s="188" t="str">
        <f t="shared" si="1"/>
        <v>06202405</v>
      </c>
      <c r="G7" s="181"/>
      <c r="H7" s="181"/>
      <c r="I7" s="181"/>
      <c r="J7" s="181"/>
      <c r="K7" s="181"/>
      <c r="L7" s="181"/>
      <c r="M7" s="181"/>
      <c r="N7" s="181"/>
      <c r="O7" s="181"/>
      <c r="P7" s="181"/>
      <c r="Q7" s="181"/>
      <c r="R7" s="181"/>
      <c r="S7" s="181"/>
      <c r="T7" s="181"/>
      <c r="U7" s="181"/>
      <c r="V7" s="181"/>
      <c r="W7" s="181"/>
      <c r="X7" s="181"/>
      <c r="Y7" s="181"/>
      <c r="Z7" s="181"/>
    </row>
    <row r="8">
      <c r="A8" s="182" t="str">
        <f>IFERROR(__xludf.DUMMYFUNCTION("""COMPUTED_VALUE"""),"07")</f>
        <v>07</v>
      </c>
      <c r="B8" s="183" t="str">
        <f>IFERROR(__xludf.DUMMYFUNCTION("""COMPUTED_VALUE"""),"Transporte")</f>
        <v>Transporte</v>
      </c>
      <c r="C8" s="67" t="str">
        <f>IFERROR(__xludf.DUMMYFUNCTION("""COMPUTED_VALUE"""),"202405")</f>
        <v>202405</v>
      </c>
      <c r="D8" s="184" t="str">
        <f>IFERROR(__xludf.DUMMYFUNCTION("""COMPUTED_VALUE"""),"6087,569")</f>
        <v>6087,569</v>
      </c>
      <c r="E8" s="185" t="str">
        <f>IFERROR(__xludf.DUMMYFUNCTION("""COMPUTED_VALUE"""),"4")</f>
        <v>4</v>
      </c>
      <c r="F8" s="184" t="str">
        <f t="shared" si="1"/>
        <v>07202405</v>
      </c>
      <c r="G8" s="181"/>
      <c r="H8" s="181"/>
      <c r="I8" s="181"/>
      <c r="J8" s="181"/>
      <c r="K8" s="181"/>
      <c r="L8" s="181"/>
      <c r="M8" s="181"/>
      <c r="N8" s="181"/>
      <c r="O8" s="181"/>
      <c r="P8" s="181"/>
      <c r="Q8" s="181"/>
      <c r="R8" s="181"/>
      <c r="S8" s="181"/>
      <c r="T8" s="181"/>
      <c r="U8" s="181"/>
      <c r="V8" s="181"/>
      <c r="W8" s="181"/>
      <c r="X8" s="181"/>
      <c r="Y8" s="181"/>
      <c r="Z8" s="181"/>
    </row>
    <row r="9">
      <c r="A9" s="186" t="str">
        <f>IFERROR(__xludf.DUMMYFUNCTION("""COMPUTED_VALUE"""),"08")</f>
        <v>08</v>
      </c>
      <c r="B9" s="187" t="str">
        <f>IFERROR(__xludf.DUMMYFUNCTION("""COMPUTED_VALUE"""),"Comunicación")</f>
        <v>Comunicación</v>
      </c>
      <c r="C9" s="170" t="str">
        <f>IFERROR(__xludf.DUMMYFUNCTION("""COMPUTED_VALUE"""),"202405")</f>
        <v>202405</v>
      </c>
      <c r="D9" s="188" t="str">
        <f>IFERROR(__xludf.DUMMYFUNCTION("""COMPUTED_VALUE"""),"5421,622")</f>
        <v>5421,622</v>
      </c>
      <c r="E9" s="189" t="str">
        <f>IFERROR(__xludf.DUMMYFUNCTION("""COMPUTED_VALUE"""),"8,8")</f>
        <v>8,8</v>
      </c>
      <c r="F9" s="188" t="str">
        <f t="shared" si="1"/>
        <v>08202405</v>
      </c>
      <c r="G9" s="181"/>
      <c r="H9" s="181"/>
      <c r="I9" s="181"/>
      <c r="J9" s="181"/>
      <c r="K9" s="181"/>
      <c r="L9" s="181"/>
      <c r="M9" s="181"/>
      <c r="N9" s="181"/>
      <c r="O9" s="181"/>
      <c r="P9" s="181"/>
      <c r="Q9" s="181"/>
      <c r="R9" s="181"/>
      <c r="S9" s="181"/>
      <c r="T9" s="181"/>
      <c r="U9" s="181"/>
      <c r="V9" s="181"/>
      <c r="W9" s="181"/>
      <c r="X9" s="181"/>
      <c r="Y9" s="181"/>
      <c r="Z9" s="181"/>
    </row>
    <row r="10">
      <c r="A10" s="182" t="str">
        <f>IFERROR(__xludf.DUMMYFUNCTION("""COMPUTED_VALUE"""),"09")</f>
        <v>09</v>
      </c>
      <c r="B10" s="183" t="str">
        <f>IFERROR(__xludf.DUMMYFUNCTION("""COMPUTED_VALUE"""),"Recreación y cultura")</f>
        <v>Recreación y cultura</v>
      </c>
      <c r="C10" s="67" t="str">
        <f>IFERROR(__xludf.DUMMYFUNCTION("""COMPUTED_VALUE"""),"202405")</f>
        <v>202405</v>
      </c>
      <c r="D10" s="184" t="str">
        <f>IFERROR(__xludf.DUMMYFUNCTION("""COMPUTED_VALUE"""),"5649,464")</f>
        <v>5649,464</v>
      </c>
      <c r="E10" s="185" t="str">
        <f>IFERROR(__xludf.DUMMYFUNCTION("""COMPUTED_VALUE"""),"5,5")</f>
        <v>5,5</v>
      </c>
      <c r="F10" s="184" t="str">
        <f t="shared" si="1"/>
        <v>09202405</v>
      </c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</row>
    <row r="11">
      <c r="A11" s="186" t="str">
        <f>IFERROR(__xludf.DUMMYFUNCTION("""COMPUTED_VALUE"""),"10")</f>
        <v>10</v>
      </c>
      <c r="B11" s="187" t="str">
        <f>IFERROR(__xludf.DUMMYFUNCTION("""COMPUTED_VALUE"""),"Educación")</f>
        <v>Educación</v>
      </c>
      <c r="C11" s="170" t="str">
        <f>IFERROR(__xludf.DUMMYFUNCTION("""COMPUTED_VALUE"""),"202405")</f>
        <v>202405</v>
      </c>
      <c r="D11" s="188" t="str">
        <f>IFERROR(__xludf.DUMMYFUNCTION("""COMPUTED_VALUE"""),"5036,763")</f>
        <v>5036,763</v>
      </c>
      <c r="E11" s="189" t="str">
        <f>IFERROR(__xludf.DUMMYFUNCTION("""COMPUTED_VALUE"""),"8,9")</f>
        <v>8,9</v>
      </c>
      <c r="F11" s="188" t="str">
        <f t="shared" si="1"/>
        <v>10202405</v>
      </c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</row>
    <row r="12">
      <c r="A12" s="182" t="str">
        <f>IFERROR(__xludf.DUMMYFUNCTION("""COMPUTED_VALUE"""),"11")</f>
        <v>11</v>
      </c>
      <c r="B12" s="183" t="str">
        <f>IFERROR(__xludf.DUMMYFUNCTION("""COMPUTED_VALUE"""),"Restaurantes y hoteles")</f>
        <v>Restaurantes y hoteles</v>
      </c>
      <c r="C12" s="67" t="str">
        <f>IFERROR(__xludf.DUMMYFUNCTION("""COMPUTED_VALUE"""),"202405")</f>
        <v>202405</v>
      </c>
      <c r="D12" s="184" t="str">
        <f>IFERROR(__xludf.DUMMYFUNCTION("""COMPUTED_VALUE"""),"6173,167")</f>
        <v>6173,167</v>
      </c>
      <c r="E12" s="185" t="str">
        <f>IFERROR(__xludf.DUMMYFUNCTION("""COMPUTED_VALUE"""),"5,8")</f>
        <v>5,8</v>
      </c>
      <c r="F12" s="184" t="str">
        <f t="shared" si="1"/>
        <v>11202405</v>
      </c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</row>
    <row r="13">
      <c r="A13" s="186" t="str">
        <f>IFERROR(__xludf.DUMMYFUNCTION("""COMPUTED_VALUE"""),"12")</f>
        <v>12</v>
      </c>
      <c r="B13" s="187" t="str">
        <f>IFERROR(__xludf.DUMMYFUNCTION("""COMPUTED_VALUE"""),"Bienes y servicios varios")</f>
        <v>Bienes y servicios varios</v>
      </c>
      <c r="C13" s="170" t="str">
        <f>IFERROR(__xludf.DUMMYFUNCTION("""COMPUTED_VALUE"""),"202405")</f>
        <v>202405</v>
      </c>
      <c r="D13" s="188" t="str">
        <f>IFERROR(__xludf.DUMMYFUNCTION("""COMPUTED_VALUE"""),"6001,667")</f>
        <v>6001,667</v>
      </c>
      <c r="E13" s="189" t="str">
        <f>IFERROR(__xludf.DUMMYFUNCTION("""COMPUTED_VALUE"""),"4,7")</f>
        <v>4,7</v>
      </c>
      <c r="F13" s="188" t="str">
        <f t="shared" si="1"/>
        <v>12202405</v>
      </c>
      <c r="G13" s="181"/>
      <c r="H13" s="181"/>
      <c r="I13" s="181"/>
      <c r="J13" s="181"/>
      <c r="K13" s="181"/>
      <c r="L13" s="181"/>
      <c r="M13" s="181"/>
      <c r="N13" s="181"/>
      <c r="O13" s="181"/>
      <c r="P13" s="181"/>
      <c r="Q13" s="181"/>
      <c r="R13" s="181"/>
      <c r="S13" s="181"/>
      <c r="T13" s="181"/>
      <c r="U13" s="181"/>
      <c r="V13" s="181"/>
      <c r="W13" s="181"/>
      <c r="X13" s="181"/>
      <c r="Y13" s="181"/>
      <c r="Z13" s="181"/>
    </row>
    <row r="14">
      <c r="A14" s="182" t="str">
        <f>IFERROR(__xludf.DUMMYFUNCTION("""COMPUTED_VALUE"""),"01")</f>
        <v>01</v>
      </c>
      <c r="B14" s="183" t="str">
        <f>IFERROR(__xludf.DUMMYFUNCTION("""COMPUTED_VALUE"""),"Alimentos y bebidas no alcohólicas")</f>
        <v>Alimentos y bebidas no alcohólicas</v>
      </c>
      <c r="C14" s="67" t="str">
        <f>IFERROR(__xludf.DUMMYFUNCTION("""COMPUTED_VALUE"""),"202406")</f>
        <v>202406</v>
      </c>
      <c r="D14" s="184" t="str">
        <f>IFERROR(__xludf.DUMMYFUNCTION("""COMPUTED_VALUE"""),"7168,265")</f>
        <v>7168,265</v>
      </c>
      <c r="E14" s="185" t="str">
        <f>IFERROR(__xludf.DUMMYFUNCTION("""COMPUTED_VALUE"""),"2,2")</f>
        <v>2,2</v>
      </c>
      <c r="F14" s="184" t="str">
        <f t="shared" si="1"/>
        <v>01202406</v>
      </c>
      <c r="G14" s="181"/>
      <c r="H14" s="181"/>
      <c r="I14" s="181"/>
      <c r="J14" s="181"/>
      <c r="K14" s="181"/>
      <c r="L14" s="181"/>
      <c r="M14" s="181"/>
      <c r="N14" s="181"/>
      <c r="O14" s="181"/>
      <c r="P14" s="181"/>
      <c r="Q14" s="181"/>
      <c r="R14" s="181"/>
      <c r="S14" s="181"/>
      <c r="T14" s="181"/>
      <c r="U14" s="181"/>
      <c r="V14" s="181"/>
      <c r="W14" s="181"/>
      <c r="X14" s="181"/>
      <c r="Y14" s="181"/>
      <c r="Z14" s="181"/>
    </row>
    <row r="15">
      <c r="A15" s="186" t="str">
        <f>IFERROR(__xludf.DUMMYFUNCTION("""COMPUTED_VALUE"""),"02")</f>
        <v>02</v>
      </c>
      <c r="B15" s="187" t="str">
        <f>IFERROR(__xludf.DUMMYFUNCTION("""COMPUTED_VALUE"""),"Bebidas alcohólicas y tabaco")</f>
        <v>Bebidas alcohólicas y tabaco</v>
      </c>
      <c r="C15" s="170" t="str">
        <f>IFERROR(__xludf.DUMMYFUNCTION("""COMPUTED_VALUE"""),"202406")</f>
        <v>202406</v>
      </c>
      <c r="D15" s="188" t="str">
        <f>IFERROR(__xludf.DUMMYFUNCTION("""COMPUTED_VALUE"""),"4828,802")</f>
        <v>4828,802</v>
      </c>
      <c r="E15" s="189" t="str">
        <f>IFERROR(__xludf.DUMMYFUNCTION("""COMPUTED_VALUE"""),"2,2")</f>
        <v>2,2</v>
      </c>
      <c r="F15" s="188" t="str">
        <f t="shared" si="1"/>
        <v>02202406</v>
      </c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81"/>
      <c r="X15" s="181"/>
      <c r="Y15" s="181"/>
      <c r="Z15" s="181"/>
    </row>
    <row r="16">
      <c r="A16" s="182" t="str">
        <f>IFERROR(__xludf.DUMMYFUNCTION("""COMPUTED_VALUE"""),"03")</f>
        <v>03</v>
      </c>
      <c r="B16" s="183" t="str">
        <f>IFERROR(__xludf.DUMMYFUNCTION("""COMPUTED_VALUE"""),"Prendas de vestir y calzado")</f>
        <v>Prendas de vestir y calzado</v>
      </c>
      <c r="C16" s="67" t="str">
        <f>IFERROR(__xludf.DUMMYFUNCTION("""COMPUTED_VALUE"""),"202406")</f>
        <v>202406</v>
      </c>
      <c r="D16" s="184" t="str">
        <f>IFERROR(__xludf.DUMMYFUNCTION("""COMPUTED_VALUE"""),"5966,096")</f>
        <v>5966,096</v>
      </c>
      <c r="E16" s="185" t="str">
        <f>IFERROR(__xludf.DUMMYFUNCTION("""COMPUTED_VALUE"""),"1,8")</f>
        <v>1,8</v>
      </c>
      <c r="F16" s="184" t="str">
        <f t="shared" si="1"/>
        <v>03202406</v>
      </c>
      <c r="G16" s="181"/>
      <c r="H16" s="181"/>
      <c r="I16" s="181"/>
      <c r="J16" s="181"/>
      <c r="K16" s="181"/>
      <c r="L16" s="181"/>
      <c r="M16" s="181"/>
      <c r="N16" s="181"/>
      <c r="O16" s="181"/>
      <c r="P16" s="181"/>
      <c r="Q16" s="181"/>
      <c r="R16" s="181"/>
      <c r="S16" s="181"/>
      <c r="T16" s="181"/>
      <c r="U16" s="181"/>
      <c r="V16" s="181"/>
      <c r="W16" s="181"/>
      <c r="X16" s="181"/>
      <c r="Y16" s="181"/>
      <c r="Z16" s="181"/>
    </row>
    <row r="17">
      <c r="A17" s="186" t="str">
        <f>IFERROR(__xludf.DUMMYFUNCTION("""COMPUTED_VALUE"""),"04")</f>
        <v>04</v>
      </c>
      <c r="B17" s="187" t="str">
        <f>IFERROR(__xludf.DUMMYFUNCTION("""COMPUTED_VALUE"""),"Vivienda, agua, electricidad, gas y otros combustibles")</f>
        <v>Vivienda, agua, electricidad, gas y otros combustibles</v>
      </c>
      <c r="C17" s="170" t="str">
        <f>IFERROR(__xludf.DUMMYFUNCTION("""COMPUTED_VALUE"""),"202406")</f>
        <v>202406</v>
      </c>
      <c r="D17" s="188" t="str">
        <f>IFERROR(__xludf.DUMMYFUNCTION("""COMPUTED_VALUE"""),"5254,869")</f>
        <v>5254,869</v>
      </c>
      <c r="E17" s="189" t="str">
        <f>IFERROR(__xludf.DUMMYFUNCTION("""COMPUTED_VALUE"""),"11,7")</f>
        <v>11,7</v>
      </c>
      <c r="F17" s="188" t="str">
        <f t="shared" si="1"/>
        <v>04202406</v>
      </c>
      <c r="G17" s="181"/>
      <c r="H17" s="181"/>
      <c r="I17" s="181"/>
      <c r="J17" s="181"/>
      <c r="K17" s="181"/>
      <c r="L17" s="181"/>
      <c r="M17" s="181"/>
      <c r="N17" s="181"/>
      <c r="O17" s="181"/>
      <c r="P17" s="181"/>
      <c r="Q17" s="181"/>
      <c r="R17" s="181"/>
      <c r="S17" s="181"/>
      <c r="T17" s="181"/>
      <c r="U17" s="181"/>
      <c r="V17" s="181"/>
      <c r="W17" s="181"/>
      <c r="X17" s="181"/>
      <c r="Y17" s="181"/>
      <c r="Z17" s="181"/>
    </row>
    <row r="18">
      <c r="A18" s="182" t="str">
        <f>IFERROR(__xludf.DUMMYFUNCTION("""COMPUTED_VALUE"""),"05")</f>
        <v>05</v>
      </c>
      <c r="B18" s="183" t="str">
        <f>IFERROR(__xludf.DUMMYFUNCTION("""COMPUTED_VALUE"""),"Equipamiento y mantenimiento del hogar")</f>
        <v>Equipamiento y mantenimiento del hogar</v>
      </c>
      <c r="C18" s="67" t="str">
        <f>IFERROR(__xludf.DUMMYFUNCTION("""COMPUTED_VALUE"""),"202406")</f>
        <v>202406</v>
      </c>
      <c r="D18" s="184" t="str">
        <f>IFERROR(__xludf.DUMMYFUNCTION("""COMPUTED_VALUE"""),"6030,626")</f>
        <v>6030,626</v>
      </c>
      <c r="E18" s="185" t="str">
        <f>IFERROR(__xludf.DUMMYFUNCTION("""COMPUTED_VALUE"""),"2,2")</f>
        <v>2,2</v>
      </c>
      <c r="F18" s="184" t="str">
        <f t="shared" si="1"/>
        <v>05202406</v>
      </c>
      <c r="G18" s="181"/>
      <c r="H18" s="181"/>
      <c r="I18" s="181"/>
      <c r="J18" s="181"/>
      <c r="K18" s="18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1"/>
      <c r="W18" s="181"/>
      <c r="X18" s="181"/>
      <c r="Y18" s="181"/>
      <c r="Z18" s="181"/>
    </row>
    <row r="19">
      <c r="A19" s="186" t="str">
        <f>IFERROR(__xludf.DUMMYFUNCTION("""COMPUTED_VALUE"""),"06")</f>
        <v>06</v>
      </c>
      <c r="B19" s="187" t="str">
        <f>IFERROR(__xludf.DUMMYFUNCTION("""COMPUTED_VALUE"""),"Salud")</f>
        <v>Salud</v>
      </c>
      <c r="C19" s="170" t="str">
        <f>IFERROR(__xludf.DUMMYFUNCTION("""COMPUTED_VALUE"""),"202406")</f>
        <v>202406</v>
      </c>
      <c r="D19" s="188" t="str">
        <f>IFERROR(__xludf.DUMMYFUNCTION("""COMPUTED_VALUE"""),"6702,253")</f>
        <v>6702,253</v>
      </c>
      <c r="E19" s="189" t="str">
        <f>IFERROR(__xludf.DUMMYFUNCTION("""COMPUTED_VALUE"""),"4,9")</f>
        <v>4,9</v>
      </c>
      <c r="F19" s="188" t="str">
        <f t="shared" si="1"/>
        <v>06202406</v>
      </c>
      <c r="G19" s="181"/>
      <c r="H19" s="181"/>
      <c r="I19" s="181"/>
      <c r="J19" s="181"/>
      <c r="K19" s="18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1"/>
      <c r="W19" s="181"/>
      <c r="X19" s="181"/>
      <c r="Y19" s="181"/>
      <c r="Z19" s="181"/>
    </row>
    <row r="20">
      <c r="A20" s="182" t="str">
        <f>IFERROR(__xludf.DUMMYFUNCTION("""COMPUTED_VALUE"""),"07")</f>
        <v>07</v>
      </c>
      <c r="B20" s="183" t="str">
        <f>IFERROR(__xludf.DUMMYFUNCTION("""COMPUTED_VALUE"""),"Transporte")</f>
        <v>Transporte</v>
      </c>
      <c r="C20" s="67" t="str">
        <f>IFERROR(__xludf.DUMMYFUNCTION("""COMPUTED_VALUE"""),"202406")</f>
        <v>202406</v>
      </c>
      <c r="D20" s="184" t="str">
        <f>IFERROR(__xludf.DUMMYFUNCTION("""COMPUTED_VALUE"""),"6316,21")</f>
        <v>6316,21</v>
      </c>
      <c r="E20" s="185" t="str">
        <f>IFERROR(__xludf.DUMMYFUNCTION("""COMPUTED_VALUE"""),"3,8")</f>
        <v>3,8</v>
      </c>
      <c r="F20" s="184" t="str">
        <f t="shared" si="1"/>
        <v>07202406</v>
      </c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81"/>
      <c r="X20" s="181"/>
      <c r="Y20" s="181"/>
      <c r="Z20" s="181"/>
    </row>
    <row r="21">
      <c r="A21" s="186" t="str">
        <f>IFERROR(__xludf.DUMMYFUNCTION("""COMPUTED_VALUE"""),"08")</f>
        <v>08</v>
      </c>
      <c r="B21" s="187" t="str">
        <f>IFERROR(__xludf.DUMMYFUNCTION("""COMPUTED_VALUE"""),"Comunicación")</f>
        <v>Comunicación</v>
      </c>
      <c r="C21" s="170" t="str">
        <f>IFERROR(__xludf.DUMMYFUNCTION("""COMPUTED_VALUE"""),"202406")</f>
        <v>202406</v>
      </c>
      <c r="D21" s="188" t="str">
        <f>IFERROR(__xludf.DUMMYFUNCTION("""COMPUTED_VALUE"""),"5712,731")</f>
        <v>5712,731</v>
      </c>
      <c r="E21" s="189" t="str">
        <f>IFERROR(__xludf.DUMMYFUNCTION("""COMPUTED_VALUE"""),"5,4")</f>
        <v>5,4</v>
      </c>
      <c r="F21" s="188" t="str">
        <f t="shared" si="1"/>
        <v>08202406</v>
      </c>
      <c r="G21" s="181"/>
      <c r="H21" s="181"/>
      <c r="I21" s="181"/>
      <c r="J21" s="181"/>
      <c r="K21" s="181"/>
      <c r="L21" s="181"/>
      <c r="M21" s="181"/>
      <c r="N21" s="181"/>
      <c r="O21" s="181"/>
      <c r="P21" s="181"/>
      <c r="Q21" s="181"/>
      <c r="R21" s="181"/>
      <c r="S21" s="181"/>
      <c r="T21" s="181"/>
      <c r="U21" s="181"/>
      <c r="V21" s="181"/>
      <c r="W21" s="181"/>
      <c r="X21" s="181"/>
      <c r="Y21" s="181"/>
      <c r="Z21" s="181"/>
    </row>
    <row r="22">
      <c r="A22" s="182" t="str">
        <f>IFERROR(__xludf.DUMMYFUNCTION("""COMPUTED_VALUE"""),"09")</f>
        <v>09</v>
      </c>
      <c r="B22" s="183" t="str">
        <f>IFERROR(__xludf.DUMMYFUNCTION("""COMPUTED_VALUE"""),"Recreación y cultura")</f>
        <v>Recreación y cultura</v>
      </c>
      <c r="C22" s="67" t="str">
        <f>IFERROR(__xludf.DUMMYFUNCTION("""COMPUTED_VALUE"""),"202406")</f>
        <v>202406</v>
      </c>
      <c r="D22" s="184" t="str">
        <f>IFERROR(__xludf.DUMMYFUNCTION("""COMPUTED_VALUE"""),"5978,632")</f>
        <v>5978,632</v>
      </c>
      <c r="E22" s="185" t="str">
        <f>IFERROR(__xludf.DUMMYFUNCTION("""COMPUTED_VALUE"""),"5,8")</f>
        <v>5,8</v>
      </c>
      <c r="F22" s="184" t="str">
        <f t="shared" si="1"/>
        <v>09202406</v>
      </c>
      <c r="G22" s="181"/>
      <c r="H22" s="181"/>
      <c r="I22" s="181"/>
      <c r="J22" s="181"/>
      <c r="K22" s="181"/>
      <c r="L22" s="181"/>
      <c r="M22" s="181"/>
      <c r="N22" s="181"/>
      <c r="O22" s="181"/>
      <c r="P22" s="181"/>
      <c r="Q22" s="181"/>
      <c r="R22" s="181"/>
      <c r="S22" s="181"/>
      <c r="T22" s="181"/>
      <c r="U22" s="181"/>
      <c r="V22" s="181"/>
      <c r="W22" s="181"/>
      <c r="X22" s="181"/>
      <c r="Y22" s="181"/>
      <c r="Z22" s="181"/>
    </row>
    <row r="23">
      <c r="A23" s="186" t="str">
        <f>IFERROR(__xludf.DUMMYFUNCTION("""COMPUTED_VALUE"""),"10")</f>
        <v>10</v>
      </c>
      <c r="B23" s="187" t="str">
        <f>IFERROR(__xludf.DUMMYFUNCTION("""COMPUTED_VALUE"""),"Educación")</f>
        <v>Educación</v>
      </c>
      <c r="C23" s="170" t="str">
        <f>IFERROR(__xludf.DUMMYFUNCTION("""COMPUTED_VALUE"""),"202406")</f>
        <v>202406</v>
      </c>
      <c r="D23" s="188" t="str">
        <f>IFERROR(__xludf.DUMMYFUNCTION("""COMPUTED_VALUE"""),"5290,203")</f>
        <v>5290,203</v>
      </c>
      <c r="E23" s="189" t="str">
        <f>IFERROR(__xludf.DUMMYFUNCTION("""COMPUTED_VALUE"""),"5")</f>
        <v>5</v>
      </c>
      <c r="F23" s="188" t="str">
        <f t="shared" si="1"/>
        <v>10202406</v>
      </c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1"/>
      <c r="S23" s="181"/>
      <c r="T23" s="181"/>
      <c r="U23" s="181"/>
      <c r="V23" s="181"/>
      <c r="W23" s="181"/>
      <c r="X23" s="181"/>
      <c r="Y23" s="181"/>
      <c r="Z23" s="181"/>
    </row>
    <row r="24">
      <c r="A24" s="182" t="str">
        <f>IFERROR(__xludf.DUMMYFUNCTION("""COMPUTED_VALUE"""),"11")</f>
        <v>11</v>
      </c>
      <c r="B24" s="183" t="str">
        <f>IFERROR(__xludf.DUMMYFUNCTION("""COMPUTED_VALUE"""),"Restaurantes y hoteles")</f>
        <v>Restaurantes y hoteles</v>
      </c>
      <c r="C24" s="67" t="str">
        <f>IFERROR(__xludf.DUMMYFUNCTION("""COMPUTED_VALUE"""),"202406")</f>
        <v>202406</v>
      </c>
      <c r="D24" s="184" t="str">
        <f>IFERROR(__xludf.DUMMYFUNCTION("""COMPUTED_VALUE"""),"6622,283")</f>
        <v>6622,283</v>
      </c>
      <c r="E24" s="185" t="str">
        <f>IFERROR(__xludf.DUMMYFUNCTION("""COMPUTED_VALUE"""),"7,3")</f>
        <v>7,3</v>
      </c>
      <c r="F24" s="184" t="str">
        <f t="shared" si="1"/>
        <v>11202406</v>
      </c>
      <c r="G24" s="181"/>
      <c r="H24" s="181"/>
      <c r="I24" s="181"/>
      <c r="J24" s="181"/>
      <c r="K24" s="181"/>
      <c r="L24" s="181"/>
      <c r="M24" s="181"/>
      <c r="N24" s="181"/>
      <c r="O24" s="181"/>
      <c r="P24" s="181"/>
      <c r="Q24" s="181"/>
      <c r="R24" s="181"/>
      <c r="S24" s="181"/>
      <c r="T24" s="181"/>
      <c r="U24" s="181"/>
      <c r="V24" s="181"/>
      <c r="W24" s="181"/>
      <c r="X24" s="181"/>
      <c r="Y24" s="181"/>
      <c r="Z24" s="181"/>
    </row>
    <row r="25">
      <c r="A25" s="186" t="str">
        <f>IFERROR(__xludf.DUMMYFUNCTION("""COMPUTED_VALUE"""),"12")</f>
        <v>12</v>
      </c>
      <c r="B25" s="187" t="str">
        <f>IFERROR(__xludf.DUMMYFUNCTION("""COMPUTED_VALUE"""),"Bienes y servicios varios")</f>
        <v>Bienes y servicios varios</v>
      </c>
      <c r="C25" s="170" t="str">
        <f>IFERROR(__xludf.DUMMYFUNCTION("""COMPUTED_VALUE"""),"202406")</f>
        <v>202406</v>
      </c>
      <c r="D25" s="188" t="str">
        <f>IFERROR(__xludf.DUMMYFUNCTION("""COMPUTED_VALUE"""),"6159,334")</f>
        <v>6159,334</v>
      </c>
      <c r="E25" s="189" t="str">
        <f>IFERROR(__xludf.DUMMYFUNCTION("""COMPUTED_VALUE"""),"2,6")</f>
        <v>2,6</v>
      </c>
      <c r="F25" s="188" t="str">
        <f t="shared" si="1"/>
        <v>12202406</v>
      </c>
      <c r="G25" s="181"/>
      <c r="H25" s="181"/>
      <c r="I25" s="181"/>
      <c r="J25" s="181"/>
      <c r="K25" s="181"/>
      <c r="L25" s="181"/>
      <c r="M25" s="181"/>
      <c r="N25" s="181"/>
      <c r="O25" s="181"/>
      <c r="P25" s="181"/>
      <c r="Q25" s="181"/>
      <c r="R25" s="181"/>
      <c r="S25" s="181"/>
      <c r="T25" s="181"/>
      <c r="U25" s="181"/>
      <c r="V25" s="181"/>
      <c r="W25" s="181"/>
      <c r="X25" s="181"/>
      <c r="Y25" s="181"/>
      <c r="Z25" s="181"/>
    </row>
    <row r="26">
      <c r="A26" s="182" t="str">
        <f>IFERROR(__xludf.DUMMYFUNCTION("""COMPUTED_VALUE"""),"01")</f>
        <v>01</v>
      </c>
      <c r="B26" s="183" t="str">
        <f>IFERROR(__xludf.DUMMYFUNCTION("""COMPUTED_VALUE"""),"Alimentos y bebidas no alcohólicas")</f>
        <v>Alimentos y bebidas no alcohólicas</v>
      </c>
      <c r="C26" s="67" t="str">
        <f>IFERROR(__xludf.DUMMYFUNCTION("""COMPUTED_VALUE"""),"202407")</f>
        <v>202407</v>
      </c>
      <c r="D26" s="184" t="str">
        <f>IFERROR(__xludf.DUMMYFUNCTION("""COMPUTED_VALUE"""),"7429,541")</f>
        <v>7429,541</v>
      </c>
      <c r="E26" s="185" t="str">
        <f>IFERROR(__xludf.DUMMYFUNCTION("""COMPUTED_VALUE"""),"3,6")</f>
        <v>3,6</v>
      </c>
      <c r="F26" s="184" t="str">
        <f t="shared" si="1"/>
        <v>01202407</v>
      </c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</row>
    <row r="27">
      <c r="A27" s="186" t="str">
        <f>IFERROR(__xludf.DUMMYFUNCTION("""COMPUTED_VALUE"""),"02")</f>
        <v>02</v>
      </c>
      <c r="B27" s="187" t="str">
        <f>IFERROR(__xludf.DUMMYFUNCTION("""COMPUTED_VALUE"""),"Bebidas alcohólicas y tabaco")</f>
        <v>Bebidas alcohólicas y tabaco</v>
      </c>
      <c r="C27" s="170" t="str">
        <f>IFERROR(__xludf.DUMMYFUNCTION("""COMPUTED_VALUE"""),"202407")</f>
        <v>202407</v>
      </c>
      <c r="D27" s="188" t="str">
        <f>IFERROR(__xludf.DUMMYFUNCTION("""COMPUTED_VALUE"""),"5137,998")</f>
        <v>5137,998</v>
      </c>
      <c r="E27" s="189" t="str">
        <f>IFERROR(__xludf.DUMMYFUNCTION("""COMPUTED_VALUE"""),"6,4")</f>
        <v>6,4</v>
      </c>
      <c r="F27" s="188" t="str">
        <f t="shared" si="1"/>
        <v>02202407</v>
      </c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</row>
    <row r="28">
      <c r="A28" s="182" t="str">
        <f>IFERROR(__xludf.DUMMYFUNCTION("""COMPUTED_VALUE"""),"03")</f>
        <v>03</v>
      </c>
      <c r="B28" s="183" t="str">
        <f>IFERROR(__xludf.DUMMYFUNCTION("""COMPUTED_VALUE"""),"Prendas de vestir y calzado")</f>
        <v>Prendas de vestir y calzado</v>
      </c>
      <c r="C28" s="67" t="str">
        <f>IFERROR(__xludf.DUMMYFUNCTION("""COMPUTED_VALUE"""),"202407")</f>
        <v>202407</v>
      </c>
      <c r="D28" s="184" t="str">
        <f>IFERROR(__xludf.DUMMYFUNCTION("""COMPUTED_VALUE"""),"6014,399")</f>
        <v>6014,399</v>
      </c>
      <c r="E28" s="185" t="str">
        <f>IFERROR(__xludf.DUMMYFUNCTION("""COMPUTED_VALUE"""),"0,8")</f>
        <v>0,8</v>
      </c>
      <c r="F28" s="184" t="str">
        <f t="shared" si="1"/>
        <v>03202407</v>
      </c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</row>
    <row r="29">
      <c r="A29" s="186" t="str">
        <f>IFERROR(__xludf.DUMMYFUNCTION("""COMPUTED_VALUE"""),"04")</f>
        <v>04</v>
      </c>
      <c r="B29" s="187" t="str">
        <f>IFERROR(__xludf.DUMMYFUNCTION("""COMPUTED_VALUE"""),"Vivienda, agua, electricidad, gas y otros combustibles")</f>
        <v>Vivienda, agua, electricidad, gas y otros combustibles</v>
      </c>
      <c r="C29" s="170" t="str">
        <f>IFERROR(__xludf.DUMMYFUNCTION("""COMPUTED_VALUE"""),"202407")</f>
        <v>202407</v>
      </c>
      <c r="D29" s="188" t="str">
        <f>IFERROR(__xludf.DUMMYFUNCTION("""COMPUTED_VALUE"""),"5514,995")</f>
        <v>5514,995</v>
      </c>
      <c r="E29" s="189" t="str">
        <f>IFERROR(__xludf.DUMMYFUNCTION("""COMPUTED_VALUE"""),"5")</f>
        <v>5</v>
      </c>
      <c r="F29" s="188" t="str">
        <f t="shared" si="1"/>
        <v>04202407</v>
      </c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</row>
    <row r="30">
      <c r="A30" s="182" t="str">
        <f>IFERROR(__xludf.DUMMYFUNCTION("""COMPUTED_VALUE"""),"05")</f>
        <v>05</v>
      </c>
      <c r="B30" s="183" t="str">
        <f>IFERROR(__xludf.DUMMYFUNCTION("""COMPUTED_VALUE"""),"Equipamiento y mantenimiento del hogar")</f>
        <v>Equipamiento y mantenimiento del hogar</v>
      </c>
      <c r="C30" s="67" t="str">
        <f>IFERROR(__xludf.DUMMYFUNCTION("""COMPUTED_VALUE"""),"202407")</f>
        <v>202407</v>
      </c>
      <c r="D30" s="184" t="str">
        <f>IFERROR(__xludf.DUMMYFUNCTION("""COMPUTED_VALUE"""),"6222,256")</f>
        <v>6222,256</v>
      </c>
      <c r="E30" s="185" t="str">
        <f>IFERROR(__xludf.DUMMYFUNCTION("""COMPUTED_VALUE"""),"3,2")</f>
        <v>3,2</v>
      </c>
      <c r="F30" s="184" t="str">
        <f t="shared" si="1"/>
        <v>05202407</v>
      </c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</row>
    <row r="31">
      <c r="A31" s="186" t="str">
        <f>IFERROR(__xludf.DUMMYFUNCTION("""COMPUTED_VALUE"""),"06")</f>
        <v>06</v>
      </c>
      <c r="B31" s="187" t="str">
        <f>IFERROR(__xludf.DUMMYFUNCTION("""COMPUTED_VALUE"""),"Salud")</f>
        <v>Salud</v>
      </c>
      <c r="C31" s="170" t="str">
        <f>IFERROR(__xludf.DUMMYFUNCTION("""COMPUTED_VALUE"""),"202407")</f>
        <v>202407</v>
      </c>
      <c r="D31" s="188" t="str">
        <f>IFERROR(__xludf.DUMMYFUNCTION("""COMPUTED_VALUE"""),"7093,666")</f>
        <v>7093,666</v>
      </c>
      <c r="E31" s="189" t="str">
        <f>IFERROR(__xludf.DUMMYFUNCTION("""COMPUTED_VALUE"""),"5,8")</f>
        <v>5,8</v>
      </c>
      <c r="F31" s="188" t="str">
        <f t="shared" si="1"/>
        <v>06202407</v>
      </c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</row>
    <row r="32">
      <c r="A32" s="182" t="str">
        <f>IFERROR(__xludf.DUMMYFUNCTION("""COMPUTED_VALUE"""),"07")</f>
        <v>07</v>
      </c>
      <c r="B32" s="183" t="str">
        <f>IFERROR(__xludf.DUMMYFUNCTION("""COMPUTED_VALUE"""),"Transporte")</f>
        <v>Transporte</v>
      </c>
      <c r="C32" s="67" t="str">
        <f>IFERROR(__xludf.DUMMYFUNCTION("""COMPUTED_VALUE"""),"202407")</f>
        <v>202407</v>
      </c>
      <c r="D32" s="184" t="str">
        <f>IFERROR(__xludf.DUMMYFUNCTION("""COMPUTED_VALUE"""),"6423,725")</f>
        <v>6423,725</v>
      </c>
      <c r="E32" s="185" t="str">
        <f>IFERROR(__xludf.DUMMYFUNCTION("""COMPUTED_VALUE"""),"1,7")</f>
        <v>1,7</v>
      </c>
      <c r="F32" s="184" t="str">
        <f t="shared" si="1"/>
        <v>07202407</v>
      </c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</row>
    <row r="33">
      <c r="A33" s="186" t="str">
        <f>IFERROR(__xludf.DUMMYFUNCTION("""COMPUTED_VALUE"""),"08")</f>
        <v>08</v>
      </c>
      <c r="B33" s="187" t="str">
        <f>IFERROR(__xludf.DUMMYFUNCTION("""COMPUTED_VALUE"""),"Comunicación")</f>
        <v>Comunicación</v>
      </c>
      <c r="C33" s="170" t="str">
        <f>IFERROR(__xludf.DUMMYFUNCTION("""COMPUTED_VALUE"""),"202407")</f>
        <v>202407</v>
      </c>
      <c r="D33" s="188" t="str">
        <f>IFERROR(__xludf.DUMMYFUNCTION("""COMPUTED_VALUE"""),"5930,298")</f>
        <v>5930,298</v>
      </c>
      <c r="E33" s="189" t="str">
        <f>IFERROR(__xludf.DUMMYFUNCTION("""COMPUTED_VALUE"""),"3,8")</f>
        <v>3,8</v>
      </c>
      <c r="F33" s="188" t="str">
        <f t="shared" si="1"/>
        <v>08202407</v>
      </c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</row>
    <row r="34">
      <c r="A34" s="182" t="str">
        <f>IFERROR(__xludf.DUMMYFUNCTION("""COMPUTED_VALUE"""),"09")</f>
        <v>09</v>
      </c>
      <c r="B34" s="183" t="str">
        <f>IFERROR(__xludf.DUMMYFUNCTION("""COMPUTED_VALUE"""),"Recreación y cultura")</f>
        <v>Recreación y cultura</v>
      </c>
      <c r="C34" s="67" t="str">
        <f>IFERROR(__xludf.DUMMYFUNCTION("""COMPUTED_VALUE"""),"202407")</f>
        <v>202407</v>
      </c>
      <c r="D34" s="184" t="str">
        <f>IFERROR(__xludf.DUMMYFUNCTION("""COMPUTED_VALUE"""),"6302,185")</f>
        <v>6302,185</v>
      </c>
      <c r="E34" s="185" t="str">
        <f>IFERROR(__xludf.DUMMYFUNCTION("""COMPUTED_VALUE"""),"5,4")</f>
        <v>5,4</v>
      </c>
      <c r="F34" s="184" t="str">
        <f t="shared" si="1"/>
        <v>09202407</v>
      </c>
      <c r="G34" s="181"/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</row>
    <row r="35">
      <c r="A35" s="186" t="str">
        <f>IFERROR(__xludf.DUMMYFUNCTION("""COMPUTED_VALUE"""),"10")</f>
        <v>10</v>
      </c>
      <c r="B35" s="187" t="str">
        <f>IFERROR(__xludf.DUMMYFUNCTION("""COMPUTED_VALUE"""),"Educación")</f>
        <v>Educación</v>
      </c>
      <c r="C35" s="170" t="str">
        <f>IFERROR(__xludf.DUMMYFUNCTION("""COMPUTED_VALUE"""),"202407")</f>
        <v>202407</v>
      </c>
      <c r="D35" s="188" t="str">
        <f>IFERROR(__xludf.DUMMYFUNCTION("""COMPUTED_VALUE"""),"5450,238")</f>
        <v>5450,238</v>
      </c>
      <c r="E35" s="189" t="str">
        <f>IFERROR(__xludf.DUMMYFUNCTION("""COMPUTED_VALUE"""),"3")</f>
        <v>3</v>
      </c>
      <c r="F35" s="188" t="str">
        <f t="shared" si="1"/>
        <v>10202407</v>
      </c>
      <c r="G35" s="181"/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1"/>
      <c r="Y35" s="181"/>
      <c r="Z35" s="181"/>
    </row>
    <row r="36">
      <c r="A36" s="182" t="str">
        <f>IFERROR(__xludf.DUMMYFUNCTION("""COMPUTED_VALUE"""),"11")</f>
        <v>11</v>
      </c>
      <c r="B36" s="183" t="str">
        <f>IFERROR(__xludf.DUMMYFUNCTION("""COMPUTED_VALUE"""),"Restaurantes y hoteles")</f>
        <v>Restaurantes y hoteles</v>
      </c>
      <c r="C36" s="67" t="str">
        <f>IFERROR(__xludf.DUMMYFUNCTION("""COMPUTED_VALUE"""),"202407")</f>
        <v>202407</v>
      </c>
      <c r="D36" s="184" t="str">
        <f>IFERROR(__xludf.DUMMYFUNCTION("""COMPUTED_VALUE"""),"7082,78")</f>
        <v>7082,78</v>
      </c>
      <c r="E36" s="185" t="str">
        <f>IFERROR(__xludf.DUMMYFUNCTION("""COMPUTED_VALUE"""),"7")</f>
        <v>7</v>
      </c>
      <c r="F36" s="184" t="str">
        <f t="shared" si="1"/>
        <v>11202407</v>
      </c>
      <c r="G36" s="181"/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</row>
    <row r="37">
      <c r="A37" s="186" t="str">
        <f>IFERROR(__xludf.DUMMYFUNCTION("""COMPUTED_VALUE"""),"12")</f>
        <v>12</v>
      </c>
      <c r="B37" s="187" t="str">
        <f>IFERROR(__xludf.DUMMYFUNCTION("""COMPUTED_VALUE"""),"Bienes y servicios varios")</f>
        <v>Bienes y servicios varios</v>
      </c>
      <c r="C37" s="170" t="str">
        <f>IFERROR(__xludf.DUMMYFUNCTION("""COMPUTED_VALUE"""),"202407")</f>
        <v>202407</v>
      </c>
      <c r="D37" s="188" t="str">
        <f>IFERROR(__xludf.DUMMYFUNCTION("""COMPUTED_VALUE"""),"6373,73")</f>
        <v>6373,73</v>
      </c>
      <c r="E37" s="189" t="str">
        <f>IFERROR(__xludf.DUMMYFUNCTION("""COMPUTED_VALUE"""),"3,5")</f>
        <v>3,5</v>
      </c>
      <c r="F37" s="188" t="str">
        <f t="shared" si="1"/>
        <v>12202407</v>
      </c>
      <c r="G37" s="181"/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1"/>
      <c r="V37" s="181"/>
      <c r="W37" s="181"/>
      <c r="X37" s="181"/>
      <c r="Y37" s="181"/>
      <c r="Z37" s="181"/>
    </row>
    <row r="38">
      <c r="A38" s="182" t="str">
        <f>IFERROR(__xludf.DUMMYFUNCTION("""COMPUTED_VALUE"""),"01")</f>
        <v>01</v>
      </c>
      <c r="B38" s="183" t="str">
        <f>IFERROR(__xludf.DUMMYFUNCTION("""COMPUTED_VALUE"""),"Alimentos y bebidas no alcohólicas")</f>
        <v>Alimentos y bebidas no alcohólicas</v>
      </c>
      <c r="C38" s="67" t="str">
        <f>IFERROR(__xludf.DUMMYFUNCTION("""COMPUTED_VALUE"""),"202408")</f>
        <v>202408</v>
      </c>
      <c r="D38" s="184" t="str">
        <f>IFERROR(__xludf.DUMMYFUNCTION("""COMPUTED_VALUE"""),"7642,373")</f>
        <v>7642,373</v>
      </c>
      <c r="E38" s="185" t="str">
        <f>IFERROR(__xludf.DUMMYFUNCTION("""COMPUTED_VALUE"""),"2,9")</f>
        <v>2,9</v>
      </c>
      <c r="F38" s="184" t="str">
        <f t="shared" si="1"/>
        <v>01202408</v>
      </c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181"/>
      <c r="Y38" s="181"/>
      <c r="Z38" s="181"/>
    </row>
    <row r="39">
      <c r="A39" s="186" t="str">
        <f>IFERROR(__xludf.DUMMYFUNCTION("""COMPUTED_VALUE"""),"02")</f>
        <v>02</v>
      </c>
      <c r="B39" s="187" t="str">
        <f>IFERROR(__xludf.DUMMYFUNCTION("""COMPUTED_VALUE"""),"Bebidas alcohólicas y tabaco")</f>
        <v>Bebidas alcohólicas y tabaco</v>
      </c>
      <c r="C39" s="170" t="str">
        <f>IFERROR(__xludf.DUMMYFUNCTION("""COMPUTED_VALUE"""),"202408")</f>
        <v>202408</v>
      </c>
      <c r="D39" s="188" t="str">
        <f>IFERROR(__xludf.DUMMYFUNCTION("""COMPUTED_VALUE"""),"5298,91")</f>
        <v>5298,91</v>
      </c>
      <c r="E39" s="189" t="str">
        <f>IFERROR(__xludf.DUMMYFUNCTION("""COMPUTED_VALUE"""),"3,1")</f>
        <v>3,1</v>
      </c>
      <c r="F39" s="188" t="str">
        <f t="shared" si="1"/>
        <v>02202408</v>
      </c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</row>
    <row r="40">
      <c r="A40" s="182" t="str">
        <f>IFERROR(__xludf.DUMMYFUNCTION("""COMPUTED_VALUE"""),"03")</f>
        <v>03</v>
      </c>
      <c r="B40" s="183" t="str">
        <f>IFERROR(__xludf.DUMMYFUNCTION("""COMPUTED_VALUE"""),"Prendas de vestir y calzado")</f>
        <v>Prendas de vestir y calzado</v>
      </c>
      <c r="C40" s="67" t="str">
        <f>IFERROR(__xludf.DUMMYFUNCTION("""COMPUTED_VALUE"""),"202408")</f>
        <v>202408</v>
      </c>
      <c r="D40" s="184" t="str">
        <f>IFERROR(__xludf.DUMMYFUNCTION("""COMPUTED_VALUE"""),"6139,89")</f>
        <v>6139,89</v>
      </c>
      <c r="E40" s="185" t="str">
        <f>IFERROR(__xludf.DUMMYFUNCTION("""COMPUTED_VALUE"""),"2,1")</f>
        <v>2,1</v>
      </c>
      <c r="F40" s="184" t="str">
        <f t="shared" si="1"/>
        <v>03202408</v>
      </c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1"/>
      <c r="X40" s="181"/>
      <c r="Y40" s="181"/>
      <c r="Z40" s="181"/>
    </row>
    <row r="41">
      <c r="A41" s="186" t="str">
        <f>IFERROR(__xludf.DUMMYFUNCTION("""COMPUTED_VALUE"""),"04")</f>
        <v>04</v>
      </c>
      <c r="B41" s="187" t="str">
        <f>IFERROR(__xludf.DUMMYFUNCTION("""COMPUTED_VALUE"""),"Vivienda, agua, electricidad, gas y otros combustibles")</f>
        <v>Vivienda, agua, electricidad, gas y otros combustibles</v>
      </c>
      <c r="C41" s="170" t="str">
        <f>IFERROR(__xludf.DUMMYFUNCTION("""COMPUTED_VALUE"""),"202408")</f>
        <v>202408</v>
      </c>
      <c r="D41" s="188" t="str">
        <f>IFERROR(__xludf.DUMMYFUNCTION("""COMPUTED_VALUE"""),"5852,207")</f>
        <v>5852,207</v>
      </c>
      <c r="E41" s="189" t="str">
        <f>IFERROR(__xludf.DUMMYFUNCTION("""COMPUTED_VALUE"""),"6,1")</f>
        <v>6,1</v>
      </c>
      <c r="F41" s="188" t="str">
        <f t="shared" si="1"/>
        <v>04202408</v>
      </c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</row>
    <row r="42">
      <c r="A42" s="182" t="str">
        <f>IFERROR(__xludf.DUMMYFUNCTION("""COMPUTED_VALUE"""),"05")</f>
        <v>05</v>
      </c>
      <c r="B42" s="183" t="str">
        <f>IFERROR(__xludf.DUMMYFUNCTION("""COMPUTED_VALUE"""),"Equipamiento y mantenimiento del hogar")</f>
        <v>Equipamiento y mantenimiento del hogar</v>
      </c>
      <c r="C42" s="67" t="str">
        <f>IFERROR(__xludf.DUMMYFUNCTION("""COMPUTED_VALUE"""),"202408")</f>
        <v>202408</v>
      </c>
      <c r="D42" s="184" t="str">
        <f>IFERROR(__xludf.DUMMYFUNCTION("""COMPUTED_VALUE"""),"6485,467")</f>
        <v>6485,467</v>
      </c>
      <c r="E42" s="185" t="str">
        <f>IFERROR(__xludf.DUMMYFUNCTION("""COMPUTED_VALUE"""),"4,2")</f>
        <v>4,2</v>
      </c>
      <c r="F42" s="184" t="str">
        <f t="shared" si="1"/>
        <v>05202408</v>
      </c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</row>
    <row r="43">
      <c r="A43" s="186" t="str">
        <f>IFERROR(__xludf.DUMMYFUNCTION("""COMPUTED_VALUE"""),"06")</f>
        <v>06</v>
      </c>
      <c r="B43" s="187" t="str">
        <f>IFERROR(__xludf.DUMMYFUNCTION("""COMPUTED_VALUE"""),"Salud")</f>
        <v>Salud</v>
      </c>
      <c r="C43" s="170" t="str">
        <f>IFERROR(__xludf.DUMMYFUNCTION("""COMPUTED_VALUE"""),"202408")</f>
        <v>202408</v>
      </c>
      <c r="D43" s="188" t="str">
        <f>IFERROR(__xludf.DUMMYFUNCTION("""COMPUTED_VALUE"""),"7408,462")</f>
        <v>7408,462</v>
      </c>
      <c r="E43" s="189" t="str">
        <f>IFERROR(__xludf.DUMMYFUNCTION("""COMPUTED_VALUE"""),"4,4")</f>
        <v>4,4</v>
      </c>
      <c r="F43" s="188" t="str">
        <f t="shared" si="1"/>
        <v>06202408</v>
      </c>
      <c r="G43" s="181"/>
      <c r="H43" s="181"/>
      <c r="I43" s="181"/>
      <c r="J43" s="181"/>
      <c r="K43" s="181"/>
      <c r="L43" s="181"/>
      <c r="M43" s="181"/>
      <c r="N43" s="181"/>
      <c r="O43" s="181"/>
      <c r="P43" s="181"/>
      <c r="Q43" s="181"/>
      <c r="R43" s="181"/>
      <c r="S43" s="181"/>
      <c r="T43" s="181"/>
      <c r="U43" s="181"/>
      <c r="V43" s="181"/>
      <c r="W43" s="181"/>
      <c r="X43" s="181"/>
      <c r="Y43" s="181"/>
      <c r="Z43" s="181"/>
    </row>
    <row r="44">
      <c r="A44" s="182" t="str">
        <f>IFERROR(__xludf.DUMMYFUNCTION("""COMPUTED_VALUE"""),"07")</f>
        <v>07</v>
      </c>
      <c r="B44" s="183" t="str">
        <f>IFERROR(__xludf.DUMMYFUNCTION("""COMPUTED_VALUE"""),"Transporte")</f>
        <v>Transporte</v>
      </c>
      <c r="C44" s="67" t="str">
        <f>IFERROR(__xludf.DUMMYFUNCTION("""COMPUTED_VALUE"""),"202408")</f>
        <v>202408</v>
      </c>
      <c r="D44" s="184" t="str">
        <f>IFERROR(__xludf.DUMMYFUNCTION("""COMPUTED_VALUE"""),"6867,037")</f>
        <v>6867,037</v>
      </c>
      <c r="E44" s="185" t="str">
        <f>IFERROR(__xludf.DUMMYFUNCTION("""COMPUTED_VALUE"""),"6,9")</f>
        <v>6,9</v>
      </c>
      <c r="F44" s="184" t="str">
        <f t="shared" si="1"/>
        <v>07202408</v>
      </c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81"/>
      <c r="X44" s="181"/>
      <c r="Y44" s="181"/>
      <c r="Z44" s="181"/>
    </row>
    <row r="45">
      <c r="A45" s="186" t="str">
        <f>IFERROR(__xludf.DUMMYFUNCTION("""COMPUTED_VALUE"""),"08")</f>
        <v>08</v>
      </c>
      <c r="B45" s="187" t="str">
        <f>IFERROR(__xludf.DUMMYFUNCTION("""COMPUTED_VALUE"""),"Comunicación")</f>
        <v>Comunicación</v>
      </c>
      <c r="C45" s="170" t="str">
        <f>IFERROR(__xludf.DUMMYFUNCTION("""COMPUTED_VALUE"""),"202408")</f>
        <v>202408</v>
      </c>
      <c r="D45" s="188" t="str">
        <f>IFERROR(__xludf.DUMMYFUNCTION("""COMPUTED_VALUE"""),"6202,599")</f>
        <v>6202,599</v>
      </c>
      <c r="E45" s="189" t="str">
        <f>IFERROR(__xludf.DUMMYFUNCTION("""COMPUTED_VALUE"""),"4,6")</f>
        <v>4,6</v>
      </c>
      <c r="F45" s="188" t="str">
        <f t="shared" si="1"/>
        <v>08202408</v>
      </c>
      <c r="G45" s="181"/>
      <c r="H45" s="181"/>
      <c r="I45" s="181"/>
      <c r="J45" s="181"/>
      <c r="K45" s="181"/>
      <c r="L45" s="181"/>
      <c r="M45" s="181"/>
      <c r="N45" s="181"/>
      <c r="O45" s="181"/>
      <c r="P45" s="181"/>
      <c r="Q45" s="181"/>
      <c r="R45" s="181"/>
      <c r="S45" s="181"/>
      <c r="T45" s="181"/>
      <c r="U45" s="181"/>
      <c r="V45" s="181"/>
      <c r="W45" s="181"/>
      <c r="X45" s="181"/>
      <c r="Y45" s="181"/>
      <c r="Z45" s="181"/>
    </row>
    <row r="46">
      <c r="A46" s="182" t="str">
        <f>IFERROR(__xludf.DUMMYFUNCTION("""COMPUTED_VALUE"""),"09")</f>
        <v>09</v>
      </c>
      <c r="B46" s="183" t="str">
        <f>IFERROR(__xludf.DUMMYFUNCTION("""COMPUTED_VALUE"""),"Recreación y cultura")</f>
        <v>Recreación y cultura</v>
      </c>
      <c r="C46" s="67" t="str">
        <f>IFERROR(__xludf.DUMMYFUNCTION("""COMPUTED_VALUE"""),"202408")</f>
        <v>202408</v>
      </c>
      <c r="D46" s="184" t="str">
        <f>IFERROR(__xludf.DUMMYFUNCTION("""COMPUTED_VALUE"""),"6500,21")</f>
        <v>6500,21</v>
      </c>
      <c r="E46" s="185" t="str">
        <f>IFERROR(__xludf.DUMMYFUNCTION("""COMPUTED_VALUE"""),"3,1")</f>
        <v>3,1</v>
      </c>
      <c r="F46" s="184" t="str">
        <f t="shared" si="1"/>
        <v>09202408</v>
      </c>
      <c r="G46" s="181"/>
      <c r="H46" s="181"/>
      <c r="I46" s="181"/>
      <c r="J46" s="181"/>
      <c r="K46" s="181"/>
      <c r="L46" s="181"/>
      <c r="M46" s="181"/>
      <c r="N46" s="181"/>
      <c r="O46" s="181"/>
      <c r="P46" s="181"/>
      <c r="Q46" s="181"/>
      <c r="R46" s="181"/>
      <c r="S46" s="181"/>
      <c r="T46" s="181"/>
      <c r="U46" s="181"/>
      <c r="V46" s="181"/>
      <c r="W46" s="181"/>
      <c r="X46" s="181"/>
      <c r="Y46" s="181"/>
      <c r="Z46" s="181"/>
    </row>
    <row r="47">
      <c r="A47" s="186" t="str">
        <f>IFERROR(__xludf.DUMMYFUNCTION("""COMPUTED_VALUE"""),"10")</f>
        <v>10</v>
      </c>
      <c r="B47" s="187" t="str">
        <f>IFERROR(__xludf.DUMMYFUNCTION("""COMPUTED_VALUE"""),"Educación")</f>
        <v>Educación</v>
      </c>
      <c r="C47" s="170" t="str">
        <f>IFERROR(__xludf.DUMMYFUNCTION("""COMPUTED_VALUE"""),"202408")</f>
        <v>202408</v>
      </c>
      <c r="D47" s="188" t="str">
        <f>IFERROR(__xludf.DUMMYFUNCTION("""COMPUTED_VALUE"""),"5813,661")</f>
        <v>5813,661</v>
      </c>
      <c r="E47" s="189" t="str">
        <f>IFERROR(__xludf.DUMMYFUNCTION("""COMPUTED_VALUE"""),"6,7")</f>
        <v>6,7</v>
      </c>
      <c r="F47" s="188" t="str">
        <f t="shared" si="1"/>
        <v>10202408</v>
      </c>
      <c r="G47" s="181"/>
      <c r="H47" s="181"/>
      <c r="I47" s="181"/>
      <c r="J47" s="181"/>
      <c r="K47" s="181"/>
      <c r="L47" s="181"/>
      <c r="M47" s="181"/>
      <c r="N47" s="181"/>
      <c r="O47" s="181"/>
      <c r="P47" s="181"/>
      <c r="Q47" s="181"/>
      <c r="R47" s="181"/>
      <c r="S47" s="181"/>
      <c r="T47" s="181"/>
      <c r="U47" s="181"/>
      <c r="V47" s="181"/>
      <c r="W47" s="181"/>
      <c r="X47" s="181"/>
      <c r="Y47" s="181"/>
      <c r="Z47" s="181"/>
    </row>
    <row r="48">
      <c r="A48" s="182" t="str">
        <f>IFERROR(__xludf.DUMMYFUNCTION("""COMPUTED_VALUE"""),"11")</f>
        <v>11</v>
      </c>
      <c r="B48" s="183" t="str">
        <f>IFERROR(__xludf.DUMMYFUNCTION("""COMPUTED_VALUE"""),"Restaurantes y hoteles")</f>
        <v>Restaurantes y hoteles</v>
      </c>
      <c r="C48" s="67" t="str">
        <f>IFERROR(__xludf.DUMMYFUNCTION("""COMPUTED_VALUE"""),"202408")</f>
        <v>202408</v>
      </c>
      <c r="D48" s="184" t="str">
        <f>IFERROR(__xludf.DUMMYFUNCTION("""COMPUTED_VALUE"""),"7408,764")</f>
        <v>7408,764</v>
      </c>
      <c r="E48" s="185" t="str">
        <f>IFERROR(__xludf.DUMMYFUNCTION("""COMPUTED_VALUE"""),"4,6")</f>
        <v>4,6</v>
      </c>
      <c r="F48" s="184" t="str">
        <f t="shared" si="1"/>
        <v>11202408</v>
      </c>
      <c r="G48" s="181"/>
      <c r="H48" s="181"/>
      <c r="I48" s="181"/>
      <c r="J48" s="181"/>
      <c r="K48" s="181"/>
      <c r="L48" s="181"/>
      <c r="M48" s="181"/>
      <c r="N48" s="181"/>
      <c r="O48" s="181"/>
      <c r="P48" s="181"/>
      <c r="Q48" s="181"/>
      <c r="R48" s="181"/>
      <c r="S48" s="181"/>
      <c r="T48" s="181"/>
      <c r="U48" s="181"/>
      <c r="V48" s="181"/>
      <c r="W48" s="181"/>
      <c r="X48" s="181"/>
      <c r="Y48" s="181"/>
      <c r="Z48" s="181"/>
    </row>
    <row r="49">
      <c r="A49" s="186" t="str">
        <f>IFERROR(__xludf.DUMMYFUNCTION("""COMPUTED_VALUE"""),"12")</f>
        <v>12</v>
      </c>
      <c r="B49" s="187" t="str">
        <f>IFERROR(__xludf.DUMMYFUNCTION("""COMPUTED_VALUE"""),"Bienes y servicios varios")</f>
        <v>Bienes y servicios varios</v>
      </c>
      <c r="C49" s="170" t="str">
        <f>IFERROR(__xludf.DUMMYFUNCTION("""COMPUTED_VALUE"""),"202408")</f>
        <v>202408</v>
      </c>
      <c r="D49" s="188" t="str">
        <f>IFERROR(__xludf.DUMMYFUNCTION("""COMPUTED_VALUE"""),"6534,029")</f>
        <v>6534,029</v>
      </c>
      <c r="E49" s="189" t="str">
        <f>IFERROR(__xludf.DUMMYFUNCTION("""COMPUTED_VALUE"""),"2,5")</f>
        <v>2,5</v>
      </c>
      <c r="F49" s="188" t="str">
        <f t="shared" si="1"/>
        <v>12202408</v>
      </c>
      <c r="G49" s="181"/>
      <c r="H49" s="181"/>
      <c r="I49" s="181"/>
      <c r="J49" s="181"/>
      <c r="K49" s="181"/>
      <c r="L49" s="181"/>
      <c r="M49" s="181"/>
      <c r="N49" s="181"/>
      <c r="O49" s="181"/>
      <c r="P49" s="181"/>
      <c r="Q49" s="181"/>
      <c r="R49" s="181"/>
      <c r="S49" s="181"/>
      <c r="T49" s="181"/>
      <c r="U49" s="181"/>
      <c r="V49" s="181"/>
      <c r="W49" s="181"/>
      <c r="X49" s="181"/>
      <c r="Y49" s="181"/>
      <c r="Z49" s="181"/>
    </row>
    <row r="50">
      <c r="A50" s="182" t="str">
        <f>IFERROR(__xludf.DUMMYFUNCTION("""COMPUTED_VALUE"""),"01")</f>
        <v>01</v>
      </c>
      <c r="B50" s="183" t="str">
        <f>IFERROR(__xludf.DUMMYFUNCTION("""COMPUTED_VALUE"""),"Alimentos y bebidas no alcohólicas")</f>
        <v>Alimentos y bebidas no alcohólicas</v>
      </c>
      <c r="C50" s="67" t="str">
        <f>IFERROR(__xludf.DUMMYFUNCTION("""COMPUTED_VALUE"""),"202409")</f>
        <v>202409</v>
      </c>
      <c r="D50" s="184" t="str">
        <f>IFERROR(__xludf.DUMMYFUNCTION("""COMPUTED_VALUE"""),"7810,711")</f>
        <v>7810,711</v>
      </c>
      <c r="E50" s="185" t="str">
        <f>IFERROR(__xludf.DUMMYFUNCTION("""COMPUTED_VALUE"""),"2,2")</f>
        <v>2,2</v>
      </c>
      <c r="F50" s="184" t="str">
        <f t="shared" si="1"/>
        <v>01202409</v>
      </c>
      <c r="G50" s="181"/>
      <c r="H50" s="181"/>
      <c r="I50" s="181"/>
      <c r="J50" s="181"/>
      <c r="K50" s="181"/>
      <c r="L50" s="181"/>
      <c r="M50" s="181"/>
      <c r="N50" s="181"/>
      <c r="O50" s="181"/>
      <c r="P50" s="181"/>
      <c r="Q50" s="181"/>
      <c r="R50" s="181"/>
      <c r="S50" s="181"/>
      <c r="T50" s="181"/>
      <c r="U50" s="181"/>
      <c r="V50" s="181"/>
      <c r="W50" s="181"/>
      <c r="X50" s="181"/>
      <c r="Y50" s="181"/>
      <c r="Z50" s="181"/>
    </row>
    <row r="51">
      <c r="A51" s="186" t="str">
        <f>IFERROR(__xludf.DUMMYFUNCTION("""COMPUTED_VALUE"""),"02")</f>
        <v>02</v>
      </c>
      <c r="B51" s="187" t="str">
        <f>IFERROR(__xludf.DUMMYFUNCTION("""COMPUTED_VALUE"""),"Bebidas alcohólicas y tabaco")</f>
        <v>Bebidas alcohólicas y tabaco</v>
      </c>
      <c r="C51" s="170" t="str">
        <f>IFERROR(__xludf.DUMMYFUNCTION("""COMPUTED_VALUE"""),"202409")</f>
        <v>202409</v>
      </c>
      <c r="D51" s="188" t="str">
        <f>IFERROR(__xludf.DUMMYFUNCTION("""COMPUTED_VALUE"""),"5438,733")</f>
        <v>5438,733</v>
      </c>
      <c r="E51" s="189" t="str">
        <f>IFERROR(__xludf.DUMMYFUNCTION("""COMPUTED_VALUE"""),"2,6")</f>
        <v>2,6</v>
      </c>
      <c r="F51" s="188" t="str">
        <f t="shared" si="1"/>
        <v>02202409</v>
      </c>
      <c r="G51" s="181"/>
      <c r="H51" s="181"/>
      <c r="I51" s="181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81"/>
      <c r="X51" s="181"/>
      <c r="Y51" s="181"/>
      <c r="Z51" s="181"/>
    </row>
    <row r="52">
      <c r="A52" s="182" t="str">
        <f>IFERROR(__xludf.DUMMYFUNCTION("""COMPUTED_VALUE"""),"03")</f>
        <v>03</v>
      </c>
      <c r="B52" s="183" t="str">
        <f>IFERROR(__xludf.DUMMYFUNCTION("""COMPUTED_VALUE"""),"Prendas de vestir y calzado")</f>
        <v>Prendas de vestir y calzado</v>
      </c>
      <c r="C52" s="67" t="str">
        <f>IFERROR(__xludf.DUMMYFUNCTION("""COMPUTED_VALUE"""),"202409")</f>
        <v>202409</v>
      </c>
      <c r="D52" s="184" t="str">
        <f>IFERROR(__xludf.DUMMYFUNCTION("""COMPUTED_VALUE"""),"6590,55")</f>
        <v>6590,55</v>
      </c>
      <c r="E52" s="185" t="str">
        <f>IFERROR(__xludf.DUMMYFUNCTION("""COMPUTED_VALUE"""),"7,3")</f>
        <v>7,3</v>
      </c>
      <c r="F52" s="184" t="str">
        <f t="shared" si="1"/>
        <v>03202409</v>
      </c>
      <c r="G52" s="181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1"/>
      <c r="T52" s="181"/>
      <c r="U52" s="181"/>
      <c r="V52" s="181"/>
      <c r="W52" s="181"/>
      <c r="X52" s="181"/>
      <c r="Y52" s="181"/>
      <c r="Z52" s="181"/>
    </row>
    <row r="53">
      <c r="A53" s="186" t="str">
        <f>IFERROR(__xludf.DUMMYFUNCTION("""COMPUTED_VALUE"""),"04")</f>
        <v>04</v>
      </c>
      <c r="B53" s="187" t="str">
        <f>IFERROR(__xludf.DUMMYFUNCTION("""COMPUTED_VALUE"""),"Vivienda, agua, electricidad, gas y otros combustibles")</f>
        <v>Vivienda, agua, electricidad, gas y otros combustibles</v>
      </c>
      <c r="C53" s="170" t="str">
        <f>IFERROR(__xludf.DUMMYFUNCTION("""COMPUTED_VALUE"""),"202409")</f>
        <v>202409</v>
      </c>
      <c r="D53" s="188" t="str">
        <f>IFERROR(__xludf.DUMMYFUNCTION("""COMPUTED_VALUE"""),"6254,078")</f>
        <v>6254,078</v>
      </c>
      <c r="E53" s="189" t="str">
        <f>IFERROR(__xludf.DUMMYFUNCTION("""COMPUTED_VALUE"""),"6,9")</f>
        <v>6,9</v>
      </c>
      <c r="F53" s="188" t="str">
        <f t="shared" si="1"/>
        <v>04202409</v>
      </c>
      <c r="G53" s="181"/>
      <c r="H53" s="181"/>
      <c r="I53" s="181"/>
      <c r="J53" s="181"/>
      <c r="K53" s="181"/>
      <c r="L53" s="181"/>
      <c r="M53" s="181"/>
      <c r="N53" s="181"/>
      <c r="O53" s="181"/>
      <c r="P53" s="181"/>
      <c r="Q53" s="181"/>
      <c r="R53" s="181"/>
      <c r="S53" s="181"/>
      <c r="T53" s="181"/>
      <c r="U53" s="181"/>
      <c r="V53" s="181"/>
      <c r="W53" s="181"/>
      <c r="X53" s="181"/>
      <c r="Y53" s="181"/>
      <c r="Z53" s="181"/>
    </row>
    <row r="54">
      <c r="A54" s="182" t="str">
        <f>IFERROR(__xludf.DUMMYFUNCTION("""COMPUTED_VALUE"""),"05")</f>
        <v>05</v>
      </c>
      <c r="B54" s="183" t="str">
        <f>IFERROR(__xludf.DUMMYFUNCTION("""COMPUTED_VALUE"""),"Equipamiento y mantenimiento del hogar")</f>
        <v>Equipamiento y mantenimiento del hogar</v>
      </c>
      <c r="C54" s="67" t="str">
        <f>IFERROR(__xludf.DUMMYFUNCTION("""COMPUTED_VALUE"""),"202409")</f>
        <v>202409</v>
      </c>
      <c r="D54" s="184" t="str">
        <f>IFERROR(__xludf.DUMMYFUNCTION("""COMPUTED_VALUE"""),"6666,315")</f>
        <v>6666,315</v>
      </c>
      <c r="E54" s="185" t="str">
        <f>IFERROR(__xludf.DUMMYFUNCTION("""COMPUTED_VALUE"""),"2,8")</f>
        <v>2,8</v>
      </c>
      <c r="F54" s="184" t="str">
        <f t="shared" si="1"/>
        <v>05202409</v>
      </c>
      <c r="G54" s="181"/>
      <c r="H54" s="181"/>
      <c r="I54" s="181"/>
      <c r="J54" s="181"/>
      <c r="K54" s="181"/>
      <c r="L54" s="181"/>
      <c r="M54" s="181"/>
      <c r="N54" s="181"/>
      <c r="O54" s="181"/>
      <c r="P54" s="181"/>
      <c r="Q54" s="181"/>
      <c r="R54" s="181"/>
      <c r="S54" s="181"/>
      <c r="T54" s="181"/>
      <c r="U54" s="181"/>
      <c r="V54" s="181"/>
      <c r="W54" s="181"/>
      <c r="X54" s="181"/>
      <c r="Y54" s="181"/>
      <c r="Z54" s="181"/>
    </row>
    <row r="55">
      <c r="A55" s="186" t="str">
        <f>IFERROR(__xludf.DUMMYFUNCTION("""COMPUTED_VALUE"""),"06")</f>
        <v>06</v>
      </c>
      <c r="B55" s="187" t="str">
        <f>IFERROR(__xludf.DUMMYFUNCTION("""COMPUTED_VALUE"""),"Salud")</f>
        <v>Salud</v>
      </c>
      <c r="C55" s="170" t="str">
        <f>IFERROR(__xludf.DUMMYFUNCTION("""COMPUTED_VALUE"""),"202409")</f>
        <v>202409</v>
      </c>
      <c r="D55" s="188" t="str">
        <f>IFERROR(__xludf.DUMMYFUNCTION("""COMPUTED_VALUE"""),"7651,017")</f>
        <v>7651,017</v>
      </c>
      <c r="E55" s="189" t="str">
        <f>IFERROR(__xludf.DUMMYFUNCTION("""COMPUTED_VALUE"""),"3,3")</f>
        <v>3,3</v>
      </c>
      <c r="F55" s="188" t="str">
        <f t="shared" si="1"/>
        <v>06202409</v>
      </c>
      <c r="G55" s="181"/>
      <c r="H55" s="181"/>
      <c r="I55" s="181"/>
      <c r="J55" s="181"/>
      <c r="K55" s="181"/>
      <c r="L55" s="181"/>
      <c r="M55" s="181"/>
      <c r="N55" s="181"/>
      <c r="O55" s="181"/>
      <c r="P55" s="181"/>
      <c r="Q55" s="181"/>
      <c r="R55" s="181"/>
      <c r="S55" s="181"/>
      <c r="T55" s="181"/>
      <c r="U55" s="181"/>
      <c r="V55" s="181"/>
      <c r="W55" s="181"/>
      <c r="X55" s="181"/>
      <c r="Y55" s="181"/>
      <c r="Z55" s="181"/>
    </row>
    <row r="56">
      <c r="A56" s="182" t="str">
        <f>IFERROR(__xludf.DUMMYFUNCTION("""COMPUTED_VALUE"""),"07")</f>
        <v>07</v>
      </c>
      <c r="B56" s="183" t="str">
        <f>IFERROR(__xludf.DUMMYFUNCTION("""COMPUTED_VALUE"""),"Transporte")</f>
        <v>Transporte</v>
      </c>
      <c r="C56" s="67" t="str">
        <f>IFERROR(__xludf.DUMMYFUNCTION("""COMPUTED_VALUE"""),"202409")</f>
        <v>202409</v>
      </c>
      <c r="D56" s="184" t="str">
        <f>IFERROR(__xludf.DUMMYFUNCTION("""COMPUTED_VALUE"""),"7171,504")</f>
        <v>7171,504</v>
      </c>
      <c r="E56" s="185" t="str">
        <f>IFERROR(__xludf.DUMMYFUNCTION("""COMPUTED_VALUE"""),"4,4")</f>
        <v>4,4</v>
      </c>
      <c r="F56" s="184" t="str">
        <f t="shared" si="1"/>
        <v>07202409</v>
      </c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81"/>
      <c r="T56" s="181"/>
      <c r="U56" s="181"/>
      <c r="V56" s="181"/>
      <c r="W56" s="181"/>
      <c r="X56" s="181"/>
      <c r="Y56" s="181"/>
      <c r="Z56" s="181"/>
    </row>
    <row r="57">
      <c r="A57" s="186" t="str">
        <f>IFERROR(__xludf.DUMMYFUNCTION("""COMPUTED_VALUE"""),"08")</f>
        <v>08</v>
      </c>
      <c r="B57" s="187" t="str">
        <f>IFERROR(__xludf.DUMMYFUNCTION("""COMPUTED_VALUE"""),"Comunicación")</f>
        <v>Comunicación</v>
      </c>
      <c r="C57" s="170" t="str">
        <f>IFERROR(__xludf.DUMMYFUNCTION("""COMPUTED_VALUE"""),"202409")</f>
        <v>202409</v>
      </c>
      <c r="D57" s="188" t="str">
        <f>IFERROR(__xludf.DUMMYFUNCTION("""COMPUTED_VALUE"""),"6392,993")</f>
        <v>6392,993</v>
      </c>
      <c r="E57" s="189" t="str">
        <f>IFERROR(__xludf.DUMMYFUNCTION("""COMPUTED_VALUE"""),"3,1")</f>
        <v>3,1</v>
      </c>
      <c r="F57" s="188" t="str">
        <f t="shared" si="1"/>
        <v>08202409</v>
      </c>
      <c r="G57" s="181"/>
      <c r="H57" s="181"/>
      <c r="I57" s="181"/>
      <c r="J57" s="181"/>
      <c r="K57" s="181"/>
      <c r="L57" s="181"/>
      <c r="M57" s="181"/>
      <c r="N57" s="181"/>
      <c r="O57" s="181"/>
      <c r="P57" s="181"/>
      <c r="Q57" s="181"/>
      <c r="R57" s="181"/>
      <c r="S57" s="181"/>
      <c r="T57" s="181"/>
      <c r="U57" s="181"/>
      <c r="V57" s="181"/>
      <c r="W57" s="181"/>
      <c r="X57" s="181"/>
      <c r="Y57" s="181"/>
      <c r="Z57" s="181"/>
    </row>
    <row r="58">
      <c r="A58" s="182" t="str">
        <f>IFERROR(__xludf.DUMMYFUNCTION("""COMPUTED_VALUE"""),"09")</f>
        <v>09</v>
      </c>
      <c r="B58" s="183" t="str">
        <f>IFERROR(__xludf.DUMMYFUNCTION("""COMPUTED_VALUE"""),"Recreación y cultura")</f>
        <v>Recreación y cultura</v>
      </c>
      <c r="C58" s="67" t="str">
        <f>IFERROR(__xludf.DUMMYFUNCTION("""COMPUTED_VALUE"""),"202409")</f>
        <v>202409</v>
      </c>
      <c r="D58" s="184" t="str">
        <f>IFERROR(__xludf.DUMMYFUNCTION("""COMPUTED_VALUE"""),"6617,346")</f>
        <v>6617,346</v>
      </c>
      <c r="E58" s="185" t="str">
        <f>IFERROR(__xludf.DUMMYFUNCTION("""COMPUTED_VALUE"""),"1,8")</f>
        <v>1,8</v>
      </c>
      <c r="F58" s="184" t="str">
        <f t="shared" si="1"/>
        <v>09202409</v>
      </c>
      <c r="G58" s="181"/>
      <c r="H58" s="181"/>
      <c r="I58" s="181"/>
      <c r="J58" s="181"/>
      <c r="K58" s="181"/>
      <c r="L58" s="181"/>
      <c r="M58" s="181"/>
      <c r="N58" s="181"/>
      <c r="O58" s="181"/>
      <c r="P58" s="181"/>
      <c r="Q58" s="181"/>
      <c r="R58" s="181"/>
      <c r="S58" s="181"/>
      <c r="T58" s="181"/>
      <c r="U58" s="181"/>
      <c r="V58" s="181"/>
      <c r="W58" s="181"/>
      <c r="X58" s="181"/>
      <c r="Y58" s="181"/>
      <c r="Z58" s="181"/>
    </row>
    <row r="59">
      <c r="A59" s="186" t="str">
        <f>IFERROR(__xludf.DUMMYFUNCTION("""COMPUTED_VALUE"""),"10")</f>
        <v>10</v>
      </c>
      <c r="B59" s="187" t="str">
        <f>IFERROR(__xludf.DUMMYFUNCTION("""COMPUTED_VALUE"""),"Educación")</f>
        <v>Educación</v>
      </c>
      <c r="C59" s="170" t="str">
        <f>IFERROR(__xludf.DUMMYFUNCTION("""COMPUTED_VALUE"""),"202409")</f>
        <v>202409</v>
      </c>
      <c r="D59" s="188" t="str">
        <f>IFERROR(__xludf.DUMMYFUNCTION("""COMPUTED_VALUE"""),"6031,759")</f>
        <v>6031,759</v>
      </c>
      <c r="E59" s="189" t="str">
        <f>IFERROR(__xludf.DUMMYFUNCTION("""COMPUTED_VALUE"""),"3,8")</f>
        <v>3,8</v>
      </c>
      <c r="F59" s="188" t="str">
        <f t="shared" si="1"/>
        <v>10202409</v>
      </c>
      <c r="G59" s="181"/>
      <c r="H59" s="181"/>
      <c r="I59" s="181"/>
      <c r="J59" s="181"/>
      <c r="K59" s="181"/>
      <c r="L59" s="181"/>
      <c r="M59" s="181"/>
      <c r="N59" s="181"/>
      <c r="O59" s="181"/>
      <c r="P59" s="181"/>
      <c r="Q59" s="181"/>
      <c r="R59" s="181"/>
      <c r="S59" s="181"/>
      <c r="T59" s="181"/>
      <c r="U59" s="181"/>
      <c r="V59" s="181"/>
      <c r="W59" s="181"/>
      <c r="X59" s="181"/>
      <c r="Y59" s="181"/>
      <c r="Z59" s="181"/>
    </row>
    <row r="60">
      <c r="A60" s="182" t="str">
        <f>IFERROR(__xludf.DUMMYFUNCTION("""COMPUTED_VALUE"""),"11")</f>
        <v>11</v>
      </c>
      <c r="B60" s="183" t="str">
        <f>IFERROR(__xludf.DUMMYFUNCTION("""COMPUTED_VALUE"""),"Restaurantes y hoteles")</f>
        <v>Restaurantes y hoteles</v>
      </c>
      <c r="C60" s="67" t="str">
        <f>IFERROR(__xludf.DUMMYFUNCTION("""COMPUTED_VALUE"""),"202409")</f>
        <v>202409</v>
      </c>
      <c r="D60" s="184" t="str">
        <f>IFERROR(__xludf.DUMMYFUNCTION("""COMPUTED_VALUE"""),"7709,654")</f>
        <v>7709,654</v>
      </c>
      <c r="E60" s="185" t="str">
        <f>IFERROR(__xludf.DUMMYFUNCTION("""COMPUTED_VALUE"""),"4,1")</f>
        <v>4,1</v>
      </c>
      <c r="F60" s="184" t="str">
        <f t="shared" si="1"/>
        <v>11202409</v>
      </c>
      <c r="G60" s="181"/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1"/>
      <c r="T60" s="181"/>
      <c r="U60" s="181"/>
      <c r="V60" s="181"/>
      <c r="W60" s="181"/>
      <c r="X60" s="181"/>
      <c r="Y60" s="181"/>
      <c r="Z60" s="181"/>
    </row>
    <row r="61">
      <c r="A61" s="186" t="str">
        <f>IFERROR(__xludf.DUMMYFUNCTION("""COMPUTED_VALUE"""),"12")</f>
        <v>12</v>
      </c>
      <c r="B61" s="187" t="str">
        <f>IFERROR(__xludf.DUMMYFUNCTION("""COMPUTED_VALUE"""),"Bienes y servicios varios")</f>
        <v>Bienes y servicios varios</v>
      </c>
      <c r="C61" s="170" t="str">
        <f>IFERROR(__xludf.DUMMYFUNCTION("""COMPUTED_VALUE"""),"202409")</f>
        <v>202409</v>
      </c>
      <c r="D61" s="188" t="str">
        <f>IFERROR(__xludf.DUMMYFUNCTION("""COMPUTED_VALUE"""),"6761,137")</f>
        <v>6761,137</v>
      </c>
      <c r="E61" s="189" t="str">
        <f>IFERROR(__xludf.DUMMYFUNCTION("""COMPUTED_VALUE"""),"3,5")</f>
        <v>3,5</v>
      </c>
      <c r="F61" s="188" t="str">
        <f t="shared" si="1"/>
        <v>12202409</v>
      </c>
      <c r="G61" s="181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1"/>
      <c r="T61" s="181"/>
      <c r="U61" s="181"/>
      <c r="V61" s="181"/>
      <c r="W61" s="181"/>
      <c r="X61" s="181"/>
      <c r="Y61" s="181"/>
      <c r="Z61" s="181"/>
    </row>
    <row r="62">
      <c r="A62" s="182" t="str">
        <f>IFERROR(__xludf.DUMMYFUNCTION("""COMPUTED_VALUE"""),"01")</f>
        <v>01</v>
      </c>
      <c r="B62" s="183" t="str">
        <f>IFERROR(__xludf.DUMMYFUNCTION("""COMPUTED_VALUE"""),"Alimentos y bebidas no alcohólicas")</f>
        <v>Alimentos y bebidas no alcohólicas</v>
      </c>
      <c r="C62" s="67" t="str">
        <f>IFERROR(__xludf.DUMMYFUNCTION("""COMPUTED_VALUE"""),"202410")</f>
        <v>202410</v>
      </c>
      <c r="D62" s="184" t="str">
        <f>IFERROR(__xludf.DUMMYFUNCTION("""COMPUTED_VALUE"""),"7904,044")</f>
        <v>7904,044</v>
      </c>
      <c r="E62" s="185" t="str">
        <f>IFERROR(__xludf.DUMMYFUNCTION("""COMPUTED_VALUE"""),"1,2")</f>
        <v>1,2</v>
      </c>
      <c r="F62" s="184" t="str">
        <f t="shared" si="1"/>
        <v>01202410</v>
      </c>
      <c r="G62" s="181"/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1"/>
      <c r="T62" s="181"/>
      <c r="U62" s="181"/>
      <c r="V62" s="181"/>
      <c r="W62" s="181"/>
      <c r="X62" s="181"/>
      <c r="Y62" s="181"/>
      <c r="Z62" s="181"/>
    </row>
    <row r="63">
      <c r="A63" s="186" t="str">
        <f>IFERROR(__xludf.DUMMYFUNCTION("""COMPUTED_VALUE"""),"02")</f>
        <v>02</v>
      </c>
      <c r="B63" s="187" t="str">
        <f>IFERROR(__xludf.DUMMYFUNCTION("""COMPUTED_VALUE"""),"Bebidas alcohólicas y tabaco")</f>
        <v>Bebidas alcohólicas y tabaco</v>
      </c>
      <c r="C63" s="170" t="str">
        <f>IFERROR(__xludf.DUMMYFUNCTION("""COMPUTED_VALUE"""),"202410")</f>
        <v>202410</v>
      </c>
      <c r="D63" s="188" t="str">
        <f>IFERROR(__xludf.DUMMYFUNCTION("""COMPUTED_VALUE"""),"5634,062")</f>
        <v>5634,062</v>
      </c>
      <c r="E63" s="189" t="str">
        <f>IFERROR(__xludf.DUMMYFUNCTION("""COMPUTED_VALUE"""),"3,6")</f>
        <v>3,6</v>
      </c>
      <c r="F63" s="188" t="str">
        <f t="shared" si="1"/>
        <v>02202410</v>
      </c>
      <c r="G63" s="181"/>
      <c r="H63" s="181"/>
      <c r="I63" s="181"/>
      <c r="J63" s="181"/>
      <c r="K63" s="181"/>
      <c r="L63" s="181"/>
      <c r="M63" s="181"/>
      <c r="N63" s="181"/>
      <c r="O63" s="181"/>
      <c r="P63" s="181"/>
      <c r="Q63" s="181"/>
      <c r="R63" s="181"/>
      <c r="S63" s="181"/>
      <c r="T63" s="181"/>
      <c r="U63" s="181"/>
      <c r="V63" s="181"/>
      <c r="W63" s="181"/>
      <c r="X63" s="181"/>
      <c r="Y63" s="181"/>
      <c r="Z63" s="181"/>
    </row>
    <row r="64">
      <c r="A64" s="182" t="str">
        <f>IFERROR(__xludf.DUMMYFUNCTION("""COMPUTED_VALUE"""),"03")</f>
        <v>03</v>
      </c>
      <c r="B64" s="183" t="str">
        <f>IFERROR(__xludf.DUMMYFUNCTION("""COMPUTED_VALUE"""),"Prendas de vestir y calzado")</f>
        <v>Prendas de vestir y calzado</v>
      </c>
      <c r="C64" s="67" t="str">
        <f>IFERROR(__xludf.DUMMYFUNCTION("""COMPUTED_VALUE"""),"202410")</f>
        <v>202410</v>
      </c>
      <c r="D64" s="184" t="str">
        <f>IFERROR(__xludf.DUMMYFUNCTION("""COMPUTED_VALUE"""),"6884,669")</f>
        <v>6884,669</v>
      </c>
      <c r="E64" s="185" t="str">
        <f>IFERROR(__xludf.DUMMYFUNCTION("""COMPUTED_VALUE"""),"4,5")</f>
        <v>4,5</v>
      </c>
      <c r="F64" s="184" t="str">
        <f t="shared" si="1"/>
        <v>03202410</v>
      </c>
      <c r="G64" s="181"/>
      <c r="H64" s="181"/>
      <c r="I64" s="181"/>
      <c r="J64" s="181"/>
      <c r="K64" s="181"/>
      <c r="L64" s="181"/>
      <c r="M64" s="181"/>
      <c r="N64" s="181"/>
      <c r="O64" s="181"/>
      <c r="P64" s="181"/>
      <c r="Q64" s="181"/>
      <c r="R64" s="181"/>
      <c r="S64" s="181"/>
      <c r="T64" s="181"/>
      <c r="U64" s="181"/>
      <c r="V64" s="181"/>
      <c r="W64" s="181"/>
      <c r="X64" s="181"/>
      <c r="Y64" s="181"/>
      <c r="Z64" s="181"/>
    </row>
    <row r="65">
      <c r="A65" s="186" t="str">
        <f>IFERROR(__xludf.DUMMYFUNCTION("""COMPUTED_VALUE"""),"04")</f>
        <v>04</v>
      </c>
      <c r="B65" s="187" t="str">
        <f>IFERROR(__xludf.DUMMYFUNCTION("""COMPUTED_VALUE"""),"Vivienda, agua, electricidad, gas y otros combustibles")</f>
        <v>Vivienda, agua, electricidad, gas y otros combustibles</v>
      </c>
      <c r="C65" s="170" t="str">
        <f>IFERROR(__xludf.DUMMYFUNCTION("""COMPUTED_VALUE"""),"202410")</f>
        <v>202410</v>
      </c>
      <c r="D65" s="188" t="str">
        <f>IFERROR(__xludf.DUMMYFUNCTION("""COMPUTED_VALUE"""),"6546,299")</f>
        <v>6546,299</v>
      </c>
      <c r="E65" s="189" t="str">
        <f>IFERROR(__xludf.DUMMYFUNCTION("""COMPUTED_VALUE"""),"4,7")</f>
        <v>4,7</v>
      </c>
      <c r="F65" s="188" t="str">
        <f t="shared" si="1"/>
        <v>04202410</v>
      </c>
      <c r="G65" s="181"/>
      <c r="H65" s="181"/>
      <c r="I65" s="181"/>
      <c r="J65" s="181"/>
      <c r="K65" s="181"/>
      <c r="L65" s="181"/>
      <c r="M65" s="181"/>
      <c r="N65" s="181"/>
      <c r="O65" s="181"/>
      <c r="P65" s="181"/>
      <c r="Q65" s="181"/>
      <c r="R65" s="181"/>
      <c r="S65" s="181"/>
      <c r="T65" s="181"/>
      <c r="U65" s="181"/>
      <c r="V65" s="181"/>
      <c r="W65" s="181"/>
      <c r="X65" s="181"/>
      <c r="Y65" s="181"/>
      <c r="Z65" s="181"/>
    </row>
    <row r="66">
      <c r="A66" s="182" t="str">
        <f>IFERROR(__xludf.DUMMYFUNCTION("""COMPUTED_VALUE"""),"05")</f>
        <v>05</v>
      </c>
      <c r="B66" s="183" t="str">
        <f>IFERROR(__xludf.DUMMYFUNCTION("""COMPUTED_VALUE"""),"Equipamiento y mantenimiento del hogar")</f>
        <v>Equipamiento y mantenimiento del hogar</v>
      </c>
      <c r="C66" s="67" t="str">
        <f>IFERROR(__xludf.DUMMYFUNCTION("""COMPUTED_VALUE"""),"202410")</f>
        <v>202410</v>
      </c>
      <c r="D66" s="184" t="str">
        <f>IFERROR(__xludf.DUMMYFUNCTION("""COMPUTED_VALUE"""),"6840,264")</f>
        <v>6840,264</v>
      </c>
      <c r="E66" s="185" t="str">
        <f>IFERROR(__xludf.DUMMYFUNCTION("""COMPUTED_VALUE"""),"2,6")</f>
        <v>2,6</v>
      </c>
      <c r="F66" s="184" t="str">
        <f t="shared" si="1"/>
        <v>05202410</v>
      </c>
      <c r="G66" s="181"/>
      <c r="H66" s="181"/>
      <c r="I66" s="181"/>
      <c r="J66" s="181"/>
      <c r="K66" s="181"/>
      <c r="L66" s="181"/>
      <c r="M66" s="181"/>
      <c r="N66" s="181"/>
      <c r="O66" s="181"/>
      <c r="P66" s="181"/>
      <c r="Q66" s="181"/>
      <c r="R66" s="181"/>
      <c r="S66" s="181"/>
      <c r="T66" s="181"/>
      <c r="U66" s="181"/>
      <c r="V66" s="181"/>
      <c r="W66" s="181"/>
      <c r="X66" s="181"/>
      <c r="Y66" s="181"/>
      <c r="Z66" s="181"/>
    </row>
    <row r="67">
      <c r="A67" s="186" t="str">
        <f>IFERROR(__xludf.DUMMYFUNCTION("""COMPUTED_VALUE"""),"06")</f>
        <v>06</v>
      </c>
      <c r="B67" s="187" t="str">
        <f>IFERROR(__xludf.DUMMYFUNCTION("""COMPUTED_VALUE"""),"Salud")</f>
        <v>Salud</v>
      </c>
      <c r="C67" s="170" t="str">
        <f>IFERROR(__xludf.DUMMYFUNCTION("""COMPUTED_VALUE"""),"202410")</f>
        <v>202410</v>
      </c>
      <c r="D67" s="188" t="str">
        <f>IFERROR(__xludf.DUMMYFUNCTION("""COMPUTED_VALUE"""),"7946,715")</f>
        <v>7946,715</v>
      </c>
      <c r="E67" s="189" t="str">
        <f>IFERROR(__xludf.DUMMYFUNCTION("""COMPUTED_VALUE"""),"3,9")</f>
        <v>3,9</v>
      </c>
      <c r="F67" s="188" t="str">
        <f t="shared" si="1"/>
        <v>06202410</v>
      </c>
      <c r="G67" s="181"/>
      <c r="H67" s="181"/>
      <c r="I67" s="181"/>
      <c r="J67" s="181"/>
      <c r="K67" s="181"/>
      <c r="L67" s="181"/>
      <c r="M67" s="181"/>
      <c r="N67" s="181"/>
      <c r="O67" s="181"/>
      <c r="P67" s="181"/>
      <c r="Q67" s="181"/>
      <c r="R67" s="181"/>
      <c r="S67" s="181"/>
      <c r="T67" s="181"/>
      <c r="U67" s="181"/>
      <c r="V67" s="181"/>
      <c r="W67" s="181"/>
      <c r="X67" s="181"/>
      <c r="Y67" s="181"/>
      <c r="Z67" s="181"/>
    </row>
    <row r="68">
      <c r="A68" s="182" t="str">
        <f>IFERROR(__xludf.DUMMYFUNCTION("""COMPUTED_VALUE"""),"07")</f>
        <v>07</v>
      </c>
      <c r="B68" s="183" t="str">
        <f>IFERROR(__xludf.DUMMYFUNCTION("""COMPUTED_VALUE"""),"Transporte")</f>
        <v>Transporte</v>
      </c>
      <c r="C68" s="67" t="str">
        <f>IFERROR(__xludf.DUMMYFUNCTION("""COMPUTED_VALUE"""),"202410")</f>
        <v>202410</v>
      </c>
      <c r="D68" s="184" t="str">
        <f>IFERROR(__xludf.DUMMYFUNCTION("""COMPUTED_VALUE"""),"7275,506")</f>
        <v>7275,506</v>
      </c>
      <c r="E68" s="185" t="str">
        <f>IFERROR(__xludf.DUMMYFUNCTION("""COMPUTED_VALUE"""),"1,5")</f>
        <v>1,5</v>
      </c>
      <c r="F68" s="184" t="str">
        <f t="shared" si="1"/>
        <v>07202410</v>
      </c>
      <c r="G68" s="181"/>
      <c r="H68" s="181"/>
      <c r="I68" s="181"/>
      <c r="J68" s="181"/>
      <c r="K68" s="181"/>
      <c r="L68" s="181"/>
      <c r="M68" s="181"/>
      <c r="N68" s="181"/>
      <c r="O68" s="181"/>
      <c r="P68" s="181"/>
      <c r="Q68" s="181"/>
      <c r="R68" s="181"/>
      <c r="S68" s="181"/>
      <c r="T68" s="181"/>
      <c r="U68" s="181"/>
      <c r="V68" s="181"/>
      <c r="W68" s="181"/>
      <c r="X68" s="181"/>
      <c r="Y68" s="181"/>
      <c r="Z68" s="181"/>
    </row>
    <row r="69">
      <c r="A69" s="186" t="str">
        <f>IFERROR(__xludf.DUMMYFUNCTION("""COMPUTED_VALUE"""),"08")</f>
        <v>08</v>
      </c>
      <c r="B69" s="187" t="str">
        <f>IFERROR(__xludf.DUMMYFUNCTION("""COMPUTED_VALUE"""),"Comunicación")</f>
        <v>Comunicación</v>
      </c>
      <c r="C69" s="170" t="str">
        <f>IFERROR(__xludf.DUMMYFUNCTION("""COMPUTED_VALUE"""),"202410")</f>
        <v>202410</v>
      </c>
      <c r="D69" s="188" t="str">
        <f>IFERROR(__xludf.DUMMYFUNCTION("""COMPUTED_VALUE"""),"6532,747")</f>
        <v>6532,747</v>
      </c>
      <c r="E69" s="189" t="str">
        <f>IFERROR(__xludf.DUMMYFUNCTION("""COMPUTED_VALUE"""),"2,2")</f>
        <v>2,2</v>
      </c>
      <c r="F69" s="188" t="str">
        <f t="shared" si="1"/>
        <v>08202410</v>
      </c>
      <c r="G69" s="181"/>
      <c r="H69" s="181"/>
      <c r="I69" s="181"/>
      <c r="J69" s="181"/>
      <c r="K69" s="181"/>
      <c r="L69" s="181"/>
      <c r="M69" s="181"/>
      <c r="N69" s="181"/>
      <c r="O69" s="181"/>
      <c r="P69" s="181"/>
      <c r="Q69" s="181"/>
      <c r="R69" s="181"/>
      <c r="S69" s="181"/>
      <c r="T69" s="181"/>
      <c r="U69" s="181"/>
      <c r="V69" s="181"/>
      <c r="W69" s="181"/>
      <c r="X69" s="181"/>
      <c r="Y69" s="181"/>
      <c r="Z69" s="181"/>
    </row>
    <row r="70">
      <c r="A70" s="182" t="str">
        <f>IFERROR(__xludf.DUMMYFUNCTION("""COMPUTED_VALUE"""),"09")</f>
        <v>09</v>
      </c>
      <c r="B70" s="183" t="str">
        <f>IFERROR(__xludf.DUMMYFUNCTION("""COMPUTED_VALUE"""),"Recreación y cultura")</f>
        <v>Recreación y cultura</v>
      </c>
      <c r="C70" s="67" t="str">
        <f>IFERROR(__xludf.DUMMYFUNCTION("""COMPUTED_VALUE"""),"202410")</f>
        <v>202410</v>
      </c>
      <c r="D70" s="184" t="str">
        <f>IFERROR(__xludf.DUMMYFUNCTION("""COMPUTED_VALUE"""),"6840,316")</f>
        <v>6840,316</v>
      </c>
      <c r="E70" s="185" t="str">
        <f>IFERROR(__xludf.DUMMYFUNCTION("""COMPUTED_VALUE"""),"3,4")</f>
        <v>3,4</v>
      </c>
      <c r="F70" s="184" t="str">
        <f t="shared" si="1"/>
        <v>09202410</v>
      </c>
      <c r="G70" s="181"/>
      <c r="H70" s="181"/>
      <c r="I70" s="181"/>
      <c r="J70" s="181"/>
      <c r="K70" s="181"/>
      <c r="L70" s="181"/>
      <c r="M70" s="181"/>
      <c r="N70" s="181"/>
      <c r="O70" s="181"/>
      <c r="P70" s="181"/>
      <c r="Q70" s="181"/>
      <c r="R70" s="181"/>
      <c r="S70" s="181"/>
      <c r="T70" s="181"/>
      <c r="U70" s="181"/>
      <c r="V70" s="181"/>
      <c r="W70" s="181"/>
      <c r="X70" s="181"/>
      <c r="Y70" s="181"/>
      <c r="Z70" s="181"/>
    </row>
    <row r="71">
      <c r="A71" s="186" t="str">
        <f>IFERROR(__xludf.DUMMYFUNCTION("""COMPUTED_VALUE"""),"10")</f>
        <v>10</v>
      </c>
      <c r="B71" s="187" t="str">
        <f>IFERROR(__xludf.DUMMYFUNCTION("""COMPUTED_VALUE"""),"Educación")</f>
        <v>Educación</v>
      </c>
      <c r="C71" s="170" t="str">
        <f>IFERROR(__xludf.DUMMYFUNCTION("""COMPUTED_VALUE"""),"202410")</f>
        <v>202410</v>
      </c>
      <c r="D71" s="188" t="str">
        <f>IFERROR(__xludf.DUMMYFUNCTION("""COMPUTED_VALUE"""),"6195,564")</f>
        <v>6195,564</v>
      </c>
      <c r="E71" s="189" t="str">
        <f>IFERROR(__xludf.DUMMYFUNCTION("""COMPUTED_VALUE"""),"2,7")</f>
        <v>2,7</v>
      </c>
      <c r="F71" s="188" t="str">
        <f t="shared" si="1"/>
        <v>10202410</v>
      </c>
      <c r="G71" s="181"/>
      <c r="H71" s="181"/>
      <c r="I71" s="181"/>
      <c r="J71" s="181"/>
      <c r="K71" s="181"/>
      <c r="L71" s="181"/>
      <c r="M71" s="181"/>
      <c r="N71" s="181"/>
      <c r="O71" s="181"/>
      <c r="P71" s="181"/>
      <c r="Q71" s="181"/>
      <c r="R71" s="181"/>
      <c r="S71" s="181"/>
      <c r="T71" s="181"/>
      <c r="U71" s="181"/>
      <c r="V71" s="181"/>
      <c r="W71" s="181"/>
      <c r="X71" s="181"/>
      <c r="Y71" s="181"/>
      <c r="Z71" s="181"/>
    </row>
    <row r="72">
      <c r="A72" s="182" t="str">
        <f>IFERROR(__xludf.DUMMYFUNCTION("""COMPUTED_VALUE"""),"11")</f>
        <v>11</v>
      </c>
      <c r="B72" s="183" t="str">
        <f>IFERROR(__xludf.DUMMYFUNCTION("""COMPUTED_VALUE"""),"Restaurantes y hoteles")</f>
        <v>Restaurantes y hoteles</v>
      </c>
      <c r="C72" s="67" t="str">
        <f>IFERROR(__xludf.DUMMYFUNCTION("""COMPUTED_VALUE"""),"202410")</f>
        <v>202410</v>
      </c>
      <c r="D72" s="184" t="str">
        <f>IFERROR(__xludf.DUMMYFUNCTION("""COMPUTED_VALUE"""),"8017,98")</f>
        <v>8017,98</v>
      </c>
      <c r="E72" s="185" t="str">
        <f>IFERROR(__xludf.DUMMYFUNCTION("""COMPUTED_VALUE"""),"4")</f>
        <v>4</v>
      </c>
      <c r="F72" s="184" t="str">
        <f t="shared" si="1"/>
        <v>11202410</v>
      </c>
      <c r="G72" s="181"/>
      <c r="H72" s="181"/>
      <c r="I72" s="181"/>
      <c r="J72" s="181"/>
      <c r="K72" s="181"/>
      <c r="L72" s="181"/>
      <c r="M72" s="181"/>
      <c r="N72" s="181"/>
      <c r="O72" s="181"/>
      <c r="P72" s="181"/>
      <c r="Q72" s="181"/>
      <c r="R72" s="181"/>
      <c r="S72" s="181"/>
      <c r="T72" s="181"/>
      <c r="U72" s="181"/>
      <c r="V72" s="181"/>
      <c r="W72" s="181"/>
      <c r="X72" s="181"/>
      <c r="Y72" s="181"/>
      <c r="Z72" s="181"/>
    </row>
    <row r="73">
      <c r="A73" s="186" t="str">
        <f>IFERROR(__xludf.DUMMYFUNCTION("""COMPUTED_VALUE"""),"12")</f>
        <v>12</v>
      </c>
      <c r="B73" s="187" t="str">
        <f>IFERROR(__xludf.DUMMYFUNCTION("""COMPUTED_VALUE"""),"Bienes y servicios varios")</f>
        <v>Bienes y servicios varios</v>
      </c>
      <c r="C73" s="170" t="str">
        <f>IFERROR(__xludf.DUMMYFUNCTION("""COMPUTED_VALUE"""),"202410")</f>
        <v>202410</v>
      </c>
      <c r="D73" s="188" t="str">
        <f>IFERROR(__xludf.DUMMYFUNCTION("""COMPUTED_VALUE"""),"6982,09")</f>
        <v>6982,09</v>
      </c>
      <c r="E73" s="189" t="str">
        <f>IFERROR(__xludf.DUMMYFUNCTION("""COMPUTED_VALUE"""),"3,3")</f>
        <v>3,3</v>
      </c>
      <c r="F73" s="188" t="str">
        <f t="shared" si="1"/>
        <v>12202410</v>
      </c>
      <c r="G73" s="181"/>
      <c r="H73" s="181"/>
      <c r="I73" s="181"/>
      <c r="J73" s="181"/>
      <c r="K73" s="181"/>
      <c r="L73" s="181"/>
      <c r="M73" s="181"/>
      <c r="N73" s="181"/>
      <c r="O73" s="181"/>
      <c r="P73" s="181"/>
      <c r="Q73" s="181"/>
      <c r="R73" s="181"/>
      <c r="S73" s="181"/>
      <c r="T73" s="181"/>
      <c r="U73" s="181"/>
      <c r="V73" s="181"/>
      <c r="W73" s="181"/>
      <c r="X73" s="181"/>
      <c r="Y73" s="181"/>
      <c r="Z73" s="181"/>
    </row>
    <row r="74">
      <c r="A74" s="182" t="str">
        <f>IFERROR(__xludf.DUMMYFUNCTION("""COMPUTED_VALUE"""),"01")</f>
        <v>01</v>
      </c>
      <c r="B74" s="183" t="str">
        <f>IFERROR(__xludf.DUMMYFUNCTION("""COMPUTED_VALUE"""),"Alimentos y bebidas no alcohólicas")</f>
        <v>Alimentos y bebidas no alcohólicas</v>
      </c>
      <c r="C74" s="67" t="str">
        <f>IFERROR(__xludf.DUMMYFUNCTION("""COMPUTED_VALUE"""),"202411")</f>
        <v>202411</v>
      </c>
      <c r="D74" s="184" t="str">
        <f>IFERROR(__xludf.DUMMYFUNCTION("""COMPUTED_VALUE"""),"7979,619")</f>
        <v>7979,619</v>
      </c>
      <c r="E74" s="185" t="str">
        <f>IFERROR(__xludf.DUMMYFUNCTION("""COMPUTED_VALUE"""),"1")</f>
        <v>1</v>
      </c>
      <c r="F74" s="184" t="str">
        <f t="shared" si="1"/>
        <v>01202411</v>
      </c>
      <c r="G74" s="181"/>
      <c r="H74" s="181"/>
      <c r="I74" s="181"/>
      <c r="J74" s="181"/>
      <c r="K74" s="181"/>
      <c r="L74" s="181"/>
      <c r="M74" s="181"/>
      <c r="N74" s="181"/>
      <c r="O74" s="181"/>
      <c r="P74" s="181"/>
      <c r="Q74" s="181"/>
      <c r="R74" s="181"/>
      <c r="S74" s="181"/>
      <c r="T74" s="181"/>
      <c r="U74" s="181"/>
      <c r="V74" s="181"/>
      <c r="W74" s="181"/>
      <c r="X74" s="181"/>
      <c r="Y74" s="181"/>
      <c r="Z74" s="181"/>
    </row>
    <row r="75">
      <c r="A75" s="186" t="str">
        <f>IFERROR(__xludf.DUMMYFUNCTION("""COMPUTED_VALUE"""),"02")</f>
        <v>02</v>
      </c>
      <c r="B75" s="187" t="str">
        <f>IFERROR(__xludf.DUMMYFUNCTION("""COMPUTED_VALUE"""),"Bebidas alcohólicas y tabaco")</f>
        <v>Bebidas alcohólicas y tabaco</v>
      </c>
      <c r="C75" s="170" t="str">
        <f>IFERROR(__xludf.DUMMYFUNCTION("""COMPUTED_VALUE"""),"202411")</f>
        <v>202411</v>
      </c>
      <c r="D75" s="188" t="str">
        <f>IFERROR(__xludf.DUMMYFUNCTION("""COMPUTED_VALUE"""),"5858,243")</f>
        <v>5858,243</v>
      </c>
      <c r="E75" s="189" t="str">
        <f>IFERROR(__xludf.DUMMYFUNCTION("""COMPUTED_VALUE"""),"4")</f>
        <v>4</v>
      </c>
      <c r="F75" s="188" t="str">
        <f t="shared" si="1"/>
        <v>02202411</v>
      </c>
      <c r="G75" s="181"/>
      <c r="H75" s="181"/>
      <c r="I75" s="181"/>
      <c r="J75" s="181"/>
      <c r="K75" s="181"/>
      <c r="L75" s="181"/>
      <c r="M75" s="181"/>
      <c r="N75" s="181"/>
      <c r="O75" s="181"/>
      <c r="P75" s="181"/>
      <c r="Q75" s="181"/>
      <c r="R75" s="181"/>
      <c r="S75" s="181"/>
      <c r="T75" s="181"/>
      <c r="U75" s="181"/>
      <c r="V75" s="181"/>
      <c r="W75" s="181"/>
      <c r="X75" s="181"/>
      <c r="Y75" s="181"/>
      <c r="Z75" s="181"/>
    </row>
    <row r="76">
      <c r="A76" s="182" t="str">
        <f>IFERROR(__xludf.DUMMYFUNCTION("""COMPUTED_VALUE"""),"03")</f>
        <v>03</v>
      </c>
      <c r="B76" s="183" t="str">
        <f>IFERROR(__xludf.DUMMYFUNCTION("""COMPUTED_VALUE"""),"Prendas de vestir y calzado")</f>
        <v>Prendas de vestir y calzado</v>
      </c>
      <c r="C76" s="67" t="str">
        <f>IFERROR(__xludf.DUMMYFUNCTION("""COMPUTED_VALUE"""),"202411")</f>
        <v>202411</v>
      </c>
      <c r="D76" s="184" t="str">
        <f>IFERROR(__xludf.DUMMYFUNCTION("""COMPUTED_VALUE"""),"7011,967")</f>
        <v>7011,967</v>
      </c>
      <c r="E76" s="185" t="str">
        <f>IFERROR(__xludf.DUMMYFUNCTION("""COMPUTED_VALUE"""),"1,8")</f>
        <v>1,8</v>
      </c>
      <c r="F76" s="184" t="str">
        <f t="shared" si="1"/>
        <v>03202411</v>
      </c>
      <c r="G76" s="181"/>
      <c r="H76" s="181"/>
      <c r="I76" s="181"/>
      <c r="J76" s="181"/>
      <c r="K76" s="181"/>
      <c r="L76" s="181"/>
      <c r="M76" s="181"/>
      <c r="N76" s="181"/>
      <c r="O76" s="181"/>
      <c r="P76" s="181"/>
      <c r="Q76" s="181"/>
      <c r="R76" s="181"/>
      <c r="S76" s="181"/>
      <c r="T76" s="181"/>
      <c r="U76" s="181"/>
      <c r="V76" s="181"/>
      <c r="W76" s="181"/>
      <c r="X76" s="181"/>
      <c r="Y76" s="181"/>
      <c r="Z76" s="181"/>
    </row>
    <row r="77">
      <c r="A77" s="186" t="str">
        <f>IFERROR(__xludf.DUMMYFUNCTION("""COMPUTED_VALUE"""),"04")</f>
        <v>04</v>
      </c>
      <c r="B77" s="187" t="str">
        <f>IFERROR(__xludf.DUMMYFUNCTION("""COMPUTED_VALUE"""),"Vivienda, agua, electricidad, gas y otros combustibles")</f>
        <v>Vivienda, agua, electricidad, gas y otros combustibles</v>
      </c>
      <c r="C77" s="170" t="str">
        <f>IFERROR(__xludf.DUMMYFUNCTION("""COMPUTED_VALUE"""),"202411")</f>
        <v>202411</v>
      </c>
      <c r="D77" s="188" t="str">
        <f>IFERROR(__xludf.DUMMYFUNCTION("""COMPUTED_VALUE"""),"6841,413")</f>
        <v>6841,413</v>
      </c>
      <c r="E77" s="189" t="str">
        <f>IFERROR(__xludf.DUMMYFUNCTION("""COMPUTED_VALUE"""),"4,5")</f>
        <v>4,5</v>
      </c>
      <c r="F77" s="188" t="str">
        <f t="shared" si="1"/>
        <v>04202411</v>
      </c>
      <c r="G77" s="181"/>
      <c r="H77" s="181"/>
      <c r="I77" s="181"/>
      <c r="J77" s="181"/>
      <c r="K77" s="181"/>
      <c r="L77" s="181"/>
      <c r="M77" s="181"/>
      <c r="N77" s="181"/>
      <c r="O77" s="181"/>
      <c r="P77" s="181"/>
      <c r="Q77" s="181"/>
      <c r="R77" s="181"/>
      <c r="S77" s="181"/>
      <c r="T77" s="181"/>
      <c r="U77" s="181"/>
      <c r="V77" s="181"/>
      <c r="W77" s="181"/>
      <c r="X77" s="181"/>
      <c r="Y77" s="181"/>
      <c r="Z77" s="181"/>
    </row>
    <row r="78">
      <c r="A78" s="182" t="str">
        <f>IFERROR(__xludf.DUMMYFUNCTION("""COMPUTED_VALUE"""),"05")</f>
        <v>05</v>
      </c>
      <c r="B78" s="183" t="str">
        <f>IFERROR(__xludf.DUMMYFUNCTION("""COMPUTED_VALUE"""),"Equipamiento y mantenimiento del hogar")</f>
        <v>Equipamiento y mantenimiento del hogar</v>
      </c>
      <c r="C78" s="67" t="str">
        <f>IFERROR(__xludf.DUMMYFUNCTION("""COMPUTED_VALUE"""),"202411")</f>
        <v>202411</v>
      </c>
      <c r="D78" s="184" t="str">
        <f>IFERROR(__xludf.DUMMYFUNCTION("""COMPUTED_VALUE"""),"6926,558")</f>
        <v>6926,558</v>
      </c>
      <c r="E78" s="185" t="str">
        <f>IFERROR(__xludf.DUMMYFUNCTION("""COMPUTED_VALUE"""),"1,3")</f>
        <v>1,3</v>
      </c>
      <c r="F78" s="184" t="str">
        <f t="shared" si="1"/>
        <v>05202411</v>
      </c>
      <c r="G78" s="181"/>
      <c r="H78" s="181"/>
      <c r="I78" s="181"/>
      <c r="J78" s="181"/>
      <c r="K78" s="181"/>
      <c r="L78" s="181"/>
      <c r="M78" s="181"/>
      <c r="N78" s="181"/>
      <c r="O78" s="181"/>
      <c r="P78" s="181"/>
      <c r="Q78" s="181"/>
      <c r="R78" s="181"/>
      <c r="S78" s="181"/>
      <c r="T78" s="181"/>
      <c r="U78" s="181"/>
      <c r="V78" s="181"/>
      <c r="W78" s="181"/>
      <c r="X78" s="181"/>
      <c r="Y78" s="181"/>
      <c r="Z78" s="181"/>
    </row>
    <row r="79">
      <c r="A79" s="186" t="str">
        <f>IFERROR(__xludf.DUMMYFUNCTION("""COMPUTED_VALUE"""),"06")</f>
        <v>06</v>
      </c>
      <c r="B79" s="187" t="str">
        <f>IFERROR(__xludf.DUMMYFUNCTION("""COMPUTED_VALUE"""),"Salud")</f>
        <v>Salud</v>
      </c>
      <c r="C79" s="170" t="str">
        <f>IFERROR(__xludf.DUMMYFUNCTION("""COMPUTED_VALUE"""),"202411")</f>
        <v>202411</v>
      </c>
      <c r="D79" s="188" t="str">
        <f>IFERROR(__xludf.DUMMYFUNCTION("""COMPUTED_VALUE"""),"8198,778")</f>
        <v>8198,778</v>
      </c>
      <c r="E79" s="189" t="str">
        <f>IFERROR(__xludf.DUMMYFUNCTION("""COMPUTED_VALUE"""),"3,2")</f>
        <v>3,2</v>
      </c>
      <c r="F79" s="188" t="str">
        <f t="shared" si="1"/>
        <v>06202411</v>
      </c>
      <c r="G79" s="181"/>
      <c r="H79" s="181"/>
      <c r="I79" s="181"/>
      <c r="J79" s="181"/>
      <c r="K79" s="181"/>
      <c r="L79" s="181"/>
      <c r="M79" s="181"/>
      <c r="N79" s="181"/>
      <c r="O79" s="181"/>
      <c r="P79" s="181"/>
      <c r="Q79" s="181"/>
      <c r="R79" s="181"/>
      <c r="S79" s="181"/>
      <c r="T79" s="181"/>
      <c r="U79" s="181"/>
      <c r="V79" s="181"/>
      <c r="W79" s="181"/>
      <c r="X79" s="181"/>
      <c r="Y79" s="181"/>
      <c r="Z79" s="181"/>
    </row>
    <row r="80">
      <c r="A80" s="182" t="str">
        <f>IFERROR(__xludf.DUMMYFUNCTION("""COMPUTED_VALUE"""),"07")</f>
        <v>07</v>
      </c>
      <c r="B80" s="183" t="str">
        <f>IFERROR(__xludf.DUMMYFUNCTION("""COMPUTED_VALUE"""),"Transporte")</f>
        <v>Transporte</v>
      </c>
      <c r="C80" s="67" t="str">
        <f>IFERROR(__xludf.DUMMYFUNCTION("""COMPUTED_VALUE"""),"202411")</f>
        <v>202411</v>
      </c>
      <c r="D80" s="184" t="str">
        <f>IFERROR(__xludf.DUMMYFUNCTION("""COMPUTED_VALUE"""),"7599,339")</f>
        <v>7599,339</v>
      </c>
      <c r="E80" s="185" t="str">
        <f>IFERROR(__xludf.DUMMYFUNCTION("""COMPUTED_VALUE"""),"4,5")</f>
        <v>4,5</v>
      </c>
      <c r="F80" s="184" t="str">
        <f t="shared" si="1"/>
        <v>07202411</v>
      </c>
      <c r="G80" s="181"/>
      <c r="H80" s="181"/>
      <c r="I80" s="181"/>
      <c r="J80" s="181"/>
      <c r="K80" s="181"/>
      <c r="L80" s="181"/>
      <c r="M80" s="181"/>
      <c r="N80" s="181"/>
      <c r="O80" s="181"/>
      <c r="P80" s="181"/>
      <c r="Q80" s="181"/>
      <c r="R80" s="181"/>
      <c r="S80" s="181"/>
      <c r="T80" s="181"/>
      <c r="U80" s="181"/>
      <c r="V80" s="181"/>
      <c r="W80" s="181"/>
      <c r="X80" s="181"/>
      <c r="Y80" s="181"/>
      <c r="Z80" s="181"/>
    </row>
    <row r="81">
      <c r="A81" s="186" t="str">
        <f>IFERROR(__xludf.DUMMYFUNCTION("""COMPUTED_VALUE"""),"08")</f>
        <v>08</v>
      </c>
      <c r="B81" s="187" t="str">
        <f>IFERROR(__xludf.DUMMYFUNCTION("""COMPUTED_VALUE"""),"Comunicación")</f>
        <v>Comunicación</v>
      </c>
      <c r="C81" s="170" t="str">
        <f>IFERROR(__xludf.DUMMYFUNCTION("""COMPUTED_VALUE"""),"202411")</f>
        <v>202411</v>
      </c>
      <c r="D81" s="188" t="str">
        <f>IFERROR(__xludf.DUMMYFUNCTION("""COMPUTED_VALUE"""),"6624,503")</f>
        <v>6624,503</v>
      </c>
      <c r="E81" s="189" t="str">
        <f>IFERROR(__xludf.DUMMYFUNCTION("""COMPUTED_VALUE"""),"1,4")</f>
        <v>1,4</v>
      </c>
      <c r="F81" s="188" t="str">
        <f t="shared" si="1"/>
        <v>08202411</v>
      </c>
      <c r="G81" s="181"/>
      <c r="H81" s="181"/>
      <c r="I81" s="181"/>
      <c r="J81" s="181"/>
      <c r="K81" s="181"/>
      <c r="L81" s="181"/>
      <c r="M81" s="181"/>
      <c r="N81" s="181"/>
      <c r="O81" s="181"/>
      <c r="P81" s="181"/>
      <c r="Q81" s="181"/>
      <c r="R81" s="181"/>
      <c r="S81" s="181"/>
      <c r="T81" s="181"/>
      <c r="U81" s="181"/>
      <c r="V81" s="181"/>
      <c r="W81" s="181"/>
      <c r="X81" s="181"/>
      <c r="Y81" s="181"/>
      <c r="Z81" s="181"/>
    </row>
    <row r="82">
      <c r="A82" s="182" t="str">
        <f>IFERROR(__xludf.DUMMYFUNCTION("""COMPUTED_VALUE"""),"09")</f>
        <v>09</v>
      </c>
      <c r="B82" s="183" t="str">
        <f>IFERROR(__xludf.DUMMYFUNCTION("""COMPUTED_VALUE"""),"Recreación y cultura")</f>
        <v>Recreación y cultura</v>
      </c>
      <c r="C82" s="67" t="str">
        <f>IFERROR(__xludf.DUMMYFUNCTION("""COMPUTED_VALUE"""),"202411")</f>
        <v>202411</v>
      </c>
      <c r="D82" s="184" t="str">
        <f>IFERROR(__xludf.DUMMYFUNCTION("""COMPUTED_VALUE"""),"7008,675")</f>
        <v>7008,675</v>
      </c>
      <c r="E82" s="185" t="str">
        <f>IFERROR(__xludf.DUMMYFUNCTION("""COMPUTED_VALUE"""),"2,5")</f>
        <v>2,5</v>
      </c>
      <c r="F82" s="184" t="str">
        <f t="shared" si="1"/>
        <v>09202411</v>
      </c>
      <c r="G82" s="181"/>
      <c r="H82" s="181"/>
      <c r="I82" s="181"/>
      <c r="J82" s="181"/>
      <c r="K82" s="181"/>
      <c r="L82" s="181"/>
      <c r="M82" s="181"/>
      <c r="N82" s="181"/>
      <c r="O82" s="181"/>
      <c r="P82" s="181"/>
      <c r="Q82" s="181"/>
      <c r="R82" s="181"/>
      <c r="S82" s="181"/>
      <c r="T82" s="181"/>
      <c r="U82" s="181"/>
      <c r="V82" s="181"/>
      <c r="W82" s="181"/>
      <c r="X82" s="181"/>
      <c r="Y82" s="181"/>
      <c r="Z82" s="181"/>
    </row>
    <row r="83">
      <c r="A83" s="186" t="str">
        <f>IFERROR(__xludf.DUMMYFUNCTION("""COMPUTED_VALUE"""),"10")</f>
        <v>10</v>
      </c>
      <c r="B83" s="187" t="str">
        <f>IFERROR(__xludf.DUMMYFUNCTION("""COMPUTED_VALUE"""),"Educación")</f>
        <v>Educación</v>
      </c>
      <c r="C83" s="170" t="str">
        <f>IFERROR(__xludf.DUMMYFUNCTION("""COMPUTED_VALUE"""),"202411")</f>
        <v>202411</v>
      </c>
      <c r="D83" s="188" t="str">
        <f>IFERROR(__xludf.DUMMYFUNCTION("""COMPUTED_VALUE"""),"6456,349")</f>
        <v>6456,349</v>
      </c>
      <c r="E83" s="189" t="str">
        <f>IFERROR(__xludf.DUMMYFUNCTION("""COMPUTED_VALUE"""),"4,2")</f>
        <v>4,2</v>
      </c>
      <c r="F83" s="188" t="str">
        <f t="shared" si="1"/>
        <v>10202411</v>
      </c>
      <c r="G83" s="181"/>
      <c r="H83" s="181"/>
      <c r="I83" s="181"/>
      <c r="J83" s="181"/>
      <c r="K83" s="181"/>
      <c r="L83" s="181"/>
      <c r="M83" s="181"/>
      <c r="N83" s="181"/>
      <c r="O83" s="181"/>
      <c r="P83" s="181"/>
      <c r="Q83" s="181"/>
      <c r="R83" s="181"/>
      <c r="S83" s="181"/>
      <c r="T83" s="181"/>
      <c r="U83" s="181"/>
      <c r="V83" s="181"/>
      <c r="W83" s="181"/>
      <c r="X83" s="181"/>
      <c r="Y83" s="181"/>
      <c r="Z83" s="181"/>
    </row>
    <row r="84">
      <c r="A84" s="182" t="str">
        <f>IFERROR(__xludf.DUMMYFUNCTION("""COMPUTED_VALUE"""),"11")</f>
        <v>11</v>
      </c>
      <c r="B84" s="183" t="str">
        <f>IFERROR(__xludf.DUMMYFUNCTION("""COMPUTED_VALUE"""),"Restaurantes y hoteles")</f>
        <v>Restaurantes y hoteles</v>
      </c>
      <c r="C84" s="67" t="str">
        <f>IFERROR(__xludf.DUMMYFUNCTION("""COMPUTED_VALUE"""),"202411")</f>
        <v>202411</v>
      </c>
      <c r="D84" s="184" t="str">
        <f>IFERROR(__xludf.DUMMYFUNCTION("""COMPUTED_VALUE"""),"8276,542")</f>
        <v>8276,542</v>
      </c>
      <c r="E84" s="185" t="str">
        <f>IFERROR(__xludf.DUMMYFUNCTION("""COMPUTED_VALUE"""),"3,2")</f>
        <v>3,2</v>
      </c>
      <c r="F84" s="184" t="str">
        <f t="shared" si="1"/>
        <v>11202411</v>
      </c>
      <c r="G84" s="181"/>
      <c r="H84" s="181"/>
      <c r="I84" s="181"/>
      <c r="J84" s="181"/>
      <c r="K84" s="181"/>
      <c r="L84" s="181"/>
      <c r="M84" s="181"/>
      <c r="N84" s="181"/>
      <c r="O84" s="181"/>
      <c r="P84" s="181"/>
      <c r="Q84" s="181"/>
      <c r="R84" s="181"/>
      <c r="S84" s="181"/>
      <c r="T84" s="181"/>
      <c r="U84" s="181"/>
      <c r="V84" s="181"/>
      <c r="W84" s="181"/>
      <c r="X84" s="181"/>
      <c r="Y84" s="181"/>
      <c r="Z84" s="181"/>
    </row>
    <row r="85">
      <c r="A85" s="186" t="str">
        <f>IFERROR(__xludf.DUMMYFUNCTION("""COMPUTED_VALUE"""),"12")</f>
        <v>12</v>
      </c>
      <c r="B85" s="187" t="str">
        <f>IFERROR(__xludf.DUMMYFUNCTION("""COMPUTED_VALUE"""),"Bienes y servicios varios")</f>
        <v>Bienes y servicios varios</v>
      </c>
      <c r="C85" s="170" t="str">
        <f>IFERROR(__xludf.DUMMYFUNCTION("""COMPUTED_VALUE"""),"202411")</f>
        <v>202411</v>
      </c>
      <c r="D85" s="188" t="str">
        <f>IFERROR(__xludf.DUMMYFUNCTION("""COMPUTED_VALUE"""),"7161,6")</f>
        <v>7161,6</v>
      </c>
      <c r="E85" s="189" t="str">
        <f>IFERROR(__xludf.DUMMYFUNCTION("""COMPUTED_VALUE"""),"2,6")</f>
        <v>2,6</v>
      </c>
      <c r="F85" s="188" t="str">
        <f t="shared" si="1"/>
        <v>12202411</v>
      </c>
      <c r="G85" s="181"/>
      <c r="H85" s="181"/>
      <c r="I85" s="181"/>
      <c r="J85" s="181"/>
      <c r="K85" s="181"/>
      <c r="L85" s="181"/>
      <c r="M85" s="181"/>
      <c r="N85" s="181"/>
      <c r="O85" s="181"/>
      <c r="P85" s="181"/>
      <c r="Q85" s="181"/>
      <c r="R85" s="181"/>
      <c r="S85" s="181"/>
      <c r="T85" s="181"/>
      <c r="U85" s="181"/>
      <c r="V85" s="181"/>
      <c r="W85" s="181"/>
      <c r="X85" s="181"/>
      <c r="Y85" s="181"/>
      <c r="Z85" s="181"/>
    </row>
    <row r="86">
      <c r="A86" s="182" t="str">
        <f>IFERROR(__xludf.DUMMYFUNCTION("""COMPUTED_VALUE"""),"01")</f>
        <v>01</v>
      </c>
      <c r="B86" s="183" t="str">
        <f>IFERROR(__xludf.DUMMYFUNCTION("""COMPUTED_VALUE"""),"Alimentos y bebidas no alcohólicas")</f>
        <v>Alimentos y bebidas no alcohólicas</v>
      </c>
      <c r="C86" s="67" t="str">
        <f>IFERROR(__xludf.DUMMYFUNCTION("""COMPUTED_VALUE"""),"202412")</f>
        <v>202412</v>
      </c>
      <c r="D86" s="184" t="str">
        <f>IFERROR(__xludf.DUMMYFUNCTION("""COMPUTED_VALUE"""),"8155,8025")</f>
        <v>8155,8025</v>
      </c>
      <c r="E86" s="185" t="str">
        <f>IFERROR(__xludf.DUMMYFUNCTION("""COMPUTED_VALUE"""),"2,2")</f>
        <v>2,2</v>
      </c>
      <c r="F86" s="184" t="str">
        <f t="shared" si="1"/>
        <v>01202412</v>
      </c>
      <c r="G86" s="181"/>
      <c r="H86" s="181"/>
      <c r="I86" s="181"/>
      <c r="J86" s="181"/>
      <c r="K86" s="181"/>
      <c r="L86" s="181"/>
      <c r="M86" s="181"/>
      <c r="N86" s="181"/>
      <c r="O86" s="181"/>
      <c r="P86" s="181"/>
      <c r="Q86" s="181"/>
      <c r="R86" s="181"/>
      <c r="S86" s="181"/>
      <c r="T86" s="181"/>
      <c r="U86" s="181"/>
      <c r="V86" s="181"/>
      <c r="W86" s="181"/>
      <c r="X86" s="181"/>
      <c r="Y86" s="181"/>
      <c r="Z86" s="181"/>
    </row>
    <row r="87">
      <c r="A87" s="186" t="str">
        <f>IFERROR(__xludf.DUMMYFUNCTION("""COMPUTED_VALUE"""),"02")</f>
        <v>02</v>
      </c>
      <c r="B87" s="187" t="str">
        <f>IFERROR(__xludf.DUMMYFUNCTION("""COMPUTED_VALUE"""),"Bebidas alcohólicas y tabaco")</f>
        <v>Bebidas alcohólicas y tabaco</v>
      </c>
      <c r="C87" s="170" t="str">
        <f>IFERROR(__xludf.DUMMYFUNCTION("""COMPUTED_VALUE"""),"202412")</f>
        <v>202412</v>
      </c>
      <c r="D87" s="188" t="str">
        <f>IFERROR(__xludf.DUMMYFUNCTION("""COMPUTED_VALUE"""),"6021,789")</f>
        <v>6021,789</v>
      </c>
      <c r="E87" s="189" t="str">
        <f>IFERROR(__xludf.DUMMYFUNCTION("""COMPUTED_VALUE"""),"2,8")</f>
        <v>2,8</v>
      </c>
      <c r="F87" s="188" t="str">
        <f t="shared" si="1"/>
        <v>02202412</v>
      </c>
      <c r="G87" s="181"/>
      <c r="H87" s="181"/>
      <c r="I87" s="181"/>
      <c r="J87" s="181"/>
      <c r="K87" s="181"/>
      <c r="L87" s="181"/>
      <c r="M87" s="181"/>
      <c r="N87" s="181"/>
      <c r="O87" s="181"/>
      <c r="P87" s="181"/>
      <c r="Q87" s="181"/>
      <c r="R87" s="181"/>
      <c r="S87" s="181"/>
      <c r="T87" s="181"/>
      <c r="U87" s="181"/>
      <c r="V87" s="181"/>
      <c r="W87" s="181"/>
      <c r="X87" s="181"/>
      <c r="Y87" s="181"/>
      <c r="Z87" s="181"/>
    </row>
    <row r="88">
      <c r="A88" s="182" t="str">
        <f>IFERROR(__xludf.DUMMYFUNCTION("""COMPUTED_VALUE"""),"03")</f>
        <v>03</v>
      </c>
      <c r="B88" s="183" t="str">
        <f>IFERROR(__xludf.DUMMYFUNCTION("""COMPUTED_VALUE"""),"Prendas de vestir y calzado")</f>
        <v>Prendas de vestir y calzado</v>
      </c>
      <c r="C88" s="67" t="str">
        <f>IFERROR(__xludf.DUMMYFUNCTION("""COMPUTED_VALUE"""),"202412")</f>
        <v>202412</v>
      </c>
      <c r="D88" s="184" t="str">
        <f>IFERROR(__xludf.DUMMYFUNCTION("""COMPUTED_VALUE"""),"7109,0513")</f>
        <v>7109,0513</v>
      </c>
      <c r="E88" s="185" t="str">
        <f>IFERROR(__xludf.DUMMYFUNCTION("""COMPUTED_VALUE"""),"1,4")</f>
        <v>1,4</v>
      </c>
      <c r="F88" s="184" t="str">
        <f t="shared" si="1"/>
        <v>03202412</v>
      </c>
      <c r="G88" s="181"/>
      <c r="H88" s="181"/>
      <c r="I88" s="181"/>
      <c r="J88" s="181"/>
      <c r="K88" s="181"/>
      <c r="L88" s="181"/>
      <c r="M88" s="181"/>
      <c r="N88" s="181"/>
      <c r="O88" s="181"/>
      <c r="P88" s="181"/>
      <c r="Q88" s="181"/>
      <c r="R88" s="181"/>
      <c r="S88" s="181"/>
      <c r="T88" s="181"/>
      <c r="U88" s="181"/>
      <c r="V88" s="181"/>
      <c r="W88" s="181"/>
      <c r="X88" s="181"/>
      <c r="Y88" s="181"/>
      <c r="Z88" s="181"/>
    </row>
    <row r="89">
      <c r="A89" s="186" t="str">
        <f>IFERROR(__xludf.DUMMYFUNCTION("""COMPUTED_VALUE"""),"04")</f>
        <v>04</v>
      </c>
      <c r="B89" s="187" t="str">
        <f>IFERROR(__xludf.DUMMYFUNCTION("""COMPUTED_VALUE"""),"Vivienda, agua, electricidad, gas y otros combustibles")</f>
        <v>Vivienda, agua, electricidad, gas y otros combustibles</v>
      </c>
      <c r="C89" s="170" t="str">
        <f>IFERROR(__xludf.DUMMYFUNCTION("""COMPUTED_VALUE"""),"202412")</f>
        <v>202412</v>
      </c>
      <c r="D89" s="188" t="str">
        <f>IFERROR(__xludf.DUMMYFUNCTION("""COMPUTED_VALUE"""),"7218,6886")</f>
        <v>7218,6886</v>
      </c>
      <c r="E89" s="189" t="str">
        <f>IFERROR(__xludf.DUMMYFUNCTION("""COMPUTED_VALUE"""),"5,5")</f>
        <v>5,5</v>
      </c>
      <c r="F89" s="188" t="str">
        <f t="shared" si="1"/>
        <v>04202412</v>
      </c>
      <c r="G89" s="181"/>
      <c r="H89" s="181"/>
      <c r="I89" s="181"/>
      <c r="J89" s="181"/>
      <c r="K89" s="181"/>
      <c r="L89" s="181"/>
      <c r="M89" s="181"/>
      <c r="N89" s="181"/>
      <c r="O89" s="181"/>
      <c r="P89" s="181"/>
      <c r="Q89" s="181"/>
      <c r="R89" s="181"/>
      <c r="S89" s="181"/>
      <c r="T89" s="181"/>
      <c r="U89" s="181"/>
      <c r="V89" s="181"/>
      <c r="W89" s="181"/>
      <c r="X89" s="181"/>
      <c r="Y89" s="181"/>
      <c r="Z89" s="181"/>
    </row>
    <row r="90">
      <c r="A90" s="182" t="str">
        <f>IFERROR(__xludf.DUMMYFUNCTION("""COMPUTED_VALUE"""),"05")</f>
        <v>05</v>
      </c>
      <c r="B90" s="183" t="str">
        <f>IFERROR(__xludf.DUMMYFUNCTION("""COMPUTED_VALUE"""),"Equipamiento y mantenimiento del hogar")</f>
        <v>Equipamiento y mantenimiento del hogar</v>
      </c>
      <c r="C90" s="67" t="str">
        <f>IFERROR(__xludf.DUMMYFUNCTION("""COMPUTED_VALUE"""),"202412")</f>
        <v>202412</v>
      </c>
      <c r="D90" s="184" t="str">
        <f>IFERROR(__xludf.DUMMYFUNCTION("""COMPUTED_VALUE"""),"6960,5953")</f>
        <v>6960,5953</v>
      </c>
      <c r="E90" s="185" t="str">
        <f>IFERROR(__xludf.DUMMYFUNCTION("""COMPUTED_VALUE"""),"0,5")</f>
        <v>0,5</v>
      </c>
      <c r="F90" s="184" t="str">
        <f t="shared" si="1"/>
        <v>05202412</v>
      </c>
      <c r="G90" s="181"/>
      <c r="H90" s="181"/>
      <c r="I90" s="181"/>
      <c r="J90" s="181"/>
      <c r="K90" s="181"/>
      <c r="L90" s="181"/>
      <c r="M90" s="181"/>
      <c r="N90" s="181"/>
      <c r="O90" s="181"/>
      <c r="P90" s="181"/>
      <c r="Q90" s="181"/>
      <c r="R90" s="181"/>
      <c r="S90" s="181"/>
      <c r="T90" s="181"/>
      <c r="U90" s="181"/>
      <c r="V90" s="181"/>
      <c r="W90" s="181"/>
      <c r="X90" s="181"/>
      <c r="Y90" s="181"/>
      <c r="Z90" s="181"/>
    </row>
    <row r="91">
      <c r="A91" s="186" t="str">
        <f>IFERROR(__xludf.DUMMYFUNCTION("""COMPUTED_VALUE"""),"06")</f>
        <v>06</v>
      </c>
      <c r="B91" s="187" t="str">
        <f>IFERROR(__xludf.DUMMYFUNCTION("""COMPUTED_VALUE"""),"Salud")</f>
        <v>Salud</v>
      </c>
      <c r="C91" s="170" t="str">
        <f>IFERROR(__xludf.DUMMYFUNCTION("""COMPUTED_VALUE"""),"202412")</f>
        <v>202412</v>
      </c>
      <c r="D91" s="188" t="str">
        <f>IFERROR(__xludf.DUMMYFUNCTION("""COMPUTED_VALUE"""),"8401,7447")</f>
        <v>8401,7447</v>
      </c>
      <c r="E91" s="189" t="str">
        <f>IFERROR(__xludf.DUMMYFUNCTION("""COMPUTED_VALUE"""),"2,5")</f>
        <v>2,5</v>
      </c>
      <c r="F91" s="188" t="str">
        <f t="shared" si="1"/>
        <v>06202412</v>
      </c>
      <c r="G91" s="181"/>
      <c r="H91" s="181"/>
      <c r="I91" s="181"/>
      <c r="J91" s="181"/>
      <c r="K91" s="181"/>
      <c r="L91" s="181"/>
      <c r="M91" s="181"/>
      <c r="N91" s="181"/>
      <c r="O91" s="181"/>
      <c r="P91" s="181"/>
      <c r="Q91" s="181"/>
      <c r="R91" s="181"/>
      <c r="S91" s="181"/>
      <c r="T91" s="181"/>
      <c r="U91" s="181"/>
      <c r="V91" s="181"/>
      <c r="W91" s="181"/>
      <c r="X91" s="181"/>
      <c r="Y91" s="181"/>
      <c r="Z91" s="181"/>
    </row>
    <row r="92">
      <c r="A92" s="182" t="str">
        <f>IFERROR(__xludf.DUMMYFUNCTION("""COMPUTED_VALUE"""),"07")</f>
        <v>07</v>
      </c>
      <c r="B92" s="183" t="str">
        <f>IFERROR(__xludf.DUMMYFUNCTION("""COMPUTED_VALUE"""),"Transporte")</f>
        <v>Transporte</v>
      </c>
      <c r="C92" s="67" t="str">
        <f>IFERROR(__xludf.DUMMYFUNCTION("""COMPUTED_VALUE"""),"202412")</f>
        <v>202412</v>
      </c>
      <c r="D92" s="184" t="str">
        <f>IFERROR(__xludf.DUMMYFUNCTION("""COMPUTED_VALUE"""),"7731,2981")</f>
        <v>7731,2981</v>
      </c>
      <c r="E92" s="185" t="str">
        <f>IFERROR(__xludf.DUMMYFUNCTION("""COMPUTED_VALUE"""),"1,7")</f>
        <v>1,7</v>
      </c>
      <c r="F92" s="184" t="str">
        <f t="shared" si="1"/>
        <v>07202412</v>
      </c>
      <c r="G92" s="181"/>
      <c r="H92" s="181"/>
      <c r="I92" s="181"/>
      <c r="J92" s="181"/>
      <c r="K92" s="181"/>
      <c r="L92" s="181"/>
      <c r="M92" s="181"/>
      <c r="N92" s="181"/>
      <c r="O92" s="181"/>
      <c r="P92" s="181"/>
      <c r="Q92" s="181"/>
      <c r="R92" s="181"/>
      <c r="S92" s="181"/>
      <c r="T92" s="181"/>
      <c r="U92" s="181"/>
      <c r="V92" s="181"/>
      <c r="W92" s="181"/>
      <c r="X92" s="181"/>
      <c r="Y92" s="181"/>
      <c r="Z92" s="181"/>
    </row>
    <row r="93">
      <c r="A93" s="186" t="str">
        <f>IFERROR(__xludf.DUMMYFUNCTION("""COMPUTED_VALUE"""),"08")</f>
        <v>08</v>
      </c>
      <c r="B93" s="187" t="str">
        <f>IFERROR(__xludf.DUMMYFUNCTION("""COMPUTED_VALUE"""),"Comunicación")</f>
        <v>Comunicación</v>
      </c>
      <c r="C93" s="170" t="str">
        <f>IFERROR(__xludf.DUMMYFUNCTION("""COMPUTED_VALUE"""),"202412")</f>
        <v>202412</v>
      </c>
      <c r="D93" s="188" t="str">
        <f>IFERROR(__xludf.DUMMYFUNCTION("""COMPUTED_VALUE"""),"6957,1093")</f>
        <v>6957,1093</v>
      </c>
      <c r="E93" s="189" t="str">
        <f>IFERROR(__xludf.DUMMYFUNCTION("""COMPUTED_VALUE"""),"5")</f>
        <v>5</v>
      </c>
      <c r="F93" s="188" t="str">
        <f t="shared" si="1"/>
        <v>08202412</v>
      </c>
      <c r="G93" s="181"/>
      <c r="H93" s="181"/>
      <c r="I93" s="181"/>
      <c r="J93" s="181"/>
      <c r="K93" s="181"/>
      <c r="L93" s="181"/>
      <c r="M93" s="181"/>
      <c r="N93" s="181"/>
      <c r="O93" s="181"/>
      <c r="P93" s="181"/>
      <c r="Q93" s="181"/>
      <c r="R93" s="181"/>
      <c r="S93" s="181"/>
      <c r="T93" s="181"/>
      <c r="U93" s="181"/>
      <c r="V93" s="181"/>
      <c r="W93" s="181"/>
      <c r="X93" s="181"/>
      <c r="Y93" s="181"/>
      <c r="Z93" s="181"/>
    </row>
    <row r="94">
      <c r="A94" s="182" t="str">
        <f>IFERROR(__xludf.DUMMYFUNCTION("""COMPUTED_VALUE"""),"09")</f>
        <v>09</v>
      </c>
      <c r="B94" s="183" t="str">
        <f>IFERROR(__xludf.DUMMYFUNCTION("""COMPUTED_VALUE"""),"Recreación y cultura")</f>
        <v>Recreación y cultura</v>
      </c>
      <c r="C94" s="67" t="str">
        <f>IFERROR(__xludf.DUMMYFUNCTION("""COMPUTED_VALUE"""),"202412")</f>
        <v>202412</v>
      </c>
      <c r="D94" s="184" t="str">
        <f>IFERROR(__xludf.DUMMYFUNCTION("""COMPUTED_VALUE"""),"7314,9805")</f>
        <v>7314,9805</v>
      </c>
      <c r="E94" s="185" t="str">
        <f>IFERROR(__xludf.DUMMYFUNCTION("""COMPUTED_VALUE"""),"4,4")</f>
        <v>4,4</v>
      </c>
      <c r="F94" s="184" t="str">
        <f t="shared" si="1"/>
        <v>09202412</v>
      </c>
      <c r="G94" s="181"/>
      <c r="H94" s="181"/>
      <c r="I94" s="181"/>
      <c r="J94" s="181"/>
      <c r="K94" s="181"/>
      <c r="L94" s="181"/>
      <c r="M94" s="181"/>
      <c r="N94" s="181"/>
      <c r="O94" s="181"/>
      <c r="P94" s="181"/>
      <c r="Q94" s="181"/>
      <c r="R94" s="181"/>
      <c r="S94" s="181"/>
      <c r="T94" s="181"/>
      <c r="U94" s="181"/>
      <c r="V94" s="181"/>
      <c r="W94" s="181"/>
      <c r="X94" s="181"/>
      <c r="Y94" s="181"/>
      <c r="Z94" s="181"/>
    </row>
    <row r="95">
      <c r="A95" s="186" t="str">
        <f>IFERROR(__xludf.DUMMYFUNCTION("""COMPUTED_VALUE"""),"10")</f>
        <v>10</v>
      </c>
      <c r="B95" s="187" t="str">
        <f>IFERROR(__xludf.DUMMYFUNCTION("""COMPUTED_VALUE"""),"Educación")</f>
        <v>Educación</v>
      </c>
      <c r="C95" s="170" t="str">
        <f>IFERROR(__xludf.DUMMYFUNCTION("""COMPUTED_VALUE"""),"202412")</f>
        <v>202412</v>
      </c>
      <c r="D95" s="188" t="str">
        <f>IFERROR(__xludf.DUMMYFUNCTION("""COMPUTED_VALUE"""),"6602,9556")</f>
        <v>6602,9556</v>
      </c>
      <c r="E95" s="189" t="str">
        <f>IFERROR(__xludf.DUMMYFUNCTION("""COMPUTED_VALUE"""),"2,3")</f>
        <v>2,3</v>
      </c>
      <c r="F95" s="188" t="str">
        <f t="shared" si="1"/>
        <v>10202412</v>
      </c>
      <c r="G95" s="181"/>
      <c r="H95" s="181"/>
      <c r="I95" s="181"/>
      <c r="J95" s="181"/>
      <c r="K95" s="181"/>
      <c r="L95" s="181"/>
      <c r="M95" s="181"/>
      <c r="N95" s="181"/>
      <c r="O95" s="181"/>
      <c r="P95" s="181"/>
      <c r="Q95" s="181"/>
      <c r="R95" s="181"/>
      <c r="S95" s="181"/>
      <c r="T95" s="181"/>
      <c r="U95" s="181"/>
      <c r="V95" s="181"/>
      <c r="W95" s="181"/>
      <c r="X95" s="181"/>
      <c r="Y95" s="181"/>
      <c r="Z95" s="181"/>
    </row>
    <row r="96">
      <c r="A96" s="182" t="str">
        <f>IFERROR(__xludf.DUMMYFUNCTION("""COMPUTED_VALUE"""),"11")</f>
        <v>11</v>
      </c>
      <c r="B96" s="183" t="str">
        <f>IFERROR(__xludf.DUMMYFUNCTION("""COMPUTED_VALUE"""),"Restaurantes y hoteles")</f>
        <v>Restaurantes y hoteles</v>
      </c>
      <c r="C96" s="67" t="str">
        <f>IFERROR(__xludf.DUMMYFUNCTION("""COMPUTED_VALUE"""),"202412")</f>
        <v>202412</v>
      </c>
      <c r="D96" s="184" t="str">
        <f>IFERROR(__xludf.DUMMYFUNCTION("""COMPUTED_VALUE"""),"8668,9585")</f>
        <v>8668,9585</v>
      </c>
      <c r="E96" s="185" t="str">
        <f>IFERROR(__xludf.DUMMYFUNCTION("""COMPUTED_VALUE"""),"4,7")</f>
        <v>4,7</v>
      </c>
      <c r="F96" s="184" t="str">
        <f t="shared" si="1"/>
        <v>11202412</v>
      </c>
      <c r="G96" s="181"/>
      <c r="H96" s="181"/>
      <c r="I96" s="181"/>
      <c r="J96" s="181"/>
      <c r="K96" s="181"/>
      <c r="L96" s="181"/>
      <c r="M96" s="181"/>
      <c r="N96" s="181"/>
      <c r="O96" s="181"/>
      <c r="P96" s="181"/>
      <c r="Q96" s="181"/>
      <c r="R96" s="181"/>
      <c r="S96" s="181"/>
      <c r="T96" s="181"/>
      <c r="U96" s="181"/>
      <c r="V96" s="181"/>
      <c r="W96" s="181"/>
      <c r="X96" s="181"/>
      <c r="Y96" s="181"/>
      <c r="Z96" s="181"/>
    </row>
    <row r="97">
      <c r="A97" s="186" t="str">
        <f>IFERROR(__xludf.DUMMYFUNCTION("""COMPUTED_VALUE"""),"12")</f>
        <v>12</v>
      </c>
      <c r="B97" s="187" t="str">
        <f>IFERROR(__xludf.DUMMYFUNCTION("""COMPUTED_VALUE"""),"Bienes y servicios varios")</f>
        <v>Bienes y servicios varios</v>
      </c>
      <c r="C97" s="170" t="str">
        <f>IFERROR(__xludf.DUMMYFUNCTION("""COMPUTED_VALUE"""),"202412")</f>
        <v>202412</v>
      </c>
      <c r="D97" s="188" t="str">
        <f>IFERROR(__xludf.DUMMYFUNCTION("""COMPUTED_VALUE"""),"7304,9328")</f>
        <v>7304,9328</v>
      </c>
      <c r="E97" s="189" t="str">
        <f>IFERROR(__xludf.DUMMYFUNCTION("""COMPUTED_VALUE"""),"2")</f>
        <v>2</v>
      </c>
      <c r="F97" s="188" t="str">
        <f t="shared" si="1"/>
        <v>12202412</v>
      </c>
      <c r="G97" s="181"/>
      <c r="H97" s="181"/>
      <c r="I97" s="181"/>
      <c r="J97" s="181"/>
      <c r="K97" s="181"/>
      <c r="L97" s="181"/>
      <c r="M97" s="181"/>
      <c r="N97" s="181"/>
      <c r="O97" s="181"/>
      <c r="P97" s="181"/>
      <c r="Q97" s="181"/>
      <c r="R97" s="181"/>
      <c r="S97" s="181"/>
      <c r="T97" s="181"/>
      <c r="U97" s="181"/>
      <c r="V97" s="181"/>
      <c r="W97" s="181"/>
      <c r="X97" s="181"/>
      <c r="Y97" s="181"/>
      <c r="Z97" s="181"/>
    </row>
    <row r="98">
      <c r="A98" s="182" t="str">
        <f>IFERROR(__xludf.DUMMYFUNCTION("""COMPUTED_VALUE"""),"01")</f>
        <v>01</v>
      </c>
      <c r="B98" s="183" t="str">
        <f>IFERROR(__xludf.DUMMYFUNCTION("""COMPUTED_VALUE"""),"Alimentos y bebidas no alcohólicas")</f>
        <v>Alimentos y bebidas no alcohólicas</v>
      </c>
      <c r="C98" s="67" t="str">
        <f>IFERROR(__xludf.DUMMYFUNCTION("""COMPUTED_VALUE"""),"202501")</f>
        <v>202501</v>
      </c>
      <c r="D98" s="184" t="str">
        <f>IFERROR(__xludf.DUMMYFUNCTION("""COMPUTED_VALUE"""),"8310,2299")</f>
        <v>8310,2299</v>
      </c>
      <c r="E98" s="185" t="str">
        <f>IFERROR(__xludf.DUMMYFUNCTION("""COMPUTED_VALUE"""),"1,9")</f>
        <v>1,9</v>
      </c>
      <c r="F98" s="184" t="str">
        <f t="shared" si="1"/>
        <v>01202501</v>
      </c>
      <c r="G98" s="181"/>
      <c r="H98" s="181"/>
      <c r="I98" s="181"/>
      <c r="J98" s="181"/>
      <c r="K98" s="181"/>
      <c r="L98" s="181"/>
      <c r="M98" s="181"/>
      <c r="N98" s="181"/>
      <c r="O98" s="181"/>
      <c r="P98" s="181"/>
      <c r="Q98" s="181"/>
      <c r="R98" s="181"/>
      <c r="S98" s="181"/>
      <c r="T98" s="181"/>
      <c r="U98" s="181"/>
      <c r="V98" s="181"/>
      <c r="W98" s="181"/>
      <c r="X98" s="181"/>
      <c r="Y98" s="181"/>
      <c r="Z98" s="181"/>
    </row>
    <row r="99">
      <c r="A99" s="186" t="str">
        <f>IFERROR(__xludf.DUMMYFUNCTION("""COMPUTED_VALUE"""),"02")</f>
        <v>02</v>
      </c>
      <c r="B99" s="187" t="str">
        <f>IFERROR(__xludf.DUMMYFUNCTION("""COMPUTED_VALUE"""),"Bebidas alcohólicas y tabaco")</f>
        <v>Bebidas alcohólicas y tabaco</v>
      </c>
      <c r="C99" s="170" t="str">
        <f>IFERROR(__xludf.DUMMYFUNCTION("""COMPUTED_VALUE"""),"202501")</f>
        <v>202501</v>
      </c>
      <c r="D99" s="188" t="str">
        <f>IFERROR(__xludf.DUMMYFUNCTION("""COMPUTED_VALUE"""),"6175,0017")</f>
        <v>6175,0017</v>
      </c>
      <c r="E99" s="189" t="str">
        <f>IFERROR(__xludf.DUMMYFUNCTION("""COMPUTED_VALUE"""),"2,5")</f>
        <v>2,5</v>
      </c>
      <c r="F99" s="188" t="str">
        <f t="shared" si="1"/>
        <v>02202501</v>
      </c>
      <c r="G99" s="181"/>
      <c r="H99" s="181"/>
      <c r="I99" s="181"/>
      <c r="J99" s="181"/>
      <c r="K99" s="181"/>
      <c r="L99" s="181"/>
      <c r="M99" s="181"/>
      <c r="N99" s="181"/>
      <c r="O99" s="181"/>
      <c r="P99" s="181"/>
      <c r="Q99" s="181"/>
      <c r="R99" s="181"/>
      <c r="S99" s="181"/>
      <c r="T99" s="181"/>
      <c r="U99" s="181"/>
      <c r="V99" s="181"/>
      <c r="W99" s="181"/>
      <c r="X99" s="181"/>
      <c r="Y99" s="181"/>
      <c r="Z99" s="181"/>
    </row>
    <row r="100">
      <c r="A100" s="182" t="str">
        <f>IFERROR(__xludf.DUMMYFUNCTION("""COMPUTED_VALUE"""),"03")</f>
        <v>03</v>
      </c>
      <c r="B100" s="183" t="str">
        <f>IFERROR(__xludf.DUMMYFUNCTION("""COMPUTED_VALUE"""),"Prendas de vestir y calzado")</f>
        <v>Prendas de vestir y calzado</v>
      </c>
      <c r="C100" s="67" t="str">
        <f>IFERROR(__xludf.DUMMYFUNCTION("""COMPUTED_VALUE"""),"202501")</f>
        <v>202501</v>
      </c>
      <c r="D100" s="184" t="str">
        <f>IFERROR(__xludf.DUMMYFUNCTION("""COMPUTED_VALUE"""),"6942,0426")</f>
        <v>6942,0426</v>
      </c>
      <c r="E100" s="185" t="str">
        <f>IFERROR(__xludf.DUMMYFUNCTION("""COMPUTED_VALUE"""),"-2,3")</f>
        <v>-2,3</v>
      </c>
      <c r="F100" s="184" t="str">
        <f t="shared" si="1"/>
        <v>03202501</v>
      </c>
      <c r="G100" s="181"/>
      <c r="H100" s="181"/>
      <c r="I100" s="181"/>
      <c r="J100" s="181"/>
      <c r="K100" s="181"/>
      <c r="L100" s="181"/>
      <c r="M100" s="181"/>
      <c r="N100" s="181"/>
      <c r="O100" s="181"/>
      <c r="P100" s="181"/>
      <c r="Q100" s="181"/>
      <c r="R100" s="181"/>
      <c r="S100" s="181"/>
      <c r="T100" s="181"/>
      <c r="U100" s="181"/>
      <c r="V100" s="181"/>
      <c r="W100" s="181"/>
      <c r="X100" s="181"/>
      <c r="Y100" s="181"/>
      <c r="Z100" s="181"/>
    </row>
    <row r="101">
      <c r="A101" s="186" t="str">
        <f>IFERROR(__xludf.DUMMYFUNCTION("""COMPUTED_VALUE"""),"04")</f>
        <v>04</v>
      </c>
      <c r="B101" s="187" t="str">
        <f>IFERROR(__xludf.DUMMYFUNCTION("""COMPUTED_VALUE"""),"Vivienda, agua, electricidad, gas y otros combustibles")</f>
        <v>Vivienda, agua, electricidad, gas y otros combustibles</v>
      </c>
      <c r="C101" s="170" t="str">
        <f>IFERROR(__xludf.DUMMYFUNCTION("""COMPUTED_VALUE"""),"202501")</f>
        <v>202501</v>
      </c>
      <c r="D101" s="188" t="str">
        <f>IFERROR(__xludf.DUMMYFUNCTION("""COMPUTED_VALUE"""),"7377,9452")</f>
        <v>7377,9452</v>
      </c>
      <c r="E101" s="189" t="str">
        <f>IFERROR(__xludf.DUMMYFUNCTION("""COMPUTED_VALUE"""),"2,2")</f>
        <v>2,2</v>
      </c>
      <c r="F101" s="188" t="str">
        <f t="shared" si="1"/>
        <v>04202501</v>
      </c>
      <c r="G101" s="181"/>
      <c r="H101" s="181"/>
      <c r="I101" s="181"/>
      <c r="J101" s="181"/>
      <c r="K101" s="181"/>
      <c r="L101" s="181"/>
      <c r="M101" s="181"/>
      <c r="N101" s="181"/>
      <c r="O101" s="181"/>
      <c r="P101" s="181"/>
      <c r="Q101" s="181"/>
      <c r="R101" s="181"/>
      <c r="S101" s="181"/>
      <c r="T101" s="181"/>
      <c r="U101" s="181"/>
      <c r="V101" s="181"/>
      <c r="W101" s="181"/>
      <c r="X101" s="181"/>
      <c r="Y101" s="181"/>
      <c r="Z101" s="181"/>
    </row>
    <row r="102">
      <c r="A102" s="182" t="str">
        <f>IFERROR(__xludf.DUMMYFUNCTION("""COMPUTED_VALUE"""),"05")</f>
        <v>05</v>
      </c>
      <c r="B102" s="183" t="str">
        <f>IFERROR(__xludf.DUMMYFUNCTION("""COMPUTED_VALUE"""),"Equipamiento y mantenimiento del hogar")</f>
        <v>Equipamiento y mantenimiento del hogar</v>
      </c>
      <c r="C102" s="67" t="str">
        <f>IFERROR(__xludf.DUMMYFUNCTION("""COMPUTED_VALUE"""),"202501")</f>
        <v>202501</v>
      </c>
      <c r="D102" s="184" t="str">
        <f>IFERROR(__xludf.DUMMYFUNCTION("""COMPUTED_VALUE"""),"7070,7555")</f>
        <v>7070,7555</v>
      </c>
      <c r="E102" s="185" t="str">
        <f>IFERROR(__xludf.DUMMYFUNCTION("""COMPUTED_VALUE"""),"1,6")</f>
        <v>1,6</v>
      </c>
      <c r="F102" s="184" t="str">
        <f t="shared" si="1"/>
        <v>05202501</v>
      </c>
      <c r="G102" s="181"/>
      <c r="H102" s="181"/>
      <c r="I102" s="181"/>
      <c r="J102" s="181"/>
      <c r="K102" s="181"/>
      <c r="L102" s="181"/>
      <c r="M102" s="181"/>
      <c r="N102" s="181"/>
      <c r="O102" s="181"/>
      <c r="P102" s="181"/>
      <c r="Q102" s="181"/>
      <c r="R102" s="181"/>
      <c r="S102" s="181"/>
      <c r="T102" s="181"/>
      <c r="U102" s="181"/>
      <c r="V102" s="181"/>
      <c r="W102" s="181"/>
      <c r="X102" s="181"/>
      <c r="Y102" s="181"/>
      <c r="Z102" s="181"/>
    </row>
    <row r="103">
      <c r="A103" s="186" t="str">
        <f>IFERROR(__xludf.DUMMYFUNCTION("""COMPUTED_VALUE"""),"06")</f>
        <v>06</v>
      </c>
      <c r="B103" s="187" t="str">
        <f>IFERROR(__xludf.DUMMYFUNCTION("""COMPUTED_VALUE"""),"Salud")</f>
        <v>Salud</v>
      </c>
      <c r="C103" s="170" t="str">
        <f>IFERROR(__xludf.DUMMYFUNCTION("""COMPUTED_VALUE"""),"202501")</f>
        <v>202501</v>
      </c>
      <c r="D103" s="188" t="str">
        <f>IFERROR(__xludf.DUMMYFUNCTION("""COMPUTED_VALUE"""),"8617,1058")</f>
        <v>8617,1058</v>
      </c>
      <c r="E103" s="189" t="str">
        <f>IFERROR(__xludf.DUMMYFUNCTION("""COMPUTED_VALUE"""),"2,6")</f>
        <v>2,6</v>
      </c>
      <c r="F103" s="188" t="str">
        <f t="shared" si="1"/>
        <v>06202501</v>
      </c>
      <c r="G103" s="181"/>
      <c r="H103" s="181"/>
      <c r="I103" s="181"/>
      <c r="J103" s="181"/>
      <c r="K103" s="181"/>
      <c r="L103" s="181"/>
      <c r="M103" s="181"/>
      <c r="N103" s="181"/>
      <c r="O103" s="181"/>
      <c r="P103" s="181"/>
      <c r="Q103" s="181"/>
      <c r="R103" s="181"/>
      <c r="S103" s="181"/>
      <c r="T103" s="181"/>
      <c r="U103" s="181"/>
      <c r="V103" s="181"/>
      <c r="W103" s="181"/>
      <c r="X103" s="181"/>
      <c r="Y103" s="181"/>
      <c r="Z103" s="181"/>
    </row>
    <row r="104">
      <c r="A104" s="182" t="str">
        <f>IFERROR(__xludf.DUMMYFUNCTION("""COMPUTED_VALUE"""),"07")</f>
        <v>07</v>
      </c>
      <c r="B104" s="183" t="str">
        <f>IFERROR(__xludf.DUMMYFUNCTION("""COMPUTED_VALUE"""),"Transporte")</f>
        <v>Transporte</v>
      </c>
      <c r="C104" s="67" t="str">
        <f>IFERROR(__xludf.DUMMYFUNCTION("""COMPUTED_VALUE"""),"202501")</f>
        <v>202501</v>
      </c>
      <c r="D104" s="184" t="str">
        <f>IFERROR(__xludf.DUMMYFUNCTION("""COMPUTED_VALUE"""),"7794,959")</f>
        <v>7794,959</v>
      </c>
      <c r="E104" s="185" t="str">
        <f>IFERROR(__xludf.DUMMYFUNCTION("""COMPUTED_VALUE"""),"0,8")</f>
        <v>0,8</v>
      </c>
      <c r="F104" s="184" t="str">
        <f t="shared" si="1"/>
        <v>07202501</v>
      </c>
      <c r="G104" s="181"/>
      <c r="H104" s="181"/>
      <c r="I104" s="181"/>
      <c r="J104" s="181"/>
      <c r="K104" s="181"/>
      <c r="L104" s="181"/>
      <c r="M104" s="181"/>
      <c r="N104" s="181"/>
      <c r="O104" s="181"/>
      <c r="P104" s="181"/>
      <c r="Q104" s="181"/>
      <c r="R104" s="181"/>
      <c r="S104" s="181"/>
      <c r="T104" s="181"/>
      <c r="U104" s="181"/>
      <c r="V104" s="181"/>
      <c r="W104" s="181"/>
      <c r="X104" s="181"/>
      <c r="Y104" s="181"/>
      <c r="Z104" s="181"/>
    </row>
    <row r="105">
      <c r="A105" s="186" t="str">
        <f>IFERROR(__xludf.DUMMYFUNCTION("""COMPUTED_VALUE"""),"08")</f>
        <v>08</v>
      </c>
      <c r="B105" s="187" t="str">
        <f>IFERROR(__xludf.DUMMYFUNCTION("""COMPUTED_VALUE"""),"Comunicación")</f>
        <v>Comunicación</v>
      </c>
      <c r="C105" s="170" t="str">
        <f>IFERROR(__xludf.DUMMYFUNCTION("""COMPUTED_VALUE"""),"202501")</f>
        <v>202501</v>
      </c>
      <c r="D105" s="188" t="str">
        <f>IFERROR(__xludf.DUMMYFUNCTION("""COMPUTED_VALUE"""),"7139,335")</f>
        <v>7139,335</v>
      </c>
      <c r="E105" s="189" t="str">
        <f>IFERROR(__xludf.DUMMYFUNCTION("""COMPUTED_VALUE"""),"2,6")</f>
        <v>2,6</v>
      </c>
      <c r="F105" s="188" t="str">
        <f t="shared" si="1"/>
        <v>08202501</v>
      </c>
      <c r="G105" s="181"/>
      <c r="H105" s="181"/>
      <c r="I105" s="181"/>
      <c r="J105" s="181"/>
      <c r="K105" s="181"/>
      <c r="L105" s="181"/>
      <c r="M105" s="181"/>
      <c r="N105" s="181"/>
      <c r="O105" s="181"/>
      <c r="P105" s="181"/>
      <c r="Q105" s="181"/>
      <c r="R105" s="181"/>
      <c r="S105" s="181"/>
      <c r="T105" s="181"/>
      <c r="U105" s="181"/>
      <c r="V105" s="181"/>
      <c r="W105" s="181"/>
      <c r="X105" s="181"/>
      <c r="Y105" s="181"/>
      <c r="Z105" s="181"/>
    </row>
    <row r="106">
      <c r="A106" s="182" t="str">
        <f>IFERROR(__xludf.DUMMYFUNCTION("""COMPUTED_VALUE"""),"09")</f>
        <v>09</v>
      </c>
      <c r="B106" s="183" t="str">
        <f>IFERROR(__xludf.DUMMYFUNCTION("""COMPUTED_VALUE"""),"Recreación y cultura")</f>
        <v>Recreación y cultura</v>
      </c>
      <c r="C106" s="67" t="str">
        <f>IFERROR(__xludf.DUMMYFUNCTION("""COMPUTED_VALUE"""),"202501")</f>
        <v>202501</v>
      </c>
      <c r="D106" s="184" t="str">
        <f>IFERROR(__xludf.DUMMYFUNCTION("""COMPUTED_VALUE"""),"7515,8357")</f>
        <v>7515,8357</v>
      </c>
      <c r="E106" s="185" t="str">
        <f>IFERROR(__xludf.DUMMYFUNCTION("""COMPUTED_VALUE"""),"2,7")</f>
        <v>2,7</v>
      </c>
      <c r="F106" s="184" t="str">
        <f t="shared" si="1"/>
        <v>09202501</v>
      </c>
      <c r="G106" s="181"/>
      <c r="H106" s="181"/>
      <c r="I106" s="181"/>
      <c r="J106" s="181"/>
      <c r="K106" s="181"/>
      <c r="L106" s="181"/>
      <c r="M106" s="181"/>
      <c r="N106" s="181"/>
      <c r="O106" s="181"/>
      <c r="P106" s="181"/>
      <c r="Q106" s="181"/>
      <c r="R106" s="181"/>
      <c r="S106" s="181"/>
      <c r="T106" s="181"/>
      <c r="U106" s="181"/>
      <c r="V106" s="181"/>
      <c r="W106" s="181"/>
      <c r="X106" s="181"/>
      <c r="Y106" s="181"/>
      <c r="Z106" s="181"/>
    </row>
    <row r="107">
      <c r="A107" s="186" t="str">
        <f>IFERROR(__xludf.DUMMYFUNCTION("""COMPUTED_VALUE"""),"10")</f>
        <v>10</v>
      </c>
      <c r="B107" s="187" t="str">
        <f>IFERROR(__xludf.DUMMYFUNCTION("""COMPUTED_VALUE"""),"Educación")</f>
        <v>Educación</v>
      </c>
      <c r="C107" s="170" t="str">
        <f>IFERROR(__xludf.DUMMYFUNCTION("""COMPUTED_VALUE"""),"202501")</f>
        <v>202501</v>
      </c>
      <c r="D107" s="188" t="str">
        <f>IFERROR(__xludf.DUMMYFUNCTION("""COMPUTED_VALUE"""),"6626,9195")</f>
        <v>6626,9195</v>
      </c>
      <c r="E107" s="189" t="str">
        <f>IFERROR(__xludf.DUMMYFUNCTION("""COMPUTED_VALUE"""),"0,4")</f>
        <v>0,4</v>
      </c>
      <c r="F107" s="188" t="str">
        <f t="shared" si="1"/>
        <v>10202501</v>
      </c>
      <c r="G107" s="181"/>
      <c r="H107" s="181"/>
      <c r="I107" s="181"/>
      <c r="J107" s="181"/>
      <c r="K107" s="181"/>
      <c r="L107" s="181"/>
      <c r="M107" s="181"/>
      <c r="N107" s="181"/>
      <c r="O107" s="181"/>
      <c r="P107" s="181"/>
      <c r="Q107" s="181"/>
      <c r="R107" s="181"/>
      <c r="S107" s="181"/>
      <c r="T107" s="181"/>
      <c r="U107" s="181"/>
      <c r="V107" s="181"/>
      <c r="W107" s="181"/>
      <c r="X107" s="181"/>
      <c r="Y107" s="181"/>
      <c r="Z107" s="181"/>
    </row>
    <row r="108">
      <c r="A108" s="182" t="str">
        <f>IFERROR(__xludf.DUMMYFUNCTION("""COMPUTED_VALUE"""),"11")</f>
        <v>11</v>
      </c>
      <c r="B108" s="183" t="str">
        <f>IFERROR(__xludf.DUMMYFUNCTION("""COMPUTED_VALUE"""),"Restaurantes y hoteles")</f>
        <v>Restaurantes y hoteles</v>
      </c>
      <c r="C108" s="67" t="str">
        <f>IFERROR(__xludf.DUMMYFUNCTION("""COMPUTED_VALUE"""),"202501")</f>
        <v>202501</v>
      </c>
      <c r="D108" s="184" t="str">
        <f>IFERROR(__xludf.DUMMYFUNCTION("""COMPUTED_VALUE"""),"9121,8225")</f>
        <v>9121,8225</v>
      </c>
      <c r="E108" s="185" t="str">
        <f>IFERROR(__xludf.DUMMYFUNCTION("""COMPUTED_VALUE"""),"5,2")</f>
        <v>5,2</v>
      </c>
      <c r="F108" s="184" t="str">
        <f t="shared" si="1"/>
        <v>11202501</v>
      </c>
      <c r="G108" s="181"/>
      <c r="H108" s="181"/>
      <c r="I108" s="181"/>
      <c r="J108" s="181"/>
      <c r="K108" s="181"/>
      <c r="L108" s="181"/>
      <c r="M108" s="181"/>
      <c r="N108" s="181"/>
      <c r="O108" s="181"/>
      <c r="P108" s="181"/>
      <c r="Q108" s="181"/>
      <c r="R108" s="181"/>
      <c r="S108" s="181"/>
      <c r="T108" s="181"/>
      <c r="U108" s="181"/>
      <c r="V108" s="181"/>
      <c r="W108" s="181"/>
      <c r="X108" s="181"/>
      <c r="Y108" s="181"/>
      <c r="Z108" s="181"/>
    </row>
    <row r="109">
      <c r="A109" s="186" t="str">
        <f>IFERROR(__xludf.DUMMYFUNCTION("""COMPUTED_VALUE"""),"12")</f>
        <v>12</v>
      </c>
      <c r="B109" s="187" t="str">
        <f>IFERROR(__xludf.DUMMYFUNCTION("""COMPUTED_VALUE"""),"Bienes y servicios varios")</f>
        <v>Bienes y servicios varios</v>
      </c>
      <c r="C109" s="170" t="str">
        <f>IFERROR(__xludf.DUMMYFUNCTION("""COMPUTED_VALUE"""),"202501")</f>
        <v>202501</v>
      </c>
      <c r="D109" s="188" t="str">
        <f>IFERROR(__xludf.DUMMYFUNCTION("""COMPUTED_VALUE"""),"7544,2859")</f>
        <v>7544,2859</v>
      </c>
      <c r="E109" s="189" t="str">
        <f>IFERROR(__xludf.DUMMYFUNCTION("""COMPUTED_VALUE"""),"3,3")</f>
        <v>3,3</v>
      </c>
      <c r="F109" s="188" t="str">
        <f t="shared" si="1"/>
        <v>12202501</v>
      </c>
      <c r="G109" s="181"/>
      <c r="H109" s="181"/>
      <c r="I109" s="181"/>
      <c r="J109" s="181"/>
      <c r="K109" s="181"/>
      <c r="L109" s="181"/>
      <c r="M109" s="181"/>
      <c r="N109" s="181"/>
      <c r="O109" s="181"/>
      <c r="P109" s="181"/>
      <c r="Q109" s="181"/>
      <c r="R109" s="181"/>
      <c r="S109" s="181"/>
      <c r="T109" s="181"/>
      <c r="U109" s="181"/>
      <c r="V109" s="181"/>
      <c r="W109" s="181"/>
      <c r="X109" s="181"/>
      <c r="Y109" s="181"/>
      <c r="Z109" s="181"/>
    </row>
    <row r="110">
      <c r="A110" s="182" t="str">
        <f>IFERROR(__xludf.DUMMYFUNCTION("""COMPUTED_VALUE"""),"01")</f>
        <v>01</v>
      </c>
      <c r="B110" s="183" t="str">
        <f>IFERROR(__xludf.DUMMYFUNCTION("""COMPUTED_VALUE"""),"Alimentos y bebidas no alcohólicas")</f>
        <v>Alimentos y bebidas no alcohólicas</v>
      </c>
      <c r="C110" s="67" t="str">
        <f>IFERROR(__xludf.DUMMYFUNCTION("""COMPUTED_VALUE"""),"202502")</f>
        <v>202502</v>
      </c>
      <c r="D110" s="184" t="str">
        <f>IFERROR(__xludf.DUMMYFUNCTION("""COMPUTED_VALUE"""),"8572,467")</f>
        <v>8572,467</v>
      </c>
      <c r="E110" s="185" t="str">
        <f>IFERROR(__xludf.DUMMYFUNCTION("""COMPUTED_VALUE"""),"3,2")</f>
        <v>3,2</v>
      </c>
      <c r="F110" s="184" t="str">
        <f t="shared" si="1"/>
        <v>01202502</v>
      </c>
      <c r="G110" s="181"/>
      <c r="H110" s="181"/>
      <c r="I110" s="181"/>
      <c r="J110" s="181"/>
      <c r="K110" s="181"/>
      <c r="L110" s="181"/>
      <c r="M110" s="181"/>
      <c r="N110" s="181"/>
      <c r="O110" s="181"/>
      <c r="P110" s="181"/>
      <c r="Q110" s="181"/>
      <c r="R110" s="181"/>
      <c r="S110" s="181"/>
      <c r="T110" s="181"/>
      <c r="U110" s="181"/>
      <c r="V110" s="181"/>
      <c r="W110" s="181"/>
      <c r="X110" s="181"/>
      <c r="Y110" s="181"/>
      <c r="Z110" s="181"/>
    </row>
    <row r="111">
      <c r="A111" s="186" t="str">
        <f>IFERROR(__xludf.DUMMYFUNCTION("""COMPUTED_VALUE"""),"02")</f>
        <v>02</v>
      </c>
      <c r="B111" s="187" t="str">
        <f>IFERROR(__xludf.DUMMYFUNCTION("""COMPUTED_VALUE"""),"Bebidas alcohólicas y tabaco")</f>
        <v>Bebidas alcohólicas y tabaco</v>
      </c>
      <c r="C111" s="170" t="str">
        <f>IFERROR(__xludf.DUMMYFUNCTION("""COMPUTED_VALUE"""),"202502")</f>
        <v>202502</v>
      </c>
      <c r="D111" s="188" t="str">
        <f>IFERROR(__xludf.DUMMYFUNCTION("""COMPUTED_VALUE"""),"6229,3108")</f>
        <v>6229,3108</v>
      </c>
      <c r="E111" s="189" t="str">
        <f>IFERROR(__xludf.DUMMYFUNCTION("""COMPUTED_VALUE"""),"0,9")</f>
        <v>0,9</v>
      </c>
      <c r="F111" s="188" t="str">
        <f t="shared" si="1"/>
        <v>02202502</v>
      </c>
      <c r="G111" s="181"/>
      <c r="H111" s="181"/>
      <c r="I111" s="181"/>
      <c r="J111" s="181"/>
      <c r="K111" s="181"/>
      <c r="L111" s="181"/>
      <c r="M111" s="181"/>
      <c r="N111" s="181"/>
      <c r="O111" s="181"/>
      <c r="P111" s="181"/>
      <c r="Q111" s="181"/>
      <c r="R111" s="181"/>
      <c r="S111" s="181"/>
      <c r="T111" s="181"/>
      <c r="U111" s="181"/>
      <c r="V111" s="181"/>
      <c r="W111" s="181"/>
      <c r="X111" s="181"/>
      <c r="Y111" s="181"/>
      <c r="Z111" s="181"/>
    </row>
    <row r="112">
      <c r="A112" s="182" t="str">
        <f>IFERROR(__xludf.DUMMYFUNCTION("""COMPUTED_VALUE"""),"03")</f>
        <v>03</v>
      </c>
      <c r="B112" s="183" t="str">
        <f>IFERROR(__xludf.DUMMYFUNCTION("""COMPUTED_VALUE"""),"Prendas de vestir y calzado")</f>
        <v>Prendas de vestir y calzado</v>
      </c>
      <c r="C112" s="67" t="str">
        <f>IFERROR(__xludf.DUMMYFUNCTION("""COMPUTED_VALUE"""),"202502")</f>
        <v>202502</v>
      </c>
      <c r="D112" s="184" t="str">
        <f>IFERROR(__xludf.DUMMYFUNCTION("""COMPUTED_VALUE"""),"6979,683")</f>
        <v>6979,683</v>
      </c>
      <c r="E112" s="185" t="str">
        <f>IFERROR(__xludf.DUMMYFUNCTION("""COMPUTED_VALUE"""),"0,5")</f>
        <v>0,5</v>
      </c>
      <c r="F112" s="184" t="str">
        <f t="shared" si="1"/>
        <v>03202502</v>
      </c>
      <c r="G112" s="181"/>
      <c r="H112" s="181"/>
      <c r="I112" s="181"/>
      <c r="J112" s="181"/>
      <c r="K112" s="181"/>
      <c r="L112" s="181"/>
      <c r="M112" s="181"/>
      <c r="N112" s="181"/>
      <c r="O112" s="181"/>
      <c r="P112" s="181"/>
      <c r="Q112" s="181"/>
      <c r="R112" s="181"/>
      <c r="S112" s="181"/>
      <c r="T112" s="181"/>
      <c r="U112" s="181"/>
      <c r="V112" s="181"/>
      <c r="W112" s="181"/>
      <c r="X112" s="181"/>
      <c r="Y112" s="181"/>
      <c r="Z112" s="181"/>
    </row>
    <row r="113">
      <c r="A113" s="186" t="str">
        <f>IFERROR(__xludf.DUMMYFUNCTION("""COMPUTED_VALUE"""),"04")</f>
        <v>04</v>
      </c>
      <c r="B113" s="187" t="str">
        <f>IFERROR(__xludf.DUMMYFUNCTION("""COMPUTED_VALUE"""),"Vivienda, agua, electricidad, gas y otros combustibles")</f>
        <v>Vivienda, agua, electricidad, gas y otros combustibles</v>
      </c>
      <c r="C113" s="170" t="str">
        <f>IFERROR(__xludf.DUMMYFUNCTION("""COMPUTED_VALUE"""),"202502")</f>
        <v>202502</v>
      </c>
      <c r="D113" s="188" t="str">
        <f>IFERROR(__xludf.DUMMYFUNCTION("""COMPUTED_VALUE"""),"7610,2254")</f>
        <v>7610,2254</v>
      </c>
      <c r="E113" s="189" t="str">
        <f>IFERROR(__xludf.DUMMYFUNCTION("""COMPUTED_VALUE"""),"3,1")</f>
        <v>3,1</v>
      </c>
      <c r="F113" s="188" t="str">
        <f t="shared" si="1"/>
        <v>04202502</v>
      </c>
      <c r="G113" s="181"/>
      <c r="H113" s="181"/>
      <c r="I113" s="181"/>
      <c r="J113" s="181"/>
      <c r="K113" s="181"/>
      <c r="L113" s="181"/>
      <c r="M113" s="181"/>
      <c r="N113" s="181"/>
      <c r="O113" s="181"/>
      <c r="P113" s="181"/>
      <c r="Q113" s="181"/>
      <c r="R113" s="181"/>
      <c r="S113" s="181"/>
      <c r="T113" s="181"/>
      <c r="U113" s="181"/>
      <c r="V113" s="181"/>
      <c r="W113" s="181"/>
      <c r="X113" s="181"/>
      <c r="Y113" s="181"/>
      <c r="Z113" s="181"/>
    </row>
    <row r="114">
      <c r="A114" s="182" t="str">
        <f>IFERROR(__xludf.DUMMYFUNCTION("""COMPUTED_VALUE"""),"05")</f>
        <v>05</v>
      </c>
      <c r="B114" s="183" t="str">
        <f>IFERROR(__xludf.DUMMYFUNCTION("""COMPUTED_VALUE"""),"Equipamiento y mantenimiento del hogar")</f>
        <v>Equipamiento y mantenimiento del hogar</v>
      </c>
      <c r="C114" s="67" t="str">
        <f>IFERROR(__xludf.DUMMYFUNCTION("""COMPUTED_VALUE"""),"202502")</f>
        <v>202502</v>
      </c>
      <c r="D114" s="184" t="str">
        <f>IFERROR(__xludf.DUMMYFUNCTION("""COMPUTED_VALUE"""),"7158,8752")</f>
        <v>7158,8752</v>
      </c>
      <c r="E114" s="185" t="str">
        <f>IFERROR(__xludf.DUMMYFUNCTION("""COMPUTED_VALUE"""),"1,2")</f>
        <v>1,2</v>
      </c>
      <c r="F114" s="184" t="str">
        <f t="shared" si="1"/>
        <v>05202502</v>
      </c>
      <c r="G114" s="181"/>
      <c r="H114" s="181"/>
      <c r="I114" s="181"/>
      <c r="J114" s="181"/>
      <c r="K114" s="181"/>
      <c r="L114" s="181"/>
      <c r="M114" s="181"/>
      <c r="N114" s="181"/>
      <c r="O114" s="181"/>
      <c r="P114" s="181"/>
      <c r="Q114" s="181"/>
      <c r="R114" s="181"/>
      <c r="S114" s="181"/>
      <c r="T114" s="181"/>
      <c r="U114" s="181"/>
      <c r="V114" s="181"/>
      <c r="W114" s="181"/>
      <c r="X114" s="181"/>
      <c r="Y114" s="181"/>
      <c r="Z114" s="181"/>
    </row>
    <row r="115">
      <c r="A115" s="186" t="str">
        <f>IFERROR(__xludf.DUMMYFUNCTION("""COMPUTED_VALUE"""),"06")</f>
        <v>06</v>
      </c>
      <c r="B115" s="187" t="str">
        <f>IFERROR(__xludf.DUMMYFUNCTION("""COMPUTED_VALUE"""),"Salud")</f>
        <v>Salud</v>
      </c>
      <c r="C115" s="170" t="str">
        <f>IFERROR(__xludf.DUMMYFUNCTION("""COMPUTED_VALUE"""),"202502")</f>
        <v>202502</v>
      </c>
      <c r="D115" s="188" t="str">
        <f>IFERROR(__xludf.DUMMYFUNCTION("""COMPUTED_VALUE"""),"8781,557")</f>
        <v>8781,557</v>
      </c>
      <c r="E115" s="189" t="str">
        <f>IFERROR(__xludf.DUMMYFUNCTION("""COMPUTED_VALUE"""),"1,9")</f>
        <v>1,9</v>
      </c>
      <c r="F115" s="188" t="str">
        <f t="shared" si="1"/>
        <v>06202502</v>
      </c>
      <c r="G115" s="181"/>
      <c r="H115" s="181"/>
      <c r="I115" s="181"/>
      <c r="J115" s="181"/>
      <c r="K115" s="181"/>
      <c r="L115" s="181"/>
      <c r="M115" s="181"/>
      <c r="N115" s="181"/>
      <c r="O115" s="181"/>
      <c r="P115" s="181"/>
      <c r="Q115" s="181"/>
      <c r="R115" s="181"/>
      <c r="S115" s="181"/>
      <c r="T115" s="181"/>
      <c r="U115" s="181"/>
      <c r="V115" s="181"/>
      <c r="W115" s="181"/>
      <c r="X115" s="181"/>
      <c r="Y115" s="181"/>
      <c r="Z115" s="181"/>
    </row>
    <row r="116">
      <c r="A116" s="182" t="str">
        <f>IFERROR(__xludf.DUMMYFUNCTION("""COMPUTED_VALUE"""),"07")</f>
        <v>07</v>
      </c>
      <c r="B116" s="183" t="str">
        <f>IFERROR(__xludf.DUMMYFUNCTION("""COMPUTED_VALUE"""),"Transporte")</f>
        <v>Transporte</v>
      </c>
      <c r="C116" s="67" t="str">
        <f>IFERROR(__xludf.DUMMYFUNCTION("""COMPUTED_VALUE"""),"202502")</f>
        <v>202502</v>
      </c>
      <c r="D116" s="184" t="str">
        <f>IFERROR(__xludf.DUMMYFUNCTION("""COMPUTED_VALUE"""),"7917,3984")</f>
        <v>7917,3984</v>
      </c>
      <c r="E116" s="185" t="str">
        <f>IFERROR(__xludf.DUMMYFUNCTION("""COMPUTED_VALUE"""),"1,6")</f>
        <v>1,6</v>
      </c>
      <c r="F116" s="184" t="str">
        <f t="shared" si="1"/>
        <v>07202502</v>
      </c>
      <c r="G116" s="181"/>
      <c r="H116" s="181"/>
      <c r="I116" s="181"/>
      <c r="J116" s="181"/>
      <c r="K116" s="181"/>
      <c r="L116" s="181"/>
      <c r="M116" s="181"/>
      <c r="N116" s="181"/>
      <c r="O116" s="181"/>
      <c r="P116" s="181"/>
      <c r="Q116" s="181"/>
      <c r="R116" s="181"/>
      <c r="S116" s="181"/>
      <c r="T116" s="181"/>
      <c r="U116" s="181"/>
      <c r="V116" s="181"/>
      <c r="W116" s="181"/>
      <c r="X116" s="181"/>
      <c r="Y116" s="181"/>
      <c r="Z116" s="181"/>
    </row>
    <row r="117">
      <c r="A117" s="186" t="str">
        <f>IFERROR(__xludf.DUMMYFUNCTION("""COMPUTED_VALUE"""),"08")</f>
        <v>08</v>
      </c>
      <c r="B117" s="187" t="str">
        <f>IFERROR(__xludf.DUMMYFUNCTION("""COMPUTED_VALUE"""),"Comunicación")</f>
        <v>Comunicación</v>
      </c>
      <c r="C117" s="170" t="str">
        <f>IFERROR(__xludf.DUMMYFUNCTION("""COMPUTED_VALUE"""),"202502")</f>
        <v>202502</v>
      </c>
      <c r="D117" s="188" t="str">
        <f>IFERROR(__xludf.DUMMYFUNCTION("""COMPUTED_VALUE"""),"7316,7367")</f>
        <v>7316,7367</v>
      </c>
      <c r="E117" s="189" t="str">
        <f>IFERROR(__xludf.DUMMYFUNCTION("""COMPUTED_VALUE"""),"2,5")</f>
        <v>2,5</v>
      </c>
      <c r="F117" s="188" t="str">
        <f t="shared" si="1"/>
        <v>08202502</v>
      </c>
      <c r="G117" s="181"/>
      <c r="H117" s="181"/>
      <c r="I117" s="181"/>
      <c r="J117" s="181"/>
      <c r="K117" s="181"/>
      <c r="L117" s="181"/>
      <c r="M117" s="181"/>
      <c r="N117" s="181"/>
      <c r="O117" s="181"/>
      <c r="P117" s="181"/>
      <c r="Q117" s="181"/>
      <c r="R117" s="181"/>
      <c r="S117" s="181"/>
      <c r="T117" s="181"/>
      <c r="U117" s="181"/>
      <c r="V117" s="181"/>
      <c r="W117" s="181"/>
      <c r="X117" s="181"/>
      <c r="Y117" s="181"/>
      <c r="Z117" s="181"/>
    </row>
    <row r="118">
      <c r="A118" s="182" t="str">
        <f>IFERROR(__xludf.DUMMYFUNCTION("""COMPUTED_VALUE"""),"09")</f>
        <v>09</v>
      </c>
      <c r="B118" s="183" t="str">
        <f>IFERROR(__xludf.DUMMYFUNCTION("""COMPUTED_VALUE"""),"Recreación y cultura")</f>
        <v>Recreación y cultura</v>
      </c>
      <c r="C118" s="67" t="str">
        <f>IFERROR(__xludf.DUMMYFUNCTION("""COMPUTED_VALUE"""),"202502")</f>
        <v>202502</v>
      </c>
      <c r="D118" s="184" t="str">
        <f>IFERROR(__xludf.DUMMYFUNCTION("""COMPUTED_VALUE"""),"7717,3701")</f>
        <v>7717,3701</v>
      </c>
      <c r="E118" s="185" t="str">
        <f>IFERROR(__xludf.DUMMYFUNCTION("""COMPUTED_VALUE"""),"2,7")</f>
        <v>2,7</v>
      </c>
      <c r="F118" s="184" t="str">
        <f t="shared" si="1"/>
        <v>09202502</v>
      </c>
      <c r="G118" s="181"/>
      <c r="H118" s="181"/>
      <c r="I118" s="181"/>
      <c r="J118" s="181"/>
      <c r="K118" s="181"/>
      <c r="L118" s="181"/>
      <c r="M118" s="181"/>
      <c r="N118" s="181"/>
      <c r="O118" s="181"/>
      <c r="P118" s="181"/>
      <c r="Q118" s="181"/>
      <c r="R118" s="181"/>
      <c r="S118" s="181"/>
      <c r="T118" s="181"/>
      <c r="U118" s="181"/>
      <c r="V118" s="181"/>
      <c r="W118" s="181"/>
      <c r="X118" s="181"/>
      <c r="Y118" s="181"/>
      <c r="Z118" s="181"/>
    </row>
    <row r="119">
      <c r="A119" s="186" t="str">
        <f>IFERROR(__xludf.DUMMYFUNCTION("""COMPUTED_VALUE"""),"10")</f>
        <v>10</v>
      </c>
      <c r="B119" s="187" t="str">
        <f>IFERROR(__xludf.DUMMYFUNCTION("""COMPUTED_VALUE"""),"Educación")</f>
        <v>Educación</v>
      </c>
      <c r="C119" s="170" t="str">
        <f>IFERROR(__xludf.DUMMYFUNCTION("""COMPUTED_VALUE"""),"202502")</f>
        <v>202502</v>
      </c>
      <c r="D119" s="188" t="str">
        <f>IFERROR(__xludf.DUMMYFUNCTION("""COMPUTED_VALUE"""),"6733,194")</f>
        <v>6733,194</v>
      </c>
      <c r="E119" s="189" t="str">
        <f>IFERROR(__xludf.DUMMYFUNCTION("""COMPUTED_VALUE"""),"1,6")</f>
        <v>1,6</v>
      </c>
      <c r="F119" s="188" t="str">
        <f t="shared" si="1"/>
        <v>10202502</v>
      </c>
      <c r="G119" s="181"/>
      <c r="H119" s="181"/>
      <c r="I119" s="181"/>
      <c r="J119" s="181"/>
      <c r="K119" s="181"/>
      <c r="L119" s="181"/>
      <c r="M119" s="181"/>
      <c r="N119" s="181"/>
      <c r="O119" s="181"/>
      <c r="P119" s="181"/>
      <c r="Q119" s="181"/>
      <c r="R119" s="181"/>
      <c r="S119" s="181"/>
      <c r="T119" s="181"/>
      <c r="U119" s="181"/>
      <c r="V119" s="181"/>
      <c r="W119" s="181"/>
      <c r="X119" s="181"/>
      <c r="Y119" s="181"/>
      <c r="Z119" s="181"/>
    </row>
    <row r="120">
      <c r="A120" s="182" t="str">
        <f>IFERROR(__xludf.DUMMYFUNCTION("""COMPUTED_VALUE"""),"11")</f>
        <v>11</v>
      </c>
      <c r="B120" s="183" t="str">
        <f>IFERROR(__xludf.DUMMYFUNCTION("""COMPUTED_VALUE"""),"Restaurantes y hoteles")</f>
        <v>Restaurantes y hoteles</v>
      </c>
      <c r="C120" s="67" t="str">
        <f>IFERROR(__xludf.DUMMYFUNCTION("""COMPUTED_VALUE"""),"202502")</f>
        <v>202502</v>
      </c>
      <c r="D120" s="184" t="str">
        <f>IFERROR(__xludf.DUMMYFUNCTION("""COMPUTED_VALUE"""),"9292,2507")</f>
        <v>9292,2507</v>
      </c>
      <c r="E120" s="185" t="str">
        <f>IFERROR(__xludf.DUMMYFUNCTION("""COMPUTED_VALUE"""),"1,9")</f>
        <v>1,9</v>
      </c>
      <c r="F120" s="184" t="str">
        <f t="shared" si="1"/>
        <v>11202502</v>
      </c>
      <c r="G120" s="181"/>
      <c r="H120" s="181"/>
      <c r="I120" s="181"/>
      <c r="J120" s="181"/>
      <c r="K120" s="181"/>
      <c r="L120" s="181"/>
      <c r="M120" s="181"/>
      <c r="N120" s="181"/>
      <c r="O120" s="181"/>
      <c r="P120" s="181"/>
      <c r="Q120" s="181"/>
      <c r="R120" s="181"/>
      <c r="S120" s="181"/>
      <c r="T120" s="181"/>
      <c r="U120" s="181"/>
      <c r="V120" s="181"/>
      <c r="W120" s="181"/>
      <c r="X120" s="181"/>
      <c r="Y120" s="181"/>
      <c r="Z120" s="181"/>
    </row>
    <row r="121">
      <c r="A121" s="186" t="str">
        <f>IFERROR(__xludf.DUMMYFUNCTION("""COMPUTED_VALUE"""),"12")</f>
        <v>12</v>
      </c>
      <c r="B121" s="187" t="str">
        <f>IFERROR(__xludf.DUMMYFUNCTION("""COMPUTED_VALUE"""),"Bienes y servicios varios")</f>
        <v>Bienes y servicios varios</v>
      </c>
      <c r="C121" s="170" t="str">
        <f>IFERROR(__xludf.DUMMYFUNCTION("""COMPUTED_VALUE"""),"202502")</f>
        <v>202502</v>
      </c>
      <c r="D121" s="188" t="str">
        <f>IFERROR(__xludf.DUMMYFUNCTION("""COMPUTED_VALUE"""),"7782,0959")</f>
        <v>7782,0959</v>
      </c>
      <c r="E121" s="189" t="str">
        <f>IFERROR(__xludf.DUMMYFUNCTION("""COMPUTED_VALUE"""),"3,2")</f>
        <v>3,2</v>
      </c>
      <c r="F121" s="188" t="str">
        <f t="shared" si="1"/>
        <v>12202502</v>
      </c>
      <c r="G121" s="181"/>
      <c r="H121" s="181"/>
      <c r="I121" s="181"/>
      <c r="J121" s="181"/>
      <c r="K121" s="181"/>
      <c r="L121" s="181"/>
      <c r="M121" s="181"/>
      <c r="N121" s="181"/>
      <c r="O121" s="181"/>
      <c r="P121" s="181"/>
      <c r="Q121" s="181"/>
      <c r="R121" s="181"/>
      <c r="S121" s="181"/>
      <c r="T121" s="181"/>
      <c r="U121" s="181"/>
      <c r="V121" s="181"/>
      <c r="W121" s="181"/>
      <c r="X121" s="181"/>
      <c r="Y121" s="181"/>
      <c r="Z121" s="181"/>
    </row>
    <row r="122">
      <c r="A122" s="182" t="str">
        <f>IFERROR(__xludf.DUMMYFUNCTION("""COMPUTED_VALUE"""),"01")</f>
        <v>01</v>
      </c>
      <c r="B122" s="183" t="str">
        <f>IFERROR(__xludf.DUMMYFUNCTION("""COMPUTED_VALUE"""),"Alimentos y bebidas no alcohólicas")</f>
        <v>Alimentos y bebidas no alcohólicas</v>
      </c>
      <c r="C122" s="67" t="str">
        <f>IFERROR(__xludf.DUMMYFUNCTION("""COMPUTED_VALUE"""),"202503")</f>
        <v>202503</v>
      </c>
      <c r="D122" s="184" t="str">
        <f>IFERROR(__xludf.DUMMYFUNCTION("""COMPUTED_VALUE"""),"9112,2795")</f>
        <v>9112,2795</v>
      </c>
      <c r="E122" s="185" t="str">
        <f>IFERROR(__xludf.DUMMYFUNCTION("""COMPUTED_VALUE"""),"6,3")</f>
        <v>6,3</v>
      </c>
      <c r="F122" s="184" t="str">
        <f t="shared" si="1"/>
        <v>01202503</v>
      </c>
      <c r="G122" s="181"/>
      <c r="H122" s="181"/>
      <c r="I122" s="181"/>
      <c r="J122" s="181"/>
      <c r="K122" s="181"/>
      <c r="L122" s="181"/>
      <c r="M122" s="181"/>
      <c r="N122" s="181"/>
      <c r="O122" s="181"/>
      <c r="P122" s="181"/>
      <c r="Q122" s="181"/>
      <c r="R122" s="181"/>
      <c r="S122" s="181"/>
      <c r="T122" s="181"/>
      <c r="U122" s="181"/>
      <c r="V122" s="181"/>
      <c r="W122" s="181"/>
      <c r="X122" s="181"/>
      <c r="Y122" s="181"/>
      <c r="Z122" s="181"/>
    </row>
    <row r="123">
      <c r="A123" s="186" t="str">
        <f>IFERROR(__xludf.DUMMYFUNCTION("""COMPUTED_VALUE"""),"02")</f>
        <v>02</v>
      </c>
      <c r="B123" s="187" t="str">
        <f>IFERROR(__xludf.DUMMYFUNCTION("""COMPUTED_VALUE"""),"Bebidas alcohólicas y tabaco")</f>
        <v>Bebidas alcohólicas y tabaco</v>
      </c>
      <c r="C123" s="170" t="str">
        <f>IFERROR(__xludf.DUMMYFUNCTION("""COMPUTED_VALUE"""),"202503")</f>
        <v>202503</v>
      </c>
      <c r="D123" s="188" t="str">
        <f>IFERROR(__xludf.DUMMYFUNCTION("""COMPUTED_VALUE"""),"6292,5738")</f>
        <v>6292,5738</v>
      </c>
      <c r="E123" s="189" t="str">
        <f>IFERROR(__xludf.DUMMYFUNCTION("""COMPUTED_VALUE"""),"1")</f>
        <v>1</v>
      </c>
      <c r="F123" s="188" t="str">
        <f t="shared" si="1"/>
        <v>02202503</v>
      </c>
      <c r="G123" s="181"/>
      <c r="H123" s="181"/>
      <c r="I123" s="181"/>
      <c r="J123" s="181"/>
      <c r="K123" s="181"/>
      <c r="L123" s="181"/>
      <c r="M123" s="181"/>
      <c r="N123" s="181"/>
      <c r="O123" s="181"/>
      <c r="P123" s="181"/>
      <c r="Q123" s="181"/>
      <c r="R123" s="181"/>
      <c r="S123" s="181"/>
      <c r="T123" s="181"/>
      <c r="U123" s="181"/>
      <c r="V123" s="181"/>
      <c r="W123" s="181"/>
      <c r="X123" s="181"/>
      <c r="Y123" s="181"/>
      <c r="Z123" s="181"/>
    </row>
    <row r="124">
      <c r="A124" s="182" t="str">
        <f>IFERROR(__xludf.DUMMYFUNCTION("""COMPUTED_VALUE"""),"03")</f>
        <v>03</v>
      </c>
      <c r="B124" s="183" t="str">
        <f>IFERROR(__xludf.DUMMYFUNCTION("""COMPUTED_VALUE"""),"Prendas de vestir y calzado")</f>
        <v>Prendas de vestir y calzado</v>
      </c>
      <c r="C124" s="67" t="str">
        <f>IFERROR(__xludf.DUMMYFUNCTION("""COMPUTED_VALUE"""),"202503")</f>
        <v>202503</v>
      </c>
      <c r="D124" s="184" t="str">
        <f>IFERROR(__xludf.DUMMYFUNCTION("""COMPUTED_VALUE"""),"7368,1022")</f>
        <v>7368,1022</v>
      </c>
      <c r="E124" s="185" t="str">
        <f>IFERROR(__xludf.DUMMYFUNCTION("""COMPUTED_VALUE"""),"5,6")</f>
        <v>5,6</v>
      </c>
      <c r="F124" s="184" t="str">
        <f t="shared" si="1"/>
        <v>03202503</v>
      </c>
      <c r="G124" s="181"/>
      <c r="H124" s="181"/>
      <c r="I124" s="181"/>
      <c r="J124" s="181"/>
      <c r="K124" s="181"/>
      <c r="L124" s="181"/>
      <c r="M124" s="181"/>
      <c r="N124" s="181"/>
      <c r="O124" s="181"/>
      <c r="P124" s="181"/>
      <c r="Q124" s="181"/>
      <c r="R124" s="181"/>
      <c r="S124" s="181"/>
      <c r="T124" s="181"/>
      <c r="U124" s="181"/>
      <c r="V124" s="181"/>
      <c r="W124" s="181"/>
      <c r="X124" s="181"/>
      <c r="Y124" s="181"/>
      <c r="Z124" s="181"/>
    </row>
    <row r="125">
      <c r="A125" s="186" t="str">
        <f>IFERROR(__xludf.DUMMYFUNCTION("""COMPUTED_VALUE"""),"04")</f>
        <v>04</v>
      </c>
      <c r="B125" s="187" t="str">
        <f>IFERROR(__xludf.DUMMYFUNCTION("""COMPUTED_VALUE"""),"Vivienda, agua, electricidad, gas y otros combustibles")</f>
        <v>Vivienda, agua, electricidad, gas y otros combustibles</v>
      </c>
      <c r="C125" s="170" t="str">
        <f>IFERROR(__xludf.DUMMYFUNCTION("""COMPUTED_VALUE"""),"202503")</f>
        <v>202503</v>
      </c>
      <c r="D125" s="188" t="str">
        <f>IFERROR(__xludf.DUMMYFUNCTION("""COMPUTED_VALUE"""),"7841,6485")</f>
        <v>7841,6485</v>
      </c>
      <c r="E125" s="189" t="str">
        <f>IFERROR(__xludf.DUMMYFUNCTION("""COMPUTED_VALUE"""),"3")</f>
        <v>3</v>
      </c>
      <c r="F125" s="188" t="str">
        <f t="shared" si="1"/>
        <v>04202503</v>
      </c>
      <c r="G125" s="181"/>
      <c r="H125" s="181"/>
      <c r="I125" s="181"/>
      <c r="J125" s="181"/>
      <c r="K125" s="181"/>
      <c r="L125" s="181"/>
      <c r="M125" s="181"/>
      <c r="N125" s="181"/>
      <c r="O125" s="181"/>
      <c r="P125" s="181"/>
      <c r="Q125" s="181"/>
      <c r="R125" s="181"/>
      <c r="S125" s="181"/>
      <c r="T125" s="181"/>
      <c r="U125" s="181"/>
      <c r="V125" s="181"/>
      <c r="W125" s="181"/>
      <c r="X125" s="181"/>
      <c r="Y125" s="181"/>
      <c r="Z125" s="181"/>
    </row>
    <row r="126">
      <c r="A126" s="182" t="str">
        <f>IFERROR(__xludf.DUMMYFUNCTION("""COMPUTED_VALUE"""),"05")</f>
        <v>05</v>
      </c>
      <c r="B126" s="183" t="str">
        <f>IFERROR(__xludf.DUMMYFUNCTION("""COMPUTED_VALUE"""),"Equipamiento y mantenimiento del hogar")</f>
        <v>Equipamiento y mantenimiento del hogar</v>
      </c>
      <c r="C126" s="67" t="str">
        <f>IFERROR(__xludf.DUMMYFUNCTION("""COMPUTED_VALUE"""),"202503")</f>
        <v>202503</v>
      </c>
      <c r="D126" s="184" t="str">
        <f>IFERROR(__xludf.DUMMYFUNCTION("""COMPUTED_VALUE"""),"7255,9002")</f>
        <v>7255,9002</v>
      </c>
      <c r="E126" s="185" t="str">
        <f>IFERROR(__xludf.DUMMYFUNCTION("""COMPUTED_VALUE"""),"1,4")</f>
        <v>1,4</v>
      </c>
      <c r="F126" s="184" t="str">
        <f t="shared" si="1"/>
        <v>05202503</v>
      </c>
      <c r="G126" s="181"/>
      <c r="H126" s="181"/>
      <c r="I126" s="181"/>
      <c r="J126" s="181"/>
      <c r="K126" s="181"/>
      <c r="L126" s="181"/>
      <c r="M126" s="181"/>
      <c r="N126" s="181"/>
      <c r="O126" s="181"/>
      <c r="P126" s="181"/>
      <c r="Q126" s="181"/>
      <c r="R126" s="181"/>
      <c r="S126" s="181"/>
      <c r="T126" s="181"/>
      <c r="U126" s="181"/>
      <c r="V126" s="181"/>
      <c r="W126" s="181"/>
      <c r="X126" s="181"/>
      <c r="Y126" s="181"/>
      <c r="Z126" s="181"/>
    </row>
    <row r="127">
      <c r="A127" s="186" t="str">
        <f>IFERROR(__xludf.DUMMYFUNCTION("""COMPUTED_VALUE"""),"06")</f>
        <v>06</v>
      </c>
      <c r="B127" s="187" t="str">
        <f>IFERROR(__xludf.DUMMYFUNCTION("""COMPUTED_VALUE"""),"Salud")</f>
        <v>Salud</v>
      </c>
      <c r="C127" s="170" t="str">
        <f>IFERROR(__xludf.DUMMYFUNCTION("""COMPUTED_VALUE"""),"202503")</f>
        <v>202503</v>
      </c>
      <c r="D127" s="188" t="str">
        <f>IFERROR(__xludf.DUMMYFUNCTION("""COMPUTED_VALUE"""),"8949,6747")</f>
        <v>8949,6747</v>
      </c>
      <c r="E127" s="189" t="str">
        <f>IFERROR(__xludf.DUMMYFUNCTION("""COMPUTED_VALUE"""),"1,9")</f>
        <v>1,9</v>
      </c>
      <c r="F127" s="188" t="str">
        <f t="shared" si="1"/>
        <v>06202503</v>
      </c>
      <c r="G127" s="181"/>
      <c r="H127" s="181"/>
      <c r="I127" s="181"/>
      <c r="J127" s="181"/>
      <c r="K127" s="181"/>
      <c r="L127" s="181"/>
      <c r="M127" s="181"/>
      <c r="N127" s="181"/>
      <c r="O127" s="181"/>
      <c r="P127" s="181"/>
      <c r="Q127" s="181"/>
      <c r="R127" s="181"/>
      <c r="S127" s="181"/>
      <c r="T127" s="181"/>
      <c r="U127" s="181"/>
      <c r="V127" s="181"/>
      <c r="W127" s="181"/>
      <c r="X127" s="181"/>
      <c r="Y127" s="181"/>
      <c r="Z127" s="181"/>
    </row>
    <row r="128">
      <c r="A128" s="182" t="str">
        <f>IFERROR(__xludf.DUMMYFUNCTION("""COMPUTED_VALUE"""),"07")</f>
        <v>07</v>
      </c>
      <c r="B128" s="183" t="str">
        <f>IFERROR(__xludf.DUMMYFUNCTION("""COMPUTED_VALUE"""),"Transporte")</f>
        <v>Transporte</v>
      </c>
      <c r="C128" s="67" t="str">
        <f>IFERROR(__xludf.DUMMYFUNCTION("""COMPUTED_VALUE"""),"202503")</f>
        <v>202503</v>
      </c>
      <c r="D128" s="184" t="str">
        <f>IFERROR(__xludf.DUMMYFUNCTION("""COMPUTED_VALUE"""),"8049,5986")</f>
        <v>8049,5986</v>
      </c>
      <c r="E128" s="185" t="str">
        <f>IFERROR(__xludf.DUMMYFUNCTION("""COMPUTED_VALUE"""),"1,7")</f>
        <v>1,7</v>
      </c>
      <c r="F128" s="184" t="str">
        <f t="shared" si="1"/>
        <v>07202503</v>
      </c>
      <c r="G128" s="181"/>
      <c r="H128" s="181"/>
      <c r="I128" s="181"/>
      <c r="J128" s="181"/>
      <c r="K128" s="181"/>
      <c r="L128" s="181"/>
      <c r="M128" s="181"/>
      <c r="N128" s="181"/>
      <c r="O128" s="181"/>
      <c r="P128" s="181"/>
      <c r="Q128" s="181"/>
      <c r="R128" s="181"/>
      <c r="S128" s="181"/>
      <c r="T128" s="181"/>
      <c r="U128" s="181"/>
      <c r="V128" s="181"/>
      <c r="W128" s="181"/>
      <c r="X128" s="181"/>
      <c r="Y128" s="181"/>
      <c r="Z128" s="181"/>
    </row>
    <row r="129">
      <c r="A129" s="186" t="str">
        <f>IFERROR(__xludf.DUMMYFUNCTION("""COMPUTED_VALUE"""),"08")</f>
        <v>08</v>
      </c>
      <c r="B129" s="187" t="str">
        <f>IFERROR(__xludf.DUMMYFUNCTION("""COMPUTED_VALUE"""),"Comunicación")</f>
        <v>Comunicación</v>
      </c>
      <c r="C129" s="170" t="str">
        <f>IFERROR(__xludf.DUMMYFUNCTION("""COMPUTED_VALUE"""),"202503")</f>
        <v>202503</v>
      </c>
      <c r="D129" s="188" t="str">
        <f>IFERROR(__xludf.DUMMYFUNCTION("""COMPUTED_VALUE"""),"7540,6162")</f>
        <v>7540,6162</v>
      </c>
      <c r="E129" s="189" t="str">
        <f>IFERROR(__xludf.DUMMYFUNCTION("""COMPUTED_VALUE"""),"3,1")</f>
        <v>3,1</v>
      </c>
      <c r="F129" s="188" t="str">
        <f t="shared" si="1"/>
        <v>08202503</v>
      </c>
      <c r="G129" s="181"/>
      <c r="H129" s="181"/>
      <c r="I129" s="181"/>
      <c r="J129" s="181"/>
      <c r="K129" s="181"/>
      <c r="L129" s="181"/>
      <c r="M129" s="181"/>
      <c r="N129" s="181"/>
      <c r="O129" s="181"/>
      <c r="P129" s="181"/>
      <c r="Q129" s="181"/>
      <c r="R129" s="181"/>
      <c r="S129" s="181"/>
      <c r="T129" s="181"/>
      <c r="U129" s="181"/>
      <c r="V129" s="181"/>
      <c r="W129" s="181"/>
      <c r="X129" s="181"/>
      <c r="Y129" s="181"/>
      <c r="Z129" s="181"/>
    </row>
    <row r="130">
      <c r="A130" s="182" t="str">
        <f>IFERROR(__xludf.DUMMYFUNCTION("""COMPUTED_VALUE"""),"09")</f>
        <v>09</v>
      </c>
      <c r="B130" s="183" t="str">
        <f>IFERROR(__xludf.DUMMYFUNCTION("""COMPUTED_VALUE"""),"Recreación y cultura")</f>
        <v>Recreación y cultura</v>
      </c>
      <c r="C130" s="67" t="str">
        <f>IFERROR(__xludf.DUMMYFUNCTION("""COMPUTED_VALUE"""),"202503")</f>
        <v>202503</v>
      </c>
      <c r="D130" s="184" t="str">
        <f>IFERROR(__xludf.DUMMYFUNCTION("""COMPUTED_VALUE"""),"7695,7515")</f>
        <v>7695,7515</v>
      </c>
      <c r="E130" s="185" t="str">
        <f>IFERROR(__xludf.DUMMYFUNCTION("""COMPUTED_VALUE"""),"-0,3")</f>
        <v>-0,3</v>
      </c>
      <c r="F130" s="184" t="str">
        <f t="shared" si="1"/>
        <v>09202503</v>
      </c>
      <c r="G130" s="181"/>
      <c r="H130" s="181"/>
      <c r="I130" s="181"/>
      <c r="J130" s="181"/>
      <c r="K130" s="181"/>
      <c r="L130" s="181"/>
      <c r="M130" s="181"/>
      <c r="N130" s="181"/>
      <c r="O130" s="181"/>
      <c r="P130" s="181"/>
      <c r="Q130" s="181"/>
      <c r="R130" s="181"/>
      <c r="S130" s="181"/>
      <c r="T130" s="181"/>
      <c r="U130" s="181"/>
      <c r="V130" s="181"/>
      <c r="W130" s="181"/>
      <c r="X130" s="181"/>
      <c r="Y130" s="181"/>
      <c r="Z130" s="181"/>
    </row>
    <row r="131">
      <c r="A131" s="186" t="str">
        <f>IFERROR(__xludf.DUMMYFUNCTION("""COMPUTED_VALUE"""),"10")</f>
        <v>10</v>
      </c>
      <c r="B131" s="187" t="str">
        <f>IFERROR(__xludf.DUMMYFUNCTION("""COMPUTED_VALUE"""),"Educación")</f>
        <v>Educación</v>
      </c>
      <c r="C131" s="170" t="str">
        <f>IFERROR(__xludf.DUMMYFUNCTION("""COMPUTED_VALUE"""),"202503")</f>
        <v>202503</v>
      </c>
      <c r="D131" s="188" t="str">
        <f>IFERROR(__xludf.DUMMYFUNCTION("""COMPUTED_VALUE"""),"7808,1908")</f>
        <v>7808,1908</v>
      </c>
      <c r="E131" s="189" t="str">
        <f>IFERROR(__xludf.DUMMYFUNCTION("""COMPUTED_VALUE"""),"16")</f>
        <v>16</v>
      </c>
      <c r="F131" s="188" t="str">
        <f t="shared" si="1"/>
        <v>10202503</v>
      </c>
      <c r="G131" s="181"/>
      <c r="H131" s="181"/>
      <c r="I131" s="181"/>
      <c r="J131" s="181"/>
      <c r="K131" s="181"/>
      <c r="L131" s="181"/>
      <c r="M131" s="181"/>
      <c r="N131" s="181"/>
      <c r="O131" s="181"/>
      <c r="P131" s="181"/>
      <c r="Q131" s="181"/>
      <c r="R131" s="181"/>
      <c r="S131" s="181"/>
      <c r="T131" s="181"/>
      <c r="U131" s="181"/>
      <c r="V131" s="181"/>
      <c r="W131" s="181"/>
      <c r="X131" s="181"/>
      <c r="Y131" s="181"/>
      <c r="Z131" s="181"/>
    </row>
    <row r="132">
      <c r="A132" s="182" t="str">
        <f>IFERROR(__xludf.DUMMYFUNCTION("""COMPUTED_VALUE"""),"11")</f>
        <v>11</v>
      </c>
      <c r="B132" s="183" t="str">
        <f>IFERROR(__xludf.DUMMYFUNCTION("""COMPUTED_VALUE"""),"Restaurantes y hoteles")</f>
        <v>Restaurantes y hoteles</v>
      </c>
      <c r="C132" s="67" t="str">
        <f>IFERROR(__xludf.DUMMYFUNCTION("""COMPUTED_VALUE"""),"202503")</f>
        <v>202503</v>
      </c>
      <c r="D132" s="184" t="str">
        <f>IFERROR(__xludf.DUMMYFUNCTION("""COMPUTED_VALUE"""),"9641,3091")</f>
        <v>9641,3091</v>
      </c>
      <c r="E132" s="185" t="str">
        <f>IFERROR(__xludf.DUMMYFUNCTION("""COMPUTED_VALUE"""),"3,8")</f>
        <v>3,8</v>
      </c>
      <c r="F132" s="184" t="str">
        <f t="shared" si="1"/>
        <v>11202503</v>
      </c>
      <c r="G132" s="181"/>
      <c r="H132" s="181"/>
      <c r="I132" s="181"/>
      <c r="J132" s="181"/>
      <c r="K132" s="181"/>
      <c r="L132" s="181"/>
      <c r="M132" s="181"/>
      <c r="N132" s="181"/>
      <c r="O132" s="181"/>
      <c r="P132" s="181"/>
      <c r="Q132" s="181"/>
      <c r="R132" s="181"/>
      <c r="S132" s="181"/>
      <c r="T132" s="181"/>
      <c r="U132" s="181"/>
      <c r="V132" s="181"/>
      <c r="W132" s="181"/>
      <c r="X132" s="181"/>
      <c r="Y132" s="181"/>
      <c r="Z132" s="181"/>
    </row>
    <row r="133">
      <c r="A133" s="186" t="str">
        <f>IFERROR(__xludf.DUMMYFUNCTION("""COMPUTED_VALUE"""),"12")</f>
        <v>12</v>
      </c>
      <c r="B133" s="187" t="str">
        <f>IFERROR(__xludf.DUMMYFUNCTION("""COMPUTED_VALUE"""),"Bienes y servicios varios")</f>
        <v>Bienes y servicios varios</v>
      </c>
      <c r="C133" s="170" t="str">
        <f>IFERROR(__xludf.DUMMYFUNCTION("""COMPUTED_VALUE"""),"202503")</f>
        <v>202503</v>
      </c>
      <c r="D133" s="188" t="str">
        <f>IFERROR(__xludf.DUMMYFUNCTION("""COMPUTED_VALUE"""),"8113,781")</f>
        <v>8113,781</v>
      </c>
      <c r="E133" s="189" t="str">
        <f>IFERROR(__xludf.DUMMYFUNCTION("""COMPUTED_VALUE"""),"4,3")</f>
        <v>4,3</v>
      </c>
      <c r="F133" s="188" t="str">
        <f t="shared" si="1"/>
        <v>12202503</v>
      </c>
      <c r="G133" s="181"/>
      <c r="H133" s="181"/>
      <c r="I133" s="181"/>
      <c r="J133" s="181"/>
      <c r="K133" s="181"/>
      <c r="L133" s="181"/>
      <c r="M133" s="181"/>
      <c r="N133" s="181"/>
      <c r="O133" s="181"/>
      <c r="P133" s="181"/>
      <c r="Q133" s="181"/>
      <c r="R133" s="181"/>
      <c r="S133" s="181"/>
      <c r="T133" s="181"/>
      <c r="U133" s="181"/>
      <c r="V133" s="181"/>
      <c r="W133" s="181"/>
      <c r="X133" s="181"/>
      <c r="Y133" s="181"/>
      <c r="Z133" s="181"/>
    </row>
    <row r="134">
      <c r="A134" s="182" t="str">
        <f>IFERROR(__xludf.DUMMYFUNCTION("""COMPUTED_VALUE"""),"01")</f>
        <v>01</v>
      </c>
      <c r="B134" s="183" t="str">
        <f>IFERROR(__xludf.DUMMYFUNCTION("""COMPUTED_VALUE"""),"Alimentos y bebidas no alcohólicas")</f>
        <v>Alimentos y bebidas no alcohólicas</v>
      </c>
      <c r="C134" s="67" t="str">
        <f>IFERROR(__xludf.DUMMYFUNCTION("""COMPUTED_VALUE"""),"202504")</f>
        <v>202504</v>
      </c>
      <c r="D134" s="184" t="str">
        <f>IFERROR(__xludf.DUMMYFUNCTION("""COMPUTED_VALUE"""),"9367,4844")</f>
        <v>9367,4844</v>
      </c>
      <c r="E134" s="185" t="str">
        <f>IFERROR(__xludf.DUMMYFUNCTION("""COMPUTED_VALUE"""),"2,8")</f>
        <v>2,8</v>
      </c>
      <c r="F134" s="184" t="str">
        <f t="shared" si="1"/>
        <v>01202504</v>
      </c>
      <c r="G134" s="181"/>
      <c r="H134" s="181"/>
      <c r="I134" s="181"/>
      <c r="J134" s="181"/>
      <c r="K134" s="181"/>
      <c r="L134" s="181"/>
      <c r="M134" s="181"/>
      <c r="N134" s="181"/>
      <c r="O134" s="181"/>
      <c r="P134" s="181"/>
      <c r="Q134" s="181"/>
      <c r="R134" s="181"/>
      <c r="S134" s="181"/>
      <c r="T134" s="181"/>
      <c r="U134" s="181"/>
      <c r="V134" s="181"/>
      <c r="W134" s="181"/>
      <c r="X134" s="181"/>
      <c r="Y134" s="181"/>
      <c r="Z134" s="181"/>
    </row>
    <row r="135">
      <c r="A135" s="186" t="str">
        <f>IFERROR(__xludf.DUMMYFUNCTION("""COMPUTED_VALUE"""),"02")</f>
        <v>02</v>
      </c>
      <c r="B135" s="187" t="str">
        <f>IFERROR(__xludf.DUMMYFUNCTION("""COMPUTED_VALUE"""),"Bebidas alcohólicas y tabaco")</f>
        <v>Bebidas alcohólicas y tabaco</v>
      </c>
      <c r="C135" s="170" t="str">
        <f>IFERROR(__xludf.DUMMYFUNCTION("""COMPUTED_VALUE"""),"202504")</f>
        <v>202504</v>
      </c>
      <c r="D135" s="188" t="str">
        <f>IFERROR(__xludf.DUMMYFUNCTION("""COMPUTED_VALUE"""),"6489,2193")</f>
        <v>6489,2193</v>
      </c>
      <c r="E135" s="189" t="str">
        <f>IFERROR(__xludf.DUMMYFUNCTION("""COMPUTED_VALUE"""),"3,1")</f>
        <v>3,1</v>
      </c>
      <c r="F135" s="188" t="str">
        <f t="shared" si="1"/>
        <v>02202504</v>
      </c>
      <c r="G135" s="181"/>
      <c r="H135" s="181"/>
      <c r="I135" s="181"/>
      <c r="J135" s="181"/>
      <c r="K135" s="181"/>
      <c r="L135" s="181"/>
      <c r="M135" s="181"/>
      <c r="N135" s="181"/>
      <c r="O135" s="181"/>
      <c r="P135" s="181"/>
      <c r="Q135" s="181"/>
      <c r="R135" s="181"/>
      <c r="S135" s="181"/>
      <c r="T135" s="181"/>
      <c r="U135" s="181"/>
      <c r="V135" s="181"/>
      <c r="W135" s="181"/>
      <c r="X135" s="181"/>
      <c r="Y135" s="181"/>
      <c r="Z135" s="181"/>
    </row>
    <row r="136">
      <c r="A136" s="182" t="str">
        <f>IFERROR(__xludf.DUMMYFUNCTION("""COMPUTED_VALUE"""),"03")</f>
        <v>03</v>
      </c>
      <c r="B136" s="183" t="str">
        <f>IFERROR(__xludf.DUMMYFUNCTION("""COMPUTED_VALUE"""),"Prendas de vestir y calzado")</f>
        <v>Prendas de vestir y calzado</v>
      </c>
      <c r="C136" s="67" t="str">
        <f>IFERROR(__xludf.DUMMYFUNCTION("""COMPUTED_VALUE"""),"202504")</f>
        <v>202504</v>
      </c>
      <c r="D136" s="184" t="str">
        <f>IFERROR(__xludf.DUMMYFUNCTION("""COMPUTED_VALUE"""),"7716,8271")</f>
        <v>7716,8271</v>
      </c>
      <c r="E136" s="185" t="str">
        <f>IFERROR(__xludf.DUMMYFUNCTION("""COMPUTED_VALUE"""),"4,7")</f>
        <v>4,7</v>
      </c>
      <c r="F136" s="184" t="str">
        <f t="shared" si="1"/>
        <v>03202504</v>
      </c>
      <c r="G136" s="181"/>
      <c r="H136" s="181"/>
      <c r="I136" s="181"/>
      <c r="J136" s="181"/>
      <c r="K136" s="181"/>
      <c r="L136" s="181"/>
      <c r="M136" s="181"/>
      <c r="N136" s="181"/>
      <c r="O136" s="181"/>
      <c r="P136" s="181"/>
      <c r="Q136" s="181"/>
      <c r="R136" s="181"/>
      <c r="S136" s="181"/>
      <c r="T136" s="181"/>
      <c r="U136" s="181"/>
      <c r="V136" s="181"/>
      <c r="W136" s="181"/>
      <c r="X136" s="181"/>
      <c r="Y136" s="181"/>
      <c r="Z136" s="181"/>
    </row>
    <row r="137">
      <c r="A137" s="186" t="str">
        <f>IFERROR(__xludf.DUMMYFUNCTION("""COMPUTED_VALUE"""),"04")</f>
        <v>04</v>
      </c>
      <c r="B137" s="187" t="str">
        <f>IFERROR(__xludf.DUMMYFUNCTION("""COMPUTED_VALUE"""),"Vivienda, agua, electricidad, gas y otros combustibles")</f>
        <v>Vivienda, agua, electricidad, gas y otros combustibles</v>
      </c>
      <c r="C137" s="170" t="str">
        <f>IFERROR(__xludf.DUMMYFUNCTION("""COMPUTED_VALUE"""),"202504")</f>
        <v>202504</v>
      </c>
      <c r="D137" s="188" t="str">
        <f>IFERROR(__xludf.DUMMYFUNCTION("""COMPUTED_VALUE"""),"7977,6053")</f>
        <v>7977,6053</v>
      </c>
      <c r="E137" s="189" t="str">
        <f>IFERROR(__xludf.DUMMYFUNCTION("""COMPUTED_VALUE"""),"1,7")</f>
        <v>1,7</v>
      </c>
      <c r="F137" s="188" t="str">
        <f t="shared" si="1"/>
        <v>04202504</v>
      </c>
      <c r="G137" s="181"/>
      <c r="H137" s="181"/>
      <c r="I137" s="181"/>
      <c r="J137" s="181"/>
      <c r="K137" s="181"/>
      <c r="L137" s="181"/>
      <c r="M137" s="181"/>
      <c r="N137" s="181"/>
      <c r="O137" s="181"/>
      <c r="P137" s="181"/>
      <c r="Q137" s="181"/>
      <c r="R137" s="181"/>
      <c r="S137" s="181"/>
      <c r="T137" s="181"/>
      <c r="U137" s="181"/>
      <c r="V137" s="181"/>
      <c r="W137" s="181"/>
      <c r="X137" s="181"/>
      <c r="Y137" s="181"/>
      <c r="Z137" s="181"/>
    </row>
    <row r="138">
      <c r="A138" s="182" t="str">
        <f>IFERROR(__xludf.DUMMYFUNCTION("""COMPUTED_VALUE"""),"05")</f>
        <v>05</v>
      </c>
      <c r="B138" s="183" t="str">
        <f>IFERROR(__xludf.DUMMYFUNCTION("""COMPUTED_VALUE"""),"Equipamiento y mantenimiento del hogar")</f>
        <v>Equipamiento y mantenimiento del hogar</v>
      </c>
      <c r="C138" s="67" t="str">
        <f>IFERROR(__xludf.DUMMYFUNCTION("""COMPUTED_VALUE"""),"202504")</f>
        <v>202504</v>
      </c>
      <c r="D138" s="184" t="str">
        <f>IFERROR(__xludf.DUMMYFUNCTION("""COMPUTED_VALUE"""),"7340,1743")</f>
        <v>7340,1743</v>
      </c>
      <c r="E138" s="185" t="str">
        <f>IFERROR(__xludf.DUMMYFUNCTION("""COMPUTED_VALUE"""),"1,2")</f>
        <v>1,2</v>
      </c>
      <c r="F138" s="184" t="str">
        <f t="shared" si="1"/>
        <v>05202504</v>
      </c>
      <c r="G138" s="181"/>
      <c r="H138" s="181"/>
      <c r="I138" s="181"/>
      <c r="J138" s="181"/>
      <c r="K138" s="181"/>
      <c r="L138" s="181"/>
      <c r="M138" s="181"/>
      <c r="N138" s="181"/>
      <c r="O138" s="181"/>
      <c r="P138" s="181"/>
      <c r="Q138" s="181"/>
      <c r="R138" s="181"/>
      <c r="S138" s="181"/>
      <c r="T138" s="181"/>
      <c r="U138" s="181"/>
      <c r="V138" s="181"/>
      <c r="W138" s="181"/>
      <c r="X138" s="181"/>
      <c r="Y138" s="181"/>
      <c r="Z138" s="181"/>
    </row>
    <row r="139">
      <c r="A139" s="186" t="str">
        <f>IFERROR(__xludf.DUMMYFUNCTION("""COMPUTED_VALUE"""),"06")</f>
        <v>06</v>
      </c>
      <c r="B139" s="187" t="str">
        <f>IFERROR(__xludf.DUMMYFUNCTION("""COMPUTED_VALUE"""),"Salud")</f>
        <v>Salud</v>
      </c>
      <c r="C139" s="170" t="str">
        <f>IFERROR(__xludf.DUMMYFUNCTION("""COMPUTED_VALUE"""),"202504")</f>
        <v>202504</v>
      </c>
      <c r="D139" s="188" t="str">
        <f>IFERROR(__xludf.DUMMYFUNCTION("""COMPUTED_VALUE"""),"9211,0811")</f>
        <v>9211,0811</v>
      </c>
      <c r="E139" s="189" t="str">
        <f>IFERROR(__xludf.DUMMYFUNCTION("""COMPUTED_VALUE"""),"2,9")</f>
        <v>2,9</v>
      </c>
      <c r="F139" s="188" t="str">
        <f t="shared" si="1"/>
        <v>06202504</v>
      </c>
      <c r="G139" s="181"/>
      <c r="H139" s="181"/>
      <c r="I139" s="181"/>
      <c r="J139" s="181"/>
      <c r="K139" s="181"/>
      <c r="L139" s="181"/>
      <c r="M139" s="181"/>
      <c r="N139" s="181"/>
      <c r="O139" s="181"/>
      <c r="P139" s="181"/>
      <c r="Q139" s="181"/>
      <c r="R139" s="181"/>
      <c r="S139" s="181"/>
      <c r="T139" s="181"/>
      <c r="U139" s="181"/>
      <c r="V139" s="181"/>
      <c r="W139" s="181"/>
      <c r="X139" s="181"/>
      <c r="Y139" s="181"/>
      <c r="Z139" s="181"/>
    </row>
    <row r="140">
      <c r="A140" s="182" t="str">
        <f>IFERROR(__xludf.DUMMYFUNCTION("""COMPUTED_VALUE"""),"07")</f>
        <v>07</v>
      </c>
      <c r="B140" s="183" t="str">
        <f>IFERROR(__xludf.DUMMYFUNCTION("""COMPUTED_VALUE"""),"Transporte")</f>
        <v>Transporte</v>
      </c>
      <c r="C140" s="67" t="str">
        <f>IFERROR(__xludf.DUMMYFUNCTION("""COMPUTED_VALUE"""),"202504")</f>
        <v>202504</v>
      </c>
      <c r="D140" s="184" t="str">
        <f>IFERROR(__xludf.DUMMYFUNCTION("""COMPUTED_VALUE"""),"8185,7785")</f>
        <v>8185,7785</v>
      </c>
      <c r="E140" s="185" t="str">
        <f>IFERROR(__xludf.DUMMYFUNCTION("""COMPUTED_VALUE"""),"1,7")</f>
        <v>1,7</v>
      </c>
      <c r="F140" s="184" t="str">
        <f t="shared" si="1"/>
        <v>07202504</v>
      </c>
      <c r="G140" s="181"/>
      <c r="H140" s="181"/>
      <c r="I140" s="181"/>
      <c r="J140" s="181"/>
      <c r="K140" s="181"/>
      <c r="L140" s="181"/>
      <c r="M140" s="181"/>
      <c r="N140" s="181"/>
      <c r="O140" s="181"/>
      <c r="P140" s="181"/>
      <c r="Q140" s="181"/>
      <c r="R140" s="181"/>
      <c r="S140" s="181"/>
      <c r="T140" s="181"/>
      <c r="U140" s="181"/>
      <c r="V140" s="181"/>
      <c r="W140" s="181"/>
      <c r="X140" s="181"/>
      <c r="Y140" s="181"/>
      <c r="Z140" s="181"/>
    </row>
    <row r="141">
      <c r="A141" s="186" t="str">
        <f>IFERROR(__xludf.DUMMYFUNCTION("""COMPUTED_VALUE"""),"08")</f>
        <v>08</v>
      </c>
      <c r="B141" s="187" t="str">
        <f>IFERROR(__xludf.DUMMYFUNCTION("""COMPUTED_VALUE"""),"Comunicación")</f>
        <v>Comunicación</v>
      </c>
      <c r="C141" s="170" t="str">
        <f>IFERROR(__xludf.DUMMYFUNCTION("""COMPUTED_VALUE"""),"202504")</f>
        <v>202504</v>
      </c>
      <c r="D141" s="188" t="str">
        <f>IFERROR(__xludf.DUMMYFUNCTION("""COMPUTED_VALUE"""),"7709,5628")</f>
        <v>7709,5628</v>
      </c>
      <c r="E141" s="189" t="str">
        <f>IFERROR(__xludf.DUMMYFUNCTION("""COMPUTED_VALUE"""),"2,2")</f>
        <v>2,2</v>
      </c>
      <c r="F141" s="188" t="str">
        <f t="shared" si="1"/>
        <v>08202504</v>
      </c>
      <c r="G141" s="181"/>
      <c r="H141" s="181"/>
      <c r="I141" s="181"/>
      <c r="J141" s="181"/>
      <c r="K141" s="181"/>
      <c r="L141" s="181"/>
      <c r="M141" s="181"/>
      <c r="N141" s="181"/>
      <c r="O141" s="181"/>
      <c r="P141" s="181"/>
      <c r="Q141" s="181"/>
      <c r="R141" s="181"/>
      <c r="S141" s="181"/>
      <c r="T141" s="181"/>
      <c r="U141" s="181"/>
      <c r="V141" s="181"/>
      <c r="W141" s="181"/>
      <c r="X141" s="181"/>
      <c r="Y141" s="181"/>
      <c r="Z141" s="181"/>
    </row>
    <row r="142">
      <c r="A142" s="182" t="str">
        <f>IFERROR(__xludf.DUMMYFUNCTION("""COMPUTED_VALUE"""),"09")</f>
        <v>09</v>
      </c>
      <c r="B142" s="183" t="str">
        <f>IFERROR(__xludf.DUMMYFUNCTION("""COMPUTED_VALUE"""),"Recreación y cultura")</f>
        <v>Recreación y cultura</v>
      </c>
      <c r="C142" s="67" t="str">
        <f>IFERROR(__xludf.DUMMYFUNCTION("""COMPUTED_VALUE"""),"202504")</f>
        <v>202504</v>
      </c>
      <c r="D142" s="184" t="str">
        <f>IFERROR(__xludf.DUMMYFUNCTION("""COMPUTED_VALUE"""),"7900,3182")</f>
        <v>7900,3182</v>
      </c>
      <c r="E142" s="185" t="str">
        <f>IFERROR(__xludf.DUMMYFUNCTION("""COMPUTED_VALUE"""),"2,7")</f>
        <v>2,7</v>
      </c>
      <c r="F142" s="184" t="str">
        <f t="shared" si="1"/>
        <v>09202504</v>
      </c>
      <c r="G142" s="181"/>
      <c r="H142" s="181"/>
      <c r="I142" s="181"/>
      <c r="J142" s="181"/>
      <c r="K142" s="181"/>
      <c r="L142" s="181"/>
      <c r="M142" s="181"/>
      <c r="N142" s="181"/>
      <c r="O142" s="181"/>
      <c r="P142" s="181"/>
      <c r="Q142" s="181"/>
      <c r="R142" s="181"/>
      <c r="S142" s="181"/>
      <c r="T142" s="181"/>
      <c r="U142" s="181"/>
      <c r="V142" s="181"/>
      <c r="W142" s="181"/>
      <c r="X142" s="181"/>
      <c r="Y142" s="181"/>
      <c r="Z142" s="181"/>
    </row>
    <row r="143">
      <c r="A143" s="186" t="str">
        <f>IFERROR(__xludf.DUMMYFUNCTION("""COMPUTED_VALUE"""),"10")</f>
        <v>10</v>
      </c>
      <c r="B143" s="187" t="str">
        <f>IFERROR(__xludf.DUMMYFUNCTION("""COMPUTED_VALUE"""),"Educación")</f>
        <v>Educación</v>
      </c>
      <c r="C143" s="170" t="str">
        <f>IFERROR(__xludf.DUMMYFUNCTION("""COMPUTED_VALUE"""),"202504")</f>
        <v>202504</v>
      </c>
      <c r="D143" s="188" t="str">
        <f>IFERROR(__xludf.DUMMYFUNCTION("""COMPUTED_VALUE"""),"7943,8635")</f>
        <v>7943,8635</v>
      </c>
      <c r="E143" s="189" t="str">
        <f>IFERROR(__xludf.DUMMYFUNCTION("""COMPUTED_VALUE"""),"1,7")</f>
        <v>1,7</v>
      </c>
      <c r="F143" s="188" t="str">
        <f t="shared" si="1"/>
        <v>10202504</v>
      </c>
      <c r="G143" s="181"/>
      <c r="H143" s="181"/>
      <c r="I143" s="181"/>
      <c r="J143" s="181"/>
      <c r="K143" s="181"/>
      <c r="L143" s="181"/>
      <c r="M143" s="181"/>
      <c r="N143" s="181"/>
      <c r="O143" s="181"/>
      <c r="P143" s="181"/>
      <c r="Q143" s="181"/>
      <c r="R143" s="181"/>
      <c r="S143" s="181"/>
      <c r="T143" s="181"/>
      <c r="U143" s="181"/>
      <c r="V143" s="181"/>
      <c r="W143" s="181"/>
      <c r="X143" s="181"/>
      <c r="Y143" s="181"/>
      <c r="Z143" s="181"/>
    </row>
    <row r="144">
      <c r="A144" s="182" t="str">
        <f>IFERROR(__xludf.DUMMYFUNCTION("""COMPUTED_VALUE"""),"11")</f>
        <v>11</v>
      </c>
      <c r="B144" s="183" t="str">
        <f>IFERROR(__xludf.DUMMYFUNCTION("""COMPUTED_VALUE"""),"Restaurantes y hoteles")</f>
        <v>Restaurantes y hoteles</v>
      </c>
      <c r="C144" s="67" t="str">
        <f>IFERROR(__xludf.DUMMYFUNCTION("""COMPUTED_VALUE"""),"202504")</f>
        <v>202504</v>
      </c>
      <c r="D144" s="184" t="str">
        <f>IFERROR(__xludf.DUMMYFUNCTION("""COMPUTED_VALUE"""),"10044,8128")</f>
        <v>10044,8128</v>
      </c>
      <c r="E144" s="185" t="str">
        <f>IFERROR(__xludf.DUMMYFUNCTION("""COMPUTED_VALUE"""),"4,2")</f>
        <v>4,2</v>
      </c>
      <c r="F144" s="184" t="str">
        <f t="shared" si="1"/>
        <v>11202504</v>
      </c>
      <c r="G144" s="181"/>
      <c r="H144" s="181"/>
      <c r="I144" s="181"/>
      <c r="J144" s="181"/>
      <c r="K144" s="181"/>
      <c r="L144" s="181"/>
      <c r="M144" s="181"/>
      <c r="N144" s="181"/>
      <c r="O144" s="181"/>
      <c r="P144" s="181"/>
      <c r="Q144" s="181"/>
      <c r="R144" s="181"/>
      <c r="S144" s="181"/>
      <c r="T144" s="181"/>
      <c r="U144" s="181"/>
      <c r="V144" s="181"/>
      <c r="W144" s="181"/>
      <c r="X144" s="181"/>
      <c r="Y144" s="181"/>
      <c r="Z144" s="181"/>
    </row>
    <row r="145">
      <c r="A145" s="186" t="str">
        <f>IFERROR(__xludf.DUMMYFUNCTION("""COMPUTED_VALUE"""),"12")</f>
        <v>12</v>
      </c>
      <c r="B145" s="187" t="str">
        <f>IFERROR(__xludf.DUMMYFUNCTION("""COMPUTED_VALUE"""),"Bienes y servicios varios")</f>
        <v>Bienes y servicios varios</v>
      </c>
      <c r="C145" s="170" t="str">
        <f>IFERROR(__xludf.DUMMYFUNCTION("""COMPUTED_VALUE"""),"202504")</f>
        <v>202504</v>
      </c>
      <c r="D145" s="188" t="str">
        <f>IFERROR(__xludf.DUMMYFUNCTION("""COMPUTED_VALUE"""),"8321,8701")</f>
        <v>8321,8701</v>
      </c>
      <c r="E145" s="189" t="str">
        <f>IFERROR(__xludf.DUMMYFUNCTION("""COMPUTED_VALUE"""),"2,6")</f>
        <v>2,6</v>
      </c>
      <c r="F145" s="188" t="str">
        <f t="shared" si="1"/>
        <v>12202504</v>
      </c>
      <c r="G145" s="181"/>
      <c r="H145" s="181"/>
      <c r="I145" s="181"/>
      <c r="J145" s="181"/>
      <c r="K145" s="181"/>
      <c r="L145" s="181"/>
      <c r="M145" s="181"/>
      <c r="N145" s="181"/>
      <c r="O145" s="181"/>
      <c r="P145" s="181"/>
      <c r="Q145" s="181"/>
      <c r="R145" s="181"/>
      <c r="S145" s="181"/>
      <c r="T145" s="181"/>
      <c r="U145" s="181"/>
      <c r="V145" s="181"/>
      <c r="W145" s="181"/>
      <c r="X145" s="181"/>
      <c r="Y145" s="181"/>
      <c r="Z145" s="181"/>
    </row>
    <row r="146">
      <c r="A146" s="182" t="str">
        <f>IFERROR(__xludf.DUMMYFUNCTION("""COMPUTED_VALUE"""),"01")</f>
        <v>01</v>
      </c>
      <c r="B146" s="183" t="str">
        <f>IFERROR(__xludf.DUMMYFUNCTION("""COMPUTED_VALUE"""),"Alimentos y bebidas no alcohólicas")</f>
        <v>Alimentos y bebidas no alcohólicas</v>
      </c>
      <c r="C146" s="67" t="str">
        <f>IFERROR(__xludf.DUMMYFUNCTION("""COMPUTED_VALUE"""),"202505")</f>
        <v>202505</v>
      </c>
      <c r="D146" s="184" t="str">
        <f>IFERROR(__xludf.DUMMYFUNCTION("""COMPUTED_VALUE"""),"9405,6624")</f>
        <v>9405,6624</v>
      </c>
      <c r="E146" s="185" t="str">
        <f>IFERROR(__xludf.DUMMYFUNCTION("""COMPUTED_VALUE"""),"0,4")</f>
        <v>0,4</v>
      </c>
      <c r="F146" s="184" t="str">
        <f t="shared" si="1"/>
        <v>01202505</v>
      </c>
      <c r="G146" s="181"/>
      <c r="H146" s="181"/>
      <c r="I146" s="181"/>
      <c r="J146" s="181"/>
      <c r="K146" s="181"/>
      <c r="L146" s="181"/>
      <c r="M146" s="181"/>
      <c r="N146" s="181"/>
      <c r="O146" s="181"/>
      <c r="P146" s="181"/>
      <c r="Q146" s="181"/>
      <c r="R146" s="181"/>
      <c r="S146" s="181"/>
      <c r="T146" s="181"/>
      <c r="U146" s="181"/>
      <c r="V146" s="181"/>
      <c r="W146" s="181"/>
      <c r="X146" s="181"/>
      <c r="Y146" s="181"/>
      <c r="Z146" s="181"/>
    </row>
    <row r="147">
      <c r="A147" s="186" t="str">
        <f>IFERROR(__xludf.DUMMYFUNCTION("""COMPUTED_VALUE"""),"02")</f>
        <v>02</v>
      </c>
      <c r="B147" s="187" t="str">
        <f>IFERROR(__xludf.DUMMYFUNCTION("""COMPUTED_VALUE"""),"Bebidas alcohólicas y tabaco")</f>
        <v>Bebidas alcohólicas y tabaco</v>
      </c>
      <c r="C147" s="170" t="str">
        <f>IFERROR(__xludf.DUMMYFUNCTION("""COMPUTED_VALUE"""),"202505")</f>
        <v>202505</v>
      </c>
      <c r="D147" s="188" t="str">
        <f>IFERROR(__xludf.DUMMYFUNCTION("""COMPUTED_VALUE"""),"6521,0607")</f>
        <v>6521,0607</v>
      </c>
      <c r="E147" s="189" t="str">
        <f>IFERROR(__xludf.DUMMYFUNCTION("""COMPUTED_VALUE"""),"0,5")</f>
        <v>0,5</v>
      </c>
      <c r="F147" s="188" t="str">
        <f t="shared" si="1"/>
        <v>02202505</v>
      </c>
      <c r="G147" s="181"/>
      <c r="H147" s="181"/>
      <c r="I147" s="181"/>
      <c r="J147" s="181"/>
      <c r="K147" s="181"/>
      <c r="L147" s="181"/>
      <c r="M147" s="181"/>
      <c r="N147" s="181"/>
      <c r="O147" s="181"/>
      <c r="P147" s="181"/>
      <c r="Q147" s="181"/>
      <c r="R147" s="181"/>
      <c r="S147" s="181"/>
      <c r="T147" s="181"/>
      <c r="U147" s="181"/>
      <c r="V147" s="181"/>
      <c r="W147" s="181"/>
      <c r="X147" s="181"/>
      <c r="Y147" s="181"/>
      <c r="Z147" s="181"/>
    </row>
    <row r="148">
      <c r="A148" s="182" t="str">
        <f>IFERROR(__xludf.DUMMYFUNCTION("""COMPUTED_VALUE"""),"03")</f>
        <v>03</v>
      </c>
      <c r="B148" s="183" t="str">
        <f>IFERROR(__xludf.DUMMYFUNCTION("""COMPUTED_VALUE"""),"Prendas de vestir y calzado")</f>
        <v>Prendas de vestir y calzado</v>
      </c>
      <c r="C148" s="67" t="str">
        <f>IFERROR(__xludf.DUMMYFUNCTION("""COMPUTED_VALUE"""),"202505")</f>
        <v>202505</v>
      </c>
      <c r="D148" s="184" t="str">
        <f>IFERROR(__xludf.DUMMYFUNCTION("""COMPUTED_VALUE"""),"7730,1206")</f>
        <v>7730,1206</v>
      </c>
      <c r="E148" s="185" t="str">
        <f>IFERROR(__xludf.DUMMYFUNCTION("""COMPUTED_VALUE"""),"0,2")</f>
        <v>0,2</v>
      </c>
      <c r="F148" s="184" t="str">
        <f t="shared" si="1"/>
        <v>03202505</v>
      </c>
      <c r="G148" s="181"/>
      <c r="H148" s="181"/>
      <c r="I148" s="181"/>
      <c r="J148" s="181"/>
      <c r="K148" s="181"/>
      <c r="L148" s="181"/>
      <c r="M148" s="181"/>
      <c r="N148" s="181"/>
      <c r="O148" s="181"/>
      <c r="P148" s="181"/>
      <c r="Q148" s="181"/>
      <c r="R148" s="181"/>
      <c r="S148" s="181"/>
      <c r="T148" s="181"/>
      <c r="U148" s="181"/>
      <c r="V148" s="181"/>
      <c r="W148" s="181"/>
      <c r="X148" s="181"/>
      <c r="Y148" s="181"/>
      <c r="Z148" s="181"/>
    </row>
    <row r="149">
      <c r="A149" s="186" t="str">
        <f>IFERROR(__xludf.DUMMYFUNCTION("""COMPUTED_VALUE"""),"04")</f>
        <v>04</v>
      </c>
      <c r="B149" s="187" t="str">
        <f>IFERROR(__xludf.DUMMYFUNCTION("""COMPUTED_VALUE"""),"Vivienda, agua, electricidad, gas y otros combustibles")</f>
        <v>Vivienda, agua, electricidad, gas y otros combustibles</v>
      </c>
      <c r="C149" s="170" t="str">
        <f>IFERROR(__xludf.DUMMYFUNCTION("""COMPUTED_VALUE"""),"202505")</f>
        <v>202505</v>
      </c>
      <c r="D149" s="188" t="str">
        <f>IFERROR(__xludf.DUMMYFUNCTION("""COMPUTED_VALUE"""),"8208,9236")</f>
        <v>8208,9236</v>
      </c>
      <c r="E149" s="189" t="str">
        <f>IFERROR(__xludf.DUMMYFUNCTION("""COMPUTED_VALUE"""),"2,9")</f>
        <v>2,9</v>
      </c>
      <c r="F149" s="188" t="str">
        <f t="shared" si="1"/>
        <v>04202505</v>
      </c>
      <c r="G149" s="181"/>
      <c r="H149" s="181"/>
      <c r="I149" s="181"/>
      <c r="J149" s="181"/>
      <c r="K149" s="181"/>
      <c r="L149" s="181"/>
      <c r="M149" s="181"/>
      <c r="N149" s="181"/>
      <c r="O149" s="181"/>
      <c r="P149" s="181"/>
      <c r="Q149" s="181"/>
      <c r="R149" s="181"/>
      <c r="S149" s="181"/>
      <c r="T149" s="181"/>
      <c r="U149" s="181"/>
      <c r="V149" s="181"/>
      <c r="W149" s="181"/>
      <c r="X149" s="181"/>
      <c r="Y149" s="181"/>
      <c r="Z149" s="181"/>
    </row>
    <row r="150">
      <c r="A150" s="182" t="str">
        <f>IFERROR(__xludf.DUMMYFUNCTION("""COMPUTED_VALUE"""),"05")</f>
        <v>05</v>
      </c>
      <c r="B150" s="183" t="str">
        <f>IFERROR(__xludf.DUMMYFUNCTION("""COMPUTED_VALUE"""),"Equipamiento y mantenimiento del hogar")</f>
        <v>Equipamiento y mantenimiento del hogar</v>
      </c>
      <c r="C150" s="67" t="str">
        <f>IFERROR(__xludf.DUMMYFUNCTION("""COMPUTED_VALUE"""),"202505")</f>
        <v>202505</v>
      </c>
      <c r="D150" s="184" t="str">
        <f>IFERROR(__xludf.DUMMYFUNCTION("""COMPUTED_VALUE"""),"7444,9951")</f>
        <v>7444,9951</v>
      </c>
      <c r="E150" s="185" t="str">
        <f>IFERROR(__xludf.DUMMYFUNCTION("""COMPUTED_VALUE"""),"1,4")</f>
        <v>1,4</v>
      </c>
      <c r="F150" s="184" t="str">
        <f t="shared" si="1"/>
        <v>05202505</v>
      </c>
      <c r="G150" s="181"/>
      <c r="H150" s="181"/>
      <c r="I150" s="181"/>
      <c r="J150" s="181"/>
      <c r="K150" s="181"/>
      <c r="L150" s="181"/>
      <c r="M150" s="181"/>
      <c r="N150" s="181"/>
      <c r="O150" s="181"/>
      <c r="P150" s="181"/>
      <c r="Q150" s="181"/>
      <c r="R150" s="181"/>
      <c r="S150" s="181"/>
      <c r="T150" s="181"/>
      <c r="U150" s="181"/>
      <c r="V150" s="181"/>
      <c r="W150" s="181"/>
      <c r="X150" s="181"/>
      <c r="Y150" s="181"/>
      <c r="Z150" s="181"/>
    </row>
    <row r="151">
      <c r="A151" s="186" t="str">
        <f>IFERROR(__xludf.DUMMYFUNCTION("""COMPUTED_VALUE"""),"06")</f>
        <v>06</v>
      </c>
      <c r="B151" s="187" t="str">
        <f>IFERROR(__xludf.DUMMYFUNCTION("""COMPUTED_VALUE"""),"Salud")</f>
        <v>Salud</v>
      </c>
      <c r="C151" s="170" t="str">
        <f>IFERROR(__xludf.DUMMYFUNCTION("""COMPUTED_VALUE"""),"202505")</f>
        <v>202505</v>
      </c>
      <c r="D151" s="188" t="str">
        <f>IFERROR(__xludf.DUMMYFUNCTION("""COMPUTED_VALUE"""),"9435,464")</f>
        <v>9435,464</v>
      </c>
      <c r="E151" s="189" t="str">
        <f>IFERROR(__xludf.DUMMYFUNCTION("""COMPUTED_VALUE"""),"2,4")</f>
        <v>2,4</v>
      </c>
      <c r="F151" s="188" t="str">
        <f t="shared" si="1"/>
        <v>06202505</v>
      </c>
      <c r="G151" s="181"/>
      <c r="H151" s="181"/>
      <c r="I151" s="181"/>
      <c r="J151" s="181"/>
      <c r="K151" s="181"/>
      <c r="L151" s="181"/>
      <c r="M151" s="181"/>
      <c r="N151" s="181"/>
      <c r="O151" s="181"/>
      <c r="P151" s="181"/>
      <c r="Q151" s="181"/>
      <c r="R151" s="181"/>
      <c r="S151" s="181"/>
      <c r="T151" s="181"/>
      <c r="U151" s="181"/>
      <c r="V151" s="181"/>
      <c r="W151" s="181"/>
      <c r="X151" s="181"/>
      <c r="Y151" s="181"/>
      <c r="Z151" s="181"/>
    </row>
    <row r="152">
      <c r="A152" s="182" t="str">
        <f>IFERROR(__xludf.DUMMYFUNCTION("""COMPUTED_VALUE"""),"07")</f>
        <v>07</v>
      </c>
      <c r="B152" s="183" t="str">
        <f>IFERROR(__xludf.DUMMYFUNCTION("""COMPUTED_VALUE"""),"Transporte")</f>
        <v>Transporte</v>
      </c>
      <c r="C152" s="67" t="str">
        <f>IFERROR(__xludf.DUMMYFUNCTION("""COMPUTED_VALUE"""),"202505")</f>
        <v>202505</v>
      </c>
      <c r="D152" s="184" t="str">
        <f>IFERROR(__xludf.DUMMYFUNCTION("""COMPUTED_VALUE"""),"8229,3297")</f>
        <v>8229,3297</v>
      </c>
      <c r="E152" s="185" t="str">
        <f>IFERROR(__xludf.DUMMYFUNCTION("""COMPUTED_VALUE"""),"0,5")</f>
        <v>0,5</v>
      </c>
      <c r="F152" s="184" t="str">
        <f t="shared" si="1"/>
        <v>07202505</v>
      </c>
      <c r="G152" s="181"/>
      <c r="H152" s="181"/>
      <c r="I152" s="181"/>
      <c r="J152" s="181"/>
      <c r="K152" s="181"/>
      <c r="L152" s="181"/>
      <c r="M152" s="181"/>
      <c r="N152" s="181"/>
      <c r="O152" s="181"/>
      <c r="P152" s="181"/>
      <c r="Q152" s="181"/>
      <c r="R152" s="181"/>
      <c r="S152" s="181"/>
      <c r="T152" s="181"/>
      <c r="U152" s="181"/>
      <c r="V152" s="181"/>
      <c r="W152" s="181"/>
      <c r="X152" s="181"/>
      <c r="Y152" s="181"/>
      <c r="Z152" s="181"/>
    </row>
    <row r="153">
      <c r="A153" s="186" t="str">
        <f>IFERROR(__xludf.DUMMYFUNCTION("""COMPUTED_VALUE"""),"08")</f>
        <v>08</v>
      </c>
      <c r="B153" s="187" t="str">
        <f>IFERROR(__xludf.DUMMYFUNCTION("""COMPUTED_VALUE"""),"Comunicación")</f>
        <v>Comunicación</v>
      </c>
      <c r="C153" s="170" t="str">
        <f>IFERROR(__xludf.DUMMYFUNCTION("""COMPUTED_VALUE"""),"202505")</f>
        <v>202505</v>
      </c>
      <c r="D153" s="188" t="str">
        <f>IFERROR(__xludf.DUMMYFUNCTION("""COMPUTED_VALUE"""),"8052,2581")</f>
        <v>8052,2581</v>
      </c>
      <c r="E153" s="189" t="str">
        <f>IFERROR(__xludf.DUMMYFUNCTION("""COMPUTED_VALUE"""),"4,4")</f>
        <v>4,4</v>
      </c>
      <c r="F153" s="188" t="str">
        <f t="shared" si="1"/>
        <v>08202505</v>
      </c>
      <c r="G153" s="181"/>
      <c r="H153" s="181"/>
      <c r="I153" s="181"/>
      <c r="J153" s="181"/>
      <c r="K153" s="181"/>
      <c r="L153" s="181"/>
      <c r="M153" s="181"/>
      <c r="N153" s="181"/>
      <c r="O153" s="181"/>
      <c r="P153" s="181"/>
      <c r="Q153" s="181"/>
      <c r="R153" s="181"/>
      <c r="S153" s="181"/>
      <c r="T153" s="181"/>
      <c r="U153" s="181"/>
      <c r="V153" s="181"/>
      <c r="W153" s="181"/>
      <c r="X153" s="181"/>
      <c r="Y153" s="181"/>
      <c r="Z153" s="181"/>
    </row>
    <row r="154">
      <c r="A154" s="182" t="str">
        <f>IFERROR(__xludf.DUMMYFUNCTION("""COMPUTED_VALUE"""),"09")</f>
        <v>09</v>
      </c>
      <c r="B154" s="183" t="str">
        <f>IFERROR(__xludf.DUMMYFUNCTION("""COMPUTED_VALUE"""),"Recreación y cultura")</f>
        <v>Recreación y cultura</v>
      </c>
      <c r="C154" s="67" t="str">
        <f>IFERROR(__xludf.DUMMYFUNCTION("""COMPUTED_VALUE"""),"202505")</f>
        <v>202505</v>
      </c>
      <c r="D154" s="184" t="str">
        <f>IFERROR(__xludf.DUMMYFUNCTION("""COMPUTED_VALUE"""),"7981,1535")</f>
        <v>7981,1535</v>
      </c>
      <c r="E154" s="185" t="str">
        <f>IFERROR(__xludf.DUMMYFUNCTION("""COMPUTED_VALUE"""),"1")</f>
        <v>1</v>
      </c>
      <c r="F154" s="184" t="str">
        <f t="shared" si="1"/>
        <v>09202505</v>
      </c>
      <c r="G154" s="181"/>
      <c r="H154" s="181"/>
      <c r="I154" s="181"/>
      <c r="J154" s="181"/>
      <c r="K154" s="181"/>
      <c r="L154" s="181"/>
      <c r="M154" s="181"/>
      <c r="N154" s="181"/>
      <c r="O154" s="181"/>
      <c r="P154" s="181"/>
      <c r="Q154" s="181"/>
      <c r="R154" s="181"/>
      <c r="S154" s="181"/>
      <c r="T154" s="181"/>
      <c r="U154" s="181"/>
      <c r="V154" s="181"/>
      <c r="W154" s="181"/>
      <c r="X154" s="181"/>
      <c r="Y154" s="181"/>
      <c r="Z154" s="181"/>
    </row>
    <row r="155">
      <c r="A155" s="186" t="str">
        <f>IFERROR(__xludf.DUMMYFUNCTION("""COMPUTED_VALUE"""),"10")</f>
        <v>10</v>
      </c>
      <c r="B155" s="187" t="str">
        <f>IFERROR(__xludf.DUMMYFUNCTION("""COMPUTED_VALUE"""),"Educación")</f>
        <v>Educación</v>
      </c>
      <c r="C155" s="170" t="str">
        <f>IFERROR(__xludf.DUMMYFUNCTION("""COMPUTED_VALUE"""),"202505")</f>
        <v>202505</v>
      </c>
      <c r="D155" s="188" t="str">
        <f>IFERROR(__xludf.DUMMYFUNCTION("""COMPUTED_VALUE"""),"8077,8854")</f>
        <v>8077,8854</v>
      </c>
      <c r="E155" s="189" t="str">
        <f>IFERROR(__xludf.DUMMYFUNCTION("""COMPUTED_VALUE"""),"1,7")</f>
        <v>1,7</v>
      </c>
      <c r="F155" s="188" t="str">
        <f t="shared" si="1"/>
        <v>10202505</v>
      </c>
      <c r="G155" s="181"/>
      <c r="H155" s="181"/>
      <c r="I155" s="181"/>
      <c r="J155" s="181"/>
      <c r="K155" s="181"/>
      <c r="L155" s="181"/>
      <c r="M155" s="181"/>
      <c r="N155" s="181"/>
      <c r="O155" s="181"/>
      <c r="P155" s="181"/>
      <c r="Q155" s="181"/>
      <c r="R155" s="181"/>
      <c r="S155" s="181"/>
      <c r="T155" s="181"/>
      <c r="U155" s="181"/>
      <c r="V155" s="181"/>
      <c r="W155" s="181"/>
      <c r="X155" s="181"/>
      <c r="Y155" s="181"/>
      <c r="Z155" s="181"/>
    </row>
    <row r="156">
      <c r="A156" s="182" t="str">
        <f>IFERROR(__xludf.DUMMYFUNCTION("""COMPUTED_VALUE"""),"11")</f>
        <v>11</v>
      </c>
      <c r="B156" s="183" t="str">
        <f>IFERROR(__xludf.DUMMYFUNCTION("""COMPUTED_VALUE"""),"Restaurantes y hoteles")</f>
        <v>Restaurantes y hoteles</v>
      </c>
      <c r="C156" s="67" t="str">
        <f>IFERROR(__xludf.DUMMYFUNCTION("""COMPUTED_VALUE"""),"202505")</f>
        <v>202505</v>
      </c>
      <c r="D156" s="184" t="str">
        <f>IFERROR(__xludf.DUMMYFUNCTION("""COMPUTED_VALUE"""),"10350,0796")</f>
        <v>10350,0796</v>
      </c>
      <c r="E156" s="185" t="str">
        <f>IFERROR(__xludf.DUMMYFUNCTION("""COMPUTED_VALUE"""),"3")</f>
        <v>3</v>
      </c>
      <c r="F156" s="184" t="str">
        <f t="shared" si="1"/>
        <v>11202505</v>
      </c>
      <c r="G156" s="181"/>
      <c r="H156" s="181"/>
      <c r="I156" s="181"/>
      <c r="J156" s="181"/>
      <c r="K156" s="181"/>
      <c r="L156" s="181"/>
      <c r="M156" s="181"/>
      <c r="N156" s="181"/>
      <c r="O156" s="181"/>
      <c r="P156" s="181"/>
      <c r="Q156" s="181"/>
      <c r="R156" s="181"/>
      <c r="S156" s="181"/>
      <c r="T156" s="181"/>
      <c r="U156" s="181"/>
      <c r="V156" s="181"/>
      <c r="W156" s="181"/>
      <c r="X156" s="181"/>
      <c r="Y156" s="181"/>
      <c r="Z156" s="181"/>
    </row>
    <row r="157">
      <c r="A157" s="186" t="str">
        <f>IFERROR(__xludf.DUMMYFUNCTION("""COMPUTED_VALUE"""),"12")</f>
        <v>12</v>
      </c>
      <c r="B157" s="187" t="str">
        <f>IFERROR(__xludf.DUMMYFUNCTION("""COMPUTED_VALUE"""),"Bienes y servicios varios")</f>
        <v>Bienes y servicios varios</v>
      </c>
      <c r="C157" s="170" t="str">
        <f>IFERROR(__xludf.DUMMYFUNCTION("""COMPUTED_VALUE"""),"202505")</f>
        <v>202505</v>
      </c>
      <c r="D157" s="188" t="str">
        <f>IFERROR(__xludf.DUMMYFUNCTION("""COMPUTED_VALUE"""),"8569,2984")</f>
        <v>8569,2984</v>
      </c>
      <c r="E157" s="189" t="str">
        <f>IFERROR(__xludf.DUMMYFUNCTION("""COMPUTED_VALUE"""),"3")</f>
        <v>3</v>
      </c>
      <c r="F157" s="188" t="str">
        <f t="shared" si="1"/>
        <v>12202505</v>
      </c>
      <c r="G157" s="181"/>
      <c r="H157" s="181"/>
      <c r="I157" s="181"/>
      <c r="J157" s="181"/>
      <c r="K157" s="181"/>
      <c r="L157" s="181"/>
      <c r="M157" s="181"/>
      <c r="N157" s="181"/>
      <c r="O157" s="181"/>
      <c r="P157" s="181"/>
      <c r="Q157" s="181"/>
      <c r="R157" s="181"/>
      <c r="S157" s="181"/>
      <c r="T157" s="181"/>
      <c r="U157" s="181"/>
      <c r="V157" s="181"/>
      <c r="W157" s="181"/>
      <c r="X157" s="181"/>
      <c r="Y157" s="181"/>
      <c r="Z157" s="181"/>
    </row>
    <row r="158">
      <c r="A158" s="182" t="str">
        <f>IFERROR(__xludf.DUMMYFUNCTION("""COMPUTED_VALUE"""),"01")</f>
        <v>01</v>
      </c>
      <c r="B158" s="183" t="str">
        <f>IFERROR(__xludf.DUMMYFUNCTION("""COMPUTED_VALUE"""),"Alimentos y bebidas no alcohólicas")</f>
        <v>Alimentos y bebidas no alcohólicas</v>
      </c>
      <c r="C158" s="67" t="str">
        <f>IFERROR(__xludf.DUMMYFUNCTION("""COMPUTED_VALUE"""),"202506")</f>
        <v>202506</v>
      </c>
      <c r="D158" s="184" t="str">
        <f>IFERROR(__xludf.DUMMYFUNCTION("""COMPUTED_VALUE"""),"9489,1665")</f>
        <v>9489,1665</v>
      </c>
      <c r="E158" s="185" t="str">
        <f>IFERROR(__xludf.DUMMYFUNCTION("""COMPUTED_VALUE"""),"0,9")</f>
        <v>0,9</v>
      </c>
      <c r="F158" s="184" t="str">
        <f t="shared" si="1"/>
        <v>01202506</v>
      </c>
      <c r="G158" s="181"/>
      <c r="H158" s="181"/>
      <c r="I158" s="181"/>
      <c r="J158" s="181"/>
      <c r="K158" s="181"/>
      <c r="L158" s="181"/>
      <c r="M158" s="181"/>
      <c r="N158" s="181"/>
      <c r="O158" s="181"/>
      <c r="P158" s="181"/>
      <c r="Q158" s="181"/>
      <c r="R158" s="181"/>
      <c r="S158" s="181"/>
      <c r="T158" s="181"/>
      <c r="U158" s="181"/>
      <c r="V158" s="181"/>
      <c r="W158" s="181"/>
      <c r="X158" s="181"/>
      <c r="Y158" s="181"/>
      <c r="Z158" s="181"/>
    </row>
    <row r="159">
      <c r="A159" s="186" t="str">
        <f>IFERROR(__xludf.DUMMYFUNCTION("""COMPUTED_VALUE"""),"02")</f>
        <v>02</v>
      </c>
      <c r="B159" s="187" t="str">
        <f>IFERROR(__xludf.DUMMYFUNCTION("""COMPUTED_VALUE"""),"Bebidas alcohólicas y tabaco")</f>
        <v>Bebidas alcohólicas y tabaco</v>
      </c>
      <c r="C159" s="170" t="str">
        <f>IFERROR(__xludf.DUMMYFUNCTION("""COMPUTED_VALUE"""),"202506")</f>
        <v>202506</v>
      </c>
      <c r="D159" s="188" t="str">
        <f>IFERROR(__xludf.DUMMYFUNCTION("""COMPUTED_VALUE"""),"6719,8251")</f>
        <v>6719,8251</v>
      </c>
      <c r="E159" s="189" t="str">
        <f>IFERROR(__xludf.DUMMYFUNCTION("""COMPUTED_VALUE"""),"3")</f>
        <v>3</v>
      </c>
      <c r="F159" s="188" t="str">
        <f t="shared" si="1"/>
        <v>02202506</v>
      </c>
      <c r="G159" s="181"/>
      <c r="H159" s="181"/>
      <c r="I159" s="181"/>
      <c r="J159" s="181"/>
      <c r="K159" s="181"/>
      <c r="L159" s="181"/>
      <c r="M159" s="181"/>
      <c r="N159" s="181"/>
      <c r="O159" s="181"/>
      <c r="P159" s="181"/>
      <c r="Q159" s="181"/>
      <c r="R159" s="181"/>
      <c r="S159" s="181"/>
      <c r="T159" s="181"/>
      <c r="U159" s="181"/>
      <c r="V159" s="181"/>
      <c r="W159" s="181"/>
      <c r="X159" s="181"/>
      <c r="Y159" s="181"/>
      <c r="Z159" s="181"/>
    </row>
    <row r="160">
      <c r="A160" s="182" t="str">
        <f>IFERROR(__xludf.DUMMYFUNCTION("""COMPUTED_VALUE"""),"03")</f>
        <v>03</v>
      </c>
      <c r="B160" s="183" t="str">
        <f>IFERROR(__xludf.DUMMYFUNCTION("""COMPUTED_VALUE"""),"Prendas de vestir y calzado")</f>
        <v>Prendas de vestir y calzado</v>
      </c>
      <c r="C160" s="67" t="str">
        <f>IFERROR(__xludf.DUMMYFUNCTION("""COMPUTED_VALUE"""),"202506")</f>
        <v>202506</v>
      </c>
      <c r="D160" s="184" t="str">
        <f>IFERROR(__xludf.DUMMYFUNCTION("""COMPUTED_VALUE"""),"7721,6469")</f>
        <v>7721,6469</v>
      </c>
      <c r="E160" s="185" t="str">
        <f>IFERROR(__xludf.DUMMYFUNCTION("""COMPUTED_VALUE"""),"-0,1")</f>
        <v>-0,1</v>
      </c>
      <c r="F160" s="184" t="str">
        <f t="shared" si="1"/>
        <v>03202506</v>
      </c>
      <c r="G160" s="181"/>
      <c r="H160" s="181"/>
      <c r="I160" s="181"/>
      <c r="J160" s="181"/>
      <c r="K160" s="181"/>
      <c r="L160" s="181"/>
      <c r="M160" s="181"/>
      <c r="N160" s="181"/>
      <c r="O160" s="181"/>
      <c r="P160" s="181"/>
      <c r="Q160" s="181"/>
      <c r="R160" s="181"/>
      <c r="S160" s="181"/>
      <c r="T160" s="181"/>
      <c r="U160" s="181"/>
      <c r="V160" s="181"/>
      <c r="W160" s="181"/>
      <c r="X160" s="181"/>
      <c r="Y160" s="181"/>
      <c r="Z160" s="181"/>
    </row>
    <row r="161">
      <c r="A161" s="186" t="str">
        <f>IFERROR(__xludf.DUMMYFUNCTION("""COMPUTED_VALUE"""),"04")</f>
        <v>04</v>
      </c>
      <c r="B161" s="187" t="str">
        <f>IFERROR(__xludf.DUMMYFUNCTION("""COMPUTED_VALUE"""),"Vivienda, agua, electricidad, gas y otros combustibles")</f>
        <v>Vivienda, agua, electricidad, gas y otros combustibles</v>
      </c>
      <c r="C161" s="170" t="str">
        <f>IFERROR(__xludf.DUMMYFUNCTION("""COMPUTED_VALUE"""),"202506")</f>
        <v>202506</v>
      </c>
      <c r="D161" s="188" t="str">
        <f>IFERROR(__xludf.DUMMYFUNCTION("""COMPUTED_VALUE"""),"8559,0479")</f>
        <v>8559,0479</v>
      </c>
      <c r="E161" s="189" t="str">
        <f>IFERROR(__xludf.DUMMYFUNCTION("""COMPUTED_VALUE"""),"4,3")</f>
        <v>4,3</v>
      </c>
      <c r="F161" s="188" t="str">
        <f t="shared" si="1"/>
        <v>04202506</v>
      </c>
      <c r="G161" s="181"/>
      <c r="H161" s="181"/>
      <c r="I161" s="181"/>
      <c r="J161" s="181"/>
      <c r="K161" s="181"/>
      <c r="L161" s="181"/>
      <c r="M161" s="181"/>
      <c r="N161" s="181"/>
      <c r="O161" s="181"/>
      <c r="P161" s="181"/>
      <c r="Q161" s="181"/>
      <c r="R161" s="181"/>
      <c r="S161" s="181"/>
      <c r="T161" s="181"/>
      <c r="U161" s="181"/>
      <c r="V161" s="181"/>
      <c r="W161" s="181"/>
      <c r="X161" s="181"/>
      <c r="Y161" s="181"/>
      <c r="Z161" s="181"/>
    </row>
    <row r="162">
      <c r="A162" s="182" t="str">
        <f>IFERROR(__xludf.DUMMYFUNCTION("""COMPUTED_VALUE"""),"05")</f>
        <v>05</v>
      </c>
      <c r="B162" s="183" t="str">
        <f>IFERROR(__xludf.DUMMYFUNCTION("""COMPUTED_VALUE"""),"Equipamiento y mantenimiento del hogar")</f>
        <v>Equipamiento y mantenimiento del hogar</v>
      </c>
      <c r="C162" s="67" t="str">
        <f>IFERROR(__xludf.DUMMYFUNCTION("""COMPUTED_VALUE"""),"202506")</f>
        <v>202506</v>
      </c>
      <c r="D162" s="184" t="str">
        <f>IFERROR(__xludf.DUMMYFUNCTION("""COMPUTED_VALUE"""),"7600,2288")</f>
        <v>7600,2288</v>
      </c>
      <c r="E162" s="185" t="str">
        <f>IFERROR(__xludf.DUMMYFUNCTION("""COMPUTED_VALUE"""),"2,1")</f>
        <v>2,1</v>
      </c>
      <c r="F162" s="184" t="str">
        <f t="shared" si="1"/>
        <v>05202506</v>
      </c>
      <c r="G162" s="181"/>
      <c r="H162" s="181"/>
      <c r="I162" s="181"/>
      <c r="J162" s="181"/>
      <c r="K162" s="181"/>
      <c r="L162" s="181"/>
      <c r="M162" s="181"/>
      <c r="N162" s="181"/>
      <c r="O162" s="181"/>
      <c r="P162" s="181"/>
      <c r="Q162" s="181"/>
      <c r="R162" s="181"/>
      <c r="S162" s="181"/>
      <c r="T162" s="181"/>
      <c r="U162" s="181"/>
      <c r="V162" s="181"/>
      <c r="W162" s="181"/>
      <c r="X162" s="181"/>
      <c r="Y162" s="181"/>
      <c r="Z162" s="181"/>
    </row>
    <row r="163">
      <c r="A163" s="186" t="str">
        <f>IFERROR(__xludf.DUMMYFUNCTION("""COMPUTED_VALUE"""),"06")</f>
        <v>06</v>
      </c>
      <c r="B163" s="187" t="str">
        <f>IFERROR(__xludf.DUMMYFUNCTION("""COMPUTED_VALUE"""),"Salud")</f>
        <v>Salud</v>
      </c>
      <c r="C163" s="170" t="str">
        <f>IFERROR(__xludf.DUMMYFUNCTION("""COMPUTED_VALUE"""),"202506")</f>
        <v>202506</v>
      </c>
      <c r="D163" s="188" t="str">
        <f>IFERROR(__xludf.DUMMYFUNCTION("""COMPUTED_VALUE"""),"9643,9151")</f>
        <v>9643,9151</v>
      </c>
      <c r="E163" s="189" t="str">
        <f>IFERROR(__xludf.DUMMYFUNCTION("""COMPUTED_VALUE"""),"2,2")</f>
        <v>2,2</v>
      </c>
      <c r="F163" s="188" t="str">
        <f t="shared" si="1"/>
        <v>06202506</v>
      </c>
      <c r="G163" s="181"/>
      <c r="H163" s="181"/>
      <c r="I163" s="181"/>
      <c r="J163" s="181"/>
      <c r="K163" s="181"/>
      <c r="L163" s="181"/>
      <c r="M163" s="181"/>
      <c r="N163" s="181"/>
      <c r="O163" s="181"/>
      <c r="P163" s="181"/>
      <c r="Q163" s="181"/>
      <c r="R163" s="181"/>
      <c r="S163" s="181"/>
      <c r="T163" s="181"/>
      <c r="U163" s="181"/>
      <c r="V163" s="181"/>
      <c r="W163" s="181"/>
      <c r="X163" s="181"/>
      <c r="Y163" s="181"/>
      <c r="Z163" s="181"/>
    </row>
    <row r="164">
      <c r="A164" s="182" t="str">
        <f>IFERROR(__xludf.DUMMYFUNCTION("""COMPUTED_VALUE"""),"07")</f>
        <v>07</v>
      </c>
      <c r="B164" s="183" t="str">
        <f>IFERROR(__xludf.DUMMYFUNCTION("""COMPUTED_VALUE"""),"Transporte")</f>
        <v>Transporte</v>
      </c>
      <c r="C164" s="67" t="str">
        <f>IFERROR(__xludf.DUMMYFUNCTION("""COMPUTED_VALUE"""),"202506")</f>
        <v>202506</v>
      </c>
      <c r="D164" s="184" t="str">
        <f>IFERROR(__xludf.DUMMYFUNCTION("""COMPUTED_VALUE"""),"8407,8439")</f>
        <v>8407,8439</v>
      </c>
      <c r="E164" s="185" t="str">
        <f>IFERROR(__xludf.DUMMYFUNCTION("""COMPUTED_VALUE"""),"2,2")</f>
        <v>2,2</v>
      </c>
      <c r="F164" s="184" t="str">
        <f t="shared" si="1"/>
        <v>07202506</v>
      </c>
      <c r="G164" s="181"/>
      <c r="H164" s="181"/>
      <c r="I164" s="181"/>
      <c r="J164" s="181"/>
      <c r="K164" s="181"/>
      <c r="L164" s="181"/>
      <c r="M164" s="181"/>
      <c r="N164" s="181"/>
      <c r="O164" s="181"/>
      <c r="P164" s="181"/>
      <c r="Q164" s="181"/>
      <c r="R164" s="181"/>
      <c r="S164" s="181"/>
      <c r="T164" s="181"/>
      <c r="U164" s="181"/>
      <c r="V164" s="181"/>
      <c r="W164" s="181"/>
      <c r="X164" s="181"/>
      <c r="Y164" s="181"/>
      <c r="Z164" s="181"/>
    </row>
    <row r="165">
      <c r="A165" s="186" t="str">
        <f>IFERROR(__xludf.DUMMYFUNCTION("""COMPUTED_VALUE"""),"08")</f>
        <v>08</v>
      </c>
      <c r="B165" s="187" t="str">
        <f>IFERROR(__xludf.DUMMYFUNCTION("""COMPUTED_VALUE"""),"Comunicación")</f>
        <v>Comunicación</v>
      </c>
      <c r="C165" s="170" t="str">
        <f>IFERROR(__xludf.DUMMYFUNCTION("""COMPUTED_VALUE"""),"202506")</f>
        <v>202506</v>
      </c>
      <c r="D165" s="188" t="str">
        <f>IFERROR(__xludf.DUMMYFUNCTION("""COMPUTED_VALUE"""),"8212,565")</f>
        <v>8212,565</v>
      </c>
      <c r="E165" s="189" t="str">
        <f>IFERROR(__xludf.DUMMYFUNCTION("""COMPUTED_VALUE"""),"2")</f>
        <v>2</v>
      </c>
      <c r="F165" s="188" t="str">
        <f t="shared" si="1"/>
        <v>08202506</v>
      </c>
      <c r="G165" s="181"/>
      <c r="H165" s="181"/>
      <c r="I165" s="181"/>
      <c r="J165" s="181"/>
      <c r="K165" s="181"/>
      <c r="L165" s="181"/>
      <c r="M165" s="181"/>
      <c r="N165" s="181"/>
      <c r="O165" s="181"/>
      <c r="P165" s="181"/>
      <c r="Q165" s="181"/>
      <c r="R165" s="181"/>
      <c r="S165" s="181"/>
      <c r="T165" s="181"/>
      <c r="U165" s="181"/>
      <c r="V165" s="181"/>
      <c r="W165" s="181"/>
      <c r="X165" s="181"/>
      <c r="Y165" s="181"/>
      <c r="Z165" s="181"/>
    </row>
    <row r="166">
      <c r="A166" s="182" t="str">
        <f>IFERROR(__xludf.DUMMYFUNCTION("""COMPUTED_VALUE"""),"09")</f>
        <v>09</v>
      </c>
      <c r="B166" s="183" t="str">
        <f>IFERROR(__xludf.DUMMYFUNCTION("""COMPUTED_VALUE"""),"Recreación y cultura")</f>
        <v>Recreación y cultura</v>
      </c>
      <c r="C166" s="67" t="str">
        <f>IFERROR(__xludf.DUMMYFUNCTION("""COMPUTED_VALUE"""),"202506")</f>
        <v>202506</v>
      </c>
      <c r="D166" s="184" t="str">
        <f>IFERROR(__xludf.DUMMYFUNCTION("""COMPUTED_VALUE"""),"8305,4709")</f>
        <v>8305,4709</v>
      </c>
      <c r="E166" s="185" t="str">
        <f>IFERROR(__xludf.DUMMYFUNCTION("""COMPUTED_VALUE"""),"4,1")</f>
        <v>4,1</v>
      </c>
      <c r="F166" s="184" t="str">
        <f t="shared" si="1"/>
        <v>09202506</v>
      </c>
      <c r="G166" s="181"/>
      <c r="H166" s="181"/>
      <c r="I166" s="181"/>
      <c r="J166" s="181"/>
      <c r="K166" s="181"/>
      <c r="L166" s="181"/>
      <c r="M166" s="181"/>
      <c r="N166" s="181"/>
      <c r="O166" s="181"/>
      <c r="P166" s="181"/>
      <c r="Q166" s="181"/>
      <c r="R166" s="181"/>
      <c r="S166" s="181"/>
      <c r="T166" s="181"/>
      <c r="U166" s="181"/>
      <c r="V166" s="181"/>
      <c r="W166" s="181"/>
      <c r="X166" s="181"/>
      <c r="Y166" s="181"/>
      <c r="Z166" s="181"/>
    </row>
    <row r="167">
      <c r="A167" s="186" t="str">
        <f>IFERROR(__xludf.DUMMYFUNCTION("""COMPUTED_VALUE"""),"10")</f>
        <v>10</v>
      </c>
      <c r="B167" s="187" t="str">
        <f>IFERROR(__xludf.DUMMYFUNCTION("""COMPUTED_VALUE"""),"Educación")</f>
        <v>Educación</v>
      </c>
      <c r="C167" s="170" t="str">
        <f>IFERROR(__xludf.DUMMYFUNCTION("""COMPUTED_VALUE"""),"202506")</f>
        <v>202506</v>
      </c>
      <c r="D167" s="188" t="str">
        <f>IFERROR(__xludf.DUMMYFUNCTION("""COMPUTED_VALUE"""),"8379,9439")</f>
        <v>8379,9439</v>
      </c>
      <c r="E167" s="189" t="str">
        <f>IFERROR(__xludf.DUMMYFUNCTION("""COMPUTED_VALUE"""),"3,7")</f>
        <v>3,7</v>
      </c>
      <c r="F167" s="188" t="str">
        <f t="shared" si="1"/>
        <v>10202506</v>
      </c>
      <c r="G167" s="181"/>
      <c r="H167" s="181"/>
      <c r="I167" s="181"/>
      <c r="J167" s="181"/>
      <c r="K167" s="181"/>
      <c r="L167" s="181"/>
      <c r="M167" s="181"/>
      <c r="N167" s="181"/>
      <c r="O167" s="181"/>
      <c r="P167" s="181"/>
      <c r="Q167" s="181"/>
      <c r="R167" s="181"/>
      <c r="S167" s="181"/>
      <c r="T167" s="181"/>
      <c r="U167" s="181"/>
      <c r="V167" s="181"/>
      <c r="W167" s="181"/>
      <c r="X167" s="181"/>
      <c r="Y167" s="181"/>
      <c r="Z167" s="181"/>
    </row>
    <row r="168">
      <c r="A168" s="182" t="str">
        <f>IFERROR(__xludf.DUMMYFUNCTION("""COMPUTED_VALUE"""),"11")</f>
        <v>11</v>
      </c>
      <c r="B168" s="183" t="str">
        <f>IFERROR(__xludf.DUMMYFUNCTION("""COMPUTED_VALUE"""),"Restaurantes y hoteles")</f>
        <v>Restaurantes y hoteles</v>
      </c>
      <c r="C168" s="67" t="str">
        <f>IFERROR(__xludf.DUMMYFUNCTION("""COMPUTED_VALUE"""),"202506")</f>
        <v>202506</v>
      </c>
      <c r="D168" s="184" t="str">
        <f>IFERROR(__xludf.DUMMYFUNCTION("""COMPUTED_VALUE"""),"10577,4487")</f>
        <v>10577,4487</v>
      </c>
      <c r="E168" s="185" t="str">
        <f>IFERROR(__xludf.DUMMYFUNCTION("""COMPUTED_VALUE"""),"2,2")</f>
        <v>2,2</v>
      </c>
      <c r="F168" s="184" t="str">
        <f t="shared" si="1"/>
        <v>11202506</v>
      </c>
      <c r="G168" s="181"/>
      <c r="H168" s="181"/>
      <c r="I168" s="181"/>
      <c r="J168" s="181"/>
      <c r="K168" s="181"/>
      <c r="L168" s="181"/>
      <c r="M168" s="181"/>
      <c r="N168" s="181"/>
      <c r="O168" s="181"/>
      <c r="P168" s="181"/>
      <c r="Q168" s="181"/>
      <c r="R168" s="181"/>
      <c r="S168" s="181"/>
      <c r="T168" s="181"/>
      <c r="U168" s="181"/>
      <c r="V168" s="181"/>
      <c r="W168" s="181"/>
      <c r="X168" s="181"/>
      <c r="Y168" s="181"/>
      <c r="Z168" s="181"/>
    </row>
    <row r="169">
      <c r="A169" s="186" t="str">
        <f>IFERROR(__xludf.DUMMYFUNCTION("""COMPUTED_VALUE"""),"12")</f>
        <v>12</v>
      </c>
      <c r="B169" s="187" t="str">
        <f>IFERROR(__xludf.DUMMYFUNCTION("""COMPUTED_VALUE"""),"Bienes y servicios varios")</f>
        <v>Bienes y servicios varios</v>
      </c>
      <c r="C169" s="170" t="str">
        <f>IFERROR(__xludf.DUMMYFUNCTION("""COMPUTED_VALUE"""),"202506")</f>
        <v>202506</v>
      </c>
      <c r="D169" s="188" t="str">
        <f>IFERROR(__xludf.DUMMYFUNCTION("""COMPUTED_VALUE"""),"8637,2837")</f>
        <v>8637,2837</v>
      </c>
      <c r="E169" s="189" t="str">
        <f>IFERROR(__xludf.DUMMYFUNCTION("""COMPUTED_VALUE"""),"0,8")</f>
        <v>0,8</v>
      </c>
      <c r="F169" s="188" t="str">
        <f t="shared" si="1"/>
        <v>12202506</v>
      </c>
      <c r="G169" s="181"/>
      <c r="H169" s="181"/>
      <c r="I169" s="181"/>
      <c r="J169" s="181"/>
      <c r="K169" s="181"/>
      <c r="L169" s="181"/>
      <c r="M169" s="181"/>
      <c r="N169" s="181"/>
      <c r="O169" s="181"/>
      <c r="P169" s="181"/>
      <c r="Q169" s="181"/>
      <c r="R169" s="181"/>
      <c r="S169" s="181"/>
      <c r="T169" s="181"/>
      <c r="U169" s="181"/>
      <c r="V169" s="181"/>
      <c r="W169" s="181"/>
      <c r="X169" s="181"/>
      <c r="Y169" s="181"/>
      <c r="Z169" s="181"/>
    </row>
    <row r="170">
      <c r="A170" s="182" t="str">
        <f>IFERROR(__xludf.DUMMYFUNCTION("""COMPUTED_VALUE"""),"01")</f>
        <v>01</v>
      </c>
      <c r="B170" s="183" t="str">
        <f>IFERROR(__xludf.DUMMYFUNCTION("""COMPUTED_VALUE"""),"Alimentos y bebidas no alcohólicas")</f>
        <v>Alimentos y bebidas no alcohólicas</v>
      </c>
      <c r="C170" s="67" t="str">
        <f>IFERROR(__xludf.DUMMYFUNCTION("""COMPUTED_VALUE"""),"202507")</f>
        <v>202507</v>
      </c>
      <c r="D170" s="184" t="str">
        <f>IFERROR(__xludf.DUMMYFUNCTION("""COMPUTED_VALUE"""),"9682,9722")</f>
        <v>9682,9722</v>
      </c>
      <c r="E170" s="185" t="str">
        <f>IFERROR(__xludf.DUMMYFUNCTION("""COMPUTED_VALUE"""),"2")</f>
        <v>2</v>
      </c>
      <c r="F170" s="184" t="str">
        <f t="shared" si="1"/>
        <v>01202507</v>
      </c>
      <c r="G170" s="181"/>
      <c r="H170" s="181"/>
      <c r="I170" s="181"/>
      <c r="J170" s="181"/>
      <c r="K170" s="181"/>
      <c r="L170" s="181"/>
      <c r="M170" s="181"/>
      <c r="N170" s="181"/>
      <c r="O170" s="181"/>
      <c r="P170" s="181"/>
      <c r="Q170" s="181"/>
      <c r="R170" s="181"/>
      <c r="S170" s="181"/>
      <c r="T170" s="181"/>
      <c r="U170" s="181"/>
      <c r="V170" s="181"/>
      <c r="W170" s="181"/>
      <c r="X170" s="181"/>
      <c r="Y170" s="181"/>
      <c r="Z170" s="181"/>
    </row>
    <row r="171">
      <c r="A171" s="186" t="str">
        <f>IFERROR(__xludf.DUMMYFUNCTION("""COMPUTED_VALUE"""),"02")</f>
        <v>02</v>
      </c>
      <c r="B171" s="187" t="str">
        <f>IFERROR(__xludf.DUMMYFUNCTION("""COMPUTED_VALUE"""),"Bebidas alcohólicas y tabaco")</f>
        <v>Bebidas alcohólicas y tabaco</v>
      </c>
      <c r="C171" s="170" t="str">
        <f>IFERROR(__xludf.DUMMYFUNCTION("""COMPUTED_VALUE"""),"202507")</f>
        <v>202507</v>
      </c>
      <c r="D171" s="188" t="str">
        <f>IFERROR(__xludf.DUMMYFUNCTION("""COMPUTED_VALUE"""),"6742,1473")</f>
        <v>6742,1473</v>
      </c>
      <c r="E171" s="189" t="str">
        <f>IFERROR(__xludf.DUMMYFUNCTION("""COMPUTED_VALUE"""),"0,3")</f>
        <v>0,3</v>
      </c>
      <c r="F171" s="188" t="str">
        <f t="shared" si="1"/>
        <v>02202507</v>
      </c>
      <c r="G171" s="181"/>
      <c r="H171" s="181"/>
      <c r="I171" s="181"/>
      <c r="J171" s="181"/>
      <c r="K171" s="181"/>
      <c r="L171" s="181"/>
      <c r="M171" s="181"/>
      <c r="N171" s="181"/>
      <c r="O171" s="181"/>
      <c r="P171" s="181"/>
      <c r="Q171" s="181"/>
      <c r="R171" s="181"/>
      <c r="S171" s="181"/>
      <c r="T171" s="181"/>
      <c r="U171" s="181"/>
      <c r="V171" s="181"/>
      <c r="W171" s="181"/>
      <c r="X171" s="181"/>
      <c r="Y171" s="181"/>
      <c r="Z171" s="181"/>
    </row>
    <row r="172">
      <c r="A172" s="182" t="str">
        <f>IFERROR(__xludf.DUMMYFUNCTION("""COMPUTED_VALUE"""),"03")</f>
        <v>03</v>
      </c>
      <c r="B172" s="183" t="str">
        <f>IFERROR(__xludf.DUMMYFUNCTION("""COMPUTED_VALUE"""),"Prendas de vestir y calzado")</f>
        <v>Prendas de vestir y calzado</v>
      </c>
      <c r="C172" s="67" t="str">
        <f>IFERROR(__xludf.DUMMYFUNCTION("""COMPUTED_VALUE"""),"202507")</f>
        <v>202507</v>
      </c>
      <c r="D172" s="184" t="str">
        <f>IFERROR(__xludf.DUMMYFUNCTION("""COMPUTED_VALUE"""),"7597,0148")</f>
        <v>7597,0148</v>
      </c>
      <c r="E172" s="185" t="str">
        <f>IFERROR(__xludf.DUMMYFUNCTION("""COMPUTED_VALUE"""),"-1,6")</f>
        <v>-1,6</v>
      </c>
      <c r="F172" s="184" t="str">
        <f t="shared" si="1"/>
        <v>03202507</v>
      </c>
      <c r="G172" s="181"/>
      <c r="H172" s="181"/>
      <c r="I172" s="181"/>
      <c r="J172" s="181"/>
      <c r="K172" s="181"/>
      <c r="L172" s="181"/>
      <c r="M172" s="181"/>
      <c r="N172" s="181"/>
      <c r="O172" s="181"/>
      <c r="P172" s="181"/>
      <c r="Q172" s="181"/>
      <c r="R172" s="181"/>
      <c r="S172" s="181"/>
      <c r="T172" s="181"/>
      <c r="U172" s="181"/>
      <c r="V172" s="181"/>
      <c r="W172" s="181"/>
      <c r="X172" s="181"/>
      <c r="Y172" s="181"/>
      <c r="Z172" s="181"/>
    </row>
    <row r="173">
      <c r="A173" s="186" t="str">
        <f>IFERROR(__xludf.DUMMYFUNCTION("""COMPUTED_VALUE"""),"04")</f>
        <v>04</v>
      </c>
      <c r="B173" s="187" t="str">
        <f>IFERROR(__xludf.DUMMYFUNCTION("""COMPUTED_VALUE"""),"Vivienda, agua, electricidad, gas y otros combustibles")</f>
        <v>Vivienda, agua, electricidad, gas y otros combustibles</v>
      </c>
      <c r="C173" s="170" t="str">
        <f>IFERROR(__xludf.DUMMYFUNCTION("""COMPUTED_VALUE"""),"202507")</f>
        <v>202507</v>
      </c>
      <c r="D173" s="188" t="str">
        <f>IFERROR(__xludf.DUMMYFUNCTION("""COMPUTED_VALUE"""),"8591,0827")</f>
        <v>8591,0827</v>
      </c>
      <c r="E173" s="189" t="str">
        <f>IFERROR(__xludf.DUMMYFUNCTION("""COMPUTED_VALUE"""),"0,4")</f>
        <v>0,4</v>
      </c>
      <c r="F173" s="188" t="str">
        <f t="shared" si="1"/>
        <v>04202507</v>
      </c>
      <c r="G173" s="181"/>
      <c r="H173" s="181"/>
      <c r="I173" s="181"/>
      <c r="J173" s="181"/>
      <c r="K173" s="181"/>
      <c r="L173" s="181"/>
      <c r="M173" s="181"/>
      <c r="N173" s="181"/>
      <c r="O173" s="181"/>
      <c r="P173" s="181"/>
      <c r="Q173" s="181"/>
      <c r="R173" s="181"/>
      <c r="S173" s="181"/>
      <c r="T173" s="181"/>
      <c r="U173" s="181"/>
      <c r="V173" s="181"/>
      <c r="W173" s="181"/>
      <c r="X173" s="181"/>
      <c r="Y173" s="181"/>
      <c r="Z173" s="181"/>
    </row>
    <row r="174">
      <c r="A174" s="182" t="str">
        <f>IFERROR(__xludf.DUMMYFUNCTION("""COMPUTED_VALUE"""),"05")</f>
        <v>05</v>
      </c>
      <c r="B174" s="183" t="str">
        <f>IFERROR(__xludf.DUMMYFUNCTION("""COMPUTED_VALUE"""),"Equipamiento y mantenimiento del hogar")</f>
        <v>Equipamiento y mantenimiento del hogar</v>
      </c>
      <c r="C174" s="67" t="str">
        <f>IFERROR(__xludf.DUMMYFUNCTION("""COMPUTED_VALUE"""),"202507")</f>
        <v>202507</v>
      </c>
      <c r="D174" s="184" t="str">
        <f>IFERROR(__xludf.DUMMYFUNCTION("""COMPUTED_VALUE"""),"7721,9853")</f>
        <v>7721,9853</v>
      </c>
      <c r="E174" s="185" t="str">
        <f>IFERROR(__xludf.DUMMYFUNCTION("""COMPUTED_VALUE"""),"1,6")</f>
        <v>1,6</v>
      </c>
      <c r="F174" s="184" t="str">
        <f t="shared" si="1"/>
        <v>05202507</v>
      </c>
      <c r="G174" s="181"/>
      <c r="H174" s="181"/>
      <c r="I174" s="181"/>
      <c r="J174" s="181"/>
      <c r="K174" s="181"/>
      <c r="L174" s="181"/>
      <c r="M174" s="181"/>
      <c r="N174" s="181"/>
      <c r="O174" s="181"/>
      <c r="P174" s="181"/>
      <c r="Q174" s="181"/>
      <c r="R174" s="181"/>
      <c r="S174" s="181"/>
      <c r="T174" s="181"/>
      <c r="U174" s="181"/>
      <c r="V174" s="181"/>
      <c r="W174" s="181"/>
      <c r="X174" s="181"/>
      <c r="Y174" s="181"/>
      <c r="Z174" s="181"/>
    </row>
    <row r="175">
      <c r="A175" s="186" t="str">
        <f>IFERROR(__xludf.DUMMYFUNCTION("""COMPUTED_VALUE"""),"06")</f>
        <v>06</v>
      </c>
      <c r="B175" s="187" t="str">
        <f>IFERROR(__xludf.DUMMYFUNCTION("""COMPUTED_VALUE"""),"Salud")</f>
        <v>Salud</v>
      </c>
      <c r="C175" s="170" t="str">
        <f>IFERROR(__xludf.DUMMYFUNCTION("""COMPUTED_VALUE"""),"202507")</f>
        <v>202507</v>
      </c>
      <c r="D175" s="188" t="str">
        <f>IFERROR(__xludf.DUMMYFUNCTION("""COMPUTED_VALUE"""),"9764,0952")</f>
        <v>9764,0952</v>
      </c>
      <c r="E175" s="189" t="str">
        <f>IFERROR(__xludf.DUMMYFUNCTION("""COMPUTED_VALUE"""),"1,2")</f>
        <v>1,2</v>
      </c>
      <c r="F175" s="188" t="str">
        <f t="shared" si="1"/>
        <v>06202507</v>
      </c>
      <c r="G175" s="181"/>
      <c r="H175" s="181"/>
      <c r="I175" s="181"/>
      <c r="J175" s="181"/>
      <c r="K175" s="181"/>
      <c r="L175" s="181"/>
      <c r="M175" s="181"/>
      <c r="N175" s="181"/>
      <c r="O175" s="181"/>
      <c r="P175" s="181"/>
      <c r="Q175" s="181"/>
      <c r="R175" s="181"/>
      <c r="S175" s="181"/>
      <c r="T175" s="181"/>
      <c r="U175" s="181"/>
      <c r="V175" s="181"/>
      <c r="W175" s="181"/>
      <c r="X175" s="181"/>
      <c r="Y175" s="181"/>
      <c r="Z175" s="181"/>
    </row>
    <row r="176">
      <c r="A176" s="182" t="str">
        <f>IFERROR(__xludf.DUMMYFUNCTION("""COMPUTED_VALUE"""),"07")</f>
        <v>07</v>
      </c>
      <c r="B176" s="183" t="str">
        <f>IFERROR(__xludf.DUMMYFUNCTION("""COMPUTED_VALUE"""),"Transporte")</f>
        <v>Transporte</v>
      </c>
      <c r="C176" s="67" t="str">
        <f>IFERROR(__xludf.DUMMYFUNCTION("""COMPUTED_VALUE"""),"202507")</f>
        <v>202507</v>
      </c>
      <c r="D176" s="184" t="str">
        <f>IFERROR(__xludf.DUMMYFUNCTION("""COMPUTED_VALUE"""),"8669,3982")</f>
        <v>8669,3982</v>
      </c>
      <c r="E176" s="185" t="str">
        <f>IFERROR(__xludf.DUMMYFUNCTION("""COMPUTED_VALUE"""),"3,1")</f>
        <v>3,1</v>
      </c>
      <c r="F176" s="184" t="str">
        <f t="shared" si="1"/>
        <v>07202507</v>
      </c>
      <c r="G176" s="181"/>
      <c r="H176" s="181"/>
      <c r="I176" s="181"/>
      <c r="J176" s="181"/>
      <c r="K176" s="181"/>
      <c r="L176" s="181"/>
      <c r="M176" s="181"/>
      <c r="N176" s="181"/>
      <c r="O176" s="181"/>
      <c r="P176" s="181"/>
      <c r="Q176" s="181"/>
      <c r="R176" s="181"/>
      <c r="S176" s="181"/>
      <c r="T176" s="181"/>
      <c r="U176" s="181"/>
      <c r="V176" s="181"/>
      <c r="W176" s="181"/>
      <c r="X176" s="181"/>
      <c r="Y176" s="181"/>
      <c r="Z176" s="181"/>
    </row>
    <row r="177">
      <c r="A177" s="186" t="str">
        <f>IFERROR(__xludf.DUMMYFUNCTION("""COMPUTED_VALUE"""),"08")</f>
        <v>08</v>
      </c>
      <c r="B177" s="187" t="str">
        <f>IFERROR(__xludf.DUMMYFUNCTION("""COMPUTED_VALUE"""),"Comunicación")</f>
        <v>Comunicación</v>
      </c>
      <c r="C177" s="170" t="str">
        <f>IFERROR(__xludf.DUMMYFUNCTION("""COMPUTED_VALUE"""),"202507")</f>
        <v>202507</v>
      </c>
      <c r="D177" s="188" t="str">
        <f>IFERROR(__xludf.DUMMYFUNCTION("""COMPUTED_VALUE"""),"8416,6377")</f>
        <v>8416,6377</v>
      </c>
      <c r="E177" s="189" t="str">
        <f>IFERROR(__xludf.DUMMYFUNCTION("""COMPUTED_VALUE"""),"2,5")</f>
        <v>2,5</v>
      </c>
      <c r="F177" s="188" t="str">
        <f t="shared" si="1"/>
        <v>08202507</v>
      </c>
      <c r="G177" s="181"/>
      <c r="H177" s="181"/>
      <c r="I177" s="181"/>
      <c r="J177" s="181"/>
      <c r="K177" s="181"/>
      <c r="L177" s="181"/>
      <c r="M177" s="181"/>
      <c r="N177" s="181"/>
      <c r="O177" s="181"/>
      <c r="P177" s="181"/>
      <c r="Q177" s="181"/>
      <c r="R177" s="181"/>
      <c r="S177" s="181"/>
      <c r="T177" s="181"/>
      <c r="U177" s="181"/>
      <c r="V177" s="181"/>
      <c r="W177" s="181"/>
      <c r="X177" s="181"/>
      <c r="Y177" s="181"/>
      <c r="Z177" s="181"/>
    </row>
    <row r="178">
      <c r="A178" s="182" t="str">
        <f>IFERROR(__xludf.DUMMYFUNCTION("""COMPUTED_VALUE"""),"09")</f>
        <v>09</v>
      </c>
      <c r="B178" s="183" t="str">
        <f>IFERROR(__xludf.DUMMYFUNCTION("""COMPUTED_VALUE"""),"Recreación y cultura")</f>
        <v>Recreación y cultura</v>
      </c>
      <c r="C178" s="67" t="str">
        <f>IFERROR(__xludf.DUMMYFUNCTION("""COMPUTED_VALUE"""),"202507")</f>
        <v>202507</v>
      </c>
      <c r="D178" s="184" t="str">
        <f>IFERROR(__xludf.DUMMYFUNCTION("""COMPUTED_VALUE"""),"8673,012")</f>
        <v>8673,012</v>
      </c>
      <c r="E178" s="185" t="str">
        <f>IFERROR(__xludf.DUMMYFUNCTION("""COMPUTED_VALUE"""),"4,4")</f>
        <v>4,4</v>
      </c>
      <c r="F178" s="184" t="str">
        <f t="shared" si="1"/>
        <v>09202507</v>
      </c>
      <c r="G178" s="181"/>
      <c r="H178" s="181"/>
      <c r="I178" s="181"/>
      <c r="J178" s="181"/>
      <c r="K178" s="181"/>
      <c r="L178" s="181"/>
      <c r="M178" s="181"/>
      <c r="N178" s="181"/>
      <c r="O178" s="181"/>
      <c r="P178" s="181"/>
      <c r="Q178" s="181"/>
      <c r="R178" s="181"/>
      <c r="S178" s="181"/>
      <c r="T178" s="181"/>
      <c r="U178" s="181"/>
      <c r="V178" s="181"/>
      <c r="W178" s="181"/>
      <c r="X178" s="181"/>
      <c r="Y178" s="181"/>
      <c r="Z178" s="181"/>
    </row>
    <row r="179">
      <c r="A179" s="186" t="str">
        <f>IFERROR(__xludf.DUMMYFUNCTION("""COMPUTED_VALUE"""),"10")</f>
        <v>10</v>
      </c>
      <c r="B179" s="187" t="str">
        <f>IFERROR(__xludf.DUMMYFUNCTION("""COMPUTED_VALUE"""),"Educación")</f>
        <v>Educación</v>
      </c>
      <c r="C179" s="170" t="str">
        <f>IFERROR(__xludf.DUMMYFUNCTION("""COMPUTED_VALUE"""),"202507")</f>
        <v>202507</v>
      </c>
      <c r="D179" s="188" t="str">
        <f>IFERROR(__xludf.DUMMYFUNCTION("""COMPUTED_VALUE"""),"8517,6311")</f>
        <v>8517,6311</v>
      </c>
      <c r="E179" s="189" t="str">
        <f>IFERROR(__xludf.DUMMYFUNCTION("""COMPUTED_VALUE"""),"1,6")</f>
        <v>1,6</v>
      </c>
      <c r="F179" s="188" t="str">
        <f t="shared" si="1"/>
        <v>10202507</v>
      </c>
      <c r="G179" s="181"/>
      <c r="H179" s="181"/>
      <c r="I179" s="181"/>
      <c r="J179" s="181"/>
      <c r="K179" s="181"/>
      <c r="L179" s="181"/>
      <c r="M179" s="181"/>
      <c r="N179" s="181"/>
      <c r="O179" s="181"/>
      <c r="P179" s="181"/>
      <c r="Q179" s="181"/>
      <c r="R179" s="181"/>
      <c r="S179" s="181"/>
      <c r="T179" s="181"/>
      <c r="U179" s="181"/>
      <c r="V179" s="181"/>
      <c r="W179" s="181"/>
      <c r="X179" s="181"/>
      <c r="Y179" s="181"/>
      <c r="Z179" s="181"/>
    </row>
    <row r="180">
      <c r="A180" s="182" t="str">
        <f>IFERROR(__xludf.DUMMYFUNCTION("""COMPUTED_VALUE"""),"11")</f>
        <v>11</v>
      </c>
      <c r="B180" s="183" t="str">
        <f>IFERROR(__xludf.DUMMYFUNCTION("""COMPUTED_VALUE"""),"Restaurantes y hoteles")</f>
        <v>Restaurantes y hoteles</v>
      </c>
      <c r="C180" s="67" t="str">
        <f>IFERROR(__xludf.DUMMYFUNCTION("""COMPUTED_VALUE"""),"202507")</f>
        <v>202507</v>
      </c>
      <c r="D180" s="184" t="str">
        <f>IFERROR(__xludf.DUMMYFUNCTION("""COMPUTED_VALUE"""),"10876,967")</f>
        <v>10876,967</v>
      </c>
      <c r="E180" s="185" t="str">
        <f>IFERROR(__xludf.DUMMYFUNCTION("""COMPUTED_VALUE"""),"2,8")</f>
        <v>2,8</v>
      </c>
      <c r="F180" s="184" t="str">
        <f t="shared" si="1"/>
        <v>11202507</v>
      </c>
      <c r="G180" s="181"/>
      <c r="H180" s="181"/>
      <c r="I180" s="181"/>
      <c r="J180" s="181"/>
      <c r="K180" s="181"/>
      <c r="L180" s="181"/>
      <c r="M180" s="181"/>
      <c r="N180" s="181"/>
      <c r="O180" s="181"/>
      <c r="P180" s="181"/>
      <c r="Q180" s="181"/>
      <c r="R180" s="181"/>
      <c r="S180" s="181"/>
      <c r="T180" s="181"/>
      <c r="U180" s="181"/>
      <c r="V180" s="181"/>
      <c r="W180" s="181"/>
      <c r="X180" s="181"/>
      <c r="Y180" s="181"/>
      <c r="Z180" s="181"/>
    </row>
    <row r="181">
      <c r="A181" s="186" t="str">
        <f>IFERROR(__xludf.DUMMYFUNCTION("""COMPUTED_VALUE"""),"12")</f>
        <v>12</v>
      </c>
      <c r="B181" s="187" t="str">
        <f>IFERROR(__xludf.DUMMYFUNCTION("""COMPUTED_VALUE"""),"Bienes y servicios varios")</f>
        <v>Bienes y servicios varios</v>
      </c>
      <c r="C181" s="170" t="str">
        <f>IFERROR(__xludf.DUMMYFUNCTION("""COMPUTED_VALUE"""),"202507")</f>
        <v>202507</v>
      </c>
      <c r="D181" s="188" t="str">
        <f>IFERROR(__xludf.DUMMYFUNCTION("""COMPUTED_VALUE"""),"8865,3992")</f>
        <v>8865,3992</v>
      </c>
      <c r="E181" s="189" t="str">
        <f>IFERROR(__xludf.DUMMYFUNCTION("""COMPUTED_VALUE"""),"2,6")</f>
        <v>2,6</v>
      </c>
      <c r="F181" s="188" t="str">
        <f t="shared" si="1"/>
        <v>12202507</v>
      </c>
      <c r="G181" s="181"/>
      <c r="H181" s="181"/>
      <c r="I181" s="181"/>
      <c r="J181" s="181"/>
      <c r="K181" s="181"/>
      <c r="L181" s="181"/>
      <c r="M181" s="181"/>
      <c r="N181" s="181"/>
      <c r="O181" s="181"/>
      <c r="P181" s="181"/>
      <c r="Q181" s="181"/>
      <c r="R181" s="181"/>
      <c r="S181" s="181"/>
      <c r="T181" s="181"/>
      <c r="U181" s="181"/>
      <c r="V181" s="181"/>
      <c r="W181" s="181"/>
      <c r="X181" s="181"/>
      <c r="Y181" s="181"/>
      <c r="Z181" s="181"/>
    </row>
    <row r="182">
      <c r="A182" s="182" t="str">
        <f>IFERROR(__xludf.DUMMYFUNCTION("""COMPUTED_VALUE"""),"01")</f>
        <v>01</v>
      </c>
      <c r="B182" s="183" t="str">
        <f>IFERROR(__xludf.DUMMYFUNCTION("""COMPUTED_VALUE"""),"Alimentos y bebidas no alcohólicas")</f>
        <v>Alimentos y bebidas no alcohólicas</v>
      </c>
      <c r="C182" s="67" t="str">
        <f>IFERROR(__xludf.DUMMYFUNCTION("""COMPUTED_VALUE"""),"202508")</f>
        <v>202508</v>
      </c>
      <c r="D182" s="184" t="str">
        <f>IFERROR(__xludf.DUMMYFUNCTION("""COMPUTED_VALUE"""),"9828,0344")</f>
        <v>9828,0344</v>
      </c>
      <c r="E182" s="185" t="str">
        <f>IFERROR(__xludf.DUMMYFUNCTION("""COMPUTED_VALUE"""),"1,5")</f>
        <v>1,5</v>
      </c>
      <c r="F182" s="184" t="str">
        <f t="shared" si="1"/>
        <v>01202508</v>
      </c>
      <c r="G182" s="181"/>
      <c r="H182" s="181"/>
      <c r="I182" s="181"/>
      <c r="J182" s="181"/>
      <c r="K182" s="181"/>
      <c r="L182" s="181"/>
      <c r="M182" s="181"/>
      <c r="N182" s="181"/>
      <c r="O182" s="181"/>
      <c r="P182" s="181"/>
      <c r="Q182" s="181"/>
      <c r="R182" s="181"/>
      <c r="S182" s="181"/>
      <c r="T182" s="181"/>
      <c r="U182" s="181"/>
      <c r="V182" s="181"/>
      <c r="W182" s="181"/>
      <c r="X182" s="181"/>
      <c r="Y182" s="181"/>
      <c r="Z182" s="181"/>
    </row>
    <row r="183">
      <c r="A183" s="186" t="str">
        <f>IFERROR(__xludf.DUMMYFUNCTION("""COMPUTED_VALUE"""),"02")</f>
        <v>02</v>
      </c>
      <c r="B183" s="187" t="str">
        <f>IFERROR(__xludf.DUMMYFUNCTION("""COMPUTED_VALUE"""),"Bebidas alcohólicas y tabaco")</f>
        <v>Bebidas alcohólicas y tabaco</v>
      </c>
      <c r="C183" s="170" t="str">
        <f>IFERROR(__xludf.DUMMYFUNCTION("""COMPUTED_VALUE"""),"202508")</f>
        <v>202508</v>
      </c>
      <c r="D183" s="188" t="str">
        <f>IFERROR(__xludf.DUMMYFUNCTION("""COMPUTED_VALUE"""),"6976,3822")</f>
        <v>6976,3822</v>
      </c>
      <c r="E183" s="189" t="str">
        <f>IFERROR(__xludf.DUMMYFUNCTION("""COMPUTED_VALUE"""),"3,5")</f>
        <v>3,5</v>
      </c>
      <c r="F183" s="188" t="str">
        <f t="shared" si="1"/>
        <v>02202508</v>
      </c>
      <c r="G183" s="181"/>
      <c r="H183" s="181"/>
      <c r="I183" s="181"/>
      <c r="J183" s="181"/>
      <c r="K183" s="181"/>
      <c r="L183" s="181"/>
      <c r="M183" s="181"/>
      <c r="N183" s="181"/>
      <c r="O183" s="181"/>
      <c r="P183" s="181"/>
      <c r="Q183" s="181"/>
      <c r="R183" s="181"/>
      <c r="S183" s="181"/>
      <c r="T183" s="181"/>
      <c r="U183" s="181"/>
      <c r="V183" s="181"/>
      <c r="W183" s="181"/>
      <c r="X183" s="181"/>
      <c r="Y183" s="181"/>
      <c r="Z183" s="181"/>
    </row>
    <row r="184">
      <c r="A184" s="182" t="str">
        <f>IFERROR(__xludf.DUMMYFUNCTION("""COMPUTED_VALUE"""),"03")</f>
        <v>03</v>
      </c>
      <c r="B184" s="183" t="str">
        <f>IFERROR(__xludf.DUMMYFUNCTION("""COMPUTED_VALUE"""),"Prendas de vestir y calzado")</f>
        <v>Prendas de vestir y calzado</v>
      </c>
      <c r="C184" s="67" t="str">
        <f>IFERROR(__xludf.DUMMYFUNCTION("""COMPUTED_VALUE"""),"202508")</f>
        <v>202508</v>
      </c>
      <c r="D184" s="184" t="str">
        <f>IFERROR(__xludf.DUMMYFUNCTION("""COMPUTED_VALUE"""),"7607,3735")</f>
        <v>7607,3735</v>
      </c>
      <c r="E184" s="185" t="str">
        <f>IFERROR(__xludf.DUMMYFUNCTION("""COMPUTED_VALUE"""),"0,1")</f>
        <v>0,1</v>
      </c>
      <c r="F184" s="184" t="str">
        <f t="shared" si="1"/>
        <v>03202508</v>
      </c>
      <c r="G184" s="181"/>
      <c r="H184" s="181"/>
      <c r="I184" s="181"/>
      <c r="J184" s="181"/>
      <c r="K184" s="181"/>
      <c r="L184" s="181"/>
      <c r="M184" s="181"/>
      <c r="N184" s="181"/>
      <c r="O184" s="181"/>
      <c r="P184" s="181"/>
      <c r="Q184" s="181"/>
      <c r="R184" s="181"/>
      <c r="S184" s="181"/>
      <c r="T184" s="181"/>
      <c r="U184" s="181"/>
      <c r="V184" s="181"/>
      <c r="W184" s="181"/>
      <c r="X184" s="181"/>
      <c r="Y184" s="181"/>
      <c r="Z184" s="181"/>
    </row>
    <row r="185">
      <c r="A185" s="186" t="str">
        <f>IFERROR(__xludf.DUMMYFUNCTION("""COMPUTED_VALUE"""),"04")</f>
        <v>04</v>
      </c>
      <c r="B185" s="187" t="str">
        <f>IFERROR(__xludf.DUMMYFUNCTION("""COMPUTED_VALUE"""),"Vivienda, agua, electricidad, gas y otros combustibles")</f>
        <v>Vivienda, agua, electricidad, gas y otros combustibles</v>
      </c>
      <c r="C185" s="170" t="str">
        <f>IFERROR(__xludf.DUMMYFUNCTION("""COMPUTED_VALUE"""),"202508")</f>
        <v>202508</v>
      </c>
      <c r="D185" s="188" t="str">
        <f>IFERROR(__xludf.DUMMYFUNCTION("""COMPUTED_VALUE"""),"8784,9537")</f>
        <v>8784,9537</v>
      </c>
      <c r="E185" s="189" t="str">
        <f>IFERROR(__xludf.DUMMYFUNCTION("""COMPUTED_VALUE"""),"2,3")</f>
        <v>2,3</v>
      </c>
      <c r="F185" s="188" t="str">
        <f t="shared" si="1"/>
        <v>04202508</v>
      </c>
      <c r="G185" s="181"/>
      <c r="H185" s="181"/>
      <c r="I185" s="181"/>
      <c r="J185" s="181"/>
      <c r="K185" s="181"/>
      <c r="L185" s="181"/>
      <c r="M185" s="181"/>
      <c r="N185" s="181"/>
      <c r="O185" s="181"/>
      <c r="P185" s="181"/>
      <c r="Q185" s="181"/>
      <c r="R185" s="181"/>
      <c r="S185" s="181"/>
      <c r="T185" s="181"/>
      <c r="U185" s="181"/>
      <c r="V185" s="181"/>
      <c r="W185" s="181"/>
      <c r="X185" s="181"/>
      <c r="Y185" s="181"/>
      <c r="Z185" s="181"/>
    </row>
    <row r="186">
      <c r="A186" s="182" t="str">
        <f>IFERROR(__xludf.DUMMYFUNCTION("""COMPUTED_VALUE"""),"05")</f>
        <v>05</v>
      </c>
      <c r="B186" s="183" t="str">
        <f>IFERROR(__xludf.DUMMYFUNCTION("""COMPUTED_VALUE"""),"Equipamiento y mantenimiento del hogar")</f>
        <v>Equipamiento y mantenimiento del hogar</v>
      </c>
      <c r="C186" s="67" t="str">
        <f>IFERROR(__xludf.DUMMYFUNCTION("""COMPUTED_VALUE"""),"202508")</f>
        <v>202508</v>
      </c>
      <c r="D186" s="184" t="str">
        <f>IFERROR(__xludf.DUMMYFUNCTION("""COMPUTED_VALUE"""),"7786,5255")</f>
        <v>7786,5255</v>
      </c>
      <c r="E186" s="185" t="str">
        <f>IFERROR(__xludf.DUMMYFUNCTION("""COMPUTED_VALUE"""),"0,8")</f>
        <v>0,8</v>
      </c>
      <c r="F186" s="184" t="str">
        <f t="shared" si="1"/>
        <v>05202508</v>
      </c>
      <c r="G186" s="181"/>
      <c r="H186" s="181"/>
      <c r="I186" s="181"/>
      <c r="J186" s="181"/>
      <c r="K186" s="181"/>
      <c r="L186" s="181"/>
      <c r="M186" s="181"/>
      <c r="N186" s="181"/>
      <c r="O186" s="181"/>
      <c r="P186" s="181"/>
      <c r="Q186" s="181"/>
      <c r="R186" s="181"/>
      <c r="S186" s="181"/>
      <c r="T186" s="181"/>
      <c r="U186" s="181"/>
      <c r="V186" s="181"/>
      <c r="W186" s="181"/>
      <c r="X186" s="181"/>
      <c r="Y186" s="181"/>
      <c r="Z186" s="181"/>
    </row>
    <row r="187">
      <c r="A187" s="186" t="str">
        <f>IFERROR(__xludf.DUMMYFUNCTION("""COMPUTED_VALUE"""),"06")</f>
        <v>06</v>
      </c>
      <c r="B187" s="187" t="str">
        <f>IFERROR(__xludf.DUMMYFUNCTION("""COMPUTED_VALUE"""),"Salud")</f>
        <v>Salud</v>
      </c>
      <c r="C187" s="170" t="str">
        <f>IFERROR(__xludf.DUMMYFUNCTION("""COMPUTED_VALUE"""),"202508")</f>
        <v>202508</v>
      </c>
      <c r="D187" s="188" t="str">
        <f>IFERROR(__xludf.DUMMYFUNCTION("""COMPUTED_VALUE"""),"9927,9376")</f>
        <v>9927,9376</v>
      </c>
      <c r="E187" s="189" t="str">
        <f>IFERROR(__xludf.DUMMYFUNCTION("""COMPUTED_VALUE"""),"1,7")</f>
        <v>1,7</v>
      </c>
      <c r="F187" s="188" t="str">
        <f t="shared" si="1"/>
        <v>06202508</v>
      </c>
      <c r="G187" s="181"/>
      <c r="H187" s="181"/>
      <c r="I187" s="181"/>
      <c r="J187" s="181"/>
      <c r="K187" s="181"/>
      <c r="L187" s="181"/>
      <c r="M187" s="181"/>
      <c r="N187" s="181"/>
      <c r="O187" s="181"/>
      <c r="P187" s="181"/>
      <c r="Q187" s="181"/>
      <c r="R187" s="181"/>
      <c r="S187" s="181"/>
      <c r="T187" s="181"/>
      <c r="U187" s="181"/>
      <c r="V187" s="181"/>
      <c r="W187" s="181"/>
      <c r="X187" s="181"/>
      <c r="Y187" s="181"/>
      <c r="Z187" s="181"/>
    </row>
    <row r="188">
      <c r="A188" s="182" t="str">
        <f>IFERROR(__xludf.DUMMYFUNCTION("""COMPUTED_VALUE"""),"07")</f>
        <v>07</v>
      </c>
      <c r="B188" s="183" t="str">
        <f>IFERROR(__xludf.DUMMYFUNCTION("""COMPUTED_VALUE"""),"Transporte")</f>
        <v>Transporte</v>
      </c>
      <c r="C188" s="67" t="str">
        <f>IFERROR(__xludf.DUMMYFUNCTION("""COMPUTED_VALUE"""),"202508")</f>
        <v>202508</v>
      </c>
      <c r="D188" s="184" t="str">
        <f>IFERROR(__xludf.DUMMYFUNCTION("""COMPUTED_VALUE"""),"9016,2096")</f>
        <v>9016,2096</v>
      </c>
      <c r="E188" s="185" t="str">
        <f>IFERROR(__xludf.DUMMYFUNCTION("""COMPUTED_VALUE"""),"4")</f>
        <v>4</v>
      </c>
      <c r="F188" s="184" t="str">
        <f t="shared" si="1"/>
        <v>07202508</v>
      </c>
      <c r="G188" s="181"/>
      <c r="H188" s="181"/>
      <c r="I188" s="181"/>
      <c r="J188" s="181"/>
      <c r="K188" s="181"/>
      <c r="L188" s="181"/>
      <c r="M188" s="181"/>
      <c r="N188" s="181"/>
      <c r="O188" s="181"/>
      <c r="P188" s="181"/>
      <c r="Q188" s="181"/>
      <c r="R188" s="181"/>
      <c r="S188" s="181"/>
      <c r="T188" s="181"/>
      <c r="U188" s="181"/>
      <c r="V188" s="181"/>
      <c r="W188" s="181"/>
      <c r="X188" s="181"/>
      <c r="Y188" s="181"/>
      <c r="Z188" s="181"/>
    </row>
    <row r="189">
      <c r="A189" s="186" t="str">
        <f>IFERROR(__xludf.DUMMYFUNCTION("""COMPUTED_VALUE"""),"08")</f>
        <v>08</v>
      </c>
      <c r="B189" s="187" t="str">
        <f>IFERROR(__xludf.DUMMYFUNCTION("""COMPUTED_VALUE"""),"Comunicación")</f>
        <v>Comunicación</v>
      </c>
      <c r="C189" s="170" t="str">
        <f>IFERROR(__xludf.DUMMYFUNCTION("""COMPUTED_VALUE"""),"202508")</f>
        <v>202508</v>
      </c>
      <c r="D189" s="188" t="str">
        <f>IFERROR(__xludf.DUMMYFUNCTION("""COMPUTED_VALUE"""),"8584,0406")</f>
        <v>8584,0406</v>
      </c>
      <c r="E189" s="189" t="str">
        <f>IFERROR(__xludf.DUMMYFUNCTION("""COMPUTED_VALUE"""),"2")</f>
        <v>2</v>
      </c>
      <c r="F189" s="188" t="str">
        <f t="shared" si="1"/>
        <v>08202508</v>
      </c>
      <c r="G189" s="181"/>
      <c r="H189" s="181"/>
      <c r="I189" s="181"/>
      <c r="J189" s="181"/>
      <c r="K189" s="181"/>
      <c r="L189" s="181"/>
      <c r="M189" s="181"/>
      <c r="N189" s="181"/>
      <c r="O189" s="181"/>
      <c r="P189" s="181"/>
      <c r="Q189" s="181"/>
      <c r="R189" s="181"/>
      <c r="S189" s="181"/>
      <c r="T189" s="181"/>
      <c r="U189" s="181"/>
      <c r="V189" s="181"/>
      <c r="W189" s="181"/>
      <c r="X189" s="181"/>
      <c r="Y189" s="181"/>
      <c r="Z189" s="181"/>
    </row>
    <row r="190">
      <c r="A190" s="182" t="str">
        <f>IFERROR(__xludf.DUMMYFUNCTION("""COMPUTED_VALUE"""),"09")</f>
        <v>09</v>
      </c>
      <c r="B190" s="183" t="str">
        <f>IFERROR(__xludf.DUMMYFUNCTION("""COMPUTED_VALUE"""),"Recreación y cultura")</f>
        <v>Recreación y cultura</v>
      </c>
      <c r="C190" s="67" t="str">
        <f>IFERROR(__xludf.DUMMYFUNCTION("""COMPUTED_VALUE"""),"202508")</f>
        <v>202508</v>
      </c>
      <c r="D190" s="184" t="str">
        <f>IFERROR(__xludf.DUMMYFUNCTION("""COMPUTED_VALUE"""),"8656,559")</f>
        <v>8656,559</v>
      </c>
      <c r="E190" s="185" t="str">
        <f>IFERROR(__xludf.DUMMYFUNCTION("""COMPUTED_VALUE"""),"-0,2")</f>
        <v>-0,2</v>
      </c>
      <c r="F190" s="184" t="str">
        <f t="shared" si="1"/>
        <v>09202508</v>
      </c>
      <c r="G190" s="181"/>
      <c r="H190" s="181"/>
      <c r="I190" s="181"/>
      <c r="J190" s="181"/>
      <c r="K190" s="181"/>
      <c r="L190" s="181"/>
      <c r="M190" s="181"/>
      <c r="N190" s="181"/>
      <c r="O190" s="181"/>
      <c r="P190" s="181"/>
      <c r="Q190" s="181"/>
      <c r="R190" s="181"/>
      <c r="S190" s="181"/>
      <c r="T190" s="181"/>
      <c r="U190" s="181"/>
      <c r="V190" s="181"/>
      <c r="W190" s="181"/>
      <c r="X190" s="181"/>
      <c r="Y190" s="181"/>
      <c r="Z190" s="181"/>
    </row>
    <row r="191">
      <c r="A191" s="186" t="str">
        <f>IFERROR(__xludf.DUMMYFUNCTION("""COMPUTED_VALUE"""),"10")</f>
        <v>10</v>
      </c>
      <c r="B191" s="187" t="str">
        <f>IFERROR(__xludf.DUMMYFUNCTION("""COMPUTED_VALUE"""),"Educación")</f>
        <v>Educación</v>
      </c>
      <c r="C191" s="170" t="str">
        <f>IFERROR(__xludf.DUMMYFUNCTION("""COMPUTED_VALUE"""),"202508")</f>
        <v>202508</v>
      </c>
      <c r="D191" s="188" t="str">
        <f>IFERROR(__xludf.DUMMYFUNCTION("""COMPUTED_VALUE"""),"8633,8383")</f>
        <v>8633,8383</v>
      </c>
      <c r="E191" s="189" t="str">
        <f>IFERROR(__xludf.DUMMYFUNCTION("""COMPUTED_VALUE"""),"1,4")</f>
        <v>1,4</v>
      </c>
      <c r="F191" s="188" t="str">
        <f t="shared" si="1"/>
        <v>10202508</v>
      </c>
      <c r="G191" s="181"/>
      <c r="H191" s="181"/>
      <c r="I191" s="181"/>
      <c r="J191" s="181"/>
      <c r="K191" s="181"/>
      <c r="L191" s="181"/>
      <c r="M191" s="181"/>
      <c r="N191" s="181"/>
      <c r="O191" s="181"/>
      <c r="P191" s="181"/>
      <c r="Q191" s="181"/>
      <c r="R191" s="181"/>
      <c r="S191" s="181"/>
      <c r="T191" s="181"/>
      <c r="U191" s="181"/>
      <c r="V191" s="181"/>
      <c r="W191" s="181"/>
      <c r="X191" s="181"/>
      <c r="Y191" s="181"/>
      <c r="Z191" s="181"/>
    </row>
    <row r="192">
      <c r="A192" s="182" t="str">
        <f>IFERROR(__xludf.DUMMYFUNCTION("""COMPUTED_VALUE"""),"11")</f>
        <v>11</v>
      </c>
      <c r="B192" s="183" t="str">
        <f>IFERROR(__xludf.DUMMYFUNCTION("""COMPUTED_VALUE"""),"Restaurantes y hoteles")</f>
        <v>Restaurantes y hoteles</v>
      </c>
      <c r="C192" s="67" t="str">
        <f>IFERROR(__xludf.DUMMYFUNCTION("""COMPUTED_VALUE"""),"202508")</f>
        <v>202508</v>
      </c>
      <c r="D192" s="184" t="str">
        <f>IFERROR(__xludf.DUMMYFUNCTION("""COMPUTED_VALUE"""),"11185,9165")</f>
        <v>11185,9165</v>
      </c>
      <c r="E192" s="185" t="str">
        <f>IFERROR(__xludf.DUMMYFUNCTION("""COMPUTED_VALUE"""),"2,8")</f>
        <v>2,8</v>
      </c>
      <c r="F192" s="184" t="str">
        <f t="shared" si="1"/>
        <v>11202508</v>
      </c>
      <c r="G192" s="181"/>
      <c r="H192" s="181"/>
      <c r="I192" s="181"/>
      <c r="J192" s="181"/>
      <c r="K192" s="181"/>
      <c r="L192" s="181"/>
      <c r="M192" s="181"/>
      <c r="N192" s="181"/>
      <c r="O192" s="181"/>
      <c r="P192" s="181"/>
      <c r="Q192" s="181"/>
      <c r="R192" s="181"/>
      <c r="S192" s="181"/>
      <c r="T192" s="181"/>
      <c r="U192" s="181"/>
      <c r="V192" s="181"/>
      <c r="W192" s="181"/>
      <c r="X192" s="181"/>
      <c r="Y192" s="181"/>
      <c r="Z192" s="181"/>
    </row>
    <row r="193">
      <c r="A193" s="186" t="str">
        <f>IFERROR(__xludf.DUMMYFUNCTION("""COMPUTED_VALUE"""),"12")</f>
        <v>12</v>
      </c>
      <c r="B193" s="187" t="str">
        <f>IFERROR(__xludf.DUMMYFUNCTION("""COMPUTED_VALUE"""),"Bienes y servicios varios")</f>
        <v>Bienes y servicios varios</v>
      </c>
      <c r="C193" s="170" t="str">
        <f>IFERROR(__xludf.DUMMYFUNCTION("""COMPUTED_VALUE"""),"202508")</f>
        <v>202508</v>
      </c>
      <c r="D193" s="188" t="str">
        <f>IFERROR(__xludf.DUMMYFUNCTION("""COMPUTED_VALUE"""),"9056,3956")</f>
        <v>9056,3956</v>
      </c>
      <c r="E193" s="189" t="str">
        <f>IFERROR(__xludf.DUMMYFUNCTION("""COMPUTED_VALUE"""),"2,2")</f>
        <v>2,2</v>
      </c>
      <c r="F193" s="188" t="str">
        <f t="shared" si="1"/>
        <v>12202508</v>
      </c>
      <c r="G193" s="181"/>
      <c r="H193" s="181"/>
      <c r="I193" s="181"/>
      <c r="J193" s="181"/>
      <c r="K193" s="181"/>
      <c r="L193" s="181"/>
      <c r="M193" s="181"/>
      <c r="N193" s="181"/>
      <c r="O193" s="181"/>
      <c r="P193" s="181"/>
      <c r="Q193" s="181"/>
      <c r="R193" s="181"/>
      <c r="S193" s="181"/>
      <c r="T193" s="181"/>
      <c r="U193" s="181"/>
      <c r="V193" s="181"/>
      <c r="W193" s="181"/>
      <c r="X193" s="181"/>
      <c r="Y193" s="181"/>
      <c r="Z193" s="181"/>
    </row>
    <row r="194">
      <c r="A194" s="182" t="str">
        <f>IFERROR(__xludf.DUMMYFUNCTION("""COMPUTED_VALUE"""),"01")</f>
        <v>01</v>
      </c>
      <c r="B194" s="183" t="str">
        <f>IFERROR(__xludf.DUMMYFUNCTION("""COMPUTED_VALUE"""),"Alimentos y bebidas no alcohólicas")</f>
        <v>Alimentos y bebidas no alcohólicas</v>
      </c>
      <c r="C194" s="67" t="str">
        <f>IFERROR(__xludf.DUMMYFUNCTION("""COMPUTED_VALUE"""),"202509")</f>
        <v>202509</v>
      </c>
      <c r="D194" s="184" t="str">
        <f>IFERROR(__xludf.DUMMYFUNCTION("""COMPUTED_VALUE"""),"10022,1907")</f>
        <v>10022,1907</v>
      </c>
      <c r="E194" s="185" t="str">
        <f>IFERROR(__xludf.DUMMYFUNCTION("""COMPUTED_VALUE"""),"2")</f>
        <v>2</v>
      </c>
      <c r="F194" s="184" t="str">
        <f t="shared" si="1"/>
        <v>01202509</v>
      </c>
      <c r="G194" s="181"/>
      <c r="H194" s="181"/>
      <c r="I194" s="181"/>
      <c r="J194" s="181"/>
      <c r="K194" s="181"/>
      <c r="L194" s="181"/>
      <c r="M194" s="181"/>
      <c r="N194" s="181"/>
      <c r="O194" s="181"/>
      <c r="P194" s="181"/>
      <c r="Q194" s="181"/>
      <c r="R194" s="181"/>
      <c r="S194" s="181"/>
      <c r="T194" s="181"/>
      <c r="U194" s="181"/>
      <c r="V194" s="181"/>
      <c r="W194" s="181"/>
      <c r="X194" s="181"/>
      <c r="Y194" s="181"/>
      <c r="Z194" s="181"/>
    </row>
    <row r="195">
      <c r="A195" s="186" t="str">
        <f>IFERROR(__xludf.DUMMYFUNCTION("""COMPUTED_VALUE"""),"02")</f>
        <v>02</v>
      </c>
      <c r="B195" s="187" t="str">
        <f>IFERROR(__xludf.DUMMYFUNCTION("""COMPUTED_VALUE"""),"Bebidas alcohólicas y tabaco")</f>
        <v>Bebidas alcohólicas y tabaco</v>
      </c>
      <c r="C195" s="170" t="str">
        <f>IFERROR(__xludf.DUMMYFUNCTION("""COMPUTED_VALUE"""),"202509")</f>
        <v>202509</v>
      </c>
      <c r="D195" s="188" t="str">
        <f>IFERROR(__xludf.DUMMYFUNCTION("""COMPUTED_VALUE"""),"7105,7319")</f>
        <v>7105,7319</v>
      </c>
      <c r="E195" s="189" t="str">
        <f>IFERROR(__xludf.DUMMYFUNCTION("""COMPUTED_VALUE"""),"1,9")</f>
        <v>1,9</v>
      </c>
      <c r="F195" s="188" t="str">
        <f t="shared" si="1"/>
        <v>02202509</v>
      </c>
      <c r="G195" s="181"/>
      <c r="H195" s="181"/>
      <c r="I195" s="181"/>
      <c r="J195" s="181"/>
      <c r="K195" s="181"/>
      <c r="L195" s="181"/>
      <c r="M195" s="181"/>
      <c r="N195" s="181"/>
      <c r="O195" s="181"/>
      <c r="P195" s="181"/>
      <c r="Q195" s="181"/>
      <c r="R195" s="181"/>
      <c r="S195" s="181"/>
      <c r="T195" s="181"/>
      <c r="U195" s="181"/>
      <c r="V195" s="181"/>
      <c r="W195" s="181"/>
      <c r="X195" s="181"/>
      <c r="Y195" s="181"/>
      <c r="Z195" s="181"/>
    </row>
    <row r="196">
      <c r="A196" s="182" t="str">
        <f>IFERROR(__xludf.DUMMYFUNCTION("""COMPUTED_VALUE"""),"03")</f>
        <v>03</v>
      </c>
      <c r="B196" s="183" t="str">
        <f>IFERROR(__xludf.DUMMYFUNCTION("""COMPUTED_VALUE"""),"Prendas de vestir y calzado")</f>
        <v>Prendas de vestir y calzado</v>
      </c>
      <c r="C196" s="67" t="str">
        <f>IFERROR(__xludf.DUMMYFUNCTION("""COMPUTED_VALUE"""),"202509")</f>
        <v>202509</v>
      </c>
      <c r="D196" s="184" t="str">
        <f>IFERROR(__xludf.DUMMYFUNCTION("""COMPUTED_VALUE"""),"7801,9502")</f>
        <v>7801,9502</v>
      </c>
      <c r="E196" s="185" t="str">
        <f>IFERROR(__xludf.DUMMYFUNCTION("""COMPUTED_VALUE"""),"2,6")</f>
        <v>2,6</v>
      </c>
      <c r="F196" s="184" t="str">
        <f t="shared" si="1"/>
        <v>03202509</v>
      </c>
      <c r="G196" s="181"/>
      <c r="H196" s="181"/>
      <c r="I196" s="181"/>
      <c r="J196" s="181"/>
      <c r="K196" s="181"/>
      <c r="L196" s="181"/>
      <c r="M196" s="181"/>
      <c r="N196" s="181"/>
      <c r="O196" s="181"/>
      <c r="P196" s="181"/>
      <c r="Q196" s="181"/>
      <c r="R196" s="181"/>
      <c r="S196" s="181"/>
      <c r="T196" s="181"/>
      <c r="U196" s="181"/>
      <c r="V196" s="181"/>
      <c r="W196" s="181"/>
      <c r="X196" s="181"/>
      <c r="Y196" s="181"/>
      <c r="Z196" s="181"/>
    </row>
    <row r="197">
      <c r="A197" s="186" t="str">
        <f>IFERROR(__xludf.DUMMYFUNCTION("""COMPUTED_VALUE"""),"04")</f>
        <v>04</v>
      </c>
      <c r="B197" s="187" t="str">
        <f>IFERROR(__xludf.DUMMYFUNCTION("""COMPUTED_VALUE"""),"Vivienda, agua, electricidad, gas y otros combustibles")</f>
        <v>Vivienda, agua, electricidad, gas y otros combustibles</v>
      </c>
      <c r="C197" s="170" t="str">
        <f>IFERROR(__xludf.DUMMYFUNCTION("""COMPUTED_VALUE"""),"202509")</f>
        <v>202509</v>
      </c>
      <c r="D197" s="188" t="str">
        <f>IFERROR(__xludf.DUMMYFUNCTION("""COMPUTED_VALUE"""),"9033,504")</f>
        <v>9033,504</v>
      </c>
      <c r="E197" s="189" t="str">
        <f>IFERROR(__xludf.DUMMYFUNCTION("""COMPUTED_VALUE"""),"2,8")</f>
        <v>2,8</v>
      </c>
      <c r="F197" s="188" t="str">
        <f t="shared" si="1"/>
        <v>04202509</v>
      </c>
      <c r="G197" s="181"/>
      <c r="H197" s="181"/>
      <c r="I197" s="181"/>
      <c r="J197" s="181"/>
      <c r="K197" s="181"/>
      <c r="L197" s="181"/>
      <c r="M197" s="181"/>
      <c r="N197" s="181"/>
      <c r="O197" s="181"/>
      <c r="P197" s="181"/>
      <c r="Q197" s="181"/>
      <c r="R197" s="181"/>
      <c r="S197" s="181"/>
      <c r="T197" s="181"/>
      <c r="U197" s="181"/>
      <c r="V197" s="181"/>
      <c r="W197" s="181"/>
      <c r="X197" s="181"/>
      <c r="Y197" s="181"/>
      <c r="Z197" s="181"/>
    </row>
    <row r="198">
      <c r="A198" s="182" t="str">
        <f>IFERROR(__xludf.DUMMYFUNCTION("""COMPUTED_VALUE"""),"05")</f>
        <v>05</v>
      </c>
      <c r="B198" s="183" t="str">
        <f>IFERROR(__xludf.DUMMYFUNCTION("""COMPUTED_VALUE"""),"Equipamiento y mantenimiento del hogar")</f>
        <v>Equipamiento y mantenimiento del hogar</v>
      </c>
      <c r="C198" s="67" t="str">
        <f>IFERROR(__xludf.DUMMYFUNCTION("""COMPUTED_VALUE"""),"202509")</f>
        <v>202509</v>
      </c>
      <c r="D198" s="184" t="str">
        <f>IFERROR(__xludf.DUMMYFUNCTION("""COMPUTED_VALUE"""),"7987,2451")</f>
        <v>7987,2451</v>
      </c>
      <c r="E198" s="185" t="str">
        <f>IFERROR(__xludf.DUMMYFUNCTION("""COMPUTED_VALUE"""),"2,6")</f>
        <v>2,6</v>
      </c>
      <c r="F198" s="184" t="str">
        <f t="shared" si="1"/>
        <v>05202509</v>
      </c>
      <c r="G198" s="181"/>
      <c r="H198" s="181"/>
      <c r="I198" s="181"/>
      <c r="J198" s="181"/>
      <c r="K198" s="181"/>
      <c r="L198" s="181"/>
      <c r="M198" s="181"/>
      <c r="N198" s="181"/>
      <c r="O198" s="181"/>
      <c r="P198" s="181"/>
      <c r="Q198" s="181"/>
      <c r="R198" s="181"/>
      <c r="S198" s="181"/>
      <c r="T198" s="181"/>
      <c r="U198" s="181"/>
      <c r="V198" s="181"/>
      <c r="W198" s="181"/>
      <c r="X198" s="181"/>
      <c r="Y198" s="181"/>
      <c r="Z198" s="181"/>
    </row>
    <row r="199">
      <c r="A199" s="186" t="str">
        <f>IFERROR(__xludf.DUMMYFUNCTION("""COMPUTED_VALUE"""),"06")</f>
        <v>06</v>
      </c>
      <c r="B199" s="187" t="str">
        <f>IFERROR(__xludf.DUMMYFUNCTION("""COMPUTED_VALUE"""),"Salud")</f>
        <v>Salud</v>
      </c>
      <c r="C199" s="170" t="str">
        <f>IFERROR(__xludf.DUMMYFUNCTION("""COMPUTED_VALUE"""),"202509")</f>
        <v>202509</v>
      </c>
      <c r="D199" s="188" t="str">
        <f>IFERROR(__xludf.DUMMYFUNCTION("""COMPUTED_VALUE"""),"10125,9997")</f>
        <v>10125,9997</v>
      </c>
      <c r="E199" s="189" t="str">
        <f>IFERROR(__xludf.DUMMYFUNCTION("""COMPUTED_VALUE"""),"2")</f>
        <v>2</v>
      </c>
      <c r="F199" s="188" t="str">
        <f t="shared" si="1"/>
        <v>06202509</v>
      </c>
      <c r="G199" s="181"/>
      <c r="H199" s="181"/>
      <c r="I199" s="181"/>
      <c r="J199" s="181"/>
      <c r="K199" s="181"/>
      <c r="L199" s="181"/>
      <c r="M199" s="181"/>
      <c r="N199" s="181"/>
      <c r="O199" s="181"/>
      <c r="P199" s="181"/>
      <c r="Q199" s="181"/>
      <c r="R199" s="181"/>
      <c r="S199" s="181"/>
      <c r="T199" s="181"/>
      <c r="U199" s="181"/>
      <c r="V199" s="181"/>
      <c r="W199" s="181"/>
      <c r="X199" s="181"/>
      <c r="Y199" s="181"/>
      <c r="Z199" s="181"/>
    </row>
    <row r="200">
      <c r="A200" s="182" t="str">
        <f>IFERROR(__xludf.DUMMYFUNCTION("""COMPUTED_VALUE"""),"07")</f>
        <v>07</v>
      </c>
      <c r="B200" s="183" t="str">
        <f>IFERROR(__xludf.DUMMYFUNCTION("""COMPUTED_VALUE"""),"Transporte")</f>
        <v>Transporte</v>
      </c>
      <c r="C200" s="67" t="str">
        <f>IFERROR(__xludf.DUMMYFUNCTION("""COMPUTED_VALUE"""),"202509")</f>
        <v>202509</v>
      </c>
      <c r="D200" s="184" t="str">
        <f>IFERROR(__xludf.DUMMYFUNCTION("""COMPUTED_VALUE"""),"9276,6359")</f>
        <v>9276,6359</v>
      </c>
      <c r="E200" s="185" t="str">
        <f>IFERROR(__xludf.DUMMYFUNCTION("""COMPUTED_VALUE"""),"2,9")</f>
        <v>2,9</v>
      </c>
      <c r="F200" s="184" t="str">
        <f t="shared" si="1"/>
        <v>07202509</v>
      </c>
      <c r="G200" s="181"/>
      <c r="H200" s="181"/>
      <c r="I200" s="181"/>
      <c r="J200" s="181"/>
      <c r="K200" s="181"/>
      <c r="L200" s="181"/>
      <c r="M200" s="181"/>
      <c r="N200" s="181"/>
      <c r="O200" s="181"/>
      <c r="P200" s="181"/>
      <c r="Q200" s="181"/>
      <c r="R200" s="181"/>
      <c r="S200" s="181"/>
      <c r="T200" s="181"/>
      <c r="U200" s="181"/>
      <c r="V200" s="181"/>
      <c r="W200" s="181"/>
      <c r="X200" s="181"/>
      <c r="Y200" s="181"/>
      <c r="Z200" s="181"/>
    </row>
    <row r="201">
      <c r="A201" s="186" t="str">
        <f>IFERROR(__xludf.DUMMYFUNCTION("""COMPUTED_VALUE"""),"08")</f>
        <v>08</v>
      </c>
      <c r="B201" s="187" t="str">
        <f>IFERROR(__xludf.DUMMYFUNCTION("""COMPUTED_VALUE"""),"Comunicación")</f>
        <v>Comunicación</v>
      </c>
      <c r="C201" s="170" t="str">
        <f>IFERROR(__xludf.DUMMYFUNCTION("""COMPUTED_VALUE"""),"202509")</f>
        <v>202509</v>
      </c>
      <c r="D201" s="188" t="str">
        <f>IFERROR(__xludf.DUMMYFUNCTION("""COMPUTED_VALUE"""),"8763,1823")</f>
        <v>8763,1823</v>
      </c>
      <c r="E201" s="189" t="str">
        <f>IFERROR(__xludf.DUMMYFUNCTION("""COMPUTED_VALUE"""),"2,1")</f>
        <v>2,1</v>
      </c>
      <c r="F201" s="188" t="str">
        <f t="shared" si="1"/>
        <v>08202509</v>
      </c>
      <c r="G201" s="181"/>
      <c r="H201" s="181"/>
      <c r="I201" s="181"/>
      <c r="J201" s="181"/>
      <c r="K201" s="181"/>
      <c r="L201" s="181"/>
      <c r="M201" s="181"/>
      <c r="N201" s="181"/>
      <c r="O201" s="181"/>
      <c r="P201" s="181"/>
      <c r="Q201" s="181"/>
      <c r="R201" s="181"/>
      <c r="S201" s="181"/>
      <c r="T201" s="181"/>
      <c r="U201" s="181"/>
      <c r="V201" s="181"/>
      <c r="W201" s="181"/>
      <c r="X201" s="181"/>
      <c r="Y201" s="181"/>
      <c r="Z201" s="181"/>
    </row>
    <row r="202">
      <c r="A202" s="182" t="str">
        <f>IFERROR(__xludf.DUMMYFUNCTION("""COMPUTED_VALUE"""),"09")</f>
        <v>09</v>
      </c>
      <c r="B202" s="183" t="str">
        <f>IFERROR(__xludf.DUMMYFUNCTION("""COMPUTED_VALUE"""),"Recreación y cultura")</f>
        <v>Recreación y cultura</v>
      </c>
      <c r="C202" s="67" t="str">
        <f>IFERROR(__xludf.DUMMYFUNCTION("""COMPUTED_VALUE"""),"202509")</f>
        <v>202509</v>
      </c>
      <c r="D202" s="184" t="str">
        <f>IFERROR(__xludf.DUMMYFUNCTION("""COMPUTED_VALUE"""),"8834,8546")</f>
        <v>8834,8546</v>
      </c>
      <c r="E202" s="185" t="str">
        <f>IFERROR(__xludf.DUMMYFUNCTION("""COMPUTED_VALUE"""),"2,1")</f>
        <v>2,1</v>
      </c>
      <c r="F202" s="184" t="str">
        <f t="shared" si="1"/>
        <v>09202509</v>
      </c>
      <c r="G202" s="181"/>
      <c r="H202" s="181"/>
      <c r="I202" s="181"/>
      <c r="J202" s="181"/>
      <c r="K202" s="181"/>
      <c r="L202" s="181"/>
      <c r="M202" s="181"/>
      <c r="N202" s="181"/>
      <c r="O202" s="181"/>
      <c r="P202" s="181"/>
      <c r="Q202" s="181"/>
      <c r="R202" s="181"/>
      <c r="S202" s="181"/>
      <c r="T202" s="181"/>
      <c r="U202" s="181"/>
      <c r="V202" s="181"/>
      <c r="W202" s="181"/>
      <c r="X202" s="181"/>
      <c r="Y202" s="181"/>
      <c r="Z202" s="181"/>
    </row>
    <row r="203">
      <c r="A203" s="186" t="str">
        <f>IFERROR(__xludf.DUMMYFUNCTION("""COMPUTED_VALUE"""),"10")</f>
        <v>10</v>
      </c>
      <c r="B203" s="187" t="str">
        <f>IFERROR(__xludf.DUMMYFUNCTION("""COMPUTED_VALUE"""),"Educación")</f>
        <v>Educación</v>
      </c>
      <c r="C203" s="170" t="str">
        <f>IFERROR(__xludf.DUMMYFUNCTION("""COMPUTED_VALUE"""),"202509")</f>
        <v>202509</v>
      </c>
      <c r="D203" s="188" t="str">
        <f>IFERROR(__xludf.DUMMYFUNCTION("""COMPUTED_VALUE"""),"8923,9746")</f>
        <v>8923,9746</v>
      </c>
      <c r="E203" s="189" t="str">
        <f>IFERROR(__xludf.DUMMYFUNCTION("""COMPUTED_VALUE"""),"3,4")</f>
        <v>3,4</v>
      </c>
      <c r="F203" s="188" t="str">
        <f t="shared" si="1"/>
        <v>10202509</v>
      </c>
      <c r="G203" s="181"/>
      <c r="H203" s="181"/>
      <c r="I203" s="181"/>
      <c r="J203" s="181"/>
      <c r="K203" s="181"/>
      <c r="L203" s="181"/>
      <c r="M203" s="181"/>
      <c r="N203" s="181"/>
      <c r="O203" s="181"/>
      <c r="P203" s="181"/>
      <c r="Q203" s="181"/>
      <c r="R203" s="181"/>
      <c r="S203" s="181"/>
      <c r="T203" s="181"/>
      <c r="U203" s="181"/>
      <c r="V203" s="181"/>
      <c r="W203" s="181"/>
      <c r="X203" s="181"/>
      <c r="Y203" s="181"/>
      <c r="Z203" s="181"/>
    </row>
    <row r="204">
      <c r="A204" s="182" t="str">
        <f>IFERROR(__xludf.DUMMYFUNCTION("""COMPUTED_VALUE"""),"11")</f>
        <v>11</v>
      </c>
      <c r="B204" s="183" t="str">
        <f>IFERROR(__xludf.DUMMYFUNCTION("""COMPUTED_VALUE"""),"Restaurantes y hoteles")</f>
        <v>Restaurantes y hoteles</v>
      </c>
      <c r="C204" s="67" t="str">
        <f>IFERROR(__xludf.DUMMYFUNCTION("""COMPUTED_VALUE"""),"202509")</f>
        <v>202509</v>
      </c>
      <c r="D204" s="184" t="str">
        <f>IFERROR(__xludf.DUMMYFUNCTION("""COMPUTED_VALUE"""),"11238,5637")</f>
        <v>11238,5637</v>
      </c>
      <c r="E204" s="185" t="str">
        <f>IFERROR(__xludf.DUMMYFUNCTION("""COMPUTED_VALUE"""),"0,5")</f>
        <v>0,5</v>
      </c>
      <c r="F204" s="184" t="str">
        <f t="shared" si="1"/>
        <v>11202509</v>
      </c>
      <c r="G204" s="181"/>
      <c r="H204" s="181"/>
      <c r="I204" s="181"/>
      <c r="J204" s="181"/>
      <c r="K204" s="181"/>
      <c r="L204" s="181"/>
      <c r="M204" s="181"/>
      <c r="N204" s="181"/>
      <c r="O204" s="181"/>
      <c r="P204" s="181"/>
      <c r="Q204" s="181"/>
      <c r="R204" s="181"/>
      <c r="S204" s="181"/>
      <c r="T204" s="181"/>
      <c r="U204" s="181"/>
      <c r="V204" s="181"/>
      <c r="W204" s="181"/>
      <c r="X204" s="181"/>
      <c r="Y204" s="181"/>
      <c r="Z204" s="181"/>
    </row>
    <row r="205">
      <c r="A205" s="186" t="str">
        <f>IFERROR(__xludf.DUMMYFUNCTION("""COMPUTED_VALUE"""),"12")</f>
        <v>12</v>
      </c>
      <c r="B205" s="187" t="str">
        <f>IFERROR(__xludf.DUMMYFUNCTION("""COMPUTED_VALUE"""),"Bienes y servicios varios")</f>
        <v>Bienes y servicios varios</v>
      </c>
      <c r="C205" s="170" t="str">
        <f>IFERROR(__xludf.DUMMYFUNCTION("""COMPUTED_VALUE"""),"202509")</f>
        <v>202509</v>
      </c>
      <c r="D205" s="188" t="str">
        <f>IFERROR(__xludf.DUMMYFUNCTION("""COMPUTED_VALUE"""),"9259,5673")</f>
        <v>9259,5673</v>
      </c>
      <c r="E205" s="189" t="str">
        <f>IFERROR(__xludf.DUMMYFUNCTION("""COMPUTED_VALUE"""),"2,2")</f>
        <v>2,2</v>
      </c>
      <c r="F205" s="188" t="str">
        <f t="shared" si="1"/>
        <v>12202509</v>
      </c>
      <c r="G205" s="181"/>
      <c r="H205" s="181"/>
      <c r="I205" s="181"/>
      <c r="J205" s="181"/>
      <c r="K205" s="181"/>
      <c r="L205" s="181"/>
      <c r="M205" s="181"/>
      <c r="N205" s="181"/>
      <c r="O205" s="181"/>
      <c r="P205" s="181"/>
      <c r="Q205" s="181"/>
      <c r="R205" s="181"/>
      <c r="S205" s="181"/>
      <c r="T205" s="181"/>
      <c r="U205" s="181"/>
      <c r="V205" s="181"/>
      <c r="W205" s="181"/>
      <c r="X205" s="181"/>
      <c r="Y205" s="181"/>
      <c r="Z205" s="181"/>
    </row>
    <row r="206">
      <c r="A206" s="182" t="str">
        <f>IFERROR(__xludf.DUMMYFUNCTION("""COMPUTED_VALUE"""),"01")</f>
        <v>01</v>
      </c>
      <c r="B206" s="183" t="str">
        <f>IFERROR(__xludf.DUMMYFUNCTION("""COMPUTED_VALUE"""),"Alimentos y bebidas no alcohólicas")</f>
        <v>Alimentos y bebidas no alcohólicas</v>
      </c>
      <c r="C206" s="67" t="str">
        <f>IFERROR(__xludf.DUMMYFUNCTION("""COMPUTED_VALUE"""),"202510")</f>
        <v>202510</v>
      </c>
      <c r="D206" s="184" t="str">
        <f>IFERROR(__xludf.DUMMYFUNCTION("""COMPUTED_VALUE"""),"10266,4083")</f>
        <v>10266,4083</v>
      </c>
      <c r="E206" s="185" t="str">
        <f>IFERROR(__xludf.DUMMYFUNCTION("""COMPUTED_VALUE"""),"2,4")</f>
        <v>2,4</v>
      </c>
      <c r="F206" s="184" t="str">
        <f t="shared" si="1"/>
        <v>01202510</v>
      </c>
      <c r="G206" s="181"/>
      <c r="H206" s="181"/>
      <c r="I206" s="181"/>
      <c r="J206" s="181"/>
      <c r="K206" s="181"/>
      <c r="L206" s="181"/>
      <c r="M206" s="181"/>
      <c r="N206" s="181"/>
      <c r="O206" s="181"/>
      <c r="P206" s="181"/>
      <c r="Q206" s="181"/>
      <c r="R206" s="181"/>
      <c r="S206" s="181"/>
      <c r="T206" s="181"/>
      <c r="U206" s="181"/>
      <c r="V206" s="181"/>
      <c r="W206" s="181"/>
      <c r="X206" s="181"/>
      <c r="Y206" s="181"/>
      <c r="Z206" s="181"/>
    </row>
    <row r="207">
      <c r="A207" s="186" t="str">
        <f>IFERROR(__xludf.DUMMYFUNCTION("""COMPUTED_VALUE"""),"02")</f>
        <v>02</v>
      </c>
      <c r="B207" s="187" t="str">
        <f>IFERROR(__xludf.DUMMYFUNCTION("""COMPUTED_VALUE"""),"Bebidas alcohólicas y tabaco")</f>
        <v>Bebidas alcohólicas y tabaco</v>
      </c>
      <c r="C207" s="170" t="str">
        <f>IFERROR(__xludf.DUMMYFUNCTION("""COMPUTED_VALUE"""),"202510")</f>
        <v>202510</v>
      </c>
      <c r="D207" s="188" t="str">
        <f>IFERROR(__xludf.DUMMYFUNCTION("""COMPUTED_VALUE"""),"7264,321")</f>
        <v>7264,321</v>
      </c>
      <c r="E207" s="189" t="str">
        <f>IFERROR(__xludf.DUMMYFUNCTION("""COMPUTED_VALUE"""),"2,2")</f>
        <v>2,2</v>
      </c>
      <c r="F207" s="188" t="str">
        <f t="shared" si="1"/>
        <v>02202510</v>
      </c>
      <c r="G207" s="181"/>
      <c r="H207" s="181"/>
      <c r="I207" s="181"/>
      <c r="J207" s="181"/>
      <c r="K207" s="181"/>
      <c r="L207" s="181"/>
      <c r="M207" s="181"/>
      <c r="N207" s="181"/>
      <c r="O207" s="181"/>
      <c r="P207" s="181"/>
      <c r="Q207" s="181"/>
      <c r="R207" s="181"/>
      <c r="S207" s="181"/>
      <c r="T207" s="181"/>
      <c r="U207" s="181"/>
      <c r="V207" s="181"/>
      <c r="W207" s="181"/>
      <c r="X207" s="181"/>
      <c r="Y207" s="181"/>
      <c r="Z207" s="181"/>
    </row>
    <row r="208">
      <c r="A208" s="182" t="str">
        <f>IFERROR(__xludf.DUMMYFUNCTION("""COMPUTED_VALUE"""),"03")</f>
        <v>03</v>
      </c>
      <c r="B208" s="183" t="str">
        <f>IFERROR(__xludf.DUMMYFUNCTION("""COMPUTED_VALUE"""),"Prendas de vestir y calzado")</f>
        <v>Prendas de vestir y calzado</v>
      </c>
      <c r="C208" s="67" t="str">
        <f>IFERROR(__xludf.DUMMYFUNCTION("""COMPUTED_VALUE"""),"202510")</f>
        <v>202510</v>
      </c>
      <c r="D208" s="184" t="str">
        <f>IFERROR(__xludf.DUMMYFUNCTION("""COMPUTED_VALUE"""),"8053,0169")</f>
        <v>8053,0169</v>
      </c>
      <c r="E208" s="185" t="str">
        <f>IFERROR(__xludf.DUMMYFUNCTION("""COMPUTED_VALUE"""),"3,2")</f>
        <v>3,2</v>
      </c>
      <c r="F208" s="184" t="str">
        <f t="shared" si="1"/>
        <v>03202510</v>
      </c>
      <c r="G208" s="181"/>
      <c r="H208" s="181"/>
      <c r="I208" s="181"/>
      <c r="J208" s="181"/>
      <c r="K208" s="181"/>
      <c r="L208" s="181"/>
      <c r="M208" s="181"/>
      <c r="N208" s="181"/>
      <c r="O208" s="181"/>
      <c r="P208" s="181"/>
      <c r="Q208" s="181"/>
      <c r="R208" s="181"/>
      <c r="S208" s="181"/>
      <c r="T208" s="181"/>
      <c r="U208" s="181"/>
      <c r="V208" s="181"/>
      <c r="W208" s="181"/>
      <c r="X208" s="181"/>
      <c r="Y208" s="181"/>
      <c r="Z208" s="181"/>
    </row>
    <row r="209">
      <c r="A209" s="186" t="str">
        <f>IFERROR(__xludf.DUMMYFUNCTION("""COMPUTED_VALUE"""),"04")</f>
        <v>04</v>
      </c>
      <c r="B209" s="187" t="str">
        <f>IFERROR(__xludf.DUMMYFUNCTION("""COMPUTED_VALUE"""),"Vivienda, agua, electricidad, gas y otros combustibles")</f>
        <v>Vivienda, agua, electricidad, gas y otros combustibles</v>
      </c>
      <c r="C209" s="170" t="str">
        <f>IFERROR(__xludf.DUMMYFUNCTION("""COMPUTED_VALUE"""),"202510")</f>
        <v>202510</v>
      </c>
      <c r="D209" s="188" t="str">
        <f>IFERROR(__xludf.DUMMYFUNCTION("""COMPUTED_VALUE"""),"9238,2438")</f>
        <v>9238,2438</v>
      </c>
      <c r="E209" s="189" t="str">
        <f>IFERROR(__xludf.DUMMYFUNCTION("""COMPUTED_VALUE"""),"2,3")</f>
        <v>2,3</v>
      </c>
      <c r="F209" s="188" t="str">
        <f t="shared" si="1"/>
        <v>04202510</v>
      </c>
      <c r="G209" s="181"/>
      <c r="H209" s="181"/>
      <c r="I209" s="181"/>
      <c r="J209" s="181"/>
      <c r="K209" s="181"/>
      <c r="L209" s="181"/>
      <c r="M209" s="181"/>
      <c r="N209" s="181"/>
      <c r="O209" s="181"/>
      <c r="P209" s="181"/>
      <c r="Q209" s="181"/>
      <c r="R209" s="181"/>
      <c r="S209" s="181"/>
      <c r="T209" s="181"/>
      <c r="U209" s="181"/>
      <c r="V209" s="181"/>
      <c r="W209" s="181"/>
      <c r="X209" s="181"/>
      <c r="Y209" s="181"/>
      <c r="Z209" s="181"/>
    </row>
    <row r="210">
      <c r="A210" s="182" t="str">
        <f>IFERROR(__xludf.DUMMYFUNCTION("""COMPUTED_VALUE"""),"05")</f>
        <v>05</v>
      </c>
      <c r="B210" s="183" t="str">
        <f>IFERROR(__xludf.DUMMYFUNCTION("""COMPUTED_VALUE"""),"Equipamiento y mantenimiento del hogar")</f>
        <v>Equipamiento y mantenimiento del hogar</v>
      </c>
      <c r="C210" s="67" t="str">
        <f>IFERROR(__xludf.DUMMYFUNCTION("""COMPUTED_VALUE"""),"202510")</f>
        <v>202510</v>
      </c>
      <c r="D210" s="184" t="str">
        <f>IFERROR(__xludf.DUMMYFUNCTION("""COMPUTED_VALUE"""),"8147,5824")</f>
        <v>8147,5824</v>
      </c>
      <c r="E210" s="185" t="str">
        <f>IFERROR(__xludf.DUMMYFUNCTION("""COMPUTED_VALUE"""),"2")</f>
        <v>2</v>
      </c>
      <c r="F210" s="184" t="str">
        <f t="shared" si="1"/>
        <v>05202510</v>
      </c>
      <c r="G210" s="181"/>
      <c r="H210" s="181"/>
      <c r="I210" s="181"/>
      <c r="J210" s="181"/>
      <c r="K210" s="181"/>
      <c r="L210" s="181"/>
      <c r="M210" s="181"/>
      <c r="N210" s="181"/>
      <c r="O210" s="181"/>
      <c r="P210" s="181"/>
      <c r="Q210" s="181"/>
      <c r="R210" s="181"/>
      <c r="S210" s="181"/>
      <c r="T210" s="181"/>
      <c r="U210" s="181"/>
      <c r="V210" s="181"/>
      <c r="W210" s="181"/>
      <c r="X210" s="181"/>
      <c r="Y210" s="181"/>
      <c r="Z210" s="181"/>
    </row>
    <row r="211">
      <c r="A211" s="186" t="str">
        <f>IFERROR(__xludf.DUMMYFUNCTION("""COMPUTED_VALUE"""),"06")</f>
        <v>06</v>
      </c>
      <c r="B211" s="187" t="str">
        <f>IFERROR(__xludf.DUMMYFUNCTION("""COMPUTED_VALUE"""),"Salud")</f>
        <v>Salud</v>
      </c>
      <c r="C211" s="170" t="str">
        <f>IFERROR(__xludf.DUMMYFUNCTION("""COMPUTED_VALUE"""),"202510")</f>
        <v>202510</v>
      </c>
      <c r="D211" s="188" t="str">
        <f>IFERROR(__xludf.DUMMYFUNCTION("""COMPUTED_VALUE"""),"10275,5213")</f>
        <v>10275,5213</v>
      </c>
      <c r="E211" s="189" t="str">
        <f>IFERROR(__xludf.DUMMYFUNCTION("""COMPUTED_VALUE"""),"1,5")</f>
        <v>1,5</v>
      </c>
      <c r="F211" s="188" t="str">
        <f t="shared" si="1"/>
        <v>06202510</v>
      </c>
      <c r="G211" s="181"/>
      <c r="H211" s="181"/>
      <c r="I211" s="181"/>
      <c r="J211" s="181"/>
      <c r="K211" s="181"/>
      <c r="L211" s="181"/>
      <c r="M211" s="181"/>
      <c r="N211" s="181"/>
      <c r="O211" s="181"/>
      <c r="P211" s="181"/>
      <c r="Q211" s="181"/>
      <c r="R211" s="181"/>
      <c r="S211" s="181"/>
      <c r="T211" s="181"/>
      <c r="U211" s="181"/>
      <c r="V211" s="181"/>
      <c r="W211" s="181"/>
      <c r="X211" s="181"/>
      <c r="Y211" s="181"/>
      <c r="Z211" s="181"/>
    </row>
    <row r="212">
      <c r="A212" s="182" t="str">
        <f>IFERROR(__xludf.DUMMYFUNCTION("""COMPUTED_VALUE"""),"07")</f>
        <v>07</v>
      </c>
      <c r="B212" s="183" t="str">
        <f>IFERROR(__xludf.DUMMYFUNCTION("""COMPUTED_VALUE"""),"Transporte")</f>
        <v>Transporte</v>
      </c>
      <c r="C212" s="67" t="str">
        <f>IFERROR(__xludf.DUMMYFUNCTION("""COMPUTED_VALUE"""),"202510")</f>
        <v>202510</v>
      </c>
      <c r="D212" s="184" t="str">
        <f>IFERROR(__xludf.DUMMYFUNCTION("""COMPUTED_VALUE"""),"9591,3012")</f>
        <v>9591,3012</v>
      </c>
      <c r="E212" s="185" t="str">
        <f>IFERROR(__xludf.DUMMYFUNCTION("""COMPUTED_VALUE"""),"3,4")</f>
        <v>3,4</v>
      </c>
      <c r="F212" s="184" t="str">
        <f t="shared" si="1"/>
        <v>07202510</v>
      </c>
      <c r="G212" s="181"/>
      <c r="H212" s="181"/>
      <c r="I212" s="181"/>
      <c r="J212" s="181"/>
      <c r="K212" s="181"/>
      <c r="L212" s="181"/>
      <c r="M212" s="181"/>
      <c r="N212" s="181"/>
      <c r="O212" s="181"/>
      <c r="P212" s="181"/>
      <c r="Q212" s="181"/>
      <c r="R212" s="181"/>
      <c r="S212" s="181"/>
      <c r="T212" s="181"/>
      <c r="U212" s="181"/>
      <c r="V212" s="181"/>
      <c r="W212" s="181"/>
      <c r="X212" s="181"/>
      <c r="Y212" s="181"/>
      <c r="Z212" s="181"/>
    </row>
    <row r="213">
      <c r="A213" s="186" t="str">
        <f>IFERROR(__xludf.DUMMYFUNCTION("""COMPUTED_VALUE"""),"08")</f>
        <v>08</v>
      </c>
      <c r="B213" s="187" t="str">
        <f>IFERROR(__xludf.DUMMYFUNCTION("""COMPUTED_VALUE"""),"Comunicación")</f>
        <v>Comunicación</v>
      </c>
      <c r="C213" s="170" t="str">
        <f>IFERROR(__xludf.DUMMYFUNCTION("""COMPUTED_VALUE"""),"202510")</f>
        <v>202510</v>
      </c>
      <c r="D213" s="188" t="str">
        <f>IFERROR(__xludf.DUMMYFUNCTION("""COMPUTED_VALUE"""),"8966,7851")</f>
        <v>8966,7851</v>
      </c>
      <c r="E213" s="189" t="str">
        <f>IFERROR(__xludf.DUMMYFUNCTION("""COMPUTED_VALUE"""),"2,3")</f>
        <v>2,3</v>
      </c>
      <c r="F213" s="188" t="str">
        <f t="shared" si="1"/>
        <v>08202510</v>
      </c>
      <c r="G213" s="181"/>
      <c r="H213" s="181"/>
      <c r="I213" s="181"/>
      <c r="J213" s="181"/>
      <c r="K213" s="181"/>
      <c r="L213" s="181"/>
      <c r="M213" s="181"/>
      <c r="N213" s="181"/>
      <c r="O213" s="181"/>
      <c r="P213" s="181"/>
      <c r="Q213" s="181"/>
      <c r="R213" s="181"/>
      <c r="S213" s="181"/>
      <c r="T213" s="181"/>
      <c r="U213" s="181"/>
      <c r="V213" s="181"/>
      <c r="W213" s="181"/>
      <c r="X213" s="181"/>
      <c r="Y213" s="181"/>
      <c r="Z213" s="181"/>
    </row>
    <row r="214">
      <c r="A214" s="182" t="str">
        <f>IFERROR(__xludf.DUMMYFUNCTION("""COMPUTED_VALUE"""),"09")</f>
        <v>09</v>
      </c>
      <c r="B214" s="183" t="str">
        <f>IFERROR(__xludf.DUMMYFUNCTION("""COMPUTED_VALUE"""),"Recreación y cultura")</f>
        <v>Recreación y cultura</v>
      </c>
      <c r="C214" s="67" t="str">
        <f>IFERROR(__xludf.DUMMYFUNCTION("""COMPUTED_VALUE"""),"202510")</f>
        <v>202510</v>
      </c>
      <c r="D214" s="184" t="str">
        <f>IFERROR(__xludf.DUMMYFUNCTION("""COMPUTED_VALUE"""),"8965,7522")</f>
        <v>8965,7522</v>
      </c>
      <c r="E214" s="185" t="str">
        <f>IFERROR(__xludf.DUMMYFUNCTION("""COMPUTED_VALUE"""),"1,5")</f>
        <v>1,5</v>
      </c>
      <c r="F214" s="184" t="str">
        <f t="shared" si="1"/>
        <v>09202510</v>
      </c>
      <c r="G214" s="181"/>
      <c r="H214" s="181"/>
      <c r="I214" s="181"/>
      <c r="J214" s="181"/>
      <c r="K214" s="181"/>
      <c r="L214" s="181"/>
      <c r="M214" s="181"/>
      <c r="N214" s="181"/>
      <c r="O214" s="181"/>
      <c r="P214" s="181"/>
      <c r="Q214" s="181"/>
      <c r="R214" s="181"/>
      <c r="S214" s="181"/>
      <c r="T214" s="181"/>
      <c r="U214" s="181"/>
      <c r="V214" s="181"/>
      <c r="W214" s="181"/>
      <c r="X214" s="181"/>
      <c r="Y214" s="181"/>
      <c r="Z214" s="181"/>
    </row>
    <row r="215">
      <c r="A215" s="186" t="str">
        <f>IFERROR(__xludf.DUMMYFUNCTION("""COMPUTED_VALUE"""),"10")</f>
        <v>10</v>
      </c>
      <c r="B215" s="187" t="str">
        <f>IFERROR(__xludf.DUMMYFUNCTION("""COMPUTED_VALUE"""),"Educación")</f>
        <v>Educación</v>
      </c>
      <c r="C215" s="170" t="str">
        <f>IFERROR(__xludf.DUMMYFUNCTION("""COMPUTED_VALUE"""),"202510")</f>
        <v>202510</v>
      </c>
      <c r="D215" s="188" t="str">
        <f>IFERROR(__xludf.DUMMYFUNCTION("""COMPUTED_VALUE"""),"9063,6685")</f>
        <v>9063,6685</v>
      </c>
      <c r="E215" s="189" t="str">
        <f>IFERROR(__xludf.DUMMYFUNCTION("""COMPUTED_VALUE"""),"1,6")</f>
        <v>1,6</v>
      </c>
      <c r="F215" s="188" t="str">
        <f t="shared" si="1"/>
        <v>10202510</v>
      </c>
      <c r="G215" s="181"/>
      <c r="H215" s="181"/>
      <c r="I215" s="181"/>
      <c r="J215" s="181"/>
      <c r="K215" s="181"/>
      <c r="L215" s="181"/>
      <c r="M215" s="181"/>
      <c r="N215" s="181"/>
      <c r="O215" s="181"/>
      <c r="P215" s="181"/>
      <c r="Q215" s="181"/>
      <c r="R215" s="181"/>
      <c r="S215" s="181"/>
      <c r="T215" s="181"/>
      <c r="U215" s="181"/>
      <c r="V215" s="181"/>
      <c r="W215" s="181"/>
      <c r="X215" s="181"/>
      <c r="Y215" s="181"/>
      <c r="Z215" s="181"/>
    </row>
    <row r="216">
      <c r="A216" s="182" t="str">
        <f>IFERROR(__xludf.DUMMYFUNCTION("""COMPUTED_VALUE"""),"11")</f>
        <v>11</v>
      </c>
      <c r="B216" s="183" t="str">
        <f>IFERROR(__xludf.DUMMYFUNCTION("""COMPUTED_VALUE"""),"Restaurantes y hoteles")</f>
        <v>Restaurantes y hoteles</v>
      </c>
      <c r="C216" s="67" t="str">
        <f>IFERROR(__xludf.DUMMYFUNCTION("""COMPUTED_VALUE"""),"202510")</f>
        <v>202510</v>
      </c>
      <c r="D216" s="184" t="str">
        <f>IFERROR(__xludf.DUMMYFUNCTION("""COMPUTED_VALUE"""),"11538,4844")</f>
        <v>11538,4844</v>
      </c>
      <c r="E216" s="185" t="str">
        <f>IFERROR(__xludf.DUMMYFUNCTION("""COMPUTED_VALUE"""),"2,7")</f>
        <v>2,7</v>
      </c>
      <c r="F216" s="184" t="str">
        <f t="shared" si="1"/>
        <v>11202510</v>
      </c>
      <c r="G216" s="181"/>
      <c r="H216" s="181"/>
      <c r="I216" s="181"/>
      <c r="J216" s="181"/>
      <c r="K216" s="181"/>
      <c r="L216" s="181"/>
      <c r="M216" s="181"/>
      <c r="N216" s="181"/>
      <c r="O216" s="181"/>
      <c r="P216" s="181"/>
      <c r="Q216" s="181"/>
      <c r="R216" s="181"/>
      <c r="S216" s="181"/>
      <c r="T216" s="181"/>
      <c r="U216" s="181"/>
      <c r="V216" s="181"/>
      <c r="W216" s="181"/>
      <c r="X216" s="181"/>
      <c r="Y216" s="181"/>
      <c r="Z216" s="181"/>
    </row>
    <row r="217">
      <c r="A217" s="186" t="str">
        <f>IFERROR(__xludf.DUMMYFUNCTION("""COMPUTED_VALUE"""),"12")</f>
        <v>12</v>
      </c>
      <c r="B217" s="187" t="str">
        <f>IFERROR(__xludf.DUMMYFUNCTION("""COMPUTED_VALUE"""),"Bienes y servicios varios")</f>
        <v>Bienes y servicios varios</v>
      </c>
      <c r="C217" s="170" t="str">
        <f>IFERROR(__xludf.DUMMYFUNCTION("""COMPUTED_VALUE"""),"202510")</f>
        <v>202510</v>
      </c>
      <c r="D217" s="188" t="str">
        <f>IFERROR(__xludf.DUMMYFUNCTION("""COMPUTED_VALUE"""),"9476,215")</f>
        <v>9476,215</v>
      </c>
      <c r="E217" s="189" t="str">
        <f>IFERROR(__xludf.DUMMYFUNCTION("""COMPUTED_VALUE"""),"2,3")</f>
        <v>2,3</v>
      </c>
      <c r="F217" s="188" t="str">
        <f t="shared" si="1"/>
        <v>12202510</v>
      </c>
      <c r="G217" s="181"/>
      <c r="H217" s="181"/>
      <c r="I217" s="181"/>
      <c r="J217" s="181"/>
      <c r="K217" s="181"/>
      <c r="L217" s="181"/>
      <c r="M217" s="181"/>
      <c r="N217" s="181"/>
      <c r="O217" s="181"/>
      <c r="P217" s="181"/>
      <c r="Q217" s="181"/>
      <c r="R217" s="181"/>
      <c r="S217" s="181"/>
      <c r="T217" s="181"/>
      <c r="U217" s="181"/>
      <c r="V217" s="181"/>
      <c r="W217" s="181"/>
      <c r="X217" s="181"/>
      <c r="Y217" s="181"/>
      <c r="Z217" s="181"/>
    </row>
    <row r="218">
      <c r="A218" s="182" t="str">
        <f>IFERROR(__xludf.DUMMYFUNCTION("""COMPUTED_VALUE"""),"01")</f>
        <v>01</v>
      </c>
      <c r="B218" s="183" t="str">
        <f>IFERROR(__xludf.DUMMYFUNCTION("""COMPUTED_VALUE"""),"Alimentos y bebidas no alcohólicas")</f>
        <v>Alimentos y bebidas no alcohólicas</v>
      </c>
      <c r="C218" s="67" t="str">
        <f>IFERROR(__xludf.DUMMYFUNCTION("""COMPUTED_VALUE"""),"202511")</f>
        <v>202511</v>
      </c>
      <c r="D218" s="184" t="str">
        <f>IFERROR(__xludf.DUMMYFUNCTION("""COMPUTED_VALUE"""),"10553,5882")</f>
        <v>10553,5882</v>
      </c>
      <c r="E218" s="185" t="str">
        <f>IFERROR(__xludf.DUMMYFUNCTION("""COMPUTED_VALUE"""),"2,8")</f>
        <v>2,8</v>
      </c>
      <c r="F218" s="184" t="str">
        <f t="shared" si="1"/>
        <v>01202511</v>
      </c>
      <c r="G218" s="181"/>
      <c r="H218" s="181"/>
      <c r="I218" s="181"/>
      <c r="J218" s="181"/>
      <c r="K218" s="181"/>
      <c r="L218" s="181"/>
      <c r="M218" s="181"/>
      <c r="N218" s="181"/>
      <c r="O218" s="181"/>
      <c r="P218" s="181"/>
      <c r="Q218" s="181"/>
      <c r="R218" s="181"/>
      <c r="S218" s="181"/>
      <c r="T218" s="181"/>
      <c r="U218" s="181"/>
      <c r="V218" s="181"/>
      <c r="W218" s="181"/>
      <c r="X218" s="181"/>
      <c r="Y218" s="181"/>
      <c r="Z218" s="181"/>
    </row>
    <row r="219">
      <c r="A219" s="186" t="str">
        <f>IFERROR(__xludf.DUMMYFUNCTION("""COMPUTED_VALUE"""),"02")</f>
        <v>02</v>
      </c>
      <c r="B219" s="187" t="str">
        <f>IFERROR(__xludf.DUMMYFUNCTION("""COMPUTED_VALUE"""),"Bebidas alcohólicas y tabaco")</f>
        <v>Bebidas alcohólicas y tabaco</v>
      </c>
      <c r="C219" s="170" t="str">
        <f>IFERROR(__xludf.DUMMYFUNCTION("""COMPUTED_VALUE"""),"202511")</f>
        <v>202511</v>
      </c>
      <c r="D219" s="188" t="str">
        <f>IFERROR(__xludf.DUMMYFUNCTION("""COMPUTED_VALUE"""),"7351,7746")</f>
        <v>7351,7746</v>
      </c>
      <c r="E219" s="189" t="str">
        <f>IFERROR(__xludf.DUMMYFUNCTION("""COMPUTED_VALUE"""),"1,2")</f>
        <v>1,2</v>
      </c>
      <c r="F219" s="188" t="str">
        <f t="shared" si="1"/>
        <v>02202511</v>
      </c>
      <c r="G219" s="181"/>
      <c r="H219" s="181"/>
      <c r="I219" s="181"/>
      <c r="J219" s="181"/>
      <c r="K219" s="181"/>
      <c r="L219" s="181"/>
      <c r="M219" s="181"/>
      <c r="N219" s="181"/>
      <c r="O219" s="181"/>
      <c r="P219" s="181"/>
      <c r="Q219" s="181"/>
      <c r="R219" s="181"/>
      <c r="S219" s="181"/>
      <c r="T219" s="181"/>
      <c r="U219" s="181"/>
      <c r="V219" s="181"/>
      <c r="W219" s="181"/>
      <c r="X219" s="181"/>
      <c r="Y219" s="181"/>
      <c r="Z219" s="181"/>
    </row>
    <row r="220">
      <c r="A220" s="182" t="str">
        <f>IFERROR(__xludf.DUMMYFUNCTION("""COMPUTED_VALUE"""),"03")</f>
        <v>03</v>
      </c>
      <c r="B220" s="183" t="str">
        <f>IFERROR(__xludf.DUMMYFUNCTION("""COMPUTED_VALUE"""),"Prendas de vestir y calzado")</f>
        <v>Prendas de vestir y calzado</v>
      </c>
      <c r="C220" s="67" t="str">
        <f>IFERROR(__xludf.DUMMYFUNCTION("""COMPUTED_VALUE"""),"202511")</f>
        <v>202511</v>
      </c>
      <c r="D220" s="184" t="str">
        <f>IFERROR(__xludf.DUMMYFUNCTION("""COMPUTED_VALUE"""),"8073,6627")</f>
        <v>8073,6627</v>
      </c>
      <c r="E220" s="185" t="str">
        <f>IFERROR(__xludf.DUMMYFUNCTION("""COMPUTED_VALUE"""),"0,3")</f>
        <v>0,3</v>
      </c>
      <c r="F220" s="184" t="str">
        <f t="shared" si="1"/>
        <v>03202511</v>
      </c>
      <c r="G220" s="181"/>
      <c r="H220" s="181"/>
      <c r="I220" s="181"/>
      <c r="J220" s="181"/>
      <c r="K220" s="181"/>
      <c r="L220" s="181"/>
      <c r="M220" s="181"/>
      <c r="N220" s="181"/>
      <c r="O220" s="181"/>
      <c r="P220" s="181"/>
      <c r="Q220" s="181"/>
      <c r="R220" s="181"/>
      <c r="S220" s="181"/>
      <c r="T220" s="181"/>
      <c r="U220" s="181"/>
      <c r="V220" s="181"/>
      <c r="W220" s="181"/>
      <c r="X220" s="181"/>
      <c r="Y220" s="181"/>
      <c r="Z220" s="181"/>
    </row>
    <row r="221">
      <c r="A221" s="186" t="str">
        <f>IFERROR(__xludf.DUMMYFUNCTION("""COMPUTED_VALUE"""),"04")</f>
        <v>04</v>
      </c>
      <c r="B221" s="187" t="str">
        <f>IFERROR(__xludf.DUMMYFUNCTION("""COMPUTED_VALUE"""),"Vivienda, agua, electricidad, gas y otros combustibles")</f>
        <v>Vivienda, agua, electricidad, gas y otros combustibles</v>
      </c>
      <c r="C221" s="170" t="str">
        <f>IFERROR(__xludf.DUMMYFUNCTION("""COMPUTED_VALUE"""),"202511")</f>
        <v>202511</v>
      </c>
      <c r="D221" s="188" t="str">
        <f>IFERROR(__xludf.DUMMYFUNCTION("""COMPUTED_VALUE"""),"9540,9531")</f>
        <v>9540,9531</v>
      </c>
      <c r="E221" s="189" t="str">
        <f>IFERROR(__xludf.DUMMYFUNCTION("""COMPUTED_VALUE"""),"3,3")</f>
        <v>3,3</v>
      </c>
      <c r="F221" s="188" t="str">
        <f t="shared" si="1"/>
        <v>04202511</v>
      </c>
      <c r="G221" s="181"/>
      <c r="H221" s="181"/>
      <c r="I221" s="181"/>
      <c r="J221" s="181"/>
      <c r="K221" s="181"/>
      <c r="L221" s="181"/>
      <c r="M221" s="181"/>
      <c r="N221" s="181"/>
      <c r="O221" s="181"/>
      <c r="P221" s="181"/>
      <c r="Q221" s="181"/>
      <c r="R221" s="181"/>
      <c r="S221" s="181"/>
      <c r="T221" s="181"/>
      <c r="U221" s="181"/>
      <c r="V221" s="181"/>
      <c r="W221" s="181"/>
      <c r="X221" s="181"/>
      <c r="Y221" s="181"/>
      <c r="Z221" s="181"/>
    </row>
    <row r="222">
      <c r="A222" s="182" t="str">
        <f>IFERROR(__xludf.DUMMYFUNCTION("""COMPUTED_VALUE"""),"05")</f>
        <v>05</v>
      </c>
      <c r="B222" s="183" t="str">
        <f>IFERROR(__xludf.DUMMYFUNCTION("""COMPUTED_VALUE"""),"Equipamiento y mantenimiento del hogar")</f>
        <v>Equipamiento y mantenimiento del hogar</v>
      </c>
      <c r="C222" s="67" t="str">
        <f>IFERROR(__xludf.DUMMYFUNCTION("""COMPUTED_VALUE"""),"202511")</f>
        <v>202511</v>
      </c>
      <c r="D222" s="184" t="str">
        <f>IFERROR(__xludf.DUMMYFUNCTION("""COMPUTED_VALUE"""),"8236,2857")</f>
        <v>8236,2857</v>
      </c>
      <c r="E222" s="185" t="str">
        <f>IFERROR(__xludf.DUMMYFUNCTION("""COMPUTED_VALUE"""),"1,1")</f>
        <v>1,1</v>
      </c>
      <c r="F222" s="184" t="str">
        <f t="shared" si="1"/>
        <v>05202511</v>
      </c>
      <c r="G222" s="181"/>
      <c r="H222" s="181"/>
      <c r="I222" s="181"/>
      <c r="J222" s="181"/>
      <c r="K222" s="181"/>
      <c r="L222" s="181"/>
      <c r="M222" s="181"/>
      <c r="N222" s="181"/>
      <c r="O222" s="181"/>
      <c r="P222" s="181"/>
      <c r="Q222" s="181"/>
      <c r="R222" s="181"/>
      <c r="S222" s="181"/>
      <c r="T222" s="181"/>
      <c r="U222" s="181"/>
      <c r="V222" s="181"/>
      <c r="W222" s="181"/>
      <c r="X222" s="181"/>
      <c r="Y222" s="181"/>
      <c r="Z222" s="181"/>
    </row>
    <row r="223">
      <c r="A223" s="186" t="str">
        <f>IFERROR(__xludf.DUMMYFUNCTION("""COMPUTED_VALUE"""),"06")</f>
        <v>06</v>
      </c>
      <c r="B223" s="187" t="str">
        <f>IFERROR(__xludf.DUMMYFUNCTION("""COMPUTED_VALUE"""),"Salud")</f>
        <v>Salud</v>
      </c>
      <c r="C223" s="170" t="str">
        <f>IFERROR(__xludf.DUMMYFUNCTION("""COMPUTED_VALUE"""),"202511")</f>
        <v>202511</v>
      </c>
      <c r="D223" s="188" t="str">
        <f>IFERROR(__xludf.DUMMYFUNCTION("""COMPUTED_VALUE"""),"10531,0319")</f>
        <v>10531,0319</v>
      </c>
      <c r="E223" s="189" t="str">
        <f>IFERROR(__xludf.DUMMYFUNCTION("""COMPUTED_VALUE"""),"2,5")</f>
        <v>2,5</v>
      </c>
      <c r="F223" s="188" t="str">
        <f t="shared" si="1"/>
        <v>06202511</v>
      </c>
      <c r="G223" s="181"/>
      <c r="H223" s="181"/>
      <c r="I223" s="181"/>
      <c r="J223" s="181"/>
      <c r="K223" s="181"/>
      <c r="L223" s="181"/>
      <c r="M223" s="181"/>
      <c r="N223" s="181"/>
      <c r="O223" s="181"/>
      <c r="P223" s="181"/>
      <c r="Q223" s="181"/>
      <c r="R223" s="181"/>
      <c r="S223" s="181"/>
      <c r="T223" s="181"/>
      <c r="U223" s="181"/>
      <c r="V223" s="181"/>
      <c r="W223" s="181"/>
      <c r="X223" s="181"/>
      <c r="Y223" s="181"/>
      <c r="Z223" s="181"/>
    </row>
    <row r="224">
      <c r="A224" s="182" t="str">
        <f>IFERROR(__xludf.DUMMYFUNCTION("""COMPUTED_VALUE"""),"07")</f>
        <v>07</v>
      </c>
      <c r="B224" s="183" t="str">
        <f>IFERROR(__xludf.DUMMYFUNCTION("""COMPUTED_VALUE"""),"Transporte")</f>
        <v>Transporte</v>
      </c>
      <c r="C224" s="67" t="str">
        <f>IFERROR(__xludf.DUMMYFUNCTION("""COMPUTED_VALUE"""),"202511")</f>
        <v>202511</v>
      </c>
      <c r="D224" s="184" t="str">
        <f>IFERROR(__xludf.DUMMYFUNCTION("""COMPUTED_VALUE"""),"9864,6215")</f>
        <v>9864,6215</v>
      </c>
      <c r="E224" s="185" t="str">
        <f>IFERROR(__xludf.DUMMYFUNCTION("""COMPUTED_VALUE"""),"2,8")</f>
        <v>2,8</v>
      </c>
      <c r="F224" s="184" t="str">
        <f t="shared" si="1"/>
        <v>07202511</v>
      </c>
      <c r="G224" s="181"/>
      <c r="H224" s="181"/>
      <c r="I224" s="181"/>
      <c r="J224" s="181"/>
      <c r="K224" s="181"/>
      <c r="L224" s="181"/>
      <c r="M224" s="181"/>
      <c r="N224" s="181"/>
      <c r="O224" s="181"/>
      <c r="P224" s="181"/>
      <c r="Q224" s="181"/>
      <c r="R224" s="181"/>
      <c r="S224" s="181"/>
      <c r="T224" s="181"/>
      <c r="U224" s="181"/>
      <c r="V224" s="181"/>
      <c r="W224" s="181"/>
      <c r="X224" s="181"/>
      <c r="Y224" s="181"/>
      <c r="Z224" s="181"/>
    </row>
    <row r="225">
      <c r="A225" s="186" t="str">
        <f>IFERROR(__xludf.DUMMYFUNCTION("""COMPUTED_VALUE"""),"08")</f>
        <v>08</v>
      </c>
      <c r="B225" s="187" t="str">
        <f>IFERROR(__xludf.DUMMYFUNCTION("""COMPUTED_VALUE"""),"Comunicación")</f>
        <v>Comunicación</v>
      </c>
      <c r="C225" s="170" t="str">
        <f>IFERROR(__xludf.DUMMYFUNCTION("""COMPUTED_VALUE"""),"202511")</f>
        <v>202511</v>
      </c>
      <c r="D225" s="188" t="str">
        <f>IFERROR(__xludf.DUMMYFUNCTION("""COMPUTED_VALUE"""),"9216,2118")</f>
        <v>9216,2118</v>
      </c>
      <c r="E225" s="189" t="str">
        <f>IFERROR(__xludf.DUMMYFUNCTION("""COMPUTED_VALUE"""),"2,8")</f>
        <v>2,8</v>
      </c>
      <c r="F225" s="188" t="str">
        <f t="shared" si="1"/>
        <v>08202511</v>
      </c>
      <c r="G225" s="181"/>
      <c r="H225" s="181"/>
      <c r="I225" s="181"/>
      <c r="J225" s="181"/>
      <c r="K225" s="181"/>
      <c r="L225" s="181"/>
      <c r="M225" s="181"/>
      <c r="N225" s="181"/>
      <c r="O225" s="181"/>
      <c r="P225" s="181"/>
      <c r="Q225" s="181"/>
      <c r="R225" s="181"/>
      <c r="S225" s="181"/>
      <c r="T225" s="181"/>
      <c r="U225" s="181"/>
      <c r="V225" s="181"/>
      <c r="W225" s="181"/>
      <c r="X225" s="181"/>
      <c r="Y225" s="181"/>
      <c r="Z225" s="181"/>
    </row>
    <row r="226">
      <c r="A226" s="182" t="str">
        <f>IFERROR(__xludf.DUMMYFUNCTION("""COMPUTED_VALUE"""),"09")</f>
        <v>09</v>
      </c>
      <c r="B226" s="183" t="str">
        <f>IFERROR(__xludf.DUMMYFUNCTION("""COMPUTED_VALUE"""),"Recreación y cultura")</f>
        <v>Recreación y cultura</v>
      </c>
      <c r="C226" s="67" t="str">
        <f>IFERROR(__xludf.DUMMYFUNCTION("""COMPUTED_VALUE"""),"202511")</f>
        <v>202511</v>
      </c>
      <c r="D226" s="184" t="str">
        <f>IFERROR(__xludf.DUMMYFUNCTION("""COMPUTED_VALUE"""),"9206,624")</f>
        <v>9206,624</v>
      </c>
      <c r="E226" s="185" t="str">
        <f>IFERROR(__xludf.DUMMYFUNCTION("""COMPUTED_VALUE"""),"2,7")</f>
        <v>2,7</v>
      </c>
      <c r="F226" s="184" t="str">
        <f t="shared" si="1"/>
        <v>09202511</v>
      </c>
      <c r="G226" s="181"/>
      <c r="H226" s="181"/>
      <c r="I226" s="181"/>
      <c r="J226" s="181"/>
      <c r="K226" s="181"/>
      <c r="L226" s="181"/>
      <c r="M226" s="181"/>
      <c r="N226" s="181"/>
      <c r="O226" s="181"/>
      <c r="P226" s="181"/>
      <c r="Q226" s="181"/>
      <c r="R226" s="181"/>
      <c r="S226" s="181"/>
      <c r="T226" s="181"/>
      <c r="U226" s="181"/>
      <c r="V226" s="181"/>
      <c r="W226" s="181"/>
      <c r="X226" s="181"/>
      <c r="Y226" s="181"/>
      <c r="Z226" s="181"/>
    </row>
    <row r="227">
      <c r="A227" s="186" t="str">
        <f>IFERROR(__xludf.DUMMYFUNCTION("""COMPUTED_VALUE"""),"10")</f>
        <v>10</v>
      </c>
      <c r="B227" s="187" t="str">
        <f>IFERROR(__xludf.DUMMYFUNCTION("""COMPUTED_VALUE"""),"Educación")</f>
        <v>Educación</v>
      </c>
      <c r="C227" s="170" t="str">
        <f>IFERROR(__xludf.DUMMYFUNCTION("""COMPUTED_VALUE"""),"202511")</f>
        <v>202511</v>
      </c>
      <c r="D227" s="188" t="str">
        <f>IFERROR(__xludf.DUMMYFUNCTION("""COMPUTED_VALUE"""),"9343,8347")</f>
        <v>9343,8347</v>
      </c>
      <c r="E227" s="189" t="str">
        <f>IFERROR(__xludf.DUMMYFUNCTION("""COMPUTED_VALUE"""),"3,1")</f>
        <v>3,1</v>
      </c>
      <c r="F227" s="188" t="str">
        <f t="shared" si="1"/>
        <v>10202511</v>
      </c>
      <c r="G227" s="181"/>
      <c r="H227" s="181"/>
      <c r="I227" s="181"/>
      <c r="J227" s="181"/>
      <c r="K227" s="181"/>
      <c r="L227" s="181"/>
      <c r="M227" s="181"/>
      <c r="N227" s="181"/>
      <c r="O227" s="181"/>
      <c r="P227" s="181"/>
      <c r="Q227" s="181"/>
      <c r="R227" s="181"/>
      <c r="S227" s="181"/>
      <c r="T227" s="181"/>
      <c r="U227" s="181"/>
      <c r="V227" s="181"/>
      <c r="W227" s="181"/>
      <c r="X227" s="181"/>
      <c r="Y227" s="181"/>
      <c r="Z227" s="181"/>
    </row>
    <row r="228">
      <c r="A228" s="182" t="str">
        <f>IFERROR(__xludf.DUMMYFUNCTION("""COMPUTED_VALUE"""),"11")</f>
        <v>11</v>
      </c>
      <c r="B228" s="183" t="str">
        <f>IFERROR(__xludf.DUMMYFUNCTION("""COMPUTED_VALUE"""),"Restaurantes y hoteles")</f>
        <v>Restaurantes y hoteles</v>
      </c>
      <c r="C228" s="67" t="str">
        <f>IFERROR(__xludf.DUMMYFUNCTION("""COMPUTED_VALUE"""),"202511")</f>
        <v>202511</v>
      </c>
      <c r="D228" s="184" t="str">
        <f>IFERROR(__xludf.DUMMYFUNCTION("""COMPUTED_VALUE"""),"11843,5418")</f>
        <v>11843,5418</v>
      </c>
      <c r="E228" s="185" t="str">
        <f>IFERROR(__xludf.DUMMYFUNCTION("""COMPUTED_VALUE"""),"2,6")</f>
        <v>2,6</v>
      </c>
      <c r="F228" s="184" t="str">
        <f t="shared" si="1"/>
        <v>11202511</v>
      </c>
      <c r="G228" s="181"/>
      <c r="H228" s="181"/>
      <c r="I228" s="181"/>
      <c r="J228" s="181"/>
      <c r="K228" s="181"/>
      <c r="L228" s="181"/>
      <c r="M228" s="181"/>
      <c r="N228" s="181"/>
      <c r="O228" s="181"/>
      <c r="P228" s="181"/>
      <c r="Q228" s="181"/>
      <c r="R228" s="181"/>
      <c r="S228" s="181"/>
      <c r="T228" s="181"/>
      <c r="U228" s="181"/>
      <c r="V228" s="181"/>
      <c r="W228" s="181"/>
      <c r="X228" s="181"/>
      <c r="Y228" s="181"/>
      <c r="Z228" s="181"/>
    </row>
    <row r="229">
      <c r="A229" s="190" t="str">
        <f>IFERROR(__xludf.DUMMYFUNCTION("""COMPUTED_VALUE"""),"12")</f>
        <v>12</v>
      </c>
      <c r="B229" s="191" t="str">
        <f>IFERROR(__xludf.DUMMYFUNCTION("""COMPUTED_VALUE"""),"Bienes y servicios varios")</f>
        <v>Bienes y servicios varios</v>
      </c>
      <c r="C229" s="173" t="str">
        <f>IFERROR(__xludf.DUMMYFUNCTION("""COMPUTED_VALUE"""),"202511")</f>
        <v>202511</v>
      </c>
      <c r="D229" s="192" t="str">
        <f>IFERROR(__xludf.DUMMYFUNCTION("""COMPUTED_VALUE"""),"9715,7343")</f>
        <v>9715,7343</v>
      </c>
      <c r="E229" s="193" t="str">
        <f>IFERROR(__xludf.DUMMYFUNCTION("""COMPUTED_VALUE"""),"2,5")</f>
        <v>2,5</v>
      </c>
      <c r="F229" s="188" t="str">
        <f t="shared" si="1"/>
        <v>12202511</v>
      </c>
      <c r="G229" s="181"/>
      <c r="H229" s="181"/>
      <c r="I229" s="181"/>
      <c r="J229" s="181"/>
      <c r="K229" s="181"/>
      <c r="L229" s="181"/>
      <c r="M229" s="181"/>
      <c r="N229" s="181"/>
      <c r="O229" s="181"/>
      <c r="P229" s="181"/>
      <c r="Q229" s="181"/>
      <c r="R229" s="181"/>
      <c r="S229" s="181"/>
      <c r="T229" s="181"/>
      <c r="U229" s="181"/>
      <c r="V229" s="181"/>
      <c r="W229" s="181"/>
      <c r="X229" s="181"/>
      <c r="Y229" s="181"/>
      <c r="Z229" s="181"/>
    </row>
    <row r="230">
      <c r="A230" s="194"/>
      <c r="B230" s="195"/>
      <c r="C230" s="181"/>
      <c r="D230" s="194"/>
      <c r="E230" s="194"/>
      <c r="F230" s="181"/>
      <c r="G230" s="181"/>
      <c r="H230" s="181"/>
      <c r="I230" s="181"/>
      <c r="J230" s="181"/>
      <c r="K230" s="181"/>
      <c r="L230" s="181"/>
      <c r="M230" s="181"/>
      <c r="N230" s="181"/>
      <c r="O230" s="181"/>
      <c r="P230" s="181"/>
      <c r="Q230" s="181"/>
      <c r="R230" s="181"/>
      <c r="S230" s="181"/>
      <c r="T230" s="181"/>
      <c r="U230" s="181"/>
      <c r="V230" s="181"/>
      <c r="W230" s="181"/>
      <c r="X230" s="181"/>
      <c r="Y230" s="181"/>
      <c r="Z230" s="181"/>
    </row>
    <row r="231">
      <c r="A231" s="194"/>
      <c r="B231" s="195"/>
      <c r="C231" s="181"/>
      <c r="D231" s="194"/>
      <c r="E231" s="194"/>
      <c r="F231" s="181"/>
      <c r="G231" s="181"/>
      <c r="H231" s="181"/>
      <c r="I231" s="181"/>
      <c r="J231" s="181"/>
      <c r="K231" s="181"/>
      <c r="L231" s="181"/>
      <c r="M231" s="181"/>
      <c r="N231" s="181"/>
      <c r="O231" s="181"/>
      <c r="P231" s="181"/>
      <c r="Q231" s="181"/>
      <c r="R231" s="181"/>
      <c r="S231" s="181"/>
      <c r="T231" s="181"/>
      <c r="U231" s="181"/>
      <c r="V231" s="181"/>
      <c r="W231" s="181"/>
      <c r="X231" s="181"/>
      <c r="Y231" s="181"/>
      <c r="Z231" s="181"/>
    </row>
    <row r="232">
      <c r="A232" s="194"/>
      <c r="B232" s="195"/>
      <c r="C232" s="181"/>
      <c r="D232" s="194"/>
      <c r="E232" s="194"/>
      <c r="F232" s="181"/>
      <c r="G232" s="181"/>
      <c r="H232" s="181"/>
      <c r="I232" s="181"/>
      <c r="J232" s="181"/>
      <c r="K232" s="181"/>
      <c r="L232" s="181"/>
      <c r="M232" s="181"/>
      <c r="N232" s="181"/>
      <c r="O232" s="181"/>
      <c r="P232" s="181"/>
      <c r="Q232" s="181"/>
      <c r="R232" s="181"/>
      <c r="S232" s="181"/>
      <c r="T232" s="181"/>
      <c r="U232" s="181"/>
      <c r="V232" s="181"/>
      <c r="W232" s="181"/>
      <c r="X232" s="181"/>
      <c r="Y232" s="181"/>
      <c r="Z232" s="181"/>
    </row>
    <row r="233">
      <c r="A233" s="194"/>
      <c r="B233" s="195"/>
      <c r="C233" s="181"/>
      <c r="D233" s="194"/>
      <c r="E233" s="194"/>
      <c r="F233" s="181"/>
      <c r="G233" s="181"/>
      <c r="H233" s="181"/>
      <c r="I233" s="181"/>
      <c r="J233" s="181"/>
      <c r="K233" s="181"/>
      <c r="L233" s="181"/>
      <c r="M233" s="181"/>
      <c r="N233" s="181"/>
      <c r="O233" s="181"/>
      <c r="P233" s="181"/>
      <c r="Q233" s="181"/>
      <c r="R233" s="181"/>
      <c r="S233" s="181"/>
      <c r="T233" s="181"/>
      <c r="U233" s="181"/>
      <c r="V233" s="181"/>
      <c r="W233" s="181"/>
      <c r="X233" s="181"/>
      <c r="Y233" s="181"/>
      <c r="Z233" s="181"/>
    </row>
    <row r="234">
      <c r="A234" s="194"/>
      <c r="B234" s="195"/>
      <c r="C234" s="181"/>
      <c r="D234" s="194"/>
      <c r="E234" s="194"/>
      <c r="F234" s="181"/>
      <c r="G234" s="181"/>
      <c r="H234" s="181"/>
      <c r="I234" s="181"/>
      <c r="J234" s="181"/>
      <c r="K234" s="181"/>
      <c r="L234" s="181"/>
      <c r="M234" s="181"/>
      <c r="N234" s="181"/>
      <c r="O234" s="181"/>
      <c r="P234" s="181"/>
      <c r="Q234" s="181"/>
      <c r="R234" s="181"/>
      <c r="S234" s="181"/>
      <c r="T234" s="181"/>
      <c r="U234" s="181"/>
      <c r="V234" s="181"/>
      <c r="W234" s="181"/>
      <c r="X234" s="181"/>
      <c r="Y234" s="181"/>
      <c r="Z234" s="181"/>
    </row>
    <row r="235">
      <c r="A235" s="194"/>
      <c r="B235" s="195"/>
      <c r="C235" s="181"/>
      <c r="D235" s="194"/>
      <c r="E235" s="194"/>
      <c r="F235" s="181"/>
      <c r="G235" s="181"/>
      <c r="H235" s="181"/>
      <c r="I235" s="181"/>
      <c r="J235" s="181"/>
      <c r="K235" s="181"/>
      <c r="L235" s="181"/>
      <c r="M235" s="181"/>
      <c r="N235" s="181"/>
      <c r="O235" s="181"/>
      <c r="P235" s="181"/>
      <c r="Q235" s="181"/>
      <c r="R235" s="181"/>
      <c r="S235" s="181"/>
      <c r="T235" s="181"/>
      <c r="U235" s="181"/>
      <c r="V235" s="181"/>
      <c r="W235" s="181"/>
      <c r="X235" s="181"/>
      <c r="Y235" s="181"/>
      <c r="Z235" s="181"/>
    </row>
    <row r="236">
      <c r="A236" s="194"/>
      <c r="B236" s="195"/>
      <c r="C236" s="181"/>
      <c r="D236" s="194"/>
      <c r="E236" s="194"/>
      <c r="F236" s="181"/>
      <c r="G236" s="181"/>
      <c r="H236" s="181"/>
      <c r="I236" s="181"/>
      <c r="J236" s="181"/>
      <c r="K236" s="181"/>
      <c r="L236" s="181"/>
      <c r="M236" s="181"/>
      <c r="N236" s="181"/>
      <c r="O236" s="181"/>
      <c r="P236" s="181"/>
      <c r="Q236" s="181"/>
      <c r="R236" s="181"/>
      <c r="S236" s="181"/>
      <c r="T236" s="181"/>
      <c r="U236" s="181"/>
      <c r="V236" s="181"/>
      <c r="W236" s="181"/>
      <c r="X236" s="181"/>
      <c r="Y236" s="181"/>
      <c r="Z236" s="181"/>
    </row>
    <row r="237">
      <c r="A237" s="194"/>
      <c r="B237" s="195"/>
      <c r="C237" s="181"/>
      <c r="D237" s="194"/>
      <c r="E237" s="194"/>
      <c r="F237" s="181"/>
      <c r="G237" s="181"/>
      <c r="H237" s="181"/>
      <c r="I237" s="181"/>
      <c r="J237" s="181"/>
      <c r="K237" s="181"/>
      <c r="L237" s="181"/>
      <c r="M237" s="181"/>
      <c r="N237" s="181"/>
      <c r="O237" s="181"/>
      <c r="P237" s="181"/>
      <c r="Q237" s="181"/>
      <c r="R237" s="181"/>
      <c r="S237" s="181"/>
      <c r="T237" s="181"/>
      <c r="U237" s="181"/>
      <c r="V237" s="181"/>
      <c r="W237" s="181"/>
      <c r="X237" s="181"/>
      <c r="Y237" s="181"/>
      <c r="Z237" s="181"/>
    </row>
    <row r="238">
      <c r="A238" s="194"/>
      <c r="B238" s="195"/>
      <c r="C238" s="181"/>
      <c r="D238" s="194"/>
      <c r="E238" s="194"/>
      <c r="F238" s="181"/>
      <c r="G238" s="181"/>
      <c r="H238" s="181"/>
      <c r="I238" s="181"/>
      <c r="J238" s="181"/>
      <c r="K238" s="181"/>
      <c r="L238" s="181"/>
      <c r="M238" s="181"/>
      <c r="N238" s="181"/>
      <c r="O238" s="181"/>
      <c r="P238" s="181"/>
      <c r="Q238" s="181"/>
      <c r="R238" s="181"/>
      <c r="S238" s="181"/>
      <c r="T238" s="181"/>
      <c r="U238" s="181"/>
      <c r="V238" s="181"/>
      <c r="W238" s="181"/>
      <c r="X238" s="181"/>
      <c r="Y238" s="181"/>
      <c r="Z238" s="181"/>
    </row>
    <row r="239">
      <c r="A239" s="194"/>
      <c r="B239" s="195"/>
      <c r="C239" s="181"/>
      <c r="D239" s="194"/>
      <c r="E239" s="194"/>
      <c r="F239" s="181"/>
      <c r="G239" s="181"/>
      <c r="H239" s="181"/>
      <c r="I239" s="181"/>
      <c r="J239" s="181"/>
      <c r="K239" s="181"/>
      <c r="L239" s="181"/>
      <c r="M239" s="181"/>
      <c r="N239" s="181"/>
      <c r="O239" s="181"/>
      <c r="P239" s="181"/>
      <c r="Q239" s="181"/>
      <c r="R239" s="181"/>
      <c r="S239" s="181"/>
      <c r="T239" s="181"/>
      <c r="U239" s="181"/>
      <c r="V239" s="181"/>
      <c r="W239" s="181"/>
      <c r="X239" s="181"/>
      <c r="Y239" s="181"/>
      <c r="Z239" s="181"/>
    </row>
    <row r="240">
      <c r="A240" s="194"/>
      <c r="B240" s="195"/>
      <c r="C240" s="181"/>
      <c r="D240" s="194"/>
      <c r="E240" s="194"/>
      <c r="F240" s="181"/>
      <c r="G240" s="181"/>
      <c r="H240" s="181"/>
      <c r="I240" s="181"/>
      <c r="J240" s="181"/>
      <c r="K240" s="181"/>
      <c r="L240" s="181"/>
      <c r="M240" s="181"/>
      <c r="N240" s="181"/>
      <c r="O240" s="181"/>
      <c r="P240" s="181"/>
      <c r="Q240" s="181"/>
      <c r="R240" s="181"/>
      <c r="S240" s="181"/>
      <c r="T240" s="181"/>
      <c r="U240" s="181"/>
      <c r="V240" s="181"/>
      <c r="W240" s="181"/>
      <c r="X240" s="181"/>
      <c r="Y240" s="181"/>
      <c r="Z240" s="181"/>
    </row>
    <row r="241">
      <c r="A241" s="194"/>
      <c r="B241" s="195"/>
      <c r="C241" s="181"/>
      <c r="D241" s="194"/>
      <c r="E241" s="194"/>
      <c r="F241" s="181"/>
      <c r="G241" s="181"/>
      <c r="H241" s="181"/>
      <c r="I241" s="181"/>
      <c r="J241" s="181"/>
      <c r="K241" s="181"/>
      <c r="L241" s="181"/>
      <c r="M241" s="181"/>
      <c r="N241" s="181"/>
      <c r="O241" s="181"/>
      <c r="P241" s="181"/>
      <c r="Q241" s="181"/>
      <c r="R241" s="181"/>
      <c r="S241" s="181"/>
      <c r="T241" s="181"/>
      <c r="U241" s="181"/>
      <c r="V241" s="181"/>
      <c r="W241" s="181"/>
      <c r="X241" s="181"/>
      <c r="Y241" s="181"/>
      <c r="Z241" s="181"/>
    </row>
    <row r="242">
      <c r="A242" s="194"/>
      <c r="B242" s="195"/>
      <c r="C242" s="181"/>
      <c r="D242" s="194"/>
      <c r="E242" s="194"/>
      <c r="F242" s="181"/>
      <c r="G242" s="181"/>
      <c r="H242" s="181"/>
      <c r="I242" s="181"/>
      <c r="J242" s="181"/>
      <c r="K242" s="181"/>
      <c r="L242" s="181"/>
      <c r="M242" s="181"/>
      <c r="N242" s="181"/>
      <c r="O242" s="181"/>
      <c r="P242" s="181"/>
      <c r="Q242" s="181"/>
      <c r="R242" s="181"/>
      <c r="S242" s="181"/>
      <c r="T242" s="181"/>
      <c r="U242" s="181"/>
      <c r="V242" s="181"/>
      <c r="W242" s="181"/>
      <c r="X242" s="181"/>
      <c r="Y242" s="181"/>
      <c r="Z242" s="181"/>
    </row>
    <row r="243">
      <c r="A243" s="194"/>
      <c r="B243" s="195"/>
      <c r="C243" s="181"/>
      <c r="D243" s="194"/>
      <c r="E243" s="194"/>
      <c r="F243" s="181"/>
      <c r="G243" s="181"/>
      <c r="H243" s="181"/>
      <c r="I243" s="181"/>
      <c r="J243" s="181"/>
      <c r="K243" s="181"/>
      <c r="L243" s="181"/>
      <c r="M243" s="181"/>
      <c r="N243" s="181"/>
      <c r="O243" s="181"/>
      <c r="P243" s="181"/>
      <c r="Q243" s="181"/>
      <c r="R243" s="181"/>
      <c r="S243" s="181"/>
      <c r="T243" s="181"/>
      <c r="U243" s="181"/>
      <c r="V243" s="181"/>
      <c r="W243" s="181"/>
      <c r="X243" s="181"/>
      <c r="Y243" s="181"/>
      <c r="Z243" s="181"/>
    </row>
    <row r="244">
      <c r="A244" s="194"/>
      <c r="B244" s="195"/>
      <c r="C244" s="181"/>
      <c r="D244" s="194"/>
      <c r="E244" s="194"/>
      <c r="F244" s="181"/>
      <c r="G244" s="181"/>
      <c r="H244" s="181"/>
      <c r="I244" s="181"/>
      <c r="J244" s="181"/>
      <c r="K244" s="181"/>
      <c r="L244" s="181"/>
      <c r="M244" s="181"/>
      <c r="N244" s="181"/>
      <c r="O244" s="181"/>
      <c r="P244" s="181"/>
      <c r="Q244" s="181"/>
      <c r="R244" s="181"/>
      <c r="S244" s="181"/>
      <c r="T244" s="181"/>
      <c r="U244" s="181"/>
      <c r="V244" s="181"/>
      <c r="W244" s="181"/>
      <c r="X244" s="181"/>
      <c r="Y244" s="181"/>
      <c r="Z244" s="181"/>
    </row>
    <row r="245">
      <c r="A245" s="194"/>
      <c r="B245" s="195"/>
      <c r="C245" s="181"/>
      <c r="D245" s="194"/>
      <c r="E245" s="194"/>
      <c r="F245" s="181"/>
      <c r="G245" s="181"/>
      <c r="H245" s="181"/>
      <c r="I245" s="181"/>
      <c r="J245" s="181"/>
      <c r="K245" s="181"/>
      <c r="L245" s="181"/>
      <c r="M245" s="181"/>
      <c r="N245" s="181"/>
      <c r="O245" s="181"/>
      <c r="P245" s="181"/>
      <c r="Q245" s="181"/>
      <c r="R245" s="181"/>
      <c r="S245" s="181"/>
      <c r="T245" s="181"/>
      <c r="U245" s="181"/>
      <c r="V245" s="181"/>
      <c r="W245" s="181"/>
      <c r="X245" s="181"/>
      <c r="Y245" s="181"/>
      <c r="Z245" s="181"/>
    </row>
    <row r="246">
      <c r="A246" s="194"/>
      <c r="B246" s="195"/>
      <c r="C246" s="181"/>
      <c r="D246" s="194"/>
      <c r="E246" s="194"/>
      <c r="F246" s="181"/>
      <c r="G246" s="181"/>
      <c r="H246" s="181"/>
      <c r="I246" s="181"/>
      <c r="J246" s="181"/>
      <c r="K246" s="181"/>
      <c r="L246" s="181"/>
      <c r="M246" s="181"/>
      <c r="N246" s="181"/>
      <c r="O246" s="181"/>
      <c r="P246" s="181"/>
      <c r="Q246" s="181"/>
      <c r="R246" s="181"/>
      <c r="S246" s="181"/>
      <c r="T246" s="181"/>
      <c r="U246" s="181"/>
      <c r="V246" s="181"/>
      <c r="W246" s="181"/>
      <c r="X246" s="181"/>
      <c r="Y246" s="181"/>
      <c r="Z246" s="181"/>
    </row>
    <row r="247">
      <c r="A247" s="194"/>
      <c r="B247" s="195"/>
      <c r="C247" s="181"/>
      <c r="D247" s="194"/>
      <c r="E247" s="194"/>
      <c r="F247" s="181"/>
      <c r="G247" s="181"/>
      <c r="H247" s="181"/>
      <c r="I247" s="181"/>
      <c r="J247" s="181"/>
      <c r="K247" s="181"/>
      <c r="L247" s="181"/>
      <c r="M247" s="181"/>
      <c r="N247" s="181"/>
      <c r="O247" s="181"/>
      <c r="P247" s="181"/>
      <c r="Q247" s="181"/>
      <c r="R247" s="181"/>
      <c r="S247" s="181"/>
      <c r="T247" s="181"/>
      <c r="U247" s="181"/>
      <c r="V247" s="181"/>
      <c r="W247" s="181"/>
      <c r="X247" s="181"/>
      <c r="Y247" s="181"/>
      <c r="Z247" s="181"/>
    </row>
    <row r="248">
      <c r="A248" s="194"/>
      <c r="B248" s="195"/>
      <c r="C248" s="181"/>
      <c r="D248" s="194"/>
      <c r="E248" s="194"/>
      <c r="F248" s="181"/>
      <c r="G248" s="181"/>
      <c r="H248" s="181"/>
      <c r="I248" s="181"/>
      <c r="J248" s="181"/>
      <c r="K248" s="181"/>
      <c r="L248" s="181"/>
      <c r="M248" s="181"/>
      <c r="N248" s="181"/>
      <c r="O248" s="181"/>
      <c r="P248" s="181"/>
      <c r="Q248" s="181"/>
      <c r="R248" s="181"/>
      <c r="S248" s="181"/>
      <c r="T248" s="181"/>
      <c r="U248" s="181"/>
      <c r="V248" s="181"/>
      <c r="W248" s="181"/>
      <c r="X248" s="181"/>
      <c r="Y248" s="181"/>
      <c r="Z248" s="181"/>
    </row>
    <row r="249">
      <c r="A249" s="194"/>
      <c r="B249" s="195"/>
      <c r="C249" s="181"/>
      <c r="D249" s="194"/>
      <c r="E249" s="194"/>
      <c r="F249" s="181"/>
      <c r="G249" s="181"/>
      <c r="H249" s="181"/>
      <c r="I249" s="181"/>
      <c r="J249" s="181"/>
      <c r="K249" s="181"/>
      <c r="L249" s="181"/>
      <c r="M249" s="181"/>
      <c r="N249" s="181"/>
      <c r="O249" s="181"/>
      <c r="P249" s="181"/>
      <c r="Q249" s="181"/>
      <c r="R249" s="181"/>
      <c r="S249" s="181"/>
      <c r="T249" s="181"/>
      <c r="U249" s="181"/>
      <c r="V249" s="181"/>
      <c r="W249" s="181"/>
      <c r="X249" s="181"/>
      <c r="Y249" s="181"/>
      <c r="Z249" s="181"/>
    </row>
    <row r="250">
      <c r="A250" s="194"/>
      <c r="B250" s="195"/>
      <c r="C250" s="181"/>
      <c r="D250" s="194"/>
      <c r="E250" s="194"/>
      <c r="F250" s="181"/>
      <c r="G250" s="181"/>
      <c r="H250" s="181"/>
      <c r="I250" s="181"/>
      <c r="J250" s="181"/>
      <c r="K250" s="181"/>
      <c r="L250" s="181"/>
      <c r="M250" s="181"/>
      <c r="N250" s="181"/>
      <c r="O250" s="181"/>
      <c r="P250" s="181"/>
      <c r="Q250" s="181"/>
      <c r="R250" s="181"/>
      <c r="S250" s="181"/>
      <c r="T250" s="181"/>
      <c r="U250" s="181"/>
      <c r="V250" s="181"/>
      <c r="W250" s="181"/>
      <c r="X250" s="181"/>
      <c r="Y250" s="181"/>
      <c r="Z250" s="181"/>
    </row>
    <row r="251">
      <c r="A251" s="194"/>
      <c r="B251" s="195"/>
      <c r="C251" s="181"/>
      <c r="D251" s="194"/>
      <c r="E251" s="194"/>
      <c r="F251" s="181"/>
      <c r="G251" s="181"/>
      <c r="H251" s="181"/>
      <c r="I251" s="181"/>
      <c r="J251" s="181"/>
      <c r="K251" s="181"/>
      <c r="L251" s="181"/>
      <c r="M251" s="181"/>
      <c r="N251" s="181"/>
      <c r="O251" s="181"/>
      <c r="P251" s="181"/>
      <c r="Q251" s="181"/>
      <c r="R251" s="181"/>
      <c r="S251" s="181"/>
      <c r="T251" s="181"/>
      <c r="U251" s="181"/>
      <c r="V251" s="181"/>
      <c r="W251" s="181"/>
      <c r="X251" s="181"/>
      <c r="Y251" s="181"/>
      <c r="Z251" s="181"/>
    </row>
    <row r="252">
      <c r="A252" s="194"/>
      <c r="B252" s="195"/>
      <c r="C252" s="181"/>
      <c r="D252" s="194"/>
      <c r="E252" s="194"/>
      <c r="F252" s="181"/>
      <c r="G252" s="181"/>
      <c r="H252" s="181"/>
      <c r="I252" s="181"/>
      <c r="J252" s="181"/>
      <c r="K252" s="181"/>
      <c r="L252" s="181"/>
      <c r="M252" s="181"/>
      <c r="N252" s="181"/>
      <c r="O252" s="181"/>
      <c r="P252" s="181"/>
      <c r="Q252" s="181"/>
      <c r="R252" s="181"/>
      <c r="S252" s="181"/>
      <c r="T252" s="181"/>
      <c r="U252" s="181"/>
      <c r="V252" s="181"/>
      <c r="W252" s="181"/>
      <c r="X252" s="181"/>
      <c r="Y252" s="181"/>
      <c r="Z252" s="181"/>
    </row>
    <row r="253">
      <c r="A253" s="194"/>
      <c r="B253" s="195"/>
      <c r="C253" s="181"/>
      <c r="D253" s="194"/>
      <c r="E253" s="194"/>
      <c r="F253" s="181"/>
      <c r="G253" s="181"/>
      <c r="H253" s="181"/>
      <c r="I253" s="181"/>
      <c r="J253" s="181"/>
      <c r="K253" s="181"/>
      <c r="L253" s="181"/>
      <c r="M253" s="181"/>
      <c r="N253" s="181"/>
      <c r="O253" s="181"/>
      <c r="P253" s="181"/>
      <c r="Q253" s="181"/>
      <c r="R253" s="181"/>
      <c r="S253" s="181"/>
      <c r="T253" s="181"/>
      <c r="U253" s="181"/>
      <c r="V253" s="181"/>
      <c r="W253" s="181"/>
      <c r="X253" s="181"/>
      <c r="Y253" s="181"/>
      <c r="Z253" s="181"/>
    </row>
    <row r="254">
      <c r="A254" s="194"/>
      <c r="B254" s="195"/>
      <c r="C254" s="181"/>
      <c r="D254" s="194"/>
      <c r="E254" s="194"/>
      <c r="F254" s="181"/>
      <c r="G254" s="181"/>
      <c r="H254" s="181"/>
      <c r="I254" s="181"/>
      <c r="J254" s="181"/>
      <c r="K254" s="181"/>
      <c r="L254" s="181"/>
      <c r="M254" s="181"/>
      <c r="N254" s="181"/>
      <c r="O254" s="181"/>
      <c r="P254" s="181"/>
      <c r="Q254" s="181"/>
      <c r="R254" s="181"/>
      <c r="S254" s="181"/>
      <c r="T254" s="181"/>
      <c r="U254" s="181"/>
      <c r="V254" s="181"/>
      <c r="W254" s="181"/>
      <c r="X254" s="181"/>
      <c r="Y254" s="181"/>
      <c r="Z254" s="181"/>
    </row>
    <row r="255">
      <c r="A255" s="194"/>
      <c r="B255" s="195"/>
      <c r="C255" s="181"/>
      <c r="D255" s="194"/>
      <c r="E255" s="194"/>
      <c r="F255" s="181"/>
      <c r="G255" s="181"/>
      <c r="H255" s="181"/>
      <c r="I255" s="181"/>
      <c r="J255" s="181"/>
      <c r="K255" s="181"/>
      <c r="L255" s="181"/>
      <c r="M255" s="181"/>
      <c r="N255" s="181"/>
      <c r="O255" s="181"/>
      <c r="P255" s="181"/>
      <c r="Q255" s="181"/>
      <c r="R255" s="181"/>
      <c r="S255" s="181"/>
      <c r="T255" s="181"/>
      <c r="U255" s="181"/>
      <c r="V255" s="181"/>
      <c r="W255" s="181"/>
      <c r="X255" s="181"/>
      <c r="Y255" s="181"/>
      <c r="Z255" s="181"/>
    </row>
    <row r="256">
      <c r="A256" s="194"/>
      <c r="B256" s="195"/>
      <c r="C256" s="181"/>
      <c r="D256" s="194"/>
      <c r="E256" s="194"/>
      <c r="F256" s="181"/>
      <c r="G256" s="181"/>
      <c r="H256" s="181"/>
      <c r="I256" s="181"/>
      <c r="J256" s="181"/>
      <c r="K256" s="181"/>
      <c r="L256" s="181"/>
      <c r="M256" s="181"/>
      <c r="N256" s="181"/>
      <c r="O256" s="181"/>
      <c r="P256" s="181"/>
      <c r="Q256" s="181"/>
      <c r="R256" s="181"/>
      <c r="S256" s="181"/>
      <c r="T256" s="181"/>
      <c r="U256" s="181"/>
      <c r="V256" s="181"/>
      <c r="W256" s="181"/>
      <c r="X256" s="181"/>
      <c r="Y256" s="181"/>
      <c r="Z256" s="181"/>
    </row>
    <row r="257">
      <c r="A257" s="194"/>
      <c r="B257" s="195"/>
      <c r="C257" s="181"/>
      <c r="D257" s="194"/>
      <c r="E257" s="194"/>
      <c r="F257" s="181"/>
      <c r="G257" s="181"/>
      <c r="H257" s="181"/>
      <c r="I257" s="181"/>
      <c r="J257" s="181"/>
      <c r="K257" s="181"/>
      <c r="L257" s="181"/>
      <c r="M257" s="181"/>
      <c r="N257" s="181"/>
      <c r="O257" s="181"/>
      <c r="P257" s="181"/>
      <c r="Q257" s="181"/>
      <c r="R257" s="181"/>
      <c r="S257" s="181"/>
      <c r="T257" s="181"/>
      <c r="U257" s="181"/>
      <c r="V257" s="181"/>
      <c r="W257" s="181"/>
      <c r="X257" s="181"/>
      <c r="Y257" s="181"/>
      <c r="Z257" s="181"/>
    </row>
    <row r="258">
      <c r="A258" s="194"/>
      <c r="B258" s="195"/>
      <c r="C258" s="181"/>
      <c r="D258" s="194"/>
      <c r="E258" s="194"/>
      <c r="F258" s="181"/>
      <c r="G258" s="181"/>
      <c r="H258" s="181"/>
      <c r="I258" s="181"/>
      <c r="J258" s="181"/>
      <c r="K258" s="181"/>
      <c r="L258" s="181"/>
      <c r="M258" s="181"/>
      <c r="N258" s="181"/>
      <c r="O258" s="181"/>
      <c r="P258" s="181"/>
      <c r="Q258" s="181"/>
      <c r="R258" s="181"/>
      <c r="S258" s="181"/>
      <c r="T258" s="181"/>
      <c r="U258" s="181"/>
      <c r="V258" s="181"/>
      <c r="W258" s="181"/>
      <c r="X258" s="181"/>
      <c r="Y258" s="181"/>
      <c r="Z258" s="181"/>
    </row>
    <row r="259">
      <c r="A259" s="194"/>
      <c r="B259" s="195"/>
      <c r="C259" s="181"/>
      <c r="D259" s="194"/>
      <c r="E259" s="194"/>
      <c r="F259" s="181"/>
      <c r="G259" s="181"/>
      <c r="H259" s="181"/>
      <c r="I259" s="181"/>
      <c r="J259" s="181"/>
      <c r="K259" s="181"/>
      <c r="L259" s="181"/>
      <c r="M259" s="181"/>
      <c r="N259" s="181"/>
      <c r="O259" s="181"/>
      <c r="P259" s="181"/>
      <c r="Q259" s="181"/>
      <c r="R259" s="181"/>
      <c r="S259" s="181"/>
      <c r="T259" s="181"/>
      <c r="U259" s="181"/>
      <c r="V259" s="181"/>
      <c r="W259" s="181"/>
      <c r="X259" s="181"/>
      <c r="Y259" s="181"/>
      <c r="Z259" s="181"/>
    </row>
    <row r="260">
      <c r="A260" s="194"/>
      <c r="B260" s="195"/>
      <c r="C260" s="181"/>
      <c r="D260" s="194"/>
      <c r="E260" s="194"/>
      <c r="F260" s="181"/>
      <c r="G260" s="181"/>
      <c r="H260" s="181"/>
      <c r="I260" s="181"/>
      <c r="J260" s="181"/>
      <c r="K260" s="181"/>
      <c r="L260" s="181"/>
      <c r="M260" s="181"/>
      <c r="N260" s="181"/>
      <c r="O260" s="181"/>
      <c r="P260" s="181"/>
      <c r="Q260" s="181"/>
      <c r="R260" s="181"/>
      <c r="S260" s="181"/>
      <c r="T260" s="181"/>
      <c r="U260" s="181"/>
      <c r="V260" s="181"/>
      <c r="W260" s="181"/>
      <c r="X260" s="181"/>
      <c r="Y260" s="181"/>
      <c r="Z260" s="181"/>
    </row>
    <row r="261">
      <c r="A261" s="194"/>
      <c r="B261" s="195"/>
      <c r="C261" s="181"/>
      <c r="D261" s="194"/>
      <c r="E261" s="194"/>
      <c r="F261" s="181"/>
      <c r="G261" s="181"/>
      <c r="H261" s="181"/>
      <c r="I261" s="181"/>
      <c r="J261" s="181"/>
      <c r="K261" s="181"/>
      <c r="L261" s="181"/>
      <c r="M261" s="181"/>
      <c r="N261" s="181"/>
      <c r="O261" s="181"/>
      <c r="P261" s="181"/>
      <c r="Q261" s="181"/>
      <c r="R261" s="181"/>
      <c r="S261" s="181"/>
      <c r="T261" s="181"/>
      <c r="U261" s="181"/>
      <c r="V261" s="181"/>
      <c r="W261" s="181"/>
      <c r="X261" s="181"/>
      <c r="Y261" s="181"/>
      <c r="Z261" s="181"/>
    </row>
    <row r="262">
      <c r="A262" s="194"/>
      <c r="B262" s="195"/>
      <c r="C262" s="181"/>
      <c r="D262" s="194"/>
      <c r="E262" s="194"/>
      <c r="F262" s="181"/>
      <c r="G262" s="181"/>
      <c r="H262" s="181"/>
      <c r="I262" s="181"/>
      <c r="J262" s="181"/>
      <c r="K262" s="181"/>
      <c r="L262" s="181"/>
      <c r="M262" s="181"/>
      <c r="N262" s="181"/>
      <c r="O262" s="181"/>
      <c r="P262" s="181"/>
      <c r="Q262" s="181"/>
      <c r="R262" s="181"/>
      <c r="S262" s="181"/>
      <c r="T262" s="181"/>
      <c r="U262" s="181"/>
      <c r="V262" s="181"/>
      <c r="W262" s="181"/>
      <c r="X262" s="181"/>
      <c r="Y262" s="181"/>
      <c r="Z262" s="181"/>
    </row>
    <row r="263">
      <c r="A263" s="194"/>
      <c r="B263" s="195"/>
      <c r="C263" s="181"/>
      <c r="D263" s="194"/>
      <c r="E263" s="194"/>
      <c r="F263" s="181"/>
      <c r="G263" s="181"/>
      <c r="H263" s="181"/>
      <c r="I263" s="181"/>
      <c r="J263" s="181"/>
      <c r="K263" s="181"/>
      <c r="L263" s="181"/>
      <c r="M263" s="181"/>
      <c r="N263" s="181"/>
      <c r="O263" s="181"/>
      <c r="P263" s="181"/>
      <c r="Q263" s="181"/>
      <c r="R263" s="181"/>
      <c r="S263" s="181"/>
      <c r="T263" s="181"/>
      <c r="U263" s="181"/>
      <c r="V263" s="181"/>
      <c r="W263" s="181"/>
      <c r="X263" s="181"/>
      <c r="Y263" s="181"/>
      <c r="Z263" s="181"/>
    </row>
    <row r="264">
      <c r="A264" s="194"/>
      <c r="B264" s="195"/>
      <c r="C264" s="181"/>
      <c r="D264" s="194"/>
      <c r="E264" s="194"/>
      <c r="F264" s="181"/>
      <c r="G264" s="181"/>
      <c r="H264" s="181"/>
      <c r="I264" s="181"/>
      <c r="J264" s="181"/>
      <c r="K264" s="181"/>
      <c r="L264" s="181"/>
      <c r="M264" s="181"/>
      <c r="N264" s="181"/>
      <c r="O264" s="181"/>
      <c r="P264" s="181"/>
      <c r="Q264" s="181"/>
      <c r="R264" s="181"/>
      <c r="S264" s="181"/>
      <c r="T264" s="181"/>
      <c r="U264" s="181"/>
      <c r="V264" s="181"/>
      <c r="W264" s="181"/>
      <c r="X264" s="181"/>
      <c r="Y264" s="181"/>
      <c r="Z264" s="181"/>
    </row>
    <row r="265">
      <c r="A265" s="194"/>
      <c r="B265" s="195"/>
      <c r="C265" s="181"/>
      <c r="D265" s="194"/>
      <c r="E265" s="194"/>
      <c r="F265" s="181"/>
      <c r="G265" s="181"/>
      <c r="H265" s="181"/>
      <c r="I265" s="181"/>
      <c r="J265" s="181"/>
      <c r="K265" s="181"/>
      <c r="L265" s="181"/>
      <c r="M265" s="181"/>
      <c r="N265" s="181"/>
      <c r="O265" s="181"/>
      <c r="P265" s="181"/>
      <c r="Q265" s="181"/>
      <c r="R265" s="181"/>
      <c r="S265" s="181"/>
      <c r="T265" s="181"/>
      <c r="U265" s="181"/>
      <c r="V265" s="181"/>
      <c r="W265" s="181"/>
      <c r="X265" s="181"/>
      <c r="Y265" s="181"/>
      <c r="Z265" s="181"/>
    </row>
    <row r="266">
      <c r="A266" s="194"/>
      <c r="B266" s="195"/>
      <c r="C266" s="181"/>
      <c r="D266" s="194"/>
      <c r="E266" s="194"/>
      <c r="F266" s="181"/>
      <c r="G266" s="181"/>
      <c r="H266" s="181"/>
      <c r="I266" s="181"/>
      <c r="J266" s="181"/>
      <c r="K266" s="181"/>
      <c r="L266" s="181"/>
      <c r="M266" s="181"/>
      <c r="N266" s="181"/>
      <c r="O266" s="181"/>
      <c r="P266" s="181"/>
      <c r="Q266" s="181"/>
      <c r="R266" s="181"/>
      <c r="S266" s="181"/>
      <c r="T266" s="181"/>
      <c r="U266" s="181"/>
      <c r="V266" s="181"/>
      <c r="W266" s="181"/>
      <c r="X266" s="181"/>
      <c r="Y266" s="181"/>
      <c r="Z266" s="181"/>
    </row>
    <row r="267">
      <c r="A267" s="194"/>
      <c r="B267" s="195"/>
      <c r="C267" s="181"/>
      <c r="D267" s="194"/>
      <c r="E267" s="194"/>
      <c r="F267" s="181"/>
      <c r="G267" s="181"/>
      <c r="H267" s="181"/>
      <c r="I267" s="181"/>
      <c r="J267" s="181"/>
      <c r="K267" s="181"/>
      <c r="L267" s="181"/>
      <c r="M267" s="181"/>
      <c r="N267" s="181"/>
      <c r="O267" s="181"/>
      <c r="P267" s="181"/>
      <c r="Q267" s="181"/>
      <c r="R267" s="181"/>
      <c r="S267" s="181"/>
      <c r="T267" s="181"/>
      <c r="U267" s="181"/>
      <c r="V267" s="181"/>
      <c r="W267" s="181"/>
      <c r="X267" s="181"/>
      <c r="Y267" s="181"/>
      <c r="Z267" s="181"/>
    </row>
    <row r="268">
      <c r="A268" s="194"/>
      <c r="B268" s="195"/>
      <c r="C268" s="181"/>
      <c r="D268" s="194"/>
      <c r="E268" s="194"/>
      <c r="F268" s="181"/>
      <c r="G268" s="181"/>
      <c r="H268" s="181"/>
      <c r="I268" s="181"/>
      <c r="J268" s="181"/>
      <c r="K268" s="181"/>
      <c r="L268" s="181"/>
      <c r="M268" s="181"/>
      <c r="N268" s="181"/>
      <c r="O268" s="181"/>
      <c r="P268" s="181"/>
      <c r="Q268" s="181"/>
      <c r="R268" s="181"/>
      <c r="S268" s="181"/>
      <c r="T268" s="181"/>
      <c r="U268" s="181"/>
      <c r="V268" s="181"/>
      <c r="W268" s="181"/>
      <c r="X268" s="181"/>
      <c r="Y268" s="181"/>
      <c r="Z268" s="181"/>
    </row>
    <row r="269">
      <c r="A269" s="194"/>
      <c r="B269" s="195"/>
      <c r="C269" s="181"/>
      <c r="D269" s="194"/>
      <c r="E269" s="194"/>
      <c r="F269" s="181"/>
      <c r="G269" s="181"/>
      <c r="H269" s="181"/>
      <c r="I269" s="181"/>
      <c r="J269" s="181"/>
      <c r="K269" s="181"/>
      <c r="L269" s="181"/>
      <c r="M269" s="181"/>
      <c r="N269" s="181"/>
      <c r="O269" s="181"/>
      <c r="P269" s="181"/>
      <c r="Q269" s="181"/>
      <c r="R269" s="181"/>
      <c r="S269" s="181"/>
      <c r="T269" s="181"/>
      <c r="U269" s="181"/>
      <c r="V269" s="181"/>
      <c r="W269" s="181"/>
      <c r="X269" s="181"/>
      <c r="Y269" s="181"/>
      <c r="Z269" s="181"/>
    </row>
    <row r="270">
      <c r="A270" s="194"/>
      <c r="B270" s="195"/>
      <c r="C270" s="181"/>
      <c r="D270" s="194"/>
      <c r="E270" s="194"/>
      <c r="F270" s="181"/>
      <c r="G270" s="181"/>
      <c r="H270" s="181"/>
      <c r="I270" s="181"/>
      <c r="J270" s="181"/>
      <c r="K270" s="181"/>
      <c r="L270" s="181"/>
      <c r="M270" s="181"/>
      <c r="N270" s="181"/>
      <c r="O270" s="181"/>
      <c r="P270" s="181"/>
      <c r="Q270" s="181"/>
      <c r="R270" s="181"/>
      <c r="S270" s="181"/>
      <c r="T270" s="181"/>
      <c r="U270" s="181"/>
      <c r="V270" s="181"/>
      <c r="W270" s="181"/>
      <c r="X270" s="181"/>
      <c r="Y270" s="181"/>
      <c r="Z270" s="181"/>
    </row>
    <row r="271">
      <c r="A271" s="194"/>
      <c r="B271" s="195"/>
      <c r="C271" s="181"/>
      <c r="D271" s="194"/>
      <c r="E271" s="194"/>
      <c r="F271" s="181"/>
      <c r="G271" s="181"/>
      <c r="H271" s="181"/>
      <c r="I271" s="181"/>
      <c r="J271" s="181"/>
      <c r="K271" s="181"/>
      <c r="L271" s="181"/>
      <c r="M271" s="181"/>
      <c r="N271" s="181"/>
      <c r="O271" s="181"/>
      <c r="P271" s="181"/>
      <c r="Q271" s="181"/>
      <c r="R271" s="181"/>
      <c r="S271" s="181"/>
      <c r="T271" s="181"/>
      <c r="U271" s="181"/>
      <c r="V271" s="181"/>
      <c r="W271" s="181"/>
      <c r="X271" s="181"/>
      <c r="Y271" s="181"/>
      <c r="Z271" s="181"/>
    </row>
    <row r="272">
      <c r="A272" s="194"/>
      <c r="B272" s="195"/>
      <c r="C272" s="181"/>
      <c r="D272" s="194"/>
      <c r="E272" s="194"/>
      <c r="F272" s="181"/>
      <c r="G272" s="181"/>
      <c r="H272" s="181"/>
      <c r="I272" s="181"/>
      <c r="J272" s="181"/>
      <c r="K272" s="181"/>
      <c r="L272" s="181"/>
      <c r="M272" s="181"/>
      <c r="N272" s="181"/>
      <c r="O272" s="181"/>
      <c r="P272" s="181"/>
      <c r="Q272" s="181"/>
      <c r="R272" s="181"/>
      <c r="S272" s="181"/>
      <c r="T272" s="181"/>
      <c r="U272" s="181"/>
      <c r="V272" s="181"/>
      <c r="W272" s="181"/>
      <c r="X272" s="181"/>
      <c r="Y272" s="181"/>
      <c r="Z272" s="181"/>
    </row>
    <row r="273">
      <c r="A273" s="194"/>
      <c r="B273" s="195"/>
      <c r="C273" s="181"/>
      <c r="D273" s="194"/>
      <c r="E273" s="194"/>
      <c r="F273" s="181"/>
      <c r="G273" s="181"/>
      <c r="H273" s="181"/>
      <c r="I273" s="181"/>
      <c r="J273" s="181"/>
      <c r="K273" s="181"/>
      <c r="L273" s="181"/>
      <c r="M273" s="181"/>
      <c r="N273" s="181"/>
      <c r="O273" s="181"/>
      <c r="P273" s="181"/>
      <c r="Q273" s="181"/>
      <c r="R273" s="181"/>
      <c r="S273" s="181"/>
      <c r="T273" s="181"/>
      <c r="U273" s="181"/>
      <c r="V273" s="181"/>
      <c r="W273" s="181"/>
      <c r="X273" s="181"/>
      <c r="Y273" s="181"/>
      <c r="Z273" s="181"/>
    </row>
    <row r="274">
      <c r="A274" s="194"/>
      <c r="B274" s="195"/>
      <c r="C274" s="181"/>
      <c r="D274" s="194"/>
      <c r="E274" s="194"/>
      <c r="F274" s="181"/>
      <c r="G274" s="181"/>
      <c r="H274" s="181"/>
      <c r="I274" s="181"/>
      <c r="J274" s="181"/>
      <c r="K274" s="181"/>
      <c r="L274" s="181"/>
      <c r="M274" s="181"/>
      <c r="N274" s="181"/>
      <c r="O274" s="181"/>
      <c r="P274" s="181"/>
      <c r="Q274" s="181"/>
      <c r="R274" s="181"/>
      <c r="S274" s="181"/>
      <c r="T274" s="181"/>
      <c r="U274" s="181"/>
      <c r="V274" s="181"/>
      <c r="W274" s="181"/>
      <c r="X274" s="181"/>
      <c r="Y274" s="181"/>
      <c r="Z274" s="181"/>
    </row>
    <row r="275">
      <c r="A275" s="194"/>
      <c r="B275" s="195"/>
      <c r="C275" s="181"/>
      <c r="D275" s="194"/>
      <c r="E275" s="194"/>
      <c r="F275" s="181"/>
      <c r="G275" s="181"/>
      <c r="H275" s="181"/>
      <c r="I275" s="181"/>
      <c r="J275" s="181"/>
      <c r="K275" s="181"/>
      <c r="L275" s="181"/>
      <c r="M275" s="181"/>
      <c r="N275" s="181"/>
      <c r="O275" s="181"/>
      <c r="P275" s="181"/>
      <c r="Q275" s="181"/>
      <c r="R275" s="181"/>
      <c r="S275" s="181"/>
      <c r="T275" s="181"/>
      <c r="U275" s="181"/>
      <c r="V275" s="181"/>
      <c r="W275" s="181"/>
      <c r="X275" s="181"/>
      <c r="Y275" s="181"/>
      <c r="Z275" s="181"/>
    </row>
    <row r="276">
      <c r="A276" s="194"/>
      <c r="B276" s="195"/>
      <c r="C276" s="181"/>
      <c r="D276" s="194"/>
      <c r="E276" s="194"/>
      <c r="F276" s="181"/>
      <c r="G276" s="181"/>
      <c r="H276" s="181"/>
      <c r="I276" s="181"/>
      <c r="J276" s="181"/>
      <c r="K276" s="181"/>
      <c r="L276" s="181"/>
      <c r="M276" s="181"/>
      <c r="N276" s="181"/>
      <c r="O276" s="181"/>
      <c r="P276" s="181"/>
      <c r="Q276" s="181"/>
      <c r="R276" s="181"/>
      <c r="S276" s="181"/>
      <c r="T276" s="181"/>
      <c r="U276" s="181"/>
      <c r="V276" s="181"/>
      <c r="W276" s="181"/>
      <c r="X276" s="181"/>
      <c r="Y276" s="181"/>
      <c r="Z276" s="181"/>
    </row>
    <row r="277">
      <c r="A277" s="194"/>
      <c r="B277" s="195"/>
      <c r="C277" s="181"/>
      <c r="D277" s="194"/>
      <c r="E277" s="194"/>
      <c r="F277" s="181"/>
      <c r="G277" s="181"/>
      <c r="H277" s="181"/>
      <c r="I277" s="181"/>
      <c r="J277" s="181"/>
      <c r="K277" s="181"/>
      <c r="L277" s="181"/>
      <c r="M277" s="181"/>
      <c r="N277" s="181"/>
      <c r="O277" s="181"/>
      <c r="P277" s="181"/>
      <c r="Q277" s="181"/>
      <c r="R277" s="181"/>
      <c r="S277" s="181"/>
      <c r="T277" s="181"/>
      <c r="U277" s="181"/>
      <c r="V277" s="181"/>
      <c r="W277" s="181"/>
      <c r="X277" s="181"/>
      <c r="Y277" s="181"/>
      <c r="Z277" s="181"/>
    </row>
    <row r="278">
      <c r="A278" s="194"/>
      <c r="B278" s="195"/>
      <c r="C278" s="181"/>
      <c r="D278" s="194"/>
      <c r="E278" s="194"/>
      <c r="F278" s="181"/>
      <c r="G278" s="181"/>
      <c r="H278" s="181"/>
      <c r="I278" s="181"/>
      <c r="J278" s="181"/>
      <c r="K278" s="181"/>
      <c r="L278" s="181"/>
      <c r="M278" s="181"/>
      <c r="N278" s="181"/>
      <c r="O278" s="181"/>
      <c r="P278" s="181"/>
      <c r="Q278" s="181"/>
      <c r="R278" s="181"/>
      <c r="S278" s="181"/>
      <c r="T278" s="181"/>
      <c r="U278" s="181"/>
      <c r="V278" s="181"/>
      <c r="W278" s="181"/>
      <c r="X278" s="181"/>
      <c r="Y278" s="181"/>
      <c r="Z278" s="181"/>
    </row>
    <row r="279">
      <c r="A279" s="194"/>
      <c r="B279" s="195"/>
      <c r="C279" s="181"/>
      <c r="D279" s="194"/>
      <c r="E279" s="194"/>
      <c r="F279" s="181"/>
      <c r="G279" s="181"/>
      <c r="H279" s="181"/>
      <c r="I279" s="181"/>
      <c r="J279" s="181"/>
      <c r="K279" s="181"/>
      <c r="L279" s="181"/>
      <c r="M279" s="181"/>
      <c r="N279" s="181"/>
      <c r="O279" s="181"/>
      <c r="P279" s="181"/>
      <c r="Q279" s="181"/>
      <c r="R279" s="181"/>
      <c r="S279" s="181"/>
      <c r="T279" s="181"/>
      <c r="U279" s="181"/>
      <c r="V279" s="181"/>
      <c r="W279" s="181"/>
      <c r="X279" s="181"/>
      <c r="Y279" s="181"/>
      <c r="Z279" s="181"/>
    </row>
    <row r="280">
      <c r="A280" s="194"/>
      <c r="B280" s="195"/>
      <c r="C280" s="181"/>
      <c r="D280" s="194"/>
      <c r="E280" s="194"/>
      <c r="F280" s="181"/>
      <c r="G280" s="181"/>
      <c r="H280" s="181"/>
      <c r="I280" s="181"/>
      <c r="J280" s="181"/>
      <c r="K280" s="181"/>
      <c r="L280" s="181"/>
      <c r="M280" s="181"/>
      <c r="N280" s="181"/>
      <c r="O280" s="181"/>
      <c r="P280" s="181"/>
      <c r="Q280" s="181"/>
      <c r="R280" s="181"/>
      <c r="S280" s="181"/>
      <c r="T280" s="181"/>
      <c r="U280" s="181"/>
      <c r="V280" s="181"/>
      <c r="W280" s="181"/>
      <c r="X280" s="181"/>
      <c r="Y280" s="181"/>
      <c r="Z280" s="181"/>
    </row>
    <row r="281">
      <c r="A281" s="194"/>
      <c r="B281" s="195"/>
      <c r="C281" s="181"/>
      <c r="D281" s="194"/>
      <c r="E281" s="194"/>
      <c r="F281" s="181"/>
      <c r="G281" s="181"/>
      <c r="H281" s="181"/>
      <c r="I281" s="181"/>
      <c r="J281" s="181"/>
      <c r="K281" s="181"/>
      <c r="L281" s="181"/>
      <c r="M281" s="181"/>
      <c r="N281" s="181"/>
      <c r="O281" s="181"/>
      <c r="P281" s="181"/>
      <c r="Q281" s="181"/>
      <c r="R281" s="181"/>
      <c r="S281" s="181"/>
      <c r="T281" s="181"/>
      <c r="U281" s="181"/>
      <c r="V281" s="181"/>
      <c r="W281" s="181"/>
      <c r="X281" s="181"/>
      <c r="Y281" s="181"/>
      <c r="Z281" s="181"/>
    </row>
    <row r="282">
      <c r="A282" s="194"/>
      <c r="B282" s="195"/>
      <c r="C282" s="181"/>
      <c r="D282" s="194"/>
      <c r="E282" s="194"/>
      <c r="F282" s="181"/>
      <c r="G282" s="181"/>
      <c r="H282" s="181"/>
      <c r="I282" s="181"/>
      <c r="J282" s="181"/>
      <c r="K282" s="181"/>
      <c r="L282" s="181"/>
      <c r="M282" s="181"/>
      <c r="N282" s="181"/>
      <c r="O282" s="181"/>
      <c r="P282" s="181"/>
      <c r="Q282" s="181"/>
      <c r="R282" s="181"/>
      <c r="S282" s="181"/>
      <c r="T282" s="181"/>
      <c r="U282" s="181"/>
      <c r="V282" s="181"/>
      <c r="W282" s="181"/>
      <c r="X282" s="181"/>
      <c r="Y282" s="181"/>
      <c r="Z282" s="181"/>
    </row>
    <row r="283">
      <c r="A283" s="194"/>
      <c r="B283" s="195"/>
      <c r="C283" s="181"/>
      <c r="D283" s="194"/>
      <c r="E283" s="194"/>
      <c r="F283" s="181"/>
      <c r="G283" s="181"/>
      <c r="H283" s="181"/>
      <c r="I283" s="181"/>
      <c r="J283" s="181"/>
      <c r="K283" s="181"/>
      <c r="L283" s="181"/>
      <c r="M283" s="181"/>
      <c r="N283" s="181"/>
      <c r="O283" s="181"/>
      <c r="P283" s="181"/>
      <c r="Q283" s="181"/>
      <c r="R283" s="181"/>
      <c r="S283" s="181"/>
      <c r="T283" s="181"/>
      <c r="U283" s="181"/>
      <c r="V283" s="181"/>
      <c r="W283" s="181"/>
      <c r="X283" s="181"/>
      <c r="Y283" s="181"/>
      <c r="Z283" s="181"/>
    </row>
    <row r="284">
      <c r="A284" s="194"/>
      <c r="B284" s="195"/>
      <c r="C284" s="181"/>
      <c r="D284" s="194"/>
      <c r="E284" s="194"/>
      <c r="F284" s="181"/>
      <c r="G284" s="181"/>
      <c r="H284" s="181"/>
      <c r="I284" s="181"/>
      <c r="J284" s="181"/>
      <c r="K284" s="181"/>
      <c r="L284" s="181"/>
      <c r="M284" s="181"/>
      <c r="N284" s="181"/>
      <c r="O284" s="181"/>
      <c r="P284" s="181"/>
      <c r="Q284" s="181"/>
      <c r="R284" s="181"/>
      <c r="S284" s="181"/>
      <c r="T284" s="181"/>
      <c r="U284" s="181"/>
      <c r="V284" s="181"/>
      <c r="W284" s="181"/>
      <c r="X284" s="181"/>
      <c r="Y284" s="181"/>
      <c r="Z284" s="181"/>
    </row>
    <row r="285">
      <c r="A285" s="194"/>
      <c r="B285" s="195"/>
      <c r="C285" s="181"/>
      <c r="D285" s="194"/>
      <c r="E285" s="194"/>
      <c r="F285" s="181"/>
      <c r="G285" s="181"/>
      <c r="H285" s="181"/>
      <c r="I285" s="181"/>
      <c r="J285" s="181"/>
      <c r="K285" s="181"/>
      <c r="L285" s="181"/>
      <c r="M285" s="181"/>
      <c r="N285" s="181"/>
      <c r="O285" s="181"/>
      <c r="P285" s="181"/>
      <c r="Q285" s="181"/>
      <c r="R285" s="181"/>
      <c r="S285" s="181"/>
      <c r="T285" s="181"/>
      <c r="U285" s="181"/>
      <c r="V285" s="181"/>
      <c r="W285" s="181"/>
      <c r="X285" s="181"/>
      <c r="Y285" s="181"/>
      <c r="Z285" s="181"/>
    </row>
    <row r="286">
      <c r="A286" s="194"/>
      <c r="B286" s="195"/>
      <c r="C286" s="181"/>
      <c r="D286" s="194"/>
      <c r="E286" s="194"/>
      <c r="F286" s="181"/>
      <c r="G286" s="181"/>
      <c r="H286" s="181"/>
      <c r="I286" s="181"/>
      <c r="J286" s="181"/>
      <c r="K286" s="181"/>
      <c r="L286" s="181"/>
      <c r="M286" s="181"/>
      <c r="N286" s="181"/>
      <c r="O286" s="181"/>
      <c r="P286" s="181"/>
      <c r="Q286" s="181"/>
      <c r="R286" s="181"/>
      <c r="S286" s="181"/>
      <c r="T286" s="181"/>
      <c r="U286" s="181"/>
      <c r="V286" s="181"/>
      <c r="W286" s="181"/>
      <c r="X286" s="181"/>
      <c r="Y286" s="181"/>
      <c r="Z286" s="181"/>
    </row>
    <row r="287">
      <c r="A287" s="194"/>
      <c r="B287" s="195"/>
      <c r="C287" s="181"/>
      <c r="D287" s="194"/>
      <c r="E287" s="194"/>
      <c r="F287" s="181"/>
      <c r="G287" s="181"/>
      <c r="H287" s="181"/>
      <c r="I287" s="181"/>
      <c r="J287" s="181"/>
      <c r="K287" s="181"/>
      <c r="L287" s="181"/>
      <c r="M287" s="181"/>
      <c r="N287" s="181"/>
      <c r="O287" s="181"/>
      <c r="P287" s="181"/>
      <c r="Q287" s="181"/>
      <c r="R287" s="181"/>
      <c r="S287" s="181"/>
      <c r="T287" s="181"/>
      <c r="U287" s="181"/>
      <c r="V287" s="181"/>
      <c r="W287" s="181"/>
      <c r="X287" s="181"/>
      <c r="Y287" s="181"/>
      <c r="Z287" s="181"/>
    </row>
    <row r="288">
      <c r="A288" s="194"/>
      <c r="B288" s="195"/>
      <c r="C288" s="181"/>
      <c r="D288" s="194"/>
      <c r="E288" s="194"/>
      <c r="F288" s="181"/>
      <c r="G288" s="181"/>
      <c r="H288" s="181"/>
      <c r="I288" s="181"/>
      <c r="J288" s="181"/>
      <c r="K288" s="181"/>
      <c r="L288" s="181"/>
      <c r="M288" s="181"/>
      <c r="N288" s="181"/>
      <c r="O288" s="181"/>
      <c r="P288" s="181"/>
      <c r="Q288" s="181"/>
      <c r="R288" s="181"/>
      <c r="S288" s="181"/>
      <c r="T288" s="181"/>
      <c r="U288" s="181"/>
      <c r="V288" s="181"/>
      <c r="W288" s="181"/>
      <c r="X288" s="181"/>
      <c r="Y288" s="181"/>
      <c r="Z288" s="181"/>
    </row>
    <row r="289">
      <c r="A289" s="194"/>
      <c r="B289" s="195"/>
      <c r="C289" s="181"/>
      <c r="D289" s="194"/>
      <c r="E289" s="194"/>
      <c r="F289" s="181"/>
      <c r="G289" s="181"/>
      <c r="H289" s="181"/>
      <c r="I289" s="181"/>
      <c r="J289" s="181"/>
      <c r="K289" s="181"/>
      <c r="L289" s="181"/>
      <c r="M289" s="181"/>
      <c r="N289" s="181"/>
      <c r="O289" s="181"/>
      <c r="P289" s="181"/>
      <c r="Q289" s="181"/>
      <c r="R289" s="181"/>
      <c r="S289" s="181"/>
      <c r="T289" s="181"/>
      <c r="U289" s="181"/>
      <c r="V289" s="181"/>
      <c r="W289" s="181"/>
      <c r="X289" s="181"/>
      <c r="Y289" s="181"/>
      <c r="Z289" s="181"/>
    </row>
    <row r="290">
      <c r="A290" s="194"/>
      <c r="B290" s="195"/>
      <c r="C290" s="181"/>
      <c r="D290" s="194"/>
      <c r="E290" s="194"/>
      <c r="F290" s="181"/>
      <c r="G290" s="181"/>
      <c r="H290" s="181"/>
      <c r="I290" s="181"/>
      <c r="J290" s="181"/>
      <c r="K290" s="181"/>
      <c r="L290" s="181"/>
      <c r="M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</row>
    <row r="291">
      <c r="A291" s="194"/>
      <c r="B291" s="195"/>
      <c r="C291" s="181"/>
      <c r="D291" s="194"/>
      <c r="E291" s="194"/>
      <c r="F291" s="181"/>
      <c r="G291" s="181"/>
      <c r="H291" s="181"/>
      <c r="I291" s="181"/>
      <c r="J291" s="181"/>
      <c r="K291" s="181"/>
      <c r="L291" s="181"/>
      <c r="M291" s="181"/>
      <c r="N291" s="181"/>
      <c r="O291" s="181"/>
      <c r="P291" s="181"/>
      <c r="Q291" s="181"/>
      <c r="R291" s="181"/>
      <c r="S291" s="181"/>
      <c r="T291" s="181"/>
      <c r="U291" s="181"/>
      <c r="V291" s="181"/>
      <c r="W291" s="181"/>
      <c r="X291" s="181"/>
      <c r="Y291" s="181"/>
      <c r="Z291" s="181"/>
    </row>
    <row r="292">
      <c r="A292" s="194"/>
      <c r="B292" s="195"/>
      <c r="C292" s="181"/>
      <c r="D292" s="194"/>
      <c r="E292" s="194"/>
      <c r="F292" s="181"/>
      <c r="G292" s="181"/>
      <c r="H292" s="181"/>
      <c r="I292" s="181"/>
      <c r="J292" s="181"/>
      <c r="K292" s="181"/>
      <c r="L292" s="181"/>
      <c r="M292" s="181"/>
      <c r="N292" s="181"/>
      <c r="O292" s="181"/>
      <c r="P292" s="181"/>
      <c r="Q292" s="181"/>
      <c r="R292" s="181"/>
      <c r="S292" s="181"/>
      <c r="T292" s="181"/>
      <c r="U292" s="181"/>
      <c r="V292" s="181"/>
      <c r="W292" s="181"/>
      <c r="X292" s="181"/>
      <c r="Y292" s="181"/>
      <c r="Z292" s="181"/>
    </row>
    <row r="293">
      <c r="A293" s="194"/>
      <c r="B293" s="195"/>
      <c r="C293" s="181"/>
      <c r="D293" s="194"/>
      <c r="E293" s="194"/>
      <c r="F293" s="181"/>
      <c r="G293" s="181"/>
      <c r="H293" s="181"/>
      <c r="I293" s="181"/>
      <c r="J293" s="181"/>
      <c r="K293" s="181"/>
      <c r="L293" s="181"/>
      <c r="M293" s="181"/>
      <c r="N293" s="181"/>
      <c r="O293" s="181"/>
      <c r="P293" s="181"/>
      <c r="Q293" s="181"/>
      <c r="R293" s="181"/>
      <c r="S293" s="181"/>
      <c r="T293" s="181"/>
      <c r="U293" s="181"/>
      <c r="V293" s="181"/>
      <c r="W293" s="181"/>
      <c r="X293" s="181"/>
      <c r="Y293" s="181"/>
      <c r="Z293" s="181"/>
    </row>
    <row r="294">
      <c r="A294" s="194"/>
      <c r="B294" s="195"/>
      <c r="C294" s="181"/>
      <c r="D294" s="194"/>
      <c r="E294" s="194"/>
      <c r="F294" s="181"/>
      <c r="G294" s="181"/>
      <c r="H294" s="181"/>
      <c r="I294" s="181"/>
      <c r="J294" s="181"/>
      <c r="K294" s="181"/>
      <c r="L294" s="181"/>
      <c r="M294" s="181"/>
      <c r="N294" s="181"/>
      <c r="O294" s="181"/>
      <c r="P294" s="181"/>
      <c r="Q294" s="181"/>
      <c r="R294" s="181"/>
      <c r="S294" s="181"/>
      <c r="T294" s="181"/>
      <c r="U294" s="181"/>
      <c r="V294" s="181"/>
      <c r="W294" s="181"/>
      <c r="X294" s="181"/>
      <c r="Y294" s="181"/>
      <c r="Z294" s="181"/>
    </row>
    <row r="295">
      <c r="A295" s="194"/>
      <c r="B295" s="195"/>
      <c r="C295" s="181"/>
      <c r="D295" s="194"/>
      <c r="E295" s="194"/>
      <c r="F295" s="181"/>
      <c r="G295" s="181"/>
      <c r="H295" s="181"/>
      <c r="I295" s="181"/>
      <c r="J295" s="181"/>
      <c r="K295" s="181"/>
      <c r="L295" s="181"/>
      <c r="M295" s="181"/>
      <c r="N295" s="181"/>
      <c r="O295" s="181"/>
      <c r="P295" s="181"/>
      <c r="Q295" s="181"/>
      <c r="R295" s="181"/>
      <c r="S295" s="181"/>
      <c r="T295" s="181"/>
      <c r="U295" s="181"/>
      <c r="V295" s="181"/>
      <c r="W295" s="181"/>
      <c r="X295" s="181"/>
      <c r="Y295" s="181"/>
      <c r="Z295" s="181"/>
    </row>
    <row r="296">
      <c r="A296" s="194"/>
      <c r="B296" s="195"/>
      <c r="C296" s="181"/>
      <c r="D296" s="194"/>
      <c r="E296" s="194"/>
      <c r="F296" s="181"/>
      <c r="G296" s="181"/>
      <c r="H296" s="181"/>
      <c r="I296" s="181"/>
      <c r="J296" s="181"/>
      <c r="K296" s="181"/>
      <c r="L296" s="181"/>
      <c r="M296" s="181"/>
      <c r="N296" s="181"/>
      <c r="O296" s="181"/>
      <c r="P296" s="181"/>
      <c r="Q296" s="181"/>
      <c r="R296" s="181"/>
      <c r="S296" s="181"/>
      <c r="T296" s="181"/>
      <c r="U296" s="181"/>
      <c r="V296" s="181"/>
      <c r="W296" s="181"/>
      <c r="X296" s="181"/>
      <c r="Y296" s="181"/>
      <c r="Z296" s="181"/>
    </row>
    <row r="297">
      <c r="A297" s="194"/>
      <c r="B297" s="195"/>
      <c r="C297" s="181"/>
      <c r="D297" s="194"/>
      <c r="E297" s="194"/>
      <c r="F297" s="181"/>
      <c r="G297" s="181"/>
      <c r="H297" s="181"/>
      <c r="I297" s="181"/>
      <c r="J297" s="181"/>
      <c r="K297" s="181"/>
      <c r="L297" s="181"/>
      <c r="M297" s="181"/>
      <c r="N297" s="181"/>
      <c r="O297" s="181"/>
      <c r="P297" s="181"/>
      <c r="Q297" s="181"/>
      <c r="R297" s="181"/>
      <c r="S297" s="181"/>
      <c r="T297" s="181"/>
      <c r="U297" s="181"/>
      <c r="V297" s="181"/>
      <c r="W297" s="181"/>
      <c r="X297" s="181"/>
      <c r="Y297" s="181"/>
      <c r="Z297" s="181"/>
    </row>
    <row r="298">
      <c r="A298" s="194"/>
      <c r="B298" s="195"/>
      <c r="C298" s="181"/>
      <c r="D298" s="194"/>
      <c r="E298" s="194"/>
      <c r="F298" s="181"/>
      <c r="G298" s="181"/>
      <c r="H298" s="181"/>
      <c r="I298" s="181"/>
      <c r="J298" s="181"/>
      <c r="K298" s="181"/>
      <c r="L298" s="181"/>
      <c r="M298" s="181"/>
      <c r="N298" s="181"/>
      <c r="O298" s="181"/>
      <c r="P298" s="181"/>
      <c r="Q298" s="181"/>
      <c r="R298" s="181"/>
      <c r="S298" s="181"/>
      <c r="T298" s="181"/>
      <c r="U298" s="181"/>
      <c r="V298" s="181"/>
      <c r="W298" s="181"/>
      <c r="X298" s="181"/>
      <c r="Y298" s="181"/>
      <c r="Z298" s="181"/>
    </row>
    <row r="299">
      <c r="A299" s="194"/>
      <c r="B299" s="195"/>
      <c r="C299" s="181"/>
      <c r="D299" s="194"/>
      <c r="E299" s="194"/>
      <c r="F299" s="181"/>
      <c r="G299" s="181"/>
      <c r="H299" s="181"/>
      <c r="I299" s="181"/>
      <c r="J299" s="181"/>
      <c r="K299" s="181"/>
      <c r="L299" s="181"/>
      <c r="M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</row>
    <row r="300">
      <c r="A300" s="194"/>
      <c r="B300" s="195"/>
      <c r="C300" s="181"/>
      <c r="D300" s="194"/>
      <c r="E300" s="194"/>
      <c r="F300" s="181"/>
      <c r="G300" s="181"/>
      <c r="H300" s="181"/>
      <c r="I300" s="181"/>
      <c r="J300" s="181"/>
      <c r="K300" s="181"/>
      <c r="L300" s="181"/>
      <c r="M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</row>
    <row r="301">
      <c r="A301" s="194"/>
      <c r="B301" s="195"/>
      <c r="C301" s="181"/>
      <c r="D301" s="194"/>
      <c r="E301" s="194"/>
      <c r="F301" s="181"/>
      <c r="G301" s="181"/>
      <c r="H301" s="181"/>
      <c r="I301" s="181"/>
      <c r="J301" s="181"/>
      <c r="K301" s="181"/>
      <c r="L301" s="181"/>
      <c r="M301" s="181"/>
      <c r="N301" s="181"/>
      <c r="O301" s="181"/>
      <c r="P301" s="181"/>
      <c r="Q301" s="181"/>
      <c r="R301" s="181"/>
      <c r="S301" s="181"/>
      <c r="T301" s="181"/>
      <c r="U301" s="181"/>
      <c r="V301" s="181"/>
      <c r="W301" s="181"/>
      <c r="X301" s="181"/>
      <c r="Y301" s="181"/>
      <c r="Z301" s="181"/>
    </row>
    <row r="302">
      <c r="A302" s="194"/>
      <c r="B302" s="195"/>
      <c r="C302" s="181"/>
      <c r="D302" s="194"/>
      <c r="E302" s="194"/>
      <c r="F302" s="181"/>
      <c r="G302" s="181"/>
      <c r="H302" s="181"/>
      <c r="I302" s="181"/>
      <c r="J302" s="181"/>
      <c r="K302" s="181"/>
      <c r="L302" s="181"/>
      <c r="M302" s="181"/>
      <c r="N302" s="181"/>
      <c r="O302" s="181"/>
      <c r="P302" s="181"/>
      <c r="Q302" s="181"/>
      <c r="R302" s="181"/>
      <c r="S302" s="181"/>
      <c r="T302" s="181"/>
      <c r="U302" s="181"/>
      <c r="V302" s="181"/>
      <c r="W302" s="181"/>
      <c r="X302" s="181"/>
      <c r="Y302" s="181"/>
      <c r="Z302" s="181"/>
    </row>
    <row r="303">
      <c r="A303" s="194"/>
      <c r="B303" s="195"/>
      <c r="C303" s="181"/>
      <c r="D303" s="194"/>
      <c r="E303" s="194"/>
      <c r="F303" s="181"/>
      <c r="G303" s="181"/>
      <c r="H303" s="181"/>
      <c r="I303" s="181"/>
      <c r="J303" s="181"/>
      <c r="K303" s="181"/>
      <c r="L303" s="181"/>
      <c r="M303" s="181"/>
      <c r="N303" s="181"/>
      <c r="O303" s="181"/>
      <c r="P303" s="181"/>
      <c r="Q303" s="181"/>
      <c r="R303" s="181"/>
      <c r="S303" s="181"/>
      <c r="T303" s="181"/>
      <c r="U303" s="181"/>
      <c r="V303" s="181"/>
      <c r="W303" s="181"/>
      <c r="X303" s="181"/>
      <c r="Y303" s="181"/>
      <c r="Z303" s="181"/>
    </row>
    <row r="304">
      <c r="A304" s="194"/>
      <c r="B304" s="195"/>
      <c r="C304" s="181"/>
      <c r="D304" s="194"/>
      <c r="E304" s="194"/>
      <c r="F304" s="181"/>
      <c r="G304" s="181"/>
      <c r="H304" s="181"/>
      <c r="I304" s="181"/>
      <c r="J304" s="181"/>
      <c r="K304" s="181"/>
      <c r="L304" s="181"/>
      <c r="M304" s="181"/>
      <c r="N304" s="181"/>
      <c r="O304" s="181"/>
      <c r="P304" s="181"/>
      <c r="Q304" s="181"/>
      <c r="R304" s="181"/>
      <c r="S304" s="181"/>
      <c r="T304" s="181"/>
      <c r="U304" s="181"/>
      <c r="V304" s="181"/>
      <c r="W304" s="181"/>
      <c r="X304" s="181"/>
      <c r="Y304" s="181"/>
      <c r="Z304" s="181"/>
    </row>
    <row r="305">
      <c r="A305" s="194"/>
      <c r="B305" s="195"/>
      <c r="C305" s="181"/>
      <c r="D305" s="194"/>
      <c r="E305" s="194"/>
      <c r="F305" s="181"/>
      <c r="G305" s="181"/>
      <c r="H305" s="181"/>
      <c r="I305" s="181"/>
      <c r="J305" s="181"/>
      <c r="K305" s="181"/>
      <c r="L305" s="181"/>
      <c r="M305" s="181"/>
      <c r="N305" s="181"/>
      <c r="O305" s="181"/>
      <c r="P305" s="181"/>
      <c r="Q305" s="181"/>
      <c r="R305" s="181"/>
      <c r="S305" s="181"/>
      <c r="T305" s="181"/>
      <c r="U305" s="181"/>
      <c r="V305" s="181"/>
      <c r="W305" s="181"/>
      <c r="X305" s="181"/>
      <c r="Y305" s="181"/>
      <c r="Z305" s="181"/>
    </row>
    <row r="306">
      <c r="A306" s="194"/>
      <c r="B306" s="195"/>
      <c r="C306" s="181"/>
      <c r="D306" s="194"/>
      <c r="E306" s="194"/>
      <c r="F306" s="181"/>
      <c r="G306" s="181"/>
      <c r="H306" s="181"/>
      <c r="I306" s="181"/>
      <c r="J306" s="181"/>
      <c r="K306" s="181"/>
      <c r="L306" s="181"/>
      <c r="M306" s="181"/>
      <c r="N306" s="181"/>
      <c r="O306" s="181"/>
      <c r="P306" s="181"/>
      <c r="Q306" s="181"/>
      <c r="R306" s="181"/>
      <c r="S306" s="181"/>
      <c r="T306" s="181"/>
      <c r="U306" s="181"/>
      <c r="V306" s="181"/>
      <c r="W306" s="181"/>
      <c r="X306" s="181"/>
      <c r="Y306" s="181"/>
      <c r="Z306" s="181"/>
    </row>
    <row r="307">
      <c r="A307" s="194"/>
      <c r="B307" s="195"/>
      <c r="C307" s="181"/>
      <c r="D307" s="194"/>
      <c r="E307" s="194"/>
      <c r="F307" s="181"/>
      <c r="G307" s="181"/>
      <c r="H307" s="181"/>
      <c r="I307" s="181"/>
      <c r="J307" s="181"/>
      <c r="K307" s="181"/>
      <c r="L307" s="181"/>
      <c r="M307" s="181"/>
      <c r="N307" s="181"/>
      <c r="O307" s="181"/>
      <c r="P307" s="181"/>
      <c r="Q307" s="181"/>
      <c r="R307" s="181"/>
      <c r="S307" s="181"/>
      <c r="T307" s="181"/>
      <c r="U307" s="181"/>
      <c r="V307" s="181"/>
      <c r="W307" s="181"/>
      <c r="X307" s="181"/>
      <c r="Y307" s="181"/>
      <c r="Z307" s="181"/>
    </row>
    <row r="308">
      <c r="A308" s="194"/>
      <c r="B308" s="195"/>
      <c r="C308" s="181"/>
      <c r="D308" s="194"/>
      <c r="E308" s="194"/>
      <c r="F308" s="181"/>
      <c r="G308" s="181"/>
      <c r="H308" s="181"/>
      <c r="I308" s="181"/>
      <c r="J308" s="181"/>
      <c r="K308" s="181"/>
      <c r="L308" s="181"/>
      <c r="M308" s="181"/>
      <c r="N308" s="181"/>
      <c r="O308" s="181"/>
      <c r="P308" s="181"/>
      <c r="Q308" s="181"/>
      <c r="R308" s="181"/>
      <c r="S308" s="181"/>
      <c r="T308" s="181"/>
      <c r="U308" s="181"/>
      <c r="V308" s="181"/>
      <c r="W308" s="181"/>
      <c r="X308" s="181"/>
      <c r="Y308" s="181"/>
      <c r="Z308" s="181"/>
    </row>
    <row r="309">
      <c r="A309" s="194"/>
      <c r="B309" s="195"/>
      <c r="C309" s="181"/>
      <c r="D309" s="194"/>
      <c r="E309" s="194"/>
      <c r="F309" s="181"/>
      <c r="G309" s="181"/>
      <c r="H309" s="181"/>
      <c r="I309" s="181"/>
      <c r="J309" s="181"/>
      <c r="K309" s="181"/>
      <c r="L309" s="181"/>
      <c r="M309" s="181"/>
      <c r="N309" s="181"/>
      <c r="O309" s="181"/>
      <c r="P309" s="181"/>
      <c r="Q309" s="181"/>
      <c r="R309" s="181"/>
      <c r="S309" s="181"/>
      <c r="T309" s="181"/>
      <c r="U309" s="181"/>
      <c r="V309" s="181"/>
      <c r="W309" s="181"/>
      <c r="X309" s="181"/>
      <c r="Y309" s="181"/>
      <c r="Z309" s="181"/>
    </row>
    <row r="310">
      <c r="A310" s="194"/>
      <c r="B310" s="195"/>
      <c r="C310" s="181"/>
      <c r="D310" s="194"/>
      <c r="E310" s="194"/>
      <c r="F310" s="181"/>
      <c r="G310" s="181"/>
      <c r="H310" s="181"/>
      <c r="I310" s="181"/>
      <c r="J310" s="181"/>
      <c r="K310" s="181"/>
      <c r="L310" s="181"/>
      <c r="M310" s="181"/>
      <c r="N310" s="181"/>
      <c r="O310" s="181"/>
      <c r="P310" s="181"/>
      <c r="Q310" s="181"/>
      <c r="R310" s="181"/>
      <c r="S310" s="181"/>
      <c r="T310" s="181"/>
      <c r="U310" s="181"/>
      <c r="V310" s="181"/>
      <c r="W310" s="181"/>
      <c r="X310" s="181"/>
      <c r="Y310" s="181"/>
      <c r="Z310" s="181"/>
    </row>
    <row r="311">
      <c r="A311" s="194"/>
      <c r="B311" s="195"/>
      <c r="C311" s="181"/>
      <c r="D311" s="194"/>
      <c r="E311" s="194"/>
      <c r="F311" s="181"/>
      <c r="G311" s="181"/>
      <c r="H311" s="181"/>
      <c r="I311" s="181"/>
      <c r="J311" s="181"/>
      <c r="K311" s="181"/>
      <c r="L311" s="181"/>
      <c r="M311" s="181"/>
      <c r="N311" s="181"/>
      <c r="O311" s="181"/>
      <c r="P311" s="181"/>
      <c r="Q311" s="181"/>
      <c r="R311" s="181"/>
      <c r="S311" s="181"/>
      <c r="T311" s="181"/>
      <c r="U311" s="181"/>
      <c r="V311" s="181"/>
      <c r="W311" s="181"/>
      <c r="X311" s="181"/>
      <c r="Y311" s="181"/>
      <c r="Z311" s="181"/>
    </row>
    <row r="312">
      <c r="A312" s="194"/>
      <c r="B312" s="195"/>
      <c r="C312" s="181"/>
      <c r="D312" s="194"/>
      <c r="E312" s="194"/>
      <c r="F312" s="181"/>
      <c r="G312" s="181"/>
      <c r="H312" s="181"/>
      <c r="I312" s="181"/>
      <c r="J312" s="181"/>
      <c r="K312" s="181"/>
      <c r="L312" s="181"/>
      <c r="M312" s="181"/>
      <c r="N312" s="181"/>
      <c r="O312" s="181"/>
      <c r="P312" s="181"/>
      <c r="Q312" s="181"/>
      <c r="R312" s="181"/>
      <c r="S312" s="181"/>
      <c r="T312" s="181"/>
      <c r="U312" s="181"/>
      <c r="V312" s="181"/>
      <c r="W312" s="181"/>
      <c r="X312" s="181"/>
      <c r="Y312" s="181"/>
      <c r="Z312" s="181"/>
    </row>
    <row r="313">
      <c r="A313" s="194"/>
      <c r="B313" s="195"/>
      <c r="C313" s="181"/>
      <c r="D313" s="194"/>
      <c r="E313" s="194"/>
      <c r="F313" s="181"/>
      <c r="G313" s="181"/>
      <c r="H313" s="181"/>
      <c r="I313" s="181"/>
      <c r="J313" s="181"/>
      <c r="K313" s="181"/>
      <c r="L313" s="181"/>
      <c r="M313" s="181"/>
      <c r="N313" s="181"/>
      <c r="O313" s="181"/>
      <c r="P313" s="181"/>
      <c r="Q313" s="181"/>
      <c r="R313" s="181"/>
      <c r="S313" s="181"/>
      <c r="T313" s="181"/>
      <c r="U313" s="181"/>
      <c r="V313" s="181"/>
      <c r="W313" s="181"/>
      <c r="X313" s="181"/>
      <c r="Y313" s="181"/>
      <c r="Z313" s="181"/>
    </row>
    <row r="314">
      <c r="A314" s="194"/>
      <c r="B314" s="195"/>
      <c r="C314" s="181"/>
      <c r="D314" s="194"/>
      <c r="E314" s="194"/>
      <c r="F314" s="181"/>
      <c r="G314" s="181"/>
      <c r="H314" s="181"/>
      <c r="I314" s="181"/>
      <c r="J314" s="181"/>
      <c r="K314" s="181"/>
      <c r="L314" s="181"/>
      <c r="M314" s="181"/>
      <c r="N314" s="181"/>
      <c r="O314" s="181"/>
      <c r="P314" s="181"/>
      <c r="Q314" s="181"/>
      <c r="R314" s="181"/>
      <c r="S314" s="181"/>
      <c r="T314" s="181"/>
      <c r="U314" s="181"/>
      <c r="V314" s="181"/>
      <c r="W314" s="181"/>
      <c r="X314" s="181"/>
      <c r="Y314" s="181"/>
      <c r="Z314" s="181"/>
    </row>
    <row r="315">
      <c r="A315" s="194"/>
      <c r="B315" s="195"/>
      <c r="C315" s="181"/>
      <c r="D315" s="194"/>
      <c r="E315" s="194"/>
      <c r="F315" s="181"/>
      <c r="G315" s="181"/>
      <c r="H315" s="181"/>
      <c r="I315" s="181"/>
      <c r="J315" s="181"/>
      <c r="K315" s="181"/>
      <c r="L315" s="181"/>
      <c r="M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</row>
    <row r="316">
      <c r="A316" s="194"/>
      <c r="B316" s="195"/>
      <c r="C316" s="181"/>
      <c r="D316" s="194"/>
      <c r="E316" s="194"/>
      <c r="F316" s="181"/>
      <c r="G316" s="181"/>
      <c r="H316" s="181"/>
      <c r="I316" s="181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</row>
    <row r="317">
      <c r="A317" s="194"/>
      <c r="B317" s="195"/>
      <c r="C317" s="181"/>
      <c r="D317" s="194"/>
      <c r="E317" s="194"/>
      <c r="F317" s="181"/>
      <c r="G317" s="181"/>
      <c r="H317" s="181"/>
      <c r="I317" s="181"/>
      <c r="J317" s="181"/>
      <c r="K317" s="181"/>
      <c r="L317" s="181"/>
      <c r="M317" s="181"/>
      <c r="N317" s="181"/>
      <c r="O317" s="181"/>
      <c r="P317" s="181"/>
      <c r="Q317" s="181"/>
      <c r="R317" s="181"/>
      <c r="S317" s="181"/>
      <c r="T317" s="181"/>
      <c r="U317" s="181"/>
      <c r="V317" s="181"/>
      <c r="W317" s="181"/>
      <c r="X317" s="181"/>
      <c r="Y317" s="181"/>
      <c r="Z317" s="181"/>
    </row>
    <row r="318">
      <c r="A318" s="194"/>
      <c r="B318" s="195"/>
      <c r="C318" s="181"/>
      <c r="D318" s="194"/>
      <c r="E318" s="194"/>
      <c r="F318" s="181"/>
      <c r="G318" s="181"/>
      <c r="H318" s="181"/>
      <c r="I318" s="181"/>
      <c r="J318" s="181"/>
      <c r="K318" s="181"/>
      <c r="L318" s="181"/>
      <c r="M318" s="18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</row>
    <row r="319">
      <c r="A319" s="194"/>
      <c r="B319" s="195"/>
      <c r="C319" s="181"/>
      <c r="D319" s="194"/>
      <c r="E319" s="194"/>
      <c r="F319" s="181"/>
      <c r="G319" s="181"/>
      <c r="H319" s="181"/>
      <c r="I319" s="181"/>
      <c r="J319" s="181"/>
      <c r="K319" s="181"/>
      <c r="L319" s="181"/>
      <c r="M319" s="181"/>
      <c r="N319" s="181"/>
      <c r="O319" s="181"/>
      <c r="P319" s="181"/>
      <c r="Q319" s="181"/>
      <c r="R319" s="181"/>
      <c r="S319" s="181"/>
      <c r="T319" s="181"/>
      <c r="U319" s="181"/>
      <c r="V319" s="181"/>
      <c r="W319" s="181"/>
      <c r="X319" s="181"/>
      <c r="Y319" s="181"/>
      <c r="Z319" s="181"/>
    </row>
    <row r="320">
      <c r="A320" s="194"/>
      <c r="B320" s="195"/>
      <c r="C320" s="181"/>
      <c r="D320" s="194"/>
      <c r="E320" s="194"/>
      <c r="F320" s="181"/>
      <c r="G320" s="181"/>
      <c r="H320" s="181"/>
      <c r="I320" s="181"/>
      <c r="J320" s="181"/>
      <c r="K320" s="181"/>
      <c r="L320" s="181"/>
      <c r="M320" s="181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</row>
    <row r="321">
      <c r="A321" s="194"/>
      <c r="B321" s="195"/>
      <c r="C321" s="181"/>
      <c r="D321" s="194"/>
      <c r="E321" s="194"/>
      <c r="F321" s="181"/>
      <c r="G321" s="181"/>
      <c r="H321" s="181"/>
      <c r="I321" s="181"/>
      <c r="J321" s="181"/>
      <c r="K321" s="181"/>
      <c r="L321" s="181"/>
      <c r="M321" s="181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</row>
    <row r="322">
      <c r="A322" s="194"/>
      <c r="B322" s="195"/>
      <c r="C322" s="181"/>
      <c r="D322" s="194"/>
      <c r="E322" s="194"/>
      <c r="F322" s="181"/>
      <c r="G322" s="181"/>
      <c r="H322" s="181"/>
      <c r="I322" s="181"/>
      <c r="J322" s="181"/>
      <c r="K322" s="181"/>
      <c r="L322" s="181"/>
      <c r="M322" s="181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</row>
    <row r="323">
      <c r="A323" s="194"/>
      <c r="B323" s="195"/>
      <c r="C323" s="181"/>
      <c r="D323" s="194"/>
      <c r="E323" s="194"/>
      <c r="F323" s="181"/>
      <c r="G323" s="181"/>
      <c r="H323" s="181"/>
      <c r="I323" s="181"/>
      <c r="J323" s="181"/>
      <c r="K323" s="181"/>
      <c r="L323" s="181"/>
      <c r="M323" s="181"/>
      <c r="N323" s="181"/>
      <c r="O323" s="181"/>
      <c r="P323" s="181"/>
      <c r="Q323" s="181"/>
      <c r="R323" s="181"/>
      <c r="S323" s="181"/>
      <c r="T323" s="181"/>
      <c r="U323" s="181"/>
      <c r="V323" s="181"/>
      <c r="W323" s="181"/>
      <c r="X323" s="181"/>
      <c r="Y323" s="181"/>
      <c r="Z323" s="181"/>
    </row>
    <row r="324">
      <c r="A324" s="194"/>
      <c r="B324" s="195"/>
      <c r="C324" s="181"/>
      <c r="D324" s="194"/>
      <c r="E324" s="194"/>
      <c r="F324" s="181"/>
      <c r="G324" s="181"/>
      <c r="H324" s="181"/>
      <c r="I324" s="181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</row>
    <row r="325">
      <c r="A325" s="194"/>
      <c r="B325" s="195"/>
      <c r="C325" s="181"/>
      <c r="D325" s="194"/>
      <c r="E325" s="194"/>
      <c r="F325" s="181"/>
      <c r="G325" s="181"/>
      <c r="H325" s="181"/>
      <c r="I325" s="181"/>
      <c r="J325" s="181"/>
      <c r="K325" s="181"/>
      <c r="L325" s="181"/>
      <c r="M325" s="181"/>
      <c r="N325" s="181"/>
      <c r="O325" s="181"/>
      <c r="P325" s="181"/>
      <c r="Q325" s="181"/>
      <c r="R325" s="181"/>
      <c r="S325" s="181"/>
      <c r="T325" s="181"/>
      <c r="U325" s="181"/>
      <c r="V325" s="181"/>
      <c r="W325" s="181"/>
      <c r="X325" s="181"/>
      <c r="Y325" s="181"/>
      <c r="Z325" s="181"/>
    </row>
    <row r="326">
      <c r="A326" s="194"/>
      <c r="B326" s="195"/>
      <c r="C326" s="181"/>
      <c r="D326" s="194"/>
      <c r="E326" s="194"/>
      <c r="F326" s="181"/>
      <c r="G326" s="181"/>
      <c r="H326" s="181"/>
      <c r="I326" s="181"/>
      <c r="J326" s="181"/>
      <c r="K326" s="181"/>
      <c r="L326" s="181"/>
      <c r="M326" s="181"/>
      <c r="N326" s="181"/>
      <c r="O326" s="181"/>
      <c r="P326" s="181"/>
      <c r="Q326" s="181"/>
      <c r="R326" s="181"/>
      <c r="S326" s="181"/>
      <c r="T326" s="181"/>
      <c r="U326" s="181"/>
      <c r="V326" s="181"/>
      <c r="W326" s="181"/>
      <c r="X326" s="181"/>
      <c r="Y326" s="181"/>
      <c r="Z326" s="181"/>
    </row>
    <row r="327">
      <c r="A327" s="194"/>
      <c r="B327" s="195"/>
      <c r="C327" s="181"/>
      <c r="D327" s="194"/>
      <c r="E327" s="194"/>
      <c r="F327" s="181"/>
      <c r="G327" s="181"/>
      <c r="H327" s="181"/>
      <c r="I327" s="181"/>
      <c r="J327" s="181"/>
      <c r="K327" s="181"/>
      <c r="L327" s="181"/>
      <c r="M327" s="181"/>
      <c r="N327" s="181"/>
      <c r="O327" s="181"/>
      <c r="P327" s="181"/>
      <c r="Q327" s="181"/>
      <c r="R327" s="181"/>
      <c r="S327" s="181"/>
      <c r="T327" s="181"/>
      <c r="U327" s="181"/>
      <c r="V327" s="181"/>
      <c r="W327" s="181"/>
      <c r="X327" s="181"/>
      <c r="Y327" s="181"/>
      <c r="Z327" s="181"/>
    </row>
    <row r="328">
      <c r="A328" s="194"/>
      <c r="B328" s="195"/>
      <c r="C328" s="181"/>
      <c r="D328" s="194"/>
      <c r="E328" s="194"/>
      <c r="F328" s="181"/>
      <c r="G328" s="181"/>
      <c r="H328" s="181"/>
      <c r="I328" s="181"/>
      <c r="J328" s="181"/>
      <c r="K328" s="181"/>
      <c r="L328" s="181"/>
      <c r="M328" s="181"/>
      <c r="N328" s="181"/>
      <c r="O328" s="181"/>
      <c r="P328" s="181"/>
      <c r="Q328" s="181"/>
      <c r="R328" s="181"/>
      <c r="S328" s="181"/>
      <c r="T328" s="181"/>
      <c r="U328" s="181"/>
      <c r="V328" s="181"/>
      <c r="W328" s="181"/>
      <c r="X328" s="181"/>
      <c r="Y328" s="181"/>
      <c r="Z328" s="181"/>
    </row>
    <row r="329">
      <c r="A329" s="194"/>
      <c r="B329" s="195"/>
      <c r="C329" s="181"/>
      <c r="D329" s="194"/>
      <c r="E329" s="194"/>
      <c r="F329" s="181"/>
      <c r="G329" s="181"/>
      <c r="H329" s="181"/>
      <c r="I329" s="181"/>
      <c r="J329" s="181"/>
      <c r="K329" s="181"/>
      <c r="L329" s="181"/>
      <c r="M329" s="181"/>
      <c r="N329" s="181"/>
      <c r="O329" s="181"/>
      <c r="P329" s="181"/>
      <c r="Q329" s="181"/>
      <c r="R329" s="181"/>
      <c r="S329" s="181"/>
      <c r="T329" s="181"/>
      <c r="U329" s="181"/>
      <c r="V329" s="181"/>
      <c r="W329" s="181"/>
      <c r="X329" s="181"/>
      <c r="Y329" s="181"/>
      <c r="Z329" s="181"/>
    </row>
    <row r="330">
      <c r="A330" s="194"/>
      <c r="B330" s="195"/>
      <c r="C330" s="181"/>
      <c r="D330" s="194"/>
      <c r="E330" s="194"/>
      <c r="F330" s="181"/>
      <c r="G330" s="181"/>
      <c r="H330" s="181"/>
      <c r="I330" s="181"/>
      <c r="J330" s="181"/>
      <c r="K330" s="181"/>
      <c r="L330" s="181"/>
      <c r="M330" s="181"/>
      <c r="N330" s="181"/>
      <c r="O330" s="181"/>
      <c r="P330" s="181"/>
      <c r="Q330" s="181"/>
      <c r="R330" s="181"/>
      <c r="S330" s="181"/>
      <c r="T330" s="181"/>
      <c r="U330" s="181"/>
      <c r="V330" s="181"/>
      <c r="W330" s="181"/>
      <c r="X330" s="181"/>
      <c r="Y330" s="181"/>
      <c r="Z330" s="181"/>
    </row>
    <row r="331">
      <c r="A331" s="194"/>
      <c r="B331" s="195"/>
      <c r="C331" s="181"/>
      <c r="D331" s="194"/>
      <c r="E331" s="194"/>
      <c r="F331" s="181"/>
      <c r="G331" s="181"/>
      <c r="H331" s="181"/>
      <c r="I331" s="181"/>
      <c r="J331" s="181"/>
      <c r="K331" s="181"/>
      <c r="L331" s="181"/>
      <c r="M331" s="181"/>
      <c r="N331" s="181"/>
      <c r="O331" s="181"/>
      <c r="P331" s="181"/>
      <c r="Q331" s="181"/>
      <c r="R331" s="181"/>
      <c r="S331" s="181"/>
      <c r="T331" s="181"/>
      <c r="U331" s="181"/>
      <c r="V331" s="181"/>
      <c r="W331" s="181"/>
      <c r="X331" s="181"/>
      <c r="Y331" s="181"/>
      <c r="Z331" s="181"/>
    </row>
    <row r="332">
      <c r="A332" s="194"/>
      <c r="B332" s="195"/>
      <c r="C332" s="181"/>
      <c r="D332" s="194"/>
      <c r="E332" s="194"/>
      <c r="F332" s="181"/>
      <c r="G332" s="181"/>
      <c r="H332" s="181"/>
      <c r="I332" s="181"/>
      <c r="J332" s="181"/>
      <c r="K332" s="181"/>
      <c r="L332" s="181"/>
      <c r="M332" s="181"/>
      <c r="N332" s="181"/>
      <c r="O332" s="181"/>
      <c r="P332" s="181"/>
      <c r="Q332" s="181"/>
      <c r="R332" s="181"/>
      <c r="S332" s="181"/>
      <c r="T332" s="181"/>
      <c r="U332" s="181"/>
      <c r="V332" s="181"/>
      <c r="W332" s="181"/>
      <c r="X332" s="181"/>
      <c r="Y332" s="181"/>
      <c r="Z332" s="181"/>
    </row>
    <row r="333">
      <c r="A333" s="194"/>
      <c r="B333" s="195"/>
      <c r="C333" s="181"/>
      <c r="D333" s="194"/>
      <c r="E333" s="194"/>
      <c r="F333" s="181"/>
      <c r="G333" s="181"/>
      <c r="H333" s="181"/>
      <c r="I333" s="181"/>
      <c r="J333" s="181"/>
      <c r="K333" s="181"/>
      <c r="L333" s="181"/>
      <c r="M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</row>
    <row r="334">
      <c r="A334" s="194"/>
      <c r="B334" s="195"/>
      <c r="C334" s="181"/>
      <c r="D334" s="194"/>
      <c r="E334" s="194"/>
      <c r="F334" s="181"/>
      <c r="G334" s="181"/>
      <c r="H334" s="181"/>
      <c r="I334" s="181"/>
      <c r="J334" s="181"/>
      <c r="K334" s="181"/>
      <c r="L334" s="181"/>
      <c r="M334" s="181"/>
      <c r="N334" s="181"/>
      <c r="O334" s="181"/>
      <c r="P334" s="181"/>
      <c r="Q334" s="181"/>
      <c r="R334" s="181"/>
      <c r="S334" s="181"/>
      <c r="T334" s="181"/>
      <c r="U334" s="181"/>
      <c r="V334" s="181"/>
      <c r="W334" s="181"/>
      <c r="X334" s="181"/>
      <c r="Y334" s="181"/>
      <c r="Z334" s="181"/>
    </row>
    <row r="335">
      <c r="A335" s="194"/>
      <c r="B335" s="195"/>
      <c r="C335" s="181"/>
      <c r="D335" s="194"/>
      <c r="E335" s="194"/>
      <c r="F335" s="181"/>
      <c r="G335" s="181"/>
      <c r="H335" s="181"/>
      <c r="I335" s="181"/>
      <c r="J335" s="181"/>
      <c r="K335" s="181"/>
      <c r="L335" s="181"/>
      <c r="M335" s="181"/>
      <c r="N335" s="181"/>
      <c r="O335" s="181"/>
      <c r="P335" s="181"/>
      <c r="Q335" s="181"/>
      <c r="R335" s="181"/>
      <c r="S335" s="181"/>
      <c r="T335" s="181"/>
      <c r="U335" s="181"/>
      <c r="V335" s="181"/>
      <c r="W335" s="181"/>
      <c r="X335" s="181"/>
      <c r="Y335" s="181"/>
      <c r="Z335" s="181"/>
    </row>
    <row r="336">
      <c r="A336" s="194"/>
      <c r="B336" s="195"/>
      <c r="C336" s="181"/>
      <c r="D336" s="194"/>
      <c r="E336" s="194"/>
      <c r="F336" s="181"/>
      <c r="G336" s="181"/>
      <c r="H336" s="181"/>
      <c r="I336" s="181"/>
      <c r="J336" s="181"/>
      <c r="K336" s="181"/>
      <c r="L336" s="181"/>
      <c r="M336" s="181"/>
      <c r="N336" s="181"/>
      <c r="O336" s="181"/>
      <c r="P336" s="181"/>
      <c r="Q336" s="181"/>
      <c r="R336" s="181"/>
      <c r="S336" s="181"/>
      <c r="T336" s="181"/>
      <c r="U336" s="181"/>
      <c r="V336" s="181"/>
      <c r="W336" s="181"/>
      <c r="X336" s="181"/>
      <c r="Y336" s="181"/>
      <c r="Z336" s="181"/>
    </row>
    <row r="337">
      <c r="A337" s="194"/>
      <c r="B337" s="195"/>
      <c r="C337" s="181"/>
      <c r="D337" s="194"/>
      <c r="E337" s="194"/>
      <c r="F337" s="181"/>
      <c r="G337" s="181"/>
      <c r="H337" s="181"/>
      <c r="I337" s="181"/>
      <c r="J337" s="181"/>
      <c r="K337" s="181"/>
      <c r="L337" s="181"/>
      <c r="M337" s="181"/>
      <c r="N337" s="181"/>
      <c r="O337" s="181"/>
      <c r="P337" s="181"/>
      <c r="Q337" s="181"/>
      <c r="R337" s="181"/>
      <c r="S337" s="181"/>
      <c r="T337" s="181"/>
      <c r="U337" s="181"/>
      <c r="V337" s="181"/>
      <c r="W337" s="181"/>
      <c r="X337" s="181"/>
      <c r="Y337" s="181"/>
      <c r="Z337" s="181"/>
    </row>
    <row r="338">
      <c r="A338" s="194"/>
      <c r="B338" s="195"/>
      <c r="C338" s="181"/>
      <c r="D338" s="194"/>
      <c r="E338" s="194"/>
      <c r="F338" s="181"/>
      <c r="G338" s="181"/>
      <c r="H338" s="181"/>
      <c r="I338" s="181"/>
      <c r="J338" s="181"/>
      <c r="K338" s="181"/>
      <c r="L338" s="181"/>
      <c r="M338" s="181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</row>
    <row r="339">
      <c r="A339" s="194"/>
      <c r="B339" s="195"/>
      <c r="C339" s="181"/>
      <c r="D339" s="194"/>
      <c r="E339" s="194"/>
      <c r="F339" s="181"/>
      <c r="G339" s="181"/>
      <c r="H339" s="181"/>
      <c r="I339" s="181"/>
      <c r="J339" s="181"/>
      <c r="K339" s="181"/>
      <c r="L339" s="181"/>
      <c r="M339" s="181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</row>
    <row r="340">
      <c r="A340" s="194"/>
      <c r="B340" s="195"/>
      <c r="C340" s="181"/>
      <c r="D340" s="194"/>
      <c r="E340" s="194"/>
      <c r="F340" s="181"/>
      <c r="G340" s="181"/>
      <c r="H340" s="181"/>
      <c r="I340" s="181"/>
      <c r="J340" s="181"/>
      <c r="K340" s="181"/>
      <c r="L340" s="181"/>
      <c r="M340" s="181"/>
      <c r="N340" s="181"/>
      <c r="O340" s="181"/>
      <c r="P340" s="181"/>
      <c r="Q340" s="181"/>
      <c r="R340" s="181"/>
      <c r="S340" s="181"/>
      <c r="T340" s="181"/>
      <c r="U340" s="181"/>
      <c r="V340" s="181"/>
      <c r="W340" s="181"/>
      <c r="X340" s="181"/>
      <c r="Y340" s="181"/>
      <c r="Z340" s="181"/>
    </row>
    <row r="341">
      <c r="A341" s="194"/>
      <c r="B341" s="195"/>
      <c r="C341" s="181"/>
      <c r="D341" s="194"/>
      <c r="E341" s="194"/>
      <c r="F341" s="181"/>
      <c r="G341" s="181"/>
      <c r="H341" s="181"/>
      <c r="I341" s="181"/>
      <c r="J341" s="181"/>
      <c r="K341" s="181"/>
      <c r="L341" s="181"/>
      <c r="M341" s="181"/>
      <c r="N341" s="181"/>
      <c r="O341" s="181"/>
      <c r="P341" s="181"/>
      <c r="Q341" s="181"/>
      <c r="R341" s="181"/>
      <c r="S341" s="181"/>
      <c r="T341" s="181"/>
      <c r="U341" s="181"/>
      <c r="V341" s="181"/>
      <c r="W341" s="181"/>
      <c r="X341" s="181"/>
      <c r="Y341" s="181"/>
      <c r="Z341" s="181"/>
    </row>
    <row r="342">
      <c r="A342" s="194"/>
      <c r="B342" s="195"/>
      <c r="C342" s="181"/>
      <c r="D342" s="194"/>
      <c r="E342" s="194"/>
      <c r="F342" s="181"/>
      <c r="G342" s="181"/>
      <c r="H342" s="181"/>
      <c r="I342" s="181"/>
      <c r="J342" s="181"/>
      <c r="K342" s="181"/>
      <c r="L342" s="181"/>
      <c r="M342" s="181"/>
      <c r="N342" s="181"/>
      <c r="O342" s="181"/>
      <c r="P342" s="181"/>
      <c r="Q342" s="181"/>
      <c r="R342" s="181"/>
      <c r="S342" s="181"/>
      <c r="T342" s="181"/>
      <c r="U342" s="181"/>
      <c r="V342" s="181"/>
      <c r="W342" s="181"/>
      <c r="X342" s="181"/>
      <c r="Y342" s="181"/>
      <c r="Z342" s="181"/>
    </row>
    <row r="343">
      <c r="A343" s="194"/>
      <c r="B343" s="195"/>
      <c r="C343" s="181"/>
      <c r="D343" s="194"/>
      <c r="E343" s="194"/>
      <c r="F343" s="181"/>
      <c r="G343" s="181"/>
      <c r="H343" s="181"/>
      <c r="I343" s="181"/>
      <c r="J343" s="181"/>
      <c r="K343" s="181"/>
      <c r="L343" s="181"/>
      <c r="M343" s="181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</row>
    <row r="344">
      <c r="A344" s="194"/>
      <c r="B344" s="195"/>
      <c r="C344" s="181"/>
      <c r="D344" s="194"/>
      <c r="E344" s="194"/>
      <c r="F344" s="181"/>
      <c r="G344" s="181"/>
      <c r="H344" s="181"/>
      <c r="I344" s="181"/>
      <c r="J344" s="181"/>
      <c r="K344" s="181"/>
      <c r="L344" s="181"/>
      <c r="M344" s="181"/>
      <c r="N344" s="181"/>
      <c r="O344" s="181"/>
      <c r="P344" s="181"/>
      <c r="Q344" s="181"/>
      <c r="R344" s="181"/>
      <c r="S344" s="181"/>
      <c r="T344" s="181"/>
      <c r="U344" s="181"/>
      <c r="V344" s="181"/>
      <c r="W344" s="181"/>
      <c r="X344" s="181"/>
      <c r="Y344" s="181"/>
      <c r="Z344" s="181"/>
    </row>
    <row r="345">
      <c r="A345" s="194"/>
      <c r="B345" s="195"/>
      <c r="C345" s="181"/>
      <c r="D345" s="194"/>
      <c r="E345" s="194"/>
      <c r="F345" s="181"/>
      <c r="G345" s="181"/>
      <c r="H345" s="181"/>
      <c r="I345" s="181"/>
      <c r="J345" s="181"/>
      <c r="K345" s="181"/>
      <c r="L345" s="181"/>
      <c r="M345" s="181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</row>
    <row r="346">
      <c r="A346" s="194"/>
      <c r="B346" s="195"/>
      <c r="C346" s="181"/>
      <c r="D346" s="194"/>
      <c r="E346" s="194"/>
      <c r="F346" s="181"/>
      <c r="G346" s="181"/>
      <c r="H346" s="181"/>
      <c r="I346" s="181"/>
      <c r="J346" s="181"/>
      <c r="K346" s="181"/>
      <c r="L346" s="181"/>
      <c r="M346" s="181"/>
      <c r="N346" s="181"/>
      <c r="O346" s="181"/>
      <c r="P346" s="181"/>
      <c r="Q346" s="181"/>
      <c r="R346" s="181"/>
      <c r="S346" s="181"/>
      <c r="T346" s="181"/>
      <c r="U346" s="181"/>
      <c r="V346" s="181"/>
      <c r="W346" s="181"/>
      <c r="X346" s="181"/>
      <c r="Y346" s="181"/>
      <c r="Z346" s="181"/>
    </row>
    <row r="347">
      <c r="A347" s="194"/>
      <c r="B347" s="195"/>
      <c r="C347" s="181"/>
      <c r="D347" s="194"/>
      <c r="E347" s="194"/>
      <c r="F347" s="181"/>
      <c r="G347" s="181"/>
      <c r="H347" s="181"/>
      <c r="I347" s="181"/>
      <c r="J347" s="181"/>
      <c r="K347" s="181"/>
      <c r="L347" s="181"/>
      <c r="M347" s="181"/>
      <c r="N347" s="181"/>
      <c r="O347" s="181"/>
      <c r="P347" s="181"/>
      <c r="Q347" s="181"/>
      <c r="R347" s="181"/>
      <c r="S347" s="181"/>
      <c r="T347" s="181"/>
      <c r="U347" s="181"/>
      <c r="V347" s="181"/>
      <c r="W347" s="181"/>
      <c r="X347" s="181"/>
      <c r="Y347" s="181"/>
      <c r="Z347" s="181"/>
    </row>
    <row r="348">
      <c r="A348" s="194"/>
      <c r="B348" s="195"/>
      <c r="C348" s="181"/>
      <c r="D348" s="194"/>
      <c r="E348" s="194"/>
      <c r="F348" s="181"/>
      <c r="G348" s="181"/>
      <c r="H348" s="181"/>
      <c r="I348" s="181"/>
      <c r="J348" s="181"/>
      <c r="K348" s="181"/>
      <c r="L348" s="181"/>
      <c r="M348" s="181"/>
      <c r="N348" s="181"/>
      <c r="O348" s="181"/>
      <c r="P348" s="181"/>
      <c r="Q348" s="181"/>
      <c r="R348" s="181"/>
      <c r="S348" s="181"/>
      <c r="T348" s="181"/>
      <c r="U348" s="181"/>
      <c r="V348" s="181"/>
      <c r="W348" s="181"/>
      <c r="X348" s="181"/>
      <c r="Y348" s="181"/>
      <c r="Z348" s="181"/>
    </row>
    <row r="349">
      <c r="A349" s="194"/>
      <c r="B349" s="195"/>
      <c r="C349" s="181"/>
      <c r="D349" s="194"/>
      <c r="E349" s="194"/>
      <c r="F349" s="181"/>
      <c r="G349" s="181"/>
      <c r="H349" s="181"/>
      <c r="I349" s="181"/>
      <c r="J349" s="181"/>
      <c r="K349" s="181"/>
      <c r="L349" s="181"/>
      <c r="M349" s="181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</row>
    <row r="350">
      <c r="A350" s="194"/>
      <c r="B350" s="195"/>
      <c r="C350" s="181"/>
      <c r="D350" s="194"/>
      <c r="E350" s="194"/>
      <c r="F350" s="181"/>
      <c r="G350" s="181"/>
      <c r="H350" s="181"/>
      <c r="I350" s="181"/>
      <c r="J350" s="181"/>
      <c r="K350" s="181"/>
      <c r="L350" s="181"/>
      <c r="M350" s="181"/>
      <c r="N350" s="181"/>
      <c r="O350" s="181"/>
      <c r="P350" s="181"/>
      <c r="Q350" s="181"/>
      <c r="R350" s="181"/>
      <c r="S350" s="181"/>
      <c r="T350" s="181"/>
      <c r="U350" s="181"/>
      <c r="V350" s="181"/>
      <c r="W350" s="181"/>
      <c r="X350" s="181"/>
      <c r="Y350" s="181"/>
      <c r="Z350" s="181"/>
    </row>
    <row r="351">
      <c r="A351" s="194"/>
      <c r="B351" s="195"/>
      <c r="C351" s="181"/>
      <c r="D351" s="194"/>
      <c r="E351" s="194"/>
      <c r="F351" s="181"/>
      <c r="G351" s="181"/>
      <c r="H351" s="181"/>
      <c r="I351" s="181"/>
      <c r="J351" s="181"/>
      <c r="K351" s="181"/>
      <c r="L351" s="181"/>
      <c r="M351" s="181"/>
      <c r="N351" s="181"/>
      <c r="O351" s="181"/>
      <c r="P351" s="181"/>
      <c r="Q351" s="181"/>
      <c r="R351" s="181"/>
      <c r="S351" s="181"/>
      <c r="T351" s="181"/>
      <c r="U351" s="181"/>
      <c r="V351" s="181"/>
      <c r="W351" s="181"/>
      <c r="X351" s="181"/>
      <c r="Y351" s="181"/>
      <c r="Z351" s="181"/>
    </row>
    <row r="352">
      <c r="A352" s="194"/>
      <c r="B352" s="195"/>
      <c r="C352" s="181"/>
      <c r="D352" s="194"/>
      <c r="E352" s="194"/>
      <c r="F352" s="181"/>
      <c r="G352" s="181"/>
      <c r="H352" s="181"/>
      <c r="I352" s="181"/>
      <c r="J352" s="181"/>
      <c r="K352" s="181"/>
      <c r="L352" s="181"/>
      <c r="M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</row>
    <row r="353">
      <c r="A353" s="194"/>
      <c r="B353" s="195"/>
      <c r="C353" s="181"/>
      <c r="D353" s="194"/>
      <c r="E353" s="194"/>
      <c r="F353" s="181"/>
      <c r="G353" s="181"/>
      <c r="H353" s="181"/>
      <c r="I353" s="181"/>
      <c r="J353" s="181"/>
      <c r="K353" s="181"/>
      <c r="L353" s="181"/>
      <c r="M353" s="181"/>
      <c r="N353" s="181"/>
      <c r="O353" s="181"/>
      <c r="P353" s="181"/>
      <c r="Q353" s="181"/>
      <c r="R353" s="181"/>
      <c r="S353" s="181"/>
      <c r="T353" s="181"/>
      <c r="U353" s="181"/>
      <c r="V353" s="181"/>
      <c r="W353" s="181"/>
      <c r="X353" s="181"/>
      <c r="Y353" s="181"/>
      <c r="Z353" s="181"/>
    </row>
    <row r="354">
      <c r="A354" s="194"/>
      <c r="B354" s="195"/>
      <c r="C354" s="181"/>
      <c r="D354" s="194"/>
      <c r="E354" s="194"/>
      <c r="F354" s="181"/>
      <c r="G354" s="181"/>
      <c r="H354" s="181"/>
      <c r="I354" s="181"/>
      <c r="J354" s="181"/>
      <c r="K354" s="181"/>
      <c r="L354" s="181"/>
      <c r="M354" s="181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</row>
    <row r="355">
      <c r="A355" s="194"/>
      <c r="B355" s="195"/>
      <c r="C355" s="181"/>
      <c r="D355" s="194"/>
      <c r="E355" s="194"/>
      <c r="F355" s="181"/>
      <c r="G355" s="181"/>
      <c r="H355" s="181"/>
      <c r="I355" s="181"/>
      <c r="J355" s="181"/>
      <c r="K355" s="181"/>
      <c r="L355" s="181"/>
      <c r="M355" s="181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</row>
    <row r="356">
      <c r="A356" s="194"/>
      <c r="B356" s="195"/>
      <c r="C356" s="181"/>
      <c r="D356" s="194"/>
      <c r="E356" s="194"/>
      <c r="F356" s="181"/>
      <c r="G356" s="181"/>
      <c r="H356" s="181"/>
      <c r="I356" s="181"/>
      <c r="J356" s="181"/>
      <c r="K356" s="181"/>
      <c r="L356" s="181"/>
      <c r="M356" s="18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</row>
    <row r="357">
      <c r="A357" s="194"/>
      <c r="B357" s="195"/>
      <c r="C357" s="181"/>
      <c r="D357" s="194"/>
      <c r="E357" s="194"/>
      <c r="F357" s="181"/>
      <c r="G357" s="181"/>
      <c r="H357" s="181"/>
      <c r="I357" s="181"/>
      <c r="J357" s="181"/>
      <c r="K357" s="181"/>
      <c r="L357" s="181"/>
      <c r="M357" s="181"/>
      <c r="N357" s="181"/>
      <c r="O357" s="181"/>
      <c r="P357" s="181"/>
      <c r="Q357" s="181"/>
      <c r="R357" s="181"/>
      <c r="S357" s="181"/>
      <c r="T357" s="181"/>
      <c r="U357" s="181"/>
      <c r="V357" s="181"/>
      <c r="W357" s="181"/>
      <c r="X357" s="181"/>
      <c r="Y357" s="181"/>
      <c r="Z357" s="181"/>
    </row>
    <row r="358">
      <c r="A358" s="194"/>
      <c r="B358" s="195"/>
      <c r="C358" s="181"/>
      <c r="D358" s="194"/>
      <c r="E358" s="194"/>
      <c r="F358" s="181"/>
      <c r="G358" s="181"/>
      <c r="H358" s="181"/>
      <c r="I358" s="181"/>
      <c r="J358" s="181"/>
      <c r="K358" s="181"/>
      <c r="L358" s="181"/>
      <c r="M358" s="181"/>
      <c r="N358" s="181"/>
      <c r="O358" s="181"/>
      <c r="P358" s="181"/>
      <c r="Q358" s="181"/>
      <c r="R358" s="181"/>
      <c r="S358" s="181"/>
      <c r="T358" s="181"/>
      <c r="U358" s="181"/>
      <c r="V358" s="181"/>
      <c r="W358" s="181"/>
      <c r="X358" s="181"/>
      <c r="Y358" s="181"/>
      <c r="Z358" s="181"/>
    </row>
    <row r="359">
      <c r="A359" s="194"/>
      <c r="B359" s="195"/>
      <c r="C359" s="181"/>
      <c r="D359" s="194"/>
      <c r="E359" s="194"/>
      <c r="F359" s="181"/>
      <c r="G359" s="181"/>
      <c r="H359" s="181"/>
      <c r="I359" s="181"/>
      <c r="J359" s="181"/>
      <c r="K359" s="181"/>
      <c r="L359" s="181"/>
      <c r="M359" s="181"/>
      <c r="N359" s="181"/>
      <c r="O359" s="181"/>
      <c r="P359" s="181"/>
      <c r="Q359" s="181"/>
      <c r="R359" s="181"/>
      <c r="S359" s="181"/>
      <c r="T359" s="181"/>
      <c r="U359" s="181"/>
      <c r="V359" s="181"/>
      <c r="W359" s="181"/>
      <c r="X359" s="181"/>
      <c r="Y359" s="181"/>
      <c r="Z359" s="181"/>
    </row>
    <row r="360">
      <c r="A360" s="194"/>
      <c r="B360" s="195"/>
      <c r="C360" s="181"/>
      <c r="D360" s="194"/>
      <c r="E360" s="194"/>
      <c r="F360" s="181"/>
      <c r="G360" s="181"/>
      <c r="H360" s="181"/>
      <c r="I360" s="181"/>
      <c r="J360" s="181"/>
      <c r="K360" s="181"/>
      <c r="L360" s="181"/>
      <c r="M360" s="181"/>
      <c r="N360" s="181"/>
      <c r="O360" s="181"/>
      <c r="P360" s="181"/>
      <c r="Q360" s="181"/>
      <c r="R360" s="181"/>
      <c r="S360" s="181"/>
      <c r="T360" s="181"/>
      <c r="U360" s="181"/>
      <c r="V360" s="181"/>
      <c r="W360" s="181"/>
      <c r="X360" s="181"/>
      <c r="Y360" s="181"/>
      <c r="Z360" s="181"/>
    </row>
    <row r="361">
      <c r="A361" s="194"/>
      <c r="B361" s="195"/>
      <c r="C361" s="181"/>
      <c r="D361" s="194"/>
      <c r="E361" s="194"/>
      <c r="F361" s="181"/>
      <c r="G361" s="181"/>
      <c r="H361" s="181"/>
      <c r="I361" s="181"/>
      <c r="J361" s="181"/>
      <c r="K361" s="181"/>
      <c r="L361" s="181"/>
      <c r="M361" s="181"/>
      <c r="N361" s="181"/>
      <c r="O361" s="181"/>
      <c r="P361" s="181"/>
      <c r="Q361" s="181"/>
      <c r="R361" s="181"/>
      <c r="S361" s="181"/>
      <c r="T361" s="181"/>
      <c r="U361" s="181"/>
      <c r="V361" s="181"/>
      <c r="W361" s="181"/>
      <c r="X361" s="181"/>
      <c r="Y361" s="181"/>
      <c r="Z361" s="181"/>
    </row>
    <row r="362">
      <c r="A362" s="194"/>
      <c r="B362" s="195"/>
      <c r="C362" s="181"/>
      <c r="D362" s="194"/>
      <c r="E362" s="194"/>
      <c r="F362" s="181"/>
      <c r="G362" s="181"/>
      <c r="H362" s="181"/>
      <c r="I362" s="181"/>
      <c r="J362" s="181"/>
      <c r="K362" s="181"/>
      <c r="L362" s="181"/>
      <c r="M362" s="181"/>
      <c r="N362" s="181"/>
      <c r="O362" s="181"/>
      <c r="P362" s="181"/>
      <c r="Q362" s="181"/>
      <c r="R362" s="181"/>
      <c r="S362" s="181"/>
      <c r="T362" s="181"/>
      <c r="U362" s="181"/>
      <c r="V362" s="181"/>
      <c r="W362" s="181"/>
      <c r="X362" s="181"/>
      <c r="Y362" s="181"/>
      <c r="Z362" s="181"/>
    </row>
    <row r="363">
      <c r="A363" s="194"/>
      <c r="B363" s="195"/>
      <c r="C363" s="181"/>
      <c r="D363" s="194"/>
      <c r="E363" s="194"/>
      <c r="F363" s="181"/>
      <c r="G363" s="181"/>
      <c r="H363" s="181"/>
      <c r="I363" s="181"/>
      <c r="J363" s="181"/>
      <c r="K363" s="181"/>
      <c r="L363" s="181"/>
      <c r="M363" s="181"/>
      <c r="N363" s="181"/>
      <c r="O363" s="181"/>
      <c r="P363" s="181"/>
      <c r="Q363" s="181"/>
      <c r="R363" s="181"/>
      <c r="S363" s="181"/>
      <c r="T363" s="181"/>
      <c r="U363" s="181"/>
      <c r="V363" s="181"/>
      <c r="W363" s="181"/>
      <c r="X363" s="181"/>
      <c r="Y363" s="181"/>
      <c r="Z363" s="181"/>
    </row>
    <row r="364">
      <c r="A364" s="194"/>
      <c r="B364" s="195"/>
      <c r="C364" s="181"/>
      <c r="D364" s="194"/>
      <c r="E364" s="194"/>
      <c r="F364" s="181"/>
      <c r="G364" s="181"/>
      <c r="H364" s="181"/>
      <c r="I364" s="181"/>
      <c r="J364" s="181"/>
      <c r="K364" s="181"/>
      <c r="L364" s="181"/>
      <c r="M364" s="181"/>
      <c r="N364" s="181"/>
      <c r="O364" s="181"/>
      <c r="P364" s="181"/>
      <c r="Q364" s="181"/>
      <c r="R364" s="181"/>
      <c r="S364" s="181"/>
      <c r="T364" s="181"/>
      <c r="U364" s="181"/>
      <c r="V364" s="181"/>
      <c r="W364" s="181"/>
      <c r="X364" s="181"/>
      <c r="Y364" s="181"/>
      <c r="Z364" s="181"/>
    </row>
    <row r="365">
      <c r="A365" s="194"/>
      <c r="B365" s="195"/>
      <c r="C365" s="181"/>
      <c r="D365" s="194"/>
      <c r="E365" s="194"/>
      <c r="F365" s="181"/>
      <c r="G365" s="181"/>
      <c r="H365" s="181"/>
      <c r="I365" s="181"/>
      <c r="J365" s="181"/>
      <c r="K365" s="181"/>
      <c r="L365" s="181"/>
      <c r="M365" s="181"/>
      <c r="N365" s="181"/>
      <c r="O365" s="181"/>
      <c r="P365" s="181"/>
      <c r="Q365" s="181"/>
      <c r="R365" s="181"/>
      <c r="S365" s="181"/>
      <c r="T365" s="181"/>
      <c r="U365" s="181"/>
      <c r="V365" s="181"/>
      <c r="W365" s="181"/>
      <c r="X365" s="181"/>
      <c r="Y365" s="181"/>
      <c r="Z365" s="181"/>
    </row>
    <row r="366">
      <c r="A366" s="194"/>
      <c r="B366" s="195"/>
      <c r="C366" s="181"/>
      <c r="D366" s="194"/>
      <c r="E366" s="194"/>
      <c r="F366" s="181"/>
      <c r="G366" s="181"/>
      <c r="H366" s="181"/>
      <c r="I366" s="181"/>
      <c r="J366" s="181"/>
      <c r="K366" s="181"/>
      <c r="L366" s="181"/>
      <c r="M366" s="181"/>
      <c r="N366" s="181"/>
      <c r="O366" s="181"/>
      <c r="P366" s="181"/>
      <c r="Q366" s="181"/>
      <c r="R366" s="181"/>
      <c r="S366" s="181"/>
      <c r="T366" s="181"/>
      <c r="U366" s="181"/>
      <c r="V366" s="181"/>
      <c r="W366" s="181"/>
      <c r="X366" s="181"/>
      <c r="Y366" s="181"/>
      <c r="Z366" s="181"/>
    </row>
    <row r="367">
      <c r="A367" s="194"/>
      <c r="B367" s="195"/>
      <c r="C367" s="181"/>
      <c r="D367" s="194"/>
      <c r="E367" s="194"/>
      <c r="F367" s="181"/>
      <c r="G367" s="181"/>
      <c r="H367" s="181"/>
      <c r="I367" s="181"/>
      <c r="J367" s="181"/>
      <c r="K367" s="181"/>
      <c r="L367" s="181"/>
      <c r="M367" s="181"/>
      <c r="N367" s="181"/>
      <c r="O367" s="181"/>
      <c r="P367" s="181"/>
      <c r="Q367" s="181"/>
      <c r="R367" s="181"/>
      <c r="S367" s="181"/>
      <c r="T367" s="181"/>
      <c r="U367" s="181"/>
      <c r="V367" s="181"/>
      <c r="W367" s="181"/>
      <c r="X367" s="181"/>
      <c r="Y367" s="181"/>
      <c r="Z367" s="181"/>
    </row>
    <row r="368">
      <c r="A368" s="194"/>
      <c r="B368" s="195"/>
      <c r="C368" s="181"/>
      <c r="D368" s="194"/>
      <c r="E368" s="194"/>
      <c r="F368" s="181"/>
      <c r="G368" s="181"/>
      <c r="H368" s="181"/>
      <c r="I368" s="181"/>
      <c r="J368" s="181"/>
      <c r="K368" s="181"/>
      <c r="L368" s="181"/>
      <c r="M368" s="181"/>
      <c r="N368" s="181"/>
      <c r="O368" s="181"/>
      <c r="P368" s="181"/>
      <c r="Q368" s="181"/>
      <c r="R368" s="181"/>
      <c r="S368" s="181"/>
      <c r="T368" s="181"/>
      <c r="U368" s="181"/>
      <c r="V368" s="181"/>
      <c r="W368" s="181"/>
      <c r="X368" s="181"/>
      <c r="Y368" s="181"/>
      <c r="Z368" s="181"/>
    </row>
    <row r="369">
      <c r="A369" s="194"/>
      <c r="B369" s="195"/>
      <c r="C369" s="181"/>
      <c r="D369" s="194"/>
      <c r="E369" s="194"/>
      <c r="F369" s="181"/>
      <c r="G369" s="181"/>
      <c r="H369" s="181"/>
      <c r="I369" s="181"/>
      <c r="J369" s="181"/>
      <c r="K369" s="181"/>
      <c r="L369" s="181"/>
      <c r="M369" s="181"/>
      <c r="N369" s="181"/>
      <c r="O369" s="181"/>
      <c r="P369" s="181"/>
      <c r="Q369" s="181"/>
      <c r="R369" s="181"/>
      <c r="S369" s="181"/>
      <c r="T369" s="181"/>
      <c r="U369" s="181"/>
      <c r="V369" s="181"/>
      <c r="W369" s="181"/>
      <c r="X369" s="181"/>
      <c r="Y369" s="181"/>
      <c r="Z369" s="181"/>
    </row>
    <row r="370">
      <c r="A370" s="194"/>
      <c r="B370" s="195"/>
      <c r="C370" s="181"/>
      <c r="D370" s="194"/>
      <c r="E370" s="194"/>
      <c r="F370" s="181"/>
      <c r="G370" s="181"/>
      <c r="H370" s="181"/>
      <c r="I370" s="181"/>
      <c r="J370" s="181"/>
      <c r="K370" s="181"/>
      <c r="L370" s="181"/>
      <c r="M370" s="181"/>
      <c r="N370" s="181"/>
      <c r="O370" s="181"/>
      <c r="P370" s="181"/>
      <c r="Q370" s="181"/>
      <c r="R370" s="181"/>
      <c r="S370" s="181"/>
      <c r="T370" s="181"/>
      <c r="U370" s="181"/>
      <c r="V370" s="181"/>
      <c r="W370" s="181"/>
      <c r="X370" s="181"/>
      <c r="Y370" s="181"/>
      <c r="Z370" s="181"/>
    </row>
    <row r="371">
      <c r="A371" s="194"/>
      <c r="B371" s="195"/>
      <c r="C371" s="181"/>
      <c r="D371" s="194"/>
      <c r="E371" s="194"/>
      <c r="F371" s="181"/>
      <c r="G371" s="181"/>
      <c r="H371" s="181"/>
      <c r="I371" s="181"/>
      <c r="J371" s="181"/>
      <c r="K371" s="181"/>
      <c r="L371" s="181"/>
      <c r="M371" s="181"/>
      <c r="N371" s="181"/>
      <c r="O371" s="181"/>
      <c r="P371" s="181"/>
      <c r="Q371" s="181"/>
      <c r="R371" s="181"/>
      <c r="S371" s="181"/>
      <c r="T371" s="181"/>
      <c r="U371" s="181"/>
      <c r="V371" s="181"/>
      <c r="W371" s="181"/>
      <c r="X371" s="181"/>
      <c r="Y371" s="181"/>
      <c r="Z371" s="181"/>
    </row>
    <row r="372">
      <c r="A372" s="194"/>
      <c r="B372" s="195"/>
      <c r="C372" s="181"/>
      <c r="D372" s="194"/>
      <c r="E372" s="194"/>
      <c r="F372" s="181"/>
      <c r="G372" s="181"/>
      <c r="H372" s="181"/>
      <c r="I372" s="181"/>
      <c r="J372" s="181"/>
      <c r="K372" s="181"/>
      <c r="L372" s="181"/>
      <c r="M372" s="181"/>
      <c r="N372" s="181"/>
      <c r="O372" s="181"/>
      <c r="P372" s="181"/>
      <c r="Q372" s="181"/>
      <c r="R372" s="181"/>
      <c r="S372" s="181"/>
      <c r="T372" s="181"/>
      <c r="U372" s="181"/>
      <c r="V372" s="181"/>
      <c r="W372" s="181"/>
      <c r="X372" s="181"/>
      <c r="Y372" s="181"/>
      <c r="Z372" s="181"/>
    </row>
    <row r="373">
      <c r="A373" s="194"/>
      <c r="B373" s="195"/>
      <c r="C373" s="181"/>
      <c r="D373" s="194"/>
      <c r="E373" s="194"/>
      <c r="F373" s="181"/>
      <c r="G373" s="181"/>
      <c r="H373" s="181"/>
      <c r="I373" s="181"/>
      <c r="J373" s="181"/>
      <c r="K373" s="181"/>
      <c r="L373" s="181"/>
      <c r="M373" s="181"/>
      <c r="N373" s="181"/>
      <c r="O373" s="181"/>
      <c r="P373" s="181"/>
      <c r="Q373" s="181"/>
      <c r="R373" s="181"/>
      <c r="S373" s="181"/>
      <c r="T373" s="181"/>
      <c r="U373" s="181"/>
      <c r="V373" s="181"/>
      <c r="W373" s="181"/>
      <c r="X373" s="181"/>
      <c r="Y373" s="181"/>
      <c r="Z373" s="181"/>
    </row>
    <row r="374">
      <c r="A374" s="194"/>
      <c r="B374" s="195"/>
      <c r="C374" s="181"/>
      <c r="D374" s="194"/>
      <c r="E374" s="194"/>
      <c r="F374" s="181"/>
      <c r="G374" s="181"/>
      <c r="H374" s="181"/>
      <c r="I374" s="181"/>
      <c r="J374" s="181"/>
      <c r="K374" s="181"/>
      <c r="L374" s="181"/>
      <c r="M374" s="181"/>
      <c r="N374" s="181"/>
      <c r="O374" s="181"/>
      <c r="P374" s="181"/>
      <c r="Q374" s="181"/>
      <c r="R374" s="181"/>
      <c r="S374" s="181"/>
      <c r="T374" s="181"/>
      <c r="U374" s="181"/>
      <c r="V374" s="181"/>
      <c r="W374" s="181"/>
      <c r="X374" s="181"/>
      <c r="Y374" s="181"/>
      <c r="Z374" s="181"/>
    </row>
    <row r="375">
      <c r="A375" s="194"/>
      <c r="B375" s="195"/>
      <c r="C375" s="181"/>
      <c r="D375" s="194"/>
      <c r="E375" s="194"/>
      <c r="F375" s="181"/>
      <c r="G375" s="181"/>
      <c r="H375" s="181"/>
      <c r="I375" s="181"/>
      <c r="J375" s="181"/>
      <c r="K375" s="181"/>
      <c r="L375" s="181"/>
      <c r="M375" s="181"/>
      <c r="N375" s="181"/>
      <c r="O375" s="181"/>
      <c r="P375" s="181"/>
      <c r="Q375" s="181"/>
      <c r="R375" s="181"/>
      <c r="S375" s="181"/>
      <c r="T375" s="181"/>
      <c r="U375" s="181"/>
      <c r="V375" s="181"/>
      <c r="W375" s="181"/>
      <c r="X375" s="181"/>
      <c r="Y375" s="181"/>
      <c r="Z375" s="181"/>
    </row>
    <row r="376">
      <c r="A376" s="194"/>
      <c r="B376" s="195"/>
      <c r="C376" s="181"/>
      <c r="D376" s="194"/>
      <c r="E376" s="194"/>
      <c r="F376" s="181"/>
      <c r="G376" s="181"/>
      <c r="H376" s="181"/>
      <c r="I376" s="181"/>
      <c r="J376" s="181"/>
      <c r="K376" s="181"/>
      <c r="L376" s="181"/>
      <c r="M376" s="181"/>
      <c r="N376" s="181"/>
      <c r="O376" s="181"/>
      <c r="P376" s="181"/>
      <c r="Q376" s="181"/>
      <c r="R376" s="181"/>
      <c r="S376" s="181"/>
      <c r="T376" s="181"/>
      <c r="U376" s="181"/>
      <c r="V376" s="181"/>
      <c r="W376" s="181"/>
      <c r="X376" s="181"/>
      <c r="Y376" s="181"/>
      <c r="Z376" s="181"/>
    </row>
    <row r="377">
      <c r="A377" s="194"/>
      <c r="B377" s="195"/>
      <c r="C377" s="181"/>
      <c r="D377" s="194"/>
      <c r="E377" s="194"/>
      <c r="F377" s="181"/>
      <c r="G377" s="181"/>
      <c r="H377" s="181"/>
      <c r="I377" s="181"/>
      <c r="J377" s="181"/>
      <c r="K377" s="181"/>
      <c r="L377" s="181"/>
      <c r="M377" s="181"/>
      <c r="N377" s="181"/>
      <c r="O377" s="181"/>
      <c r="P377" s="181"/>
      <c r="Q377" s="181"/>
      <c r="R377" s="181"/>
      <c r="S377" s="181"/>
      <c r="T377" s="181"/>
      <c r="U377" s="181"/>
      <c r="V377" s="181"/>
      <c r="W377" s="181"/>
      <c r="X377" s="181"/>
      <c r="Y377" s="181"/>
      <c r="Z377" s="181"/>
    </row>
    <row r="378">
      <c r="A378" s="194"/>
      <c r="B378" s="195"/>
      <c r="C378" s="181"/>
      <c r="D378" s="194"/>
      <c r="E378" s="194"/>
      <c r="F378" s="181"/>
      <c r="G378" s="181"/>
      <c r="H378" s="181"/>
      <c r="I378" s="181"/>
      <c r="J378" s="181"/>
      <c r="K378" s="181"/>
      <c r="L378" s="181"/>
      <c r="M378" s="181"/>
      <c r="N378" s="181"/>
      <c r="O378" s="181"/>
      <c r="P378" s="181"/>
      <c r="Q378" s="181"/>
      <c r="R378" s="181"/>
      <c r="S378" s="181"/>
      <c r="T378" s="181"/>
      <c r="U378" s="181"/>
      <c r="V378" s="181"/>
      <c r="W378" s="181"/>
      <c r="X378" s="181"/>
      <c r="Y378" s="181"/>
      <c r="Z378" s="181"/>
    </row>
    <row r="379">
      <c r="A379" s="194"/>
      <c r="B379" s="195"/>
      <c r="C379" s="181"/>
      <c r="D379" s="194"/>
      <c r="E379" s="194"/>
      <c r="F379" s="181"/>
      <c r="G379" s="181"/>
      <c r="H379" s="181"/>
      <c r="I379" s="181"/>
      <c r="J379" s="181"/>
      <c r="K379" s="181"/>
      <c r="L379" s="181"/>
      <c r="M379" s="181"/>
      <c r="N379" s="181"/>
      <c r="O379" s="181"/>
      <c r="P379" s="181"/>
      <c r="Q379" s="181"/>
      <c r="R379" s="181"/>
      <c r="S379" s="181"/>
      <c r="T379" s="181"/>
      <c r="U379" s="181"/>
      <c r="V379" s="181"/>
      <c r="W379" s="181"/>
      <c r="X379" s="181"/>
      <c r="Y379" s="181"/>
      <c r="Z379" s="181"/>
    </row>
    <row r="380">
      <c r="A380" s="194"/>
      <c r="B380" s="195"/>
      <c r="C380" s="181"/>
      <c r="D380" s="194"/>
      <c r="E380" s="194"/>
      <c r="F380" s="181"/>
      <c r="G380" s="181"/>
      <c r="H380" s="181"/>
      <c r="I380" s="181"/>
      <c r="J380" s="181"/>
      <c r="K380" s="181"/>
      <c r="L380" s="181"/>
      <c r="M380" s="181"/>
      <c r="N380" s="181"/>
      <c r="O380" s="181"/>
      <c r="P380" s="181"/>
      <c r="Q380" s="181"/>
      <c r="R380" s="181"/>
      <c r="S380" s="181"/>
      <c r="T380" s="181"/>
      <c r="U380" s="181"/>
      <c r="V380" s="181"/>
      <c r="W380" s="181"/>
      <c r="X380" s="181"/>
      <c r="Y380" s="181"/>
      <c r="Z380" s="181"/>
    </row>
    <row r="381">
      <c r="A381" s="194"/>
      <c r="B381" s="195"/>
      <c r="C381" s="181"/>
      <c r="D381" s="194"/>
      <c r="E381" s="194"/>
      <c r="F381" s="181"/>
      <c r="G381" s="181"/>
      <c r="H381" s="181"/>
      <c r="I381" s="181"/>
      <c r="J381" s="181"/>
      <c r="K381" s="181"/>
      <c r="L381" s="181"/>
      <c r="M381" s="181"/>
      <c r="N381" s="181"/>
      <c r="O381" s="181"/>
      <c r="P381" s="181"/>
      <c r="Q381" s="181"/>
      <c r="R381" s="181"/>
      <c r="S381" s="181"/>
      <c r="T381" s="181"/>
      <c r="U381" s="181"/>
      <c r="V381" s="181"/>
      <c r="W381" s="181"/>
      <c r="X381" s="181"/>
      <c r="Y381" s="181"/>
      <c r="Z381" s="181"/>
    </row>
    <row r="382">
      <c r="A382" s="194"/>
      <c r="B382" s="195"/>
      <c r="C382" s="181"/>
      <c r="D382" s="194"/>
      <c r="E382" s="194"/>
      <c r="F382" s="181"/>
      <c r="G382" s="181"/>
      <c r="H382" s="181"/>
      <c r="I382" s="181"/>
      <c r="J382" s="181"/>
      <c r="K382" s="181"/>
      <c r="L382" s="181"/>
      <c r="M382" s="181"/>
      <c r="N382" s="181"/>
      <c r="O382" s="181"/>
      <c r="P382" s="181"/>
      <c r="Q382" s="181"/>
      <c r="R382" s="181"/>
      <c r="S382" s="181"/>
      <c r="T382" s="181"/>
      <c r="U382" s="181"/>
      <c r="V382" s="181"/>
      <c r="W382" s="181"/>
      <c r="X382" s="181"/>
      <c r="Y382" s="181"/>
      <c r="Z382" s="181"/>
    </row>
    <row r="383">
      <c r="A383" s="194"/>
      <c r="B383" s="195"/>
      <c r="C383" s="181"/>
      <c r="D383" s="194"/>
      <c r="E383" s="194"/>
      <c r="F383" s="181"/>
      <c r="G383" s="181"/>
      <c r="H383" s="181"/>
      <c r="I383" s="181"/>
      <c r="J383" s="181"/>
      <c r="K383" s="181"/>
      <c r="L383" s="181"/>
      <c r="M383" s="181"/>
      <c r="N383" s="181"/>
      <c r="O383" s="181"/>
      <c r="P383" s="181"/>
      <c r="Q383" s="181"/>
      <c r="R383" s="181"/>
      <c r="S383" s="181"/>
      <c r="T383" s="181"/>
      <c r="U383" s="181"/>
      <c r="V383" s="181"/>
      <c r="W383" s="181"/>
      <c r="X383" s="181"/>
      <c r="Y383" s="181"/>
      <c r="Z383" s="181"/>
    </row>
    <row r="384">
      <c r="A384" s="194"/>
      <c r="B384" s="195"/>
      <c r="C384" s="181"/>
      <c r="D384" s="194"/>
      <c r="E384" s="194"/>
      <c r="F384" s="181"/>
      <c r="G384" s="181"/>
      <c r="H384" s="181"/>
      <c r="I384" s="181"/>
      <c r="J384" s="181"/>
      <c r="K384" s="181"/>
      <c r="L384" s="181"/>
      <c r="M384" s="181"/>
      <c r="N384" s="181"/>
      <c r="O384" s="181"/>
      <c r="P384" s="181"/>
      <c r="Q384" s="181"/>
      <c r="R384" s="181"/>
      <c r="S384" s="181"/>
      <c r="T384" s="181"/>
      <c r="U384" s="181"/>
      <c r="V384" s="181"/>
      <c r="W384" s="181"/>
      <c r="X384" s="181"/>
      <c r="Y384" s="181"/>
      <c r="Z384" s="181"/>
    </row>
    <row r="385">
      <c r="A385" s="194"/>
      <c r="B385" s="195"/>
      <c r="C385" s="181"/>
      <c r="D385" s="194"/>
      <c r="E385" s="194"/>
      <c r="F385" s="181"/>
      <c r="G385" s="181"/>
      <c r="H385" s="181"/>
      <c r="I385" s="181"/>
      <c r="J385" s="181"/>
      <c r="K385" s="181"/>
      <c r="L385" s="181"/>
      <c r="M385" s="181"/>
      <c r="N385" s="181"/>
      <c r="O385" s="181"/>
      <c r="P385" s="181"/>
      <c r="Q385" s="181"/>
      <c r="R385" s="181"/>
      <c r="S385" s="181"/>
      <c r="T385" s="181"/>
      <c r="U385" s="181"/>
      <c r="V385" s="181"/>
      <c r="W385" s="181"/>
      <c r="X385" s="181"/>
      <c r="Y385" s="181"/>
      <c r="Z385" s="181"/>
    </row>
    <row r="386">
      <c r="A386" s="194"/>
      <c r="B386" s="195"/>
      <c r="C386" s="181"/>
      <c r="D386" s="194"/>
      <c r="E386" s="194"/>
      <c r="F386" s="181"/>
      <c r="G386" s="181"/>
      <c r="H386" s="181"/>
      <c r="I386" s="181"/>
      <c r="J386" s="181"/>
      <c r="K386" s="181"/>
      <c r="L386" s="181"/>
      <c r="M386" s="181"/>
      <c r="N386" s="181"/>
      <c r="O386" s="181"/>
      <c r="P386" s="181"/>
      <c r="Q386" s="181"/>
      <c r="R386" s="181"/>
      <c r="S386" s="181"/>
      <c r="T386" s="181"/>
      <c r="U386" s="181"/>
      <c r="V386" s="181"/>
      <c r="W386" s="181"/>
      <c r="X386" s="181"/>
      <c r="Y386" s="181"/>
      <c r="Z386" s="181"/>
    </row>
    <row r="387">
      <c r="A387" s="194"/>
      <c r="B387" s="195"/>
      <c r="C387" s="181"/>
      <c r="D387" s="194"/>
      <c r="E387" s="194"/>
      <c r="F387" s="181"/>
      <c r="G387" s="181"/>
      <c r="H387" s="181"/>
      <c r="I387" s="181"/>
      <c r="J387" s="181"/>
      <c r="K387" s="181"/>
      <c r="L387" s="181"/>
      <c r="M387" s="181"/>
      <c r="N387" s="181"/>
      <c r="O387" s="181"/>
      <c r="P387" s="181"/>
      <c r="Q387" s="181"/>
      <c r="R387" s="181"/>
      <c r="S387" s="181"/>
      <c r="T387" s="181"/>
      <c r="U387" s="181"/>
      <c r="V387" s="181"/>
      <c r="W387" s="181"/>
      <c r="X387" s="181"/>
      <c r="Y387" s="181"/>
      <c r="Z387" s="181"/>
    </row>
    <row r="388">
      <c r="A388" s="194"/>
      <c r="B388" s="195"/>
      <c r="C388" s="181"/>
      <c r="D388" s="194"/>
      <c r="E388" s="194"/>
      <c r="F388" s="181"/>
      <c r="G388" s="181"/>
      <c r="H388" s="181"/>
      <c r="I388" s="181"/>
      <c r="J388" s="181"/>
      <c r="K388" s="181"/>
      <c r="L388" s="181"/>
      <c r="M388" s="181"/>
      <c r="N388" s="181"/>
      <c r="O388" s="181"/>
      <c r="P388" s="181"/>
      <c r="Q388" s="181"/>
      <c r="R388" s="181"/>
      <c r="S388" s="181"/>
      <c r="T388" s="181"/>
      <c r="U388" s="181"/>
      <c r="V388" s="181"/>
      <c r="W388" s="181"/>
      <c r="X388" s="181"/>
      <c r="Y388" s="181"/>
      <c r="Z388" s="181"/>
    </row>
    <row r="389">
      <c r="A389" s="194"/>
      <c r="B389" s="195"/>
      <c r="C389" s="181"/>
      <c r="D389" s="194"/>
      <c r="E389" s="194"/>
      <c r="F389" s="181"/>
      <c r="G389" s="181"/>
      <c r="H389" s="181"/>
      <c r="I389" s="181"/>
      <c r="J389" s="181"/>
      <c r="K389" s="181"/>
      <c r="L389" s="181"/>
      <c r="M389" s="181"/>
      <c r="N389" s="181"/>
      <c r="O389" s="181"/>
      <c r="P389" s="181"/>
      <c r="Q389" s="181"/>
      <c r="R389" s="181"/>
      <c r="S389" s="181"/>
      <c r="T389" s="181"/>
      <c r="U389" s="181"/>
      <c r="V389" s="181"/>
      <c r="W389" s="181"/>
      <c r="X389" s="181"/>
      <c r="Y389" s="181"/>
      <c r="Z389" s="181"/>
    </row>
    <row r="390">
      <c r="A390" s="194"/>
      <c r="B390" s="195"/>
      <c r="C390" s="181"/>
      <c r="D390" s="194"/>
      <c r="E390" s="194"/>
      <c r="F390" s="181"/>
      <c r="G390" s="181"/>
      <c r="H390" s="181"/>
      <c r="I390" s="181"/>
      <c r="J390" s="181"/>
      <c r="K390" s="181"/>
      <c r="L390" s="181"/>
      <c r="M390" s="181"/>
      <c r="N390" s="181"/>
      <c r="O390" s="181"/>
      <c r="P390" s="181"/>
      <c r="Q390" s="181"/>
      <c r="R390" s="181"/>
      <c r="S390" s="181"/>
      <c r="T390" s="181"/>
      <c r="U390" s="181"/>
      <c r="V390" s="181"/>
      <c r="W390" s="181"/>
      <c r="X390" s="181"/>
      <c r="Y390" s="181"/>
      <c r="Z390" s="181"/>
    </row>
    <row r="391">
      <c r="A391" s="194"/>
      <c r="B391" s="195"/>
      <c r="C391" s="181"/>
      <c r="D391" s="194"/>
      <c r="E391" s="194"/>
      <c r="F391" s="181"/>
      <c r="G391" s="181"/>
      <c r="H391" s="181"/>
      <c r="I391" s="181"/>
      <c r="J391" s="181"/>
      <c r="K391" s="181"/>
      <c r="L391" s="181"/>
      <c r="M391" s="181"/>
      <c r="N391" s="181"/>
      <c r="O391" s="181"/>
      <c r="P391" s="181"/>
      <c r="Q391" s="181"/>
      <c r="R391" s="181"/>
      <c r="S391" s="181"/>
      <c r="T391" s="181"/>
      <c r="U391" s="181"/>
      <c r="V391" s="181"/>
      <c r="W391" s="181"/>
      <c r="X391" s="181"/>
      <c r="Y391" s="181"/>
      <c r="Z391" s="181"/>
    </row>
    <row r="392">
      <c r="A392" s="194"/>
      <c r="B392" s="195"/>
      <c r="C392" s="181"/>
      <c r="D392" s="194"/>
      <c r="E392" s="194"/>
      <c r="F392" s="181"/>
      <c r="G392" s="181"/>
      <c r="H392" s="181"/>
      <c r="I392" s="181"/>
      <c r="J392" s="181"/>
      <c r="K392" s="181"/>
      <c r="L392" s="181"/>
      <c r="M392" s="181"/>
      <c r="N392" s="181"/>
      <c r="O392" s="181"/>
      <c r="P392" s="181"/>
      <c r="Q392" s="181"/>
      <c r="R392" s="181"/>
      <c r="S392" s="181"/>
      <c r="T392" s="181"/>
      <c r="U392" s="181"/>
      <c r="V392" s="181"/>
      <c r="W392" s="181"/>
      <c r="X392" s="181"/>
      <c r="Y392" s="181"/>
      <c r="Z392" s="181"/>
    </row>
    <row r="393">
      <c r="A393" s="194"/>
      <c r="B393" s="195"/>
      <c r="C393" s="181"/>
      <c r="D393" s="194"/>
      <c r="E393" s="194"/>
      <c r="F393" s="181"/>
      <c r="G393" s="181"/>
      <c r="H393" s="181"/>
      <c r="I393" s="181"/>
      <c r="J393" s="181"/>
      <c r="K393" s="181"/>
      <c r="L393" s="181"/>
      <c r="M393" s="181"/>
      <c r="N393" s="181"/>
      <c r="O393" s="181"/>
      <c r="P393" s="181"/>
      <c r="Q393" s="181"/>
      <c r="R393" s="181"/>
      <c r="S393" s="181"/>
      <c r="T393" s="181"/>
      <c r="U393" s="181"/>
      <c r="V393" s="181"/>
      <c r="W393" s="181"/>
      <c r="X393" s="181"/>
      <c r="Y393" s="181"/>
      <c r="Z393" s="181"/>
    </row>
    <row r="394">
      <c r="A394" s="194"/>
      <c r="B394" s="195"/>
      <c r="C394" s="181"/>
      <c r="D394" s="194"/>
      <c r="E394" s="194"/>
      <c r="F394" s="181"/>
      <c r="G394" s="181"/>
      <c r="H394" s="181"/>
      <c r="I394" s="181"/>
      <c r="J394" s="181"/>
      <c r="K394" s="181"/>
      <c r="L394" s="181"/>
      <c r="M394" s="181"/>
      <c r="N394" s="181"/>
      <c r="O394" s="181"/>
      <c r="P394" s="181"/>
      <c r="Q394" s="181"/>
      <c r="R394" s="181"/>
      <c r="S394" s="181"/>
      <c r="T394" s="181"/>
      <c r="U394" s="181"/>
      <c r="V394" s="181"/>
      <c r="W394" s="181"/>
      <c r="X394" s="181"/>
      <c r="Y394" s="181"/>
      <c r="Z394" s="181"/>
    </row>
    <row r="395">
      <c r="A395" s="194"/>
      <c r="B395" s="195"/>
      <c r="C395" s="181"/>
      <c r="D395" s="194"/>
      <c r="E395" s="194"/>
      <c r="F395" s="181"/>
      <c r="G395" s="181"/>
      <c r="H395" s="181"/>
      <c r="I395" s="181"/>
      <c r="J395" s="181"/>
      <c r="K395" s="181"/>
      <c r="L395" s="181"/>
      <c r="M395" s="181"/>
      <c r="N395" s="181"/>
      <c r="O395" s="181"/>
      <c r="P395" s="181"/>
      <c r="Q395" s="181"/>
      <c r="R395" s="181"/>
      <c r="S395" s="181"/>
      <c r="T395" s="181"/>
      <c r="U395" s="181"/>
      <c r="V395" s="181"/>
      <c r="W395" s="181"/>
      <c r="X395" s="181"/>
      <c r="Y395" s="181"/>
      <c r="Z395" s="181"/>
    </row>
    <row r="396">
      <c r="A396" s="194"/>
      <c r="B396" s="195"/>
      <c r="C396" s="181"/>
      <c r="D396" s="194"/>
      <c r="E396" s="194"/>
      <c r="F396" s="181"/>
      <c r="G396" s="181"/>
      <c r="H396" s="181"/>
      <c r="I396" s="181"/>
      <c r="J396" s="181"/>
      <c r="K396" s="181"/>
      <c r="L396" s="181"/>
      <c r="M396" s="181"/>
      <c r="N396" s="181"/>
      <c r="O396" s="181"/>
      <c r="P396" s="181"/>
      <c r="Q396" s="181"/>
      <c r="R396" s="181"/>
      <c r="S396" s="181"/>
      <c r="T396" s="181"/>
      <c r="U396" s="181"/>
      <c r="V396" s="181"/>
      <c r="W396" s="181"/>
      <c r="X396" s="181"/>
      <c r="Y396" s="181"/>
      <c r="Z396" s="181"/>
    </row>
    <row r="397">
      <c r="A397" s="194"/>
      <c r="B397" s="195"/>
      <c r="C397" s="181"/>
      <c r="D397" s="194"/>
      <c r="E397" s="194"/>
      <c r="F397" s="181"/>
      <c r="G397" s="181"/>
      <c r="H397" s="181"/>
      <c r="I397" s="181"/>
      <c r="J397" s="181"/>
      <c r="K397" s="181"/>
      <c r="L397" s="181"/>
      <c r="M397" s="181"/>
      <c r="N397" s="181"/>
      <c r="O397" s="181"/>
      <c r="P397" s="181"/>
      <c r="Q397" s="181"/>
      <c r="R397" s="181"/>
      <c r="S397" s="181"/>
      <c r="T397" s="181"/>
      <c r="U397" s="181"/>
      <c r="V397" s="181"/>
      <c r="W397" s="181"/>
      <c r="X397" s="181"/>
      <c r="Y397" s="181"/>
      <c r="Z397" s="181"/>
    </row>
    <row r="398">
      <c r="A398" s="194"/>
      <c r="B398" s="195"/>
      <c r="C398" s="181"/>
      <c r="D398" s="194"/>
      <c r="E398" s="194"/>
      <c r="F398" s="181"/>
      <c r="G398" s="181"/>
      <c r="H398" s="181"/>
      <c r="I398" s="181"/>
      <c r="J398" s="181"/>
      <c r="K398" s="181"/>
      <c r="L398" s="181"/>
      <c r="M398" s="181"/>
      <c r="N398" s="181"/>
      <c r="O398" s="181"/>
      <c r="P398" s="181"/>
      <c r="Q398" s="181"/>
      <c r="R398" s="181"/>
      <c r="S398" s="181"/>
      <c r="T398" s="181"/>
      <c r="U398" s="181"/>
      <c r="V398" s="181"/>
      <c r="W398" s="181"/>
      <c r="X398" s="181"/>
      <c r="Y398" s="181"/>
      <c r="Z398" s="181"/>
    </row>
    <row r="399">
      <c r="A399" s="194"/>
      <c r="B399" s="195"/>
      <c r="C399" s="181"/>
      <c r="D399" s="194"/>
      <c r="E399" s="194"/>
      <c r="F399" s="181"/>
      <c r="G399" s="181"/>
      <c r="H399" s="181"/>
      <c r="I399" s="181"/>
      <c r="J399" s="181"/>
      <c r="K399" s="181"/>
      <c r="L399" s="181"/>
      <c r="M399" s="181"/>
      <c r="N399" s="181"/>
      <c r="O399" s="181"/>
      <c r="P399" s="181"/>
      <c r="Q399" s="181"/>
      <c r="R399" s="181"/>
      <c r="S399" s="181"/>
      <c r="T399" s="181"/>
      <c r="U399" s="181"/>
      <c r="V399" s="181"/>
      <c r="W399" s="181"/>
      <c r="X399" s="181"/>
      <c r="Y399" s="181"/>
      <c r="Z399" s="181"/>
    </row>
    <row r="400">
      <c r="A400" s="194"/>
      <c r="B400" s="195"/>
      <c r="C400" s="181"/>
      <c r="D400" s="194"/>
      <c r="E400" s="194"/>
      <c r="F400" s="181"/>
      <c r="G400" s="181"/>
      <c r="H400" s="181"/>
      <c r="I400" s="181"/>
      <c r="J400" s="181"/>
      <c r="K400" s="181"/>
      <c r="L400" s="181"/>
      <c r="M400" s="181"/>
      <c r="N400" s="181"/>
      <c r="O400" s="181"/>
      <c r="P400" s="181"/>
      <c r="Q400" s="181"/>
      <c r="R400" s="181"/>
      <c r="S400" s="181"/>
      <c r="T400" s="181"/>
      <c r="U400" s="181"/>
      <c r="V400" s="181"/>
      <c r="W400" s="181"/>
      <c r="X400" s="181"/>
      <c r="Y400" s="181"/>
      <c r="Z400" s="181"/>
    </row>
    <row r="401">
      <c r="A401" s="194"/>
      <c r="B401" s="195"/>
      <c r="C401" s="181"/>
      <c r="D401" s="194"/>
      <c r="E401" s="194"/>
      <c r="F401" s="181"/>
      <c r="G401" s="181"/>
      <c r="H401" s="181"/>
      <c r="I401" s="181"/>
      <c r="J401" s="181"/>
      <c r="K401" s="181"/>
      <c r="L401" s="181"/>
      <c r="M401" s="181"/>
      <c r="N401" s="181"/>
      <c r="O401" s="181"/>
      <c r="P401" s="181"/>
      <c r="Q401" s="181"/>
      <c r="R401" s="181"/>
      <c r="S401" s="181"/>
      <c r="T401" s="181"/>
      <c r="U401" s="181"/>
      <c r="V401" s="181"/>
      <c r="W401" s="181"/>
      <c r="X401" s="181"/>
      <c r="Y401" s="181"/>
      <c r="Z401" s="181"/>
    </row>
    <row r="402">
      <c r="A402" s="194"/>
      <c r="B402" s="195"/>
      <c r="C402" s="181"/>
      <c r="D402" s="194"/>
      <c r="E402" s="194"/>
      <c r="F402" s="181"/>
      <c r="G402" s="181"/>
      <c r="H402" s="181"/>
      <c r="I402" s="181"/>
      <c r="J402" s="181"/>
      <c r="K402" s="181"/>
      <c r="L402" s="181"/>
      <c r="M402" s="181"/>
      <c r="N402" s="181"/>
      <c r="O402" s="181"/>
      <c r="P402" s="181"/>
      <c r="Q402" s="181"/>
      <c r="R402" s="181"/>
      <c r="S402" s="181"/>
      <c r="T402" s="181"/>
      <c r="U402" s="181"/>
      <c r="V402" s="181"/>
      <c r="W402" s="181"/>
      <c r="X402" s="181"/>
      <c r="Y402" s="181"/>
      <c r="Z402" s="181"/>
    </row>
    <row r="403">
      <c r="A403" s="194"/>
      <c r="B403" s="195"/>
      <c r="C403" s="181"/>
      <c r="D403" s="194"/>
      <c r="E403" s="194"/>
      <c r="F403" s="181"/>
      <c r="G403" s="181"/>
      <c r="H403" s="181"/>
      <c r="I403" s="181"/>
      <c r="J403" s="181"/>
      <c r="K403" s="181"/>
      <c r="L403" s="181"/>
      <c r="M403" s="181"/>
      <c r="N403" s="181"/>
      <c r="O403" s="181"/>
      <c r="P403" s="181"/>
      <c r="Q403" s="181"/>
      <c r="R403" s="181"/>
      <c r="S403" s="181"/>
      <c r="T403" s="181"/>
      <c r="U403" s="181"/>
      <c r="V403" s="181"/>
      <c r="W403" s="181"/>
      <c r="X403" s="181"/>
      <c r="Y403" s="181"/>
      <c r="Z403" s="181"/>
    </row>
    <row r="404">
      <c r="A404" s="194"/>
      <c r="B404" s="195"/>
      <c r="C404" s="181"/>
      <c r="D404" s="194"/>
      <c r="E404" s="194"/>
      <c r="F404" s="181"/>
      <c r="G404" s="181"/>
      <c r="H404" s="181"/>
      <c r="I404" s="181"/>
      <c r="J404" s="181"/>
      <c r="K404" s="181"/>
      <c r="L404" s="181"/>
      <c r="M404" s="181"/>
      <c r="N404" s="181"/>
      <c r="O404" s="181"/>
      <c r="P404" s="181"/>
      <c r="Q404" s="181"/>
      <c r="R404" s="181"/>
      <c r="S404" s="181"/>
      <c r="T404" s="181"/>
      <c r="U404" s="181"/>
      <c r="V404" s="181"/>
      <c r="W404" s="181"/>
      <c r="X404" s="181"/>
      <c r="Y404" s="181"/>
      <c r="Z404" s="181"/>
    </row>
    <row r="405">
      <c r="A405" s="194"/>
      <c r="B405" s="195"/>
      <c r="C405" s="181"/>
      <c r="D405" s="194"/>
      <c r="E405" s="194"/>
      <c r="F405" s="181"/>
      <c r="G405" s="181"/>
      <c r="H405" s="181"/>
      <c r="I405" s="181"/>
      <c r="J405" s="181"/>
      <c r="K405" s="181"/>
      <c r="L405" s="181"/>
      <c r="M405" s="181"/>
      <c r="N405" s="181"/>
      <c r="O405" s="181"/>
      <c r="P405" s="181"/>
      <c r="Q405" s="181"/>
      <c r="R405" s="181"/>
      <c r="S405" s="181"/>
      <c r="T405" s="181"/>
      <c r="U405" s="181"/>
      <c r="V405" s="181"/>
      <c r="W405" s="181"/>
      <c r="X405" s="181"/>
      <c r="Y405" s="181"/>
      <c r="Z405" s="181"/>
    </row>
    <row r="406">
      <c r="A406" s="194"/>
      <c r="B406" s="195"/>
      <c r="C406" s="181"/>
      <c r="D406" s="194"/>
      <c r="E406" s="194"/>
      <c r="F406" s="181"/>
      <c r="G406" s="181"/>
      <c r="H406" s="181"/>
      <c r="I406" s="181"/>
      <c r="J406" s="181"/>
      <c r="K406" s="181"/>
      <c r="L406" s="181"/>
      <c r="M406" s="181"/>
      <c r="N406" s="181"/>
      <c r="O406" s="181"/>
      <c r="P406" s="181"/>
      <c r="Q406" s="181"/>
      <c r="R406" s="181"/>
      <c r="S406" s="181"/>
      <c r="T406" s="181"/>
      <c r="U406" s="181"/>
      <c r="V406" s="181"/>
      <c r="W406" s="181"/>
      <c r="X406" s="181"/>
      <c r="Y406" s="181"/>
      <c r="Z406" s="181"/>
    </row>
    <row r="407">
      <c r="A407" s="194"/>
      <c r="B407" s="195"/>
      <c r="C407" s="181"/>
      <c r="D407" s="194"/>
      <c r="E407" s="194"/>
      <c r="F407" s="181"/>
      <c r="G407" s="181"/>
      <c r="H407" s="181"/>
      <c r="I407" s="181"/>
      <c r="J407" s="181"/>
      <c r="K407" s="181"/>
      <c r="L407" s="181"/>
      <c r="M407" s="181"/>
      <c r="N407" s="181"/>
      <c r="O407" s="181"/>
      <c r="P407" s="181"/>
      <c r="Q407" s="181"/>
      <c r="R407" s="181"/>
      <c r="S407" s="181"/>
      <c r="T407" s="181"/>
      <c r="U407" s="181"/>
      <c r="V407" s="181"/>
      <c r="W407" s="181"/>
      <c r="X407" s="181"/>
      <c r="Y407" s="181"/>
      <c r="Z407" s="181"/>
    </row>
    <row r="408">
      <c r="A408" s="194"/>
      <c r="B408" s="195"/>
      <c r="C408" s="181"/>
      <c r="D408" s="194"/>
      <c r="E408" s="194"/>
      <c r="F408" s="181"/>
      <c r="G408" s="181"/>
      <c r="H408" s="181"/>
      <c r="I408" s="181"/>
      <c r="J408" s="181"/>
      <c r="K408" s="181"/>
      <c r="L408" s="181"/>
      <c r="M408" s="181"/>
      <c r="N408" s="181"/>
      <c r="O408" s="181"/>
      <c r="P408" s="181"/>
      <c r="Q408" s="181"/>
      <c r="R408" s="181"/>
      <c r="S408" s="181"/>
      <c r="T408" s="181"/>
      <c r="U408" s="181"/>
      <c r="V408" s="181"/>
      <c r="W408" s="181"/>
      <c r="X408" s="181"/>
      <c r="Y408" s="181"/>
      <c r="Z408" s="181"/>
    </row>
    <row r="409">
      <c r="A409" s="194"/>
      <c r="B409" s="195"/>
      <c r="C409" s="181"/>
      <c r="D409" s="194"/>
      <c r="E409" s="194"/>
      <c r="F409" s="181"/>
      <c r="G409" s="181"/>
      <c r="H409" s="181"/>
      <c r="I409" s="181"/>
      <c r="J409" s="181"/>
      <c r="K409" s="181"/>
      <c r="L409" s="181"/>
      <c r="M409" s="181"/>
      <c r="N409" s="181"/>
      <c r="O409" s="181"/>
      <c r="P409" s="181"/>
      <c r="Q409" s="181"/>
      <c r="R409" s="181"/>
      <c r="S409" s="181"/>
      <c r="T409" s="181"/>
      <c r="U409" s="181"/>
      <c r="V409" s="181"/>
      <c r="W409" s="181"/>
      <c r="X409" s="181"/>
      <c r="Y409" s="181"/>
      <c r="Z409" s="181"/>
    </row>
    <row r="410">
      <c r="A410" s="194"/>
      <c r="B410" s="195"/>
      <c r="C410" s="181"/>
      <c r="D410" s="194"/>
      <c r="E410" s="194"/>
      <c r="F410" s="181"/>
      <c r="G410" s="181"/>
      <c r="H410" s="181"/>
      <c r="I410" s="181"/>
      <c r="J410" s="181"/>
      <c r="K410" s="181"/>
      <c r="L410" s="181"/>
      <c r="M410" s="181"/>
      <c r="N410" s="181"/>
      <c r="O410" s="181"/>
      <c r="P410" s="181"/>
      <c r="Q410" s="181"/>
      <c r="R410" s="181"/>
      <c r="S410" s="181"/>
      <c r="T410" s="181"/>
      <c r="U410" s="181"/>
      <c r="V410" s="181"/>
      <c r="W410" s="181"/>
      <c r="X410" s="181"/>
      <c r="Y410" s="181"/>
      <c r="Z410" s="181"/>
    </row>
    <row r="411">
      <c r="A411" s="194"/>
      <c r="B411" s="195"/>
      <c r="C411" s="181"/>
      <c r="D411" s="194"/>
      <c r="E411" s="194"/>
      <c r="F411" s="181"/>
      <c r="G411" s="181"/>
      <c r="H411" s="181"/>
      <c r="I411" s="181"/>
      <c r="J411" s="181"/>
      <c r="K411" s="181"/>
      <c r="L411" s="181"/>
      <c r="M411" s="181"/>
      <c r="N411" s="181"/>
      <c r="O411" s="181"/>
      <c r="P411" s="181"/>
      <c r="Q411" s="181"/>
      <c r="R411" s="181"/>
      <c r="S411" s="181"/>
      <c r="T411" s="181"/>
      <c r="U411" s="181"/>
      <c r="V411" s="181"/>
      <c r="W411" s="181"/>
      <c r="X411" s="181"/>
      <c r="Y411" s="181"/>
      <c r="Z411" s="181"/>
    </row>
    <row r="412">
      <c r="A412" s="194"/>
      <c r="B412" s="195"/>
      <c r="C412" s="181"/>
      <c r="D412" s="194"/>
      <c r="E412" s="194"/>
      <c r="F412" s="181"/>
      <c r="G412" s="181"/>
      <c r="H412" s="181"/>
      <c r="I412" s="181"/>
      <c r="J412" s="181"/>
      <c r="K412" s="181"/>
      <c r="L412" s="181"/>
      <c r="M412" s="181"/>
      <c r="N412" s="181"/>
      <c r="O412" s="181"/>
      <c r="P412" s="181"/>
      <c r="Q412" s="181"/>
      <c r="R412" s="181"/>
      <c r="S412" s="181"/>
      <c r="T412" s="181"/>
      <c r="U412" s="181"/>
      <c r="V412" s="181"/>
      <c r="W412" s="181"/>
      <c r="X412" s="181"/>
      <c r="Y412" s="181"/>
      <c r="Z412" s="181"/>
    </row>
    <row r="413">
      <c r="A413" s="194"/>
      <c r="B413" s="195"/>
      <c r="C413" s="181"/>
      <c r="D413" s="194"/>
      <c r="E413" s="194"/>
      <c r="F413" s="181"/>
      <c r="G413" s="181"/>
      <c r="H413" s="181"/>
      <c r="I413" s="181"/>
      <c r="J413" s="181"/>
      <c r="K413" s="181"/>
      <c r="L413" s="181"/>
      <c r="M413" s="181"/>
      <c r="N413" s="181"/>
      <c r="O413" s="181"/>
      <c r="P413" s="181"/>
      <c r="Q413" s="181"/>
      <c r="R413" s="181"/>
      <c r="S413" s="181"/>
      <c r="T413" s="181"/>
      <c r="U413" s="181"/>
      <c r="V413" s="181"/>
      <c r="W413" s="181"/>
      <c r="X413" s="181"/>
      <c r="Y413" s="181"/>
      <c r="Z413" s="181"/>
    </row>
    <row r="414">
      <c r="A414" s="194"/>
      <c r="B414" s="195"/>
      <c r="C414" s="181"/>
      <c r="D414" s="194"/>
      <c r="E414" s="194"/>
      <c r="F414" s="181"/>
      <c r="G414" s="181"/>
      <c r="H414" s="181"/>
      <c r="I414" s="181"/>
      <c r="J414" s="181"/>
      <c r="K414" s="181"/>
      <c r="L414" s="181"/>
      <c r="M414" s="181"/>
      <c r="N414" s="181"/>
      <c r="O414" s="181"/>
      <c r="P414" s="181"/>
      <c r="Q414" s="181"/>
      <c r="R414" s="181"/>
      <c r="S414" s="181"/>
      <c r="T414" s="181"/>
      <c r="U414" s="181"/>
      <c r="V414" s="181"/>
      <c r="W414" s="181"/>
      <c r="X414" s="181"/>
      <c r="Y414" s="181"/>
      <c r="Z414" s="181"/>
    </row>
    <row r="415">
      <c r="A415" s="194"/>
      <c r="B415" s="195"/>
      <c r="C415" s="181"/>
      <c r="D415" s="194"/>
      <c r="E415" s="194"/>
      <c r="F415" s="181"/>
      <c r="G415" s="181"/>
      <c r="H415" s="181"/>
      <c r="I415" s="181"/>
      <c r="J415" s="181"/>
      <c r="K415" s="181"/>
      <c r="L415" s="181"/>
      <c r="M415" s="181"/>
      <c r="N415" s="181"/>
      <c r="O415" s="181"/>
      <c r="P415" s="181"/>
      <c r="Q415" s="181"/>
      <c r="R415" s="181"/>
      <c r="S415" s="181"/>
      <c r="T415" s="181"/>
      <c r="U415" s="181"/>
      <c r="V415" s="181"/>
      <c r="W415" s="181"/>
      <c r="X415" s="181"/>
      <c r="Y415" s="181"/>
      <c r="Z415" s="181"/>
    </row>
    <row r="416">
      <c r="A416" s="194"/>
      <c r="B416" s="195"/>
      <c r="C416" s="181"/>
      <c r="D416" s="194"/>
      <c r="E416" s="194"/>
      <c r="F416" s="181"/>
      <c r="G416" s="181"/>
      <c r="H416" s="181"/>
      <c r="I416" s="181"/>
      <c r="J416" s="181"/>
      <c r="K416" s="181"/>
      <c r="L416" s="181"/>
      <c r="M416" s="181"/>
      <c r="N416" s="181"/>
      <c r="O416" s="181"/>
      <c r="P416" s="181"/>
      <c r="Q416" s="181"/>
      <c r="R416" s="181"/>
      <c r="S416" s="181"/>
      <c r="T416" s="181"/>
      <c r="U416" s="181"/>
      <c r="V416" s="181"/>
      <c r="W416" s="181"/>
      <c r="X416" s="181"/>
      <c r="Y416" s="181"/>
      <c r="Z416" s="181"/>
    </row>
    <row r="417">
      <c r="A417" s="194"/>
      <c r="B417" s="195"/>
      <c r="C417" s="181"/>
      <c r="D417" s="194"/>
      <c r="E417" s="194"/>
      <c r="F417" s="181"/>
      <c r="G417" s="181"/>
      <c r="H417" s="181"/>
      <c r="I417" s="181"/>
      <c r="J417" s="181"/>
      <c r="K417" s="181"/>
      <c r="L417" s="181"/>
      <c r="M417" s="181"/>
      <c r="N417" s="181"/>
      <c r="O417" s="181"/>
      <c r="P417" s="181"/>
      <c r="Q417" s="181"/>
      <c r="R417" s="181"/>
      <c r="S417" s="181"/>
      <c r="T417" s="181"/>
      <c r="U417" s="181"/>
      <c r="V417" s="181"/>
      <c r="W417" s="181"/>
      <c r="X417" s="181"/>
      <c r="Y417" s="181"/>
      <c r="Z417" s="181"/>
    </row>
    <row r="418">
      <c r="A418" s="194"/>
      <c r="B418" s="195"/>
      <c r="C418" s="181"/>
      <c r="D418" s="194"/>
      <c r="E418" s="194"/>
      <c r="F418" s="181"/>
      <c r="G418" s="181"/>
      <c r="H418" s="181"/>
      <c r="I418" s="181"/>
      <c r="J418" s="181"/>
      <c r="K418" s="181"/>
      <c r="L418" s="181"/>
      <c r="M418" s="181"/>
      <c r="N418" s="181"/>
      <c r="O418" s="181"/>
      <c r="P418" s="181"/>
      <c r="Q418" s="181"/>
      <c r="R418" s="181"/>
      <c r="S418" s="181"/>
      <c r="T418" s="181"/>
      <c r="U418" s="181"/>
      <c r="V418" s="181"/>
      <c r="W418" s="181"/>
      <c r="X418" s="181"/>
      <c r="Y418" s="181"/>
      <c r="Z418" s="181"/>
    </row>
    <row r="419">
      <c r="A419" s="194"/>
      <c r="B419" s="195"/>
      <c r="C419" s="181"/>
      <c r="D419" s="194"/>
      <c r="E419" s="194"/>
      <c r="F419" s="181"/>
      <c r="G419" s="181"/>
      <c r="H419" s="181"/>
      <c r="I419" s="181"/>
      <c r="J419" s="181"/>
      <c r="K419" s="181"/>
      <c r="L419" s="181"/>
      <c r="M419" s="181"/>
      <c r="N419" s="181"/>
      <c r="O419" s="181"/>
      <c r="P419" s="181"/>
      <c r="Q419" s="181"/>
      <c r="R419" s="181"/>
      <c r="S419" s="181"/>
      <c r="T419" s="181"/>
      <c r="U419" s="181"/>
      <c r="V419" s="181"/>
      <c r="W419" s="181"/>
      <c r="X419" s="181"/>
      <c r="Y419" s="181"/>
      <c r="Z419" s="181"/>
    </row>
    <row r="420">
      <c r="A420" s="194"/>
      <c r="B420" s="195"/>
      <c r="C420" s="181"/>
      <c r="D420" s="194"/>
      <c r="E420" s="194"/>
      <c r="F420" s="181"/>
      <c r="G420" s="181"/>
      <c r="H420" s="181"/>
      <c r="I420" s="181"/>
      <c r="J420" s="181"/>
      <c r="K420" s="181"/>
      <c r="L420" s="181"/>
      <c r="M420" s="181"/>
      <c r="N420" s="181"/>
      <c r="O420" s="181"/>
      <c r="P420" s="181"/>
      <c r="Q420" s="181"/>
      <c r="R420" s="181"/>
      <c r="S420" s="181"/>
      <c r="T420" s="181"/>
      <c r="U420" s="181"/>
      <c r="V420" s="181"/>
      <c r="W420" s="181"/>
      <c r="X420" s="181"/>
      <c r="Y420" s="181"/>
      <c r="Z420" s="181"/>
    </row>
    <row r="421">
      <c r="A421" s="194"/>
      <c r="B421" s="195"/>
      <c r="C421" s="181"/>
      <c r="D421" s="194"/>
      <c r="E421" s="194"/>
      <c r="F421" s="181"/>
      <c r="G421" s="181"/>
      <c r="H421" s="181"/>
      <c r="I421" s="181"/>
      <c r="J421" s="181"/>
      <c r="K421" s="181"/>
      <c r="L421" s="181"/>
      <c r="M421" s="181"/>
      <c r="N421" s="181"/>
      <c r="O421" s="181"/>
      <c r="P421" s="181"/>
      <c r="Q421" s="181"/>
      <c r="R421" s="181"/>
      <c r="S421" s="181"/>
      <c r="T421" s="181"/>
      <c r="U421" s="181"/>
      <c r="V421" s="181"/>
      <c r="W421" s="181"/>
      <c r="X421" s="181"/>
      <c r="Y421" s="181"/>
      <c r="Z421" s="181"/>
    </row>
    <row r="422">
      <c r="A422" s="194"/>
      <c r="B422" s="195"/>
      <c r="C422" s="181"/>
      <c r="D422" s="194"/>
      <c r="E422" s="194"/>
      <c r="F422" s="181"/>
      <c r="G422" s="181"/>
      <c r="H422" s="181"/>
      <c r="I422" s="181"/>
      <c r="J422" s="181"/>
      <c r="K422" s="181"/>
      <c r="L422" s="181"/>
      <c r="M422" s="181"/>
      <c r="N422" s="181"/>
      <c r="O422" s="181"/>
      <c r="P422" s="181"/>
      <c r="Q422" s="181"/>
      <c r="R422" s="181"/>
      <c r="S422" s="181"/>
      <c r="T422" s="181"/>
      <c r="U422" s="181"/>
      <c r="V422" s="181"/>
      <c r="W422" s="181"/>
      <c r="X422" s="181"/>
      <c r="Y422" s="181"/>
      <c r="Z422" s="181"/>
    </row>
    <row r="423">
      <c r="A423" s="194"/>
      <c r="B423" s="195"/>
      <c r="C423" s="181"/>
      <c r="D423" s="194"/>
      <c r="E423" s="194"/>
      <c r="F423" s="181"/>
      <c r="G423" s="181"/>
      <c r="H423" s="181"/>
      <c r="I423" s="181"/>
      <c r="J423" s="181"/>
      <c r="K423" s="181"/>
      <c r="L423" s="181"/>
      <c r="M423" s="181"/>
      <c r="N423" s="181"/>
      <c r="O423" s="181"/>
      <c r="P423" s="181"/>
      <c r="Q423" s="181"/>
      <c r="R423" s="181"/>
      <c r="S423" s="181"/>
      <c r="T423" s="181"/>
      <c r="U423" s="181"/>
      <c r="V423" s="181"/>
      <c r="W423" s="181"/>
      <c r="X423" s="181"/>
      <c r="Y423" s="181"/>
      <c r="Z423" s="181"/>
    </row>
    <row r="424">
      <c r="A424" s="194"/>
      <c r="B424" s="195"/>
      <c r="C424" s="181"/>
      <c r="D424" s="194"/>
      <c r="E424" s="194"/>
      <c r="F424" s="181"/>
      <c r="G424" s="181"/>
      <c r="H424" s="181"/>
      <c r="I424" s="181"/>
      <c r="J424" s="181"/>
      <c r="K424" s="181"/>
      <c r="L424" s="181"/>
      <c r="M424" s="181"/>
      <c r="N424" s="181"/>
      <c r="O424" s="181"/>
      <c r="P424" s="181"/>
      <c r="Q424" s="181"/>
      <c r="R424" s="181"/>
      <c r="S424" s="181"/>
      <c r="T424" s="181"/>
      <c r="U424" s="181"/>
      <c r="V424" s="181"/>
      <c r="W424" s="181"/>
      <c r="X424" s="181"/>
      <c r="Y424" s="181"/>
      <c r="Z424" s="181"/>
    </row>
    <row r="425">
      <c r="A425" s="194"/>
      <c r="B425" s="195"/>
      <c r="C425" s="181"/>
      <c r="D425" s="194"/>
      <c r="E425" s="194"/>
      <c r="F425" s="181"/>
      <c r="G425" s="181"/>
      <c r="H425" s="181"/>
      <c r="I425" s="181"/>
      <c r="J425" s="181"/>
      <c r="K425" s="181"/>
      <c r="L425" s="181"/>
      <c r="M425" s="181"/>
      <c r="N425" s="181"/>
      <c r="O425" s="181"/>
      <c r="P425" s="181"/>
      <c r="Q425" s="181"/>
      <c r="R425" s="181"/>
      <c r="S425" s="181"/>
      <c r="T425" s="181"/>
      <c r="U425" s="181"/>
      <c r="V425" s="181"/>
      <c r="W425" s="181"/>
      <c r="X425" s="181"/>
      <c r="Y425" s="181"/>
      <c r="Z425" s="181"/>
    </row>
    <row r="426">
      <c r="A426" s="194"/>
      <c r="B426" s="195"/>
      <c r="C426" s="181"/>
      <c r="D426" s="194"/>
      <c r="E426" s="194"/>
      <c r="F426" s="181"/>
      <c r="G426" s="181"/>
      <c r="H426" s="181"/>
      <c r="I426" s="181"/>
      <c r="J426" s="181"/>
      <c r="K426" s="181"/>
      <c r="L426" s="181"/>
      <c r="M426" s="181"/>
      <c r="N426" s="181"/>
      <c r="O426" s="181"/>
      <c r="P426" s="181"/>
      <c r="Q426" s="181"/>
      <c r="R426" s="181"/>
      <c r="S426" s="181"/>
      <c r="T426" s="181"/>
      <c r="U426" s="181"/>
      <c r="V426" s="181"/>
      <c r="W426" s="181"/>
      <c r="X426" s="181"/>
      <c r="Y426" s="181"/>
      <c r="Z426" s="181"/>
    </row>
    <row r="427">
      <c r="A427" s="194"/>
      <c r="B427" s="195"/>
      <c r="C427" s="181"/>
      <c r="D427" s="194"/>
      <c r="E427" s="194"/>
      <c r="F427" s="181"/>
      <c r="G427" s="181"/>
      <c r="H427" s="181"/>
      <c r="I427" s="181"/>
      <c r="J427" s="181"/>
      <c r="K427" s="181"/>
      <c r="L427" s="181"/>
      <c r="M427" s="181"/>
      <c r="N427" s="181"/>
      <c r="O427" s="181"/>
      <c r="P427" s="181"/>
      <c r="Q427" s="181"/>
      <c r="R427" s="181"/>
      <c r="S427" s="181"/>
      <c r="T427" s="181"/>
      <c r="U427" s="181"/>
      <c r="V427" s="181"/>
      <c r="W427" s="181"/>
      <c r="X427" s="181"/>
      <c r="Y427" s="181"/>
      <c r="Z427" s="181"/>
    </row>
    <row r="428">
      <c r="A428" s="194"/>
      <c r="B428" s="195"/>
      <c r="C428" s="181"/>
      <c r="D428" s="194"/>
      <c r="E428" s="194"/>
      <c r="F428" s="181"/>
      <c r="G428" s="181"/>
      <c r="H428" s="181"/>
      <c r="I428" s="181"/>
      <c r="J428" s="181"/>
      <c r="K428" s="181"/>
      <c r="L428" s="181"/>
      <c r="M428" s="181"/>
      <c r="N428" s="181"/>
      <c r="O428" s="181"/>
      <c r="P428" s="181"/>
      <c r="Q428" s="181"/>
      <c r="R428" s="181"/>
      <c r="S428" s="181"/>
      <c r="T428" s="181"/>
      <c r="U428" s="181"/>
      <c r="V428" s="181"/>
      <c r="W428" s="181"/>
      <c r="X428" s="181"/>
      <c r="Y428" s="181"/>
      <c r="Z428" s="181"/>
    </row>
    <row r="429">
      <c r="A429" s="194"/>
      <c r="B429" s="195"/>
      <c r="C429" s="181"/>
      <c r="D429" s="194"/>
      <c r="E429" s="194"/>
      <c r="F429" s="181"/>
      <c r="G429" s="181"/>
      <c r="H429" s="181"/>
      <c r="I429" s="181"/>
      <c r="J429" s="181"/>
      <c r="K429" s="181"/>
      <c r="L429" s="181"/>
      <c r="M429" s="181"/>
      <c r="N429" s="181"/>
      <c r="O429" s="181"/>
      <c r="P429" s="181"/>
      <c r="Q429" s="181"/>
      <c r="R429" s="181"/>
      <c r="S429" s="181"/>
      <c r="T429" s="181"/>
      <c r="U429" s="181"/>
      <c r="V429" s="181"/>
      <c r="W429" s="181"/>
      <c r="X429" s="181"/>
      <c r="Y429" s="181"/>
      <c r="Z429" s="181"/>
    </row>
    <row r="430">
      <c r="A430" s="194"/>
      <c r="B430" s="195"/>
      <c r="C430" s="181"/>
      <c r="D430" s="194"/>
      <c r="E430" s="194"/>
      <c r="F430" s="181"/>
      <c r="G430" s="181"/>
      <c r="H430" s="181"/>
      <c r="I430" s="181"/>
      <c r="J430" s="181"/>
      <c r="K430" s="181"/>
      <c r="L430" s="181"/>
      <c r="M430" s="181"/>
      <c r="N430" s="181"/>
      <c r="O430" s="181"/>
      <c r="P430" s="181"/>
      <c r="Q430" s="181"/>
      <c r="R430" s="181"/>
      <c r="S430" s="181"/>
      <c r="T430" s="181"/>
      <c r="U430" s="181"/>
      <c r="V430" s="181"/>
      <c r="W430" s="181"/>
      <c r="X430" s="181"/>
      <c r="Y430" s="181"/>
      <c r="Z430" s="181"/>
    </row>
    <row r="431">
      <c r="A431" s="194"/>
      <c r="B431" s="195"/>
      <c r="C431" s="181"/>
      <c r="D431" s="194"/>
      <c r="E431" s="194"/>
      <c r="F431" s="181"/>
      <c r="G431" s="181"/>
      <c r="H431" s="181"/>
      <c r="I431" s="181"/>
      <c r="J431" s="181"/>
      <c r="K431" s="181"/>
      <c r="L431" s="181"/>
      <c r="M431" s="181"/>
      <c r="N431" s="181"/>
      <c r="O431" s="181"/>
      <c r="P431" s="181"/>
      <c r="Q431" s="181"/>
      <c r="R431" s="181"/>
      <c r="S431" s="181"/>
      <c r="T431" s="181"/>
      <c r="U431" s="181"/>
      <c r="V431" s="181"/>
      <c r="W431" s="181"/>
      <c r="X431" s="181"/>
      <c r="Y431" s="181"/>
      <c r="Z431" s="181"/>
    </row>
    <row r="432">
      <c r="A432" s="194"/>
      <c r="B432" s="195"/>
      <c r="C432" s="181"/>
      <c r="D432" s="194"/>
      <c r="E432" s="194"/>
      <c r="F432" s="181"/>
      <c r="G432" s="181"/>
      <c r="H432" s="181"/>
      <c r="I432" s="181"/>
      <c r="J432" s="181"/>
      <c r="K432" s="181"/>
      <c r="L432" s="181"/>
      <c r="M432" s="181"/>
      <c r="N432" s="181"/>
      <c r="O432" s="181"/>
      <c r="P432" s="181"/>
      <c r="Q432" s="181"/>
      <c r="R432" s="181"/>
      <c r="S432" s="181"/>
      <c r="T432" s="181"/>
      <c r="U432" s="181"/>
      <c r="V432" s="181"/>
      <c r="W432" s="181"/>
      <c r="X432" s="181"/>
      <c r="Y432" s="181"/>
      <c r="Z432" s="181"/>
    </row>
    <row r="433">
      <c r="A433" s="194"/>
      <c r="B433" s="195"/>
      <c r="C433" s="181"/>
      <c r="D433" s="194"/>
      <c r="E433" s="194"/>
      <c r="F433" s="181"/>
      <c r="G433" s="181"/>
      <c r="H433" s="181"/>
      <c r="I433" s="181"/>
      <c r="J433" s="181"/>
      <c r="K433" s="181"/>
      <c r="L433" s="181"/>
      <c r="M433" s="181"/>
      <c r="N433" s="181"/>
      <c r="O433" s="181"/>
      <c r="P433" s="181"/>
      <c r="Q433" s="181"/>
      <c r="R433" s="181"/>
      <c r="S433" s="181"/>
      <c r="T433" s="181"/>
      <c r="U433" s="181"/>
      <c r="V433" s="181"/>
      <c r="W433" s="181"/>
      <c r="X433" s="181"/>
      <c r="Y433" s="181"/>
      <c r="Z433" s="181"/>
    </row>
    <row r="434">
      <c r="A434" s="194"/>
      <c r="B434" s="195"/>
      <c r="C434" s="181"/>
      <c r="D434" s="194"/>
      <c r="E434" s="194"/>
      <c r="F434" s="181"/>
      <c r="G434" s="181"/>
      <c r="H434" s="181"/>
      <c r="I434" s="181"/>
      <c r="J434" s="181"/>
      <c r="K434" s="181"/>
      <c r="L434" s="181"/>
      <c r="M434" s="181"/>
      <c r="N434" s="181"/>
      <c r="O434" s="181"/>
      <c r="P434" s="181"/>
      <c r="Q434" s="181"/>
      <c r="R434" s="181"/>
      <c r="S434" s="181"/>
      <c r="T434" s="181"/>
      <c r="U434" s="181"/>
      <c r="V434" s="181"/>
      <c r="W434" s="181"/>
      <c r="X434" s="181"/>
      <c r="Y434" s="181"/>
      <c r="Z434" s="181"/>
    </row>
    <row r="435">
      <c r="A435" s="194"/>
      <c r="B435" s="195"/>
      <c r="C435" s="181"/>
      <c r="D435" s="194"/>
      <c r="E435" s="194"/>
      <c r="F435" s="181"/>
      <c r="G435" s="181"/>
      <c r="H435" s="181"/>
      <c r="I435" s="181"/>
      <c r="J435" s="181"/>
      <c r="K435" s="181"/>
      <c r="L435" s="181"/>
      <c r="M435" s="181"/>
      <c r="N435" s="181"/>
      <c r="O435" s="181"/>
      <c r="P435" s="181"/>
      <c r="Q435" s="181"/>
      <c r="R435" s="181"/>
      <c r="S435" s="181"/>
      <c r="T435" s="181"/>
      <c r="U435" s="181"/>
      <c r="V435" s="181"/>
      <c r="W435" s="181"/>
      <c r="X435" s="181"/>
      <c r="Y435" s="181"/>
      <c r="Z435" s="181"/>
    </row>
    <row r="436">
      <c r="A436" s="194"/>
      <c r="B436" s="195"/>
      <c r="C436" s="181"/>
      <c r="D436" s="194"/>
      <c r="E436" s="194"/>
      <c r="F436" s="181"/>
      <c r="G436" s="181"/>
      <c r="H436" s="181"/>
      <c r="I436" s="181"/>
      <c r="J436" s="181"/>
      <c r="K436" s="181"/>
      <c r="L436" s="181"/>
      <c r="M436" s="181"/>
      <c r="N436" s="181"/>
      <c r="O436" s="181"/>
      <c r="P436" s="181"/>
      <c r="Q436" s="181"/>
      <c r="R436" s="181"/>
      <c r="S436" s="181"/>
      <c r="T436" s="181"/>
      <c r="U436" s="181"/>
      <c r="V436" s="181"/>
      <c r="W436" s="181"/>
      <c r="X436" s="181"/>
      <c r="Y436" s="181"/>
      <c r="Z436" s="181"/>
    </row>
    <row r="437">
      <c r="A437" s="194"/>
      <c r="B437" s="195"/>
      <c r="C437" s="181"/>
      <c r="D437" s="194"/>
      <c r="E437" s="194"/>
      <c r="F437" s="181"/>
      <c r="G437" s="181"/>
      <c r="H437" s="181"/>
      <c r="I437" s="181"/>
      <c r="J437" s="181"/>
      <c r="K437" s="181"/>
      <c r="L437" s="181"/>
      <c r="M437" s="181"/>
      <c r="N437" s="181"/>
      <c r="O437" s="181"/>
      <c r="P437" s="181"/>
      <c r="Q437" s="181"/>
      <c r="R437" s="181"/>
      <c r="S437" s="181"/>
      <c r="T437" s="181"/>
      <c r="U437" s="181"/>
      <c r="V437" s="181"/>
      <c r="W437" s="181"/>
      <c r="X437" s="181"/>
      <c r="Y437" s="181"/>
      <c r="Z437" s="181"/>
    </row>
    <row r="438">
      <c r="A438" s="194"/>
      <c r="B438" s="195"/>
      <c r="C438" s="181"/>
      <c r="D438" s="194"/>
      <c r="E438" s="194"/>
      <c r="F438" s="181"/>
      <c r="G438" s="181"/>
      <c r="H438" s="181"/>
      <c r="I438" s="181"/>
      <c r="J438" s="181"/>
      <c r="K438" s="181"/>
      <c r="L438" s="181"/>
      <c r="M438" s="181"/>
      <c r="N438" s="181"/>
      <c r="O438" s="181"/>
      <c r="P438" s="181"/>
      <c r="Q438" s="181"/>
      <c r="R438" s="181"/>
      <c r="S438" s="181"/>
      <c r="T438" s="181"/>
      <c r="U438" s="181"/>
      <c r="V438" s="181"/>
      <c r="W438" s="181"/>
      <c r="X438" s="181"/>
      <c r="Y438" s="181"/>
      <c r="Z438" s="181"/>
    </row>
    <row r="439">
      <c r="A439" s="194"/>
      <c r="B439" s="195"/>
      <c r="C439" s="181"/>
      <c r="D439" s="194"/>
      <c r="E439" s="194"/>
      <c r="F439" s="181"/>
      <c r="G439" s="181"/>
      <c r="H439" s="181"/>
      <c r="I439" s="181"/>
      <c r="J439" s="181"/>
      <c r="K439" s="181"/>
      <c r="L439" s="181"/>
      <c r="M439" s="181"/>
      <c r="N439" s="181"/>
      <c r="O439" s="181"/>
      <c r="P439" s="181"/>
      <c r="Q439" s="181"/>
      <c r="R439" s="181"/>
      <c r="S439" s="181"/>
      <c r="T439" s="181"/>
      <c r="U439" s="181"/>
      <c r="V439" s="181"/>
      <c r="W439" s="181"/>
      <c r="X439" s="181"/>
      <c r="Y439" s="181"/>
      <c r="Z439" s="181"/>
    </row>
    <row r="440">
      <c r="A440" s="194"/>
      <c r="B440" s="195"/>
      <c r="C440" s="181"/>
      <c r="D440" s="194"/>
      <c r="E440" s="194"/>
      <c r="F440" s="181"/>
      <c r="G440" s="181"/>
      <c r="H440" s="181"/>
      <c r="I440" s="181"/>
      <c r="J440" s="181"/>
      <c r="K440" s="181"/>
      <c r="L440" s="181"/>
      <c r="M440" s="181"/>
      <c r="N440" s="181"/>
      <c r="O440" s="181"/>
      <c r="P440" s="181"/>
      <c r="Q440" s="181"/>
      <c r="R440" s="181"/>
      <c r="S440" s="181"/>
      <c r="T440" s="181"/>
      <c r="U440" s="181"/>
      <c r="V440" s="181"/>
      <c r="W440" s="181"/>
      <c r="X440" s="181"/>
      <c r="Y440" s="181"/>
      <c r="Z440" s="181"/>
    </row>
    <row r="441">
      <c r="A441" s="194"/>
      <c r="B441" s="195"/>
      <c r="C441" s="181"/>
      <c r="D441" s="194"/>
      <c r="E441" s="194"/>
      <c r="F441" s="181"/>
      <c r="G441" s="181"/>
      <c r="H441" s="181"/>
      <c r="I441" s="181"/>
      <c r="J441" s="181"/>
      <c r="K441" s="181"/>
      <c r="L441" s="181"/>
      <c r="M441" s="181"/>
      <c r="N441" s="181"/>
      <c r="O441" s="181"/>
      <c r="P441" s="181"/>
      <c r="Q441" s="181"/>
      <c r="R441" s="181"/>
      <c r="S441" s="181"/>
      <c r="T441" s="181"/>
      <c r="U441" s="181"/>
      <c r="V441" s="181"/>
      <c r="W441" s="181"/>
      <c r="X441" s="181"/>
      <c r="Y441" s="181"/>
      <c r="Z441" s="181"/>
    </row>
    <row r="442">
      <c r="A442" s="194"/>
      <c r="B442" s="195"/>
      <c r="C442" s="181"/>
      <c r="D442" s="194"/>
      <c r="E442" s="194"/>
      <c r="F442" s="181"/>
      <c r="G442" s="181"/>
      <c r="H442" s="181"/>
      <c r="I442" s="181"/>
      <c r="J442" s="181"/>
      <c r="K442" s="181"/>
      <c r="L442" s="181"/>
      <c r="M442" s="181"/>
      <c r="N442" s="181"/>
      <c r="O442" s="181"/>
      <c r="P442" s="181"/>
      <c r="Q442" s="181"/>
      <c r="R442" s="181"/>
      <c r="S442" s="181"/>
      <c r="T442" s="181"/>
      <c r="U442" s="181"/>
      <c r="V442" s="181"/>
      <c r="W442" s="181"/>
      <c r="X442" s="181"/>
      <c r="Y442" s="181"/>
      <c r="Z442" s="181"/>
    </row>
    <row r="443">
      <c r="A443" s="194"/>
      <c r="B443" s="195"/>
      <c r="C443" s="181"/>
      <c r="D443" s="194"/>
      <c r="E443" s="194"/>
      <c r="F443" s="181"/>
      <c r="G443" s="181"/>
      <c r="H443" s="181"/>
      <c r="I443" s="181"/>
      <c r="J443" s="181"/>
      <c r="K443" s="181"/>
      <c r="L443" s="181"/>
      <c r="M443" s="181"/>
      <c r="N443" s="181"/>
      <c r="O443" s="181"/>
      <c r="P443" s="181"/>
      <c r="Q443" s="181"/>
      <c r="R443" s="181"/>
      <c r="S443" s="181"/>
      <c r="T443" s="181"/>
      <c r="U443" s="181"/>
      <c r="V443" s="181"/>
      <c r="W443" s="181"/>
      <c r="X443" s="181"/>
      <c r="Y443" s="181"/>
      <c r="Z443" s="181"/>
    </row>
    <row r="444">
      <c r="A444" s="194"/>
      <c r="B444" s="195"/>
      <c r="C444" s="181"/>
      <c r="D444" s="194"/>
      <c r="E444" s="194"/>
      <c r="F444" s="181"/>
      <c r="G444" s="181"/>
      <c r="H444" s="181"/>
      <c r="I444" s="181"/>
      <c r="J444" s="181"/>
      <c r="K444" s="181"/>
      <c r="L444" s="181"/>
      <c r="M444" s="181"/>
      <c r="N444" s="181"/>
      <c r="O444" s="181"/>
      <c r="P444" s="181"/>
      <c r="Q444" s="181"/>
      <c r="R444" s="181"/>
      <c r="S444" s="181"/>
      <c r="T444" s="181"/>
      <c r="U444" s="181"/>
      <c r="V444" s="181"/>
      <c r="W444" s="181"/>
      <c r="X444" s="181"/>
      <c r="Y444" s="181"/>
      <c r="Z444" s="181"/>
    </row>
    <row r="445">
      <c r="A445" s="194"/>
      <c r="B445" s="195"/>
      <c r="C445" s="181"/>
      <c r="D445" s="194"/>
      <c r="E445" s="194"/>
      <c r="F445" s="181"/>
      <c r="G445" s="181"/>
      <c r="H445" s="181"/>
      <c r="I445" s="181"/>
      <c r="J445" s="181"/>
      <c r="K445" s="181"/>
      <c r="L445" s="181"/>
      <c r="M445" s="181"/>
      <c r="N445" s="181"/>
      <c r="O445" s="181"/>
      <c r="P445" s="181"/>
      <c r="Q445" s="181"/>
      <c r="R445" s="181"/>
      <c r="S445" s="181"/>
      <c r="T445" s="181"/>
      <c r="U445" s="181"/>
      <c r="V445" s="181"/>
      <c r="W445" s="181"/>
      <c r="X445" s="181"/>
      <c r="Y445" s="181"/>
      <c r="Z445" s="181"/>
    </row>
    <row r="446">
      <c r="A446" s="194"/>
      <c r="B446" s="195"/>
      <c r="C446" s="181"/>
      <c r="D446" s="194"/>
      <c r="E446" s="194"/>
      <c r="F446" s="181"/>
      <c r="G446" s="181"/>
      <c r="H446" s="181"/>
      <c r="I446" s="181"/>
      <c r="J446" s="181"/>
      <c r="K446" s="181"/>
      <c r="L446" s="181"/>
      <c r="M446" s="181"/>
      <c r="N446" s="181"/>
      <c r="O446" s="181"/>
      <c r="P446" s="181"/>
      <c r="Q446" s="181"/>
      <c r="R446" s="181"/>
      <c r="S446" s="181"/>
      <c r="T446" s="181"/>
      <c r="U446" s="181"/>
      <c r="V446" s="181"/>
      <c r="W446" s="181"/>
      <c r="X446" s="181"/>
      <c r="Y446" s="181"/>
      <c r="Z446" s="181"/>
    </row>
    <row r="447">
      <c r="A447" s="194"/>
      <c r="B447" s="195"/>
      <c r="C447" s="181"/>
      <c r="D447" s="194"/>
      <c r="E447" s="194"/>
      <c r="F447" s="181"/>
      <c r="G447" s="181"/>
      <c r="H447" s="181"/>
      <c r="I447" s="181"/>
      <c r="J447" s="181"/>
      <c r="K447" s="181"/>
      <c r="L447" s="181"/>
      <c r="M447" s="181"/>
      <c r="N447" s="181"/>
      <c r="O447" s="181"/>
      <c r="P447" s="181"/>
      <c r="Q447" s="181"/>
      <c r="R447" s="181"/>
      <c r="S447" s="181"/>
      <c r="T447" s="181"/>
      <c r="U447" s="181"/>
      <c r="V447" s="181"/>
      <c r="W447" s="181"/>
      <c r="X447" s="181"/>
      <c r="Y447" s="181"/>
      <c r="Z447" s="181"/>
    </row>
    <row r="448">
      <c r="A448" s="194"/>
      <c r="B448" s="195"/>
      <c r="C448" s="181"/>
      <c r="D448" s="194"/>
      <c r="E448" s="194"/>
      <c r="F448" s="181"/>
      <c r="G448" s="181"/>
      <c r="H448" s="181"/>
      <c r="I448" s="181"/>
      <c r="J448" s="181"/>
      <c r="K448" s="181"/>
      <c r="L448" s="181"/>
      <c r="M448" s="181"/>
      <c r="N448" s="181"/>
      <c r="O448" s="181"/>
      <c r="P448" s="181"/>
      <c r="Q448" s="181"/>
      <c r="R448" s="181"/>
      <c r="S448" s="181"/>
      <c r="T448" s="181"/>
      <c r="U448" s="181"/>
      <c r="V448" s="181"/>
      <c r="W448" s="181"/>
      <c r="X448" s="181"/>
      <c r="Y448" s="181"/>
      <c r="Z448" s="181"/>
    </row>
    <row r="449">
      <c r="A449" s="194"/>
      <c r="B449" s="195"/>
      <c r="C449" s="181"/>
      <c r="D449" s="194"/>
      <c r="E449" s="194"/>
      <c r="F449" s="181"/>
      <c r="G449" s="181"/>
      <c r="H449" s="181"/>
      <c r="I449" s="181"/>
      <c r="J449" s="181"/>
      <c r="K449" s="181"/>
      <c r="L449" s="181"/>
      <c r="M449" s="181"/>
      <c r="N449" s="181"/>
      <c r="O449" s="181"/>
      <c r="P449" s="181"/>
      <c r="Q449" s="181"/>
      <c r="R449" s="181"/>
      <c r="S449" s="181"/>
      <c r="T449" s="181"/>
      <c r="U449" s="181"/>
      <c r="V449" s="181"/>
      <c r="W449" s="181"/>
      <c r="X449" s="181"/>
      <c r="Y449" s="181"/>
      <c r="Z449" s="181"/>
    </row>
    <row r="450">
      <c r="A450" s="194"/>
      <c r="B450" s="195"/>
      <c r="C450" s="181"/>
      <c r="D450" s="194"/>
      <c r="E450" s="194"/>
      <c r="F450" s="181"/>
      <c r="G450" s="181"/>
      <c r="H450" s="181"/>
      <c r="I450" s="181"/>
      <c r="J450" s="181"/>
      <c r="K450" s="181"/>
      <c r="L450" s="181"/>
      <c r="M450" s="181"/>
      <c r="N450" s="181"/>
      <c r="O450" s="181"/>
      <c r="P450" s="181"/>
      <c r="Q450" s="181"/>
      <c r="R450" s="181"/>
      <c r="S450" s="181"/>
      <c r="T450" s="181"/>
      <c r="U450" s="181"/>
      <c r="V450" s="181"/>
      <c r="W450" s="181"/>
      <c r="X450" s="181"/>
      <c r="Y450" s="181"/>
      <c r="Z450" s="181"/>
    </row>
    <row r="451">
      <c r="A451" s="194"/>
      <c r="B451" s="195"/>
      <c r="C451" s="181"/>
      <c r="D451" s="194"/>
      <c r="E451" s="194"/>
      <c r="F451" s="181"/>
      <c r="G451" s="181"/>
      <c r="H451" s="181"/>
      <c r="I451" s="181"/>
      <c r="J451" s="181"/>
      <c r="K451" s="181"/>
      <c r="L451" s="181"/>
      <c r="M451" s="181"/>
      <c r="N451" s="181"/>
      <c r="O451" s="181"/>
      <c r="P451" s="181"/>
      <c r="Q451" s="181"/>
      <c r="R451" s="181"/>
      <c r="S451" s="181"/>
      <c r="T451" s="181"/>
      <c r="U451" s="181"/>
      <c r="V451" s="181"/>
      <c r="W451" s="181"/>
      <c r="X451" s="181"/>
      <c r="Y451" s="181"/>
      <c r="Z451" s="181"/>
    </row>
    <row r="452">
      <c r="A452" s="194"/>
      <c r="B452" s="195"/>
      <c r="C452" s="181"/>
      <c r="D452" s="194"/>
      <c r="E452" s="194"/>
      <c r="F452" s="181"/>
      <c r="G452" s="181"/>
      <c r="H452" s="181"/>
      <c r="I452" s="181"/>
      <c r="J452" s="181"/>
      <c r="K452" s="181"/>
      <c r="L452" s="181"/>
      <c r="M452" s="181"/>
      <c r="N452" s="181"/>
      <c r="O452" s="181"/>
      <c r="P452" s="181"/>
      <c r="Q452" s="181"/>
      <c r="R452" s="181"/>
      <c r="S452" s="181"/>
      <c r="T452" s="181"/>
      <c r="U452" s="181"/>
      <c r="V452" s="181"/>
      <c r="W452" s="181"/>
      <c r="X452" s="181"/>
      <c r="Y452" s="181"/>
      <c r="Z452" s="181"/>
    </row>
    <row r="453">
      <c r="A453" s="194"/>
      <c r="B453" s="195"/>
      <c r="C453" s="181"/>
      <c r="D453" s="194"/>
      <c r="E453" s="194"/>
      <c r="F453" s="181"/>
      <c r="G453" s="181"/>
      <c r="H453" s="181"/>
      <c r="I453" s="181"/>
      <c r="J453" s="181"/>
      <c r="K453" s="181"/>
      <c r="L453" s="181"/>
      <c r="M453" s="181"/>
      <c r="N453" s="181"/>
      <c r="O453" s="181"/>
      <c r="P453" s="181"/>
      <c r="Q453" s="181"/>
      <c r="R453" s="181"/>
      <c r="S453" s="181"/>
      <c r="T453" s="181"/>
      <c r="U453" s="181"/>
      <c r="V453" s="181"/>
      <c r="W453" s="181"/>
      <c r="X453" s="181"/>
      <c r="Y453" s="181"/>
      <c r="Z453" s="181"/>
    </row>
    <row r="454">
      <c r="A454" s="194"/>
      <c r="B454" s="195"/>
      <c r="C454" s="181"/>
      <c r="D454" s="194"/>
      <c r="E454" s="194"/>
      <c r="F454" s="181"/>
      <c r="G454" s="181"/>
      <c r="H454" s="181"/>
      <c r="I454" s="181"/>
      <c r="J454" s="181"/>
      <c r="K454" s="181"/>
      <c r="L454" s="181"/>
      <c r="M454" s="181"/>
      <c r="N454" s="181"/>
      <c r="O454" s="181"/>
      <c r="P454" s="181"/>
      <c r="Q454" s="181"/>
      <c r="R454" s="181"/>
      <c r="S454" s="181"/>
      <c r="T454" s="181"/>
      <c r="U454" s="181"/>
      <c r="V454" s="181"/>
      <c r="W454" s="181"/>
      <c r="X454" s="181"/>
      <c r="Y454" s="181"/>
      <c r="Z454" s="181"/>
    </row>
    <row r="455">
      <c r="A455" s="194"/>
      <c r="B455" s="195"/>
      <c r="C455" s="181"/>
      <c r="D455" s="194"/>
      <c r="E455" s="194"/>
      <c r="F455" s="181"/>
      <c r="G455" s="181"/>
      <c r="H455" s="181"/>
      <c r="I455" s="181"/>
      <c r="J455" s="181"/>
      <c r="K455" s="181"/>
      <c r="L455" s="181"/>
      <c r="M455" s="181"/>
      <c r="N455" s="181"/>
      <c r="O455" s="181"/>
      <c r="P455" s="181"/>
      <c r="Q455" s="181"/>
      <c r="R455" s="181"/>
      <c r="S455" s="181"/>
      <c r="T455" s="181"/>
      <c r="U455" s="181"/>
      <c r="V455" s="181"/>
      <c r="W455" s="181"/>
      <c r="X455" s="181"/>
      <c r="Y455" s="181"/>
      <c r="Z455" s="181"/>
    </row>
    <row r="456">
      <c r="A456" s="194"/>
      <c r="B456" s="195"/>
      <c r="C456" s="181"/>
      <c r="D456" s="194"/>
      <c r="E456" s="194"/>
      <c r="F456" s="181"/>
      <c r="G456" s="181"/>
      <c r="H456" s="181"/>
      <c r="I456" s="181"/>
      <c r="J456" s="181"/>
      <c r="K456" s="181"/>
      <c r="L456" s="181"/>
      <c r="M456" s="181"/>
      <c r="N456" s="181"/>
      <c r="O456" s="181"/>
      <c r="P456" s="181"/>
      <c r="Q456" s="181"/>
      <c r="R456" s="181"/>
      <c r="S456" s="181"/>
      <c r="T456" s="181"/>
      <c r="U456" s="181"/>
      <c r="V456" s="181"/>
      <c r="W456" s="181"/>
      <c r="X456" s="181"/>
      <c r="Y456" s="181"/>
      <c r="Z456" s="181"/>
    </row>
    <row r="457">
      <c r="A457" s="194"/>
      <c r="B457" s="195"/>
      <c r="C457" s="181"/>
      <c r="D457" s="194"/>
      <c r="E457" s="194"/>
      <c r="F457" s="181"/>
      <c r="G457" s="181"/>
      <c r="H457" s="181"/>
      <c r="I457" s="181"/>
      <c r="J457" s="181"/>
      <c r="K457" s="181"/>
      <c r="L457" s="181"/>
      <c r="M457" s="181"/>
      <c r="N457" s="181"/>
      <c r="O457" s="181"/>
      <c r="P457" s="181"/>
      <c r="Q457" s="181"/>
      <c r="R457" s="181"/>
      <c r="S457" s="181"/>
      <c r="T457" s="181"/>
      <c r="U457" s="181"/>
      <c r="V457" s="181"/>
      <c r="W457" s="181"/>
      <c r="X457" s="181"/>
      <c r="Y457" s="181"/>
      <c r="Z457" s="181"/>
    </row>
    <row r="458">
      <c r="A458" s="194"/>
      <c r="B458" s="195"/>
      <c r="C458" s="181"/>
      <c r="D458" s="194"/>
      <c r="E458" s="194"/>
      <c r="F458" s="181"/>
      <c r="G458" s="181"/>
      <c r="H458" s="181"/>
      <c r="I458" s="181"/>
      <c r="J458" s="181"/>
      <c r="K458" s="181"/>
      <c r="L458" s="181"/>
      <c r="M458" s="181"/>
      <c r="N458" s="181"/>
      <c r="O458" s="181"/>
      <c r="P458" s="181"/>
      <c r="Q458" s="181"/>
      <c r="R458" s="181"/>
      <c r="S458" s="181"/>
      <c r="T458" s="181"/>
      <c r="U458" s="181"/>
      <c r="V458" s="181"/>
      <c r="W458" s="181"/>
      <c r="X458" s="181"/>
      <c r="Y458" s="181"/>
      <c r="Z458" s="181"/>
    </row>
    <row r="459">
      <c r="A459" s="194"/>
      <c r="B459" s="195"/>
      <c r="C459" s="181"/>
      <c r="D459" s="194"/>
      <c r="E459" s="194"/>
      <c r="F459" s="181"/>
      <c r="G459" s="181"/>
      <c r="H459" s="181"/>
      <c r="I459" s="181"/>
      <c r="J459" s="181"/>
      <c r="K459" s="181"/>
      <c r="L459" s="181"/>
      <c r="M459" s="181"/>
      <c r="N459" s="181"/>
      <c r="O459" s="181"/>
      <c r="P459" s="181"/>
      <c r="Q459" s="181"/>
      <c r="R459" s="181"/>
      <c r="S459" s="181"/>
      <c r="T459" s="181"/>
      <c r="U459" s="181"/>
      <c r="V459" s="181"/>
      <c r="W459" s="181"/>
      <c r="X459" s="181"/>
      <c r="Y459" s="181"/>
      <c r="Z459" s="181"/>
    </row>
    <row r="460">
      <c r="A460" s="194"/>
      <c r="B460" s="195"/>
      <c r="C460" s="181"/>
      <c r="D460" s="194"/>
      <c r="E460" s="194"/>
      <c r="F460" s="181"/>
      <c r="G460" s="181"/>
      <c r="H460" s="181"/>
      <c r="I460" s="181"/>
      <c r="J460" s="181"/>
      <c r="K460" s="181"/>
      <c r="L460" s="181"/>
      <c r="M460" s="181"/>
      <c r="N460" s="181"/>
      <c r="O460" s="181"/>
      <c r="P460" s="181"/>
      <c r="Q460" s="181"/>
      <c r="R460" s="181"/>
      <c r="S460" s="181"/>
      <c r="T460" s="181"/>
      <c r="U460" s="181"/>
      <c r="V460" s="181"/>
      <c r="W460" s="181"/>
      <c r="X460" s="181"/>
      <c r="Y460" s="181"/>
      <c r="Z460" s="181"/>
    </row>
    <row r="461">
      <c r="A461" s="194"/>
      <c r="B461" s="195"/>
      <c r="C461" s="181"/>
      <c r="D461" s="194"/>
      <c r="E461" s="194"/>
      <c r="F461" s="181"/>
      <c r="G461" s="181"/>
      <c r="H461" s="181"/>
      <c r="I461" s="181"/>
      <c r="J461" s="181"/>
      <c r="K461" s="181"/>
      <c r="L461" s="181"/>
      <c r="M461" s="181"/>
      <c r="N461" s="181"/>
      <c r="O461" s="181"/>
      <c r="P461" s="181"/>
      <c r="Q461" s="181"/>
      <c r="R461" s="181"/>
      <c r="S461" s="181"/>
      <c r="T461" s="181"/>
      <c r="U461" s="181"/>
      <c r="V461" s="181"/>
      <c r="W461" s="181"/>
      <c r="X461" s="181"/>
      <c r="Y461" s="181"/>
      <c r="Z461" s="181"/>
    </row>
    <row r="462">
      <c r="A462" s="194"/>
      <c r="B462" s="195"/>
      <c r="C462" s="181"/>
      <c r="D462" s="194"/>
      <c r="E462" s="194"/>
      <c r="F462" s="181"/>
      <c r="G462" s="181"/>
      <c r="H462" s="181"/>
      <c r="I462" s="181"/>
      <c r="J462" s="181"/>
      <c r="K462" s="181"/>
      <c r="L462" s="181"/>
      <c r="M462" s="181"/>
      <c r="N462" s="181"/>
      <c r="O462" s="181"/>
      <c r="P462" s="181"/>
      <c r="Q462" s="181"/>
      <c r="R462" s="181"/>
      <c r="S462" s="181"/>
      <c r="T462" s="181"/>
      <c r="U462" s="181"/>
      <c r="V462" s="181"/>
      <c r="W462" s="181"/>
      <c r="X462" s="181"/>
      <c r="Y462" s="181"/>
      <c r="Z462" s="181"/>
    </row>
    <row r="463">
      <c r="A463" s="194"/>
      <c r="B463" s="195"/>
      <c r="C463" s="181"/>
      <c r="D463" s="194"/>
      <c r="E463" s="194"/>
      <c r="F463" s="181"/>
      <c r="G463" s="181"/>
      <c r="H463" s="181"/>
      <c r="I463" s="181"/>
      <c r="J463" s="181"/>
      <c r="K463" s="181"/>
      <c r="L463" s="181"/>
      <c r="M463" s="181"/>
      <c r="N463" s="181"/>
      <c r="O463" s="181"/>
      <c r="P463" s="181"/>
      <c r="Q463" s="181"/>
      <c r="R463" s="181"/>
      <c r="S463" s="181"/>
      <c r="T463" s="181"/>
      <c r="U463" s="181"/>
      <c r="V463" s="181"/>
      <c r="W463" s="181"/>
      <c r="X463" s="181"/>
      <c r="Y463" s="181"/>
      <c r="Z463" s="181"/>
    </row>
    <row r="464">
      <c r="A464" s="194"/>
      <c r="B464" s="195"/>
      <c r="C464" s="181"/>
      <c r="D464" s="194"/>
      <c r="E464" s="194"/>
      <c r="F464" s="181"/>
      <c r="G464" s="181"/>
      <c r="H464" s="181"/>
      <c r="I464" s="181"/>
      <c r="J464" s="181"/>
      <c r="K464" s="181"/>
      <c r="L464" s="181"/>
      <c r="M464" s="181"/>
      <c r="N464" s="181"/>
      <c r="O464" s="181"/>
      <c r="P464" s="181"/>
      <c r="Q464" s="181"/>
      <c r="R464" s="181"/>
      <c r="S464" s="181"/>
      <c r="T464" s="181"/>
      <c r="U464" s="181"/>
      <c r="V464" s="181"/>
      <c r="W464" s="181"/>
      <c r="X464" s="181"/>
      <c r="Y464" s="181"/>
      <c r="Z464" s="181"/>
    </row>
    <row r="465">
      <c r="A465" s="194"/>
      <c r="B465" s="195"/>
      <c r="C465" s="181"/>
      <c r="D465" s="194"/>
      <c r="E465" s="194"/>
      <c r="F465" s="181"/>
      <c r="G465" s="181"/>
      <c r="H465" s="181"/>
      <c r="I465" s="181"/>
      <c r="J465" s="181"/>
      <c r="K465" s="181"/>
      <c r="L465" s="181"/>
      <c r="M465" s="181"/>
      <c r="N465" s="181"/>
      <c r="O465" s="181"/>
      <c r="P465" s="181"/>
      <c r="Q465" s="181"/>
      <c r="R465" s="181"/>
      <c r="S465" s="181"/>
      <c r="T465" s="181"/>
      <c r="U465" s="181"/>
      <c r="V465" s="181"/>
      <c r="W465" s="181"/>
      <c r="X465" s="181"/>
      <c r="Y465" s="181"/>
      <c r="Z465" s="181"/>
    </row>
    <row r="466">
      <c r="A466" s="194"/>
      <c r="B466" s="195"/>
      <c r="C466" s="181"/>
      <c r="D466" s="194"/>
      <c r="E466" s="194"/>
      <c r="F466" s="181"/>
      <c r="G466" s="181"/>
      <c r="H466" s="181"/>
      <c r="I466" s="181"/>
      <c r="J466" s="181"/>
      <c r="K466" s="181"/>
      <c r="L466" s="181"/>
      <c r="M466" s="181"/>
      <c r="N466" s="181"/>
      <c r="O466" s="181"/>
      <c r="P466" s="181"/>
      <c r="Q466" s="181"/>
      <c r="R466" s="181"/>
      <c r="S466" s="181"/>
      <c r="T466" s="181"/>
      <c r="U466" s="181"/>
      <c r="V466" s="181"/>
      <c r="W466" s="181"/>
      <c r="X466" s="181"/>
      <c r="Y466" s="181"/>
      <c r="Z466" s="181"/>
    </row>
    <row r="467">
      <c r="A467" s="194"/>
      <c r="B467" s="195"/>
      <c r="C467" s="181"/>
      <c r="D467" s="194"/>
      <c r="E467" s="194"/>
      <c r="F467" s="181"/>
      <c r="G467" s="181"/>
      <c r="H467" s="181"/>
      <c r="I467" s="181"/>
      <c r="J467" s="181"/>
      <c r="K467" s="181"/>
      <c r="L467" s="181"/>
      <c r="M467" s="181"/>
      <c r="N467" s="181"/>
      <c r="O467" s="181"/>
      <c r="P467" s="181"/>
      <c r="Q467" s="181"/>
      <c r="R467" s="181"/>
      <c r="S467" s="181"/>
      <c r="T467" s="181"/>
      <c r="U467" s="181"/>
      <c r="V467" s="181"/>
      <c r="W467" s="181"/>
      <c r="X467" s="181"/>
      <c r="Y467" s="181"/>
      <c r="Z467" s="181"/>
    </row>
    <row r="468">
      <c r="A468" s="194"/>
      <c r="B468" s="195"/>
      <c r="C468" s="181"/>
      <c r="D468" s="194"/>
      <c r="E468" s="194"/>
      <c r="F468" s="181"/>
      <c r="G468" s="181"/>
      <c r="H468" s="181"/>
      <c r="I468" s="181"/>
      <c r="J468" s="181"/>
      <c r="K468" s="181"/>
      <c r="L468" s="181"/>
      <c r="M468" s="181"/>
      <c r="N468" s="181"/>
      <c r="O468" s="181"/>
      <c r="P468" s="181"/>
      <c r="Q468" s="181"/>
      <c r="R468" s="181"/>
      <c r="S468" s="181"/>
      <c r="T468" s="181"/>
      <c r="U468" s="181"/>
      <c r="V468" s="181"/>
      <c r="W468" s="181"/>
      <c r="X468" s="181"/>
      <c r="Y468" s="181"/>
      <c r="Z468" s="181"/>
    </row>
    <row r="469">
      <c r="A469" s="194"/>
      <c r="B469" s="195"/>
      <c r="C469" s="181"/>
      <c r="D469" s="194"/>
      <c r="E469" s="194"/>
      <c r="F469" s="181"/>
      <c r="G469" s="181"/>
      <c r="H469" s="181"/>
      <c r="I469" s="181"/>
      <c r="J469" s="181"/>
      <c r="K469" s="181"/>
      <c r="L469" s="181"/>
      <c r="M469" s="181"/>
      <c r="N469" s="181"/>
      <c r="O469" s="181"/>
      <c r="P469" s="181"/>
      <c r="Q469" s="181"/>
      <c r="R469" s="181"/>
      <c r="S469" s="181"/>
      <c r="T469" s="181"/>
      <c r="U469" s="181"/>
      <c r="V469" s="181"/>
      <c r="W469" s="181"/>
      <c r="X469" s="181"/>
      <c r="Y469" s="181"/>
      <c r="Z469" s="181"/>
    </row>
    <row r="470">
      <c r="A470" s="194"/>
      <c r="B470" s="195"/>
      <c r="C470" s="181"/>
      <c r="D470" s="194"/>
      <c r="E470" s="194"/>
      <c r="F470" s="181"/>
      <c r="G470" s="181"/>
      <c r="H470" s="181"/>
      <c r="I470" s="181"/>
      <c r="J470" s="181"/>
      <c r="K470" s="181"/>
      <c r="L470" s="181"/>
      <c r="M470" s="181"/>
      <c r="N470" s="181"/>
      <c r="O470" s="181"/>
      <c r="P470" s="181"/>
      <c r="Q470" s="181"/>
      <c r="R470" s="181"/>
      <c r="S470" s="181"/>
      <c r="T470" s="181"/>
      <c r="U470" s="181"/>
      <c r="V470" s="181"/>
      <c r="W470" s="181"/>
      <c r="X470" s="181"/>
      <c r="Y470" s="181"/>
      <c r="Z470" s="181"/>
    </row>
    <row r="471">
      <c r="A471" s="194"/>
      <c r="B471" s="195"/>
      <c r="C471" s="181"/>
      <c r="D471" s="194"/>
      <c r="E471" s="194"/>
      <c r="F471" s="181"/>
      <c r="G471" s="181"/>
      <c r="H471" s="181"/>
      <c r="I471" s="181"/>
      <c r="J471" s="181"/>
      <c r="K471" s="181"/>
      <c r="L471" s="181"/>
      <c r="M471" s="181"/>
      <c r="N471" s="181"/>
      <c r="O471" s="181"/>
      <c r="P471" s="181"/>
      <c r="Q471" s="181"/>
      <c r="R471" s="181"/>
      <c r="S471" s="181"/>
      <c r="T471" s="181"/>
      <c r="U471" s="181"/>
      <c r="V471" s="181"/>
      <c r="W471" s="181"/>
      <c r="X471" s="181"/>
      <c r="Y471" s="181"/>
      <c r="Z471" s="181"/>
    </row>
    <row r="472">
      <c r="A472" s="194"/>
      <c r="B472" s="195"/>
      <c r="C472" s="181"/>
      <c r="D472" s="194"/>
      <c r="E472" s="194"/>
      <c r="F472" s="181"/>
      <c r="G472" s="181"/>
      <c r="H472" s="181"/>
      <c r="I472" s="181"/>
      <c r="J472" s="181"/>
      <c r="K472" s="181"/>
      <c r="L472" s="181"/>
      <c r="M472" s="181"/>
      <c r="N472" s="181"/>
      <c r="O472" s="181"/>
      <c r="P472" s="181"/>
      <c r="Q472" s="181"/>
      <c r="R472" s="181"/>
      <c r="S472" s="181"/>
      <c r="T472" s="181"/>
      <c r="U472" s="181"/>
      <c r="V472" s="181"/>
      <c r="W472" s="181"/>
      <c r="X472" s="181"/>
      <c r="Y472" s="181"/>
      <c r="Z472" s="181"/>
    </row>
    <row r="473">
      <c r="A473" s="194"/>
      <c r="B473" s="195"/>
      <c r="C473" s="181"/>
      <c r="D473" s="194"/>
      <c r="E473" s="194"/>
      <c r="F473" s="181"/>
      <c r="G473" s="181"/>
      <c r="H473" s="181"/>
      <c r="I473" s="181"/>
      <c r="J473" s="181"/>
      <c r="K473" s="181"/>
      <c r="L473" s="181"/>
      <c r="M473" s="181"/>
      <c r="N473" s="181"/>
      <c r="O473" s="181"/>
      <c r="P473" s="181"/>
      <c r="Q473" s="181"/>
      <c r="R473" s="181"/>
      <c r="S473" s="181"/>
      <c r="T473" s="181"/>
      <c r="U473" s="181"/>
      <c r="V473" s="181"/>
      <c r="W473" s="181"/>
      <c r="X473" s="181"/>
      <c r="Y473" s="181"/>
      <c r="Z473" s="181"/>
    </row>
    <row r="474">
      <c r="A474" s="194"/>
      <c r="B474" s="195"/>
      <c r="C474" s="181"/>
      <c r="D474" s="194"/>
      <c r="E474" s="194"/>
      <c r="F474" s="181"/>
      <c r="G474" s="181"/>
      <c r="H474" s="181"/>
      <c r="I474" s="181"/>
      <c r="J474" s="181"/>
      <c r="K474" s="181"/>
      <c r="L474" s="181"/>
      <c r="M474" s="181"/>
      <c r="N474" s="181"/>
      <c r="O474" s="181"/>
      <c r="P474" s="181"/>
      <c r="Q474" s="181"/>
      <c r="R474" s="181"/>
      <c r="S474" s="181"/>
      <c r="T474" s="181"/>
      <c r="U474" s="181"/>
      <c r="V474" s="181"/>
      <c r="W474" s="181"/>
      <c r="X474" s="181"/>
      <c r="Y474" s="181"/>
      <c r="Z474" s="181"/>
    </row>
    <row r="475">
      <c r="A475" s="194"/>
      <c r="B475" s="195"/>
      <c r="C475" s="181"/>
      <c r="D475" s="194"/>
      <c r="E475" s="194"/>
      <c r="F475" s="181"/>
      <c r="G475" s="181"/>
      <c r="H475" s="181"/>
      <c r="I475" s="181"/>
      <c r="J475" s="181"/>
      <c r="K475" s="181"/>
      <c r="L475" s="181"/>
      <c r="M475" s="181"/>
      <c r="N475" s="181"/>
      <c r="O475" s="181"/>
      <c r="P475" s="181"/>
      <c r="Q475" s="181"/>
      <c r="R475" s="181"/>
      <c r="S475" s="181"/>
      <c r="T475" s="181"/>
      <c r="U475" s="181"/>
      <c r="V475" s="181"/>
      <c r="W475" s="181"/>
      <c r="X475" s="181"/>
      <c r="Y475" s="181"/>
      <c r="Z475" s="181"/>
    </row>
    <row r="476">
      <c r="A476" s="194"/>
      <c r="B476" s="195"/>
      <c r="C476" s="181"/>
      <c r="D476" s="194"/>
      <c r="E476" s="194"/>
      <c r="F476" s="181"/>
      <c r="G476" s="181"/>
      <c r="H476" s="181"/>
      <c r="I476" s="181"/>
      <c r="J476" s="181"/>
      <c r="K476" s="181"/>
      <c r="L476" s="181"/>
      <c r="M476" s="181"/>
      <c r="N476" s="181"/>
      <c r="O476" s="181"/>
      <c r="P476" s="181"/>
      <c r="Q476" s="181"/>
      <c r="R476" s="181"/>
      <c r="S476" s="181"/>
      <c r="T476" s="181"/>
      <c r="U476" s="181"/>
      <c r="V476" s="181"/>
      <c r="W476" s="181"/>
      <c r="X476" s="181"/>
      <c r="Y476" s="181"/>
      <c r="Z476" s="181"/>
    </row>
    <row r="477">
      <c r="A477" s="194"/>
      <c r="B477" s="195"/>
      <c r="C477" s="181"/>
      <c r="D477" s="194"/>
      <c r="E477" s="194"/>
      <c r="F477" s="181"/>
      <c r="G477" s="181"/>
      <c r="H477" s="181"/>
      <c r="I477" s="181"/>
      <c r="J477" s="181"/>
      <c r="K477" s="181"/>
      <c r="L477" s="181"/>
      <c r="M477" s="181"/>
      <c r="N477" s="181"/>
      <c r="O477" s="181"/>
      <c r="P477" s="181"/>
      <c r="Q477" s="181"/>
      <c r="R477" s="181"/>
      <c r="S477" s="181"/>
      <c r="T477" s="181"/>
      <c r="U477" s="181"/>
      <c r="V477" s="181"/>
      <c r="W477" s="181"/>
      <c r="X477" s="181"/>
      <c r="Y477" s="181"/>
      <c r="Z477" s="181"/>
    </row>
    <row r="478">
      <c r="A478" s="194"/>
      <c r="B478" s="195"/>
      <c r="C478" s="181"/>
      <c r="D478" s="194"/>
      <c r="E478" s="194"/>
      <c r="F478" s="181"/>
      <c r="G478" s="181"/>
      <c r="H478" s="181"/>
      <c r="I478" s="181"/>
      <c r="J478" s="181"/>
      <c r="K478" s="181"/>
      <c r="L478" s="181"/>
      <c r="M478" s="181"/>
      <c r="N478" s="181"/>
      <c r="O478" s="181"/>
      <c r="P478" s="181"/>
      <c r="Q478" s="181"/>
      <c r="R478" s="181"/>
      <c r="S478" s="181"/>
      <c r="T478" s="181"/>
      <c r="U478" s="181"/>
      <c r="V478" s="181"/>
      <c r="W478" s="181"/>
      <c r="X478" s="181"/>
      <c r="Y478" s="181"/>
      <c r="Z478" s="181"/>
    </row>
    <row r="479">
      <c r="A479" s="194"/>
      <c r="B479" s="195"/>
      <c r="C479" s="181"/>
      <c r="D479" s="194"/>
      <c r="E479" s="194"/>
      <c r="F479" s="181"/>
      <c r="G479" s="181"/>
      <c r="H479" s="181"/>
      <c r="I479" s="181"/>
      <c r="J479" s="181"/>
      <c r="K479" s="181"/>
      <c r="L479" s="181"/>
      <c r="M479" s="181"/>
      <c r="N479" s="181"/>
      <c r="O479" s="181"/>
      <c r="P479" s="181"/>
      <c r="Q479" s="181"/>
      <c r="R479" s="181"/>
      <c r="S479" s="181"/>
      <c r="T479" s="181"/>
      <c r="U479" s="181"/>
      <c r="V479" s="181"/>
      <c r="W479" s="181"/>
      <c r="X479" s="181"/>
      <c r="Y479" s="181"/>
      <c r="Z479" s="181"/>
    </row>
    <row r="480">
      <c r="A480" s="194"/>
      <c r="B480" s="195"/>
      <c r="C480" s="181"/>
      <c r="D480" s="194"/>
      <c r="E480" s="194"/>
      <c r="F480" s="181"/>
      <c r="G480" s="181"/>
      <c r="H480" s="181"/>
      <c r="I480" s="181"/>
      <c r="J480" s="181"/>
      <c r="K480" s="181"/>
      <c r="L480" s="181"/>
      <c r="M480" s="181"/>
      <c r="N480" s="181"/>
      <c r="O480" s="181"/>
      <c r="P480" s="181"/>
      <c r="Q480" s="181"/>
      <c r="R480" s="181"/>
      <c r="S480" s="181"/>
      <c r="T480" s="181"/>
      <c r="U480" s="181"/>
      <c r="V480" s="181"/>
      <c r="W480" s="181"/>
      <c r="X480" s="181"/>
      <c r="Y480" s="181"/>
      <c r="Z480" s="181"/>
    </row>
    <row r="481">
      <c r="A481" s="194"/>
      <c r="B481" s="195"/>
      <c r="C481" s="181"/>
      <c r="D481" s="194"/>
      <c r="E481" s="194"/>
      <c r="F481" s="181"/>
      <c r="G481" s="181"/>
      <c r="H481" s="181"/>
      <c r="I481" s="181"/>
      <c r="J481" s="181"/>
      <c r="K481" s="181"/>
      <c r="L481" s="181"/>
      <c r="M481" s="181"/>
      <c r="N481" s="181"/>
      <c r="O481" s="181"/>
      <c r="P481" s="181"/>
      <c r="Q481" s="181"/>
      <c r="R481" s="181"/>
      <c r="S481" s="181"/>
      <c r="T481" s="181"/>
      <c r="U481" s="181"/>
      <c r="V481" s="181"/>
      <c r="W481" s="181"/>
      <c r="X481" s="181"/>
      <c r="Y481" s="181"/>
      <c r="Z481" s="181"/>
    </row>
    <row r="482">
      <c r="A482" s="194"/>
      <c r="B482" s="195"/>
      <c r="C482" s="181"/>
      <c r="D482" s="194"/>
      <c r="E482" s="194"/>
      <c r="F482" s="181"/>
      <c r="G482" s="181"/>
      <c r="H482" s="181"/>
      <c r="I482" s="181"/>
      <c r="J482" s="181"/>
      <c r="K482" s="181"/>
      <c r="L482" s="181"/>
      <c r="M482" s="181"/>
      <c r="N482" s="181"/>
      <c r="O482" s="181"/>
      <c r="P482" s="181"/>
      <c r="Q482" s="181"/>
      <c r="R482" s="181"/>
      <c r="S482" s="181"/>
      <c r="T482" s="181"/>
      <c r="U482" s="181"/>
      <c r="V482" s="181"/>
      <c r="W482" s="181"/>
      <c r="X482" s="181"/>
      <c r="Y482" s="181"/>
      <c r="Z482" s="181"/>
    </row>
    <row r="483">
      <c r="A483" s="194"/>
      <c r="B483" s="195"/>
      <c r="C483" s="181"/>
      <c r="D483" s="194"/>
      <c r="E483" s="194"/>
      <c r="F483" s="181"/>
      <c r="G483" s="181"/>
      <c r="H483" s="181"/>
      <c r="I483" s="181"/>
      <c r="J483" s="181"/>
      <c r="K483" s="181"/>
      <c r="L483" s="181"/>
      <c r="M483" s="181"/>
      <c r="N483" s="181"/>
      <c r="O483" s="181"/>
      <c r="P483" s="181"/>
      <c r="Q483" s="181"/>
      <c r="R483" s="181"/>
      <c r="S483" s="181"/>
      <c r="T483" s="181"/>
      <c r="U483" s="181"/>
      <c r="V483" s="181"/>
      <c r="W483" s="181"/>
      <c r="X483" s="181"/>
      <c r="Y483" s="181"/>
      <c r="Z483" s="181"/>
    </row>
    <row r="484">
      <c r="A484" s="194"/>
      <c r="B484" s="195"/>
      <c r="C484" s="181"/>
      <c r="D484" s="194"/>
      <c r="E484" s="194"/>
      <c r="F484" s="181"/>
      <c r="G484" s="181"/>
      <c r="H484" s="181"/>
      <c r="I484" s="181"/>
      <c r="J484" s="181"/>
      <c r="K484" s="181"/>
      <c r="L484" s="181"/>
      <c r="M484" s="181"/>
      <c r="N484" s="181"/>
      <c r="O484" s="181"/>
      <c r="P484" s="181"/>
      <c r="Q484" s="181"/>
      <c r="R484" s="181"/>
      <c r="S484" s="181"/>
      <c r="T484" s="181"/>
      <c r="U484" s="181"/>
      <c r="V484" s="181"/>
      <c r="W484" s="181"/>
      <c r="X484" s="181"/>
      <c r="Y484" s="181"/>
      <c r="Z484" s="181"/>
    </row>
    <row r="485">
      <c r="A485" s="194"/>
      <c r="B485" s="195"/>
      <c r="C485" s="181"/>
      <c r="D485" s="194"/>
      <c r="E485" s="194"/>
      <c r="F485" s="181"/>
      <c r="G485" s="181"/>
      <c r="H485" s="181"/>
      <c r="I485" s="181"/>
      <c r="J485" s="181"/>
      <c r="K485" s="181"/>
      <c r="L485" s="181"/>
      <c r="M485" s="181"/>
      <c r="N485" s="181"/>
      <c r="O485" s="181"/>
      <c r="P485" s="181"/>
      <c r="Q485" s="181"/>
      <c r="R485" s="181"/>
      <c r="S485" s="181"/>
      <c r="T485" s="181"/>
      <c r="U485" s="181"/>
      <c r="V485" s="181"/>
      <c r="W485" s="181"/>
      <c r="X485" s="181"/>
      <c r="Y485" s="181"/>
      <c r="Z485" s="181"/>
    </row>
    <row r="486">
      <c r="A486" s="194"/>
      <c r="B486" s="195"/>
      <c r="C486" s="181"/>
      <c r="D486" s="194"/>
      <c r="E486" s="194"/>
      <c r="F486" s="181"/>
      <c r="G486" s="181"/>
      <c r="H486" s="181"/>
      <c r="I486" s="181"/>
      <c r="J486" s="181"/>
      <c r="K486" s="181"/>
      <c r="L486" s="181"/>
      <c r="M486" s="181"/>
      <c r="N486" s="181"/>
      <c r="O486" s="181"/>
      <c r="P486" s="181"/>
      <c r="Q486" s="181"/>
      <c r="R486" s="181"/>
      <c r="S486" s="181"/>
      <c r="T486" s="181"/>
      <c r="U486" s="181"/>
      <c r="V486" s="181"/>
      <c r="W486" s="181"/>
      <c r="X486" s="181"/>
      <c r="Y486" s="181"/>
      <c r="Z486" s="181"/>
    </row>
    <row r="487">
      <c r="A487" s="194"/>
      <c r="B487" s="195"/>
      <c r="C487" s="181"/>
      <c r="D487" s="194"/>
      <c r="E487" s="194"/>
      <c r="F487" s="181"/>
      <c r="G487" s="181"/>
      <c r="H487" s="181"/>
      <c r="I487" s="181"/>
      <c r="J487" s="181"/>
      <c r="K487" s="181"/>
      <c r="L487" s="181"/>
      <c r="M487" s="181"/>
      <c r="N487" s="181"/>
      <c r="O487" s="181"/>
      <c r="P487" s="181"/>
      <c r="Q487" s="181"/>
      <c r="R487" s="181"/>
      <c r="S487" s="181"/>
      <c r="T487" s="181"/>
      <c r="U487" s="181"/>
      <c r="V487" s="181"/>
      <c r="W487" s="181"/>
      <c r="X487" s="181"/>
      <c r="Y487" s="181"/>
      <c r="Z487" s="181"/>
    </row>
    <row r="488">
      <c r="A488" s="194"/>
      <c r="B488" s="195"/>
      <c r="C488" s="181"/>
      <c r="D488" s="194"/>
      <c r="E488" s="194"/>
      <c r="F488" s="181"/>
      <c r="G488" s="181"/>
      <c r="H488" s="181"/>
      <c r="I488" s="181"/>
      <c r="J488" s="181"/>
      <c r="K488" s="181"/>
      <c r="L488" s="181"/>
      <c r="M488" s="181"/>
      <c r="N488" s="181"/>
      <c r="O488" s="181"/>
      <c r="P488" s="181"/>
      <c r="Q488" s="181"/>
      <c r="R488" s="181"/>
      <c r="S488" s="181"/>
      <c r="T488" s="181"/>
      <c r="U488" s="181"/>
      <c r="V488" s="181"/>
      <c r="W488" s="181"/>
      <c r="X488" s="181"/>
      <c r="Y488" s="181"/>
      <c r="Z488" s="181"/>
    </row>
    <row r="489">
      <c r="A489" s="194"/>
      <c r="B489" s="195"/>
      <c r="C489" s="181"/>
      <c r="D489" s="194"/>
      <c r="E489" s="194"/>
      <c r="F489" s="181"/>
      <c r="G489" s="181"/>
      <c r="H489" s="181"/>
      <c r="I489" s="181"/>
      <c r="J489" s="181"/>
      <c r="K489" s="181"/>
      <c r="L489" s="181"/>
      <c r="M489" s="181"/>
      <c r="N489" s="181"/>
      <c r="O489" s="181"/>
      <c r="P489" s="181"/>
      <c r="Q489" s="181"/>
      <c r="R489" s="181"/>
      <c r="S489" s="181"/>
      <c r="T489" s="181"/>
      <c r="U489" s="181"/>
      <c r="V489" s="181"/>
      <c r="W489" s="181"/>
      <c r="X489" s="181"/>
      <c r="Y489" s="181"/>
      <c r="Z489" s="181"/>
    </row>
    <row r="490">
      <c r="A490" s="194"/>
      <c r="B490" s="195"/>
      <c r="C490" s="181"/>
      <c r="D490" s="194"/>
      <c r="E490" s="194"/>
      <c r="F490" s="181"/>
      <c r="G490" s="181"/>
      <c r="H490" s="181"/>
      <c r="I490" s="181"/>
      <c r="J490" s="181"/>
      <c r="K490" s="181"/>
      <c r="L490" s="181"/>
      <c r="M490" s="181"/>
      <c r="N490" s="181"/>
      <c r="O490" s="181"/>
      <c r="P490" s="181"/>
      <c r="Q490" s="181"/>
      <c r="R490" s="181"/>
      <c r="S490" s="181"/>
      <c r="T490" s="181"/>
      <c r="U490" s="181"/>
      <c r="V490" s="181"/>
      <c r="W490" s="181"/>
      <c r="X490" s="181"/>
      <c r="Y490" s="181"/>
      <c r="Z490" s="181"/>
    </row>
    <row r="491">
      <c r="A491" s="194"/>
      <c r="B491" s="195"/>
      <c r="C491" s="181"/>
      <c r="D491" s="194"/>
      <c r="E491" s="194"/>
      <c r="F491" s="181"/>
      <c r="G491" s="181"/>
      <c r="H491" s="181"/>
      <c r="I491" s="181"/>
      <c r="J491" s="181"/>
      <c r="K491" s="181"/>
      <c r="L491" s="181"/>
      <c r="M491" s="181"/>
      <c r="N491" s="181"/>
      <c r="O491" s="181"/>
      <c r="P491" s="181"/>
      <c r="Q491" s="181"/>
      <c r="R491" s="181"/>
      <c r="S491" s="181"/>
      <c r="T491" s="181"/>
      <c r="U491" s="181"/>
      <c r="V491" s="181"/>
      <c r="W491" s="181"/>
      <c r="X491" s="181"/>
      <c r="Y491" s="181"/>
      <c r="Z491" s="181"/>
    </row>
    <row r="492">
      <c r="A492" s="194"/>
      <c r="B492" s="195"/>
      <c r="C492" s="181"/>
      <c r="D492" s="194"/>
      <c r="E492" s="194"/>
      <c r="F492" s="181"/>
      <c r="G492" s="181"/>
      <c r="H492" s="181"/>
      <c r="I492" s="181"/>
      <c r="J492" s="181"/>
      <c r="K492" s="181"/>
      <c r="L492" s="181"/>
      <c r="M492" s="181"/>
      <c r="N492" s="181"/>
      <c r="O492" s="181"/>
      <c r="P492" s="181"/>
      <c r="Q492" s="181"/>
      <c r="R492" s="181"/>
      <c r="S492" s="181"/>
      <c r="T492" s="181"/>
      <c r="U492" s="181"/>
      <c r="V492" s="181"/>
      <c r="W492" s="181"/>
      <c r="X492" s="181"/>
      <c r="Y492" s="181"/>
      <c r="Z492" s="181"/>
    </row>
    <row r="493">
      <c r="A493" s="194"/>
      <c r="B493" s="195"/>
      <c r="C493" s="181"/>
      <c r="D493" s="194"/>
      <c r="E493" s="194"/>
      <c r="F493" s="181"/>
      <c r="G493" s="181"/>
      <c r="H493" s="181"/>
      <c r="I493" s="181"/>
      <c r="J493" s="181"/>
      <c r="K493" s="181"/>
      <c r="L493" s="181"/>
      <c r="M493" s="181"/>
      <c r="N493" s="181"/>
      <c r="O493" s="181"/>
      <c r="P493" s="181"/>
      <c r="Q493" s="181"/>
      <c r="R493" s="181"/>
      <c r="S493" s="181"/>
      <c r="T493" s="181"/>
      <c r="U493" s="181"/>
      <c r="V493" s="181"/>
      <c r="W493" s="181"/>
      <c r="X493" s="181"/>
      <c r="Y493" s="181"/>
      <c r="Z493" s="181"/>
    </row>
    <row r="494">
      <c r="A494" s="194"/>
      <c r="B494" s="195"/>
      <c r="C494" s="181"/>
      <c r="D494" s="194"/>
      <c r="E494" s="194"/>
      <c r="F494" s="181"/>
      <c r="G494" s="181"/>
      <c r="H494" s="181"/>
      <c r="I494" s="181"/>
      <c r="J494" s="181"/>
      <c r="K494" s="181"/>
      <c r="L494" s="181"/>
      <c r="M494" s="181"/>
      <c r="N494" s="181"/>
      <c r="O494" s="181"/>
      <c r="P494" s="181"/>
      <c r="Q494" s="181"/>
      <c r="R494" s="181"/>
      <c r="S494" s="181"/>
      <c r="T494" s="181"/>
      <c r="U494" s="181"/>
      <c r="V494" s="181"/>
      <c r="W494" s="181"/>
      <c r="X494" s="181"/>
      <c r="Y494" s="181"/>
      <c r="Z494" s="181"/>
    </row>
    <row r="495">
      <c r="A495" s="194"/>
      <c r="B495" s="195"/>
      <c r="C495" s="181"/>
      <c r="D495" s="194"/>
      <c r="E495" s="194"/>
      <c r="F495" s="181"/>
      <c r="G495" s="181"/>
      <c r="H495" s="181"/>
      <c r="I495" s="181"/>
      <c r="J495" s="181"/>
      <c r="K495" s="181"/>
      <c r="L495" s="181"/>
      <c r="M495" s="181"/>
      <c r="N495" s="181"/>
      <c r="O495" s="181"/>
      <c r="P495" s="181"/>
      <c r="Q495" s="181"/>
      <c r="R495" s="181"/>
      <c r="S495" s="181"/>
      <c r="T495" s="181"/>
      <c r="U495" s="181"/>
      <c r="V495" s="181"/>
      <c r="W495" s="181"/>
      <c r="X495" s="181"/>
      <c r="Y495" s="181"/>
      <c r="Z495" s="181"/>
    </row>
    <row r="496">
      <c r="A496" s="194"/>
      <c r="B496" s="195"/>
      <c r="C496" s="181"/>
      <c r="D496" s="194"/>
      <c r="E496" s="194"/>
      <c r="F496" s="181"/>
      <c r="G496" s="181"/>
      <c r="H496" s="181"/>
      <c r="I496" s="181"/>
      <c r="J496" s="181"/>
      <c r="K496" s="181"/>
      <c r="L496" s="181"/>
      <c r="M496" s="181"/>
      <c r="N496" s="181"/>
      <c r="O496" s="181"/>
      <c r="P496" s="181"/>
      <c r="Q496" s="181"/>
      <c r="R496" s="181"/>
      <c r="S496" s="181"/>
      <c r="T496" s="181"/>
      <c r="U496" s="181"/>
      <c r="V496" s="181"/>
      <c r="W496" s="181"/>
      <c r="X496" s="181"/>
      <c r="Y496" s="181"/>
      <c r="Z496" s="181"/>
    </row>
    <row r="497">
      <c r="A497" s="194"/>
      <c r="B497" s="195"/>
      <c r="C497" s="181"/>
      <c r="D497" s="194"/>
      <c r="E497" s="194"/>
      <c r="F497" s="181"/>
      <c r="G497" s="181"/>
      <c r="H497" s="181"/>
      <c r="I497" s="181"/>
      <c r="J497" s="181"/>
      <c r="K497" s="181"/>
      <c r="L497" s="181"/>
      <c r="M497" s="181"/>
      <c r="N497" s="181"/>
      <c r="O497" s="181"/>
      <c r="P497" s="181"/>
      <c r="Q497" s="181"/>
      <c r="R497" s="181"/>
      <c r="S497" s="181"/>
      <c r="T497" s="181"/>
      <c r="U497" s="181"/>
      <c r="V497" s="181"/>
      <c r="W497" s="181"/>
      <c r="X497" s="181"/>
      <c r="Y497" s="181"/>
      <c r="Z497" s="181"/>
    </row>
    <row r="498">
      <c r="A498" s="194"/>
      <c r="B498" s="195"/>
      <c r="C498" s="181"/>
      <c r="D498" s="194"/>
      <c r="E498" s="194"/>
      <c r="F498" s="181"/>
      <c r="G498" s="181"/>
      <c r="H498" s="181"/>
      <c r="I498" s="181"/>
      <c r="J498" s="181"/>
      <c r="K498" s="181"/>
      <c r="L498" s="181"/>
      <c r="M498" s="181"/>
      <c r="N498" s="181"/>
      <c r="O498" s="181"/>
      <c r="P498" s="181"/>
      <c r="Q498" s="181"/>
      <c r="R498" s="181"/>
      <c r="S498" s="181"/>
      <c r="T498" s="181"/>
      <c r="U498" s="181"/>
      <c r="V498" s="181"/>
      <c r="W498" s="181"/>
      <c r="X498" s="181"/>
      <c r="Y498" s="181"/>
      <c r="Z498" s="181"/>
    </row>
    <row r="499">
      <c r="A499" s="194"/>
      <c r="B499" s="195"/>
      <c r="C499" s="181"/>
      <c r="D499" s="194"/>
      <c r="E499" s="194"/>
      <c r="F499" s="181"/>
      <c r="G499" s="181"/>
      <c r="H499" s="181"/>
      <c r="I499" s="181"/>
      <c r="J499" s="181"/>
      <c r="K499" s="181"/>
      <c r="L499" s="181"/>
      <c r="M499" s="181"/>
      <c r="N499" s="181"/>
      <c r="O499" s="181"/>
      <c r="P499" s="181"/>
      <c r="Q499" s="181"/>
      <c r="R499" s="181"/>
      <c r="S499" s="181"/>
      <c r="T499" s="181"/>
      <c r="U499" s="181"/>
      <c r="V499" s="181"/>
      <c r="W499" s="181"/>
      <c r="X499" s="181"/>
      <c r="Y499" s="181"/>
      <c r="Z499" s="181"/>
    </row>
    <row r="500">
      <c r="A500" s="194"/>
      <c r="B500" s="195"/>
      <c r="C500" s="181"/>
      <c r="D500" s="194"/>
      <c r="E500" s="194"/>
      <c r="F500" s="181"/>
      <c r="G500" s="181"/>
      <c r="H500" s="181"/>
      <c r="I500" s="181"/>
      <c r="J500" s="181"/>
      <c r="K500" s="181"/>
      <c r="L500" s="181"/>
      <c r="M500" s="181"/>
      <c r="N500" s="181"/>
      <c r="O500" s="181"/>
      <c r="P500" s="181"/>
      <c r="Q500" s="181"/>
      <c r="R500" s="181"/>
      <c r="S500" s="181"/>
      <c r="T500" s="181"/>
      <c r="U500" s="181"/>
      <c r="V500" s="181"/>
      <c r="W500" s="181"/>
      <c r="X500" s="181"/>
      <c r="Y500" s="181"/>
      <c r="Z500" s="181"/>
    </row>
    <row r="501">
      <c r="A501" s="194"/>
      <c r="B501" s="195"/>
      <c r="C501" s="181"/>
      <c r="D501" s="194"/>
      <c r="E501" s="194"/>
      <c r="F501" s="181"/>
      <c r="G501" s="181"/>
      <c r="H501" s="181"/>
      <c r="I501" s="181"/>
      <c r="J501" s="181"/>
      <c r="K501" s="181"/>
      <c r="L501" s="181"/>
      <c r="M501" s="181"/>
      <c r="N501" s="181"/>
      <c r="O501" s="181"/>
      <c r="P501" s="181"/>
      <c r="Q501" s="181"/>
      <c r="R501" s="181"/>
      <c r="S501" s="181"/>
      <c r="T501" s="181"/>
      <c r="U501" s="181"/>
      <c r="V501" s="181"/>
      <c r="W501" s="181"/>
      <c r="X501" s="181"/>
      <c r="Y501" s="181"/>
      <c r="Z501" s="181"/>
    </row>
    <row r="502">
      <c r="A502" s="194"/>
      <c r="B502" s="195"/>
      <c r="C502" s="181"/>
      <c r="D502" s="194"/>
      <c r="E502" s="194"/>
      <c r="F502" s="181"/>
      <c r="G502" s="181"/>
      <c r="H502" s="181"/>
      <c r="I502" s="181"/>
      <c r="J502" s="181"/>
      <c r="K502" s="181"/>
      <c r="L502" s="181"/>
      <c r="M502" s="181"/>
      <c r="N502" s="181"/>
      <c r="O502" s="181"/>
      <c r="P502" s="181"/>
      <c r="Q502" s="181"/>
      <c r="R502" s="181"/>
      <c r="S502" s="181"/>
      <c r="T502" s="181"/>
      <c r="U502" s="181"/>
      <c r="V502" s="181"/>
      <c r="W502" s="181"/>
      <c r="X502" s="181"/>
      <c r="Y502" s="181"/>
      <c r="Z502" s="181"/>
    </row>
    <row r="503">
      <c r="A503" s="194"/>
      <c r="B503" s="195"/>
      <c r="C503" s="181"/>
      <c r="D503" s="194"/>
      <c r="E503" s="194"/>
      <c r="F503" s="181"/>
      <c r="G503" s="181"/>
      <c r="H503" s="181"/>
      <c r="I503" s="181"/>
      <c r="J503" s="181"/>
      <c r="K503" s="181"/>
      <c r="L503" s="181"/>
      <c r="M503" s="181"/>
      <c r="N503" s="181"/>
      <c r="O503" s="181"/>
      <c r="P503" s="181"/>
      <c r="Q503" s="181"/>
      <c r="R503" s="181"/>
      <c r="S503" s="181"/>
      <c r="T503" s="181"/>
      <c r="U503" s="181"/>
      <c r="V503" s="181"/>
      <c r="W503" s="181"/>
      <c r="X503" s="181"/>
      <c r="Y503" s="181"/>
      <c r="Z503" s="181"/>
    </row>
    <row r="504">
      <c r="A504" s="194"/>
      <c r="B504" s="195"/>
      <c r="C504" s="181"/>
      <c r="D504" s="194"/>
      <c r="E504" s="194"/>
      <c r="F504" s="181"/>
      <c r="G504" s="181"/>
      <c r="H504" s="181"/>
      <c r="I504" s="181"/>
      <c r="J504" s="181"/>
      <c r="K504" s="181"/>
      <c r="L504" s="181"/>
      <c r="M504" s="181"/>
      <c r="N504" s="181"/>
      <c r="O504" s="181"/>
      <c r="P504" s="181"/>
      <c r="Q504" s="181"/>
      <c r="R504" s="181"/>
      <c r="S504" s="181"/>
      <c r="T504" s="181"/>
      <c r="U504" s="181"/>
      <c r="V504" s="181"/>
      <c r="W504" s="181"/>
      <c r="X504" s="181"/>
      <c r="Y504" s="181"/>
      <c r="Z504" s="181"/>
    </row>
    <row r="505">
      <c r="A505" s="194"/>
      <c r="B505" s="195"/>
      <c r="C505" s="181"/>
      <c r="D505" s="194"/>
      <c r="E505" s="194"/>
      <c r="F505" s="181"/>
      <c r="G505" s="181"/>
      <c r="H505" s="181"/>
      <c r="I505" s="181"/>
      <c r="J505" s="181"/>
      <c r="K505" s="181"/>
      <c r="L505" s="181"/>
      <c r="M505" s="181"/>
      <c r="N505" s="181"/>
      <c r="O505" s="181"/>
      <c r="P505" s="181"/>
      <c r="Q505" s="181"/>
      <c r="R505" s="181"/>
      <c r="S505" s="181"/>
      <c r="T505" s="181"/>
      <c r="U505" s="181"/>
      <c r="V505" s="181"/>
      <c r="W505" s="181"/>
      <c r="X505" s="181"/>
      <c r="Y505" s="181"/>
      <c r="Z505" s="181"/>
    </row>
    <row r="506">
      <c r="A506" s="194"/>
      <c r="B506" s="195"/>
      <c r="C506" s="181"/>
      <c r="D506" s="194"/>
      <c r="E506" s="194"/>
      <c r="F506" s="181"/>
      <c r="G506" s="181"/>
      <c r="H506" s="181"/>
      <c r="I506" s="181"/>
      <c r="J506" s="181"/>
      <c r="K506" s="181"/>
      <c r="L506" s="181"/>
      <c r="M506" s="181"/>
      <c r="N506" s="181"/>
      <c r="O506" s="181"/>
      <c r="P506" s="181"/>
      <c r="Q506" s="181"/>
      <c r="R506" s="181"/>
      <c r="S506" s="181"/>
      <c r="T506" s="181"/>
      <c r="U506" s="181"/>
      <c r="V506" s="181"/>
      <c r="W506" s="181"/>
      <c r="X506" s="181"/>
      <c r="Y506" s="181"/>
      <c r="Z506" s="181"/>
    </row>
    <row r="507">
      <c r="A507" s="194"/>
      <c r="B507" s="195"/>
      <c r="C507" s="181"/>
      <c r="D507" s="194"/>
      <c r="E507" s="194"/>
      <c r="F507" s="181"/>
      <c r="G507" s="181"/>
      <c r="H507" s="181"/>
      <c r="I507" s="181"/>
      <c r="J507" s="181"/>
      <c r="K507" s="181"/>
      <c r="L507" s="181"/>
      <c r="M507" s="181"/>
      <c r="N507" s="181"/>
      <c r="O507" s="181"/>
      <c r="P507" s="181"/>
      <c r="Q507" s="181"/>
      <c r="R507" s="181"/>
      <c r="S507" s="181"/>
      <c r="T507" s="181"/>
      <c r="U507" s="181"/>
      <c r="V507" s="181"/>
      <c r="W507" s="181"/>
      <c r="X507" s="181"/>
      <c r="Y507" s="181"/>
      <c r="Z507" s="181"/>
    </row>
    <row r="508">
      <c r="A508" s="194"/>
      <c r="B508" s="195"/>
      <c r="C508" s="181"/>
      <c r="D508" s="194"/>
      <c r="E508" s="194"/>
      <c r="F508" s="181"/>
      <c r="G508" s="181"/>
      <c r="H508" s="181"/>
      <c r="I508" s="181"/>
      <c r="J508" s="181"/>
      <c r="K508" s="181"/>
      <c r="L508" s="181"/>
      <c r="M508" s="181"/>
      <c r="N508" s="181"/>
      <c r="O508" s="181"/>
      <c r="P508" s="181"/>
      <c r="Q508" s="181"/>
      <c r="R508" s="181"/>
      <c r="S508" s="181"/>
      <c r="T508" s="181"/>
      <c r="U508" s="181"/>
      <c r="V508" s="181"/>
      <c r="W508" s="181"/>
      <c r="X508" s="181"/>
      <c r="Y508" s="181"/>
      <c r="Z508" s="181"/>
    </row>
    <row r="509">
      <c r="A509" s="194"/>
      <c r="B509" s="195"/>
      <c r="C509" s="181"/>
      <c r="D509" s="194"/>
      <c r="E509" s="194"/>
      <c r="F509" s="181"/>
      <c r="G509" s="181"/>
      <c r="H509" s="181"/>
      <c r="I509" s="181"/>
      <c r="J509" s="181"/>
      <c r="K509" s="181"/>
      <c r="L509" s="181"/>
      <c r="M509" s="181"/>
      <c r="N509" s="181"/>
      <c r="O509" s="181"/>
      <c r="P509" s="181"/>
      <c r="Q509" s="181"/>
      <c r="R509" s="181"/>
      <c r="S509" s="181"/>
      <c r="T509" s="181"/>
      <c r="U509" s="181"/>
      <c r="V509" s="181"/>
      <c r="W509" s="181"/>
      <c r="X509" s="181"/>
      <c r="Y509" s="181"/>
      <c r="Z509" s="181"/>
    </row>
    <row r="510">
      <c r="A510" s="194"/>
      <c r="B510" s="195"/>
      <c r="C510" s="181"/>
      <c r="D510" s="194"/>
      <c r="E510" s="194"/>
      <c r="F510" s="181"/>
      <c r="G510" s="181"/>
      <c r="H510" s="181"/>
      <c r="I510" s="181"/>
      <c r="J510" s="181"/>
      <c r="K510" s="181"/>
      <c r="L510" s="181"/>
      <c r="M510" s="181"/>
      <c r="N510" s="181"/>
      <c r="O510" s="181"/>
      <c r="P510" s="181"/>
      <c r="Q510" s="181"/>
      <c r="R510" s="181"/>
      <c r="S510" s="181"/>
      <c r="T510" s="181"/>
      <c r="U510" s="181"/>
      <c r="V510" s="181"/>
      <c r="W510" s="181"/>
      <c r="X510" s="181"/>
      <c r="Y510" s="181"/>
      <c r="Z510" s="181"/>
    </row>
    <row r="511">
      <c r="A511" s="194"/>
      <c r="B511" s="195"/>
      <c r="C511" s="181"/>
      <c r="D511" s="194"/>
      <c r="E511" s="194"/>
      <c r="F511" s="181"/>
      <c r="G511" s="181"/>
      <c r="H511" s="181"/>
      <c r="I511" s="181"/>
      <c r="J511" s="181"/>
      <c r="K511" s="181"/>
      <c r="L511" s="181"/>
      <c r="M511" s="181"/>
      <c r="N511" s="181"/>
      <c r="O511" s="181"/>
      <c r="P511" s="181"/>
      <c r="Q511" s="181"/>
      <c r="R511" s="181"/>
      <c r="S511" s="181"/>
      <c r="T511" s="181"/>
      <c r="U511" s="181"/>
      <c r="V511" s="181"/>
      <c r="W511" s="181"/>
      <c r="X511" s="181"/>
      <c r="Y511" s="181"/>
      <c r="Z511" s="181"/>
    </row>
    <row r="512">
      <c r="A512" s="194"/>
      <c r="B512" s="195"/>
      <c r="C512" s="181"/>
      <c r="D512" s="194"/>
      <c r="E512" s="194"/>
      <c r="F512" s="181"/>
      <c r="G512" s="181"/>
      <c r="H512" s="181"/>
      <c r="I512" s="181"/>
      <c r="J512" s="181"/>
      <c r="K512" s="181"/>
      <c r="L512" s="181"/>
      <c r="M512" s="181"/>
      <c r="N512" s="181"/>
      <c r="O512" s="181"/>
      <c r="P512" s="181"/>
      <c r="Q512" s="181"/>
      <c r="R512" s="181"/>
      <c r="S512" s="181"/>
      <c r="T512" s="181"/>
      <c r="U512" s="181"/>
      <c r="V512" s="181"/>
      <c r="W512" s="181"/>
      <c r="X512" s="181"/>
      <c r="Y512" s="181"/>
      <c r="Z512" s="181"/>
    </row>
    <row r="513">
      <c r="A513" s="194"/>
      <c r="B513" s="195"/>
      <c r="C513" s="181"/>
      <c r="D513" s="194"/>
      <c r="E513" s="194"/>
      <c r="F513" s="181"/>
      <c r="G513" s="181"/>
      <c r="H513" s="181"/>
      <c r="I513" s="181"/>
      <c r="J513" s="181"/>
      <c r="K513" s="181"/>
      <c r="L513" s="181"/>
      <c r="M513" s="181"/>
      <c r="N513" s="181"/>
      <c r="O513" s="181"/>
      <c r="P513" s="181"/>
      <c r="Q513" s="181"/>
      <c r="R513" s="181"/>
      <c r="S513" s="181"/>
      <c r="T513" s="181"/>
      <c r="U513" s="181"/>
      <c r="V513" s="181"/>
      <c r="W513" s="181"/>
      <c r="X513" s="181"/>
      <c r="Y513" s="181"/>
      <c r="Z513" s="181"/>
    </row>
    <row r="514">
      <c r="A514" s="194"/>
      <c r="B514" s="195"/>
      <c r="C514" s="181"/>
      <c r="D514" s="194"/>
      <c r="E514" s="194"/>
      <c r="F514" s="181"/>
      <c r="G514" s="181"/>
      <c r="H514" s="181"/>
      <c r="I514" s="181"/>
      <c r="J514" s="181"/>
      <c r="K514" s="181"/>
      <c r="L514" s="181"/>
      <c r="M514" s="181"/>
      <c r="N514" s="181"/>
      <c r="O514" s="181"/>
      <c r="P514" s="181"/>
      <c r="Q514" s="181"/>
      <c r="R514" s="181"/>
      <c r="S514" s="181"/>
      <c r="T514" s="181"/>
      <c r="U514" s="181"/>
      <c r="V514" s="181"/>
      <c r="W514" s="181"/>
      <c r="X514" s="181"/>
      <c r="Y514" s="181"/>
      <c r="Z514" s="181"/>
    </row>
    <row r="515">
      <c r="A515" s="194"/>
      <c r="B515" s="195"/>
      <c r="C515" s="181"/>
      <c r="D515" s="194"/>
      <c r="E515" s="194"/>
      <c r="F515" s="181"/>
      <c r="G515" s="181"/>
      <c r="H515" s="181"/>
      <c r="I515" s="181"/>
      <c r="J515" s="181"/>
      <c r="K515" s="181"/>
      <c r="L515" s="181"/>
      <c r="M515" s="181"/>
      <c r="N515" s="181"/>
      <c r="O515" s="181"/>
      <c r="P515" s="181"/>
      <c r="Q515" s="181"/>
      <c r="R515" s="181"/>
      <c r="S515" s="181"/>
      <c r="T515" s="181"/>
      <c r="U515" s="181"/>
      <c r="V515" s="181"/>
      <c r="W515" s="181"/>
      <c r="X515" s="181"/>
      <c r="Y515" s="181"/>
      <c r="Z515" s="181"/>
    </row>
    <row r="516">
      <c r="A516" s="194"/>
      <c r="B516" s="195"/>
      <c r="C516" s="181"/>
      <c r="D516" s="194"/>
      <c r="E516" s="194"/>
      <c r="F516" s="181"/>
      <c r="G516" s="181"/>
      <c r="H516" s="181"/>
      <c r="I516" s="181"/>
      <c r="J516" s="181"/>
      <c r="K516" s="181"/>
      <c r="L516" s="181"/>
      <c r="M516" s="181"/>
      <c r="N516" s="181"/>
      <c r="O516" s="181"/>
      <c r="P516" s="181"/>
      <c r="Q516" s="181"/>
      <c r="R516" s="181"/>
      <c r="S516" s="181"/>
      <c r="T516" s="181"/>
      <c r="U516" s="181"/>
      <c r="V516" s="181"/>
      <c r="W516" s="181"/>
      <c r="X516" s="181"/>
      <c r="Y516" s="181"/>
      <c r="Z516" s="181"/>
    </row>
    <row r="517">
      <c r="A517" s="194"/>
      <c r="B517" s="195"/>
      <c r="C517" s="181"/>
      <c r="D517" s="194"/>
      <c r="E517" s="194"/>
      <c r="F517" s="181"/>
      <c r="G517" s="181"/>
      <c r="H517" s="181"/>
      <c r="I517" s="181"/>
      <c r="J517" s="181"/>
      <c r="K517" s="181"/>
      <c r="L517" s="181"/>
      <c r="M517" s="181"/>
      <c r="N517" s="181"/>
      <c r="O517" s="181"/>
      <c r="P517" s="181"/>
      <c r="Q517" s="181"/>
      <c r="R517" s="181"/>
      <c r="S517" s="181"/>
      <c r="T517" s="181"/>
      <c r="U517" s="181"/>
      <c r="V517" s="181"/>
      <c r="W517" s="181"/>
      <c r="X517" s="181"/>
      <c r="Y517" s="181"/>
      <c r="Z517" s="181"/>
    </row>
    <row r="518">
      <c r="A518" s="194"/>
      <c r="B518" s="195"/>
      <c r="C518" s="181"/>
      <c r="D518" s="194"/>
      <c r="E518" s="194"/>
      <c r="F518" s="181"/>
      <c r="G518" s="181"/>
      <c r="H518" s="181"/>
      <c r="I518" s="181"/>
      <c r="J518" s="181"/>
      <c r="K518" s="181"/>
      <c r="L518" s="181"/>
      <c r="M518" s="181"/>
      <c r="N518" s="181"/>
      <c r="O518" s="181"/>
      <c r="P518" s="181"/>
      <c r="Q518" s="181"/>
      <c r="R518" s="181"/>
      <c r="S518" s="181"/>
      <c r="T518" s="181"/>
      <c r="U518" s="181"/>
      <c r="V518" s="181"/>
      <c r="W518" s="181"/>
      <c r="X518" s="181"/>
      <c r="Y518" s="181"/>
      <c r="Z518" s="181"/>
    </row>
    <row r="519">
      <c r="A519" s="194"/>
      <c r="B519" s="195"/>
      <c r="C519" s="181"/>
      <c r="D519" s="194"/>
      <c r="E519" s="194"/>
      <c r="F519" s="181"/>
      <c r="G519" s="181"/>
      <c r="H519" s="181"/>
      <c r="I519" s="181"/>
      <c r="J519" s="181"/>
      <c r="K519" s="181"/>
      <c r="L519" s="181"/>
      <c r="M519" s="181"/>
      <c r="N519" s="181"/>
      <c r="O519" s="181"/>
      <c r="P519" s="181"/>
      <c r="Q519" s="181"/>
      <c r="R519" s="181"/>
      <c r="S519" s="181"/>
      <c r="T519" s="181"/>
      <c r="U519" s="181"/>
      <c r="V519" s="181"/>
      <c r="W519" s="181"/>
      <c r="X519" s="181"/>
      <c r="Y519" s="181"/>
      <c r="Z519" s="181"/>
    </row>
    <row r="520">
      <c r="A520" s="194"/>
      <c r="B520" s="195"/>
      <c r="C520" s="181"/>
      <c r="D520" s="194"/>
      <c r="E520" s="194"/>
      <c r="F520" s="181"/>
      <c r="G520" s="181"/>
      <c r="H520" s="181"/>
      <c r="I520" s="181"/>
      <c r="J520" s="181"/>
      <c r="K520" s="181"/>
      <c r="L520" s="181"/>
      <c r="M520" s="181"/>
      <c r="N520" s="181"/>
      <c r="O520" s="181"/>
      <c r="P520" s="181"/>
      <c r="Q520" s="181"/>
      <c r="R520" s="181"/>
      <c r="S520" s="181"/>
      <c r="T520" s="181"/>
      <c r="U520" s="181"/>
      <c r="V520" s="181"/>
      <c r="W520" s="181"/>
      <c r="X520" s="181"/>
      <c r="Y520" s="181"/>
      <c r="Z520" s="181"/>
    </row>
    <row r="521">
      <c r="A521" s="194"/>
      <c r="B521" s="195"/>
      <c r="C521" s="181"/>
      <c r="D521" s="194"/>
      <c r="E521" s="194"/>
      <c r="F521" s="181"/>
      <c r="G521" s="181"/>
      <c r="H521" s="181"/>
      <c r="I521" s="181"/>
      <c r="J521" s="181"/>
      <c r="K521" s="181"/>
      <c r="L521" s="181"/>
      <c r="M521" s="181"/>
      <c r="N521" s="181"/>
      <c r="O521" s="181"/>
      <c r="P521" s="181"/>
      <c r="Q521" s="181"/>
      <c r="R521" s="181"/>
      <c r="S521" s="181"/>
      <c r="T521" s="181"/>
      <c r="U521" s="181"/>
      <c r="V521" s="181"/>
      <c r="W521" s="181"/>
      <c r="X521" s="181"/>
      <c r="Y521" s="181"/>
      <c r="Z521" s="181"/>
    </row>
    <row r="522">
      <c r="A522" s="194"/>
      <c r="B522" s="195"/>
      <c r="C522" s="181"/>
      <c r="D522" s="194"/>
      <c r="E522" s="194"/>
      <c r="F522" s="181"/>
      <c r="G522" s="181"/>
      <c r="H522" s="181"/>
      <c r="I522" s="181"/>
      <c r="J522" s="181"/>
      <c r="K522" s="181"/>
      <c r="L522" s="181"/>
      <c r="M522" s="181"/>
      <c r="N522" s="181"/>
      <c r="O522" s="181"/>
      <c r="P522" s="181"/>
      <c r="Q522" s="181"/>
      <c r="R522" s="181"/>
      <c r="S522" s="181"/>
      <c r="T522" s="181"/>
      <c r="U522" s="181"/>
      <c r="V522" s="181"/>
      <c r="W522" s="181"/>
      <c r="X522" s="181"/>
      <c r="Y522" s="181"/>
      <c r="Z522" s="181"/>
    </row>
    <row r="523">
      <c r="A523" s="194"/>
      <c r="B523" s="195"/>
      <c r="C523" s="181"/>
      <c r="D523" s="194"/>
      <c r="E523" s="194"/>
      <c r="F523" s="181"/>
      <c r="G523" s="181"/>
      <c r="H523" s="181"/>
      <c r="I523" s="181"/>
      <c r="J523" s="181"/>
      <c r="K523" s="181"/>
      <c r="L523" s="181"/>
      <c r="M523" s="181"/>
      <c r="N523" s="181"/>
      <c r="O523" s="181"/>
      <c r="P523" s="181"/>
      <c r="Q523" s="181"/>
      <c r="R523" s="181"/>
      <c r="S523" s="181"/>
      <c r="T523" s="181"/>
      <c r="U523" s="181"/>
      <c r="V523" s="181"/>
      <c r="W523" s="181"/>
      <c r="X523" s="181"/>
      <c r="Y523" s="181"/>
      <c r="Z523" s="181"/>
    </row>
    <row r="524">
      <c r="A524" s="194"/>
      <c r="B524" s="195"/>
      <c r="C524" s="181"/>
      <c r="D524" s="194"/>
      <c r="E524" s="194"/>
      <c r="F524" s="181"/>
      <c r="G524" s="181"/>
      <c r="H524" s="181"/>
      <c r="I524" s="181"/>
      <c r="J524" s="181"/>
      <c r="K524" s="181"/>
      <c r="L524" s="181"/>
      <c r="M524" s="181"/>
      <c r="N524" s="181"/>
      <c r="O524" s="181"/>
      <c r="P524" s="181"/>
      <c r="Q524" s="181"/>
      <c r="R524" s="181"/>
      <c r="S524" s="181"/>
      <c r="T524" s="181"/>
      <c r="U524" s="181"/>
      <c r="V524" s="181"/>
      <c r="W524" s="181"/>
      <c r="X524" s="181"/>
      <c r="Y524" s="181"/>
      <c r="Z524" s="181"/>
    </row>
    <row r="525">
      <c r="A525" s="194"/>
      <c r="B525" s="195"/>
      <c r="C525" s="181"/>
      <c r="D525" s="194"/>
      <c r="E525" s="194"/>
      <c r="F525" s="181"/>
      <c r="G525" s="181"/>
      <c r="H525" s="181"/>
      <c r="I525" s="181"/>
      <c r="J525" s="181"/>
      <c r="K525" s="181"/>
      <c r="L525" s="181"/>
      <c r="M525" s="181"/>
      <c r="N525" s="181"/>
      <c r="O525" s="181"/>
      <c r="P525" s="181"/>
      <c r="Q525" s="181"/>
      <c r="R525" s="181"/>
      <c r="S525" s="181"/>
      <c r="T525" s="181"/>
      <c r="U525" s="181"/>
      <c r="V525" s="181"/>
      <c r="W525" s="181"/>
      <c r="X525" s="181"/>
      <c r="Y525" s="181"/>
      <c r="Z525" s="181"/>
    </row>
    <row r="526">
      <c r="A526" s="194"/>
      <c r="B526" s="195"/>
      <c r="C526" s="181"/>
      <c r="D526" s="194"/>
      <c r="E526" s="194"/>
      <c r="F526" s="181"/>
      <c r="G526" s="181"/>
      <c r="H526" s="181"/>
      <c r="I526" s="181"/>
      <c r="J526" s="181"/>
      <c r="K526" s="181"/>
      <c r="L526" s="181"/>
      <c r="M526" s="181"/>
      <c r="N526" s="181"/>
      <c r="O526" s="181"/>
      <c r="P526" s="181"/>
      <c r="Q526" s="181"/>
      <c r="R526" s="181"/>
      <c r="S526" s="181"/>
      <c r="T526" s="181"/>
      <c r="U526" s="181"/>
      <c r="V526" s="181"/>
      <c r="W526" s="181"/>
      <c r="X526" s="181"/>
      <c r="Y526" s="181"/>
      <c r="Z526" s="181"/>
    </row>
    <row r="527">
      <c r="A527" s="194"/>
      <c r="B527" s="195"/>
      <c r="C527" s="181"/>
      <c r="D527" s="194"/>
      <c r="E527" s="194"/>
      <c r="F527" s="181"/>
      <c r="G527" s="181"/>
      <c r="H527" s="181"/>
      <c r="I527" s="181"/>
      <c r="J527" s="181"/>
      <c r="K527" s="181"/>
      <c r="L527" s="181"/>
      <c r="M527" s="181"/>
      <c r="N527" s="181"/>
      <c r="O527" s="181"/>
      <c r="P527" s="181"/>
      <c r="Q527" s="181"/>
      <c r="R527" s="181"/>
      <c r="S527" s="181"/>
      <c r="T527" s="181"/>
      <c r="U527" s="181"/>
      <c r="V527" s="181"/>
      <c r="W527" s="181"/>
      <c r="X527" s="181"/>
      <c r="Y527" s="181"/>
      <c r="Z527" s="181"/>
    </row>
    <row r="528">
      <c r="A528" s="194"/>
      <c r="B528" s="195"/>
      <c r="C528" s="181"/>
      <c r="D528" s="194"/>
      <c r="E528" s="194"/>
      <c r="F528" s="181"/>
      <c r="G528" s="181"/>
      <c r="H528" s="181"/>
      <c r="I528" s="181"/>
      <c r="J528" s="181"/>
      <c r="K528" s="181"/>
      <c r="L528" s="181"/>
      <c r="M528" s="181"/>
      <c r="N528" s="181"/>
      <c r="O528" s="181"/>
      <c r="P528" s="181"/>
      <c r="Q528" s="181"/>
      <c r="R528" s="181"/>
      <c r="S528" s="181"/>
      <c r="T528" s="181"/>
      <c r="U528" s="181"/>
      <c r="V528" s="181"/>
      <c r="W528" s="181"/>
      <c r="X528" s="181"/>
      <c r="Y528" s="181"/>
      <c r="Z528" s="181"/>
    </row>
    <row r="529">
      <c r="A529" s="194"/>
      <c r="B529" s="195"/>
      <c r="C529" s="181"/>
      <c r="D529" s="194"/>
      <c r="E529" s="194"/>
      <c r="F529" s="181"/>
      <c r="G529" s="181"/>
      <c r="H529" s="181"/>
      <c r="I529" s="181"/>
      <c r="J529" s="181"/>
      <c r="K529" s="181"/>
      <c r="L529" s="181"/>
      <c r="M529" s="181"/>
      <c r="N529" s="181"/>
      <c r="O529" s="181"/>
      <c r="P529" s="181"/>
      <c r="Q529" s="181"/>
      <c r="R529" s="181"/>
      <c r="S529" s="181"/>
      <c r="T529" s="181"/>
      <c r="U529" s="181"/>
      <c r="V529" s="181"/>
      <c r="W529" s="181"/>
      <c r="X529" s="181"/>
      <c r="Y529" s="181"/>
      <c r="Z529" s="181"/>
    </row>
    <row r="530">
      <c r="A530" s="194"/>
      <c r="B530" s="195"/>
      <c r="C530" s="181"/>
      <c r="D530" s="194"/>
      <c r="E530" s="194"/>
      <c r="F530" s="181"/>
      <c r="G530" s="181"/>
      <c r="H530" s="181"/>
      <c r="I530" s="181"/>
      <c r="J530" s="181"/>
      <c r="K530" s="181"/>
      <c r="L530" s="181"/>
      <c r="M530" s="181"/>
      <c r="N530" s="181"/>
      <c r="O530" s="181"/>
      <c r="P530" s="181"/>
      <c r="Q530" s="181"/>
      <c r="R530" s="181"/>
      <c r="S530" s="181"/>
      <c r="T530" s="181"/>
      <c r="U530" s="181"/>
      <c r="V530" s="181"/>
      <c r="W530" s="181"/>
      <c r="X530" s="181"/>
      <c r="Y530" s="181"/>
      <c r="Z530" s="181"/>
    </row>
    <row r="531">
      <c r="A531" s="194"/>
      <c r="B531" s="195"/>
      <c r="C531" s="181"/>
      <c r="D531" s="194"/>
      <c r="E531" s="194"/>
      <c r="F531" s="181"/>
      <c r="G531" s="181"/>
      <c r="H531" s="181"/>
      <c r="I531" s="181"/>
      <c r="J531" s="181"/>
      <c r="K531" s="181"/>
      <c r="L531" s="181"/>
      <c r="M531" s="181"/>
      <c r="N531" s="181"/>
      <c r="O531" s="181"/>
      <c r="P531" s="181"/>
      <c r="Q531" s="181"/>
      <c r="R531" s="181"/>
      <c r="S531" s="181"/>
      <c r="T531" s="181"/>
      <c r="U531" s="181"/>
      <c r="V531" s="181"/>
      <c r="W531" s="181"/>
      <c r="X531" s="181"/>
      <c r="Y531" s="181"/>
      <c r="Z531" s="181"/>
    </row>
    <row r="532">
      <c r="A532" s="194"/>
      <c r="B532" s="195"/>
      <c r="C532" s="181"/>
      <c r="D532" s="194"/>
      <c r="E532" s="194"/>
      <c r="F532" s="181"/>
      <c r="G532" s="181"/>
      <c r="H532" s="181"/>
      <c r="I532" s="181"/>
      <c r="J532" s="181"/>
      <c r="K532" s="181"/>
      <c r="L532" s="181"/>
      <c r="M532" s="181"/>
      <c r="N532" s="181"/>
      <c r="O532" s="181"/>
      <c r="P532" s="181"/>
      <c r="Q532" s="181"/>
      <c r="R532" s="181"/>
      <c r="S532" s="181"/>
      <c r="T532" s="181"/>
      <c r="U532" s="181"/>
      <c r="V532" s="181"/>
      <c r="W532" s="181"/>
      <c r="X532" s="181"/>
      <c r="Y532" s="181"/>
      <c r="Z532" s="181"/>
    </row>
    <row r="533">
      <c r="A533" s="194"/>
      <c r="B533" s="195"/>
      <c r="C533" s="181"/>
      <c r="D533" s="194"/>
      <c r="E533" s="194"/>
      <c r="F533" s="181"/>
      <c r="G533" s="181"/>
      <c r="H533" s="181"/>
      <c r="I533" s="181"/>
      <c r="J533" s="181"/>
      <c r="K533" s="181"/>
      <c r="L533" s="181"/>
      <c r="M533" s="181"/>
      <c r="N533" s="181"/>
      <c r="O533" s="181"/>
      <c r="P533" s="181"/>
      <c r="Q533" s="181"/>
      <c r="R533" s="181"/>
      <c r="S533" s="181"/>
      <c r="T533" s="181"/>
      <c r="U533" s="181"/>
      <c r="V533" s="181"/>
      <c r="W533" s="181"/>
      <c r="X533" s="181"/>
      <c r="Y533" s="181"/>
      <c r="Z533" s="181"/>
    </row>
    <row r="534">
      <c r="A534" s="194"/>
      <c r="B534" s="195"/>
      <c r="C534" s="181"/>
      <c r="D534" s="194"/>
      <c r="E534" s="194"/>
      <c r="F534" s="181"/>
      <c r="G534" s="181"/>
      <c r="H534" s="181"/>
      <c r="I534" s="181"/>
      <c r="J534" s="181"/>
      <c r="K534" s="181"/>
      <c r="L534" s="181"/>
      <c r="M534" s="181"/>
      <c r="N534" s="181"/>
      <c r="O534" s="181"/>
      <c r="P534" s="181"/>
      <c r="Q534" s="181"/>
      <c r="R534" s="181"/>
      <c r="S534" s="181"/>
      <c r="T534" s="181"/>
      <c r="U534" s="181"/>
      <c r="V534" s="181"/>
      <c r="W534" s="181"/>
      <c r="X534" s="181"/>
      <c r="Y534" s="181"/>
      <c r="Z534" s="181"/>
    </row>
    <row r="535">
      <c r="A535" s="194"/>
      <c r="B535" s="195"/>
      <c r="C535" s="181"/>
      <c r="D535" s="194"/>
      <c r="E535" s="194"/>
      <c r="F535" s="181"/>
      <c r="G535" s="181"/>
      <c r="H535" s="181"/>
      <c r="I535" s="181"/>
      <c r="J535" s="181"/>
      <c r="K535" s="181"/>
      <c r="L535" s="181"/>
      <c r="M535" s="181"/>
      <c r="N535" s="181"/>
      <c r="O535" s="181"/>
      <c r="P535" s="181"/>
      <c r="Q535" s="181"/>
      <c r="R535" s="181"/>
      <c r="S535" s="181"/>
      <c r="T535" s="181"/>
      <c r="U535" s="181"/>
      <c r="V535" s="181"/>
      <c r="W535" s="181"/>
      <c r="X535" s="181"/>
      <c r="Y535" s="181"/>
      <c r="Z535" s="181"/>
    </row>
    <row r="536">
      <c r="A536" s="194"/>
      <c r="B536" s="195"/>
      <c r="C536" s="181"/>
      <c r="D536" s="194"/>
      <c r="E536" s="194"/>
      <c r="F536" s="181"/>
      <c r="G536" s="181"/>
      <c r="H536" s="181"/>
      <c r="I536" s="181"/>
      <c r="J536" s="181"/>
      <c r="K536" s="181"/>
      <c r="L536" s="181"/>
      <c r="M536" s="181"/>
      <c r="N536" s="181"/>
      <c r="O536" s="181"/>
      <c r="P536" s="181"/>
      <c r="Q536" s="181"/>
      <c r="R536" s="181"/>
      <c r="S536" s="181"/>
      <c r="T536" s="181"/>
      <c r="U536" s="181"/>
      <c r="V536" s="181"/>
      <c r="W536" s="181"/>
      <c r="X536" s="181"/>
      <c r="Y536" s="181"/>
      <c r="Z536" s="181"/>
    </row>
    <row r="537">
      <c r="A537" s="194"/>
      <c r="B537" s="195"/>
      <c r="C537" s="181"/>
      <c r="D537" s="194"/>
      <c r="E537" s="194"/>
      <c r="F537" s="181"/>
      <c r="G537" s="181"/>
      <c r="H537" s="181"/>
      <c r="I537" s="181"/>
      <c r="J537" s="181"/>
      <c r="K537" s="181"/>
      <c r="L537" s="181"/>
      <c r="M537" s="181"/>
      <c r="N537" s="181"/>
      <c r="O537" s="181"/>
      <c r="P537" s="181"/>
      <c r="Q537" s="181"/>
      <c r="R537" s="181"/>
      <c r="S537" s="181"/>
      <c r="T537" s="181"/>
      <c r="U537" s="181"/>
      <c r="V537" s="181"/>
      <c r="W537" s="181"/>
      <c r="X537" s="181"/>
      <c r="Y537" s="181"/>
      <c r="Z537" s="181"/>
    </row>
    <row r="538">
      <c r="A538" s="194"/>
      <c r="B538" s="195"/>
      <c r="C538" s="181"/>
      <c r="D538" s="194"/>
      <c r="E538" s="194"/>
      <c r="F538" s="181"/>
      <c r="G538" s="181"/>
      <c r="H538" s="181"/>
      <c r="I538" s="181"/>
      <c r="J538" s="181"/>
      <c r="K538" s="181"/>
      <c r="L538" s="181"/>
      <c r="M538" s="181"/>
      <c r="N538" s="181"/>
      <c r="O538" s="181"/>
      <c r="P538" s="181"/>
      <c r="Q538" s="181"/>
      <c r="R538" s="181"/>
      <c r="S538" s="181"/>
      <c r="T538" s="181"/>
      <c r="U538" s="181"/>
      <c r="V538" s="181"/>
      <c r="W538" s="181"/>
      <c r="X538" s="181"/>
      <c r="Y538" s="181"/>
      <c r="Z538" s="181"/>
    </row>
    <row r="539">
      <c r="A539" s="194"/>
      <c r="B539" s="195"/>
      <c r="C539" s="181"/>
      <c r="D539" s="194"/>
      <c r="E539" s="194"/>
      <c r="F539" s="181"/>
      <c r="G539" s="181"/>
      <c r="H539" s="181"/>
      <c r="I539" s="181"/>
      <c r="J539" s="181"/>
      <c r="K539" s="181"/>
      <c r="L539" s="181"/>
      <c r="M539" s="181"/>
      <c r="N539" s="181"/>
      <c r="O539" s="181"/>
      <c r="P539" s="181"/>
      <c r="Q539" s="181"/>
      <c r="R539" s="181"/>
      <c r="S539" s="181"/>
      <c r="T539" s="181"/>
      <c r="U539" s="181"/>
      <c r="V539" s="181"/>
      <c r="W539" s="181"/>
      <c r="X539" s="181"/>
      <c r="Y539" s="181"/>
      <c r="Z539" s="181"/>
    </row>
    <row r="540">
      <c r="A540" s="194"/>
      <c r="B540" s="195"/>
      <c r="C540" s="181"/>
      <c r="D540" s="194"/>
      <c r="E540" s="194"/>
      <c r="F540" s="181"/>
      <c r="G540" s="181"/>
      <c r="H540" s="181"/>
      <c r="I540" s="181"/>
      <c r="J540" s="181"/>
      <c r="K540" s="181"/>
      <c r="L540" s="181"/>
      <c r="M540" s="181"/>
      <c r="N540" s="181"/>
      <c r="O540" s="181"/>
      <c r="P540" s="181"/>
      <c r="Q540" s="181"/>
      <c r="R540" s="181"/>
      <c r="S540" s="181"/>
      <c r="T540" s="181"/>
      <c r="U540" s="181"/>
      <c r="V540" s="181"/>
      <c r="W540" s="181"/>
      <c r="X540" s="181"/>
      <c r="Y540" s="181"/>
      <c r="Z540" s="181"/>
    </row>
    <row r="541">
      <c r="A541" s="194"/>
      <c r="B541" s="195"/>
      <c r="C541" s="181"/>
      <c r="D541" s="194"/>
      <c r="E541" s="194"/>
      <c r="F541" s="181"/>
      <c r="G541" s="181"/>
      <c r="H541" s="181"/>
      <c r="I541" s="181"/>
      <c r="J541" s="181"/>
      <c r="K541" s="181"/>
      <c r="L541" s="181"/>
      <c r="M541" s="181"/>
      <c r="N541" s="181"/>
      <c r="O541" s="181"/>
      <c r="P541" s="181"/>
      <c r="Q541" s="181"/>
      <c r="R541" s="181"/>
      <c r="S541" s="181"/>
      <c r="T541" s="181"/>
      <c r="U541" s="181"/>
      <c r="V541" s="181"/>
      <c r="W541" s="181"/>
      <c r="X541" s="181"/>
      <c r="Y541" s="181"/>
      <c r="Z541" s="181"/>
    </row>
    <row r="542">
      <c r="A542" s="194"/>
      <c r="B542" s="195"/>
      <c r="C542" s="181"/>
      <c r="D542" s="194"/>
      <c r="E542" s="194"/>
      <c r="F542" s="181"/>
      <c r="G542" s="181"/>
      <c r="H542" s="181"/>
      <c r="I542" s="181"/>
      <c r="J542" s="181"/>
      <c r="K542" s="181"/>
      <c r="L542" s="181"/>
      <c r="M542" s="181"/>
      <c r="N542" s="181"/>
      <c r="O542" s="181"/>
      <c r="P542" s="181"/>
      <c r="Q542" s="181"/>
      <c r="R542" s="181"/>
      <c r="S542" s="181"/>
      <c r="T542" s="181"/>
      <c r="U542" s="181"/>
      <c r="V542" s="181"/>
      <c r="W542" s="181"/>
      <c r="X542" s="181"/>
      <c r="Y542" s="181"/>
      <c r="Z542" s="181"/>
    </row>
    <row r="543">
      <c r="A543" s="194"/>
      <c r="B543" s="195"/>
      <c r="C543" s="181"/>
      <c r="D543" s="194"/>
      <c r="E543" s="194"/>
      <c r="F543" s="181"/>
      <c r="G543" s="181"/>
      <c r="H543" s="181"/>
      <c r="I543" s="181"/>
      <c r="J543" s="181"/>
      <c r="K543" s="181"/>
      <c r="L543" s="181"/>
      <c r="M543" s="181"/>
      <c r="N543" s="181"/>
      <c r="O543" s="181"/>
      <c r="P543" s="181"/>
      <c r="Q543" s="181"/>
      <c r="R543" s="181"/>
      <c r="S543" s="181"/>
      <c r="T543" s="181"/>
      <c r="U543" s="181"/>
      <c r="V543" s="181"/>
      <c r="W543" s="181"/>
      <c r="X543" s="181"/>
      <c r="Y543" s="181"/>
      <c r="Z543" s="181"/>
    </row>
    <row r="544">
      <c r="A544" s="194"/>
      <c r="B544" s="195"/>
      <c r="C544" s="181"/>
      <c r="D544" s="194"/>
      <c r="E544" s="194"/>
      <c r="F544" s="181"/>
      <c r="G544" s="181"/>
      <c r="H544" s="181"/>
      <c r="I544" s="181"/>
      <c r="J544" s="181"/>
      <c r="K544" s="181"/>
      <c r="L544" s="181"/>
      <c r="M544" s="181"/>
      <c r="N544" s="181"/>
      <c r="O544" s="181"/>
      <c r="P544" s="181"/>
      <c r="Q544" s="181"/>
      <c r="R544" s="181"/>
      <c r="S544" s="181"/>
      <c r="T544" s="181"/>
      <c r="U544" s="181"/>
      <c r="V544" s="181"/>
      <c r="W544" s="181"/>
      <c r="X544" s="181"/>
      <c r="Y544" s="181"/>
      <c r="Z544" s="181"/>
    </row>
    <row r="545">
      <c r="A545" s="194"/>
      <c r="B545" s="195"/>
      <c r="C545" s="181"/>
      <c r="D545" s="194"/>
      <c r="E545" s="194"/>
      <c r="F545" s="181"/>
      <c r="G545" s="181"/>
      <c r="H545" s="181"/>
      <c r="I545" s="181"/>
      <c r="J545" s="181"/>
      <c r="K545" s="181"/>
      <c r="L545" s="181"/>
      <c r="M545" s="181"/>
      <c r="N545" s="181"/>
      <c r="O545" s="181"/>
      <c r="P545" s="181"/>
      <c r="Q545" s="181"/>
      <c r="R545" s="181"/>
      <c r="S545" s="181"/>
      <c r="T545" s="181"/>
      <c r="U545" s="181"/>
      <c r="V545" s="181"/>
      <c r="W545" s="181"/>
      <c r="X545" s="181"/>
      <c r="Y545" s="181"/>
      <c r="Z545" s="181"/>
    </row>
    <row r="546">
      <c r="A546" s="194"/>
      <c r="B546" s="195"/>
      <c r="C546" s="181"/>
      <c r="D546" s="194"/>
      <c r="E546" s="194"/>
      <c r="F546" s="181"/>
      <c r="G546" s="181"/>
      <c r="H546" s="181"/>
      <c r="I546" s="181"/>
      <c r="J546" s="181"/>
      <c r="K546" s="181"/>
      <c r="L546" s="181"/>
      <c r="M546" s="181"/>
      <c r="N546" s="181"/>
      <c r="O546" s="181"/>
      <c r="P546" s="181"/>
      <c r="Q546" s="181"/>
      <c r="R546" s="181"/>
      <c r="S546" s="181"/>
      <c r="T546" s="181"/>
      <c r="U546" s="181"/>
      <c r="V546" s="181"/>
      <c r="W546" s="181"/>
      <c r="X546" s="181"/>
      <c r="Y546" s="181"/>
      <c r="Z546" s="181"/>
    </row>
    <row r="547">
      <c r="A547" s="194"/>
      <c r="B547" s="195"/>
      <c r="C547" s="181"/>
      <c r="D547" s="194"/>
      <c r="E547" s="194"/>
      <c r="F547" s="181"/>
      <c r="G547" s="181"/>
      <c r="H547" s="181"/>
      <c r="I547" s="181"/>
      <c r="J547" s="181"/>
      <c r="K547" s="181"/>
      <c r="L547" s="181"/>
      <c r="M547" s="181"/>
      <c r="N547" s="181"/>
      <c r="O547" s="181"/>
      <c r="P547" s="181"/>
      <c r="Q547" s="181"/>
      <c r="R547" s="181"/>
      <c r="S547" s="181"/>
      <c r="T547" s="181"/>
      <c r="U547" s="181"/>
      <c r="V547" s="181"/>
      <c r="W547" s="181"/>
      <c r="X547" s="181"/>
      <c r="Y547" s="181"/>
      <c r="Z547" s="181"/>
    </row>
    <row r="548">
      <c r="A548" s="194"/>
      <c r="B548" s="195"/>
      <c r="C548" s="181"/>
      <c r="D548" s="194"/>
      <c r="E548" s="194"/>
      <c r="F548" s="181"/>
      <c r="G548" s="181"/>
      <c r="H548" s="181"/>
      <c r="I548" s="181"/>
      <c r="J548" s="181"/>
      <c r="K548" s="181"/>
      <c r="L548" s="181"/>
      <c r="M548" s="181"/>
      <c r="N548" s="181"/>
      <c r="O548" s="181"/>
      <c r="P548" s="181"/>
      <c r="Q548" s="181"/>
      <c r="R548" s="181"/>
      <c r="S548" s="181"/>
      <c r="T548" s="181"/>
      <c r="U548" s="181"/>
      <c r="V548" s="181"/>
      <c r="W548" s="181"/>
      <c r="X548" s="181"/>
      <c r="Y548" s="181"/>
      <c r="Z548" s="181"/>
    </row>
    <row r="549">
      <c r="A549" s="194"/>
      <c r="B549" s="195"/>
      <c r="C549" s="181"/>
      <c r="D549" s="194"/>
      <c r="E549" s="194"/>
      <c r="F549" s="181"/>
      <c r="G549" s="181"/>
      <c r="H549" s="181"/>
      <c r="I549" s="181"/>
      <c r="J549" s="181"/>
      <c r="K549" s="181"/>
      <c r="L549" s="181"/>
      <c r="M549" s="181"/>
      <c r="N549" s="181"/>
      <c r="O549" s="181"/>
      <c r="P549" s="181"/>
      <c r="Q549" s="181"/>
      <c r="R549" s="181"/>
      <c r="S549" s="181"/>
      <c r="T549" s="181"/>
      <c r="U549" s="181"/>
      <c r="V549" s="181"/>
      <c r="W549" s="181"/>
      <c r="X549" s="181"/>
      <c r="Y549" s="181"/>
      <c r="Z549" s="181"/>
    </row>
    <row r="550">
      <c r="A550" s="194"/>
      <c r="B550" s="195"/>
      <c r="C550" s="181"/>
      <c r="D550" s="194"/>
      <c r="E550" s="194"/>
      <c r="F550" s="181"/>
      <c r="G550" s="181"/>
      <c r="H550" s="181"/>
      <c r="I550" s="181"/>
      <c r="J550" s="181"/>
      <c r="K550" s="181"/>
      <c r="L550" s="181"/>
      <c r="M550" s="181"/>
      <c r="N550" s="181"/>
      <c r="O550" s="181"/>
      <c r="P550" s="181"/>
      <c r="Q550" s="181"/>
      <c r="R550" s="181"/>
      <c r="S550" s="181"/>
      <c r="T550" s="181"/>
      <c r="U550" s="181"/>
      <c r="V550" s="181"/>
      <c r="W550" s="181"/>
      <c r="X550" s="181"/>
      <c r="Y550" s="181"/>
      <c r="Z550" s="181"/>
    </row>
    <row r="551">
      <c r="A551" s="194"/>
      <c r="B551" s="195"/>
      <c r="C551" s="181"/>
      <c r="D551" s="194"/>
      <c r="E551" s="194"/>
      <c r="F551" s="181"/>
      <c r="G551" s="181"/>
      <c r="H551" s="181"/>
      <c r="I551" s="181"/>
      <c r="J551" s="181"/>
      <c r="K551" s="181"/>
      <c r="L551" s="181"/>
      <c r="M551" s="181"/>
      <c r="N551" s="181"/>
      <c r="O551" s="181"/>
      <c r="P551" s="181"/>
      <c r="Q551" s="181"/>
      <c r="R551" s="181"/>
      <c r="S551" s="181"/>
      <c r="T551" s="181"/>
      <c r="U551" s="181"/>
      <c r="V551" s="181"/>
      <c r="W551" s="181"/>
      <c r="X551" s="181"/>
      <c r="Y551" s="181"/>
      <c r="Z551" s="181"/>
    </row>
    <row r="552">
      <c r="A552" s="194"/>
      <c r="B552" s="195"/>
      <c r="C552" s="181"/>
      <c r="D552" s="194"/>
      <c r="E552" s="194"/>
      <c r="F552" s="181"/>
      <c r="G552" s="181"/>
      <c r="H552" s="181"/>
      <c r="I552" s="181"/>
      <c r="J552" s="181"/>
      <c r="K552" s="181"/>
      <c r="L552" s="181"/>
      <c r="M552" s="181"/>
      <c r="N552" s="181"/>
      <c r="O552" s="181"/>
      <c r="P552" s="181"/>
      <c r="Q552" s="181"/>
      <c r="R552" s="181"/>
      <c r="S552" s="181"/>
      <c r="T552" s="181"/>
      <c r="U552" s="181"/>
      <c r="V552" s="181"/>
      <c r="W552" s="181"/>
      <c r="X552" s="181"/>
      <c r="Y552" s="181"/>
      <c r="Z552" s="181"/>
    </row>
    <row r="553">
      <c r="A553" s="194"/>
      <c r="B553" s="195"/>
      <c r="C553" s="181"/>
      <c r="D553" s="194"/>
      <c r="E553" s="194"/>
      <c r="F553" s="181"/>
      <c r="G553" s="181"/>
      <c r="H553" s="181"/>
      <c r="I553" s="181"/>
      <c r="J553" s="181"/>
      <c r="K553" s="181"/>
      <c r="L553" s="181"/>
      <c r="M553" s="181"/>
      <c r="N553" s="181"/>
      <c r="O553" s="181"/>
      <c r="P553" s="181"/>
      <c r="Q553" s="181"/>
      <c r="R553" s="181"/>
      <c r="S553" s="181"/>
      <c r="T553" s="181"/>
      <c r="U553" s="181"/>
      <c r="V553" s="181"/>
      <c r="W553" s="181"/>
      <c r="X553" s="181"/>
      <c r="Y553" s="181"/>
      <c r="Z553" s="181"/>
    </row>
    <row r="554">
      <c r="A554" s="194"/>
      <c r="B554" s="195"/>
      <c r="C554" s="181"/>
      <c r="D554" s="194"/>
      <c r="E554" s="194"/>
      <c r="F554" s="181"/>
      <c r="G554" s="181"/>
      <c r="H554" s="181"/>
      <c r="I554" s="181"/>
      <c r="J554" s="181"/>
      <c r="K554" s="181"/>
      <c r="L554" s="181"/>
      <c r="M554" s="181"/>
      <c r="N554" s="181"/>
      <c r="O554" s="181"/>
      <c r="P554" s="181"/>
      <c r="Q554" s="181"/>
      <c r="R554" s="181"/>
      <c r="S554" s="181"/>
      <c r="T554" s="181"/>
      <c r="U554" s="181"/>
      <c r="V554" s="181"/>
      <c r="W554" s="181"/>
      <c r="X554" s="181"/>
      <c r="Y554" s="181"/>
      <c r="Z554" s="181"/>
    </row>
    <row r="555">
      <c r="A555" s="194"/>
      <c r="B555" s="195"/>
      <c r="C555" s="181"/>
      <c r="D555" s="194"/>
      <c r="E555" s="194"/>
      <c r="F555" s="181"/>
      <c r="G555" s="181"/>
      <c r="H555" s="181"/>
      <c r="I555" s="181"/>
      <c r="J555" s="181"/>
      <c r="K555" s="181"/>
      <c r="L555" s="181"/>
      <c r="M555" s="181"/>
      <c r="N555" s="181"/>
      <c r="O555" s="181"/>
      <c r="P555" s="181"/>
      <c r="Q555" s="181"/>
      <c r="R555" s="181"/>
      <c r="S555" s="181"/>
      <c r="T555" s="181"/>
      <c r="U555" s="181"/>
      <c r="V555" s="181"/>
      <c r="W555" s="181"/>
      <c r="X555" s="181"/>
      <c r="Y555" s="181"/>
      <c r="Z555" s="181"/>
    </row>
    <row r="556">
      <c r="A556" s="194"/>
      <c r="B556" s="195"/>
      <c r="C556" s="181"/>
      <c r="D556" s="194"/>
      <c r="E556" s="194"/>
      <c r="F556" s="181"/>
      <c r="G556" s="181"/>
      <c r="H556" s="181"/>
      <c r="I556" s="181"/>
      <c r="J556" s="181"/>
      <c r="K556" s="181"/>
      <c r="L556" s="181"/>
      <c r="M556" s="181"/>
      <c r="N556" s="181"/>
      <c r="O556" s="181"/>
      <c r="P556" s="181"/>
      <c r="Q556" s="181"/>
      <c r="R556" s="181"/>
      <c r="S556" s="181"/>
      <c r="T556" s="181"/>
      <c r="U556" s="181"/>
      <c r="V556" s="181"/>
      <c r="W556" s="181"/>
      <c r="X556" s="181"/>
      <c r="Y556" s="181"/>
      <c r="Z556" s="181"/>
    </row>
    <row r="557">
      <c r="A557" s="194"/>
      <c r="B557" s="195"/>
      <c r="C557" s="181"/>
      <c r="D557" s="194"/>
      <c r="E557" s="194"/>
      <c r="F557" s="181"/>
      <c r="G557" s="181"/>
      <c r="H557" s="181"/>
      <c r="I557" s="181"/>
      <c r="J557" s="181"/>
      <c r="K557" s="181"/>
      <c r="L557" s="181"/>
      <c r="M557" s="181"/>
      <c r="N557" s="181"/>
      <c r="O557" s="181"/>
      <c r="P557" s="181"/>
      <c r="Q557" s="181"/>
      <c r="R557" s="181"/>
      <c r="S557" s="181"/>
      <c r="T557" s="181"/>
      <c r="U557" s="181"/>
      <c r="V557" s="181"/>
      <c r="W557" s="181"/>
      <c r="X557" s="181"/>
      <c r="Y557" s="181"/>
      <c r="Z557" s="181"/>
    </row>
    <row r="558">
      <c r="A558" s="194"/>
      <c r="B558" s="195"/>
      <c r="C558" s="181"/>
      <c r="D558" s="194"/>
      <c r="E558" s="194"/>
      <c r="F558" s="181"/>
      <c r="G558" s="181"/>
      <c r="H558" s="181"/>
      <c r="I558" s="181"/>
      <c r="J558" s="181"/>
      <c r="K558" s="181"/>
      <c r="L558" s="181"/>
      <c r="M558" s="181"/>
      <c r="N558" s="181"/>
      <c r="O558" s="181"/>
      <c r="P558" s="181"/>
      <c r="Q558" s="181"/>
      <c r="R558" s="181"/>
      <c r="S558" s="181"/>
      <c r="T558" s="181"/>
      <c r="U558" s="181"/>
      <c r="V558" s="181"/>
      <c r="W558" s="181"/>
      <c r="X558" s="181"/>
      <c r="Y558" s="181"/>
      <c r="Z558" s="181"/>
    </row>
    <row r="559">
      <c r="A559" s="194"/>
      <c r="B559" s="195"/>
      <c r="C559" s="181"/>
      <c r="D559" s="194"/>
      <c r="E559" s="194"/>
      <c r="F559" s="181"/>
      <c r="G559" s="181"/>
      <c r="H559" s="181"/>
      <c r="I559" s="181"/>
      <c r="J559" s="181"/>
      <c r="K559" s="181"/>
      <c r="L559" s="181"/>
      <c r="M559" s="181"/>
      <c r="N559" s="181"/>
      <c r="O559" s="181"/>
      <c r="P559" s="181"/>
      <c r="Q559" s="181"/>
      <c r="R559" s="181"/>
      <c r="S559" s="181"/>
      <c r="T559" s="181"/>
      <c r="U559" s="181"/>
      <c r="V559" s="181"/>
      <c r="W559" s="181"/>
      <c r="X559" s="181"/>
      <c r="Y559" s="181"/>
      <c r="Z559" s="181"/>
    </row>
    <row r="560">
      <c r="A560" s="194"/>
      <c r="B560" s="195"/>
      <c r="C560" s="181"/>
      <c r="D560" s="194"/>
      <c r="E560" s="194"/>
      <c r="F560" s="181"/>
      <c r="G560" s="181"/>
      <c r="H560" s="181"/>
      <c r="I560" s="181"/>
      <c r="J560" s="181"/>
      <c r="K560" s="181"/>
      <c r="L560" s="181"/>
      <c r="M560" s="181"/>
      <c r="N560" s="181"/>
      <c r="O560" s="181"/>
      <c r="P560" s="181"/>
      <c r="Q560" s="181"/>
      <c r="R560" s="181"/>
      <c r="S560" s="181"/>
      <c r="T560" s="181"/>
      <c r="U560" s="181"/>
      <c r="V560" s="181"/>
      <c r="W560" s="181"/>
      <c r="X560" s="181"/>
      <c r="Y560" s="181"/>
      <c r="Z560" s="181"/>
    </row>
    <row r="561">
      <c r="A561" s="194"/>
      <c r="B561" s="195"/>
      <c r="C561" s="181"/>
      <c r="D561" s="194"/>
      <c r="E561" s="194"/>
      <c r="F561" s="181"/>
      <c r="G561" s="181"/>
      <c r="H561" s="181"/>
      <c r="I561" s="181"/>
      <c r="J561" s="181"/>
      <c r="K561" s="181"/>
      <c r="L561" s="181"/>
      <c r="M561" s="181"/>
      <c r="N561" s="181"/>
      <c r="O561" s="181"/>
      <c r="P561" s="181"/>
      <c r="Q561" s="181"/>
      <c r="R561" s="181"/>
      <c r="S561" s="181"/>
      <c r="T561" s="181"/>
      <c r="U561" s="181"/>
      <c r="V561" s="181"/>
      <c r="W561" s="181"/>
      <c r="X561" s="181"/>
      <c r="Y561" s="181"/>
      <c r="Z561" s="181"/>
    </row>
    <row r="562">
      <c r="A562" s="194"/>
      <c r="B562" s="195"/>
      <c r="C562" s="181"/>
      <c r="D562" s="194"/>
      <c r="E562" s="194"/>
      <c r="F562" s="181"/>
      <c r="G562" s="181"/>
      <c r="H562" s="181"/>
      <c r="I562" s="181"/>
      <c r="J562" s="181"/>
      <c r="K562" s="181"/>
      <c r="L562" s="181"/>
      <c r="M562" s="181"/>
      <c r="N562" s="181"/>
      <c r="O562" s="181"/>
      <c r="P562" s="181"/>
      <c r="Q562" s="181"/>
      <c r="R562" s="181"/>
      <c r="S562" s="181"/>
      <c r="T562" s="181"/>
      <c r="U562" s="181"/>
      <c r="V562" s="181"/>
      <c r="W562" s="181"/>
      <c r="X562" s="181"/>
      <c r="Y562" s="181"/>
      <c r="Z562" s="181"/>
    </row>
    <row r="563">
      <c r="A563" s="194"/>
      <c r="B563" s="195"/>
      <c r="C563" s="181"/>
      <c r="D563" s="194"/>
      <c r="E563" s="194"/>
      <c r="F563" s="181"/>
      <c r="G563" s="181"/>
      <c r="H563" s="181"/>
      <c r="I563" s="181"/>
      <c r="J563" s="181"/>
      <c r="K563" s="181"/>
      <c r="L563" s="181"/>
      <c r="M563" s="181"/>
      <c r="N563" s="181"/>
      <c r="O563" s="181"/>
      <c r="P563" s="181"/>
      <c r="Q563" s="181"/>
      <c r="R563" s="181"/>
      <c r="S563" s="181"/>
      <c r="T563" s="181"/>
      <c r="U563" s="181"/>
      <c r="V563" s="181"/>
      <c r="W563" s="181"/>
      <c r="X563" s="181"/>
      <c r="Y563" s="181"/>
      <c r="Z563" s="181"/>
    </row>
    <row r="564">
      <c r="A564" s="194"/>
      <c r="B564" s="195"/>
      <c r="C564" s="181"/>
      <c r="D564" s="194"/>
      <c r="E564" s="194"/>
      <c r="F564" s="181"/>
      <c r="G564" s="181"/>
      <c r="H564" s="181"/>
      <c r="I564" s="181"/>
      <c r="J564" s="181"/>
      <c r="K564" s="181"/>
      <c r="L564" s="181"/>
      <c r="M564" s="181"/>
      <c r="N564" s="181"/>
      <c r="O564" s="181"/>
      <c r="P564" s="181"/>
      <c r="Q564" s="181"/>
      <c r="R564" s="181"/>
      <c r="S564" s="181"/>
      <c r="T564" s="181"/>
      <c r="U564" s="181"/>
      <c r="V564" s="181"/>
      <c r="W564" s="181"/>
      <c r="X564" s="181"/>
      <c r="Y564" s="181"/>
      <c r="Z564" s="181"/>
    </row>
    <row r="565">
      <c r="A565" s="194"/>
      <c r="B565" s="195"/>
      <c r="C565" s="181"/>
      <c r="D565" s="194"/>
      <c r="E565" s="194"/>
      <c r="F565" s="181"/>
      <c r="G565" s="181"/>
      <c r="H565" s="181"/>
      <c r="I565" s="181"/>
      <c r="J565" s="181"/>
      <c r="K565" s="181"/>
      <c r="L565" s="181"/>
      <c r="M565" s="181"/>
      <c r="N565" s="181"/>
      <c r="O565" s="181"/>
      <c r="P565" s="181"/>
      <c r="Q565" s="181"/>
      <c r="R565" s="181"/>
      <c r="S565" s="181"/>
      <c r="T565" s="181"/>
      <c r="U565" s="181"/>
      <c r="V565" s="181"/>
      <c r="W565" s="181"/>
      <c r="X565" s="181"/>
      <c r="Y565" s="181"/>
      <c r="Z565" s="181"/>
    </row>
    <row r="566">
      <c r="A566" s="194"/>
      <c r="B566" s="195"/>
      <c r="C566" s="181"/>
      <c r="D566" s="194"/>
      <c r="E566" s="194"/>
      <c r="F566" s="181"/>
      <c r="G566" s="181"/>
      <c r="H566" s="181"/>
      <c r="I566" s="181"/>
      <c r="J566" s="181"/>
      <c r="K566" s="181"/>
      <c r="L566" s="181"/>
      <c r="M566" s="181"/>
      <c r="N566" s="181"/>
      <c r="O566" s="181"/>
      <c r="P566" s="181"/>
      <c r="Q566" s="181"/>
      <c r="R566" s="181"/>
      <c r="S566" s="181"/>
      <c r="T566" s="181"/>
      <c r="U566" s="181"/>
      <c r="V566" s="181"/>
      <c r="W566" s="181"/>
      <c r="X566" s="181"/>
      <c r="Y566" s="181"/>
      <c r="Z566" s="181"/>
    </row>
    <row r="567">
      <c r="A567" s="194"/>
      <c r="B567" s="195"/>
      <c r="C567" s="181"/>
      <c r="D567" s="194"/>
      <c r="E567" s="194"/>
      <c r="F567" s="181"/>
      <c r="G567" s="181"/>
      <c r="H567" s="181"/>
      <c r="I567" s="181"/>
      <c r="J567" s="181"/>
      <c r="K567" s="181"/>
      <c r="L567" s="181"/>
      <c r="M567" s="181"/>
      <c r="N567" s="181"/>
      <c r="O567" s="181"/>
      <c r="P567" s="181"/>
      <c r="Q567" s="181"/>
      <c r="R567" s="181"/>
      <c r="S567" s="181"/>
      <c r="T567" s="181"/>
      <c r="U567" s="181"/>
      <c r="V567" s="181"/>
      <c r="W567" s="181"/>
      <c r="X567" s="181"/>
      <c r="Y567" s="181"/>
      <c r="Z567" s="181"/>
    </row>
    <row r="568">
      <c r="A568" s="194"/>
      <c r="B568" s="195"/>
      <c r="C568" s="181"/>
      <c r="D568" s="194"/>
      <c r="E568" s="194"/>
      <c r="F568" s="181"/>
      <c r="G568" s="181"/>
      <c r="H568" s="181"/>
      <c r="I568" s="181"/>
      <c r="J568" s="181"/>
      <c r="K568" s="181"/>
      <c r="L568" s="181"/>
      <c r="M568" s="181"/>
      <c r="N568" s="181"/>
      <c r="O568" s="181"/>
      <c r="P568" s="181"/>
      <c r="Q568" s="181"/>
      <c r="R568" s="181"/>
      <c r="S568" s="181"/>
      <c r="T568" s="181"/>
      <c r="U568" s="181"/>
      <c r="V568" s="181"/>
      <c r="W568" s="181"/>
      <c r="X568" s="181"/>
      <c r="Y568" s="181"/>
      <c r="Z568" s="181"/>
    </row>
    <row r="569">
      <c r="A569" s="194"/>
      <c r="B569" s="195"/>
      <c r="C569" s="181"/>
      <c r="D569" s="194"/>
      <c r="E569" s="194"/>
      <c r="F569" s="181"/>
      <c r="G569" s="181"/>
      <c r="H569" s="181"/>
      <c r="I569" s="181"/>
      <c r="J569" s="181"/>
      <c r="K569" s="181"/>
      <c r="L569" s="181"/>
      <c r="M569" s="181"/>
      <c r="N569" s="181"/>
      <c r="O569" s="181"/>
      <c r="P569" s="181"/>
      <c r="Q569" s="181"/>
      <c r="R569" s="181"/>
      <c r="S569" s="181"/>
      <c r="T569" s="181"/>
      <c r="U569" s="181"/>
      <c r="V569" s="181"/>
      <c r="W569" s="181"/>
      <c r="X569" s="181"/>
      <c r="Y569" s="181"/>
      <c r="Z569" s="181"/>
    </row>
    <row r="570">
      <c r="A570" s="194"/>
      <c r="B570" s="195"/>
      <c r="C570" s="181"/>
      <c r="D570" s="194"/>
      <c r="E570" s="194"/>
      <c r="F570" s="181"/>
      <c r="G570" s="181"/>
      <c r="H570" s="181"/>
      <c r="I570" s="181"/>
      <c r="J570" s="181"/>
      <c r="K570" s="181"/>
      <c r="L570" s="181"/>
      <c r="M570" s="181"/>
      <c r="N570" s="181"/>
      <c r="O570" s="181"/>
      <c r="P570" s="181"/>
      <c r="Q570" s="181"/>
      <c r="R570" s="181"/>
      <c r="S570" s="181"/>
      <c r="T570" s="181"/>
      <c r="U570" s="181"/>
      <c r="V570" s="181"/>
      <c r="W570" s="181"/>
      <c r="X570" s="181"/>
      <c r="Y570" s="181"/>
      <c r="Z570" s="181"/>
    </row>
    <row r="571">
      <c r="A571" s="194"/>
      <c r="B571" s="195"/>
      <c r="C571" s="181"/>
      <c r="D571" s="194"/>
      <c r="E571" s="194"/>
      <c r="F571" s="181"/>
      <c r="G571" s="181"/>
      <c r="H571" s="181"/>
      <c r="I571" s="181"/>
      <c r="J571" s="181"/>
      <c r="K571" s="181"/>
      <c r="L571" s="181"/>
      <c r="M571" s="181"/>
      <c r="N571" s="181"/>
      <c r="O571" s="181"/>
      <c r="P571" s="181"/>
      <c r="Q571" s="181"/>
      <c r="R571" s="181"/>
      <c r="S571" s="181"/>
      <c r="T571" s="181"/>
      <c r="U571" s="181"/>
      <c r="V571" s="181"/>
      <c r="W571" s="181"/>
      <c r="X571" s="181"/>
      <c r="Y571" s="181"/>
      <c r="Z571" s="181"/>
    </row>
    <row r="572">
      <c r="A572" s="194"/>
      <c r="B572" s="195"/>
      <c r="C572" s="181"/>
      <c r="D572" s="194"/>
      <c r="E572" s="194"/>
      <c r="F572" s="181"/>
      <c r="G572" s="181"/>
      <c r="H572" s="181"/>
      <c r="I572" s="181"/>
      <c r="J572" s="181"/>
      <c r="K572" s="181"/>
      <c r="L572" s="181"/>
      <c r="M572" s="181"/>
      <c r="N572" s="181"/>
      <c r="O572" s="181"/>
      <c r="P572" s="181"/>
      <c r="Q572" s="181"/>
      <c r="R572" s="181"/>
      <c r="S572" s="181"/>
      <c r="T572" s="181"/>
      <c r="U572" s="181"/>
      <c r="V572" s="181"/>
      <c r="W572" s="181"/>
      <c r="X572" s="181"/>
      <c r="Y572" s="181"/>
      <c r="Z572" s="181"/>
    </row>
    <row r="573">
      <c r="A573" s="194"/>
      <c r="B573" s="195"/>
      <c r="C573" s="181"/>
      <c r="D573" s="194"/>
      <c r="E573" s="194"/>
      <c r="F573" s="181"/>
      <c r="G573" s="181"/>
      <c r="H573" s="181"/>
      <c r="I573" s="181"/>
      <c r="J573" s="181"/>
      <c r="K573" s="181"/>
      <c r="L573" s="181"/>
      <c r="M573" s="181"/>
      <c r="N573" s="181"/>
      <c r="O573" s="181"/>
      <c r="P573" s="181"/>
      <c r="Q573" s="181"/>
      <c r="R573" s="181"/>
      <c r="S573" s="181"/>
      <c r="T573" s="181"/>
      <c r="U573" s="181"/>
      <c r="V573" s="181"/>
      <c r="W573" s="181"/>
      <c r="X573" s="181"/>
      <c r="Y573" s="181"/>
      <c r="Z573" s="181"/>
    </row>
    <row r="574">
      <c r="A574" s="194"/>
      <c r="B574" s="195"/>
      <c r="C574" s="181"/>
      <c r="D574" s="194"/>
      <c r="E574" s="194"/>
      <c r="F574" s="181"/>
      <c r="G574" s="181"/>
      <c r="H574" s="181"/>
      <c r="I574" s="181"/>
      <c r="J574" s="181"/>
      <c r="K574" s="181"/>
      <c r="L574" s="181"/>
      <c r="M574" s="181"/>
      <c r="N574" s="181"/>
      <c r="O574" s="181"/>
      <c r="P574" s="181"/>
      <c r="Q574" s="181"/>
      <c r="R574" s="181"/>
      <c r="S574" s="181"/>
      <c r="T574" s="181"/>
      <c r="U574" s="181"/>
      <c r="V574" s="181"/>
      <c r="W574" s="181"/>
      <c r="X574" s="181"/>
      <c r="Y574" s="181"/>
      <c r="Z574" s="181"/>
    </row>
    <row r="575">
      <c r="A575" s="194"/>
      <c r="B575" s="195"/>
      <c r="C575" s="181"/>
      <c r="D575" s="194"/>
      <c r="E575" s="194"/>
      <c r="F575" s="181"/>
      <c r="G575" s="181"/>
      <c r="H575" s="181"/>
      <c r="I575" s="181"/>
      <c r="J575" s="181"/>
      <c r="K575" s="181"/>
      <c r="L575" s="181"/>
      <c r="M575" s="181"/>
      <c r="N575" s="181"/>
      <c r="O575" s="181"/>
      <c r="P575" s="181"/>
      <c r="Q575" s="181"/>
      <c r="R575" s="181"/>
      <c r="S575" s="181"/>
      <c r="T575" s="181"/>
      <c r="U575" s="181"/>
      <c r="V575" s="181"/>
      <c r="W575" s="181"/>
      <c r="X575" s="181"/>
      <c r="Y575" s="181"/>
      <c r="Z575" s="181"/>
    </row>
    <row r="576">
      <c r="A576" s="194"/>
      <c r="B576" s="195"/>
      <c r="C576" s="181"/>
      <c r="D576" s="194"/>
      <c r="E576" s="194"/>
      <c r="F576" s="181"/>
      <c r="G576" s="181"/>
      <c r="H576" s="181"/>
      <c r="I576" s="181"/>
      <c r="J576" s="181"/>
      <c r="K576" s="181"/>
      <c r="L576" s="181"/>
      <c r="M576" s="181"/>
      <c r="N576" s="181"/>
      <c r="O576" s="181"/>
      <c r="P576" s="181"/>
      <c r="Q576" s="181"/>
      <c r="R576" s="181"/>
      <c r="S576" s="181"/>
      <c r="T576" s="181"/>
      <c r="U576" s="181"/>
      <c r="V576" s="181"/>
      <c r="W576" s="181"/>
      <c r="X576" s="181"/>
      <c r="Y576" s="181"/>
      <c r="Z576" s="181"/>
    </row>
    <row r="577">
      <c r="A577" s="194"/>
      <c r="B577" s="195"/>
      <c r="C577" s="181"/>
      <c r="D577" s="194"/>
      <c r="E577" s="194"/>
      <c r="F577" s="181"/>
      <c r="G577" s="181"/>
      <c r="H577" s="181"/>
      <c r="I577" s="181"/>
      <c r="J577" s="181"/>
      <c r="K577" s="181"/>
      <c r="L577" s="181"/>
      <c r="M577" s="181"/>
      <c r="N577" s="181"/>
      <c r="O577" s="181"/>
      <c r="P577" s="181"/>
      <c r="Q577" s="181"/>
      <c r="R577" s="181"/>
      <c r="S577" s="181"/>
      <c r="T577" s="181"/>
      <c r="U577" s="181"/>
      <c r="V577" s="181"/>
      <c r="W577" s="181"/>
      <c r="X577" s="181"/>
      <c r="Y577" s="181"/>
      <c r="Z577" s="181"/>
    </row>
    <row r="578">
      <c r="A578" s="194"/>
      <c r="B578" s="195"/>
      <c r="C578" s="181"/>
      <c r="D578" s="194"/>
      <c r="E578" s="194"/>
      <c r="F578" s="181"/>
      <c r="G578" s="181"/>
      <c r="H578" s="181"/>
      <c r="I578" s="181"/>
      <c r="J578" s="181"/>
      <c r="K578" s="181"/>
      <c r="L578" s="181"/>
      <c r="M578" s="181"/>
      <c r="N578" s="181"/>
      <c r="O578" s="181"/>
      <c r="P578" s="181"/>
      <c r="Q578" s="181"/>
      <c r="R578" s="181"/>
      <c r="S578" s="181"/>
      <c r="T578" s="181"/>
      <c r="U578" s="181"/>
      <c r="V578" s="181"/>
      <c r="W578" s="181"/>
      <c r="X578" s="181"/>
      <c r="Y578" s="181"/>
      <c r="Z578" s="181"/>
    </row>
    <row r="579">
      <c r="A579" s="194"/>
      <c r="B579" s="195"/>
      <c r="C579" s="181"/>
      <c r="D579" s="194"/>
      <c r="E579" s="194"/>
      <c r="F579" s="181"/>
      <c r="G579" s="181"/>
      <c r="H579" s="181"/>
      <c r="I579" s="181"/>
      <c r="J579" s="181"/>
      <c r="K579" s="181"/>
      <c r="L579" s="181"/>
      <c r="M579" s="181"/>
      <c r="N579" s="181"/>
      <c r="O579" s="181"/>
      <c r="P579" s="181"/>
      <c r="Q579" s="181"/>
      <c r="R579" s="181"/>
      <c r="S579" s="181"/>
      <c r="T579" s="181"/>
      <c r="U579" s="181"/>
      <c r="V579" s="181"/>
      <c r="W579" s="181"/>
      <c r="X579" s="181"/>
      <c r="Y579" s="181"/>
      <c r="Z579" s="181"/>
    </row>
    <row r="580">
      <c r="A580" s="194"/>
      <c r="B580" s="195"/>
      <c r="C580" s="181"/>
      <c r="D580" s="194"/>
      <c r="E580" s="194"/>
      <c r="F580" s="181"/>
      <c r="G580" s="181"/>
      <c r="H580" s="181"/>
      <c r="I580" s="181"/>
      <c r="J580" s="181"/>
      <c r="K580" s="181"/>
      <c r="L580" s="181"/>
      <c r="M580" s="181"/>
      <c r="N580" s="181"/>
      <c r="O580" s="181"/>
      <c r="P580" s="181"/>
      <c r="Q580" s="181"/>
      <c r="R580" s="181"/>
      <c r="S580" s="181"/>
      <c r="T580" s="181"/>
      <c r="U580" s="181"/>
      <c r="V580" s="181"/>
      <c r="W580" s="181"/>
      <c r="X580" s="181"/>
      <c r="Y580" s="181"/>
      <c r="Z580" s="181"/>
    </row>
    <row r="581">
      <c r="A581" s="194"/>
      <c r="B581" s="195"/>
      <c r="C581" s="181"/>
      <c r="D581" s="194"/>
      <c r="E581" s="194"/>
      <c r="F581" s="181"/>
      <c r="G581" s="181"/>
      <c r="H581" s="181"/>
      <c r="I581" s="181"/>
      <c r="J581" s="181"/>
      <c r="K581" s="181"/>
      <c r="L581" s="181"/>
      <c r="M581" s="181"/>
      <c r="N581" s="181"/>
      <c r="O581" s="181"/>
      <c r="P581" s="181"/>
      <c r="Q581" s="181"/>
      <c r="R581" s="181"/>
      <c r="S581" s="181"/>
      <c r="T581" s="181"/>
      <c r="U581" s="181"/>
      <c r="V581" s="181"/>
      <c r="W581" s="181"/>
      <c r="X581" s="181"/>
      <c r="Y581" s="181"/>
      <c r="Z581" s="181"/>
    </row>
    <row r="582">
      <c r="A582" s="194"/>
      <c r="B582" s="195"/>
      <c r="C582" s="181"/>
      <c r="D582" s="194"/>
      <c r="E582" s="194"/>
      <c r="F582" s="181"/>
      <c r="G582" s="181"/>
      <c r="H582" s="181"/>
      <c r="I582" s="181"/>
      <c r="J582" s="181"/>
      <c r="K582" s="181"/>
      <c r="L582" s="181"/>
      <c r="M582" s="181"/>
      <c r="N582" s="181"/>
      <c r="O582" s="181"/>
      <c r="P582" s="181"/>
      <c r="Q582" s="181"/>
      <c r="R582" s="181"/>
      <c r="S582" s="181"/>
      <c r="T582" s="181"/>
      <c r="U582" s="181"/>
      <c r="V582" s="181"/>
      <c r="W582" s="181"/>
      <c r="X582" s="181"/>
      <c r="Y582" s="181"/>
      <c r="Z582" s="181"/>
    </row>
    <row r="583">
      <c r="A583" s="194"/>
      <c r="B583" s="195"/>
      <c r="C583" s="181"/>
      <c r="D583" s="194"/>
      <c r="E583" s="194"/>
      <c r="F583" s="181"/>
      <c r="G583" s="181"/>
      <c r="H583" s="181"/>
      <c r="I583" s="181"/>
      <c r="J583" s="181"/>
      <c r="K583" s="181"/>
      <c r="L583" s="181"/>
      <c r="M583" s="181"/>
      <c r="N583" s="181"/>
      <c r="O583" s="181"/>
      <c r="P583" s="181"/>
      <c r="Q583" s="181"/>
      <c r="R583" s="181"/>
      <c r="S583" s="181"/>
      <c r="T583" s="181"/>
      <c r="U583" s="181"/>
      <c r="V583" s="181"/>
      <c r="W583" s="181"/>
      <c r="X583" s="181"/>
      <c r="Y583" s="181"/>
      <c r="Z583" s="181"/>
    </row>
    <row r="584">
      <c r="A584" s="194"/>
      <c r="B584" s="195"/>
      <c r="C584" s="181"/>
      <c r="D584" s="194"/>
      <c r="E584" s="194"/>
      <c r="F584" s="181"/>
      <c r="G584" s="181"/>
      <c r="H584" s="181"/>
      <c r="I584" s="181"/>
      <c r="J584" s="181"/>
      <c r="K584" s="181"/>
      <c r="L584" s="181"/>
      <c r="M584" s="181"/>
      <c r="N584" s="181"/>
      <c r="O584" s="181"/>
      <c r="P584" s="181"/>
      <c r="Q584" s="181"/>
      <c r="R584" s="181"/>
      <c r="S584" s="181"/>
      <c r="T584" s="181"/>
      <c r="U584" s="181"/>
      <c r="V584" s="181"/>
      <c r="W584" s="181"/>
      <c r="X584" s="181"/>
      <c r="Y584" s="181"/>
      <c r="Z584" s="181"/>
    </row>
    <row r="585">
      <c r="A585" s="194"/>
      <c r="B585" s="195"/>
      <c r="C585" s="181"/>
      <c r="D585" s="194"/>
      <c r="E585" s="194"/>
      <c r="F585" s="181"/>
      <c r="G585" s="181"/>
      <c r="H585" s="181"/>
      <c r="I585" s="181"/>
      <c r="J585" s="181"/>
      <c r="K585" s="181"/>
      <c r="L585" s="181"/>
      <c r="M585" s="181"/>
      <c r="N585" s="181"/>
      <c r="O585" s="181"/>
      <c r="P585" s="181"/>
      <c r="Q585" s="181"/>
      <c r="R585" s="181"/>
      <c r="S585" s="181"/>
      <c r="T585" s="181"/>
      <c r="U585" s="181"/>
      <c r="V585" s="181"/>
      <c r="W585" s="181"/>
      <c r="X585" s="181"/>
      <c r="Y585" s="181"/>
      <c r="Z585" s="181"/>
    </row>
    <row r="586">
      <c r="A586" s="194"/>
      <c r="B586" s="195"/>
      <c r="C586" s="181"/>
      <c r="D586" s="194"/>
      <c r="E586" s="194"/>
      <c r="F586" s="181"/>
      <c r="G586" s="181"/>
      <c r="H586" s="181"/>
      <c r="I586" s="181"/>
      <c r="J586" s="181"/>
      <c r="K586" s="181"/>
      <c r="L586" s="181"/>
      <c r="M586" s="181"/>
      <c r="N586" s="181"/>
      <c r="O586" s="181"/>
      <c r="P586" s="181"/>
      <c r="Q586" s="181"/>
      <c r="R586" s="181"/>
      <c r="S586" s="181"/>
      <c r="T586" s="181"/>
      <c r="U586" s="181"/>
      <c r="V586" s="181"/>
      <c r="W586" s="181"/>
      <c r="X586" s="181"/>
      <c r="Y586" s="181"/>
      <c r="Z586" s="181"/>
    </row>
    <row r="587">
      <c r="A587" s="194"/>
      <c r="B587" s="195"/>
      <c r="C587" s="181"/>
      <c r="D587" s="194"/>
      <c r="E587" s="194"/>
      <c r="F587" s="181"/>
      <c r="G587" s="181"/>
      <c r="H587" s="181"/>
      <c r="I587" s="181"/>
      <c r="J587" s="181"/>
      <c r="K587" s="181"/>
      <c r="L587" s="181"/>
      <c r="M587" s="181"/>
      <c r="N587" s="181"/>
      <c r="O587" s="181"/>
      <c r="P587" s="181"/>
      <c r="Q587" s="181"/>
      <c r="R587" s="181"/>
      <c r="S587" s="181"/>
      <c r="T587" s="181"/>
      <c r="U587" s="181"/>
      <c r="V587" s="181"/>
      <c r="W587" s="181"/>
      <c r="X587" s="181"/>
      <c r="Y587" s="181"/>
      <c r="Z587" s="181"/>
    </row>
    <row r="588">
      <c r="A588" s="194"/>
      <c r="B588" s="195"/>
      <c r="C588" s="181"/>
      <c r="D588" s="194"/>
      <c r="E588" s="194"/>
      <c r="F588" s="181"/>
      <c r="G588" s="181"/>
      <c r="H588" s="181"/>
      <c r="I588" s="181"/>
      <c r="J588" s="181"/>
      <c r="K588" s="181"/>
      <c r="L588" s="181"/>
      <c r="M588" s="181"/>
      <c r="N588" s="181"/>
      <c r="O588" s="181"/>
      <c r="P588" s="181"/>
      <c r="Q588" s="181"/>
      <c r="R588" s="181"/>
      <c r="S588" s="181"/>
      <c r="T588" s="181"/>
      <c r="U588" s="181"/>
      <c r="V588" s="181"/>
      <c r="W588" s="181"/>
      <c r="X588" s="181"/>
      <c r="Y588" s="181"/>
      <c r="Z588" s="181"/>
    </row>
    <row r="589">
      <c r="A589" s="194"/>
      <c r="B589" s="195"/>
      <c r="C589" s="181"/>
      <c r="D589" s="194"/>
      <c r="E589" s="194"/>
      <c r="F589" s="181"/>
      <c r="G589" s="181"/>
      <c r="H589" s="181"/>
      <c r="I589" s="181"/>
      <c r="J589" s="181"/>
      <c r="K589" s="181"/>
      <c r="L589" s="181"/>
      <c r="M589" s="181"/>
      <c r="N589" s="181"/>
      <c r="O589" s="181"/>
      <c r="P589" s="181"/>
      <c r="Q589" s="181"/>
      <c r="R589" s="181"/>
      <c r="S589" s="181"/>
      <c r="T589" s="181"/>
      <c r="U589" s="181"/>
      <c r="V589" s="181"/>
      <c r="W589" s="181"/>
      <c r="X589" s="181"/>
      <c r="Y589" s="181"/>
      <c r="Z589" s="181"/>
    </row>
    <row r="590">
      <c r="A590" s="194"/>
      <c r="B590" s="195"/>
      <c r="C590" s="181"/>
      <c r="D590" s="194"/>
      <c r="E590" s="194"/>
      <c r="F590" s="181"/>
      <c r="G590" s="181"/>
      <c r="H590" s="181"/>
      <c r="I590" s="181"/>
      <c r="J590" s="181"/>
      <c r="K590" s="181"/>
      <c r="L590" s="181"/>
      <c r="M590" s="181"/>
      <c r="N590" s="181"/>
      <c r="O590" s="181"/>
      <c r="P590" s="181"/>
      <c r="Q590" s="181"/>
      <c r="R590" s="181"/>
      <c r="S590" s="181"/>
      <c r="T590" s="181"/>
      <c r="U590" s="181"/>
      <c r="V590" s="181"/>
      <c r="W590" s="181"/>
      <c r="X590" s="181"/>
      <c r="Y590" s="181"/>
      <c r="Z590" s="181"/>
    </row>
    <row r="591">
      <c r="A591" s="194"/>
      <c r="B591" s="195"/>
      <c r="C591" s="181"/>
      <c r="D591" s="194"/>
      <c r="E591" s="194"/>
      <c r="F591" s="181"/>
      <c r="G591" s="181"/>
      <c r="H591" s="181"/>
      <c r="I591" s="181"/>
      <c r="J591" s="181"/>
      <c r="K591" s="181"/>
      <c r="L591" s="181"/>
      <c r="M591" s="181"/>
      <c r="N591" s="181"/>
      <c r="O591" s="181"/>
      <c r="P591" s="181"/>
      <c r="Q591" s="181"/>
      <c r="R591" s="181"/>
      <c r="S591" s="181"/>
      <c r="T591" s="181"/>
      <c r="U591" s="181"/>
      <c r="V591" s="181"/>
      <c r="W591" s="181"/>
      <c r="X591" s="181"/>
      <c r="Y591" s="181"/>
      <c r="Z591" s="181"/>
    </row>
    <row r="592">
      <c r="A592" s="194"/>
      <c r="B592" s="195"/>
      <c r="C592" s="181"/>
      <c r="D592" s="194"/>
      <c r="E592" s="194"/>
      <c r="F592" s="181"/>
      <c r="G592" s="181"/>
      <c r="H592" s="181"/>
      <c r="I592" s="181"/>
      <c r="J592" s="181"/>
      <c r="K592" s="181"/>
      <c r="L592" s="181"/>
      <c r="M592" s="181"/>
      <c r="N592" s="181"/>
      <c r="O592" s="181"/>
      <c r="P592" s="181"/>
      <c r="Q592" s="181"/>
      <c r="R592" s="181"/>
      <c r="S592" s="181"/>
      <c r="T592" s="181"/>
      <c r="U592" s="181"/>
      <c r="V592" s="181"/>
      <c r="W592" s="181"/>
      <c r="X592" s="181"/>
      <c r="Y592" s="181"/>
      <c r="Z592" s="181"/>
    </row>
    <row r="593">
      <c r="A593" s="194"/>
      <c r="B593" s="195"/>
      <c r="C593" s="181"/>
      <c r="D593" s="194"/>
      <c r="E593" s="194"/>
      <c r="F593" s="181"/>
      <c r="G593" s="181"/>
      <c r="H593" s="181"/>
      <c r="I593" s="181"/>
      <c r="J593" s="181"/>
      <c r="K593" s="181"/>
      <c r="L593" s="181"/>
      <c r="M593" s="181"/>
      <c r="N593" s="181"/>
      <c r="O593" s="181"/>
      <c r="P593" s="181"/>
      <c r="Q593" s="181"/>
      <c r="R593" s="181"/>
      <c r="S593" s="181"/>
      <c r="T593" s="181"/>
      <c r="U593" s="181"/>
      <c r="V593" s="181"/>
      <c r="W593" s="181"/>
      <c r="X593" s="181"/>
      <c r="Y593" s="181"/>
      <c r="Z593" s="181"/>
    </row>
    <row r="594">
      <c r="A594" s="194"/>
      <c r="B594" s="195"/>
      <c r="C594" s="181"/>
      <c r="D594" s="194"/>
      <c r="E594" s="194"/>
      <c r="F594" s="181"/>
      <c r="G594" s="181"/>
      <c r="H594" s="181"/>
      <c r="I594" s="181"/>
      <c r="J594" s="181"/>
      <c r="K594" s="181"/>
      <c r="L594" s="181"/>
      <c r="M594" s="181"/>
      <c r="N594" s="181"/>
      <c r="O594" s="181"/>
      <c r="P594" s="181"/>
      <c r="Q594" s="181"/>
      <c r="R594" s="181"/>
      <c r="S594" s="181"/>
      <c r="T594" s="181"/>
      <c r="U594" s="181"/>
      <c r="V594" s="181"/>
      <c r="W594" s="181"/>
      <c r="X594" s="181"/>
      <c r="Y594" s="181"/>
      <c r="Z594" s="181"/>
    </row>
    <row r="595">
      <c r="A595" s="194"/>
      <c r="B595" s="195"/>
      <c r="C595" s="181"/>
      <c r="D595" s="194"/>
      <c r="E595" s="194"/>
      <c r="F595" s="181"/>
      <c r="G595" s="181"/>
      <c r="H595" s="181"/>
      <c r="I595" s="181"/>
      <c r="J595" s="181"/>
      <c r="K595" s="181"/>
      <c r="L595" s="181"/>
      <c r="M595" s="181"/>
      <c r="N595" s="181"/>
      <c r="O595" s="181"/>
      <c r="P595" s="181"/>
      <c r="Q595" s="181"/>
      <c r="R595" s="181"/>
      <c r="S595" s="181"/>
      <c r="T595" s="181"/>
      <c r="U595" s="181"/>
      <c r="V595" s="181"/>
      <c r="W595" s="181"/>
      <c r="X595" s="181"/>
      <c r="Y595" s="181"/>
      <c r="Z595" s="181"/>
    </row>
    <row r="596">
      <c r="A596" s="194"/>
      <c r="B596" s="195"/>
      <c r="C596" s="181"/>
      <c r="D596" s="194"/>
      <c r="E596" s="194"/>
      <c r="F596" s="181"/>
      <c r="G596" s="181"/>
      <c r="H596" s="181"/>
      <c r="I596" s="181"/>
      <c r="J596" s="181"/>
      <c r="K596" s="181"/>
      <c r="L596" s="181"/>
      <c r="M596" s="181"/>
      <c r="N596" s="181"/>
      <c r="O596" s="181"/>
      <c r="P596" s="181"/>
      <c r="Q596" s="181"/>
      <c r="R596" s="181"/>
      <c r="S596" s="181"/>
      <c r="T596" s="181"/>
      <c r="U596" s="181"/>
      <c r="V596" s="181"/>
      <c r="W596" s="181"/>
      <c r="X596" s="181"/>
      <c r="Y596" s="181"/>
      <c r="Z596" s="181"/>
    </row>
    <row r="597">
      <c r="A597" s="194"/>
      <c r="B597" s="195"/>
      <c r="C597" s="181"/>
      <c r="D597" s="194"/>
      <c r="E597" s="194"/>
      <c r="F597" s="181"/>
      <c r="G597" s="181"/>
      <c r="H597" s="181"/>
      <c r="I597" s="181"/>
      <c r="J597" s="181"/>
      <c r="K597" s="181"/>
      <c r="L597" s="181"/>
      <c r="M597" s="181"/>
      <c r="N597" s="181"/>
      <c r="O597" s="181"/>
      <c r="P597" s="181"/>
      <c r="Q597" s="181"/>
      <c r="R597" s="181"/>
      <c r="S597" s="181"/>
      <c r="T597" s="181"/>
      <c r="U597" s="181"/>
      <c r="V597" s="181"/>
      <c r="W597" s="181"/>
      <c r="X597" s="181"/>
      <c r="Y597" s="181"/>
      <c r="Z597" s="181"/>
    </row>
    <row r="598">
      <c r="A598" s="194"/>
      <c r="B598" s="195"/>
      <c r="C598" s="181"/>
      <c r="D598" s="194"/>
      <c r="E598" s="194"/>
      <c r="F598" s="181"/>
      <c r="G598" s="181"/>
      <c r="H598" s="181"/>
      <c r="I598" s="181"/>
      <c r="J598" s="181"/>
      <c r="K598" s="181"/>
      <c r="L598" s="181"/>
      <c r="M598" s="181"/>
      <c r="N598" s="181"/>
      <c r="O598" s="181"/>
      <c r="P598" s="181"/>
      <c r="Q598" s="181"/>
      <c r="R598" s="181"/>
      <c r="S598" s="181"/>
      <c r="T598" s="181"/>
      <c r="U598" s="181"/>
      <c r="V598" s="181"/>
      <c r="W598" s="181"/>
      <c r="X598" s="181"/>
      <c r="Y598" s="181"/>
      <c r="Z598" s="181"/>
    </row>
    <row r="599">
      <c r="A599" s="194"/>
      <c r="B599" s="195"/>
      <c r="C599" s="181"/>
      <c r="D599" s="194"/>
      <c r="E599" s="194"/>
      <c r="F599" s="181"/>
      <c r="G599" s="181"/>
      <c r="H599" s="181"/>
      <c r="I599" s="181"/>
      <c r="J599" s="181"/>
      <c r="K599" s="181"/>
      <c r="L599" s="181"/>
      <c r="M599" s="181"/>
      <c r="N599" s="181"/>
      <c r="O599" s="181"/>
      <c r="P599" s="181"/>
      <c r="Q599" s="181"/>
      <c r="R599" s="181"/>
      <c r="S599" s="181"/>
      <c r="T599" s="181"/>
      <c r="U599" s="181"/>
      <c r="V599" s="181"/>
      <c r="W599" s="181"/>
      <c r="X599" s="181"/>
      <c r="Y599" s="181"/>
      <c r="Z599" s="181"/>
    </row>
    <row r="600">
      <c r="A600" s="194"/>
      <c r="B600" s="195"/>
      <c r="C600" s="181"/>
      <c r="D600" s="194"/>
      <c r="E600" s="194"/>
      <c r="F600" s="181"/>
      <c r="G600" s="181"/>
      <c r="H600" s="181"/>
      <c r="I600" s="181"/>
      <c r="J600" s="181"/>
      <c r="K600" s="181"/>
      <c r="L600" s="181"/>
      <c r="M600" s="181"/>
      <c r="N600" s="181"/>
      <c r="O600" s="181"/>
      <c r="P600" s="181"/>
      <c r="Q600" s="181"/>
      <c r="R600" s="181"/>
      <c r="S600" s="181"/>
      <c r="T600" s="181"/>
      <c r="U600" s="181"/>
      <c r="V600" s="181"/>
      <c r="W600" s="181"/>
      <c r="X600" s="181"/>
      <c r="Y600" s="181"/>
      <c r="Z600" s="181"/>
    </row>
    <row r="601">
      <c r="A601" s="194"/>
      <c r="B601" s="195"/>
      <c r="C601" s="181"/>
      <c r="D601" s="194"/>
      <c r="E601" s="194"/>
      <c r="F601" s="181"/>
      <c r="G601" s="181"/>
      <c r="H601" s="181"/>
      <c r="I601" s="181"/>
      <c r="J601" s="181"/>
      <c r="K601" s="181"/>
      <c r="L601" s="181"/>
      <c r="M601" s="181"/>
      <c r="N601" s="181"/>
      <c r="O601" s="181"/>
      <c r="P601" s="181"/>
      <c r="Q601" s="181"/>
      <c r="R601" s="181"/>
      <c r="S601" s="181"/>
      <c r="T601" s="181"/>
      <c r="U601" s="181"/>
      <c r="V601" s="181"/>
      <c r="W601" s="181"/>
      <c r="X601" s="181"/>
      <c r="Y601" s="181"/>
      <c r="Z601" s="181"/>
    </row>
    <row r="602">
      <c r="A602" s="194"/>
      <c r="B602" s="195"/>
      <c r="C602" s="181"/>
      <c r="D602" s="194"/>
      <c r="E602" s="194"/>
      <c r="F602" s="181"/>
      <c r="G602" s="181"/>
      <c r="H602" s="181"/>
      <c r="I602" s="181"/>
      <c r="J602" s="181"/>
      <c r="K602" s="181"/>
      <c r="L602" s="181"/>
      <c r="M602" s="181"/>
      <c r="N602" s="181"/>
      <c r="O602" s="181"/>
      <c r="P602" s="181"/>
      <c r="Q602" s="181"/>
      <c r="R602" s="181"/>
      <c r="S602" s="181"/>
      <c r="T602" s="181"/>
      <c r="U602" s="181"/>
      <c r="V602" s="181"/>
      <c r="W602" s="181"/>
      <c r="X602" s="181"/>
      <c r="Y602" s="181"/>
      <c r="Z602" s="181"/>
    </row>
    <row r="603">
      <c r="A603" s="194"/>
      <c r="B603" s="195"/>
      <c r="C603" s="181"/>
      <c r="D603" s="194"/>
      <c r="E603" s="194"/>
      <c r="F603" s="181"/>
      <c r="G603" s="181"/>
      <c r="H603" s="181"/>
      <c r="I603" s="181"/>
      <c r="J603" s="181"/>
      <c r="K603" s="181"/>
      <c r="L603" s="181"/>
      <c r="M603" s="181"/>
      <c r="N603" s="181"/>
      <c r="O603" s="181"/>
      <c r="P603" s="181"/>
      <c r="Q603" s="181"/>
      <c r="R603" s="181"/>
      <c r="S603" s="181"/>
      <c r="T603" s="181"/>
      <c r="U603" s="181"/>
      <c r="V603" s="181"/>
      <c r="W603" s="181"/>
      <c r="X603" s="181"/>
      <c r="Y603" s="181"/>
      <c r="Z603" s="181"/>
    </row>
    <row r="604">
      <c r="A604" s="194"/>
      <c r="B604" s="195"/>
      <c r="C604" s="181"/>
      <c r="D604" s="194"/>
      <c r="E604" s="194"/>
      <c r="F604" s="181"/>
      <c r="G604" s="181"/>
      <c r="H604" s="181"/>
      <c r="I604" s="181"/>
      <c r="J604" s="181"/>
      <c r="K604" s="181"/>
      <c r="L604" s="181"/>
      <c r="M604" s="181"/>
      <c r="N604" s="181"/>
      <c r="O604" s="181"/>
      <c r="P604" s="181"/>
      <c r="Q604" s="181"/>
      <c r="R604" s="181"/>
      <c r="S604" s="181"/>
      <c r="T604" s="181"/>
      <c r="U604" s="181"/>
      <c r="V604" s="181"/>
      <c r="W604" s="181"/>
      <c r="X604" s="181"/>
      <c r="Y604" s="181"/>
      <c r="Z604" s="181"/>
    </row>
    <row r="605">
      <c r="A605" s="194"/>
      <c r="B605" s="195"/>
      <c r="C605" s="181"/>
      <c r="D605" s="194"/>
      <c r="E605" s="194"/>
      <c r="F605" s="181"/>
      <c r="G605" s="181"/>
      <c r="H605" s="181"/>
      <c r="I605" s="181"/>
      <c r="J605" s="181"/>
      <c r="K605" s="181"/>
      <c r="L605" s="181"/>
      <c r="M605" s="181"/>
      <c r="N605" s="181"/>
      <c r="O605" s="181"/>
      <c r="P605" s="181"/>
      <c r="Q605" s="181"/>
      <c r="R605" s="181"/>
      <c r="S605" s="181"/>
      <c r="T605" s="181"/>
      <c r="U605" s="181"/>
      <c r="V605" s="181"/>
      <c r="W605" s="181"/>
      <c r="X605" s="181"/>
      <c r="Y605" s="181"/>
      <c r="Z605" s="181"/>
    </row>
    <row r="606">
      <c r="A606" s="194"/>
      <c r="B606" s="195"/>
      <c r="C606" s="181"/>
      <c r="D606" s="194"/>
      <c r="E606" s="194"/>
      <c r="F606" s="181"/>
      <c r="G606" s="181"/>
      <c r="H606" s="181"/>
      <c r="I606" s="181"/>
      <c r="J606" s="181"/>
      <c r="K606" s="181"/>
      <c r="L606" s="181"/>
      <c r="M606" s="181"/>
      <c r="N606" s="181"/>
      <c r="O606" s="181"/>
      <c r="P606" s="181"/>
      <c r="Q606" s="181"/>
      <c r="R606" s="181"/>
      <c r="S606" s="181"/>
      <c r="T606" s="181"/>
      <c r="U606" s="181"/>
      <c r="V606" s="181"/>
      <c r="W606" s="181"/>
      <c r="X606" s="181"/>
      <c r="Y606" s="181"/>
      <c r="Z606" s="181"/>
    </row>
    <row r="607">
      <c r="A607" s="194"/>
      <c r="B607" s="195"/>
      <c r="C607" s="181"/>
      <c r="D607" s="194"/>
      <c r="E607" s="194"/>
      <c r="F607" s="181"/>
      <c r="G607" s="181"/>
      <c r="H607" s="181"/>
      <c r="I607" s="181"/>
      <c r="J607" s="181"/>
      <c r="K607" s="181"/>
      <c r="L607" s="181"/>
      <c r="M607" s="181"/>
      <c r="N607" s="181"/>
      <c r="O607" s="181"/>
      <c r="P607" s="181"/>
      <c r="Q607" s="181"/>
      <c r="R607" s="181"/>
      <c r="S607" s="181"/>
      <c r="T607" s="181"/>
      <c r="U607" s="181"/>
      <c r="V607" s="181"/>
      <c r="W607" s="181"/>
      <c r="X607" s="181"/>
      <c r="Y607" s="181"/>
      <c r="Z607" s="181"/>
    </row>
    <row r="608">
      <c r="A608" s="194"/>
      <c r="B608" s="195"/>
      <c r="C608" s="181"/>
      <c r="D608" s="194"/>
      <c r="E608" s="194"/>
      <c r="F608" s="181"/>
      <c r="G608" s="181"/>
      <c r="H608" s="181"/>
      <c r="I608" s="181"/>
      <c r="J608" s="181"/>
      <c r="K608" s="181"/>
      <c r="L608" s="181"/>
      <c r="M608" s="181"/>
      <c r="N608" s="181"/>
      <c r="O608" s="181"/>
      <c r="P608" s="181"/>
      <c r="Q608" s="181"/>
      <c r="R608" s="181"/>
      <c r="S608" s="181"/>
      <c r="T608" s="181"/>
      <c r="U608" s="181"/>
      <c r="V608" s="181"/>
      <c r="W608" s="181"/>
      <c r="X608" s="181"/>
      <c r="Y608" s="181"/>
      <c r="Z608" s="181"/>
    </row>
    <row r="609">
      <c r="A609" s="194"/>
      <c r="B609" s="195"/>
      <c r="C609" s="181"/>
      <c r="D609" s="194"/>
      <c r="E609" s="194"/>
      <c r="F609" s="181"/>
      <c r="G609" s="181"/>
      <c r="H609" s="181"/>
      <c r="I609" s="181"/>
      <c r="J609" s="181"/>
      <c r="K609" s="181"/>
      <c r="L609" s="181"/>
      <c r="M609" s="181"/>
      <c r="N609" s="181"/>
      <c r="O609" s="181"/>
      <c r="P609" s="181"/>
      <c r="Q609" s="181"/>
      <c r="R609" s="181"/>
      <c r="S609" s="181"/>
      <c r="T609" s="181"/>
      <c r="U609" s="181"/>
      <c r="V609" s="181"/>
      <c r="W609" s="181"/>
      <c r="X609" s="181"/>
      <c r="Y609" s="181"/>
      <c r="Z609" s="181"/>
    </row>
    <row r="610">
      <c r="A610" s="194"/>
      <c r="B610" s="195"/>
      <c r="C610" s="181"/>
      <c r="D610" s="194"/>
      <c r="E610" s="194"/>
      <c r="F610" s="181"/>
      <c r="G610" s="181"/>
      <c r="H610" s="181"/>
      <c r="I610" s="181"/>
      <c r="J610" s="181"/>
      <c r="K610" s="181"/>
      <c r="L610" s="181"/>
      <c r="M610" s="181"/>
      <c r="N610" s="181"/>
      <c r="O610" s="181"/>
      <c r="P610" s="181"/>
      <c r="Q610" s="181"/>
      <c r="R610" s="181"/>
      <c r="S610" s="181"/>
      <c r="T610" s="181"/>
      <c r="U610" s="181"/>
      <c r="V610" s="181"/>
      <c r="W610" s="181"/>
      <c r="X610" s="181"/>
      <c r="Y610" s="181"/>
      <c r="Z610" s="181"/>
    </row>
    <row r="611">
      <c r="A611" s="194"/>
      <c r="B611" s="195"/>
      <c r="C611" s="181"/>
      <c r="D611" s="194"/>
      <c r="E611" s="194"/>
      <c r="F611" s="181"/>
      <c r="G611" s="181"/>
      <c r="H611" s="181"/>
      <c r="I611" s="181"/>
      <c r="J611" s="181"/>
      <c r="K611" s="181"/>
      <c r="L611" s="181"/>
      <c r="M611" s="181"/>
      <c r="N611" s="181"/>
      <c r="O611" s="181"/>
      <c r="P611" s="181"/>
      <c r="Q611" s="181"/>
      <c r="R611" s="181"/>
      <c r="S611" s="181"/>
      <c r="T611" s="181"/>
      <c r="U611" s="181"/>
      <c r="V611" s="181"/>
      <c r="W611" s="181"/>
      <c r="X611" s="181"/>
      <c r="Y611" s="181"/>
      <c r="Z611" s="181"/>
    </row>
    <row r="612">
      <c r="A612" s="194"/>
      <c r="B612" s="195"/>
      <c r="C612" s="181"/>
      <c r="D612" s="194"/>
      <c r="E612" s="194"/>
      <c r="F612" s="181"/>
      <c r="G612" s="181"/>
      <c r="H612" s="181"/>
      <c r="I612" s="181"/>
      <c r="J612" s="181"/>
      <c r="K612" s="181"/>
      <c r="L612" s="181"/>
      <c r="M612" s="181"/>
      <c r="N612" s="181"/>
      <c r="O612" s="181"/>
      <c r="P612" s="181"/>
      <c r="Q612" s="181"/>
      <c r="R612" s="181"/>
      <c r="S612" s="181"/>
      <c r="T612" s="181"/>
      <c r="U612" s="181"/>
      <c r="V612" s="181"/>
      <c r="W612" s="181"/>
      <c r="X612" s="181"/>
      <c r="Y612" s="181"/>
      <c r="Z612" s="181"/>
    </row>
    <row r="613">
      <c r="A613" s="194"/>
      <c r="B613" s="195"/>
      <c r="C613" s="181"/>
      <c r="D613" s="194"/>
      <c r="E613" s="194"/>
      <c r="F613" s="181"/>
      <c r="G613" s="181"/>
      <c r="H613" s="181"/>
      <c r="I613" s="181"/>
      <c r="J613" s="181"/>
      <c r="K613" s="181"/>
      <c r="L613" s="181"/>
      <c r="M613" s="181"/>
      <c r="N613" s="181"/>
      <c r="O613" s="181"/>
      <c r="P613" s="181"/>
      <c r="Q613" s="181"/>
      <c r="R613" s="181"/>
      <c r="S613" s="181"/>
      <c r="T613" s="181"/>
      <c r="U613" s="181"/>
      <c r="V613" s="181"/>
      <c r="W613" s="181"/>
      <c r="X613" s="181"/>
      <c r="Y613" s="181"/>
      <c r="Z613" s="181"/>
    </row>
    <row r="614">
      <c r="A614" s="194"/>
      <c r="B614" s="195"/>
      <c r="C614" s="181"/>
      <c r="D614" s="194"/>
      <c r="E614" s="194"/>
      <c r="F614" s="181"/>
      <c r="G614" s="181"/>
      <c r="H614" s="181"/>
      <c r="I614" s="181"/>
      <c r="J614" s="181"/>
      <c r="K614" s="181"/>
      <c r="L614" s="181"/>
      <c r="M614" s="181"/>
      <c r="N614" s="181"/>
      <c r="O614" s="181"/>
      <c r="P614" s="181"/>
      <c r="Q614" s="181"/>
      <c r="R614" s="181"/>
      <c r="S614" s="181"/>
      <c r="T614" s="181"/>
      <c r="U614" s="181"/>
      <c r="V614" s="181"/>
      <c r="W614" s="181"/>
      <c r="X614" s="181"/>
      <c r="Y614" s="181"/>
      <c r="Z614" s="181"/>
    </row>
    <row r="615">
      <c r="A615" s="194"/>
      <c r="B615" s="195"/>
      <c r="C615" s="181"/>
      <c r="D615" s="194"/>
      <c r="E615" s="194"/>
      <c r="F615" s="181"/>
      <c r="G615" s="181"/>
      <c r="H615" s="181"/>
      <c r="I615" s="181"/>
      <c r="J615" s="181"/>
      <c r="K615" s="181"/>
      <c r="L615" s="181"/>
      <c r="M615" s="181"/>
      <c r="N615" s="181"/>
      <c r="O615" s="181"/>
      <c r="P615" s="181"/>
      <c r="Q615" s="181"/>
      <c r="R615" s="181"/>
      <c r="S615" s="181"/>
      <c r="T615" s="181"/>
      <c r="U615" s="181"/>
      <c r="V615" s="181"/>
      <c r="W615" s="181"/>
      <c r="X615" s="181"/>
      <c r="Y615" s="181"/>
      <c r="Z615" s="181"/>
    </row>
    <row r="616">
      <c r="A616" s="194"/>
      <c r="B616" s="195"/>
      <c r="C616" s="181"/>
      <c r="D616" s="194"/>
      <c r="E616" s="194"/>
      <c r="F616" s="181"/>
      <c r="G616" s="181"/>
      <c r="H616" s="181"/>
      <c r="I616" s="181"/>
      <c r="J616" s="181"/>
      <c r="K616" s="181"/>
      <c r="L616" s="181"/>
      <c r="M616" s="181"/>
      <c r="N616" s="181"/>
      <c r="O616" s="181"/>
      <c r="P616" s="181"/>
      <c r="Q616" s="181"/>
      <c r="R616" s="181"/>
      <c r="S616" s="181"/>
      <c r="T616" s="181"/>
      <c r="U616" s="181"/>
      <c r="V616" s="181"/>
      <c r="W616" s="181"/>
      <c r="X616" s="181"/>
      <c r="Y616" s="181"/>
      <c r="Z616" s="181"/>
    </row>
    <row r="617">
      <c r="A617" s="194"/>
      <c r="B617" s="195"/>
      <c r="C617" s="181"/>
      <c r="D617" s="194"/>
      <c r="E617" s="194"/>
      <c r="F617" s="181"/>
      <c r="G617" s="181"/>
      <c r="H617" s="181"/>
      <c r="I617" s="181"/>
      <c r="J617" s="181"/>
      <c r="K617" s="181"/>
      <c r="L617" s="181"/>
      <c r="M617" s="181"/>
      <c r="N617" s="181"/>
      <c r="O617" s="181"/>
      <c r="P617" s="181"/>
      <c r="Q617" s="181"/>
      <c r="R617" s="181"/>
      <c r="S617" s="181"/>
      <c r="T617" s="181"/>
      <c r="U617" s="181"/>
      <c r="V617" s="181"/>
      <c r="W617" s="181"/>
      <c r="X617" s="181"/>
      <c r="Y617" s="181"/>
      <c r="Z617" s="181"/>
    </row>
    <row r="618">
      <c r="A618" s="194"/>
      <c r="B618" s="195"/>
      <c r="C618" s="181"/>
      <c r="D618" s="194"/>
      <c r="E618" s="194"/>
      <c r="F618" s="181"/>
      <c r="G618" s="181"/>
      <c r="H618" s="181"/>
      <c r="I618" s="181"/>
      <c r="J618" s="181"/>
      <c r="K618" s="181"/>
      <c r="L618" s="181"/>
      <c r="M618" s="181"/>
      <c r="N618" s="181"/>
      <c r="O618" s="181"/>
      <c r="P618" s="181"/>
      <c r="Q618" s="181"/>
      <c r="R618" s="181"/>
      <c r="S618" s="181"/>
      <c r="T618" s="181"/>
      <c r="U618" s="181"/>
      <c r="V618" s="181"/>
      <c r="W618" s="181"/>
      <c r="X618" s="181"/>
      <c r="Y618" s="181"/>
      <c r="Z618" s="181"/>
    </row>
    <row r="619">
      <c r="A619" s="194"/>
      <c r="B619" s="195"/>
      <c r="C619" s="181"/>
      <c r="D619" s="194"/>
      <c r="E619" s="194"/>
      <c r="F619" s="181"/>
      <c r="G619" s="181"/>
      <c r="H619" s="181"/>
      <c r="I619" s="181"/>
      <c r="J619" s="181"/>
      <c r="K619" s="181"/>
      <c r="L619" s="181"/>
      <c r="M619" s="181"/>
      <c r="N619" s="181"/>
      <c r="O619" s="181"/>
      <c r="P619" s="181"/>
      <c r="Q619" s="181"/>
      <c r="R619" s="181"/>
      <c r="S619" s="181"/>
      <c r="T619" s="181"/>
      <c r="U619" s="181"/>
      <c r="V619" s="181"/>
      <c r="W619" s="181"/>
      <c r="X619" s="181"/>
      <c r="Y619" s="181"/>
      <c r="Z619" s="181"/>
    </row>
    <row r="620">
      <c r="A620" s="194"/>
      <c r="B620" s="195"/>
      <c r="C620" s="181"/>
      <c r="D620" s="194"/>
      <c r="E620" s="194"/>
      <c r="F620" s="181"/>
      <c r="G620" s="181"/>
      <c r="H620" s="181"/>
      <c r="I620" s="181"/>
      <c r="J620" s="181"/>
      <c r="K620" s="181"/>
      <c r="L620" s="181"/>
      <c r="M620" s="181"/>
      <c r="N620" s="181"/>
      <c r="O620" s="181"/>
      <c r="P620" s="181"/>
      <c r="Q620" s="181"/>
      <c r="R620" s="181"/>
      <c r="S620" s="181"/>
      <c r="T620" s="181"/>
      <c r="U620" s="181"/>
      <c r="V620" s="181"/>
      <c r="W620" s="181"/>
      <c r="X620" s="181"/>
      <c r="Y620" s="181"/>
      <c r="Z620" s="181"/>
    </row>
    <row r="621">
      <c r="A621" s="194"/>
      <c r="B621" s="195"/>
      <c r="C621" s="181"/>
      <c r="D621" s="194"/>
      <c r="E621" s="194"/>
      <c r="F621" s="181"/>
      <c r="G621" s="181"/>
      <c r="H621" s="181"/>
      <c r="I621" s="181"/>
      <c r="J621" s="181"/>
      <c r="K621" s="181"/>
      <c r="L621" s="181"/>
      <c r="M621" s="181"/>
      <c r="N621" s="181"/>
      <c r="O621" s="181"/>
      <c r="P621" s="181"/>
      <c r="Q621" s="181"/>
      <c r="R621" s="181"/>
      <c r="S621" s="181"/>
      <c r="T621" s="181"/>
      <c r="U621" s="181"/>
      <c r="V621" s="181"/>
      <c r="W621" s="181"/>
      <c r="X621" s="181"/>
      <c r="Y621" s="181"/>
      <c r="Z621" s="181"/>
    </row>
    <row r="622">
      <c r="A622" s="194"/>
      <c r="B622" s="195"/>
      <c r="C622" s="181"/>
      <c r="D622" s="194"/>
      <c r="E622" s="194"/>
      <c r="F622" s="181"/>
      <c r="G622" s="181"/>
      <c r="H622" s="181"/>
      <c r="I622" s="181"/>
      <c r="J622" s="181"/>
      <c r="K622" s="181"/>
      <c r="L622" s="181"/>
      <c r="M622" s="181"/>
      <c r="N622" s="181"/>
      <c r="O622" s="181"/>
      <c r="P622" s="181"/>
      <c r="Q622" s="181"/>
      <c r="R622" s="181"/>
      <c r="S622" s="181"/>
      <c r="T622" s="181"/>
      <c r="U622" s="181"/>
      <c r="V622" s="181"/>
      <c r="W622" s="181"/>
      <c r="X622" s="181"/>
      <c r="Y622" s="181"/>
      <c r="Z622" s="181"/>
    </row>
    <row r="623">
      <c r="A623" s="194"/>
      <c r="B623" s="195"/>
      <c r="C623" s="181"/>
      <c r="D623" s="194"/>
      <c r="E623" s="194"/>
      <c r="F623" s="181"/>
      <c r="G623" s="181"/>
      <c r="H623" s="181"/>
      <c r="I623" s="181"/>
      <c r="J623" s="181"/>
      <c r="K623" s="181"/>
      <c r="L623" s="181"/>
      <c r="M623" s="181"/>
      <c r="N623" s="181"/>
      <c r="O623" s="181"/>
      <c r="P623" s="181"/>
      <c r="Q623" s="181"/>
      <c r="R623" s="181"/>
      <c r="S623" s="181"/>
      <c r="T623" s="181"/>
      <c r="U623" s="181"/>
      <c r="V623" s="181"/>
      <c r="W623" s="181"/>
      <c r="X623" s="181"/>
      <c r="Y623" s="181"/>
      <c r="Z623" s="181"/>
    </row>
    <row r="624">
      <c r="A624" s="194"/>
      <c r="B624" s="195"/>
      <c r="C624" s="181"/>
      <c r="D624" s="194"/>
      <c r="E624" s="194"/>
      <c r="F624" s="181"/>
      <c r="G624" s="181"/>
      <c r="H624" s="181"/>
      <c r="I624" s="181"/>
      <c r="J624" s="181"/>
      <c r="K624" s="181"/>
      <c r="L624" s="181"/>
      <c r="M624" s="181"/>
      <c r="N624" s="181"/>
      <c r="O624" s="181"/>
      <c r="P624" s="181"/>
      <c r="Q624" s="181"/>
      <c r="R624" s="181"/>
      <c r="S624" s="181"/>
      <c r="T624" s="181"/>
      <c r="U624" s="181"/>
      <c r="V624" s="181"/>
      <c r="W624" s="181"/>
      <c r="X624" s="181"/>
      <c r="Y624" s="181"/>
      <c r="Z624" s="181"/>
    </row>
    <row r="625">
      <c r="A625" s="194"/>
      <c r="B625" s="195"/>
      <c r="C625" s="181"/>
      <c r="D625" s="194"/>
      <c r="E625" s="194"/>
      <c r="F625" s="181"/>
      <c r="G625" s="181"/>
      <c r="H625" s="181"/>
      <c r="I625" s="181"/>
      <c r="J625" s="181"/>
      <c r="K625" s="181"/>
      <c r="L625" s="181"/>
      <c r="M625" s="181"/>
      <c r="N625" s="181"/>
      <c r="O625" s="181"/>
      <c r="P625" s="181"/>
      <c r="Q625" s="181"/>
      <c r="R625" s="181"/>
      <c r="S625" s="181"/>
      <c r="T625" s="181"/>
      <c r="U625" s="181"/>
      <c r="V625" s="181"/>
      <c r="W625" s="181"/>
      <c r="X625" s="181"/>
      <c r="Y625" s="181"/>
      <c r="Z625" s="181"/>
    </row>
    <row r="626">
      <c r="A626" s="194"/>
      <c r="B626" s="195"/>
      <c r="C626" s="181"/>
      <c r="D626" s="194"/>
      <c r="E626" s="194"/>
      <c r="F626" s="181"/>
      <c r="G626" s="181"/>
      <c r="H626" s="181"/>
      <c r="I626" s="181"/>
      <c r="J626" s="181"/>
      <c r="K626" s="181"/>
      <c r="L626" s="181"/>
      <c r="M626" s="181"/>
      <c r="N626" s="181"/>
      <c r="O626" s="181"/>
      <c r="P626" s="181"/>
      <c r="Q626" s="181"/>
      <c r="R626" s="181"/>
      <c r="S626" s="181"/>
      <c r="T626" s="181"/>
      <c r="U626" s="181"/>
      <c r="V626" s="181"/>
      <c r="W626" s="181"/>
      <c r="X626" s="181"/>
      <c r="Y626" s="181"/>
      <c r="Z626" s="181"/>
    </row>
    <row r="627">
      <c r="A627" s="194"/>
      <c r="B627" s="195"/>
      <c r="C627" s="181"/>
      <c r="D627" s="194"/>
      <c r="E627" s="194"/>
      <c r="F627" s="181"/>
      <c r="G627" s="181"/>
      <c r="H627" s="181"/>
      <c r="I627" s="181"/>
      <c r="J627" s="181"/>
      <c r="K627" s="181"/>
      <c r="L627" s="181"/>
      <c r="M627" s="181"/>
      <c r="N627" s="181"/>
      <c r="O627" s="181"/>
      <c r="P627" s="181"/>
      <c r="Q627" s="181"/>
      <c r="R627" s="181"/>
      <c r="S627" s="181"/>
      <c r="T627" s="181"/>
      <c r="U627" s="181"/>
      <c r="V627" s="181"/>
      <c r="W627" s="181"/>
      <c r="X627" s="181"/>
      <c r="Y627" s="181"/>
      <c r="Z627" s="181"/>
    </row>
    <row r="628">
      <c r="A628" s="194"/>
      <c r="B628" s="195"/>
      <c r="C628" s="181"/>
      <c r="D628" s="194"/>
      <c r="E628" s="194"/>
      <c r="F628" s="181"/>
      <c r="G628" s="181"/>
      <c r="H628" s="181"/>
      <c r="I628" s="181"/>
      <c r="J628" s="181"/>
      <c r="K628" s="181"/>
      <c r="L628" s="181"/>
      <c r="M628" s="181"/>
      <c r="N628" s="181"/>
      <c r="O628" s="181"/>
      <c r="P628" s="181"/>
      <c r="Q628" s="181"/>
      <c r="R628" s="181"/>
      <c r="S628" s="181"/>
      <c r="T628" s="181"/>
      <c r="U628" s="181"/>
      <c r="V628" s="181"/>
      <c r="W628" s="181"/>
      <c r="X628" s="181"/>
      <c r="Y628" s="181"/>
      <c r="Z628" s="181"/>
    </row>
    <row r="629">
      <c r="A629" s="194"/>
      <c r="B629" s="195"/>
      <c r="C629" s="181"/>
      <c r="D629" s="194"/>
      <c r="E629" s="194"/>
      <c r="F629" s="181"/>
      <c r="G629" s="181"/>
      <c r="H629" s="181"/>
      <c r="I629" s="181"/>
      <c r="J629" s="181"/>
      <c r="K629" s="181"/>
      <c r="L629" s="181"/>
      <c r="M629" s="181"/>
      <c r="N629" s="181"/>
      <c r="O629" s="181"/>
      <c r="P629" s="181"/>
      <c r="Q629" s="181"/>
      <c r="R629" s="181"/>
      <c r="S629" s="181"/>
      <c r="T629" s="181"/>
      <c r="U629" s="181"/>
      <c r="V629" s="181"/>
      <c r="W629" s="181"/>
      <c r="X629" s="181"/>
      <c r="Y629" s="181"/>
      <c r="Z629" s="181"/>
    </row>
    <row r="630">
      <c r="A630" s="194"/>
      <c r="B630" s="195"/>
      <c r="C630" s="181"/>
      <c r="D630" s="194"/>
      <c r="E630" s="194"/>
      <c r="F630" s="181"/>
      <c r="G630" s="181"/>
      <c r="H630" s="181"/>
      <c r="I630" s="181"/>
      <c r="J630" s="181"/>
      <c r="K630" s="181"/>
      <c r="L630" s="181"/>
      <c r="M630" s="181"/>
      <c r="N630" s="181"/>
      <c r="O630" s="181"/>
      <c r="P630" s="181"/>
      <c r="Q630" s="181"/>
      <c r="R630" s="181"/>
      <c r="S630" s="181"/>
      <c r="T630" s="181"/>
      <c r="U630" s="181"/>
      <c r="V630" s="181"/>
      <c r="W630" s="181"/>
      <c r="X630" s="181"/>
      <c r="Y630" s="181"/>
      <c r="Z630" s="181"/>
    </row>
    <row r="631">
      <c r="A631" s="194"/>
      <c r="B631" s="195"/>
      <c r="C631" s="181"/>
      <c r="D631" s="194"/>
      <c r="E631" s="194"/>
      <c r="F631" s="181"/>
      <c r="G631" s="181"/>
      <c r="H631" s="181"/>
      <c r="I631" s="181"/>
      <c r="J631" s="181"/>
      <c r="K631" s="181"/>
      <c r="L631" s="181"/>
      <c r="M631" s="181"/>
      <c r="N631" s="181"/>
      <c r="O631" s="181"/>
      <c r="P631" s="181"/>
      <c r="Q631" s="181"/>
      <c r="R631" s="181"/>
      <c r="S631" s="181"/>
      <c r="T631" s="181"/>
      <c r="U631" s="181"/>
      <c r="V631" s="181"/>
      <c r="W631" s="181"/>
      <c r="X631" s="181"/>
      <c r="Y631" s="181"/>
      <c r="Z631" s="181"/>
    </row>
    <row r="632">
      <c r="A632" s="194"/>
      <c r="B632" s="195"/>
      <c r="C632" s="181"/>
      <c r="D632" s="194"/>
      <c r="E632" s="194"/>
      <c r="F632" s="181"/>
      <c r="G632" s="181"/>
      <c r="H632" s="181"/>
      <c r="I632" s="181"/>
      <c r="J632" s="181"/>
      <c r="K632" s="181"/>
      <c r="L632" s="181"/>
      <c r="M632" s="181"/>
      <c r="N632" s="181"/>
      <c r="O632" s="181"/>
      <c r="P632" s="181"/>
      <c r="Q632" s="181"/>
      <c r="R632" s="181"/>
      <c r="S632" s="181"/>
      <c r="T632" s="181"/>
      <c r="U632" s="181"/>
      <c r="V632" s="181"/>
      <c r="W632" s="181"/>
      <c r="X632" s="181"/>
      <c r="Y632" s="181"/>
      <c r="Z632" s="181"/>
    </row>
    <row r="633">
      <c r="A633" s="194"/>
      <c r="B633" s="195"/>
      <c r="C633" s="181"/>
      <c r="D633" s="194"/>
      <c r="E633" s="194"/>
      <c r="F633" s="181"/>
      <c r="G633" s="181"/>
      <c r="H633" s="181"/>
      <c r="I633" s="181"/>
      <c r="J633" s="181"/>
      <c r="K633" s="181"/>
      <c r="L633" s="181"/>
      <c r="M633" s="181"/>
      <c r="N633" s="181"/>
      <c r="O633" s="181"/>
      <c r="P633" s="181"/>
      <c r="Q633" s="181"/>
      <c r="R633" s="181"/>
      <c r="S633" s="181"/>
      <c r="T633" s="181"/>
      <c r="U633" s="181"/>
      <c r="V633" s="181"/>
      <c r="W633" s="181"/>
      <c r="X633" s="181"/>
      <c r="Y633" s="181"/>
      <c r="Z633" s="181"/>
    </row>
    <row r="634">
      <c r="A634" s="194"/>
      <c r="B634" s="195"/>
      <c r="C634" s="181"/>
      <c r="D634" s="194"/>
      <c r="E634" s="194"/>
      <c r="F634" s="181"/>
      <c r="G634" s="181"/>
      <c r="H634" s="181"/>
      <c r="I634" s="181"/>
      <c r="J634" s="181"/>
      <c r="K634" s="181"/>
      <c r="L634" s="181"/>
      <c r="M634" s="181"/>
      <c r="N634" s="181"/>
      <c r="O634" s="181"/>
      <c r="P634" s="181"/>
      <c r="Q634" s="181"/>
      <c r="R634" s="181"/>
      <c r="S634" s="181"/>
      <c r="T634" s="181"/>
      <c r="U634" s="181"/>
      <c r="V634" s="181"/>
      <c r="W634" s="181"/>
      <c r="X634" s="181"/>
      <c r="Y634" s="181"/>
      <c r="Z634" s="181"/>
    </row>
    <row r="635">
      <c r="A635" s="194"/>
      <c r="B635" s="195"/>
      <c r="C635" s="181"/>
      <c r="D635" s="194"/>
      <c r="E635" s="194"/>
      <c r="F635" s="181"/>
      <c r="G635" s="181"/>
      <c r="H635" s="181"/>
      <c r="I635" s="181"/>
      <c r="J635" s="181"/>
      <c r="K635" s="181"/>
      <c r="L635" s="181"/>
      <c r="M635" s="181"/>
      <c r="N635" s="181"/>
      <c r="O635" s="181"/>
      <c r="P635" s="181"/>
      <c r="Q635" s="181"/>
      <c r="R635" s="181"/>
      <c r="S635" s="181"/>
      <c r="T635" s="181"/>
      <c r="U635" s="181"/>
      <c r="V635" s="181"/>
      <c r="W635" s="181"/>
      <c r="X635" s="181"/>
      <c r="Y635" s="181"/>
      <c r="Z635" s="181"/>
    </row>
    <row r="636">
      <c r="A636" s="194"/>
      <c r="B636" s="195"/>
      <c r="C636" s="181"/>
      <c r="D636" s="194"/>
      <c r="E636" s="194"/>
      <c r="F636" s="181"/>
      <c r="G636" s="181"/>
      <c r="H636" s="181"/>
      <c r="I636" s="181"/>
      <c r="J636" s="181"/>
      <c r="K636" s="181"/>
      <c r="L636" s="181"/>
      <c r="M636" s="181"/>
      <c r="N636" s="181"/>
      <c r="O636" s="181"/>
      <c r="P636" s="181"/>
      <c r="Q636" s="181"/>
      <c r="R636" s="181"/>
      <c r="S636" s="181"/>
      <c r="T636" s="181"/>
      <c r="U636" s="181"/>
      <c r="V636" s="181"/>
      <c r="W636" s="181"/>
      <c r="X636" s="181"/>
      <c r="Y636" s="181"/>
      <c r="Z636" s="181"/>
    </row>
    <row r="637">
      <c r="A637" s="194"/>
      <c r="B637" s="195"/>
      <c r="C637" s="181"/>
      <c r="D637" s="194"/>
      <c r="E637" s="194"/>
      <c r="F637" s="181"/>
      <c r="G637" s="181"/>
      <c r="H637" s="181"/>
      <c r="I637" s="181"/>
      <c r="J637" s="181"/>
      <c r="K637" s="181"/>
      <c r="L637" s="181"/>
      <c r="M637" s="181"/>
      <c r="N637" s="181"/>
      <c r="O637" s="181"/>
      <c r="P637" s="181"/>
      <c r="Q637" s="181"/>
      <c r="R637" s="181"/>
      <c r="S637" s="181"/>
      <c r="T637" s="181"/>
      <c r="U637" s="181"/>
      <c r="V637" s="181"/>
      <c r="W637" s="181"/>
      <c r="X637" s="181"/>
      <c r="Y637" s="181"/>
      <c r="Z637" s="181"/>
    </row>
    <row r="638">
      <c r="A638" s="194"/>
      <c r="B638" s="195"/>
      <c r="C638" s="181"/>
      <c r="D638" s="194"/>
      <c r="E638" s="194"/>
      <c r="F638" s="181"/>
      <c r="G638" s="181"/>
      <c r="H638" s="181"/>
      <c r="I638" s="181"/>
      <c r="J638" s="181"/>
      <c r="K638" s="181"/>
      <c r="L638" s="181"/>
      <c r="M638" s="181"/>
      <c r="N638" s="181"/>
      <c r="O638" s="181"/>
      <c r="P638" s="181"/>
      <c r="Q638" s="181"/>
      <c r="R638" s="181"/>
      <c r="S638" s="181"/>
      <c r="T638" s="181"/>
      <c r="U638" s="181"/>
      <c r="V638" s="181"/>
      <c r="W638" s="181"/>
      <c r="X638" s="181"/>
      <c r="Y638" s="181"/>
      <c r="Z638" s="181"/>
    </row>
    <row r="639">
      <c r="A639" s="194"/>
      <c r="B639" s="195"/>
      <c r="C639" s="181"/>
      <c r="D639" s="194"/>
      <c r="E639" s="194"/>
      <c r="F639" s="181"/>
      <c r="G639" s="181"/>
      <c r="H639" s="181"/>
      <c r="I639" s="181"/>
      <c r="J639" s="181"/>
      <c r="K639" s="181"/>
      <c r="L639" s="181"/>
      <c r="M639" s="181"/>
      <c r="N639" s="181"/>
      <c r="O639" s="181"/>
      <c r="P639" s="181"/>
      <c r="Q639" s="181"/>
      <c r="R639" s="181"/>
      <c r="S639" s="181"/>
      <c r="T639" s="181"/>
      <c r="U639" s="181"/>
      <c r="V639" s="181"/>
      <c r="W639" s="181"/>
      <c r="X639" s="181"/>
      <c r="Y639" s="181"/>
      <c r="Z639" s="181"/>
    </row>
    <row r="640">
      <c r="A640" s="194"/>
      <c r="B640" s="195"/>
      <c r="C640" s="181"/>
      <c r="D640" s="194"/>
      <c r="E640" s="194"/>
      <c r="F640" s="181"/>
      <c r="G640" s="181"/>
      <c r="H640" s="181"/>
      <c r="I640" s="181"/>
      <c r="J640" s="181"/>
      <c r="K640" s="181"/>
      <c r="L640" s="181"/>
      <c r="M640" s="181"/>
      <c r="N640" s="181"/>
      <c r="O640" s="181"/>
      <c r="P640" s="181"/>
      <c r="Q640" s="181"/>
      <c r="R640" s="181"/>
      <c r="S640" s="181"/>
      <c r="T640" s="181"/>
      <c r="U640" s="181"/>
      <c r="V640" s="181"/>
      <c r="W640" s="181"/>
      <c r="X640" s="181"/>
      <c r="Y640" s="181"/>
      <c r="Z640" s="181"/>
    </row>
    <row r="641">
      <c r="A641" s="194"/>
      <c r="B641" s="195"/>
      <c r="C641" s="181"/>
      <c r="D641" s="194"/>
      <c r="E641" s="194"/>
      <c r="F641" s="181"/>
      <c r="G641" s="181"/>
      <c r="H641" s="181"/>
      <c r="I641" s="181"/>
      <c r="J641" s="181"/>
      <c r="K641" s="181"/>
      <c r="L641" s="181"/>
      <c r="M641" s="181"/>
      <c r="N641" s="181"/>
      <c r="O641" s="181"/>
      <c r="P641" s="181"/>
      <c r="Q641" s="181"/>
      <c r="R641" s="181"/>
      <c r="S641" s="181"/>
      <c r="T641" s="181"/>
      <c r="U641" s="181"/>
      <c r="V641" s="181"/>
      <c r="W641" s="181"/>
      <c r="X641" s="181"/>
      <c r="Y641" s="181"/>
      <c r="Z641" s="181"/>
    </row>
    <row r="642">
      <c r="A642" s="194"/>
      <c r="B642" s="195"/>
      <c r="C642" s="181"/>
      <c r="D642" s="194"/>
      <c r="E642" s="194"/>
      <c r="F642" s="181"/>
      <c r="G642" s="181"/>
      <c r="H642" s="181"/>
      <c r="I642" s="181"/>
      <c r="J642" s="181"/>
      <c r="K642" s="181"/>
      <c r="L642" s="181"/>
      <c r="M642" s="181"/>
      <c r="N642" s="181"/>
      <c r="O642" s="181"/>
      <c r="P642" s="181"/>
      <c r="Q642" s="181"/>
      <c r="R642" s="181"/>
      <c r="S642" s="181"/>
      <c r="T642" s="181"/>
      <c r="U642" s="181"/>
      <c r="V642" s="181"/>
      <c r="W642" s="181"/>
      <c r="X642" s="181"/>
      <c r="Y642" s="181"/>
      <c r="Z642" s="181"/>
    </row>
    <row r="643">
      <c r="A643" s="194"/>
      <c r="B643" s="195"/>
      <c r="C643" s="181"/>
      <c r="D643" s="194"/>
      <c r="E643" s="194"/>
      <c r="F643" s="181"/>
      <c r="G643" s="181"/>
      <c r="H643" s="181"/>
      <c r="I643" s="181"/>
      <c r="J643" s="181"/>
      <c r="K643" s="181"/>
      <c r="L643" s="181"/>
      <c r="M643" s="181"/>
      <c r="N643" s="181"/>
      <c r="O643" s="181"/>
      <c r="P643" s="181"/>
      <c r="Q643" s="181"/>
      <c r="R643" s="181"/>
      <c r="S643" s="181"/>
      <c r="T643" s="181"/>
      <c r="U643" s="181"/>
      <c r="V643" s="181"/>
      <c r="W643" s="181"/>
      <c r="X643" s="181"/>
      <c r="Y643" s="181"/>
      <c r="Z643" s="181"/>
    </row>
    <row r="644">
      <c r="A644" s="194"/>
      <c r="B644" s="195"/>
      <c r="C644" s="181"/>
      <c r="D644" s="194"/>
      <c r="E644" s="194"/>
      <c r="F644" s="181"/>
      <c r="G644" s="181"/>
      <c r="H644" s="181"/>
      <c r="I644" s="181"/>
      <c r="J644" s="181"/>
      <c r="K644" s="181"/>
      <c r="L644" s="181"/>
      <c r="M644" s="181"/>
      <c r="N644" s="181"/>
      <c r="O644" s="181"/>
      <c r="P644" s="181"/>
      <c r="Q644" s="181"/>
      <c r="R644" s="181"/>
      <c r="S644" s="181"/>
      <c r="T644" s="181"/>
      <c r="U644" s="181"/>
      <c r="V644" s="181"/>
      <c r="W644" s="181"/>
      <c r="X644" s="181"/>
      <c r="Y644" s="181"/>
      <c r="Z644" s="181"/>
    </row>
    <row r="645">
      <c r="A645" s="194"/>
      <c r="B645" s="195"/>
      <c r="C645" s="181"/>
      <c r="D645" s="194"/>
      <c r="E645" s="194"/>
      <c r="F645" s="181"/>
      <c r="G645" s="181"/>
      <c r="H645" s="181"/>
      <c r="I645" s="181"/>
      <c r="J645" s="181"/>
      <c r="K645" s="181"/>
      <c r="L645" s="181"/>
      <c r="M645" s="181"/>
      <c r="N645" s="181"/>
      <c r="O645" s="181"/>
      <c r="P645" s="181"/>
      <c r="Q645" s="181"/>
      <c r="R645" s="181"/>
      <c r="S645" s="181"/>
      <c r="T645" s="181"/>
      <c r="U645" s="181"/>
      <c r="V645" s="181"/>
      <c r="W645" s="181"/>
      <c r="X645" s="181"/>
      <c r="Y645" s="181"/>
      <c r="Z645" s="181"/>
    </row>
    <row r="646">
      <c r="A646" s="194"/>
      <c r="B646" s="195"/>
      <c r="C646" s="181"/>
      <c r="D646" s="194"/>
      <c r="E646" s="194"/>
      <c r="F646" s="181"/>
      <c r="G646" s="181"/>
      <c r="H646" s="181"/>
      <c r="I646" s="181"/>
      <c r="J646" s="181"/>
      <c r="K646" s="181"/>
      <c r="L646" s="181"/>
      <c r="M646" s="181"/>
      <c r="N646" s="181"/>
      <c r="O646" s="181"/>
      <c r="P646" s="181"/>
      <c r="Q646" s="181"/>
      <c r="R646" s="181"/>
      <c r="S646" s="181"/>
      <c r="T646" s="181"/>
      <c r="U646" s="181"/>
      <c r="V646" s="181"/>
      <c r="W646" s="181"/>
      <c r="X646" s="181"/>
      <c r="Y646" s="181"/>
      <c r="Z646" s="181"/>
    </row>
    <row r="647">
      <c r="A647" s="194"/>
      <c r="B647" s="195"/>
      <c r="C647" s="181"/>
      <c r="D647" s="194"/>
      <c r="E647" s="194"/>
      <c r="F647" s="181"/>
      <c r="G647" s="181"/>
      <c r="H647" s="181"/>
      <c r="I647" s="181"/>
      <c r="J647" s="181"/>
      <c r="K647" s="181"/>
      <c r="L647" s="181"/>
      <c r="M647" s="181"/>
      <c r="N647" s="181"/>
      <c r="O647" s="181"/>
      <c r="P647" s="181"/>
      <c r="Q647" s="181"/>
      <c r="R647" s="181"/>
      <c r="S647" s="181"/>
      <c r="T647" s="181"/>
      <c r="U647" s="181"/>
      <c r="V647" s="181"/>
      <c r="W647" s="181"/>
      <c r="X647" s="181"/>
      <c r="Y647" s="181"/>
      <c r="Z647" s="181"/>
    </row>
    <row r="648">
      <c r="A648" s="194"/>
      <c r="B648" s="195"/>
      <c r="C648" s="181"/>
      <c r="D648" s="194"/>
      <c r="E648" s="194"/>
      <c r="F648" s="181"/>
      <c r="G648" s="181"/>
      <c r="H648" s="181"/>
      <c r="I648" s="181"/>
      <c r="J648" s="181"/>
      <c r="K648" s="181"/>
      <c r="L648" s="181"/>
      <c r="M648" s="181"/>
      <c r="N648" s="181"/>
      <c r="O648" s="181"/>
      <c r="P648" s="181"/>
      <c r="Q648" s="181"/>
      <c r="R648" s="181"/>
      <c r="S648" s="181"/>
      <c r="T648" s="181"/>
      <c r="U648" s="181"/>
      <c r="V648" s="181"/>
      <c r="W648" s="181"/>
      <c r="X648" s="181"/>
      <c r="Y648" s="181"/>
      <c r="Z648" s="181"/>
    </row>
    <row r="649">
      <c r="A649" s="194"/>
      <c r="B649" s="195"/>
      <c r="C649" s="181"/>
      <c r="D649" s="194"/>
      <c r="E649" s="194"/>
      <c r="F649" s="181"/>
      <c r="G649" s="181"/>
      <c r="H649" s="181"/>
      <c r="I649" s="181"/>
      <c r="J649" s="181"/>
      <c r="K649" s="181"/>
      <c r="L649" s="181"/>
      <c r="M649" s="181"/>
      <c r="N649" s="181"/>
      <c r="O649" s="181"/>
      <c r="P649" s="181"/>
      <c r="Q649" s="181"/>
      <c r="R649" s="181"/>
      <c r="S649" s="181"/>
      <c r="T649" s="181"/>
      <c r="U649" s="181"/>
      <c r="V649" s="181"/>
      <c r="W649" s="181"/>
      <c r="X649" s="181"/>
      <c r="Y649" s="181"/>
      <c r="Z649" s="181"/>
    </row>
    <row r="650">
      <c r="A650" s="194"/>
      <c r="B650" s="195"/>
      <c r="C650" s="181"/>
      <c r="D650" s="194"/>
      <c r="E650" s="194"/>
      <c r="F650" s="181"/>
      <c r="G650" s="181"/>
      <c r="H650" s="181"/>
      <c r="I650" s="181"/>
      <c r="J650" s="181"/>
      <c r="K650" s="181"/>
      <c r="L650" s="181"/>
      <c r="M650" s="181"/>
      <c r="N650" s="181"/>
      <c r="O650" s="181"/>
      <c r="P650" s="181"/>
      <c r="Q650" s="181"/>
      <c r="R650" s="181"/>
      <c r="S650" s="181"/>
      <c r="T650" s="181"/>
      <c r="U650" s="181"/>
      <c r="V650" s="181"/>
      <c r="W650" s="181"/>
      <c r="X650" s="181"/>
      <c r="Y650" s="181"/>
      <c r="Z650" s="181"/>
    </row>
    <row r="651">
      <c r="A651" s="194"/>
      <c r="B651" s="195"/>
      <c r="C651" s="181"/>
      <c r="D651" s="194"/>
      <c r="E651" s="194"/>
      <c r="F651" s="181"/>
      <c r="G651" s="181"/>
      <c r="H651" s="181"/>
      <c r="I651" s="181"/>
      <c r="J651" s="181"/>
      <c r="K651" s="181"/>
      <c r="L651" s="181"/>
      <c r="M651" s="181"/>
      <c r="N651" s="181"/>
      <c r="O651" s="181"/>
      <c r="P651" s="181"/>
      <c r="Q651" s="181"/>
      <c r="R651" s="181"/>
      <c r="S651" s="181"/>
      <c r="T651" s="181"/>
      <c r="U651" s="181"/>
      <c r="V651" s="181"/>
      <c r="W651" s="181"/>
      <c r="X651" s="181"/>
      <c r="Y651" s="181"/>
      <c r="Z651" s="181"/>
    </row>
    <row r="652">
      <c r="A652" s="194"/>
      <c r="B652" s="195"/>
      <c r="C652" s="181"/>
      <c r="D652" s="194"/>
      <c r="E652" s="194"/>
      <c r="F652" s="181"/>
      <c r="G652" s="181"/>
      <c r="H652" s="181"/>
      <c r="I652" s="181"/>
      <c r="J652" s="181"/>
      <c r="K652" s="181"/>
      <c r="L652" s="181"/>
      <c r="M652" s="181"/>
      <c r="N652" s="181"/>
      <c r="O652" s="181"/>
      <c r="P652" s="181"/>
      <c r="Q652" s="181"/>
      <c r="R652" s="181"/>
      <c r="S652" s="181"/>
      <c r="T652" s="181"/>
      <c r="U652" s="181"/>
      <c r="V652" s="181"/>
      <c r="W652" s="181"/>
      <c r="X652" s="181"/>
      <c r="Y652" s="181"/>
      <c r="Z652" s="181"/>
    </row>
    <row r="653">
      <c r="A653" s="194"/>
      <c r="B653" s="195"/>
      <c r="C653" s="181"/>
      <c r="D653" s="194"/>
      <c r="E653" s="194"/>
      <c r="F653" s="181"/>
      <c r="G653" s="181"/>
      <c r="H653" s="181"/>
      <c r="I653" s="181"/>
      <c r="J653" s="181"/>
      <c r="K653" s="181"/>
      <c r="L653" s="181"/>
      <c r="M653" s="181"/>
      <c r="N653" s="181"/>
      <c r="O653" s="181"/>
      <c r="P653" s="181"/>
      <c r="Q653" s="181"/>
      <c r="R653" s="181"/>
      <c r="S653" s="181"/>
      <c r="T653" s="181"/>
      <c r="U653" s="181"/>
      <c r="V653" s="181"/>
      <c r="W653" s="181"/>
      <c r="X653" s="181"/>
      <c r="Y653" s="181"/>
      <c r="Z653" s="181"/>
    </row>
    <row r="654">
      <c r="A654" s="194"/>
      <c r="B654" s="195"/>
      <c r="C654" s="181"/>
      <c r="D654" s="194"/>
      <c r="E654" s="194"/>
      <c r="F654" s="181"/>
      <c r="G654" s="181"/>
      <c r="H654" s="181"/>
      <c r="I654" s="181"/>
      <c r="J654" s="181"/>
      <c r="K654" s="181"/>
      <c r="L654" s="181"/>
      <c r="M654" s="181"/>
      <c r="N654" s="181"/>
      <c r="O654" s="181"/>
      <c r="P654" s="181"/>
      <c r="Q654" s="181"/>
      <c r="R654" s="181"/>
      <c r="S654" s="181"/>
      <c r="T654" s="181"/>
      <c r="U654" s="181"/>
      <c r="V654" s="181"/>
      <c r="W654" s="181"/>
      <c r="X654" s="181"/>
      <c r="Y654" s="181"/>
      <c r="Z654" s="181"/>
    </row>
    <row r="655">
      <c r="A655" s="194"/>
      <c r="B655" s="195"/>
      <c r="C655" s="181"/>
      <c r="D655" s="194"/>
      <c r="E655" s="194"/>
      <c r="F655" s="181"/>
      <c r="G655" s="181"/>
      <c r="H655" s="181"/>
      <c r="I655" s="181"/>
      <c r="J655" s="181"/>
      <c r="K655" s="181"/>
      <c r="L655" s="181"/>
      <c r="M655" s="181"/>
      <c r="N655" s="181"/>
      <c r="O655" s="181"/>
      <c r="P655" s="181"/>
      <c r="Q655" s="181"/>
      <c r="R655" s="181"/>
      <c r="S655" s="181"/>
      <c r="T655" s="181"/>
      <c r="U655" s="181"/>
      <c r="V655" s="181"/>
      <c r="W655" s="181"/>
      <c r="X655" s="181"/>
      <c r="Y655" s="181"/>
      <c r="Z655" s="181"/>
    </row>
    <row r="656">
      <c r="A656" s="194"/>
      <c r="B656" s="195"/>
      <c r="C656" s="181"/>
      <c r="D656" s="194"/>
      <c r="E656" s="194"/>
      <c r="F656" s="181"/>
      <c r="G656" s="181"/>
      <c r="H656" s="181"/>
      <c r="I656" s="181"/>
      <c r="J656" s="181"/>
      <c r="K656" s="181"/>
      <c r="L656" s="181"/>
      <c r="M656" s="181"/>
      <c r="N656" s="181"/>
      <c r="O656" s="181"/>
      <c r="P656" s="181"/>
      <c r="Q656" s="181"/>
      <c r="R656" s="181"/>
      <c r="S656" s="181"/>
      <c r="T656" s="181"/>
      <c r="U656" s="181"/>
      <c r="V656" s="181"/>
      <c r="W656" s="181"/>
      <c r="X656" s="181"/>
      <c r="Y656" s="181"/>
      <c r="Z656" s="181"/>
    </row>
    <row r="657">
      <c r="A657" s="194"/>
      <c r="B657" s="195"/>
      <c r="C657" s="181"/>
      <c r="D657" s="194"/>
      <c r="E657" s="194"/>
      <c r="F657" s="181"/>
      <c r="G657" s="181"/>
      <c r="H657" s="181"/>
      <c r="I657" s="181"/>
      <c r="J657" s="181"/>
      <c r="K657" s="181"/>
      <c r="L657" s="181"/>
      <c r="M657" s="181"/>
      <c r="N657" s="181"/>
      <c r="O657" s="181"/>
      <c r="P657" s="181"/>
      <c r="Q657" s="181"/>
      <c r="R657" s="181"/>
      <c r="S657" s="181"/>
      <c r="T657" s="181"/>
      <c r="U657" s="181"/>
      <c r="V657" s="181"/>
      <c r="W657" s="181"/>
      <c r="X657" s="181"/>
      <c r="Y657" s="181"/>
      <c r="Z657" s="181"/>
    </row>
    <row r="658">
      <c r="A658" s="194"/>
      <c r="B658" s="195"/>
      <c r="C658" s="181"/>
      <c r="D658" s="194"/>
      <c r="E658" s="194"/>
      <c r="F658" s="181"/>
      <c r="G658" s="181"/>
      <c r="H658" s="181"/>
      <c r="I658" s="181"/>
      <c r="J658" s="181"/>
      <c r="K658" s="181"/>
      <c r="L658" s="181"/>
      <c r="M658" s="181"/>
      <c r="N658" s="181"/>
      <c r="O658" s="181"/>
      <c r="P658" s="181"/>
      <c r="Q658" s="181"/>
      <c r="R658" s="181"/>
      <c r="S658" s="181"/>
      <c r="T658" s="181"/>
      <c r="U658" s="181"/>
      <c r="V658" s="181"/>
      <c r="W658" s="181"/>
      <c r="X658" s="181"/>
      <c r="Y658" s="181"/>
      <c r="Z658" s="181"/>
    </row>
    <row r="659">
      <c r="A659" s="194"/>
      <c r="B659" s="195"/>
      <c r="C659" s="181"/>
      <c r="D659" s="194"/>
      <c r="E659" s="194"/>
      <c r="F659" s="181"/>
      <c r="G659" s="181"/>
      <c r="H659" s="181"/>
      <c r="I659" s="181"/>
      <c r="J659" s="181"/>
      <c r="K659" s="181"/>
      <c r="L659" s="181"/>
      <c r="M659" s="181"/>
      <c r="N659" s="181"/>
      <c r="O659" s="181"/>
      <c r="P659" s="181"/>
      <c r="Q659" s="181"/>
      <c r="R659" s="181"/>
      <c r="S659" s="181"/>
      <c r="T659" s="181"/>
      <c r="U659" s="181"/>
      <c r="V659" s="181"/>
      <c r="W659" s="181"/>
      <c r="X659" s="181"/>
      <c r="Y659" s="181"/>
      <c r="Z659" s="181"/>
    </row>
    <row r="660">
      <c r="A660" s="194"/>
      <c r="B660" s="195"/>
      <c r="C660" s="181"/>
      <c r="D660" s="194"/>
      <c r="E660" s="194"/>
      <c r="F660" s="181"/>
      <c r="G660" s="181"/>
      <c r="H660" s="181"/>
      <c r="I660" s="181"/>
      <c r="J660" s="181"/>
      <c r="K660" s="181"/>
      <c r="L660" s="181"/>
      <c r="M660" s="181"/>
      <c r="N660" s="181"/>
      <c r="O660" s="181"/>
      <c r="P660" s="181"/>
      <c r="Q660" s="181"/>
      <c r="R660" s="181"/>
      <c r="S660" s="181"/>
      <c r="T660" s="181"/>
      <c r="U660" s="181"/>
      <c r="V660" s="181"/>
      <c r="W660" s="181"/>
      <c r="X660" s="181"/>
      <c r="Y660" s="181"/>
      <c r="Z660" s="181"/>
    </row>
    <row r="661">
      <c r="A661" s="194"/>
      <c r="B661" s="195"/>
      <c r="C661" s="181"/>
      <c r="D661" s="194"/>
      <c r="E661" s="194"/>
      <c r="F661" s="181"/>
      <c r="G661" s="181"/>
      <c r="H661" s="181"/>
      <c r="I661" s="181"/>
      <c r="J661" s="181"/>
      <c r="K661" s="181"/>
      <c r="L661" s="181"/>
      <c r="M661" s="181"/>
      <c r="N661" s="181"/>
      <c r="O661" s="181"/>
      <c r="P661" s="181"/>
      <c r="Q661" s="181"/>
      <c r="R661" s="181"/>
      <c r="S661" s="181"/>
      <c r="T661" s="181"/>
      <c r="U661" s="181"/>
      <c r="V661" s="181"/>
      <c r="W661" s="181"/>
      <c r="X661" s="181"/>
      <c r="Y661" s="181"/>
      <c r="Z661" s="181"/>
    </row>
    <row r="662">
      <c r="A662" s="194"/>
      <c r="B662" s="195"/>
      <c r="C662" s="181"/>
      <c r="D662" s="194"/>
      <c r="E662" s="194"/>
      <c r="F662" s="181"/>
      <c r="G662" s="181"/>
      <c r="H662" s="181"/>
      <c r="I662" s="181"/>
      <c r="J662" s="181"/>
      <c r="K662" s="181"/>
      <c r="L662" s="181"/>
      <c r="M662" s="181"/>
      <c r="N662" s="181"/>
      <c r="O662" s="181"/>
      <c r="P662" s="181"/>
      <c r="Q662" s="181"/>
      <c r="R662" s="181"/>
      <c r="S662" s="181"/>
      <c r="T662" s="181"/>
      <c r="U662" s="181"/>
      <c r="V662" s="181"/>
      <c r="W662" s="181"/>
      <c r="X662" s="181"/>
      <c r="Y662" s="181"/>
      <c r="Z662" s="181"/>
    </row>
    <row r="663">
      <c r="A663" s="194"/>
      <c r="B663" s="195"/>
      <c r="C663" s="181"/>
      <c r="D663" s="194"/>
      <c r="E663" s="194"/>
      <c r="F663" s="181"/>
      <c r="G663" s="181"/>
      <c r="H663" s="181"/>
      <c r="I663" s="181"/>
      <c r="J663" s="181"/>
      <c r="K663" s="181"/>
      <c r="L663" s="181"/>
      <c r="M663" s="181"/>
      <c r="N663" s="181"/>
      <c r="O663" s="181"/>
      <c r="P663" s="181"/>
      <c r="Q663" s="181"/>
      <c r="R663" s="181"/>
      <c r="S663" s="181"/>
      <c r="T663" s="181"/>
      <c r="U663" s="181"/>
      <c r="V663" s="181"/>
      <c r="W663" s="181"/>
      <c r="X663" s="181"/>
      <c r="Y663" s="181"/>
      <c r="Z663" s="181"/>
    </row>
    <row r="664">
      <c r="A664" s="194"/>
      <c r="B664" s="195"/>
      <c r="C664" s="181"/>
      <c r="D664" s="194"/>
      <c r="E664" s="194"/>
      <c r="F664" s="181"/>
      <c r="G664" s="181"/>
      <c r="H664" s="181"/>
      <c r="I664" s="181"/>
      <c r="J664" s="181"/>
      <c r="K664" s="181"/>
      <c r="L664" s="181"/>
      <c r="M664" s="181"/>
      <c r="N664" s="181"/>
      <c r="O664" s="181"/>
      <c r="P664" s="181"/>
      <c r="Q664" s="181"/>
      <c r="R664" s="181"/>
      <c r="S664" s="181"/>
      <c r="T664" s="181"/>
      <c r="U664" s="181"/>
      <c r="V664" s="181"/>
      <c r="W664" s="181"/>
      <c r="X664" s="181"/>
      <c r="Y664" s="181"/>
      <c r="Z664" s="181"/>
    </row>
    <row r="665">
      <c r="A665" s="194"/>
      <c r="B665" s="195"/>
      <c r="C665" s="181"/>
      <c r="D665" s="194"/>
      <c r="E665" s="194"/>
      <c r="F665" s="181"/>
      <c r="G665" s="181"/>
      <c r="H665" s="181"/>
      <c r="I665" s="181"/>
      <c r="J665" s="181"/>
      <c r="K665" s="181"/>
      <c r="L665" s="181"/>
      <c r="M665" s="181"/>
      <c r="N665" s="181"/>
      <c r="O665" s="181"/>
      <c r="P665" s="181"/>
      <c r="Q665" s="181"/>
      <c r="R665" s="181"/>
      <c r="S665" s="181"/>
      <c r="T665" s="181"/>
      <c r="U665" s="181"/>
      <c r="V665" s="181"/>
      <c r="W665" s="181"/>
      <c r="X665" s="181"/>
      <c r="Y665" s="181"/>
      <c r="Z665" s="181"/>
    </row>
    <row r="666">
      <c r="A666" s="194"/>
      <c r="B666" s="195"/>
      <c r="C666" s="181"/>
      <c r="D666" s="194"/>
      <c r="E666" s="194"/>
      <c r="F666" s="181"/>
      <c r="G666" s="181"/>
      <c r="H666" s="181"/>
      <c r="I666" s="181"/>
      <c r="J666" s="181"/>
      <c r="K666" s="181"/>
      <c r="L666" s="181"/>
      <c r="M666" s="181"/>
      <c r="N666" s="181"/>
      <c r="O666" s="181"/>
      <c r="P666" s="181"/>
      <c r="Q666" s="181"/>
      <c r="R666" s="181"/>
      <c r="S666" s="181"/>
      <c r="T666" s="181"/>
      <c r="U666" s="181"/>
      <c r="V666" s="181"/>
      <c r="W666" s="181"/>
      <c r="X666" s="181"/>
      <c r="Y666" s="181"/>
      <c r="Z666" s="181"/>
    </row>
    <row r="667">
      <c r="A667" s="194"/>
      <c r="B667" s="195"/>
      <c r="C667" s="181"/>
      <c r="D667" s="194"/>
      <c r="E667" s="194"/>
      <c r="F667" s="181"/>
      <c r="G667" s="181"/>
      <c r="H667" s="181"/>
      <c r="I667" s="181"/>
      <c r="J667" s="181"/>
      <c r="K667" s="181"/>
      <c r="L667" s="181"/>
      <c r="M667" s="181"/>
      <c r="N667" s="181"/>
      <c r="O667" s="181"/>
      <c r="P667" s="181"/>
      <c r="Q667" s="181"/>
      <c r="R667" s="181"/>
      <c r="S667" s="181"/>
      <c r="T667" s="181"/>
      <c r="U667" s="181"/>
      <c r="V667" s="181"/>
      <c r="W667" s="181"/>
      <c r="X667" s="181"/>
      <c r="Y667" s="181"/>
      <c r="Z667" s="181"/>
    </row>
    <row r="668">
      <c r="A668" s="194"/>
      <c r="B668" s="195"/>
      <c r="C668" s="181"/>
      <c r="D668" s="194"/>
      <c r="E668" s="194"/>
      <c r="F668" s="181"/>
      <c r="G668" s="181"/>
      <c r="H668" s="181"/>
      <c r="I668" s="181"/>
      <c r="J668" s="181"/>
      <c r="K668" s="181"/>
      <c r="L668" s="181"/>
      <c r="M668" s="181"/>
      <c r="N668" s="181"/>
      <c r="O668" s="181"/>
      <c r="P668" s="181"/>
      <c r="Q668" s="181"/>
      <c r="R668" s="181"/>
      <c r="S668" s="181"/>
      <c r="T668" s="181"/>
      <c r="U668" s="181"/>
      <c r="V668" s="181"/>
      <c r="W668" s="181"/>
      <c r="X668" s="181"/>
      <c r="Y668" s="181"/>
      <c r="Z668" s="181"/>
    </row>
    <row r="669">
      <c r="A669" s="194"/>
      <c r="B669" s="195"/>
      <c r="C669" s="181"/>
      <c r="D669" s="194"/>
      <c r="E669" s="194"/>
      <c r="F669" s="181"/>
      <c r="G669" s="181"/>
      <c r="H669" s="181"/>
      <c r="I669" s="181"/>
      <c r="J669" s="181"/>
      <c r="K669" s="181"/>
      <c r="L669" s="181"/>
      <c r="M669" s="181"/>
      <c r="N669" s="181"/>
      <c r="O669" s="181"/>
      <c r="P669" s="181"/>
      <c r="Q669" s="181"/>
      <c r="R669" s="181"/>
      <c r="S669" s="181"/>
      <c r="T669" s="181"/>
      <c r="U669" s="181"/>
      <c r="V669" s="181"/>
      <c r="W669" s="181"/>
      <c r="X669" s="181"/>
      <c r="Y669" s="181"/>
      <c r="Z669" s="181"/>
    </row>
    <row r="670">
      <c r="A670" s="194"/>
      <c r="B670" s="195"/>
      <c r="C670" s="181"/>
      <c r="D670" s="194"/>
      <c r="E670" s="194"/>
      <c r="F670" s="181"/>
      <c r="G670" s="181"/>
      <c r="H670" s="181"/>
      <c r="I670" s="181"/>
      <c r="J670" s="181"/>
      <c r="K670" s="181"/>
      <c r="L670" s="181"/>
      <c r="M670" s="181"/>
      <c r="N670" s="181"/>
      <c r="O670" s="181"/>
      <c r="P670" s="181"/>
      <c r="Q670" s="181"/>
      <c r="R670" s="181"/>
      <c r="S670" s="181"/>
      <c r="T670" s="181"/>
      <c r="U670" s="181"/>
      <c r="V670" s="181"/>
      <c r="W670" s="181"/>
      <c r="X670" s="181"/>
      <c r="Y670" s="181"/>
      <c r="Z670" s="181"/>
    </row>
    <row r="671">
      <c r="A671" s="194"/>
      <c r="B671" s="195"/>
      <c r="C671" s="181"/>
      <c r="D671" s="194"/>
      <c r="E671" s="194"/>
      <c r="F671" s="181"/>
      <c r="G671" s="181"/>
      <c r="H671" s="181"/>
      <c r="I671" s="181"/>
      <c r="J671" s="181"/>
      <c r="K671" s="181"/>
      <c r="L671" s="181"/>
      <c r="M671" s="181"/>
      <c r="N671" s="181"/>
      <c r="O671" s="181"/>
      <c r="P671" s="181"/>
      <c r="Q671" s="181"/>
      <c r="R671" s="181"/>
      <c r="S671" s="181"/>
      <c r="T671" s="181"/>
      <c r="U671" s="181"/>
      <c r="V671" s="181"/>
      <c r="W671" s="181"/>
      <c r="X671" s="181"/>
      <c r="Y671" s="181"/>
      <c r="Z671" s="181"/>
    </row>
    <row r="672">
      <c r="A672" s="194"/>
      <c r="B672" s="195"/>
      <c r="C672" s="181"/>
      <c r="D672" s="194"/>
      <c r="E672" s="194"/>
      <c r="F672" s="181"/>
      <c r="G672" s="181"/>
      <c r="H672" s="181"/>
      <c r="I672" s="181"/>
      <c r="J672" s="181"/>
      <c r="K672" s="181"/>
      <c r="L672" s="181"/>
      <c r="M672" s="181"/>
      <c r="N672" s="181"/>
      <c r="O672" s="181"/>
      <c r="P672" s="181"/>
      <c r="Q672" s="181"/>
      <c r="R672" s="181"/>
      <c r="S672" s="181"/>
      <c r="T672" s="181"/>
      <c r="U672" s="181"/>
      <c r="V672" s="181"/>
      <c r="W672" s="181"/>
      <c r="X672" s="181"/>
      <c r="Y672" s="181"/>
      <c r="Z672" s="181"/>
    </row>
    <row r="673">
      <c r="A673" s="194"/>
      <c r="B673" s="195"/>
      <c r="C673" s="181"/>
      <c r="D673" s="194"/>
      <c r="E673" s="194"/>
      <c r="F673" s="181"/>
      <c r="G673" s="181"/>
      <c r="H673" s="181"/>
      <c r="I673" s="181"/>
      <c r="J673" s="181"/>
      <c r="K673" s="181"/>
      <c r="L673" s="181"/>
      <c r="M673" s="181"/>
      <c r="N673" s="181"/>
      <c r="O673" s="181"/>
      <c r="P673" s="181"/>
      <c r="Q673" s="181"/>
      <c r="R673" s="181"/>
      <c r="S673" s="181"/>
      <c r="T673" s="181"/>
      <c r="U673" s="181"/>
      <c r="V673" s="181"/>
      <c r="W673" s="181"/>
      <c r="X673" s="181"/>
      <c r="Y673" s="181"/>
      <c r="Z673" s="181"/>
    </row>
    <row r="674">
      <c r="A674" s="194"/>
      <c r="B674" s="195"/>
      <c r="C674" s="181"/>
      <c r="D674" s="194"/>
      <c r="E674" s="194"/>
      <c r="F674" s="181"/>
      <c r="G674" s="181"/>
      <c r="H674" s="181"/>
      <c r="I674" s="181"/>
      <c r="J674" s="181"/>
      <c r="K674" s="181"/>
      <c r="L674" s="181"/>
      <c r="M674" s="181"/>
      <c r="N674" s="181"/>
      <c r="O674" s="181"/>
      <c r="P674" s="181"/>
      <c r="Q674" s="181"/>
      <c r="R674" s="181"/>
      <c r="S674" s="181"/>
      <c r="T674" s="181"/>
      <c r="U674" s="181"/>
      <c r="V674" s="181"/>
      <c r="W674" s="181"/>
      <c r="X674" s="181"/>
      <c r="Y674" s="181"/>
      <c r="Z674" s="181"/>
    </row>
    <row r="675">
      <c r="A675" s="194"/>
      <c r="B675" s="195"/>
      <c r="C675" s="181"/>
      <c r="D675" s="194"/>
      <c r="E675" s="194"/>
      <c r="F675" s="181"/>
      <c r="G675" s="181"/>
      <c r="H675" s="181"/>
      <c r="I675" s="181"/>
      <c r="J675" s="181"/>
      <c r="K675" s="181"/>
      <c r="L675" s="181"/>
      <c r="M675" s="181"/>
      <c r="N675" s="181"/>
      <c r="O675" s="181"/>
      <c r="P675" s="181"/>
      <c r="Q675" s="181"/>
      <c r="R675" s="181"/>
      <c r="S675" s="181"/>
      <c r="T675" s="181"/>
      <c r="U675" s="181"/>
      <c r="V675" s="181"/>
      <c r="W675" s="181"/>
      <c r="X675" s="181"/>
      <c r="Y675" s="181"/>
      <c r="Z675" s="181"/>
    </row>
    <row r="676">
      <c r="A676" s="194"/>
      <c r="B676" s="195"/>
      <c r="C676" s="181"/>
      <c r="D676" s="194"/>
      <c r="E676" s="194"/>
      <c r="F676" s="181"/>
      <c r="G676" s="181"/>
      <c r="H676" s="181"/>
      <c r="I676" s="181"/>
      <c r="J676" s="181"/>
      <c r="K676" s="181"/>
      <c r="L676" s="181"/>
      <c r="M676" s="181"/>
      <c r="N676" s="181"/>
      <c r="O676" s="181"/>
      <c r="P676" s="181"/>
      <c r="Q676" s="181"/>
      <c r="R676" s="181"/>
      <c r="S676" s="181"/>
      <c r="T676" s="181"/>
      <c r="U676" s="181"/>
      <c r="V676" s="181"/>
      <c r="W676" s="181"/>
      <c r="X676" s="181"/>
      <c r="Y676" s="181"/>
      <c r="Z676" s="181"/>
    </row>
    <row r="677">
      <c r="A677" s="194"/>
      <c r="B677" s="195"/>
      <c r="C677" s="181"/>
      <c r="D677" s="194"/>
      <c r="E677" s="194"/>
      <c r="F677" s="181"/>
      <c r="G677" s="181"/>
      <c r="H677" s="181"/>
      <c r="I677" s="181"/>
      <c r="J677" s="181"/>
      <c r="K677" s="181"/>
      <c r="L677" s="181"/>
      <c r="M677" s="181"/>
      <c r="N677" s="181"/>
      <c r="O677" s="181"/>
      <c r="P677" s="181"/>
      <c r="Q677" s="181"/>
      <c r="R677" s="181"/>
      <c r="S677" s="181"/>
      <c r="T677" s="181"/>
      <c r="U677" s="181"/>
      <c r="V677" s="181"/>
      <c r="W677" s="181"/>
      <c r="X677" s="181"/>
      <c r="Y677" s="181"/>
      <c r="Z677" s="181"/>
    </row>
    <row r="678">
      <c r="A678" s="194"/>
      <c r="B678" s="195"/>
      <c r="C678" s="181"/>
      <c r="D678" s="194"/>
      <c r="E678" s="194"/>
      <c r="F678" s="181"/>
      <c r="G678" s="181"/>
      <c r="H678" s="181"/>
      <c r="I678" s="181"/>
      <c r="J678" s="181"/>
      <c r="K678" s="181"/>
      <c r="L678" s="181"/>
      <c r="M678" s="181"/>
      <c r="N678" s="181"/>
      <c r="O678" s="181"/>
      <c r="P678" s="181"/>
      <c r="Q678" s="181"/>
      <c r="R678" s="181"/>
      <c r="S678" s="181"/>
      <c r="T678" s="181"/>
      <c r="U678" s="181"/>
      <c r="V678" s="181"/>
      <c r="W678" s="181"/>
      <c r="X678" s="181"/>
      <c r="Y678" s="181"/>
      <c r="Z678" s="181"/>
    </row>
    <row r="679">
      <c r="A679" s="194"/>
      <c r="B679" s="195"/>
      <c r="C679" s="181"/>
      <c r="D679" s="194"/>
      <c r="E679" s="194"/>
      <c r="F679" s="181"/>
      <c r="G679" s="181"/>
      <c r="H679" s="181"/>
      <c r="I679" s="181"/>
      <c r="J679" s="181"/>
      <c r="K679" s="181"/>
      <c r="L679" s="181"/>
      <c r="M679" s="181"/>
      <c r="N679" s="181"/>
      <c r="O679" s="181"/>
      <c r="P679" s="181"/>
      <c r="Q679" s="181"/>
      <c r="R679" s="181"/>
      <c r="S679" s="181"/>
      <c r="T679" s="181"/>
      <c r="U679" s="181"/>
      <c r="V679" s="181"/>
      <c r="W679" s="181"/>
      <c r="X679" s="181"/>
      <c r="Y679" s="181"/>
      <c r="Z679" s="181"/>
    </row>
    <row r="680">
      <c r="A680" s="194"/>
      <c r="B680" s="195"/>
      <c r="C680" s="181"/>
      <c r="D680" s="194"/>
      <c r="E680" s="194"/>
      <c r="F680" s="181"/>
      <c r="G680" s="181"/>
      <c r="H680" s="181"/>
      <c r="I680" s="181"/>
      <c r="J680" s="181"/>
      <c r="K680" s="181"/>
      <c r="L680" s="181"/>
      <c r="M680" s="181"/>
      <c r="N680" s="181"/>
      <c r="O680" s="181"/>
      <c r="P680" s="181"/>
      <c r="Q680" s="181"/>
      <c r="R680" s="181"/>
      <c r="S680" s="181"/>
      <c r="T680" s="181"/>
      <c r="U680" s="181"/>
      <c r="V680" s="181"/>
      <c r="W680" s="181"/>
      <c r="X680" s="181"/>
      <c r="Y680" s="181"/>
      <c r="Z680" s="181"/>
    </row>
    <row r="681">
      <c r="A681" s="194"/>
      <c r="B681" s="195"/>
      <c r="C681" s="181"/>
      <c r="D681" s="194"/>
      <c r="E681" s="194"/>
      <c r="F681" s="181"/>
      <c r="G681" s="181"/>
      <c r="H681" s="181"/>
      <c r="I681" s="181"/>
      <c r="J681" s="181"/>
      <c r="K681" s="181"/>
      <c r="L681" s="181"/>
      <c r="M681" s="181"/>
      <c r="N681" s="181"/>
      <c r="O681" s="181"/>
      <c r="P681" s="181"/>
      <c r="Q681" s="181"/>
      <c r="R681" s="181"/>
      <c r="S681" s="181"/>
      <c r="T681" s="181"/>
      <c r="U681" s="181"/>
      <c r="V681" s="181"/>
      <c r="W681" s="181"/>
      <c r="X681" s="181"/>
      <c r="Y681" s="181"/>
      <c r="Z681" s="181"/>
    </row>
    <row r="682">
      <c r="A682" s="194"/>
      <c r="B682" s="195"/>
      <c r="C682" s="181"/>
      <c r="D682" s="194"/>
      <c r="E682" s="194"/>
      <c r="F682" s="181"/>
      <c r="G682" s="181"/>
      <c r="H682" s="181"/>
      <c r="I682" s="181"/>
      <c r="J682" s="181"/>
      <c r="K682" s="181"/>
      <c r="L682" s="181"/>
      <c r="M682" s="181"/>
      <c r="N682" s="181"/>
      <c r="O682" s="181"/>
      <c r="P682" s="181"/>
      <c r="Q682" s="181"/>
      <c r="R682" s="181"/>
      <c r="S682" s="181"/>
      <c r="T682" s="181"/>
      <c r="U682" s="181"/>
      <c r="V682" s="181"/>
      <c r="W682" s="181"/>
      <c r="X682" s="181"/>
      <c r="Y682" s="181"/>
      <c r="Z682" s="181"/>
    </row>
    <row r="683">
      <c r="A683" s="194"/>
      <c r="B683" s="195"/>
      <c r="C683" s="181"/>
      <c r="D683" s="194"/>
      <c r="E683" s="194"/>
      <c r="F683" s="181"/>
      <c r="G683" s="181"/>
      <c r="H683" s="181"/>
      <c r="I683" s="181"/>
      <c r="J683" s="181"/>
      <c r="K683" s="181"/>
      <c r="L683" s="181"/>
      <c r="M683" s="181"/>
      <c r="N683" s="181"/>
      <c r="O683" s="181"/>
      <c r="P683" s="181"/>
      <c r="Q683" s="181"/>
      <c r="R683" s="181"/>
      <c r="S683" s="181"/>
      <c r="T683" s="181"/>
      <c r="U683" s="181"/>
      <c r="V683" s="181"/>
      <c r="W683" s="181"/>
      <c r="X683" s="181"/>
      <c r="Y683" s="181"/>
      <c r="Z683" s="181"/>
    </row>
    <row r="684">
      <c r="A684" s="194"/>
      <c r="B684" s="195"/>
      <c r="C684" s="181"/>
      <c r="D684" s="194"/>
      <c r="E684" s="194"/>
      <c r="F684" s="181"/>
      <c r="G684" s="181"/>
      <c r="H684" s="181"/>
      <c r="I684" s="181"/>
      <c r="J684" s="181"/>
      <c r="K684" s="181"/>
      <c r="L684" s="181"/>
      <c r="M684" s="181"/>
      <c r="N684" s="181"/>
      <c r="O684" s="181"/>
      <c r="P684" s="181"/>
      <c r="Q684" s="181"/>
      <c r="R684" s="181"/>
      <c r="S684" s="181"/>
      <c r="T684" s="181"/>
      <c r="U684" s="181"/>
      <c r="V684" s="181"/>
      <c r="W684" s="181"/>
      <c r="X684" s="181"/>
      <c r="Y684" s="181"/>
      <c r="Z684" s="181"/>
    </row>
    <row r="685">
      <c r="A685" s="194"/>
      <c r="B685" s="195"/>
      <c r="C685" s="181"/>
      <c r="D685" s="194"/>
      <c r="E685" s="194"/>
      <c r="F685" s="181"/>
      <c r="G685" s="181"/>
      <c r="H685" s="181"/>
      <c r="I685" s="181"/>
      <c r="J685" s="181"/>
      <c r="K685" s="181"/>
      <c r="L685" s="181"/>
      <c r="M685" s="181"/>
      <c r="N685" s="181"/>
      <c r="O685" s="181"/>
      <c r="P685" s="181"/>
      <c r="Q685" s="181"/>
      <c r="R685" s="181"/>
      <c r="S685" s="181"/>
      <c r="T685" s="181"/>
      <c r="U685" s="181"/>
      <c r="V685" s="181"/>
      <c r="W685" s="181"/>
      <c r="X685" s="181"/>
      <c r="Y685" s="181"/>
      <c r="Z685" s="181"/>
    </row>
    <row r="686">
      <c r="A686" s="194"/>
      <c r="B686" s="195"/>
      <c r="C686" s="181"/>
      <c r="D686" s="194"/>
      <c r="E686" s="194"/>
      <c r="F686" s="181"/>
      <c r="G686" s="181"/>
      <c r="H686" s="181"/>
      <c r="I686" s="181"/>
      <c r="J686" s="181"/>
      <c r="K686" s="181"/>
      <c r="L686" s="181"/>
      <c r="M686" s="181"/>
      <c r="N686" s="181"/>
      <c r="O686" s="181"/>
      <c r="P686" s="181"/>
      <c r="Q686" s="181"/>
      <c r="R686" s="181"/>
      <c r="S686" s="181"/>
      <c r="T686" s="181"/>
      <c r="U686" s="181"/>
      <c r="V686" s="181"/>
      <c r="W686" s="181"/>
      <c r="X686" s="181"/>
      <c r="Y686" s="181"/>
      <c r="Z686" s="181"/>
    </row>
    <row r="687">
      <c r="A687" s="194"/>
      <c r="B687" s="195"/>
      <c r="C687" s="181"/>
      <c r="D687" s="194"/>
      <c r="E687" s="194"/>
      <c r="F687" s="181"/>
      <c r="G687" s="181"/>
      <c r="H687" s="181"/>
      <c r="I687" s="181"/>
      <c r="J687" s="181"/>
      <c r="K687" s="181"/>
      <c r="L687" s="181"/>
      <c r="M687" s="181"/>
      <c r="N687" s="181"/>
      <c r="O687" s="181"/>
      <c r="P687" s="181"/>
      <c r="Q687" s="181"/>
      <c r="R687" s="181"/>
      <c r="S687" s="181"/>
      <c r="T687" s="181"/>
      <c r="U687" s="181"/>
      <c r="V687" s="181"/>
      <c r="W687" s="181"/>
      <c r="X687" s="181"/>
      <c r="Y687" s="181"/>
      <c r="Z687" s="181"/>
    </row>
    <row r="688">
      <c r="A688" s="194"/>
      <c r="B688" s="195"/>
      <c r="C688" s="181"/>
      <c r="D688" s="194"/>
      <c r="E688" s="194"/>
      <c r="F688" s="181"/>
      <c r="G688" s="181"/>
      <c r="H688" s="181"/>
      <c r="I688" s="181"/>
      <c r="J688" s="181"/>
      <c r="K688" s="181"/>
      <c r="L688" s="181"/>
      <c r="M688" s="181"/>
      <c r="N688" s="181"/>
      <c r="O688" s="181"/>
      <c r="P688" s="181"/>
      <c r="Q688" s="181"/>
      <c r="R688" s="181"/>
      <c r="S688" s="181"/>
      <c r="T688" s="181"/>
      <c r="U688" s="181"/>
      <c r="V688" s="181"/>
      <c r="W688" s="181"/>
      <c r="X688" s="181"/>
      <c r="Y688" s="181"/>
      <c r="Z688" s="181"/>
    </row>
    <row r="689">
      <c r="A689" s="194"/>
      <c r="B689" s="195"/>
      <c r="C689" s="181"/>
      <c r="D689" s="194"/>
      <c r="E689" s="194"/>
      <c r="F689" s="181"/>
      <c r="G689" s="181"/>
      <c r="H689" s="181"/>
      <c r="I689" s="181"/>
      <c r="J689" s="181"/>
      <c r="K689" s="181"/>
      <c r="L689" s="181"/>
      <c r="M689" s="181"/>
      <c r="N689" s="181"/>
      <c r="O689" s="181"/>
      <c r="P689" s="181"/>
      <c r="Q689" s="181"/>
      <c r="R689" s="181"/>
      <c r="S689" s="181"/>
      <c r="T689" s="181"/>
      <c r="U689" s="181"/>
      <c r="V689" s="181"/>
      <c r="W689" s="181"/>
      <c r="X689" s="181"/>
      <c r="Y689" s="181"/>
      <c r="Z689" s="181"/>
    </row>
    <row r="690">
      <c r="A690" s="194"/>
      <c r="B690" s="195"/>
      <c r="C690" s="181"/>
      <c r="D690" s="194"/>
      <c r="E690" s="194"/>
      <c r="F690" s="181"/>
      <c r="G690" s="181"/>
      <c r="H690" s="181"/>
      <c r="I690" s="181"/>
      <c r="J690" s="181"/>
      <c r="K690" s="181"/>
      <c r="L690" s="181"/>
      <c r="M690" s="181"/>
      <c r="N690" s="181"/>
      <c r="O690" s="181"/>
      <c r="P690" s="181"/>
      <c r="Q690" s="181"/>
      <c r="R690" s="181"/>
      <c r="S690" s="181"/>
      <c r="T690" s="181"/>
      <c r="U690" s="181"/>
      <c r="V690" s="181"/>
      <c r="W690" s="181"/>
      <c r="X690" s="181"/>
      <c r="Y690" s="181"/>
      <c r="Z690" s="181"/>
    </row>
    <row r="691">
      <c r="A691" s="194"/>
      <c r="B691" s="195"/>
      <c r="C691" s="181"/>
      <c r="D691" s="194"/>
      <c r="E691" s="194"/>
      <c r="F691" s="181"/>
      <c r="G691" s="181"/>
      <c r="H691" s="181"/>
      <c r="I691" s="181"/>
      <c r="J691" s="181"/>
      <c r="K691" s="181"/>
      <c r="L691" s="181"/>
      <c r="M691" s="181"/>
      <c r="N691" s="181"/>
      <c r="O691" s="181"/>
      <c r="P691" s="181"/>
      <c r="Q691" s="181"/>
      <c r="R691" s="181"/>
      <c r="S691" s="181"/>
      <c r="T691" s="181"/>
      <c r="U691" s="181"/>
      <c r="V691" s="181"/>
      <c r="W691" s="181"/>
      <c r="X691" s="181"/>
      <c r="Y691" s="181"/>
      <c r="Z691" s="181"/>
    </row>
    <row r="692">
      <c r="A692" s="194"/>
      <c r="B692" s="195"/>
      <c r="C692" s="181"/>
      <c r="D692" s="194"/>
      <c r="E692" s="194"/>
      <c r="F692" s="181"/>
      <c r="G692" s="181"/>
      <c r="H692" s="181"/>
      <c r="I692" s="181"/>
      <c r="J692" s="181"/>
      <c r="K692" s="181"/>
      <c r="L692" s="181"/>
      <c r="M692" s="181"/>
      <c r="N692" s="181"/>
      <c r="O692" s="181"/>
      <c r="P692" s="181"/>
      <c r="Q692" s="181"/>
      <c r="R692" s="181"/>
      <c r="S692" s="181"/>
      <c r="T692" s="181"/>
      <c r="U692" s="181"/>
      <c r="V692" s="181"/>
      <c r="W692" s="181"/>
      <c r="X692" s="181"/>
      <c r="Y692" s="181"/>
      <c r="Z692" s="181"/>
    </row>
    <row r="693">
      <c r="A693" s="194"/>
      <c r="B693" s="195"/>
      <c r="C693" s="181"/>
      <c r="D693" s="194"/>
      <c r="E693" s="194"/>
      <c r="F693" s="181"/>
      <c r="G693" s="181"/>
      <c r="H693" s="181"/>
      <c r="I693" s="181"/>
      <c r="J693" s="181"/>
      <c r="K693" s="181"/>
      <c r="L693" s="181"/>
      <c r="M693" s="181"/>
      <c r="N693" s="181"/>
      <c r="O693" s="181"/>
      <c r="P693" s="181"/>
      <c r="Q693" s="181"/>
      <c r="R693" s="181"/>
      <c r="S693" s="181"/>
      <c r="T693" s="181"/>
      <c r="U693" s="181"/>
      <c r="V693" s="181"/>
      <c r="W693" s="181"/>
      <c r="X693" s="181"/>
      <c r="Y693" s="181"/>
      <c r="Z693" s="181"/>
    </row>
    <row r="694">
      <c r="A694" s="194"/>
      <c r="B694" s="195"/>
      <c r="C694" s="181"/>
      <c r="D694" s="194"/>
      <c r="E694" s="194"/>
      <c r="F694" s="181"/>
      <c r="G694" s="181"/>
      <c r="H694" s="181"/>
      <c r="I694" s="181"/>
      <c r="J694" s="181"/>
      <c r="K694" s="181"/>
      <c r="L694" s="181"/>
      <c r="M694" s="181"/>
      <c r="N694" s="181"/>
      <c r="O694" s="181"/>
      <c r="P694" s="181"/>
      <c r="Q694" s="181"/>
      <c r="R694" s="181"/>
      <c r="S694" s="181"/>
      <c r="T694" s="181"/>
      <c r="U694" s="181"/>
      <c r="V694" s="181"/>
      <c r="W694" s="181"/>
      <c r="X694" s="181"/>
      <c r="Y694" s="181"/>
      <c r="Z694" s="181"/>
    </row>
    <row r="695">
      <c r="A695" s="194"/>
      <c r="B695" s="195"/>
      <c r="C695" s="181"/>
      <c r="D695" s="194"/>
      <c r="E695" s="194"/>
      <c r="F695" s="181"/>
      <c r="G695" s="181"/>
      <c r="H695" s="181"/>
      <c r="I695" s="181"/>
      <c r="J695" s="181"/>
      <c r="K695" s="181"/>
      <c r="L695" s="181"/>
      <c r="M695" s="181"/>
      <c r="N695" s="181"/>
      <c r="O695" s="181"/>
      <c r="P695" s="181"/>
      <c r="Q695" s="181"/>
      <c r="R695" s="181"/>
      <c r="S695" s="181"/>
      <c r="T695" s="181"/>
      <c r="U695" s="181"/>
      <c r="V695" s="181"/>
      <c r="W695" s="181"/>
      <c r="X695" s="181"/>
      <c r="Y695" s="181"/>
      <c r="Z695" s="181"/>
    </row>
    <row r="696">
      <c r="A696" s="194"/>
      <c r="B696" s="195"/>
      <c r="C696" s="181"/>
      <c r="D696" s="194"/>
      <c r="E696" s="194"/>
      <c r="F696" s="181"/>
      <c r="G696" s="181"/>
      <c r="H696" s="181"/>
      <c r="I696" s="181"/>
      <c r="J696" s="181"/>
      <c r="K696" s="181"/>
      <c r="L696" s="181"/>
      <c r="M696" s="181"/>
      <c r="N696" s="181"/>
      <c r="O696" s="181"/>
      <c r="P696" s="181"/>
      <c r="Q696" s="181"/>
      <c r="R696" s="181"/>
      <c r="S696" s="181"/>
      <c r="T696" s="181"/>
      <c r="U696" s="181"/>
      <c r="V696" s="181"/>
      <c r="W696" s="181"/>
      <c r="X696" s="181"/>
      <c r="Y696" s="181"/>
      <c r="Z696" s="181"/>
    </row>
    <row r="697">
      <c r="A697" s="194"/>
      <c r="B697" s="195"/>
      <c r="C697" s="181"/>
      <c r="D697" s="194"/>
      <c r="E697" s="194"/>
      <c r="F697" s="181"/>
      <c r="G697" s="181"/>
      <c r="H697" s="181"/>
      <c r="I697" s="181"/>
      <c r="J697" s="181"/>
      <c r="K697" s="181"/>
      <c r="L697" s="181"/>
      <c r="M697" s="181"/>
      <c r="N697" s="181"/>
      <c r="O697" s="181"/>
      <c r="P697" s="181"/>
      <c r="Q697" s="181"/>
      <c r="R697" s="181"/>
      <c r="S697" s="181"/>
      <c r="T697" s="181"/>
      <c r="U697" s="181"/>
      <c r="V697" s="181"/>
      <c r="W697" s="181"/>
      <c r="X697" s="181"/>
      <c r="Y697" s="181"/>
      <c r="Z697" s="181"/>
    </row>
    <row r="698">
      <c r="A698" s="194"/>
      <c r="B698" s="195"/>
      <c r="C698" s="181"/>
      <c r="D698" s="194"/>
      <c r="E698" s="194"/>
      <c r="F698" s="181"/>
      <c r="G698" s="181"/>
      <c r="H698" s="181"/>
      <c r="I698" s="181"/>
      <c r="J698" s="181"/>
      <c r="K698" s="181"/>
      <c r="L698" s="181"/>
      <c r="M698" s="181"/>
      <c r="N698" s="181"/>
      <c r="O698" s="181"/>
      <c r="P698" s="181"/>
      <c r="Q698" s="181"/>
      <c r="R698" s="181"/>
      <c r="S698" s="181"/>
      <c r="T698" s="181"/>
      <c r="U698" s="181"/>
      <c r="V698" s="181"/>
      <c r="W698" s="181"/>
      <c r="X698" s="181"/>
      <c r="Y698" s="181"/>
      <c r="Z698" s="181"/>
    </row>
    <row r="699">
      <c r="A699" s="194"/>
      <c r="B699" s="195"/>
      <c r="C699" s="181"/>
      <c r="D699" s="194"/>
      <c r="E699" s="194"/>
      <c r="F699" s="181"/>
      <c r="G699" s="181"/>
      <c r="H699" s="181"/>
      <c r="I699" s="181"/>
      <c r="J699" s="181"/>
      <c r="K699" s="181"/>
      <c r="L699" s="181"/>
      <c r="M699" s="181"/>
      <c r="N699" s="181"/>
      <c r="O699" s="181"/>
      <c r="P699" s="181"/>
      <c r="Q699" s="181"/>
      <c r="R699" s="181"/>
      <c r="S699" s="181"/>
      <c r="T699" s="181"/>
      <c r="U699" s="181"/>
      <c r="V699" s="181"/>
      <c r="W699" s="181"/>
      <c r="X699" s="181"/>
      <c r="Y699" s="181"/>
      <c r="Z699" s="181"/>
    </row>
    <row r="700">
      <c r="A700" s="194"/>
      <c r="B700" s="195"/>
      <c r="C700" s="181"/>
      <c r="D700" s="194"/>
      <c r="E700" s="194"/>
      <c r="F700" s="181"/>
      <c r="G700" s="181"/>
      <c r="H700" s="181"/>
      <c r="I700" s="181"/>
      <c r="J700" s="181"/>
      <c r="K700" s="181"/>
      <c r="L700" s="181"/>
      <c r="M700" s="181"/>
      <c r="N700" s="181"/>
      <c r="O700" s="181"/>
      <c r="P700" s="181"/>
      <c r="Q700" s="181"/>
      <c r="R700" s="181"/>
      <c r="S700" s="181"/>
      <c r="T700" s="181"/>
      <c r="U700" s="181"/>
      <c r="V700" s="181"/>
      <c r="W700" s="181"/>
      <c r="X700" s="181"/>
      <c r="Y700" s="181"/>
      <c r="Z700" s="181"/>
    </row>
    <row r="701">
      <c r="A701" s="194"/>
      <c r="B701" s="195"/>
      <c r="C701" s="181"/>
      <c r="D701" s="194"/>
      <c r="E701" s="194"/>
      <c r="F701" s="181"/>
      <c r="G701" s="181"/>
      <c r="H701" s="181"/>
      <c r="I701" s="181"/>
      <c r="J701" s="181"/>
      <c r="K701" s="181"/>
      <c r="L701" s="181"/>
      <c r="M701" s="181"/>
      <c r="N701" s="181"/>
      <c r="O701" s="181"/>
      <c r="P701" s="181"/>
      <c r="Q701" s="181"/>
      <c r="R701" s="181"/>
      <c r="S701" s="181"/>
      <c r="T701" s="181"/>
      <c r="U701" s="181"/>
      <c r="V701" s="181"/>
      <c r="W701" s="181"/>
      <c r="X701" s="181"/>
      <c r="Y701" s="181"/>
      <c r="Z701" s="181"/>
    </row>
    <row r="702">
      <c r="A702" s="194"/>
      <c r="B702" s="195"/>
      <c r="C702" s="181"/>
      <c r="D702" s="194"/>
      <c r="E702" s="194"/>
      <c r="F702" s="181"/>
      <c r="G702" s="181"/>
      <c r="H702" s="181"/>
      <c r="I702" s="181"/>
      <c r="J702" s="181"/>
      <c r="K702" s="181"/>
      <c r="L702" s="181"/>
      <c r="M702" s="181"/>
      <c r="N702" s="181"/>
      <c r="O702" s="181"/>
      <c r="P702" s="181"/>
      <c r="Q702" s="181"/>
      <c r="R702" s="181"/>
      <c r="S702" s="181"/>
      <c r="T702" s="181"/>
      <c r="U702" s="181"/>
      <c r="V702" s="181"/>
      <c r="W702" s="181"/>
      <c r="X702" s="181"/>
      <c r="Y702" s="181"/>
      <c r="Z702" s="181"/>
    </row>
    <row r="703">
      <c r="A703" s="194"/>
      <c r="B703" s="195"/>
      <c r="C703" s="181"/>
      <c r="D703" s="194"/>
      <c r="E703" s="194"/>
      <c r="F703" s="181"/>
      <c r="G703" s="181"/>
      <c r="H703" s="181"/>
      <c r="I703" s="181"/>
      <c r="J703" s="181"/>
      <c r="K703" s="181"/>
      <c r="L703" s="181"/>
      <c r="M703" s="181"/>
      <c r="N703" s="181"/>
      <c r="O703" s="181"/>
      <c r="P703" s="181"/>
      <c r="Q703" s="181"/>
      <c r="R703" s="181"/>
      <c r="S703" s="181"/>
      <c r="T703" s="181"/>
      <c r="U703" s="181"/>
      <c r="V703" s="181"/>
      <c r="W703" s="181"/>
      <c r="X703" s="181"/>
      <c r="Y703" s="181"/>
      <c r="Z703" s="181"/>
    </row>
    <row r="704">
      <c r="A704" s="194"/>
      <c r="B704" s="195"/>
      <c r="C704" s="181"/>
      <c r="D704" s="194"/>
      <c r="E704" s="194"/>
      <c r="F704" s="181"/>
      <c r="G704" s="181"/>
      <c r="H704" s="181"/>
      <c r="I704" s="181"/>
      <c r="J704" s="181"/>
      <c r="K704" s="181"/>
      <c r="L704" s="181"/>
      <c r="M704" s="181"/>
      <c r="N704" s="181"/>
      <c r="O704" s="181"/>
      <c r="P704" s="181"/>
      <c r="Q704" s="181"/>
      <c r="R704" s="181"/>
      <c r="S704" s="181"/>
      <c r="T704" s="181"/>
      <c r="U704" s="181"/>
      <c r="V704" s="181"/>
      <c r="W704" s="181"/>
      <c r="X704" s="181"/>
      <c r="Y704" s="181"/>
      <c r="Z704" s="181"/>
    </row>
    <row r="705">
      <c r="A705" s="194"/>
      <c r="B705" s="195"/>
      <c r="C705" s="181"/>
      <c r="D705" s="194"/>
      <c r="E705" s="194"/>
      <c r="F705" s="181"/>
      <c r="G705" s="181"/>
      <c r="H705" s="181"/>
      <c r="I705" s="181"/>
      <c r="J705" s="181"/>
      <c r="K705" s="181"/>
      <c r="L705" s="181"/>
      <c r="M705" s="181"/>
      <c r="N705" s="181"/>
      <c r="O705" s="181"/>
      <c r="P705" s="181"/>
      <c r="Q705" s="181"/>
      <c r="R705" s="181"/>
      <c r="S705" s="181"/>
      <c r="T705" s="181"/>
      <c r="U705" s="181"/>
      <c r="V705" s="181"/>
      <c r="W705" s="181"/>
      <c r="X705" s="181"/>
      <c r="Y705" s="181"/>
      <c r="Z705" s="181"/>
    </row>
    <row r="706">
      <c r="A706" s="194"/>
      <c r="B706" s="195"/>
      <c r="C706" s="181"/>
      <c r="D706" s="194"/>
      <c r="E706" s="194"/>
      <c r="F706" s="181"/>
      <c r="G706" s="181"/>
      <c r="H706" s="181"/>
      <c r="I706" s="181"/>
      <c r="J706" s="181"/>
      <c r="K706" s="181"/>
      <c r="L706" s="181"/>
      <c r="M706" s="181"/>
      <c r="N706" s="181"/>
      <c r="O706" s="181"/>
      <c r="P706" s="181"/>
      <c r="Q706" s="181"/>
      <c r="R706" s="181"/>
      <c r="S706" s="181"/>
      <c r="T706" s="181"/>
      <c r="U706" s="181"/>
      <c r="V706" s="181"/>
      <c r="W706" s="181"/>
      <c r="X706" s="181"/>
      <c r="Y706" s="181"/>
      <c r="Z706" s="181"/>
    </row>
    <row r="707">
      <c r="A707" s="194"/>
      <c r="B707" s="195"/>
      <c r="C707" s="181"/>
      <c r="D707" s="194"/>
      <c r="E707" s="194"/>
      <c r="F707" s="181"/>
      <c r="G707" s="181"/>
      <c r="H707" s="181"/>
      <c r="I707" s="181"/>
      <c r="J707" s="181"/>
      <c r="K707" s="181"/>
      <c r="L707" s="181"/>
      <c r="M707" s="181"/>
      <c r="N707" s="181"/>
      <c r="O707" s="181"/>
      <c r="P707" s="181"/>
      <c r="Q707" s="181"/>
      <c r="R707" s="181"/>
      <c r="S707" s="181"/>
      <c r="T707" s="181"/>
      <c r="U707" s="181"/>
      <c r="V707" s="181"/>
      <c r="W707" s="181"/>
      <c r="X707" s="181"/>
      <c r="Y707" s="181"/>
      <c r="Z707" s="181"/>
    </row>
    <row r="708">
      <c r="A708" s="194"/>
      <c r="B708" s="195"/>
      <c r="C708" s="181"/>
      <c r="D708" s="194"/>
      <c r="E708" s="194"/>
      <c r="F708" s="181"/>
      <c r="G708" s="181"/>
      <c r="H708" s="181"/>
      <c r="I708" s="181"/>
      <c r="J708" s="181"/>
      <c r="K708" s="181"/>
      <c r="L708" s="181"/>
      <c r="M708" s="181"/>
      <c r="N708" s="181"/>
      <c r="O708" s="181"/>
      <c r="P708" s="181"/>
      <c r="Q708" s="181"/>
      <c r="R708" s="181"/>
      <c r="S708" s="181"/>
      <c r="T708" s="181"/>
      <c r="U708" s="181"/>
      <c r="V708" s="181"/>
      <c r="W708" s="181"/>
      <c r="X708" s="181"/>
      <c r="Y708" s="181"/>
      <c r="Z708" s="181"/>
    </row>
    <row r="709">
      <c r="A709" s="194"/>
      <c r="B709" s="195"/>
      <c r="C709" s="181"/>
      <c r="D709" s="194"/>
      <c r="E709" s="194"/>
      <c r="F709" s="181"/>
      <c r="G709" s="181"/>
      <c r="H709" s="181"/>
      <c r="I709" s="181"/>
      <c r="J709" s="181"/>
      <c r="K709" s="181"/>
      <c r="L709" s="181"/>
      <c r="M709" s="181"/>
      <c r="N709" s="181"/>
      <c r="O709" s="181"/>
      <c r="P709" s="181"/>
      <c r="Q709" s="181"/>
      <c r="R709" s="181"/>
      <c r="S709" s="181"/>
      <c r="T709" s="181"/>
      <c r="U709" s="181"/>
      <c r="V709" s="181"/>
      <c r="W709" s="181"/>
      <c r="X709" s="181"/>
      <c r="Y709" s="181"/>
      <c r="Z709" s="181"/>
    </row>
    <row r="710">
      <c r="A710" s="194"/>
      <c r="B710" s="195"/>
      <c r="C710" s="181"/>
      <c r="D710" s="194"/>
      <c r="E710" s="194"/>
      <c r="F710" s="181"/>
      <c r="G710" s="181"/>
      <c r="H710" s="181"/>
      <c r="I710" s="181"/>
      <c r="J710" s="181"/>
      <c r="K710" s="181"/>
      <c r="L710" s="181"/>
      <c r="M710" s="181"/>
      <c r="N710" s="181"/>
      <c r="O710" s="181"/>
      <c r="P710" s="181"/>
      <c r="Q710" s="181"/>
      <c r="R710" s="181"/>
      <c r="S710" s="181"/>
      <c r="T710" s="181"/>
      <c r="U710" s="181"/>
      <c r="V710" s="181"/>
      <c r="W710" s="181"/>
      <c r="X710" s="181"/>
      <c r="Y710" s="181"/>
      <c r="Z710" s="181"/>
    </row>
    <row r="711">
      <c r="A711" s="194"/>
      <c r="B711" s="195"/>
      <c r="C711" s="181"/>
      <c r="D711" s="194"/>
      <c r="E711" s="194"/>
      <c r="F711" s="181"/>
      <c r="G711" s="181"/>
      <c r="H711" s="181"/>
      <c r="I711" s="181"/>
      <c r="J711" s="181"/>
      <c r="K711" s="181"/>
      <c r="L711" s="181"/>
      <c r="M711" s="181"/>
      <c r="N711" s="181"/>
      <c r="O711" s="181"/>
      <c r="P711" s="181"/>
      <c r="Q711" s="181"/>
      <c r="R711" s="181"/>
      <c r="S711" s="181"/>
      <c r="T711" s="181"/>
      <c r="U711" s="181"/>
      <c r="V711" s="181"/>
      <c r="W711" s="181"/>
      <c r="X711" s="181"/>
      <c r="Y711" s="181"/>
      <c r="Z711" s="181"/>
    </row>
    <row r="712">
      <c r="A712" s="194"/>
      <c r="B712" s="195"/>
      <c r="C712" s="181"/>
      <c r="D712" s="194"/>
      <c r="E712" s="194"/>
      <c r="F712" s="181"/>
      <c r="G712" s="181"/>
      <c r="H712" s="181"/>
      <c r="I712" s="181"/>
      <c r="J712" s="181"/>
      <c r="K712" s="181"/>
      <c r="L712" s="181"/>
      <c r="M712" s="181"/>
      <c r="N712" s="181"/>
      <c r="O712" s="181"/>
      <c r="P712" s="181"/>
      <c r="Q712" s="181"/>
      <c r="R712" s="181"/>
      <c r="S712" s="181"/>
      <c r="T712" s="181"/>
      <c r="U712" s="181"/>
      <c r="V712" s="181"/>
      <c r="W712" s="181"/>
      <c r="X712" s="181"/>
      <c r="Y712" s="181"/>
      <c r="Z712" s="181"/>
    </row>
    <row r="713">
      <c r="A713" s="194"/>
      <c r="B713" s="195"/>
      <c r="C713" s="181"/>
      <c r="D713" s="194"/>
      <c r="E713" s="194"/>
      <c r="F713" s="181"/>
      <c r="G713" s="181"/>
      <c r="H713" s="181"/>
      <c r="I713" s="181"/>
      <c r="J713" s="181"/>
      <c r="K713" s="181"/>
      <c r="L713" s="181"/>
      <c r="M713" s="181"/>
      <c r="N713" s="181"/>
      <c r="O713" s="181"/>
      <c r="P713" s="181"/>
      <c r="Q713" s="181"/>
      <c r="R713" s="181"/>
      <c r="S713" s="181"/>
      <c r="T713" s="181"/>
      <c r="U713" s="181"/>
      <c r="V713" s="181"/>
      <c r="W713" s="181"/>
      <c r="X713" s="181"/>
      <c r="Y713" s="181"/>
      <c r="Z713" s="181"/>
    </row>
    <row r="714">
      <c r="A714" s="194"/>
      <c r="B714" s="195"/>
      <c r="C714" s="181"/>
      <c r="D714" s="194"/>
      <c r="E714" s="194"/>
      <c r="F714" s="181"/>
      <c r="G714" s="181"/>
      <c r="H714" s="181"/>
      <c r="I714" s="181"/>
      <c r="J714" s="181"/>
      <c r="K714" s="181"/>
      <c r="L714" s="181"/>
      <c r="M714" s="181"/>
      <c r="N714" s="181"/>
      <c r="O714" s="181"/>
      <c r="P714" s="181"/>
      <c r="Q714" s="181"/>
      <c r="R714" s="181"/>
      <c r="S714" s="181"/>
      <c r="T714" s="181"/>
      <c r="U714" s="181"/>
      <c r="V714" s="181"/>
      <c r="W714" s="181"/>
      <c r="X714" s="181"/>
      <c r="Y714" s="181"/>
      <c r="Z714" s="181"/>
    </row>
    <row r="715">
      <c r="A715" s="194"/>
      <c r="B715" s="195"/>
      <c r="C715" s="181"/>
      <c r="D715" s="194"/>
      <c r="E715" s="194"/>
      <c r="F715" s="181"/>
      <c r="G715" s="181"/>
      <c r="H715" s="181"/>
      <c r="I715" s="181"/>
      <c r="J715" s="181"/>
      <c r="K715" s="181"/>
      <c r="L715" s="181"/>
      <c r="M715" s="181"/>
      <c r="N715" s="181"/>
      <c r="O715" s="181"/>
      <c r="P715" s="181"/>
      <c r="Q715" s="181"/>
      <c r="R715" s="181"/>
      <c r="S715" s="181"/>
      <c r="T715" s="181"/>
      <c r="U715" s="181"/>
      <c r="V715" s="181"/>
      <c r="W715" s="181"/>
      <c r="X715" s="181"/>
      <c r="Y715" s="181"/>
      <c r="Z715" s="181"/>
    </row>
    <row r="716">
      <c r="A716" s="194"/>
      <c r="B716" s="195"/>
      <c r="C716" s="181"/>
      <c r="D716" s="194"/>
      <c r="E716" s="194"/>
      <c r="F716" s="181"/>
      <c r="G716" s="181"/>
      <c r="H716" s="181"/>
      <c r="I716" s="181"/>
      <c r="J716" s="181"/>
      <c r="K716" s="181"/>
      <c r="L716" s="181"/>
      <c r="M716" s="181"/>
      <c r="N716" s="181"/>
      <c r="O716" s="181"/>
      <c r="P716" s="181"/>
      <c r="Q716" s="181"/>
      <c r="R716" s="181"/>
      <c r="S716" s="181"/>
      <c r="T716" s="181"/>
      <c r="U716" s="181"/>
      <c r="V716" s="181"/>
      <c r="W716" s="181"/>
      <c r="X716" s="181"/>
      <c r="Y716" s="181"/>
      <c r="Z716" s="181"/>
    </row>
    <row r="717">
      <c r="A717" s="194"/>
      <c r="B717" s="195"/>
      <c r="C717" s="181"/>
      <c r="D717" s="194"/>
      <c r="E717" s="194"/>
      <c r="F717" s="181"/>
      <c r="G717" s="181"/>
      <c r="H717" s="181"/>
      <c r="I717" s="181"/>
      <c r="J717" s="181"/>
      <c r="K717" s="181"/>
      <c r="L717" s="181"/>
      <c r="M717" s="181"/>
      <c r="N717" s="181"/>
      <c r="O717" s="181"/>
      <c r="P717" s="181"/>
      <c r="Q717" s="181"/>
      <c r="R717" s="181"/>
      <c r="S717" s="181"/>
      <c r="T717" s="181"/>
      <c r="U717" s="181"/>
      <c r="V717" s="181"/>
      <c r="W717" s="181"/>
      <c r="X717" s="181"/>
      <c r="Y717" s="181"/>
      <c r="Z717" s="181"/>
    </row>
    <row r="718">
      <c r="A718" s="194"/>
      <c r="B718" s="195"/>
      <c r="C718" s="181"/>
      <c r="D718" s="194"/>
      <c r="E718" s="194"/>
      <c r="F718" s="181"/>
      <c r="G718" s="181"/>
      <c r="H718" s="181"/>
      <c r="I718" s="181"/>
      <c r="J718" s="181"/>
      <c r="K718" s="181"/>
      <c r="L718" s="181"/>
      <c r="M718" s="181"/>
      <c r="N718" s="181"/>
      <c r="O718" s="181"/>
      <c r="P718" s="181"/>
      <c r="Q718" s="181"/>
      <c r="R718" s="181"/>
      <c r="S718" s="181"/>
      <c r="T718" s="181"/>
      <c r="U718" s="181"/>
      <c r="V718" s="181"/>
      <c r="W718" s="181"/>
      <c r="X718" s="181"/>
      <c r="Y718" s="181"/>
      <c r="Z718" s="181"/>
    </row>
    <row r="719">
      <c r="A719" s="194"/>
      <c r="B719" s="195"/>
      <c r="C719" s="181"/>
      <c r="D719" s="194"/>
      <c r="E719" s="194"/>
      <c r="F719" s="181"/>
      <c r="G719" s="181"/>
      <c r="H719" s="181"/>
      <c r="I719" s="181"/>
      <c r="J719" s="181"/>
      <c r="K719" s="181"/>
      <c r="L719" s="181"/>
      <c r="M719" s="181"/>
      <c r="N719" s="181"/>
      <c r="O719" s="181"/>
      <c r="P719" s="181"/>
      <c r="Q719" s="181"/>
      <c r="R719" s="181"/>
      <c r="S719" s="181"/>
      <c r="T719" s="181"/>
      <c r="U719" s="181"/>
      <c r="V719" s="181"/>
      <c r="W719" s="181"/>
      <c r="X719" s="181"/>
      <c r="Y719" s="181"/>
      <c r="Z719" s="181"/>
    </row>
    <row r="720">
      <c r="A720" s="194"/>
      <c r="B720" s="195"/>
      <c r="C720" s="181"/>
      <c r="D720" s="194"/>
      <c r="E720" s="194"/>
      <c r="F720" s="181"/>
      <c r="G720" s="181"/>
      <c r="H720" s="181"/>
      <c r="I720" s="181"/>
      <c r="J720" s="181"/>
      <c r="K720" s="181"/>
      <c r="L720" s="181"/>
      <c r="M720" s="181"/>
      <c r="N720" s="181"/>
      <c r="O720" s="181"/>
      <c r="P720" s="181"/>
      <c r="Q720" s="181"/>
      <c r="R720" s="181"/>
      <c r="S720" s="181"/>
      <c r="T720" s="181"/>
      <c r="U720" s="181"/>
      <c r="V720" s="181"/>
      <c r="W720" s="181"/>
      <c r="X720" s="181"/>
      <c r="Y720" s="181"/>
      <c r="Z720" s="181"/>
    </row>
    <row r="721">
      <c r="A721" s="194"/>
      <c r="B721" s="195"/>
      <c r="C721" s="181"/>
      <c r="D721" s="194"/>
      <c r="E721" s="194"/>
      <c r="F721" s="181"/>
      <c r="G721" s="181"/>
      <c r="H721" s="181"/>
      <c r="I721" s="181"/>
      <c r="J721" s="181"/>
      <c r="K721" s="181"/>
      <c r="L721" s="181"/>
      <c r="M721" s="181"/>
      <c r="N721" s="181"/>
      <c r="O721" s="181"/>
      <c r="P721" s="181"/>
      <c r="Q721" s="181"/>
      <c r="R721" s="181"/>
      <c r="S721" s="181"/>
      <c r="T721" s="181"/>
      <c r="U721" s="181"/>
      <c r="V721" s="181"/>
      <c r="W721" s="181"/>
      <c r="X721" s="181"/>
      <c r="Y721" s="181"/>
      <c r="Z721" s="181"/>
    </row>
    <row r="722">
      <c r="A722" s="194"/>
      <c r="B722" s="195"/>
      <c r="C722" s="181"/>
      <c r="D722" s="194"/>
      <c r="E722" s="194"/>
      <c r="F722" s="181"/>
      <c r="G722" s="181"/>
      <c r="H722" s="181"/>
      <c r="I722" s="181"/>
      <c r="J722" s="181"/>
      <c r="K722" s="181"/>
      <c r="L722" s="181"/>
      <c r="M722" s="181"/>
      <c r="N722" s="181"/>
      <c r="O722" s="181"/>
      <c r="P722" s="181"/>
      <c r="Q722" s="181"/>
      <c r="R722" s="181"/>
      <c r="S722" s="181"/>
      <c r="T722" s="181"/>
      <c r="U722" s="181"/>
      <c r="V722" s="181"/>
      <c r="W722" s="181"/>
      <c r="X722" s="181"/>
      <c r="Y722" s="181"/>
      <c r="Z722" s="181"/>
    </row>
    <row r="723">
      <c r="A723" s="194"/>
      <c r="B723" s="195"/>
      <c r="C723" s="181"/>
      <c r="D723" s="194"/>
      <c r="E723" s="194"/>
      <c r="F723" s="181"/>
      <c r="G723" s="181"/>
      <c r="H723" s="181"/>
      <c r="I723" s="181"/>
      <c r="J723" s="181"/>
      <c r="K723" s="181"/>
      <c r="L723" s="181"/>
      <c r="M723" s="181"/>
      <c r="N723" s="181"/>
      <c r="O723" s="181"/>
      <c r="P723" s="181"/>
      <c r="Q723" s="181"/>
      <c r="R723" s="181"/>
      <c r="S723" s="181"/>
      <c r="T723" s="181"/>
      <c r="U723" s="181"/>
      <c r="V723" s="181"/>
      <c r="W723" s="181"/>
      <c r="X723" s="181"/>
      <c r="Y723" s="181"/>
      <c r="Z723" s="181"/>
    </row>
    <row r="724">
      <c r="A724" s="194"/>
      <c r="B724" s="195"/>
      <c r="C724" s="181"/>
      <c r="D724" s="194"/>
      <c r="E724" s="194"/>
      <c r="F724" s="181"/>
      <c r="G724" s="181"/>
      <c r="H724" s="181"/>
      <c r="I724" s="181"/>
      <c r="J724" s="181"/>
      <c r="K724" s="181"/>
      <c r="L724" s="181"/>
      <c r="M724" s="181"/>
      <c r="N724" s="181"/>
      <c r="O724" s="181"/>
      <c r="P724" s="181"/>
      <c r="Q724" s="181"/>
      <c r="R724" s="181"/>
      <c r="S724" s="181"/>
      <c r="T724" s="181"/>
      <c r="U724" s="181"/>
      <c r="V724" s="181"/>
      <c r="W724" s="181"/>
      <c r="X724" s="181"/>
      <c r="Y724" s="181"/>
      <c r="Z724" s="181"/>
    </row>
    <row r="725">
      <c r="A725" s="194"/>
      <c r="B725" s="195"/>
      <c r="C725" s="181"/>
      <c r="D725" s="194"/>
      <c r="E725" s="194"/>
      <c r="F725" s="181"/>
      <c r="G725" s="181"/>
      <c r="H725" s="181"/>
      <c r="I725" s="181"/>
      <c r="J725" s="181"/>
      <c r="K725" s="181"/>
      <c r="L725" s="181"/>
      <c r="M725" s="181"/>
      <c r="N725" s="181"/>
      <c r="O725" s="181"/>
      <c r="P725" s="181"/>
      <c r="Q725" s="181"/>
      <c r="R725" s="181"/>
      <c r="S725" s="181"/>
      <c r="T725" s="181"/>
      <c r="U725" s="181"/>
      <c r="V725" s="181"/>
      <c r="W725" s="181"/>
      <c r="X725" s="181"/>
      <c r="Y725" s="181"/>
      <c r="Z725" s="181"/>
    </row>
    <row r="726">
      <c r="A726" s="194"/>
      <c r="B726" s="195"/>
      <c r="C726" s="181"/>
      <c r="D726" s="194"/>
      <c r="E726" s="194"/>
      <c r="F726" s="181"/>
      <c r="G726" s="181"/>
      <c r="H726" s="181"/>
      <c r="I726" s="181"/>
      <c r="J726" s="181"/>
      <c r="K726" s="181"/>
      <c r="L726" s="181"/>
      <c r="M726" s="181"/>
      <c r="N726" s="181"/>
      <c r="O726" s="181"/>
      <c r="P726" s="181"/>
      <c r="Q726" s="181"/>
      <c r="R726" s="181"/>
      <c r="S726" s="181"/>
      <c r="T726" s="181"/>
      <c r="U726" s="181"/>
      <c r="V726" s="181"/>
      <c r="W726" s="181"/>
      <c r="X726" s="181"/>
      <c r="Y726" s="181"/>
      <c r="Z726" s="181"/>
    </row>
    <row r="727">
      <c r="A727" s="194"/>
      <c r="B727" s="195"/>
      <c r="C727" s="181"/>
      <c r="D727" s="194"/>
      <c r="E727" s="194"/>
      <c r="F727" s="181"/>
      <c r="G727" s="181"/>
      <c r="H727" s="181"/>
      <c r="I727" s="181"/>
      <c r="J727" s="181"/>
      <c r="K727" s="181"/>
      <c r="L727" s="181"/>
      <c r="M727" s="181"/>
      <c r="N727" s="181"/>
      <c r="O727" s="181"/>
      <c r="P727" s="181"/>
      <c r="Q727" s="181"/>
      <c r="R727" s="181"/>
      <c r="S727" s="181"/>
      <c r="T727" s="181"/>
      <c r="U727" s="181"/>
      <c r="V727" s="181"/>
      <c r="W727" s="181"/>
      <c r="X727" s="181"/>
      <c r="Y727" s="181"/>
      <c r="Z727" s="181"/>
    </row>
    <row r="728">
      <c r="A728" s="194"/>
      <c r="B728" s="195"/>
      <c r="C728" s="181"/>
      <c r="D728" s="194"/>
      <c r="E728" s="194"/>
      <c r="F728" s="181"/>
      <c r="G728" s="181"/>
      <c r="H728" s="181"/>
      <c r="I728" s="181"/>
      <c r="J728" s="181"/>
      <c r="K728" s="181"/>
      <c r="L728" s="181"/>
      <c r="M728" s="181"/>
      <c r="N728" s="181"/>
      <c r="O728" s="181"/>
      <c r="P728" s="181"/>
      <c r="Q728" s="181"/>
      <c r="R728" s="181"/>
      <c r="S728" s="181"/>
      <c r="T728" s="181"/>
      <c r="U728" s="181"/>
      <c r="V728" s="181"/>
      <c r="W728" s="181"/>
      <c r="X728" s="181"/>
      <c r="Y728" s="181"/>
      <c r="Z728" s="181"/>
    </row>
    <row r="729">
      <c r="A729" s="194"/>
      <c r="B729" s="195"/>
      <c r="C729" s="181"/>
      <c r="D729" s="194"/>
      <c r="E729" s="194"/>
      <c r="F729" s="181"/>
      <c r="G729" s="181"/>
      <c r="H729" s="181"/>
      <c r="I729" s="181"/>
      <c r="J729" s="181"/>
      <c r="K729" s="181"/>
      <c r="L729" s="181"/>
      <c r="M729" s="181"/>
      <c r="N729" s="181"/>
      <c r="O729" s="181"/>
      <c r="P729" s="181"/>
      <c r="Q729" s="181"/>
      <c r="R729" s="181"/>
      <c r="S729" s="181"/>
      <c r="T729" s="181"/>
      <c r="U729" s="181"/>
      <c r="V729" s="181"/>
      <c r="W729" s="181"/>
      <c r="X729" s="181"/>
      <c r="Y729" s="181"/>
      <c r="Z729" s="181"/>
    </row>
    <row r="730">
      <c r="A730" s="194"/>
      <c r="B730" s="195"/>
      <c r="C730" s="181"/>
      <c r="D730" s="194"/>
      <c r="E730" s="194"/>
      <c r="F730" s="181"/>
      <c r="G730" s="181"/>
      <c r="H730" s="181"/>
      <c r="I730" s="181"/>
      <c r="J730" s="181"/>
      <c r="K730" s="181"/>
      <c r="L730" s="181"/>
      <c r="M730" s="181"/>
      <c r="N730" s="181"/>
      <c r="O730" s="181"/>
      <c r="P730" s="181"/>
      <c r="Q730" s="181"/>
      <c r="R730" s="181"/>
      <c r="S730" s="181"/>
      <c r="T730" s="181"/>
      <c r="U730" s="181"/>
      <c r="V730" s="181"/>
      <c r="W730" s="181"/>
      <c r="X730" s="181"/>
      <c r="Y730" s="181"/>
      <c r="Z730" s="181"/>
    </row>
    <row r="731">
      <c r="A731" s="194"/>
      <c r="B731" s="195"/>
      <c r="C731" s="181"/>
      <c r="D731" s="194"/>
      <c r="E731" s="194"/>
      <c r="F731" s="181"/>
      <c r="G731" s="181"/>
      <c r="H731" s="181"/>
      <c r="I731" s="181"/>
      <c r="J731" s="181"/>
      <c r="K731" s="181"/>
      <c r="L731" s="181"/>
      <c r="M731" s="181"/>
      <c r="N731" s="181"/>
      <c r="O731" s="181"/>
      <c r="P731" s="181"/>
      <c r="Q731" s="181"/>
      <c r="R731" s="181"/>
      <c r="S731" s="181"/>
      <c r="T731" s="181"/>
      <c r="U731" s="181"/>
      <c r="V731" s="181"/>
      <c r="W731" s="181"/>
      <c r="X731" s="181"/>
      <c r="Y731" s="181"/>
      <c r="Z731" s="181"/>
    </row>
    <row r="732">
      <c r="A732" s="194"/>
      <c r="B732" s="195"/>
      <c r="C732" s="181"/>
      <c r="D732" s="194"/>
      <c r="E732" s="194"/>
      <c r="F732" s="181"/>
      <c r="G732" s="181"/>
      <c r="H732" s="181"/>
      <c r="I732" s="181"/>
      <c r="J732" s="181"/>
      <c r="K732" s="181"/>
      <c r="L732" s="181"/>
      <c r="M732" s="181"/>
      <c r="N732" s="181"/>
      <c r="O732" s="181"/>
      <c r="P732" s="181"/>
      <c r="Q732" s="181"/>
      <c r="R732" s="181"/>
      <c r="S732" s="181"/>
      <c r="T732" s="181"/>
      <c r="U732" s="181"/>
      <c r="V732" s="181"/>
      <c r="W732" s="181"/>
      <c r="X732" s="181"/>
      <c r="Y732" s="181"/>
      <c r="Z732" s="181"/>
    </row>
    <row r="733">
      <c r="A733" s="194"/>
      <c r="B733" s="195"/>
      <c r="C733" s="181"/>
      <c r="D733" s="194"/>
      <c r="E733" s="194"/>
      <c r="F733" s="181"/>
      <c r="G733" s="181"/>
      <c r="H733" s="181"/>
      <c r="I733" s="181"/>
      <c r="J733" s="181"/>
      <c r="K733" s="181"/>
      <c r="L733" s="181"/>
      <c r="M733" s="181"/>
      <c r="N733" s="181"/>
      <c r="O733" s="181"/>
      <c r="P733" s="181"/>
      <c r="Q733" s="181"/>
      <c r="R733" s="181"/>
      <c r="S733" s="181"/>
      <c r="T733" s="181"/>
      <c r="U733" s="181"/>
      <c r="V733" s="181"/>
      <c r="W733" s="181"/>
      <c r="X733" s="181"/>
      <c r="Y733" s="181"/>
      <c r="Z733" s="181"/>
    </row>
    <row r="734">
      <c r="A734" s="194"/>
      <c r="B734" s="195"/>
      <c r="C734" s="181"/>
      <c r="D734" s="194"/>
      <c r="E734" s="194"/>
      <c r="F734" s="181"/>
      <c r="G734" s="181"/>
      <c r="H734" s="181"/>
      <c r="I734" s="181"/>
      <c r="J734" s="181"/>
      <c r="K734" s="181"/>
      <c r="L734" s="181"/>
      <c r="M734" s="181"/>
      <c r="N734" s="181"/>
      <c r="O734" s="181"/>
      <c r="P734" s="181"/>
      <c r="Q734" s="181"/>
      <c r="R734" s="181"/>
      <c r="S734" s="181"/>
      <c r="T734" s="181"/>
      <c r="U734" s="181"/>
      <c r="V734" s="181"/>
      <c r="W734" s="181"/>
      <c r="X734" s="181"/>
      <c r="Y734" s="181"/>
      <c r="Z734" s="181"/>
    </row>
    <row r="735">
      <c r="A735" s="194"/>
      <c r="B735" s="195"/>
      <c r="C735" s="181"/>
      <c r="D735" s="194"/>
      <c r="E735" s="194"/>
      <c r="F735" s="181"/>
      <c r="G735" s="181"/>
      <c r="H735" s="181"/>
      <c r="I735" s="181"/>
      <c r="J735" s="181"/>
      <c r="K735" s="181"/>
      <c r="L735" s="181"/>
      <c r="M735" s="181"/>
      <c r="N735" s="181"/>
      <c r="O735" s="181"/>
      <c r="P735" s="181"/>
      <c r="Q735" s="181"/>
      <c r="R735" s="181"/>
      <c r="S735" s="181"/>
      <c r="T735" s="181"/>
      <c r="U735" s="181"/>
      <c r="V735" s="181"/>
      <c r="W735" s="181"/>
      <c r="X735" s="181"/>
      <c r="Y735" s="181"/>
      <c r="Z735" s="181"/>
    </row>
    <row r="736">
      <c r="A736" s="194"/>
      <c r="B736" s="195"/>
      <c r="C736" s="181"/>
      <c r="D736" s="194"/>
      <c r="E736" s="194"/>
      <c r="F736" s="181"/>
      <c r="G736" s="181"/>
      <c r="H736" s="181"/>
      <c r="I736" s="181"/>
      <c r="J736" s="181"/>
      <c r="K736" s="181"/>
      <c r="L736" s="181"/>
      <c r="M736" s="181"/>
      <c r="N736" s="181"/>
      <c r="O736" s="181"/>
      <c r="P736" s="181"/>
      <c r="Q736" s="181"/>
      <c r="R736" s="181"/>
      <c r="S736" s="181"/>
      <c r="T736" s="181"/>
      <c r="U736" s="181"/>
      <c r="V736" s="181"/>
      <c r="W736" s="181"/>
      <c r="X736" s="181"/>
      <c r="Y736" s="181"/>
      <c r="Z736" s="181"/>
    </row>
    <row r="737">
      <c r="A737" s="194"/>
      <c r="B737" s="195"/>
      <c r="C737" s="181"/>
      <c r="D737" s="194"/>
      <c r="E737" s="194"/>
      <c r="F737" s="181"/>
      <c r="G737" s="181"/>
      <c r="H737" s="181"/>
      <c r="I737" s="181"/>
      <c r="J737" s="181"/>
      <c r="K737" s="181"/>
      <c r="L737" s="181"/>
      <c r="M737" s="181"/>
      <c r="N737" s="181"/>
      <c r="O737" s="181"/>
      <c r="P737" s="181"/>
      <c r="Q737" s="181"/>
      <c r="R737" s="181"/>
      <c r="S737" s="181"/>
      <c r="T737" s="181"/>
      <c r="U737" s="181"/>
      <c r="V737" s="181"/>
      <c r="W737" s="181"/>
      <c r="X737" s="181"/>
      <c r="Y737" s="181"/>
      <c r="Z737" s="181"/>
    </row>
    <row r="738">
      <c r="A738" s="194"/>
      <c r="B738" s="195"/>
      <c r="C738" s="181"/>
      <c r="D738" s="194"/>
      <c r="E738" s="194"/>
      <c r="F738" s="181"/>
      <c r="G738" s="181"/>
      <c r="H738" s="181"/>
      <c r="I738" s="181"/>
      <c r="J738" s="181"/>
      <c r="K738" s="181"/>
      <c r="L738" s="181"/>
      <c r="M738" s="181"/>
      <c r="N738" s="181"/>
      <c r="O738" s="181"/>
      <c r="P738" s="181"/>
      <c r="Q738" s="181"/>
      <c r="R738" s="181"/>
      <c r="S738" s="181"/>
      <c r="T738" s="181"/>
      <c r="U738" s="181"/>
      <c r="V738" s="181"/>
      <c r="W738" s="181"/>
      <c r="X738" s="181"/>
      <c r="Y738" s="181"/>
      <c r="Z738" s="181"/>
    </row>
    <row r="739">
      <c r="A739" s="194"/>
      <c r="B739" s="195"/>
      <c r="C739" s="181"/>
      <c r="D739" s="194"/>
      <c r="E739" s="194"/>
      <c r="F739" s="181"/>
      <c r="G739" s="181"/>
      <c r="H739" s="181"/>
      <c r="I739" s="181"/>
      <c r="J739" s="181"/>
      <c r="K739" s="181"/>
      <c r="L739" s="181"/>
      <c r="M739" s="181"/>
      <c r="N739" s="181"/>
      <c r="O739" s="181"/>
      <c r="P739" s="181"/>
      <c r="Q739" s="181"/>
      <c r="R739" s="181"/>
      <c r="S739" s="181"/>
      <c r="T739" s="181"/>
      <c r="U739" s="181"/>
      <c r="V739" s="181"/>
      <c r="W739" s="181"/>
      <c r="X739" s="181"/>
      <c r="Y739" s="181"/>
      <c r="Z739" s="181"/>
    </row>
    <row r="740">
      <c r="A740" s="194"/>
      <c r="B740" s="195"/>
      <c r="C740" s="181"/>
      <c r="D740" s="194"/>
      <c r="E740" s="194"/>
      <c r="F740" s="181"/>
      <c r="G740" s="181"/>
      <c r="H740" s="181"/>
      <c r="I740" s="181"/>
      <c r="J740" s="181"/>
      <c r="K740" s="181"/>
      <c r="L740" s="181"/>
      <c r="M740" s="181"/>
      <c r="N740" s="181"/>
      <c r="O740" s="181"/>
      <c r="P740" s="181"/>
      <c r="Q740" s="181"/>
      <c r="R740" s="181"/>
      <c r="S740" s="181"/>
      <c r="T740" s="181"/>
      <c r="U740" s="181"/>
      <c r="V740" s="181"/>
      <c r="W740" s="181"/>
      <c r="X740" s="181"/>
      <c r="Y740" s="181"/>
      <c r="Z740" s="181"/>
    </row>
    <row r="741">
      <c r="A741" s="194"/>
      <c r="B741" s="195"/>
      <c r="C741" s="181"/>
      <c r="D741" s="194"/>
      <c r="E741" s="194"/>
      <c r="F741" s="181"/>
      <c r="G741" s="181"/>
      <c r="H741" s="181"/>
      <c r="I741" s="181"/>
      <c r="J741" s="181"/>
      <c r="K741" s="181"/>
      <c r="L741" s="181"/>
      <c r="M741" s="181"/>
      <c r="N741" s="181"/>
      <c r="O741" s="181"/>
      <c r="P741" s="181"/>
      <c r="Q741" s="181"/>
      <c r="R741" s="181"/>
      <c r="S741" s="181"/>
      <c r="T741" s="181"/>
      <c r="U741" s="181"/>
      <c r="V741" s="181"/>
      <c r="W741" s="181"/>
      <c r="X741" s="181"/>
      <c r="Y741" s="181"/>
      <c r="Z741" s="181"/>
    </row>
    <row r="742">
      <c r="A742" s="194"/>
      <c r="B742" s="195"/>
      <c r="C742" s="181"/>
      <c r="D742" s="194"/>
      <c r="E742" s="194"/>
      <c r="F742" s="181"/>
      <c r="G742" s="181"/>
      <c r="H742" s="181"/>
      <c r="I742" s="181"/>
      <c r="J742" s="181"/>
      <c r="K742" s="181"/>
      <c r="L742" s="181"/>
      <c r="M742" s="181"/>
      <c r="N742" s="181"/>
      <c r="O742" s="181"/>
      <c r="P742" s="181"/>
      <c r="Q742" s="181"/>
      <c r="R742" s="181"/>
      <c r="S742" s="181"/>
      <c r="T742" s="181"/>
      <c r="U742" s="181"/>
      <c r="V742" s="181"/>
      <c r="W742" s="181"/>
      <c r="X742" s="181"/>
      <c r="Y742" s="181"/>
      <c r="Z742" s="181"/>
    </row>
    <row r="743">
      <c r="A743" s="194"/>
      <c r="B743" s="195"/>
      <c r="C743" s="181"/>
      <c r="D743" s="194"/>
      <c r="E743" s="194"/>
      <c r="F743" s="181"/>
      <c r="G743" s="181"/>
      <c r="H743" s="181"/>
      <c r="I743" s="181"/>
      <c r="J743" s="181"/>
      <c r="K743" s="181"/>
      <c r="L743" s="181"/>
      <c r="M743" s="181"/>
      <c r="N743" s="181"/>
      <c r="O743" s="181"/>
      <c r="P743" s="181"/>
      <c r="Q743" s="181"/>
      <c r="R743" s="181"/>
      <c r="S743" s="181"/>
      <c r="T743" s="181"/>
      <c r="U743" s="181"/>
      <c r="V743" s="181"/>
      <c r="W743" s="181"/>
      <c r="X743" s="181"/>
      <c r="Y743" s="181"/>
      <c r="Z743" s="181"/>
    </row>
    <row r="744">
      <c r="A744" s="194"/>
      <c r="B744" s="195"/>
      <c r="C744" s="181"/>
      <c r="D744" s="194"/>
      <c r="E744" s="194"/>
      <c r="F744" s="181"/>
      <c r="G744" s="181"/>
      <c r="H744" s="181"/>
      <c r="I744" s="181"/>
      <c r="J744" s="181"/>
      <c r="K744" s="181"/>
      <c r="L744" s="181"/>
      <c r="M744" s="181"/>
      <c r="N744" s="181"/>
      <c r="O744" s="181"/>
      <c r="P744" s="181"/>
      <c r="Q744" s="181"/>
      <c r="R744" s="181"/>
      <c r="S744" s="181"/>
      <c r="T744" s="181"/>
      <c r="U744" s="181"/>
      <c r="V744" s="181"/>
      <c r="W744" s="181"/>
      <c r="X744" s="181"/>
      <c r="Y744" s="181"/>
      <c r="Z744" s="181"/>
    </row>
    <row r="745">
      <c r="A745" s="194"/>
      <c r="B745" s="195"/>
      <c r="C745" s="181"/>
      <c r="D745" s="194"/>
      <c r="E745" s="194"/>
      <c r="F745" s="181"/>
      <c r="G745" s="181"/>
      <c r="H745" s="181"/>
      <c r="I745" s="181"/>
      <c r="J745" s="181"/>
      <c r="K745" s="181"/>
      <c r="L745" s="181"/>
      <c r="M745" s="181"/>
      <c r="N745" s="181"/>
      <c r="O745" s="181"/>
      <c r="P745" s="181"/>
      <c r="Q745" s="181"/>
      <c r="R745" s="181"/>
      <c r="S745" s="181"/>
      <c r="T745" s="181"/>
      <c r="U745" s="181"/>
      <c r="V745" s="181"/>
      <c r="W745" s="181"/>
      <c r="X745" s="181"/>
      <c r="Y745" s="181"/>
      <c r="Z745" s="181"/>
    </row>
    <row r="746">
      <c r="A746" s="194"/>
      <c r="B746" s="195"/>
      <c r="C746" s="181"/>
      <c r="D746" s="194"/>
      <c r="E746" s="194"/>
      <c r="F746" s="181"/>
      <c r="G746" s="181"/>
      <c r="H746" s="181"/>
      <c r="I746" s="181"/>
      <c r="J746" s="181"/>
      <c r="K746" s="181"/>
      <c r="L746" s="181"/>
      <c r="M746" s="181"/>
      <c r="N746" s="181"/>
      <c r="O746" s="181"/>
      <c r="P746" s="181"/>
      <c r="Q746" s="181"/>
      <c r="R746" s="181"/>
      <c r="S746" s="181"/>
      <c r="T746" s="181"/>
      <c r="U746" s="181"/>
      <c r="V746" s="181"/>
      <c r="W746" s="181"/>
      <c r="X746" s="181"/>
      <c r="Y746" s="181"/>
      <c r="Z746" s="181"/>
    </row>
    <row r="747">
      <c r="A747" s="194"/>
      <c r="B747" s="195"/>
      <c r="C747" s="181"/>
      <c r="D747" s="194"/>
      <c r="E747" s="194"/>
      <c r="F747" s="181"/>
      <c r="G747" s="181"/>
      <c r="H747" s="181"/>
      <c r="I747" s="181"/>
      <c r="J747" s="181"/>
      <c r="K747" s="181"/>
      <c r="L747" s="181"/>
      <c r="M747" s="181"/>
      <c r="N747" s="181"/>
      <c r="O747" s="181"/>
      <c r="P747" s="181"/>
      <c r="Q747" s="181"/>
      <c r="R747" s="181"/>
      <c r="S747" s="181"/>
      <c r="T747" s="181"/>
      <c r="U747" s="181"/>
      <c r="V747" s="181"/>
      <c r="W747" s="181"/>
      <c r="X747" s="181"/>
      <c r="Y747" s="181"/>
      <c r="Z747" s="181"/>
    </row>
    <row r="748">
      <c r="A748" s="194"/>
      <c r="B748" s="195"/>
      <c r="C748" s="181"/>
      <c r="D748" s="194"/>
      <c r="E748" s="194"/>
      <c r="F748" s="181"/>
      <c r="G748" s="181"/>
      <c r="H748" s="181"/>
      <c r="I748" s="181"/>
      <c r="J748" s="181"/>
      <c r="K748" s="181"/>
      <c r="L748" s="181"/>
      <c r="M748" s="181"/>
      <c r="N748" s="181"/>
      <c r="O748" s="181"/>
      <c r="P748" s="181"/>
      <c r="Q748" s="181"/>
      <c r="R748" s="181"/>
      <c r="S748" s="181"/>
      <c r="T748" s="181"/>
      <c r="U748" s="181"/>
      <c r="V748" s="181"/>
      <c r="W748" s="181"/>
      <c r="X748" s="181"/>
      <c r="Y748" s="181"/>
      <c r="Z748" s="181"/>
    </row>
    <row r="749">
      <c r="A749" s="194"/>
      <c r="B749" s="195"/>
      <c r="C749" s="181"/>
      <c r="D749" s="194"/>
      <c r="E749" s="194"/>
      <c r="F749" s="181"/>
      <c r="G749" s="181"/>
      <c r="H749" s="181"/>
      <c r="I749" s="181"/>
      <c r="J749" s="181"/>
      <c r="K749" s="181"/>
      <c r="L749" s="181"/>
      <c r="M749" s="181"/>
      <c r="N749" s="181"/>
      <c r="O749" s="181"/>
      <c r="P749" s="181"/>
      <c r="Q749" s="181"/>
      <c r="R749" s="181"/>
      <c r="S749" s="181"/>
      <c r="T749" s="181"/>
      <c r="U749" s="181"/>
      <c r="V749" s="181"/>
      <c r="W749" s="181"/>
      <c r="X749" s="181"/>
      <c r="Y749" s="181"/>
      <c r="Z749" s="181"/>
    </row>
    <row r="750">
      <c r="A750" s="194"/>
      <c r="B750" s="195"/>
      <c r="C750" s="181"/>
      <c r="D750" s="194"/>
      <c r="E750" s="194"/>
      <c r="F750" s="181"/>
      <c r="G750" s="181"/>
      <c r="H750" s="181"/>
      <c r="I750" s="181"/>
      <c r="J750" s="181"/>
      <c r="K750" s="181"/>
      <c r="L750" s="181"/>
      <c r="M750" s="181"/>
      <c r="N750" s="181"/>
      <c r="O750" s="181"/>
      <c r="P750" s="181"/>
      <c r="Q750" s="181"/>
      <c r="R750" s="181"/>
      <c r="S750" s="181"/>
      <c r="T750" s="181"/>
      <c r="U750" s="181"/>
      <c r="V750" s="181"/>
      <c r="W750" s="181"/>
      <c r="X750" s="181"/>
      <c r="Y750" s="181"/>
      <c r="Z750" s="181"/>
    </row>
    <row r="751">
      <c r="A751" s="194"/>
      <c r="B751" s="195"/>
      <c r="C751" s="181"/>
      <c r="D751" s="194"/>
      <c r="E751" s="194"/>
      <c r="F751" s="181"/>
      <c r="G751" s="181"/>
      <c r="H751" s="181"/>
      <c r="I751" s="181"/>
      <c r="J751" s="181"/>
      <c r="K751" s="181"/>
      <c r="L751" s="181"/>
      <c r="M751" s="181"/>
      <c r="N751" s="181"/>
      <c r="O751" s="181"/>
      <c r="P751" s="181"/>
      <c r="Q751" s="181"/>
      <c r="R751" s="181"/>
      <c r="S751" s="181"/>
      <c r="T751" s="181"/>
      <c r="U751" s="181"/>
      <c r="V751" s="181"/>
      <c r="W751" s="181"/>
      <c r="X751" s="181"/>
      <c r="Y751" s="181"/>
      <c r="Z751" s="181"/>
    </row>
    <row r="752">
      <c r="A752" s="194"/>
      <c r="B752" s="195"/>
      <c r="C752" s="181"/>
      <c r="D752" s="194"/>
      <c r="E752" s="194"/>
      <c r="F752" s="181"/>
      <c r="G752" s="181"/>
      <c r="H752" s="181"/>
      <c r="I752" s="181"/>
      <c r="J752" s="181"/>
      <c r="K752" s="181"/>
      <c r="L752" s="181"/>
      <c r="M752" s="181"/>
      <c r="N752" s="181"/>
      <c r="O752" s="181"/>
      <c r="P752" s="181"/>
      <c r="Q752" s="181"/>
      <c r="R752" s="181"/>
      <c r="S752" s="181"/>
      <c r="T752" s="181"/>
      <c r="U752" s="181"/>
      <c r="V752" s="181"/>
      <c r="W752" s="181"/>
      <c r="X752" s="181"/>
      <c r="Y752" s="181"/>
      <c r="Z752" s="181"/>
    </row>
    <row r="753">
      <c r="A753" s="194"/>
      <c r="B753" s="195"/>
      <c r="C753" s="181"/>
      <c r="D753" s="194"/>
      <c r="E753" s="194"/>
      <c r="F753" s="181"/>
      <c r="G753" s="181"/>
      <c r="H753" s="181"/>
      <c r="I753" s="181"/>
      <c r="J753" s="181"/>
      <c r="K753" s="181"/>
      <c r="L753" s="181"/>
      <c r="M753" s="181"/>
      <c r="N753" s="181"/>
      <c r="O753" s="181"/>
      <c r="P753" s="181"/>
      <c r="Q753" s="181"/>
      <c r="R753" s="181"/>
      <c r="S753" s="181"/>
      <c r="T753" s="181"/>
      <c r="U753" s="181"/>
      <c r="V753" s="181"/>
      <c r="W753" s="181"/>
      <c r="X753" s="181"/>
      <c r="Y753" s="181"/>
      <c r="Z753" s="181"/>
    </row>
    <row r="754">
      <c r="A754" s="194"/>
      <c r="B754" s="195"/>
      <c r="C754" s="181"/>
      <c r="D754" s="194"/>
      <c r="E754" s="194"/>
      <c r="F754" s="181"/>
      <c r="G754" s="181"/>
      <c r="H754" s="181"/>
      <c r="I754" s="181"/>
      <c r="J754" s="181"/>
      <c r="K754" s="181"/>
      <c r="L754" s="181"/>
      <c r="M754" s="181"/>
      <c r="N754" s="181"/>
      <c r="O754" s="181"/>
      <c r="P754" s="181"/>
      <c r="Q754" s="181"/>
      <c r="R754" s="181"/>
      <c r="S754" s="181"/>
      <c r="T754" s="181"/>
      <c r="U754" s="181"/>
      <c r="V754" s="181"/>
      <c r="W754" s="181"/>
      <c r="X754" s="181"/>
      <c r="Y754" s="181"/>
      <c r="Z754" s="181"/>
    </row>
    <row r="755">
      <c r="A755" s="194"/>
      <c r="B755" s="195"/>
      <c r="C755" s="181"/>
      <c r="D755" s="194"/>
      <c r="E755" s="194"/>
      <c r="F755" s="181"/>
      <c r="G755" s="181"/>
      <c r="H755" s="181"/>
      <c r="I755" s="181"/>
      <c r="J755" s="181"/>
      <c r="K755" s="181"/>
      <c r="L755" s="181"/>
      <c r="M755" s="181"/>
      <c r="N755" s="181"/>
      <c r="O755" s="181"/>
      <c r="P755" s="181"/>
      <c r="Q755" s="181"/>
      <c r="R755" s="181"/>
      <c r="S755" s="181"/>
      <c r="T755" s="181"/>
      <c r="U755" s="181"/>
      <c r="V755" s="181"/>
      <c r="W755" s="181"/>
      <c r="X755" s="181"/>
      <c r="Y755" s="181"/>
      <c r="Z755" s="181"/>
    </row>
    <row r="756">
      <c r="A756" s="194"/>
      <c r="B756" s="195"/>
      <c r="C756" s="181"/>
      <c r="D756" s="194"/>
      <c r="E756" s="194"/>
      <c r="F756" s="181"/>
      <c r="G756" s="181"/>
      <c r="H756" s="181"/>
      <c r="I756" s="181"/>
      <c r="J756" s="181"/>
      <c r="K756" s="181"/>
      <c r="L756" s="181"/>
      <c r="M756" s="181"/>
      <c r="N756" s="181"/>
      <c r="O756" s="181"/>
      <c r="P756" s="181"/>
      <c r="Q756" s="181"/>
      <c r="R756" s="181"/>
      <c r="S756" s="181"/>
      <c r="T756" s="181"/>
      <c r="U756" s="181"/>
      <c r="V756" s="181"/>
      <c r="W756" s="181"/>
      <c r="X756" s="181"/>
      <c r="Y756" s="181"/>
      <c r="Z756" s="181"/>
    </row>
    <row r="757">
      <c r="A757" s="194"/>
      <c r="B757" s="195"/>
      <c r="C757" s="181"/>
      <c r="D757" s="194"/>
      <c r="E757" s="194"/>
      <c r="F757" s="181"/>
      <c r="G757" s="181"/>
      <c r="H757" s="181"/>
      <c r="I757" s="181"/>
      <c r="J757" s="181"/>
      <c r="K757" s="181"/>
      <c r="L757" s="181"/>
      <c r="M757" s="181"/>
      <c r="N757" s="181"/>
      <c r="O757" s="181"/>
      <c r="P757" s="181"/>
      <c r="Q757" s="181"/>
      <c r="R757" s="181"/>
      <c r="S757" s="181"/>
      <c r="T757" s="181"/>
      <c r="U757" s="181"/>
      <c r="V757" s="181"/>
      <c r="W757" s="181"/>
      <c r="X757" s="181"/>
      <c r="Y757" s="181"/>
      <c r="Z757" s="181"/>
    </row>
    <row r="758">
      <c r="A758" s="194"/>
      <c r="B758" s="195"/>
      <c r="C758" s="181"/>
      <c r="D758" s="194"/>
      <c r="E758" s="194"/>
      <c r="F758" s="181"/>
      <c r="G758" s="181"/>
      <c r="H758" s="181"/>
      <c r="I758" s="181"/>
      <c r="J758" s="181"/>
      <c r="K758" s="181"/>
      <c r="L758" s="181"/>
      <c r="M758" s="181"/>
      <c r="N758" s="181"/>
      <c r="O758" s="181"/>
      <c r="P758" s="181"/>
      <c r="Q758" s="181"/>
      <c r="R758" s="181"/>
      <c r="S758" s="181"/>
      <c r="T758" s="181"/>
      <c r="U758" s="181"/>
      <c r="V758" s="181"/>
      <c r="W758" s="181"/>
      <c r="X758" s="181"/>
      <c r="Y758" s="181"/>
      <c r="Z758" s="181"/>
    </row>
    <row r="759">
      <c r="A759" s="194"/>
      <c r="B759" s="195"/>
      <c r="C759" s="181"/>
      <c r="D759" s="194"/>
      <c r="E759" s="194"/>
      <c r="F759" s="181"/>
      <c r="G759" s="181"/>
      <c r="H759" s="181"/>
      <c r="I759" s="181"/>
      <c r="J759" s="181"/>
      <c r="K759" s="181"/>
      <c r="L759" s="181"/>
      <c r="M759" s="181"/>
      <c r="N759" s="181"/>
      <c r="O759" s="181"/>
      <c r="P759" s="181"/>
      <c r="Q759" s="181"/>
      <c r="R759" s="181"/>
      <c r="S759" s="181"/>
      <c r="T759" s="181"/>
      <c r="U759" s="181"/>
      <c r="V759" s="181"/>
      <c r="W759" s="181"/>
      <c r="X759" s="181"/>
      <c r="Y759" s="181"/>
      <c r="Z759" s="181"/>
    </row>
    <row r="760">
      <c r="A760" s="194"/>
      <c r="B760" s="195"/>
      <c r="C760" s="181"/>
      <c r="D760" s="194"/>
      <c r="E760" s="194"/>
      <c r="F760" s="181"/>
      <c r="G760" s="181"/>
      <c r="H760" s="181"/>
      <c r="I760" s="181"/>
      <c r="J760" s="181"/>
      <c r="K760" s="181"/>
      <c r="L760" s="181"/>
      <c r="M760" s="181"/>
      <c r="N760" s="181"/>
      <c r="O760" s="181"/>
      <c r="P760" s="181"/>
      <c r="Q760" s="181"/>
      <c r="R760" s="181"/>
      <c r="S760" s="181"/>
      <c r="T760" s="181"/>
      <c r="U760" s="181"/>
      <c r="V760" s="181"/>
      <c r="W760" s="181"/>
      <c r="X760" s="181"/>
      <c r="Y760" s="181"/>
      <c r="Z760" s="181"/>
    </row>
    <row r="761">
      <c r="A761" s="194"/>
      <c r="B761" s="195"/>
      <c r="C761" s="181"/>
      <c r="D761" s="194"/>
      <c r="E761" s="194"/>
      <c r="F761" s="181"/>
      <c r="G761" s="181"/>
      <c r="H761" s="181"/>
      <c r="I761" s="181"/>
      <c r="J761" s="181"/>
      <c r="K761" s="181"/>
      <c r="L761" s="181"/>
      <c r="M761" s="181"/>
      <c r="N761" s="181"/>
      <c r="O761" s="181"/>
      <c r="P761" s="181"/>
      <c r="Q761" s="181"/>
      <c r="R761" s="181"/>
      <c r="S761" s="181"/>
      <c r="T761" s="181"/>
      <c r="U761" s="181"/>
      <c r="V761" s="181"/>
      <c r="W761" s="181"/>
      <c r="X761" s="181"/>
      <c r="Y761" s="181"/>
      <c r="Z761" s="181"/>
    </row>
    <row r="762">
      <c r="A762" s="194"/>
      <c r="B762" s="195"/>
      <c r="C762" s="181"/>
      <c r="D762" s="194"/>
      <c r="E762" s="194"/>
      <c r="F762" s="181"/>
      <c r="G762" s="181"/>
      <c r="H762" s="181"/>
      <c r="I762" s="181"/>
      <c r="J762" s="181"/>
      <c r="K762" s="181"/>
      <c r="L762" s="181"/>
      <c r="M762" s="181"/>
      <c r="N762" s="181"/>
      <c r="O762" s="181"/>
      <c r="P762" s="181"/>
      <c r="Q762" s="181"/>
      <c r="R762" s="181"/>
      <c r="S762" s="181"/>
      <c r="T762" s="181"/>
      <c r="U762" s="181"/>
      <c r="V762" s="181"/>
      <c r="W762" s="181"/>
      <c r="X762" s="181"/>
      <c r="Y762" s="181"/>
      <c r="Z762" s="181"/>
    </row>
    <row r="763">
      <c r="A763" s="194"/>
      <c r="B763" s="195"/>
      <c r="C763" s="181"/>
      <c r="D763" s="194"/>
      <c r="E763" s="194"/>
      <c r="F763" s="181"/>
      <c r="G763" s="181"/>
      <c r="H763" s="181"/>
      <c r="I763" s="181"/>
      <c r="J763" s="181"/>
      <c r="K763" s="181"/>
      <c r="L763" s="181"/>
      <c r="M763" s="181"/>
      <c r="N763" s="181"/>
      <c r="O763" s="181"/>
      <c r="P763" s="181"/>
      <c r="Q763" s="181"/>
      <c r="R763" s="181"/>
      <c r="S763" s="181"/>
      <c r="T763" s="181"/>
      <c r="U763" s="181"/>
      <c r="V763" s="181"/>
      <c r="W763" s="181"/>
      <c r="X763" s="181"/>
      <c r="Y763" s="181"/>
      <c r="Z763" s="181"/>
    </row>
    <row r="764">
      <c r="A764" s="194"/>
      <c r="B764" s="195"/>
      <c r="C764" s="181"/>
      <c r="D764" s="194"/>
      <c r="E764" s="194"/>
      <c r="F764" s="181"/>
      <c r="G764" s="181"/>
      <c r="H764" s="181"/>
      <c r="I764" s="181"/>
      <c r="J764" s="181"/>
      <c r="K764" s="181"/>
      <c r="L764" s="181"/>
      <c r="M764" s="181"/>
      <c r="N764" s="181"/>
      <c r="O764" s="181"/>
      <c r="P764" s="181"/>
      <c r="Q764" s="181"/>
      <c r="R764" s="181"/>
      <c r="S764" s="181"/>
      <c r="T764" s="181"/>
      <c r="U764" s="181"/>
      <c r="V764" s="181"/>
      <c r="W764" s="181"/>
      <c r="X764" s="181"/>
      <c r="Y764" s="181"/>
      <c r="Z764" s="181"/>
    </row>
    <row r="765">
      <c r="A765" s="194"/>
      <c r="B765" s="195"/>
      <c r="C765" s="181"/>
      <c r="D765" s="194"/>
      <c r="E765" s="194"/>
      <c r="F765" s="181"/>
      <c r="G765" s="181"/>
      <c r="H765" s="181"/>
      <c r="I765" s="181"/>
      <c r="J765" s="181"/>
      <c r="K765" s="181"/>
      <c r="L765" s="181"/>
      <c r="M765" s="181"/>
      <c r="N765" s="181"/>
      <c r="O765" s="181"/>
      <c r="P765" s="181"/>
      <c r="Q765" s="181"/>
      <c r="R765" s="181"/>
      <c r="S765" s="181"/>
      <c r="T765" s="181"/>
      <c r="U765" s="181"/>
      <c r="V765" s="181"/>
      <c r="W765" s="181"/>
      <c r="X765" s="181"/>
      <c r="Y765" s="181"/>
      <c r="Z765" s="181"/>
    </row>
    <row r="766">
      <c r="A766" s="194"/>
      <c r="B766" s="195"/>
      <c r="C766" s="181"/>
      <c r="D766" s="194"/>
      <c r="E766" s="194"/>
      <c r="F766" s="181"/>
      <c r="G766" s="181"/>
      <c r="H766" s="181"/>
      <c r="I766" s="181"/>
      <c r="J766" s="181"/>
      <c r="K766" s="181"/>
      <c r="L766" s="181"/>
      <c r="M766" s="181"/>
      <c r="N766" s="181"/>
      <c r="O766" s="181"/>
      <c r="P766" s="181"/>
      <c r="Q766" s="181"/>
      <c r="R766" s="181"/>
      <c r="S766" s="181"/>
      <c r="T766" s="181"/>
      <c r="U766" s="181"/>
      <c r="V766" s="181"/>
      <c r="W766" s="181"/>
      <c r="X766" s="181"/>
      <c r="Y766" s="181"/>
      <c r="Z766" s="181"/>
    </row>
    <row r="767">
      <c r="A767" s="194"/>
      <c r="B767" s="195"/>
      <c r="C767" s="181"/>
      <c r="D767" s="194"/>
      <c r="E767" s="194"/>
      <c r="F767" s="181"/>
      <c r="G767" s="181"/>
      <c r="H767" s="181"/>
      <c r="I767" s="181"/>
      <c r="J767" s="181"/>
      <c r="K767" s="181"/>
      <c r="L767" s="181"/>
      <c r="M767" s="181"/>
      <c r="N767" s="181"/>
      <c r="O767" s="181"/>
      <c r="P767" s="181"/>
      <c r="Q767" s="181"/>
      <c r="R767" s="181"/>
      <c r="S767" s="181"/>
      <c r="T767" s="181"/>
      <c r="U767" s="181"/>
      <c r="V767" s="181"/>
      <c r="W767" s="181"/>
      <c r="X767" s="181"/>
      <c r="Y767" s="181"/>
      <c r="Z767" s="181"/>
    </row>
    <row r="768">
      <c r="A768" s="194"/>
      <c r="B768" s="195"/>
      <c r="C768" s="181"/>
      <c r="D768" s="194"/>
      <c r="E768" s="194"/>
      <c r="F768" s="181"/>
      <c r="G768" s="181"/>
      <c r="H768" s="181"/>
      <c r="I768" s="181"/>
      <c r="J768" s="181"/>
      <c r="K768" s="181"/>
      <c r="L768" s="181"/>
      <c r="M768" s="181"/>
      <c r="N768" s="181"/>
      <c r="O768" s="181"/>
      <c r="P768" s="181"/>
      <c r="Q768" s="181"/>
      <c r="R768" s="181"/>
      <c r="S768" s="181"/>
      <c r="T768" s="181"/>
      <c r="U768" s="181"/>
      <c r="V768" s="181"/>
      <c r="W768" s="181"/>
      <c r="X768" s="181"/>
      <c r="Y768" s="181"/>
      <c r="Z768" s="181"/>
    </row>
    <row r="769">
      <c r="A769" s="194"/>
      <c r="B769" s="195"/>
      <c r="C769" s="181"/>
      <c r="D769" s="194"/>
      <c r="E769" s="194"/>
      <c r="F769" s="181"/>
      <c r="G769" s="181"/>
      <c r="H769" s="181"/>
      <c r="I769" s="181"/>
      <c r="J769" s="181"/>
      <c r="K769" s="181"/>
      <c r="L769" s="181"/>
      <c r="M769" s="181"/>
      <c r="N769" s="181"/>
      <c r="O769" s="181"/>
      <c r="P769" s="181"/>
      <c r="Q769" s="181"/>
      <c r="R769" s="181"/>
      <c r="S769" s="181"/>
      <c r="T769" s="181"/>
      <c r="U769" s="181"/>
      <c r="V769" s="181"/>
      <c r="W769" s="181"/>
      <c r="X769" s="181"/>
      <c r="Y769" s="181"/>
      <c r="Z769" s="181"/>
    </row>
    <row r="770">
      <c r="A770" s="194"/>
      <c r="B770" s="195"/>
      <c r="C770" s="181"/>
      <c r="D770" s="194"/>
      <c r="E770" s="194"/>
      <c r="F770" s="181"/>
      <c r="G770" s="181"/>
      <c r="H770" s="181"/>
      <c r="I770" s="181"/>
      <c r="J770" s="181"/>
      <c r="K770" s="181"/>
      <c r="L770" s="181"/>
      <c r="M770" s="181"/>
      <c r="N770" s="181"/>
      <c r="O770" s="181"/>
      <c r="P770" s="181"/>
      <c r="Q770" s="181"/>
      <c r="R770" s="181"/>
      <c r="S770" s="181"/>
      <c r="T770" s="181"/>
      <c r="U770" s="181"/>
      <c r="V770" s="181"/>
      <c r="W770" s="181"/>
      <c r="X770" s="181"/>
      <c r="Y770" s="181"/>
      <c r="Z770" s="181"/>
    </row>
    <row r="771">
      <c r="A771" s="194"/>
      <c r="B771" s="195"/>
      <c r="C771" s="181"/>
      <c r="D771" s="194"/>
      <c r="E771" s="194"/>
      <c r="F771" s="181"/>
      <c r="G771" s="181"/>
      <c r="H771" s="181"/>
      <c r="I771" s="181"/>
      <c r="J771" s="181"/>
      <c r="K771" s="181"/>
      <c r="L771" s="181"/>
      <c r="M771" s="181"/>
      <c r="N771" s="181"/>
      <c r="O771" s="181"/>
      <c r="P771" s="181"/>
      <c r="Q771" s="181"/>
      <c r="R771" s="181"/>
      <c r="S771" s="181"/>
      <c r="T771" s="181"/>
      <c r="U771" s="181"/>
      <c r="V771" s="181"/>
      <c r="W771" s="181"/>
      <c r="X771" s="181"/>
      <c r="Y771" s="181"/>
      <c r="Z771" s="181"/>
    </row>
    <row r="772">
      <c r="A772" s="194"/>
      <c r="B772" s="195"/>
      <c r="C772" s="181"/>
      <c r="D772" s="194"/>
      <c r="E772" s="194"/>
      <c r="F772" s="181"/>
      <c r="G772" s="181"/>
      <c r="H772" s="181"/>
      <c r="I772" s="181"/>
      <c r="J772" s="181"/>
      <c r="K772" s="181"/>
      <c r="L772" s="181"/>
      <c r="M772" s="181"/>
      <c r="N772" s="181"/>
      <c r="O772" s="181"/>
      <c r="P772" s="181"/>
      <c r="Q772" s="181"/>
      <c r="R772" s="181"/>
      <c r="S772" s="181"/>
      <c r="T772" s="181"/>
      <c r="U772" s="181"/>
      <c r="V772" s="181"/>
      <c r="W772" s="181"/>
      <c r="X772" s="181"/>
      <c r="Y772" s="181"/>
      <c r="Z772" s="181"/>
    </row>
    <row r="773">
      <c r="A773" s="194"/>
      <c r="B773" s="195"/>
      <c r="C773" s="181"/>
      <c r="D773" s="194"/>
      <c r="E773" s="194"/>
      <c r="F773" s="181"/>
      <c r="G773" s="181"/>
      <c r="H773" s="181"/>
      <c r="I773" s="181"/>
      <c r="J773" s="181"/>
      <c r="K773" s="181"/>
      <c r="L773" s="181"/>
      <c r="M773" s="181"/>
      <c r="N773" s="181"/>
      <c r="O773" s="181"/>
      <c r="P773" s="181"/>
      <c r="Q773" s="181"/>
      <c r="R773" s="181"/>
      <c r="S773" s="181"/>
      <c r="T773" s="181"/>
      <c r="U773" s="181"/>
      <c r="V773" s="181"/>
      <c r="W773" s="181"/>
      <c r="X773" s="181"/>
      <c r="Y773" s="181"/>
      <c r="Z773" s="181"/>
    </row>
    <row r="774">
      <c r="A774" s="194"/>
      <c r="B774" s="195"/>
      <c r="C774" s="181"/>
      <c r="D774" s="194"/>
      <c r="E774" s="194"/>
      <c r="F774" s="181"/>
      <c r="G774" s="181"/>
      <c r="H774" s="181"/>
      <c r="I774" s="181"/>
      <c r="J774" s="181"/>
      <c r="K774" s="181"/>
      <c r="L774" s="181"/>
      <c r="M774" s="181"/>
      <c r="N774" s="181"/>
      <c r="O774" s="181"/>
      <c r="P774" s="181"/>
      <c r="Q774" s="181"/>
      <c r="R774" s="181"/>
      <c r="S774" s="181"/>
      <c r="T774" s="181"/>
      <c r="U774" s="181"/>
      <c r="V774" s="181"/>
      <c r="W774" s="181"/>
      <c r="X774" s="181"/>
      <c r="Y774" s="181"/>
      <c r="Z774" s="181"/>
    </row>
    <row r="775">
      <c r="A775" s="194"/>
      <c r="B775" s="195"/>
      <c r="C775" s="181"/>
      <c r="D775" s="194"/>
      <c r="E775" s="194"/>
      <c r="F775" s="181"/>
      <c r="G775" s="181"/>
      <c r="H775" s="181"/>
      <c r="I775" s="181"/>
      <c r="J775" s="181"/>
      <c r="K775" s="181"/>
      <c r="L775" s="181"/>
      <c r="M775" s="181"/>
      <c r="N775" s="181"/>
      <c r="O775" s="181"/>
      <c r="P775" s="181"/>
      <c r="Q775" s="181"/>
      <c r="R775" s="181"/>
      <c r="S775" s="181"/>
      <c r="T775" s="181"/>
      <c r="U775" s="181"/>
      <c r="V775" s="181"/>
      <c r="W775" s="181"/>
      <c r="X775" s="181"/>
      <c r="Y775" s="181"/>
      <c r="Z775" s="181"/>
    </row>
    <row r="776">
      <c r="A776" s="194"/>
      <c r="B776" s="195"/>
      <c r="C776" s="181"/>
      <c r="D776" s="194"/>
      <c r="E776" s="194"/>
      <c r="F776" s="181"/>
      <c r="G776" s="181"/>
      <c r="H776" s="181"/>
      <c r="I776" s="181"/>
      <c r="J776" s="181"/>
      <c r="K776" s="181"/>
      <c r="L776" s="181"/>
      <c r="M776" s="181"/>
      <c r="N776" s="181"/>
      <c r="O776" s="181"/>
      <c r="P776" s="181"/>
      <c r="Q776" s="181"/>
      <c r="R776" s="181"/>
      <c r="S776" s="181"/>
      <c r="T776" s="181"/>
      <c r="U776" s="181"/>
      <c r="V776" s="181"/>
      <c r="W776" s="181"/>
      <c r="X776" s="181"/>
      <c r="Y776" s="181"/>
      <c r="Z776" s="181"/>
    </row>
    <row r="777">
      <c r="A777" s="194"/>
      <c r="B777" s="195"/>
      <c r="C777" s="181"/>
      <c r="D777" s="194"/>
      <c r="E777" s="194"/>
      <c r="F777" s="181"/>
      <c r="G777" s="181"/>
      <c r="H777" s="181"/>
      <c r="I777" s="181"/>
      <c r="J777" s="181"/>
      <c r="K777" s="181"/>
      <c r="L777" s="181"/>
      <c r="M777" s="181"/>
      <c r="N777" s="181"/>
      <c r="O777" s="181"/>
      <c r="P777" s="181"/>
      <c r="Q777" s="181"/>
      <c r="R777" s="181"/>
      <c r="S777" s="181"/>
      <c r="T777" s="181"/>
      <c r="U777" s="181"/>
      <c r="V777" s="181"/>
      <c r="W777" s="181"/>
      <c r="X777" s="181"/>
      <c r="Y777" s="181"/>
      <c r="Z777" s="181"/>
    </row>
    <row r="778">
      <c r="A778" s="194"/>
      <c r="B778" s="195"/>
      <c r="C778" s="181"/>
      <c r="D778" s="194"/>
      <c r="E778" s="194"/>
      <c r="F778" s="181"/>
      <c r="G778" s="181"/>
      <c r="H778" s="181"/>
      <c r="I778" s="181"/>
      <c r="J778" s="181"/>
      <c r="K778" s="181"/>
      <c r="L778" s="181"/>
      <c r="M778" s="181"/>
      <c r="N778" s="181"/>
      <c r="O778" s="181"/>
      <c r="P778" s="181"/>
      <c r="Q778" s="181"/>
      <c r="R778" s="181"/>
      <c r="S778" s="181"/>
      <c r="T778" s="181"/>
      <c r="U778" s="181"/>
      <c r="V778" s="181"/>
      <c r="W778" s="181"/>
      <c r="X778" s="181"/>
      <c r="Y778" s="181"/>
      <c r="Z778" s="181"/>
    </row>
    <row r="779">
      <c r="A779" s="194"/>
      <c r="B779" s="195"/>
      <c r="C779" s="181"/>
      <c r="D779" s="194"/>
      <c r="E779" s="194"/>
      <c r="F779" s="181"/>
      <c r="G779" s="181"/>
      <c r="H779" s="181"/>
      <c r="I779" s="181"/>
      <c r="J779" s="181"/>
      <c r="K779" s="181"/>
      <c r="L779" s="181"/>
      <c r="M779" s="181"/>
      <c r="N779" s="181"/>
      <c r="O779" s="181"/>
      <c r="P779" s="181"/>
      <c r="Q779" s="181"/>
      <c r="R779" s="181"/>
      <c r="S779" s="181"/>
      <c r="T779" s="181"/>
      <c r="U779" s="181"/>
      <c r="V779" s="181"/>
      <c r="W779" s="181"/>
      <c r="X779" s="181"/>
      <c r="Y779" s="181"/>
      <c r="Z779" s="181"/>
    </row>
    <row r="780">
      <c r="A780" s="194"/>
      <c r="B780" s="195"/>
      <c r="C780" s="181"/>
      <c r="D780" s="194"/>
      <c r="E780" s="194"/>
      <c r="F780" s="181"/>
      <c r="G780" s="181"/>
      <c r="H780" s="181"/>
      <c r="I780" s="181"/>
      <c r="J780" s="181"/>
      <c r="K780" s="181"/>
      <c r="L780" s="181"/>
      <c r="M780" s="181"/>
      <c r="N780" s="181"/>
      <c r="O780" s="181"/>
      <c r="P780" s="181"/>
      <c r="Q780" s="181"/>
      <c r="R780" s="181"/>
      <c r="S780" s="181"/>
      <c r="T780" s="181"/>
      <c r="U780" s="181"/>
      <c r="V780" s="181"/>
      <c r="W780" s="181"/>
      <c r="X780" s="181"/>
      <c r="Y780" s="181"/>
      <c r="Z780" s="181"/>
    </row>
    <row r="781">
      <c r="A781" s="194"/>
      <c r="B781" s="195"/>
      <c r="C781" s="181"/>
      <c r="D781" s="194"/>
      <c r="E781" s="194"/>
      <c r="F781" s="181"/>
      <c r="G781" s="181"/>
      <c r="H781" s="181"/>
      <c r="I781" s="181"/>
      <c r="J781" s="181"/>
      <c r="K781" s="181"/>
      <c r="L781" s="181"/>
      <c r="M781" s="181"/>
      <c r="N781" s="181"/>
      <c r="O781" s="181"/>
      <c r="P781" s="181"/>
      <c r="Q781" s="181"/>
      <c r="R781" s="181"/>
      <c r="S781" s="181"/>
      <c r="T781" s="181"/>
      <c r="U781" s="181"/>
      <c r="V781" s="181"/>
      <c r="W781" s="181"/>
      <c r="X781" s="181"/>
      <c r="Y781" s="181"/>
      <c r="Z781" s="181"/>
    </row>
    <row r="782">
      <c r="A782" s="194"/>
      <c r="B782" s="195"/>
      <c r="C782" s="181"/>
      <c r="D782" s="194"/>
      <c r="E782" s="194"/>
      <c r="F782" s="181"/>
      <c r="G782" s="181"/>
      <c r="H782" s="181"/>
      <c r="I782" s="181"/>
      <c r="J782" s="181"/>
      <c r="K782" s="181"/>
      <c r="L782" s="181"/>
      <c r="M782" s="181"/>
      <c r="N782" s="181"/>
      <c r="O782" s="181"/>
      <c r="P782" s="181"/>
      <c r="Q782" s="181"/>
      <c r="R782" s="181"/>
      <c r="S782" s="181"/>
      <c r="T782" s="181"/>
      <c r="U782" s="181"/>
      <c r="V782" s="181"/>
      <c r="W782" s="181"/>
      <c r="X782" s="181"/>
      <c r="Y782" s="181"/>
      <c r="Z782" s="181"/>
    </row>
    <row r="783">
      <c r="A783" s="194"/>
      <c r="B783" s="195"/>
      <c r="C783" s="181"/>
      <c r="D783" s="194"/>
      <c r="E783" s="194"/>
      <c r="F783" s="181"/>
      <c r="G783" s="181"/>
      <c r="H783" s="181"/>
      <c r="I783" s="181"/>
      <c r="J783" s="181"/>
      <c r="K783" s="181"/>
      <c r="L783" s="181"/>
      <c r="M783" s="181"/>
      <c r="N783" s="181"/>
      <c r="O783" s="181"/>
      <c r="P783" s="181"/>
      <c r="Q783" s="181"/>
      <c r="R783" s="181"/>
      <c r="S783" s="181"/>
      <c r="T783" s="181"/>
      <c r="U783" s="181"/>
      <c r="V783" s="181"/>
      <c r="W783" s="181"/>
      <c r="X783" s="181"/>
      <c r="Y783" s="181"/>
      <c r="Z783" s="181"/>
    </row>
    <row r="784">
      <c r="A784" s="194"/>
      <c r="B784" s="195"/>
      <c r="C784" s="181"/>
      <c r="D784" s="194"/>
      <c r="E784" s="194"/>
      <c r="F784" s="181"/>
      <c r="G784" s="181"/>
      <c r="H784" s="181"/>
      <c r="I784" s="181"/>
      <c r="J784" s="181"/>
      <c r="K784" s="181"/>
      <c r="L784" s="181"/>
      <c r="M784" s="181"/>
      <c r="N784" s="181"/>
      <c r="O784" s="181"/>
      <c r="P784" s="181"/>
      <c r="Q784" s="181"/>
      <c r="R784" s="181"/>
      <c r="S784" s="181"/>
      <c r="T784" s="181"/>
      <c r="U784" s="181"/>
      <c r="V784" s="181"/>
      <c r="W784" s="181"/>
      <c r="X784" s="181"/>
      <c r="Y784" s="181"/>
      <c r="Z784" s="181"/>
    </row>
    <row r="785">
      <c r="A785" s="194"/>
      <c r="B785" s="195"/>
      <c r="C785" s="181"/>
      <c r="D785" s="194"/>
      <c r="E785" s="194"/>
      <c r="F785" s="181"/>
      <c r="G785" s="181"/>
      <c r="H785" s="181"/>
      <c r="I785" s="181"/>
      <c r="J785" s="181"/>
      <c r="K785" s="181"/>
      <c r="L785" s="181"/>
      <c r="M785" s="181"/>
      <c r="N785" s="181"/>
      <c r="O785" s="181"/>
      <c r="P785" s="181"/>
      <c r="Q785" s="181"/>
      <c r="R785" s="181"/>
      <c r="S785" s="181"/>
      <c r="T785" s="181"/>
      <c r="U785" s="181"/>
      <c r="V785" s="181"/>
      <c r="W785" s="181"/>
      <c r="X785" s="181"/>
      <c r="Y785" s="181"/>
      <c r="Z785" s="181"/>
    </row>
    <row r="786">
      <c r="A786" s="194"/>
      <c r="B786" s="195"/>
      <c r="C786" s="181"/>
      <c r="D786" s="194"/>
      <c r="E786" s="194"/>
      <c r="F786" s="181"/>
      <c r="G786" s="181"/>
      <c r="H786" s="181"/>
      <c r="I786" s="181"/>
      <c r="J786" s="181"/>
      <c r="K786" s="181"/>
      <c r="L786" s="181"/>
      <c r="M786" s="181"/>
      <c r="N786" s="181"/>
      <c r="O786" s="181"/>
      <c r="P786" s="181"/>
      <c r="Q786" s="181"/>
      <c r="R786" s="181"/>
      <c r="S786" s="181"/>
      <c r="T786" s="181"/>
      <c r="U786" s="181"/>
      <c r="V786" s="181"/>
      <c r="W786" s="181"/>
      <c r="X786" s="181"/>
      <c r="Y786" s="181"/>
      <c r="Z786" s="181"/>
    </row>
    <row r="787">
      <c r="A787" s="194"/>
      <c r="B787" s="195"/>
      <c r="C787" s="181"/>
      <c r="D787" s="194"/>
      <c r="E787" s="194"/>
      <c r="F787" s="181"/>
      <c r="G787" s="181"/>
      <c r="H787" s="181"/>
      <c r="I787" s="181"/>
      <c r="J787" s="181"/>
      <c r="K787" s="181"/>
      <c r="L787" s="181"/>
      <c r="M787" s="181"/>
      <c r="N787" s="181"/>
      <c r="O787" s="181"/>
      <c r="P787" s="181"/>
      <c r="Q787" s="181"/>
      <c r="R787" s="181"/>
      <c r="S787" s="181"/>
      <c r="T787" s="181"/>
      <c r="U787" s="181"/>
      <c r="V787" s="181"/>
      <c r="W787" s="181"/>
      <c r="X787" s="181"/>
      <c r="Y787" s="181"/>
      <c r="Z787" s="181"/>
    </row>
    <row r="788">
      <c r="A788" s="194"/>
      <c r="B788" s="195"/>
      <c r="C788" s="181"/>
      <c r="D788" s="194"/>
      <c r="E788" s="194"/>
      <c r="F788" s="181"/>
      <c r="G788" s="181"/>
      <c r="H788" s="181"/>
      <c r="I788" s="181"/>
      <c r="J788" s="181"/>
      <c r="K788" s="181"/>
      <c r="L788" s="181"/>
      <c r="M788" s="181"/>
      <c r="N788" s="181"/>
      <c r="O788" s="181"/>
      <c r="P788" s="181"/>
      <c r="Q788" s="181"/>
      <c r="R788" s="181"/>
      <c r="S788" s="181"/>
      <c r="T788" s="181"/>
      <c r="U788" s="181"/>
      <c r="V788" s="181"/>
      <c r="W788" s="181"/>
      <c r="X788" s="181"/>
      <c r="Y788" s="181"/>
      <c r="Z788" s="181"/>
    </row>
    <row r="789">
      <c r="A789" s="194"/>
      <c r="B789" s="195"/>
      <c r="C789" s="181"/>
      <c r="D789" s="194"/>
      <c r="E789" s="194"/>
      <c r="F789" s="181"/>
      <c r="G789" s="181"/>
      <c r="H789" s="181"/>
      <c r="I789" s="181"/>
      <c r="J789" s="181"/>
      <c r="K789" s="181"/>
      <c r="L789" s="181"/>
      <c r="M789" s="181"/>
      <c r="N789" s="181"/>
      <c r="O789" s="181"/>
      <c r="P789" s="181"/>
      <c r="Q789" s="181"/>
      <c r="R789" s="181"/>
      <c r="S789" s="181"/>
      <c r="T789" s="181"/>
      <c r="U789" s="181"/>
      <c r="V789" s="181"/>
      <c r="W789" s="181"/>
      <c r="X789" s="181"/>
      <c r="Y789" s="181"/>
      <c r="Z789" s="181"/>
    </row>
    <row r="790">
      <c r="A790" s="194"/>
      <c r="B790" s="195"/>
      <c r="C790" s="181"/>
      <c r="D790" s="194"/>
      <c r="E790" s="194"/>
      <c r="F790" s="181"/>
      <c r="G790" s="181"/>
      <c r="H790" s="181"/>
      <c r="I790" s="181"/>
      <c r="J790" s="181"/>
      <c r="K790" s="181"/>
      <c r="L790" s="181"/>
      <c r="M790" s="181"/>
      <c r="N790" s="181"/>
      <c r="O790" s="181"/>
      <c r="P790" s="181"/>
      <c r="Q790" s="181"/>
      <c r="R790" s="181"/>
      <c r="S790" s="181"/>
      <c r="T790" s="181"/>
      <c r="U790" s="181"/>
      <c r="V790" s="181"/>
      <c r="W790" s="181"/>
      <c r="X790" s="181"/>
      <c r="Y790" s="181"/>
      <c r="Z790" s="181"/>
    </row>
    <row r="791">
      <c r="A791" s="194"/>
      <c r="B791" s="195"/>
      <c r="C791" s="181"/>
      <c r="D791" s="194"/>
      <c r="E791" s="194"/>
      <c r="F791" s="181"/>
      <c r="G791" s="181"/>
      <c r="H791" s="181"/>
      <c r="I791" s="181"/>
      <c r="J791" s="181"/>
      <c r="K791" s="181"/>
      <c r="L791" s="181"/>
      <c r="M791" s="181"/>
      <c r="N791" s="181"/>
      <c r="O791" s="181"/>
      <c r="P791" s="181"/>
      <c r="Q791" s="181"/>
      <c r="R791" s="181"/>
      <c r="S791" s="181"/>
      <c r="T791" s="181"/>
      <c r="U791" s="181"/>
      <c r="V791" s="181"/>
      <c r="W791" s="181"/>
      <c r="X791" s="181"/>
      <c r="Y791" s="181"/>
      <c r="Z791" s="181"/>
    </row>
    <row r="792">
      <c r="A792" s="194"/>
      <c r="B792" s="195"/>
      <c r="C792" s="181"/>
      <c r="D792" s="194"/>
      <c r="E792" s="194"/>
      <c r="F792" s="181"/>
      <c r="G792" s="181"/>
      <c r="H792" s="181"/>
      <c r="I792" s="181"/>
      <c r="J792" s="181"/>
      <c r="K792" s="181"/>
      <c r="L792" s="181"/>
      <c r="M792" s="181"/>
      <c r="N792" s="181"/>
      <c r="O792" s="181"/>
      <c r="P792" s="181"/>
      <c r="Q792" s="181"/>
      <c r="R792" s="181"/>
      <c r="S792" s="181"/>
      <c r="T792" s="181"/>
      <c r="U792" s="181"/>
      <c r="V792" s="181"/>
      <c r="W792" s="181"/>
      <c r="X792" s="181"/>
      <c r="Y792" s="181"/>
      <c r="Z792" s="181"/>
    </row>
    <row r="793">
      <c r="A793" s="194"/>
      <c r="B793" s="195"/>
      <c r="C793" s="181"/>
      <c r="D793" s="194"/>
      <c r="E793" s="194"/>
      <c r="F793" s="181"/>
      <c r="G793" s="181"/>
      <c r="H793" s="181"/>
      <c r="I793" s="181"/>
      <c r="J793" s="181"/>
      <c r="K793" s="181"/>
      <c r="L793" s="181"/>
      <c r="M793" s="181"/>
      <c r="N793" s="181"/>
      <c r="O793" s="181"/>
      <c r="P793" s="181"/>
      <c r="Q793" s="181"/>
      <c r="R793" s="181"/>
      <c r="S793" s="181"/>
      <c r="T793" s="181"/>
      <c r="U793" s="181"/>
      <c r="V793" s="181"/>
      <c r="W793" s="181"/>
      <c r="X793" s="181"/>
      <c r="Y793" s="181"/>
      <c r="Z793" s="181"/>
    </row>
    <row r="794">
      <c r="A794" s="194"/>
      <c r="B794" s="195"/>
      <c r="C794" s="181"/>
      <c r="D794" s="194"/>
      <c r="E794" s="194"/>
      <c r="F794" s="181"/>
      <c r="G794" s="181"/>
      <c r="H794" s="181"/>
      <c r="I794" s="181"/>
      <c r="J794" s="181"/>
      <c r="K794" s="181"/>
      <c r="L794" s="181"/>
      <c r="M794" s="181"/>
      <c r="N794" s="181"/>
      <c r="O794" s="181"/>
      <c r="P794" s="181"/>
      <c r="Q794" s="181"/>
      <c r="R794" s="181"/>
      <c r="S794" s="181"/>
      <c r="T794" s="181"/>
      <c r="U794" s="181"/>
      <c r="V794" s="181"/>
      <c r="W794" s="181"/>
      <c r="X794" s="181"/>
      <c r="Y794" s="181"/>
      <c r="Z794" s="181"/>
    </row>
    <row r="795">
      <c r="A795" s="194"/>
      <c r="B795" s="195"/>
      <c r="C795" s="181"/>
      <c r="D795" s="194"/>
      <c r="E795" s="194"/>
      <c r="F795" s="181"/>
      <c r="G795" s="181"/>
      <c r="H795" s="181"/>
      <c r="I795" s="181"/>
      <c r="J795" s="181"/>
      <c r="K795" s="181"/>
      <c r="L795" s="181"/>
      <c r="M795" s="181"/>
      <c r="N795" s="181"/>
      <c r="O795" s="181"/>
      <c r="P795" s="181"/>
      <c r="Q795" s="181"/>
      <c r="R795" s="181"/>
      <c r="S795" s="181"/>
      <c r="T795" s="181"/>
      <c r="U795" s="181"/>
      <c r="V795" s="181"/>
      <c r="W795" s="181"/>
      <c r="X795" s="181"/>
      <c r="Y795" s="181"/>
      <c r="Z795" s="181"/>
    </row>
    <row r="796">
      <c r="A796" s="194"/>
      <c r="B796" s="195"/>
      <c r="C796" s="181"/>
      <c r="D796" s="194"/>
      <c r="E796" s="194"/>
      <c r="F796" s="181"/>
      <c r="G796" s="181"/>
      <c r="H796" s="181"/>
      <c r="I796" s="181"/>
      <c r="J796" s="181"/>
      <c r="K796" s="181"/>
      <c r="L796" s="181"/>
      <c r="M796" s="181"/>
      <c r="N796" s="181"/>
      <c r="O796" s="181"/>
      <c r="P796" s="181"/>
      <c r="Q796" s="181"/>
      <c r="R796" s="181"/>
      <c r="S796" s="181"/>
      <c r="T796" s="181"/>
      <c r="U796" s="181"/>
      <c r="V796" s="181"/>
      <c r="W796" s="181"/>
      <c r="X796" s="181"/>
      <c r="Y796" s="181"/>
      <c r="Z796" s="181"/>
    </row>
    <row r="797">
      <c r="A797" s="194"/>
      <c r="B797" s="195"/>
      <c r="C797" s="181"/>
      <c r="D797" s="194"/>
      <c r="E797" s="194"/>
      <c r="F797" s="181"/>
      <c r="G797" s="181"/>
      <c r="H797" s="181"/>
      <c r="I797" s="181"/>
      <c r="J797" s="181"/>
      <c r="K797" s="181"/>
      <c r="L797" s="181"/>
      <c r="M797" s="181"/>
      <c r="N797" s="181"/>
      <c r="O797" s="181"/>
      <c r="P797" s="181"/>
      <c r="Q797" s="181"/>
      <c r="R797" s="181"/>
      <c r="S797" s="181"/>
      <c r="T797" s="181"/>
      <c r="U797" s="181"/>
      <c r="V797" s="181"/>
      <c r="W797" s="181"/>
      <c r="X797" s="181"/>
      <c r="Y797" s="181"/>
      <c r="Z797" s="181"/>
    </row>
    <row r="798">
      <c r="A798" s="194"/>
      <c r="B798" s="195"/>
      <c r="C798" s="181"/>
      <c r="D798" s="194"/>
      <c r="E798" s="194"/>
      <c r="F798" s="181"/>
      <c r="G798" s="181"/>
      <c r="H798" s="181"/>
      <c r="I798" s="181"/>
      <c r="J798" s="181"/>
      <c r="K798" s="181"/>
      <c r="L798" s="181"/>
      <c r="M798" s="181"/>
      <c r="N798" s="181"/>
      <c r="O798" s="181"/>
      <c r="P798" s="181"/>
      <c r="Q798" s="181"/>
      <c r="R798" s="181"/>
      <c r="S798" s="181"/>
      <c r="T798" s="181"/>
      <c r="U798" s="181"/>
      <c r="V798" s="181"/>
      <c r="W798" s="181"/>
      <c r="X798" s="181"/>
      <c r="Y798" s="181"/>
      <c r="Z798" s="181"/>
    </row>
    <row r="799">
      <c r="A799" s="194"/>
      <c r="B799" s="195"/>
      <c r="C799" s="181"/>
      <c r="D799" s="194"/>
      <c r="E799" s="194"/>
      <c r="F799" s="181"/>
      <c r="G799" s="181"/>
      <c r="H799" s="181"/>
      <c r="I799" s="181"/>
      <c r="J799" s="181"/>
      <c r="K799" s="181"/>
      <c r="L799" s="181"/>
      <c r="M799" s="181"/>
      <c r="N799" s="181"/>
      <c r="O799" s="181"/>
      <c r="P799" s="181"/>
      <c r="Q799" s="181"/>
      <c r="R799" s="181"/>
      <c r="S799" s="181"/>
      <c r="T799" s="181"/>
      <c r="U799" s="181"/>
      <c r="V799" s="181"/>
      <c r="W799" s="181"/>
      <c r="X799" s="181"/>
      <c r="Y799" s="181"/>
      <c r="Z799" s="181"/>
    </row>
    <row r="800">
      <c r="A800" s="194"/>
      <c r="B800" s="195"/>
      <c r="C800" s="181"/>
      <c r="D800" s="194"/>
      <c r="E800" s="194"/>
      <c r="F800" s="181"/>
      <c r="G800" s="181"/>
      <c r="H800" s="181"/>
      <c r="I800" s="181"/>
      <c r="J800" s="181"/>
      <c r="K800" s="181"/>
      <c r="L800" s="181"/>
      <c r="M800" s="181"/>
      <c r="N800" s="181"/>
      <c r="O800" s="181"/>
      <c r="P800" s="181"/>
      <c r="Q800" s="181"/>
      <c r="R800" s="181"/>
      <c r="S800" s="181"/>
      <c r="T800" s="181"/>
      <c r="U800" s="181"/>
      <c r="V800" s="181"/>
      <c r="W800" s="181"/>
      <c r="X800" s="181"/>
      <c r="Y800" s="181"/>
      <c r="Z800" s="181"/>
    </row>
    <row r="801">
      <c r="A801" s="194"/>
      <c r="B801" s="195"/>
      <c r="C801" s="181"/>
      <c r="D801" s="194"/>
      <c r="E801" s="194"/>
      <c r="F801" s="181"/>
      <c r="G801" s="181"/>
      <c r="H801" s="181"/>
      <c r="I801" s="181"/>
      <c r="J801" s="181"/>
      <c r="K801" s="181"/>
      <c r="L801" s="181"/>
      <c r="M801" s="181"/>
      <c r="N801" s="181"/>
      <c r="O801" s="181"/>
      <c r="P801" s="181"/>
      <c r="Q801" s="181"/>
      <c r="R801" s="181"/>
      <c r="S801" s="181"/>
      <c r="T801" s="181"/>
      <c r="U801" s="181"/>
      <c r="V801" s="181"/>
      <c r="W801" s="181"/>
      <c r="X801" s="181"/>
      <c r="Y801" s="181"/>
      <c r="Z801" s="181"/>
    </row>
    <row r="802">
      <c r="A802" s="194"/>
      <c r="B802" s="195"/>
      <c r="C802" s="181"/>
      <c r="D802" s="194"/>
      <c r="E802" s="194"/>
      <c r="F802" s="181"/>
      <c r="G802" s="181"/>
      <c r="H802" s="181"/>
      <c r="I802" s="181"/>
      <c r="J802" s="181"/>
      <c r="K802" s="181"/>
      <c r="L802" s="181"/>
      <c r="M802" s="181"/>
      <c r="N802" s="181"/>
      <c r="O802" s="181"/>
      <c r="P802" s="181"/>
      <c r="Q802" s="181"/>
      <c r="R802" s="181"/>
      <c r="S802" s="181"/>
      <c r="T802" s="181"/>
      <c r="U802" s="181"/>
      <c r="V802" s="181"/>
      <c r="W802" s="181"/>
      <c r="X802" s="181"/>
      <c r="Y802" s="181"/>
      <c r="Z802" s="181"/>
    </row>
    <row r="803">
      <c r="A803" s="194"/>
      <c r="B803" s="195"/>
      <c r="C803" s="181"/>
      <c r="D803" s="194"/>
      <c r="E803" s="194"/>
      <c r="F803" s="181"/>
      <c r="G803" s="181"/>
      <c r="H803" s="181"/>
      <c r="I803" s="181"/>
      <c r="J803" s="181"/>
      <c r="K803" s="181"/>
      <c r="L803" s="181"/>
      <c r="M803" s="181"/>
      <c r="N803" s="181"/>
      <c r="O803" s="181"/>
      <c r="P803" s="181"/>
      <c r="Q803" s="181"/>
      <c r="R803" s="181"/>
      <c r="S803" s="181"/>
      <c r="T803" s="181"/>
      <c r="U803" s="181"/>
      <c r="V803" s="181"/>
      <c r="W803" s="181"/>
      <c r="X803" s="181"/>
      <c r="Y803" s="181"/>
      <c r="Z803" s="181"/>
    </row>
    <row r="804">
      <c r="A804" s="194"/>
      <c r="B804" s="195"/>
      <c r="C804" s="181"/>
      <c r="D804" s="194"/>
      <c r="E804" s="194"/>
      <c r="F804" s="181"/>
      <c r="G804" s="181"/>
      <c r="H804" s="181"/>
      <c r="I804" s="181"/>
      <c r="J804" s="181"/>
      <c r="K804" s="181"/>
      <c r="L804" s="181"/>
      <c r="M804" s="181"/>
      <c r="N804" s="181"/>
      <c r="O804" s="181"/>
      <c r="P804" s="181"/>
      <c r="Q804" s="181"/>
      <c r="R804" s="181"/>
      <c r="S804" s="181"/>
      <c r="T804" s="181"/>
      <c r="U804" s="181"/>
      <c r="V804" s="181"/>
      <c r="W804" s="181"/>
      <c r="X804" s="181"/>
      <c r="Y804" s="181"/>
      <c r="Z804" s="181"/>
    </row>
    <row r="805">
      <c r="A805" s="194"/>
      <c r="B805" s="195"/>
      <c r="C805" s="181"/>
      <c r="D805" s="194"/>
      <c r="E805" s="194"/>
      <c r="F805" s="181"/>
      <c r="G805" s="181"/>
      <c r="H805" s="181"/>
      <c r="I805" s="181"/>
      <c r="J805" s="181"/>
      <c r="K805" s="181"/>
      <c r="L805" s="181"/>
      <c r="M805" s="181"/>
      <c r="N805" s="181"/>
      <c r="O805" s="181"/>
      <c r="P805" s="181"/>
      <c r="Q805" s="181"/>
      <c r="R805" s="181"/>
      <c r="S805" s="181"/>
      <c r="T805" s="181"/>
      <c r="U805" s="181"/>
      <c r="V805" s="181"/>
      <c r="W805" s="181"/>
      <c r="X805" s="181"/>
      <c r="Y805" s="181"/>
      <c r="Z805" s="181"/>
    </row>
    <row r="806">
      <c r="A806" s="194"/>
      <c r="B806" s="195"/>
      <c r="C806" s="181"/>
      <c r="D806" s="194"/>
      <c r="E806" s="194"/>
      <c r="F806" s="181"/>
      <c r="G806" s="181"/>
      <c r="H806" s="181"/>
      <c r="I806" s="181"/>
      <c r="J806" s="181"/>
      <c r="K806" s="181"/>
      <c r="L806" s="181"/>
      <c r="M806" s="181"/>
      <c r="N806" s="181"/>
      <c r="O806" s="181"/>
      <c r="P806" s="181"/>
      <c r="Q806" s="181"/>
      <c r="R806" s="181"/>
      <c r="S806" s="181"/>
      <c r="T806" s="181"/>
      <c r="U806" s="181"/>
      <c r="V806" s="181"/>
      <c r="W806" s="181"/>
      <c r="X806" s="181"/>
      <c r="Y806" s="181"/>
      <c r="Z806" s="181"/>
    </row>
    <row r="807">
      <c r="A807" s="194"/>
      <c r="B807" s="195"/>
      <c r="C807" s="181"/>
      <c r="D807" s="194"/>
      <c r="E807" s="194"/>
      <c r="F807" s="181"/>
      <c r="G807" s="181"/>
      <c r="H807" s="181"/>
      <c r="I807" s="181"/>
      <c r="J807" s="181"/>
      <c r="K807" s="181"/>
      <c r="L807" s="181"/>
      <c r="M807" s="181"/>
      <c r="N807" s="181"/>
      <c r="O807" s="181"/>
      <c r="P807" s="181"/>
      <c r="Q807" s="181"/>
      <c r="R807" s="181"/>
      <c r="S807" s="181"/>
      <c r="T807" s="181"/>
      <c r="U807" s="181"/>
      <c r="V807" s="181"/>
      <c r="W807" s="181"/>
      <c r="X807" s="181"/>
      <c r="Y807" s="181"/>
      <c r="Z807" s="181"/>
    </row>
    <row r="808">
      <c r="A808" s="194"/>
      <c r="B808" s="195"/>
      <c r="C808" s="181"/>
      <c r="D808" s="194"/>
      <c r="E808" s="194"/>
      <c r="F808" s="181"/>
      <c r="G808" s="181"/>
      <c r="H808" s="181"/>
      <c r="I808" s="181"/>
      <c r="J808" s="181"/>
      <c r="K808" s="181"/>
      <c r="L808" s="181"/>
      <c r="M808" s="181"/>
      <c r="N808" s="181"/>
      <c r="O808" s="181"/>
      <c r="P808" s="181"/>
      <c r="Q808" s="181"/>
      <c r="R808" s="181"/>
      <c r="S808" s="181"/>
      <c r="T808" s="181"/>
      <c r="U808" s="181"/>
      <c r="V808" s="181"/>
      <c r="W808" s="181"/>
      <c r="X808" s="181"/>
      <c r="Y808" s="181"/>
      <c r="Z808" s="181"/>
    </row>
    <row r="809">
      <c r="A809" s="194"/>
      <c r="B809" s="195"/>
      <c r="C809" s="181"/>
      <c r="D809" s="194"/>
      <c r="E809" s="194"/>
      <c r="F809" s="181"/>
      <c r="G809" s="181"/>
      <c r="H809" s="181"/>
      <c r="I809" s="181"/>
      <c r="J809" s="181"/>
      <c r="K809" s="181"/>
      <c r="L809" s="181"/>
      <c r="M809" s="181"/>
      <c r="N809" s="181"/>
      <c r="O809" s="181"/>
      <c r="P809" s="181"/>
      <c r="Q809" s="181"/>
      <c r="R809" s="181"/>
      <c r="S809" s="181"/>
      <c r="T809" s="181"/>
      <c r="U809" s="181"/>
      <c r="V809" s="181"/>
      <c r="W809" s="181"/>
      <c r="X809" s="181"/>
      <c r="Y809" s="181"/>
      <c r="Z809" s="181"/>
    </row>
    <row r="810">
      <c r="A810" s="194"/>
      <c r="B810" s="195"/>
      <c r="C810" s="181"/>
      <c r="D810" s="194"/>
      <c r="E810" s="194"/>
      <c r="F810" s="181"/>
      <c r="G810" s="181"/>
      <c r="H810" s="181"/>
      <c r="I810" s="181"/>
      <c r="J810" s="181"/>
      <c r="K810" s="181"/>
      <c r="L810" s="181"/>
      <c r="M810" s="181"/>
      <c r="N810" s="181"/>
      <c r="O810" s="181"/>
      <c r="P810" s="181"/>
      <c r="Q810" s="181"/>
      <c r="R810" s="181"/>
      <c r="S810" s="181"/>
      <c r="T810" s="181"/>
      <c r="U810" s="181"/>
      <c r="V810" s="181"/>
      <c r="W810" s="181"/>
      <c r="X810" s="181"/>
      <c r="Y810" s="181"/>
      <c r="Z810" s="181"/>
    </row>
    <row r="811">
      <c r="A811" s="194"/>
      <c r="B811" s="195"/>
      <c r="C811" s="181"/>
      <c r="D811" s="194"/>
      <c r="E811" s="194"/>
      <c r="F811" s="181"/>
      <c r="G811" s="181"/>
      <c r="H811" s="181"/>
      <c r="I811" s="181"/>
      <c r="J811" s="181"/>
      <c r="K811" s="181"/>
      <c r="L811" s="181"/>
      <c r="M811" s="181"/>
      <c r="N811" s="181"/>
      <c r="O811" s="181"/>
      <c r="P811" s="181"/>
      <c r="Q811" s="181"/>
      <c r="R811" s="181"/>
      <c r="S811" s="181"/>
      <c r="T811" s="181"/>
      <c r="U811" s="181"/>
      <c r="V811" s="181"/>
      <c r="W811" s="181"/>
      <c r="X811" s="181"/>
      <c r="Y811" s="181"/>
      <c r="Z811" s="181"/>
    </row>
    <row r="812">
      <c r="A812" s="194"/>
      <c r="B812" s="195"/>
      <c r="C812" s="181"/>
      <c r="D812" s="194"/>
      <c r="E812" s="194"/>
      <c r="F812" s="181"/>
      <c r="G812" s="181"/>
      <c r="H812" s="181"/>
      <c r="I812" s="181"/>
      <c r="J812" s="181"/>
      <c r="K812" s="181"/>
      <c r="L812" s="181"/>
      <c r="M812" s="181"/>
      <c r="N812" s="181"/>
      <c r="O812" s="181"/>
      <c r="P812" s="181"/>
      <c r="Q812" s="181"/>
      <c r="R812" s="181"/>
      <c r="S812" s="181"/>
      <c r="T812" s="181"/>
      <c r="U812" s="181"/>
      <c r="V812" s="181"/>
      <c r="W812" s="181"/>
      <c r="X812" s="181"/>
      <c r="Y812" s="181"/>
      <c r="Z812" s="181"/>
    </row>
    <row r="813">
      <c r="A813" s="194"/>
      <c r="B813" s="195"/>
      <c r="C813" s="181"/>
      <c r="D813" s="194"/>
      <c r="E813" s="194"/>
      <c r="F813" s="181"/>
      <c r="G813" s="181"/>
      <c r="H813" s="181"/>
      <c r="I813" s="181"/>
      <c r="J813" s="181"/>
      <c r="K813" s="181"/>
      <c r="L813" s="181"/>
      <c r="M813" s="181"/>
      <c r="N813" s="181"/>
      <c r="O813" s="181"/>
      <c r="P813" s="181"/>
      <c r="Q813" s="181"/>
      <c r="R813" s="181"/>
      <c r="S813" s="181"/>
      <c r="T813" s="181"/>
      <c r="U813" s="181"/>
      <c r="V813" s="181"/>
      <c r="W813" s="181"/>
      <c r="X813" s="181"/>
      <c r="Y813" s="181"/>
      <c r="Z813" s="181"/>
    </row>
    <row r="814">
      <c r="A814" s="194"/>
      <c r="B814" s="195"/>
      <c r="C814" s="181"/>
      <c r="D814" s="194"/>
      <c r="E814" s="194"/>
      <c r="F814" s="181"/>
      <c r="G814" s="181"/>
      <c r="H814" s="181"/>
      <c r="I814" s="181"/>
      <c r="J814" s="181"/>
      <c r="K814" s="181"/>
      <c r="L814" s="181"/>
      <c r="M814" s="181"/>
      <c r="N814" s="181"/>
      <c r="O814" s="181"/>
      <c r="P814" s="181"/>
      <c r="Q814" s="181"/>
      <c r="R814" s="181"/>
      <c r="S814" s="181"/>
      <c r="T814" s="181"/>
      <c r="U814" s="181"/>
      <c r="V814" s="181"/>
      <c r="W814" s="181"/>
      <c r="X814" s="181"/>
      <c r="Y814" s="181"/>
      <c r="Z814" s="181"/>
    </row>
    <row r="815">
      <c r="A815" s="194"/>
      <c r="B815" s="195"/>
      <c r="C815" s="181"/>
      <c r="D815" s="194"/>
      <c r="E815" s="194"/>
      <c r="F815" s="181"/>
      <c r="G815" s="181"/>
      <c r="H815" s="181"/>
      <c r="I815" s="181"/>
      <c r="J815" s="181"/>
      <c r="K815" s="181"/>
      <c r="L815" s="181"/>
      <c r="M815" s="181"/>
      <c r="N815" s="181"/>
      <c r="O815" s="181"/>
      <c r="P815" s="181"/>
      <c r="Q815" s="181"/>
      <c r="R815" s="181"/>
      <c r="S815" s="181"/>
      <c r="T815" s="181"/>
      <c r="U815" s="181"/>
      <c r="V815" s="181"/>
      <c r="W815" s="181"/>
      <c r="X815" s="181"/>
      <c r="Y815" s="181"/>
      <c r="Z815" s="181"/>
    </row>
    <row r="816">
      <c r="A816" s="194"/>
      <c r="B816" s="195"/>
      <c r="C816" s="181"/>
      <c r="D816" s="194"/>
      <c r="E816" s="194"/>
      <c r="F816" s="181"/>
      <c r="G816" s="181"/>
      <c r="H816" s="181"/>
      <c r="I816" s="181"/>
      <c r="J816" s="181"/>
      <c r="K816" s="181"/>
      <c r="L816" s="181"/>
      <c r="M816" s="181"/>
      <c r="N816" s="181"/>
      <c r="O816" s="181"/>
      <c r="P816" s="181"/>
      <c r="Q816" s="181"/>
      <c r="R816" s="181"/>
      <c r="S816" s="181"/>
      <c r="T816" s="181"/>
      <c r="U816" s="181"/>
      <c r="V816" s="181"/>
      <c r="W816" s="181"/>
      <c r="X816" s="181"/>
      <c r="Y816" s="181"/>
      <c r="Z816" s="181"/>
    </row>
    <row r="817">
      <c r="A817" s="194"/>
      <c r="B817" s="195"/>
      <c r="C817" s="181"/>
      <c r="D817" s="194"/>
      <c r="E817" s="194"/>
      <c r="F817" s="181"/>
      <c r="G817" s="181"/>
      <c r="H817" s="181"/>
      <c r="I817" s="181"/>
      <c r="J817" s="181"/>
      <c r="K817" s="181"/>
      <c r="L817" s="181"/>
      <c r="M817" s="181"/>
      <c r="N817" s="181"/>
      <c r="O817" s="181"/>
      <c r="P817" s="181"/>
      <c r="Q817" s="181"/>
      <c r="R817" s="181"/>
      <c r="S817" s="181"/>
      <c r="T817" s="181"/>
      <c r="U817" s="181"/>
      <c r="V817" s="181"/>
      <c r="W817" s="181"/>
      <c r="X817" s="181"/>
      <c r="Y817" s="181"/>
      <c r="Z817" s="181"/>
    </row>
    <row r="818">
      <c r="A818" s="194"/>
      <c r="B818" s="195"/>
      <c r="C818" s="181"/>
      <c r="D818" s="194"/>
      <c r="E818" s="194"/>
      <c r="F818" s="181"/>
      <c r="G818" s="181"/>
      <c r="H818" s="181"/>
      <c r="I818" s="181"/>
      <c r="J818" s="181"/>
      <c r="K818" s="181"/>
      <c r="L818" s="181"/>
      <c r="M818" s="181"/>
      <c r="N818" s="181"/>
      <c r="O818" s="181"/>
      <c r="P818" s="181"/>
      <c r="Q818" s="181"/>
      <c r="R818" s="181"/>
      <c r="S818" s="181"/>
      <c r="T818" s="181"/>
      <c r="U818" s="181"/>
      <c r="V818" s="181"/>
      <c r="W818" s="181"/>
      <c r="X818" s="181"/>
      <c r="Y818" s="181"/>
      <c r="Z818" s="181"/>
    </row>
    <row r="819">
      <c r="A819" s="194"/>
      <c r="B819" s="195"/>
      <c r="C819" s="181"/>
      <c r="D819" s="194"/>
      <c r="E819" s="194"/>
      <c r="F819" s="181"/>
      <c r="G819" s="181"/>
      <c r="H819" s="181"/>
      <c r="I819" s="181"/>
      <c r="J819" s="181"/>
      <c r="K819" s="181"/>
      <c r="L819" s="181"/>
      <c r="M819" s="181"/>
      <c r="N819" s="181"/>
      <c r="O819" s="181"/>
      <c r="P819" s="181"/>
      <c r="Q819" s="181"/>
      <c r="R819" s="181"/>
      <c r="S819" s="181"/>
      <c r="T819" s="181"/>
      <c r="U819" s="181"/>
      <c r="V819" s="181"/>
      <c r="W819" s="181"/>
      <c r="X819" s="181"/>
      <c r="Y819" s="181"/>
      <c r="Z819" s="181"/>
    </row>
    <row r="820">
      <c r="A820" s="194"/>
      <c r="B820" s="195"/>
      <c r="C820" s="181"/>
      <c r="D820" s="194"/>
      <c r="E820" s="194"/>
      <c r="F820" s="181"/>
      <c r="G820" s="181"/>
      <c r="H820" s="181"/>
      <c r="I820" s="181"/>
      <c r="J820" s="181"/>
      <c r="K820" s="181"/>
      <c r="L820" s="181"/>
      <c r="M820" s="181"/>
      <c r="N820" s="181"/>
      <c r="O820" s="181"/>
      <c r="P820" s="181"/>
      <c r="Q820" s="181"/>
      <c r="R820" s="181"/>
      <c r="S820" s="181"/>
      <c r="T820" s="181"/>
      <c r="U820" s="181"/>
      <c r="V820" s="181"/>
      <c r="W820" s="181"/>
      <c r="X820" s="181"/>
      <c r="Y820" s="181"/>
      <c r="Z820" s="181"/>
    </row>
    <row r="821">
      <c r="A821" s="194"/>
      <c r="B821" s="195"/>
      <c r="C821" s="181"/>
      <c r="D821" s="194"/>
      <c r="E821" s="194"/>
      <c r="F821" s="181"/>
      <c r="G821" s="181"/>
      <c r="H821" s="181"/>
      <c r="I821" s="181"/>
      <c r="J821" s="181"/>
      <c r="K821" s="181"/>
      <c r="L821" s="181"/>
      <c r="M821" s="181"/>
      <c r="N821" s="181"/>
      <c r="O821" s="181"/>
      <c r="P821" s="181"/>
      <c r="Q821" s="181"/>
      <c r="R821" s="181"/>
      <c r="S821" s="181"/>
      <c r="T821" s="181"/>
      <c r="U821" s="181"/>
      <c r="V821" s="181"/>
      <c r="W821" s="181"/>
      <c r="X821" s="181"/>
      <c r="Y821" s="181"/>
      <c r="Z821" s="181"/>
    </row>
    <row r="822">
      <c r="A822" s="194"/>
      <c r="B822" s="195"/>
      <c r="C822" s="181"/>
      <c r="D822" s="194"/>
      <c r="E822" s="194"/>
      <c r="F822" s="181"/>
      <c r="G822" s="181"/>
      <c r="H822" s="181"/>
      <c r="I822" s="181"/>
      <c r="J822" s="181"/>
      <c r="K822" s="181"/>
      <c r="L822" s="181"/>
      <c r="M822" s="181"/>
      <c r="N822" s="181"/>
      <c r="O822" s="181"/>
      <c r="P822" s="181"/>
      <c r="Q822" s="181"/>
      <c r="R822" s="181"/>
      <c r="S822" s="181"/>
      <c r="T822" s="181"/>
      <c r="U822" s="181"/>
      <c r="V822" s="181"/>
      <c r="W822" s="181"/>
      <c r="X822" s="181"/>
      <c r="Y822" s="181"/>
      <c r="Z822" s="181"/>
    </row>
    <row r="823">
      <c r="A823" s="194"/>
      <c r="B823" s="195"/>
      <c r="C823" s="181"/>
      <c r="D823" s="194"/>
      <c r="E823" s="194"/>
      <c r="F823" s="181"/>
      <c r="G823" s="181"/>
      <c r="H823" s="181"/>
      <c r="I823" s="181"/>
      <c r="J823" s="181"/>
      <c r="K823" s="181"/>
      <c r="L823" s="181"/>
      <c r="M823" s="181"/>
      <c r="N823" s="181"/>
      <c r="O823" s="181"/>
      <c r="P823" s="181"/>
      <c r="Q823" s="181"/>
      <c r="R823" s="181"/>
      <c r="S823" s="181"/>
      <c r="T823" s="181"/>
      <c r="U823" s="181"/>
      <c r="V823" s="181"/>
      <c r="W823" s="181"/>
      <c r="X823" s="181"/>
      <c r="Y823" s="181"/>
      <c r="Z823" s="181"/>
    </row>
    <row r="824">
      <c r="A824" s="194"/>
      <c r="B824" s="195"/>
      <c r="C824" s="181"/>
      <c r="D824" s="194"/>
      <c r="E824" s="194"/>
      <c r="F824" s="181"/>
      <c r="G824" s="181"/>
      <c r="H824" s="181"/>
      <c r="I824" s="181"/>
      <c r="J824" s="181"/>
      <c r="K824" s="181"/>
      <c r="L824" s="181"/>
      <c r="M824" s="181"/>
      <c r="N824" s="181"/>
      <c r="O824" s="181"/>
      <c r="P824" s="181"/>
      <c r="Q824" s="181"/>
      <c r="R824" s="181"/>
      <c r="S824" s="181"/>
      <c r="T824" s="181"/>
      <c r="U824" s="181"/>
      <c r="V824" s="181"/>
      <c r="W824" s="181"/>
      <c r="X824" s="181"/>
      <c r="Y824" s="181"/>
      <c r="Z824" s="181"/>
    </row>
    <row r="825">
      <c r="A825" s="194"/>
      <c r="B825" s="195"/>
      <c r="C825" s="181"/>
      <c r="D825" s="194"/>
      <c r="E825" s="194"/>
      <c r="F825" s="181"/>
      <c r="G825" s="181"/>
      <c r="H825" s="181"/>
      <c r="I825" s="181"/>
      <c r="J825" s="181"/>
      <c r="K825" s="181"/>
      <c r="L825" s="181"/>
      <c r="M825" s="181"/>
      <c r="N825" s="181"/>
      <c r="O825" s="181"/>
      <c r="P825" s="181"/>
      <c r="Q825" s="181"/>
      <c r="R825" s="181"/>
      <c r="S825" s="181"/>
      <c r="T825" s="181"/>
      <c r="U825" s="181"/>
      <c r="V825" s="181"/>
      <c r="W825" s="181"/>
      <c r="X825" s="181"/>
      <c r="Y825" s="181"/>
      <c r="Z825" s="181"/>
    </row>
    <row r="826">
      <c r="A826" s="194"/>
      <c r="B826" s="195"/>
      <c r="C826" s="181"/>
      <c r="D826" s="194"/>
      <c r="E826" s="194"/>
      <c r="F826" s="181"/>
      <c r="G826" s="181"/>
      <c r="H826" s="181"/>
      <c r="I826" s="181"/>
      <c r="J826" s="181"/>
      <c r="K826" s="181"/>
      <c r="L826" s="181"/>
      <c r="M826" s="181"/>
      <c r="N826" s="181"/>
      <c r="O826" s="181"/>
      <c r="P826" s="181"/>
      <c r="Q826" s="181"/>
      <c r="R826" s="181"/>
      <c r="S826" s="181"/>
      <c r="T826" s="181"/>
      <c r="U826" s="181"/>
      <c r="V826" s="181"/>
      <c r="W826" s="181"/>
      <c r="X826" s="181"/>
      <c r="Y826" s="181"/>
      <c r="Z826" s="181"/>
    </row>
    <row r="827">
      <c r="A827" s="194"/>
      <c r="B827" s="195"/>
      <c r="C827" s="181"/>
      <c r="D827" s="194"/>
      <c r="E827" s="194"/>
      <c r="F827" s="181"/>
      <c r="G827" s="181"/>
      <c r="H827" s="181"/>
      <c r="I827" s="181"/>
      <c r="J827" s="181"/>
      <c r="K827" s="181"/>
      <c r="L827" s="181"/>
      <c r="M827" s="181"/>
      <c r="N827" s="181"/>
      <c r="O827" s="181"/>
      <c r="P827" s="181"/>
      <c r="Q827" s="181"/>
      <c r="R827" s="181"/>
      <c r="S827" s="181"/>
      <c r="T827" s="181"/>
      <c r="U827" s="181"/>
      <c r="V827" s="181"/>
      <c r="W827" s="181"/>
      <c r="X827" s="181"/>
      <c r="Y827" s="181"/>
      <c r="Z827" s="181"/>
    </row>
    <row r="828">
      <c r="A828" s="194"/>
      <c r="B828" s="195"/>
      <c r="C828" s="181"/>
      <c r="D828" s="194"/>
      <c r="E828" s="194"/>
      <c r="F828" s="181"/>
      <c r="G828" s="181"/>
      <c r="H828" s="181"/>
      <c r="I828" s="181"/>
      <c r="J828" s="181"/>
      <c r="K828" s="181"/>
      <c r="L828" s="181"/>
      <c r="M828" s="181"/>
      <c r="N828" s="181"/>
      <c r="O828" s="181"/>
      <c r="P828" s="181"/>
      <c r="Q828" s="181"/>
      <c r="R828" s="181"/>
      <c r="S828" s="181"/>
      <c r="T828" s="181"/>
      <c r="U828" s="181"/>
      <c r="V828" s="181"/>
      <c r="W828" s="181"/>
      <c r="X828" s="181"/>
      <c r="Y828" s="181"/>
      <c r="Z828" s="181"/>
    </row>
    <row r="829">
      <c r="A829" s="194"/>
      <c r="B829" s="195"/>
      <c r="C829" s="181"/>
      <c r="D829" s="194"/>
      <c r="E829" s="194"/>
      <c r="F829" s="181"/>
      <c r="G829" s="181"/>
      <c r="H829" s="181"/>
      <c r="I829" s="181"/>
      <c r="J829" s="181"/>
      <c r="K829" s="181"/>
      <c r="L829" s="181"/>
      <c r="M829" s="181"/>
      <c r="N829" s="181"/>
      <c r="O829" s="181"/>
      <c r="P829" s="181"/>
      <c r="Q829" s="181"/>
      <c r="R829" s="181"/>
      <c r="S829" s="181"/>
      <c r="T829" s="181"/>
      <c r="U829" s="181"/>
      <c r="V829" s="181"/>
      <c r="W829" s="181"/>
      <c r="X829" s="181"/>
      <c r="Y829" s="181"/>
      <c r="Z829" s="181"/>
    </row>
    <row r="830">
      <c r="A830" s="194"/>
      <c r="B830" s="195"/>
      <c r="C830" s="181"/>
      <c r="D830" s="194"/>
      <c r="E830" s="194"/>
      <c r="F830" s="181"/>
      <c r="G830" s="181"/>
      <c r="H830" s="181"/>
      <c r="I830" s="181"/>
      <c r="J830" s="181"/>
      <c r="K830" s="181"/>
      <c r="L830" s="181"/>
      <c r="M830" s="181"/>
      <c r="N830" s="181"/>
      <c r="O830" s="181"/>
      <c r="P830" s="181"/>
      <c r="Q830" s="181"/>
      <c r="R830" s="181"/>
      <c r="S830" s="181"/>
      <c r="T830" s="181"/>
      <c r="U830" s="181"/>
      <c r="V830" s="181"/>
      <c r="W830" s="181"/>
      <c r="X830" s="181"/>
      <c r="Y830" s="181"/>
      <c r="Z830" s="181"/>
    </row>
    <row r="831">
      <c r="A831" s="194"/>
      <c r="B831" s="195"/>
      <c r="C831" s="181"/>
      <c r="D831" s="194"/>
      <c r="E831" s="194"/>
      <c r="F831" s="181"/>
      <c r="G831" s="181"/>
      <c r="H831" s="181"/>
      <c r="I831" s="181"/>
      <c r="J831" s="181"/>
      <c r="K831" s="181"/>
      <c r="L831" s="181"/>
      <c r="M831" s="181"/>
      <c r="N831" s="181"/>
      <c r="O831" s="181"/>
      <c r="P831" s="181"/>
      <c r="Q831" s="181"/>
      <c r="R831" s="181"/>
      <c r="S831" s="181"/>
      <c r="T831" s="181"/>
      <c r="U831" s="181"/>
      <c r="V831" s="181"/>
      <c r="W831" s="181"/>
      <c r="X831" s="181"/>
      <c r="Y831" s="181"/>
      <c r="Z831" s="181"/>
    </row>
    <row r="832">
      <c r="A832" s="194"/>
      <c r="B832" s="195"/>
      <c r="C832" s="181"/>
      <c r="D832" s="194"/>
      <c r="E832" s="194"/>
      <c r="F832" s="181"/>
      <c r="G832" s="181"/>
      <c r="H832" s="181"/>
      <c r="I832" s="181"/>
      <c r="J832" s="181"/>
      <c r="K832" s="181"/>
      <c r="L832" s="181"/>
      <c r="M832" s="181"/>
      <c r="N832" s="181"/>
      <c r="O832" s="181"/>
      <c r="P832" s="181"/>
      <c r="Q832" s="181"/>
      <c r="R832" s="181"/>
      <c r="S832" s="181"/>
      <c r="T832" s="181"/>
      <c r="U832" s="181"/>
      <c r="V832" s="181"/>
      <c r="W832" s="181"/>
      <c r="X832" s="181"/>
      <c r="Y832" s="181"/>
      <c r="Z832" s="181"/>
    </row>
    <row r="833">
      <c r="A833" s="194"/>
      <c r="B833" s="195"/>
      <c r="C833" s="181"/>
      <c r="D833" s="194"/>
      <c r="E833" s="194"/>
      <c r="F833" s="181"/>
      <c r="G833" s="181"/>
      <c r="H833" s="181"/>
      <c r="I833" s="181"/>
      <c r="J833" s="181"/>
      <c r="K833" s="181"/>
      <c r="L833" s="181"/>
      <c r="M833" s="181"/>
      <c r="N833" s="181"/>
      <c r="O833" s="181"/>
      <c r="P833" s="181"/>
      <c r="Q833" s="181"/>
      <c r="R833" s="181"/>
      <c r="S833" s="181"/>
      <c r="T833" s="181"/>
      <c r="U833" s="181"/>
      <c r="V833" s="181"/>
      <c r="W833" s="181"/>
      <c r="X833" s="181"/>
      <c r="Y833" s="181"/>
      <c r="Z833" s="181"/>
    </row>
    <row r="834">
      <c r="A834" s="194"/>
      <c r="B834" s="195"/>
      <c r="C834" s="181"/>
      <c r="D834" s="194"/>
      <c r="E834" s="194"/>
      <c r="F834" s="181"/>
      <c r="G834" s="181"/>
      <c r="H834" s="181"/>
      <c r="I834" s="181"/>
      <c r="J834" s="181"/>
      <c r="K834" s="181"/>
      <c r="L834" s="181"/>
      <c r="M834" s="181"/>
      <c r="N834" s="181"/>
      <c r="O834" s="181"/>
      <c r="P834" s="181"/>
      <c r="Q834" s="181"/>
      <c r="R834" s="181"/>
      <c r="S834" s="181"/>
      <c r="T834" s="181"/>
      <c r="U834" s="181"/>
      <c r="V834" s="181"/>
      <c r="W834" s="181"/>
      <c r="X834" s="181"/>
      <c r="Y834" s="181"/>
      <c r="Z834" s="181"/>
    </row>
    <row r="835">
      <c r="A835" s="194"/>
      <c r="B835" s="195"/>
      <c r="C835" s="181"/>
      <c r="D835" s="194"/>
      <c r="E835" s="194"/>
      <c r="F835" s="181"/>
      <c r="G835" s="181"/>
      <c r="H835" s="181"/>
      <c r="I835" s="181"/>
      <c r="J835" s="181"/>
      <c r="K835" s="181"/>
      <c r="L835" s="181"/>
      <c r="M835" s="181"/>
      <c r="N835" s="181"/>
      <c r="O835" s="181"/>
      <c r="P835" s="181"/>
      <c r="Q835" s="181"/>
      <c r="R835" s="181"/>
      <c r="S835" s="181"/>
      <c r="T835" s="181"/>
      <c r="U835" s="181"/>
      <c r="V835" s="181"/>
      <c r="W835" s="181"/>
      <c r="X835" s="181"/>
      <c r="Y835" s="181"/>
      <c r="Z835" s="181"/>
    </row>
    <row r="836">
      <c r="A836" s="194"/>
      <c r="B836" s="195"/>
      <c r="C836" s="181"/>
      <c r="D836" s="194"/>
      <c r="E836" s="194"/>
      <c r="F836" s="181"/>
      <c r="G836" s="181"/>
      <c r="H836" s="181"/>
      <c r="I836" s="181"/>
      <c r="J836" s="181"/>
      <c r="K836" s="181"/>
      <c r="L836" s="181"/>
      <c r="M836" s="181"/>
      <c r="N836" s="181"/>
      <c r="O836" s="181"/>
      <c r="P836" s="181"/>
      <c r="Q836" s="181"/>
      <c r="R836" s="181"/>
      <c r="S836" s="181"/>
      <c r="T836" s="181"/>
      <c r="U836" s="181"/>
      <c r="V836" s="181"/>
      <c r="W836" s="181"/>
      <c r="X836" s="181"/>
      <c r="Y836" s="181"/>
      <c r="Z836" s="181"/>
    </row>
    <row r="837">
      <c r="A837" s="194"/>
      <c r="B837" s="195"/>
      <c r="C837" s="181"/>
      <c r="D837" s="194"/>
      <c r="E837" s="194"/>
      <c r="F837" s="181"/>
      <c r="G837" s="181"/>
      <c r="H837" s="181"/>
      <c r="I837" s="181"/>
      <c r="J837" s="181"/>
      <c r="K837" s="181"/>
      <c r="L837" s="181"/>
      <c r="M837" s="181"/>
      <c r="N837" s="181"/>
      <c r="O837" s="181"/>
      <c r="P837" s="181"/>
      <c r="Q837" s="181"/>
      <c r="R837" s="181"/>
      <c r="S837" s="181"/>
      <c r="T837" s="181"/>
      <c r="U837" s="181"/>
      <c r="V837" s="181"/>
      <c r="W837" s="181"/>
      <c r="X837" s="181"/>
      <c r="Y837" s="181"/>
      <c r="Z837" s="181"/>
    </row>
    <row r="838">
      <c r="A838" s="194"/>
      <c r="B838" s="195"/>
      <c r="C838" s="181"/>
      <c r="D838" s="194"/>
      <c r="E838" s="194"/>
      <c r="F838" s="181"/>
      <c r="G838" s="181"/>
      <c r="H838" s="181"/>
      <c r="I838" s="181"/>
      <c r="J838" s="181"/>
      <c r="K838" s="181"/>
      <c r="L838" s="181"/>
      <c r="M838" s="181"/>
      <c r="N838" s="181"/>
      <c r="O838" s="181"/>
      <c r="P838" s="181"/>
      <c r="Q838" s="181"/>
      <c r="R838" s="181"/>
      <c r="S838" s="181"/>
      <c r="T838" s="181"/>
      <c r="U838" s="181"/>
      <c r="V838" s="181"/>
      <c r="W838" s="181"/>
      <c r="X838" s="181"/>
      <c r="Y838" s="181"/>
      <c r="Z838" s="181"/>
    </row>
    <row r="839">
      <c r="A839" s="194"/>
      <c r="B839" s="195"/>
      <c r="C839" s="181"/>
      <c r="D839" s="194"/>
      <c r="E839" s="194"/>
      <c r="F839" s="181"/>
      <c r="G839" s="181"/>
      <c r="H839" s="181"/>
      <c r="I839" s="181"/>
      <c r="J839" s="181"/>
      <c r="K839" s="181"/>
      <c r="L839" s="181"/>
      <c r="M839" s="181"/>
      <c r="N839" s="181"/>
      <c r="O839" s="181"/>
      <c r="P839" s="181"/>
      <c r="Q839" s="181"/>
      <c r="R839" s="181"/>
      <c r="S839" s="181"/>
      <c r="T839" s="181"/>
      <c r="U839" s="181"/>
      <c r="V839" s="181"/>
      <c r="W839" s="181"/>
      <c r="X839" s="181"/>
      <c r="Y839" s="181"/>
      <c r="Z839" s="181"/>
    </row>
    <row r="840">
      <c r="A840" s="194"/>
      <c r="B840" s="195"/>
      <c r="C840" s="181"/>
      <c r="D840" s="194"/>
      <c r="E840" s="194"/>
      <c r="F840" s="181"/>
      <c r="G840" s="181"/>
      <c r="H840" s="181"/>
      <c r="I840" s="181"/>
      <c r="J840" s="181"/>
      <c r="K840" s="181"/>
      <c r="L840" s="181"/>
      <c r="M840" s="181"/>
      <c r="N840" s="181"/>
      <c r="O840" s="181"/>
      <c r="P840" s="181"/>
      <c r="Q840" s="181"/>
      <c r="R840" s="181"/>
      <c r="S840" s="181"/>
      <c r="T840" s="181"/>
      <c r="U840" s="181"/>
      <c r="V840" s="181"/>
      <c r="W840" s="181"/>
      <c r="X840" s="181"/>
      <c r="Y840" s="181"/>
      <c r="Z840" s="181"/>
    </row>
    <row r="841">
      <c r="A841" s="194"/>
      <c r="B841" s="195"/>
      <c r="C841" s="181"/>
      <c r="D841" s="194"/>
      <c r="E841" s="194"/>
      <c r="F841" s="181"/>
      <c r="G841" s="181"/>
      <c r="H841" s="181"/>
      <c r="I841" s="181"/>
      <c r="J841" s="181"/>
      <c r="K841" s="181"/>
      <c r="L841" s="181"/>
      <c r="M841" s="181"/>
      <c r="N841" s="181"/>
      <c r="O841" s="181"/>
      <c r="P841" s="181"/>
      <c r="Q841" s="181"/>
      <c r="R841" s="181"/>
      <c r="S841" s="181"/>
      <c r="T841" s="181"/>
      <c r="U841" s="181"/>
      <c r="V841" s="181"/>
      <c r="W841" s="181"/>
      <c r="X841" s="181"/>
      <c r="Y841" s="181"/>
      <c r="Z841" s="181"/>
    </row>
    <row r="842">
      <c r="A842" s="194"/>
      <c r="B842" s="195"/>
      <c r="C842" s="181"/>
      <c r="D842" s="194"/>
      <c r="E842" s="194"/>
      <c r="F842" s="181"/>
      <c r="G842" s="181"/>
      <c r="H842" s="181"/>
      <c r="I842" s="181"/>
      <c r="J842" s="181"/>
      <c r="K842" s="181"/>
      <c r="L842" s="181"/>
      <c r="M842" s="181"/>
      <c r="N842" s="181"/>
      <c r="O842" s="181"/>
      <c r="P842" s="181"/>
      <c r="Q842" s="181"/>
      <c r="R842" s="181"/>
      <c r="S842" s="181"/>
      <c r="T842" s="181"/>
      <c r="U842" s="181"/>
      <c r="V842" s="181"/>
      <c r="W842" s="181"/>
      <c r="X842" s="181"/>
      <c r="Y842" s="181"/>
      <c r="Z842" s="181"/>
    </row>
    <row r="843">
      <c r="A843" s="194"/>
      <c r="B843" s="195"/>
      <c r="C843" s="181"/>
      <c r="D843" s="194"/>
      <c r="E843" s="194"/>
      <c r="F843" s="181"/>
      <c r="G843" s="181"/>
      <c r="H843" s="181"/>
      <c r="I843" s="181"/>
      <c r="J843" s="181"/>
      <c r="K843" s="181"/>
      <c r="L843" s="181"/>
      <c r="M843" s="181"/>
      <c r="N843" s="181"/>
      <c r="O843" s="181"/>
      <c r="P843" s="181"/>
      <c r="Q843" s="181"/>
      <c r="R843" s="181"/>
      <c r="S843" s="181"/>
      <c r="T843" s="181"/>
      <c r="U843" s="181"/>
      <c r="V843" s="181"/>
      <c r="W843" s="181"/>
      <c r="X843" s="181"/>
      <c r="Y843" s="181"/>
      <c r="Z843" s="181"/>
    </row>
    <row r="844">
      <c r="A844" s="194"/>
      <c r="B844" s="195"/>
      <c r="C844" s="181"/>
      <c r="D844" s="194"/>
      <c r="E844" s="194"/>
      <c r="F844" s="181"/>
      <c r="G844" s="181"/>
      <c r="H844" s="181"/>
      <c r="I844" s="181"/>
      <c r="J844" s="181"/>
      <c r="K844" s="181"/>
      <c r="L844" s="181"/>
      <c r="M844" s="181"/>
      <c r="N844" s="181"/>
      <c r="O844" s="181"/>
      <c r="P844" s="181"/>
      <c r="Q844" s="181"/>
      <c r="R844" s="181"/>
      <c r="S844" s="181"/>
      <c r="T844" s="181"/>
      <c r="U844" s="181"/>
      <c r="V844" s="181"/>
      <c r="W844" s="181"/>
      <c r="X844" s="181"/>
      <c r="Y844" s="181"/>
      <c r="Z844" s="181"/>
    </row>
    <row r="845">
      <c r="A845" s="194"/>
      <c r="B845" s="195"/>
      <c r="C845" s="181"/>
      <c r="D845" s="194"/>
      <c r="E845" s="194"/>
      <c r="F845" s="181"/>
      <c r="G845" s="181"/>
      <c r="H845" s="181"/>
      <c r="I845" s="181"/>
      <c r="J845" s="181"/>
      <c r="K845" s="181"/>
      <c r="L845" s="181"/>
      <c r="M845" s="181"/>
      <c r="N845" s="181"/>
      <c r="O845" s="181"/>
      <c r="P845" s="181"/>
      <c r="Q845" s="181"/>
      <c r="R845" s="181"/>
      <c r="S845" s="181"/>
      <c r="T845" s="181"/>
      <c r="U845" s="181"/>
      <c r="V845" s="181"/>
      <c r="W845" s="181"/>
      <c r="X845" s="181"/>
      <c r="Y845" s="181"/>
      <c r="Z845" s="181"/>
    </row>
    <row r="846">
      <c r="A846" s="194"/>
      <c r="B846" s="195"/>
      <c r="C846" s="181"/>
      <c r="D846" s="194"/>
      <c r="E846" s="194"/>
      <c r="F846" s="181"/>
      <c r="G846" s="181"/>
      <c r="H846" s="181"/>
      <c r="I846" s="181"/>
      <c r="J846" s="181"/>
      <c r="K846" s="181"/>
      <c r="L846" s="181"/>
      <c r="M846" s="181"/>
      <c r="N846" s="181"/>
      <c r="O846" s="181"/>
      <c r="P846" s="181"/>
      <c r="Q846" s="181"/>
      <c r="R846" s="181"/>
      <c r="S846" s="181"/>
      <c r="T846" s="181"/>
      <c r="U846" s="181"/>
      <c r="V846" s="181"/>
      <c r="W846" s="181"/>
      <c r="X846" s="181"/>
      <c r="Y846" s="181"/>
      <c r="Z846" s="181"/>
    </row>
    <row r="847">
      <c r="A847" s="194"/>
      <c r="B847" s="195"/>
      <c r="C847" s="181"/>
      <c r="D847" s="194"/>
      <c r="E847" s="194"/>
      <c r="F847" s="181"/>
      <c r="G847" s="181"/>
      <c r="H847" s="181"/>
      <c r="I847" s="181"/>
      <c r="J847" s="181"/>
      <c r="K847" s="181"/>
      <c r="L847" s="181"/>
      <c r="M847" s="181"/>
      <c r="N847" s="181"/>
      <c r="O847" s="181"/>
      <c r="P847" s="181"/>
      <c r="Q847" s="181"/>
      <c r="R847" s="181"/>
      <c r="S847" s="181"/>
      <c r="T847" s="181"/>
      <c r="U847" s="181"/>
      <c r="V847" s="181"/>
      <c r="W847" s="181"/>
      <c r="X847" s="181"/>
      <c r="Y847" s="181"/>
      <c r="Z847" s="181"/>
    </row>
    <row r="848">
      <c r="A848" s="194"/>
      <c r="B848" s="195"/>
      <c r="C848" s="181"/>
      <c r="D848" s="194"/>
      <c r="E848" s="194"/>
      <c r="F848" s="181"/>
      <c r="G848" s="181"/>
      <c r="H848" s="181"/>
      <c r="I848" s="181"/>
      <c r="J848" s="181"/>
      <c r="K848" s="181"/>
      <c r="L848" s="181"/>
      <c r="M848" s="181"/>
      <c r="N848" s="181"/>
      <c r="O848" s="181"/>
      <c r="P848" s="181"/>
      <c r="Q848" s="181"/>
      <c r="R848" s="181"/>
      <c r="S848" s="181"/>
      <c r="T848" s="181"/>
      <c r="U848" s="181"/>
      <c r="V848" s="181"/>
      <c r="W848" s="181"/>
      <c r="X848" s="181"/>
      <c r="Y848" s="181"/>
      <c r="Z848" s="181"/>
    </row>
    <row r="849">
      <c r="A849" s="194"/>
      <c r="B849" s="195"/>
      <c r="C849" s="181"/>
      <c r="D849" s="194"/>
      <c r="E849" s="194"/>
      <c r="F849" s="181"/>
      <c r="G849" s="181"/>
      <c r="H849" s="181"/>
      <c r="I849" s="181"/>
      <c r="J849" s="181"/>
      <c r="K849" s="181"/>
      <c r="L849" s="181"/>
      <c r="M849" s="181"/>
      <c r="N849" s="181"/>
      <c r="O849" s="181"/>
      <c r="P849" s="181"/>
      <c r="Q849" s="181"/>
      <c r="R849" s="181"/>
      <c r="S849" s="181"/>
      <c r="T849" s="181"/>
      <c r="U849" s="181"/>
      <c r="V849" s="181"/>
      <c r="W849" s="181"/>
      <c r="X849" s="181"/>
      <c r="Y849" s="181"/>
      <c r="Z849" s="181"/>
    </row>
    <row r="850">
      <c r="A850" s="194"/>
      <c r="B850" s="195"/>
      <c r="C850" s="181"/>
      <c r="D850" s="194"/>
      <c r="E850" s="194"/>
      <c r="F850" s="181"/>
      <c r="G850" s="181"/>
      <c r="H850" s="181"/>
      <c r="I850" s="181"/>
      <c r="J850" s="181"/>
      <c r="K850" s="181"/>
      <c r="L850" s="181"/>
      <c r="M850" s="181"/>
      <c r="N850" s="181"/>
      <c r="O850" s="181"/>
      <c r="P850" s="181"/>
      <c r="Q850" s="181"/>
      <c r="R850" s="181"/>
      <c r="S850" s="181"/>
      <c r="T850" s="181"/>
      <c r="U850" s="181"/>
      <c r="V850" s="181"/>
      <c r="W850" s="181"/>
      <c r="X850" s="181"/>
      <c r="Y850" s="181"/>
      <c r="Z850" s="181"/>
    </row>
    <row r="851">
      <c r="A851" s="194"/>
      <c r="B851" s="195"/>
      <c r="C851" s="181"/>
      <c r="D851" s="194"/>
      <c r="E851" s="194"/>
      <c r="F851" s="181"/>
      <c r="G851" s="181"/>
      <c r="H851" s="181"/>
      <c r="I851" s="181"/>
      <c r="J851" s="181"/>
      <c r="K851" s="181"/>
      <c r="L851" s="181"/>
      <c r="M851" s="181"/>
      <c r="N851" s="181"/>
      <c r="O851" s="181"/>
      <c r="P851" s="181"/>
      <c r="Q851" s="181"/>
      <c r="R851" s="181"/>
      <c r="S851" s="181"/>
      <c r="T851" s="181"/>
      <c r="U851" s="181"/>
      <c r="V851" s="181"/>
      <c r="W851" s="181"/>
      <c r="X851" s="181"/>
      <c r="Y851" s="181"/>
      <c r="Z851" s="181"/>
    </row>
    <row r="852">
      <c r="A852" s="194"/>
      <c r="B852" s="195"/>
      <c r="C852" s="181"/>
      <c r="D852" s="194"/>
      <c r="E852" s="194"/>
      <c r="F852" s="181"/>
      <c r="G852" s="181"/>
      <c r="H852" s="181"/>
      <c r="I852" s="181"/>
      <c r="J852" s="181"/>
      <c r="K852" s="181"/>
      <c r="L852" s="181"/>
      <c r="M852" s="181"/>
      <c r="N852" s="181"/>
      <c r="O852" s="181"/>
      <c r="P852" s="181"/>
      <c r="Q852" s="181"/>
      <c r="R852" s="181"/>
      <c r="S852" s="181"/>
      <c r="T852" s="181"/>
      <c r="U852" s="181"/>
      <c r="V852" s="181"/>
      <c r="W852" s="181"/>
      <c r="X852" s="181"/>
      <c r="Y852" s="181"/>
      <c r="Z852" s="181"/>
    </row>
    <row r="853">
      <c r="A853" s="194"/>
      <c r="B853" s="195"/>
      <c r="C853" s="181"/>
      <c r="D853" s="194"/>
      <c r="E853" s="194"/>
      <c r="F853" s="181"/>
      <c r="G853" s="181"/>
      <c r="H853" s="181"/>
      <c r="I853" s="181"/>
      <c r="J853" s="181"/>
      <c r="K853" s="181"/>
      <c r="L853" s="181"/>
      <c r="M853" s="181"/>
      <c r="N853" s="181"/>
      <c r="O853" s="181"/>
      <c r="P853" s="181"/>
      <c r="Q853" s="181"/>
      <c r="R853" s="181"/>
      <c r="S853" s="181"/>
      <c r="T853" s="181"/>
      <c r="U853" s="181"/>
      <c r="V853" s="181"/>
      <c r="W853" s="181"/>
      <c r="X853" s="181"/>
      <c r="Y853" s="181"/>
      <c r="Z853" s="181"/>
    </row>
    <row r="854">
      <c r="A854" s="194"/>
      <c r="B854" s="195"/>
      <c r="C854" s="181"/>
      <c r="D854" s="194"/>
      <c r="E854" s="194"/>
      <c r="F854" s="181"/>
      <c r="G854" s="181"/>
      <c r="H854" s="181"/>
      <c r="I854" s="181"/>
      <c r="J854" s="181"/>
      <c r="K854" s="181"/>
      <c r="L854" s="181"/>
      <c r="M854" s="181"/>
      <c r="N854" s="181"/>
      <c r="O854" s="181"/>
      <c r="P854" s="181"/>
      <c r="Q854" s="181"/>
      <c r="R854" s="181"/>
      <c r="S854" s="181"/>
      <c r="T854" s="181"/>
      <c r="U854" s="181"/>
      <c r="V854" s="181"/>
      <c r="W854" s="181"/>
      <c r="X854" s="181"/>
      <c r="Y854" s="181"/>
      <c r="Z854" s="181"/>
    </row>
    <row r="855">
      <c r="A855" s="194"/>
      <c r="B855" s="195"/>
      <c r="C855" s="181"/>
      <c r="D855" s="194"/>
      <c r="E855" s="194"/>
      <c r="F855" s="181"/>
      <c r="G855" s="181"/>
      <c r="H855" s="181"/>
      <c r="I855" s="181"/>
      <c r="J855" s="181"/>
      <c r="K855" s="181"/>
      <c r="L855" s="181"/>
      <c r="M855" s="181"/>
      <c r="N855" s="181"/>
      <c r="O855" s="181"/>
      <c r="P855" s="181"/>
      <c r="Q855" s="181"/>
      <c r="R855" s="181"/>
      <c r="S855" s="181"/>
      <c r="T855" s="181"/>
      <c r="U855" s="181"/>
      <c r="V855" s="181"/>
      <c r="W855" s="181"/>
      <c r="X855" s="181"/>
      <c r="Y855" s="181"/>
      <c r="Z855" s="181"/>
    </row>
    <row r="856">
      <c r="A856" s="194"/>
      <c r="B856" s="195"/>
      <c r="C856" s="181"/>
      <c r="D856" s="194"/>
      <c r="E856" s="194"/>
      <c r="F856" s="181"/>
      <c r="G856" s="181"/>
      <c r="H856" s="181"/>
      <c r="I856" s="181"/>
      <c r="J856" s="181"/>
      <c r="K856" s="181"/>
      <c r="L856" s="181"/>
      <c r="M856" s="181"/>
      <c r="N856" s="181"/>
      <c r="O856" s="181"/>
      <c r="P856" s="181"/>
      <c r="Q856" s="181"/>
      <c r="R856" s="181"/>
      <c r="S856" s="181"/>
      <c r="T856" s="181"/>
      <c r="U856" s="181"/>
      <c r="V856" s="181"/>
      <c r="W856" s="181"/>
      <c r="X856" s="181"/>
      <c r="Y856" s="181"/>
      <c r="Z856" s="181"/>
    </row>
    <row r="857">
      <c r="A857" s="194"/>
      <c r="B857" s="195"/>
      <c r="C857" s="181"/>
      <c r="D857" s="194"/>
      <c r="E857" s="194"/>
      <c r="F857" s="181"/>
      <c r="G857" s="181"/>
      <c r="H857" s="181"/>
      <c r="I857" s="181"/>
      <c r="J857" s="181"/>
      <c r="K857" s="181"/>
      <c r="L857" s="181"/>
      <c r="M857" s="181"/>
      <c r="N857" s="181"/>
      <c r="O857" s="181"/>
      <c r="P857" s="181"/>
      <c r="Q857" s="181"/>
      <c r="R857" s="181"/>
      <c r="S857" s="181"/>
      <c r="T857" s="181"/>
      <c r="U857" s="181"/>
      <c r="V857" s="181"/>
      <c r="W857" s="181"/>
      <c r="X857" s="181"/>
      <c r="Y857" s="181"/>
      <c r="Z857" s="181"/>
    </row>
    <row r="858">
      <c r="A858" s="194"/>
      <c r="B858" s="195"/>
      <c r="C858" s="181"/>
      <c r="D858" s="194"/>
      <c r="E858" s="194"/>
      <c r="F858" s="181"/>
      <c r="G858" s="181"/>
      <c r="H858" s="181"/>
      <c r="I858" s="181"/>
      <c r="J858" s="181"/>
      <c r="K858" s="181"/>
      <c r="L858" s="181"/>
      <c r="M858" s="181"/>
      <c r="N858" s="181"/>
      <c r="O858" s="181"/>
      <c r="P858" s="181"/>
      <c r="Q858" s="181"/>
      <c r="R858" s="181"/>
      <c r="S858" s="181"/>
      <c r="T858" s="181"/>
      <c r="U858" s="181"/>
      <c r="V858" s="181"/>
      <c r="W858" s="181"/>
      <c r="X858" s="181"/>
      <c r="Y858" s="181"/>
      <c r="Z858" s="181"/>
    </row>
    <row r="859">
      <c r="A859" s="194"/>
      <c r="B859" s="195"/>
      <c r="C859" s="181"/>
      <c r="D859" s="194"/>
      <c r="E859" s="194"/>
      <c r="F859" s="181"/>
      <c r="G859" s="181"/>
      <c r="H859" s="181"/>
      <c r="I859" s="181"/>
      <c r="J859" s="181"/>
      <c r="K859" s="181"/>
      <c r="L859" s="181"/>
      <c r="M859" s="181"/>
      <c r="N859" s="181"/>
      <c r="O859" s="181"/>
      <c r="P859" s="181"/>
      <c r="Q859" s="181"/>
      <c r="R859" s="181"/>
      <c r="S859" s="181"/>
      <c r="T859" s="181"/>
      <c r="U859" s="181"/>
      <c r="V859" s="181"/>
      <c r="W859" s="181"/>
      <c r="X859" s="181"/>
      <c r="Y859" s="181"/>
      <c r="Z859" s="181"/>
    </row>
    <row r="860">
      <c r="A860" s="194"/>
      <c r="B860" s="195"/>
      <c r="C860" s="181"/>
      <c r="D860" s="194"/>
      <c r="E860" s="194"/>
      <c r="F860" s="181"/>
      <c r="G860" s="181"/>
      <c r="H860" s="181"/>
      <c r="I860" s="181"/>
      <c r="J860" s="181"/>
      <c r="K860" s="181"/>
      <c r="L860" s="181"/>
      <c r="M860" s="181"/>
      <c r="N860" s="181"/>
      <c r="O860" s="181"/>
      <c r="P860" s="181"/>
      <c r="Q860" s="181"/>
      <c r="R860" s="181"/>
      <c r="S860" s="181"/>
      <c r="T860" s="181"/>
      <c r="U860" s="181"/>
      <c r="V860" s="181"/>
      <c r="W860" s="181"/>
      <c r="X860" s="181"/>
      <c r="Y860" s="181"/>
      <c r="Z860" s="181"/>
    </row>
    <row r="861">
      <c r="A861" s="194"/>
      <c r="B861" s="195"/>
      <c r="C861" s="181"/>
      <c r="D861" s="194"/>
      <c r="E861" s="194"/>
      <c r="F861" s="181"/>
      <c r="G861" s="181"/>
      <c r="H861" s="181"/>
      <c r="I861" s="181"/>
      <c r="J861" s="181"/>
      <c r="K861" s="181"/>
      <c r="L861" s="181"/>
      <c r="M861" s="181"/>
      <c r="N861" s="181"/>
      <c r="O861" s="181"/>
      <c r="P861" s="181"/>
      <c r="Q861" s="181"/>
      <c r="R861" s="181"/>
      <c r="S861" s="181"/>
      <c r="T861" s="181"/>
      <c r="U861" s="181"/>
      <c r="V861" s="181"/>
      <c r="W861" s="181"/>
      <c r="X861" s="181"/>
      <c r="Y861" s="181"/>
      <c r="Z861" s="181"/>
    </row>
    <row r="862">
      <c r="A862" s="194"/>
      <c r="B862" s="195"/>
      <c r="C862" s="181"/>
      <c r="D862" s="194"/>
      <c r="E862" s="194"/>
      <c r="F862" s="181"/>
      <c r="G862" s="181"/>
      <c r="H862" s="181"/>
      <c r="I862" s="181"/>
      <c r="J862" s="181"/>
      <c r="K862" s="181"/>
      <c r="L862" s="181"/>
      <c r="M862" s="181"/>
      <c r="N862" s="181"/>
      <c r="O862" s="181"/>
      <c r="P862" s="181"/>
      <c r="Q862" s="181"/>
      <c r="R862" s="181"/>
      <c r="S862" s="181"/>
      <c r="T862" s="181"/>
      <c r="U862" s="181"/>
      <c r="V862" s="181"/>
      <c r="W862" s="181"/>
      <c r="X862" s="181"/>
      <c r="Y862" s="181"/>
      <c r="Z862" s="181"/>
    </row>
    <row r="863">
      <c r="A863" s="194"/>
      <c r="B863" s="195"/>
      <c r="C863" s="181"/>
      <c r="D863" s="194"/>
      <c r="E863" s="194"/>
      <c r="F863" s="181"/>
      <c r="G863" s="181"/>
      <c r="H863" s="181"/>
      <c r="I863" s="181"/>
      <c r="J863" s="181"/>
      <c r="K863" s="181"/>
      <c r="L863" s="181"/>
      <c r="M863" s="181"/>
      <c r="N863" s="181"/>
      <c r="O863" s="181"/>
      <c r="P863" s="181"/>
      <c r="Q863" s="181"/>
      <c r="R863" s="181"/>
      <c r="S863" s="181"/>
      <c r="T863" s="181"/>
      <c r="U863" s="181"/>
      <c r="V863" s="181"/>
      <c r="W863" s="181"/>
      <c r="X863" s="181"/>
      <c r="Y863" s="181"/>
      <c r="Z863" s="181"/>
    </row>
    <row r="864">
      <c r="A864" s="194"/>
      <c r="B864" s="195"/>
      <c r="C864" s="181"/>
      <c r="D864" s="194"/>
      <c r="E864" s="194"/>
      <c r="F864" s="181"/>
      <c r="G864" s="181"/>
      <c r="H864" s="181"/>
      <c r="I864" s="181"/>
      <c r="J864" s="181"/>
      <c r="K864" s="181"/>
      <c r="L864" s="181"/>
      <c r="M864" s="181"/>
      <c r="N864" s="181"/>
      <c r="O864" s="181"/>
      <c r="P864" s="181"/>
      <c r="Q864" s="181"/>
      <c r="R864" s="181"/>
      <c r="S864" s="181"/>
      <c r="T864" s="181"/>
      <c r="U864" s="181"/>
      <c r="V864" s="181"/>
      <c r="W864" s="181"/>
      <c r="X864" s="181"/>
      <c r="Y864" s="181"/>
      <c r="Z864" s="181"/>
    </row>
    <row r="865">
      <c r="A865" s="194"/>
      <c r="B865" s="195"/>
      <c r="C865" s="181"/>
      <c r="D865" s="194"/>
      <c r="E865" s="194"/>
      <c r="F865" s="181"/>
      <c r="G865" s="181"/>
      <c r="H865" s="181"/>
      <c r="I865" s="181"/>
      <c r="J865" s="181"/>
      <c r="K865" s="181"/>
      <c r="L865" s="181"/>
      <c r="M865" s="181"/>
      <c r="N865" s="181"/>
      <c r="O865" s="181"/>
      <c r="P865" s="181"/>
      <c r="Q865" s="181"/>
      <c r="R865" s="181"/>
      <c r="S865" s="181"/>
      <c r="T865" s="181"/>
      <c r="U865" s="181"/>
      <c r="V865" s="181"/>
      <c r="W865" s="181"/>
      <c r="X865" s="181"/>
      <c r="Y865" s="181"/>
      <c r="Z865" s="181"/>
    </row>
    <row r="866">
      <c r="A866" s="194"/>
      <c r="B866" s="195"/>
      <c r="C866" s="181"/>
      <c r="D866" s="194"/>
      <c r="E866" s="194"/>
      <c r="F866" s="181"/>
      <c r="G866" s="181"/>
      <c r="H866" s="181"/>
      <c r="I866" s="181"/>
      <c r="J866" s="181"/>
      <c r="K866" s="181"/>
      <c r="L866" s="181"/>
      <c r="M866" s="181"/>
      <c r="N866" s="181"/>
      <c r="O866" s="181"/>
      <c r="P866" s="181"/>
      <c r="Q866" s="181"/>
      <c r="R866" s="181"/>
      <c r="S866" s="181"/>
      <c r="T866" s="181"/>
      <c r="U866" s="181"/>
      <c r="V866" s="181"/>
      <c r="W866" s="181"/>
      <c r="X866" s="181"/>
      <c r="Y866" s="181"/>
      <c r="Z866" s="181"/>
    </row>
    <row r="867">
      <c r="A867" s="194"/>
      <c r="B867" s="195"/>
      <c r="C867" s="181"/>
      <c r="D867" s="194"/>
      <c r="E867" s="194"/>
      <c r="F867" s="181"/>
      <c r="G867" s="181"/>
      <c r="H867" s="181"/>
      <c r="I867" s="181"/>
      <c r="J867" s="181"/>
      <c r="K867" s="181"/>
      <c r="L867" s="181"/>
      <c r="M867" s="181"/>
      <c r="N867" s="181"/>
      <c r="O867" s="181"/>
      <c r="P867" s="181"/>
      <c r="Q867" s="181"/>
      <c r="R867" s="181"/>
      <c r="S867" s="181"/>
      <c r="T867" s="181"/>
      <c r="U867" s="181"/>
      <c r="V867" s="181"/>
      <c r="W867" s="181"/>
      <c r="X867" s="181"/>
      <c r="Y867" s="181"/>
      <c r="Z867" s="181"/>
    </row>
    <row r="868">
      <c r="A868" s="194"/>
      <c r="B868" s="195"/>
      <c r="C868" s="181"/>
      <c r="D868" s="194"/>
      <c r="E868" s="194"/>
      <c r="F868" s="181"/>
      <c r="G868" s="181"/>
      <c r="H868" s="181"/>
      <c r="I868" s="181"/>
      <c r="J868" s="181"/>
      <c r="K868" s="181"/>
      <c r="L868" s="181"/>
      <c r="M868" s="181"/>
      <c r="N868" s="181"/>
      <c r="O868" s="181"/>
      <c r="P868" s="181"/>
      <c r="Q868" s="181"/>
      <c r="R868" s="181"/>
      <c r="S868" s="181"/>
      <c r="T868" s="181"/>
      <c r="U868" s="181"/>
      <c r="V868" s="181"/>
      <c r="W868" s="181"/>
      <c r="X868" s="181"/>
      <c r="Y868" s="181"/>
      <c r="Z868" s="181"/>
    </row>
    <row r="869">
      <c r="A869" s="194"/>
      <c r="B869" s="195"/>
      <c r="C869" s="181"/>
      <c r="D869" s="194"/>
      <c r="E869" s="194"/>
      <c r="F869" s="181"/>
      <c r="G869" s="181"/>
      <c r="H869" s="181"/>
      <c r="I869" s="181"/>
      <c r="J869" s="181"/>
      <c r="K869" s="181"/>
      <c r="L869" s="181"/>
      <c r="M869" s="181"/>
      <c r="N869" s="181"/>
      <c r="O869" s="181"/>
      <c r="P869" s="181"/>
      <c r="Q869" s="181"/>
      <c r="R869" s="181"/>
      <c r="S869" s="181"/>
      <c r="T869" s="181"/>
      <c r="U869" s="181"/>
      <c r="V869" s="181"/>
      <c r="W869" s="181"/>
      <c r="X869" s="181"/>
      <c r="Y869" s="181"/>
      <c r="Z869" s="181"/>
    </row>
    <row r="870">
      <c r="A870" s="194"/>
      <c r="B870" s="195"/>
      <c r="C870" s="181"/>
      <c r="D870" s="194"/>
      <c r="E870" s="194"/>
      <c r="F870" s="181"/>
      <c r="G870" s="181"/>
      <c r="H870" s="181"/>
      <c r="I870" s="181"/>
      <c r="J870" s="181"/>
      <c r="K870" s="181"/>
      <c r="L870" s="181"/>
      <c r="M870" s="181"/>
      <c r="N870" s="181"/>
      <c r="O870" s="181"/>
      <c r="P870" s="181"/>
      <c r="Q870" s="181"/>
      <c r="R870" s="181"/>
      <c r="S870" s="181"/>
      <c r="T870" s="181"/>
      <c r="U870" s="181"/>
      <c r="V870" s="181"/>
      <c r="W870" s="181"/>
      <c r="X870" s="181"/>
      <c r="Y870" s="181"/>
      <c r="Z870" s="181"/>
    </row>
    <row r="871">
      <c r="A871" s="194"/>
      <c r="B871" s="195"/>
      <c r="C871" s="181"/>
      <c r="D871" s="194"/>
      <c r="E871" s="194"/>
      <c r="F871" s="181"/>
      <c r="G871" s="181"/>
      <c r="H871" s="181"/>
      <c r="I871" s="181"/>
      <c r="J871" s="181"/>
      <c r="K871" s="181"/>
      <c r="L871" s="181"/>
      <c r="M871" s="181"/>
      <c r="N871" s="181"/>
      <c r="O871" s="181"/>
      <c r="P871" s="181"/>
      <c r="Q871" s="181"/>
      <c r="R871" s="181"/>
      <c r="S871" s="181"/>
      <c r="T871" s="181"/>
      <c r="U871" s="181"/>
      <c r="V871" s="181"/>
      <c r="W871" s="181"/>
      <c r="X871" s="181"/>
      <c r="Y871" s="181"/>
      <c r="Z871" s="181"/>
    </row>
    <row r="872">
      <c r="A872" s="194"/>
      <c r="B872" s="195"/>
      <c r="C872" s="181"/>
      <c r="D872" s="194"/>
      <c r="E872" s="194"/>
      <c r="F872" s="181"/>
      <c r="G872" s="181"/>
      <c r="H872" s="181"/>
      <c r="I872" s="181"/>
      <c r="J872" s="181"/>
      <c r="K872" s="181"/>
      <c r="L872" s="181"/>
      <c r="M872" s="181"/>
      <c r="N872" s="181"/>
      <c r="O872" s="181"/>
      <c r="P872" s="181"/>
      <c r="Q872" s="181"/>
      <c r="R872" s="181"/>
      <c r="S872" s="181"/>
      <c r="T872" s="181"/>
      <c r="U872" s="181"/>
      <c r="V872" s="181"/>
      <c r="W872" s="181"/>
      <c r="X872" s="181"/>
      <c r="Y872" s="181"/>
      <c r="Z872" s="181"/>
    </row>
    <row r="873">
      <c r="A873" s="194"/>
      <c r="B873" s="195"/>
      <c r="C873" s="181"/>
      <c r="D873" s="194"/>
      <c r="E873" s="194"/>
      <c r="F873" s="181"/>
      <c r="G873" s="181"/>
      <c r="H873" s="181"/>
      <c r="I873" s="181"/>
      <c r="J873" s="181"/>
      <c r="K873" s="181"/>
      <c r="L873" s="181"/>
      <c r="M873" s="181"/>
      <c r="N873" s="181"/>
      <c r="O873" s="181"/>
      <c r="P873" s="181"/>
      <c r="Q873" s="181"/>
      <c r="R873" s="181"/>
      <c r="S873" s="181"/>
      <c r="T873" s="181"/>
      <c r="U873" s="181"/>
      <c r="V873" s="181"/>
      <c r="W873" s="181"/>
      <c r="X873" s="181"/>
      <c r="Y873" s="181"/>
      <c r="Z873" s="181"/>
    </row>
    <row r="874">
      <c r="A874" s="194"/>
      <c r="B874" s="195"/>
      <c r="C874" s="181"/>
      <c r="D874" s="194"/>
      <c r="E874" s="194"/>
      <c r="F874" s="181"/>
      <c r="G874" s="181"/>
      <c r="H874" s="181"/>
      <c r="I874" s="181"/>
      <c r="J874" s="181"/>
      <c r="K874" s="181"/>
      <c r="L874" s="181"/>
      <c r="M874" s="181"/>
      <c r="N874" s="181"/>
      <c r="O874" s="181"/>
      <c r="P874" s="181"/>
      <c r="Q874" s="181"/>
      <c r="R874" s="181"/>
      <c r="S874" s="181"/>
      <c r="T874" s="181"/>
      <c r="U874" s="181"/>
      <c r="V874" s="181"/>
      <c r="W874" s="181"/>
      <c r="X874" s="181"/>
      <c r="Y874" s="181"/>
      <c r="Z874" s="181"/>
    </row>
    <row r="875">
      <c r="A875" s="194"/>
      <c r="B875" s="195"/>
      <c r="C875" s="181"/>
      <c r="D875" s="194"/>
      <c r="E875" s="194"/>
      <c r="F875" s="181"/>
      <c r="G875" s="181"/>
      <c r="H875" s="181"/>
      <c r="I875" s="181"/>
      <c r="J875" s="181"/>
      <c r="K875" s="181"/>
      <c r="L875" s="181"/>
      <c r="M875" s="181"/>
      <c r="N875" s="181"/>
      <c r="O875" s="181"/>
      <c r="P875" s="181"/>
      <c r="Q875" s="181"/>
      <c r="R875" s="181"/>
      <c r="S875" s="181"/>
      <c r="T875" s="181"/>
      <c r="U875" s="181"/>
      <c r="V875" s="181"/>
      <c r="W875" s="181"/>
      <c r="X875" s="181"/>
      <c r="Y875" s="181"/>
      <c r="Z875" s="181"/>
    </row>
    <row r="876">
      <c r="A876" s="194"/>
      <c r="B876" s="195"/>
      <c r="C876" s="181"/>
      <c r="D876" s="194"/>
      <c r="E876" s="194"/>
      <c r="F876" s="181"/>
      <c r="G876" s="181"/>
      <c r="H876" s="181"/>
      <c r="I876" s="181"/>
      <c r="J876" s="181"/>
      <c r="K876" s="181"/>
      <c r="L876" s="181"/>
      <c r="M876" s="181"/>
      <c r="N876" s="181"/>
      <c r="O876" s="181"/>
      <c r="P876" s="181"/>
      <c r="Q876" s="181"/>
      <c r="R876" s="181"/>
      <c r="S876" s="181"/>
      <c r="T876" s="181"/>
      <c r="U876" s="181"/>
      <c r="V876" s="181"/>
      <c r="W876" s="181"/>
      <c r="X876" s="181"/>
      <c r="Y876" s="181"/>
      <c r="Z876" s="181"/>
    </row>
    <row r="877">
      <c r="A877" s="194"/>
      <c r="B877" s="195"/>
      <c r="C877" s="181"/>
      <c r="D877" s="194"/>
      <c r="E877" s="194"/>
      <c r="F877" s="181"/>
      <c r="G877" s="181"/>
      <c r="H877" s="181"/>
      <c r="I877" s="181"/>
      <c r="J877" s="181"/>
      <c r="K877" s="181"/>
      <c r="L877" s="181"/>
      <c r="M877" s="181"/>
      <c r="N877" s="181"/>
      <c r="O877" s="181"/>
      <c r="P877" s="181"/>
      <c r="Q877" s="181"/>
      <c r="R877" s="181"/>
      <c r="S877" s="181"/>
      <c r="T877" s="181"/>
      <c r="U877" s="181"/>
      <c r="V877" s="181"/>
      <c r="W877" s="181"/>
      <c r="X877" s="181"/>
      <c r="Y877" s="181"/>
      <c r="Z877" s="181"/>
    </row>
    <row r="878">
      <c r="A878" s="194"/>
      <c r="B878" s="195"/>
      <c r="C878" s="181"/>
      <c r="D878" s="194"/>
      <c r="E878" s="194"/>
      <c r="F878" s="181"/>
      <c r="G878" s="181"/>
      <c r="H878" s="181"/>
      <c r="I878" s="181"/>
      <c r="J878" s="181"/>
      <c r="K878" s="181"/>
      <c r="L878" s="181"/>
      <c r="M878" s="181"/>
      <c r="N878" s="181"/>
      <c r="O878" s="181"/>
      <c r="P878" s="181"/>
      <c r="Q878" s="181"/>
      <c r="R878" s="181"/>
      <c r="S878" s="181"/>
      <c r="T878" s="181"/>
      <c r="U878" s="181"/>
      <c r="V878" s="181"/>
      <c r="W878" s="181"/>
      <c r="X878" s="181"/>
      <c r="Y878" s="181"/>
      <c r="Z878" s="181"/>
    </row>
    <row r="879">
      <c r="A879" s="194"/>
      <c r="B879" s="195"/>
      <c r="C879" s="181"/>
      <c r="D879" s="194"/>
      <c r="E879" s="194"/>
      <c r="F879" s="181"/>
      <c r="G879" s="181"/>
      <c r="H879" s="181"/>
      <c r="I879" s="181"/>
      <c r="J879" s="181"/>
      <c r="K879" s="181"/>
      <c r="L879" s="181"/>
      <c r="M879" s="181"/>
      <c r="N879" s="181"/>
      <c r="O879" s="181"/>
      <c r="P879" s="181"/>
      <c r="Q879" s="181"/>
      <c r="R879" s="181"/>
      <c r="S879" s="181"/>
      <c r="T879" s="181"/>
      <c r="U879" s="181"/>
      <c r="V879" s="181"/>
      <c r="W879" s="181"/>
      <c r="X879" s="181"/>
      <c r="Y879" s="181"/>
      <c r="Z879" s="181"/>
    </row>
    <row r="880">
      <c r="A880" s="194"/>
      <c r="B880" s="195"/>
      <c r="C880" s="181"/>
      <c r="D880" s="194"/>
      <c r="E880" s="194"/>
      <c r="F880" s="181"/>
      <c r="G880" s="181"/>
      <c r="H880" s="181"/>
      <c r="I880" s="181"/>
      <c r="J880" s="181"/>
      <c r="K880" s="181"/>
      <c r="L880" s="181"/>
      <c r="M880" s="181"/>
      <c r="N880" s="181"/>
      <c r="O880" s="181"/>
      <c r="P880" s="181"/>
      <c r="Q880" s="181"/>
      <c r="R880" s="181"/>
      <c r="S880" s="181"/>
      <c r="T880" s="181"/>
      <c r="U880" s="181"/>
      <c r="V880" s="181"/>
      <c r="W880" s="181"/>
      <c r="X880" s="181"/>
      <c r="Y880" s="181"/>
      <c r="Z880" s="181"/>
    </row>
    <row r="881">
      <c r="A881" s="194"/>
      <c r="B881" s="195"/>
      <c r="C881" s="181"/>
      <c r="D881" s="194"/>
      <c r="E881" s="194"/>
      <c r="F881" s="181"/>
      <c r="G881" s="181"/>
      <c r="H881" s="181"/>
      <c r="I881" s="181"/>
      <c r="J881" s="181"/>
      <c r="K881" s="181"/>
      <c r="L881" s="181"/>
      <c r="M881" s="181"/>
      <c r="N881" s="181"/>
      <c r="O881" s="181"/>
      <c r="P881" s="181"/>
      <c r="Q881" s="181"/>
      <c r="R881" s="181"/>
      <c r="S881" s="181"/>
      <c r="T881" s="181"/>
      <c r="U881" s="181"/>
      <c r="V881" s="181"/>
      <c r="W881" s="181"/>
      <c r="X881" s="181"/>
      <c r="Y881" s="181"/>
      <c r="Z881" s="181"/>
    </row>
    <row r="882">
      <c r="A882" s="194"/>
      <c r="B882" s="195"/>
      <c r="C882" s="181"/>
      <c r="D882" s="194"/>
      <c r="E882" s="194"/>
      <c r="F882" s="181"/>
      <c r="G882" s="181"/>
      <c r="H882" s="181"/>
      <c r="I882" s="181"/>
      <c r="J882" s="181"/>
      <c r="K882" s="181"/>
      <c r="L882" s="181"/>
      <c r="M882" s="181"/>
      <c r="N882" s="181"/>
      <c r="O882" s="181"/>
      <c r="P882" s="181"/>
      <c r="Q882" s="181"/>
      <c r="R882" s="181"/>
      <c r="S882" s="181"/>
      <c r="T882" s="181"/>
      <c r="U882" s="181"/>
      <c r="V882" s="181"/>
      <c r="W882" s="181"/>
      <c r="X882" s="181"/>
      <c r="Y882" s="181"/>
      <c r="Z882" s="181"/>
    </row>
    <row r="883">
      <c r="A883" s="194"/>
      <c r="B883" s="195"/>
      <c r="C883" s="181"/>
      <c r="D883" s="194"/>
      <c r="E883" s="194"/>
      <c r="F883" s="181"/>
      <c r="G883" s="181"/>
      <c r="H883" s="181"/>
      <c r="I883" s="181"/>
      <c r="J883" s="181"/>
      <c r="K883" s="181"/>
      <c r="L883" s="181"/>
      <c r="M883" s="181"/>
      <c r="N883" s="181"/>
      <c r="O883" s="181"/>
      <c r="P883" s="181"/>
      <c r="Q883" s="181"/>
      <c r="R883" s="181"/>
      <c r="S883" s="181"/>
      <c r="T883" s="181"/>
      <c r="U883" s="181"/>
      <c r="V883" s="181"/>
      <c r="W883" s="181"/>
      <c r="X883" s="181"/>
      <c r="Y883" s="181"/>
      <c r="Z883" s="181"/>
    </row>
    <row r="884">
      <c r="A884" s="194"/>
      <c r="B884" s="195"/>
      <c r="C884" s="181"/>
      <c r="D884" s="194"/>
      <c r="E884" s="194"/>
      <c r="F884" s="181"/>
      <c r="G884" s="181"/>
      <c r="H884" s="181"/>
      <c r="I884" s="181"/>
      <c r="J884" s="181"/>
      <c r="K884" s="181"/>
      <c r="L884" s="181"/>
      <c r="M884" s="181"/>
      <c r="N884" s="181"/>
      <c r="O884" s="181"/>
      <c r="P884" s="181"/>
      <c r="Q884" s="181"/>
      <c r="R884" s="181"/>
      <c r="S884" s="181"/>
      <c r="T884" s="181"/>
      <c r="U884" s="181"/>
      <c r="V884" s="181"/>
      <c r="W884" s="181"/>
      <c r="X884" s="181"/>
      <c r="Y884" s="181"/>
      <c r="Z884" s="181"/>
    </row>
    <row r="885">
      <c r="A885" s="194"/>
      <c r="B885" s="195"/>
      <c r="C885" s="181"/>
      <c r="D885" s="194"/>
      <c r="E885" s="194"/>
      <c r="F885" s="181"/>
      <c r="G885" s="181"/>
      <c r="H885" s="181"/>
      <c r="I885" s="181"/>
      <c r="J885" s="181"/>
      <c r="K885" s="181"/>
      <c r="L885" s="181"/>
      <c r="M885" s="181"/>
      <c r="N885" s="181"/>
      <c r="O885" s="181"/>
      <c r="P885" s="181"/>
      <c r="Q885" s="181"/>
      <c r="R885" s="181"/>
      <c r="S885" s="181"/>
      <c r="T885" s="181"/>
      <c r="U885" s="181"/>
      <c r="V885" s="181"/>
      <c r="W885" s="181"/>
      <c r="X885" s="181"/>
      <c r="Y885" s="181"/>
      <c r="Z885" s="181"/>
    </row>
    <row r="886">
      <c r="A886" s="194"/>
      <c r="B886" s="195"/>
      <c r="C886" s="181"/>
      <c r="D886" s="194"/>
      <c r="E886" s="194"/>
      <c r="F886" s="181"/>
      <c r="G886" s="181"/>
      <c r="H886" s="181"/>
      <c r="I886" s="181"/>
      <c r="J886" s="181"/>
      <c r="K886" s="181"/>
      <c r="L886" s="181"/>
      <c r="M886" s="181"/>
      <c r="N886" s="181"/>
      <c r="O886" s="181"/>
      <c r="P886" s="181"/>
      <c r="Q886" s="181"/>
      <c r="R886" s="181"/>
      <c r="S886" s="181"/>
      <c r="T886" s="181"/>
      <c r="U886" s="181"/>
      <c r="V886" s="181"/>
      <c r="W886" s="181"/>
      <c r="X886" s="181"/>
      <c r="Y886" s="181"/>
      <c r="Z886" s="181"/>
    </row>
    <row r="887">
      <c r="A887" s="194"/>
      <c r="B887" s="195"/>
      <c r="C887" s="181"/>
      <c r="D887" s="194"/>
      <c r="E887" s="194"/>
      <c r="F887" s="181"/>
      <c r="G887" s="181"/>
      <c r="H887" s="181"/>
      <c r="I887" s="181"/>
      <c r="J887" s="181"/>
      <c r="K887" s="181"/>
      <c r="L887" s="181"/>
      <c r="M887" s="181"/>
      <c r="N887" s="181"/>
      <c r="O887" s="181"/>
      <c r="P887" s="181"/>
      <c r="Q887" s="181"/>
      <c r="R887" s="181"/>
      <c r="S887" s="181"/>
      <c r="T887" s="181"/>
      <c r="U887" s="181"/>
      <c r="V887" s="181"/>
      <c r="W887" s="181"/>
      <c r="X887" s="181"/>
      <c r="Y887" s="181"/>
      <c r="Z887" s="181"/>
    </row>
    <row r="888">
      <c r="A888" s="194"/>
      <c r="B888" s="195"/>
      <c r="C888" s="181"/>
      <c r="D888" s="194"/>
      <c r="E888" s="194"/>
      <c r="F888" s="181"/>
      <c r="G888" s="181"/>
      <c r="H888" s="181"/>
      <c r="I888" s="181"/>
      <c r="J888" s="181"/>
      <c r="K888" s="181"/>
      <c r="L888" s="181"/>
      <c r="M888" s="181"/>
      <c r="N888" s="181"/>
      <c r="O888" s="181"/>
      <c r="P888" s="181"/>
      <c r="Q888" s="181"/>
      <c r="R888" s="181"/>
      <c r="S888" s="181"/>
      <c r="T888" s="181"/>
      <c r="U888" s="181"/>
      <c r="V888" s="181"/>
      <c r="W888" s="181"/>
      <c r="X888" s="181"/>
      <c r="Y888" s="181"/>
      <c r="Z888" s="181"/>
    </row>
    <row r="889">
      <c r="A889" s="194"/>
      <c r="B889" s="195"/>
      <c r="C889" s="181"/>
      <c r="D889" s="194"/>
      <c r="E889" s="194"/>
      <c r="F889" s="181"/>
      <c r="G889" s="181"/>
      <c r="H889" s="181"/>
      <c r="I889" s="181"/>
      <c r="J889" s="181"/>
      <c r="K889" s="181"/>
      <c r="L889" s="181"/>
      <c r="M889" s="181"/>
      <c r="N889" s="181"/>
      <c r="O889" s="181"/>
      <c r="P889" s="181"/>
      <c r="Q889" s="181"/>
      <c r="R889" s="181"/>
      <c r="S889" s="181"/>
      <c r="T889" s="181"/>
      <c r="U889" s="181"/>
      <c r="V889" s="181"/>
      <c r="W889" s="181"/>
      <c r="X889" s="181"/>
      <c r="Y889" s="181"/>
      <c r="Z889" s="181"/>
    </row>
    <row r="890">
      <c r="A890" s="194"/>
      <c r="B890" s="195"/>
      <c r="C890" s="181"/>
      <c r="D890" s="194"/>
      <c r="E890" s="194"/>
      <c r="F890" s="181"/>
      <c r="G890" s="181"/>
      <c r="H890" s="181"/>
      <c r="I890" s="181"/>
      <c r="J890" s="181"/>
      <c r="K890" s="181"/>
      <c r="L890" s="181"/>
      <c r="M890" s="181"/>
      <c r="N890" s="181"/>
      <c r="O890" s="181"/>
      <c r="P890" s="181"/>
      <c r="Q890" s="181"/>
      <c r="R890" s="181"/>
      <c r="S890" s="181"/>
      <c r="T890" s="181"/>
      <c r="U890" s="181"/>
      <c r="V890" s="181"/>
      <c r="W890" s="181"/>
      <c r="X890" s="181"/>
      <c r="Y890" s="181"/>
      <c r="Z890" s="181"/>
    </row>
    <row r="891">
      <c r="A891" s="194"/>
      <c r="B891" s="195"/>
      <c r="C891" s="181"/>
      <c r="D891" s="194"/>
      <c r="E891" s="194"/>
      <c r="F891" s="181"/>
      <c r="G891" s="181"/>
      <c r="H891" s="181"/>
      <c r="I891" s="181"/>
      <c r="J891" s="181"/>
      <c r="K891" s="181"/>
      <c r="L891" s="181"/>
      <c r="M891" s="181"/>
      <c r="N891" s="181"/>
      <c r="O891" s="181"/>
      <c r="P891" s="181"/>
      <c r="Q891" s="181"/>
      <c r="R891" s="181"/>
      <c r="S891" s="181"/>
      <c r="T891" s="181"/>
      <c r="U891" s="181"/>
      <c r="V891" s="181"/>
      <c r="W891" s="181"/>
      <c r="X891" s="181"/>
      <c r="Y891" s="181"/>
      <c r="Z891" s="181"/>
    </row>
    <row r="892">
      <c r="A892" s="194"/>
      <c r="B892" s="195"/>
      <c r="C892" s="181"/>
      <c r="D892" s="194"/>
      <c r="E892" s="194"/>
      <c r="F892" s="181"/>
      <c r="G892" s="181"/>
      <c r="H892" s="181"/>
      <c r="I892" s="181"/>
      <c r="J892" s="181"/>
      <c r="K892" s="181"/>
      <c r="L892" s="181"/>
      <c r="M892" s="181"/>
      <c r="N892" s="181"/>
      <c r="O892" s="181"/>
      <c r="P892" s="181"/>
      <c r="Q892" s="181"/>
      <c r="R892" s="181"/>
      <c r="S892" s="181"/>
      <c r="T892" s="181"/>
      <c r="U892" s="181"/>
      <c r="V892" s="181"/>
      <c r="W892" s="181"/>
      <c r="X892" s="181"/>
      <c r="Y892" s="181"/>
      <c r="Z892" s="181"/>
    </row>
    <row r="893">
      <c r="A893" s="194"/>
      <c r="B893" s="195"/>
      <c r="C893" s="181"/>
      <c r="D893" s="194"/>
      <c r="E893" s="194"/>
      <c r="F893" s="181"/>
      <c r="G893" s="181"/>
      <c r="H893" s="181"/>
      <c r="I893" s="181"/>
      <c r="J893" s="181"/>
      <c r="K893" s="181"/>
      <c r="L893" s="181"/>
      <c r="M893" s="181"/>
      <c r="N893" s="181"/>
      <c r="O893" s="181"/>
      <c r="P893" s="181"/>
      <c r="Q893" s="181"/>
      <c r="R893" s="181"/>
      <c r="S893" s="181"/>
      <c r="T893" s="181"/>
      <c r="U893" s="181"/>
      <c r="V893" s="181"/>
      <c r="W893" s="181"/>
      <c r="X893" s="181"/>
      <c r="Y893" s="181"/>
      <c r="Z893" s="181"/>
    </row>
    <row r="894">
      <c r="A894" s="194"/>
      <c r="B894" s="195"/>
      <c r="C894" s="181"/>
      <c r="D894" s="194"/>
      <c r="E894" s="194"/>
      <c r="F894" s="181"/>
      <c r="G894" s="181"/>
      <c r="H894" s="181"/>
      <c r="I894" s="181"/>
      <c r="J894" s="181"/>
      <c r="K894" s="181"/>
      <c r="L894" s="181"/>
      <c r="M894" s="181"/>
      <c r="N894" s="181"/>
      <c r="O894" s="181"/>
      <c r="P894" s="181"/>
      <c r="Q894" s="181"/>
      <c r="R894" s="181"/>
      <c r="S894" s="181"/>
      <c r="T894" s="181"/>
      <c r="U894" s="181"/>
      <c r="V894" s="181"/>
      <c r="W894" s="181"/>
      <c r="X894" s="181"/>
      <c r="Y894" s="181"/>
      <c r="Z894" s="181"/>
    </row>
    <row r="895">
      <c r="A895" s="194"/>
      <c r="B895" s="195"/>
      <c r="C895" s="181"/>
      <c r="D895" s="194"/>
      <c r="E895" s="194"/>
      <c r="F895" s="181"/>
      <c r="G895" s="181"/>
      <c r="H895" s="181"/>
      <c r="I895" s="181"/>
      <c r="J895" s="181"/>
      <c r="K895" s="181"/>
      <c r="L895" s="181"/>
      <c r="M895" s="181"/>
      <c r="N895" s="181"/>
      <c r="O895" s="181"/>
      <c r="P895" s="181"/>
      <c r="Q895" s="181"/>
      <c r="R895" s="181"/>
      <c r="S895" s="181"/>
      <c r="T895" s="181"/>
      <c r="U895" s="181"/>
      <c r="V895" s="181"/>
      <c r="W895" s="181"/>
      <c r="X895" s="181"/>
      <c r="Y895" s="181"/>
      <c r="Z895" s="181"/>
    </row>
    <row r="896">
      <c r="A896" s="194"/>
      <c r="B896" s="195"/>
      <c r="C896" s="181"/>
      <c r="D896" s="194"/>
      <c r="E896" s="194"/>
      <c r="F896" s="181"/>
      <c r="G896" s="181"/>
      <c r="H896" s="181"/>
      <c r="I896" s="181"/>
      <c r="J896" s="181"/>
      <c r="K896" s="181"/>
      <c r="L896" s="181"/>
      <c r="M896" s="181"/>
      <c r="N896" s="181"/>
      <c r="O896" s="181"/>
      <c r="P896" s="181"/>
      <c r="Q896" s="181"/>
      <c r="R896" s="181"/>
      <c r="S896" s="181"/>
      <c r="T896" s="181"/>
      <c r="U896" s="181"/>
      <c r="V896" s="181"/>
      <c r="W896" s="181"/>
      <c r="X896" s="181"/>
      <c r="Y896" s="181"/>
      <c r="Z896" s="181"/>
    </row>
    <row r="897">
      <c r="A897" s="194"/>
      <c r="B897" s="195"/>
      <c r="C897" s="181"/>
      <c r="D897" s="194"/>
      <c r="E897" s="194"/>
      <c r="F897" s="181"/>
      <c r="G897" s="181"/>
      <c r="H897" s="181"/>
      <c r="I897" s="181"/>
      <c r="J897" s="181"/>
      <c r="K897" s="181"/>
      <c r="L897" s="181"/>
      <c r="M897" s="181"/>
      <c r="N897" s="181"/>
      <c r="O897" s="181"/>
      <c r="P897" s="181"/>
      <c r="Q897" s="181"/>
      <c r="R897" s="181"/>
      <c r="S897" s="181"/>
      <c r="T897" s="181"/>
      <c r="U897" s="181"/>
      <c r="V897" s="181"/>
      <c r="W897" s="181"/>
      <c r="X897" s="181"/>
      <c r="Y897" s="181"/>
      <c r="Z897" s="181"/>
    </row>
    <row r="898">
      <c r="A898" s="194"/>
      <c r="B898" s="195"/>
      <c r="C898" s="181"/>
      <c r="D898" s="194"/>
      <c r="E898" s="194"/>
      <c r="F898" s="181"/>
      <c r="G898" s="181"/>
      <c r="H898" s="181"/>
      <c r="I898" s="181"/>
      <c r="J898" s="181"/>
      <c r="K898" s="181"/>
      <c r="L898" s="181"/>
      <c r="M898" s="181"/>
      <c r="N898" s="181"/>
      <c r="O898" s="181"/>
      <c r="P898" s="181"/>
      <c r="Q898" s="181"/>
      <c r="R898" s="181"/>
      <c r="S898" s="181"/>
      <c r="T898" s="181"/>
      <c r="U898" s="181"/>
      <c r="V898" s="181"/>
      <c r="W898" s="181"/>
      <c r="X898" s="181"/>
      <c r="Y898" s="181"/>
      <c r="Z898" s="181"/>
    </row>
    <row r="899">
      <c r="A899" s="194"/>
      <c r="B899" s="195"/>
      <c r="C899" s="181"/>
      <c r="D899" s="194"/>
      <c r="E899" s="194"/>
      <c r="F899" s="181"/>
      <c r="G899" s="181"/>
      <c r="H899" s="181"/>
      <c r="I899" s="181"/>
      <c r="J899" s="181"/>
      <c r="K899" s="181"/>
      <c r="L899" s="181"/>
      <c r="M899" s="181"/>
      <c r="N899" s="181"/>
      <c r="O899" s="181"/>
      <c r="P899" s="181"/>
      <c r="Q899" s="181"/>
      <c r="R899" s="181"/>
      <c r="S899" s="181"/>
      <c r="T899" s="181"/>
      <c r="U899" s="181"/>
      <c r="V899" s="181"/>
      <c r="W899" s="181"/>
      <c r="X899" s="181"/>
      <c r="Y899" s="181"/>
      <c r="Z899" s="181"/>
    </row>
    <row r="900">
      <c r="A900" s="194"/>
      <c r="B900" s="195"/>
      <c r="C900" s="181"/>
      <c r="D900" s="194"/>
      <c r="E900" s="194"/>
      <c r="F900" s="181"/>
      <c r="G900" s="181"/>
      <c r="H900" s="181"/>
      <c r="I900" s="181"/>
      <c r="J900" s="181"/>
      <c r="K900" s="181"/>
      <c r="L900" s="181"/>
      <c r="M900" s="181"/>
      <c r="N900" s="181"/>
      <c r="O900" s="181"/>
      <c r="P900" s="181"/>
      <c r="Q900" s="181"/>
      <c r="R900" s="181"/>
      <c r="S900" s="181"/>
      <c r="T900" s="181"/>
      <c r="U900" s="181"/>
      <c r="V900" s="181"/>
      <c r="W900" s="181"/>
      <c r="X900" s="181"/>
      <c r="Y900" s="181"/>
      <c r="Z900" s="181"/>
    </row>
    <row r="901">
      <c r="A901" s="194"/>
      <c r="B901" s="195"/>
      <c r="C901" s="181"/>
      <c r="D901" s="194"/>
      <c r="E901" s="194"/>
      <c r="F901" s="181"/>
      <c r="G901" s="181"/>
      <c r="H901" s="181"/>
      <c r="I901" s="181"/>
      <c r="J901" s="181"/>
      <c r="K901" s="181"/>
      <c r="L901" s="181"/>
      <c r="M901" s="181"/>
      <c r="N901" s="181"/>
      <c r="O901" s="181"/>
      <c r="P901" s="181"/>
      <c r="Q901" s="181"/>
      <c r="R901" s="181"/>
      <c r="S901" s="181"/>
      <c r="T901" s="181"/>
      <c r="U901" s="181"/>
      <c r="V901" s="181"/>
      <c r="W901" s="181"/>
      <c r="X901" s="181"/>
      <c r="Y901" s="181"/>
      <c r="Z901" s="181"/>
    </row>
    <row r="902">
      <c r="A902" s="194"/>
      <c r="B902" s="195"/>
      <c r="C902" s="181"/>
      <c r="D902" s="194"/>
      <c r="E902" s="194"/>
      <c r="F902" s="181"/>
      <c r="G902" s="181"/>
      <c r="H902" s="181"/>
      <c r="I902" s="181"/>
      <c r="J902" s="181"/>
      <c r="K902" s="181"/>
      <c r="L902" s="181"/>
      <c r="M902" s="181"/>
      <c r="N902" s="181"/>
      <c r="O902" s="181"/>
      <c r="P902" s="181"/>
      <c r="Q902" s="181"/>
      <c r="R902" s="181"/>
      <c r="S902" s="181"/>
      <c r="T902" s="181"/>
      <c r="U902" s="181"/>
      <c r="V902" s="181"/>
      <c r="W902" s="181"/>
      <c r="X902" s="181"/>
      <c r="Y902" s="181"/>
      <c r="Z902" s="181"/>
    </row>
    <row r="903">
      <c r="A903" s="194"/>
      <c r="B903" s="195"/>
      <c r="C903" s="181"/>
      <c r="D903" s="194"/>
      <c r="E903" s="194"/>
      <c r="F903" s="181"/>
      <c r="G903" s="181"/>
      <c r="H903" s="181"/>
      <c r="I903" s="181"/>
      <c r="J903" s="181"/>
      <c r="K903" s="181"/>
      <c r="L903" s="181"/>
      <c r="M903" s="181"/>
      <c r="N903" s="181"/>
      <c r="O903" s="181"/>
      <c r="P903" s="181"/>
      <c r="Q903" s="181"/>
      <c r="R903" s="181"/>
      <c r="S903" s="181"/>
      <c r="T903" s="181"/>
      <c r="U903" s="181"/>
      <c r="V903" s="181"/>
      <c r="W903" s="181"/>
      <c r="X903" s="181"/>
      <c r="Y903" s="181"/>
      <c r="Z903" s="181"/>
    </row>
    <row r="904">
      <c r="A904" s="194"/>
      <c r="B904" s="195"/>
      <c r="C904" s="181"/>
      <c r="D904" s="194"/>
      <c r="E904" s="194"/>
      <c r="F904" s="181"/>
      <c r="G904" s="181"/>
      <c r="H904" s="181"/>
      <c r="I904" s="181"/>
      <c r="J904" s="181"/>
      <c r="K904" s="181"/>
      <c r="L904" s="181"/>
      <c r="M904" s="181"/>
      <c r="N904" s="181"/>
      <c r="O904" s="181"/>
      <c r="P904" s="181"/>
      <c r="Q904" s="181"/>
      <c r="R904" s="181"/>
      <c r="S904" s="181"/>
      <c r="T904" s="181"/>
      <c r="U904" s="181"/>
      <c r="V904" s="181"/>
      <c r="W904" s="181"/>
      <c r="X904" s="181"/>
      <c r="Y904" s="181"/>
      <c r="Z904" s="181"/>
    </row>
    <row r="905">
      <c r="A905" s="194"/>
      <c r="B905" s="195"/>
      <c r="C905" s="181"/>
      <c r="D905" s="194"/>
      <c r="E905" s="194"/>
      <c r="F905" s="181"/>
      <c r="G905" s="181"/>
      <c r="H905" s="181"/>
      <c r="I905" s="181"/>
      <c r="J905" s="181"/>
      <c r="K905" s="181"/>
      <c r="L905" s="181"/>
      <c r="M905" s="181"/>
      <c r="N905" s="181"/>
      <c r="O905" s="181"/>
      <c r="P905" s="181"/>
      <c r="Q905" s="181"/>
      <c r="R905" s="181"/>
      <c r="S905" s="181"/>
      <c r="T905" s="181"/>
      <c r="U905" s="181"/>
      <c r="V905" s="181"/>
      <c r="W905" s="181"/>
      <c r="X905" s="181"/>
      <c r="Y905" s="181"/>
      <c r="Z905" s="181"/>
    </row>
    <row r="906">
      <c r="A906" s="194"/>
      <c r="B906" s="195"/>
      <c r="C906" s="181"/>
      <c r="D906" s="194"/>
      <c r="E906" s="194"/>
      <c r="F906" s="181"/>
      <c r="G906" s="181"/>
      <c r="H906" s="181"/>
      <c r="I906" s="181"/>
      <c r="J906" s="181"/>
      <c r="K906" s="181"/>
      <c r="L906" s="181"/>
      <c r="M906" s="181"/>
      <c r="N906" s="181"/>
      <c r="O906" s="181"/>
      <c r="P906" s="181"/>
      <c r="Q906" s="181"/>
      <c r="R906" s="181"/>
      <c r="S906" s="181"/>
      <c r="T906" s="181"/>
      <c r="U906" s="181"/>
      <c r="V906" s="181"/>
      <c r="W906" s="181"/>
      <c r="X906" s="181"/>
      <c r="Y906" s="181"/>
      <c r="Z906" s="181"/>
    </row>
    <row r="907">
      <c r="A907" s="194"/>
      <c r="B907" s="195"/>
      <c r="C907" s="181"/>
      <c r="D907" s="194"/>
      <c r="E907" s="194"/>
      <c r="F907" s="181"/>
      <c r="G907" s="181"/>
      <c r="H907" s="181"/>
      <c r="I907" s="181"/>
      <c r="J907" s="181"/>
      <c r="K907" s="181"/>
      <c r="L907" s="181"/>
      <c r="M907" s="181"/>
      <c r="N907" s="181"/>
      <c r="O907" s="181"/>
      <c r="P907" s="181"/>
      <c r="Q907" s="181"/>
      <c r="R907" s="181"/>
      <c r="S907" s="181"/>
      <c r="T907" s="181"/>
      <c r="U907" s="181"/>
      <c r="V907" s="181"/>
      <c r="W907" s="181"/>
      <c r="X907" s="181"/>
      <c r="Y907" s="181"/>
      <c r="Z907" s="181"/>
    </row>
    <row r="908">
      <c r="A908" s="194"/>
      <c r="B908" s="195"/>
      <c r="C908" s="181"/>
      <c r="D908" s="194"/>
      <c r="E908" s="194"/>
      <c r="F908" s="181"/>
      <c r="G908" s="181"/>
      <c r="H908" s="181"/>
      <c r="I908" s="181"/>
      <c r="J908" s="181"/>
      <c r="K908" s="181"/>
      <c r="L908" s="181"/>
      <c r="M908" s="181"/>
      <c r="N908" s="181"/>
      <c r="O908" s="181"/>
      <c r="P908" s="181"/>
      <c r="Q908" s="181"/>
      <c r="R908" s="181"/>
      <c r="S908" s="181"/>
      <c r="T908" s="181"/>
      <c r="U908" s="181"/>
      <c r="V908" s="181"/>
      <c r="W908" s="181"/>
      <c r="X908" s="181"/>
      <c r="Y908" s="181"/>
      <c r="Z908" s="181"/>
    </row>
    <row r="909">
      <c r="A909" s="194"/>
      <c r="B909" s="195"/>
      <c r="C909" s="181"/>
      <c r="D909" s="194"/>
      <c r="E909" s="194"/>
      <c r="F909" s="181"/>
      <c r="G909" s="181"/>
      <c r="H909" s="181"/>
      <c r="I909" s="181"/>
      <c r="J909" s="181"/>
      <c r="K909" s="181"/>
      <c r="L909" s="181"/>
      <c r="M909" s="181"/>
      <c r="N909" s="181"/>
      <c r="O909" s="181"/>
      <c r="P909" s="181"/>
      <c r="Q909" s="181"/>
      <c r="R909" s="181"/>
      <c r="S909" s="181"/>
      <c r="T909" s="181"/>
      <c r="U909" s="181"/>
      <c r="V909" s="181"/>
      <c r="W909" s="181"/>
      <c r="X909" s="181"/>
      <c r="Y909" s="181"/>
      <c r="Z909" s="181"/>
    </row>
    <row r="910">
      <c r="A910" s="194"/>
      <c r="B910" s="195"/>
      <c r="C910" s="181"/>
      <c r="D910" s="194"/>
      <c r="E910" s="194"/>
      <c r="F910" s="181"/>
      <c r="G910" s="181"/>
      <c r="H910" s="181"/>
      <c r="I910" s="181"/>
      <c r="J910" s="181"/>
      <c r="K910" s="181"/>
      <c r="L910" s="181"/>
      <c r="M910" s="181"/>
      <c r="N910" s="181"/>
      <c r="O910" s="181"/>
      <c r="P910" s="181"/>
      <c r="Q910" s="181"/>
      <c r="R910" s="181"/>
      <c r="S910" s="181"/>
      <c r="T910" s="181"/>
      <c r="U910" s="181"/>
      <c r="V910" s="181"/>
      <c r="W910" s="181"/>
      <c r="X910" s="181"/>
      <c r="Y910" s="181"/>
      <c r="Z910" s="181"/>
    </row>
    <row r="911">
      <c r="A911" s="194"/>
      <c r="B911" s="195"/>
      <c r="C911" s="181"/>
      <c r="D911" s="194"/>
      <c r="E911" s="194"/>
      <c r="F911" s="181"/>
      <c r="G911" s="181"/>
      <c r="H911" s="181"/>
      <c r="I911" s="181"/>
      <c r="J911" s="181"/>
      <c r="K911" s="181"/>
      <c r="L911" s="181"/>
      <c r="M911" s="181"/>
      <c r="N911" s="181"/>
      <c r="O911" s="181"/>
      <c r="P911" s="181"/>
      <c r="Q911" s="181"/>
      <c r="R911" s="181"/>
      <c r="S911" s="181"/>
      <c r="T911" s="181"/>
      <c r="U911" s="181"/>
      <c r="V911" s="181"/>
      <c r="W911" s="181"/>
      <c r="X911" s="181"/>
      <c r="Y911" s="181"/>
      <c r="Z911" s="181"/>
    </row>
    <row r="912">
      <c r="A912" s="194"/>
      <c r="B912" s="195"/>
      <c r="C912" s="181"/>
      <c r="D912" s="194"/>
      <c r="E912" s="194"/>
      <c r="F912" s="181"/>
      <c r="G912" s="181"/>
      <c r="H912" s="181"/>
      <c r="I912" s="181"/>
      <c r="J912" s="181"/>
      <c r="K912" s="181"/>
      <c r="L912" s="181"/>
      <c r="M912" s="181"/>
      <c r="N912" s="181"/>
      <c r="O912" s="181"/>
      <c r="P912" s="181"/>
      <c r="Q912" s="181"/>
      <c r="R912" s="181"/>
      <c r="S912" s="181"/>
      <c r="T912" s="181"/>
      <c r="U912" s="181"/>
      <c r="V912" s="181"/>
      <c r="W912" s="181"/>
      <c r="X912" s="181"/>
      <c r="Y912" s="181"/>
      <c r="Z912" s="181"/>
    </row>
    <row r="913">
      <c r="A913" s="194"/>
      <c r="B913" s="195"/>
      <c r="C913" s="181"/>
      <c r="D913" s="194"/>
      <c r="E913" s="194"/>
      <c r="F913" s="181"/>
      <c r="G913" s="181"/>
      <c r="H913" s="181"/>
      <c r="I913" s="181"/>
      <c r="J913" s="181"/>
      <c r="K913" s="181"/>
      <c r="L913" s="181"/>
      <c r="M913" s="181"/>
      <c r="N913" s="181"/>
      <c r="O913" s="181"/>
      <c r="P913" s="181"/>
      <c r="Q913" s="181"/>
      <c r="R913" s="181"/>
      <c r="S913" s="181"/>
      <c r="T913" s="181"/>
      <c r="U913" s="181"/>
      <c r="V913" s="181"/>
      <c r="W913" s="181"/>
      <c r="X913" s="181"/>
      <c r="Y913" s="181"/>
      <c r="Z913" s="181"/>
    </row>
    <row r="914">
      <c r="A914" s="194"/>
      <c r="B914" s="195"/>
      <c r="C914" s="181"/>
      <c r="D914" s="194"/>
      <c r="E914" s="194"/>
      <c r="F914" s="181"/>
      <c r="G914" s="181"/>
      <c r="H914" s="181"/>
      <c r="I914" s="181"/>
      <c r="J914" s="181"/>
      <c r="K914" s="181"/>
      <c r="L914" s="181"/>
      <c r="M914" s="181"/>
      <c r="N914" s="181"/>
      <c r="O914" s="181"/>
      <c r="P914" s="181"/>
      <c r="Q914" s="181"/>
      <c r="R914" s="181"/>
      <c r="S914" s="181"/>
      <c r="T914" s="181"/>
      <c r="U914" s="181"/>
      <c r="V914" s="181"/>
      <c r="W914" s="181"/>
      <c r="X914" s="181"/>
      <c r="Y914" s="181"/>
      <c r="Z914" s="181"/>
    </row>
    <row r="915">
      <c r="A915" s="194"/>
      <c r="B915" s="195"/>
      <c r="C915" s="181"/>
      <c r="D915" s="194"/>
      <c r="E915" s="194"/>
      <c r="F915" s="181"/>
      <c r="G915" s="181"/>
      <c r="H915" s="181"/>
      <c r="I915" s="181"/>
      <c r="J915" s="181"/>
      <c r="K915" s="181"/>
      <c r="L915" s="181"/>
      <c r="M915" s="181"/>
      <c r="N915" s="181"/>
      <c r="O915" s="181"/>
      <c r="P915" s="181"/>
      <c r="Q915" s="181"/>
      <c r="R915" s="181"/>
      <c r="S915" s="181"/>
      <c r="T915" s="181"/>
      <c r="U915" s="181"/>
      <c r="V915" s="181"/>
      <c r="W915" s="181"/>
      <c r="X915" s="181"/>
      <c r="Y915" s="181"/>
      <c r="Z915" s="181"/>
    </row>
    <row r="916">
      <c r="A916" s="194"/>
      <c r="B916" s="195"/>
      <c r="C916" s="181"/>
      <c r="D916" s="194"/>
      <c r="E916" s="194"/>
      <c r="F916" s="181"/>
      <c r="G916" s="181"/>
      <c r="H916" s="181"/>
      <c r="I916" s="181"/>
      <c r="J916" s="181"/>
      <c r="K916" s="181"/>
      <c r="L916" s="181"/>
      <c r="M916" s="181"/>
      <c r="N916" s="181"/>
      <c r="O916" s="181"/>
      <c r="P916" s="181"/>
      <c r="Q916" s="181"/>
      <c r="R916" s="181"/>
      <c r="S916" s="181"/>
      <c r="T916" s="181"/>
      <c r="U916" s="181"/>
      <c r="V916" s="181"/>
      <c r="W916" s="181"/>
      <c r="X916" s="181"/>
      <c r="Y916" s="181"/>
      <c r="Z916" s="181"/>
    </row>
    <row r="917">
      <c r="A917" s="194"/>
      <c r="B917" s="195"/>
      <c r="C917" s="181"/>
      <c r="D917" s="194"/>
      <c r="E917" s="194"/>
      <c r="F917" s="181"/>
      <c r="G917" s="181"/>
      <c r="H917" s="181"/>
      <c r="I917" s="181"/>
      <c r="J917" s="181"/>
      <c r="K917" s="181"/>
      <c r="L917" s="181"/>
      <c r="M917" s="181"/>
      <c r="N917" s="181"/>
      <c r="O917" s="181"/>
      <c r="P917" s="181"/>
      <c r="Q917" s="181"/>
      <c r="R917" s="181"/>
      <c r="S917" s="181"/>
      <c r="T917" s="181"/>
      <c r="U917" s="181"/>
      <c r="V917" s="181"/>
      <c r="W917" s="181"/>
      <c r="X917" s="181"/>
      <c r="Y917" s="181"/>
      <c r="Z917" s="181"/>
    </row>
    <row r="918">
      <c r="A918" s="194"/>
      <c r="B918" s="195"/>
      <c r="C918" s="181"/>
      <c r="D918" s="194"/>
      <c r="E918" s="194"/>
      <c r="F918" s="181"/>
      <c r="G918" s="181"/>
      <c r="H918" s="181"/>
      <c r="I918" s="181"/>
      <c r="J918" s="181"/>
      <c r="K918" s="181"/>
      <c r="L918" s="181"/>
      <c r="M918" s="181"/>
      <c r="N918" s="181"/>
      <c r="O918" s="181"/>
      <c r="P918" s="181"/>
      <c r="Q918" s="181"/>
      <c r="R918" s="181"/>
      <c r="S918" s="181"/>
      <c r="T918" s="181"/>
      <c r="U918" s="181"/>
      <c r="V918" s="181"/>
      <c r="W918" s="181"/>
      <c r="X918" s="181"/>
      <c r="Y918" s="181"/>
      <c r="Z918" s="181"/>
    </row>
    <row r="919">
      <c r="A919" s="194"/>
      <c r="B919" s="195"/>
      <c r="C919" s="181"/>
      <c r="D919" s="194"/>
      <c r="E919" s="194"/>
      <c r="F919" s="181"/>
      <c r="G919" s="181"/>
      <c r="H919" s="181"/>
      <c r="I919" s="181"/>
      <c r="J919" s="181"/>
      <c r="K919" s="181"/>
      <c r="L919" s="181"/>
      <c r="M919" s="181"/>
      <c r="N919" s="181"/>
      <c r="O919" s="181"/>
      <c r="P919" s="181"/>
      <c r="Q919" s="181"/>
      <c r="R919" s="181"/>
      <c r="S919" s="181"/>
      <c r="T919" s="181"/>
      <c r="U919" s="181"/>
      <c r="V919" s="181"/>
      <c r="W919" s="181"/>
      <c r="X919" s="181"/>
      <c r="Y919" s="181"/>
      <c r="Z919" s="181"/>
    </row>
    <row r="920">
      <c r="A920" s="194"/>
      <c r="B920" s="195"/>
      <c r="C920" s="181"/>
      <c r="D920" s="194"/>
      <c r="E920" s="194"/>
      <c r="F920" s="181"/>
      <c r="G920" s="181"/>
      <c r="H920" s="181"/>
      <c r="I920" s="181"/>
      <c r="J920" s="181"/>
      <c r="K920" s="181"/>
      <c r="L920" s="181"/>
      <c r="M920" s="181"/>
      <c r="N920" s="181"/>
      <c r="O920" s="181"/>
      <c r="P920" s="181"/>
      <c r="Q920" s="181"/>
      <c r="R920" s="181"/>
      <c r="S920" s="181"/>
      <c r="T920" s="181"/>
      <c r="U920" s="181"/>
      <c r="V920" s="181"/>
      <c r="W920" s="181"/>
      <c r="X920" s="181"/>
      <c r="Y920" s="181"/>
      <c r="Z920" s="181"/>
    </row>
    <row r="921">
      <c r="A921" s="194"/>
      <c r="B921" s="195"/>
      <c r="C921" s="181"/>
      <c r="D921" s="194"/>
      <c r="E921" s="194"/>
      <c r="F921" s="181"/>
      <c r="G921" s="181"/>
      <c r="H921" s="181"/>
      <c r="I921" s="181"/>
      <c r="J921" s="181"/>
      <c r="K921" s="181"/>
      <c r="L921" s="181"/>
      <c r="M921" s="181"/>
      <c r="N921" s="181"/>
      <c r="O921" s="181"/>
      <c r="P921" s="181"/>
      <c r="Q921" s="181"/>
      <c r="R921" s="181"/>
      <c r="S921" s="181"/>
      <c r="T921" s="181"/>
      <c r="U921" s="181"/>
      <c r="V921" s="181"/>
      <c r="W921" s="181"/>
      <c r="X921" s="181"/>
      <c r="Y921" s="181"/>
      <c r="Z921" s="181"/>
    </row>
    <row r="922">
      <c r="A922" s="194"/>
      <c r="B922" s="195"/>
      <c r="C922" s="181"/>
      <c r="D922" s="194"/>
      <c r="E922" s="194"/>
      <c r="F922" s="181"/>
      <c r="G922" s="181"/>
      <c r="H922" s="181"/>
      <c r="I922" s="181"/>
      <c r="J922" s="181"/>
      <c r="K922" s="181"/>
      <c r="L922" s="181"/>
      <c r="M922" s="181"/>
      <c r="N922" s="181"/>
      <c r="O922" s="181"/>
      <c r="P922" s="181"/>
      <c r="Q922" s="181"/>
      <c r="R922" s="181"/>
      <c r="S922" s="181"/>
      <c r="T922" s="181"/>
      <c r="U922" s="181"/>
      <c r="V922" s="181"/>
      <c r="W922" s="181"/>
      <c r="X922" s="181"/>
      <c r="Y922" s="181"/>
      <c r="Z922" s="181"/>
    </row>
    <row r="923">
      <c r="A923" s="194"/>
      <c r="B923" s="195"/>
      <c r="C923" s="181"/>
      <c r="D923" s="194"/>
      <c r="E923" s="194"/>
      <c r="F923" s="181"/>
      <c r="G923" s="181"/>
      <c r="H923" s="181"/>
      <c r="I923" s="181"/>
      <c r="J923" s="181"/>
      <c r="K923" s="181"/>
      <c r="L923" s="181"/>
      <c r="M923" s="181"/>
      <c r="N923" s="181"/>
      <c r="O923" s="181"/>
      <c r="P923" s="181"/>
      <c r="Q923" s="181"/>
      <c r="R923" s="181"/>
      <c r="S923" s="181"/>
      <c r="T923" s="181"/>
      <c r="U923" s="181"/>
      <c r="V923" s="181"/>
      <c r="W923" s="181"/>
      <c r="X923" s="181"/>
      <c r="Y923" s="181"/>
      <c r="Z923" s="181"/>
    </row>
    <row r="924">
      <c r="A924" s="194"/>
      <c r="B924" s="195"/>
      <c r="C924" s="181"/>
      <c r="D924" s="194"/>
      <c r="E924" s="194"/>
      <c r="F924" s="181"/>
      <c r="G924" s="181"/>
      <c r="H924" s="181"/>
      <c r="I924" s="181"/>
      <c r="J924" s="181"/>
      <c r="K924" s="181"/>
      <c r="L924" s="181"/>
      <c r="M924" s="181"/>
      <c r="N924" s="181"/>
      <c r="O924" s="181"/>
      <c r="P924" s="181"/>
      <c r="Q924" s="181"/>
      <c r="R924" s="181"/>
      <c r="S924" s="181"/>
      <c r="T924" s="181"/>
      <c r="U924" s="181"/>
      <c r="V924" s="181"/>
      <c r="W924" s="181"/>
      <c r="X924" s="181"/>
      <c r="Y924" s="181"/>
      <c r="Z924" s="181"/>
    </row>
    <row r="925">
      <c r="A925" s="194"/>
      <c r="B925" s="195"/>
      <c r="C925" s="181"/>
      <c r="D925" s="194"/>
      <c r="E925" s="194"/>
      <c r="F925" s="181"/>
      <c r="G925" s="181"/>
      <c r="H925" s="181"/>
      <c r="I925" s="181"/>
      <c r="J925" s="181"/>
      <c r="K925" s="181"/>
      <c r="L925" s="181"/>
      <c r="M925" s="181"/>
      <c r="N925" s="181"/>
      <c r="O925" s="181"/>
      <c r="P925" s="181"/>
      <c r="Q925" s="181"/>
      <c r="R925" s="181"/>
      <c r="S925" s="181"/>
      <c r="T925" s="181"/>
      <c r="U925" s="181"/>
      <c r="V925" s="181"/>
      <c r="W925" s="181"/>
      <c r="X925" s="181"/>
      <c r="Y925" s="181"/>
      <c r="Z925" s="181"/>
    </row>
    <row r="926">
      <c r="A926" s="194"/>
      <c r="B926" s="195"/>
      <c r="C926" s="181"/>
      <c r="D926" s="194"/>
      <c r="E926" s="194"/>
      <c r="F926" s="181"/>
      <c r="G926" s="181"/>
      <c r="H926" s="181"/>
      <c r="I926" s="181"/>
      <c r="J926" s="181"/>
      <c r="K926" s="181"/>
      <c r="L926" s="181"/>
      <c r="M926" s="181"/>
      <c r="N926" s="181"/>
      <c r="O926" s="181"/>
      <c r="P926" s="181"/>
      <c r="Q926" s="181"/>
      <c r="R926" s="181"/>
      <c r="S926" s="181"/>
      <c r="T926" s="181"/>
      <c r="U926" s="181"/>
      <c r="V926" s="181"/>
      <c r="W926" s="181"/>
      <c r="X926" s="181"/>
      <c r="Y926" s="181"/>
      <c r="Z926" s="181"/>
    </row>
    <row r="927">
      <c r="A927" s="194"/>
      <c r="B927" s="195"/>
      <c r="C927" s="181"/>
      <c r="D927" s="194"/>
      <c r="E927" s="194"/>
      <c r="F927" s="181"/>
      <c r="G927" s="181"/>
      <c r="H927" s="181"/>
      <c r="I927" s="181"/>
      <c r="J927" s="181"/>
      <c r="K927" s="181"/>
      <c r="L927" s="181"/>
      <c r="M927" s="181"/>
      <c r="N927" s="181"/>
      <c r="O927" s="181"/>
      <c r="P927" s="181"/>
      <c r="Q927" s="181"/>
      <c r="R927" s="181"/>
      <c r="S927" s="181"/>
      <c r="T927" s="181"/>
      <c r="U927" s="181"/>
      <c r="V927" s="181"/>
      <c r="W927" s="181"/>
      <c r="X927" s="181"/>
      <c r="Y927" s="181"/>
      <c r="Z927" s="181"/>
    </row>
    <row r="928">
      <c r="A928" s="194"/>
      <c r="B928" s="195"/>
      <c r="C928" s="181"/>
      <c r="D928" s="194"/>
      <c r="E928" s="194"/>
      <c r="F928" s="181"/>
      <c r="G928" s="181"/>
      <c r="H928" s="181"/>
      <c r="I928" s="181"/>
      <c r="J928" s="181"/>
      <c r="K928" s="181"/>
      <c r="L928" s="181"/>
      <c r="M928" s="181"/>
      <c r="N928" s="181"/>
      <c r="O928" s="181"/>
      <c r="P928" s="181"/>
      <c r="Q928" s="181"/>
      <c r="R928" s="181"/>
      <c r="S928" s="181"/>
      <c r="T928" s="181"/>
      <c r="U928" s="181"/>
      <c r="V928" s="181"/>
      <c r="W928" s="181"/>
      <c r="X928" s="181"/>
      <c r="Y928" s="181"/>
      <c r="Z928" s="181"/>
    </row>
    <row r="929">
      <c r="A929" s="194"/>
      <c r="B929" s="195"/>
      <c r="C929" s="181"/>
      <c r="D929" s="194"/>
      <c r="E929" s="194"/>
      <c r="F929" s="181"/>
      <c r="G929" s="181"/>
      <c r="H929" s="181"/>
      <c r="I929" s="181"/>
      <c r="J929" s="181"/>
      <c r="K929" s="181"/>
      <c r="L929" s="181"/>
      <c r="M929" s="181"/>
      <c r="N929" s="181"/>
      <c r="O929" s="181"/>
      <c r="P929" s="181"/>
      <c r="Q929" s="181"/>
      <c r="R929" s="181"/>
      <c r="S929" s="181"/>
      <c r="T929" s="181"/>
      <c r="U929" s="181"/>
      <c r="V929" s="181"/>
      <c r="W929" s="181"/>
      <c r="X929" s="181"/>
      <c r="Y929" s="181"/>
      <c r="Z929" s="181"/>
    </row>
    <row r="930">
      <c r="A930" s="194"/>
      <c r="B930" s="195"/>
      <c r="C930" s="181"/>
      <c r="D930" s="194"/>
      <c r="E930" s="194"/>
      <c r="F930" s="181"/>
      <c r="G930" s="181"/>
      <c r="H930" s="181"/>
      <c r="I930" s="181"/>
      <c r="J930" s="181"/>
      <c r="K930" s="181"/>
      <c r="L930" s="181"/>
      <c r="M930" s="181"/>
      <c r="N930" s="181"/>
      <c r="O930" s="181"/>
      <c r="P930" s="181"/>
      <c r="Q930" s="181"/>
      <c r="R930" s="181"/>
      <c r="S930" s="181"/>
      <c r="T930" s="181"/>
      <c r="U930" s="181"/>
      <c r="V930" s="181"/>
      <c r="W930" s="181"/>
      <c r="X930" s="181"/>
      <c r="Y930" s="181"/>
      <c r="Z930" s="181"/>
    </row>
    <row r="931">
      <c r="A931" s="194"/>
      <c r="B931" s="195"/>
      <c r="C931" s="181"/>
      <c r="D931" s="194"/>
      <c r="E931" s="194"/>
      <c r="F931" s="181"/>
      <c r="G931" s="181"/>
      <c r="H931" s="181"/>
      <c r="I931" s="181"/>
      <c r="J931" s="181"/>
      <c r="K931" s="181"/>
      <c r="L931" s="181"/>
      <c r="M931" s="181"/>
      <c r="N931" s="181"/>
      <c r="O931" s="181"/>
      <c r="P931" s="181"/>
      <c r="Q931" s="181"/>
      <c r="R931" s="181"/>
      <c r="S931" s="181"/>
      <c r="T931" s="181"/>
      <c r="U931" s="181"/>
      <c r="V931" s="181"/>
      <c r="W931" s="181"/>
      <c r="X931" s="181"/>
      <c r="Y931" s="181"/>
      <c r="Z931" s="181"/>
    </row>
    <row r="932">
      <c r="A932" s="194"/>
      <c r="B932" s="195"/>
      <c r="C932" s="181"/>
      <c r="D932" s="194"/>
      <c r="E932" s="194"/>
      <c r="F932" s="181"/>
      <c r="G932" s="181"/>
      <c r="H932" s="181"/>
      <c r="I932" s="181"/>
      <c r="J932" s="181"/>
      <c r="K932" s="181"/>
      <c r="L932" s="181"/>
      <c r="M932" s="181"/>
      <c r="N932" s="181"/>
      <c r="O932" s="181"/>
      <c r="P932" s="181"/>
      <c r="Q932" s="181"/>
      <c r="R932" s="181"/>
      <c r="S932" s="181"/>
      <c r="T932" s="181"/>
      <c r="U932" s="181"/>
      <c r="V932" s="181"/>
      <c r="W932" s="181"/>
      <c r="X932" s="181"/>
      <c r="Y932" s="181"/>
      <c r="Z932" s="181"/>
    </row>
    <row r="933">
      <c r="A933" s="194"/>
      <c r="B933" s="195"/>
      <c r="C933" s="181"/>
      <c r="D933" s="194"/>
      <c r="E933" s="194"/>
      <c r="F933" s="181"/>
      <c r="G933" s="181"/>
      <c r="H933" s="181"/>
      <c r="I933" s="181"/>
      <c r="J933" s="181"/>
      <c r="K933" s="181"/>
      <c r="L933" s="181"/>
      <c r="M933" s="181"/>
      <c r="N933" s="181"/>
      <c r="O933" s="181"/>
      <c r="P933" s="181"/>
      <c r="Q933" s="181"/>
      <c r="R933" s="181"/>
      <c r="S933" s="181"/>
      <c r="T933" s="181"/>
      <c r="U933" s="181"/>
      <c r="V933" s="181"/>
      <c r="W933" s="181"/>
      <c r="X933" s="181"/>
      <c r="Y933" s="181"/>
      <c r="Z933" s="181"/>
    </row>
    <row r="934">
      <c r="A934" s="194"/>
      <c r="B934" s="195"/>
      <c r="C934" s="181"/>
      <c r="D934" s="194"/>
      <c r="E934" s="194"/>
      <c r="F934" s="181"/>
      <c r="G934" s="181"/>
      <c r="H934" s="181"/>
      <c r="I934" s="181"/>
      <c r="J934" s="181"/>
      <c r="K934" s="181"/>
      <c r="L934" s="181"/>
      <c r="M934" s="181"/>
      <c r="N934" s="181"/>
      <c r="O934" s="181"/>
      <c r="P934" s="181"/>
      <c r="Q934" s="181"/>
      <c r="R934" s="181"/>
      <c r="S934" s="181"/>
      <c r="T934" s="181"/>
      <c r="U934" s="181"/>
      <c r="V934" s="181"/>
      <c r="W934" s="181"/>
      <c r="X934" s="181"/>
      <c r="Y934" s="181"/>
      <c r="Z934" s="181"/>
    </row>
    <row r="935">
      <c r="A935" s="194"/>
      <c r="B935" s="195"/>
      <c r="C935" s="181"/>
      <c r="D935" s="194"/>
      <c r="E935" s="194"/>
      <c r="F935" s="181"/>
      <c r="G935" s="181"/>
      <c r="H935" s="181"/>
      <c r="I935" s="181"/>
      <c r="J935" s="181"/>
      <c r="K935" s="181"/>
      <c r="L935" s="181"/>
      <c r="M935" s="181"/>
      <c r="N935" s="181"/>
      <c r="O935" s="181"/>
      <c r="P935" s="181"/>
      <c r="Q935" s="181"/>
      <c r="R935" s="181"/>
      <c r="S935" s="181"/>
      <c r="T935" s="181"/>
      <c r="U935" s="181"/>
      <c r="V935" s="181"/>
      <c r="W935" s="181"/>
      <c r="X935" s="181"/>
      <c r="Y935" s="181"/>
      <c r="Z935" s="181"/>
    </row>
    <row r="936">
      <c r="A936" s="194"/>
      <c r="B936" s="195"/>
      <c r="C936" s="181"/>
      <c r="D936" s="194"/>
      <c r="E936" s="194"/>
      <c r="F936" s="181"/>
      <c r="G936" s="181"/>
      <c r="H936" s="181"/>
      <c r="I936" s="181"/>
      <c r="J936" s="181"/>
      <c r="K936" s="181"/>
      <c r="L936" s="181"/>
      <c r="M936" s="181"/>
      <c r="N936" s="181"/>
      <c r="O936" s="181"/>
      <c r="P936" s="181"/>
      <c r="Q936" s="181"/>
      <c r="R936" s="181"/>
      <c r="S936" s="181"/>
      <c r="T936" s="181"/>
      <c r="U936" s="181"/>
      <c r="V936" s="181"/>
      <c r="W936" s="181"/>
      <c r="X936" s="181"/>
      <c r="Y936" s="181"/>
      <c r="Z936" s="181"/>
    </row>
    <row r="937">
      <c r="A937" s="194"/>
      <c r="B937" s="195"/>
      <c r="C937" s="181"/>
      <c r="D937" s="194"/>
      <c r="E937" s="194"/>
      <c r="F937" s="181"/>
      <c r="G937" s="181"/>
      <c r="H937" s="181"/>
      <c r="I937" s="181"/>
      <c r="J937" s="181"/>
      <c r="K937" s="181"/>
      <c r="L937" s="181"/>
      <c r="M937" s="181"/>
      <c r="N937" s="181"/>
      <c r="O937" s="181"/>
      <c r="P937" s="181"/>
      <c r="Q937" s="181"/>
      <c r="R937" s="181"/>
      <c r="S937" s="181"/>
      <c r="T937" s="181"/>
      <c r="U937" s="181"/>
      <c r="V937" s="181"/>
      <c r="W937" s="181"/>
      <c r="X937" s="181"/>
      <c r="Y937" s="181"/>
      <c r="Z937" s="181"/>
    </row>
    <row r="938">
      <c r="A938" s="194"/>
      <c r="B938" s="195"/>
      <c r="C938" s="181"/>
      <c r="D938" s="194"/>
      <c r="E938" s="194"/>
      <c r="F938" s="181"/>
      <c r="G938" s="181"/>
      <c r="H938" s="181"/>
      <c r="I938" s="181"/>
      <c r="J938" s="181"/>
      <c r="K938" s="181"/>
      <c r="L938" s="181"/>
      <c r="M938" s="181"/>
      <c r="N938" s="181"/>
      <c r="O938" s="181"/>
      <c r="P938" s="181"/>
      <c r="Q938" s="181"/>
      <c r="R938" s="181"/>
      <c r="S938" s="181"/>
      <c r="T938" s="181"/>
      <c r="U938" s="181"/>
      <c r="V938" s="181"/>
      <c r="W938" s="181"/>
      <c r="X938" s="181"/>
      <c r="Y938" s="181"/>
      <c r="Z938" s="181"/>
    </row>
    <row r="939">
      <c r="A939" s="194"/>
      <c r="B939" s="195"/>
      <c r="C939" s="181"/>
      <c r="D939" s="194"/>
      <c r="E939" s="194"/>
      <c r="F939" s="181"/>
      <c r="G939" s="181"/>
      <c r="H939" s="181"/>
      <c r="I939" s="181"/>
      <c r="J939" s="181"/>
      <c r="K939" s="181"/>
      <c r="L939" s="181"/>
      <c r="M939" s="181"/>
      <c r="N939" s="181"/>
      <c r="O939" s="181"/>
      <c r="P939" s="181"/>
      <c r="Q939" s="181"/>
      <c r="R939" s="181"/>
      <c r="S939" s="181"/>
      <c r="T939" s="181"/>
      <c r="U939" s="181"/>
      <c r="V939" s="181"/>
      <c r="W939" s="181"/>
      <c r="X939" s="181"/>
      <c r="Y939" s="181"/>
      <c r="Z939" s="181"/>
    </row>
    <row r="940">
      <c r="A940" s="194"/>
      <c r="B940" s="195"/>
      <c r="C940" s="181"/>
      <c r="D940" s="194"/>
      <c r="E940" s="194"/>
      <c r="F940" s="181"/>
      <c r="G940" s="181"/>
      <c r="H940" s="181"/>
      <c r="I940" s="181"/>
      <c r="J940" s="181"/>
      <c r="K940" s="181"/>
      <c r="L940" s="181"/>
      <c r="M940" s="181"/>
      <c r="N940" s="181"/>
      <c r="O940" s="181"/>
      <c r="P940" s="181"/>
      <c r="Q940" s="181"/>
      <c r="R940" s="181"/>
      <c r="S940" s="181"/>
      <c r="T940" s="181"/>
      <c r="U940" s="181"/>
      <c r="V940" s="181"/>
      <c r="W940" s="181"/>
      <c r="X940" s="181"/>
      <c r="Y940" s="181"/>
      <c r="Z940" s="181"/>
    </row>
    <row r="941">
      <c r="A941" s="194"/>
      <c r="B941" s="195"/>
      <c r="C941" s="181"/>
      <c r="D941" s="194"/>
      <c r="E941" s="194"/>
      <c r="F941" s="181"/>
      <c r="G941" s="181"/>
      <c r="H941" s="181"/>
      <c r="I941" s="181"/>
      <c r="J941" s="181"/>
      <c r="K941" s="181"/>
      <c r="L941" s="181"/>
      <c r="M941" s="181"/>
      <c r="N941" s="181"/>
      <c r="O941" s="181"/>
      <c r="P941" s="181"/>
      <c r="Q941" s="181"/>
      <c r="R941" s="181"/>
      <c r="S941" s="181"/>
      <c r="T941" s="181"/>
      <c r="U941" s="181"/>
      <c r="V941" s="181"/>
      <c r="W941" s="181"/>
      <c r="X941" s="181"/>
      <c r="Y941" s="181"/>
      <c r="Z941" s="181"/>
    </row>
    <row r="942">
      <c r="A942" s="194"/>
      <c r="B942" s="195"/>
      <c r="C942" s="181"/>
      <c r="D942" s="194"/>
      <c r="E942" s="194"/>
      <c r="F942" s="181"/>
      <c r="G942" s="181"/>
      <c r="H942" s="181"/>
      <c r="I942" s="181"/>
      <c r="J942" s="181"/>
      <c r="K942" s="181"/>
      <c r="L942" s="181"/>
      <c r="M942" s="181"/>
      <c r="N942" s="181"/>
      <c r="O942" s="181"/>
      <c r="P942" s="181"/>
      <c r="Q942" s="181"/>
      <c r="R942" s="181"/>
      <c r="S942" s="181"/>
      <c r="T942" s="181"/>
      <c r="U942" s="181"/>
      <c r="V942" s="181"/>
      <c r="W942" s="181"/>
      <c r="X942" s="181"/>
      <c r="Y942" s="181"/>
      <c r="Z942" s="181"/>
    </row>
    <row r="943">
      <c r="A943" s="194"/>
      <c r="B943" s="195"/>
      <c r="C943" s="181"/>
      <c r="D943" s="194"/>
      <c r="E943" s="194"/>
      <c r="F943" s="181"/>
      <c r="G943" s="181"/>
      <c r="H943" s="181"/>
      <c r="I943" s="181"/>
      <c r="J943" s="181"/>
      <c r="K943" s="181"/>
      <c r="L943" s="181"/>
      <c r="M943" s="181"/>
      <c r="N943" s="181"/>
      <c r="O943" s="181"/>
      <c r="P943" s="181"/>
      <c r="Q943" s="181"/>
      <c r="R943" s="181"/>
      <c r="S943" s="181"/>
      <c r="T943" s="181"/>
      <c r="U943" s="181"/>
      <c r="V943" s="181"/>
      <c r="W943" s="181"/>
      <c r="X943" s="181"/>
      <c r="Y943" s="181"/>
      <c r="Z943" s="181"/>
    </row>
    <row r="944">
      <c r="A944" s="194"/>
      <c r="B944" s="195"/>
      <c r="C944" s="181"/>
      <c r="D944" s="194"/>
      <c r="E944" s="194"/>
      <c r="F944" s="181"/>
      <c r="G944" s="181"/>
      <c r="H944" s="181"/>
      <c r="I944" s="181"/>
      <c r="J944" s="181"/>
      <c r="K944" s="181"/>
      <c r="L944" s="181"/>
      <c r="M944" s="181"/>
      <c r="N944" s="181"/>
      <c r="O944" s="181"/>
      <c r="P944" s="181"/>
      <c r="Q944" s="181"/>
      <c r="R944" s="181"/>
      <c r="S944" s="181"/>
      <c r="T944" s="181"/>
      <c r="U944" s="181"/>
      <c r="V944" s="181"/>
      <c r="W944" s="181"/>
      <c r="X944" s="181"/>
      <c r="Y944" s="181"/>
      <c r="Z944" s="181"/>
    </row>
    <row r="945">
      <c r="A945" s="194"/>
      <c r="B945" s="195"/>
      <c r="C945" s="181"/>
      <c r="D945" s="194"/>
      <c r="E945" s="194"/>
      <c r="F945" s="181"/>
      <c r="G945" s="181"/>
      <c r="H945" s="181"/>
      <c r="I945" s="181"/>
      <c r="J945" s="181"/>
      <c r="K945" s="181"/>
      <c r="L945" s="181"/>
      <c r="M945" s="181"/>
      <c r="N945" s="181"/>
      <c r="O945" s="181"/>
      <c r="P945" s="181"/>
      <c r="Q945" s="181"/>
      <c r="R945" s="181"/>
      <c r="S945" s="181"/>
      <c r="T945" s="181"/>
      <c r="U945" s="181"/>
      <c r="V945" s="181"/>
      <c r="W945" s="181"/>
      <c r="X945" s="181"/>
      <c r="Y945" s="181"/>
      <c r="Z945" s="181"/>
    </row>
    <row r="946">
      <c r="A946" s="194"/>
      <c r="B946" s="195"/>
      <c r="C946" s="181"/>
      <c r="D946" s="194"/>
      <c r="E946" s="194"/>
      <c r="F946" s="181"/>
      <c r="G946" s="181"/>
      <c r="H946" s="181"/>
      <c r="I946" s="181"/>
      <c r="J946" s="181"/>
      <c r="K946" s="181"/>
      <c r="L946" s="181"/>
      <c r="M946" s="181"/>
      <c r="N946" s="181"/>
      <c r="O946" s="181"/>
      <c r="P946" s="181"/>
      <c r="Q946" s="181"/>
      <c r="R946" s="181"/>
      <c r="S946" s="181"/>
      <c r="T946" s="181"/>
      <c r="U946" s="181"/>
      <c r="V946" s="181"/>
      <c r="W946" s="181"/>
      <c r="X946" s="181"/>
      <c r="Y946" s="181"/>
      <c r="Z946" s="181"/>
    </row>
    <row r="947">
      <c r="A947" s="194"/>
      <c r="B947" s="195"/>
      <c r="C947" s="181"/>
      <c r="D947" s="194"/>
      <c r="E947" s="194"/>
      <c r="F947" s="181"/>
      <c r="G947" s="181"/>
      <c r="H947" s="181"/>
      <c r="I947" s="181"/>
      <c r="J947" s="181"/>
      <c r="K947" s="181"/>
      <c r="L947" s="181"/>
      <c r="M947" s="181"/>
      <c r="N947" s="181"/>
      <c r="O947" s="181"/>
      <c r="P947" s="181"/>
      <c r="Q947" s="181"/>
      <c r="R947" s="181"/>
      <c r="S947" s="181"/>
      <c r="T947" s="181"/>
      <c r="U947" s="181"/>
      <c r="V947" s="181"/>
      <c r="W947" s="181"/>
      <c r="X947" s="181"/>
      <c r="Y947" s="181"/>
      <c r="Z947" s="181"/>
    </row>
    <row r="948">
      <c r="A948" s="194"/>
      <c r="B948" s="195"/>
      <c r="C948" s="181"/>
      <c r="D948" s="194"/>
      <c r="E948" s="194"/>
      <c r="F948" s="181"/>
      <c r="G948" s="181"/>
      <c r="H948" s="181"/>
      <c r="I948" s="181"/>
      <c r="J948" s="181"/>
      <c r="K948" s="181"/>
      <c r="L948" s="181"/>
      <c r="M948" s="181"/>
      <c r="N948" s="181"/>
      <c r="O948" s="181"/>
      <c r="P948" s="181"/>
      <c r="Q948" s="181"/>
      <c r="R948" s="181"/>
      <c r="S948" s="181"/>
      <c r="T948" s="181"/>
      <c r="U948" s="181"/>
      <c r="V948" s="181"/>
      <c r="W948" s="181"/>
      <c r="X948" s="181"/>
      <c r="Y948" s="181"/>
      <c r="Z948" s="181"/>
    </row>
    <row r="949">
      <c r="A949" s="194"/>
      <c r="B949" s="195"/>
      <c r="C949" s="181"/>
      <c r="D949" s="194"/>
      <c r="E949" s="194"/>
      <c r="F949" s="181"/>
      <c r="G949" s="181"/>
      <c r="H949" s="181"/>
      <c r="I949" s="181"/>
      <c r="J949" s="181"/>
      <c r="K949" s="181"/>
      <c r="L949" s="181"/>
      <c r="M949" s="181"/>
      <c r="N949" s="181"/>
      <c r="O949" s="181"/>
      <c r="P949" s="181"/>
      <c r="Q949" s="181"/>
      <c r="R949" s="181"/>
      <c r="S949" s="181"/>
      <c r="T949" s="181"/>
      <c r="U949" s="181"/>
      <c r="V949" s="181"/>
      <c r="W949" s="181"/>
      <c r="X949" s="181"/>
      <c r="Y949" s="181"/>
      <c r="Z949" s="181"/>
    </row>
    <row r="950">
      <c r="A950" s="194"/>
      <c r="B950" s="195"/>
      <c r="C950" s="181"/>
      <c r="D950" s="194"/>
      <c r="E950" s="194"/>
      <c r="F950" s="181"/>
      <c r="G950" s="181"/>
      <c r="H950" s="181"/>
      <c r="I950" s="181"/>
      <c r="J950" s="181"/>
      <c r="K950" s="181"/>
      <c r="L950" s="181"/>
      <c r="M950" s="181"/>
      <c r="N950" s="181"/>
      <c r="O950" s="181"/>
      <c r="P950" s="181"/>
      <c r="Q950" s="181"/>
      <c r="R950" s="181"/>
      <c r="S950" s="181"/>
      <c r="T950" s="181"/>
      <c r="U950" s="181"/>
      <c r="V950" s="181"/>
      <c r="W950" s="181"/>
      <c r="X950" s="181"/>
      <c r="Y950" s="181"/>
      <c r="Z950" s="181"/>
    </row>
    <row r="951">
      <c r="A951" s="194"/>
      <c r="B951" s="195"/>
      <c r="C951" s="181"/>
      <c r="D951" s="194"/>
      <c r="E951" s="194"/>
      <c r="F951" s="181"/>
      <c r="G951" s="181"/>
      <c r="H951" s="181"/>
      <c r="I951" s="181"/>
      <c r="J951" s="181"/>
      <c r="K951" s="181"/>
      <c r="L951" s="181"/>
      <c r="M951" s="181"/>
      <c r="N951" s="181"/>
      <c r="O951" s="181"/>
      <c r="P951" s="181"/>
      <c r="Q951" s="181"/>
      <c r="R951" s="181"/>
      <c r="S951" s="181"/>
      <c r="T951" s="181"/>
      <c r="U951" s="181"/>
      <c r="V951" s="181"/>
      <c r="W951" s="181"/>
      <c r="X951" s="181"/>
      <c r="Y951" s="181"/>
      <c r="Z951" s="181"/>
    </row>
    <row r="952">
      <c r="A952" s="194"/>
      <c r="B952" s="195"/>
      <c r="C952" s="181"/>
      <c r="D952" s="194"/>
      <c r="E952" s="194"/>
      <c r="F952" s="181"/>
      <c r="G952" s="181"/>
      <c r="H952" s="181"/>
      <c r="I952" s="181"/>
      <c r="J952" s="181"/>
      <c r="K952" s="181"/>
      <c r="L952" s="181"/>
      <c r="M952" s="181"/>
      <c r="N952" s="181"/>
      <c r="O952" s="181"/>
      <c r="P952" s="181"/>
      <c r="Q952" s="181"/>
      <c r="R952" s="181"/>
      <c r="S952" s="181"/>
      <c r="T952" s="181"/>
      <c r="U952" s="181"/>
      <c r="V952" s="181"/>
      <c r="W952" s="181"/>
      <c r="X952" s="181"/>
      <c r="Y952" s="181"/>
      <c r="Z952" s="181"/>
    </row>
    <row r="953">
      <c r="A953" s="194"/>
      <c r="B953" s="195"/>
      <c r="C953" s="181"/>
      <c r="D953" s="194"/>
      <c r="E953" s="194"/>
      <c r="F953" s="181"/>
      <c r="G953" s="181"/>
      <c r="H953" s="181"/>
      <c r="I953" s="181"/>
      <c r="J953" s="181"/>
      <c r="K953" s="181"/>
      <c r="L953" s="181"/>
      <c r="M953" s="181"/>
      <c r="N953" s="181"/>
      <c r="O953" s="181"/>
      <c r="P953" s="181"/>
      <c r="Q953" s="181"/>
      <c r="R953" s="181"/>
      <c r="S953" s="181"/>
      <c r="T953" s="181"/>
      <c r="U953" s="181"/>
      <c r="V953" s="181"/>
      <c r="W953" s="181"/>
      <c r="X953" s="181"/>
      <c r="Y953" s="181"/>
      <c r="Z953" s="181"/>
    </row>
    <row r="954">
      <c r="A954" s="194"/>
      <c r="B954" s="195"/>
      <c r="C954" s="181"/>
      <c r="D954" s="194"/>
      <c r="E954" s="194"/>
      <c r="F954" s="181"/>
      <c r="G954" s="181"/>
      <c r="H954" s="181"/>
      <c r="I954" s="181"/>
      <c r="J954" s="181"/>
      <c r="K954" s="181"/>
      <c r="L954" s="181"/>
      <c r="M954" s="181"/>
      <c r="N954" s="181"/>
      <c r="O954" s="181"/>
      <c r="P954" s="181"/>
      <c r="Q954" s="181"/>
      <c r="R954" s="181"/>
      <c r="S954" s="181"/>
      <c r="T954" s="181"/>
      <c r="U954" s="181"/>
      <c r="V954" s="181"/>
      <c r="W954" s="181"/>
      <c r="X954" s="181"/>
      <c r="Y954" s="181"/>
      <c r="Z954" s="181"/>
    </row>
    <row r="955">
      <c r="A955" s="194"/>
      <c r="B955" s="195"/>
      <c r="C955" s="181"/>
      <c r="D955" s="194"/>
      <c r="E955" s="194"/>
      <c r="F955" s="181"/>
      <c r="G955" s="181"/>
      <c r="H955" s="181"/>
      <c r="I955" s="181"/>
      <c r="J955" s="181"/>
      <c r="K955" s="181"/>
      <c r="L955" s="181"/>
      <c r="M955" s="181"/>
      <c r="N955" s="181"/>
      <c r="O955" s="181"/>
      <c r="P955" s="181"/>
      <c r="Q955" s="181"/>
      <c r="R955" s="181"/>
      <c r="S955" s="181"/>
      <c r="T955" s="181"/>
      <c r="U955" s="181"/>
      <c r="V955" s="181"/>
      <c r="W955" s="181"/>
      <c r="X955" s="181"/>
      <c r="Y955" s="181"/>
      <c r="Z955" s="181"/>
    </row>
    <row r="956">
      <c r="A956" s="194"/>
      <c r="B956" s="195"/>
      <c r="C956" s="181"/>
      <c r="D956" s="194"/>
      <c r="E956" s="194"/>
      <c r="F956" s="181"/>
      <c r="G956" s="181"/>
      <c r="H956" s="181"/>
      <c r="I956" s="181"/>
      <c r="J956" s="181"/>
      <c r="K956" s="181"/>
      <c r="L956" s="181"/>
      <c r="M956" s="181"/>
      <c r="N956" s="181"/>
      <c r="O956" s="181"/>
      <c r="P956" s="181"/>
      <c r="Q956" s="181"/>
      <c r="R956" s="181"/>
      <c r="S956" s="181"/>
      <c r="T956" s="181"/>
      <c r="U956" s="181"/>
      <c r="V956" s="181"/>
      <c r="W956" s="181"/>
      <c r="X956" s="181"/>
      <c r="Y956" s="181"/>
      <c r="Z956" s="181"/>
    </row>
    <row r="957">
      <c r="A957" s="194"/>
      <c r="B957" s="195"/>
      <c r="C957" s="181"/>
      <c r="D957" s="194"/>
      <c r="E957" s="194"/>
      <c r="F957" s="181"/>
      <c r="G957" s="181"/>
      <c r="H957" s="181"/>
      <c r="I957" s="181"/>
      <c r="J957" s="181"/>
      <c r="K957" s="181"/>
      <c r="L957" s="181"/>
      <c r="M957" s="181"/>
      <c r="N957" s="181"/>
      <c r="O957" s="181"/>
      <c r="P957" s="181"/>
      <c r="Q957" s="181"/>
      <c r="R957" s="181"/>
      <c r="S957" s="181"/>
      <c r="T957" s="181"/>
      <c r="U957" s="181"/>
      <c r="V957" s="181"/>
      <c r="W957" s="181"/>
      <c r="X957" s="181"/>
      <c r="Y957" s="181"/>
      <c r="Z957" s="181"/>
    </row>
    <row r="958">
      <c r="A958" s="194"/>
      <c r="B958" s="195"/>
      <c r="C958" s="181"/>
      <c r="D958" s="194"/>
      <c r="E958" s="194"/>
      <c r="F958" s="181"/>
      <c r="G958" s="181"/>
      <c r="H958" s="181"/>
      <c r="I958" s="181"/>
      <c r="J958" s="181"/>
      <c r="K958" s="181"/>
      <c r="L958" s="181"/>
      <c r="M958" s="181"/>
      <c r="N958" s="181"/>
      <c r="O958" s="181"/>
      <c r="P958" s="181"/>
      <c r="Q958" s="181"/>
      <c r="R958" s="181"/>
      <c r="S958" s="181"/>
      <c r="T958" s="181"/>
      <c r="U958" s="181"/>
      <c r="V958" s="181"/>
      <c r="W958" s="181"/>
      <c r="X958" s="181"/>
      <c r="Y958" s="181"/>
      <c r="Z958" s="181"/>
    </row>
    <row r="959">
      <c r="A959" s="194"/>
      <c r="B959" s="195"/>
      <c r="C959" s="181"/>
      <c r="D959" s="194"/>
      <c r="E959" s="194"/>
      <c r="F959" s="181"/>
      <c r="G959" s="181"/>
      <c r="H959" s="181"/>
      <c r="I959" s="181"/>
      <c r="J959" s="181"/>
      <c r="K959" s="181"/>
      <c r="L959" s="181"/>
      <c r="M959" s="181"/>
      <c r="N959" s="181"/>
      <c r="O959" s="181"/>
      <c r="P959" s="181"/>
      <c r="Q959" s="181"/>
      <c r="R959" s="181"/>
      <c r="S959" s="181"/>
      <c r="T959" s="181"/>
      <c r="U959" s="181"/>
      <c r="V959" s="181"/>
      <c r="W959" s="181"/>
      <c r="X959" s="181"/>
      <c r="Y959" s="181"/>
      <c r="Z959" s="181"/>
    </row>
    <row r="960">
      <c r="A960" s="194"/>
      <c r="B960" s="195"/>
      <c r="C960" s="181"/>
      <c r="D960" s="194"/>
      <c r="E960" s="194"/>
      <c r="F960" s="181"/>
      <c r="G960" s="181"/>
      <c r="H960" s="181"/>
      <c r="I960" s="181"/>
      <c r="J960" s="181"/>
      <c r="K960" s="181"/>
      <c r="L960" s="181"/>
      <c r="M960" s="181"/>
      <c r="N960" s="181"/>
      <c r="O960" s="181"/>
      <c r="P960" s="181"/>
      <c r="Q960" s="181"/>
      <c r="R960" s="181"/>
      <c r="S960" s="181"/>
      <c r="T960" s="181"/>
      <c r="U960" s="181"/>
      <c r="V960" s="181"/>
      <c r="W960" s="181"/>
      <c r="X960" s="181"/>
      <c r="Y960" s="181"/>
      <c r="Z960" s="181"/>
    </row>
    <row r="961">
      <c r="A961" s="194"/>
      <c r="B961" s="195"/>
      <c r="C961" s="181"/>
      <c r="D961" s="194"/>
      <c r="E961" s="194"/>
      <c r="F961" s="181"/>
      <c r="G961" s="181"/>
      <c r="H961" s="181"/>
      <c r="I961" s="181"/>
      <c r="J961" s="181"/>
      <c r="K961" s="181"/>
      <c r="L961" s="181"/>
      <c r="M961" s="181"/>
      <c r="N961" s="181"/>
      <c r="O961" s="181"/>
      <c r="P961" s="181"/>
      <c r="Q961" s="181"/>
      <c r="R961" s="181"/>
      <c r="S961" s="181"/>
      <c r="T961" s="181"/>
      <c r="U961" s="181"/>
      <c r="V961" s="181"/>
      <c r="W961" s="181"/>
      <c r="X961" s="181"/>
      <c r="Y961" s="181"/>
      <c r="Z961" s="181"/>
    </row>
    <row r="962">
      <c r="A962" s="194"/>
      <c r="B962" s="195"/>
      <c r="C962" s="181"/>
      <c r="D962" s="194"/>
      <c r="E962" s="194"/>
      <c r="F962" s="181"/>
      <c r="G962" s="181"/>
      <c r="H962" s="181"/>
      <c r="I962" s="181"/>
      <c r="J962" s="181"/>
      <c r="K962" s="181"/>
      <c r="L962" s="181"/>
      <c r="M962" s="181"/>
      <c r="N962" s="181"/>
      <c r="O962" s="181"/>
      <c r="P962" s="181"/>
      <c r="Q962" s="181"/>
      <c r="R962" s="181"/>
      <c r="S962" s="181"/>
      <c r="T962" s="181"/>
      <c r="U962" s="181"/>
      <c r="V962" s="181"/>
      <c r="W962" s="181"/>
      <c r="X962" s="181"/>
      <c r="Y962" s="181"/>
      <c r="Z962" s="181"/>
    </row>
    <row r="963">
      <c r="A963" s="194"/>
      <c r="B963" s="195"/>
      <c r="C963" s="181"/>
      <c r="D963" s="194"/>
      <c r="E963" s="194"/>
      <c r="F963" s="181"/>
      <c r="G963" s="181"/>
      <c r="H963" s="181"/>
      <c r="I963" s="181"/>
      <c r="J963" s="181"/>
      <c r="K963" s="181"/>
      <c r="L963" s="181"/>
      <c r="M963" s="181"/>
      <c r="N963" s="181"/>
      <c r="O963" s="181"/>
      <c r="P963" s="181"/>
      <c r="Q963" s="181"/>
      <c r="R963" s="181"/>
      <c r="S963" s="181"/>
      <c r="T963" s="181"/>
      <c r="U963" s="181"/>
      <c r="V963" s="181"/>
      <c r="W963" s="181"/>
      <c r="X963" s="181"/>
      <c r="Y963" s="181"/>
      <c r="Z963" s="181"/>
    </row>
    <row r="964">
      <c r="A964" s="194"/>
      <c r="B964" s="195"/>
      <c r="C964" s="181"/>
      <c r="D964" s="194"/>
      <c r="E964" s="194"/>
      <c r="F964" s="181"/>
      <c r="G964" s="181"/>
      <c r="H964" s="181"/>
      <c r="I964" s="181"/>
      <c r="J964" s="181"/>
      <c r="K964" s="181"/>
      <c r="L964" s="181"/>
      <c r="M964" s="181"/>
      <c r="N964" s="181"/>
      <c r="O964" s="181"/>
      <c r="P964" s="181"/>
      <c r="Q964" s="181"/>
      <c r="R964" s="181"/>
      <c r="S964" s="181"/>
      <c r="T964" s="181"/>
      <c r="U964" s="181"/>
      <c r="V964" s="181"/>
      <c r="W964" s="181"/>
      <c r="X964" s="181"/>
      <c r="Y964" s="181"/>
      <c r="Z964" s="181"/>
    </row>
    <row r="965">
      <c r="A965" s="194"/>
      <c r="B965" s="195"/>
      <c r="C965" s="181"/>
      <c r="D965" s="194"/>
      <c r="E965" s="194"/>
      <c r="F965" s="181"/>
      <c r="G965" s="181"/>
      <c r="H965" s="181"/>
      <c r="I965" s="181"/>
      <c r="J965" s="181"/>
      <c r="K965" s="181"/>
      <c r="L965" s="181"/>
      <c r="M965" s="181"/>
      <c r="N965" s="181"/>
      <c r="O965" s="181"/>
      <c r="P965" s="181"/>
      <c r="Q965" s="181"/>
      <c r="R965" s="181"/>
      <c r="S965" s="181"/>
      <c r="T965" s="181"/>
      <c r="U965" s="181"/>
      <c r="V965" s="181"/>
      <c r="W965" s="181"/>
      <c r="X965" s="181"/>
      <c r="Y965" s="181"/>
      <c r="Z965" s="181"/>
    </row>
    <row r="966">
      <c r="A966" s="194"/>
      <c r="B966" s="195"/>
      <c r="C966" s="181"/>
      <c r="D966" s="194"/>
      <c r="E966" s="194"/>
      <c r="F966" s="181"/>
      <c r="G966" s="181"/>
      <c r="H966" s="181"/>
      <c r="I966" s="181"/>
      <c r="J966" s="181"/>
      <c r="K966" s="181"/>
      <c r="L966" s="181"/>
      <c r="M966" s="181"/>
      <c r="N966" s="181"/>
      <c r="O966" s="181"/>
      <c r="P966" s="181"/>
      <c r="Q966" s="181"/>
      <c r="R966" s="181"/>
      <c r="S966" s="181"/>
      <c r="T966" s="181"/>
      <c r="U966" s="181"/>
      <c r="V966" s="181"/>
      <c r="W966" s="181"/>
      <c r="X966" s="181"/>
      <c r="Y966" s="181"/>
      <c r="Z966" s="181"/>
    </row>
    <row r="967">
      <c r="A967" s="194"/>
      <c r="B967" s="195"/>
      <c r="C967" s="181"/>
      <c r="D967" s="194"/>
      <c r="E967" s="194"/>
      <c r="F967" s="181"/>
      <c r="G967" s="181"/>
      <c r="H967" s="181"/>
      <c r="I967" s="181"/>
      <c r="J967" s="181"/>
      <c r="K967" s="181"/>
      <c r="L967" s="181"/>
      <c r="M967" s="181"/>
      <c r="N967" s="181"/>
      <c r="O967" s="181"/>
      <c r="P967" s="181"/>
      <c r="Q967" s="181"/>
      <c r="R967" s="181"/>
      <c r="S967" s="181"/>
      <c r="T967" s="181"/>
      <c r="U967" s="181"/>
      <c r="V967" s="181"/>
      <c r="W967" s="181"/>
      <c r="X967" s="181"/>
      <c r="Y967" s="181"/>
      <c r="Z967" s="181"/>
    </row>
    <row r="968">
      <c r="A968" s="194"/>
      <c r="B968" s="195"/>
      <c r="C968" s="181"/>
      <c r="D968" s="194"/>
      <c r="E968" s="194"/>
      <c r="F968" s="181"/>
      <c r="G968" s="181"/>
      <c r="H968" s="181"/>
      <c r="I968" s="181"/>
      <c r="J968" s="181"/>
      <c r="K968" s="181"/>
      <c r="L968" s="181"/>
      <c r="M968" s="181"/>
      <c r="N968" s="181"/>
      <c r="O968" s="181"/>
      <c r="P968" s="181"/>
      <c r="Q968" s="181"/>
      <c r="R968" s="181"/>
      <c r="S968" s="181"/>
      <c r="T968" s="181"/>
      <c r="U968" s="181"/>
      <c r="V968" s="181"/>
      <c r="W968" s="181"/>
      <c r="X968" s="181"/>
      <c r="Y968" s="181"/>
      <c r="Z968" s="181"/>
    </row>
    <row r="969">
      <c r="A969" s="194"/>
      <c r="B969" s="195"/>
      <c r="C969" s="181"/>
      <c r="D969" s="194"/>
      <c r="E969" s="194"/>
      <c r="F969" s="181"/>
      <c r="G969" s="181"/>
      <c r="H969" s="181"/>
      <c r="I969" s="181"/>
      <c r="J969" s="181"/>
      <c r="K969" s="181"/>
      <c r="L969" s="181"/>
      <c r="M969" s="181"/>
      <c r="N969" s="181"/>
      <c r="O969" s="181"/>
      <c r="P969" s="181"/>
      <c r="Q969" s="181"/>
      <c r="R969" s="181"/>
      <c r="S969" s="181"/>
      <c r="T969" s="181"/>
      <c r="U969" s="181"/>
      <c r="V969" s="181"/>
      <c r="W969" s="181"/>
      <c r="X969" s="181"/>
      <c r="Y969" s="181"/>
      <c r="Z969" s="181"/>
    </row>
    <row r="970">
      <c r="A970" s="194"/>
      <c r="B970" s="195"/>
      <c r="C970" s="181"/>
      <c r="D970" s="194"/>
      <c r="E970" s="194"/>
      <c r="F970" s="181"/>
      <c r="G970" s="181"/>
      <c r="H970" s="181"/>
      <c r="I970" s="181"/>
      <c r="J970" s="181"/>
      <c r="K970" s="181"/>
      <c r="L970" s="181"/>
      <c r="M970" s="181"/>
      <c r="N970" s="181"/>
      <c r="O970" s="181"/>
      <c r="P970" s="181"/>
      <c r="Q970" s="181"/>
      <c r="R970" s="181"/>
      <c r="S970" s="181"/>
      <c r="T970" s="181"/>
      <c r="U970" s="181"/>
      <c r="V970" s="181"/>
      <c r="W970" s="181"/>
      <c r="X970" s="181"/>
      <c r="Y970" s="181"/>
      <c r="Z970" s="181"/>
    </row>
    <row r="971">
      <c r="A971" s="194"/>
      <c r="B971" s="195"/>
      <c r="C971" s="181"/>
      <c r="D971" s="194"/>
      <c r="E971" s="194"/>
      <c r="F971" s="181"/>
      <c r="G971" s="181"/>
      <c r="H971" s="181"/>
      <c r="I971" s="181"/>
      <c r="J971" s="181"/>
      <c r="K971" s="181"/>
      <c r="L971" s="181"/>
      <c r="M971" s="181"/>
      <c r="N971" s="181"/>
      <c r="O971" s="181"/>
      <c r="P971" s="181"/>
      <c r="Q971" s="181"/>
      <c r="R971" s="181"/>
      <c r="S971" s="181"/>
      <c r="T971" s="181"/>
      <c r="U971" s="181"/>
      <c r="V971" s="181"/>
      <c r="W971" s="181"/>
      <c r="X971" s="181"/>
      <c r="Y971" s="181"/>
      <c r="Z971" s="181"/>
    </row>
    <row r="972">
      <c r="A972" s="194"/>
      <c r="B972" s="195"/>
      <c r="C972" s="181"/>
      <c r="D972" s="194"/>
      <c r="E972" s="194"/>
      <c r="F972" s="181"/>
      <c r="G972" s="181"/>
      <c r="H972" s="181"/>
      <c r="I972" s="181"/>
      <c r="J972" s="181"/>
      <c r="K972" s="181"/>
      <c r="L972" s="181"/>
      <c r="M972" s="181"/>
      <c r="N972" s="181"/>
      <c r="O972" s="181"/>
      <c r="P972" s="181"/>
      <c r="Q972" s="181"/>
      <c r="R972" s="181"/>
      <c r="S972" s="181"/>
      <c r="T972" s="181"/>
      <c r="U972" s="181"/>
      <c r="V972" s="181"/>
      <c r="W972" s="181"/>
      <c r="X972" s="181"/>
      <c r="Y972" s="181"/>
      <c r="Z972" s="181"/>
    </row>
    <row r="973">
      <c r="A973" s="194"/>
      <c r="B973" s="195"/>
      <c r="C973" s="181"/>
      <c r="D973" s="194"/>
      <c r="E973" s="194"/>
      <c r="F973" s="181"/>
      <c r="G973" s="181"/>
      <c r="H973" s="181"/>
      <c r="I973" s="181"/>
      <c r="J973" s="181"/>
      <c r="K973" s="181"/>
      <c r="L973" s="181"/>
      <c r="M973" s="181"/>
      <c r="N973" s="181"/>
      <c r="O973" s="181"/>
      <c r="P973" s="181"/>
      <c r="Q973" s="181"/>
      <c r="R973" s="181"/>
      <c r="S973" s="181"/>
      <c r="T973" s="181"/>
      <c r="U973" s="181"/>
      <c r="V973" s="181"/>
      <c r="W973" s="181"/>
      <c r="X973" s="181"/>
      <c r="Y973" s="181"/>
      <c r="Z973" s="181"/>
    </row>
    <row r="974">
      <c r="A974" s="194"/>
      <c r="B974" s="195"/>
      <c r="C974" s="181"/>
      <c r="D974" s="194"/>
      <c r="E974" s="194"/>
      <c r="F974" s="181"/>
      <c r="G974" s="181"/>
      <c r="H974" s="181"/>
      <c r="I974" s="181"/>
      <c r="J974" s="181"/>
      <c r="K974" s="181"/>
      <c r="L974" s="181"/>
      <c r="M974" s="181"/>
      <c r="N974" s="181"/>
      <c r="O974" s="181"/>
      <c r="P974" s="181"/>
      <c r="Q974" s="181"/>
      <c r="R974" s="181"/>
      <c r="S974" s="181"/>
      <c r="T974" s="181"/>
      <c r="U974" s="181"/>
      <c r="V974" s="181"/>
      <c r="W974" s="181"/>
      <c r="X974" s="181"/>
      <c r="Y974" s="181"/>
      <c r="Z974" s="181"/>
    </row>
    <row r="975">
      <c r="A975" s="194"/>
      <c r="B975" s="195"/>
      <c r="C975" s="181"/>
      <c r="D975" s="194"/>
      <c r="E975" s="194"/>
      <c r="F975" s="181"/>
      <c r="G975" s="181"/>
      <c r="H975" s="181"/>
      <c r="I975" s="181"/>
      <c r="J975" s="181"/>
      <c r="K975" s="181"/>
      <c r="L975" s="181"/>
      <c r="M975" s="181"/>
      <c r="N975" s="181"/>
      <c r="O975" s="181"/>
      <c r="P975" s="181"/>
      <c r="Q975" s="181"/>
      <c r="R975" s="181"/>
      <c r="S975" s="181"/>
      <c r="T975" s="181"/>
      <c r="U975" s="181"/>
      <c r="V975" s="181"/>
      <c r="W975" s="181"/>
      <c r="X975" s="181"/>
      <c r="Y975" s="181"/>
      <c r="Z975" s="181"/>
    </row>
    <row r="976">
      <c r="A976" s="194"/>
      <c r="B976" s="195"/>
      <c r="C976" s="181"/>
      <c r="D976" s="194"/>
      <c r="E976" s="194"/>
      <c r="F976" s="181"/>
      <c r="G976" s="181"/>
      <c r="H976" s="181"/>
      <c r="I976" s="181"/>
      <c r="J976" s="181"/>
      <c r="K976" s="181"/>
      <c r="L976" s="181"/>
      <c r="M976" s="181"/>
      <c r="N976" s="181"/>
      <c r="O976" s="181"/>
      <c r="P976" s="181"/>
      <c r="Q976" s="181"/>
      <c r="R976" s="181"/>
      <c r="S976" s="181"/>
      <c r="T976" s="181"/>
      <c r="U976" s="181"/>
      <c r="V976" s="181"/>
      <c r="W976" s="181"/>
      <c r="X976" s="181"/>
      <c r="Y976" s="181"/>
      <c r="Z976" s="181"/>
    </row>
    <row r="977">
      <c r="A977" s="194"/>
      <c r="B977" s="195"/>
      <c r="C977" s="181"/>
      <c r="D977" s="194"/>
      <c r="E977" s="194"/>
      <c r="F977" s="181"/>
      <c r="G977" s="181"/>
      <c r="H977" s="181"/>
      <c r="I977" s="181"/>
      <c r="J977" s="181"/>
      <c r="K977" s="181"/>
      <c r="L977" s="181"/>
      <c r="M977" s="181"/>
      <c r="N977" s="181"/>
      <c r="O977" s="181"/>
      <c r="P977" s="181"/>
      <c r="Q977" s="181"/>
      <c r="R977" s="181"/>
      <c r="S977" s="181"/>
      <c r="T977" s="181"/>
      <c r="U977" s="181"/>
      <c r="V977" s="181"/>
      <c r="W977" s="181"/>
      <c r="X977" s="181"/>
      <c r="Y977" s="181"/>
      <c r="Z977" s="181"/>
    </row>
    <row r="978">
      <c r="A978" s="194"/>
      <c r="B978" s="195"/>
      <c r="C978" s="181"/>
      <c r="D978" s="194"/>
      <c r="E978" s="194"/>
      <c r="F978" s="181"/>
      <c r="G978" s="181"/>
      <c r="H978" s="181"/>
      <c r="I978" s="181"/>
      <c r="J978" s="181"/>
      <c r="K978" s="181"/>
      <c r="L978" s="181"/>
      <c r="M978" s="181"/>
      <c r="N978" s="181"/>
      <c r="O978" s="181"/>
      <c r="P978" s="181"/>
      <c r="Q978" s="181"/>
      <c r="R978" s="181"/>
      <c r="S978" s="181"/>
      <c r="T978" s="181"/>
      <c r="U978" s="181"/>
      <c r="V978" s="181"/>
      <c r="W978" s="181"/>
      <c r="X978" s="181"/>
      <c r="Y978" s="181"/>
      <c r="Z978" s="181"/>
    </row>
    <row r="979">
      <c r="A979" s="194"/>
      <c r="B979" s="195"/>
      <c r="C979" s="181"/>
      <c r="D979" s="194"/>
      <c r="E979" s="194"/>
      <c r="F979" s="181"/>
      <c r="G979" s="181"/>
      <c r="H979" s="181"/>
      <c r="I979" s="181"/>
      <c r="J979" s="181"/>
      <c r="K979" s="181"/>
      <c r="L979" s="181"/>
      <c r="M979" s="181"/>
      <c r="N979" s="181"/>
      <c r="O979" s="181"/>
      <c r="P979" s="181"/>
      <c r="Q979" s="181"/>
      <c r="R979" s="181"/>
      <c r="S979" s="181"/>
      <c r="T979" s="181"/>
      <c r="U979" s="181"/>
      <c r="V979" s="181"/>
      <c r="W979" s="181"/>
      <c r="X979" s="181"/>
      <c r="Y979" s="181"/>
      <c r="Z979" s="181"/>
    </row>
    <row r="980">
      <c r="A980" s="194"/>
      <c r="B980" s="195"/>
      <c r="C980" s="181"/>
      <c r="D980" s="194"/>
      <c r="E980" s="194"/>
      <c r="F980" s="181"/>
      <c r="G980" s="181"/>
      <c r="H980" s="181"/>
      <c r="I980" s="181"/>
      <c r="J980" s="181"/>
      <c r="K980" s="181"/>
      <c r="L980" s="181"/>
      <c r="M980" s="181"/>
      <c r="N980" s="181"/>
      <c r="O980" s="181"/>
      <c r="P980" s="181"/>
      <c r="Q980" s="181"/>
      <c r="R980" s="181"/>
      <c r="S980" s="181"/>
      <c r="T980" s="181"/>
      <c r="U980" s="181"/>
      <c r="V980" s="181"/>
      <c r="W980" s="181"/>
      <c r="X980" s="181"/>
      <c r="Y980" s="181"/>
      <c r="Z980" s="181"/>
    </row>
    <row r="981">
      <c r="A981" s="194"/>
      <c r="B981" s="195"/>
      <c r="C981" s="181"/>
      <c r="D981" s="194"/>
      <c r="E981" s="194"/>
      <c r="F981" s="181"/>
      <c r="G981" s="181"/>
      <c r="H981" s="181"/>
      <c r="I981" s="181"/>
      <c r="J981" s="181"/>
      <c r="K981" s="181"/>
      <c r="L981" s="181"/>
      <c r="M981" s="181"/>
      <c r="N981" s="181"/>
      <c r="O981" s="181"/>
      <c r="P981" s="181"/>
      <c r="Q981" s="181"/>
      <c r="R981" s="181"/>
      <c r="S981" s="181"/>
      <c r="T981" s="181"/>
      <c r="U981" s="181"/>
      <c r="V981" s="181"/>
      <c r="W981" s="181"/>
      <c r="X981" s="181"/>
      <c r="Y981" s="181"/>
      <c r="Z981" s="181"/>
    </row>
    <row r="982">
      <c r="A982" s="194"/>
      <c r="B982" s="195"/>
      <c r="C982" s="181"/>
      <c r="D982" s="194"/>
      <c r="E982" s="194"/>
      <c r="F982" s="181"/>
      <c r="G982" s="181"/>
      <c r="H982" s="181"/>
      <c r="I982" s="181"/>
      <c r="J982" s="181"/>
      <c r="K982" s="181"/>
      <c r="L982" s="181"/>
      <c r="M982" s="181"/>
      <c r="N982" s="181"/>
      <c r="O982" s="181"/>
      <c r="P982" s="181"/>
      <c r="Q982" s="181"/>
      <c r="R982" s="181"/>
      <c r="S982" s="181"/>
      <c r="T982" s="181"/>
      <c r="U982" s="181"/>
      <c r="V982" s="181"/>
      <c r="W982" s="181"/>
      <c r="X982" s="181"/>
      <c r="Y982" s="181"/>
      <c r="Z982" s="181"/>
    </row>
    <row r="983">
      <c r="A983" s="194"/>
      <c r="B983" s="195"/>
      <c r="C983" s="181"/>
      <c r="D983" s="194"/>
      <c r="E983" s="194"/>
      <c r="F983" s="181"/>
      <c r="G983" s="181"/>
      <c r="H983" s="181"/>
      <c r="I983" s="181"/>
      <c r="J983" s="181"/>
      <c r="K983" s="181"/>
      <c r="L983" s="181"/>
      <c r="M983" s="181"/>
      <c r="N983" s="181"/>
      <c r="O983" s="181"/>
      <c r="P983" s="181"/>
      <c r="Q983" s="181"/>
      <c r="R983" s="181"/>
      <c r="S983" s="181"/>
      <c r="T983" s="181"/>
      <c r="U983" s="181"/>
      <c r="V983" s="181"/>
      <c r="W983" s="181"/>
      <c r="X983" s="181"/>
      <c r="Y983" s="181"/>
      <c r="Z983" s="181"/>
    </row>
    <row r="984">
      <c r="A984" s="194"/>
      <c r="B984" s="195"/>
      <c r="C984" s="181"/>
      <c r="D984" s="194"/>
      <c r="E984" s="194"/>
      <c r="F984" s="181"/>
      <c r="G984" s="181"/>
      <c r="H984" s="181"/>
      <c r="I984" s="181"/>
      <c r="J984" s="181"/>
      <c r="K984" s="181"/>
      <c r="L984" s="181"/>
      <c r="M984" s="181"/>
      <c r="N984" s="181"/>
      <c r="O984" s="181"/>
      <c r="P984" s="181"/>
      <c r="Q984" s="181"/>
      <c r="R984" s="181"/>
      <c r="S984" s="181"/>
      <c r="T984" s="181"/>
      <c r="U984" s="181"/>
      <c r="V984" s="181"/>
      <c r="W984" s="181"/>
      <c r="X984" s="181"/>
      <c r="Y984" s="181"/>
      <c r="Z984" s="181"/>
    </row>
    <row r="985">
      <c r="A985" s="194"/>
      <c r="B985" s="195"/>
      <c r="C985" s="181"/>
      <c r="D985" s="194"/>
      <c r="E985" s="194"/>
      <c r="F985" s="181"/>
      <c r="G985" s="181"/>
      <c r="H985" s="181"/>
      <c r="I985" s="181"/>
      <c r="J985" s="181"/>
      <c r="K985" s="181"/>
      <c r="L985" s="181"/>
      <c r="M985" s="181"/>
      <c r="N985" s="181"/>
      <c r="O985" s="181"/>
      <c r="P985" s="181"/>
      <c r="Q985" s="181"/>
      <c r="R985" s="181"/>
      <c r="S985" s="181"/>
      <c r="T985" s="181"/>
      <c r="U985" s="181"/>
      <c r="V985" s="181"/>
      <c r="W985" s="181"/>
      <c r="X985" s="181"/>
      <c r="Y985" s="181"/>
      <c r="Z985" s="181"/>
    </row>
    <row r="986">
      <c r="A986" s="194"/>
      <c r="B986" s="195"/>
      <c r="C986" s="181"/>
      <c r="D986" s="194"/>
      <c r="E986" s="194"/>
      <c r="F986" s="181"/>
      <c r="G986" s="181"/>
      <c r="H986" s="181"/>
      <c r="I986" s="181"/>
      <c r="J986" s="181"/>
      <c r="K986" s="181"/>
      <c r="L986" s="181"/>
      <c r="M986" s="181"/>
      <c r="N986" s="181"/>
      <c r="O986" s="181"/>
      <c r="P986" s="181"/>
      <c r="Q986" s="181"/>
      <c r="R986" s="181"/>
      <c r="S986" s="181"/>
      <c r="T986" s="181"/>
      <c r="U986" s="181"/>
      <c r="V986" s="181"/>
      <c r="W986" s="181"/>
      <c r="X986" s="181"/>
      <c r="Y986" s="181"/>
      <c r="Z986" s="181"/>
    </row>
    <row r="987">
      <c r="A987" s="194"/>
      <c r="B987" s="195"/>
      <c r="C987" s="181"/>
      <c r="D987" s="194"/>
      <c r="E987" s="194"/>
      <c r="F987" s="181"/>
      <c r="G987" s="181"/>
      <c r="H987" s="181"/>
      <c r="I987" s="181"/>
      <c r="J987" s="181"/>
      <c r="K987" s="181"/>
      <c r="L987" s="181"/>
      <c r="M987" s="181"/>
      <c r="N987" s="181"/>
      <c r="O987" s="181"/>
      <c r="P987" s="181"/>
      <c r="Q987" s="181"/>
      <c r="R987" s="181"/>
      <c r="S987" s="181"/>
      <c r="T987" s="181"/>
      <c r="U987" s="181"/>
      <c r="V987" s="181"/>
      <c r="W987" s="181"/>
      <c r="X987" s="181"/>
      <c r="Y987" s="181"/>
      <c r="Z987" s="181"/>
    </row>
    <row r="988">
      <c r="A988" s="194"/>
      <c r="B988" s="195"/>
      <c r="C988" s="181"/>
      <c r="D988" s="194"/>
      <c r="E988" s="194"/>
      <c r="F988" s="181"/>
      <c r="G988" s="181"/>
      <c r="H988" s="181"/>
      <c r="I988" s="181"/>
      <c r="J988" s="181"/>
      <c r="K988" s="181"/>
      <c r="L988" s="181"/>
      <c r="M988" s="181"/>
      <c r="N988" s="181"/>
      <c r="O988" s="181"/>
      <c r="P988" s="181"/>
      <c r="Q988" s="181"/>
      <c r="R988" s="181"/>
      <c r="S988" s="181"/>
      <c r="T988" s="181"/>
      <c r="U988" s="181"/>
      <c r="V988" s="181"/>
      <c r="W988" s="181"/>
      <c r="X988" s="181"/>
      <c r="Y988" s="181"/>
      <c r="Z988" s="181"/>
    </row>
    <row r="989">
      <c r="A989" s="194"/>
      <c r="B989" s="195"/>
      <c r="C989" s="181"/>
      <c r="D989" s="194"/>
      <c r="E989" s="194"/>
      <c r="F989" s="181"/>
      <c r="G989" s="181"/>
      <c r="H989" s="181"/>
      <c r="I989" s="181"/>
      <c r="J989" s="181"/>
      <c r="K989" s="181"/>
      <c r="L989" s="181"/>
      <c r="M989" s="181"/>
      <c r="N989" s="181"/>
      <c r="O989" s="181"/>
      <c r="P989" s="181"/>
      <c r="Q989" s="181"/>
      <c r="R989" s="181"/>
      <c r="S989" s="181"/>
      <c r="T989" s="181"/>
      <c r="U989" s="181"/>
      <c r="V989" s="181"/>
      <c r="W989" s="181"/>
      <c r="X989" s="181"/>
      <c r="Y989" s="181"/>
      <c r="Z989" s="181"/>
    </row>
    <row r="990">
      <c r="A990" s="194"/>
      <c r="B990" s="195"/>
      <c r="C990" s="181"/>
      <c r="D990" s="194"/>
      <c r="E990" s="194"/>
      <c r="F990" s="181"/>
      <c r="G990" s="181"/>
      <c r="H990" s="181"/>
      <c r="I990" s="181"/>
      <c r="J990" s="181"/>
      <c r="K990" s="181"/>
      <c r="L990" s="181"/>
      <c r="M990" s="181"/>
      <c r="N990" s="181"/>
      <c r="O990" s="181"/>
      <c r="P990" s="181"/>
      <c r="Q990" s="181"/>
      <c r="R990" s="181"/>
      <c r="S990" s="181"/>
      <c r="T990" s="181"/>
      <c r="U990" s="181"/>
      <c r="V990" s="181"/>
      <c r="W990" s="181"/>
      <c r="X990" s="181"/>
      <c r="Y990" s="181"/>
      <c r="Z990" s="181"/>
    </row>
    <row r="991">
      <c r="A991" s="194"/>
      <c r="B991" s="195"/>
      <c r="C991" s="181"/>
      <c r="D991" s="194"/>
      <c r="E991" s="194"/>
      <c r="F991" s="181"/>
      <c r="G991" s="181"/>
      <c r="H991" s="181"/>
      <c r="I991" s="181"/>
      <c r="J991" s="181"/>
      <c r="K991" s="181"/>
      <c r="L991" s="181"/>
      <c r="M991" s="181"/>
      <c r="N991" s="181"/>
      <c r="O991" s="181"/>
      <c r="P991" s="181"/>
      <c r="Q991" s="181"/>
      <c r="R991" s="181"/>
      <c r="S991" s="181"/>
      <c r="T991" s="181"/>
      <c r="U991" s="181"/>
      <c r="V991" s="181"/>
      <c r="W991" s="181"/>
      <c r="X991" s="181"/>
      <c r="Y991" s="181"/>
      <c r="Z991" s="181"/>
    </row>
    <row r="992">
      <c r="A992" s="194"/>
      <c r="B992" s="195"/>
      <c r="C992" s="181"/>
      <c r="D992" s="194"/>
      <c r="E992" s="194"/>
      <c r="F992" s="181"/>
      <c r="G992" s="181"/>
      <c r="H992" s="181"/>
      <c r="I992" s="181"/>
      <c r="J992" s="181"/>
      <c r="K992" s="181"/>
      <c r="L992" s="181"/>
      <c r="M992" s="181"/>
      <c r="N992" s="181"/>
      <c r="O992" s="181"/>
      <c r="P992" s="181"/>
      <c r="Q992" s="181"/>
      <c r="R992" s="181"/>
      <c r="S992" s="181"/>
      <c r="T992" s="181"/>
      <c r="U992" s="181"/>
      <c r="V992" s="181"/>
      <c r="W992" s="181"/>
      <c r="X992" s="181"/>
      <c r="Y992" s="181"/>
      <c r="Z992" s="181"/>
    </row>
    <row r="993">
      <c r="A993" s="194"/>
      <c r="B993" s="195"/>
      <c r="C993" s="181"/>
      <c r="D993" s="194"/>
      <c r="E993" s="194"/>
      <c r="F993" s="181"/>
      <c r="G993" s="181"/>
      <c r="H993" s="181"/>
      <c r="I993" s="181"/>
      <c r="J993" s="181"/>
      <c r="K993" s="181"/>
      <c r="L993" s="181"/>
      <c r="M993" s="181"/>
      <c r="N993" s="181"/>
      <c r="O993" s="181"/>
      <c r="P993" s="181"/>
      <c r="Q993" s="181"/>
      <c r="R993" s="181"/>
      <c r="S993" s="181"/>
      <c r="T993" s="181"/>
      <c r="U993" s="181"/>
      <c r="V993" s="181"/>
      <c r="W993" s="181"/>
      <c r="X993" s="181"/>
      <c r="Y993" s="181"/>
      <c r="Z993" s="181"/>
    </row>
    <row r="994">
      <c r="A994" s="194"/>
      <c r="B994" s="195"/>
      <c r="C994" s="181"/>
      <c r="D994" s="194"/>
      <c r="E994" s="194"/>
      <c r="F994" s="181"/>
      <c r="G994" s="181"/>
      <c r="H994" s="181"/>
      <c r="I994" s="181"/>
      <c r="J994" s="181"/>
      <c r="K994" s="181"/>
      <c r="L994" s="181"/>
      <c r="M994" s="181"/>
      <c r="N994" s="181"/>
      <c r="O994" s="181"/>
      <c r="P994" s="181"/>
      <c r="Q994" s="181"/>
      <c r="R994" s="181"/>
      <c r="S994" s="181"/>
      <c r="T994" s="181"/>
      <c r="U994" s="181"/>
      <c r="V994" s="181"/>
      <c r="W994" s="181"/>
      <c r="X994" s="181"/>
      <c r="Y994" s="181"/>
      <c r="Z994" s="181"/>
    </row>
    <row r="995">
      <c r="A995" s="194"/>
      <c r="B995" s="195"/>
      <c r="C995" s="181"/>
      <c r="D995" s="194"/>
      <c r="E995" s="194"/>
      <c r="F995" s="181"/>
      <c r="G995" s="181"/>
      <c r="H995" s="181"/>
      <c r="I995" s="181"/>
      <c r="J995" s="181"/>
      <c r="K995" s="181"/>
      <c r="L995" s="181"/>
      <c r="M995" s="181"/>
      <c r="N995" s="181"/>
      <c r="O995" s="181"/>
      <c r="P995" s="181"/>
      <c r="Q995" s="181"/>
      <c r="R995" s="181"/>
      <c r="S995" s="181"/>
      <c r="T995" s="181"/>
      <c r="U995" s="181"/>
      <c r="V995" s="181"/>
      <c r="W995" s="181"/>
      <c r="X995" s="181"/>
      <c r="Y995" s="181"/>
      <c r="Z995" s="181"/>
    </row>
    <row r="996">
      <c r="A996" s="194"/>
      <c r="B996" s="195"/>
      <c r="C996" s="181"/>
      <c r="D996" s="194"/>
      <c r="E996" s="194"/>
      <c r="F996" s="181"/>
      <c r="G996" s="181"/>
      <c r="H996" s="181"/>
      <c r="I996" s="181"/>
      <c r="J996" s="181"/>
      <c r="K996" s="181"/>
      <c r="L996" s="181"/>
      <c r="M996" s="181"/>
      <c r="N996" s="181"/>
      <c r="O996" s="181"/>
      <c r="P996" s="181"/>
      <c r="Q996" s="181"/>
      <c r="R996" s="181"/>
      <c r="S996" s="181"/>
      <c r="T996" s="181"/>
      <c r="U996" s="181"/>
      <c r="V996" s="181"/>
      <c r="W996" s="181"/>
      <c r="X996" s="181"/>
      <c r="Y996" s="181"/>
      <c r="Z996" s="181"/>
    </row>
    <row r="997">
      <c r="A997" s="194"/>
      <c r="B997" s="195"/>
      <c r="C997" s="181"/>
      <c r="D997" s="194"/>
      <c r="E997" s="194"/>
      <c r="F997" s="181"/>
      <c r="G997" s="181"/>
      <c r="H997" s="181"/>
      <c r="I997" s="181"/>
      <c r="J997" s="181"/>
      <c r="K997" s="181"/>
      <c r="L997" s="181"/>
      <c r="M997" s="181"/>
      <c r="N997" s="181"/>
      <c r="O997" s="181"/>
      <c r="P997" s="181"/>
      <c r="Q997" s="181"/>
      <c r="R997" s="181"/>
      <c r="S997" s="181"/>
      <c r="T997" s="181"/>
      <c r="U997" s="181"/>
      <c r="V997" s="181"/>
      <c r="W997" s="181"/>
      <c r="X997" s="181"/>
      <c r="Y997" s="181"/>
      <c r="Z997" s="181"/>
    </row>
    <row r="998">
      <c r="A998" s="194"/>
      <c r="B998" s="195"/>
      <c r="C998" s="181"/>
      <c r="D998" s="194"/>
      <c r="E998" s="194"/>
      <c r="F998" s="181"/>
      <c r="G998" s="181"/>
      <c r="H998" s="181"/>
      <c r="I998" s="181"/>
      <c r="J998" s="181"/>
      <c r="K998" s="181"/>
      <c r="L998" s="181"/>
      <c r="M998" s="181"/>
      <c r="N998" s="181"/>
      <c r="O998" s="181"/>
      <c r="P998" s="181"/>
      <c r="Q998" s="181"/>
      <c r="R998" s="181"/>
      <c r="S998" s="181"/>
      <c r="T998" s="181"/>
      <c r="U998" s="181"/>
      <c r="V998" s="181"/>
      <c r="W998" s="181"/>
      <c r="X998" s="181"/>
      <c r="Y998" s="181"/>
      <c r="Z998" s="181"/>
    </row>
    <row r="999">
      <c r="A999" s="194"/>
      <c r="B999" s="195"/>
      <c r="C999" s="181"/>
      <c r="D999" s="194"/>
      <c r="E999" s="194"/>
      <c r="F999" s="181"/>
      <c r="G999" s="181"/>
      <c r="H999" s="181"/>
      <c r="I999" s="181"/>
      <c r="J999" s="181"/>
      <c r="K999" s="181"/>
      <c r="L999" s="181"/>
      <c r="M999" s="181"/>
      <c r="N999" s="181"/>
      <c r="O999" s="181"/>
      <c r="P999" s="181"/>
      <c r="Q999" s="181"/>
      <c r="R999" s="181"/>
      <c r="S999" s="181"/>
      <c r="T999" s="181"/>
      <c r="U999" s="181"/>
      <c r="V999" s="181"/>
      <c r="W999" s="181"/>
      <c r="X999" s="181"/>
      <c r="Y999" s="181"/>
      <c r="Z999" s="181"/>
    </row>
    <row r="1000">
      <c r="A1000" s="194"/>
      <c r="B1000" s="195"/>
      <c r="C1000" s="181"/>
      <c r="D1000" s="194"/>
      <c r="E1000" s="194"/>
      <c r="F1000" s="181"/>
      <c r="G1000" s="181"/>
      <c r="H1000" s="181"/>
      <c r="I1000" s="181"/>
      <c r="J1000" s="181"/>
      <c r="K1000" s="181"/>
      <c r="L1000" s="181"/>
      <c r="M1000" s="181"/>
      <c r="N1000" s="181"/>
      <c r="O1000" s="181"/>
      <c r="P1000" s="181"/>
      <c r="Q1000" s="181"/>
      <c r="R1000" s="181"/>
      <c r="S1000" s="181"/>
      <c r="T1000" s="181"/>
      <c r="U1000" s="181"/>
      <c r="V1000" s="181"/>
      <c r="W1000" s="181"/>
      <c r="X1000" s="181"/>
      <c r="Y1000" s="181"/>
      <c r="Z1000" s="181"/>
    </row>
    <row r="1001">
      <c r="A1001" s="194"/>
      <c r="B1001" s="195"/>
      <c r="C1001" s="181"/>
      <c r="D1001" s="194"/>
      <c r="E1001" s="194"/>
      <c r="F1001" s="181"/>
      <c r="G1001" s="181"/>
      <c r="H1001" s="181"/>
      <c r="I1001" s="181"/>
      <c r="J1001" s="181"/>
      <c r="K1001" s="181"/>
      <c r="L1001" s="181"/>
      <c r="M1001" s="181"/>
      <c r="N1001" s="181"/>
      <c r="O1001" s="181"/>
      <c r="P1001" s="181"/>
      <c r="Q1001" s="181"/>
      <c r="R1001" s="181"/>
      <c r="S1001" s="181"/>
      <c r="T1001" s="181"/>
      <c r="U1001" s="181"/>
      <c r="V1001" s="181"/>
      <c r="W1001" s="181"/>
      <c r="X1001" s="181"/>
      <c r="Y1001" s="181"/>
      <c r="Z1001" s="181"/>
    </row>
    <row r="1002">
      <c r="A1002" s="194"/>
      <c r="B1002" s="195"/>
      <c r="C1002" s="181"/>
      <c r="D1002" s="194"/>
      <c r="E1002" s="194"/>
      <c r="F1002" s="181"/>
      <c r="G1002" s="181"/>
      <c r="H1002" s="181"/>
      <c r="I1002" s="181"/>
      <c r="J1002" s="181"/>
      <c r="K1002" s="181"/>
      <c r="L1002" s="181"/>
      <c r="M1002" s="181"/>
      <c r="N1002" s="181"/>
      <c r="O1002" s="181"/>
      <c r="P1002" s="181"/>
      <c r="Q1002" s="181"/>
      <c r="R1002" s="181"/>
      <c r="S1002" s="181"/>
      <c r="T1002" s="181"/>
      <c r="U1002" s="181"/>
      <c r="V1002" s="181"/>
      <c r="W1002" s="181"/>
      <c r="X1002" s="181"/>
      <c r="Y1002" s="181"/>
      <c r="Z1002" s="181"/>
    </row>
    <row r="1003">
      <c r="A1003" s="194"/>
      <c r="B1003" s="195"/>
      <c r="C1003" s="181"/>
      <c r="D1003" s="194"/>
      <c r="E1003" s="194"/>
      <c r="F1003" s="181"/>
      <c r="G1003" s="181"/>
      <c r="H1003" s="181"/>
      <c r="I1003" s="181"/>
      <c r="J1003" s="181"/>
      <c r="K1003" s="181"/>
      <c r="L1003" s="181"/>
      <c r="M1003" s="181"/>
      <c r="N1003" s="181"/>
      <c r="O1003" s="181"/>
      <c r="P1003" s="181"/>
      <c r="Q1003" s="181"/>
      <c r="R1003" s="181"/>
      <c r="S1003" s="181"/>
      <c r="T1003" s="181"/>
      <c r="U1003" s="181"/>
      <c r="V1003" s="181"/>
      <c r="W1003" s="181"/>
      <c r="X1003" s="181"/>
      <c r="Y1003" s="181"/>
      <c r="Z1003" s="181"/>
    </row>
    <row r="1004">
      <c r="A1004" s="194"/>
      <c r="B1004" s="195"/>
      <c r="C1004" s="181"/>
      <c r="D1004" s="194"/>
      <c r="E1004" s="194"/>
      <c r="F1004" s="181"/>
      <c r="G1004" s="181"/>
      <c r="H1004" s="181"/>
      <c r="I1004" s="181"/>
      <c r="J1004" s="181"/>
      <c r="K1004" s="181"/>
      <c r="L1004" s="181"/>
      <c r="M1004" s="181"/>
      <c r="N1004" s="181"/>
      <c r="O1004" s="181"/>
      <c r="P1004" s="181"/>
      <c r="Q1004" s="181"/>
      <c r="R1004" s="181"/>
      <c r="S1004" s="181"/>
      <c r="T1004" s="181"/>
      <c r="U1004" s="181"/>
      <c r="V1004" s="181"/>
      <c r="W1004" s="181"/>
      <c r="X1004" s="181"/>
      <c r="Y1004" s="181"/>
      <c r="Z1004" s="181"/>
    </row>
    <row r="1005">
      <c r="A1005" s="194"/>
      <c r="B1005" s="195"/>
      <c r="C1005" s="181"/>
      <c r="D1005" s="194"/>
      <c r="E1005" s="194"/>
      <c r="F1005" s="181"/>
      <c r="G1005" s="181"/>
      <c r="H1005" s="181"/>
      <c r="I1005" s="181"/>
      <c r="J1005" s="181"/>
      <c r="K1005" s="181"/>
      <c r="L1005" s="181"/>
      <c r="M1005" s="181"/>
      <c r="N1005" s="181"/>
      <c r="O1005" s="181"/>
      <c r="P1005" s="181"/>
      <c r="Q1005" s="181"/>
      <c r="R1005" s="181"/>
      <c r="S1005" s="181"/>
      <c r="T1005" s="181"/>
      <c r="U1005" s="181"/>
      <c r="V1005" s="181"/>
      <c r="W1005" s="181"/>
      <c r="X1005" s="181"/>
      <c r="Y1005" s="181"/>
      <c r="Z1005" s="181"/>
    </row>
    <row r="1006">
      <c r="A1006" s="194"/>
      <c r="B1006" s="195"/>
      <c r="C1006" s="181"/>
      <c r="D1006" s="194"/>
      <c r="E1006" s="194"/>
      <c r="F1006" s="181"/>
      <c r="G1006" s="181"/>
      <c r="H1006" s="181"/>
      <c r="I1006" s="181"/>
      <c r="J1006" s="181"/>
      <c r="K1006" s="181"/>
      <c r="L1006" s="181"/>
      <c r="M1006" s="181"/>
      <c r="N1006" s="181"/>
      <c r="O1006" s="181"/>
      <c r="P1006" s="181"/>
      <c r="Q1006" s="181"/>
      <c r="R1006" s="181"/>
      <c r="S1006" s="181"/>
      <c r="T1006" s="181"/>
      <c r="U1006" s="181"/>
      <c r="V1006" s="181"/>
      <c r="W1006" s="181"/>
      <c r="X1006" s="181"/>
      <c r="Y1006" s="181"/>
      <c r="Z1006" s="181"/>
    </row>
    <row r="1007">
      <c r="A1007" s="194"/>
      <c r="B1007" s="195"/>
      <c r="C1007" s="181"/>
      <c r="D1007" s="194"/>
      <c r="E1007" s="194"/>
      <c r="F1007" s="181"/>
      <c r="G1007" s="181"/>
      <c r="H1007" s="181"/>
      <c r="I1007" s="181"/>
      <c r="J1007" s="181"/>
      <c r="K1007" s="181"/>
      <c r="L1007" s="181"/>
      <c r="M1007" s="181"/>
      <c r="N1007" s="181"/>
      <c r="O1007" s="181"/>
      <c r="P1007" s="181"/>
      <c r="Q1007" s="181"/>
      <c r="R1007" s="181"/>
      <c r="S1007" s="181"/>
      <c r="T1007" s="181"/>
      <c r="U1007" s="181"/>
      <c r="V1007" s="181"/>
      <c r="W1007" s="181"/>
      <c r="X1007" s="181"/>
      <c r="Y1007" s="181"/>
      <c r="Z1007" s="181"/>
    </row>
    <row r="1008">
      <c r="A1008" s="194"/>
      <c r="B1008" s="195"/>
      <c r="C1008" s="181"/>
      <c r="D1008" s="194"/>
      <c r="E1008" s="194"/>
      <c r="F1008" s="181"/>
      <c r="G1008" s="181"/>
      <c r="H1008" s="181"/>
      <c r="I1008" s="181"/>
      <c r="J1008" s="181"/>
      <c r="K1008" s="181"/>
      <c r="L1008" s="181"/>
      <c r="M1008" s="181"/>
      <c r="N1008" s="181"/>
      <c r="O1008" s="181"/>
      <c r="P1008" s="181"/>
      <c r="Q1008" s="181"/>
      <c r="R1008" s="181"/>
      <c r="S1008" s="181"/>
      <c r="T1008" s="181"/>
      <c r="U1008" s="181"/>
      <c r="V1008" s="181"/>
      <c r="W1008" s="181"/>
      <c r="X1008" s="181"/>
      <c r="Y1008" s="181"/>
      <c r="Z1008" s="181"/>
    </row>
    <row r="1009">
      <c r="A1009" s="194"/>
      <c r="B1009" s="195"/>
      <c r="C1009" s="181"/>
      <c r="D1009" s="194"/>
      <c r="E1009" s="194"/>
      <c r="F1009" s="181"/>
      <c r="G1009" s="181"/>
      <c r="H1009" s="181"/>
      <c r="I1009" s="181"/>
      <c r="J1009" s="181"/>
      <c r="K1009" s="181"/>
      <c r="L1009" s="181"/>
      <c r="M1009" s="181"/>
      <c r="N1009" s="181"/>
      <c r="O1009" s="181"/>
      <c r="P1009" s="181"/>
      <c r="Q1009" s="181"/>
      <c r="R1009" s="181"/>
      <c r="S1009" s="181"/>
      <c r="T1009" s="181"/>
      <c r="U1009" s="181"/>
      <c r="V1009" s="181"/>
      <c r="W1009" s="181"/>
      <c r="X1009" s="181"/>
      <c r="Y1009" s="181"/>
      <c r="Z1009" s="181"/>
    </row>
    <row r="1010">
      <c r="A1010" s="194"/>
      <c r="B1010" s="195"/>
      <c r="C1010" s="181"/>
      <c r="D1010" s="194"/>
      <c r="E1010" s="194"/>
      <c r="F1010" s="181"/>
      <c r="G1010" s="181"/>
      <c r="H1010" s="181"/>
      <c r="I1010" s="181"/>
      <c r="J1010" s="181"/>
      <c r="K1010" s="181"/>
      <c r="L1010" s="181"/>
      <c r="M1010" s="181"/>
      <c r="N1010" s="181"/>
      <c r="O1010" s="181"/>
      <c r="P1010" s="181"/>
      <c r="Q1010" s="181"/>
      <c r="R1010" s="181"/>
      <c r="S1010" s="181"/>
      <c r="T1010" s="181"/>
      <c r="U1010" s="181"/>
      <c r="V1010" s="181"/>
      <c r="W1010" s="181"/>
      <c r="X1010" s="181"/>
      <c r="Y1010" s="181"/>
      <c r="Z1010" s="181"/>
    </row>
    <row r="1011">
      <c r="A1011" s="194"/>
      <c r="B1011" s="195"/>
      <c r="C1011" s="181"/>
      <c r="D1011" s="194"/>
      <c r="E1011" s="194"/>
      <c r="F1011" s="181"/>
      <c r="G1011" s="181"/>
      <c r="H1011" s="181"/>
      <c r="I1011" s="181"/>
      <c r="J1011" s="181"/>
      <c r="K1011" s="181"/>
      <c r="L1011" s="181"/>
      <c r="M1011" s="181"/>
      <c r="N1011" s="181"/>
      <c r="O1011" s="181"/>
      <c r="P1011" s="181"/>
      <c r="Q1011" s="181"/>
      <c r="R1011" s="181"/>
      <c r="S1011" s="181"/>
      <c r="T1011" s="181"/>
      <c r="U1011" s="181"/>
      <c r="V1011" s="181"/>
      <c r="W1011" s="181"/>
      <c r="X1011" s="181"/>
      <c r="Y1011" s="181"/>
      <c r="Z1011" s="181"/>
    </row>
    <row r="1012">
      <c r="A1012" s="194"/>
      <c r="B1012" s="195"/>
      <c r="C1012" s="181"/>
      <c r="D1012" s="194"/>
      <c r="E1012" s="194"/>
      <c r="F1012" s="181"/>
      <c r="G1012" s="181"/>
      <c r="H1012" s="181"/>
      <c r="I1012" s="181"/>
      <c r="J1012" s="181"/>
      <c r="K1012" s="181"/>
      <c r="L1012" s="181"/>
      <c r="M1012" s="181"/>
      <c r="N1012" s="181"/>
      <c r="O1012" s="181"/>
      <c r="P1012" s="181"/>
      <c r="Q1012" s="181"/>
      <c r="R1012" s="181"/>
      <c r="S1012" s="181"/>
      <c r="T1012" s="181"/>
      <c r="U1012" s="181"/>
      <c r="V1012" s="181"/>
      <c r="W1012" s="181"/>
      <c r="X1012" s="181"/>
      <c r="Y1012" s="181"/>
      <c r="Z1012" s="181"/>
    </row>
    <row r="1013">
      <c r="A1013" s="194"/>
      <c r="B1013" s="195"/>
      <c r="C1013" s="181"/>
      <c r="D1013" s="194"/>
      <c r="E1013" s="194"/>
      <c r="F1013" s="181"/>
      <c r="G1013" s="181"/>
      <c r="H1013" s="181"/>
      <c r="I1013" s="181"/>
      <c r="J1013" s="181"/>
      <c r="K1013" s="181"/>
      <c r="L1013" s="181"/>
      <c r="M1013" s="181"/>
      <c r="N1013" s="181"/>
      <c r="O1013" s="181"/>
      <c r="P1013" s="181"/>
      <c r="Q1013" s="181"/>
      <c r="R1013" s="181"/>
      <c r="S1013" s="181"/>
      <c r="T1013" s="181"/>
      <c r="U1013" s="181"/>
      <c r="V1013" s="181"/>
      <c r="W1013" s="181"/>
      <c r="X1013" s="181"/>
      <c r="Y1013" s="181"/>
      <c r="Z1013" s="181"/>
    </row>
    <row r="1014">
      <c r="A1014" s="194"/>
      <c r="B1014" s="195"/>
      <c r="C1014" s="181"/>
      <c r="D1014" s="194"/>
      <c r="E1014" s="194"/>
      <c r="F1014" s="181"/>
      <c r="G1014" s="181"/>
      <c r="H1014" s="181"/>
      <c r="I1014" s="181"/>
      <c r="J1014" s="181"/>
      <c r="K1014" s="181"/>
      <c r="L1014" s="181"/>
      <c r="M1014" s="181"/>
      <c r="N1014" s="181"/>
      <c r="O1014" s="181"/>
      <c r="P1014" s="181"/>
      <c r="Q1014" s="181"/>
      <c r="R1014" s="181"/>
      <c r="S1014" s="181"/>
      <c r="T1014" s="181"/>
      <c r="U1014" s="181"/>
      <c r="V1014" s="181"/>
      <c r="W1014" s="181"/>
      <c r="X1014" s="181"/>
      <c r="Y1014" s="181"/>
      <c r="Z1014" s="181"/>
    </row>
    <row r="1015">
      <c r="A1015" s="194"/>
      <c r="B1015" s="195"/>
      <c r="C1015" s="181"/>
      <c r="D1015" s="194"/>
      <c r="E1015" s="194"/>
      <c r="F1015" s="181"/>
      <c r="G1015" s="181"/>
      <c r="H1015" s="181"/>
      <c r="I1015" s="181"/>
      <c r="J1015" s="181"/>
      <c r="K1015" s="181"/>
      <c r="L1015" s="181"/>
      <c r="M1015" s="181"/>
      <c r="N1015" s="181"/>
      <c r="O1015" s="181"/>
      <c r="P1015" s="181"/>
      <c r="Q1015" s="181"/>
      <c r="R1015" s="181"/>
      <c r="S1015" s="181"/>
      <c r="T1015" s="181"/>
      <c r="U1015" s="181"/>
      <c r="V1015" s="181"/>
      <c r="W1015" s="181"/>
      <c r="X1015" s="181"/>
      <c r="Y1015" s="181"/>
      <c r="Z1015" s="181"/>
    </row>
    <row r="1016">
      <c r="A1016" s="194"/>
      <c r="B1016" s="195"/>
      <c r="C1016" s="181"/>
      <c r="D1016" s="194"/>
      <c r="E1016" s="194"/>
      <c r="F1016" s="181"/>
      <c r="G1016" s="181"/>
      <c r="H1016" s="181"/>
      <c r="I1016" s="181"/>
      <c r="J1016" s="181"/>
      <c r="K1016" s="181"/>
      <c r="L1016" s="181"/>
      <c r="M1016" s="181"/>
      <c r="N1016" s="181"/>
      <c r="O1016" s="181"/>
      <c r="P1016" s="181"/>
      <c r="Q1016" s="181"/>
      <c r="R1016" s="181"/>
      <c r="S1016" s="181"/>
      <c r="T1016" s="181"/>
      <c r="U1016" s="181"/>
      <c r="V1016" s="181"/>
      <c r="W1016" s="181"/>
      <c r="X1016" s="181"/>
      <c r="Y1016" s="181"/>
      <c r="Z1016" s="181"/>
    </row>
    <row r="1017">
      <c r="A1017" s="194"/>
      <c r="B1017" s="195"/>
      <c r="C1017" s="181"/>
      <c r="D1017" s="194"/>
      <c r="E1017" s="194"/>
      <c r="F1017" s="181"/>
      <c r="G1017" s="181"/>
      <c r="H1017" s="181"/>
      <c r="I1017" s="181"/>
      <c r="J1017" s="181"/>
      <c r="K1017" s="181"/>
      <c r="L1017" s="181"/>
      <c r="M1017" s="181"/>
      <c r="N1017" s="181"/>
      <c r="O1017" s="181"/>
      <c r="P1017" s="181"/>
      <c r="Q1017" s="181"/>
      <c r="R1017" s="181"/>
      <c r="S1017" s="181"/>
      <c r="T1017" s="181"/>
      <c r="U1017" s="181"/>
      <c r="V1017" s="181"/>
      <c r="W1017" s="181"/>
      <c r="X1017" s="181"/>
      <c r="Y1017" s="181"/>
      <c r="Z1017" s="181"/>
    </row>
    <row r="1018">
      <c r="A1018" s="194"/>
      <c r="B1018" s="195"/>
      <c r="C1018" s="181"/>
      <c r="D1018" s="194"/>
      <c r="E1018" s="194"/>
      <c r="F1018" s="181"/>
      <c r="G1018" s="181"/>
      <c r="H1018" s="181"/>
      <c r="I1018" s="181"/>
      <c r="J1018" s="181"/>
      <c r="K1018" s="181"/>
      <c r="L1018" s="181"/>
      <c r="M1018" s="181"/>
      <c r="N1018" s="181"/>
      <c r="O1018" s="181"/>
      <c r="P1018" s="181"/>
      <c r="Q1018" s="181"/>
      <c r="R1018" s="181"/>
      <c r="S1018" s="181"/>
      <c r="T1018" s="181"/>
      <c r="U1018" s="181"/>
      <c r="V1018" s="181"/>
      <c r="W1018" s="181"/>
      <c r="X1018" s="181"/>
      <c r="Y1018" s="181"/>
      <c r="Z1018" s="181"/>
    </row>
    <row r="1019">
      <c r="A1019" s="194"/>
      <c r="B1019" s="195"/>
      <c r="C1019" s="181"/>
      <c r="D1019" s="194"/>
      <c r="E1019" s="194"/>
      <c r="F1019" s="181"/>
      <c r="G1019" s="181"/>
      <c r="H1019" s="181"/>
      <c r="I1019" s="181"/>
      <c r="J1019" s="181"/>
      <c r="K1019" s="181"/>
      <c r="L1019" s="181"/>
      <c r="M1019" s="181"/>
      <c r="N1019" s="181"/>
      <c r="O1019" s="181"/>
      <c r="P1019" s="181"/>
      <c r="Q1019" s="181"/>
      <c r="R1019" s="181"/>
      <c r="S1019" s="181"/>
      <c r="T1019" s="181"/>
      <c r="U1019" s="181"/>
      <c r="V1019" s="181"/>
      <c r="W1019" s="181"/>
      <c r="X1019" s="181"/>
      <c r="Y1019" s="181"/>
      <c r="Z1019" s="181"/>
    </row>
    <row r="1020">
      <c r="A1020" s="194"/>
      <c r="B1020" s="195"/>
      <c r="C1020" s="181"/>
      <c r="D1020" s="194"/>
      <c r="E1020" s="194"/>
      <c r="F1020" s="181"/>
      <c r="G1020" s="181"/>
      <c r="H1020" s="181"/>
      <c r="I1020" s="181"/>
      <c r="J1020" s="181"/>
      <c r="K1020" s="181"/>
      <c r="L1020" s="181"/>
      <c r="M1020" s="181"/>
      <c r="N1020" s="181"/>
      <c r="O1020" s="181"/>
      <c r="P1020" s="181"/>
      <c r="Q1020" s="181"/>
      <c r="R1020" s="181"/>
      <c r="S1020" s="181"/>
      <c r="T1020" s="181"/>
      <c r="U1020" s="181"/>
      <c r="V1020" s="181"/>
      <c r="W1020" s="181"/>
      <c r="X1020" s="181"/>
      <c r="Y1020" s="181"/>
      <c r="Z1020" s="181"/>
    </row>
    <row r="1021">
      <c r="A1021" s="194"/>
      <c r="B1021" s="195"/>
      <c r="C1021" s="181"/>
      <c r="D1021" s="194"/>
      <c r="E1021" s="194"/>
      <c r="F1021" s="181"/>
      <c r="G1021" s="181"/>
      <c r="H1021" s="181"/>
      <c r="I1021" s="181"/>
      <c r="J1021" s="181"/>
      <c r="K1021" s="181"/>
      <c r="L1021" s="181"/>
      <c r="M1021" s="181"/>
      <c r="N1021" s="181"/>
      <c r="O1021" s="181"/>
      <c r="P1021" s="181"/>
      <c r="Q1021" s="181"/>
      <c r="R1021" s="181"/>
      <c r="S1021" s="181"/>
      <c r="T1021" s="181"/>
      <c r="U1021" s="181"/>
      <c r="V1021" s="181"/>
      <c r="W1021" s="181"/>
      <c r="X1021" s="181"/>
      <c r="Y1021" s="181"/>
      <c r="Z1021" s="181"/>
    </row>
    <row r="1022">
      <c r="A1022" s="194"/>
      <c r="B1022" s="195"/>
      <c r="C1022" s="181"/>
      <c r="D1022" s="194"/>
      <c r="E1022" s="194"/>
      <c r="F1022" s="181"/>
      <c r="G1022" s="181"/>
      <c r="H1022" s="181"/>
      <c r="I1022" s="181"/>
      <c r="J1022" s="181"/>
      <c r="K1022" s="181"/>
      <c r="L1022" s="181"/>
      <c r="M1022" s="181"/>
      <c r="N1022" s="181"/>
      <c r="O1022" s="181"/>
      <c r="P1022" s="181"/>
      <c r="Q1022" s="181"/>
      <c r="R1022" s="181"/>
      <c r="S1022" s="181"/>
      <c r="T1022" s="181"/>
      <c r="U1022" s="181"/>
      <c r="V1022" s="181"/>
      <c r="W1022" s="181"/>
      <c r="X1022" s="181"/>
      <c r="Y1022" s="181"/>
      <c r="Z1022" s="181"/>
    </row>
    <row r="1023">
      <c r="A1023" s="194"/>
      <c r="B1023" s="195"/>
      <c r="C1023" s="181"/>
      <c r="D1023" s="194"/>
      <c r="E1023" s="194"/>
      <c r="F1023" s="181"/>
      <c r="G1023" s="181"/>
      <c r="H1023" s="181"/>
      <c r="I1023" s="181"/>
      <c r="J1023" s="181"/>
      <c r="K1023" s="181"/>
      <c r="L1023" s="181"/>
      <c r="M1023" s="181"/>
      <c r="N1023" s="181"/>
      <c r="O1023" s="181"/>
      <c r="P1023" s="181"/>
      <c r="Q1023" s="181"/>
      <c r="R1023" s="181"/>
      <c r="S1023" s="181"/>
      <c r="T1023" s="181"/>
      <c r="U1023" s="181"/>
      <c r="V1023" s="181"/>
      <c r="W1023" s="181"/>
      <c r="X1023" s="181"/>
      <c r="Y1023" s="181"/>
      <c r="Z1023" s="181"/>
    </row>
    <row r="1024">
      <c r="A1024" s="194"/>
      <c r="B1024" s="195"/>
      <c r="C1024" s="181"/>
      <c r="D1024" s="194"/>
      <c r="E1024" s="194"/>
      <c r="F1024" s="181"/>
      <c r="G1024" s="181"/>
      <c r="H1024" s="181"/>
      <c r="I1024" s="181"/>
      <c r="J1024" s="181"/>
      <c r="K1024" s="181"/>
      <c r="L1024" s="181"/>
      <c r="M1024" s="181"/>
      <c r="N1024" s="181"/>
      <c r="O1024" s="181"/>
      <c r="P1024" s="181"/>
      <c r="Q1024" s="181"/>
      <c r="R1024" s="181"/>
      <c r="S1024" s="181"/>
      <c r="T1024" s="181"/>
      <c r="U1024" s="181"/>
      <c r="V1024" s="181"/>
      <c r="W1024" s="181"/>
      <c r="X1024" s="181"/>
      <c r="Y1024" s="181"/>
      <c r="Z1024" s="181"/>
    </row>
    <row r="1025">
      <c r="A1025" s="194"/>
      <c r="B1025" s="195"/>
      <c r="C1025" s="181"/>
      <c r="D1025" s="194"/>
      <c r="E1025" s="194"/>
      <c r="F1025" s="181"/>
      <c r="G1025" s="181"/>
      <c r="H1025" s="181"/>
      <c r="I1025" s="181"/>
      <c r="J1025" s="181"/>
      <c r="K1025" s="181"/>
      <c r="L1025" s="181"/>
      <c r="M1025" s="181"/>
      <c r="N1025" s="181"/>
      <c r="O1025" s="181"/>
      <c r="P1025" s="181"/>
      <c r="Q1025" s="181"/>
      <c r="R1025" s="181"/>
      <c r="S1025" s="181"/>
      <c r="T1025" s="181"/>
      <c r="U1025" s="181"/>
      <c r="V1025" s="181"/>
      <c r="W1025" s="181"/>
      <c r="X1025" s="181"/>
      <c r="Y1025" s="181"/>
      <c r="Z1025" s="181"/>
    </row>
    <row r="1026">
      <c r="A1026" s="194"/>
      <c r="B1026" s="195"/>
      <c r="C1026" s="181"/>
      <c r="D1026" s="194"/>
      <c r="E1026" s="194"/>
      <c r="F1026" s="181"/>
      <c r="G1026" s="181"/>
      <c r="H1026" s="181"/>
      <c r="I1026" s="181"/>
      <c r="J1026" s="181"/>
      <c r="K1026" s="181"/>
      <c r="L1026" s="181"/>
      <c r="M1026" s="181"/>
      <c r="N1026" s="181"/>
      <c r="O1026" s="181"/>
      <c r="P1026" s="181"/>
      <c r="Q1026" s="181"/>
      <c r="R1026" s="181"/>
      <c r="S1026" s="181"/>
      <c r="T1026" s="181"/>
      <c r="U1026" s="181"/>
      <c r="V1026" s="181"/>
      <c r="W1026" s="181"/>
      <c r="X1026" s="181"/>
      <c r="Y1026" s="181"/>
      <c r="Z1026" s="181"/>
    </row>
    <row r="1027">
      <c r="A1027" s="194"/>
      <c r="B1027" s="195"/>
      <c r="C1027" s="181"/>
      <c r="D1027" s="194"/>
      <c r="E1027" s="194"/>
      <c r="F1027" s="181"/>
      <c r="G1027" s="181"/>
      <c r="H1027" s="181"/>
      <c r="I1027" s="181"/>
      <c r="J1027" s="181"/>
      <c r="K1027" s="181"/>
      <c r="L1027" s="181"/>
      <c r="M1027" s="181"/>
      <c r="N1027" s="181"/>
      <c r="O1027" s="181"/>
      <c r="P1027" s="181"/>
      <c r="Q1027" s="181"/>
      <c r="R1027" s="181"/>
      <c r="S1027" s="181"/>
      <c r="T1027" s="181"/>
      <c r="U1027" s="181"/>
      <c r="V1027" s="181"/>
      <c r="W1027" s="181"/>
      <c r="X1027" s="181"/>
      <c r="Y1027" s="181"/>
      <c r="Z1027" s="181"/>
    </row>
    <row r="1028">
      <c r="A1028" s="194"/>
      <c r="B1028" s="195"/>
      <c r="C1028" s="181"/>
      <c r="D1028" s="194"/>
      <c r="E1028" s="194"/>
      <c r="F1028" s="181"/>
      <c r="G1028" s="181"/>
      <c r="H1028" s="181"/>
      <c r="I1028" s="181"/>
      <c r="J1028" s="181"/>
      <c r="K1028" s="181"/>
      <c r="L1028" s="181"/>
      <c r="M1028" s="181"/>
      <c r="N1028" s="181"/>
      <c r="O1028" s="181"/>
      <c r="P1028" s="181"/>
      <c r="Q1028" s="181"/>
      <c r="R1028" s="181"/>
      <c r="S1028" s="181"/>
      <c r="T1028" s="181"/>
      <c r="U1028" s="181"/>
      <c r="V1028" s="181"/>
      <c r="W1028" s="181"/>
      <c r="X1028" s="181"/>
      <c r="Y1028" s="181"/>
      <c r="Z1028" s="181"/>
    </row>
    <row r="1029">
      <c r="A1029" s="194"/>
      <c r="B1029" s="195"/>
      <c r="C1029" s="181"/>
      <c r="D1029" s="194"/>
      <c r="E1029" s="194"/>
      <c r="F1029" s="181"/>
      <c r="G1029" s="181"/>
      <c r="H1029" s="181"/>
      <c r="I1029" s="181"/>
      <c r="J1029" s="181"/>
      <c r="K1029" s="181"/>
      <c r="L1029" s="181"/>
      <c r="M1029" s="181"/>
      <c r="N1029" s="181"/>
      <c r="O1029" s="181"/>
      <c r="P1029" s="181"/>
      <c r="Q1029" s="181"/>
      <c r="R1029" s="181"/>
      <c r="S1029" s="181"/>
      <c r="T1029" s="181"/>
      <c r="U1029" s="181"/>
      <c r="V1029" s="181"/>
      <c r="W1029" s="181"/>
      <c r="X1029" s="181"/>
      <c r="Y1029" s="181"/>
      <c r="Z1029" s="181"/>
    </row>
    <row r="1030">
      <c r="A1030" s="194"/>
      <c r="B1030" s="195"/>
      <c r="C1030" s="181"/>
      <c r="D1030" s="194"/>
      <c r="E1030" s="194"/>
      <c r="F1030" s="181"/>
      <c r="G1030" s="181"/>
      <c r="H1030" s="181"/>
      <c r="I1030" s="181"/>
      <c r="J1030" s="181"/>
      <c r="K1030" s="181"/>
      <c r="L1030" s="181"/>
      <c r="M1030" s="181"/>
      <c r="N1030" s="181"/>
      <c r="O1030" s="181"/>
      <c r="P1030" s="181"/>
      <c r="Q1030" s="181"/>
      <c r="R1030" s="181"/>
      <c r="S1030" s="181"/>
      <c r="T1030" s="181"/>
      <c r="U1030" s="181"/>
      <c r="V1030" s="181"/>
      <c r="W1030" s="181"/>
      <c r="X1030" s="181"/>
      <c r="Y1030" s="181"/>
      <c r="Z1030" s="181"/>
    </row>
    <row r="1031">
      <c r="A1031" s="194"/>
      <c r="B1031" s="195"/>
      <c r="C1031" s="181"/>
      <c r="D1031" s="194"/>
      <c r="E1031" s="194"/>
      <c r="F1031" s="181"/>
      <c r="G1031" s="181"/>
      <c r="H1031" s="181"/>
      <c r="I1031" s="181"/>
      <c r="J1031" s="181"/>
      <c r="K1031" s="181"/>
      <c r="L1031" s="181"/>
      <c r="M1031" s="181"/>
      <c r="N1031" s="181"/>
      <c r="O1031" s="181"/>
      <c r="P1031" s="181"/>
      <c r="Q1031" s="181"/>
      <c r="R1031" s="181"/>
      <c r="S1031" s="181"/>
      <c r="T1031" s="181"/>
      <c r="U1031" s="181"/>
      <c r="V1031" s="181"/>
      <c r="W1031" s="181"/>
      <c r="X1031" s="181"/>
      <c r="Y1031" s="181"/>
      <c r="Z1031" s="181"/>
    </row>
    <row r="1032">
      <c r="A1032" s="194"/>
      <c r="B1032" s="195"/>
      <c r="C1032" s="181"/>
      <c r="D1032" s="194"/>
      <c r="E1032" s="194"/>
      <c r="F1032" s="181"/>
      <c r="G1032" s="181"/>
      <c r="H1032" s="181"/>
      <c r="I1032" s="181"/>
      <c r="J1032" s="181"/>
      <c r="K1032" s="181"/>
      <c r="L1032" s="181"/>
      <c r="M1032" s="181"/>
      <c r="N1032" s="181"/>
      <c r="O1032" s="181"/>
      <c r="P1032" s="181"/>
      <c r="Q1032" s="181"/>
      <c r="R1032" s="181"/>
      <c r="S1032" s="181"/>
      <c r="T1032" s="181"/>
      <c r="U1032" s="181"/>
      <c r="V1032" s="181"/>
      <c r="W1032" s="181"/>
      <c r="X1032" s="181"/>
      <c r="Y1032" s="181"/>
      <c r="Z1032" s="181"/>
    </row>
    <row r="1033">
      <c r="A1033" s="194"/>
      <c r="B1033" s="195"/>
      <c r="C1033" s="181"/>
      <c r="D1033" s="194"/>
      <c r="E1033" s="194"/>
      <c r="F1033" s="181"/>
      <c r="G1033" s="181"/>
      <c r="H1033" s="181"/>
      <c r="I1033" s="181"/>
      <c r="J1033" s="181"/>
      <c r="K1033" s="181"/>
      <c r="L1033" s="181"/>
      <c r="M1033" s="181"/>
      <c r="N1033" s="181"/>
      <c r="O1033" s="181"/>
      <c r="P1033" s="181"/>
      <c r="Q1033" s="181"/>
      <c r="R1033" s="181"/>
      <c r="S1033" s="181"/>
      <c r="T1033" s="181"/>
      <c r="U1033" s="181"/>
      <c r="V1033" s="181"/>
      <c r="W1033" s="181"/>
      <c r="X1033" s="181"/>
      <c r="Y1033" s="181"/>
      <c r="Z1033" s="181"/>
    </row>
    <row r="1034">
      <c r="A1034" s="194"/>
      <c r="B1034" s="195"/>
      <c r="C1034" s="181"/>
      <c r="D1034" s="194"/>
      <c r="E1034" s="194"/>
      <c r="F1034" s="181"/>
      <c r="G1034" s="181"/>
      <c r="H1034" s="181"/>
      <c r="I1034" s="181"/>
      <c r="J1034" s="181"/>
      <c r="K1034" s="181"/>
      <c r="L1034" s="181"/>
      <c r="M1034" s="181"/>
      <c r="N1034" s="181"/>
      <c r="O1034" s="181"/>
      <c r="P1034" s="181"/>
      <c r="Q1034" s="181"/>
      <c r="R1034" s="181"/>
      <c r="S1034" s="181"/>
      <c r="T1034" s="181"/>
      <c r="U1034" s="181"/>
      <c r="V1034" s="181"/>
      <c r="W1034" s="181"/>
      <c r="X1034" s="181"/>
      <c r="Y1034" s="181"/>
      <c r="Z1034" s="181"/>
    </row>
    <row r="1035">
      <c r="A1035" s="194"/>
      <c r="B1035" s="195"/>
      <c r="C1035" s="181"/>
      <c r="D1035" s="194"/>
      <c r="E1035" s="194"/>
      <c r="F1035" s="181"/>
      <c r="G1035" s="181"/>
      <c r="H1035" s="181"/>
      <c r="I1035" s="181"/>
      <c r="J1035" s="181"/>
      <c r="K1035" s="181"/>
      <c r="L1035" s="181"/>
      <c r="M1035" s="181"/>
      <c r="N1035" s="181"/>
      <c r="O1035" s="181"/>
      <c r="P1035" s="181"/>
      <c r="Q1035" s="181"/>
      <c r="R1035" s="181"/>
      <c r="S1035" s="181"/>
      <c r="T1035" s="181"/>
      <c r="U1035" s="181"/>
      <c r="V1035" s="181"/>
      <c r="W1035" s="181"/>
      <c r="X1035" s="181"/>
      <c r="Y1035" s="181"/>
      <c r="Z1035" s="181"/>
    </row>
    <row r="1036">
      <c r="A1036" s="194"/>
      <c r="B1036" s="195"/>
      <c r="C1036" s="181"/>
      <c r="D1036" s="194"/>
      <c r="E1036" s="194"/>
      <c r="F1036" s="181"/>
      <c r="G1036" s="181"/>
      <c r="H1036" s="181"/>
      <c r="I1036" s="181"/>
      <c r="J1036" s="181"/>
      <c r="K1036" s="181"/>
      <c r="L1036" s="181"/>
      <c r="M1036" s="181"/>
      <c r="N1036" s="181"/>
      <c r="O1036" s="181"/>
      <c r="P1036" s="181"/>
      <c r="Q1036" s="181"/>
      <c r="R1036" s="181"/>
      <c r="S1036" s="181"/>
      <c r="T1036" s="181"/>
      <c r="U1036" s="181"/>
      <c r="V1036" s="181"/>
      <c r="W1036" s="181"/>
      <c r="X1036" s="181"/>
      <c r="Y1036" s="181"/>
      <c r="Z1036" s="181"/>
    </row>
    <row r="1037">
      <c r="A1037" s="194"/>
      <c r="B1037" s="195"/>
      <c r="C1037" s="181"/>
      <c r="D1037" s="194"/>
      <c r="E1037" s="194"/>
      <c r="F1037" s="181"/>
      <c r="G1037" s="181"/>
      <c r="H1037" s="181"/>
      <c r="I1037" s="181"/>
      <c r="J1037" s="181"/>
      <c r="K1037" s="181"/>
      <c r="L1037" s="181"/>
      <c r="M1037" s="181"/>
      <c r="N1037" s="181"/>
      <c r="O1037" s="181"/>
      <c r="P1037" s="181"/>
      <c r="Q1037" s="181"/>
      <c r="R1037" s="181"/>
      <c r="S1037" s="181"/>
      <c r="T1037" s="181"/>
      <c r="U1037" s="181"/>
      <c r="V1037" s="181"/>
      <c r="W1037" s="181"/>
      <c r="X1037" s="181"/>
      <c r="Y1037" s="181"/>
      <c r="Z1037" s="181"/>
    </row>
    <row r="1038">
      <c r="A1038" s="194"/>
      <c r="B1038" s="195"/>
      <c r="C1038" s="181"/>
      <c r="D1038" s="194"/>
      <c r="E1038" s="194"/>
      <c r="F1038" s="181"/>
      <c r="G1038" s="181"/>
      <c r="H1038" s="181"/>
      <c r="I1038" s="181"/>
      <c r="J1038" s="181"/>
      <c r="K1038" s="181"/>
      <c r="L1038" s="181"/>
      <c r="M1038" s="181"/>
      <c r="N1038" s="181"/>
      <c r="O1038" s="181"/>
      <c r="P1038" s="181"/>
      <c r="Q1038" s="181"/>
      <c r="R1038" s="181"/>
      <c r="S1038" s="181"/>
      <c r="T1038" s="181"/>
      <c r="U1038" s="181"/>
      <c r="V1038" s="181"/>
      <c r="W1038" s="181"/>
      <c r="X1038" s="181"/>
      <c r="Y1038" s="181"/>
      <c r="Z1038" s="181"/>
    </row>
    <row r="1039">
      <c r="A1039" s="194"/>
      <c r="B1039" s="195"/>
      <c r="C1039" s="181"/>
      <c r="D1039" s="194"/>
      <c r="E1039" s="194"/>
      <c r="F1039" s="181"/>
      <c r="G1039" s="181"/>
      <c r="H1039" s="181"/>
      <c r="I1039" s="181"/>
      <c r="J1039" s="181"/>
      <c r="K1039" s="181"/>
      <c r="L1039" s="181"/>
      <c r="M1039" s="181"/>
      <c r="N1039" s="181"/>
      <c r="O1039" s="181"/>
      <c r="P1039" s="181"/>
      <c r="Q1039" s="181"/>
      <c r="R1039" s="181"/>
      <c r="S1039" s="181"/>
      <c r="T1039" s="181"/>
      <c r="U1039" s="181"/>
      <c r="V1039" s="181"/>
      <c r="W1039" s="181"/>
      <c r="X1039" s="181"/>
      <c r="Y1039" s="181"/>
      <c r="Z1039" s="181"/>
    </row>
    <row r="1040">
      <c r="A1040" s="194"/>
      <c r="B1040" s="195"/>
      <c r="C1040" s="181"/>
      <c r="D1040" s="194"/>
      <c r="E1040" s="194"/>
      <c r="F1040" s="181"/>
      <c r="G1040" s="181"/>
      <c r="H1040" s="181"/>
      <c r="I1040" s="181"/>
      <c r="J1040" s="181"/>
      <c r="K1040" s="181"/>
      <c r="L1040" s="181"/>
      <c r="M1040" s="181"/>
      <c r="N1040" s="181"/>
      <c r="O1040" s="181"/>
      <c r="P1040" s="181"/>
      <c r="Q1040" s="181"/>
      <c r="R1040" s="181"/>
      <c r="S1040" s="181"/>
      <c r="T1040" s="181"/>
      <c r="U1040" s="181"/>
      <c r="V1040" s="181"/>
      <c r="W1040" s="181"/>
      <c r="X1040" s="181"/>
      <c r="Y1040" s="181"/>
      <c r="Z1040" s="181"/>
    </row>
    <row r="1041">
      <c r="A1041" s="194"/>
      <c r="B1041" s="195"/>
      <c r="C1041" s="181"/>
      <c r="D1041" s="194"/>
      <c r="E1041" s="194"/>
      <c r="F1041" s="181"/>
      <c r="G1041" s="181"/>
      <c r="H1041" s="181"/>
      <c r="I1041" s="181"/>
      <c r="J1041" s="181"/>
      <c r="K1041" s="181"/>
      <c r="L1041" s="181"/>
      <c r="M1041" s="181"/>
      <c r="N1041" s="181"/>
      <c r="O1041" s="181"/>
      <c r="P1041" s="181"/>
      <c r="Q1041" s="181"/>
      <c r="R1041" s="181"/>
      <c r="S1041" s="181"/>
      <c r="T1041" s="181"/>
      <c r="U1041" s="181"/>
      <c r="V1041" s="181"/>
      <c r="W1041" s="181"/>
      <c r="X1041" s="181"/>
      <c r="Y1041" s="181"/>
      <c r="Z1041" s="181"/>
    </row>
    <row r="1042">
      <c r="A1042" s="194"/>
      <c r="B1042" s="195"/>
      <c r="C1042" s="181"/>
      <c r="D1042" s="194"/>
      <c r="E1042" s="194"/>
      <c r="F1042" s="181"/>
      <c r="G1042" s="181"/>
      <c r="H1042" s="181"/>
      <c r="I1042" s="181"/>
      <c r="J1042" s="181"/>
      <c r="K1042" s="181"/>
      <c r="L1042" s="181"/>
      <c r="M1042" s="181"/>
      <c r="N1042" s="181"/>
      <c r="O1042" s="181"/>
      <c r="P1042" s="181"/>
      <c r="Q1042" s="181"/>
      <c r="R1042" s="181"/>
      <c r="S1042" s="181"/>
      <c r="T1042" s="181"/>
      <c r="U1042" s="181"/>
      <c r="V1042" s="181"/>
      <c r="W1042" s="181"/>
      <c r="X1042" s="181"/>
      <c r="Y1042" s="181"/>
      <c r="Z1042" s="181"/>
    </row>
    <row r="1043">
      <c r="A1043" s="194"/>
      <c r="B1043" s="195"/>
      <c r="C1043" s="181"/>
      <c r="D1043" s="194"/>
      <c r="E1043" s="194"/>
      <c r="F1043" s="181"/>
      <c r="G1043" s="181"/>
      <c r="H1043" s="181"/>
      <c r="I1043" s="181"/>
      <c r="J1043" s="181"/>
      <c r="K1043" s="181"/>
      <c r="L1043" s="181"/>
      <c r="M1043" s="181"/>
      <c r="N1043" s="181"/>
      <c r="O1043" s="181"/>
      <c r="P1043" s="181"/>
      <c r="Q1043" s="181"/>
      <c r="R1043" s="181"/>
      <c r="S1043" s="181"/>
      <c r="T1043" s="181"/>
      <c r="U1043" s="181"/>
      <c r="V1043" s="181"/>
      <c r="W1043" s="181"/>
      <c r="X1043" s="181"/>
      <c r="Y1043" s="181"/>
      <c r="Z1043" s="181"/>
    </row>
    <row r="1044">
      <c r="A1044" s="194"/>
      <c r="B1044" s="195"/>
      <c r="C1044" s="181"/>
      <c r="D1044" s="194"/>
      <c r="E1044" s="194"/>
      <c r="F1044" s="181"/>
      <c r="G1044" s="181"/>
      <c r="H1044" s="181"/>
      <c r="I1044" s="181"/>
      <c r="J1044" s="181"/>
      <c r="K1044" s="181"/>
      <c r="L1044" s="181"/>
      <c r="M1044" s="181"/>
      <c r="N1044" s="181"/>
      <c r="O1044" s="181"/>
      <c r="P1044" s="181"/>
      <c r="Q1044" s="181"/>
      <c r="R1044" s="181"/>
      <c r="S1044" s="181"/>
      <c r="T1044" s="181"/>
      <c r="U1044" s="181"/>
      <c r="V1044" s="181"/>
      <c r="W1044" s="181"/>
      <c r="X1044" s="181"/>
      <c r="Y1044" s="181"/>
      <c r="Z1044" s="181"/>
    </row>
    <row r="1045">
      <c r="A1045" s="194"/>
      <c r="B1045" s="195"/>
      <c r="C1045" s="181"/>
      <c r="D1045" s="194"/>
      <c r="E1045" s="194"/>
      <c r="F1045" s="181"/>
      <c r="G1045" s="181"/>
      <c r="H1045" s="181"/>
      <c r="I1045" s="181"/>
      <c r="J1045" s="181"/>
      <c r="K1045" s="181"/>
      <c r="L1045" s="181"/>
      <c r="M1045" s="181"/>
      <c r="N1045" s="181"/>
      <c r="O1045" s="181"/>
      <c r="P1045" s="181"/>
      <c r="Q1045" s="181"/>
      <c r="R1045" s="181"/>
      <c r="S1045" s="181"/>
      <c r="T1045" s="181"/>
      <c r="U1045" s="181"/>
      <c r="V1045" s="181"/>
      <c r="W1045" s="181"/>
      <c r="X1045" s="181"/>
      <c r="Y1045" s="181"/>
      <c r="Z1045" s="181"/>
    </row>
    <row r="1046">
      <c r="A1046" s="194"/>
      <c r="B1046" s="195"/>
      <c r="C1046" s="181"/>
      <c r="D1046" s="194"/>
      <c r="E1046" s="194"/>
      <c r="F1046" s="181"/>
      <c r="G1046" s="181"/>
      <c r="H1046" s="181"/>
      <c r="I1046" s="181"/>
      <c r="J1046" s="181"/>
      <c r="K1046" s="181"/>
      <c r="L1046" s="181"/>
      <c r="M1046" s="181"/>
      <c r="N1046" s="181"/>
      <c r="O1046" s="181"/>
      <c r="P1046" s="181"/>
      <c r="Q1046" s="181"/>
      <c r="R1046" s="181"/>
      <c r="S1046" s="181"/>
      <c r="T1046" s="181"/>
      <c r="U1046" s="181"/>
      <c r="V1046" s="181"/>
      <c r="W1046" s="181"/>
      <c r="X1046" s="181"/>
      <c r="Y1046" s="181"/>
      <c r="Z1046" s="181"/>
    </row>
    <row r="1047">
      <c r="A1047" s="194"/>
      <c r="B1047" s="195"/>
      <c r="C1047" s="181"/>
      <c r="D1047" s="194"/>
      <c r="E1047" s="194"/>
      <c r="F1047" s="181"/>
      <c r="G1047" s="181"/>
      <c r="H1047" s="181"/>
      <c r="I1047" s="181"/>
      <c r="J1047" s="181"/>
      <c r="K1047" s="181"/>
      <c r="L1047" s="181"/>
      <c r="M1047" s="181"/>
      <c r="N1047" s="181"/>
      <c r="O1047" s="181"/>
      <c r="P1047" s="181"/>
      <c r="Q1047" s="181"/>
      <c r="R1047" s="181"/>
      <c r="S1047" s="181"/>
      <c r="T1047" s="181"/>
      <c r="U1047" s="181"/>
      <c r="V1047" s="181"/>
      <c r="W1047" s="181"/>
      <c r="X1047" s="181"/>
      <c r="Y1047" s="181"/>
      <c r="Z1047" s="181"/>
    </row>
    <row r="1048">
      <c r="A1048" s="194"/>
      <c r="B1048" s="195"/>
      <c r="C1048" s="181"/>
      <c r="D1048" s="194"/>
      <c r="E1048" s="194"/>
      <c r="F1048" s="181"/>
      <c r="G1048" s="181"/>
      <c r="H1048" s="181"/>
      <c r="I1048" s="181"/>
      <c r="J1048" s="181"/>
      <c r="K1048" s="181"/>
      <c r="L1048" s="181"/>
      <c r="M1048" s="181"/>
      <c r="N1048" s="181"/>
      <c r="O1048" s="181"/>
      <c r="P1048" s="181"/>
      <c r="Q1048" s="181"/>
      <c r="R1048" s="181"/>
      <c r="S1048" s="181"/>
      <c r="T1048" s="181"/>
      <c r="U1048" s="181"/>
      <c r="V1048" s="181"/>
      <c r="W1048" s="181"/>
      <c r="X1048" s="181"/>
      <c r="Y1048" s="181"/>
      <c r="Z1048" s="181"/>
    </row>
    <row r="1049">
      <c r="A1049" s="194"/>
      <c r="B1049" s="195"/>
      <c r="C1049" s="181"/>
      <c r="D1049" s="194"/>
      <c r="E1049" s="194"/>
      <c r="F1049" s="181"/>
      <c r="G1049" s="181"/>
      <c r="H1049" s="181"/>
      <c r="I1049" s="181"/>
      <c r="J1049" s="181"/>
      <c r="K1049" s="181"/>
      <c r="L1049" s="181"/>
      <c r="M1049" s="181"/>
      <c r="N1049" s="181"/>
      <c r="O1049" s="181"/>
      <c r="P1049" s="181"/>
      <c r="Q1049" s="181"/>
      <c r="R1049" s="181"/>
      <c r="S1049" s="181"/>
      <c r="T1049" s="181"/>
      <c r="U1049" s="181"/>
      <c r="V1049" s="181"/>
      <c r="W1049" s="181"/>
      <c r="X1049" s="181"/>
      <c r="Y1049" s="181"/>
      <c r="Z1049" s="181"/>
    </row>
    <row r="1050">
      <c r="A1050" s="194"/>
      <c r="B1050" s="195"/>
      <c r="C1050" s="181"/>
      <c r="D1050" s="194"/>
      <c r="E1050" s="194"/>
      <c r="F1050" s="181"/>
      <c r="G1050" s="181"/>
      <c r="H1050" s="181"/>
      <c r="I1050" s="181"/>
      <c r="J1050" s="181"/>
      <c r="K1050" s="181"/>
      <c r="L1050" s="181"/>
      <c r="M1050" s="181"/>
      <c r="N1050" s="181"/>
      <c r="O1050" s="181"/>
      <c r="P1050" s="181"/>
      <c r="Q1050" s="181"/>
      <c r="R1050" s="181"/>
      <c r="S1050" s="181"/>
      <c r="T1050" s="181"/>
      <c r="U1050" s="181"/>
      <c r="V1050" s="181"/>
      <c r="W1050" s="181"/>
      <c r="X1050" s="181"/>
      <c r="Y1050" s="181"/>
      <c r="Z1050" s="181"/>
    </row>
    <row r="1051">
      <c r="A1051" s="194"/>
      <c r="B1051" s="195"/>
      <c r="C1051" s="181"/>
      <c r="D1051" s="194"/>
      <c r="E1051" s="194"/>
      <c r="F1051" s="181"/>
      <c r="G1051" s="181"/>
      <c r="H1051" s="181"/>
      <c r="I1051" s="181"/>
      <c r="J1051" s="181"/>
      <c r="K1051" s="181"/>
      <c r="L1051" s="181"/>
      <c r="M1051" s="181"/>
      <c r="N1051" s="181"/>
      <c r="O1051" s="181"/>
      <c r="P1051" s="181"/>
      <c r="Q1051" s="181"/>
      <c r="R1051" s="181"/>
      <c r="S1051" s="181"/>
      <c r="T1051" s="181"/>
      <c r="U1051" s="181"/>
      <c r="V1051" s="181"/>
      <c r="W1051" s="181"/>
      <c r="X1051" s="181"/>
      <c r="Y1051" s="181"/>
      <c r="Z1051" s="181"/>
    </row>
    <row r="1052">
      <c r="A1052" s="194"/>
      <c r="B1052" s="195"/>
      <c r="C1052" s="181"/>
      <c r="D1052" s="194"/>
      <c r="E1052" s="194"/>
      <c r="F1052" s="181"/>
      <c r="G1052" s="181"/>
      <c r="H1052" s="181"/>
      <c r="I1052" s="181"/>
      <c r="J1052" s="181"/>
      <c r="K1052" s="181"/>
      <c r="L1052" s="181"/>
      <c r="M1052" s="181"/>
      <c r="N1052" s="181"/>
      <c r="O1052" s="181"/>
      <c r="P1052" s="181"/>
      <c r="Q1052" s="181"/>
      <c r="R1052" s="181"/>
      <c r="S1052" s="181"/>
      <c r="T1052" s="181"/>
      <c r="U1052" s="181"/>
      <c r="V1052" s="181"/>
      <c r="W1052" s="181"/>
      <c r="X1052" s="181"/>
      <c r="Y1052" s="181"/>
      <c r="Z1052" s="181"/>
    </row>
    <row r="1053">
      <c r="A1053" s="194"/>
      <c r="B1053" s="195"/>
      <c r="C1053" s="181"/>
      <c r="D1053" s="194"/>
      <c r="E1053" s="194"/>
      <c r="F1053" s="181"/>
      <c r="G1053" s="181"/>
      <c r="H1053" s="181"/>
      <c r="I1053" s="181"/>
      <c r="J1053" s="181"/>
      <c r="K1053" s="181"/>
      <c r="L1053" s="181"/>
      <c r="M1053" s="181"/>
      <c r="N1053" s="181"/>
      <c r="O1053" s="181"/>
      <c r="P1053" s="181"/>
      <c r="Q1053" s="181"/>
      <c r="R1053" s="181"/>
      <c r="S1053" s="181"/>
      <c r="T1053" s="181"/>
      <c r="U1053" s="181"/>
      <c r="V1053" s="181"/>
      <c r="W1053" s="181"/>
      <c r="X1053" s="181"/>
      <c r="Y1053" s="181"/>
      <c r="Z1053" s="181"/>
    </row>
    <row r="1054">
      <c r="A1054" s="194"/>
      <c r="B1054" s="195"/>
      <c r="C1054" s="181"/>
      <c r="D1054" s="194"/>
      <c r="E1054" s="194"/>
      <c r="F1054" s="181"/>
      <c r="G1054" s="181"/>
      <c r="H1054" s="181"/>
      <c r="I1054" s="181"/>
      <c r="J1054" s="181"/>
      <c r="K1054" s="181"/>
      <c r="L1054" s="181"/>
      <c r="M1054" s="181"/>
      <c r="N1054" s="181"/>
      <c r="O1054" s="181"/>
      <c r="P1054" s="181"/>
      <c r="Q1054" s="181"/>
      <c r="R1054" s="181"/>
      <c r="S1054" s="181"/>
      <c r="T1054" s="181"/>
      <c r="U1054" s="181"/>
      <c r="V1054" s="181"/>
      <c r="W1054" s="181"/>
      <c r="X1054" s="181"/>
      <c r="Y1054" s="181"/>
      <c r="Z1054" s="181"/>
    </row>
    <row r="1055">
      <c r="A1055" s="194"/>
      <c r="B1055" s="195"/>
      <c r="C1055" s="181"/>
      <c r="D1055" s="194"/>
      <c r="E1055" s="194"/>
      <c r="F1055" s="181"/>
      <c r="G1055" s="181"/>
      <c r="H1055" s="181"/>
      <c r="I1055" s="181"/>
      <c r="J1055" s="181"/>
      <c r="K1055" s="181"/>
      <c r="L1055" s="181"/>
      <c r="M1055" s="181"/>
      <c r="N1055" s="181"/>
      <c r="O1055" s="181"/>
      <c r="P1055" s="181"/>
      <c r="Q1055" s="181"/>
      <c r="R1055" s="181"/>
      <c r="S1055" s="181"/>
      <c r="T1055" s="181"/>
      <c r="U1055" s="181"/>
      <c r="V1055" s="181"/>
      <c r="W1055" s="181"/>
      <c r="X1055" s="181"/>
      <c r="Y1055" s="181"/>
      <c r="Z1055" s="181"/>
    </row>
    <row r="1056">
      <c r="A1056" s="194"/>
      <c r="B1056" s="195"/>
      <c r="C1056" s="181"/>
      <c r="D1056" s="194"/>
      <c r="E1056" s="194"/>
      <c r="F1056" s="181"/>
      <c r="G1056" s="181"/>
      <c r="H1056" s="181"/>
      <c r="I1056" s="181"/>
      <c r="J1056" s="181"/>
      <c r="K1056" s="181"/>
      <c r="L1056" s="181"/>
      <c r="M1056" s="181"/>
      <c r="N1056" s="181"/>
      <c r="O1056" s="181"/>
      <c r="P1056" s="181"/>
      <c r="Q1056" s="181"/>
      <c r="R1056" s="181"/>
      <c r="S1056" s="181"/>
      <c r="T1056" s="181"/>
      <c r="U1056" s="181"/>
      <c r="V1056" s="181"/>
      <c r="W1056" s="181"/>
      <c r="X1056" s="181"/>
      <c r="Y1056" s="181"/>
      <c r="Z1056" s="181"/>
    </row>
    <row r="1057">
      <c r="A1057" s="194"/>
      <c r="B1057" s="195"/>
      <c r="C1057" s="181"/>
      <c r="D1057" s="194"/>
      <c r="E1057" s="194"/>
      <c r="F1057" s="181"/>
      <c r="G1057" s="181"/>
      <c r="H1057" s="181"/>
      <c r="I1057" s="181"/>
      <c r="J1057" s="181"/>
      <c r="K1057" s="181"/>
      <c r="L1057" s="181"/>
      <c r="M1057" s="181"/>
      <c r="N1057" s="181"/>
      <c r="O1057" s="181"/>
      <c r="P1057" s="181"/>
      <c r="Q1057" s="181"/>
      <c r="R1057" s="181"/>
      <c r="S1057" s="181"/>
      <c r="T1057" s="181"/>
      <c r="U1057" s="181"/>
      <c r="V1057" s="181"/>
      <c r="W1057" s="181"/>
      <c r="X1057" s="181"/>
      <c r="Y1057" s="181"/>
      <c r="Z1057" s="181"/>
    </row>
    <row r="1058">
      <c r="A1058" s="194"/>
      <c r="B1058" s="195"/>
      <c r="C1058" s="181"/>
      <c r="D1058" s="194"/>
      <c r="E1058" s="194"/>
      <c r="F1058" s="181"/>
      <c r="G1058" s="181"/>
      <c r="H1058" s="181"/>
      <c r="I1058" s="181"/>
      <c r="J1058" s="181"/>
      <c r="K1058" s="181"/>
      <c r="L1058" s="181"/>
      <c r="M1058" s="181"/>
      <c r="N1058" s="181"/>
      <c r="O1058" s="181"/>
      <c r="P1058" s="181"/>
      <c r="Q1058" s="181"/>
      <c r="R1058" s="181"/>
      <c r="S1058" s="181"/>
      <c r="T1058" s="181"/>
      <c r="U1058" s="181"/>
      <c r="V1058" s="181"/>
      <c r="W1058" s="181"/>
      <c r="X1058" s="181"/>
      <c r="Y1058" s="181"/>
      <c r="Z1058" s="181"/>
    </row>
    <row r="1059">
      <c r="A1059" s="194"/>
      <c r="B1059" s="195"/>
      <c r="C1059" s="181"/>
      <c r="D1059" s="194"/>
      <c r="E1059" s="194"/>
      <c r="F1059" s="181"/>
      <c r="G1059" s="181"/>
      <c r="H1059" s="181"/>
      <c r="I1059" s="181"/>
      <c r="J1059" s="181"/>
      <c r="K1059" s="181"/>
      <c r="L1059" s="181"/>
      <c r="M1059" s="181"/>
      <c r="N1059" s="181"/>
      <c r="O1059" s="181"/>
      <c r="P1059" s="181"/>
      <c r="Q1059" s="181"/>
      <c r="R1059" s="181"/>
      <c r="S1059" s="181"/>
      <c r="T1059" s="181"/>
      <c r="U1059" s="181"/>
      <c r="V1059" s="181"/>
      <c r="W1059" s="181"/>
      <c r="X1059" s="181"/>
      <c r="Y1059" s="181"/>
      <c r="Z1059" s="181"/>
    </row>
    <row r="1060">
      <c r="A1060" s="194"/>
      <c r="B1060" s="195"/>
      <c r="C1060" s="181"/>
      <c r="D1060" s="194"/>
      <c r="E1060" s="194"/>
      <c r="F1060" s="181"/>
      <c r="G1060" s="181"/>
      <c r="H1060" s="181"/>
      <c r="I1060" s="181"/>
      <c r="J1060" s="181"/>
      <c r="K1060" s="181"/>
      <c r="L1060" s="181"/>
      <c r="M1060" s="181"/>
      <c r="N1060" s="181"/>
      <c r="O1060" s="181"/>
      <c r="P1060" s="181"/>
      <c r="Q1060" s="181"/>
      <c r="R1060" s="181"/>
      <c r="S1060" s="181"/>
      <c r="T1060" s="181"/>
      <c r="U1060" s="181"/>
      <c r="V1060" s="181"/>
      <c r="W1060" s="181"/>
      <c r="X1060" s="181"/>
      <c r="Y1060" s="181"/>
      <c r="Z1060" s="181"/>
    </row>
    <row r="1061">
      <c r="A1061" s="194"/>
      <c r="B1061" s="195"/>
      <c r="C1061" s="181"/>
      <c r="D1061" s="194"/>
      <c r="E1061" s="194"/>
      <c r="F1061" s="181"/>
      <c r="G1061" s="181"/>
      <c r="H1061" s="181"/>
      <c r="I1061" s="181"/>
      <c r="J1061" s="181"/>
      <c r="K1061" s="181"/>
      <c r="L1061" s="181"/>
      <c r="M1061" s="181"/>
      <c r="N1061" s="181"/>
      <c r="O1061" s="181"/>
      <c r="P1061" s="181"/>
      <c r="Q1061" s="181"/>
      <c r="R1061" s="181"/>
      <c r="S1061" s="181"/>
      <c r="T1061" s="181"/>
      <c r="U1061" s="181"/>
      <c r="V1061" s="181"/>
      <c r="W1061" s="181"/>
      <c r="X1061" s="181"/>
      <c r="Y1061" s="181"/>
      <c r="Z1061" s="181"/>
    </row>
    <row r="1062">
      <c r="A1062" s="194"/>
      <c r="B1062" s="195"/>
      <c r="C1062" s="181"/>
      <c r="D1062" s="194"/>
      <c r="E1062" s="194"/>
      <c r="F1062" s="181"/>
      <c r="G1062" s="181"/>
      <c r="H1062" s="181"/>
      <c r="I1062" s="181"/>
      <c r="J1062" s="181"/>
      <c r="K1062" s="181"/>
      <c r="L1062" s="181"/>
      <c r="M1062" s="181"/>
      <c r="N1062" s="181"/>
      <c r="O1062" s="181"/>
      <c r="P1062" s="181"/>
      <c r="Q1062" s="181"/>
      <c r="R1062" s="181"/>
      <c r="S1062" s="181"/>
      <c r="T1062" s="181"/>
      <c r="U1062" s="181"/>
      <c r="V1062" s="181"/>
      <c r="W1062" s="181"/>
      <c r="X1062" s="181"/>
      <c r="Y1062" s="181"/>
      <c r="Z1062" s="181"/>
    </row>
    <row r="1063">
      <c r="A1063" s="194"/>
      <c r="B1063" s="195"/>
      <c r="C1063" s="181"/>
      <c r="D1063" s="194"/>
      <c r="E1063" s="194"/>
      <c r="F1063" s="181"/>
      <c r="G1063" s="181"/>
      <c r="H1063" s="181"/>
      <c r="I1063" s="181"/>
      <c r="J1063" s="181"/>
      <c r="K1063" s="181"/>
      <c r="L1063" s="181"/>
      <c r="M1063" s="181"/>
      <c r="N1063" s="181"/>
      <c r="O1063" s="181"/>
      <c r="P1063" s="181"/>
      <c r="Q1063" s="181"/>
      <c r="R1063" s="181"/>
      <c r="S1063" s="181"/>
      <c r="T1063" s="181"/>
      <c r="U1063" s="181"/>
      <c r="V1063" s="181"/>
      <c r="W1063" s="181"/>
      <c r="X1063" s="181"/>
      <c r="Y1063" s="181"/>
      <c r="Z1063" s="181"/>
    </row>
    <row r="1064">
      <c r="A1064" s="194"/>
      <c r="B1064" s="195"/>
      <c r="C1064" s="181"/>
      <c r="D1064" s="194"/>
      <c r="E1064" s="194"/>
      <c r="F1064" s="181"/>
      <c r="G1064" s="181"/>
      <c r="H1064" s="181"/>
      <c r="I1064" s="181"/>
      <c r="J1064" s="181"/>
      <c r="K1064" s="181"/>
      <c r="L1064" s="181"/>
      <c r="M1064" s="181"/>
      <c r="N1064" s="181"/>
      <c r="O1064" s="181"/>
      <c r="P1064" s="181"/>
      <c r="Q1064" s="181"/>
      <c r="R1064" s="181"/>
      <c r="S1064" s="181"/>
      <c r="T1064" s="181"/>
      <c r="U1064" s="181"/>
      <c r="V1064" s="181"/>
      <c r="W1064" s="181"/>
      <c r="X1064" s="181"/>
      <c r="Y1064" s="181"/>
      <c r="Z1064" s="181"/>
    </row>
    <row r="1065">
      <c r="A1065" s="194"/>
      <c r="B1065" s="195"/>
      <c r="C1065" s="181"/>
      <c r="D1065" s="194"/>
      <c r="E1065" s="194"/>
      <c r="F1065" s="181"/>
      <c r="G1065" s="181"/>
      <c r="H1065" s="181"/>
      <c r="I1065" s="181"/>
      <c r="J1065" s="181"/>
      <c r="K1065" s="181"/>
      <c r="L1065" s="181"/>
      <c r="M1065" s="181"/>
      <c r="N1065" s="181"/>
      <c r="O1065" s="181"/>
      <c r="P1065" s="181"/>
      <c r="Q1065" s="181"/>
      <c r="R1065" s="181"/>
      <c r="S1065" s="181"/>
      <c r="T1065" s="181"/>
      <c r="U1065" s="181"/>
      <c r="V1065" s="181"/>
      <c r="W1065" s="181"/>
      <c r="X1065" s="181"/>
      <c r="Y1065" s="181"/>
      <c r="Z1065" s="181"/>
    </row>
    <row r="1066">
      <c r="A1066" s="194"/>
      <c r="B1066" s="195"/>
      <c r="C1066" s="181"/>
      <c r="D1066" s="194"/>
      <c r="E1066" s="194"/>
      <c r="F1066" s="181"/>
      <c r="G1066" s="181"/>
      <c r="H1066" s="181"/>
      <c r="I1066" s="181"/>
      <c r="J1066" s="181"/>
      <c r="K1066" s="181"/>
      <c r="L1066" s="181"/>
      <c r="M1066" s="181"/>
      <c r="N1066" s="181"/>
      <c r="O1066" s="181"/>
      <c r="P1066" s="181"/>
      <c r="Q1066" s="181"/>
      <c r="R1066" s="181"/>
      <c r="S1066" s="181"/>
      <c r="T1066" s="181"/>
      <c r="U1066" s="181"/>
      <c r="V1066" s="181"/>
      <c r="W1066" s="181"/>
      <c r="X1066" s="181"/>
      <c r="Y1066" s="181"/>
      <c r="Z1066" s="181"/>
    </row>
    <row r="1067">
      <c r="A1067" s="194"/>
      <c r="B1067" s="195"/>
      <c r="C1067" s="181"/>
      <c r="D1067" s="194"/>
      <c r="E1067" s="194"/>
      <c r="F1067" s="181"/>
      <c r="G1067" s="181"/>
      <c r="H1067" s="181"/>
      <c r="I1067" s="181"/>
      <c r="J1067" s="181"/>
      <c r="K1067" s="181"/>
      <c r="L1067" s="181"/>
      <c r="M1067" s="181"/>
      <c r="N1067" s="181"/>
      <c r="O1067" s="181"/>
      <c r="P1067" s="181"/>
      <c r="Q1067" s="181"/>
      <c r="R1067" s="181"/>
      <c r="S1067" s="181"/>
      <c r="T1067" s="181"/>
      <c r="U1067" s="181"/>
      <c r="V1067" s="181"/>
      <c r="W1067" s="181"/>
      <c r="X1067" s="181"/>
      <c r="Y1067" s="181"/>
      <c r="Z1067" s="181"/>
    </row>
    <row r="1068">
      <c r="A1068" s="194"/>
      <c r="B1068" s="195"/>
      <c r="C1068" s="181"/>
      <c r="D1068" s="194"/>
      <c r="E1068" s="194"/>
      <c r="F1068" s="181"/>
      <c r="G1068" s="181"/>
      <c r="H1068" s="181"/>
      <c r="I1068" s="181"/>
      <c r="J1068" s="181"/>
      <c r="K1068" s="181"/>
      <c r="L1068" s="181"/>
      <c r="M1068" s="181"/>
      <c r="N1068" s="181"/>
      <c r="O1068" s="181"/>
      <c r="P1068" s="181"/>
      <c r="Q1068" s="181"/>
      <c r="R1068" s="181"/>
      <c r="S1068" s="181"/>
      <c r="T1068" s="181"/>
      <c r="U1068" s="181"/>
      <c r="V1068" s="181"/>
      <c r="W1068" s="181"/>
      <c r="X1068" s="181"/>
      <c r="Y1068" s="181"/>
      <c r="Z1068" s="181"/>
    </row>
    <row r="1069">
      <c r="A1069" s="194"/>
      <c r="B1069" s="195"/>
      <c r="C1069" s="181"/>
      <c r="D1069" s="194"/>
      <c r="E1069" s="194"/>
      <c r="F1069" s="181"/>
      <c r="G1069" s="181"/>
      <c r="H1069" s="181"/>
      <c r="I1069" s="181"/>
      <c r="J1069" s="181"/>
      <c r="K1069" s="181"/>
      <c r="L1069" s="181"/>
      <c r="M1069" s="181"/>
      <c r="N1069" s="181"/>
      <c r="O1069" s="181"/>
      <c r="P1069" s="181"/>
      <c r="Q1069" s="181"/>
      <c r="R1069" s="181"/>
      <c r="S1069" s="181"/>
      <c r="T1069" s="181"/>
      <c r="U1069" s="181"/>
      <c r="V1069" s="181"/>
      <c r="W1069" s="181"/>
      <c r="X1069" s="181"/>
      <c r="Y1069" s="181"/>
      <c r="Z1069" s="181"/>
    </row>
    <row r="1070">
      <c r="A1070" s="194"/>
      <c r="B1070" s="195"/>
      <c r="C1070" s="181"/>
      <c r="D1070" s="194"/>
      <c r="E1070" s="194"/>
      <c r="F1070" s="181"/>
      <c r="G1070" s="181"/>
      <c r="H1070" s="181"/>
      <c r="I1070" s="181"/>
      <c r="J1070" s="181"/>
      <c r="K1070" s="181"/>
      <c r="L1070" s="181"/>
      <c r="M1070" s="181"/>
      <c r="N1070" s="181"/>
      <c r="O1070" s="181"/>
      <c r="P1070" s="181"/>
      <c r="Q1070" s="181"/>
      <c r="R1070" s="181"/>
      <c r="S1070" s="181"/>
      <c r="T1070" s="181"/>
      <c r="U1070" s="181"/>
      <c r="V1070" s="181"/>
      <c r="W1070" s="181"/>
      <c r="X1070" s="181"/>
      <c r="Y1070" s="181"/>
      <c r="Z1070" s="181"/>
    </row>
    <row r="1071">
      <c r="A1071" s="194"/>
      <c r="B1071" s="195"/>
      <c r="C1071" s="181"/>
      <c r="D1071" s="194"/>
      <c r="E1071" s="194"/>
      <c r="F1071" s="181"/>
      <c r="G1071" s="181"/>
      <c r="H1071" s="181"/>
      <c r="I1071" s="181"/>
      <c r="J1071" s="181"/>
      <c r="K1071" s="181"/>
      <c r="L1071" s="181"/>
      <c r="M1071" s="181"/>
      <c r="N1071" s="181"/>
      <c r="O1071" s="181"/>
      <c r="P1071" s="181"/>
      <c r="Q1071" s="181"/>
      <c r="R1071" s="181"/>
      <c r="S1071" s="181"/>
      <c r="T1071" s="181"/>
      <c r="U1071" s="181"/>
      <c r="V1071" s="181"/>
      <c r="W1071" s="181"/>
      <c r="X1071" s="181"/>
      <c r="Y1071" s="181"/>
      <c r="Z1071" s="181"/>
    </row>
    <row r="1072">
      <c r="A1072" s="194"/>
      <c r="B1072" s="195"/>
      <c r="C1072" s="181"/>
      <c r="D1072" s="194"/>
      <c r="E1072" s="194"/>
      <c r="F1072" s="181"/>
      <c r="G1072" s="181"/>
      <c r="H1072" s="181"/>
      <c r="I1072" s="181"/>
      <c r="J1072" s="181"/>
      <c r="K1072" s="181"/>
      <c r="L1072" s="181"/>
      <c r="M1072" s="181"/>
      <c r="N1072" s="181"/>
      <c r="O1072" s="181"/>
      <c r="P1072" s="181"/>
      <c r="Q1072" s="181"/>
      <c r="R1072" s="181"/>
      <c r="S1072" s="181"/>
      <c r="T1072" s="181"/>
      <c r="U1072" s="181"/>
      <c r="V1072" s="181"/>
      <c r="W1072" s="181"/>
      <c r="X1072" s="181"/>
      <c r="Y1072" s="181"/>
      <c r="Z1072" s="181"/>
    </row>
    <row r="1073">
      <c r="A1073" s="194"/>
      <c r="B1073" s="195"/>
      <c r="C1073" s="181"/>
      <c r="D1073" s="194"/>
      <c r="E1073" s="194"/>
      <c r="F1073" s="181"/>
      <c r="G1073" s="181"/>
      <c r="H1073" s="181"/>
      <c r="I1073" s="181"/>
      <c r="J1073" s="181"/>
      <c r="K1073" s="181"/>
      <c r="L1073" s="181"/>
      <c r="M1073" s="181"/>
      <c r="N1073" s="181"/>
      <c r="O1073" s="181"/>
      <c r="P1073" s="181"/>
      <c r="Q1073" s="181"/>
      <c r="R1073" s="181"/>
      <c r="S1073" s="181"/>
      <c r="T1073" s="181"/>
      <c r="U1073" s="181"/>
      <c r="V1073" s="181"/>
      <c r="W1073" s="181"/>
      <c r="X1073" s="181"/>
      <c r="Y1073" s="181"/>
      <c r="Z1073" s="181"/>
    </row>
    <row r="1074">
      <c r="A1074" s="194"/>
      <c r="B1074" s="195"/>
      <c r="C1074" s="181"/>
      <c r="D1074" s="194"/>
      <c r="E1074" s="194"/>
      <c r="F1074" s="181"/>
      <c r="G1074" s="181"/>
      <c r="H1074" s="181"/>
      <c r="I1074" s="181"/>
      <c r="J1074" s="181"/>
      <c r="K1074" s="181"/>
      <c r="L1074" s="181"/>
      <c r="M1074" s="181"/>
      <c r="N1074" s="181"/>
      <c r="O1074" s="181"/>
      <c r="P1074" s="181"/>
      <c r="Q1074" s="181"/>
      <c r="R1074" s="181"/>
      <c r="S1074" s="181"/>
      <c r="T1074" s="181"/>
      <c r="U1074" s="181"/>
      <c r="V1074" s="181"/>
      <c r="W1074" s="181"/>
      <c r="X1074" s="181"/>
      <c r="Y1074" s="181"/>
      <c r="Z1074" s="181"/>
    </row>
    <row r="1075">
      <c r="A1075" s="194"/>
      <c r="B1075" s="195"/>
      <c r="C1075" s="181"/>
      <c r="D1075" s="194"/>
      <c r="E1075" s="194"/>
      <c r="F1075" s="181"/>
      <c r="G1075" s="181"/>
      <c r="H1075" s="181"/>
      <c r="I1075" s="181"/>
      <c r="J1075" s="181"/>
      <c r="K1075" s="181"/>
      <c r="L1075" s="181"/>
      <c r="M1075" s="181"/>
      <c r="N1075" s="181"/>
      <c r="O1075" s="181"/>
      <c r="P1075" s="181"/>
      <c r="Q1075" s="181"/>
      <c r="R1075" s="181"/>
      <c r="S1075" s="181"/>
      <c r="T1075" s="181"/>
      <c r="U1075" s="181"/>
      <c r="V1075" s="181"/>
      <c r="W1075" s="181"/>
      <c r="X1075" s="181"/>
      <c r="Y1075" s="181"/>
      <c r="Z1075" s="181"/>
    </row>
    <row r="1076">
      <c r="A1076" s="194"/>
      <c r="B1076" s="195"/>
      <c r="C1076" s="181"/>
      <c r="D1076" s="194"/>
      <c r="E1076" s="194"/>
      <c r="F1076" s="181"/>
      <c r="G1076" s="181"/>
      <c r="H1076" s="181"/>
      <c r="I1076" s="181"/>
      <c r="J1076" s="181"/>
      <c r="K1076" s="181"/>
      <c r="L1076" s="181"/>
      <c r="M1076" s="181"/>
      <c r="N1076" s="181"/>
      <c r="O1076" s="181"/>
      <c r="P1076" s="181"/>
      <c r="Q1076" s="181"/>
      <c r="R1076" s="181"/>
      <c r="S1076" s="181"/>
      <c r="T1076" s="181"/>
      <c r="U1076" s="181"/>
      <c r="V1076" s="181"/>
      <c r="W1076" s="181"/>
      <c r="X1076" s="181"/>
      <c r="Y1076" s="181"/>
      <c r="Z1076" s="181"/>
    </row>
    <row r="1077">
      <c r="A1077" s="194"/>
      <c r="B1077" s="195"/>
      <c r="C1077" s="181"/>
      <c r="D1077" s="194"/>
      <c r="E1077" s="194"/>
      <c r="F1077" s="181"/>
      <c r="G1077" s="181"/>
      <c r="H1077" s="181"/>
      <c r="I1077" s="181"/>
      <c r="J1077" s="181"/>
      <c r="K1077" s="181"/>
      <c r="L1077" s="181"/>
      <c r="M1077" s="181"/>
      <c r="N1077" s="181"/>
      <c r="O1077" s="181"/>
      <c r="P1077" s="181"/>
      <c r="Q1077" s="181"/>
      <c r="R1077" s="181"/>
      <c r="S1077" s="181"/>
      <c r="T1077" s="181"/>
      <c r="U1077" s="181"/>
      <c r="V1077" s="181"/>
      <c r="W1077" s="181"/>
      <c r="X1077" s="181"/>
      <c r="Y1077" s="181"/>
      <c r="Z1077" s="181"/>
    </row>
    <row r="1078">
      <c r="A1078" s="194"/>
      <c r="B1078" s="195"/>
      <c r="C1078" s="181"/>
      <c r="D1078" s="194"/>
      <c r="E1078" s="194"/>
      <c r="F1078" s="181"/>
      <c r="G1078" s="181"/>
      <c r="H1078" s="181"/>
      <c r="I1078" s="181"/>
      <c r="J1078" s="181"/>
      <c r="K1078" s="181"/>
      <c r="L1078" s="181"/>
      <c r="M1078" s="181"/>
      <c r="N1078" s="181"/>
      <c r="O1078" s="181"/>
      <c r="P1078" s="181"/>
      <c r="Q1078" s="181"/>
      <c r="R1078" s="181"/>
      <c r="S1078" s="181"/>
      <c r="T1078" s="181"/>
      <c r="U1078" s="181"/>
      <c r="V1078" s="181"/>
      <c r="W1078" s="181"/>
      <c r="X1078" s="181"/>
      <c r="Y1078" s="181"/>
      <c r="Z1078" s="181"/>
    </row>
    <row r="1079">
      <c r="A1079" s="194"/>
      <c r="B1079" s="195"/>
      <c r="C1079" s="181"/>
      <c r="D1079" s="194"/>
      <c r="E1079" s="194"/>
      <c r="F1079" s="181"/>
      <c r="G1079" s="181"/>
      <c r="H1079" s="181"/>
      <c r="I1079" s="181"/>
      <c r="J1079" s="181"/>
      <c r="K1079" s="181"/>
      <c r="L1079" s="181"/>
      <c r="M1079" s="181"/>
      <c r="N1079" s="181"/>
      <c r="O1079" s="181"/>
      <c r="P1079" s="181"/>
      <c r="Q1079" s="181"/>
      <c r="R1079" s="181"/>
      <c r="S1079" s="181"/>
      <c r="T1079" s="181"/>
      <c r="U1079" s="181"/>
      <c r="V1079" s="181"/>
      <c r="W1079" s="181"/>
      <c r="X1079" s="181"/>
      <c r="Y1079" s="181"/>
      <c r="Z1079" s="181"/>
    </row>
    <row r="1080">
      <c r="A1080" s="194"/>
      <c r="B1080" s="195"/>
      <c r="C1080" s="181"/>
      <c r="D1080" s="194"/>
      <c r="E1080" s="194"/>
      <c r="F1080" s="181"/>
      <c r="G1080" s="181"/>
      <c r="H1080" s="181"/>
      <c r="I1080" s="181"/>
      <c r="J1080" s="181"/>
      <c r="K1080" s="181"/>
      <c r="L1080" s="181"/>
      <c r="M1080" s="181"/>
      <c r="N1080" s="181"/>
      <c r="O1080" s="181"/>
      <c r="P1080" s="181"/>
      <c r="Q1080" s="181"/>
      <c r="R1080" s="181"/>
      <c r="S1080" s="181"/>
      <c r="T1080" s="181"/>
      <c r="U1080" s="181"/>
      <c r="V1080" s="181"/>
      <c r="W1080" s="181"/>
      <c r="X1080" s="181"/>
      <c r="Y1080" s="181"/>
      <c r="Z1080" s="181"/>
    </row>
    <row r="1081">
      <c r="A1081" s="194"/>
      <c r="B1081" s="195"/>
      <c r="C1081" s="181"/>
      <c r="D1081" s="194"/>
      <c r="E1081" s="194"/>
      <c r="F1081" s="181"/>
      <c r="G1081" s="181"/>
      <c r="H1081" s="181"/>
      <c r="I1081" s="181"/>
      <c r="J1081" s="181"/>
      <c r="K1081" s="181"/>
      <c r="L1081" s="181"/>
      <c r="M1081" s="181"/>
      <c r="N1081" s="181"/>
      <c r="O1081" s="181"/>
      <c r="P1081" s="181"/>
      <c r="Q1081" s="181"/>
      <c r="R1081" s="181"/>
      <c r="S1081" s="181"/>
      <c r="T1081" s="181"/>
      <c r="U1081" s="181"/>
      <c r="V1081" s="181"/>
      <c r="W1081" s="181"/>
      <c r="X1081" s="181"/>
      <c r="Y1081" s="181"/>
      <c r="Z1081" s="181"/>
    </row>
    <row r="1082">
      <c r="A1082" s="194"/>
      <c r="B1082" s="195"/>
      <c r="C1082" s="181"/>
      <c r="D1082" s="194"/>
      <c r="E1082" s="194"/>
      <c r="F1082" s="181"/>
      <c r="G1082" s="181"/>
      <c r="H1082" s="181"/>
      <c r="I1082" s="181"/>
      <c r="J1082" s="181"/>
      <c r="K1082" s="181"/>
      <c r="L1082" s="181"/>
      <c r="M1082" s="181"/>
      <c r="N1082" s="181"/>
      <c r="O1082" s="181"/>
      <c r="P1082" s="181"/>
      <c r="Q1082" s="181"/>
      <c r="R1082" s="181"/>
      <c r="S1082" s="181"/>
      <c r="T1082" s="181"/>
      <c r="U1082" s="181"/>
      <c r="V1082" s="181"/>
      <c r="W1082" s="181"/>
      <c r="X1082" s="181"/>
      <c r="Y1082" s="181"/>
      <c r="Z1082" s="181"/>
    </row>
    <row r="1083">
      <c r="A1083" s="194"/>
      <c r="B1083" s="195"/>
      <c r="C1083" s="181"/>
      <c r="D1083" s="194"/>
      <c r="E1083" s="194"/>
      <c r="F1083" s="181"/>
      <c r="G1083" s="181"/>
      <c r="H1083" s="181"/>
      <c r="I1083" s="181"/>
      <c r="J1083" s="181"/>
      <c r="K1083" s="181"/>
      <c r="L1083" s="181"/>
      <c r="M1083" s="181"/>
      <c r="N1083" s="181"/>
      <c r="O1083" s="181"/>
      <c r="P1083" s="181"/>
      <c r="Q1083" s="181"/>
      <c r="R1083" s="181"/>
      <c r="S1083" s="181"/>
      <c r="T1083" s="181"/>
      <c r="U1083" s="181"/>
      <c r="V1083" s="181"/>
      <c r="W1083" s="181"/>
      <c r="X1083" s="181"/>
      <c r="Y1083" s="181"/>
      <c r="Z1083" s="181"/>
    </row>
    <row r="1084">
      <c r="A1084" s="194"/>
      <c r="B1084" s="195"/>
      <c r="C1084" s="181"/>
      <c r="D1084" s="194"/>
      <c r="E1084" s="194"/>
      <c r="F1084" s="181"/>
      <c r="G1084" s="181"/>
      <c r="H1084" s="181"/>
      <c r="I1084" s="181"/>
      <c r="J1084" s="181"/>
      <c r="K1084" s="181"/>
      <c r="L1084" s="181"/>
      <c r="M1084" s="181"/>
      <c r="N1084" s="181"/>
      <c r="O1084" s="181"/>
      <c r="P1084" s="181"/>
      <c r="Q1084" s="181"/>
      <c r="R1084" s="181"/>
      <c r="S1084" s="181"/>
      <c r="T1084" s="181"/>
      <c r="U1084" s="181"/>
      <c r="V1084" s="181"/>
      <c r="W1084" s="181"/>
      <c r="X1084" s="181"/>
      <c r="Y1084" s="181"/>
      <c r="Z1084" s="181"/>
    </row>
    <row r="1085">
      <c r="A1085" s="194"/>
      <c r="B1085" s="195"/>
      <c r="C1085" s="181"/>
      <c r="D1085" s="194"/>
      <c r="E1085" s="194"/>
      <c r="F1085" s="181"/>
      <c r="G1085" s="181"/>
      <c r="H1085" s="181"/>
      <c r="I1085" s="181"/>
      <c r="J1085" s="181"/>
      <c r="K1085" s="181"/>
      <c r="L1085" s="181"/>
      <c r="M1085" s="181"/>
      <c r="N1085" s="181"/>
      <c r="O1085" s="181"/>
      <c r="P1085" s="181"/>
      <c r="Q1085" s="181"/>
      <c r="R1085" s="181"/>
      <c r="S1085" s="181"/>
      <c r="T1085" s="181"/>
      <c r="U1085" s="181"/>
      <c r="V1085" s="181"/>
      <c r="W1085" s="181"/>
      <c r="X1085" s="181"/>
      <c r="Y1085" s="181"/>
      <c r="Z1085" s="181"/>
    </row>
    <row r="1086">
      <c r="A1086" s="194"/>
      <c r="B1086" s="195"/>
      <c r="C1086" s="181"/>
      <c r="D1086" s="194"/>
      <c r="E1086" s="194"/>
      <c r="F1086" s="181"/>
      <c r="G1086" s="181"/>
      <c r="H1086" s="181"/>
      <c r="I1086" s="181"/>
      <c r="J1086" s="181"/>
      <c r="K1086" s="181"/>
      <c r="L1086" s="181"/>
      <c r="M1086" s="181"/>
      <c r="N1086" s="181"/>
      <c r="O1086" s="181"/>
      <c r="P1086" s="181"/>
      <c r="Q1086" s="181"/>
      <c r="R1086" s="181"/>
      <c r="S1086" s="181"/>
      <c r="T1086" s="181"/>
      <c r="U1086" s="181"/>
      <c r="V1086" s="181"/>
      <c r="W1086" s="181"/>
      <c r="X1086" s="181"/>
      <c r="Y1086" s="181"/>
      <c r="Z1086" s="181"/>
    </row>
    <row r="1087">
      <c r="A1087" s="194"/>
      <c r="B1087" s="195"/>
      <c r="C1087" s="181"/>
      <c r="D1087" s="194"/>
      <c r="E1087" s="194"/>
      <c r="F1087" s="181"/>
      <c r="G1087" s="181"/>
      <c r="H1087" s="181"/>
      <c r="I1087" s="181"/>
      <c r="J1087" s="181"/>
      <c r="K1087" s="181"/>
      <c r="L1087" s="181"/>
      <c r="M1087" s="181"/>
      <c r="N1087" s="181"/>
      <c r="O1087" s="181"/>
      <c r="P1087" s="181"/>
      <c r="Q1087" s="181"/>
      <c r="R1087" s="181"/>
      <c r="S1087" s="181"/>
      <c r="T1087" s="181"/>
      <c r="U1087" s="181"/>
      <c r="V1087" s="181"/>
      <c r="W1087" s="181"/>
      <c r="X1087" s="181"/>
      <c r="Y1087" s="181"/>
      <c r="Z1087" s="181"/>
    </row>
    <row r="1088">
      <c r="A1088" s="194"/>
      <c r="B1088" s="195"/>
      <c r="C1088" s="181"/>
      <c r="D1088" s="194"/>
      <c r="E1088" s="194"/>
      <c r="F1088" s="181"/>
      <c r="G1088" s="181"/>
      <c r="H1088" s="181"/>
      <c r="I1088" s="181"/>
      <c r="J1088" s="181"/>
      <c r="K1088" s="181"/>
      <c r="L1088" s="181"/>
      <c r="M1088" s="181"/>
      <c r="N1088" s="181"/>
      <c r="O1088" s="181"/>
      <c r="P1088" s="181"/>
      <c r="Q1088" s="181"/>
      <c r="R1088" s="181"/>
      <c r="S1088" s="181"/>
      <c r="T1088" s="181"/>
      <c r="U1088" s="181"/>
      <c r="V1088" s="181"/>
      <c r="W1088" s="181"/>
      <c r="X1088" s="181"/>
      <c r="Y1088" s="181"/>
      <c r="Z1088" s="181"/>
    </row>
    <row r="1089">
      <c r="A1089" s="194"/>
      <c r="B1089" s="195"/>
      <c r="C1089" s="181"/>
      <c r="D1089" s="194"/>
      <c r="E1089" s="194"/>
      <c r="F1089" s="181"/>
      <c r="G1089" s="181"/>
      <c r="H1089" s="181"/>
      <c r="I1089" s="181"/>
      <c r="J1089" s="181"/>
      <c r="K1089" s="181"/>
      <c r="L1089" s="181"/>
      <c r="M1089" s="181"/>
      <c r="N1089" s="181"/>
      <c r="O1089" s="181"/>
      <c r="P1089" s="181"/>
      <c r="Q1089" s="181"/>
      <c r="R1089" s="181"/>
      <c r="S1089" s="181"/>
      <c r="T1089" s="181"/>
      <c r="U1089" s="181"/>
      <c r="V1089" s="181"/>
      <c r="W1089" s="181"/>
      <c r="X1089" s="181"/>
      <c r="Y1089" s="181"/>
      <c r="Z1089" s="181"/>
    </row>
    <row r="1090">
      <c r="A1090" s="194"/>
      <c r="B1090" s="195"/>
      <c r="C1090" s="181"/>
      <c r="D1090" s="194"/>
      <c r="E1090" s="194"/>
      <c r="F1090" s="181"/>
      <c r="G1090" s="181"/>
      <c r="H1090" s="181"/>
      <c r="I1090" s="181"/>
      <c r="J1090" s="181"/>
      <c r="K1090" s="181"/>
      <c r="L1090" s="181"/>
      <c r="M1090" s="181"/>
      <c r="N1090" s="181"/>
      <c r="O1090" s="181"/>
      <c r="P1090" s="181"/>
      <c r="Q1090" s="181"/>
      <c r="R1090" s="181"/>
      <c r="S1090" s="181"/>
      <c r="T1090" s="181"/>
      <c r="U1090" s="181"/>
      <c r="V1090" s="181"/>
      <c r="W1090" s="181"/>
      <c r="X1090" s="181"/>
      <c r="Y1090" s="181"/>
      <c r="Z1090" s="181"/>
    </row>
    <row r="1091">
      <c r="A1091" s="194"/>
      <c r="B1091" s="195"/>
      <c r="C1091" s="181"/>
      <c r="D1091" s="194"/>
      <c r="E1091" s="194"/>
      <c r="F1091" s="181"/>
      <c r="G1091" s="181"/>
      <c r="H1091" s="181"/>
      <c r="I1091" s="181"/>
      <c r="J1091" s="181"/>
      <c r="K1091" s="181"/>
      <c r="L1091" s="181"/>
      <c r="M1091" s="181"/>
      <c r="N1091" s="181"/>
      <c r="O1091" s="181"/>
      <c r="P1091" s="181"/>
      <c r="Q1091" s="181"/>
      <c r="R1091" s="181"/>
      <c r="S1091" s="181"/>
      <c r="T1091" s="181"/>
      <c r="U1091" s="181"/>
      <c r="V1091" s="181"/>
      <c r="W1091" s="181"/>
      <c r="X1091" s="181"/>
      <c r="Y1091" s="181"/>
      <c r="Z1091" s="181"/>
    </row>
    <row r="1092">
      <c r="A1092" s="194"/>
      <c r="B1092" s="195"/>
      <c r="C1092" s="181"/>
      <c r="D1092" s="194"/>
      <c r="E1092" s="194"/>
      <c r="F1092" s="181"/>
      <c r="G1092" s="181"/>
      <c r="H1092" s="181"/>
      <c r="I1092" s="181"/>
      <c r="J1092" s="181"/>
      <c r="K1092" s="181"/>
      <c r="L1092" s="181"/>
      <c r="M1092" s="181"/>
      <c r="N1092" s="181"/>
      <c r="O1092" s="181"/>
      <c r="P1092" s="181"/>
      <c r="Q1092" s="181"/>
      <c r="R1092" s="181"/>
      <c r="S1092" s="181"/>
      <c r="T1092" s="181"/>
      <c r="U1092" s="181"/>
      <c r="V1092" s="181"/>
      <c r="W1092" s="181"/>
      <c r="X1092" s="181"/>
      <c r="Y1092" s="181"/>
      <c r="Z1092" s="181"/>
    </row>
    <row r="1093">
      <c r="A1093" s="194"/>
      <c r="B1093" s="195"/>
      <c r="C1093" s="181"/>
      <c r="D1093" s="194"/>
      <c r="E1093" s="194"/>
      <c r="F1093" s="181"/>
      <c r="G1093" s="181"/>
      <c r="H1093" s="181"/>
      <c r="I1093" s="181"/>
      <c r="J1093" s="181"/>
      <c r="K1093" s="181"/>
      <c r="L1093" s="181"/>
      <c r="M1093" s="181"/>
      <c r="N1093" s="181"/>
      <c r="O1093" s="181"/>
      <c r="P1093" s="181"/>
      <c r="Q1093" s="181"/>
      <c r="R1093" s="181"/>
      <c r="S1093" s="181"/>
      <c r="T1093" s="181"/>
      <c r="U1093" s="181"/>
      <c r="V1093" s="181"/>
      <c r="W1093" s="181"/>
      <c r="X1093" s="181"/>
      <c r="Y1093" s="181"/>
      <c r="Z1093" s="181"/>
    </row>
    <row r="1094">
      <c r="A1094" s="194"/>
      <c r="B1094" s="195"/>
      <c r="C1094" s="181"/>
      <c r="D1094" s="194"/>
      <c r="E1094" s="194"/>
      <c r="F1094" s="181"/>
      <c r="G1094" s="181"/>
      <c r="H1094" s="181"/>
      <c r="I1094" s="181"/>
      <c r="J1094" s="181"/>
      <c r="K1094" s="181"/>
      <c r="L1094" s="181"/>
      <c r="M1094" s="181"/>
      <c r="N1094" s="181"/>
      <c r="O1094" s="181"/>
      <c r="P1094" s="181"/>
      <c r="Q1094" s="181"/>
      <c r="R1094" s="181"/>
      <c r="S1094" s="181"/>
      <c r="T1094" s="181"/>
      <c r="U1094" s="181"/>
      <c r="V1094" s="181"/>
      <c r="W1094" s="181"/>
      <c r="X1094" s="181"/>
      <c r="Y1094" s="181"/>
      <c r="Z1094" s="181"/>
    </row>
    <row r="1095">
      <c r="A1095" s="194"/>
      <c r="B1095" s="195"/>
      <c r="C1095" s="181"/>
      <c r="D1095" s="194"/>
      <c r="E1095" s="194"/>
      <c r="F1095" s="181"/>
      <c r="G1095" s="181"/>
      <c r="H1095" s="181"/>
      <c r="I1095" s="181"/>
      <c r="J1095" s="181"/>
      <c r="K1095" s="181"/>
      <c r="L1095" s="181"/>
      <c r="M1095" s="181"/>
      <c r="N1095" s="181"/>
      <c r="O1095" s="181"/>
      <c r="P1095" s="181"/>
      <c r="Q1095" s="181"/>
      <c r="R1095" s="181"/>
      <c r="S1095" s="181"/>
      <c r="T1095" s="181"/>
      <c r="U1095" s="181"/>
      <c r="V1095" s="181"/>
      <c r="W1095" s="181"/>
      <c r="X1095" s="181"/>
      <c r="Y1095" s="181"/>
      <c r="Z1095" s="181"/>
    </row>
    <row r="1096">
      <c r="A1096" s="194"/>
      <c r="B1096" s="195"/>
      <c r="C1096" s="181"/>
      <c r="D1096" s="194"/>
      <c r="E1096" s="194"/>
      <c r="F1096" s="181"/>
      <c r="G1096" s="181"/>
      <c r="H1096" s="181"/>
      <c r="I1096" s="181"/>
      <c r="J1096" s="181"/>
      <c r="K1096" s="181"/>
      <c r="L1096" s="181"/>
      <c r="M1096" s="181"/>
      <c r="N1096" s="181"/>
      <c r="O1096" s="181"/>
      <c r="P1096" s="181"/>
      <c r="Q1096" s="181"/>
      <c r="R1096" s="181"/>
      <c r="S1096" s="181"/>
      <c r="T1096" s="181"/>
      <c r="U1096" s="181"/>
      <c r="V1096" s="181"/>
      <c r="W1096" s="181"/>
      <c r="X1096" s="181"/>
      <c r="Y1096" s="181"/>
      <c r="Z1096" s="181"/>
    </row>
    <row r="1097">
      <c r="A1097" s="194"/>
      <c r="B1097" s="195"/>
      <c r="C1097" s="181"/>
      <c r="D1097" s="194"/>
      <c r="E1097" s="194"/>
      <c r="F1097" s="181"/>
      <c r="G1097" s="181"/>
      <c r="H1097" s="181"/>
      <c r="I1097" s="181"/>
      <c r="J1097" s="181"/>
      <c r="K1097" s="181"/>
      <c r="L1097" s="181"/>
      <c r="M1097" s="181"/>
      <c r="N1097" s="181"/>
      <c r="O1097" s="181"/>
      <c r="P1097" s="181"/>
      <c r="Q1097" s="181"/>
      <c r="R1097" s="181"/>
      <c r="S1097" s="181"/>
      <c r="T1097" s="181"/>
      <c r="U1097" s="181"/>
      <c r="V1097" s="181"/>
      <c r="W1097" s="181"/>
      <c r="X1097" s="181"/>
      <c r="Y1097" s="181"/>
      <c r="Z1097" s="181"/>
    </row>
    <row r="1098">
      <c r="A1098" s="194"/>
      <c r="B1098" s="195"/>
      <c r="C1098" s="181"/>
      <c r="D1098" s="194"/>
      <c r="E1098" s="194"/>
      <c r="F1098" s="181"/>
      <c r="G1098" s="181"/>
      <c r="H1098" s="181"/>
      <c r="I1098" s="181"/>
      <c r="J1098" s="181"/>
      <c r="K1098" s="181"/>
      <c r="L1098" s="181"/>
      <c r="M1098" s="181"/>
      <c r="N1098" s="181"/>
      <c r="O1098" s="181"/>
      <c r="P1098" s="181"/>
      <c r="Q1098" s="181"/>
      <c r="R1098" s="181"/>
      <c r="S1098" s="181"/>
      <c r="T1098" s="181"/>
      <c r="U1098" s="181"/>
      <c r="V1098" s="181"/>
      <c r="W1098" s="181"/>
      <c r="X1098" s="181"/>
      <c r="Y1098" s="181"/>
      <c r="Z1098" s="181"/>
    </row>
    <row r="1099">
      <c r="A1099" s="194"/>
      <c r="B1099" s="195"/>
      <c r="C1099" s="181"/>
      <c r="D1099" s="194"/>
      <c r="E1099" s="194"/>
      <c r="F1099" s="181"/>
      <c r="G1099" s="181"/>
      <c r="H1099" s="181"/>
      <c r="I1099" s="181"/>
      <c r="J1099" s="181"/>
      <c r="K1099" s="181"/>
      <c r="L1099" s="181"/>
      <c r="M1099" s="181"/>
      <c r="N1099" s="181"/>
      <c r="O1099" s="181"/>
      <c r="P1099" s="181"/>
      <c r="Q1099" s="181"/>
      <c r="R1099" s="181"/>
      <c r="S1099" s="181"/>
      <c r="T1099" s="181"/>
      <c r="U1099" s="181"/>
      <c r="V1099" s="181"/>
      <c r="W1099" s="181"/>
      <c r="X1099" s="181"/>
      <c r="Y1099" s="181"/>
      <c r="Z1099" s="181"/>
    </row>
    <row r="1100">
      <c r="A1100" s="194"/>
      <c r="B1100" s="195"/>
      <c r="C1100" s="181"/>
      <c r="D1100" s="194"/>
      <c r="E1100" s="194"/>
      <c r="F1100" s="181"/>
      <c r="G1100" s="181"/>
      <c r="H1100" s="181"/>
      <c r="I1100" s="181"/>
      <c r="J1100" s="181"/>
      <c r="K1100" s="181"/>
      <c r="L1100" s="181"/>
      <c r="M1100" s="181"/>
      <c r="N1100" s="181"/>
      <c r="O1100" s="181"/>
      <c r="P1100" s="181"/>
      <c r="Q1100" s="181"/>
      <c r="R1100" s="181"/>
      <c r="S1100" s="181"/>
      <c r="T1100" s="181"/>
      <c r="U1100" s="181"/>
      <c r="V1100" s="181"/>
      <c r="W1100" s="181"/>
      <c r="X1100" s="181"/>
      <c r="Y1100" s="181"/>
      <c r="Z1100" s="181"/>
    </row>
    <row r="1101">
      <c r="A1101" s="194"/>
      <c r="B1101" s="195"/>
      <c r="C1101" s="181"/>
      <c r="D1101" s="194"/>
      <c r="E1101" s="194"/>
      <c r="F1101" s="181"/>
      <c r="G1101" s="181"/>
      <c r="H1101" s="181"/>
      <c r="I1101" s="181"/>
      <c r="J1101" s="181"/>
      <c r="K1101" s="181"/>
      <c r="L1101" s="181"/>
      <c r="M1101" s="181"/>
      <c r="N1101" s="181"/>
      <c r="O1101" s="181"/>
      <c r="P1101" s="181"/>
      <c r="Q1101" s="181"/>
      <c r="R1101" s="181"/>
      <c r="S1101" s="181"/>
      <c r="T1101" s="181"/>
      <c r="U1101" s="181"/>
      <c r="V1101" s="181"/>
      <c r="W1101" s="181"/>
      <c r="X1101" s="181"/>
      <c r="Y1101" s="181"/>
      <c r="Z1101" s="181"/>
    </row>
    <row r="1102">
      <c r="A1102" s="194"/>
      <c r="B1102" s="195"/>
      <c r="C1102" s="181"/>
      <c r="D1102" s="194"/>
      <c r="E1102" s="194"/>
      <c r="F1102" s="181"/>
      <c r="G1102" s="181"/>
      <c r="H1102" s="181"/>
      <c r="I1102" s="181"/>
      <c r="J1102" s="181"/>
      <c r="K1102" s="181"/>
      <c r="L1102" s="181"/>
      <c r="M1102" s="181"/>
      <c r="N1102" s="181"/>
      <c r="O1102" s="181"/>
      <c r="P1102" s="181"/>
      <c r="Q1102" s="181"/>
      <c r="R1102" s="181"/>
      <c r="S1102" s="181"/>
      <c r="T1102" s="181"/>
      <c r="U1102" s="181"/>
      <c r="V1102" s="181"/>
      <c r="W1102" s="181"/>
      <c r="X1102" s="181"/>
      <c r="Y1102" s="181"/>
      <c r="Z1102" s="181"/>
    </row>
    <row r="1103">
      <c r="A1103" s="194"/>
      <c r="B1103" s="195"/>
      <c r="C1103" s="181"/>
      <c r="D1103" s="194"/>
      <c r="E1103" s="194"/>
      <c r="F1103" s="181"/>
      <c r="G1103" s="181"/>
      <c r="H1103" s="181"/>
      <c r="I1103" s="181"/>
      <c r="J1103" s="181"/>
      <c r="K1103" s="181"/>
      <c r="L1103" s="181"/>
      <c r="M1103" s="181"/>
      <c r="N1103" s="181"/>
      <c r="O1103" s="181"/>
      <c r="P1103" s="181"/>
      <c r="Q1103" s="181"/>
      <c r="R1103" s="181"/>
      <c r="S1103" s="181"/>
      <c r="T1103" s="181"/>
      <c r="U1103" s="181"/>
      <c r="V1103" s="181"/>
      <c r="W1103" s="181"/>
      <c r="X1103" s="181"/>
      <c r="Y1103" s="181"/>
      <c r="Z1103" s="181"/>
    </row>
    <row r="1104">
      <c r="A1104" s="194"/>
      <c r="B1104" s="195"/>
      <c r="C1104" s="181"/>
      <c r="D1104" s="194"/>
      <c r="E1104" s="194"/>
      <c r="F1104" s="181"/>
      <c r="G1104" s="181"/>
      <c r="H1104" s="181"/>
      <c r="I1104" s="181"/>
      <c r="J1104" s="181"/>
      <c r="K1104" s="181"/>
      <c r="L1104" s="181"/>
      <c r="M1104" s="181"/>
      <c r="N1104" s="181"/>
      <c r="O1104" s="181"/>
      <c r="P1104" s="181"/>
      <c r="Q1104" s="181"/>
      <c r="R1104" s="181"/>
      <c r="S1104" s="181"/>
      <c r="T1104" s="181"/>
      <c r="U1104" s="181"/>
      <c r="V1104" s="181"/>
      <c r="W1104" s="181"/>
      <c r="X1104" s="181"/>
      <c r="Y1104" s="181"/>
      <c r="Z1104" s="181"/>
    </row>
    <row r="1105">
      <c r="A1105" s="194"/>
      <c r="B1105" s="195"/>
      <c r="C1105" s="181"/>
      <c r="D1105" s="194"/>
      <c r="E1105" s="194"/>
      <c r="F1105" s="181"/>
      <c r="G1105" s="181"/>
      <c r="H1105" s="181"/>
      <c r="I1105" s="181"/>
      <c r="J1105" s="181"/>
      <c r="K1105" s="181"/>
      <c r="L1105" s="181"/>
      <c r="M1105" s="181"/>
      <c r="N1105" s="181"/>
      <c r="O1105" s="181"/>
      <c r="P1105" s="181"/>
      <c r="Q1105" s="181"/>
      <c r="R1105" s="181"/>
      <c r="S1105" s="181"/>
      <c r="T1105" s="181"/>
      <c r="U1105" s="181"/>
      <c r="V1105" s="181"/>
      <c r="W1105" s="181"/>
      <c r="X1105" s="181"/>
      <c r="Y1105" s="181"/>
      <c r="Z1105" s="181"/>
    </row>
    <row r="1106">
      <c r="A1106" s="194"/>
      <c r="B1106" s="195"/>
      <c r="C1106" s="181"/>
      <c r="D1106" s="194"/>
      <c r="E1106" s="194"/>
      <c r="F1106" s="181"/>
      <c r="G1106" s="181"/>
      <c r="H1106" s="181"/>
      <c r="I1106" s="181"/>
      <c r="J1106" s="181"/>
      <c r="K1106" s="181"/>
      <c r="L1106" s="181"/>
      <c r="M1106" s="181"/>
      <c r="N1106" s="181"/>
      <c r="O1106" s="181"/>
      <c r="P1106" s="181"/>
      <c r="Q1106" s="181"/>
      <c r="R1106" s="181"/>
      <c r="S1106" s="181"/>
      <c r="T1106" s="181"/>
      <c r="U1106" s="181"/>
      <c r="V1106" s="181"/>
      <c r="W1106" s="181"/>
      <c r="X1106" s="181"/>
      <c r="Y1106" s="181"/>
      <c r="Z1106" s="181"/>
    </row>
    <row r="1107">
      <c r="A1107" s="194"/>
      <c r="B1107" s="195"/>
      <c r="C1107" s="181"/>
      <c r="D1107" s="194"/>
      <c r="E1107" s="194"/>
      <c r="F1107" s="181"/>
      <c r="G1107" s="181"/>
      <c r="H1107" s="181"/>
      <c r="I1107" s="181"/>
      <c r="J1107" s="181"/>
      <c r="K1107" s="181"/>
      <c r="L1107" s="181"/>
      <c r="M1107" s="181"/>
      <c r="N1107" s="181"/>
      <c r="O1107" s="181"/>
      <c r="P1107" s="181"/>
      <c r="Q1107" s="181"/>
      <c r="R1107" s="181"/>
      <c r="S1107" s="181"/>
      <c r="T1107" s="181"/>
      <c r="U1107" s="181"/>
      <c r="V1107" s="181"/>
      <c r="W1107" s="181"/>
      <c r="X1107" s="181"/>
      <c r="Y1107" s="181"/>
      <c r="Z1107" s="181"/>
    </row>
    <row r="1108">
      <c r="A1108" s="194"/>
      <c r="B1108" s="195"/>
      <c r="C1108" s="181"/>
      <c r="D1108" s="194"/>
      <c r="E1108" s="194"/>
      <c r="F1108" s="181"/>
      <c r="G1108" s="181"/>
      <c r="H1108" s="181"/>
      <c r="I1108" s="181"/>
      <c r="J1108" s="181"/>
      <c r="K1108" s="181"/>
      <c r="L1108" s="181"/>
      <c r="M1108" s="181"/>
      <c r="N1108" s="181"/>
      <c r="O1108" s="181"/>
      <c r="P1108" s="181"/>
      <c r="Q1108" s="181"/>
      <c r="R1108" s="181"/>
      <c r="S1108" s="181"/>
      <c r="T1108" s="181"/>
      <c r="U1108" s="181"/>
      <c r="V1108" s="181"/>
      <c r="W1108" s="181"/>
      <c r="X1108" s="181"/>
      <c r="Y1108" s="181"/>
      <c r="Z1108" s="181"/>
    </row>
    <row r="1109">
      <c r="A1109" s="194"/>
      <c r="B1109" s="195"/>
      <c r="C1109" s="181"/>
      <c r="D1109" s="194"/>
      <c r="E1109" s="194"/>
      <c r="F1109" s="181"/>
      <c r="G1109" s="181"/>
      <c r="H1109" s="181"/>
      <c r="I1109" s="181"/>
      <c r="J1109" s="181"/>
      <c r="K1109" s="181"/>
      <c r="L1109" s="181"/>
      <c r="M1109" s="181"/>
      <c r="N1109" s="181"/>
      <c r="O1109" s="181"/>
      <c r="P1109" s="181"/>
      <c r="Q1109" s="181"/>
      <c r="R1109" s="181"/>
      <c r="S1109" s="181"/>
      <c r="T1109" s="181"/>
      <c r="U1109" s="181"/>
      <c r="V1109" s="181"/>
      <c r="W1109" s="181"/>
      <c r="X1109" s="181"/>
      <c r="Y1109" s="181"/>
      <c r="Z1109" s="181"/>
    </row>
    <row r="1110">
      <c r="A1110" s="194"/>
      <c r="B1110" s="195"/>
      <c r="C1110" s="181"/>
      <c r="D1110" s="194"/>
      <c r="E1110" s="194"/>
      <c r="F1110" s="181"/>
      <c r="G1110" s="181"/>
      <c r="H1110" s="181"/>
      <c r="I1110" s="181"/>
      <c r="J1110" s="181"/>
      <c r="K1110" s="181"/>
      <c r="L1110" s="181"/>
      <c r="M1110" s="181"/>
      <c r="N1110" s="181"/>
      <c r="O1110" s="181"/>
      <c r="P1110" s="181"/>
      <c r="Q1110" s="181"/>
      <c r="R1110" s="181"/>
      <c r="S1110" s="181"/>
      <c r="T1110" s="181"/>
      <c r="U1110" s="181"/>
      <c r="V1110" s="181"/>
      <c r="W1110" s="181"/>
      <c r="X1110" s="181"/>
      <c r="Y1110" s="181"/>
      <c r="Z1110" s="181"/>
    </row>
    <row r="1111">
      <c r="A1111" s="194"/>
      <c r="B1111" s="195"/>
      <c r="C1111" s="181"/>
      <c r="D1111" s="194"/>
      <c r="E1111" s="194"/>
      <c r="F1111" s="181"/>
      <c r="G1111" s="181"/>
      <c r="H1111" s="181"/>
      <c r="I1111" s="181"/>
      <c r="J1111" s="181"/>
      <c r="K1111" s="181"/>
      <c r="L1111" s="181"/>
      <c r="M1111" s="181"/>
      <c r="N1111" s="181"/>
      <c r="O1111" s="181"/>
      <c r="P1111" s="181"/>
      <c r="Q1111" s="181"/>
      <c r="R1111" s="181"/>
      <c r="S1111" s="181"/>
      <c r="T1111" s="181"/>
      <c r="U1111" s="181"/>
      <c r="V1111" s="181"/>
      <c r="W1111" s="181"/>
      <c r="X1111" s="181"/>
      <c r="Y1111" s="181"/>
      <c r="Z1111" s="181"/>
    </row>
    <row r="1112">
      <c r="A1112" s="194"/>
      <c r="B1112" s="195"/>
      <c r="C1112" s="181"/>
      <c r="D1112" s="194"/>
      <c r="E1112" s="194"/>
      <c r="F1112" s="181"/>
      <c r="G1112" s="181"/>
      <c r="H1112" s="181"/>
      <c r="I1112" s="181"/>
      <c r="J1112" s="181"/>
      <c r="K1112" s="181"/>
      <c r="L1112" s="181"/>
      <c r="M1112" s="181"/>
      <c r="N1112" s="181"/>
      <c r="O1112" s="181"/>
      <c r="P1112" s="181"/>
      <c r="Q1112" s="181"/>
      <c r="R1112" s="181"/>
      <c r="S1112" s="181"/>
      <c r="T1112" s="181"/>
      <c r="U1112" s="181"/>
      <c r="V1112" s="181"/>
      <c r="W1112" s="181"/>
      <c r="X1112" s="181"/>
      <c r="Y1112" s="181"/>
      <c r="Z1112" s="181"/>
    </row>
    <row r="1113">
      <c r="A1113" s="194"/>
      <c r="B1113" s="195"/>
      <c r="C1113" s="181"/>
      <c r="D1113" s="194"/>
      <c r="E1113" s="194"/>
      <c r="F1113" s="181"/>
      <c r="G1113" s="181"/>
      <c r="H1113" s="181"/>
      <c r="I1113" s="181"/>
      <c r="J1113" s="181"/>
      <c r="K1113" s="181"/>
      <c r="L1113" s="181"/>
      <c r="M1113" s="181"/>
      <c r="N1113" s="181"/>
      <c r="O1113" s="181"/>
      <c r="P1113" s="181"/>
      <c r="Q1113" s="181"/>
      <c r="R1113" s="181"/>
      <c r="S1113" s="181"/>
      <c r="T1113" s="181"/>
      <c r="U1113" s="181"/>
      <c r="V1113" s="181"/>
      <c r="W1113" s="181"/>
      <c r="X1113" s="181"/>
      <c r="Y1113" s="181"/>
      <c r="Z1113" s="181"/>
    </row>
    <row r="1114">
      <c r="A1114" s="194"/>
      <c r="B1114" s="195"/>
      <c r="C1114" s="181"/>
      <c r="D1114" s="194"/>
      <c r="E1114" s="194"/>
      <c r="F1114" s="181"/>
      <c r="G1114" s="181"/>
      <c r="H1114" s="181"/>
      <c r="I1114" s="181"/>
      <c r="J1114" s="181"/>
      <c r="K1114" s="181"/>
      <c r="L1114" s="181"/>
      <c r="M1114" s="181"/>
      <c r="N1114" s="181"/>
      <c r="O1114" s="181"/>
      <c r="P1114" s="181"/>
      <c r="Q1114" s="181"/>
      <c r="R1114" s="181"/>
      <c r="S1114" s="181"/>
      <c r="T1114" s="181"/>
      <c r="U1114" s="181"/>
      <c r="V1114" s="181"/>
      <c r="W1114" s="181"/>
      <c r="X1114" s="181"/>
      <c r="Y1114" s="181"/>
      <c r="Z1114" s="181"/>
    </row>
    <row r="1115">
      <c r="A1115" s="194"/>
      <c r="B1115" s="195"/>
      <c r="C1115" s="181"/>
      <c r="D1115" s="194"/>
      <c r="E1115" s="194"/>
      <c r="F1115" s="181"/>
      <c r="G1115" s="181"/>
      <c r="H1115" s="181"/>
      <c r="I1115" s="181"/>
      <c r="J1115" s="181"/>
      <c r="K1115" s="181"/>
      <c r="L1115" s="181"/>
      <c r="M1115" s="181"/>
      <c r="N1115" s="181"/>
      <c r="O1115" s="181"/>
      <c r="P1115" s="181"/>
      <c r="Q1115" s="181"/>
      <c r="R1115" s="181"/>
      <c r="S1115" s="181"/>
      <c r="T1115" s="181"/>
      <c r="U1115" s="181"/>
      <c r="V1115" s="181"/>
      <c r="W1115" s="181"/>
      <c r="X1115" s="181"/>
      <c r="Y1115" s="181"/>
      <c r="Z1115" s="181"/>
    </row>
    <row r="1116">
      <c r="A1116" s="194"/>
      <c r="B1116" s="195"/>
      <c r="C1116" s="181"/>
      <c r="D1116" s="194"/>
      <c r="E1116" s="194"/>
      <c r="F1116" s="181"/>
      <c r="G1116" s="181"/>
      <c r="H1116" s="181"/>
      <c r="I1116" s="181"/>
      <c r="J1116" s="181"/>
      <c r="K1116" s="181"/>
      <c r="L1116" s="181"/>
      <c r="M1116" s="181"/>
      <c r="N1116" s="181"/>
      <c r="O1116" s="181"/>
      <c r="P1116" s="181"/>
      <c r="Q1116" s="181"/>
      <c r="R1116" s="181"/>
      <c r="S1116" s="181"/>
      <c r="T1116" s="181"/>
      <c r="U1116" s="181"/>
      <c r="V1116" s="181"/>
      <c r="W1116" s="181"/>
      <c r="X1116" s="181"/>
      <c r="Y1116" s="181"/>
      <c r="Z1116" s="181"/>
    </row>
    <row r="1117">
      <c r="A1117" s="194"/>
      <c r="B1117" s="195"/>
      <c r="C1117" s="181"/>
      <c r="D1117" s="194"/>
      <c r="E1117" s="194"/>
      <c r="F1117" s="181"/>
      <c r="G1117" s="181"/>
      <c r="H1117" s="181"/>
      <c r="I1117" s="181"/>
      <c r="J1117" s="181"/>
      <c r="K1117" s="181"/>
      <c r="L1117" s="181"/>
      <c r="M1117" s="181"/>
      <c r="N1117" s="181"/>
      <c r="O1117" s="181"/>
      <c r="P1117" s="181"/>
      <c r="Q1117" s="181"/>
      <c r="R1117" s="181"/>
      <c r="S1117" s="181"/>
      <c r="T1117" s="181"/>
      <c r="U1117" s="181"/>
      <c r="V1117" s="181"/>
      <c r="W1117" s="181"/>
      <c r="X1117" s="181"/>
      <c r="Y1117" s="181"/>
      <c r="Z1117" s="181"/>
    </row>
    <row r="1118">
      <c r="A1118" s="194"/>
      <c r="B1118" s="195"/>
      <c r="C1118" s="181"/>
      <c r="D1118" s="194"/>
      <c r="E1118" s="194"/>
      <c r="F1118" s="181"/>
      <c r="G1118" s="181"/>
      <c r="H1118" s="181"/>
      <c r="I1118" s="181"/>
      <c r="J1118" s="181"/>
      <c r="K1118" s="181"/>
      <c r="L1118" s="181"/>
      <c r="M1118" s="181"/>
      <c r="N1118" s="181"/>
      <c r="O1118" s="181"/>
      <c r="P1118" s="181"/>
      <c r="Q1118" s="181"/>
      <c r="R1118" s="181"/>
      <c r="S1118" s="181"/>
      <c r="T1118" s="181"/>
      <c r="U1118" s="181"/>
      <c r="V1118" s="181"/>
      <c r="W1118" s="181"/>
      <c r="X1118" s="181"/>
      <c r="Y1118" s="181"/>
      <c r="Z1118" s="181"/>
    </row>
    <row r="1119">
      <c r="A1119" s="194"/>
      <c r="B1119" s="195"/>
      <c r="C1119" s="181"/>
      <c r="D1119" s="194"/>
      <c r="E1119" s="194"/>
      <c r="F1119" s="181"/>
      <c r="G1119" s="181"/>
      <c r="H1119" s="181"/>
      <c r="I1119" s="181"/>
      <c r="J1119" s="181"/>
      <c r="K1119" s="181"/>
      <c r="L1119" s="181"/>
      <c r="M1119" s="181"/>
      <c r="N1119" s="181"/>
      <c r="O1119" s="181"/>
      <c r="P1119" s="181"/>
      <c r="Q1119" s="181"/>
      <c r="R1119" s="181"/>
      <c r="S1119" s="181"/>
      <c r="T1119" s="181"/>
      <c r="U1119" s="181"/>
      <c r="V1119" s="181"/>
      <c r="W1119" s="181"/>
      <c r="X1119" s="181"/>
      <c r="Y1119" s="181"/>
      <c r="Z1119" s="181"/>
    </row>
    <row r="1120">
      <c r="A1120" s="194"/>
      <c r="B1120" s="195"/>
      <c r="C1120" s="181"/>
      <c r="D1120" s="194"/>
      <c r="E1120" s="194"/>
      <c r="F1120" s="181"/>
      <c r="G1120" s="181"/>
      <c r="H1120" s="181"/>
      <c r="I1120" s="181"/>
      <c r="J1120" s="181"/>
      <c r="K1120" s="181"/>
      <c r="L1120" s="181"/>
      <c r="M1120" s="181"/>
      <c r="N1120" s="181"/>
      <c r="O1120" s="181"/>
      <c r="P1120" s="181"/>
      <c r="Q1120" s="181"/>
      <c r="R1120" s="181"/>
      <c r="S1120" s="181"/>
      <c r="T1120" s="181"/>
      <c r="U1120" s="181"/>
      <c r="V1120" s="181"/>
      <c r="W1120" s="181"/>
      <c r="X1120" s="181"/>
      <c r="Y1120" s="181"/>
      <c r="Z1120" s="181"/>
    </row>
    <row r="1121">
      <c r="A1121" s="194"/>
      <c r="B1121" s="195"/>
      <c r="C1121" s="181"/>
      <c r="D1121" s="194"/>
      <c r="E1121" s="194"/>
      <c r="F1121" s="181"/>
      <c r="G1121" s="181"/>
      <c r="H1121" s="181"/>
      <c r="I1121" s="181"/>
      <c r="J1121" s="181"/>
      <c r="K1121" s="181"/>
      <c r="L1121" s="181"/>
      <c r="M1121" s="181"/>
      <c r="N1121" s="181"/>
      <c r="O1121" s="181"/>
      <c r="P1121" s="181"/>
      <c r="Q1121" s="181"/>
      <c r="R1121" s="181"/>
      <c r="S1121" s="181"/>
      <c r="T1121" s="181"/>
      <c r="U1121" s="181"/>
      <c r="V1121" s="181"/>
      <c r="W1121" s="181"/>
      <c r="X1121" s="181"/>
      <c r="Y1121" s="181"/>
      <c r="Z1121" s="181"/>
    </row>
    <row r="1122">
      <c r="A1122" s="194"/>
      <c r="B1122" s="195"/>
      <c r="C1122" s="181"/>
      <c r="D1122" s="194"/>
      <c r="E1122" s="194"/>
      <c r="F1122" s="181"/>
      <c r="G1122" s="181"/>
      <c r="H1122" s="181"/>
      <c r="I1122" s="181"/>
      <c r="J1122" s="181"/>
      <c r="K1122" s="181"/>
      <c r="L1122" s="181"/>
      <c r="M1122" s="181"/>
      <c r="N1122" s="181"/>
      <c r="O1122" s="181"/>
      <c r="P1122" s="181"/>
      <c r="Q1122" s="181"/>
      <c r="R1122" s="181"/>
      <c r="S1122" s="181"/>
      <c r="T1122" s="181"/>
      <c r="U1122" s="181"/>
      <c r="V1122" s="181"/>
      <c r="W1122" s="181"/>
      <c r="X1122" s="181"/>
      <c r="Y1122" s="181"/>
      <c r="Z1122" s="181"/>
    </row>
    <row r="1123">
      <c r="A1123" s="194"/>
      <c r="B1123" s="195"/>
      <c r="C1123" s="181"/>
      <c r="D1123" s="194"/>
      <c r="E1123" s="194"/>
      <c r="F1123" s="181"/>
      <c r="G1123" s="181"/>
      <c r="H1123" s="181"/>
      <c r="I1123" s="181"/>
      <c r="J1123" s="181"/>
      <c r="K1123" s="181"/>
      <c r="L1123" s="181"/>
      <c r="M1123" s="181"/>
      <c r="N1123" s="181"/>
      <c r="O1123" s="181"/>
      <c r="P1123" s="181"/>
      <c r="Q1123" s="181"/>
      <c r="R1123" s="181"/>
      <c r="S1123" s="181"/>
      <c r="T1123" s="181"/>
      <c r="U1123" s="181"/>
      <c r="V1123" s="181"/>
      <c r="W1123" s="181"/>
      <c r="X1123" s="181"/>
      <c r="Y1123" s="181"/>
      <c r="Z1123" s="181"/>
    </row>
    <row r="1124">
      <c r="A1124" s="194"/>
      <c r="B1124" s="195"/>
      <c r="C1124" s="181"/>
      <c r="D1124" s="194"/>
      <c r="E1124" s="194"/>
      <c r="F1124" s="181"/>
      <c r="G1124" s="181"/>
      <c r="H1124" s="181"/>
      <c r="I1124" s="181"/>
      <c r="J1124" s="181"/>
      <c r="K1124" s="181"/>
      <c r="L1124" s="181"/>
      <c r="M1124" s="181"/>
      <c r="N1124" s="181"/>
      <c r="O1124" s="181"/>
      <c r="P1124" s="181"/>
      <c r="Q1124" s="181"/>
      <c r="R1124" s="181"/>
      <c r="S1124" s="181"/>
      <c r="T1124" s="181"/>
      <c r="U1124" s="181"/>
      <c r="V1124" s="181"/>
      <c r="W1124" s="181"/>
      <c r="X1124" s="181"/>
      <c r="Y1124" s="181"/>
      <c r="Z1124" s="181"/>
    </row>
    <row r="1125">
      <c r="A1125" s="194"/>
      <c r="B1125" s="195"/>
      <c r="C1125" s="181"/>
      <c r="D1125" s="194"/>
      <c r="E1125" s="194"/>
      <c r="F1125" s="181"/>
      <c r="G1125" s="181"/>
      <c r="H1125" s="181"/>
      <c r="I1125" s="181"/>
      <c r="J1125" s="181"/>
      <c r="K1125" s="181"/>
      <c r="L1125" s="181"/>
      <c r="M1125" s="181"/>
      <c r="N1125" s="181"/>
      <c r="O1125" s="181"/>
      <c r="P1125" s="181"/>
      <c r="Q1125" s="181"/>
      <c r="R1125" s="181"/>
      <c r="S1125" s="181"/>
      <c r="T1125" s="181"/>
      <c r="U1125" s="181"/>
      <c r="V1125" s="181"/>
      <c r="W1125" s="181"/>
      <c r="X1125" s="181"/>
      <c r="Y1125" s="181"/>
      <c r="Z1125" s="181"/>
    </row>
    <row r="1126">
      <c r="A1126" s="194"/>
      <c r="B1126" s="195"/>
      <c r="C1126" s="181"/>
      <c r="D1126" s="194"/>
      <c r="E1126" s="194"/>
      <c r="F1126" s="181"/>
      <c r="G1126" s="181"/>
      <c r="H1126" s="181"/>
      <c r="I1126" s="181"/>
      <c r="J1126" s="181"/>
      <c r="K1126" s="181"/>
      <c r="L1126" s="181"/>
      <c r="M1126" s="181"/>
      <c r="N1126" s="181"/>
      <c r="O1126" s="181"/>
      <c r="P1126" s="181"/>
      <c r="Q1126" s="181"/>
      <c r="R1126" s="181"/>
      <c r="S1126" s="181"/>
      <c r="T1126" s="181"/>
      <c r="U1126" s="181"/>
      <c r="V1126" s="181"/>
      <c r="W1126" s="181"/>
      <c r="X1126" s="181"/>
      <c r="Y1126" s="181"/>
      <c r="Z1126" s="181"/>
    </row>
    <row r="1127">
      <c r="A1127" s="194"/>
      <c r="B1127" s="195"/>
      <c r="C1127" s="181"/>
      <c r="D1127" s="194"/>
      <c r="E1127" s="194"/>
      <c r="F1127" s="181"/>
      <c r="G1127" s="181"/>
      <c r="H1127" s="181"/>
      <c r="I1127" s="181"/>
      <c r="J1127" s="181"/>
      <c r="K1127" s="181"/>
      <c r="L1127" s="181"/>
      <c r="M1127" s="181"/>
      <c r="N1127" s="181"/>
      <c r="O1127" s="181"/>
      <c r="P1127" s="181"/>
      <c r="Q1127" s="181"/>
      <c r="R1127" s="181"/>
      <c r="S1127" s="181"/>
      <c r="T1127" s="181"/>
      <c r="U1127" s="181"/>
      <c r="V1127" s="181"/>
      <c r="W1127" s="181"/>
      <c r="X1127" s="181"/>
      <c r="Y1127" s="181"/>
      <c r="Z1127" s="181"/>
    </row>
    <row r="1128">
      <c r="A1128" s="194"/>
      <c r="B1128" s="195"/>
      <c r="C1128" s="181"/>
      <c r="D1128" s="194"/>
      <c r="E1128" s="194"/>
      <c r="F1128" s="181"/>
      <c r="G1128" s="181"/>
      <c r="H1128" s="181"/>
      <c r="I1128" s="181"/>
      <c r="J1128" s="181"/>
      <c r="K1128" s="181"/>
      <c r="L1128" s="181"/>
      <c r="M1128" s="181"/>
      <c r="N1128" s="181"/>
      <c r="O1128" s="181"/>
      <c r="P1128" s="181"/>
      <c r="Q1128" s="181"/>
      <c r="R1128" s="181"/>
      <c r="S1128" s="181"/>
      <c r="T1128" s="181"/>
      <c r="U1128" s="181"/>
      <c r="V1128" s="181"/>
      <c r="W1128" s="181"/>
      <c r="X1128" s="181"/>
      <c r="Y1128" s="181"/>
      <c r="Z1128" s="181"/>
    </row>
    <row r="1129">
      <c r="A1129" s="194"/>
      <c r="B1129" s="195"/>
      <c r="C1129" s="181"/>
      <c r="D1129" s="194"/>
      <c r="E1129" s="194"/>
      <c r="F1129" s="181"/>
      <c r="G1129" s="181"/>
      <c r="H1129" s="181"/>
      <c r="I1129" s="181"/>
      <c r="J1129" s="181"/>
      <c r="K1129" s="181"/>
      <c r="L1129" s="181"/>
      <c r="M1129" s="181"/>
      <c r="N1129" s="181"/>
      <c r="O1129" s="181"/>
      <c r="P1129" s="181"/>
      <c r="Q1129" s="181"/>
      <c r="R1129" s="181"/>
      <c r="S1129" s="181"/>
      <c r="T1129" s="181"/>
      <c r="U1129" s="181"/>
      <c r="V1129" s="181"/>
      <c r="W1129" s="181"/>
      <c r="X1129" s="181"/>
      <c r="Y1129" s="181"/>
      <c r="Z1129" s="181"/>
    </row>
    <row r="1130">
      <c r="A1130" s="194"/>
      <c r="B1130" s="195"/>
      <c r="C1130" s="181"/>
      <c r="D1130" s="194"/>
      <c r="E1130" s="194"/>
      <c r="F1130" s="181"/>
      <c r="G1130" s="181"/>
      <c r="H1130" s="181"/>
      <c r="I1130" s="181"/>
      <c r="J1130" s="181"/>
      <c r="K1130" s="181"/>
      <c r="L1130" s="181"/>
      <c r="M1130" s="181"/>
      <c r="N1130" s="181"/>
      <c r="O1130" s="181"/>
      <c r="P1130" s="181"/>
      <c r="Q1130" s="181"/>
      <c r="R1130" s="181"/>
      <c r="S1130" s="181"/>
      <c r="T1130" s="181"/>
      <c r="U1130" s="181"/>
      <c r="V1130" s="181"/>
      <c r="W1130" s="181"/>
      <c r="X1130" s="181"/>
      <c r="Y1130" s="181"/>
      <c r="Z1130" s="181"/>
    </row>
    <row r="1131">
      <c r="A1131" s="194"/>
      <c r="B1131" s="195"/>
      <c r="C1131" s="181"/>
      <c r="D1131" s="194"/>
      <c r="E1131" s="194"/>
      <c r="F1131" s="181"/>
      <c r="G1131" s="181"/>
      <c r="H1131" s="181"/>
      <c r="I1131" s="181"/>
      <c r="J1131" s="181"/>
      <c r="K1131" s="181"/>
      <c r="L1131" s="181"/>
      <c r="M1131" s="181"/>
      <c r="N1131" s="181"/>
      <c r="O1131" s="181"/>
      <c r="P1131" s="181"/>
      <c r="Q1131" s="181"/>
      <c r="R1131" s="181"/>
      <c r="S1131" s="181"/>
      <c r="T1131" s="181"/>
      <c r="U1131" s="181"/>
      <c r="V1131" s="181"/>
      <c r="W1131" s="181"/>
      <c r="X1131" s="181"/>
      <c r="Y1131" s="181"/>
      <c r="Z1131" s="181"/>
    </row>
    <row r="1132">
      <c r="A1132" s="194"/>
      <c r="B1132" s="195"/>
      <c r="C1132" s="181"/>
      <c r="D1132" s="194"/>
      <c r="E1132" s="194"/>
      <c r="F1132" s="181"/>
      <c r="G1132" s="181"/>
      <c r="H1132" s="181"/>
      <c r="I1132" s="181"/>
      <c r="J1132" s="181"/>
      <c r="K1132" s="181"/>
      <c r="L1132" s="181"/>
      <c r="M1132" s="181"/>
      <c r="N1132" s="181"/>
      <c r="O1132" s="181"/>
      <c r="P1132" s="181"/>
      <c r="Q1132" s="181"/>
      <c r="R1132" s="181"/>
      <c r="S1132" s="181"/>
      <c r="T1132" s="181"/>
      <c r="U1132" s="181"/>
      <c r="V1132" s="181"/>
      <c r="W1132" s="181"/>
      <c r="X1132" s="181"/>
      <c r="Y1132" s="181"/>
      <c r="Z1132" s="181"/>
    </row>
    <row r="1133">
      <c r="A1133" s="194"/>
      <c r="B1133" s="195"/>
      <c r="C1133" s="181"/>
      <c r="D1133" s="194"/>
      <c r="E1133" s="194"/>
      <c r="F1133" s="181"/>
      <c r="G1133" s="181"/>
      <c r="H1133" s="181"/>
      <c r="I1133" s="181"/>
      <c r="J1133" s="181"/>
      <c r="K1133" s="181"/>
      <c r="L1133" s="181"/>
      <c r="M1133" s="181"/>
      <c r="N1133" s="181"/>
      <c r="O1133" s="181"/>
      <c r="P1133" s="181"/>
      <c r="Q1133" s="181"/>
      <c r="R1133" s="181"/>
      <c r="S1133" s="181"/>
      <c r="T1133" s="181"/>
      <c r="U1133" s="181"/>
      <c r="V1133" s="181"/>
      <c r="W1133" s="181"/>
      <c r="X1133" s="181"/>
      <c r="Y1133" s="181"/>
      <c r="Z1133" s="181"/>
    </row>
    <row r="1134">
      <c r="A1134" s="194"/>
      <c r="B1134" s="195"/>
      <c r="C1134" s="181"/>
      <c r="D1134" s="194"/>
      <c r="E1134" s="194"/>
      <c r="F1134" s="181"/>
      <c r="G1134" s="181"/>
      <c r="H1134" s="181"/>
      <c r="I1134" s="181"/>
      <c r="J1134" s="181"/>
      <c r="K1134" s="181"/>
      <c r="L1134" s="181"/>
      <c r="M1134" s="181"/>
      <c r="N1134" s="181"/>
      <c r="O1134" s="181"/>
      <c r="P1134" s="181"/>
      <c r="Q1134" s="181"/>
      <c r="R1134" s="181"/>
      <c r="S1134" s="181"/>
      <c r="T1134" s="181"/>
      <c r="U1134" s="181"/>
      <c r="V1134" s="181"/>
      <c r="W1134" s="181"/>
      <c r="X1134" s="181"/>
      <c r="Y1134" s="181"/>
      <c r="Z1134" s="181"/>
    </row>
    <row r="1135">
      <c r="A1135" s="194"/>
      <c r="B1135" s="195"/>
      <c r="C1135" s="181"/>
      <c r="D1135" s="194"/>
      <c r="E1135" s="194"/>
      <c r="F1135" s="181"/>
      <c r="G1135" s="181"/>
      <c r="H1135" s="181"/>
      <c r="I1135" s="181"/>
      <c r="J1135" s="181"/>
      <c r="K1135" s="181"/>
      <c r="L1135" s="181"/>
      <c r="M1135" s="181"/>
      <c r="N1135" s="181"/>
      <c r="O1135" s="181"/>
      <c r="P1135" s="181"/>
      <c r="Q1135" s="181"/>
      <c r="R1135" s="181"/>
      <c r="S1135" s="181"/>
      <c r="T1135" s="181"/>
      <c r="U1135" s="181"/>
      <c r="V1135" s="181"/>
      <c r="W1135" s="181"/>
      <c r="X1135" s="181"/>
      <c r="Y1135" s="181"/>
      <c r="Z1135" s="181"/>
    </row>
    <row r="1136">
      <c r="A1136" s="194"/>
      <c r="B1136" s="195"/>
      <c r="C1136" s="181"/>
      <c r="D1136" s="194"/>
      <c r="E1136" s="194"/>
      <c r="F1136" s="181"/>
      <c r="G1136" s="181"/>
      <c r="H1136" s="181"/>
      <c r="I1136" s="181"/>
      <c r="J1136" s="181"/>
      <c r="K1136" s="181"/>
      <c r="L1136" s="181"/>
      <c r="M1136" s="181"/>
      <c r="N1136" s="181"/>
      <c r="O1136" s="181"/>
      <c r="P1136" s="181"/>
      <c r="Q1136" s="181"/>
      <c r="R1136" s="181"/>
      <c r="S1136" s="181"/>
      <c r="T1136" s="181"/>
      <c r="U1136" s="181"/>
      <c r="V1136" s="181"/>
      <c r="W1136" s="181"/>
      <c r="X1136" s="181"/>
      <c r="Y1136" s="181"/>
      <c r="Z1136" s="181"/>
    </row>
    <row r="1137">
      <c r="A1137" s="194"/>
      <c r="B1137" s="195"/>
      <c r="C1137" s="181"/>
      <c r="D1137" s="194"/>
      <c r="E1137" s="194"/>
      <c r="F1137" s="181"/>
      <c r="G1137" s="181"/>
      <c r="H1137" s="181"/>
      <c r="I1137" s="181"/>
      <c r="J1137" s="181"/>
      <c r="K1137" s="181"/>
      <c r="L1137" s="181"/>
      <c r="M1137" s="181"/>
      <c r="N1137" s="181"/>
      <c r="O1137" s="181"/>
      <c r="P1137" s="181"/>
      <c r="Q1137" s="181"/>
      <c r="R1137" s="181"/>
      <c r="S1137" s="181"/>
      <c r="T1137" s="181"/>
      <c r="U1137" s="181"/>
      <c r="V1137" s="181"/>
      <c r="W1137" s="181"/>
      <c r="X1137" s="181"/>
      <c r="Y1137" s="181"/>
      <c r="Z1137" s="181"/>
    </row>
    <row r="1138">
      <c r="A1138" s="194"/>
      <c r="B1138" s="195"/>
      <c r="C1138" s="181"/>
      <c r="D1138" s="194"/>
      <c r="E1138" s="194"/>
      <c r="F1138" s="181"/>
      <c r="G1138" s="181"/>
      <c r="H1138" s="181"/>
      <c r="I1138" s="181"/>
      <c r="J1138" s="181"/>
      <c r="K1138" s="181"/>
      <c r="L1138" s="181"/>
      <c r="M1138" s="181"/>
      <c r="N1138" s="181"/>
      <c r="O1138" s="181"/>
      <c r="P1138" s="181"/>
      <c r="Q1138" s="181"/>
      <c r="R1138" s="181"/>
      <c r="S1138" s="181"/>
      <c r="T1138" s="181"/>
      <c r="U1138" s="181"/>
      <c r="V1138" s="181"/>
      <c r="W1138" s="181"/>
      <c r="X1138" s="181"/>
      <c r="Y1138" s="181"/>
      <c r="Z1138" s="181"/>
    </row>
    <row r="1139">
      <c r="A1139" s="194"/>
      <c r="B1139" s="195"/>
      <c r="C1139" s="181"/>
      <c r="D1139" s="194"/>
      <c r="E1139" s="194"/>
      <c r="F1139" s="181"/>
      <c r="G1139" s="181"/>
      <c r="H1139" s="181"/>
      <c r="I1139" s="181"/>
      <c r="J1139" s="181"/>
      <c r="K1139" s="181"/>
      <c r="L1139" s="181"/>
      <c r="M1139" s="181"/>
      <c r="N1139" s="181"/>
      <c r="O1139" s="181"/>
      <c r="P1139" s="181"/>
      <c r="Q1139" s="181"/>
      <c r="R1139" s="181"/>
      <c r="S1139" s="181"/>
      <c r="T1139" s="181"/>
      <c r="U1139" s="181"/>
      <c r="V1139" s="181"/>
      <c r="W1139" s="181"/>
      <c r="X1139" s="181"/>
      <c r="Y1139" s="181"/>
      <c r="Z1139" s="181"/>
    </row>
    <row r="1140">
      <c r="A1140" s="194"/>
      <c r="B1140" s="195"/>
      <c r="C1140" s="181"/>
      <c r="D1140" s="194"/>
      <c r="E1140" s="194"/>
      <c r="F1140" s="181"/>
      <c r="G1140" s="181"/>
      <c r="H1140" s="181"/>
      <c r="I1140" s="181"/>
      <c r="J1140" s="181"/>
      <c r="K1140" s="181"/>
      <c r="L1140" s="181"/>
      <c r="M1140" s="181"/>
      <c r="N1140" s="181"/>
      <c r="O1140" s="181"/>
      <c r="P1140" s="181"/>
      <c r="Q1140" s="181"/>
      <c r="R1140" s="181"/>
      <c r="S1140" s="181"/>
      <c r="T1140" s="181"/>
      <c r="U1140" s="181"/>
      <c r="V1140" s="181"/>
      <c r="W1140" s="181"/>
      <c r="X1140" s="181"/>
      <c r="Y1140" s="181"/>
      <c r="Z1140" s="181"/>
    </row>
    <row r="1141">
      <c r="A1141" s="194"/>
      <c r="B1141" s="195"/>
      <c r="C1141" s="181"/>
      <c r="D1141" s="194"/>
      <c r="E1141" s="194"/>
      <c r="F1141" s="181"/>
      <c r="G1141" s="181"/>
      <c r="H1141" s="181"/>
      <c r="I1141" s="181"/>
      <c r="J1141" s="181"/>
      <c r="K1141" s="181"/>
      <c r="L1141" s="181"/>
      <c r="M1141" s="181"/>
      <c r="N1141" s="181"/>
      <c r="O1141" s="181"/>
      <c r="P1141" s="181"/>
      <c r="Q1141" s="181"/>
      <c r="R1141" s="181"/>
      <c r="S1141" s="181"/>
      <c r="T1141" s="181"/>
      <c r="U1141" s="181"/>
      <c r="V1141" s="181"/>
      <c r="W1141" s="181"/>
      <c r="X1141" s="181"/>
      <c r="Y1141" s="181"/>
      <c r="Z1141" s="181"/>
    </row>
    <row r="1142">
      <c r="A1142" s="194"/>
      <c r="B1142" s="195"/>
      <c r="C1142" s="181"/>
      <c r="D1142" s="194"/>
      <c r="E1142" s="194"/>
      <c r="F1142" s="181"/>
      <c r="G1142" s="181"/>
      <c r="H1142" s="181"/>
      <c r="I1142" s="181"/>
      <c r="J1142" s="181"/>
      <c r="K1142" s="181"/>
      <c r="L1142" s="181"/>
      <c r="M1142" s="181"/>
      <c r="N1142" s="181"/>
      <c r="O1142" s="181"/>
      <c r="P1142" s="181"/>
      <c r="Q1142" s="181"/>
      <c r="R1142" s="181"/>
      <c r="S1142" s="181"/>
      <c r="T1142" s="181"/>
      <c r="U1142" s="181"/>
      <c r="V1142" s="181"/>
      <c r="W1142" s="181"/>
      <c r="X1142" s="181"/>
      <c r="Y1142" s="181"/>
      <c r="Z1142" s="181"/>
    </row>
    <row r="1143">
      <c r="A1143" s="194"/>
      <c r="B1143" s="195"/>
      <c r="C1143" s="181"/>
      <c r="D1143" s="194"/>
      <c r="E1143" s="194"/>
      <c r="F1143" s="181"/>
      <c r="G1143" s="181"/>
      <c r="H1143" s="181"/>
      <c r="I1143" s="181"/>
      <c r="J1143" s="181"/>
      <c r="K1143" s="181"/>
      <c r="L1143" s="181"/>
      <c r="M1143" s="181"/>
      <c r="N1143" s="181"/>
      <c r="O1143" s="181"/>
      <c r="P1143" s="181"/>
      <c r="Q1143" s="181"/>
      <c r="R1143" s="181"/>
      <c r="S1143" s="181"/>
      <c r="T1143" s="181"/>
      <c r="U1143" s="181"/>
      <c r="V1143" s="181"/>
      <c r="W1143" s="181"/>
      <c r="X1143" s="181"/>
      <c r="Y1143" s="181"/>
      <c r="Z1143" s="181"/>
    </row>
    <row r="1144">
      <c r="A1144" s="194"/>
      <c r="B1144" s="195"/>
      <c r="C1144" s="181"/>
      <c r="D1144" s="194"/>
      <c r="E1144" s="194"/>
      <c r="F1144" s="181"/>
      <c r="G1144" s="181"/>
      <c r="H1144" s="181"/>
      <c r="I1144" s="181"/>
      <c r="J1144" s="181"/>
      <c r="K1144" s="181"/>
      <c r="L1144" s="181"/>
      <c r="M1144" s="181"/>
      <c r="N1144" s="181"/>
      <c r="O1144" s="181"/>
      <c r="P1144" s="181"/>
      <c r="Q1144" s="181"/>
      <c r="R1144" s="181"/>
      <c r="S1144" s="181"/>
      <c r="T1144" s="181"/>
      <c r="U1144" s="181"/>
      <c r="V1144" s="181"/>
      <c r="W1144" s="181"/>
      <c r="X1144" s="181"/>
      <c r="Y1144" s="181"/>
      <c r="Z1144" s="181"/>
    </row>
    <row r="1145">
      <c r="A1145" s="194"/>
      <c r="B1145" s="195"/>
      <c r="C1145" s="181"/>
      <c r="D1145" s="194"/>
      <c r="E1145" s="194"/>
      <c r="F1145" s="181"/>
      <c r="G1145" s="181"/>
      <c r="H1145" s="181"/>
      <c r="I1145" s="181"/>
      <c r="J1145" s="181"/>
      <c r="K1145" s="181"/>
      <c r="L1145" s="181"/>
      <c r="M1145" s="181"/>
      <c r="N1145" s="181"/>
      <c r="O1145" s="181"/>
      <c r="P1145" s="181"/>
      <c r="Q1145" s="181"/>
      <c r="R1145" s="181"/>
      <c r="S1145" s="181"/>
      <c r="T1145" s="181"/>
      <c r="U1145" s="181"/>
      <c r="V1145" s="181"/>
      <c r="W1145" s="181"/>
      <c r="X1145" s="181"/>
      <c r="Y1145" s="181"/>
      <c r="Z1145" s="181"/>
    </row>
    <row r="1146">
      <c r="A1146" s="194"/>
      <c r="B1146" s="195"/>
      <c r="C1146" s="181"/>
      <c r="D1146" s="194"/>
      <c r="E1146" s="194"/>
      <c r="F1146" s="181"/>
      <c r="G1146" s="181"/>
      <c r="H1146" s="181"/>
      <c r="I1146" s="181"/>
      <c r="J1146" s="181"/>
      <c r="K1146" s="181"/>
      <c r="L1146" s="181"/>
      <c r="M1146" s="181"/>
      <c r="N1146" s="181"/>
      <c r="O1146" s="181"/>
      <c r="P1146" s="181"/>
      <c r="Q1146" s="181"/>
      <c r="R1146" s="181"/>
      <c r="S1146" s="181"/>
      <c r="T1146" s="181"/>
      <c r="U1146" s="181"/>
      <c r="V1146" s="181"/>
      <c r="W1146" s="181"/>
      <c r="X1146" s="181"/>
      <c r="Y1146" s="181"/>
      <c r="Z1146" s="181"/>
    </row>
    <row r="1147">
      <c r="A1147" s="194"/>
      <c r="B1147" s="195"/>
      <c r="C1147" s="181"/>
      <c r="D1147" s="194"/>
      <c r="E1147" s="194"/>
      <c r="F1147" s="181"/>
      <c r="G1147" s="181"/>
      <c r="H1147" s="181"/>
      <c r="I1147" s="181"/>
      <c r="J1147" s="181"/>
      <c r="K1147" s="181"/>
      <c r="L1147" s="181"/>
      <c r="M1147" s="181"/>
      <c r="N1147" s="181"/>
      <c r="O1147" s="181"/>
      <c r="P1147" s="181"/>
      <c r="Q1147" s="181"/>
      <c r="R1147" s="181"/>
      <c r="S1147" s="181"/>
      <c r="T1147" s="181"/>
      <c r="U1147" s="181"/>
      <c r="V1147" s="181"/>
      <c r="W1147" s="181"/>
      <c r="X1147" s="181"/>
      <c r="Y1147" s="181"/>
      <c r="Z1147" s="181"/>
    </row>
    <row r="1148">
      <c r="A1148" s="194"/>
      <c r="B1148" s="195"/>
      <c r="C1148" s="181"/>
      <c r="D1148" s="194"/>
      <c r="E1148" s="194"/>
      <c r="F1148" s="181"/>
      <c r="G1148" s="181"/>
      <c r="H1148" s="181"/>
      <c r="I1148" s="181"/>
      <c r="J1148" s="181"/>
      <c r="K1148" s="181"/>
      <c r="L1148" s="181"/>
      <c r="M1148" s="181"/>
      <c r="N1148" s="181"/>
      <c r="O1148" s="181"/>
      <c r="P1148" s="181"/>
      <c r="Q1148" s="181"/>
      <c r="R1148" s="181"/>
      <c r="S1148" s="181"/>
      <c r="T1148" s="181"/>
      <c r="U1148" s="181"/>
      <c r="V1148" s="181"/>
      <c r="W1148" s="181"/>
      <c r="X1148" s="181"/>
      <c r="Y1148" s="181"/>
      <c r="Z1148" s="181"/>
    </row>
    <row r="1149">
      <c r="A1149" s="194"/>
      <c r="B1149" s="195"/>
      <c r="C1149" s="181"/>
      <c r="D1149" s="194"/>
      <c r="E1149" s="194"/>
      <c r="F1149" s="181"/>
      <c r="G1149" s="181"/>
      <c r="H1149" s="181"/>
      <c r="I1149" s="181"/>
      <c r="J1149" s="181"/>
      <c r="K1149" s="181"/>
      <c r="L1149" s="181"/>
      <c r="M1149" s="181"/>
      <c r="N1149" s="181"/>
      <c r="O1149" s="181"/>
      <c r="P1149" s="181"/>
      <c r="Q1149" s="181"/>
      <c r="R1149" s="181"/>
      <c r="S1149" s="181"/>
      <c r="T1149" s="181"/>
      <c r="U1149" s="181"/>
      <c r="V1149" s="181"/>
      <c r="W1149" s="181"/>
      <c r="X1149" s="181"/>
      <c r="Y1149" s="181"/>
      <c r="Z1149" s="181"/>
    </row>
    <row r="1150">
      <c r="A1150" s="194"/>
      <c r="B1150" s="195"/>
      <c r="C1150" s="181"/>
      <c r="D1150" s="194"/>
      <c r="E1150" s="194"/>
      <c r="F1150" s="181"/>
      <c r="G1150" s="181"/>
      <c r="H1150" s="181"/>
      <c r="I1150" s="181"/>
      <c r="J1150" s="181"/>
      <c r="K1150" s="181"/>
      <c r="L1150" s="181"/>
      <c r="M1150" s="181"/>
      <c r="N1150" s="181"/>
      <c r="O1150" s="181"/>
      <c r="P1150" s="181"/>
      <c r="Q1150" s="181"/>
      <c r="R1150" s="181"/>
      <c r="S1150" s="181"/>
      <c r="T1150" s="181"/>
      <c r="U1150" s="181"/>
      <c r="V1150" s="181"/>
      <c r="W1150" s="181"/>
      <c r="X1150" s="181"/>
      <c r="Y1150" s="181"/>
      <c r="Z1150" s="181"/>
    </row>
    <row r="1151">
      <c r="A1151" s="194"/>
      <c r="B1151" s="195"/>
      <c r="C1151" s="181"/>
      <c r="D1151" s="194"/>
      <c r="E1151" s="194"/>
      <c r="F1151" s="181"/>
      <c r="G1151" s="181"/>
      <c r="H1151" s="181"/>
      <c r="I1151" s="181"/>
      <c r="J1151" s="181"/>
      <c r="K1151" s="181"/>
      <c r="L1151" s="181"/>
      <c r="M1151" s="181"/>
      <c r="N1151" s="181"/>
      <c r="O1151" s="181"/>
      <c r="P1151" s="181"/>
      <c r="Q1151" s="181"/>
      <c r="R1151" s="181"/>
      <c r="S1151" s="181"/>
      <c r="T1151" s="181"/>
      <c r="U1151" s="181"/>
      <c r="V1151" s="181"/>
      <c r="W1151" s="181"/>
      <c r="X1151" s="181"/>
      <c r="Y1151" s="181"/>
      <c r="Z1151" s="181"/>
    </row>
    <row r="1152">
      <c r="A1152" s="194"/>
      <c r="B1152" s="195"/>
      <c r="C1152" s="181"/>
      <c r="D1152" s="194"/>
      <c r="E1152" s="194"/>
      <c r="F1152" s="181"/>
      <c r="G1152" s="181"/>
      <c r="H1152" s="181"/>
      <c r="I1152" s="181"/>
      <c r="J1152" s="181"/>
      <c r="K1152" s="181"/>
      <c r="L1152" s="181"/>
      <c r="M1152" s="181"/>
      <c r="N1152" s="181"/>
      <c r="O1152" s="181"/>
      <c r="P1152" s="181"/>
      <c r="Q1152" s="181"/>
      <c r="R1152" s="181"/>
      <c r="S1152" s="181"/>
      <c r="T1152" s="181"/>
      <c r="U1152" s="181"/>
      <c r="V1152" s="181"/>
      <c r="W1152" s="181"/>
      <c r="X1152" s="181"/>
      <c r="Y1152" s="181"/>
      <c r="Z1152" s="181"/>
    </row>
    <row r="1153">
      <c r="A1153" s="194"/>
      <c r="B1153" s="195"/>
      <c r="C1153" s="181"/>
      <c r="D1153" s="194"/>
      <c r="E1153" s="194"/>
      <c r="F1153" s="181"/>
      <c r="G1153" s="181"/>
      <c r="H1153" s="181"/>
      <c r="I1153" s="181"/>
      <c r="J1153" s="181"/>
      <c r="K1153" s="181"/>
      <c r="L1153" s="181"/>
      <c r="M1153" s="181"/>
      <c r="N1153" s="181"/>
      <c r="O1153" s="181"/>
      <c r="P1153" s="181"/>
      <c r="Q1153" s="181"/>
      <c r="R1153" s="181"/>
      <c r="S1153" s="181"/>
      <c r="T1153" s="181"/>
      <c r="U1153" s="181"/>
      <c r="V1153" s="181"/>
      <c r="W1153" s="181"/>
      <c r="X1153" s="181"/>
      <c r="Y1153" s="181"/>
      <c r="Z1153" s="181"/>
    </row>
    <row r="1154">
      <c r="A1154" s="194"/>
      <c r="B1154" s="195"/>
      <c r="C1154" s="181"/>
      <c r="D1154" s="194"/>
      <c r="E1154" s="194"/>
      <c r="F1154" s="181"/>
      <c r="G1154" s="181"/>
      <c r="H1154" s="181"/>
      <c r="I1154" s="181"/>
      <c r="J1154" s="181"/>
      <c r="K1154" s="181"/>
      <c r="L1154" s="181"/>
      <c r="M1154" s="181"/>
      <c r="N1154" s="181"/>
      <c r="O1154" s="181"/>
      <c r="P1154" s="181"/>
      <c r="Q1154" s="181"/>
      <c r="R1154" s="181"/>
      <c r="S1154" s="181"/>
      <c r="T1154" s="181"/>
      <c r="U1154" s="181"/>
      <c r="V1154" s="181"/>
      <c r="W1154" s="181"/>
      <c r="X1154" s="181"/>
      <c r="Y1154" s="181"/>
      <c r="Z1154" s="181"/>
    </row>
    <row r="1155">
      <c r="A1155" s="194"/>
      <c r="B1155" s="195"/>
      <c r="C1155" s="181"/>
      <c r="D1155" s="194"/>
      <c r="E1155" s="194"/>
      <c r="F1155" s="181"/>
      <c r="G1155" s="181"/>
      <c r="H1155" s="181"/>
      <c r="I1155" s="181"/>
      <c r="J1155" s="181"/>
      <c r="K1155" s="181"/>
      <c r="L1155" s="181"/>
      <c r="M1155" s="181"/>
      <c r="N1155" s="181"/>
      <c r="O1155" s="181"/>
      <c r="P1155" s="181"/>
      <c r="Q1155" s="181"/>
      <c r="R1155" s="181"/>
      <c r="S1155" s="181"/>
      <c r="T1155" s="181"/>
      <c r="U1155" s="181"/>
      <c r="V1155" s="181"/>
      <c r="W1155" s="181"/>
      <c r="X1155" s="181"/>
      <c r="Y1155" s="181"/>
      <c r="Z1155" s="181"/>
    </row>
    <row r="1156">
      <c r="A1156" s="194"/>
      <c r="B1156" s="195"/>
      <c r="C1156" s="181"/>
      <c r="D1156" s="194"/>
      <c r="E1156" s="194"/>
      <c r="F1156" s="181"/>
      <c r="G1156" s="181"/>
      <c r="H1156" s="181"/>
      <c r="I1156" s="181"/>
      <c r="J1156" s="181"/>
      <c r="K1156" s="181"/>
      <c r="L1156" s="181"/>
      <c r="M1156" s="181"/>
      <c r="N1156" s="181"/>
      <c r="O1156" s="181"/>
      <c r="P1156" s="181"/>
      <c r="Q1156" s="181"/>
      <c r="R1156" s="181"/>
      <c r="S1156" s="181"/>
      <c r="T1156" s="181"/>
      <c r="U1156" s="181"/>
      <c r="V1156" s="181"/>
      <c r="W1156" s="181"/>
      <c r="X1156" s="181"/>
      <c r="Y1156" s="181"/>
      <c r="Z1156" s="181"/>
    </row>
    <row r="1157">
      <c r="A1157" s="194"/>
      <c r="B1157" s="195"/>
      <c r="C1157" s="181"/>
      <c r="D1157" s="194"/>
      <c r="E1157" s="194"/>
      <c r="F1157" s="181"/>
      <c r="G1157" s="181"/>
      <c r="H1157" s="181"/>
      <c r="I1157" s="181"/>
      <c r="J1157" s="181"/>
      <c r="K1157" s="181"/>
      <c r="L1157" s="181"/>
      <c r="M1157" s="181"/>
      <c r="N1157" s="181"/>
      <c r="O1157" s="181"/>
      <c r="P1157" s="181"/>
      <c r="Q1157" s="181"/>
      <c r="R1157" s="181"/>
      <c r="S1157" s="181"/>
      <c r="T1157" s="181"/>
      <c r="U1157" s="181"/>
      <c r="V1157" s="181"/>
      <c r="W1157" s="181"/>
      <c r="X1157" s="181"/>
      <c r="Y1157" s="181"/>
      <c r="Z1157" s="181"/>
    </row>
    <row r="1158">
      <c r="A1158" s="194"/>
      <c r="B1158" s="195"/>
      <c r="C1158" s="181"/>
      <c r="D1158" s="194"/>
      <c r="E1158" s="194"/>
      <c r="F1158" s="181"/>
      <c r="G1158" s="181"/>
      <c r="H1158" s="181"/>
      <c r="I1158" s="181"/>
      <c r="J1158" s="181"/>
      <c r="K1158" s="181"/>
      <c r="L1158" s="181"/>
      <c r="M1158" s="181"/>
      <c r="N1158" s="181"/>
      <c r="O1158" s="181"/>
      <c r="P1158" s="181"/>
      <c r="Q1158" s="181"/>
      <c r="R1158" s="181"/>
      <c r="S1158" s="181"/>
      <c r="T1158" s="181"/>
      <c r="U1158" s="181"/>
      <c r="V1158" s="181"/>
      <c r="W1158" s="181"/>
      <c r="X1158" s="181"/>
      <c r="Y1158" s="181"/>
      <c r="Z1158" s="181"/>
    </row>
    <row r="1159">
      <c r="A1159" s="194"/>
      <c r="B1159" s="195"/>
      <c r="C1159" s="181"/>
      <c r="D1159" s="194"/>
      <c r="E1159" s="194"/>
      <c r="F1159" s="181"/>
      <c r="G1159" s="181"/>
      <c r="H1159" s="181"/>
      <c r="I1159" s="181"/>
      <c r="J1159" s="181"/>
      <c r="K1159" s="181"/>
      <c r="L1159" s="181"/>
      <c r="M1159" s="181"/>
      <c r="N1159" s="181"/>
      <c r="O1159" s="181"/>
      <c r="P1159" s="181"/>
      <c r="Q1159" s="181"/>
      <c r="R1159" s="181"/>
      <c r="S1159" s="181"/>
      <c r="T1159" s="181"/>
      <c r="U1159" s="181"/>
      <c r="V1159" s="181"/>
      <c r="W1159" s="181"/>
      <c r="X1159" s="181"/>
      <c r="Y1159" s="181"/>
      <c r="Z1159" s="181"/>
    </row>
    <row r="1160">
      <c r="A1160" s="194"/>
      <c r="B1160" s="195"/>
      <c r="C1160" s="181"/>
      <c r="D1160" s="194"/>
      <c r="E1160" s="194"/>
      <c r="F1160" s="181"/>
      <c r="G1160" s="181"/>
      <c r="H1160" s="181"/>
      <c r="I1160" s="181"/>
      <c r="J1160" s="181"/>
      <c r="K1160" s="181"/>
      <c r="L1160" s="181"/>
      <c r="M1160" s="181"/>
      <c r="N1160" s="181"/>
      <c r="O1160" s="181"/>
      <c r="P1160" s="181"/>
      <c r="Q1160" s="181"/>
      <c r="R1160" s="181"/>
      <c r="S1160" s="181"/>
      <c r="T1160" s="181"/>
      <c r="U1160" s="181"/>
      <c r="V1160" s="181"/>
      <c r="W1160" s="181"/>
      <c r="X1160" s="181"/>
      <c r="Y1160" s="181"/>
      <c r="Z1160" s="181"/>
    </row>
    <row r="1161">
      <c r="A1161" s="194"/>
      <c r="B1161" s="195"/>
      <c r="C1161" s="181"/>
      <c r="D1161" s="194"/>
      <c r="E1161" s="194"/>
      <c r="F1161" s="181"/>
      <c r="G1161" s="181"/>
      <c r="H1161" s="181"/>
      <c r="I1161" s="181"/>
      <c r="J1161" s="181"/>
      <c r="K1161" s="181"/>
      <c r="L1161" s="181"/>
      <c r="M1161" s="181"/>
      <c r="N1161" s="181"/>
      <c r="O1161" s="181"/>
      <c r="P1161" s="181"/>
      <c r="Q1161" s="181"/>
      <c r="R1161" s="181"/>
      <c r="S1161" s="181"/>
      <c r="T1161" s="181"/>
      <c r="U1161" s="181"/>
      <c r="V1161" s="181"/>
      <c r="W1161" s="181"/>
      <c r="X1161" s="181"/>
      <c r="Y1161" s="181"/>
      <c r="Z1161" s="181"/>
    </row>
    <row r="1162">
      <c r="A1162" s="194"/>
      <c r="B1162" s="195"/>
      <c r="C1162" s="181"/>
      <c r="D1162" s="194"/>
      <c r="E1162" s="194"/>
      <c r="F1162" s="181"/>
      <c r="G1162" s="181"/>
      <c r="H1162" s="181"/>
      <c r="I1162" s="181"/>
      <c r="J1162" s="181"/>
      <c r="K1162" s="181"/>
      <c r="L1162" s="181"/>
      <c r="M1162" s="181"/>
      <c r="N1162" s="181"/>
      <c r="O1162" s="181"/>
      <c r="P1162" s="181"/>
      <c r="Q1162" s="181"/>
      <c r="R1162" s="181"/>
      <c r="S1162" s="181"/>
      <c r="T1162" s="181"/>
      <c r="U1162" s="181"/>
      <c r="V1162" s="181"/>
      <c r="W1162" s="181"/>
      <c r="X1162" s="181"/>
      <c r="Y1162" s="181"/>
      <c r="Z1162" s="181"/>
    </row>
    <row r="1163">
      <c r="A1163" s="194"/>
      <c r="B1163" s="195"/>
      <c r="C1163" s="181"/>
      <c r="D1163" s="194"/>
      <c r="E1163" s="194"/>
      <c r="F1163" s="181"/>
      <c r="G1163" s="181"/>
      <c r="H1163" s="181"/>
      <c r="I1163" s="181"/>
      <c r="J1163" s="181"/>
      <c r="K1163" s="181"/>
      <c r="L1163" s="181"/>
      <c r="M1163" s="181"/>
      <c r="N1163" s="181"/>
      <c r="O1163" s="181"/>
      <c r="P1163" s="181"/>
      <c r="Q1163" s="181"/>
      <c r="R1163" s="181"/>
      <c r="S1163" s="181"/>
      <c r="T1163" s="181"/>
      <c r="U1163" s="181"/>
      <c r="V1163" s="181"/>
      <c r="W1163" s="181"/>
      <c r="X1163" s="181"/>
      <c r="Y1163" s="181"/>
      <c r="Z1163" s="181"/>
    </row>
    <row r="1164">
      <c r="A1164" s="194"/>
      <c r="B1164" s="195"/>
      <c r="C1164" s="181"/>
      <c r="D1164" s="194"/>
      <c r="E1164" s="194"/>
      <c r="F1164" s="181"/>
      <c r="G1164" s="181"/>
      <c r="H1164" s="181"/>
      <c r="I1164" s="181"/>
      <c r="J1164" s="181"/>
      <c r="K1164" s="181"/>
      <c r="L1164" s="181"/>
      <c r="M1164" s="181"/>
      <c r="N1164" s="181"/>
      <c r="O1164" s="181"/>
      <c r="P1164" s="181"/>
      <c r="Q1164" s="181"/>
      <c r="R1164" s="181"/>
      <c r="S1164" s="181"/>
      <c r="T1164" s="181"/>
      <c r="U1164" s="181"/>
      <c r="V1164" s="181"/>
      <c r="W1164" s="181"/>
      <c r="X1164" s="181"/>
      <c r="Y1164" s="181"/>
      <c r="Z1164" s="181"/>
    </row>
    <row r="1165">
      <c r="A1165" s="194"/>
      <c r="B1165" s="195"/>
      <c r="C1165" s="181"/>
      <c r="D1165" s="194"/>
      <c r="E1165" s="194"/>
      <c r="F1165" s="181"/>
      <c r="G1165" s="181"/>
      <c r="H1165" s="181"/>
      <c r="I1165" s="181"/>
      <c r="J1165" s="181"/>
      <c r="K1165" s="181"/>
      <c r="L1165" s="181"/>
      <c r="M1165" s="181"/>
      <c r="N1165" s="181"/>
      <c r="O1165" s="181"/>
      <c r="P1165" s="181"/>
      <c r="Q1165" s="181"/>
      <c r="R1165" s="181"/>
      <c r="S1165" s="181"/>
      <c r="T1165" s="181"/>
      <c r="U1165" s="181"/>
      <c r="V1165" s="181"/>
      <c r="W1165" s="181"/>
      <c r="X1165" s="181"/>
      <c r="Y1165" s="181"/>
      <c r="Z1165" s="181"/>
    </row>
    <row r="1166">
      <c r="A1166" s="194"/>
      <c r="B1166" s="195"/>
      <c r="C1166" s="181"/>
      <c r="D1166" s="194"/>
      <c r="E1166" s="194"/>
      <c r="F1166" s="181"/>
      <c r="G1166" s="181"/>
      <c r="H1166" s="181"/>
      <c r="I1166" s="181"/>
      <c r="J1166" s="181"/>
      <c r="K1166" s="181"/>
      <c r="L1166" s="181"/>
      <c r="M1166" s="181"/>
      <c r="N1166" s="181"/>
      <c r="O1166" s="181"/>
      <c r="P1166" s="181"/>
      <c r="Q1166" s="181"/>
      <c r="R1166" s="181"/>
      <c r="S1166" s="181"/>
      <c r="T1166" s="181"/>
      <c r="U1166" s="181"/>
      <c r="V1166" s="181"/>
      <c r="W1166" s="181"/>
      <c r="X1166" s="181"/>
      <c r="Y1166" s="181"/>
      <c r="Z1166" s="181"/>
    </row>
    <row r="1167">
      <c r="A1167" s="194"/>
      <c r="B1167" s="195"/>
      <c r="C1167" s="181"/>
      <c r="D1167" s="194"/>
      <c r="E1167" s="194"/>
      <c r="F1167" s="181"/>
      <c r="G1167" s="181"/>
      <c r="H1167" s="181"/>
      <c r="I1167" s="181"/>
      <c r="J1167" s="181"/>
      <c r="K1167" s="181"/>
      <c r="L1167" s="181"/>
      <c r="M1167" s="181"/>
      <c r="N1167" s="181"/>
      <c r="O1167" s="181"/>
      <c r="P1167" s="181"/>
      <c r="Q1167" s="181"/>
      <c r="R1167" s="181"/>
      <c r="S1167" s="181"/>
      <c r="T1167" s="181"/>
      <c r="U1167" s="181"/>
      <c r="V1167" s="181"/>
      <c r="W1167" s="181"/>
      <c r="X1167" s="181"/>
      <c r="Y1167" s="181"/>
      <c r="Z1167" s="181"/>
    </row>
    <row r="1168">
      <c r="A1168" s="194"/>
      <c r="B1168" s="195"/>
      <c r="C1168" s="181"/>
      <c r="D1168" s="194"/>
      <c r="E1168" s="194"/>
      <c r="F1168" s="181"/>
      <c r="G1168" s="181"/>
      <c r="H1168" s="181"/>
      <c r="I1168" s="181"/>
      <c r="J1168" s="181"/>
      <c r="K1168" s="181"/>
      <c r="L1168" s="181"/>
      <c r="M1168" s="181"/>
      <c r="N1168" s="181"/>
      <c r="O1168" s="181"/>
      <c r="P1168" s="181"/>
      <c r="Q1168" s="181"/>
      <c r="R1168" s="181"/>
      <c r="S1168" s="181"/>
      <c r="T1168" s="181"/>
      <c r="U1168" s="181"/>
      <c r="V1168" s="181"/>
      <c r="W1168" s="181"/>
      <c r="X1168" s="181"/>
      <c r="Y1168" s="181"/>
      <c r="Z1168" s="181"/>
    </row>
    <row r="1169">
      <c r="A1169" s="194"/>
      <c r="B1169" s="195"/>
      <c r="C1169" s="181"/>
      <c r="D1169" s="194"/>
      <c r="E1169" s="194"/>
      <c r="F1169" s="181"/>
      <c r="G1169" s="181"/>
      <c r="H1169" s="181"/>
      <c r="I1169" s="181"/>
      <c r="J1169" s="181"/>
      <c r="K1169" s="181"/>
      <c r="L1169" s="181"/>
      <c r="M1169" s="181"/>
      <c r="N1169" s="181"/>
      <c r="O1169" s="181"/>
      <c r="P1169" s="181"/>
      <c r="Q1169" s="181"/>
      <c r="R1169" s="181"/>
      <c r="S1169" s="181"/>
      <c r="T1169" s="181"/>
      <c r="U1169" s="181"/>
      <c r="V1169" s="181"/>
      <c r="W1169" s="181"/>
      <c r="X1169" s="181"/>
      <c r="Y1169" s="181"/>
      <c r="Z1169" s="181"/>
    </row>
    <row r="1170">
      <c r="A1170" s="194"/>
      <c r="B1170" s="195"/>
      <c r="C1170" s="181"/>
      <c r="D1170" s="194"/>
      <c r="E1170" s="194"/>
      <c r="F1170" s="181"/>
      <c r="G1170" s="181"/>
      <c r="H1170" s="181"/>
      <c r="I1170" s="181"/>
      <c r="J1170" s="181"/>
      <c r="K1170" s="181"/>
      <c r="L1170" s="181"/>
      <c r="M1170" s="181"/>
      <c r="N1170" s="181"/>
      <c r="O1170" s="181"/>
      <c r="P1170" s="181"/>
      <c r="Q1170" s="181"/>
      <c r="R1170" s="181"/>
      <c r="S1170" s="181"/>
      <c r="T1170" s="181"/>
      <c r="U1170" s="181"/>
      <c r="V1170" s="181"/>
      <c r="W1170" s="181"/>
      <c r="X1170" s="181"/>
      <c r="Y1170" s="181"/>
      <c r="Z1170" s="181"/>
    </row>
    <row r="1171">
      <c r="A1171" s="194"/>
      <c r="B1171" s="195"/>
      <c r="C1171" s="181"/>
      <c r="D1171" s="194"/>
      <c r="E1171" s="194"/>
      <c r="F1171" s="181"/>
      <c r="G1171" s="181"/>
      <c r="H1171" s="181"/>
      <c r="I1171" s="181"/>
      <c r="J1171" s="181"/>
      <c r="K1171" s="181"/>
      <c r="L1171" s="181"/>
      <c r="M1171" s="181"/>
      <c r="N1171" s="181"/>
      <c r="O1171" s="181"/>
      <c r="P1171" s="181"/>
      <c r="Q1171" s="181"/>
      <c r="R1171" s="181"/>
      <c r="S1171" s="181"/>
      <c r="T1171" s="181"/>
      <c r="U1171" s="181"/>
      <c r="V1171" s="181"/>
      <c r="W1171" s="181"/>
      <c r="X1171" s="181"/>
      <c r="Y1171" s="181"/>
      <c r="Z1171" s="181"/>
    </row>
    <row r="1172">
      <c r="A1172" s="194"/>
      <c r="B1172" s="195"/>
      <c r="C1172" s="181"/>
      <c r="D1172" s="194"/>
      <c r="E1172" s="194"/>
      <c r="F1172" s="181"/>
      <c r="G1172" s="181"/>
      <c r="H1172" s="181"/>
      <c r="I1172" s="181"/>
      <c r="J1172" s="181"/>
      <c r="K1172" s="181"/>
      <c r="L1172" s="181"/>
      <c r="M1172" s="181"/>
      <c r="N1172" s="181"/>
      <c r="O1172" s="181"/>
      <c r="P1172" s="181"/>
      <c r="Q1172" s="181"/>
      <c r="R1172" s="181"/>
      <c r="S1172" s="181"/>
      <c r="T1172" s="181"/>
      <c r="U1172" s="181"/>
      <c r="V1172" s="181"/>
      <c r="W1172" s="181"/>
      <c r="X1172" s="181"/>
      <c r="Y1172" s="181"/>
      <c r="Z1172" s="181"/>
    </row>
    <row r="1173">
      <c r="A1173" s="194"/>
      <c r="B1173" s="195"/>
      <c r="C1173" s="181"/>
      <c r="D1173" s="194"/>
      <c r="E1173" s="194"/>
      <c r="F1173" s="181"/>
      <c r="G1173" s="181"/>
      <c r="H1173" s="181"/>
      <c r="I1173" s="181"/>
      <c r="J1173" s="181"/>
      <c r="K1173" s="181"/>
      <c r="L1173" s="181"/>
      <c r="M1173" s="181"/>
      <c r="N1173" s="181"/>
      <c r="O1173" s="181"/>
      <c r="P1173" s="181"/>
      <c r="Q1173" s="181"/>
      <c r="R1173" s="181"/>
      <c r="S1173" s="181"/>
      <c r="T1173" s="181"/>
      <c r="U1173" s="181"/>
      <c r="V1173" s="181"/>
      <c r="W1173" s="181"/>
      <c r="X1173" s="181"/>
      <c r="Y1173" s="181"/>
      <c r="Z1173" s="181"/>
    </row>
    <row r="1174">
      <c r="A1174" s="194"/>
      <c r="B1174" s="195"/>
      <c r="C1174" s="181"/>
      <c r="D1174" s="194"/>
      <c r="E1174" s="194"/>
      <c r="F1174" s="181"/>
      <c r="G1174" s="181"/>
      <c r="H1174" s="181"/>
      <c r="I1174" s="181"/>
      <c r="J1174" s="181"/>
      <c r="K1174" s="181"/>
      <c r="L1174" s="181"/>
      <c r="M1174" s="181"/>
      <c r="N1174" s="181"/>
      <c r="O1174" s="181"/>
      <c r="P1174" s="181"/>
      <c r="Q1174" s="181"/>
      <c r="R1174" s="181"/>
      <c r="S1174" s="181"/>
      <c r="T1174" s="181"/>
      <c r="U1174" s="181"/>
      <c r="V1174" s="181"/>
      <c r="W1174" s="181"/>
      <c r="X1174" s="181"/>
      <c r="Y1174" s="181"/>
      <c r="Z1174" s="181"/>
    </row>
    <row r="1175">
      <c r="A1175" s="194"/>
      <c r="B1175" s="195"/>
      <c r="C1175" s="181"/>
      <c r="D1175" s="194"/>
      <c r="E1175" s="194"/>
      <c r="F1175" s="181"/>
      <c r="G1175" s="181"/>
      <c r="H1175" s="181"/>
      <c r="I1175" s="181"/>
      <c r="J1175" s="181"/>
      <c r="K1175" s="181"/>
      <c r="L1175" s="181"/>
      <c r="M1175" s="181"/>
      <c r="N1175" s="181"/>
      <c r="O1175" s="181"/>
      <c r="P1175" s="181"/>
      <c r="Q1175" s="181"/>
      <c r="R1175" s="181"/>
      <c r="S1175" s="181"/>
      <c r="T1175" s="181"/>
      <c r="U1175" s="181"/>
      <c r="V1175" s="181"/>
      <c r="W1175" s="181"/>
      <c r="X1175" s="181"/>
      <c r="Y1175" s="181"/>
      <c r="Z1175" s="181"/>
    </row>
    <row r="1176">
      <c r="A1176" s="194"/>
      <c r="B1176" s="195"/>
      <c r="C1176" s="181"/>
      <c r="D1176" s="194"/>
      <c r="E1176" s="194"/>
      <c r="F1176" s="181"/>
      <c r="G1176" s="181"/>
      <c r="H1176" s="181"/>
      <c r="I1176" s="181"/>
      <c r="J1176" s="181"/>
      <c r="K1176" s="181"/>
      <c r="L1176" s="181"/>
      <c r="M1176" s="181"/>
      <c r="N1176" s="181"/>
      <c r="O1176" s="181"/>
      <c r="P1176" s="181"/>
      <c r="Q1176" s="181"/>
      <c r="R1176" s="181"/>
      <c r="S1176" s="181"/>
      <c r="T1176" s="181"/>
      <c r="U1176" s="181"/>
      <c r="V1176" s="181"/>
      <c r="W1176" s="181"/>
      <c r="X1176" s="181"/>
      <c r="Y1176" s="181"/>
      <c r="Z1176" s="181"/>
    </row>
    <row r="1177">
      <c r="A1177" s="194"/>
      <c r="B1177" s="195"/>
      <c r="C1177" s="181"/>
      <c r="D1177" s="194"/>
      <c r="E1177" s="194"/>
      <c r="F1177" s="181"/>
      <c r="G1177" s="181"/>
      <c r="H1177" s="181"/>
      <c r="I1177" s="181"/>
      <c r="J1177" s="181"/>
      <c r="K1177" s="181"/>
      <c r="L1177" s="181"/>
      <c r="M1177" s="181"/>
      <c r="N1177" s="181"/>
      <c r="O1177" s="181"/>
      <c r="P1177" s="181"/>
      <c r="Q1177" s="181"/>
      <c r="R1177" s="181"/>
      <c r="S1177" s="181"/>
      <c r="T1177" s="181"/>
      <c r="U1177" s="181"/>
      <c r="V1177" s="181"/>
      <c r="W1177" s="181"/>
      <c r="X1177" s="181"/>
      <c r="Y1177" s="181"/>
      <c r="Z1177" s="181"/>
    </row>
    <row r="1178">
      <c r="A1178" s="194"/>
      <c r="B1178" s="195"/>
      <c r="C1178" s="181"/>
      <c r="D1178" s="194"/>
      <c r="E1178" s="194"/>
      <c r="F1178" s="181"/>
      <c r="G1178" s="181"/>
      <c r="H1178" s="181"/>
      <c r="I1178" s="181"/>
      <c r="J1178" s="181"/>
      <c r="K1178" s="181"/>
      <c r="L1178" s="181"/>
      <c r="M1178" s="181"/>
      <c r="N1178" s="181"/>
      <c r="O1178" s="181"/>
      <c r="P1178" s="181"/>
      <c r="Q1178" s="181"/>
      <c r="R1178" s="181"/>
      <c r="S1178" s="181"/>
      <c r="T1178" s="181"/>
      <c r="U1178" s="181"/>
      <c r="V1178" s="181"/>
      <c r="W1178" s="181"/>
      <c r="X1178" s="181"/>
      <c r="Y1178" s="181"/>
      <c r="Z1178" s="181"/>
    </row>
    <row r="1179">
      <c r="A1179" s="194"/>
      <c r="B1179" s="195"/>
      <c r="C1179" s="181"/>
      <c r="D1179" s="194"/>
      <c r="E1179" s="194"/>
      <c r="F1179" s="181"/>
      <c r="G1179" s="181"/>
      <c r="H1179" s="181"/>
      <c r="I1179" s="181"/>
      <c r="J1179" s="181"/>
      <c r="K1179" s="181"/>
      <c r="L1179" s="181"/>
      <c r="M1179" s="181"/>
      <c r="N1179" s="181"/>
      <c r="O1179" s="181"/>
      <c r="P1179" s="181"/>
      <c r="Q1179" s="181"/>
      <c r="R1179" s="181"/>
      <c r="S1179" s="181"/>
      <c r="T1179" s="181"/>
      <c r="U1179" s="181"/>
      <c r="V1179" s="181"/>
      <c r="W1179" s="181"/>
      <c r="X1179" s="181"/>
      <c r="Y1179" s="181"/>
      <c r="Z1179" s="181"/>
    </row>
    <row r="1180">
      <c r="A1180" s="194"/>
      <c r="B1180" s="195"/>
      <c r="C1180" s="181"/>
      <c r="D1180" s="194"/>
      <c r="E1180" s="194"/>
      <c r="F1180" s="181"/>
      <c r="G1180" s="181"/>
      <c r="H1180" s="181"/>
      <c r="I1180" s="181"/>
      <c r="J1180" s="181"/>
      <c r="K1180" s="181"/>
      <c r="L1180" s="181"/>
      <c r="M1180" s="181"/>
      <c r="N1180" s="181"/>
      <c r="O1180" s="181"/>
      <c r="P1180" s="181"/>
      <c r="Q1180" s="181"/>
      <c r="R1180" s="181"/>
      <c r="S1180" s="181"/>
      <c r="T1180" s="181"/>
      <c r="U1180" s="181"/>
      <c r="V1180" s="181"/>
      <c r="W1180" s="181"/>
      <c r="X1180" s="181"/>
      <c r="Y1180" s="181"/>
      <c r="Z1180" s="181"/>
    </row>
    <row r="1181">
      <c r="A1181" s="194"/>
      <c r="B1181" s="195"/>
      <c r="C1181" s="181"/>
      <c r="D1181" s="194"/>
      <c r="E1181" s="194"/>
      <c r="F1181" s="181"/>
      <c r="G1181" s="181"/>
      <c r="H1181" s="181"/>
      <c r="I1181" s="181"/>
      <c r="J1181" s="181"/>
      <c r="K1181" s="181"/>
      <c r="L1181" s="181"/>
      <c r="M1181" s="181"/>
      <c r="N1181" s="181"/>
      <c r="O1181" s="181"/>
      <c r="P1181" s="181"/>
      <c r="Q1181" s="181"/>
      <c r="R1181" s="181"/>
      <c r="S1181" s="181"/>
      <c r="T1181" s="181"/>
      <c r="U1181" s="181"/>
      <c r="V1181" s="181"/>
      <c r="W1181" s="181"/>
      <c r="X1181" s="181"/>
      <c r="Y1181" s="181"/>
      <c r="Z1181" s="181"/>
    </row>
    <row r="1182">
      <c r="A1182" s="194"/>
      <c r="B1182" s="195"/>
      <c r="C1182" s="181"/>
      <c r="D1182" s="194"/>
      <c r="E1182" s="194"/>
      <c r="F1182" s="181"/>
      <c r="G1182" s="181"/>
      <c r="H1182" s="181"/>
      <c r="I1182" s="181"/>
      <c r="J1182" s="181"/>
      <c r="K1182" s="181"/>
      <c r="L1182" s="181"/>
      <c r="M1182" s="181"/>
      <c r="N1182" s="181"/>
      <c r="O1182" s="181"/>
      <c r="P1182" s="181"/>
      <c r="Q1182" s="181"/>
      <c r="R1182" s="181"/>
      <c r="S1182" s="181"/>
      <c r="T1182" s="181"/>
      <c r="U1182" s="181"/>
      <c r="V1182" s="181"/>
      <c r="W1182" s="181"/>
      <c r="X1182" s="181"/>
      <c r="Y1182" s="181"/>
      <c r="Z1182" s="181"/>
    </row>
    <row r="1183">
      <c r="A1183" s="194"/>
      <c r="B1183" s="195"/>
      <c r="C1183" s="181"/>
      <c r="D1183" s="194"/>
      <c r="E1183" s="194"/>
      <c r="F1183" s="181"/>
      <c r="G1183" s="181"/>
      <c r="H1183" s="181"/>
      <c r="I1183" s="181"/>
      <c r="J1183" s="181"/>
      <c r="K1183" s="181"/>
      <c r="L1183" s="181"/>
      <c r="M1183" s="181"/>
      <c r="N1183" s="181"/>
      <c r="O1183" s="181"/>
      <c r="P1183" s="181"/>
      <c r="Q1183" s="181"/>
      <c r="R1183" s="181"/>
      <c r="S1183" s="181"/>
      <c r="T1183" s="181"/>
      <c r="U1183" s="181"/>
      <c r="V1183" s="181"/>
      <c r="W1183" s="181"/>
      <c r="X1183" s="181"/>
      <c r="Y1183" s="181"/>
      <c r="Z1183" s="181"/>
    </row>
    <row r="1184">
      <c r="A1184" s="194"/>
      <c r="B1184" s="195"/>
      <c r="C1184" s="181"/>
      <c r="D1184" s="194"/>
      <c r="E1184" s="194"/>
      <c r="F1184" s="181"/>
      <c r="G1184" s="181"/>
      <c r="H1184" s="181"/>
      <c r="I1184" s="181"/>
      <c r="J1184" s="181"/>
      <c r="K1184" s="181"/>
      <c r="L1184" s="181"/>
      <c r="M1184" s="181"/>
      <c r="N1184" s="181"/>
      <c r="O1184" s="181"/>
      <c r="P1184" s="181"/>
      <c r="Q1184" s="181"/>
      <c r="R1184" s="181"/>
      <c r="S1184" s="181"/>
      <c r="T1184" s="181"/>
      <c r="U1184" s="181"/>
      <c r="V1184" s="181"/>
      <c r="W1184" s="181"/>
      <c r="X1184" s="181"/>
      <c r="Y1184" s="181"/>
      <c r="Z1184" s="181"/>
    </row>
    <row r="1185">
      <c r="A1185" s="194"/>
      <c r="B1185" s="195"/>
      <c r="C1185" s="181"/>
      <c r="D1185" s="194"/>
      <c r="E1185" s="194"/>
      <c r="F1185" s="181"/>
      <c r="G1185" s="181"/>
      <c r="H1185" s="181"/>
      <c r="I1185" s="181"/>
      <c r="J1185" s="181"/>
      <c r="K1185" s="181"/>
      <c r="L1185" s="181"/>
      <c r="M1185" s="181"/>
      <c r="N1185" s="181"/>
      <c r="O1185" s="181"/>
      <c r="P1185" s="181"/>
      <c r="Q1185" s="181"/>
      <c r="R1185" s="181"/>
      <c r="S1185" s="181"/>
      <c r="T1185" s="181"/>
      <c r="U1185" s="181"/>
      <c r="V1185" s="181"/>
      <c r="W1185" s="181"/>
      <c r="X1185" s="181"/>
      <c r="Y1185" s="181"/>
      <c r="Z1185" s="181"/>
    </row>
    <row r="1186">
      <c r="A1186" s="194"/>
      <c r="B1186" s="195"/>
      <c r="C1186" s="181"/>
      <c r="D1186" s="194"/>
      <c r="E1186" s="194"/>
      <c r="F1186" s="181"/>
      <c r="G1186" s="181"/>
      <c r="H1186" s="181"/>
      <c r="I1186" s="181"/>
      <c r="J1186" s="181"/>
      <c r="K1186" s="181"/>
      <c r="L1186" s="181"/>
      <c r="M1186" s="181"/>
      <c r="N1186" s="181"/>
      <c r="O1186" s="181"/>
      <c r="P1186" s="181"/>
      <c r="Q1186" s="181"/>
      <c r="R1186" s="181"/>
      <c r="S1186" s="181"/>
      <c r="T1186" s="181"/>
      <c r="U1186" s="181"/>
      <c r="V1186" s="181"/>
      <c r="W1186" s="181"/>
      <c r="X1186" s="181"/>
      <c r="Y1186" s="181"/>
      <c r="Z1186" s="181"/>
    </row>
    <row r="1187">
      <c r="A1187" s="194"/>
      <c r="B1187" s="195"/>
      <c r="C1187" s="181"/>
      <c r="D1187" s="194"/>
      <c r="E1187" s="194"/>
      <c r="F1187" s="181"/>
      <c r="G1187" s="181"/>
      <c r="H1187" s="181"/>
      <c r="I1187" s="181"/>
      <c r="J1187" s="181"/>
      <c r="K1187" s="181"/>
      <c r="L1187" s="181"/>
      <c r="M1187" s="181"/>
      <c r="N1187" s="181"/>
      <c r="O1187" s="181"/>
      <c r="P1187" s="181"/>
      <c r="Q1187" s="181"/>
      <c r="R1187" s="181"/>
      <c r="S1187" s="181"/>
      <c r="T1187" s="181"/>
      <c r="U1187" s="181"/>
      <c r="V1187" s="181"/>
      <c r="W1187" s="181"/>
      <c r="X1187" s="181"/>
      <c r="Y1187" s="181"/>
      <c r="Z1187" s="181"/>
    </row>
    <row r="1188">
      <c r="A1188" s="194"/>
      <c r="B1188" s="195"/>
      <c r="C1188" s="181"/>
      <c r="D1188" s="194"/>
      <c r="E1188" s="194"/>
      <c r="F1188" s="181"/>
      <c r="G1188" s="181"/>
      <c r="H1188" s="181"/>
      <c r="I1188" s="181"/>
      <c r="J1188" s="181"/>
      <c r="K1188" s="181"/>
      <c r="L1188" s="181"/>
      <c r="M1188" s="181"/>
      <c r="N1188" s="181"/>
      <c r="O1188" s="181"/>
      <c r="P1188" s="181"/>
      <c r="Q1188" s="181"/>
      <c r="R1188" s="181"/>
      <c r="S1188" s="181"/>
      <c r="T1188" s="181"/>
      <c r="U1188" s="181"/>
      <c r="V1188" s="181"/>
      <c r="W1188" s="181"/>
      <c r="X1188" s="181"/>
      <c r="Y1188" s="181"/>
      <c r="Z1188" s="181"/>
    </row>
    <row r="1189">
      <c r="A1189" s="194"/>
      <c r="B1189" s="195"/>
      <c r="C1189" s="181"/>
      <c r="D1189" s="194"/>
      <c r="E1189" s="194"/>
      <c r="F1189" s="181"/>
      <c r="G1189" s="181"/>
      <c r="H1189" s="181"/>
      <c r="I1189" s="181"/>
      <c r="J1189" s="181"/>
      <c r="K1189" s="181"/>
      <c r="L1189" s="181"/>
      <c r="M1189" s="181"/>
      <c r="N1189" s="181"/>
      <c r="O1189" s="181"/>
      <c r="P1189" s="181"/>
      <c r="Q1189" s="181"/>
      <c r="R1189" s="181"/>
      <c r="S1189" s="181"/>
      <c r="T1189" s="181"/>
      <c r="U1189" s="181"/>
      <c r="V1189" s="181"/>
      <c r="W1189" s="181"/>
      <c r="X1189" s="181"/>
      <c r="Y1189" s="181"/>
      <c r="Z1189" s="181"/>
    </row>
    <row r="1190">
      <c r="A1190" s="194"/>
      <c r="B1190" s="195"/>
      <c r="C1190" s="181"/>
      <c r="D1190" s="194"/>
      <c r="E1190" s="194"/>
      <c r="F1190" s="181"/>
      <c r="G1190" s="181"/>
      <c r="H1190" s="181"/>
      <c r="I1190" s="181"/>
      <c r="J1190" s="181"/>
      <c r="K1190" s="181"/>
      <c r="L1190" s="181"/>
      <c r="M1190" s="181"/>
      <c r="N1190" s="181"/>
      <c r="O1190" s="181"/>
      <c r="P1190" s="181"/>
      <c r="Q1190" s="181"/>
      <c r="R1190" s="181"/>
      <c r="S1190" s="181"/>
      <c r="T1190" s="181"/>
      <c r="U1190" s="181"/>
      <c r="V1190" s="181"/>
      <c r="W1190" s="181"/>
      <c r="X1190" s="181"/>
      <c r="Y1190" s="181"/>
      <c r="Z1190" s="181"/>
    </row>
    <row r="1191">
      <c r="A1191" s="194"/>
      <c r="B1191" s="195"/>
      <c r="C1191" s="181"/>
      <c r="D1191" s="194"/>
      <c r="E1191" s="194"/>
      <c r="F1191" s="181"/>
      <c r="G1191" s="181"/>
      <c r="H1191" s="181"/>
      <c r="I1191" s="181"/>
      <c r="J1191" s="181"/>
      <c r="K1191" s="181"/>
      <c r="L1191" s="181"/>
      <c r="M1191" s="181"/>
      <c r="N1191" s="181"/>
      <c r="O1191" s="181"/>
      <c r="P1191" s="181"/>
      <c r="Q1191" s="181"/>
      <c r="R1191" s="181"/>
      <c r="S1191" s="181"/>
      <c r="T1191" s="181"/>
      <c r="U1191" s="181"/>
      <c r="V1191" s="181"/>
      <c r="W1191" s="181"/>
      <c r="X1191" s="181"/>
      <c r="Y1191" s="181"/>
      <c r="Z1191" s="181"/>
    </row>
    <row r="1192">
      <c r="A1192" s="194"/>
      <c r="B1192" s="195"/>
      <c r="C1192" s="181"/>
      <c r="D1192" s="194"/>
      <c r="E1192" s="194"/>
      <c r="F1192" s="181"/>
      <c r="G1192" s="181"/>
      <c r="H1192" s="181"/>
      <c r="I1192" s="181"/>
      <c r="J1192" s="181"/>
      <c r="K1192" s="181"/>
      <c r="L1192" s="181"/>
      <c r="M1192" s="181"/>
      <c r="N1192" s="181"/>
      <c r="O1192" s="181"/>
      <c r="P1192" s="181"/>
      <c r="Q1192" s="181"/>
      <c r="R1192" s="181"/>
      <c r="S1192" s="181"/>
      <c r="T1192" s="181"/>
      <c r="U1192" s="181"/>
      <c r="V1192" s="181"/>
      <c r="W1192" s="181"/>
      <c r="X1192" s="181"/>
      <c r="Y1192" s="181"/>
      <c r="Z1192" s="181"/>
    </row>
    <row r="1193">
      <c r="A1193" s="194"/>
      <c r="B1193" s="195"/>
      <c r="C1193" s="181"/>
      <c r="D1193" s="194"/>
      <c r="E1193" s="194"/>
      <c r="F1193" s="181"/>
      <c r="G1193" s="181"/>
      <c r="H1193" s="181"/>
      <c r="I1193" s="181"/>
      <c r="J1193" s="181"/>
      <c r="K1193" s="181"/>
      <c r="L1193" s="181"/>
      <c r="M1193" s="181"/>
      <c r="N1193" s="181"/>
      <c r="O1193" s="181"/>
      <c r="P1193" s="181"/>
      <c r="Q1193" s="181"/>
      <c r="R1193" s="181"/>
      <c r="S1193" s="181"/>
      <c r="T1193" s="181"/>
      <c r="U1193" s="181"/>
      <c r="V1193" s="181"/>
      <c r="W1193" s="181"/>
      <c r="X1193" s="181"/>
      <c r="Y1193" s="181"/>
      <c r="Z1193" s="181"/>
    </row>
    <row r="1194">
      <c r="A1194" s="194"/>
      <c r="B1194" s="195"/>
      <c r="C1194" s="181"/>
      <c r="D1194" s="194"/>
      <c r="E1194" s="194"/>
      <c r="F1194" s="181"/>
      <c r="G1194" s="181"/>
      <c r="H1194" s="181"/>
      <c r="I1194" s="181"/>
      <c r="J1194" s="181"/>
      <c r="K1194" s="181"/>
      <c r="L1194" s="181"/>
      <c r="M1194" s="181"/>
      <c r="N1194" s="181"/>
      <c r="O1194" s="181"/>
      <c r="P1194" s="181"/>
      <c r="Q1194" s="181"/>
      <c r="R1194" s="181"/>
      <c r="S1194" s="181"/>
      <c r="T1194" s="181"/>
      <c r="U1194" s="181"/>
      <c r="V1194" s="181"/>
      <c r="W1194" s="181"/>
      <c r="X1194" s="181"/>
      <c r="Y1194" s="181"/>
      <c r="Z1194" s="181"/>
    </row>
    <row r="1195">
      <c r="A1195" s="194"/>
      <c r="B1195" s="195"/>
      <c r="C1195" s="181"/>
      <c r="D1195" s="194"/>
      <c r="E1195" s="194"/>
      <c r="F1195" s="181"/>
      <c r="G1195" s="181"/>
      <c r="H1195" s="181"/>
      <c r="I1195" s="181"/>
      <c r="J1195" s="181"/>
      <c r="K1195" s="181"/>
      <c r="L1195" s="181"/>
      <c r="M1195" s="181"/>
      <c r="N1195" s="181"/>
      <c r="O1195" s="181"/>
      <c r="P1195" s="181"/>
      <c r="Q1195" s="181"/>
      <c r="R1195" s="181"/>
      <c r="S1195" s="181"/>
      <c r="T1195" s="181"/>
      <c r="U1195" s="181"/>
      <c r="V1195" s="181"/>
      <c r="W1195" s="181"/>
      <c r="X1195" s="181"/>
      <c r="Y1195" s="181"/>
      <c r="Z1195" s="181"/>
    </row>
    <row r="1196">
      <c r="A1196" s="194"/>
      <c r="B1196" s="195"/>
      <c r="C1196" s="181"/>
      <c r="D1196" s="194"/>
      <c r="E1196" s="194"/>
      <c r="F1196" s="181"/>
      <c r="G1196" s="181"/>
      <c r="H1196" s="181"/>
      <c r="I1196" s="181"/>
      <c r="J1196" s="181"/>
      <c r="K1196" s="181"/>
      <c r="L1196" s="181"/>
      <c r="M1196" s="181"/>
      <c r="N1196" s="181"/>
      <c r="O1196" s="181"/>
      <c r="P1196" s="181"/>
      <c r="Q1196" s="181"/>
      <c r="R1196" s="181"/>
      <c r="S1196" s="181"/>
      <c r="T1196" s="181"/>
      <c r="U1196" s="181"/>
      <c r="V1196" s="181"/>
      <c r="W1196" s="181"/>
      <c r="X1196" s="181"/>
      <c r="Y1196" s="181"/>
      <c r="Z1196" s="181"/>
    </row>
    <row r="1197">
      <c r="A1197" s="194"/>
      <c r="B1197" s="195"/>
      <c r="C1197" s="181"/>
      <c r="D1197" s="194"/>
      <c r="E1197" s="194"/>
      <c r="F1197" s="181"/>
      <c r="G1197" s="181"/>
      <c r="H1197" s="181"/>
      <c r="I1197" s="181"/>
      <c r="J1197" s="181"/>
      <c r="K1197" s="181"/>
      <c r="L1197" s="181"/>
      <c r="M1197" s="181"/>
      <c r="N1197" s="181"/>
      <c r="O1197" s="181"/>
      <c r="P1197" s="181"/>
      <c r="Q1197" s="181"/>
      <c r="R1197" s="181"/>
      <c r="S1197" s="181"/>
      <c r="T1197" s="181"/>
      <c r="U1197" s="181"/>
      <c r="V1197" s="181"/>
      <c r="W1197" s="181"/>
      <c r="X1197" s="181"/>
      <c r="Y1197" s="181"/>
      <c r="Z1197" s="181"/>
    </row>
    <row r="1198">
      <c r="A1198" s="194"/>
      <c r="B1198" s="195"/>
      <c r="C1198" s="181"/>
      <c r="D1198" s="194"/>
      <c r="E1198" s="194"/>
      <c r="F1198" s="181"/>
      <c r="G1198" s="181"/>
      <c r="H1198" s="181"/>
      <c r="I1198" s="181"/>
      <c r="J1198" s="181"/>
      <c r="K1198" s="181"/>
      <c r="L1198" s="181"/>
      <c r="M1198" s="181"/>
      <c r="N1198" s="181"/>
      <c r="O1198" s="181"/>
      <c r="P1198" s="181"/>
      <c r="Q1198" s="181"/>
      <c r="R1198" s="181"/>
      <c r="S1198" s="181"/>
      <c r="T1198" s="181"/>
      <c r="U1198" s="181"/>
      <c r="V1198" s="181"/>
      <c r="W1198" s="181"/>
      <c r="X1198" s="181"/>
      <c r="Y1198" s="181"/>
      <c r="Z1198" s="181"/>
    </row>
    <row r="1199">
      <c r="A1199" s="194"/>
      <c r="B1199" s="195"/>
      <c r="C1199" s="181"/>
      <c r="D1199" s="194"/>
      <c r="E1199" s="194"/>
      <c r="F1199" s="181"/>
      <c r="G1199" s="181"/>
      <c r="H1199" s="181"/>
      <c r="I1199" s="181"/>
      <c r="J1199" s="181"/>
      <c r="K1199" s="181"/>
      <c r="L1199" s="181"/>
      <c r="M1199" s="181"/>
      <c r="N1199" s="181"/>
      <c r="O1199" s="181"/>
      <c r="P1199" s="181"/>
      <c r="Q1199" s="181"/>
      <c r="R1199" s="181"/>
      <c r="S1199" s="181"/>
      <c r="T1199" s="181"/>
      <c r="U1199" s="181"/>
      <c r="V1199" s="181"/>
      <c r="W1199" s="181"/>
      <c r="X1199" s="181"/>
      <c r="Y1199" s="181"/>
      <c r="Z1199" s="181"/>
    </row>
    <row r="1200">
      <c r="A1200" s="194"/>
      <c r="B1200" s="195"/>
      <c r="C1200" s="181"/>
      <c r="D1200" s="194"/>
      <c r="E1200" s="194"/>
      <c r="F1200" s="181"/>
      <c r="G1200" s="181"/>
      <c r="H1200" s="181"/>
      <c r="I1200" s="181"/>
      <c r="J1200" s="181"/>
      <c r="K1200" s="181"/>
      <c r="L1200" s="181"/>
      <c r="M1200" s="181"/>
      <c r="N1200" s="181"/>
      <c r="O1200" s="181"/>
      <c r="P1200" s="181"/>
      <c r="Q1200" s="181"/>
      <c r="R1200" s="181"/>
      <c r="S1200" s="181"/>
      <c r="T1200" s="181"/>
      <c r="U1200" s="181"/>
      <c r="V1200" s="181"/>
      <c r="W1200" s="181"/>
      <c r="X1200" s="181"/>
      <c r="Y1200" s="181"/>
      <c r="Z1200" s="181"/>
    </row>
    <row r="1201">
      <c r="A1201" s="194"/>
      <c r="B1201" s="195"/>
      <c r="C1201" s="181"/>
      <c r="D1201" s="194"/>
      <c r="E1201" s="194"/>
      <c r="F1201" s="181"/>
      <c r="G1201" s="181"/>
      <c r="H1201" s="181"/>
      <c r="I1201" s="181"/>
      <c r="J1201" s="181"/>
      <c r="K1201" s="181"/>
      <c r="L1201" s="181"/>
      <c r="M1201" s="181"/>
      <c r="N1201" s="181"/>
      <c r="O1201" s="181"/>
      <c r="P1201" s="181"/>
      <c r="Q1201" s="181"/>
      <c r="R1201" s="181"/>
      <c r="S1201" s="181"/>
      <c r="T1201" s="181"/>
      <c r="U1201" s="181"/>
      <c r="V1201" s="181"/>
      <c r="W1201" s="181"/>
      <c r="X1201" s="181"/>
      <c r="Y1201" s="181"/>
      <c r="Z1201" s="181"/>
    </row>
    <row r="1202">
      <c r="A1202" s="194"/>
      <c r="B1202" s="195"/>
      <c r="C1202" s="181"/>
      <c r="D1202" s="194"/>
      <c r="E1202" s="194"/>
      <c r="F1202" s="181"/>
      <c r="G1202" s="181"/>
      <c r="H1202" s="181"/>
      <c r="I1202" s="181"/>
      <c r="J1202" s="181"/>
      <c r="K1202" s="181"/>
      <c r="L1202" s="181"/>
      <c r="M1202" s="181"/>
      <c r="N1202" s="181"/>
      <c r="O1202" s="181"/>
      <c r="P1202" s="181"/>
      <c r="Q1202" s="181"/>
      <c r="R1202" s="181"/>
      <c r="S1202" s="181"/>
      <c r="T1202" s="181"/>
      <c r="U1202" s="181"/>
      <c r="V1202" s="181"/>
      <c r="W1202" s="181"/>
      <c r="X1202" s="181"/>
      <c r="Y1202" s="181"/>
      <c r="Z1202" s="181"/>
    </row>
    <row r="1203">
      <c r="A1203" s="194"/>
      <c r="B1203" s="195"/>
      <c r="C1203" s="181"/>
      <c r="D1203" s="194"/>
      <c r="E1203" s="194"/>
      <c r="F1203" s="181"/>
      <c r="G1203" s="181"/>
      <c r="H1203" s="181"/>
      <c r="I1203" s="181"/>
      <c r="J1203" s="181"/>
      <c r="K1203" s="181"/>
      <c r="L1203" s="181"/>
      <c r="M1203" s="181"/>
      <c r="N1203" s="181"/>
      <c r="O1203" s="181"/>
      <c r="P1203" s="181"/>
      <c r="Q1203" s="181"/>
      <c r="R1203" s="181"/>
      <c r="S1203" s="181"/>
      <c r="T1203" s="181"/>
      <c r="U1203" s="181"/>
      <c r="V1203" s="181"/>
      <c r="W1203" s="181"/>
      <c r="X1203" s="181"/>
      <c r="Y1203" s="181"/>
      <c r="Z1203" s="181"/>
    </row>
    <row r="1204">
      <c r="A1204" s="194"/>
      <c r="B1204" s="195"/>
      <c r="C1204" s="181"/>
      <c r="D1204" s="194"/>
      <c r="E1204" s="194"/>
      <c r="F1204" s="181"/>
      <c r="G1204" s="181"/>
      <c r="H1204" s="181"/>
      <c r="I1204" s="181"/>
      <c r="J1204" s="181"/>
      <c r="K1204" s="181"/>
      <c r="L1204" s="181"/>
      <c r="M1204" s="181"/>
      <c r="N1204" s="181"/>
      <c r="O1204" s="181"/>
      <c r="P1204" s="181"/>
      <c r="Q1204" s="181"/>
      <c r="R1204" s="181"/>
      <c r="S1204" s="181"/>
      <c r="T1204" s="181"/>
      <c r="U1204" s="181"/>
      <c r="V1204" s="181"/>
      <c r="W1204" s="181"/>
      <c r="X1204" s="181"/>
      <c r="Y1204" s="181"/>
      <c r="Z1204" s="181"/>
    </row>
    <row r="1205">
      <c r="A1205" s="194"/>
      <c r="B1205" s="195"/>
      <c r="C1205" s="181"/>
      <c r="D1205" s="194"/>
      <c r="E1205" s="194"/>
      <c r="F1205" s="181"/>
      <c r="G1205" s="181"/>
      <c r="H1205" s="181"/>
      <c r="I1205" s="181"/>
      <c r="J1205" s="181"/>
      <c r="K1205" s="181"/>
      <c r="L1205" s="181"/>
      <c r="M1205" s="181"/>
      <c r="N1205" s="181"/>
      <c r="O1205" s="181"/>
      <c r="P1205" s="181"/>
      <c r="Q1205" s="181"/>
      <c r="R1205" s="181"/>
      <c r="S1205" s="181"/>
      <c r="T1205" s="181"/>
      <c r="U1205" s="181"/>
      <c r="V1205" s="181"/>
      <c r="W1205" s="181"/>
      <c r="X1205" s="181"/>
      <c r="Y1205" s="181"/>
      <c r="Z1205" s="181"/>
    </row>
    <row r="1206">
      <c r="A1206" s="194"/>
      <c r="B1206" s="195"/>
      <c r="C1206" s="181"/>
      <c r="D1206" s="194"/>
      <c r="E1206" s="194"/>
      <c r="F1206" s="181"/>
      <c r="G1206" s="181"/>
      <c r="H1206" s="181"/>
      <c r="I1206" s="181"/>
      <c r="J1206" s="181"/>
      <c r="K1206" s="181"/>
      <c r="L1206" s="181"/>
      <c r="M1206" s="181"/>
      <c r="N1206" s="181"/>
      <c r="O1206" s="181"/>
      <c r="P1206" s="181"/>
      <c r="Q1206" s="181"/>
      <c r="R1206" s="181"/>
      <c r="S1206" s="181"/>
      <c r="T1206" s="181"/>
      <c r="U1206" s="181"/>
      <c r="V1206" s="181"/>
      <c r="W1206" s="181"/>
      <c r="X1206" s="181"/>
      <c r="Y1206" s="181"/>
      <c r="Z1206" s="181"/>
    </row>
    <row r="1207">
      <c r="A1207" s="194"/>
      <c r="B1207" s="195"/>
      <c r="C1207" s="181"/>
      <c r="D1207" s="194"/>
      <c r="E1207" s="194"/>
      <c r="F1207" s="181"/>
      <c r="G1207" s="181"/>
      <c r="H1207" s="181"/>
      <c r="I1207" s="181"/>
      <c r="J1207" s="181"/>
      <c r="K1207" s="181"/>
      <c r="L1207" s="181"/>
      <c r="M1207" s="181"/>
      <c r="N1207" s="181"/>
      <c r="O1207" s="181"/>
      <c r="P1207" s="181"/>
      <c r="Q1207" s="181"/>
      <c r="R1207" s="181"/>
      <c r="S1207" s="181"/>
      <c r="T1207" s="181"/>
      <c r="U1207" s="181"/>
      <c r="V1207" s="181"/>
      <c r="W1207" s="181"/>
      <c r="X1207" s="181"/>
      <c r="Y1207" s="181"/>
      <c r="Z1207" s="181"/>
    </row>
    <row r="1208">
      <c r="A1208" s="194"/>
      <c r="B1208" s="195"/>
      <c r="C1208" s="181"/>
      <c r="D1208" s="194"/>
      <c r="E1208" s="194"/>
      <c r="F1208" s="181"/>
      <c r="G1208" s="181"/>
      <c r="H1208" s="181"/>
      <c r="I1208" s="181"/>
      <c r="J1208" s="181"/>
      <c r="K1208" s="181"/>
      <c r="L1208" s="181"/>
      <c r="M1208" s="181"/>
      <c r="N1208" s="181"/>
      <c r="O1208" s="181"/>
      <c r="P1208" s="181"/>
      <c r="Q1208" s="181"/>
      <c r="R1208" s="181"/>
      <c r="S1208" s="181"/>
      <c r="T1208" s="181"/>
      <c r="U1208" s="181"/>
      <c r="V1208" s="181"/>
      <c r="W1208" s="181"/>
      <c r="X1208" s="181"/>
      <c r="Y1208" s="181"/>
      <c r="Z1208" s="181"/>
    </row>
    <row r="1209">
      <c r="A1209" s="194"/>
      <c r="B1209" s="195"/>
      <c r="C1209" s="181"/>
      <c r="D1209" s="194"/>
      <c r="E1209" s="194"/>
      <c r="F1209" s="181"/>
      <c r="G1209" s="181"/>
      <c r="H1209" s="181"/>
      <c r="I1209" s="181"/>
      <c r="J1209" s="181"/>
      <c r="K1209" s="181"/>
      <c r="L1209" s="181"/>
      <c r="M1209" s="181"/>
      <c r="N1209" s="181"/>
      <c r="O1209" s="181"/>
      <c r="P1209" s="181"/>
      <c r="Q1209" s="181"/>
      <c r="R1209" s="181"/>
      <c r="S1209" s="181"/>
      <c r="T1209" s="181"/>
      <c r="U1209" s="181"/>
      <c r="V1209" s="181"/>
      <c r="W1209" s="181"/>
      <c r="X1209" s="181"/>
      <c r="Y1209" s="181"/>
      <c r="Z1209" s="181"/>
    </row>
    <row r="1210">
      <c r="A1210" s="194"/>
      <c r="B1210" s="195"/>
      <c r="C1210" s="181"/>
      <c r="D1210" s="194"/>
      <c r="E1210" s="194"/>
      <c r="F1210" s="181"/>
      <c r="G1210" s="181"/>
      <c r="H1210" s="181"/>
      <c r="I1210" s="181"/>
      <c r="J1210" s="181"/>
      <c r="K1210" s="181"/>
      <c r="L1210" s="181"/>
      <c r="M1210" s="181"/>
      <c r="N1210" s="181"/>
      <c r="O1210" s="181"/>
      <c r="P1210" s="181"/>
      <c r="Q1210" s="181"/>
      <c r="R1210" s="181"/>
      <c r="S1210" s="181"/>
      <c r="T1210" s="181"/>
      <c r="U1210" s="181"/>
      <c r="V1210" s="181"/>
      <c r="W1210" s="181"/>
      <c r="X1210" s="181"/>
      <c r="Y1210" s="181"/>
      <c r="Z1210" s="181"/>
    </row>
    <row r="1211">
      <c r="A1211" s="194"/>
      <c r="B1211" s="195"/>
      <c r="C1211" s="181"/>
      <c r="D1211" s="194"/>
      <c r="E1211" s="194"/>
      <c r="F1211" s="181"/>
      <c r="G1211" s="181"/>
      <c r="H1211" s="181"/>
      <c r="I1211" s="181"/>
      <c r="J1211" s="181"/>
      <c r="K1211" s="181"/>
      <c r="L1211" s="181"/>
      <c r="M1211" s="181"/>
      <c r="N1211" s="181"/>
      <c r="O1211" s="181"/>
      <c r="P1211" s="181"/>
      <c r="Q1211" s="181"/>
      <c r="R1211" s="181"/>
      <c r="S1211" s="181"/>
      <c r="T1211" s="181"/>
      <c r="U1211" s="181"/>
      <c r="V1211" s="181"/>
      <c r="W1211" s="181"/>
      <c r="X1211" s="181"/>
      <c r="Y1211" s="181"/>
      <c r="Z1211" s="181"/>
    </row>
    <row r="1212">
      <c r="A1212" s="194"/>
      <c r="B1212" s="195"/>
      <c r="C1212" s="181"/>
      <c r="D1212" s="194"/>
      <c r="E1212" s="194"/>
      <c r="F1212" s="181"/>
      <c r="G1212" s="181"/>
      <c r="H1212" s="181"/>
      <c r="I1212" s="181"/>
      <c r="J1212" s="181"/>
      <c r="K1212" s="181"/>
      <c r="L1212" s="181"/>
      <c r="M1212" s="181"/>
      <c r="N1212" s="181"/>
      <c r="O1212" s="181"/>
      <c r="P1212" s="181"/>
      <c r="Q1212" s="181"/>
      <c r="R1212" s="181"/>
      <c r="S1212" s="181"/>
      <c r="T1212" s="181"/>
      <c r="U1212" s="181"/>
      <c r="V1212" s="181"/>
      <c r="W1212" s="181"/>
      <c r="X1212" s="181"/>
      <c r="Y1212" s="181"/>
      <c r="Z1212" s="181"/>
    </row>
    <row r="1213">
      <c r="A1213" s="194"/>
      <c r="B1213" s="195"/>
      <c r="C1213" s="181"/>
      <c r="D1213" s="194"/>
      <c r="E1213" s="194"/>
      <c r="F1213" s="181"/>
      <c r="G1213" s="181"/>
      <c r="H1213" s="181"/>
      <c r="I1213" s="181"/>
      <c r="J1213" s="181"/>
      <c r="K1213" s="181"/>
      <c r="L1213" s="181"/>
      <c r="M1213" s="181"/>
      <c r="N1213" s="181"/>
      <c r="O1213" s="181"/>
      <c r="P1213" s="181"/>
      <c r="Q1213" s="181"/>
      <c r="R1213" s="181"/>
      <c r="S1213" s="181"/>
      <c r="T1213" s="181"/>
      <c r="U1213" s="181"/>
      <c r="V1213" s="181"/>
      <c r="W1213" s="181"/>
      <c r="X1213" s="181"/>
      <c r="Y1213" s="181"/>
      <c r="Z1213" s="181"/>
    </row>
    <row r="1214">
      <c r="A1214" s="194"/>
      <c r="B1214" s="195"/>
      <c r="C1214" s="181"/>
      <c r="D1214" s="194"/>
      <c r="E1214" s="194"/>
      <c r="F1214" s="181"/>
      <c r="G1214" s="181"/>
      <c r="H1214" s="181"/>
      <c r="I1214" s="181"/>
      <c r="J1214" s="181"/>
      <c r="K1214" s="181"/>
      <c r="L1214" s="181"/>
      <c r="M1214" s="181"/>
      <c r="N1214" s="181"/>
      <c r="O1214" s="181"/>
      <c r="P1214" s="181"/>
      <c r="Q1214" s="181"/>
      <c r="R1214" s="181"/>
      <c r="S1214" s="181"/>
      <c r="T1214" s="181"/>
      <c r="U1214" s="181"/>
      <c r="V1214" s="181"/>
      <c r="W1214" s="181"/>
      <c r="X1214" s="181"/>
      <c r="Y1214" s="181"/>
      <c r="Z1214" s="181"/>
    </row>
    <row r="1215">
      <c r="A1215" s="194"/>
      <c r="B1215" s="195"/>
      <c r="C1215" s="181"/>
      <c r="D1215" s="194"/>
      <c r="E1215" s="194"/>
      <c r="F1215" s="181"/>
      <c r="G1215" s="181"/>
      <c r="H1215" s="181"/>
      <c r="I1215" s="181"/>
      <c r="J1215" s="181"/>
      <c r="K1215" s="181"/>
      <c r="L1215" s="181"/>
      <c r="M1215" s="181"/>
      <c r="N1215" s="181"/>
      <c r="O1215" s="181"/>
      <c r="P1215" s="181"/>
      <c r="Q1215" s="181"/>
      <c r="R1215" s="181"/>
      <c r="S1215" s="181"/>
      <c r="T1215" s="181"/>
      <c r="U1215" s="181"/>
      <c r="V1215" s="181"/>
      <c r="W1215" s="181"/>
      <c r="X1215" s="181"/>
      <c r="Y1215" s="181"/>
      <c r="Z1215" s="181"/>
    </row>
    <row r="1216">
      <c r="A1216" s="194"/>
      <c r="B1216" s="195"/>
      <c r="C1216" s="181"/>
      <c r="D1216" s="194"/>
      <c r="E1216" s="194"/>
      <c r="F1216" s="181"/>
      <c r="G1216" s="181"/>
      <c r="H1216" s="181"/>
      <c r="I1216" s="181"/>
      <c r="J1216" s="181"/>
      <c r="K1216" s="181"/>
      <c r="L1216" s="181"/>
      <c r="M1216" s="181"/>
      <c r="N1216" s="181"/>
      <c r="O1216" s="181"/>
      <c r="P1216" s="181"/>
      <c r="Q1216" s="181"/>
      <c r="R1216" s="181"/>
      <c r="S1216" s="181"/>
      <c r="T1216" s="181"/>
      <c r="U1216" s="181"/>
      <c r="V1216" s="181"/>
      <c r="W1216" s="181"/>
      <c r="X1216" s="181"/>
      <c r="Y1216" s="181"/>
      <c r="Z1216" s="181"/>
    </row>
    <row r="1217">
      <c r="A1217" s="194"/>
      <c r="B1217" s="195"/>
      <c r="C1217" s="181"/>
      <c r="D1217" s="194"/>
      <c r="E1217" s="194"/>
      <c r="F1217" s="181"/>
      <c r="G1217" s="181"/>
      <c r="H1217" s="181"/>
      <c r="I1217" s="181"/>
      <c r="J1217" s="181"/>
      <c r="K1217" s="181"/>
      <c r="L1217" s="181"/>
      <c r="M1217" s="181"/>
      <c r="N1217" s="181"/>
      <c r="O1217" s="181"/>
      <c r="P1217" s="181"/>
      <c r="Q1217" s="181"/>
      <c r="R1217" s="181"/>
      <c r="S1217" s="181"/>
      <c r="T1217" s="181"/>
      <c r="U1217" s="181"/>
      <c r="V1217" s="181"/>
      <c r="W1217" s="181"/>
      <c r="X1217" s="181"/>
      <c r="Y1217" s="181"/>
      <c r="Z1217" s="181"/>
    </row>
    <row r="1218">
      <c r="A1218" s="194"/>
      <c r="B1218" s="195"/>
      <c r="C1218" s="181"/>
      <c r="D1218" s="194"/>
      <c r="E1218" s="194"/>
      <c r="F1218" s="181"/>
      <c r="G1218" s="181"/>
      <c r="H1218" s="181"/>
      <c r="I1218" s="181"/>
      <c r="J1218" s="181"/>
      <c r="K1218" s="181"/>
      <c r="L1218" s="181"/>
      <c r="M1218" s="181"/>
      <c r="N1218" s="181"/>
      <c r="O1218" s="181"/>
      <c r="P1218" s="181"/>
      <c r="Q1218" s="181"/>
      <c r="R1218" s="181"/>
      <c r="S1218" s="181"/>
      <c r="T1218" s="181"/>
      <c r="U1218" s="181"/>
      <c r="V1218" s="181"/>
      <c r="W1218" s="181"/>
      <c r="X1218" s="181"/>
      <c r="Y1218" s="181"/>
      <c r="Z1218" s="181"/>
    </row>
    <row r="1219">
      <c r="A1219" s="194"/>
      <c r="B1219" s="195"/>
      <c r="C1219" s="181"/>
      <c r="D1219" s="194"/>
      <c r="E1219" s="194"/>
      <c r="F1219" s="181"/>
      <c r="G1219" s="181"/>
      <c r="H1219" s="181"/>
      <c r="I1219" s="181"/>
      <c r="J1219" s="181"/>
      <c r="K1219" s="181"/>
      <c r="L1219" s="181"/>
      <c r="M1219" s="181"/>
      <c r="N1219" s="181"/>
      <c r="O1219" s="181"/>
      <c r="P1219" s="181"/>
      <c r="Q1219" s="181"/>
      <c r="R1219" s="181"/>
      <c r="S1219" s="181"/>
      <c r="T1219" s="181"/>
      <c r="U1219" s="181"/>
      <c r="V1219" s="181"/>
      <c r="W1219" s="181"/>
      <c r="X1219" s="181"/>
      <c r="Y1219" s="181"/>
      <c r="Z1219" s="181"/>
    </row>
    <row r="1220">
      <c r="A1220" s="194"/>
      <c r="B1220" s="195"/>
      <c r="C1220" s="181"/>
      <c r="D1220" s="194"/>
      <c r="E1220" s="194"/>
      <c r="F1220" s="181"/>
      <c r="G1220" s="181"/>
      <c r="H1220" s="181"/>
      <c r="I1220" s="181"/>
      <c r="J1220" s="181"/>
      <c r="K1220" s="181"/>
      <c r="L1220" s="181"/>
      <c r="M1220" s="181"/>
      <c r="N1220" s="181"/>
      <c r="O1220" s="181"/>
      <c r="P1220" s="181"/>
      <c r="Q1220" s="181"/>
      <c r="R1220" s="181"/>
      <c r="S1220" s="181"/>
      <c r="T1220" s="181"/>
      <c r="U1220" s="181"/>
      <c r="V1220" s="181"/>
      <c r="W1220" s="181"/>
      <c r="X1220" s="181"/>
      <c r="Y1220" s="181"/>
      <c r="Z1220" s="181"/>
    </row>
    <row r="1221">
      <c r="A1221" s="194"/>
      <c r="B1221" s="195"/>
      <c r="C1221" s="181"/>
      <c r="D1221" s="194"/>
      <c r="E1221" s="194"/>
      <c r="F1221" s="181"/>
      <c r="G1221" s="181"/>
      <c r="H1221" s="181"/>
      <c r="I1221" s="181"/>
      <c r="J1221" s="181"/>
      <c r="K1221" s="181"/>
      <c r="L1221" s="181"/>
      <c r="M1221" s="181"/>
      <c r="N1221" s="181"/>
      <c r="O1221" s="181"/>
      <c r="P1221" s="181"/>
      <c r="Q1221" s="181"/>
      <c r="R1221" s="181"/>
      <c r="S1221" s="181"/>
      <c r="T1221" s="181"/>
      <c r="U1221" s="181"/>
      <c r="V1221" s="181"/>
      <c r="W1221" s="181"/>
      <c r="X1221" s="181"/>
      <c r="Y1221" s="181"/>
      <c r="Z1221" s="181"/>
    </row>
    <row r="1222">
      <c r="A1222" s="194"/>
      <c r="B1222" s="195"/>
      <c r="C1222" s="181"/>
      <c r="D1222" s="194"/>
      <c r="E1222" s="194"/>
      <c r="F1222" s="181"/>
      <c r="G1222" s="181"/>
      <c r="H1222" s="181"/>
      <c r="I1222" s="181"/>
      <c r="J1222" s="181"/>
      <c r="K1222" s="181"/>
      <c r="L1222" s="181"/>
      <c r="M1222" s="181"/>
      <c r="N1222" s="181"/>
      <c r="O1222" s="181"/>
      <c r="P1222" s="181"/>
      <c r="Q1222" s="181"/>
      <c r="R1222" s="181"/>
      <c r="S1222" s="181"/>
      <c r="T1222" s="181"/>
      <c r="U1222" s="181"/>
      <c r="V1222" s="181"/>
      <c r="W1222" s="181"/>
      <c r="X1222" s="181"/>
      <c r="Y1222" s="181"/>
      <c r="Z1222" s="181"/>
    </row>
    <row r="1223">
      <c r="A1223" s="194"/>
      <c r="B1223" s="195"/>
      <c r="C1223" s="181"/>
      <c r="D1223" s="194"/>
      <c r="E1223" s="194"/>
      <c r="F1223" s="181"/>
      <c r="G1223" s="181"/>
      <c r="H1223" s="181"/>
      <c r="I1223" s="181"/>
      <c r="J1223" s="181"/>
      <c r="K1223" s="181"/>
      <c r="L1223" s="181"/>
      <c r="M1223" s="181"/>
      <c r="N1223" s="181"/>
      <c r="O1223" s="181"/>
      <c r="P1223" s="181"/>
      <c r="Q1223" s="181"/>
      <c r="R1223" s="181"/>
      <c r="S1223" s="181"/>
      <c r="T1223" s="181"/>
      <c r="U1223" s="181"/>
      <c r="V1223" s="181"/>
      <c r="W1223" s="181"/>
      <c r="X1223" s="181"/>
      <c r="Y1223" s="181"/>
      <c r="Z1223" s="181"/>
    </row>
    <row r="1224">
      <c r="A1224" s="194"/>
      <c r="B1224" s="195"/>
      <c r="C1224" s="181"/>
      <c r="D1224" s="194"/>
      <c r="E1224" s="194"/>
      <c r="F1224" s="181"/>
      <c r="G1224" s="181"/>
      <c r="H1224" s="181"/>
      <c r="I1224" s="181"/>
      <c r="J1224" s="181"/>
      <c r="K1224" s="181"/>
      <c r="L1224" s="181"/>
      <c r="M1224" s="181"/>
      <c r="N1224" s="181"/>
      <c r="O1224" s="181"/>
      <c r="P1224" s="181"/>
      <c r="Q1224" s="181"/>
      <c r="R1224" s="181"/>
      <c r="S1224" s="181"/>
      <c r="T1224" s="181"/>
      <c r="U1224" s="181"/>
      <c r="V1224" s="181"/>
      <c r="W1224" s="181"/>
      <c r="X1224" s="181"/>
      <c r="Y1224" s="181"/>
      <c r="Z1224" s="181"/>
    </row>
    <row r="1225">
      <c r="A1225" s="194"/>
      <c r="B1225" s="195"/>
      <c r="C1225" s="181"/>
      <c r="D1225" s="194"/>
      <c r="E1225" s="194"/>
      <c r="F1225" s="181"/>
      <c r="G1225" s="181"/>
      <c r="H1225" s="181"/>
      <c r="I1225" s="181"/>
      <c r="J1225" s="181"/>
      <c r="K1225" s="181"/>
      <c r="L1225" s="181"/>
      <c r="M1225" s="181"/>
      <c r="N1225" s="181"/>
      <c r="O1225" s="181"/>
      <c r="P1225" s="181"/>
      <c r="Q1225" s="181"/>
      <c r="R1225" s="181"/>
      <c r="S1225" s="181"/>
      <c r="T1225" s="181"/>
      <c r="U1225" s="181"/>
      <c r="V1225" s="181"/>
      <c r="W1225" s="181"/>
      <c r="X1225" s="181"/>
      <c r="Y1225" s="181"/>
      <c r="Z1225" s="181"/>
    </row>
    <row r="1226">
      <c r="A1226" s="194"/>
      <c r="B1226" s="195"/>
      <c r="C1226" s="181"/>
      <c r="D1226" s="194"/>
      <c r="E1226" s="194"/>
      <c r="F1226" s="181"/>
      <c r="G1226" s="181"/>
      <c r="H1226" s="181"/>
      <c r="I1226" s="181"/>
      <c r="J1226" s="181"/>
      <c r="K1226" s="181"/>
      <c r="L1226" s="181"/>
      <c r="M1226" s="181"/>
      <c r="N1226" s="181"/>
      <c r="O1226" s="181"/>
      <c r="P1226" s="181"/>
      <c r="Q1226" s="181"/>
      <c r="R1226" s="181"/>
      <c r="S1226" s="181"/>
      <c r="T1226" s="181"/>
      <c r="U1226" s="181"/>
      <c r="V1226" s="181"/>
      <c r="W1226" s="181"/>
      <c r="X1226" s="181"/>
      <c r="Y1226" s="181"/>
      <c r="Z1226" s="181"/>
    </row>
    <row r="1227">
      <c r="A1227" s="194"/>
      <c r="B1227" s="195"/>
      <c r="C1227" s="181"/>
      <c r="D1227" s="194"/>
      <c r="E1227" s="194"/>
      <c r="F1227" s="181"/>
      <c r="G1227" s="181"/>
      <c r="H1227" s="181"/>
      <c r="I1227" s="181"/>
      <c r="J1227" s="181"/>
      <c r="K1227" s="181"/>
      <c r="L1227" s="181"/>
      <c r="M1227" s="181"/>
      <c r="N1227" s="181"/>
      <c r="O1227" s="181"/>
      <c r="P1227" s="181"/>
      <c r="Q1227" s="181"/>
      <c r="R1227" s="181"/>
      <c r="S1227" s="181"/>
      <c r="T1227" s="181"/>
      <c r="U1227" s="181"/>
      <c r="V1227" s="181"/>
      <c r="W1227" s="181"/>
      <c r="X1227" s="181"/>
      <c r="Y1227" s="181"/>
      <c r="Z1227" s="181"/>
    </row>
    <row r="1228">
      <c r="A1228" s="194"/>
      <c r="B1228" s="195"/>
      <c r="C1228" s="181"/>
      <c r="D1228" s="194"/>
      <c r="E1228" s="194"/>
      <c r="F1228" s="181"/>
      <c r="G1228" s="181"/>
      <c r="H1228" s="181"/>
      <c r="I1228" s="181"/>
      <c r="J1228" s="181"/>
      <c r="K1228" s="181"/>
      <c r="L1228" s="181"/>
      <c r="M1228" s="181"/>
      <c r="N1228" s="181"/>
      <c r="O1228" s="181"/>
      <c r="P1228" s="181"/>
      <c r="Q1228" s="181"/>
      <c r="R1228" s="181"/>
      <c r="S1228" s="181"/>
      <c r="T1228" s="181"/>
      <c r="U1228" s="181"/>
      <c r="V1228" s="181"/>
      <c r="W1228" s="181"/>
      <c r="X1228" s="181"/>
      <c r="Y1228" s="181"/>
      <c r="Z1228" s="181"/>
    </row>
    <row r="1229">
      <c r="A1229" s="194"/>
      <c r="B1229" s="195"/>
      <c r="C1229" s="181"/>
      <c r="D1229" s="194"/>
      <c r="E1229" s="194"/>
      <c r="F1229" s="181"/>
      <c r="G1229" s="181"/>
      <c r="H1229" s="181"/>
      <c r="I1229" s="181"/>
      <c r="J1229" s="181"/>
      <c r="K1229" s="181"/>
      <c r="L1229" s="181"/>
      <c r="M1229" s="181"/>
      <c r="N1229" s="181"/>
      <c r="O1229" s="181"/>
      <c r="P1229" s="181"/>
      <c r="Q1229" s="181"/>
      <c r="R1229" s="181"/>
      <c r="S1229" s="181"/>
      <c r="T1229" s="181"/>
      <c r="U1229" s="181"/>
      <c r="V1229" s="181"/>
      <c r="W1229" s="181"/>
      <c r="X1229" s="181"/>
      <c r="Y1229" s="181"/>
      <c r="Z1229" s="181"/>
    </row>
    <row r="1230">
      <c r="A1230" s="194"/>
      <c r="B1230" s="195"/>
      <c r="C1230" s="181"/>
      <c r="D1230" s="194"/>
      <c r="E1230" s="194"/>
      <c r="F1230" s="181"/>
      <c r="G1230" s="181"/>
      <c r="H1230" s="181"/>
      <c r="I1230" s="181"/>
      <c r="J1230" s="181"/>
      <c r="K1230" s="181"/>
      <c r="L1230" s="181"/>
      <c r="M1230" s="181"/>
      <c r="N1230" s="181"/>
      <c r="O1230" s="181"/>
      <c r="P1230" s="181"/>
      <c r="Q1230" s="181"/>
      <c r="R1230" s="181"/>
      <c r="S1230" s="181"/>
      <c r="T1230" s="181"/>
      <c r="U1230" s="181"/>
      <c r="V1230" s="181"/>
      <c r="W1230" s="181"/>
      <c r="X1230" s="181"/>
      <c r="Y1230" s="181"/>
      <c r="Z1230" s="181"/>
    </row>
    <row r="1231">
      <c r="A1231" s="194"/>
      <c r="B1231" s="195"/>
      <c r="C1231" s="181"/>
      <c r="D1231" s="194"/>
      <c r="E1231" s="194"/>
      <c r="F1231" s="181"/>
      <c r="G1231" s="181"/>
      <c r="H1231" s="181"/>
      <c r="I1231" s="181"/>
      <c r="J1231" s="181"/>
      <c r="K1231" s="181"/>
      <c r="L1231" s="181"/>
      <c r="M1231" s="181"/>
      <c r="N1231" s="181"/>
      <c r="O1231" s="181"/>
      <c r="P1231" s="181"/>
      <c r="Q1231" s="181"/>
      <c r="R1231" s="181"/>
      <c r="S1231" s="181"/>
      <c r="T1231" s="181"/>
      <c r="U1231" s="181"/>
      <c r="V1231" s="181"/>
      <c r="W1231" s="181"/>
      <c r="X1231" s="181"/>
      <c r="Y1231" s="181"/>
      <c r="Z1231" s="181"/>
    </row>
    <row r="1232">
      <c r="A1232" s="194"/>
      <c r="B1232" s="195"/>
      <c r="C1232" s="181"/>
      <c r="D1232" s="194"/>
      <c r="E1232" s="194"/>
      <c r="F1232" s="181"/>
      <c r="G1232" s="181"/>
      <c r="H1232" s="181"/>
      <c r="I1232" s="181"/>
      <c r="J1232" s="181"/>
      <c r="K1232" s="181"/>
      <c r="L1232" s="181"/>
      <c r="M1232" s="181"/>
      <c r="N1232" s="181"/>
      <c r="O1232" s="181"/>
      <c r="P1232" s="181"/>
      <c r="Q1232" s="181"/>
      <c r="R1232" s="181"/>
      <c r="S1232" s="181"/>
      <c r="T1232" s="181"/>
      <c r="U1232" s="181"/>
      <c r="V1232" s="181"/>
      <c r="W1232" s="181"/>
      <c r="X1232" s="181"/>
      <c r="Y1232" s="181"/>
      <c r="Z1232" s="181"/>
    </row>
    <row r="1233">
      <c r="A1233" s="194"/>
      <c r="B1233" s="195"/>
      <c r="C1233" s="181"/>
      <c r="D1233" s="194"/>
      <c r="E1233" s="194"/>
      <c r="F1233" s="181"/>
      <c r="G1233" s="181"/>
      <c r="H1233" s="181"/>
      <c r="I1233" s="181"/>
      <c r="J1233" s="181"/>
      <c r="K1233" s="181"/>
      <c r="L1233" s="181"/>
      <c r="M1233" s="181"/>
      <c r="N1233" s="181"/>
      <c r="O1233" s="181"/>
      <c r="P1233" s="181"/>
      <c r="Q1233" s="181"/>
      <c r="R1233" s="181"/>
      <c r="S1233" s="181"/>
      <c r="T1233" s="181"/>
      <c r="U1233" s="181"/>
      <c r="V1233" s="181"/>
      <c r="W1233" s="181"/>
      <c r="X1233" s="181"/>
      <c r="Y1233" s="181"/>
      <c r="Z1233" s="181"/>
    </row>
    <row r="1234">
      <c r="A1234" s="194"/>
      <c r="B1234" s="195"/>
      <c r="C1234" s="181"/>
      <c r="D1234" s="194"/>
      <c r="E1234" s="194"/>
      <c r="F1234" s="181"/>
      <c r="G1234" s="181"/>
      <c r="H1234" s="181"/>
      <c r="I1234" s="181"/>
      <c r="J1234" s="181"/>
      <c r="K1234" s="181"/>
      <c r="L1234" s="181"/>
      <c r="M1234" s="181"/>
      <c r="N1234" s="181"/>
      <c r="O1234" s="181"/>
      <c r="P1234" s="181"/>
      <c r="Q1234" s="181"/>
      <c r="R1234" s="181"/>
      <c r="S1234" s="181"/>
      <c r="T1234" s="181"/>
      <c r="U1234" s="181"/>
      <c r="V1234" s="181"/>
      <c r="W1234" s="181"/>
      <c r="X1234" s="181"/>
      <c r="Y1234" s="181"/>
      <c r="Z1234" s="181"/>
    </row>
    <row r="1235">
      <c r="A1235" s="194"/>
      <c r="B1235" s="195"/>
      <c r="C1235" s="181"/>
      <c r="D1235" s="194"/>
      <c r="E1235" s="194"/>
      <c r="F1235" s="181"/>
      <c r="G1235" s="181"/>
      <c r="H1235" s="181"/>
      <c r="I1235" s="181"/>
      <c r="J1235" s="181"/>
      <c r="K1235" s="181"/>
      <c r="L1235" s="181"/>
      <c r="M1235" s="181"/>
      <c r="N1235" s="181"/>
      <c r="O1235" s="181"/>
      <c r="P1235" s="181"/>
      <c r="Q1235" s="181"/>
      <c r="R1235" s="181"/>
      <c r="S1235" s="181"/>
      <c r="T1235" s="181"/>
      <c r="U1235" s="181"/>
      <c r="V1235" s="181"/>
      <c r="W1235" s="181"/>
      <c r="X1235" s="181"/>
      <c r="Y1235" s="181"/>
      <c r="Z1235" s="181"/>
    </row>
    <row r="1236">
      <c r="A1236" s="194"/>
      <c r="B1236" s="195"/>
      <c r="C1236" s="181"/>
      <c r="D1236" s="194"/>
      <c r="E1236" s="194"/>
      <c r="F1236" s="181"/>
      <c r="G1236" s="181"/>
      <c r="H1236" s="181"/>
      <c r="I1236" s="181"/>
      <c r="J1236" s="181"/>
      <c r="K1236" s="181"/>
      <c r="L1236" s="181"/>
      <c r="M1236" s="181"/>
      <c r="N1236" s="181"/>
      <c r="O1236" s="181"/>
      <c r="P1236" s="181"/>
      <c r="Q1236" s="181"/>
      <c r="R1236" s="181"/>
      <c r="S1236" s="181"/>
      <c r="T1236" s="181"/>
      <c r="U1236" s="181"/>
      <c r="V1236" s="181"/>
      <c r="W1236" s="181"/>
      <c r="X1236" s="181"/>
      <c r="Y1236" s="181"/>
      <c r="Z1236" s="181"/>
    </row>
    <row r="1237">
      <c r="A1237" s="194"/>
      <c r="B1237" s="195"/>
      <c r="C1237" s="181"/>
      <c r="D1237" s="194"/>
      <c r="E1237" s="194"/>
      <c r="F1237" s="181"/>
      <c r="G1237" s="181"/>
      <c r="H1237" s="181"/>
      <c r="I1237" s="181"/>
      <c r="J1237" s="181"/>
      <c r="K1237" s="181"/>
      <c r="L1237" s="181"/>
      <c r="M1237" s="181"/>
      <c r="N1237" s="181"/>
      <c r="O1237" s="181"/>
      <c r="P1237" s="181"/>
      <c r="Q1237" s="181"/>
      <c r="R1237" s="181"/>
      <c r="S1237" s="181"/>
      <c r="T1237" s="181"/>
      <c r="U1237" s="181"/>
      <c r="V1237" s="181"/>
      <c r="W1237" s="181"/>
      <c r="X1237" s="181"/>
      <c r="Y1237" s="181"/>
      <c r="Z1237" s="181"/>
    </row>
    <row r="1238">
      <c r="A1238" s="194"/>
      <c r="B1238" s="195"/>
      <c r="C1238" s="181"/>
      <c r="D1238" s="194"/>
      <c r="E1238" s="194"/>
      <c r="F1238" s="181"/>
      <c r="G1238" s="181"/>
      <c r="H1238" s="181"/>
      <c r="I1238" s="181"/>
      <c r="J1238" s="181"/>
      <c r="K1238" s="181"/>
      <c r="L1238" s="181"/>
      <c r="M1238" s="181"/>
      <c r="N1238" s="181"/>
      <c r="O1238" s="181"/>
      <c r="P1238" s="181"/>
      <c r="Q1238" s="181"/>
      <c r="R1238" s="181"/>
      <c r="S1238" s="181"/>
      <c r="T1238" s="181"/>
      <c r="U1238" s="181"/>
      <c r="V1238" s="181"/>
      <c r="W1238" s="181"/>
      <c r="X1238" s="181"/>
      <c r="Y1238" s="181"/>
      <c r="Z1238" s="181"/>
    </row>
    <row r="1239">
      <c r="A1239" s="194"/>
      <c r="B1239" s="195"/>
      <c r="C1239" s="181"/>
      <c r="D1239" s="194"/>
      <c r="E1239" s="194"/>
      <c r="F1239" s="181"/>
      <c r="G1239" s="181"/>
      <c r="H1239" s="181"/>
      <c r="I1239" s="181"/>
      <c r="J1239" s="181"/>
      <c r="K1239" s="181"/>
      <c r="L1239" s="181"/>
      <c r="M1239" s="181"/>
      <c r="N1239" s="181"/>
      <c r="O1239" s="181"/>
      <c r="P1239" s="181"/>
      <c r="Q1239" s="181"/>
      <c r="R1239" s="181"/>
      <c r="S1239" s="181"/>
      <c r="T1239" s="181"/>
      <c r="U1239" s="181"/>
      <c r="V1239" s="181"/>
      <c r="W1239" s="181"/>
      <c r="X1239" s="181"/>
      <c r="Y1239" s="181"/>
      <c r="Z1239" s="181"/>
    </row>
    <row r="1240">
      <c r="A1240" s="194"/>
      <c r="B1240" s="195"/>
      <c r="C1240" s="181"/>
      <c r="D1240" s="194"/>
      <c r="E1240" s="194"/>
      <c r="F1240" s="181"/>
      <c r="G1240" s="181"/>
      <c r="H1240" s="181"/>
      <c r="I1240" s="181"/>
      <c r="J1240" s="181"/>
      <c r="K1240" s="181"/>
      <c r="L1240" s="181"/>
      <c r="M1240" s="181"/>
      <c r="N1240" s="181"/>
      <c r="O1240" s="181"/>
      <c r="P1240" s="181"/>
      <c r="Q1240" s="181"/>
      <c r="R1240" s="181"/>
      <c r="S1240" s="181"/>
      <c r="T1240" s="181"/>
      <c r="U1240" s="181"/>
      <c r="V1240" s="181"/>
      <c r="W1240" s="181"/>
      <c r="X1240" s="181"/>
      <c r="Y1240" s="181"/>
      <c r="Z1240" s="181"/>
    </row>
    <row r="1241">
      <c r="A1241" s="194"/>
      <c r="B1241" s="195"/>
      <c r="C1241" s="181"/>
      <c r="D1241" s="194"/>
      <c r="E1241" s="194"/>
      <c r="F1241" s="181"/>
      <c r="G1241" s="181"/>
      <c r="H1241" s="181"/>
      <c r="I1241" s="181"/>
      <c r="J1241" s="181"/>
      <c r="K1241" s="181"/>
      <c r="L1241" s="181"/>
      <c r="M1241" s="181"/>
      <c r="N1241" s="181"/>
      <c r="O1241" s="181"/>
      <c r="P1241" s="181"/>
      <c r="Q1241" s="181"/>
      <c r="R1241" s="181"/>
      <c r="S1241" s="181"/>
      <c r="T1241" s="181"/>
      <c r="U1241" s="181"/>
      <c r="V1241" s="181"/>
      <c r="W1241" s="181"/>
      <c r="X1241" s="181"/>
      <c r="Y1241" s="181"/>
      <c r="Z1241" s="181"/>
    </row>
    <row r="1242">
      <c r="A1242" s="194"/>
      <c r="B1242" s="195"/>
      <c r="C1242" s="181"/>
      <c r="D1242" s="194"/>
      <c r="E1242" s="194"/>
      <c r="F1242" s="181"/>
      <c r="G1242" s="181"/>
      <c r="H1242" s="181"/>
      <c r="I1242" s="181"/>
      <c r="J1242" s="181"/>
      <c r="K1242" s="181"/>
      <c r="L1242" s="181"/>
      <c r="M1242" s="181"/>
      <c r="N1242" s="181"/>
      <c r="O1242" s="181"/>
      <c r="P1242" s="181"/>
      <c r="Q1242" s="181"/>
      <c r="R1242" s="181"/>
      <c r="S1242" s="181"/>
      <c r="T1242" s="181"/>
      <c r="U1242" s="181"/>
      <c r="V1242" s="181"/>
      <c r="W1242" s="181"/>
      <c r="X1242" s="181"/>
      <c r="Y1242" s="181"/>
      <c r="Z1242" s="181"/>
    </row>
    <row r="1243">
      <c r="A1243" s="194"/>
      <c r="B1243" s="195"/>
      <c r="C1243" s="181"/>
      <c r="D1243" s="194"/>
      <c r="E1243" s="194"/>
      <c r="F1243" s="181"/>
      <c r="G1243" s="181"/>
      <c r="H1243" s="181"/>
      <c r="I1243" s="181"/>
      <c r="J1243" s="181"/>
      <c r="K1243" s="181"/>
      <c r="L1243" s="181"/>
      <c r="M1243" s="181"/>
      <c r="N1243" s="181"/>
      <c r="O1243" s="181"/>
      <c r="P1243" s="181"/>
      <c r="Q1243" s="181"/>
      <c r="R1243" s="181"/>
      <c r="S1243" s="181"/>
      <c r="T1243" s="181"/>
      <c r="U1243" s="181"/>
      <c r="V1243" s="181"/>
      <c r="W1243" s="181"/>
      <c r="X1243" s="181"/>
      <c r="Y1243" s="181"/>
      <c r="Z1243" s="181"/>
    </row>
    <row r="1244">
      <c r="A1244" s="194"/>
      <c r="B1244" s="195"/>
      <c r="C1244" s="181"/>
      <c r="D1244" s="194"/>
      <c r="E1244" s="194"/>
      <c r="F1244" s="181"/>
      <c r="G1244" s="181"/>
      <c r="H1244" s="181"/>
      <c r="I1244" s="181"/>
      <c r="J1244" s="181"/>
      <c r="K1244" s="181"/>
      <c r="L1244" s="181"/>
      <c r="M1244" s="181"/>
      <c r="N1244" s="181"/>
      <c r="O1244" s="181"/>
      <c r="P1244" s="181"/>
      <c r="Q1244" s="181"/>
      <c r="R1244" s="181"/>
      <c r="S1244" s="181"/>
      <c r="T1244" s="181"/>
      <c r="U1244" s="181"/>
      <c r="V1244" s="181"/>
      <c r="W1244" s="181"/>
      <c r="X1244" s="181"/>
      <c r="Y1244" s="181"/>
      <c r="Z1244" s="181"/>
    </row>
    <row r="1245">
      <c r="A1245" s="194"/>
      <c r="B1245" s="195"/>
      <c r="C1245" s="181"/>
      <c r="D1245" s="194"/>
      <c r="E1245" s="194"/>
      <c r="F1245" s="181"/>
      <c r="G1245" s="181"/>
      <c r="H1245" s="181"/>
      <c r="I1245" s="181"/>
      <c r="J1245" s="181"/>
      <c r="K1245" s="181"/>
      <c r="L1245" s="181"/>
      <c r="M1245" s="181"/>
      <c r="N1245" s="181"/>
      <c r="O1245" s="181"/>
      <c r="P1245" s="181"/>
      <c r="Q1245" s="181"/>
      <c r="R1245" s="181"/>
      <c r="S1245" s="181"/>
      <c r="T1245" s="181"/>
      <c r="U1245" s="181"/>
      <c r="V1245" s="181"/>
      <c r="W1245" s="181"/>
      <c r="X1245" s="181"/>
      <c r="Y1245" s="181"/>
      <c r="Z1245" s="181"/>
    </row>
    <row r="1246">
      <c r="A1246" s="194"/>
      <c r="B1246" s="195"/>
      <c r="C1246" s="181"/>
      <c r="D1246" s="194"/>
      <c r="E1246" s="194"/>
      <c r="F1246" s="181"/>
      <c r="G1246" s="181"/>
      <c r="H1246" s="181"/>
      <c r="I1246" s="181"/>
      <c r="J1246" s="181"/>
      <c r="K1246" s="181"/>
      <c r="L1246" s="181"/>
      <c r="M1246" s="181"/>
      <c r="N1246" s="181"/>
      <c r="O1246" s="181"/>
      <c r="P1246" s="181"/>
      <c r="Q1246" s="181"/>
      <c r="R1246" s="181"/>
      <c r="S1246" s="181"/>
      <c r="T1246" s="181"/>
      <c r="U1246" s="181"/>
      <c r="V1246" s="181"/>
      <c r="W1246" s="181"/>
      <c r="X1246" s="181"/>
      <c r="Y1246" s="181"/>
      <c r="Z1246" s="181"/>
    </row>
    <row r="1247">
      <c r="A1247" s="194"/>
      <c r="B1247" s="195"/>
      <c r="C1247" s="181"/>
      <c r="D1247" s="194"/>
      <c r="E1247" s="194"/>
      <c r="F1247" s="181"/>
      <c r="G1247" s="181"/>
      <c r="H1247" s="181"/>
      <c r="I1247" s="181"/>
      <c r="J1247" s="181"/>
      <c r="K1247" s="181"/>
      <c r="L1247" s="181"/>
      <c r="M1247" s="181"/>
      <c r="N1247" s="181"/>
      <c r="O1247" s="181"/>
      <c r="P1247" s="181"/>
      <c r="Q1247" s="181"/>
      <c r="R1247" s="181"/>
      <c r="S1247" s="181"/>
      <c r="T1247" s="181"/>
      <c r="U1247" s="181"/>
      <c r="V1247" s="181"/>
      <c r="W1247" s="181"/>
      <c r="X1247" s="181"/>
      <c r="Y1247" s="181"/>
      <c r="Z1247" s="181"/>
    </row>
    <row r="1248">
      <c r="A1248" s="194"/>
      <c r="B1248" s="195"/>
      <c r="C1248" s="181"/>
      <c r="D1248" s="194"/>
      <c r="E1248" s="194"/>
      <c r="F1248" s="181"/>
      <c r="G1248" s="181"/>
      <c r="H1248" s="181"/>
      <c r="I1248" s="181"/>
      <c r="J1248" s="181"/>
      <c r="K1248" s="181"/>
      <c r="L1248" s="181"/>
      <c r="M1248" s="181"/>
      <c r="N1248" s="181"/>
      <c r="O1248" s="181"/>
      <c r="P1248" s="181"/>
      <c r="Q1248" s="181"/>
      <c r="R1248" s="181"/>
      <c r="S1248" s="181"/>
      <c r="T1248" s="181"/>
      <c r="U1248" s="181"/>
      <c r="V1248" s="181"/>
      <c r="W1248" s="181"/>
      <c r="X1248" s="181"/>
      <c r="Y1248" s="181"/>
      <c r="Z1248" s="181"/>
    </row>
    <row r="1249">
      <c r="A1249" s="194"/>
      <c r="B1249" s="195"/>
      <c r="C1249" s="181"/>
      <c r="D1249" s="194"/>
      <c r="E1249" s="194"/>
      <c r="F1249" s="181"/>
      <c r="G1249" s="181"/>
      <c r="H1249" s="181"/>
      <c r="I1249" s="181"/>
      <c r="J1249" s="181"/>
      <c r="K1249" s="181"/>
      <c r="L1249" s="181"/>
      <c r="M1249" s="181"/>
      <c r="N1249" s="181"/>
      <c r="O1249" s="181"/>
      <c r="P1249" s="181"/>
      <c r="Q1249" s="181"/>
      <c r="R1249" s="181"/>
      <c r="S1249" s="181"/>
      <c r="T1249" s="181"/>
      <c r="U1249" s="181"/>
      <c r="V1249" s="181"/>
      <c r="W1249" s="181"/>
      <c r="X1249" s="181"/>
      <c r="Y1249" s="181"/>
      <c r="Z1249" s="181"/>
    </row>
    <row r="1250">
      <c r="A1250" s="194"/>
      <c r="B1250" s="195"/>
      <c r="C1250" s="181"/>
      <c r="D1250" s="194"/>
      <c r="E1250" s="194"/>
      <c r="F1250" s="181"/>
      <c r="G1250" s="181"/>
      <c r="H1250" s="181"/>
      <c r="I1250" s="181"/>
      <c r="J1250" s="181"/>
      <c r="K1250" s="181"/>
      <c r="L1250" s="181"/>
      <c r="M1250" s="181"/>
      <c r="N1250" s="181"/>
      <c r="O1250" s="181"/>
      <c r="P1250" s="181"/>
      <c r="Q1250" s="181"/>
      <c r="R1250" s="181"/>
      <c r="S1250" s="181"/>
      <c r="T1250" s="181"/>
      <c r="U1250" s="181"/>
      <c r="V1250" s="181"/>
      <c r="W1250" s="181"/>
      <c r="X1250" s="181"/>
      <c r="Y1250" s="181"/>
      <c r="Z1250" s="181"/>
    </row>
    <row r="1251">
      <c r="A1251" s="194"/>
      <c r="B1251" s="195"/>
      <c r="C1251" s="181"/>
      <c r="D1251" s="194"/>
      <c r="E1251" s="194"/>
      <c r="F1251" s="181"/>
      <c r="G1251" s="181"/>
      <c r="H1251" s="181"/>
      <c r="I1251" s="181"/>
      <c r="J1251" s="181"/>
      <c r="K1251" s="181"/>
      <c r="L1251" s="181"/>
      <c r="M1251" s="181"/>
      <c r="N1251" s="181"/>
      <c r="O1251" s="181"/>
      <c r="P1251" s="181"/>
      <c r="Q1251" s="181"/>
      <c r="R1251" s="181"/>
      <c r="S1251" s="181"/>
      <c r="T1251" s="181"/>
      <c r="U1251" s="181"/>
      <c r="V1251" s="181"/>
      <c r="W1251" s="181"/>
      <c r="X1251" s="181"/>
      <c r="Y1251" s="181"/>
      <c r="Z1251" s="181"/>
    </row>
    <row r="1252">
      <c r="A1252" s="194"/>
      <c r="B1252" s="195"/>
      <c r="C1252" s="181"/>
      <c r="D1252" s="194"/>
      <c r="E1252" s="194"/>
      <c r="F1252" s="181"/>
      <c r="G1252" s="181"/>
      <c r="H1252" s="181"/>
      <c r="I1252" s="181"/>
      <c r="J1252" s="181"/>
      <c r="K1252" s="181"/>
      <c r="L1252" s="181"/>
      <c r="M1252" s="181"/>
      <c r="N1252" s="181"/>
      <c r="O1252" s="181"/>
      <c r="P1252" s="181"/>
      <c r="Q1252" s="181"/>
      <c r="R1252" s="181"/>
      <c r="S1252" s="181"/>
      <c r="T1252" s="181"/>
      <c r="U1252" s="181"/>
      <c r="V1252" s="181"/>
      <c r="W1252" s="181"/>
      <c r="X1252" s="181"/>
      <c r="Y1252" s="181"/>
      <c r="Z1252" s="181"/>
    </row>
    <row r="1253">
      <c r="A1253" s="194"/>
      <c r="B1253" s="195"/>
      <c r="C1253" s="181"/>
      <c r="D1253" s="194"/>
      <c r="E1253" s="194"/>
      <c r="F1253" s="181"/>
      <c r="G1253" s="181"/>
      <c r="H1253" s="181"/>
      <c r="I1253" s="181"/>
      <c r="J1253" s="181"/>
      <c r="K1253" s="181"/>
      <c r="L1253" s="181"/>
      <c r="M1253" s="181"/>
      <c r="N1253" s="181"/>
      <c r="O1253" s="181"/>
      <c r="P1253" s="181"/>
      <c r="Q1253" s="181"/>
      <c r="R1253" s="181"/>
      <c r="S1253" s="181"/>
      <c r="T1253" s="181"/>
      <c r="U1253" s="181"/>
      <c r="V1253" s="181"/>
      <c r="W1253" s="181"/>
      <c r="X1253" s="181"/>
      <c r="Y1253" s="181"/>
      <c r="Z1253" s="181"/>
    </row>
    <row r="1254">
      <c r="A1254" s="194"/>
      <c r="B1254" s="195"/>
      <c r="C1254" s="181"/>
      <c r="D1254" s="194"/>
      <c r="E1254" s="194"/>
      <c r="F1254" s="181"/>
      <c r="G1254" s="181"/>
      <c r="H1254" s="181"/>
      <c r="I1254" s="181"/>
      <c r="J1254" s="181"/>
      <c r="K1254" s="181"/>
      <c r="L1254" s="181"/>
      <c r="M1254" s="181"/>
      <c r="N1254" s="181"/>
      <c r="O1254" s="181"/>
      <c r="P1254" s="181"/>
      <c r="Q1254" s="181"/>
      <c r="R1254" s="181"/>
      <c r="S1254" s="181"/>
      <c r="T1254" s="181"/>
      <c r="U1254" s="181"/>
      <c r="V1254" s="181"/>
      <c r="W1254" s="181"/>
      <c r="X1254" s="181"/>
      <c r="Y1254" s="181"/>
      <c r="Z1254" s="181"/>
    </row>
    <row r="1255">
      <c r="A1255" s="194"/>
      <c r="B1255" s="195"/>
      <c r="C1255" s="181"/>
      <c r="D1255" s="194"/>
      <c r="E1255" s="194"/>
      <c r="F1255" s="181"/>
      <c r="G1255" s="181"/>
      <c r="H1255" s="181"/>
      <c r="I1255" s="181"/>
      <c r="J1255" s="181"/>
      <c r="K1255" s="181"/>
      <c r="L1255" s="181"/>
      <c r="M1255" s="181"/>
      <c r="N1255" s="181"/>
      <c r="O1255" s="181"/>
      <c r="P1255" s="181"/>
      <c r="Q1255" s="181"/>
      <c r="R1255" s="181"/>
      <c r="S1255" s="181"/>
      <c r="T1255" s="181"/>
      <c r="U1255" s="181"/>
      <c r="V1255" s="181"/>
      <c r="W1255" s="181"/>
      <c r="X1255" s="181"/>
      <c r="Y1255" s="181"/>
      <c r="Z1255" s="181"/>
    </row>
    <row r="1256">
      <c r="A1256" s="194"/>
      <c r="B1256" s="195"/>
      <c r="C1256" s="181"/>
      <c r="D1256" s="194"/>
      <c r="E1256" s="194"/>
      <c r="F1256" s="181"/>
      <c r="G1256" s="181"/>
      <c r="H1256" s="181"/>
      <c r="I1256" s="181"/>
      <c r="J1256" s="181"/>
      <c r="K1256" s="181"/>
      <c r="L1256" s="181"/>
      <c r="M1256" s="181"/>
      <c r="N1256" s="181"/>
      <c r="O1256" s="181"/>
      <c r="P1256" s="181"/>
      <c r="Q1256" s="181"/>
      <c r="R1256" s="181"/>
      <c r="S1256" s="181"/>
      <c r="T1256" s="181"/>
      <c r="U1256" s="181"/>
      <c r="V1256" s="181"/>
      <c r="W1256" s="181"/>
      <c r="X1256" s="181"/>
      <c r="Y1256" s="181"/>
      <c r="Z1256" s="181"/>
    </row>
    <row r="1257">
      <c r="A1257" s="194"/>
      <c r="B1257" s="195"/>
      <c r="C1257" s="181"/>
      <c r="D1257" s="194"/>
      <c r="E1257" s="194"/>
      <c r="F1257" s="181"/>
      <c r="G1257" s="181"/>
      <c r="H1257" s="181"/>
      <c r="I1257" s="181"/>
      <c r="J1257" s="181"/>
      <c r="K1257" s="181"/>
      <c r="L1257" s="181"/>
      <c r="M1257" s="181"/>
      <c r="N1257" s="181"/>
      <c r="O1257" s="181"/>
      <c r="P1257" s="181"/>
      <c r="Q1257" s="181"/>
      <c r="R1257" s="181"/>
      <c r="S1257" s="181"/>
      <c r="T1257" s="181"/>
      <c r="U1257" s="181"/>
      <c r="V1257" s="181"/>
      <c r="W1257" s="181"/>
      <c r="X1257" s="181"/>
      <c r="Y1257" s="181"/>
      <c r="Z1257" s="181"/>
    </row>
    <row r="1258">
      <c r="A1258" s="194"/>
      <c r="B1258" s="195"/>
      <c r="C1258" s="181"/>
      <c r="D1258" s="194"/>
      <c r="E1258" s="194"/>
      <c r="F1258" s="181"/>
      <c r="G1258" s="181"/>
      <c r="H1258" s="181"/>
      <c r="I1258" s="181"/>
      <c r="J1258" s="181"/>
      <c r="K1258" s="181"/>
      <c r="L1258" s="181"/>
      <c r="M1258" s="181"/>
      <c r="N1258" s="181"/>
      <c r="O1258" s="181"/>
      <c r="P1258" s="181"/>
      <c r="Q1258" s="181"/>
      <c r="R1258" s="181"/>
      <c r="S1258" s="181"/>
      <c r="T1258" s="181"/>
      <c r="U1258" s="181"/>
      <c r="V1258" s="181"/>
      <c r="W1258" s="181"/>
      <c r="X1258" s="181"/>
      <c r="Y1258" s="181"/>
      <c r="Z1258" s="181"/>
    </row>
    <row r="1259">
      <c r="A1259" s="194"/>
      <c r="B1259" s="195"/>
      <c r="C1259" s="181"/>
      <c r="D1259" s="194"/>
      <c r="E1259" s="194"/>
      <c r="F1259" s="181"/>
      <c r="G1259" s="181"/>
      <c r="H1259" s="181"/>
      <c r="I1259" s="181"/>
      <c r="J1259" s="181"/>
      <c r="K1259" s="181"/>
      <c r="L1259" s="181"/>
      <c r="M1259" s="181"/>
      <c r="N1259" s="181"/>
      <c r="O1259" s="181"/>
      <c r="P1259" s="181"/>
      <c r="Q1259" s="181"/>
      <c r="R1259" s="181"/>
      <c r="S1259" s="181"/>
      <c r="T1259" s="181"/>
      <c r="U1259" s="181"/>
      <c r="V1259" s="181"/>
      <c r="W1259" s="181"/>
      <c r="X1259" s="181"/>
      <c r="Y1259" s="181"/>
      <c r="Z1259" s="181"/>
    </row>
    <row r="1260">
      <c r="A1260" s="194"/>
      <c r="B1260" s="195"/>
      <c r="C1260" s="181"/>
      <c r="D1260" s="194"/>
      <c r="E1260" s="194"/>
      <c r="F1260" s="181"/>
      <c r="G1260" s="181"/>
      <c r="H1260" s="181"/>
      <c r="I1260" s="181"/>
      <c r="J1260" s="181"/>
      <c r="K1260" s="181"/>
      <c r="L1260" s="181"/>
      <c r="M1260" s="181"/>
      <c r="N1260" s="181"/>
      <c r="O1260" s="181"/>
      <c r="P1260" s="181"/>
      <c r="Q1260" s="181"/>
      <c r="R1260" s="181"/>
      <c r="S1260" s="181"/>
      <c r="T1260" s="181"/>
      <c r="U1260" s="181"/>
      <c r="V1260" s="181"/>
      <c r="W1260" s="181"/>
      <c r="X1260" s="181"/>
      <c r="Y1260" s="181"/>
      <c r="Z1260" s="181"/>
    </row>
    <row r="1261">
      <c r="A1261" s="194"/>
      <c r="B1261" s="195"/>
      <c r="C1261" s="181"/>
      <c r="D1261" s="194"/>
      <c r="E1261" s="194"/>
      <c r="F1261" s="181"/>
      <c r="G1261" s="181"/>
      <c r="H1261" s="181"/>
      <c r="I1261" s="181"/>
      <c r="J1261" s="181"/>
      <c r="K1261" s="181"/>
      <c r="L1261" s="181"/>
      <c r="M1261" s="181"/>
      <c r="N1261" s="181"/>
      <c r="O1261" s="181"/>
      <c r="P1261" s="181"/>
      <c r="Q1261" s="181"/>
      <c r="R1261" s="181"/>
      <c r="S1261" s="181"/>
      <c r="T1261" s="181"/>
      <c r="U1261" s="181"/>
      <c r="V1261" s="181"/>
      <c r="W1261" s="181"/>
      <c r="X1261" s="181"/>
      <c r="Y1261" s="181"/>
      <c r="Z1261" s="181"/>
    </row>
    <row r="1262">
      <c r="A1262" s="194"/>
      <c r="B1262" s="195"/>
      <c r="C1262" s="181"/>
      <c r="D1262" s="194"/>
      <c r="E1262" s="194"/>
      <c r="F1262" s="181"/>
      <c r="G1262" s="181"/>
      <c r="H1262" s="181"/>
      <c r="I1262" s="181"/>
      <c r="J1262" s="181"/>
      <c r="K1262" s="181"/>
      <c r="L1262" s="181"/>
      <c r="M1262" s="181"/>
      <c r="N1262" s="181"/>
      <c r="O1262" s="181"/>
      <c r="P1262" s="181"/>
      <c r="Q1262" s="181"/>
      <c r="R1262" s="181"/>
      <c r="S1262" s="181"/>
      <c r="T1262" s="181"/>
      <c r="U1262" s="181"/>
      <c r="V1262" s="181"/>
      <c r="W1262" s="181"/>
      <c r="X1262" s="181"/>
      <c r="Y1262" s="181"/>
      <c r="Z1262" s="181"/>
    </row>
    <row r="1263">
      <c r="A1263" s="194"/>
      <c r="B1263" s="195"/>
      <c r="C1263" s="181"/>
      <c r="D1263" s="194"/>
      <c r="E1263" s="194"/>
      <c r="F1263" s="181"/>
      <c r="G1263" s="181"/>
      <c r="H1263" s="181"/>
      <c r="I1263" s="181"/>
      <c r="J1263" s="181"/>
      <c r="K1263" s="181"/>
      <c r="L1263" s="181"/>
      <c r="M1263" s="181"/>
      <c r="N1263" s="181"/>
      <c r="O1263" s="181"/>
      <c r="P1263" s="181"/>
      <c r="Q1263" s="181"/>
      <c r="R1263" s="181"/>
      <c r="S1263" s="181"/>
      <c r="T1263" s="181"/>
      <c r="U1263" s="181"/>
      <c r="V1263" s="181"/>
      <c r="W1263" s="181"/>
      <c r="X1263" s="181"/>
      <c r="Y1263" s="181"/>
      <c r="Z1263" s="181"/>
    </row>
    <row r="1264">
      <c r="A1264" s="194"/>
      <c r="B1264" s="195"/>
      <c r="C1264" s="181"/>
      <c r="D1264" s="194"/>
      <c r="E1264" s="194"/>
      <c r="F1264" s="181"/>
      <c r="G1264" s="181"/>
      <c r="H1264" s="181"/>
      <c r="I1264" s="181"/>
      <c r="J1264" s="181"/>
      <c r="K1264" s="181"/>
      <c r="L1264" s="181"/>
      <c r="M1264" s="181"/>
      <c r="N1264" s="181"/>
      <c r="O1264" s="181"/>
      <c r="P1264" s="181"/>
      <c r="Q1264" s="181"/>
      <c r="R1264" s="181"/>
      <c r="S1264" s="181"/>
      <c r="T1264" s="181"/>
      <c r="U1264" s="181"/>
      <c r="V1264" s="181"/>
      <c r="W1264" s="181"/>
      <c r="X1264" s="181"/>
      <c r="Y1264" s="181"/>
      <c r="Z1264" s="181"/>
    </row>
    <row r="1265">
      <c r="A1265" s="194"/>
      <c r="B1265" s="195"/>
      <c r="C1265" s="181"/>
      <c r="D1265" s="194"/>
      <c r="E1265" s="194"/>
      <c r="F1265" s="181"/>
      <c r="G1265" s="181"/>
      <c r="H1265" s="181"/>
      <c r="I1265" s="181"/>
      <c r="J1265" s="181"/>
      <c r="K1265" s="181"/>
      <c r="L1265" s="181"/>
      <c r="M1265" s="181"/>
      <c r="N1265" s="181"/>
      <c r="O1265" s="181"/>
      <c r="P1265" s="181"/>
      <c r="Q1265" s="181"/>
      <c r="R1265" s="181"/>
      <c r="S1265" s="181"/>
      <c r="T1265" s="181"/>
      <c r="U1265" s="181"/>
      <c r="V1265" s="181"/>
      <c r="W1265" s="181"/>
      <c r="X1265" s="181"/>
      <c r="Y1265" s="181"/>
      <c r="Z1265" s="181"/>
    </row>
    <row r="1266">
      <c r="A1266" s="194"/>
      <c r="B1266" s="195"/>
      <c r="C1266" s="181"/>
      <c r="D1266" s="194"/>
      <c r="E1266" s="194"/>
      <c r="F1266" s="181"/>
      <c r="G1266" s="181"/>
      <c r="H1266" s="181"/>
      <c r="I1266" s="181"/>
      <c r="J1266" s="181"/>
      <c r="K1266" s="181"/>
      <c r="L1266" s="181"/>
      <c r="M1266" s="181"/>
      <c r="N1266" s="181"/>
      <c r="O1266" s="181"/>
      <c r="P1266" s="181"/>
      <c r="Q1266" s="181"/>
      <c r="R1266" s="181"/>
      <c r="S1266" s="181"/>
      <c r="T1266" s="181"/>
      <c r="U1266" s="181"/>
      <c r="V1266" s="181"/>
      <c r="W1266" s="181"/>
      <c r="X1266" s="181"/>
      <c r="Y1266" s="181"/>
      <c r="Z1266" s="181"/>
    </row>
    <row r="1267">
      <c r="A1267" s="194"/>
      <c r="B1267" s="195"/>
      <c r="C1267" s="181"/>
      <c r="D1267" s="194"/>
      <c r="E1267" s="194"/>
      <c r="F1267" s="181"/>
      <c r="G1267" s="181"/>
      <c r="H1267" s="181"/>
      <c r="I1267" s="181"/>
      <c r="J1267" s="181"/>
      <c r="K1267" s="181"/>
      <c r="L1267" s="181"/>
      <c r="M1267" s="181"/>
      <c r="N1267" s="181"/>
      <c r="O1267" s="181"/>
      <c r="P1267" s="181"/>
      <c r="Q1267" s="181"/>
      <c r="R1267" s="181"/>
      <c r="S1267" s="181"/>
      <c r="T1267" s="181"/>
      <c r="U1267" s="181"/>
      <c r="V1267" s="181"/>
      <c r="W1267" s="181"/>
      <c r="X1267" s="181"/>
      <c r="Y1267" s="181"/>
      <c r="Z1267" s="181"/>
    </row>
    <row r="1268">
      <c r="A1268" s="194"/>
      <c r="B1268" s="195"/>
      <c r="C1268" s="181"/>
      <c r="D1268" s="194"/>
      <c r="E1268" s="194"/>
      <c r="F1268" s="181"/>
      <c r="G1268" s="181"/>
      <c r="H1268" s="181"/>
      <c r="I1268" s="181"/>
      <c r="J1268" s="181"/>
      <c r="K1268" s="181"/>
      <c r="L1268" s="181"/>
      <c r="M1268" s="181"/>
      <c r="N1268" s="181"/>
      <c r="O1268" s="181"/>
      <c r="P1268" s="181"/>
      <c r="Q1268" s="181"/>
      <c r="R1268" s="181"/>
      <c r="S1268" s="181"/>
      <c r="T1268" s="181"/>
      <c r="U1268" s="181"/>
      <c r="V1268" s="181"/>
      <c r="W1268" s="181"/>
      <c r="X1268" s="181"/>
      <c r="Y1268" s="181"/>
      <c r="Z1268" s="181"/>
    </row>
    <row r="1269">
      <c r="A1269" s="194"/>
      <c r="B1269" s="195"/>
      <c r="C1269" s="181"/>
      <c r="D1269" s="194"/>
      <c r="E1269" s="194"/>
      <c r="F1269" s="181"/>
      <c r="G1269" s="181"/>
      <c r="H1269" s="181"/>
      <c r="I1269" s="181"/>
      <c r="J1269" s="181"/>
      <c r="K1269" s="181"/>
      <c r="L1269" s="181"/>
      <c r="M1269" s="181"/>
      <c r="N1269" s="181"/>
      <c r="O1269" s="181"/>
      <c r="P1269" s="181"/>
      <c r="Q1269" s="181"/>
      <c r="R1269" s="181"/>
      <c r="S1269" s="181"/>
      <c r="T1269" s="181"/>
      <c r="U1269" s="181"/>
      <c r="V1269" s="181"/>
      <c r="W1269" s="181"/>
      <c r="X1269" s="181"/>
      <c r="Y1269" s="181"/>
      <c r="Z1269" s="181"/>
    </row>
    <row r="1270">
      <c r="A1270" s="194"/>
      <c r="B1270" s="195"/>
      <c r="C1270" s="181"/>
      <c r="D1270" s="194"/>
      <c r="E1270" s="194"/>
      <c r="F1270" s="181"/>
      <c r="G1270" s="181"/>
      <c r="H1270" s="181"/>
      <c r="I1270" s="181"/>
      <c r="J1270" s="181"/>
      <c r="K1270" s="181"/>
      <c r="L1270" s="181"/>
      <c r="M1270" s="181"/>
      <c r="N1270" s="181"/>
      <c r="O1270" s="181"/>
      <c r="P1270" s="181"/>
      <c r="Q1270" s="181"/>
      <c r="R1270" s="181"/>
      <c r="S1270" s="181"/>
      <c r="T1270" s="181"/>
      <c r="U1270" s="181"/>
      <c r="V1270" s="181"/>
      <c r="W1270" s="181"/>
      <c r="X1270" s="181"/>
      <c r="Y1270" s="181"/>
      <c r="Z1270" s="181"/>
    </row>
    <row r="1271">
      <c r="A1271" s="194"/>
      <c r="B1271" s="195"/>
      <c r="C1271" s="181"/>
      <c r="D1271" s="194"/>
      <c r="E1271" s="194"/>
      <c r="F1271" s="181"/>
      <c r="G1271" s="181"/>
      <c r="H1271" s="181"/>
      <c r="I1271" s="181"/>
      <c r="J1271" s="181"/>
      <c r="K1271" s="181"/>
      <c r="L1271" s="181"/>
      <c r="M1271" s="181"/>
      <c r="N1271" s="181"/>
      <c r="O1271" s="181"/>
      <c r="P1271" s="181"/>
      <c r="Q1271" s="181"/>
      <c r="R1271" s="181"/>
      <c r="S1271" s="181"/>
      <c r="T1271" s="181"/>
      <c r="U1271" s="181"/>
      <c r="V1271" s="181"/>
      <c r="W1271" s="181"/>
      <c r="X1271" s="181"/>
      <c r="Y1271" s="181"/>
      <c r="Z1271" s="181"/>
    </row>
    <row r="1272">
      <c r="A1272" s="194"/>
      <c r="B1272" s="195"/>
      <c r="C1272" s="181"/>
      <c r="D1272" s="194"/>
      <c r="E1272" s="194"/>
      <c r="F1272" s="181"/>
      <c r="G1272" s="181"/>
      <c r="H1272" s="181"/>
      <c r="I1272" s="181"/>
      <c r="J1272" s="181"/>
      <c r="K1272" s="181"/>
      <c r="L1272" s="181"/>
      <c r="M1272" s="181"/>
      <c r="N1272" s="181"/>
      <c r="O1272" s="181"/>
      <c r="P1272" s="181"/>
      <c r="Q1272" s="181"/>
      <c r="R1272" s="181"/>
      <c r="S1272" s="181"/>
      <c r="T1272" s="181"/>
      <c r="U1272" s="181"/>
      <c r="V1272" s="181"/>
      <c r="W1272" s="181"/>
      <c r="X1272" s="181"/>
      <c r="Y1272" s="181"/>
      <c r="Z1272" s="181"/>
    </row>
    <row r="1273">
      <c r="A1273" s="194"/>
      <c r="B1273" s="195"/>
      <c r="C1273" s="181"/>
      <c r="D1273" s="194"/>
      <c r="E1273" s="194"/>
      <c r="F1273" s="181"/>
      <c r="G1273" s="181"/>
      <c r="H1273" s="181"/>
      <c r="I1273" s="181"/>
      <c r="J1273" s="181"/>
      <c r="K1273" s="181"/>
      <c r="L1273" s="181"/>
      <c r="M1273" s="181"/>
      <c r="N1273" s="181"/>
      <c r="O1273" s="181"/>
      <c r="P1273" s="181"/>
      <c r="Q1273" s="181"/>
      <c r="R1273" s="181"/>
      <c r="S1273" s="181"/>
      <c r="T1273" s="181"/>
      <c r="U1273" s="181"/>
      <c r="V1273" s="181"/>
      <c r="W1273" s="181"/>
      <c r="X1273" s="181"/>
      <c r="Y1273" s="181"/>
      <c r="Z1273" s="181"/>
    </row>
    <row r="1274">
      <c r="A1274" s="194"/>
      <c r="B1274" s="195"/>
      <c r="C1274" s="181"/>
      <c r="D1274" s="194"/>
      <c r="E1274" s="194"/>
      <c r="F1274" s="181"/>
      <c r="G1274" s="181"/>
      <c r="H1274" s="181"/>
      <c r="I1274" s="181"/>
      <c r="J1274" s="181"/>
      <c r="K1274" s="181"/>
      <c r="L1274" s="181"/>
      <c r="M1274" s="181"/>
      <c r="N1274" s="181"/>
      <c r="O1274" s="181"/>
      <c r="P1274" s="181"/>
      <c r="Q1274" s="181"/>
      <c r="R1274" s="181"/>
      <c r="S1274" s="181"/>
      <c r="T1274" s="181"/>
      <c r="U1274" s="181"/>
      <c r="V1274" s="181"/>
      <c r="W1274" s="181"/>
      <c r="X1274" s="181"/>
      <c r="Y1274" s="181"/>
      <c r="Z1274" s="181"/>
    </row>
    <row r="1275">
      <c r="A1275" s="194"/>
      <c r="B1275" s="195"/>
      <c r="C1275" s="181"/>
      <c r="D1275" s="194"/>
      <c r="E1275" s="194"/>
      <c r="F1275" s="181"/>
      <c r="G1275" s="181"/>
      <c r="H1275" s="181"/>
      <c r="I1275" s="181"/>
      <c r="J1275" s="181"/>
      <c r="K1275" s="181"/>
      <c r="L1275" s="181"/>
      <c r="M1275" s="181"/>
      <c r="N1275" s="181"/>
      <c r="O1275" s="181"/>
      <c r="P1275" s="181"/>
      <c r="Q1275" s="181"/>
      <c r="R1275" s="181"/>
      <c r="S1275" s="181"/>
      <c r="T1275" s="181"/>
      <c r="U1275" s="181"/>
      <c r="V1275" s="181"/>
      <c r="W1275" s="181"/>
      <c r="X1275" s="181"/>
      <c r="Y1275" s="181"/>
      <c r="Z1275" s="181"/>
    </row>
    <row r="1276">
      <c r="A1276" s="194"/>
      <c r="B1276" s="195"/>
      <c r="C1276" s="181"/>
      <c r="D1276" s="194"/>
      <c r="E1276" s="194"/>
      <c r="F1276" s="181"/>
      <c r="G1276" s="181"/>
      <c r="H1276" s="181"/>
      <c r="I1276" s="181"/>
      <c r="J1276" s="181"/>
      <c r="K1276" s="181"/>
      <c r="L1276" s="181"/>
      <c r="M1276" s="181"/>
      <c r="N1276" s="181"/>
      <c r="O1276" s="181"/>
      <c r="P1276" s="181"/>
      <c r="Q1276" s="181"/>
      <c r="R1276" s="181"/>
      <c r="S1276" s="181"/>
      <c r="T1276" s="181"/>
      <c r="U1276" s="181"/>
      <c r="V1276" s="181"/>
      <c r="W1276" s="181"/>
      <c r="X1276" s="181"/>
      <c r="Y1276" s="181"/>
      <c r="Z1276" s="181"/>
    </row>
    <row r="1277">
      <c r="A1277" s="194"/>
      <c r="B1277" s="195"/>
      <c r="C1277" s="181"/>
      <c r="D1277" s="194"/>
      <c r="E1277" s="194"/>
      <c r="F1277" s="181"/>
      <c r="G1277" s="181"/>
      <c r="H1277" s="181"/>
      <c r="I1277" s="181"/>
      <c r="J1277" s="181"/>
      <c r="K1277" s="181"/>
      <c r="L1277" s="181"/>
      <c r="M1277" s="181"/>
      <c r="N1277" s="181"/>
      <c r="O1277" s="181"/>
      <c r="P1277" s="181"/>
      <c r="Q1277" s="181"/>
      <c r="R1277" s="181"/>
      <c r="S1277" s="181"/>
      <c r="T1277" s="181"/>
      <c r="U1277" s="181"/>
      <c r="V1277" s="181"/>
      <c r="W1277" s="181"/>
      <c r="X1277" s="181"/>
      <c r="Y1277" s="181"/>
      <c r="Z1277" s="181"/>
    </row>
    <row r="1278">
      <c r="A1278" s="194"/>
      <c r="B1278" s="195"/>
      <c r="C1278" s="181"/>
      <c r="D1278" s="194"/>
      <c r="E1278" s="194"/>
      <c r="F1278" s="181"/>
      <c r="G1278" s="181"/>
      <c r="H1278" s="181"/>
      <c r="I1278" s="181"/>
      <c r="J1278" s="181"/>
      <c r="K1278" s="181"/>
      <c r="L1278" s="181"/>
      <c r="M1278" s="181"/>
      <c r="N1278" s="181"/>
      <c r="O1278" s="181"/>
      <c r="P1278" s="181"/>
      <c r="Q1278" s="181"/>
      <c r="R1278" s="181"/>
      <c r="S1278" s="181"/>
      <c r="T1278" s="181"/>
      <c r="U1278" s="181"/>
      <c r="V1278" s="181"/>
      <c r="W1278" s="181"/>
      <c r="X1278" s="181"/>
      <c r="Y1278" s="181"/>
      <c r="Z1278" s="181"/>
    </row>
    <row r="1279">
      <c r="A1279" s="194"/>
      <c r="B1279" s="195"/>
      <c r="C1279" s="181"/>
      <c r="D1279" s="194"/>
      <c r="E1279" s="194"/>
      <c r="F1279" s="181"/>
      <c r="G1279" s="181"/>
      <c r="H1279" s="181"/>
      <c r="I1279" s="181"/>
      <c r="J1279" s="181"/>
      <c r="K1279" s="181"/>
      <c r="L1279" s="181"/>
      <c r="M1279" s="181"/>
      <c r="N1279" s="181"/>
      <c r="O1279" s="181"/>
      <c r="P1279" s="181"/>
      <c r="Q1279" s="181"/>
      <c r="R1279" s="181"/>
      <c r="S1279" s="181"/>
      <c r="T1279" s="181"/>
      <c r="U1279" s="181"/>
      <c r="V1279" s="181"/>
      <c r="W1279" s="181"/>
      <c r="X1279" s="181"/>
      <c r="Y1279" s="181"/>
      <c r="Z1279" s="181"/>
    </row>
    <row r="1280">
      <c r="A1280" s="194"/>
      <c r="B1280" s="195"/>
      <c r="C1280" s="181"/>
      <c r="D1280" s="194"/>
      <c r="E1280" s="194"/>
      <c r="F1280" s="181"/>
      <c r="G1280" s="181"/>
      <c r="H1280" s="181"/>
      <c r="I1280" s="181"/>
      <c r="J1280" s="181"/>
      <c r="K1280" s="181"/>
      <c r="L1280" s="181"/>
      <c r="M1280" s="181"/>
      <c r="N1280" s="181"/>
      <c r="O1280" s="181"/>
      <c r="P1280" s="181"/>
      <c r="Q1280" s="181"/>
      <c r="R1280" s="181"/>
      <c r="S1280" s="181"/>
      <c r="T1280" s="181"/>
      <c r="U1280" s="181"/>
      <c r="V1280" s="181"/>
      <c r="W1280" s="181"/>
      <c r="X1280" s="181"/>
      <c r="Y1280" s="181"/>
      <c r="Z1280" s="181"/>
    </row>
    <row r="1281">
      <c r="A1281" s="194"/>
      <c r="B1281" s="195"/>
      <c r="C1281" s="181"/>
      <c r="D1281" s="194"/>
      <c r="E1281" s="194"/>
      <c r="F1281" s="181"/>
      <c r="G1281" s="181"/>
      <c r="H1281" s="181"/>
      <c r="I1281" s="181"/>
      <c r="J1281" s="181"/>
      <c r="K1281" s="181"/>
      <c r="L1281" s="181"/>
      <c r="M1281" s="181"/>
      <c r="N1281" s="181"/>
      <c r="O1281" s="181"/>
      <c r="P1281" s="181"/>
      <c r="Q1281" s="181"/>
      <c r="R1281" s="181"/>
      <c r="S1281" s="181"/>
      <c r="T1281" s="181"/>
      <c r="U1281" s="181"/>
      <c r="V1281" s="181"/>
      <c r="W1281" s="181"/>
      <c r="X1281" s="181"/>
      <c r="Y1281" s="181"/>
      <c r="Z1281" s="181"/>
    </row>
    <row r="1282">
      <c r="A1282" s="194"/>
      <c r="B1282" s="195"/>
      <c r="C1282" s="181"/>
      <c r="D1282" s="194"/>
      <c r="E1282" s="194"/>
      <c r="F1282" s="181"/>
      <c r="G1282" s="181"/>
      <c r="H1282" s="181"/>
      <c r="I1282" s="181"/>
      <c r="J1282" s="181"/>
      <c r="K1282" s="181"/>
      <c r="L1282" s="181"/>
      <c r="M1282" s="181"/>
      <c r="N1282" s="181"/>
      <c r="O1282" s="181"/>
      <c r="P1282" s="181"/>
      <c r="Q1282" s="181"/>
      <c r="R1282" s="181"/>
      <c r="S1282" s="181"/>
      <c r="T1282" s="181"/>
      <c r="U1282" s="181"/>
      <c r="V1282" s="181"/>
      <c r="W1282" s="181"/>
      <c r="X1282" s="181"/>
      <c r="Y1282" s="181"/>
      <c r="Z1282" s="181"/>
    </row>
    <row r="1283">
      <c r="A1283" s="194"/>
      <c r="B1283" s="195"/>
      <c r="C1283" s="181"/>
      <c r="D1283" s="194"/>
      <c r="E1283" s="194"/>
      <c r="F1283" s="181"/>
      <c r="G1283" s="181"/>
      <c r="H1283" s="181"/>
      <c r="I1283" s="181"/>
      <c r="J1283" s="181"/>
      <c r="K1283" s="181"/>
      <c r="L1283" s="181"/>
      <c r="M1283" s="181"/>
      <c r="N1283" s="181"/>
      <c r="O1283" s="181"/>
      <c r="P1283" s="181"/>
      <c r="Q1283" s="181"/>
      <c r="R1283" s="181"/>
      <c r="S1283" s="181"/>
      <c r="T1283" s="181"/>
      <c r="U1283" s="181"/>
      <c r="V1283" s="181"/>
      <c r="W1283" s="181"/>
      <c r="X1283" s="181"/>
      <c r="Y1283" s="181"/>
      <c r="Z1283" s="181"/>
    </row>
    <row r="1284">
      <c r="A1284" s="194"/>
      <c r="B1284" s="195"/>
      <c r="C1284" s="181"/>
      <c r="D1284" s="194"/>
      <c r="E1284" s="194"/>
      <c r="F1284" s="181"/>
      <c r="G1284" s="181"/>
      <c r="H1284" s="181"/>
      <c r="I1284" s="181"/>
      <c r="J1284" s="181"/>
      <c r="K1284" s="181"/>
      <c r="L1284" s="181"/>
      <c r="M1284" s="181"/>
      <c r="N1284" s="181"/>
      <c r="O1284" s="181"/>
      <c r="P1284" s="181"/>
      <c r="Q1284" s="181"/>
      <c r="R1284" s="181"/>
      <c r="S1284" s="181"/>
      <c r="T1284" s="181"/>
      <c r="U1284" s="181"/>
      <c r="V1284" s="181"/>
      <c r="W1284" s="181"/>
      <c r="X1284" s="181"/>
      <c r="Y1284" s="181"/>
      <c r="Z1284" s="181"/>
    </row>
    <row r="1285">
      <c r="A1285" s="194"/>
      <c r="B1285" s="195"/>
      <c r="C1285" s="181"/>
      <c r="D1285" s="194"/>
      <c r="E1285" s="194"/>
      <c r="F1285" s="181"/>
      <c r="G1285" s="181"/>
      <c r="H1285" s="181"/>
      <c r="I1285" s="181"/>
      <c r="J1285" s="181"/>
      <c r="K1285" s="181"/>
      <c r="L1285" s="181"/>
      <c r="M1285" s="181"/>
      <c r="N1285" s="181"/>
      <c r="O1285" s="181"/>
      <c r="P1285" s="181"/>
      <c r="Q1285" s="181"/>
      <c r="R1285" s="181"/>
      <c r="S1285" s="181"/>
      <c r="T1285" s="181"/>
      <c r="U1285" s="181"/>
      <c r="V1285" s="181"/>
      <c r="W1285" s="181"/>
      <c r="X1285" s="181"/>
      <c r="Y1285" s="181"/>
      <c r="Z1285" s="181"/>
    </row>
    <row r="1286">
      <c r="A1286" s="194"/>
      <c r="B1286" s="195"/>
      <c r="C1286" s="181"/>
      <c r="D1286" s="194"/>
      <c r="E1286" s="194"/>
      <c r="F1286" s="181"/>
      <c r="G1286" s="181"/>
      <c r="H1286" s="181"/>
      <c r="I1286" s="181"/>
      <c r="J1286" s="181"/>
      <c r="K1286" s="181"/>
      <c r="L1286" s="181"/>
      <c r="M1286" s="181"/>
      <c r="N1286" s="181"/>
      <c r="O1286" s="181"/>
      <c r="P1286" s="181"/>
      <c r="Q1286" s="181"/>
      <c r="R1286" s="181"/>
      <c r="S1286" s="181"/>
      <c r="T1286" s="181"/>
      <c r="U1286" s="181"/>
      <c r="V1286" s="181"/>
      <c r="W1286" s="181"/>
      <c r="X1286" s="181"/>
      <c r="Y1286" s="181"/>
      <c r="Z1286" s="181"/>
    </row>
    <row r="1287">
      <c r="A1287" s="194"/>
      <c r="B1287" s="195"/>
      <c r="C1287" s="181"/>
      <c r="D1287" s="194"/>
      <c r="E1287" s="194"/>
      <c r="F1287" s="181"/>
      <c r="G1287" s="181"/>
      <c r="H1287" s="181"/>
      <c r="I1287" s="181"/>
      <c r="J1287" s="181"/>
      <c r="K1287" s="181"/>
      <c r="L1287" s="181"/>
      <c r="M1287" s="181"/>
      <c r="N1287" s="181"/>
      <c r="O1287" s="181"/>
      <c r="P1287" s="181"/>
      <c r="Q1287" s="181"/>
      <c r="R1287" s="181"/>
      <c r="S1287" s="181"/>
      <c r="T1287" s="181"/>
      <c r="U1287" s="181"/>
      <c r="V1287" s="181"/>
      <c r="W1287" s="181"/>
      <c r="X1287" s="181"/>
      <c r="Y1287" s="181"/>
      <c r="Z1287" s="181"/>
    </row>
    <row r="1288">
      <c r="A1288" s="194"/>
      <c r="B1288" s="195"/>
      <c r="C1288" s="181"/>
      <c r="D1288" s="194"/>
      <c r="E1288" s="194"/>
      <c r="F1288" s="181"/>
      <c r="G1288" s="181"/>
      <c r="H1288" s="181"/>
      <c r="I1288" s="181"/>
      <c r="J1288" s="181"/>
      <c r="K1288" s="181"/>
      <c r="L1288" s="181"/>
      <c r="M1288" s="181"/>
      <c r="N1288" s="181"/>
      <c r="O1288" s="181"/>
      <c r="P1288" s="181"/>
      <c r="Q1288" s="181"/>
      <c r="R1288" s="181"/>
      <c r="S1288" s="181"/>
      <c r="T1288" s="181"/>
      <c r="U1288" s="181"/>
      <c r="V1288" s="181"/>
      <c r="W1288" s="181"/>
      <c r="X1288" s="181"/>
      <c r="Y1288" s="181"/>
      <c r="Z1288" s="181"/>
    </row>
    <row r="1289">
      <c r="A1289" s="194"/>
      <c r="B1289" s="195"/>
      <c r="C1289" s="181"/>
      <c r="D1289" s="194"/>
      <c r="E1289" s="194"/>
      <c r="F1289" s="181"/>
      <c r="G1289" s="181"/>
      <c r="H1289" s="181"/>
      <c r="I1289" s="181"/>
      <c r="J1289" s="181"/>
      <c r="K1289" s="181"/>
      <c r="L1289" s="181"/>
      <c r="M1289" s="181"/>
      <c r="N1289" s="181"/>
      <c r="O1289" s="181"/>
      <c r="P1289" s="181"/>
      <c r="Q1289" s="181"/>
      <c r="R1289" s="181"/>
      <c r="S1289" s="181"/>
      <c r="T1289" s="181"/>
      <c r="U1289" s="181"/>
      <c r="V1289" s="181"/>
      <c r="W1289" s="181"/>
      <c r="X1289" s="181"/>
      <c r="Y1289" s="181"/>
      <c r="Z1289" s="181"/>
    </row>
    <row r="1290">
      <c r="A1290" s="194"/>
      <c r="B1290" s="195"/>
      <c r="C1290" s="181"/>
      <c r="D1290" s="194"/>
      <c r="E1290" s="194"/>
      <c r="F1290" s="181"/>
      <c r="G1290" s="181"/>
      <c r="H1290" s="181"/>
      <c r="I1290" s="181"/>
      <c r="J1290" s="181"/>
      <c r="K1290" s="181"/>
      <c r="L1290" s="181"/>
      <c r="M1290" s="181"/>
      <c r="N1290" s="181"/>
      <c r="O1290" s="181"/>
      <c r="P1290" s="181"/>
      <c r="Q1290" s="181"/>
      <c r="R1290" s="181"/>
      <c r="S1290" s="181"/>
      <c r="T1290" s="181"/>
      <c r="U1290" s="181"/>
      <c r="V1290" s="181"/>
      <c r="W1290" s="181"/>
      <c r="X1290" s="181"/>
      <c r="Y1290" s="181"/>
      <c r="Z1290" s="181"/>
    </row>
    <row r="1291">
      <c r="A1291" s="194"/>
      <c r="B1291" s="195"/>
      <c r="C1291" s="181"/>
      <c r="D1291" s="194"/>
      <c r="E1291" s="194"/>
      <c r="F1291" s="181"/>
      <c r="G1291" s="181"/>
      <c r="H1291" s="181"/>
      <c r="I1291" s="181"/>
      <c r="J1291" s="181"/>
      <c r="K1291" s="181"/>
      <c r="L1291" s="181"/>
      <c r="M1291" s="181"/>
      <c r="N1291" s="181"/>
      <c r="O1291" s="181"/>
      <c r="P1291" s="181"/>
      <c r="Q1291" s="181"/>
      <c r="R1291" s="181"/>
      <c r="S1291" s="181"/>
      <c r="T1291" s="181"/>
      <c r="U1291" s="181"/>
      <c r="V1291" s="181"/>
      <c r="W1291" s="181"/>
      <c r="X1291" s="181"/>
      <c r="Y1291" s="181"/>
      <c r="Z1291" s="181"/>
    </row>
    <row r="1292">
      <c r="A1292" s="194"/>
      <c r="B1292" s="195"/>
      <c r="C1292" s="181"/>
      <c r="D1292" s="194"/>
      <c r="E1292" s="194"/>
      <c r="F1292" s="181"/>
      <c r="G1292" s="181"/>
      <c r="H1292" s="181"/>
      <c r="I1292" s="181"/>
      <c r="J1292" s="181"/>
      <c r="K1292" s="181"/>
      <c r="L1292" s="181"/>
      <c r="M1292" s="181"/>
      <c r="N1292" s="181"/>
      <c r="O1292" s="181"/>
      <c r="P1292" s="181"/>
      <c r="Q1292" s="181"/>
      <c r="R1292" s="181"/>
      <c r="S1292" s="181"/>
      <c r="T1292" s="181"/>
      <c r="U1292" s="181"/>
      <c r="V1292" s="181"/>
      <c r="W1292" s="181"/>
      <c r="X1292" s="181"/>
      <c r="Y1292" s="181"/>
      <c r="Z1292" s="181"/>
    </row>
    <row r="1293">
      <c r="A1293" s="194"/>
      <c r="B1293" s="195"/>
      <c r="C1293" s="181"/>
      <c r="D1293" s="194"/>
      <c r="E1293" s="194"/>
      <c r="F1293" s="181"/>
      <c r="G1293" s="181"/>
      <c r="H1293" s="181"/>
      <c r="I1293" s="181"/>
      <c r="J1293" s="181"/>
      <c r="K1293" s="181"/>
      <c r="L1293" s="181"/>
      <c r="M1293" s="181"/>
      <c r="N1293" s="181"/>
      <c r="O1293" s="181"/>
      <c r="P1293" s="181"/>
      <c r="Q1293" s="181"/>
      <c r="R1293" s="181"/>
      <c r="S1293" s="181"/>
      <c r="T1293" s="181"/>
      <c r="U1293" s="181"/>
      <c r="V1293" s="181"/>
      <c r="W1293" s="181"/>
      <c r="X1293" s="181"/>
      <c r="Y1293" s="181"/>
      <c r="Z1293" s="181"/>
    </row>
    <row r="1294">
      <c r="A1294" s="194"/>
      <c r="B1294" s="195"/>
      <c r="C1294" s="181"/>
      <c r="D1294" s="194"/>
      <c r="E1294" s="194"/>
      <c r="F1294" s="181"/>
      <c r="G1294" s="181"/>
      <c r="H1294" s="181"/>
      <c r="I1294" s="181"/>
      <c r="J1294" s="181"/>
      <c r="K1294" s="181"/>
      <c r="L1294" s="181"/>
      <c r="M1294" s="181"/>
      <c r="N1294" s="181"/>
      <c r="O1294" s="181"/>
      <c r="P1294" s="181"/>
      <c r="Q1294" s="181"/>
      <c r="R1294" s="181"/>
      <c r="S1294" s="181"/>
      <c r="T1294" s="181"/>
      <c r="U1294" s="181"/>
      <c r="V1294" s="181"/>
      <c r="W1294" s="181"/>
      <c r="X1294" s="181"/>
      <c r="Y1294" s="181"/>
      <c r="Z1294" s="181"/>
    </row>
    <row r="1295">
      <c r="A1295" s="194"/>
      <c r="B1295" s="195"/>
      <c r="C1295" s="181"/>
      <c r="D1295" s="194"/>
      <c r="E1295" s="194"/>
      <c r="F1295" s="181"/>
      <c r="G1295" s="181"/>
      <c r="H1295" s="181"/>
      <c r="I1295" s="181"/>
      <c r="J1295" s="181"/>
      <c r="K1295" s="181"/>
      <c r="L1295" s="181"/>
      <c r="M1295" s="181"/>
      <c r="N1295" s="181"/>
      <c r="O1295" s="181"/>
      <c r="P1295" s="181"/>
      <c r="Q1295" s="181"/>
      <c r="R1295" s="181"/>
      <c r="S1295" s="181"/>
      <c r="T1295" s="181"/>
      <c r="U1295" s="181"/>
      <c r="V1295" s="181"/>
      <c r="W1295" s="181"/>
      <c r="X1295" s="181"/>
      <c r="Y1295" s="181"/>
      <c r="Z1295" s="181"/>
    </row>
    <row r="1296">
      <c r="A1296" s="194"/>
      <c r="B1296" s="195"/>
      <c r="C1296" s="181"/>
      <c r="D1296" s="194"/>
      <c r="E1296" s="194"/>
      <c r="F1296" s="181"/>
      <c r="G1296" s="181"/>
      <c r="H1296" s="181"/>
      <c r="I1296" s="181"/>
      <c r="J1296" s="181"/>
      <c r="K1296" s="181"/>
      <c r="L1296" s="181"/>
      <c r="M1296" s="181"/>
      <c r="N1296" s="181"/>
      <c r="O1296" s="181"/>
      <c r="P1296" s="181"/>
      <c r="Q1296" s="181"/>
      <c r="R1296" s="181"/>
      <c r="S1296" s="181"/>
      <c r="T1296" s="181"/>
      <c r="U1296" s="181"/>
      <c r="V1296" s="181"/>
      <c r="W1296" s="181"/>
      <c r="X1296" s="181"/>
      <c r="Y1296" s="181"/>
      <c r="Z1296" s="181"/>
    </row>
    <row r="1297">
      <c r="A1297" s="194"/>
      <c r="B1297" s="195"/>
      <c r="C1297" s="181"/>
      <c r="D1297" s="194"/>
      <c r="E1297" s="194"/>
      <c r="F1297" s="181"/>
      <c r="G1297" s="181"/>
      <c r="H1297" s="181"/>
      <c r="I1297" s="181"/>
      <c r="J1297" s="181"/>
      <c r="K1297" s="181"/>
      <c r="L1297" s="181"/>
      <c r="M1297" s="181"/>
      <c r="N1297" s="181"/>
      <c r="O1297" s="181"/>
      <c r="P1297" s="181"/>
      <c r="Q1297" s="181"/>
      <c r="R1297" s="181"/>
      <c r="S1297" s="181"/>
      <c r="T1297" s="181"/>
      <c r="U1297" s="181"/>
      <c r="V1297" s="181"/>
      <c r="W1297" s="181"/>
      <c r="X1297" s="181"/>
      <c r="Y1297" s="181"/>
      <c r="Z1297" s="181"/>
    </row>
    <row r="1298">
      <c r="A1298" s="194"/>
      <c r="B1298" s="195"/>
      <c r="C1298" s="181"/>
      <c r="D1298" s="194"/>
      <c r="E1298" s="194"/>
      <c r="F1298" s="181"/>
      <c r="G1298" s="181"/>
      <c r="H1298" s="181"/>
      <c r="I1298" s="181"/>
      <c r="J1298" s="181"/>
      <c r="K1298" s="181"/>
      <c r="L1298" s="181"/>
      <c r="M1298" s="181"/>
      <c r="N1298" s="181"/>
      <c r="O1298" s="181"/>
      <c r="P1298" s="181"/>
      <c r="Q1298" s="181"/>
      <c r="R1298" s="181"/>
      <c r="S1298" s="181"/>
      <c r="T1298" s="181"/>
      <c r="U1298" s="181"/>
      <c r="V1298" s="181"/>
      <c r="W1298" s="181"/>
      <c r="X1298" s="181"/>
      <c r="Y1298" s="181"/>
      <c r="Z1298" s="181"/>
    </row>
    <row r="1299">
      <c r="A1299" s="194"/>
      <c r="B1299" s="195"/>
      <c r="C1299" s="181"/>
      <c r="D1299" s="194"/>
      <c r="E1299" s="194"/>
      <c r="F1299" s="181"/>
      <c r="G1299" s="181"/>
      <c r="H1299" s="181"/>
      <c r="I1299" s="181"/>
      <c r="J1299" s="181"/>
      <c r="K1299" s="181"/>
      <c r="L1299" s="181"/>
      <c r="M1299" s="181"/>
      <c r="N1299" s="181"/>
      <c r="O1299" s="181"/>
      <c r="P1299" s="181"/>
      <c r="Q1299" s="181"/>
      <c r="R1299" s="181"/>
      <c r="S1299" s="181"/>
      <c r="T1299" s="181"/>
      <c r="U1299" s="181"/>
      <c r="V1299" s="181"/>
      <c r="W1299" s="181"/>
      <c r="X1299" s="181"/>
      <c r="Y1299" s="181"/>
      <c r="Z1299" s="181"/>
    </row>
    <row r="1300">
      <c r="A1300" s="194"/>
      <c r="B1300" s="195"/>
      <c r="C1300" s="181"/>
      <c r="D1300" s="194"/>
      <c r="E1300" s="194"/>
      <c r="F1300" s="181"/>
      <c r="G1300" s="181"/>
      <c r="H1300" s="181"/>
      <c r="I1300" s="181"/>
      <c r="J1300" s="181"/>
      <c r="K1300" s="181"/>
      <c r="L1300" s="181"/>
      <c r="M1300" s="181"/>
      <c r="N1300" s="181"/>
      <c r="O1300" s="181"/>
      <c r="P1300" s="181"/>
      <c r="Q1300" s="181"/>
      <c r="R1300" s="181"/>
      <c r="S1300" s="181"/>
      <c r="T1300" s="181"/>
      <c r="U1300" s="181"/>
      <c r="V1300" s="181"/>
      <c r="W1300" s="181"/>
      <c r="X1300" s="181"/>
      <c r="Y1300" s="181"/>
      <c r="Z1300" s="181"/>
    </row>
    <row r="1301">
      <c r="A1301" s="194"/>
      <c r="B1301" s="195"/>
      <c r="C1301" s="181"/>
      <c r="D1301" s="194"/>
      <c r="E1301" s="194"/>
      <c r="F1301" s="181"/>
      <c r="G1301" s="181"/>
      <c r="H1301" s="181"/>
      <c r="I1301" s="181"/>
      <c r="J1301" s="181"/>
      <c r="K1301" s="181"/>
      <c r="L1301" s="181"/>
      <c r="M1301" s="181"/>
      <c r="N1301" s="181"/>
      <c r="O1301" s="181"/>
      <c r="P1301" s="181"/>
      <c r="Q1301" s="181"/>
      <c r="R1301" s="181"/>
      <c r="S1301" s="181"/>
      <c r="T1301" s="181"/>
      <c r="U1301" s="181"/>
      <c r="V1301" s="181"/>
      <c r="W1301" s="181"/>
      <c r="X1301" s="181"/>
      <c r="Y1301" s="181"/>
      <c r="Z1301" s="181"/>
    </row>
    <row r="1302">
      <c r="A1302" s="194"/>
      <c r="B1302" s="195"/>
      <c r="C1302" s="181"/>
      <c r="D1302" s="194"/>
      <c r="E1302" s="194"/>
      <c r="F1302" s="181"/>
      <c r="G1302" s="181"/>
      <c r="H1302" s="181"/>
      <c r="I1302" s="181"/>
      <c r="J1302" s="181"/>
      <c r="K1302" s="181"/>
      <c r="L1302" s="181"/>
      <c r="M1302" s="181"/>
      <c r="N1302" s="181"/>
      <c r="O1302" s="181"/>
      <c r="P1302" s="181"/>
      <c r="Q1302" s="181"/>
      <c r="R1302" s="181"/>
      <c r="S1302" s="181"/>
      <c r="T1302" s="181"/>
      <c r="U1302" s="181"/>
      <c r="V1302" s="181"/>
      <c r="W1302" s="181"/>
      <c r="X1302" s="181"/>
      <c r="Y1302" s="181"/>
      <c r="Z1302" s="181"/>
    </row>
    <row r="1303">
      <c r="A1303" s="194"/>
      <c r="B1303" s="195"/>
      <c r="C1303" s="181"/>
      <c r="D1303" s="194"/>
      <c r="E1303" s="194"/>
      <c r="F1303" s="181"/>
      <c r="G1303" s="181"/>
      <c r="H1303" s="181"/>
      <c r="I1303" s="181"/>
      <c r="J1303" s="181"/>
      <c r="K1303" s="181"/>
      <c r="L1303" s="181"/>
      <c r="M1303" s="181"/>
      <c r="N1303" s="181"/>
      <c r="O1303" s="181"/>
      <c r="P1303" s="181"/>
      <c r="Q1303" s="181"/>
      <c r="R1303" s="181"/>
      <c r="S1303" s="181"/>
      <c r="T1303" s="181"/>
      <c r="U1303" s="181"/>
      <c r="V1303" s="181"/>
      <c r="W1303" s="181"/>
      <c r="X1303" s="181"/>
      <c r="Y1303" s="181"/>
      <c r="Z1303" s="181"/>
    </row>
    <row r="1304">
      <c r="A1304" s="194"/>
      <c r="B1304" s="195"/>
      <c r="C1304" s="181"/>
      <c r="D1304" s="194"/>
      <c r="E1304" s="194"/>
      <c r="F1304" s="181"/>
      <c r="G1304" s="181"/>
      <c r="H1304" s="181"/>
      <c r="I1304" s="181"/>
      <c r="J1304" s="181"/>
      <c r="K1304" s="181"/>
      <c r="L1304" s="181"/>
      <c r="M1304" s="181"/>
      <c r="N1304" s="181"/>
      <c r="O1304" s="181"/>
      <c r="P1304" s="181"/>
      <c r="Q1304" s="181"/>
      <c r="R1304" s="181"/>
      <c r="S1304" s="181"/>
      <c r="T1304" s="181"/>
      <c r="U1304" s="181"/>
      <c r="V1304" s="181"/>
      <c r="W1304" s="181"/>
      <c r="X1304" s="181"/>
      <c r="Y1304" s="181"/>
      <c r="Z1304" s="181"/>
    </row>
    <row r="1305">
      <c r="A1305" s="194"/>
      <c r="B1305" s="195"/>
      <c r="C1305" s="181"/>
      <c r="D1305" s="194"/>
      <c r="E1305" s="194"/>
      <c r="F1305" s="181"/>
      <c r="G1305" s="181"/>
      <c r="H1305" s="181"/>
      <c r="I1305" s="181"/>
      <c r="J1305" s="181"/>
      <c r="K1305" s="181"/>
      <c r="L1305" s="181"/>
      <c r="M1305" s="181"/>
      <c r="N1305" s="181"/>
      <c r="O1305" s="181"/>
      <c r="P1305" s="181"/>
      <c r="Q1305" s="181"/>
      <c r="R1305" s="181"/>
      <c r="S1305" s="181"/>
      <c r="T1305" s="181"/>
      <c r="U1305" s="181"/>
      <c r="V1305" s="181"/>
      <c r="W1305" s="181"/>
      <c r="X1305" s="181"/>
      <c r="Y1305" s="181"/>
      <c r="Z1305" s="181"/>
    </row>
    <row r="1306">
      <c r="A1306" s="194"/>
      <c r="B1306" s="195"/>
      <c r="C1306" s="181"/>
      <c r="D1306" s="194"/>
      <c r="E1306" s="194"/>
      <c r="F1306" s="181"/>
      <c r="G1306" s="181"/>
      <c r="H1306" s="181"/>
      <c r="I1306" s="181"/>
      <c r="J1306" s="181"/>
      <c r="K1306" s="181"/>
      <c r="L1306" s="181"/>
      <c r="M1306" s="181"/>
      <c r="N1306" s="181"/>
      <c r="O1306" s="181"/>
      <c r="P1306" s="181"/>
      <c r="Q1306" s="181"/>
      <c r="R1306" s="181"/>
      <c r="S1306" s="181"/>
      <c r="T1306" s="181"/>
      <c r="U1306" s="181"/>
      <c r="V1306" s="181"/>
      <c r="W1306" s="181"/>
      <c r="X1306" s="181"/>
      <c r="Y1306" s="181"/>
      <c r="Z1306" s="181"/>
    </row>
    <row r="1307">
      <c r="A1307" s="194"/>
      <c r="B1307" s="195"/>
      <c r="C1307" s="181"/>
      <c r="D1307" s="194"/>
      <c r="E1307" s="194"/>
      <c r="F1307" s="181"/>
      <c r="G1307" s="181"/>
      <c r="H1307" s="181"/>
      <c r="I1307" s="181"/>
      <c r="J1307" s="181"/>
      <c r="K1307" s="181"/>
      <c r="L1307" s="181"/>
      <c r="M1307" s="181"/>
      <c r="N1307" s="181"/>
      <c r="O1307" s="181"/>
      <c r="P1307" s="181"/>
      <c r="Q1307" s="181"/>
      <c r="R1307" s="181"/>
      <c r="S1307" s="181"/>
      <c r="T1307" s="181"/>
      <c r="U1307" s="181"/>
      <c r="V1307" s="181"/>
      <c r="W1307" s="181"/>
      <c r="X1307" s="181"/>
      <c r="Y1307" s="181"/>
      <c r="Z1307" s="181"/>
    </row>
    <row r="1308">
      <c r="A1308" s="194"/>
      <c r="B1308" s="195"/>
      <c r="C1308" s="181"/>
      <c r="D1308" s="194"/>
      <c r="E1308" s="194"/>
      <c r="F1308" s="181"/>
      <c r="G1308" s="181"/>
      <c r="H1308" s="181"/>
      <c r="I1308" s="181"/>
      <c r="J1308" s="181"/>
      <c r="K1308" s="181"/>
      <c r="L1308" s="181"/>
      <c r="M1308" s="181"/>
      <c r="N1308" s="181"/>
      <c r="O1308" s="181"/>
      <c r="P1308" s="181"/>
      <c r="Q1308" s="181"/>
      <c r="R1308" s="181"/>
      <c r="S1308" s="181"/>
      <c r="T1308" s="181"/>
      <c r="U1308" s="181"/>
      <c r="V1308" s="181"/>
      <c r="W1308" s="181"/>
      <c r="X1308" s="181"/>
      <c r="Y1308" s="181"/>
      <c r="Z1308" s="181"/>
    </row>
    <row r="1309">
      <c r="A1309" s="194"/>
      <c r="B1309" s="195"/>
      <c r="C1309" s="181"/>
      <c r="D1309" s="194"/>
      <c r="E1309" s="194"/>
      <c r="F1309" s="181"/>
      <c r="G1309" s="181"/>
      <c r="H1309" s="181"/>
      <c r="I1309" s="181"/>
      <c r="J1309" s="181"/>
      <c r="K1309" s="181"/>
      <c r="L1309" s="181"/>
      <c r="M1309" s="181"/>
      <c r="N1309" s="181"/>
      <c r="O1309" s="181"/>
      <c r="P1309" s="181"/>
      <c r="Q1309" s="181"/>
      <c r="R1309" s="181"/>
      <c r="S1309" s="181"/>
      <c r="T1309" s="181"/>
      <c r="U1309" s="181"/>
      <c r="V1309" s="181"/>
      <c r="W1309" s="181"/>
      <c r="X1309" s="181"/>
      <c r="Y1309" s="181"/>
      <c r="Z1309" s="181"/>
    </row>
    <row r="1310">
      <c r="A1310" s="194"/>
      <c r="B1310" s="195"/>
      <c r="C1310" s="181"/>
      <c r="D1310" s="194"/>
      <c r="E1310" s="194"/>
      <c r="F1310" s="181"/>
      <c r="G1310" s="181"/>
      <c r="H1310" s="181"/>
      <c r="I1310" s="181"/>
      <c r="J1310" s="181"/>
      <c r="K1310" s="181"/>
      <c r="L1310" s="181"/>
      <c r="M1310" s="181"/>
      <c r="N1310" s="181"/>
      <c r="O1310" s="181"/>
      <c r="P1310" s="181"/>
      <c r="Q1310" s="181"/>
      <c r="R1310" s="181"/>
      <c r="S1310" s="181"/>
      <c r="T1310" s="181"/>
      <c r="U1310" s="181"/>
      <c r="V1310" s="181"/>
      <c r="W1310" s="181"/>
      <c r="X1310" s="181"/>
      <c r="Y1310" s="181"/>
      <c r="Z1310" s="181"/>
    </row>
    <row r="1311">
      <c r="A1311" s="194"/>
      <c r="B1311" s="195"/>
      <c r="C1311" s="181"/>
      <c r="D1311" s="194"/>
      <c r="E1311" s="194"/>
      <c r="F1311" s="181"/>
      <c r="G1311" s="181"/>
      <c r="H1311" s="181"/>
      <c r="I1311" s="181"/>
      <c r="J1311" s="181"/>
      <c r="K1311" s="181"/>
      <c r="L1311" s="181"/>
      <c r="M1311" s="181"/>
      <c r="N1311" s="181"/>
      <c r="O1311" s="181"/>
      <c r="P1311" s="181"/>
      <c r="Q1311" s="181"/>
      <c r="R1311" s="181"/>
      <c r="S1311" s="181"/>
      <c r="T1311" s="181"/>
      <c r="U1311" s="181"/>
      <c r="V1311" s="181"/>
      <c r="W1311" s="181"/>
      <c r="X1311" s="181"/>
      <c r="Y1311" s="181"/>
      <c r="Z1311" s="181"/>
    </row>
    <row r="1312">
      <c r="A1312" s="194"/>
      <c r="B1312" s="195"/>
      <c r="C1312" s="181"/>
      <c r="D1312" s="194"/>
      <c r="E1312" s="194"/>
      <c r="F1312" s="181"/>
      <c r="G1312" s="181"/>
      <c r="H1312" s="181"/>
      <c r="I1312" s="181"/>
      <c r="J1312" s="181"/>
      <c r="K1312" s="181"/>
      <c r="L1312" s="181"/>
      <c r="M1312" s="181"/>
      <c r="N1312" s="181"/>
      <c r="O1312" s="181"/>
      <c r="P1312" s="181"/>
      <c r="Q1312" s="181"/>
      <c r="R1312" s="181"/>
      <c r="S1312" s="181"/>
      <c r="T1312" s="181"/>
      <c r="U1312" s="181"/>
      <c r="V1312" s="181"/>
      <c r="W1312" s="181"/>
      <c r="X1312" s="181"/>
      <c r="Y1312" s="181"/>
      <c r="Z1312" s="181"/>
    </row>
    <row r="1313">
      <c r="A1313" s="194"/>
      <c r="B1313" s="195"/>
      <c r="C1313" s="181"/>
      <c r="D1313" s="194"/>
      <c r="E1313" s="194"/>
      <c r="F1313" s="181"/>
      <c r="G1313" s="181"/>
      <c r="H1313" s="181"/>
      <c r="I1313" s="181"/>
      <c r="J1313" s="181"/>
      <c r="K1313" s="181"/>
      <c r="L1313" s="181"/>
      <c r="M1313" s="181"/>
      <c r="N1313" s="181"/>
      <c r="O1313" s="181"/>
      <c r="P1313" s="181"/>
      <c r="Q1313" s="181"/>
      <c r="R1313" s="181"/>
      <c r="S1313" s="181"/>
      <c r="T1313" s="181"/>
      <c r="U1313" s="181"/>
      <c r="V1313" s="181"/>
      <c r="W1313" s="181"/>
      <c r="X1313" s="181"/>
      <c r="Y1313" s="181"/>
      <c r="Z1313" s="181"/>
    </row>
    <row r="1314">
      <c r="A1314" s="194"/>
      <c r="B1314" s="195"/>
      <c r="C1314" s="181"/>
      <c r="D1314" s="194"/>
      <c r="E1314" s="194"/>
      <c r="F1314" s="181"/>
      <c r="G1314" s="181"/>
      <c r="H1314" s="181"/>
      <c r="I1314" s="181"/>
      <c r="J1314" s="181"/>
      <c r="K1314" s="181"/>
      <c r="L1314" s="181"/>
      <c r="M1314" s="181"/>
      <c r="N1314" s="181"/>
      <c r="O1314" s="181"/>
      <c r="P1314" s="181"/>
      <c r="Q1314" s="181"/>
      <c r="R1314" s="181"/>
      <c r="S1314" s="181"/>
      <c r="T1314" s="181"/>
      <c r="U1314" s="181"/>
      <c r="V1314" s="181"/>
      <c r="W1314" s="181"/>
      <c r="X1314" s="181"/>
      <c r="Y1314" s="181"/>
      <c r="Z1314" s="181"/>
    </row>
    <row r="1315">
      <c r="A1315" s="194"/>
      <c r="B1315" s="195"/>
      <c r="C1315" s="181"/>
      <c r="D1315" s="194"/>
      <c r="E1315" s="194"/>
      <c r="F1315" s="181"/>
      <c r="G1315" s="181"/>
      <c r="H1315" s="181"/>
      <c r="I1315" s="181"/>
      <c r="J1315" s="181"/>
      <c r="K1315" s="181"/>
      <c r="L1315" s="181"/>
      <c r="M1315" s="181"/>
      <c r="N1315" s="181"/>
      <c r="O1315" s="181"/>
      <c r="P1315" s="181"/>
      <c r="Q1315" s="181"/>
      <c r="R1315" s="181"/>
      <c r="S1315" s="181"/>
      <c r="T1315" s="181"/>
      <c r="U1315" s="181"/>
      <c r="V1315" s="181"/>
      <c r="W1315" s="181"/>
      <c r="X1315" s="181"/>
      <c r="Y1315" s="181"/>
      <c r="Z1315" s="181"/>
    </row>
    <row r="1316">
      <c r="A1316" s="194"/>
      <c r="B1316" s="195"/>
      <c r="C1316" s="181"/>
      <c r="D1316" s="194"/>
      <c r="E1316" s="194"/>
      <c r="F1316" s="181"/>
      <c r="G1316" s="181"/>
      <c r="H1316" s="181"/>
      <c r="I1316" s="181"/>
      <c r="J1316" s="181"/>
      <c r="K1316" s="181"/>
      <c r="L1316" s="181"/>
      <c r="M1316" s="181"/>
      <c r="N1316" s="181"/>
      <c r="O1316" s="181"/>
      <c r="P1316" s="181"/>
      <c r="Q1316" s="181"/>
      <c r="R1316" s="181"/>
      <c r="S1316" s="181"/>
      <c r="T1316" s="181"/>
      <c r="U1316" s="181"/>
      <c r="V1316" s="181"/>
      <c r="W1316" s="181"/>
      <c r="X1316" s="181"/>
      <c r="Y1316" s="181"/>
      <c r="Z1316" s="181"/>
    </row>
    <row r="1317">
      <c r="A1317" s="194"/>
      <c r="B1317" s="195"/>
      <c r="C1317" s="181"/>
      <c r="D1317" s="194"/>
      <c r="E1317" s="194"/>
      <c r="F1317" s="181"/>
      <c r="G1317" s="181"/>
      <c r="H1317" s="181"/>
      <c r="I1317" s="181"/>
      <c r="J1317" s="181"/>
      <c r="K1317" s="181"/>
      <c r="L1317" s="181"/>
      <c r="M1317" s="181"/>
      <c r="N1317" s="181"/>
      <c r="O1317" s="181"/>
      <c r="P1317" s="181"/>
      <c r="Q1317" s="181"/>
      <c r="R1317" s="181"/>
      <c r="S1317" s="181"/>
      <c r="T1317" s="181"/>
      <c r="U1317" s="181"/>
      <c r="V1317" s="181"/>
      <c r="W1317" s="181"/>
      <c r="X1317" s="181"/>
      <c r="Y1317" s="181"/>
      <c r="Z1317" s="181"/>
    </row>
    <row r="1318">
      <c r="A1318" s="194"/>
      <c r="B1318" s="195"/>
      <c r="C1318" s="181"/>
      <c r="D1318" s="194"/>
      <c r="E1318" s="194"/>
      <c r="F1318" s="181"/>
      <c r="G1318" s="181"/>
      <c r="H1318" s="181"/>
      <c r="I1318" s="181"/>
      <c r="J1318" s="181"/>
      <c r="K1318" s="181"/>
      <c r="L1318" s="181"/>
      <c r="M1318" s="181"/>
      <c r="N1318" s="181"/>
      <c r="O1318" s="181"/>
      <c r="P1318" s="181"/>
      <c r="Q1318" s="181"/>
      <c r="R1318" s="181"/>
      <c r="S1318" s="181"/>
      <c r="T1318" s="181"/>
      <c r="U1318" s="181"/>
      <c r="V1318" s="181"/>
      <c r="W1318" s="181"/>
      <c r="X1318" s="181"/>
      <c r="Y1318" s="181"/>
      <c r="Z1318" s="181"/>
    </row>
    <row r="1319">
      <c r="A1319" s="194"/>
      <c r="B1319" s="195"/>
      <c r="C1319" s="181"/>
      <c r="D1319" s="194"/>
      <c r="E1319" s="194"/>
      <c r="F1319" s="181"/>
      <c r="G1319" s="181"/>
      <c r="H1319" s="181"/>
      <c r="I1319" s="181"/>
      <c r="J1319" s="181"/>
      <c r="K1319" s="181"/>
      <c r="L1319" s="181"/>
      <c r="M1319" s="181"/>
      <c r="N1319" s="181"/>
      <c r="O1319" s="181"/>
      <c r="P1319" s="181"/>
      <c r="Q1319" s="181"/>
      <c r="R1319" s="181"/>
      <c r="S1319" s="181"/>
      <c r="T1319" s="181"/>
      <c r="U1319" s="181"/>
      <c r="V1319" s="181"/>
      <c r="W1319" s="181"/>
      <c r="X1319" s="181"/>
      <c r="Y1319" s="181"/>
      <c r="Z1319" s="181"/>
    </row>
    <row r="1320">
      <c r="A1320" s="194"/>
      <c r="B1320" s="195"/>
      <c r="C1320" s="181"/>
      <c r="D1320" s="194"/>
      <c r="E1320" s="194"/>
      <c r="F1320" s="181"/>
      <c r="G1320" s="181"/>
      <c r="H1320" s="181"/>
      <c r="I1320" s="181"/>
      <c r="J1320" s="181"/>
      <c r="K1320" s="181"/>
      <c r="L1320" s="181"/>
      <c r="M1320" s="181"/>
      <c r="N1320" s="181"/>
      <c r="O1320" s="181"/>
      <c r="P1320" s="181"/>
      <c r="Q1320" s="181"/>
      <c r="R1320" s="181"/>
      <c r="S1320" s="181"/>
      <c r="T1320" s="181"/>
      <c r="U1320" s="181"/>
      <c r="V1320" s="181"/>
      <c r="W1320" s="181"/>
      <c r="X1320" s="181"/>
      <c r="Y1320" s="181"/>
      <c r="Z1320" s="181"/>
    </row>
    <row r="1321">
      <c r="A1321" s="194"/>
      <c r="B1321" s="195"/>
      <c r="C1321" s="181"/>
      <c r="D1321" s="194"/>
      <c r="E1321" s="194"/>
      <c r="F1321" s="181"/>
      <c r="G1321" s="181"/>
      <c r="H1321" s="181"/>
      <c r="I1321" s="181"/>
      <c r="J1321" s="181"/>
      <c r="K1321" s="181"/>
      <c r="L1321" s="181"/>
      <c r="M1321" s="181"/>
      <c r="N1321" s="181"/>
      <c r="O1321" s="181"/>
      <c r="P1321" s="181"/>
      <c r="Q1321" s="181"/>
      <c r="R1321" s="181"/>
      <c r="S1321" s="181"/>
      <c r="T1321" s="181"/>
      <c r="U1321" s="181"/>
      <c r="V1321" s="181"/>
      <c r="W1321" s="181"/>
      <c r="X1321" s="181"/>
      <c r="Y1321" s="181"/>
      <c r="Z1321" s="181"/>
    </row>
    <row r="1322">
      <c r="A1322" s="194"/>
      <c r="B1322" s="195"/>
      <c r="C1322" s="181"/>
      <c r="D1322" s="194"/>
      <c r="E1322" s="194"/>
      <c r="F1322" s="181"/>
      <c r="G1322" s="181"/>
      <c r="H1322" s="181"/>
      <c r="I1322" s="181"/>
      <c r="J1322" s="181"/>
      <c r="K1322" s="181"/>
      <c r="L1322" s="181"/>
      <c r="M1322" s="181"/>
      <c r="N1322" s="181"/>
      <c r="O1322" s="181"/>
      <c r="P1322" s="181"/>
      <c r="Q1322" s="181"/>
      <c r="R1322" s="181"/>
      <c r="S1322" s="181"/>
      <c r="T1322" s="181"/>
      <c r="U1322" s="181"/>
      <c r="V1322" s="181"/>
      <c r="W1322" s="181"/>
      <c r="X1322" s="181"/>
      <c r="Y1322" s="181"/>
      <c r="Z1322" s="181"/>
    </row>
    <row r="1323">
      <c r="A1323" s="194"/>
      <c r="B1323" s="195"/>
      <c r="C1323" s="181"/>
      <c r="D1323" s="194"/>
      <c r="E1323" s="194"/>
      <c r="F1323" s="181"/>
      <c r="G1323" s="181"/>
      <c r="H1323" s="181"/>
      <c r="I1323" s="181"/>
      <c r="J1323" s="181"/>
      <c r="K1323" s="181"/>
      <c r="L1323" s="181"/>
      <c r="M1323" s="181"/>
      <c r="N1323" s="181"/>
      <c r="O1323" s="181"/>
      <c r="P1323" s="181"/>
      <c r="Q1323" s="181"/>
      <c r="R1323" s="181"/>
      <c r="S1323" s="181"/>
      <c r="T1323" s="181"/>
      <c r="U1323" s="181"/>
      <c r="V1323" s="181"/>
      <c r="W1323" s="181"/>
      <c r="X1323" s="181"/>
      <c r="Y1323" s="181"/>
      <c r="Z1323" s="181"/>
    </row>
    <row r="1324">
      <c r="A1324" s="194"/>
      <c r="B1324" s="195"/>
      <c r="C1324" s="181"/>
      <c r="D1324" s="194"/>
      <c r="E1324" s="194"/>
      <c r="F1324" s="181"/>
      <c r="G1324" s="181"/>
      <c r="H1324" s="181"/>
      <c r="I1324" s="181"/>
      <c r="J1324" s="181"/>
      <c r="K1324" s="181"/>
      <c r="L1324" s="181"/>
      <c r="M1324" s="181"/>
      <c r="N1324" s="181"/>
      <c r="O1324" s="181"/>
      <c r="P1324" s="181"/>
      <c r="Q1324" s="181"/>
      <c r="R1324" s="181"/>
      <c r="S1324" s="181"/>
      <c r="T1324" s="181"/>
      <c r="U1324" s="181"/>
      <c r="V1324" s="181"/>
      <c r="W1324" s="181"/>
      <c r="X1324" s="181"/>
      <c r="Y1324" s="181"/>
      <c r="Z1324" s="181"/>
    </row>
    <row r="1325">
      <c r="A1325" s="194"/>
      <c r="B1325" s="195"/>
      <c r="C1325" s="181"/>
      <c r="D1325" s="194"/>
      <c r="E1325" s="194"/>
      <c r="F1325" s="181"/>
      <c r="G1325" s="181"/>
      <c r="H1325" s="181"/>
      <c r="I1325" s="181"/>
      <c r="J1325" s="181"/>
      <c r="K1325" s="181"/>
      <c r="L1325" s="181"/>
      <c r="M1325" s="181"/>
      <c r="N1325" s="181"/>
      <c r="O1325" s="181"/>
      <c r="P1325" s="181"/>
      <c r="Q1325" s="181"/>
      <c r="R1325" s="181"/>
      <c r="S1325" s="181"/>
      <c r="T1325" s="181"/>
      <c r="U1325" s="181"/>
      <c r="V1325" s="181"/>
      <c r="W1325" s="181"/>
      <c r="X1325" s="181"/>
      <c r="Y1325" s="181"/>
      <c r="Z1325" s="181"/>
    </row>
    <row r="1326">
      <c r="A1326" s="194"/>
      <c r="B1326" s="195"/>
      <c r="C1326" s="181"/>
      <c r="D1326" s="194"/>
      <c r="E1326" s="194"/>
      <c r="F1326" s="181"/>
      <c r="G1326" s="181"/>
      <c r="H1326" s="181"/>
      <c r="I1326" s="181"/>
      <c r="J1326" s="181"/>
      <c r="K1326" s="181"/>
      <c r="L1326" s="181"/>
      <c r="M1326" s="181"/>
      <c r="N1326" s="181"/>
      <c r="O1326" s="181"/>
      <c r="P1326" s="181"/>
      <c r="Q1326" s="181"/>
      <c r="R1326" s="181"/>
      <c r="S1326" s="181"/>
      <c r="T1326" s="181"/>
      <c r="U1326" s="181"/>
      <c r="V1326" s="181"/>
      <c r="W1326" s="181"/>
      <c r="X1326" s="181"/>
      <c r="Y1326" s="181"/>
      <c r="Z1326" s="181"/>
    </row>
    <row r="1327">
      <c r="A1327" s="194"/>
      <c r="B1327" s="195"/>
      <c r="C1327" s="181"/>
      <c r="D1327" s="194"/>
      <c r="E1327" s="194"/>
      <c r="F1327" s="181"/>
      <c r="G1327" s="181"/>
      <c r="H1327" s="181"/>
      <c r="I1327" s="181"/>
      <c r="J1327" s="181"/>
      <c r="K1327" s="181"/>
      <c r="L1327" s="181"/>
      <c r="M1327" s="181"/>
      <c r="N1327" s="181"/>
      <c r="O1327" s="181"/>
      <c r="P1327" s="181"/>
      <c r="Q1327" s="181"/>
      <c r="R1327" s="181"/>
      <c r="S1327" s="181"/>
      <c r="T1327" s="181"/>
      <c r="U1327" s="181"/>
      <c r="V1327" s="181"/>
      <c r="W1327" s="181"/>
      <c r="X1327" s="181"/>
      <c r="Y1327" s="181"/>
      <c r="Z1327" s="181"/>
    </row>
    <row r="1328">
      <c r="A1328" s="194"/>
      <c r="B1328" s="195"/>
      <c r="C1328" s="181"/>
      <c r="D1328" s="194"/>
      <c r="E1328" s="194"/>
      <c r="F1328" s="181"/>
      <c r="G1328" s="181"/>
      <c r="H1328" s="181"/>
      <c r="I1328" s="181"/>
      <c r="J1328" s="181"/>
      <c r="K1328" s="181"/>
      <c r="L1328" s="181"/>
      <c r="M1328" s="181"/>
      <c r="N1328" s="181"/>
      <c r="O1328" s="181"/>
      <c r="P1328" s="181"/>
      <c r="Q1328" s="181"/>
      <c r="R1328" s="181"/>
      <c r="S1328" s="181"/>
      <c r="T1328" s="181"/>
      <c r="U1328" s="181"/>
      <c r="V1328" s="181"/>
      <c r="W1328" s="181"/>
      <c r="X1328" s="181"/>
      <c r="Y1328" s="181"/>
      <c r="Z1328" s="181"/>
    </row>
    <row r="1329">
      <c r="A1329" s="194"/>
      <c r="B1329" s="195"/>
      <c r="C1329" s="181"/>
      <c r="D1329" s="194"/>
      <c r="E1329" s="194"/>
      <c r="F1329" s="181"/>
      <c r="G1329" s="181"/>
      <c r="H1329" s="181"/>
      <c r="I1329" s="181"/>
      <c r="J1329" s="181"/>
      <c r="K1329" s="181"/>
      <c r="L1329" s="181"/>
      <c r="M1329" s="181"/>
      <c r="N1329" s="181"/>
      <c r="O1329" s="181"/>
      <c r="P1329" s="181"/>
      <c r="Q1329" s="181"/>
      <c r="R1329" s="181"/>
      <c r="S1329" s="181"/>
      <c r="T1329" s="181"/>
      <c r="U1329" s="181"/>
      <c r="V1329" s="181"/>
      <c r="W1329" s="181"/>
      <c r="X1329" s="181"/>
      <c r="Y1329" s="181"/>
      <c r="Z1329" s="181"/>
    </row>
    <row r="1330">
      <c r="A1330" s="194"/>
      <c r="B1330" s="195"/>
      <c r="C1330" s="181"/>
      <c r="D1330" s="194"/>
      <c r="E1330" s="194"/>
      <c r="F1330" s="181"/>
      <c r="G1330" s="181"/>
      <c r="H1330" s="181"/>
      <c r="I1330" s="181"/>
      <c r="J1330" s="181"/>
      <c r="K1330" s="181"/>
      <c r="L1330" s="181"/>
      <c r="M1330" s="181"/>
      <c r="N1330" s="181"/>
      <c r="O1330" s="181"/>
      <c r="P1330" s="181"/>
      <c r="Q1330" s="181"/>
      <c r="R1330" s="181"/>
      <c r="S1330" s="181"/>
      <c r="T1330" s="181"/>
      <c r="U1330" s="181"/>
      <c r="V1330" s="181"/>
      <c r="W1330" s="181"/>
      <c r="X1330" s="181"/>
      <c r="Y1330" s="181"/>
      <c r="Z1330" s="181"/>
    </row>
    <row r="1331">
      <c r="A1331" s="194"/>
      <c r="B1331" s="195"/>
      <c r="C1331" s="181"/>
      <c r="D1331" s="194"/>
      <c r="E1331" s="194"/>
      <c r="F1331" s="181"/>
      <c r="G1331" s="181"/>
      <c r="H1331" s="181"/>
      <c r="I1331" s="181"/>
      <c r="J1331" s="181"/>
      <c r="K1331" s="181"/>
      <c r="L1331" s="181"/>
      <c r="M1331" s="181"/>
      <c r="N1331" s="181"/>
      <c r="O1331" s="181"/>
      <c r="P1331" s="181"/>
      <c r="Q1331" s="181"/>
      <c r="R1331" s="181"/>
      <c r="S1331" s="181"/>
      <c r="T1331" s="181"/>
      <c r="U1331" s="181"/>
      <c r="V1331" s="181"/>
      <c r="W1331" s="181"/>
      <c r="X1331" s="181"/>
      <c r="Y1331" s="181"/>
      <c r="Z1331" s="181"/>
    </row>
    <row r="1332">
      <c r="A1332" s="194"/>
      <c r="B1332" s="195"/>
      <c r="C1332" s="181"/>
      <c r="D1332" s="194"/>
      <c r="E1332" s="194"/>
      <c r="F1332" s="181"/>
      <c r="G1332" s="181"/>
      <c r="H1332" s="181"/>
      <c r="I1332" s="181"/>
      <c r="J1332" s="181"/>
      <c r="K1332" s="181"/>
      <c r="L1332" s="181"/>
      <c r="M1332" s="181"/>
      <c r="N1332" s="181"/>
      <c r="O1332" s="181"/>
      <c r="P1332" s="181"/>
      <c r="Q1332" s="181"/>
      <c r="R1332" s="181"/>
      <c r="S1332" s="181"/>
      <c r="T1332" s="181"/>
      <c r="U1332" s="181"/>
      <c r="V1332" s="181"/>
      <c r="W1332" s="181"/>
      <c r="X1332" s="181"/>
      <c r="Y1332" s="181"/>
      <c r="Z1332" s="181"/>
    </row>
    <row r="1333">
      <c r="A1333" s="194"/>
      <c r="B1333" s="195"/>
      <c r="C1333" s="181"/>
      <c r="D1333" s="194"/>
      <c r="E1333" s="194"/>
      <c r="F1333" s="181"/>
      <c r="G1333" s="181"/>
      <c r="H1333" s="181"/>
      <c r="I1333" s="181"/>
      <c r="J1333" s="181"/>
      <c r="K1333" s="181"/>
      <c r="L1333" s="181"/>
      <c r="M1333" s="181"/>
      <c r="N1333" s="181"/>
      <c r="O1333" s="181"/>
      <c r="P1333" s="181"/>
      <c r="Q1333" s="181"/>
      <c r="R1333" s="181"/>
      <c r="S1333" s="181"/>
      <c r="T1333" s="181"/>
      <c r="U1333" s="181"/>
      <c r="V1333" s="181"/>
      <c r="W1333" s="181"/>
      <c r="X1333" s="181"/>
      <c r="Y1333" s="181"/>
      <c r="Z1333" s="181"/>
    </row>
    <row r="1334">
      <c r="A1334" s="194"/>
      <c r="B1334" s="195"/>
      <c r="C1334" s="181"/>
      <c r="D1334" s="194"/>
      <c r="E1334" s="194"/>
      <c r="F1334" s="181"/>
      <c r="G1334" s="181"/>
      <c r="H1334" s="181"/>
      <c r="I1334" s="181"/>
      <c r="J1334" s="181"/>
      <c r="K1334" s="181"/>
      <c r="L1334" s="181"/>
      <c r="M1334" s="181"/>
      <c r="N1334" s="181"/>
      <c r="O1334" s="181"/>
      <c r="P1334" s="181"/>
      <c r="Q1334" s="181"/>
      <c r="R1334" s="181"/>
      <c r="S1334" s="181"/>
      <c r="T1334" s="181"/>
      <c r="U1334" s="181"/>
      <c r="V1334" s="181"/>
      <c r="W1334" s="181"/>
      <c r="X1334" s="181"/>
      <c r="Y1334" s="181"/>
      <c r="Z1334" s="181"/>
    </row>
    <row r="1335">
      <c r="A1335" s="194"/>
      <c r="B1335" s="195"/>
      <c r="C1335" s="181"/>
      <c r="D1335" s="194"/>
      <c r="E1335" s="194"/>
      <c r="F1335" s="181"/>
      <c r="G1335" s="181"/>
      <c r="H1335" s="181"/>
      <c r="I1335" s="181"/>
      <c r="J1335" s="181"/>
      <c r="K1335" s="181"/>
      <c r="L1335" s="181"/>
      <c r="M1335" s="181"/>
      <c r="N1335" s="181"/>
      <c r="O1335" s="181"/>
      <c r="P1335" s="181"/>
      <c r="Q1335" s="181"/>
      <c r="R1335" s="181"/>
      <c r="S1335" s="181"/>
      <c r="T1335" s="181"/>
      <c r="U1335" s="181"/>
      <c r="V1335" s="181"/>
      <c r="W1335" s="181"/>
      <c r="X1335" s="181"/>
      <c r="Y1335" s="181"/>
      <c r="Z1335" s="181"/>
    </row>
    <row r="1336">
      <c r="A1336" s="194"/>
      <c r="B1336" s="195"/>
      <c r="C1336" s="181"/>
      <c r="D1336" s="194"/>
      <c r="E1336" s="194"/>
      <c r="F1336" s="181"/>
      <c r="G1336" s="181"/>
      <c r="H1336" s="181"/>
      <c r="I1336" s="181"/>
      <c r="J1336" s="181"/>
      <c r="K1336" s="181"/>
      <c r="L1336" s="181"/>
      <c r="M1336" s="181"/>
      <c r="N1336" s="181"/>
      <c r="O1336" s="181"/>
      <c r="P1336" s="181"/>
      <c r="Q1336" s="181"/>
      <c r="R1336" s="181"/>
      <c r="S1336" s="181"/>
      <c r="T1336" s="181"/>
      <c r="U1336" s="181"/>
      <c r="V1336" s="181"/>
      <c r="W1336" s="181"/>
      <c r="X1336" s="181"/>
      <c r="Y1336" s="181"/>
      <c r="Z1336" s="181"/>
    </row>
    <row r="1337">
      <c r="A1337" s="194"/>
      <c r="B1337" s="195"/>
      <c r="C1337" s="181"/>
      <c r="D1337" s="194"/>
      <c r="E1337" s="194"/>
      <c r="F1337" s="181"/>
      <c r="G1337" s="181"/>
      <c r="H1337" s="181"/>
      <c r="I1337" s="181"/>
      <c r="J1337" s="181"/>
      <c r="K1337" s="181"/>
      <c r="L1337" s="181"/>
      <c r="M1337" s="181"/>
      <c r="N1337" s="181"/>
      <c r="O1337" s="181"/>
      <c r="P1337" s="181"/>
      <c r="Q1337" s="181"/>
      <c r="R1337" s="181"/>
      <c r="S1337" s="181"/>
      <c r="T1337" s="181"/>
      <c r="U1337" s="181"/>
      <c r="V1337" s="181"/>
      <c r="W1337" s="181"/>
      <c r="X1337" s="181"/>
      <c r="Y1337" s="181"/>
      <c r="Z1337" s="181"/>
    </row>
    <row r="1338">
      <c r="A1338" s="194"/>
      <c r="B1338" s="195"/>
      <c r="C1338" s="181"/>
      <c r="D1338" s="194"/>
      <c r="E1338" s="194"/>
      <c r="F1338" s="181"/>
      <c r="G1338" s="181"/>
      <c r="H1338" s="181"/>
      <c r="I1338" s="181"/>
      <c r="J1338" s="181"/>
      <c r="K1338" s="181"/>
      <c r="L1338" s="181"/>
      <c r="M1338" s="181"/>
      <c r="N1338" s="181"/>
      <c r="O1338" s="181"/>
      <c r="P1338" s="181"/>
      <c r="Q1338" s="181"/>
      <c r="R1338" s="181"/>
      <c r="S1338" s="181"/>
      <c r="T1338" s="181"/>
      <c r="U1338" s="181"/>
      <c r="V1338" s="181"/>
      <c r="W1338" s="181"/>
      <c r="X1338" s="181"/>
      <c r="Y1338" s="181"/>
      <c r="Z1338" s="181"/>
    </row>
    <row r="1339">
      <c r="A1339" s="194"/>
      <c r="B1339" s="195"/>
      <c r="C1339" s="181"/>
      <c r="D1339" s="194"/>
      <c r="E1339" s="194"/>
      <c r="F1339" s="181"/>
      <c r="G1339" s="181"/>
      <c r="H1339" s="181"/>
      <c r="I1339" s="181"/>
      <c r="J1339" s="181"/>
      <c r="K1339" s="181"/>
      <c r="L1339" s="181"/>
      <c r="M1339" s="181"/>
      <c r="N1339" s="181"/>
      <c r="O1339" s="181"/>
      <c r="P1339" s="181"/>
      <c r="Q1339" s="181"/>
      <c r="R1339" s="181"/>
      <c r="S1339" s="181"/>
      <c r="T1339" s="181"/>
      <c r="U1339" s="181"/>
      <c r="V1339" s="181"/>
      <c r="W1339" s="181"/>
      <c r="X1339" s="181"/>
      <c r="Y1339" s="181"/>
      <c r="Z1339" s="181"/>
    </row>
    <row r="1340">
      <c r="A1340" s="194"/>
      <c r="B1340" s="195"/>
      <c r="C1340" s="181"/>
      <c r="D1340" s="194"/>
      <c r="E1340" s="194"/>
      <c r="F1340" s="181"/>
      <c r="G1340" s="181"/>
      <c r="H1340" s="181"/>
      <c r="I1340" s="181"/>
      <c r="J1340" s="181"/>
      <c r="K1340" s="181"/>
      <c r="L1340" s="181"/>
      <c r="M1340" s="181"/>
      <c r="N1340" s="181"/>
      <c r="O1340" s="181"/>
      <c r="P1340" s="181"/>
      <c r="Q1340" s="181"/>
      <c r="R1340" s="181"/>
      <c r="S1340" s="181"/>
      <c r="T1340" s="181"/>
      <c r="U1340" s="181"/>
      <c r="V1340" s="181"/>
      <c r="W1340" s="181"/>
      <c r="X1340" s="181"/>
      <c r="Y1340" s="181"/>
      <c r="Z1340" s="181"/>
    </row>
    <row r="1341">
      <c r="A1341" s="194"/>
      <c r="B1341" s="195"/>
      <c r="C1341" s="181"/>
      <c r="D1341" s="194"/>
      <c r="E1341" s="194"/>
      <c r="F1341" s="181"/>
      <c r="G1341" s="181"/>
      <c r="H1341" s="181"/>
      <c r="I1341" s="181"/>
      <c r="J1341" s="181"/>
      <c r="K1341" s="181"/>
      <c r="L1341" s="181"/>
      <c r="M1341" s="181"/>
      <c r="N1341" s="181"/>
      <c r="O1341" s="181"/>
      <c r="P1341" s="181"/>
      <c r="Q1341" s="181"/>
      <c r="R1341" s="181"/>
      <c r="S1341" s="181"/>
      <c r="T1341" s="181"/>
      <c r="U1341" s="181"/>
      <c r="V1341" s="181"/>
      <c r="W1341" s="181"/>
      <c r="X1341" s="181"/>
      <c r="Y1341" s="181"/>
      <c r="Z1341" s="181"/>
    </row>
    <row r="1342">
      <c r="A1342" s="194"/>
      <c r="B1342" s="195"/>
      <c r="C1342" s="181"/>
      <c r="D1342" s="194"/>
      <c r="E1342" s="194"/>
      <c r="F1342" s="181"/>
      <c r="G1342" s="181"/>
      <c r="H1342" s="181"/>
      <c r="I1342" s="181"/>
      <c r="J1342" s="181"/>
      <c r="K1342" s="181"/>
      <c r="L1342" s="181"/>
      <c r="M1342" s="181"/>
      <c r="N1342" s="181"/>
      <c r="O1342" s="181"/>
      <c r="P1342" s="181"/>
      <c r="Q1342" s="181"/>
      <c r="R1342" s="181"/>
      <c r="S1342" s="181"/>
      <c r="T1342" s="181"/>
      <c r="U1342" s="181"/>
      <c r="V1342" s="181"/>
      <c r="W1342" s="181"/>
      <c r="X1342" s="181"/>
      <c r="Y1342" s="181"/>
      <c r="Z1342" s="181"/>
    </row>
    <row r="1343">
      <c r="A1343" s="194"/>
      <c r="B1343" s="195"/>
      <c r="C1343" s="181"/>
      <c r="D1343" s="194"/>
      <c r="E1343" s="194"/>
      <c r="F1343" s="181"/>
      <c r="G1343" s="181"/>
      <c r="H1343" s="181"/>
      <c r="I1343" s="181"/>
      <c r="J1343" s="181"/>
      <c r="K1343" s="181"/>
      <c r="L1343" s="181"/>
      <c r="M1343" s="181"/>
      <c r="N1343" s="181"/>
      <c r="O1343" s="181"/>
      <c r="P1343" s="181"/>
      <c r="Q1343" s="181"/>
      <c r="R1343" s="181"/>
      <c r="S1343" s="181"/>
      <c r="T1343" s="181"/>
      <c r="U1343" s="181"/>
      <c r="V1343" s="181"/>
      <c r="W1343" s="181"/>
      <c r="X1343" s="181"/>
      <c r="Y1343" s="181"/>
      <c r="Z1343" s="181"/>
    </row>
    <row r="1344">
      <c r="A1344" s="194"/>
      <c r="B1344" s="195"/>
      <c r="C1344" s="181"/>
      <c r="D1344" s="194"/>
      <c r="E1344" s="194"/>
      <c r="F1344" s="181"/>
      <c r="G1344" s="181"/>
      <c r="H1344" s="181"/>
      <c r="I1344" s="181"/>
      <c r="J1344" s="181"/>
      <c r="K1344" s="181"/>
      <c r="L1344" s="181"/>
      <c r="M1344" s="181"/>
      <c r="N1344" s="181"/>
      <c r="O1344" s="181"/>
      <c r="P1344" s="181"/>
      <c r="Q1344" s="181"/>
      <c r="R1344" s="181"/>
      <c r="S1344" s="181"/>
      <c r="T1344" s="181"/>
      <c r="U1344" s="181"/>
      <c r="V1344" s="181"/>
      <c r="W1344" s="181"/>
      <c r="X1344" s="181"/>
      <c r="Y1344" s="181"/>
      <c r="Z1344" s="181"/>
    </row>
    <row r="1345">
      <c r="A1345" s="194"/>
      <c r="B1345" s="195"/>
      <c r="C1345" s="181"/>
      <c r="D1345" s="194"/>
      <c r="E1345" s="194"/>
      <c r="F1345" s="181"/>
      <c r="G1345" s="181"/>
      <c r="H1345" s="181"/>
      <c r="I1345" s="181"/>
      <c r="J1345" s="181"/>
      <c r="K1345" s="181"/>
      <c r="L1345" s="181"/>
      <c r="M1345" s="181"/>
      <c r="N1345" s="181"/>
      <c r="O1345" s="181"/>
      <c r="P1345" s="181"/>
      <c r="Q1345" s="181"/>
      <c r="R1345" s="181"/>
      <c r="S1345" s="181"/>
      <c r="T1345" s="181"/>
      <c r="U1345" s="181"/>
      <c r="V1345" s="181"/>
      <c r="W1345" s="181"/>
      <c r="X1345" s="181"/>
      <c r="Y1345" s="181"/>
      <c r="Z1345" s="181"/>
    </row>
    <row r="1346">
      <c r="A1346" s="194"/>
      <c r="B1346" s="195"/>
      <c r="C1346" s="181"/>
      <c r="D1346" s="194"/>
      <c r="E1346" s="194"/>
      <c r="F1346" s="181"/>
      <c r="G1346" s="181"/>
      <c r="H1346" s="181"/>
      <c r="I1346" s="181"/>
      <c r="J1346" s="181"/>
      <c r="K1346" s="181"/>
      <c r="L1346" s="181"/>
      <c r="M1346" s="181"/>
      <c r="N1346" s="181"/>
      <c r="O1346" s="181"/>
      <c r="P1346" s="181"/>
      <c r="Q1346" s="181"/>
      <c r="R1346" s="181"/>
      <c r="S1346" s="181"/>
      <c r="T1346" s="181"/>
      <c r="U1346" s="181"/>
      <c r="V1346" s="181"/>
      <c r="W1346" s="181"/>
      <c r="X1346" s="181"/>
      <c r="Y1346" s="181"/>
      <c r="Z1346" s="181"/>
    </row>
    <row r="1347">
      <c r="A1347" s="194"/>
      <c r="B1347" s="195"/>
      <c r="C1347" s="181"/>
      <c r="D1347" s="194"/>
      <c r="E1347" s="194"/>
      <c r="F1347" s="181"/>
      <c r="G1347" s="181"/>
      <c r="H1347" s="181"/>
      <c r="I1347" s="181"/>
      <c r="J1347" s="181"/>
      <c r="K1347" s="181"/>
      <c r="L1347" s="181"/>
      <c r="M1347" s="181"/>
      <c r="N1347" s="181"/>
      <c r="O1347" s="181"/>
      <c r="P1347" s="181"/>
      <c r="Q1347" s="181"/>
      <c r="R1347" s="181"/>
      <c r="S1347" s="181"/>
      <c r="T1347" s="181"/>
      <c r="U1347" s="181"/>
      <c r="V1347" s="181"/>
      <c r="W1347" s="181"/>
      <c r="X1347" s="181"/>
      <c r="Y1347" s="181"/>
      <c r="Z1347" s="181"/>
    </row>
    <row r="1348">
      <c r="A1348" s="194"/>
      <c r="B1348" s="195"/>
      <c r="C1348" s="181"/>
      <c r="D1348" s="194"/>
      <c r="E1348" s="194"/>
      <c r="F1348" s="181"/>
      <c r="G1348" s="181"/>
      <c r="H1348" s="181"/>
      <c r="I1348" s="181"/>
      <c r="J1348" s="181"/>
      <c r="K1348" s="181"/>
      <c r="L1348" s="181"/>
      <c r="M1348" s="181"/>
      <c r="N1348" s="181"/>
      <c r="O1348" s="181"/>
      <c r="P1348" s="181"/>
      <c r="Q1348" s="181"/>
      <c r="R1348" s="181"/>
      <c r="S1348" s="181"/>
      <c r="T1348" s="181"/>
      <c r="U1348" s="181"/>
      <c r="V1348" s="181"/>
      <c r="W1348" s="181"/>
      <c r="X1348" s="181"/>
      <c r="Y1348" s="181"/>
      <c r="Z1348" s="181"/>
    </row>
    <row r="1349">
      <c r="A1349" s="194"/>
      <c r="B1349" s="195"/>
      <c r="C1349" s="181"/>
      <c r="D1349" s="194"/>
      <c r="E1349" s="194"/>
      <c r="F1349" s="181"/>
      <c r="G1349" s="181"/>
      <c r="H1349" s="181"/>
      <c r="I1349" s="181"/>
      <c r="J1349" s="181"/>
      <c r="K1349" s="181"/>
      <c r="L1349" s="181"/>
      <c r="M1349" s="181"/>
      <c r="N1349" s="181"/>
      <c r="O1349" s="181"/>
      <c r="P1349" s="181"/>
      <c r="Q1349" s="181"/>
      <c r="R1349" s="181"/>
      <c r="S1349" s="181"/>
      <c r="T1349" s="181"/>
      <c r="U1349" s="181"/>
      <c r="V1349" s="181"/>
      <c r="W1349" s="181"/>
      <c r="X1349" s="181"/>
      <c r="Y1349" s="181"/>
      <c r="Z1349" s="181"/>
    </row>
    <row r="1350">
      <c r="A1350" s="194"/>
      <c r="B1350" s="195"/>
      <c r="C1350" s="181"/>
      <c r="D1350" s="194"/>
      <c r="E1350" s="194"/>
      <c r="F1350" s="181"/>
      <c r="G1350" s="181"/>
      <c r="H1350" s="181"/>
      <c r="I1350" s="181"/>
      <c r="J1350" s="181"/>
      <c r="K1350" s="181"/>
      <c r="L1350" s="181"/>
      <c r="M1350" s="181"/>
      <c r="N1350" s="181"/>
      <c r="O1350" s="181"/>
      <c r="P1350" s="181"/>
      <c r="Q1350" s="181"/>
      <c r="R1350" s="181"/>
      <c r="S1350" s="181"/>
      <c r="T1350" s="181"/>
      <c r="U1350" s="181"/>
      <c r="V1350" s="181"/>
      <c r="W1350" s="181"/>
      <c r="X1350" s="181"/>
      <c r="Y1350" s="181"/>
      <c r="Z1350" s="181"/>
    </row>
    <row r="1351">
      <c r="A1351" s="194"/>
      <c r="B1351" s="195"/>
      <c r="C1351" s="181"/>
      <c r="D1351" s="194"/>
      <c r="E1351" s="194"/>
      <c r="F1351" s="181"/>
      <c r="G1351" s="181"/>
      <c r="H1351" s="181"/>
      <c r="I1351" s="181"/>
      <c r="J1351" s="181"/>
      <c r="K1351" s="181"/>
      <c r="L1351" s="181"/>
      <c r="M1351" s="181"/>
      <c r="N1351" s="181"/>
      <c r="O1351" s="181"/>
      <c r="P1351" s="181"/>
      <c r="Q1351" s="181"/>
      <c r="R1351" s="181"/>
      <c r="S1351" s="181"/>
      <c r="T1351" s="181"/>
      <c r="U1351" s="181"/>
      <c r="V1351" s="181"/>
      <c r="W1351" s="181"/>
      <c r="X1351" s="181"/>
      <c r="Y1351" s="181"/>
      <c r="Z1351" s="181"/>
    </row>
    <row r="1352">
      <c r="A1352" s="194"/>
      <c r="B1352" s="195"/>
      <c r="C1352" s="181"/>
      <c r="D1352" s="194"/>
      <c r="E1352" s="194"/>
      <c r="F1352" s="181"/>
      <c r="G1352" s="181"/>
      <c r="H1352" s="181"/>
      <c r="I1352" s="181"/>
      <c r="J1352" s="181"/>
      <c r="K1352" s="181"/>
      <c r="L1352" s="181"/>
      <c r="M1352" s="181"/>
      <c r="N1352" s="181"/>
      <c r="O1352" s="181"/>
      <c r="P1352" s="181"/>
      <c r="Q1352" s="181"/>
      <c r="R1352" s="181"/>
      <c r="S1352" s="181"/>
      <c r="T1352" s="181"/>
      <c r="U1352" s="181"/>
      <c r="V1352" s="181"/>
      <c r="W1352" s="181"/>
      <c r="X1352" s="181"/>
      <c r="Y1352" s="181"/>
      <c r="Z1352" s="181"/>
    </row>
    <row r="1353">
      <c r="A1353" s="194"/>
      <c r="B1353" s="195"/>
      <c r="C1353" s="181"/>
      <c r="D1353" s="194"/>
      <c r="E1353" s="194"/>
      <c r="F1353" s="181"/>
      <c r="G1353" s="181"/>
      <c r="H1353" s="181"/>
      <c r="I1353" s="181"/>
      <c r="J1353" s="181"/>
      <c r="K1353" s="181"/>
      <c r="L1353" s="181"/>
      <c r="M1353" s="181"/>
      <c r="N1353" s="181"/>
      <c r="O1353" s="181"/>
      <c r="P1353" s="181"/>
      <c r="Q1353" s="181"/>
      <c r="R1353" s="181"/>
      <c r="S1353" s="181"/>
      <c r="T1353" s="181"/>
      <c r="U1353" s="181"/>
      <c r="V1353" s="181"/>
      <c r="W1353" s="181"/>
      <c r="X1353" s="181"/>
      <c r="Y1353" s="181"/>
      <c r="Z1353" s="181"/>
    </row>
    <row r="1354">
      <c r="A1354" s="194"/>
      <c r="B1354" s="195"/>
      <c r="C1354" s="181"/>
      <c r="D1354" s="194"/>
      <c r="E1354" s="194"/>
      <c r="F1354" s="181"/>
      <c r="G1354" s="181"/>
      <c r="H1354" s="181"/>
      <c r="I1354" s="181"/>
      <c r="J1354" s="181"/>
      <c r="K1354" s="181"/>
      <c r="L1354" s="181"/>
      <c r="M1354" s="181"/>
      <c r="N1354" s="181"/>
      <c r="O1354" s="181"/>
      <c r="P1354" s="181"/>
      <c r="Q1354" s="181"/>
      <c r="R1354" s="181"/>
      <c r="S1354" s="181"/>
      <c r="T1354" s="181"/>
      <c r="U1354" s="181"/>
      <c r="V1354" s="181"/>
      <c r="W1354" s="181"/>
      <c r="X1354" s="181"/>
      <c r="Y1354" s="181"/>
      <c r="Z1354" s="181"/>
    </row>
    <row r="1355">
      <c r="A1355" s="194"/>
      <c r="B1355" s="195"/>
      <c r="C1355" s="181"/>
      <c r="D1355" s="194"/>
      <c r="E1355" s="194"/>
      <c r="F1355" s="181"/>
      <c r="G1355" s="181"/>
      <c r="H1355" s="181"/>
      <c r="I1355" s="181"/>
      <c r="J1355" s="181"/>
      <c r="K1355" s="181"/>
      <c r="L1355" s="181"/>
      <c r="M1355" s="181"/>
      <c r="N1355" s="181"/>
      <c r="O1355" s="181"/>
      <c r="P1355" s="181"/>
      <c r="Q1355" s="181"/>
      <c r="R1355" s="181"/>
      <c r="S1355" s="181"/>
      <c r="T1355" s="181"/>
      <c r="U1355" s="181"/>
      <c r="V1355" s="181"/>
      <c r="W1355" s="181"/>
      <c r="X1355" s="181"/>
      <c r="Y1355" s="181"/>
      <c r="Z1355" s="181"/>
    </row>
    <row r="1356">
      <c r="A1356" s="194"/>
      <c r="B1356" s="195"/>
      <c r="C1356" s="181"/>
      <c r="D1356" s="194"/>
      <c r="E1356" s="194"/>
      <c r="F1356" s="181"/>
      <c r="G1356" s="181"/>
      <c r="H1356" s="181"/>
      <c r="I1356" s="181"/>
      <c r="J1356" s="181"/>
      <c r="K1356" s="181"/>
      <c r="L1356" s="181"/>
      <c r="M1356" s="181"/>
      <c r="N1356" s="181"/>
      <c r="O1356" s="181"/>
      <c r="P1356" s="181"/>
      <c r="Q1356" s="181"/>
      <c r="R1356" s="181"/>
      <c r="S1356" s="181"/>
      <c r="T1356" s="181"/>
      <c r="U1356" s="181"/>
      <c r="V1356" s="181"/>
      <c r="W1356" s="181"/>
      <c r="X1356" s="181"/>
      <c r="Y1356" s="181"/>
      <c r="Z1356" s="181"/>
    </row>
    <row r="1357">
      <c r="A1357" s="194"/>
      <c r="B1357" s="195"/>
      <c r="C1357" s="181"/>
      <c r="D1357" s="194"/>
      <c r="E1357" s="194"/>
      <c r="F1357" s="181"/>
      <c r="G1357" s="181"/>
      <c r="H1357" s="181"/>
      <c r="I1357" s="181"/>
      <c r="J1357" s="181"/>
      <c r="K1357" s="181"/>
      <c r="L1357" s="181"/>
      <c r="M1357" s="181"/>
      <c r="N1357" s="181"/>
      <c r="O1357" s="181"/>
      <c r="P1357" s="181"/>
      <c r="Q1357" s="181"/>
      <c r="R1357" s="181"/>
      <c r="S1357" s="181"/>
      <c r="T1357" s="181"/>
      <c r="U1357" s="181"/>
      <c r="V1357" s="181"/>
      <c r="W1357" s="181"/>
      <c r="X1357" s="181"/>
      <c r="Y1357" s="181"/>
      <c r="Z1357" s="181"/>
    </row>
    <row r="1358">
      <c r="A1358" s="194"/>
      <c r="B1358" s="195"/>
      <c r="C1358" s="181"/>
      <c r="D1358" s="194"/>
      <c r="E1358" s="194"/>
      <c r="F1358" s="181"/>
      <c r="G1358" s="181"/>
      <c r="H1358" s="181"/>
      <c r="I1358" s="181"/>
      <c r="J1358" s="181"/>
      <c r="K1358" s="181"/>
      <c r="L1358" s="181"/>
      <c r="M1358" s="181"/>
      <c r="N1358" s="181"/>
      <c r="O1358" s="181"/>
      <c r="P1358" s="181"/>
      <c r="Q1358" s="181"/>
      <c r="R1358" s="181"/>
      <c r="S1358" s="181"/>
      <c r="T1358" s="181"/>
      <c r="U1358" s="181"/>
      <c r="V1358" s="181"/>
      <c r="W1358" s="181"/>
      <c r="X1358" s="181"/>
      <c r="Y1358" s="181"/>
      <c r="Z1358" s="181"/>
    </row>
    <row r="1359">
      <c r="A1359" s="194"/>
      <c r="B1359" s="195"/>
      <c r="C1359" s="181"/>
      <c r="D1359" s="194"/>
      <c r="E1359" s="194"/>
      <c r="F1359" s="181"/>
      <c r="G1359" s="181"/>
      <c r="H1359" s="181"/>
      <c r="I1359" s="181"/>
      <c r="J1359" s="181"/>
      <c r="K1359" s="181"/>
      <c r="L1359" s="181"/>
      <c r="M1359" s="181"/>
      <c r="N1359" s="181"/>
      <c r="O1359" s="181"/>
      <c r="P1359" s="181"/>
      <c r="Q1359" s="181"/>
      <c r="R1359" s="181"/>
      <c r="S1359" s="181"/>
      <c r="T1359" s="181"/>
      <c r="U1359" s="181"/>
      <c r="V1359" s="181"/>
      <c r="W1359" s="181"/>
      <c r="X1359" s="181"/>
      <c r="Y1359" s="181"/>
      <c r="Z1359" s="181"/>
    </row>
    <row r="1360">
      <c r="A1360" s="194"/>
      <c r="B1360" s="195"/>
      <c r="C1360" s="181"/>
      <c r="D1360" s="194"/>
      <c r="E1360" s="194"/>
      <c r="F1360" s="181"/>
      <c r="G1360" s="181"/>
      <c r="H1360" s="181"/>
      <c r="I1360" s="181"/>
      <c r="J1360" s="181"/>
      <c r="K1360" s="181"/>
      <c r="L1360" s="181"/>
      <c r="M1360" s="181"/>
      <c r="N1360" s="181"/>
      <c r="O1360" s="181"/>
      <c r="P1360" s="181"/>
      <c r="Q1360" s="181"/>
      <c r="R1360" s="181"/>
      <c r="S1360" s="181"/>
      <c r="T1360" s="181"/>
      <c r="U1360" s="181"/>
      <c r="V1360" s="181"/>
      <c r="W1360" s="181"/>
      <c r="X1360" s="181"/>
      <c r="Y1360" s="181"/>
      <c r="Z1360" s="181"/>
    </row>
    <row r="1361">
      <c r="A1361" s="194"/>
      <c r="B1361" s="195"/>
      <c r="C1361" s="181"/>
      <c r="D1361" s="194"/>
      <c r="E1361" s="194"/>
      <c r="F1361" s="181"/>
      <c r="G1361" s="181"/>
      <c r="H1361" s="181"/>
      <c r="I1361" s="181"/>
      <c r="J1361" s="181"/>
      <c r="K1361" s="181"/>
      <c r="L1361" s="181"/>
      <c r="M1361" s="181"/>
      <c r="N1361" s="181"/>
      <c r="O1361" s="181"/>
      <c r="P1361" s="181"/>
      <c r="Q1361" s="181"/>
      <c r="R1361" s="181"/>
      <c r="S1361" s="181"/>
      <c r="T1361" s="181"/>
      <c r="U1361" s="181"/>
      <c r="V1361" s="181"/>
      <c r="W1361" s="181"/>
      <c r="X1361" s="181"/>
      <c r="Y1361" s="181"/>
      <c r="Z1361" s="181"/>
    </row>
    <row r="1362">
      <c r="A1362" s="194"/>
      <c r="B1362" s="195"/>
      <c r="C1362" s="181"/>
      <c r="D1362" s="194"/>
      <c r="E1362" s="194"/>
      <c r="F1362" s="181"/>
      <c r="G1362" s="181"/>
      <c r="H1362" s="181"/>
      <c r="I1362" s="181"/>
      <c r="J1362" s="181"/>
      <c r="K1362" s="181"/>
      <c r="L1362" s="181"/>
      <c r="M1362" s="181"/>
      <c r="N1362" s="181"/>
      <c r="O1362" s="181"/>
      <c r="P1362" s="181"/>
      <c r="Q1362" s="181"/>
      <c r="R1362" s="181"/>
      <c r="S1362" s="181"/>
      <c r="T1362" s="181"/>
      <c r="U1362" s="181"/>
      <c r="V1362" s="181"/>
      <c r="W1362" s="181"/>
      <c r="X1362" s="181"/>
      <c r="Y1362" s="181"/>
      <c r="Z1362" s="181"/>
    </row>
    <row r="1363">
      <c r="A1363" s="194"/>
      <c r="B1363" s="195"/>
      <c r="C1363" s="181"/>
      <c r="D1363" s="194"/>
      <c r="E1363" s="194"/>
      <c r="F1363" s="181"/>
      <c r="G1363" s="181"/>
      <c r="H1363" s="181"/>
      <c r="I1363" s="181"/>
      <c r="J1363" s="181"/>
      <c r="K1363" s="181"/>
      <c r="L1363" s="181"/>
      <c r="M1363" s="181"/>
      <c r="N1363" s="181"/>
      <c r="O1363" s="181"/>
      <c r="P1363" s="181"/>
      <c r="Q1363" s="181"/>
      <c r="R1363" s="181"/>
      <c r="S1363" s="181"/>
      <c r="T1363" s="181"/>
      <c r="U1363" s="181"/>
      <c r="V1363" s="181"/>
      <c r="W1363" s="181"/>
      <c r="X1363" s="181"/>
      <c r="Y1363" s="181"/>
      <c r="Z1363" s="181"/>
    </row>
    <row r="1364">
      <c r="A1364" s="194"/>
      <c r="B1364" s="195"/>
      <c r="C1364" s="181"/>
      <c r="D1364" s="194"/>
      <c r="E1364" s="194"/>
      <c r="F1364" s="181"/>
      <c r="G1364" s="181"/>
      <c r="H1364" s="181"/>
      <c r="I1364" s="181"/>
      <c r="J1364" s="181"/>
      <c r="K1364" s="181"/>
      <c r="L1364" s="181"/>
      <c r="M1364" s="181"/>
      <c r="N1364" s="181"/>
      <c r="O1364" s="181"/>
      <c r="P1364" s="181"/>
      <c r="Q1364" s="181"/>
      <c r="R1364" s="181"/>
      <c r="S1364" s="181"/>
      <c r="T1364" s="181"/>
      <c r="U1364" s="181"/>
      <c r="V1364" s="181"/>
      <c r="W1364" s="181"/>
      <c r="X1364" s="181"/>
      <c r="Y1364" s="181"/>
      <c r="Z1364" s="181"/>
    </row>
    <row r="1365">
      <c r="A1365" s="194"/>
      <c r="B1365" s="195"/>
      <c r="C1365" s="181"/>
      <c r="D1365" s="194"/>
      <c r="E1365" s="194"/>
      <c r="F1365" s="181"/>
      <c r="G1365" s="181"/>
      <c r="H1365" s="181"/>
      <c r="I1365" s="181"/>
      <c r="J1365" s="181"/>
      <c r="K1365" s="181"/>
      <c r="L1365" s="181"/>
      <c r="M1365" s="181"/>
      <c r="N1365" s="181"/>
      <c r="O1365" s="181"/>
      <c r="P1365" s="181"/>
      <c r="Q1365" s="181"/>
      <c r="R1365" s="181"/>
      <c r="S1365" s="181"/>
      <c r="T1365" s="181"/>
      <c r="U1365" s="181"/>
      <c r="V1365" s="181"/>
      <c r="W1365" s="181"/>
      <c r="X1365" s="181"/>
      <c r="Y1365" s="181"/>
      <c r="Z1365" s="181"/>
    </row>
    <row r="1366">
      <c r="A1366" s="194"/>
      <c r="B1366" s="195"/>
      <c r="C1366" s="181"/>
      <c r="D1366" s="194"/>
      <c r="E1366" s="194"/>
      <c r="F1366" s="181"/>
      <c r="G1366" s="181"/>
      <c r="H1366" s="181"/>
      <c r="I1366" s="181"/>
      <c r="J1366" s="181"/>
      <c r="K1366" s="181"/>
      <c r="L1366" s="181"/>
      <c r="M1366" s="181"/>
      <c r="N1366" s="181"/>
      <c r="O1366" s="181"/>
      <c r="P1366" s="181"/>
      <c r="Q1366" s="181"/>
      <c r="R1366" s="181"/>
      <c r="S1366" s="181"/>
      <c r="T1366" s="181"/>
      <c r="U1366" s="181"/>
      <c r="V1366" s="181"/>
      <c r="W1366" s="181"/>
      <c r="X1366" s="181"/>
      <c r="Y1366" s="181"/>
      <c r="Z1366" s="181"/>
    </row>
    <row r="1367">
      <c r="A1367" s="194"/>
      <c r="B1367" s="195"/>
      <c r="C1367" s="181"/>
      <c r="D1367" s="194"/>
      <c r="E1367" s="194"/>
      <c r="F1367" s="181"/>
      <c r="G1367" s="181"/>
      <c r="H1367" s="181"/>
      <c r="I1367" s="181"/>
      <c r="J1367" s="181"/>
      <c r="K1367" s="181"/>
      <c r="L1367" s="181"/>
      <c r="M1367" s="181"/>
      <c r="N1367" s="181"/>
      <c r="O1367" s="181"/>
      <c r="P1367" s="181"/>
      <c r="Q1367" s="181"/>
      <c r="R1367" s="181"/>
      <c r="S1367" s="181"/>
      <c r="T1367" s="181"/>
      <c r="U1367" s="181"/>
      <c r="V1367" s="181"/>
      <c r="W1367" s="181"/>
      <c r="X1367" s="181"/>
      <c r="Y1367" s="181"/>
      <c r="Z1367" s="181"/>
    </row>
    <row r="1368">
      <c r="A1368" s="194"/>
      <c r="B1368" s="195"/>
      <c r="C1368" s="181"/>
      <c r="D1368" s="194"/>
      <c r="E1368" s="194"/>
      <c r="F1368" s="181"/>
      <c r="G1368" s="181"/>
      <c r="H1368" s="181"/>
      <c r="I1368" s="181"/>
      <c r="J1368" s="181"/>
      <c r="K1368" s="181"/>
      <c r="L1368" s="181"/>
      <c r="M1368" s="181"/>
      <c r="N1368" s="181"/>
      <c r="O1368" s="181"/>
      <c r="P1368" s="181"/>
      <c r="Q1368" s="181"/>
      <c r="R1368" s="181"/>
      <c r="S1368" s="181"/>
      <c r="T1368" s="181"/>
      <c r="U1368" s="181"/>
      <c r="V1368" s="181"/>
      <c r="W1368" s="181"/>
      <c r="X1368" s="181"/>
      <c r="Y1368" s="181"/>
      <c r="Z1368" s="181"/>
    </row>
    <row r="1369">
      <c r="A1369" s="194"/>
      <c r="B1369" s="195"/>
      <c r="C1369" s="181"/>
      <c r="D1369" s="194"/>
      <c r="E1369" s="194"/>
      <c r="F1369" s="181"/>
      <c r="G1369" s="181"/>
      <c r="H1369" s="181"/>
      <c r="I1369" s="181"/>
      <c r="J1369" s="181"/>
      <c r="K1369" s="181"/>
      <c r="L1369" s="181"/>
      <c r="M1369" s="181"/>
      <c r="N1369" s="181"/>
      <c r="O1369" s="181"/>
      <c r="P1369" s="181"/>
      <c r="Q1369" s="181"/>
      <c r="R1369" s="181"/>
      <c r="S1369" s="181"/>
      <c r="T1369" s="181"/>
      <c r="U1369" s="181"/>
      <c r="V1369" s="181"/>
      <c r="W1369" s="181"/>
      <c r="X1369" s="181"/>
      <c r="Y1369" s="181"/>
      <c r="Z1369" s="181"/>
    </row>
    <row r="1370">
      <c r="A1370" s="194"/>
      <c r="B1370" s="195"/>
      <c r="C1370" s="181"/>
      <c r="D1370" s="194"/>
      <c r="E1370" s="194"/>
      <c r="F1370" s="181"/>
      <c r="G1370" s="181"/>
      <c r="H1370" s="181"/>
      <c r="I1370" s="181"/>
      <c r="J1370" s="181"/>
      <c r="K1370" s="181"/>
      <c r="L1370" s="181"/>
      <c r="M1370" s="181"/>
      <c r="N1370" s="181"/>
      <c r="O1370" s="181"/>
      <c r="P1370" s="181"/>
      <c r="Q1370" s="181"/>
      <c r="R1370" s="181"/>
      <c r="S1370" s="181"/>
      <c r="T1370" s="181"/>
      <c r="U1370" s="181"/>
      <c r="V1370" s="181"/>
      <c r="W1370" s="181"/>
      <c r="X1370" s="181"/>
      <c r="Y1370" s="181"/>
      <c r="Z1370" s="181"/>
    </row>
    <row r="1371">
      <c r="A1371" s="194"/>
      <c r="B1371" s="195"/>
      <c r="C1371" s="181"/>
      <c r="D1371" s="194"/>
      <c r="E1371" s="194"/>
      <c r="F1371" s="181"/>
      <c r="G1371" s="181"/>
      <c r="H1371" s="181"/>
      <c r="I1371" s="181"/>
      <c r="J1371" s="181"/>
      <c r="K1371" s="181"/>
      <c r="L1371" s="181"/>
      <c r="M1371" s="181"/>
      <c r="N1371" s="181"/>
      <c r="O1371" s="181"/>
      <c r="P1371" s="181"/>
      <c r="Q1371" s="181"/>
      <c r="R1371" s="181"/>
      <c r="S1371" s="181"/>
      <c r="T1371" s="181"/>
      <c r="U1371" s="181"/>
      <c r="V1371" s="181"/>
      <c r="W1371" s="181"/>
      <c r="X1371" s="181"/>
      <c r="Y1371" s="181"/>
      <c r="Z1371" s="181"/>
    </row>
    <row r="1372">
      <c r="A1372" s="194"/>
      <c r="B1372" s="195"/>
      <c r="C1372" s="181"/>
      <c r="D1372" s="194"/>
      <c r="E1372" s="194"/>
      <c r="F1372" s="181"/>
      <c r="G1372" s="181"/>
      <c r="H1372" s="181"/>
      <c r="I1372" s="181"/>
      <c r="J1372" s="181"/>
      <c r="K1372" s="181"/>
      <c r="L1372" s="181"/>
      <c r="M1372" s="181"/>
      <c r="N1372" s="181"/>
      <c r="O1372" s="181"/>
      <c r="P1372" s="181"/>
      <c r="Q1372" s="181"/>
      <c r="R1372" s="181"/>
      <c r="S1372" s="181"/>
      <c r="T1372" s="181"/>
      <c r="U1372" s="181"/>
      <c r="V1372" s="181"/>
      <c r="W1372" s="181"/>
      <c r="X1372" s="181"/>
      <c r="Y1372" s="181"/>
      <c r="Z1372" s="181"/>
    </row>
    <row r="1373">
      <c r="A1373" s="194"/>
      <c r="B1373" s="195"/>
      <c r="C1373" s="181"/>
      <c r="D1373" s="194"/>
      <c r="E1373" s="194"/>
      <c r="F1373" s="181"/>
      <c r="G1373" s="181"/>
      <c r="H1373" s="181"/>
      <c r="I1373" s="181"/>
      <c r="J1373" s="181"/>
      <c r="K1373" s="181"/>
      <c r="L1373" s="181"/>
      <c r="M1373" s="181"/>
      <c r="N1373" s="181"/>
      <c r="O1373" s="181"/>
      <c r="P1373" s="181"/>
      <c r="Q1373" s="181"/>
      <c r="R1373" s="181"/>
      <c r="S1373" s="181"/>
      <c r="T1373" s="181"/>
      <c r="U1373" s="181"/>
      <c r="V1373" s="181"/>
      <c r="W1373" s="181"/>
      <c r="X1373" s="181"/>
      <c r="Y1373" s="181"/>
      <c r="Z1373" s="181"/>
    </row>
    <row r="1374">
      <c r="A1374" s="194"/>
      <c r="B1374" s="195"/>
      <c r="C1374" s="181"/>
      <c r="D1374" s="194"/>
      <c r="E1374" s="194"/>
      <c r="F1374" s="181"/>
      <c r="G1374" s="181"/>
      <c r="H1374" s="181"/>
      <c r="I1374" s="181"/>
      <c r="J1374" s="181"/>
      <c r="K1374" s="181"/>
      <c r="L1374" s="181"/>
      <c r="M1374" s="181"/>
      <c r="N1374" s="181"/>
      <c r="O1374" s="181"/>
      <c r="P1374" s="181"/>
      <c r="Q1374" s="181"/>
      <c r="R1374" s="181"/>
      <c r="S1374" s="181"/>
      <c r="T1374" s="181"/>
      <c r="U1374" s="181"/>
      <c r="V1374" s="181"/>
      <c r="W1374" s="181"/>
      <c r="X1374" s="181"/>
      <c r="Y1374" s="181"/>
      <c r="Z1374" s="181"/>
    </row>
    <row r="1375">
      <c r="A1375" s="194"/>
      <c r="B1375" s="195"/>
      <c r="C1375" s="181"/>
      <c r="D1375" s="194"/>
      <c r="E1375" s="194"/>
      <c r="F1375" s="181"/>
      <c r="G1375" s="181"/>
      <c r="H1375" s="181"/>
      <c r="I1375" s="181"/>
      <c r="J1375" s="181"/>
      <c r="K1375" s="181"/>
      <c r="L1375" s="181"/>
      <c r="M1375" s="181"/>
      <c r="N1375" s="181"/>
      <c r="O1375" s="181"/>
      <c r="P1375" s="181"/>
      <c r="Q1375" s="181"/>
      <c r="R1375" s="181"/>
      <c r="S1375" s="181"/>
      <c r="T1375" s="181"/>
      <c r="U1375" s="181"/>
      <c r="V1375" s="181"/>
      <c r="W1375" s="181"/>
      <c r="X1375" s="181"/>
      <c r="Y1375" s="181"/>
      <c r="Z1375" s="181"/>
    </row>
    <row r="1376">
      <c r="A1376" s="194"/>
      <c r="B1376" s="195"/>
      <c r="C1376" s="181"/>
      <c r="D1376" s="194"/>
      <c r="E1376" s="194"/>
      <c r="F1376" s="181"/>
      <c r="G1376" s="181"/>
      <c r="H1376" s="181"/>
      <c r="I1376" s="181"/>
      <c r="J1376" s="181"/>
      <c r="K1376" s="181"/>
      <c r="L1376" s="181"/>
      <c r="M1376" s="181"/>
      <c r="N1376" s="181"/>
      <c r="O1376" s="181"/>
      <c r="P1376" s="181"/>
      <c r="Q1376" s="181"/>
      <c r="R1376" s="181"/>
      <c r="S1376" s="181"/>
      <c r="T1376" s="181"/>
      <c r="U1376" s="181"/>
      <c r="V1376" s="181"/>
      <c r="W1376" s="181"/>
      <c r="X1376" s="181"/>
      <c r="Y1376" s="181"/>
      <c r="Z1376" s="181"/>
    </row>
    <row r="1377">
      <c r="A1377" s="194"/>
      <c r="B1377" s="195"/>
      <c r="C1377" s="181"/>
      <c r="D1377" s="194"/>
      <c r="E1377" s="194"/>
      <c r="F1377" s="181"/>
      <c r="G1377" s="181"/>
      <c r="H1377" s="181"/>
      <c r="I1377" s="181"/>
      <c r="J1377" s="181"/>
      <c r="K1377" s="181"/>
      <c r="L1377" s="181"/>
      <c r="M1377" s="181"/>
      <c r="N1377" s="181"/>
      <c r="O1377" s="181"/>
      <c r="P1377" s="181"/>
      <c r="Q1377" s="181"/>
      <c r="R1377" s="181"/>
      <c r="S1377" s="181"/>
      <c r="T1377" s="181"/>
      <c r="U1377" s="181"/>
      <c r="V1377" s="181"/>
      <c r="W1377" s="181"/>
      <c r="X1377" s="181"/>
      <c r="Y1377" s="181"/>
      <c r="Z1377" s="181"/>
    </row>
    <row r="1378">
      <c r="A1378" s="194"/>
      <c r="B1378" s="195"/>
      <c r="C1378" s="181"/>
      <c r="D1378" s="194"/>
      <c r="E1378" s="194"/>
      <c r="F1378" s="181"/>
      <c r="G1378" s="181"/>
      <c r="H1378" s="181"/>
      <c r="I1378" s="181"/>
      <c r="J1378" s="181"/>
      <c r="K1378" s="181"/>
      <c r="L1378" s="181"/>
      <c r="M1378" s="181"/>
      <c r="N1378" s="181"/>
      <c r="O1378" s="181"/>
      <c r="P1378" s="181"/>
      <c r="Q1378" s="181"/>
      <c r="R1378" s="181"/>
      <c r="S1378" s="181"/>
      <c r="T1378" s="181"/>
      <c r="U1378" s="181"/>
      <c r="V1378" s="181"/>
      <c r="W1378" s="181"/>
      <c r="X1378" s="181"/>
      <c r="Y1378" s="181"/>
      <c r="Z1378" s="181"/>
    </row>
    <row r="1379">
      <c r="A1379" s="194"/>
      <c r="B1379" s="195"/>
      <c r="C1379" s="181"/>
      <c r="D1379" s="194"/>
      <c r="E1379" s="194"/>
      <c r="F1379" s="181"/>
      <c r="G1379" s="181"/>
      <c r="H1379" s="181"/>
      <c r="I1379" s="181"/>
      <c r="J1379" s="181"/>
      <c r="K1379" s="181"/>
      <c r="L1379" s="181"/>
      <c r="M1379" s="181"/>
      <c r="N1379" s="181"/>
      <c r="O1379" s="181"/>
      <c r="P1379" s="181"/>
      <c r="Q1379" s="181"/>
      <c r="R1379" s="181"/>
      <c r="S1379" s="181"/>
      <c r="T1379" s="181"/>
      <c r="U1379" s="181"/>
      <c r="V1379" s="181"/>
      <c r="W1379" s="181"/>
      <c r="X1379" s="181"/>
      <c r="Y1379" s="181"/>
      <c r="Z1379" s="181"/>
    </row>
    <row r="1380">
      <c r="A1380" s="194"/>
      <c r="B1380" s="195"/>
      <c r="C1380" s="181"/>
      <c r="D1380" s="194"/>
      <c r="E1380" s="194"/>
      <c r="F1380" s="181"/>
      <c r="G1380" s="181"/>
      <c r="H1380" s="181"/>
      <c r="I1380" s="181"/>
      <c r="J1380" s="181"/>
      <c r="K1380" s="181"/>
      <c r="L1380" s="181"/>
      <c r="M1380" s="181"/>
      <c r="N1380" s="181"/>
      <c r="O1380" s="181"/>
      <c r="P1380" s="181"/>
      <c r="Q1380" s="181"/>
      <c r="R1380" s="181"/>
      <c r="S1380" s="181"/>
      <c r="T1380" s="181"/>
      <c r="U1380" s="181"/>
      <c r="V1380" s="181"/>
      <c r="W1380" s="181"/>
      <c r="X1380" s="181"/>
      <c r="Y1380" s="181"/>
      <c r="Z1380" s="181"/>
    </row>
    <row r="1381">
      <c r="A1381" s="194"/>
      <c r="B1381" s="195"/>
      <c r="C1381" s="181"/>
      <c r="D1381" s="194"/>
      <c r="E1381" s="194"/>
      <c r="F1381" s="181"/>
      <c r="G1381" s="181"/>
      <c r="H1381" s="181"/>
      <c r="I1381" s="181"/>
      <c r="J1381" s="181"/>
      <c r="K1381" s="181"/>
      <c r="L1381" s="181"/>
      <c r="M1381" s="181"/>
      <c r="N1381" s="181"/>
      <c r="O1381" s="181"/>
      <c r="P1381" s="181"/>
      <c r="Q1381" s="181"/>
      <c r="R1381" s="181"/>
      <c r="S1381" s="181"/>
      <c r="T1381" s="181"/>
      <c r="U1381" s="181"/>
      <c r="V1381" s="181"/>
      <c r="W1381" s="181"/>
      <c r="X1381" s="181"/>
      <c r="Y1381" s="181"/>
      <c r="Z1381" s="181"/>
    </row>
    <row r="1382">
      <c r="A1382" s="194"/>
      <c r="B1382" s="195"/>
      <c r="C1382" s="181"/>
      <c r="D1382" s="194"/>
      <c r="E1382" s="194"/>
      <c r="F1382" s="181"/>
      <c r="G1382" s="181"/>
      <c r="H1382" s="181"/>
      <c r="I1382" s="181"/>
      <c r="J1382" s="181"/>
      <c r="K1382" s="181"/>
      <c r="L1382" s="181"/>
      <c r="M1382" s="181"/>
      <c r="N1382" s="181"/>
      <c r="O1382" s="181"/>
      <c r="P1382" s="181"/>
      <c r="Q1382" s="181"/>
      <c r="R1382" s="181"/>
      <c r="S1382" s="181"/>
      <c r="T1382" s="181"/>
      <c r="U1382" s="181"/>
      <c r="V1382" s="181"/>
      <c r="W1382" s="181"/>
      <c r="X1382" s="181"/>
      <c r="Y1382" s="181"/>
      <c r="Z1382" s="181"/>
    </row>
    <row r="1383">
      <c r="A1383" s="194"/>
      <c r="B1383" s="195"/>
      <c r="C1383" s="181"/>
      <c r="D1383" s="194"/>
      <c r="E1383" s="194"/>
      <c r="F1383" s="181"/>
      <c r="G1383" s="181"/>
      <c r="H1383" s="181"/>
      <c r="I1383" s="181"/>
      <c r="J1383" s="181"/>
      <c r="K1383" s="181"/>
      <c r="L1383" s="181"/>
      <c r="M1383" s="181"/>
      <c r="N1383" s="181"/>
      <c r="O1383" s="181"/>
      <c r="P1383" s="181"/>
      <c r="Q1383" s="181"/>
      <c r="R1383" s="181"/>
      <c r="S1383" s="181"/>
      <c r="T1383" s="181"/>
      <c r="U1383" s="181"/>
      <c r="V1383" s="181"/>
      <c r="W1383" s="181"/>
      <c r="X1383" s="181"/>
      <c r="Y1383" s="181"/>
      <c r="Z1383" s="181"/>
    </row>
    <row r="1384">
      <c r="A1384" s="194"/>
      <c r="B1384" s="195"/>
      <c r="C1384" s="181"/>
      <c r="D1384" s="194"/>
      <c r="E1384" s="194"/>
      <c r="F1384" s="181"/>
      <c r="G1384" s="181"/>
      <c r="H1384" s="181"/>
      <c r="I1384" s="181"/>
      <c r="J1384" s="181"/>
      <c r="K1384" s="181"/>
      <c r="L1384" s="181"/>
      <c r="M1384" s="181"/>
      <c r="N1384" s="181"/>
      <c r="O1384" s="181"/>
      <c r="P1384" s="181"/>
      <c r="Q1384" s="181"/>
      <c r="R1384" s="181"/>
      <c r="S1384" s="181"/>
      <c r="T1384" s="181"/>
      <c r="U1384" s="181"/>
      <c r="V1384" s="181"/>
      <c r="W1384" s="181"/>
      <c r="X1384" s="181"/>
      <c r="Y1384" s="181"/>
      <c r="Z1384" s="181"/>
    </row>
    <row r="1385">
      <c r="A1385" s="194"/>
      <c r="B1385" s="195"/>
      <c r="C1385" s="181"/>
      <c r="D1385" s="194"/>
      <c r="E1385" s="194"/>
      <c r="F1385" s="181"/>
      <c r="G1385" s="181"/>
      <c r="H1385" s="181"/>
      <c r="I1385" s="181"/>
      <c r="J1385" s="181"/>
      <c r="K1385" s="181"/>
      <c r="L1385" s="181"/>
      <c r="M1385" s="181"/>
      <c r="N1385" s="181"/>
      <c r="O1385" s="181"/>
      <c r="P1385" s="181"/>
      <c r="Q1385" s="181"/>
      <c r="R1385" s="181"/>
      <c r="S1385" s="181"/>
      <c r="T1385" s="181"/>
      <c r="U1385" s="181"/>
      <c r="V1385" s="181"/>
      <c r="W1385" s="181"/>
      <c r="X1385" s="181"/>
      <c r="Y1385" s="181"/>
      <c r="Z1385" s="181"/>
    </row>
    <row r="1386">
      <c r="A1386" s="194"/>
      <c r="B1386" s="195"/>
      <c r="C1386" s="181"/>
      <c r="D1386" s="194"/>
      <c r="E1386" s="194"/>
      <c r="F1386" s="181"/>
      <c r="G1386" s="181"/>
      <c r="H1386" s="181"/>
      <c r="I1386" s="181"/>
      <c r="J1386" s="181"/>
      <c r="K1386" s="181"/>
      <c r="L1386" s="181"/>
      <c r="M1386" s="181"/>
      <c r="N1386" s="181"/>
      <c r="O1386" s="181"/>
      <c r="P1386" s="181"/>
      <c r="Q1386" s="181"/>
      <c r="R1386" s="181"/>
      <c r="S1386" s="181"/>
      <c r="T1386" s="181"/>
      <c r="U1386" s="181"/>
      <c r="V1386" s="181"/>
      <c r="W1386" s="181"/>
      <c r="X1386" s="181"/>
      <c r="Y1386" s="181"/>
      <c r="Z1386" s="181"/>
    </row>
    <row r="1387">
      <c r="A1387" s="194"/>
      <c r="B1387" s="195"/>
      <c r="C1387" s="181"/>
      <c r="D1387" s="194"/>
      <c r="E1387" s="194"/>
      <c r="F1387" s="181"/>
      <c r="G1387" s="181"/>
      <c r="H1387" s="181"/>
      <c r="I1387" s="181"/>
      <c r="J1387" s="181"/>
      <c r="K1387" s="181"/>
      <c r="L1387" s="181"/>
      <c r="M1387" s="181"/>
      <c r="N1387" s="181"/>
      <c r="O1387" s="181"/>
      <c r="P1387" s="181"/>
      <c r="Q1387" s="181"/>
      <c r="R1387" s="181"/>
      <c r="S1387" s="181"/>
      <c r="T1387" s="181"/>
      <c r="U1387" s="181"/>
      <c r="V1387" s="181"/>
      <c r="W1387" s="181"/>
      <c r="X1387" s="181"/>
      <c r="Y1387" s="181"/>
      <c r="Z1387" s="181"/>
    </row>
    <row r="1388">
      <c r="A1388" s="194"/>
      <c r="B1388" s="195"/>
      <c r="C1388" s="181"/>
      <c r="D1388" s="194"/>
      <c r="E1388" s="194"/>
      <c r="F1388" s="181"/>
      <c r="G1388" s="181"/>
      <c r="H1388" s="181"/>
      <c r="I1388" s="181"/>
      <c r="J1388" s="181"/>
      <c r="K1388" s="181"/>
      <c r="L1388" s="181"/>
      <c r="M1388" s="181"/>
      <c r="N1388" s="181"/>
      <c r="O1388" s="181"/>
      <c r="P1388" s="181"/>
      <c r="Q1388" s="181"/>
      <c r="R1388" s="181"/>
      <c r="S1388" s="181"/>
      <c r="T1388" s="181"/>
      <c r="U1388" s="181"/>
      <c r="V1388" s="181"/>
      <c r="W1388" s="181"/>
      <c r="X1388" s="181"/>
      <c r="Y1388" s="181"/>
      <c r="Z1388" s="181"/>
    </row>
    <row r="1389">
      <c r="A1389" s="194"/>
      <c r="B1389" s="195"/>
      <c r="C1389" s="181"/>
      <c r="D1389" s="194"/>
      <c r="E1389" s="194"/>
      <c r="F1389" s="181"/>
      <c r="G1389" s="181"/>
      <c r="H1389" s="181"/>
      <c r="I1389" s="181"/>
      <c r="J1389" s="181"/>
      <c r="K1389" s="181"/>
      <c r="L1389" s="181"/>
      <c r="M1389" s="181"/>
      <c r="N1389" s="181"/>
      <c r="O1389" s="181"/>
      <c r="P1389" s="181"/>
      <c r="Q1389" s="181"/>
      <c r="R1389" s="181"/>
      <c r="S1389" s="181"/>
      <c r="T1389" s="181"/>
      <c r="U1389" s="181"/>
      <c r="V1389" s="181"/>
      <c r="W1389" s="181"/>
      <c r="X1389" s="181"/>
      <c r="Y1389" s="181"/>
      <c r="Z1389" s="181"/>
    </row>
    <row r="1390">
      <c r="A1390" s="194"/>
      <c r="B1390" s="195"/>
      <c r="C1390" s="181"/>
      <c r="D1390" s="194"/>
      <c r="E1390" s="194"/>
      <c r="F1390" s="181"/>
      <c r="G1390" s="181"/>
      <c r="H1390" s="181"/>
      <c r="I1390" s="181"/>
      <c r="J1390" s="181"/>
      <c r="K1390" s="181"/>
      <c r="L1390" s="181"/>
      <c r="M1390" s="181"/>
      <c r="N1390" s="181"/>
      <c r="O1390" s="181"/>
      <c r="P1390" s="181"/>
      <c r="Q1390" s="181"/>
      <c r="R1390" s="181"/>
      <c r="S1390" s="181"/>
      <c r="T1390" s="181"/>
      <c r="U1390" s="181"/>
      <c r="V1390" s="181"/>
      <c r="W1390" s="181"/>
      <c r="X1390" s="181"/>
      <c r="Y1390" s="181"/>
      <c r="Z1390" s="181"/>
    </row>
    <row r="1391">
      <c r="A1391" s="194"/>
      <c r="B1391" s="195"/>
      <c r="C1391" s="181"/>
      <c r="D1391" s="194"/>
      <c r="E1391" s="194"/>
      <c r="F1391" s="181"/>
      <c r="G1391" s="181"/>
      <c r="H1391" s="181"/>
      <c r="I1391" s="181"/>
      <c r="J1391" s="181"/>
      <c r="K1391" s="181"/>
      <c r="L1391" s="181"/>
      <c r="M1391" s="181"/>
      <c r="N1391" s="181"/>
      <c r="O1391" s="181"/>
      <c r="P1391" s="181"/>
      <c r="Q1391" s="181"/>
      <c r="R1391" s="181"/>
      <c r="S1391" s="181"/>
      <c r="T1391" s="181"/>
      <c r="U1391" s="181"/>
      <c r="V1391" s="181"/>
      <c r="W1391" s="181"/>
      <c r="X1391" s="181"/>
      <c r="Y1391" s="181"/>
      <c r="Z1391" s="181"/>
    </row>
    <row r="1392">
      <c r="A1392" s="194"/>
      <c r="B1392" s="195"/>
      <c r="C1392" s="181"/>
      <c r="D1392" s="194"/>
      <c r="E1392" s="194"/>
      <c r="F1392" s="181"/>
      <c r="G1392" s="181"/>
      <c r="H1392" s="181"/>
      <c r="I1392" s="181"/>
      <c r="J1392" s="181"/>
      <c r="K1392" s="181"/>
      <c r="L1392" s="181"/>
      <c r="M1392" s="181"/>
      <c r="N1392" s="181"/>
      <c r="O1392" s="181"/>
      <c r="P1392" s="181"/>
      <c r="Q1392" s="181"/>
      <c r="R1392" s="181"/>
      <c r="S1392" s="181"/>
      <c r="T1392" s="181"/>
      <c r="U1392" s="181"/>
      <c r="V1392" s="181"/>
      <c r="W1392" s="181"/>
      <c r="X1392" s="181"/>
      <c r="Y1392" s="181"/>
      <c r="Z1392" s="181"/>
    </row>
    <row r="1393">
      <c r="A1393" s="194"/>
      <c r="B1393" s="195"/>
      <c r="C1393" s="181"/>
      <c r="D1393" s="194"/>
      <c r="E1393" s="194"/>
      <c r="F1393" s="181"/>
      <c r="G1393" s="181"/>
      <c r="H1393" s="181"/>
      <c r="I1393" s="181"/>
      <c r="J1393" s="181"/>
      <c r="K1393" s="181"/>
      <c r="L1393" s="181"/>
      <c r="M1393" s="181"/>
      <c r="N1393" s="181"/>
      <c r="O1393" s="181"/>
      <c r="P1393" s="181"/>
      <c r="Q1393" s="181"/>
      <c r="R1393" s="181"/>
      <c r="S1393" s="181"/>
      <c r="T1393" s="181"/>
      <c r="U1393" s="181"/>
      <c r="V1393" s="181"/>
      <c r="W1393" s="181"/>
      <c r="X1393" s="181"/>
      <c r="Y1393" s="181"/>
      <c r="Z1393" s="181"/>
    </row>
    <row r="1394">
      <c r="A1394" s="194"/>
      <c r="B1394" s="195"/>
      <c r="C1394" s="181"/>
      <c r="D1394" s="194"/>
      <c r="E1394" s="194"/>
      <c r="F1394" s="181"/>
      <c r="G1394" s="181"/>
      <c r="H1394" s="181"/>
      <c r="I1394" s="181"/>
      <c r="J1394" s="181"/>
      <c r="K1394" s="181"/>
      <c r="L1394" s="181"/>
      <c r="M1394" s="181"/>
      <c r="N1394" s="181"/>
      <c r="O1394" s="181"/>
      <c r="P1394" s="181"/>
      <c r="Q1394" s="181"/>
      <c r="R1394" s="181"/>
      <c r="S1394" s="181"/>
      <c r="T1394" s="181"/>
      <c r="U1394" s="181"/>
      <c r="V1394" s="181"/>
      <c r="W1394" s="181"/>
      <c r="X1394" s="181"/>
      <c r="Y1394" s="181"/>
      <c r="Z1394" s="181"/>
    </row>
    <row r="1395">
      <c r="A1395" s="194"/>
      <c r="B1395" s="195"/>
      <c r="C1395" s="181"/>
      <c r="D1395" s="194"/>
      <c r="E1395" s="194"/>
      <c r="F1395" s="181"/>
      <c r="G1395" s="181"/>
      <c r="H1395" s="181"/>
      <c r="I1395" s="181"/>
      <c r="J1395" s="181"/>
      <c r="K1395" s="181"/>
      <c r="L1395" s="181"/>
      <c r="M1395" s="181"/>
      <c r="N1395" s="181"/>
      <c r="O1395" s="181"/>
      <c r="P1395" s="181"/>
      <c r="Q1395" s="181"/>
      <c r="R1395" s="181"/>
      <c r="S1395" s="181"/>
      <c r="T1395" s="181"/>
      <c r="U1395" s="181"/>
      <c r="V1395" s="181"/>
      <c r="W1395" s="181"/>
      <c r="X1395" s="181"/>
      <c r="Y1395" s="181"/>
      <c r="Z1395" s="181"/>
    </row>
    <row r="1396">
      <c r="A1396" s="194"/>
      <c r="B1396" s="195"/>
      <c r="C1396" s="181"/>
      <c r="D1396" s="194"/>
      <c r="E1396" s="194"/>
      <c r="F1396" s="181"/>
      <c r="G1396" s="181"/>
      <c r="H1396" s="181"/>
      <c r="I1396" s="181"/>
      <c r="J1396" s="181"/>
      <c r="K1396" s="181"/>
      <c r="L1396" s="181"/>
      <c r="M1396" s="181"/>
      <c r="N1396" s="181"/>
      <c r="O1396" s="181"/>
      <c r="P1396" s="181"/>
      <c r="Q1396" s="181"/>
      <c r="R1396" s="181"/>
      <c r="S1396" s="181"/>
      <c r="T1396" s="181"/>
      <c r="U1396" s="181"/>
      <c r="V1396" s="181"/>
      <c r="W1396" s="181"/>
      <c r="X1396" s="181"/>
      <c r="Y1396" s="181"/>
      <c r="Z1396" s="181"/>
    </row>
    <row r="1397">
      <c r="A1397" s="194"/>
      <c r="B1397" s="195"/>
      <c r="C1397" s="181"/>
      <c r="D1397" s="194"/>
      <c r="E1397" s="194"/>
      <c r="F1397" s="181"/>
      <c r="G1397" s="181"/>
      <c r="H1397" s="181"/>
      <c r="I1397" s="181"/>
      <c r="J1397" s="181"/>
      <c r="K1397" s="181"/>
      <c r="L1397" s="181"/>
      <c r="M1397" s="181"/>
      <c r="N1397" s="181"/>
      <c r="O1397" s="181"/>
      <c r="P1397" s="181"/>
      <c r="Q1397" s="181"/>
      <c r="R1397" s="181"/>
      <c r="S1397" s="181"/>
      <c r="T1397" s="181"/>
      <c r="U1397" s="181"/>
      <c r="V1397" s="181"/>
      <c r="W1397" s="181"/>
      <c r="X1397" s="181"/>
      <c r="Y1397" s="181"/>
      <c r="Z1397" s="181"/>
    </row>
    <row r="1398">
      <c r="A1398" s="194"/>
      <c r="B1398" s="195"/>
      <c r="C1398" s="181"/>
      <c r="D1398" s="194"/>
      <c r="E1398" s="194"/>
      <c r="F1398" s="181"/>
      <c r="G1398" s="181"/>
      <c r="H1398" s="181"/>
      <c r="I1398" s="181"/>
      <c r="J1398" s="181"/>
      <c r="K1398" s="181"/>
      <c r="L1398" s="181"/>
      <c r="M1398" s="181"/>
      <c r="N1398" s="181"/>
      <c r="O1398" s="181"/>
      <c r="P1398" s="181"/>
      <c r="Q1398" s="181"/>
      <c r="R1398" s="181"/>
      <c r="S1398" s="181"/>
      <c r="T1398" s="181"/>
      <c r="U1398" s="181"/>
      <c r="V1398" s="181"/>
      <c r="W1398" s="181"/>
      <c r="X1398" s="181"/>
      <c r="Y1398" s="181"/>
      <c r="Z1398" s="181"/>
    </row>
    <row r="1399">
      <c r="A1399" s="194"/>
      <c r="B1399" s="195"/>
      <c r="C1399" s="181"/>
      <c r="D1399" s="194"/>
      <c r="E1399" s="194"/>
      <c r="F1399" s="181"/>
      <c r="G1399" s="181"/>
      <c r="H1399" s="181"/>
      <c r="I1399" s="181"/>
      <c r="J1399" s="181"/>
      <c r="K1399" s="181"/>
      <c r="L1399" s="181"/>
      <c r="M1399" s="181"/>
      <c r="N1399" s="181"/>
      <c r="O1399" s="181"/>
      <c r="P1399" s="181"/>
      <c r="Q1399" s="181"/>
      <c r="R1399" s="181"/>
      <c r="S1399" s="181"/>
      <c r="T1399" s="181"/>
      <c r="U1399" s="181"/>
      <c r="V1399" s="181"/>
      <c r="W1399" s="181"/>
      <c r="X1399" s="181"/>
      <c r="Y1399" s="181"/>
      <c r="Z1399" s="181"/>
    </row>
    <row r="1400">
      <c r="A1400" s="194"/>
      <c r="B1400" s="195"/>
      <c r="C1400" s="181"/>
      <c r="D1400" s="194"/>
      <c r="E1400" s="194"/>
      <c r="F1400" s="181"/>
      <c r="G1400" s="181"/>
      <c r="H1400" s="181"/>
      <c r="I1400" s="181"/>
      <c r="J1400" s="181"/>
      <c r="K1400" s="181"/>
      <c r="L1400" s="181"/>
      <c r="M1400" s="181"/>
      <c r="N1400" s="181"/>
      <c r="O1400" s="181"/>
      <c r="P1400" s="181"/>
      <c r="Q1400" s="181"/>
      <c r="R1400" s="181"/>
      <c r="S1400" s="181"/>
      <c r="T1400" s="181"/>
      <c r="U1400" s="181"/>
      <c r="V1400" s="181"/>
      <c r="W1400" s="181"/>
      <c r="X1400" s="181"/>
      <c r="Y1400" s="181"/>
      <c r="Z1400" s="181"/>
    </row>
    <row r="1401">
      <c r="A1401" s="194"/>
      <c r="B1401" s="195"/>
      <c r="C1401" s="181"/>
      <c r="D1401" s="194"/>
      <c r="E1401" s="194"/>
      <c r="F1401" s="181"/>
      <c r="G1401" s="181"/>
      <c r="H1401" s="181"/>
      <c r="I1401" s="181"/>
      <c r="J1401" s="181"/>
      <c r="K1401" s="181"/>
      <c r="L1401" s="181"/>
      <c r="M1401" s="181"/>
      <c r="N1401" s="181"/>
      <c r="O1401" s="181"/>
      <c r="P1401" s="181"/>
      <c r="Q1401" s="181"/>
      <c r="R1401" s="181"/>
      <c r="S1401" s="181"/>
      <c r="T1401" s="181"/>
      <c r="U1401" s="181"/>
      <c r="V1401" s="181"/>
      <c r="W1401" s="181"/>
      <c r="X1401" s="181"/>
      <c r="Y1401" s="181"/>
      <c r="Z1401" s="181"/>
    </row>
    <row r="1402">
      <c r="A1402" s="194"/>
      <c r="B1402" s="195"/>
      <c r="C1402" s="181"/>
      <c r="D1402" s="194"/>
      <c r="E1402" s="194"/>
      <c r="F1402" s="181"/>
      <c r="G1402" s="181"/>
      <c r="H1402" s="181"/>
      <c r="I1402" s="181"/>
      <c r="J1402" s="181"/>
      <c r="K1402" s="181"/>
      <c r="L1402" s="181"/>
      <c r="M1402" s="181"/>
      <c r="N1402" s="181"/>
      <c r="O1402" s="181"/>
      <c r="P1402" s="181"/>
      <c r="Q1402" s="181"/>
      <c r="R1402" s="181"/>
      <c r="S1402" s="181"/>
      <c r="T1402" s="181"/>
      <c r="U1402" s="181"/>
      <c r="V1402" s="181"/>
      <c r="W1402" s="181"/>
      <c r="X1402" s="181"/>
      <c r="Y1402" s="181"/>
      <c r="Z1402" s="181"/>
    </row>
    <row r="1403">
      <c r="A1403" s="194"/>
      <c r="B1403" s="195"/>
      <c r="C1403" s="181"/>
      <c r="D1403" s="194"/>
      <c r="E1403" s="194"/>
      <c r="F1403" s="181"/>
      <c r="G1403" s="181"/>
      <c r="H1403" s="181"/>
      <c r="I1403" s="181"/>
      <c r="J1403" s="181"/>
      <c r="K1403" s="181"/>
      <c r="L1403" s="181"/>
      <c r="M1403" s="181"/>
      <c r="N1403" s="181"/>
      <c r="O1403" s="181"/>
      <c r="P1403" s="181"/>
      <c r="Q1403" s="181"/>
      <c r="R1403" s="181"/>
      <c r="S1403" s="181"/>
      <c r="T1403" s="181"/>
      <c r="U1403" s="181"/>
      <c r="V1403" s="181"/>
      <c r="W1403" s="181"/>
      <c r="X1403" s="181"/>
      <c r="Y1403" s="181"/>
      <c r="Z1403" s="181"/>
    </row>
    <row r="1404">
      <c r="A1404" s="194"/>
      <c r="B1404" s="195"/>
      <c r="C1404" s="181"/>
      <c r="D1404" s="194"/>
      <c r="E1404" s="194"/>
      <c r="F1404" s="181"/>
      <c r="G1404" s="181"/>
      <c r="H1404" s="181"/>
      <c r="I1404" s="181"/>
      <c r="J1404" s="181"/>
      <c r="K1404" s="181"/>
      <c r="L1404" s="181"/>
      <c r="M1404" s="181"/>
      <c r="N1404" s="181"/>
      <c r="O1404" s="181"/>
      <c r="P1404" s="181"/>
      <c r="Q1404" s="181"/>
      <c r="R1404" s="181"/>
      <c r="S1404" s="181"/>
      <c r="T1404" s="181"/>
      <c r="U1404" s="181"/>
      <c r="V1404" s="181"/>
      <c r="W1404" s="181"/>
      <c r="X1404" s="181"/>
      <c r="Y1404" s="181"/>
      <c r="Z1404" s="181"/>
    </row>
    <row r="1405">
      <c r="A1405" s="194"/>
      <c r="B1405" s="195"/>
      <c r="C1405" s="181"/>
      <c r="D1405" s="194"/>
      <c r="E1405" s="194"/>
      <c r="F1405" s="181"/>
      <c r="G1405" s="181"/>
      <c r="H1405" s="181"/>
      <c r="I1405" s="181"/>
      <c r="J1405" s="181"/>
      <c r="K1405" s="181"/>
      <c r="L1405" s="181"/>
      <c r="M1405" s="181"/>
      <c r="N1405" s="181"/>
      <c r="O1405" s="181"/>
      <c r="P1405" s="181"/>
      <c r="Q1405" s="181"/>
      <c r="R1405" s="181"/>
      <c r="S1405" s="181"/>
      <c r="T1405" s="181"/>
      <c r="U1405" s="181"/>
      <c r="V1405" s="181"/>
      <c r="W1405" s="181"/>
      <c r="X1405" s="181"/>
      <c r="Y1405" s="181"/>
      <c r="Z1405" s="181"/>
    </row>
    <row r="1406">
      <c r="A1406" s="194"/>
      <c r="B1406" s="195"/>
      <c r="C1406" s="181"/>
      <c r="D1406" s="194"/>
      <c r="E1406" s="194"/>
      <c r="F1406" s="181"/>
      <c r="G1406" s="181"/>
      <c r="H1406" s="181"/>
      <c r="I1406" s="181"/>
      <c r="J1406" s="181"/>
      <c r="K1406" s="181"/>
      <c r="L1406" s="181"/>
      <c r="M1406" s="181"/>
      <c r="N1406" s="181"/>
      <c r="O1406" s="181"/>
      <c r="P1406" s="181"/>
      <c r="Q1406" s="181"/>
      <c r="R1406" s="181"/>
      <c r="S1406" s="181"/>
      <c r="T1406" s="181"/>
      <c r="U1406" s="181"/>
      <c r="V1406" s="181"/>
      <c r="W1406" s="181"/>
      <c r="X1406" s="181"/>
      <c r="Y1406" s="181"/>
      <c r="Z1406" s="181"/>
    </row>
    <row r="1407">
      <c r="A1407" s="194"/>
      <c r="B1407" s="195"/>
      <c r="C1407" s="181"/>
      <c r="D1407" s="194"/>
      <c r="E1407" s="194"/>
      <c r="F1407" s="181"/>
      <c r="G1407" s="181"/>
      <c r="H1407" s="181"/>
      <c r="I1407" s="181"/>
      <c r="J1407" s="181"/>
      <c r="K1407" s="181"/>
      <c r="L1407" s="181"/>
      <c r="M1407" s="181"/>
      <c r="N1407" s="181"/>
      <c r="O1407" s="181"/>
      <c r="P1407" s="181"/>
      <c r="Q1407" s="181"/>
      <c r="R1407" s="181"/>
      <c r="S1407" s="181"/>
      <c r="T1407" s="181"/>
      <c r="U1407" s="181"/>
      <c r="V1407" s="181"/>
      <c r="W1407" s="181"/>
      <c r="X1407" s="181"/>
      <c r="Y1407" s="181"/>
      <c r="Z1407" s="181"/>
    </row>
    <row r="1408">
      <c r="A1408" s="194"/>
      <c r="B1408" s="195"/>
      <c r="C1408" s="181"/>
      <c r="D1408" s="194"/>
      <c r="E1408" s="194"/>
      <c r="F1408" s="181"/>
      <c r="G1408" s="181"/>
      <c r="H1408" s="181"/>
      <c r="I1408" s="181"/>
      <c r="J1408" s="181"/>
      <c r="K1408" s="181"/>
      <c r="L1408" s="181"/>
      <c r="M1408" s="181"/>
      <c r="N1408" s="181"/>
      <c r="O1408" s="181"/>
      <c r="P1408" s="181"/>
      <c r="Q1408" s="181"/>
      <c r="R1408" s="181"/>
      <c r="S1408" s="181"/>
      <c r="T1408" s="181"/>
      <c r="U1408" s="181"/>
      <c r="V1408" s="181"/>
      <c r="W1408" s="181"/>
      <c r="X1408" s="181"/>
      <c r="Y1408" s="181"/>
      <c r="Z1408" s="181"/>
    </row>
    <row r="1409">
      <c r="A1409" s="194"/>
      <c r="B1409" s="195"/>
      <c r="C1409" s="181"/>
      <c r="D1409" s="194"/>
      <c r="E1409" s="194"/>
      <c r="F1409" s="181"/>
      <c r="G1409" s="181"/>
      <c r="H1409" s="181"/>
      <c r="I1409" s="181"/>
      <c r="J1409" s="181"/>
      <c r="K1409" s="181"/>
      <c r="L1409" s="181"/>
      <c r="M1409" s="181"/>
      <c r="N1409" s="181"/>
      <c r="O1409" s="181"/>
      <c r="P1409" s="181"/>
      <c r="Q1409" s="181"/>
      <c r="R1409" s="181"/>
      <c r="S1409" s="181"/>
      <c r="T1409" s="181"/>
      <c r="U1409" s="181"/>
      <c r="V1409" s="181"/>
      <c r="W1409" s="181"/>
      <c r="X1409" s="181"/>
      <c r="Y1409" s="181"/>
      <c r="Z1409" s="181"/>
    </row>
    <row r="1410">
      <c r="A1410" s="194"/>
      <c r="B1410" s="195"/>
      <c r="C1410" s="181"/>
      <c r="D1410" s="194"/>
      <c r="E1410" s="194"/>
      <c r="F1410" s="181"/>
      <c r="G1410" s="181"/>
      <c r="H1410" s="181"/>
      <c r="I1410" s="181"/>
      <c r="J1410" s="181"/>
      <c r="K1410" s="181"/>
      <c r="L1410" s="181"/>
      <c r="M1410" s="181"/>
      <c r="N1410" s="181"/>
      <c r="O1410" s="181"/>
      <c r="P1410" s="181"/>
      <c r="Q1410" s="181"/>
      <c r="R1410" s="181"/>
      <c r="S1410" s="181"/>
      <c r="T1410" s="181"/>
      <c r="U1410" s="181"/>
      <c r="V1410" s="181"/>
      <c r="W1410" s="181"/>
      <c r="X1410" s="181"/>
      <c r="Y1410" s="181"/>
      <c r="Z1410" s="181"/>
    </row>
    <row r="1411">
      <c r="A1411" s="194"/>
      <c r="B1411" s="195"/>
      <c r="C1411" s="181"/>
      <c r="D1411" s="194"/>
      <c r="E1411" s="194"/>
      <c r="F1411" s="181"/>
      <c r="G1411" s="181"/>
      <c r="H1411" s="181"/>
      <c r="I1411" s="181"/>
      <c r="J1411" s="181"/>
      <c r="K1411" s="181"/>
      <c r="L1411" s="181"/>
      <c r="M1411" s="181"/>
      <c r="N1411" s="181"/>
      <c r="O1411" s="181"/>
      <c r="P1411" s="181"/>
      <c r="Q1411" s="181"/>
      <c r="R1411" s="181"/>
      <c r="S1411" s="181"/>
      <c r="T1411" s="181"/>
      <c r="U1411" s="181"/>
      <c r="V1411" s="181"/>
      <c r="W1411" s="181"/>
      <c r="X1411" s="181"/>
      <c r="Y1411" s="181"/>
      <c r="Z1411" s="181"/>
    </row>
    <row r="1412">
      <c r="A1412" s="194"/>
      <c r="B1412" s="195"/>
      <c r="C1412" s="181"/>
      <c r="D1412" s="194"/>
      <c r="E1412" s="194"/>
      <c r="F1412" s="181"/>
      <c r="G1412" s="181"/>
      <c r="H1412" s="181"/>
      <c r="I1412" s="181"/>
      <c r="J1412" s="181"/>
      <c r="K1412" s="181"/>
      <c r="L1412" s="181"/>
      <c r="M1412" s="181"/>
      <c r="N1412" s="181"/>
      <c r="O1412" s="181"/>
      <c r="P1412" s="181"/>
      <c r="Q1412" s="181"/>
      <c r="R1412" s="181"/>
      <c r="S1412" s="181"/>
      <c r="T1412" s="181"/>
      <c r="U1412" s="181"/>
      <c r="V1412" s="181"/>
      <c r="W1412" s="181"/>
      <c r="X1412" s="181"/>
      <c r="Y1412" s="181"/>
      <c r="Z1412" s="181"/>
    </row>
    <row r="1413">
      <c r="A1413" s="194"/>
      <c r="B1413" s="195"/>
      <c r="C1413" s="181"/>
      <c r="D1413" s="194"/>
      <c r="E1413" s="194"/>
      <c r="F1413" s="181"/>
      <c r="G1413" s="181"/>
      <c r="H1413" s="181"/>
      <c r="I1413" s="181"/>
      <c r="J1413" s="181"/>
      <c r="K1413" s="181"/>
      <c r="L1413" s="181"/>
      <c r="M1413" s="181"/>
      <c r="N1413" s="181"/>
      <c r="O1413" s="181"/>
      <c r="P1413" s="181"/>
      <c r="Q1413" s="181"/>
      <c r="R1413" s="181"/>
      <c r="S1413" s="181"/>
      <c r="T1413" s="181"/>
      <c r="U1413" s="181"/>
      <c r="V1413" s="181"/>
      <c r="W1413" s="181"/>
      <c r="X1413" s="181"/>
      <c r="Y1413" s="181"/>
      <c r="Z1413" s="181"/>
    </row>
    <row r="1414">
      <c r="A1414" s="194"/>
      <c r="B1414" s="195"/>
      <c r="C1414" s="181"/>
      <c r="D1414" s="194"/>
      <c r="E1414" s="194"/>
      <c r="F1414" s="181"/>
      <c r="G1414" s="181"/>
      <c r="H1414" s="181"/>
      <c r="I1414" s="181"/>
      <c r="J1414" s="181"/>
      <c r="K1414" s="181"/>
      <c r="L1414" s="181"/>
      <c r="M1414" s="181"/>
      <c r="N1414" s="181"/>
      <c r="O1414" s="181"/>
      <c r="P1414" s="181"/>
      <c r="Q1414" s="181"/>
      <c r="R1414" s="181"/>
      <c r="S1414" s="181"/>
      <c r="T1414" s="181"/>
      <c r="U1414" s="181"/>
      <c r="V1414" s="181"/>
      <c r="W1414" s="181"/>
      <c r="X1414" s="181"/>
      <c r="Y1414" s="181"/>
      <c r="Z1414" s="181"/>
    </row>
    <row r="1415">
      <c r="A1415" s="194"/>
      <c r="B1415" s="195"/>
      <c r="C1415" s="181"/>
      <c r="D1415" s="194"/>
      <c r="E1415" s="194"/>
      <c r="F1415" s="181"/>
      <c r="G1415" s="181"/>
      <c r="H1415" s="181"/>
      <c r="I1415" s="181"/>
      <c r="J1415" s="181"/>
      <c r="K1415" s="181"/>
      <c r="L1415" s="181"/>
      <c r="M1415" s="181"/>
      <c r="N1415" s="181"/>
      <c r="O1415" s="181"/>
      <c r="P1415" s="181"/>
      <c r="Q1415" s="181"/>
      <c r="R1415" s="181"/>
      <c r="S1415" s="181"/>
      <c r="T1415" s="181"/>
      <c r="U1415" s="181"/>
      <c r="V1415" s="181"/>
      <c r="W1415" s="181"/>
      <c r="X1415" s="181"/>
      <c r="Y1415" s="181"/>
      <c r="Z1415" s="181"/>
    </row>
    <row r="1416">
      <c r="A1416" s="194"/>
      <c r="B1416" s="195"/>
      <c r="C1416" s="181"/>
      <c r="D1416" s="194"/>
      <c r="E1416" s="194"/>
      <c r="F1416" s="181"/>
      <c r="G1416" s="181"/>
      <c r="H1416" s="181"/>
      <c r="I1416" s="181"/>
      <c r="J1416" s="181"/>
      <c r="K1416" s="181"/>
      <c r="L1416" s="181"/>
      <c r="M1416" s="181"/>
      <c r="N1416" s="181"/>
      <c r="O1416" s="181"/>
      <c r="P1416" s="181"/>
      <c r="Q1416" s="181"/>
      <c r="R1416" s="181"/>
      <c r="S1416" s="181"/>
      <c r="T1416" s="181"/>
      <c r="U1416" s="181"/>
      <c r="V1416" s="181"/>
      <c r="W1416" s="181"/>
      <c r="X1416" s="181"/>
      <c r="Y1416" s="181"/>
      <c r="Z1416" s="181"/>
    </row>
    <row r="1417">
      <c r="A1417" s="194"/>
      <c r="B1417" s="195"/>
      <c r="C1417" s="181"/>
      <c r="D1417" s="194"/>
      <c r="E1417" s="194"/>
      <c r="F1417" s="181"/>
      <c r="G1417" s="181"/>
      <c r="H1417" s="181"/>
      <c r="I1417" s="181"/>
      <c r="J1417" s="181"/>
      <c r="K1417" s="181"/>
      <c r="L1417" s="181"/>
      <c r="M1417" s="181"/>
      <c r="N1417" s="181"/>
      <c r="O1417" s="181"/>
      <c r="P1417" s="181"/>
      <c r="Q1417" s="181"/>
      <c r="R1417" s="181"/>
      <c r="S1417" s="181"/>
      <c r="T1417" s="181"/>
      <c r="U1417" s="181"/>
      <c r="V1417" s="181"/>
      <c r="W1417" s="181"/>
      <c r="X1417" s="181"/>
      <c r="Y1417" s="181"/>
      <c r="Z1417" s="181"/>
    </row>
    <row r="1418">
      <c r="A1418" s="194"/>
      <c r="B1418" s="195"/>
      <c r="C1418" s="181"/>
      <c r="D1418" s="194"/>
      <c r="E1418" s="194"/>
      <c r="F1418" s="181"/>
      <c r="G1418" s="181"/>
      <c r="H1418" s="181"/>
      <c r="I1418" s="181"/>
      <c r="J1418" s="181"/>
      <c r="K1418" s="181"/>
      <c r="L1418" s="181"/>
      <c r="M1418" s="181"/>
      <c r="N1418" s="181"/>
      <c r="O1418" s="181"/>
      <c r="P1418" s="181"/>
      <c r="Q1418" s="181"/>
      <c r="R1418" s="181"/>
      <c r="S1418" s="181"/>
      <c r="T1418" s="181"/>
      <c r="U1418" s="181"/>
      <c r="V1418" s="181"/>
      <c r="W1418" s="181"/>
      <c r="X1418" s="181"/>
      <c r="Y1418" s="181"/>
      <c r="Z1418" s="181"/>
    </row>
    <row r="1419">
      <c r="A1419" s="194"/>
      <c r="B1419" s="195"/>
      <c r="C1419" s="181"/>
      <c r="D1419" s="194"/>
      <c r="E1419" s="194"/>
      <c r="F1419" s="181"/>
      <c r="G1419" s="181"/>
      <c r="H1419" s="181"/>
      <c r="I1419" s="181"/>
      <c r="J1419" s="181"/>
      <c r="K1419" s="181"/>
      <c r="L1419" s="181"/>
      <c r="M1419" s="181"/>
      <c r="N1419" s="181"/>
      <c r="O1419" s="181"/>
      <c r="P1419" s="181"/>
      <c r="Q1419" s="181"/>
      <c r="R1419" s="181"/>
      <c r="S1419" s="181"/>
      <c r="T1419" s="181"/>
      <c r="U1419" s="181"/>
      <c r="V1419" s="181"/>
      <c r="W1419" s="181"/>
      <c r="X1419" s="181"/>
      <c r="Y1419" s="181"/>
      <c r="Z1419" s="181"/>
    </row>
    <row r="1420">
      <c r="A1420" s="194"/>
      <c r="B1420" s="195"/>
      <c r="C1420" s="181"/>
      <c r="D1420" s="194"/>
      <c r="E1420" s="194"/>
      <c r="F1420" s="181"/>
      <c r="G1420" s="181"/>
      <c r="H1420" s="181"/>
      <c r="I1420" s="181"/>
      <c r="J1420" s="181"/>
      <c r="K1420" s="181"/>
      <c r="L1420" s="181"/>
      <c r="M1420" s="181"/>
      <c r="N1420" s="181"/>
      <c r="O1420" s="181"/>
      <c r="P1420" s="181"/>
      <c r="Q1420" s="181"/>
      <c r="R1420" s="181"/>
      <c r="S1420" s="181"/>
      <c r="T1420" s="181"/>
      <c r="U1420" s="181"/>
      <c r="V1420" s="181"/>
      <c r="W1420" s="181"/>
      <c r="X1420" s="181"/>
      <c r="Y1420" s="181"/>
      <c r="Z1420" s="181"/>
    </row>
    <row r="1421">
      <c r="A1421" s="194"/>
      <c r="B1421" s="195"/>
      <c r="C1421" s="181"/>
      <c r="D1421" s="194"/>
      <c r="E1421" s="194"/>
      <c r="F1421" s="181"/>
      <c r="G1421" s="181"/>
      <c r="H1421" s="181"/>
      <c r="I1421" s="181"/>
      <c r="J1421" s="181"/>
      <c r="K1421" s="181"/>
      <c r="L1421" s="181"/>
      <c r="M1421" s="181"/>
      <c r="N1421" s="181"/>
      <c r="O1421" s="181"/>
      <c r="P1421" s="181"/>
      <c r="Q1421" s="181"/>
      <c r="R1421" s="181"/>
      <c r="S1421" s="181"/>
      <c r="T1421" s="181"/>
      <c r="U1421" s="181"/>
      <c r="V1421" s="181"/>
      <c r="W1421" s="181"/>
      <c r="X1421" s="181"/>
      <c r="Y1421" s="181"/>
      <c r="Z1421" s="181"/>
    </row>
    <row r="1422">
      <c r="A1422" s="194"/>
      <c r="B1422" s="195"/>
      <c r="C1422" s="181"/>
      <c r="D1422" s="194"/>
      <c r="E1422" s="194"/>
      <c r="F1422" s="181"/>
      <c r="G1422" s="181"/>
      <c r="H1422" s="181"/>
      <c r="I1422" s="181"/>
      <c r="J1422" s="181"/>
      <c r="K1422" s="181"/>
      <c r="L1422" s="181"/>
      <c r="M1422" s="181"/>
      <c r="N1422" s="181"/>
      <c r="O1422" s="181"/>
      <c r="P1422" s="181"/>
      <c r="Q1422" s="181"/>
      <c r="R1422" s="181"/>
      <c r="S1422" s="181"/>
      <c r="T1422" s="181"/>
      <c r="U1422" s="181"/>
      <c r="V1422" s="181"/>
      <c r="W1422" s="181"/>
      <c r="X1422" s="181"/>
      <c r="Y1422" s="181"/>
      <c r="Z1422" s="181"/>
    </row>
    <row r="1423">
      <c r="A1423" s="194"/>
      <c r="B1423" s="195"/>
      <c r="C1423" s="181"/>
      <c r="D1423" s="194"/>
      <c r="E1423" s="194"/>
      <c r="F1423" s="181"/>
      <c r="G1423" s="181"/>
      <c r="H1423" s="181"/>
      <c r="I1423" s="181"/>
      <c r="J1423" s="181"/>
      <c r="K1423" s="181"/>
      <c r="L1423" s="181"/>
      <c r="M1423" s="181"/>
      <c r="N1423" s="181"/>
      <c r="O1423" s="181"/>
      <c r="P1423" s="181"/>
      <c r="Q1423" s="181"/>
      <c r="R1423" s="181"/>
      <c r="S1423" s="181"/>
      <c r="T1423" s="181"/>
      <c r="U1423" s="181"/>
      <c r="V1423" s="181"/>
      <c r="W1423" s="181"/>
      <c r="X1423" s="181"/>
      <c r="Y1423" s="181"/>
      <c r="Z1423" s="181"/>
    </row>
    <row r="1424">
      <c r="A1424" s="194"/>
      <c r="B1424" s="195"/>
      <c r="C1424" s="181"/>
      <c r="D1424" s="194"/>
      <c r="E1424" s="194"/>
      <c r="F1424" s="181"/>
      <c r="G1424" s="181"/>
      <c r="H1424" s="181"/>
      <c r="I1424" s="181"/>
      <c r="J1424" s="181"/>
      <c r="K1424" s="181"/>
      <c r="L1424" s="181"/>
      <c r="M1424" s="181"/>
      <c r="N1424" s="181"/>
      <c r="O1424" s="181"/>
      <c r="P1424" s="181"/>
      <c r="Q1424" s="181"/>
      <c r="R1424" s="181"/>
      <c r="S1424" s="181"/>
      <c r="T1424" s="181"/>
      <c r="U1424" s="181"/>
      <c r="V1424" s="181"/>
      <c r="W1424" s="181"/>
      <c r="X1424" s="181"/>
      <c r="Y1424" s="181"/>
      <c r="Z1424" s="181"/>
    </row>
    <row r="1425">
      <c r="A1425" s="194"/>
      <c r="B1425" s="195"/>
      <c r="C1425" s="181"/>
      <c r="D1425" s="194"/>
      <c r="E1425" s="194"/>
      <c r="F1425" s="181"/>
      <c r="G1425" s="181"/>
      <c r="H1425" s="181"/>
      <c r="I1425" s="181"/>
      <c r="J1425" s="181"/>
      <c r="K1425" s="181"/>
      <c r="L1425" s="181"/>
      <c r="M1425" s="181"/>
      <c r="N1425" s="181"/>
      <c r="O1425" s="181"/>
      <c r="P1425" s="181"/>
      <c r="Q1425" s="181"/>
      <c r="R1425" s="181"/>
      <c r="S1425" s="181"/>
      <c r="T1425" s="181"/>
      <c r="U1425" s="181"/>
      <c r="V1425" s="181"/>
      <c r="W1425" s="181"/>
      <c r="X1425" s="181"/>
      <c r="Y1425" s="181"/>
      <c r="Z1425" s="181"/>
    </row>
    <row r="1426">
      <c r="A1426" s="194"/>
      <c r="B1426" s="195"/>
      <c r="C1426" s="181"/>
      <c r="D1426" s="194"/>
      <c r="E1426" s="194"/>
      <c r="F1426" s="181"/>
      <c r="G1426" s="181"/>
      <c r="H1426" s="181"/>
      <c r="I1426" s="181"/>
      <c r="J1426" s="181"/>
      <c r="K1426" s="181"/>
      <c r="L1426" s="181"/>
      <c r="M1426" s="181"/>
      <c r="N1426" s="181"/>
      <c r="O1426" s="181"/>
      <c r="P1426" s="181"/>
      <c r="Q1426" s="181"/>
      <c r="R1426" s="181"/>
      <c r="S1426" s="181"/>
      <c r="T1426" s="181"/>
      <c r="U1426" s="181"/>
      <c r="V1426" s="181"/>
      <c r="W1426" s="181"/>
      <c r="X1426" s="181"/>
      <c r="Y1426" s="181"/>
      <c r="Z1426" s="181"/>
    </row>
    <row r="1427">
      <c r="A1427" s="194"/>
      <c r="B1427" s="195"/>
      <c r="C1427" s="181"/>
      <c r="D1427" s="194"/>
      <c r="E1427" s="194"/>
      <c r="F1427" s="181"/>
      <c r="G1427" s="181"/>
      <c r="H1427" s="181"/>
      <c r="I1427" s="181"/>
      <c r="J1427" s="181"/>
      <c r="K1427" s="181"/>
      <c r="L1427" s="181"/>
      <c r="M1427" s="181"/>
      <c r="N1427" s="181"/>
      <c r="O1427" s="181"/>
      <c r="P1427" s="181"/>
      <c r="Q1427" s="181"/>
      <c r="R1427" s="181"/>
      <c r="S1427" s="181"/>
      <c r="T1427" s="181"/>
      <c r="U1427" s="181"/>
      <c r="V1427" s="181"/>
      <c r="W1427" s="181"/>
      <c r="X1427" s="181"/>
      <c r="Y1427" s="181"/>
      <c r="Z1427" s="181"/>
    </row>
    <row r="1428">
      <c r="A1428" s="194"/>
      <c r="B1428" s="195"/>
      <c r="C1428" s="181"/>
      <c r="D1428" s="194"/>
      <c r="E1428" s="194"/>
      <c r="F1428" s="181"/>
      <c r="G1428" s="181"/>
      <c r="H1428" s="181"/>
      <c r="I1428" s="181"/>
      <c r="J1428" s="181"/>
      <c r="K1428" s="181"/>
      <c r="L1428" s="181"/>
      <c r="M1428" s="181"/>
      <c r="N1428" s="181"/>
      <c r="O1428" s="181"/>
      <c r="P1428" s="181"/>
      <c r="Q1428" s="181"/>
      <c r="R1428" s="181"/>
      <c r="S1428" s="181"/>
      <c r="T1428" s="181"/>
      <c r="U1428" s="181"/>
      <c r="V1428" s="181"/>
      <c r="W1428" s="181"/>
      <c r="X1428" s="181"/>
      <c r="Y1428" s="181"/>
      <c r="Z1428" s="181"/>
    </row>
    <row r="1429">
      <c r="A1429" s="194"/>
      <c r="B1429" s="195"/>
      <c r="C1429" s="181"/>
      <c r="D1429" s="194"/>
      <c r="E1429" s="194"/>
      <c r="F1429" s="181"/>
      <c r="G1429" s="181"/>
      <c r="H1429" s="181"/>
      <c r="I1429" s="181"/>
      <c r="J1429" s="181"/>
      <c r="K1429" s="181"/>
      <c r="L1429" s="181"/>
      <c r="M1429" s="181"/>
      <c r="N1429" s="181"/>
      <c r="O1429" s="181"/>
      <c r="P1429" s="181"/>
      <c r="Q1429" s="181"/>
      <c r="R1429" s="181"/>
      <c r="S1429" s="181"/>
      <c r="T1429" s="181"/>
      <c r="U1429" s="181"/>
      <c r="V1429" s="181"/>
      <c r="W1429" s="181"/>
      <c r="X1429" s="181"/>
      <c r="Y1429" s="181"/>
      <c r="Z1429" s="181"/>
    </row>
    <row r="1430">
      <c r="A1430" s="194"/>
      <c r="B1430" s="195"/>
      <c r="C1430" s="181"/>
      <c r="D1430" s="194"/>
      <c r="E1430" s="194"/>
      <c r="F1430" s="181"/>
      <c r="G1430" s="181"/>
      <c r="H1430" s="181"/>
      <c r="I1430" s="181"/>
      <c r="J1430" s="181"/>
      <c r="K1430" s="181"/>
      <c r="L1430" s="181"/>
      <c r="M1430" s="181"/>
      <c r="N1430" s="181"/>
      <c r="O1430" s="181"/>
      <c r="P1430" s="181"/>
      <c r="Q1430" s="181"/>
      <c r="R1430" s="181"/>
      <c r="S1430" s="181"/>
      <c r="T1430" s="181"/>
      <c r="U1430" s="181"/>
      <c r="V1430" s="181"/>
      <c r="W1430" s="181"/>
      <c r="X1430" s="181"/>
      <c r="Y1430" s="181"/>
      <c r="Z1430" s="181"/>
    </row>
    <row r="1431">
      <c r="A1431" s="194"/>
      <c r="B1431" s="195"/>
      <c r="C1431" s="181"/>
      <c r="D1431" s="194"/>
      <c r="E1431" s="194"/>
      <c r="F1431" s="181"/>
      <c r="G1431" s="181"/>
      <c r="H1431" s="181"/>
      <c r="I1431" s="181"/>
      <c r="J1431" s="181"/>
      <c r="K1431" s="181"/>
      <c r="L1431" s="181"/>
      <c r="M1431" s="181"/>
      <c r="N1431" s="181"/>
      <c r="O1431" s="181"/>
      <c r="P1431" s="181"/>
      <c r="Q1431" s="181"/>
      <c r="R1431" s="181"/>
      <c r="S1431" s="181"/>
      <c r="T1431" s="181"/>
      <c r="U1431" s="181"/>
      <c r="V1431" s="181"/>
      <c r="W1431" s="181"/>
      <c r="X1431" s="181"/>
      <c r="Y1431" s="181"/>
      <c r="Z1431" s="181"/>
    </row>
    <row r="1432">
      <c r="A1432" s="194"/>
      <c r="B1432" s="195"/>
      <c r="C1432" s="181"/>
      <c r="D1432" s="194"/>
      <c r="E1432" s="194"/>
      <c r="F1432" s="181"/>
      <c r="G1432" s="181"/>
      <c r="H1432" s="181"/>
      <c r="I1432" s="181"/>
      <c r="J1432" s="181"/>
      <c r="K1432" s="181"/>
      <c r="L1432" s="181"/>
      <c r="M1432" s="181"/>
      <c r="N1432" s="181"/>
      <c r="O1432" s="181"/>
      <c r="P1432" s="181"/>
      <c r="Q1432" s="181"/>
      <c r="R1432" s="181"/>
      <c r="S1432" s="181"/>
      <c r="T1432" s="181"/>
      <c r="U1432" s="181"/>
      <c r="V1432" s="181"/>
      <c r="W1432" s="181"/>
      <c r="X1432" s="181"/>
      <c r="Y1432" s="181"/>
      <c r="Z1432" s="181"/>
    </row>
    <row r="1433">
      <c r="A1433" s="194"/>
      <c r="B1433" s="195"/>
      <c r="C1433" s="181"/>
      <c r="D1433" s="194"/>
      <c r="E1433" s="194"/>
      <c r="F1433" s="181"/>
      <c r="G1433" s="181"/>
      <c r="H1433" s="181"/>
      <c r="I1433" s="181"/>
      <c r="J1433" s="181"/>
      <c r="K1433" s="181"/>
      <c r="L1433" s="181"/>
      <c r="M1433" s="181"/>
      <c r="N1433" s="181"/>
      <c r="O1433" s="181"/>
      <c r="P1433" s="181"/>
      <c r="Q1433" s="181"/>
      <c r="R1433" s="181"/>
      <c r="S1433" s="181"/>
      <c r="T1433" s="181"/>
      <c r="U1433" s="181"/>
      <c r="V1433" s="181"/>
      <c r="W1433" s="181"/>
      <c r="X1433" s="181"/>
      <c r="Y1433" s="181"/>
      <c r="Z1433" s="181"/>
    </row>
    <row r="1434">
      <c r="A1434" s="194"/>
      <c r="B1434" s="195"/>
      <c r="C1434" s="181"/>
      <c r="D1434" s="194"/>
      <c r="E1434" s="194"/>
      <c r="F1434" s="181"/>
      <c r="G1434" s="181"/>
      <c r="H1434" s="181"/>
      <c r="I1434" s="181"/>
      <c r="J1434" s="181"/>
      <c r="K1434" s="181"/>
      <c r="L1434" s="181"/>
      <c r="M1434" s="181"/>
      <c r="N1434" s="181"/>
      <c r="O1434" s="181"/>
      <c r="P1434" s="181"/>
      <c r="Q1434" s="181"/>
      <c r="R1434" s="181"/>
      <c r="S1434" s="181"/>
      <c r="T1434" s="181"/>
      <c r="U1434" s="181"/>
      <c r="V1434" s="181"/>
      <c r="W1434" s="181"/>
      <c r="X1434" s="181"/>
      <c r="Y1434" s="181"/>
      <c r="Z1434" s="181"/>
    </row>
    <row r="1435">
      <c r="A1435" s="194"/>
      <c r="B1435" s="195"/>
      <c r="C1435" s="181"/>
      <c r="D1435" s="194"/>
      <c r="E1435" s="194"/>
      <c r="F1435" s="181"/>
      <c r="G1435" s="181"/>
      <c r="H1435" s="181"/>
      <c r="I1435" s="181"/>
      <c r="J1435" s="181"/>
      <c r="K1435" s="181"/>
      <c r="L1435" s="181"/>
      <c r="M1435" s="181"/>
      <c r="N1435" s="181"/>
      <c r="O1435" s="181"/>
      <c r="P1435" s="181"/>
      <c r="Q1435" s="181"/>
      <c r="R1435" s="181"/>
      <c r="S1435" s="181"/>
      <c r="T1435" s="181"/>
      <c r="U1435" s="181"/>
      <c r="V1435" s="181"/>
      <c r="W1435" s="181"/>
      <c r="X1435" s="181"/>
      <c r="Y1435" s="181"/>
      <c r="Z1435" s="181"/>
    </row>
    <row r="1436">
      <c r="A1436" s="194"/>
      <c r="B1436" s="195"/>
      <c r="C1436" s="181"/>
      <c r="D1436" s="194"/>
      <c r="E1436" s="194"/>
      <c r="F1436" s="181"/>
      <c r="G1436" s="181"/>
      <c r="H1436" s="181"/>
      <c r="I1436" s="181"/>
      <c r="J1436" s="181"/>
      <c r="K1436" s="181"/>
      <c r="L1436" s="181"/>
      <c r="M1436" s="181"/>
      <c r="N1436" s="181"/>
      <c r="O1436" s="181"/>
      <c r="P1436" s="181"/>
      <c r="Q1436" s="181"/>
      <c r="R1436" s="181"/>
      <c r="S1436" s="181"/>
      <c r="T1436" s="181"/>
      <c r="U1436" s="181"/>
      <c r="V1436" s="181"/>
      <c r="W1436" s="181"/>
      <c r="X1436" s="181"/>
      <c r="Y1436" s="181"/>
      <c r="Z1436" s="181"/>
    </row>
    <row r="1437">
      <c r="A1437" s="194"/>
      <c r="B1437" s="195"/>
      <c r="C1437" s="181"/>
      <c r="D1437" s="194"/>
      <c r="E1437" s="194"/>
      <c r="F1437" s="181"/>
      <c r="G1437" s="181"/>
      <c r="H1437" s="181"/>
      <c r="I1437" s="181"/>
      <c r="J1437" s="181"/>
      <c r="K1437" s="181"/>
      <c r="L1437" s="181"/>
      <c r="M1437" s="181"/>
      <c r="N1437" s="181"/>
      <c r="O1437" s="181"/>
      <c r="P1437" s="181"/>
      <c r="Q1437" s="181"/>
      <c r="R1437" s="181"/>
      <c r="S1437" s="181"/>
      <c r="T1437" s="181"/>
      <c r="U1437" s="181"/>
      <c r="V1437" s="181"/>
      <c r="W1437" s="181"/>
      <c r="X1437" s="181"/>
      <c r="Y1437" s="181"/>
      <c r="Z1437" s="181"/>
    </row>
    <row r="1438">
      <c r="A1438" s="194"/>
      <c r="B1438" s="195"/>
      <c r="C1438" s="181"/>
      <c r="D1438" s="194"/>
      <c r="E1438" s="194"/>
      <c r="F1438" s="181"/>
      <c r="G1438" s="181"/>
      <c r="H1438" s="181"/>
      <c r="I1438" s="181"/>
      <c r="J1438" s="181"/>
      <c r="K1438" s="181"/>
      <c r="L1438" s="181"/>
      <c r="M1438" s="181"/>
      <c r="N1438" s="181"/>
      <c r="O1438" s="181"/>
      <c r="P1438" s="181"/>
      <c r="Q1438" s="181"/>
      <c r="R1438" s="181"/>
      <c r="S1438" s="181"/>
      <c r="T1438" s="181"/>
      <c r="U1438" s="181"/>
      <c r="V1438" s="181"/>
      <c r="W1438" s="181"/>
      <c r="X1438" s="181"/>
      <c r="Y1438" s="181"/>
      <c r="Z1438" s="181"/>
    </row>
    <row r="1439">
      <c r="A1439" s="194"/>
      <c r="B1439" s="195"/>
      <c r="C1439" s="181"/>
      <c r="D1439" s="194"/>
      <c r="E1439" s="194"/>
      <c r="F1439" s="181"/>
      <c r="G1439" s="181"/>
      <c r="H1439" s="181"/>
      <c r="I1439" s="181"/>
      <c r="J1439" s="181"/>
      <c r="K1439" s="181"/>
      <c r="L1439" s="181"/>
      <c r="M1439" s="181"/>
      <c r="N1439" s="181"/>
      <c r="O1439" s="181"/>
      <c r="P1439" s="181"/>
      <c r="Q1439" s="181"/>
      <c r="R1439" s="181"/>
      <c r="S1439" s="181"/>
      <c r="T1439" s="181"/>
      <c r="U1439" s="181"/>
      <c r="V1439" s="181"/>
      <c r="W1439" s="181"/>
      <c r="X1439" s="181"/>
      <c r="Y1439" s="181"/>
      <c r="Z1439" s="181"/>
    </row>
    <row r="1440">
      <c r="A1440" s="194"/>
      <c r="B1440" s="195"/>
      <c r="C1440" s="181"/>
      <c r="D1440" s="194"/>
      <c r="E1440" s="194"/>
      <c r="F1440" s="181"/>
      <c r="G1440" s="181"/>
      <c r="H1440" s="181"/>
      <c r="I1440" s="181"/>
      <c r="J1440" s="181"/>
      <c r="K1440" s="181"/>
      <c r="L1440" s="181"/>
      <c r="M1440" s="181"/>
      <c r="N1440" s="181"/>
      <c r="O1440" s="181"/>
      <c r="P1440" s="181"/>
      <c r="Q1440" s="181"/>
      <c r="R1440" s="181"/>
      <c r="S1440" s="181"/>
      <c r="T1440" s="181"/>
      <c r="U1440" s="181"/>
      <c r="V1440" s="181"/>
      <c r="W1440" s="181"/>
      <c r="X1440" s="181"/>
      <c r="Y1440" s="181"/>
      <c r="Z1440" s="181"/>
    </row>
    <row r="1441">
      <c r="A1441" s="194"/>
      <c r="B1441" s="195"/>
      <c r="C1441" s="181"/>
      <c r="D1441" s="194"/>
      <c r="E1441" s="194"/>
      <c r="F1441" s="181"/>
      <c r="G1441" s="181"/>
      <c r="H1441" s="181"/>
      <c r="I1441" s="181"/>
      <c r="J1441" s="181"/>
      <c r="K1441" s="181"/>
      <c r="L1441" s="181"/>
      <c r="M1441" s="181"/>
      <c r="N1441" s="181"/>
      <c r="O1441" s="181"/>
      <c r="P1441" s="181"/>
      <c r="Q1441" s="181"/>
      <c r="R1441" s="181"/>
      <c r="S1441" s="181"/>
      <c r="T1441" s="181"/>
      <c r="U1441" s="181"/>
      <c r="V1441" s="181"/>
      <c r="W1441" s="181"/>
      <c r="X1441" s="181"/>
      <c r="Y1441" s="181"/>
      <c r="Z1441" s="181"/>
    </row>
    <row r="1442">
      <c r="A1442" s="194"/>
      <c r="B1442" s="195"/>
      <c r="C1442" s="181"/>
      <c r="D1442" s="194"/>
      <c r="E1442" s="194"/>
      <c r="F1442" s="181"/>
      <c r="G1442" s="181"/>
      <c r="H1442" s="181"/>
      <c r="I1442" s="181"/>
      <c r="J1442" s="181"/>
      <c r="K1442" s="181"/>
      <c r="L1442" s="181"/>
      <c r="M1442" s="181"/>
      <c r="N1442" s="181"/>
      <c r="O1442" s="181"/>
      <c r="P1442" s="181"/>
      <c r="Q1442" s="181"/>
      <c r="R1442" s="181"/>
      <c r="S1442" s="181"/>
      <c r="T1442" s="181"/>
      <c r="U1442" s="181"/>
      <c r="V1442" s="181"/>
      <c r="W1442" s="181"/>
      <c r="X1442" s="181"/>
      <c r="Y1442" s="181"/>
      <c r="Z1442" s="181"/>
    </row>
    <row r="1443">
      <c r="A1443" s="194"/>
      <c r="B1443" s="195"/>
      <c r="C1443" s="181"/>
      <c r="D1443" s="194"/>
      <c r="E1443" s="194"/>
      <c r="F1443" s="181"/>
      <c r="G1443" s="181"/>
      <c r="H1443" s="181"/>
      <c r="I1443" s="181"/>
      <c r="J1443" s="181"/>
      <c r="K1443" s="181"/>
      <c r="L1443" s="181"/>
      <c r="M1443" s="181"/>
      <c r="N1443" s="181"/>
      <c r="O1443" s="181"/>
      <c r="P1443" s="181"/>
      <c r="Q1443" s="181"/>
      <c r="R1443" s="181"/>
      <c r="S1443" s="181"/>
      <c r="T1443" s="181"/>
      <c r="U1443" s="181"/>
      <c r="V1443" s="181"/>
      <c r="W1443" s="181"/>
      <c r="X1443" s="181"/>
      <c r="Y1443" s="181"/>
      <c r="Z1443" s="181"/>
    </row>
    <row r="1444">
      <c r="A1444" s="194"/>
      <c r="B1444" s="195"/>
      <c r="C1444" s="181"/>
      <c r="D1444" s="194"/>
      <c r="E1444" s="194"/>
      <c r="F1444" s="181"/>
      <c r="G1444" s="181"/>
      <c r="H1444" s="181"/>
      <c r="I1444" s="181"/>
      <c r="J1444" s="181"/>
      <c r="K1444" s="181"/>
      <c r="L1444" s="181"/>
      <c r="M1444" s="181"/>
      <c r="N1444" s="181"/>
      <c r="O1444" s="181"/>
      <c r="P1444" s="181"/>
      <c r="Q1444" s="181"/>
      <c r="R1444" s="181"/>
      <c r="S1444" s="181"/>
      <c r="T1444" s="181"/>
      <c r="U1444" s="181"/>
      <c r="V1444" s="181"/>
      <c r="W1444" s="181"/>
      <c r="X1444" s="181"/>
      <c r="Y1444" s="181"/>
      <c r="Z1444" s="181"/>
    </row>
    <row r="1445">
      <c r="A1445" s="194"/>
      <c r="B1445" s="195"/>
      <c r="C1445" s="181"/>
      <c r="D1445" s="194"/>
      <c r="E1445" s="194"/>
      <c r="F1445" s="181"/>
      <c r="G1445" s="181"/>
      <c r="H1445" s="181"/>
      <c r="I1445" s="181"/>
      <c r="J1445" s="181"/>
      <c r="K1445" s="181"/>
      <c r="L1445" s="181"/>
      <c r="M1445" s="181"/>
      <c r="N1445" s="181"/>
      <c r="O1445" s="181"/>
      <c r="P1445" s="181"/>
      <c r="Q1445" s="181"/>
      <c r="R1445" s="181"/>
      <c r="S1445" s="181"/>
      <c r="T1445" s="181"/>
      <c r="U1445" s="181"/>
      <c r="V1445" s="181"/>
      <c r="W1445" s="181"/>
      <c r="X1445" s="181"/>
      <c r="Y1445" s="181"/>
      <c r="Z1445" s="181"/>
    </row>
    <row r="1446">
      <c r="A1446" s="194"/>
      <c r="B1446" s="195"/>
      <c r="C1446" s="181"/>
      <c r="D1446" s="194"/>
      <c r="E1446" s="194"/>
      <c r="F1446" s="181"/>
      <c r="G1446" s="181"/>
      <c r="H1446" s="181"/>
      <c r="I1446" s="181"/>
      <c r="J1446" s="181"/>
      <c r="K1446" s="181"/>
      <c r="L1446" s="181"/>
      <c r="M1446" s="181"/>
      <c r="N1446" s="181"/>
      <c r="O1446" s="181"/>
      <c r="P1446" s="181"/>
      <c r="Q1446" s="181"/>
      <c r="R1446" s="181"/>
      <c r="S1446" s="181"/>
      <c r="T1446" s="181"/>
      <c r="U1446" s="181"/>
      <c r="V1446" s="181"/>
      <c r="W1446" s="181"/>
      <c r="X1446" s="181"/>
      <c r="Y1446" s="181"/>
      <c r="Z1446" s="181"/>
    </row>
    <row r="1447">
      <c r="A1447" s="194"/>
      <c r="B1447" s="195"/>
      <c r="C1447" s="181"/>
      <c r="D1447" s="194"/>
      <c r="E1447" s="194"/>
      <c r="F1447" s="181"/>
      <c r="G1447" s="181"/>
      <c r="H1447" s="181"/>
      <c r="I1447" s="181"/>
      <c r="J1447" s="181"/>
      <c r="K1447" s="181"/>
      <c r="L1447" s="181"/>
      <c r="M1447" s="181"/>
      <c r="N1447" s="181"/>
      <c r="O1447" s="181"/>
      <c r="P1447" s="181"/>
      <c r="Q1447" s="181"/>
      <c r="R1447" s="181"/>
      <c r="S1447" s="181"/>
      <c r="T1447" s="181"/>
      <c r="U1447" s="181"/>
      <c r="V1447" s="181"/>
      <c r="W1447" s="181"/>
      <c r="X1447" s="181"/>
      <c r="Y1447" s="181"/>
      <c r="Z1447" s="181"/>
    </row>
    <row r="1448">
      <c r="A1448" s="194"/>
      <c r="B1448" s="195"/>
      <c r="C1448" s="181"/>
      <c r="D1448" s="194"/>
      <c r="E1448" s="194"/>
      <c r="F1448" s="181"/>
      <c r="G1448" s="181"/>
      <c r="H1448" s="181"/>
      <c r="I1448" s="181"/>
      <c r="J1448" s="181"/>
      <c r="K1448" s="181"/>
      <c r="L1448" s="181"/>
      <c r="M1448" s="181"/>
      <c r="N1448" s="181"/>
      <c r="O1448" s="181"/>
      <c r="P1448" s="181"/>
      <c r="Q1448" s="181"/>
      <c r="R1448" s="181"/>
      <c r="S1448" s="181"/>
      <c r="T1448" s="181"/>
      <c r="U1448" s="181"/>
      <c r="V1448" s="181"/>
      <c r="W1448" s="181"/>
      <c r="X1448" s="181"/>
      <c r="Y1448" s="181"/>
      <c r="Z1448" s="181"/>
    </row>
    <row r="1449">
      <c r="A1449" s="194"/>
      <c r="B1449" s="195"/>
      <c r="C1449" s="181"/>
      <c r="D1449" s="194"/>
      <c r="E1449" s="194"/>
      <c r="F1449" s="181"/>
      <c r="G1449" s="181"/>
      <c r="H1449" s="181"/>
      <c r="I1449" s="181"/>
      <c r="J1449" s="181"/>
      <c r="K1449" s="181"/>
      <c r="L1449" s="181"/>
      <c r="M1449" s="181"/>
      <c r="N1449" s="181"/>
      <c r="O1449" s="181"/>
      <c r="P1449" s="181"/>
      <c r="Q1449" s="181"/>
      <c r="R1449" s="181"/>
      <c r="S1449" s="181"/>
      <c r="T1449" s="181"/>
      <c r="U1449" s="181"/>
      <c r="V1449" s="181"/>
      <c r="W1449" s="181"/>
      <c r="X1449" s="181"/>
      <c r="Y1449" s="181"/>
      <c r="Z1449" s="181"/>
    </row>
    <row r="1450">
      <c r="A1450" s="194"/>
      <c r="B1450" s="195"/>
      <c r="C1450" s="181"/>
      <c r="D1450" s="194"/>
      <c r="E1450" s="194"/>
      <c r="F1450" s="181"/>
      <c r="G1450" s="181"/>
      <c r="H1450" s="181"/>
      <c r="I1450" s="181"/>
      <c r="J1450" s="181"/>
      <c r="K1450" s="181"/>
      <c r="L1450" s="181"/>
      <c r="M1450" s="181"/>
      <c r="N1450" s="181"/>
      <c r="O1450" s="181"/>
      <c r="P1450" s="181"/>
      <c r="Q1450" s="181"/>
      <c r="R1450" s="181"/>
      <c r="S1450" s="181"/>
      <c r="T1450" s="181"/>
      <c r="U1450" s="181"/>
      <c r="V1450" s="181"/>
      <c r="W1450" s="181"/>
      <c r="X1450" s="181"/>
      <c r="Y1450" s="181"/>
      <c r="Z1450" s="181"/>
    </row>
    <row r="1451">
      <c r="A1451" s="194"/>
      <c r="B1451" s="195"/>
      <c r="C1451" s="181"/>
      <c r="D1451" s="194"/>
      <c r="E1451" s="194"/>
      <c r="F1451" s="181"/>
      <c r="G1451" s="181"/>
      <c r="H1451" s="181"/>
      <c r="I1451" s="181"/>
      <c r="J1451" s="181"/>
      <c r="K1451" s="181"/>
      <c r="L1451" s="181"/>
      <c r="M1451" s="181"/>
      <c r="N1451" s="181"/>
      <c r="O1451" s="181"/>
      <c r="P1451" s="181"/>
      <c r="Q1451" s="181"/>
      <c r="R1451" s="181"/>
      <c r="S1451" s="181"/>
      <c r="T1451" s="181"/>
      <c r="U1451" s="181"/>
      <c r="V1451" s="181"/>
      <c r="W1451" s="181"/>
      <c r="X1451" s="181"/>
      <c r="Y1451" s="181"/>
      <c r="Z1451" s="181"/>
    </row>
    <row r="1452">
      <c r="A1452" s="194"/>
      <c r="B1452" s="195"/>
      <c r="C1452" s="181"/>
      <c r="D1452" s="194"/>
      <c r="E1452" s="194"/>
      <c r="F1452" s="181"/>
      <c r="G1452" s="181"/>
      <c r="H1452" s="181"/>
      <c r="I1452" s="181"/>
      <c r="J1452" s="181"/>
      <c r="K1452" s="181"/>
      <c r="L1452" s="181"/>
      <c r="M1452" s="181"/>
      <c r="N1452" s="181"/>
      <c r="O1452" s="181"/>
      <c r="P1452" s="181"/>
      <c r="Q1452" s="181"/>
      <c r="R1452" s="181"/>
      <c r="S1452" s="181"/>
      <c r="T1452" s="181"/>
      <c r="U1452" s="181"/>
      <c r="V1452" s="181"/>
      <c r="W1452" s="181"/>
      <c r="X1452" s="181"/>
      <c r="Y1452" s="181"/>
      <c r="Z1452" s="181"/>
    </row>
    <row r="1453">
      <c r="A1453" s="194"/>
      <c r="B1453" s="195"/>
      <c r="C1453" s="181"/>
      <c r="D1453" s="194"/>
      <c r="E1453" s="194"/>
      <c r="F1453" s="181"/>
      <c r="G1453" s="181"/>
      <c r="H1453" s="181"/>
      <c r="I1453" s="181"/>
      <c r="J1453" s="181"/>
      <c r="K1453" s="181"/>
      <c r="L1453" s="181"/>
      <c r="M1453" s="181"/>
      <c r="N1453" s="181"/>
      <c r="O1453" s="181"/>
      <c r="P1453" s="181"/>
      <c r="Q1453" s="181"/>
      <c r="R1453" s="181"/>
      <c r="S1453" s="181"/>
      <c r="T1453" s="181"/>
      <c r="U1453" s="181"/>
      <c r="V1453" s="181"/>
      <c r="W1453" s="181"/>
      <c r="X1453" s="181"/>
      <c r="Y1453" s="181"/>
      <c r="Z1453" s="181"/>
    </row>
    <row r="1454">
      <c r="A1454" s="194"/>
      <c r="B1454" s="195"/>
      <c r="C1454" s="181"/>
      <c r="D1454" s="194"/>
      <c r="E1454" s="194"/>
      <c r="F1454" s="181"/>
      <c r="G1454" s="181"/>
      <c r="H1454" s="181"/>
      <c r="I1454" s="181"/>
      <c r="J1454" s="181"/>
      <c r="K1454" s="181"/>
      <c r="L1454" s="181"/>
      <c r="M1454" s="181"/>
      <c r="N1454" s="181"/>
      <c r="O1454" s="181"/>
      <c r="P1454" s="181"/>
      <c r="Q1454" s="181"/>
      <c r="R1454" s="181"/>
      <c r="S1454" s="181"/>
      <c r="T1454" s="181"/>
      <c r="U1454" s="181"/>
      <c r="V1454" s="181"/>
      <c r="W1454" s="181"/>
      <c r="X1454" s="181"/>
      <c r="Y1454" s="181"/>
      <c r="Z1454" s="181"/>
    </row>
    <row r="1455">
      <c r="A1455" s="194"/>
      <c r="B1455" s="195"/>
      <c r="C1455" s="181"/>
      <c r="D1455" s="194"/>
      <c r="E1455" s="194"/>
      <c r="F1455" s="181"/>
      <c r="G1455" s="181"/>
      <c r="H1455" s="181"/>
      <c r="I1455" s="181"/>
      <c r="J1455" s="181"/>
      <c r="K1455" s="181"/>
      <c r="L1455" s="181"/>
      <c r="M1455" s="181"/>
      <c r="N1455" s="181"/>
      <c r="O1455" s="181"/>
      <c r="P1455" s="181"/>
      <c r="Q1455" s="181"/>
      <c r="R1455" s="181"/>
      <c r="S1455" s="181"/>
      <c r="T1455" s="181"/>
      <c r="U1455" s="181"/>
      <c r="V1455" s="181"/>
      <c r="W1455" s="181"/>
      <c r="X1455" s="181"/>
      <c r="Y1455" s="181"/>
      <c r="Z1455" s="181"/>
    </row>
    <row r="1456">
      <c r="A1456" s="194"/>
      <c r="B1456" s="195"/>
      <c r="C1456" s="181"/>
      <c r="D1456" s="194"/>
      <c r="E1456" s="194"/>
      <c r="F1456" s="181"/>
      <c r="G1456" s="181"/>
      <c r="H1456" s="181"/>
      <c r="I1456" s="181"/>
      <c r="J1456" s="181"/>
      <c r="K1456" s="181"/>
      <c r="L1456" s="181"/>
      <c r="M1456" s="181"/>
      <c r="N1456" s="181"/>
      <c r="O1456" s="181"/>
      <c r="P1456" s="181"/>
      <c r="Q1456" s="181"/>
      <c r="R1456" s="181"/>
      <c r="S1456" s="181"/>
      <c r="T1456" s="181"/>
      <c r="U1456" s="181"/>
      <c r="V1456" s="181"/>
      <c r="W1456" s="181"/>
      <c r="X1456" s="181"/>
      <c r="Y1456" s="181"/>
      <c r="Z1456" s="181"/>
    </row>
    <row r="1457">
      <c r="A1457" s="194"/>
      <c r="B1457" s="195"/>
      <c r="C1457" s="181"/>
      <c r="D1457" s="194"/>
      <c r="E1457" s="194"/>
      <c r="F1457" s="181"/>
      <c r="G1457" s="181"/>
      <c r="H1457" s="181"/>
      <c r="I1457" s="181"/>
      <c r="J1457" s="181"/>
      <c r="K1457" s="181"/>
      <c r="L1457" s="181"/>
      <c r="M1457" s="181"/>
      <c r="N1457" s="181"/>
      <c r="O1457" s="181"/>
      <c r="P1457" s="181"/>
      <c r="Q1457" s="181"/>
      <c r="R1457" s="181"/>
      <c r="S1457" s="181"/>
      <c r="T1457" s="181"/>
      <c r="U1457" s="181"/>
      <c r="V1457" s="181"/>
      <c r="W1457" s="181"/>
      <c r="X1457" s="181"/>
      <c r="Y1457" s="181"/>
      <c r="Z1457" s="181"/>
    </row>
    <row r="1458">
      <c r="A1458" s="194"/>
      <c r="B1458" s="195"/>
      <c r="C1458" s="181"/>
      <c r="D1458" s="194"/>
      <c r="E1458" s="194"/>
      <c r="F1458" s="181"/>
      <c r="G1458" s="181"/>
      <c r="H1458" s="181"/>
      <c r="I1458" s="181"/>
      <c r="J1458" s="181"/>
      <c r="K1458" s="181"/>
      <c r="L1458" s="181"/>
      <c r="M1458" s="181"/>
      <c r="N1458" s="181"/>
      <c r="O1458" s="181"/>
      <c r="P1458" s="181"/>
      <c r="Q1458" s="181"/>
      <c r="R1458" s="181"/>
      <c r="S1458" s="181"/>
      <c r="T1458" s="181"/>
      <c r="U1458" s="181"/>
      <c r="V1458" s="181"/>
      <c r="W1458" s="181"/>
      <c r="X1458" s="181"/>
      <c r="Y1458" s="181"/>
      <c r="Z1458" s="181"/>
    </row>
    <row r="1459">
      <c r="A1459" s="194"/>
      <c r="B1459" s="195"/>
      <c r="C1459" s="181"/>
      <c r="D1459" s="194"/>
      <c r="E1459" s="194"/>
      <c r="F1459" s="181"/>
      <c r="G1459" s="181"/>
      <c r="H1459" s="181"/>
      <c r="I1459" s="181"/>
      <c r="J1459" s="181"/>
      <c r="K1459" s="181"/>
      <c r="L1459" s="181"/>
      <c r="M1459" s="181"/>
      <c r="N1459" s="181"/>
      <c r="O1459" s="181"/>
      <c r="P1459" s="181"/>
      <c r="Q1459" s="181"/>
      <c r="R1459" s="181"/>
      <c r="S1459" s="181"/>
      <c r="T1459" s="181"/>
      <c r="U1459" s="181"/>
      <c r="V1459" s="181"/>
      <c r="W1459" s="181"/>
      <c r="X1459" s="181"/>
      <c r="Y1459" s="181"/>
      <c r="Z1459" s="181"/>
    </row>
    <row r="1460">
      <c r="A1460" s="194"/>
      <c r="B1460" s="195"/>
      <c r="C1460" s="181"/>
      <c r="D1460" s="194"/>
      <c r="E1460" s="194"/>
      <c r="F1460" s="181"/>
      <c r="G1460" s="181"/>
      <c r="H1460" s="181"/>
      <c r="I1460" s="181"/>
      <c r="J1460" s="181"/>
      <c r="K1460" s="181"/>
      <c r="L1460" s="181"/>
      <c r="M1460" s="181"/>
      <c r="N1460" s="181"/>
      <c r="O1460" s="181"/>
      <c r="P1460" s="181"/>
      <c r="Q1460" s="181"/>
      <c r="R1460" s="181"/>
      <c r="S1460" s="181"/>
      <c r="T1460" s="181"/>
      <c r="U1460" s="181"/>
      <c r="V1460" s="181"/>
      <c r="W1460" s="181"/>
      <c r="X1460" s="181"/>
      <c r="Y1460" s="181"/>
      <c r="Z1460" s="181"/>
    </row>
    <row r="1461">
      <c r="A1461" s="194"/>
      <c r="B1461" s="195"/>
      <c r="C1461" s="181"/>
      <c r="D1461" s="194"/>
      <c r="E1461" s="194"/>
      <c r="F1461" s="181"/>
      <c r="G1461" s="181"/>
      <c r="H1461" s="181"/>
      <c r="I1461" s="181"/>
      <c r="J1461" s="181"/>
      <c r="K1461" s="181"/>
      <c r="L1461" s="181"/>
      <c r="M1461" s="181"/>
      <c r="N1461" s="181"/>
      <c r="O1461" s="181"/>
      <c r="P1461" s="181"/>
      <c r="Q1461" s="181"/>
      <c r="R1461" s="181"/>
      <c r="S1461" s="181"/>
      <c r="T1461" s="181"/>
      <c r="U1461" s="181"/>
      <c r="V1461" s="181"/>
      <c r="W1461" s="181"/>
      <c r="X1461" s="181"/>
      <c r="Y1461" s="181"/>
      <c r="Z1461" s="181"/>
    </row>
    <row r="1462">
      <c r="A1462" s="194"/>
      <c r="B1462" s="195"/>
      <c r="C1462" s="181"/>
      <c r="D1462" s="194"/>
      <c r="E1462" s="194"/>
      <c r="F1462" s="181"/>
      <c r="G1462" s="181"/>
      <c r="H1462" s="181"/>
      <c r="I1462" s="181"/>
      <c r="J1462" s="181"/>
      <c r="K1462" s="181"/>
      <c r="L1462" s="181"/>
      <c r="M1462" s="181"/>
      <c r="N1462" s="181"/>
      <c r="O1462" s="181"/>
      <c r="P1462" s="181"/>
      <c r="Q1462" s="181"/>
      <c r="R1462" s="181"/>
      <c r="S1462" s="181"/>
      <c r="T1462" s="181"/>
      <c r="U1462" s="181"/>
      <c r="V1462" s="181"/>
      <c r="W1462" s="181"/>
      <c r="X1462" s="181"/>
      <c r="Y1462" s="181"/>
      <c r="Z1462" s="181"/>
    </row>
    <row r="1463">
      <c r="A1463" s="194"/>
      <c r="B1463" s="195"/>
      <c r="C1463" s="181"/>
      <c r="D1463" s="194"/>
      <c r="E1463" s="194"/>
      <c r="F1463" s="181"/>
      <c r="G1463" s="181"/>
      <c r="H1463" s="181"/>
      <c r="I1463" s="181"/>
      <c r="J1463" s="181"/>
      <c r="K1463" s="181"/>
      <c r="L1463" s="181"/>
      <c r="M1463" s="181"/>
      <c r="N1463" s="181"/>
      <c r="O1463" s="181"/>
      <c r="P1463" s="181"/>
      <c r="Q1463" s="181"/>
      <c r="R1463" s="181"/>
      <c r="S1463" s="181"/>
      <c r="T1463" s="181"/>
      <c r="U1463" s="181"/>
      <c r="V1463" s="181"/>
      <c r="W1463" s="181"/>
      <c r="X1463" s="181"/>
      <c r="Y1463" s="181"/>
      <c r="Z1463" s="181"/>
    </row>
    <row r="1464">
      <c r="A1464" s="194"/>
      <c r="B1464" s="195"/>
      <c r="C1464" s="181"/>
      <c r="D1464" s="194"/>
      <c r="E1464" s="194"/>
      <c r="F1464" s="181"/>
      <c r="G1464" s="181"/>
      <c r="H1464" s="181"/>
      <c r="I1464" s="181"/>
      <c r="J1464" s="181"/>
      <c r="K1464" s="181"/>
      <c r="L1464" s="181"/>
      <c r="M1464" s="181"/>
      <c r="N1464" s="181"/>
      <c r="O1464" s="181"/>
      <c r="P1464" s="181"/>
      <c r="Q1464" s="181"/>
      <c r="R1464" s="181"/>
      <c r="S1464" s="181"/>
      <c r="T1464" s="181"/>
      <c r="U1464" s="181"/>
      <c r="V1464" s="181"/>
      <c r="W1464" s="181"/>
      <c r="X1464" s="181"/>
      <c r="Y1464" s="181"/>
      <c r="Z1464" s="181"/>
    </row>
    <row r="1465">
      <c r="A1465" s="194"/>
      <c r="B1465" s="195"/>
      <c r="C1465" s="181"/>
      <c r="D1465" s="194"/>
      <c r="E1465" s="194"/>
      <c r="F1465" s="181"/>
      <c r="G1465" s="181"/>
      <c r="H1465" s="181"/>
      <c r="I1465" s="181"/>
      <c r="J1465" s="181"/>
      <c r="K1465" s="181"/>
      <c r="L1465" s="181"/>
      <c r="M1465" s="181"/>
      <c r="N1465" s="181"/>
      <c r="O1465" s="181"/>
      <c r="P1465" s="181"/>
      <c r="Q1465" s="181"/>
      <c r="R1465" s="181"/>
      <c r="S1465" s="181"/>
      <c r="T1465" s="181"/>
      <c r="U1465" s="181"/>
      <c r="V1465" s="181"/>
      <c r="W1465" s="181"/>
      <c r="X1465" s="181"/>
      <c r="Y1465" s="181"/>
      <c r="Z1465" s="181"/>
    </row>
    <row r="1466">
      <c r="A1466" s="194"/>
      <c r="B1466" s="195"/>
      <c r="C1466" s="181"/>
      <c r="D1466" s="194"/>
      <c r="E1466" s="194"/>
      <c r="F1466" s="181"/>
      <c r="G1466" s="181"/>
      <c r="H1466" s="181"/>
      <c r="I1466" s="181"/>
      <c r="J1466" s="181"/>
      <c r="K1466" s="181"/>
      <c r="L1466" s="181"/>
      <c r="M1466" s="181"/>
      <c r="N1466" s="181"/>
      <c r="O1466" s="181"/>
      <c r="P1466" s="181"/>
      <c r="Q1466" s="181"/>
      <c r="R1466" s="181"/>
      <c r="S1466" s="181"/>
      <c r="T1466" s="181"/>
      <c r="U1466" s="181"/>
      <c r="V1466" s="181"/>
      <c r="W1466" s="181"/>
      <c r="X1466" s="181"/>
      <c r="Y1466" s="181"/>
      <c r="Z1466" s="181"/>
    </row>
    <row r="1467">
      <c r="A1467" s="194"/>
      <c r="B1467" s="195"/>
      <c r="C1467" s="181"/>
      <c r="D1467" s="194"/>
      <c r="E1467" s="194"/>
      <c r="F1467" s="181"/>
      <c r="G1467" s="181"/>
      <c r="H1467" s="181"/>
      <c r="I1467" s="181"/>
      <c r="J1467" s="181"/>
      <c r="K1467" s="181"/>
      <c r="L1467" s="181"/>
      <c r="M1467" s="181"/>
      <c r="N1467" s="181"/>
      <c r="O1467" s="181"/>
      <c r="P1467" s="181"/>
      <c r="Q1467" s="181"/>
      <c r="R1467" s="181"/>
      <c r="S1467" s="181"/>
      <c r="T1467" s="181"/>
      <c r="U1467" s="181"/>
      <c r="V1467" s="181"/>
      <c r="W1467" s="181"/>
      <c r="X1467" s="181"/>
      <c r="Y1467" s="181"/>
      <c r="Z1467" s="181"/>
    </row>
    <row r="1468">
      <c r="A1468" s="194"/>
      <c r="B1468" s="195"/>
      <c r="C1468" s="181"/>
      <c r="D1468" s="194"/>
      <c r="E1468" s="194"/>
      <c r="F1468" s="181"/>
      <c r="G1468" s="181"/>
      <c r="H1468" s="181"/>
      <c r="I1468" s="181"/>
      <c r="J1468" s="181"/>
      <c r="K1468" s="181"/>
      <c r="L1468" s="181"/>
      <c r="M1468" s="181"/>
      <c r="N1468" s="181"/>
      <c r="O1468" s="181"/>
      <c r="P1468" s="181"/>
      <c r="Q1468" s="181"/>
      <c r="R1468" s="181"/>
      <c r="S1468" s="181"/>
      <c r="T1468" s="181"/>
      <c r="U1468" s="181"/>
      <c r="V1468" s="181"/>
      <c r="W1468" s="181"/>
      <c r="X1468" s="181"/>
      <c r="Y1468" s="181"/>
      <c r="Z1468" s="181"/>
    </row>
    <row r="1469">
      <c r="A1469" s="194"/>
      <c r="B1469" s="195"/>
      <c r="C1469" s="181"/>
      <c r="D1469" s="194"/>
      <c r="E1469" s="194"/>
      <c r="F1469" s="181"/>
      <c r="G1469" s="181"/>
      <c r="H1469" s="181"/>
      <c r="I1469" s="181"/>
      <c r="J1469" s="181"/>
      <c r="K1469" s="181"/>
      <c r="L1469" s="181"/>
      <c r="M1469" s="181"/>
      <c r="N1469" s="181"/>
      <c r="O1469" s="181"/>
      <c r="P1469" s="181"/>
      <c r="Q1469" s="181"/>
      <c r="R1469" s="181"/>
      <c r="S1469" s="181"/>
      <c r="T1469" s="181"/>
      <c r="U1469" s="181"/>
      <c r="V1469" s="181"/>
      <c r="W1469" s="181"/>
      <c r="X1469" s="181"/>
      <c r="Y1469" s="181"/>
      <c r="Z1469" s="181"/>
    </row>
    <row r="1470">
      <c r="A1470" s="194"/>
      <c r="B1470" s="195"/>
      <c r="C1470" s="181"/>
      <c r="D1470" s="194"/>
      <c r="E1470" s="194"/>
      <c r="F1470" s="181"/>
      <c r="G1470" s="181"/>
      <c r="H1470" s="181"/>
      <c r="I1470" s="181"/>
      <c r="J1470" s="181"/>
      <c r="K1470" s="181"/>
      <c r="L1470" s="181"/>
      <c r="M1470" s="181"/>
      <c r="N1470" s="181"/>
      <c r="O1470" s="181"/>
      <c r="P1470" s="181"/>
      <c r="Q1470" s="181"/>
      <c r="R1470" s="181"/>
      <c r="S1470" s="181"/>
      <c r="T1470" s="181"/>
      <c r="U1470" s="181"/>
      <c r="V1470" s="181"/>
      <c r="W1470" s="181"/>
      <c r="X1470" s="181"/>
      <c r="Y1470" s="181"/>
      <c r="Z1470" s="181"/>
    </row>
    <row r="1471">
      <c r="A1471" s="194"/>
      <c r="B1471" s="195"/>
      <c r="C1471" s="181"/>
      <c r="D1471" s="194"/>
      <c r="E1471" s="194"/>
      <c r="F1471" s="181"/>
      <c r="G1471" s="181"/>
      <c r="H1471" s="181"/>
      <c r="I1471" s="181"/>
      <c r="J1471" s="181"/>
      <c r="K1471" s="181"/>
      <c r="L1471" s="181"/>
      <c r="M1471" s="181"/>
      <c r="N1471" s="181"/>
      <c r="O1471" s="181"/>
      <c r="P1471" s="181"/>
      <c r="Q1471" s="181"/>
      <c r="R1471" s="181"/>
      <c r="S1471" s="181"/>
      <c r="T1471" s="181"/>
      <c r="U1471" s="181"/>
      <c r="V1471" s="181"/>
      <c r="W1471" s="181"/>
      <c r="X1471" s="181"/>
      <c r="Y1471" s="181"/>
      <c r="Z1471" s="181"/>
    </row>
    <row r="1472">
      <c r="A1472" s="194"/>
      <c r="B1472" s="195"/>
      <c r="C1472" s="181"/>
      <c r="D1472" s="194"/>
      <c r="E1472" s="194"/>
      <c r="F1472" s="181"/>
      <c r="G1472" s="181"/>
      <c r="H1472" s="181"/>
      <c r="I1472" s="181"/>
      <c r="J1472" s="181"/>
      <c r="K1472" s="181"/>
      <c r="L1472" s="181"/>
      <c r="M1472" s="181"/>
      <c r="N1472" s="181"/>
      <c r="O1472" s="181"/>
      <c r="P1472" s="181"/>
      <c r="Q1472" s="181"/>
      <c r="R1472" s="181"/>
      <c r="S1472" s="181"/>
      <c r="T1472" s="181"/>
      <c r="U1472" s="181"/>
      <c r="V1472" s="181"/>
      <c r="W1472" s="181"/>
      <c r="X1472" s="181"/>
      <c r="Y1472" s="181"/>
      <c r="Z1472" s="181"/>
    </row>
    <row r="1473">
      <c r="A1473" s="194"/>
      <c r="B1473" s="195"/>
      <c r="C1473" s="181"/>
      <c r="D1473" s="194"/>
      <c r="E1473" s="194"/>
      <c r="F1473" s="181"/>
      <c r="G1473" s="181"/>
      <c r="H1473" s="181"/>
      <c r="I1473" s="181"/>
      <c r="J1473" s="181"/>
      <c r="K1473" s="181"/>
      <c r="L1473" s="181"/>
      <c r="M1473" s="181"/>
      <c r="N1473" s="181"/>
      <c r="O1473" s="181"/>
      <c r="P1473" s="181"/>
      <c r="Q1473" s="181"/>
      <c r="R1473" s="181"/>
      <c r="S1473" s="181"/>
      <c r="T1473" s="181"/>
      <c r="U1473" s="181"/>
      <c r="V1473" s="181"/>
      <c r="W1473" s="181"/>
      <c r="X1473" s="181"/>
      <c r="Y1473" s="181"/>
      <c r="Z1473" s="181"/>
    </row>
    <row r="1474">
      <c r="A1474" s="194"/>
      <c r="B1474" s="195"/>
      <c r="C1474" s="181"/>
      <c r="D1474" s="194"/>
      <c r="E1474" s="194"/>
      <c r="F1474" s="181"/>
      <c r="G1474" s="181"/>
      <c r="H1474" s="181"/>
      <c r="I1474" s="181"/>
      <c r="J1474" s="181"/>
      <c r="K1474" s="181"/>
      <c r="L1474" s="181"/>
      <c r="M1474" s="181"/>
      <c r="N1474" s="181"/>
      <c r="O1474" s="181"/>
      <c r="P1474" s="181"/>
      <c r="Q1474" s="181"/>
      <c r="R1474" s="181"/>
      <c r="S1474" s="181"/>
      <c r="T1474" s="181"/>
      <c r="U1474" s="181"/>
      <c r="V1474" s="181"/>
      <c r="W1474" s="181"/>
      <c r="X1474" s="181"/>
      <c r="Y1474" s="181"/>
      <c r="Z1474" s="181"/>
    </row>
    <row r="1475">
      <c r="A1475" s="194"/>
      <c r="B1475" s="195"/>
      <c r="C1475" s="181"/>
      <c r="D1475" s="194"/>
      <c r="E1475" s="194"/>
      <c r="F1475" s="181"/>
      <c r="G1475" s="181"/>
      <c r="H1475" s="181"/>
      <c r="I1475" s="181"/>
      <c r="J1475" s="181"/>
      <c r="K1475" s="181"/>
      <c r="L1475" s="181"/>
      <c r="M1475" s="181"/>
      <c r="N1475" s="181"/>
      <c r="O1475" s="181"/>
      <c r="P1475" s="181"/>
      <c r="Q1475" s="181"/>
      <c r="R1475" s="181"/>
      <c r="S1475" s="181"/>
      <c r="T1475" s="181"/>
      <c r="U1475" s="181"/>
      <c r="V1475" s="181"/>
      <c r="W1475" s="181"/>
      <c r="X1475" s="181"/>
      <c r="Y1475" s="181"/>
      <c r="Z1475" s="181"/>
    </row>
    <row r="1476">
      <c r="A1476" s="194"/>
      <c r="B1476" s="195"/>
      <c r="C1476" s="181"/>
      <c r="D1476" s="194"/>
      <c r="E1476" s="194"/>
      <c r="F1476" s="181"/>
      <c r="G1476" s="181"/>
      <c r="H1476" s="181"/>
      <c r="I1476" s="181"/>
      <c r="J1476" s="181"/>
      <c r="K1476" s="181"/>
      <c r="L1476" s="181"/>
      <c r="M1476" s="181"/>
      <c r="N1476" s="181"/>
      <c r="O1476" s="181"/>
      <c r="P1476" s="181"/>
      <c r="Q1476" s="181"/>
      <c r="R1476" s="181"/>
      <c r="S1476" s="181"/>
      <c r="T1476" s="181"/>
      <c r="U1476" s="181"/>
      <c r="V1476" s="181"/>
      <c r="W1476" s="181"/>
      <c r="X1476" s="181"/>
      <c r="Y1476" s="181"/>
      <c r="Z1476" s="181"/>
    </row>
    <row r="1477">
      <c r="A1477" s="194"/>
      <c r="B1477" s="195"/>
      <c r="C1477" s="181"/>
      <c r="D1477" s="194"/>
      <c r="E1477" s="194"/>
      <c r="F1477" s="181"/>
      <c r="G1477" s="181"/>
      <c r="H1477" s="181"/>
      <c r="I1477" s="181"/>
      <c r="J1477" s="181"/>
      <c r="K1477" s="181"/>
      <c r="L1477" s="181"/>
      <c r="M1477" s="181"/>
      <c r="N1477" s="181"/>
      <c r="O1477" s="181"/>
      <c r="P1477" s="181"/>
      <c r="Q1477" s="181"/>
      <c r="R1477" s="181"/>
      <c r="S1477" s="181"/>
      <c r="T1477" s="181"/>
      <c r="U1477" s="181"/>
      <c r="V1477" s="181"/>
      <c r="W1477" s="181"/>
      <c r="X1477" s="181"/>
      <c r="Y1477" s="181"/>
      <c r="Z1477" s="181"/>
    </row>
    <row r="1478">
      <c r="A1478" s="194"/>
      <c r="B1478" s="195"/>
      <c r="C1478" s="181"/>
      <c r="D1478" s="194"/>
      <c r="E1478" s="194"/>
      <c r="F1478" s="181"/>
      <c r="G1478" s="181"/>
      <c r="H1478" s="181"/>
      <c r="I1478" s="181"/>
      <c r="J1478" s="181"/>
      <c r="K1478" s="181"/>
      <c r="L1478" s="181"/>
      <c r="M1478" s="181"/>
      <c r="N1478" s="181"/>
      <c r="O1478" s="181"/>
      <c r="P1478" s="181"/>
      <c r="Q1478" s="181"/>
      <c r="R1478" s="181"/>
      <c r="S1478" s="181"/>
      <c r="T1478" s="181"/>
      <c r="U1478" s="181"/>
      <c r="V1478" s="181"/>
      <c r="W1478" s="181"/>
      <c r="X1478" s="181"/>
      <c r="Y1478" s="181"/>
      <c r="Z1478" s="181"/>
    </row>
    <row r="1479">
      <c r="A1479" s="194"/>
      <c r="B1479" s="195"/>
      <c r="C1479" s="181"/>
      <c r="D1479" s="194"/>
      <c r="E1479" s="194"/>
      <c r="F1479" s="181"/>
      <c r="G1479" s="181"/>
      <c r="H1479" s="181"/>
      <c r="I1479" s="181"/>
      <c r="J1479" s="181"/>
      <c r="K1479" s="181"/>
      <c r="L1479" s="181"/>
      <c r="M1479" s="181"/>
      <c r="N1479" s="181"/>
      <c r="O1479" s="181"/>
      <c r="P1479" s="181"/>
      <c r="Q1479" s="181"/>
      <c r="R1479" s="181"/>
      <c r="S1479" s="181"/>
      <c r="T1479" s="181"/>
      <c r="U1479" s="181"/>
      <c r="V1479" s="181"/>
      <c r="W1479" s="181"/>
      <c r="X1479" s="181"/>
      <c r="Y1479" s="181"/>
      <c r="Z1479" s="181"/>
    </row>
    <row r="1480">
      <c r="A1480" s="194"/>
      <c r="B1480" s="195"/>
      <c r="C1480" s="181"/>
      <c r="D1480" s="194"/>
      <c r="E1480" s="194"/>
      <c r="F1480" s="181"/>
      <c r="G1480" s="181"/>
      <c r="H1480" s="181"/>
      <c r="I1480" s="181"/>
      <c r="J1480" s="181"/>
      <c r="K1480" s="181"/>
      <c r="L1480" s="181"/>
      <c r="M1480" s="181"/>
      <c r="N1480" s="181"/>
      <c r="O1480" s="181"/>
      <c r="P1480" s="181"/>
      <c r="Q1480" s="181"/>
      <c r="R1480" s="181"/>
      <c r="S1480" s="181"/>
      <c r="T1480" s="181"/>
      <c r="U1480" s="181"/>
      <c r="V1480" s="181"/>
      <c r="W1480" s="181"/>
      <c r="X1480" s="181"/>
      <c r="Y1480" s="181"/>
      <c r="Z1480" s="181"/>
    </row>
    <row r="1481">
      <c r="A1481" s="194"/>
      <c r="B1481" s="195"/>
      <c r="C1481" s="181"/>
      <c r="D1481" s="194"/>
      <c r="E1481" s="194"/>
      <c r="F1481" s="181"/>
      <c r="G1481" s="181"/>
      <c r="H1481" s="181"/>
      <c r="I1481" s="181"/>
      <c r="J1481" s="181"/>
      <c r="K1481" s="181"/>
      <c r="L1481" s="181"/>
      <c r="M1481" s="181"/>
      <c r="N1481" s="181"/>
      <c r="O1481" s="181"/>
      <c r="P1481" s="181"/>
      <c r="Q1481" s="181"/>
      <c r="R1481" s="181"/>
      <c r="S1481" s="181"/>
      <c r="T1481" s="181"/>
      <c r="U1481" s="181"/>
      <c r="V1481" s="181"/>
      <c r="W1481" s="181"/>
      <c r="X1481" s="181"/>
      <c r="Y1481" s="181"/>
      <c r="Z1481" s="181"/>
    </row>
    <row r="1482">
      <c r="A1482" s="194"/>
      <c r="B1482" s="195"/>
      <c r="C1482" s="181"/>
      <c r="D1482" s="194"/>
      <c r="E1482" s="194"/>
      <c r="F1482" s="181"/>
      <c r="G1482" s="181"/>
      <c r="H1482" s="181"/>
      <c r="I1482" s="181"/>
      <c r="J1482" s="181"/>
      <c r="K1482" s="181"/>
      <c r="L1482" s="181"/>
      <c r="M1482" s="181"/>
      <c r="N1482" s="181"/>
      <c r="O1482" s="181"/>
      <c r="P1482" s="181"/>
      <c r="Q1482" s="181"/>
      <c r="R1482" s="181"/>
      <c r="S1482" s="181"/>
      <c r="T1482" s="181"/>
      <c r="U1482" s="181"/>
      <c r="V1482" s="181"/>
      <c r="W1482" s="181"/>
      <c r="X1482" s="181"/>
      <c r="Y1482" s="181"/>
      <c r="Z1482" s="181"/>
    </row>
    <row r="1483">
      <c r="A1483" s="194"/>
      <c r="B1483" s="195"/>
      <c r="C1483" s="181"/>
      <c r="D1483" s="194"/>
      <c r="E1483" s="194"/>
      <c r="F1483" s="181"/>
      <c r="G1483" s="181"/>
      <c r="H1483" s="181"/>
      <c r="I1483" s="181"/>
      <c r="J1483" s="181"/>
      <c r="K1483" s="181"/>
      <c r="L1483" s="181"/>
      <c r="M1483" s="181"/>
      <c r="N1483" s="181"/>
      <c r="O1483" s="181"/>
      <c r="P1483" s="181"/>
      <c r="Q1483" s="181"/>
      <c r="R1483" s="181"/>
      <c r="S1483" s="181"/>
      <c r="T1483" s="181"/>
      <c r="U1483" s="181"/>
      <c r="V1483" s="181"/>
      <c r="W1483" s="181"/>
      <c r="X1483" s="181"/>
      <c r="Y1483" s="181"/>
      <c r="Z1483" s="181"/>
    </row>
    <row r="1484">
      <c r="A1484" s="194"/>
      <c r="B1484" s="195"/>
      <c r="C1484" s="181"/>
      <c r="D1484" s="194"/>
      <c r="E1484" s="194"/>
      <c r="F1484" s="181"/>
      <c r="G1484" s="181"/>
      <c r="H1484" s="181"/>
      <c r="I1484" s="181"/>
      <c r="J1484" s="181"/>
      <c r="K1484" s="181"/>
      <c r="L1484" s="181"/>
      <c r="M1484" s="181"/>
      <c r="N1484" s="181"/>
      <c r="O1484" s="181"/>
      <c r="P1484" s="181"/>
      <c r="Q1484" s="181"/>
      <c r="R1484" s="181"/>
      <c r="S1484" s="181"/>
      <c r="T1484" s="181"/>
      <c r="U1484" s="181"/>
      <c r="V1484" s="181"/>
      <c r="W1484" s="181"/>
      <c r="X1484" s="181"/>
      <c r="Y1484" s="181"/>
      <c r="Z1484" s="181"/>
    </row>
    <row r="1485">
      <c r="A1485" s="194"/>
      <c r="B1485" s="195"/>
      <c r="C1485" s="181"/>
      <c r="D1485" s="194"/>
      <c r="E1485" s="194"/>
      <c r="F1485" s="181"/>
      <c r="G1485" s="181"/>
      <c r="H1485" s="181"/>
      <c r="I1485" s="181"/>
      <c r="J1485" s="181"/>
      <c r="K1485" s="181"/>
      <c r="L1485" s="181"/>
      <c r="M1485" s="181"/>
      <c r="N1485" s="181"/>
      <c r="O1485" s="181"/>
      <c r="P1485" s="181"/>
      <c r="Q1485" s="181"/>
      <c r="R1485" s="181"/>
      <c r="S1485" s="181"/>
      <c r="T1485" s="181"/>
      <c r="U1485" s="181"/>
      <c r="V1485" s="181"/>
      <c r="W1485" s="181"/>
      <c r="X1485" s="181"/>
      <c r="Y1485" s="181"/>
      <c r="Z1485" s="181"/>
    </row>
    <row r="1486">
      <c r="A1486" s="194"/>
      <c r="B1486" s="195"/>
      <c r="C1486" s="181"/>
      <c r="D1486" s="194"/>
      <c r="E1486" s="194"/>
      <c r="F1486" s="181"/>
      <c r="G1486" s="181"/>
      <c r="H1486" s="181"/>
      <c r="I1486" s="181"/>
      <c r="J1486" s="181"/>
      <c r="K1486" s="181"/>
      <c r="L1486" s="181"/>
      <c r="M1486" s="181"/>
      <c r="N1486" s="181"/>
      <c r="O1486" s="181"/>
      <c r="P1486" s="181"/>
      <c r="Q1486" s="181"/>
      <c r="R1486" s="181"/>
      <c r="S1486" s="181"/>
      <c r="T1486" s="181"/>
      <c r="U1486" s="181"/>
      <c r="V1486" s="181"/>
      <c r="W1486" s="181"/>
      <c r="X1486" s="181"/>
      <c r="Y1486" s="181"/>
      <c r="Z1486" s="181"/>
    </row>
    <row r="1487">
      <c r="A1487" s="194"/>
      <c r="B1487" s="195"/>
      <c r="C1487" s="181"/>
      <c r="D1487" s="194"/>
      <c r="E1487" s="194"/>
      <c r="F1487" s="181"/>
      <c r="G1487" s="181"/>
      <c r="H1487" s="181"/>
      <c r="I1487" s="181"/>
      <c r="J1487" s="181"/>
      <c r="K1487" s="181"/>
      <c r="L1487" s="181"/>
      <c r="M1487" s="181"/>
      <c r="N1487" s="181"/>
      <c r="O1487" s="181"/>
      <c r="P1487" s="181"/>
      <c r="Q1487" s="181"/>
      <c r="R1487" s="181"/>
      <c r="S1487" s="181"/>
      <c r="T1487" s="181"/>
      <c r="U1487" s="181"/>
      <c r="V1487" s="181"/>
      <c r="W1487" s="181"/>
      <c r="X1487" s="181"/>
      <c r="Y1487" s="181"/>
      <c r="Z1487" s="181"/>
    </row>
    <row r="1488">
      <c r="A1488" s="194"/>
      <c r="B1488" s="195"/>
      <c r="C1488" s="181"/>
      <c r="D1488" s="194"/>
      <c r="E1488" s="194"/>
      <c r="F1488" s="181"/>
      <c r="G1488" s="181"/>
      <c r="H1488" s="181"/>
      <c r="I1488" s="181"/>
      <c r="J1488" s="181"/>
      <c r="K1488" s="181"/>
      <c r="L1488" s="181"/>
      <c r="M1488" s="181"/>
      <c r="N1488" s="181"/>
      <c r="O1488" s="181"/>
      <c r="P1488" s="181"/>
      <c r="Q1488" s="181"/>
      <c r="R1488" s="181"/>
      <c r="S1488" s="181"/>
      <c r="T1488" s="181"/>
      <c r="U1488" s="181"/>
      <c r="V1488" s="181"/>
      <c r="W1488" s="181"/>
      <c r="X1488" s="181"/>
      <c r="Y1488" s="181"/>
      <c r="Z1488" s="181"/>
    </row>
    <row r="1489">
      <c r="A1489" s="194"/>
      <c r="B1489" s="195"/>
      <c r="C1489" s="181"/>
      <c r="D1489" s="194"/>
      <c r="E1489" s="194"/>
      <c r="F1489" s="181"/>
      <c r="G1489" s="181"/>
      <c r="H1489" s="181"/>
      <c r="I1489" s="181"/>
      <c r="J1489" s="181"/>
      <c r="K1489" s="181"/>
      <c r="L1489" s="181"/>
      <c r="M1489" s="181"/>
      <c r="N1489" s="181"/>
      <c r="O1489" s="181"/>
      <c r="P1489" s="181"/>
      <c r="Q1489" s="181"/>
      <c r="R1489" s="181"/>
      <c r="S1489" s="181"/>
      <c r="T1489" s="181"/>
      <c r="U1489" s="181"/>
      <c r="V1489" s="181"/>
      <c r="W1489" s="181"/>
      <c r="X1489" s="181"/>
      <c r="Y1489" s="181"/>
      <c r="Z1489" s="181"/>
    </row>
    <row r="1490">
      <c r="A1490" s="194"/>
      <c r="B1490" s="195"/>
      <c r="C1490" s="181"/>
      <c r="D1490" s="194"/>
      <c r="E1490" s="194"/>
      <c r="F1490" s="181"/>
      <c r="G1490" s="181"/>
      <c r="H1490" s="181"/>
      <c r="I1490" s="181"/>
      <c r="J1490" s="181"/>
      <c r="K1490" s="181"/>
      <c r="L1490" s="181"/>
      <c r="M1490" s="181"/>
      <c r="N1490" s="181"/>
      <c r="O1490" s="181"/>
      <c r="P1490" s="181"/>
      <c r="Q1490" s="181"/>
      <c r="R1490" s="181"/>
      <c r="S1490" s="181"/>
      <c r="T1490" s="181"/>
      <c r="U1490" s="181"/>
      <c r="V1490" s="181"/>
      <c r="W1490" s="181"/>
      <c r="X1490" s="181"/>
      <c r="Y1490" s="181"/>
      <c r="Z1490" s="181"/>
    </row>
    <row r="1491">
      <c r="A1491" s="194"/>
      <c r="B1491" s="195"/>
      <c r="C1491" s="181"/>
      <c r="D1491" s="194"/>
      <c r="E1491" s="194"/>
      <c r="F1491" s="181"/>
      <c r="G1491" s="181"/>
      <c r="H1491" s="181"/>
      <c r="I1491" s="181"/>
      <c r="J1491" s="181"/>
      <c r="K1491" s="181"/>
      <c r="L1491" s="181"/>
      <c r="M1491" s="181"/>
      <c r="N1491" s="181"/>
      <c r="O1491" s="181"/>
      <c r="P1491" s="181"/>
      <c r="Q1491" s="181"/>
      <c r="R1491" s="181"/>
      <c r="S1491" s="181"/>
      <c r="T1491" s="181"/>
      <c r="U1491" s="181"/>
      <c r="V1491" s="181"/>
      <c r="W1491" s="181"/>
      <c r="X1491" s="181"/>
      <c r="Y1491" s="181"/>
      <c r="Z1491" s="181"/>
    </row>
    <row r="1492">
      <c r="A1492" s="194"/>
      <c r="B1492" s="195"/>
      <c r="C1492" s="181"/>
      <c r="D1492" s="194"/>
      <c r="E1492" s="194"/>
      <c r="F1492" s="181"/>
      <c r="G1492" s="181"/>
      <c r="H1492" s="181"/>
      <c r="I1492" s="181"/>
      <c r="J1492" s="181"/>
      <c r="K1492" s="181"/>
      <c r="L1492" s="181"/>
      <c r="M1492" s="181"/>
      <c r="N1492" s="181"/>
      <c r="O1492" s="181"/>
      <c r="P1492" s="181"/>
      <c r="Q1492" s="181"/>
      <c r="R1492" s="181"/>
      <c r="S1492" s="181"/>
      <c r="T1492" s="181"/>
      <c r="U1492" s="181"/>
      <c r="V1492" s="181"/>
      <c r="W1492" s="181"/>
      <c r="X1492" s="181"/>
      <c r="Y1492" s="181"/>
      <c r="Z1492" s="181"/>
    </row>
    <row r="1493">
      <c r="A1493" s="194"/>
      <c r="B1493" s="195"/>
      <c r="C1493" s="181"/>
      <c r="D1493" s="194"/>
      <c r="E1493" s="194"/>
      <c r="F1493" s="181"/>
      <c r="G1493" s="181"/>
      <c r="H1493" s="181"/>
      <c r="I1493" s="181"/>
      <c r="J1493" s="181"/>
      <c r="K1493" s="181"/>
      <c r="L1493" s="181"/>
      <c r="M1493" s="181"/>
      <c r="N1493" s="181"/>
      <c r="O1493" s="181"/>
      <c r="P1493" s="181"/>
      <c r="Q1493" s="181"/>
      <c r="R1493" s="181"/>
      <c r="S1493" s="181"/>
      <c r="T1493" s="181"/>
      <c r="U1493" s="181"/>
      <c r="V1493" s="181"/>
      <c r="W1493" s="181"/>
      <c r="X1493" s="181"/>
      <c r="Y1493" s="181"/>
      <c r="Z1493" s="181"/>
    </row>
    <row r="1494">
      <c r="A1494" s="194"/>
      <c r="B1494" s="195"/>
      <c r="C1494" s="181"/>
      <c r="D1494" s="194"/>
      <c r="E1494" s="194"/>
      <c r="F1494" s="181"/>
      <c r="G1494" s="181"/>
      <c r="H1494" s="181"/>
      <c r="I1494" s="181"/>
      <c r="J1494" s="181"/>
      <c r="K1494" s="181"/>
      <c r="L1494" s="181"/>
      <c r="M1494" s="181"/>
      <c r="N1494" s="181"/>
      <c r="O1494" s="181"/>
      <c r="P1494" s="181"/>
      <c r="Q1494" s="181"/>
      <c r="R1494" s="181"/>
      <c r="S1494" s="181"/>
      <c r="T1494" s="181"/>
      <c r="U1494" s="181"/>
      <c r="V1494" s="181"/>
      <c r="W1494" s="181"/>
      <c r="X1494" s="181"/>
      <c r="Y1494" s="181"/>
      <c r="Z1494" s="181"/>
    </row>
    <row r="1495">
      <c r="A1495" s="194"/>
      <c r="B1495" s="195"/>
      <c r="C1495" s="181"/>
      <c r="D1495" s="194"/>
      <c r="E1495" s="194"/>
      <c r="F1495" s="181"/>
      <c r="G1495" s="181"/>
      <c r="H1495" s="181"/>
      <c r="I1495" s="181"/>
      <c r="J1495" s="181"/>
      <c r="K1495" s="181"/>
      <c r="L1495" s="181"/>
      <c r="M1495" s="181"/>
      <c r="N1495" s="181"/>
      <c r="O1495" s="181"/>
      <c r="P1495" s="181"/>
      <c r="Q1495" s="181"/>
      <c r="R1495" s="181"/>
      <c r="S1495" s="181"/>
      <c r="T1495" s="181"/>
      <c r="U1495" s="181"/>
      <c r="V1495" s="181"/>
      <c r="W1495" s="181"/>
      <c r="X1495" s="181"/>
      <c r="Y1495" s="181"/>
      <c r="Z1495" s="181"/>
    </row>
    <row r="1496">
      <c r="A1496" s="194"/>
      <c r="B1496" s="195"/>
      <c r="C1496" s="181"/>
      <c r="D1496" s="194"/>
      <c r="E1496" s="194"/>
      <c r="F1496" s="181"/>
      <c r="G1496" s="181"/>
      <c r="H1496" s="181"/>
      <c r="I1496" s="181"/>
      <c r="J1496" s="181"/>
      <c r="K1496" s="181"/>
      <c r="L1496" s="181"/>
      <c r="M1496" s="181"/>
      <c r="N1496" s="181"/>
      <c r="O1496" s="181"/>
      <c r="P1496" s="181"/>
      <c r="Q1496" s="181"/>
      <c r="R1496" s="181"/>
      <c r="S1496" s="181"/>
      <c r="T1496" s="181"/>
      <c r="U1496" s="181"/>
      <c r="V1496" s="181"/>
      <c r="W1496" s="181"/>
      <c r="X1496" s="181"/>
      <c r="Y1496" s="181"/>
      <c r="Z1496" s="181"/>
    </row>
    <row r="1497">
      <c r="A1497" s="194"/>
      <c r="B1497" s="195"/>
      <c r="C1497" s="181"/>
      <c r="D1497" s="194"/>
      <c r="E1497" s="194"/>
      <c r="F1497" s="181"/>
      <c r="G1497" s="181"/>
      <c r="H1497" s="181"/>
      <c r="I1497" s="181"/>
      <c r="J1497" s="181"/>
      <c r="K1497" s="181"/>
      <c r="L1497" s="181"/>
      <c r="M1497" s="181"/>
      <c r="N1497" s="181"/>
      <c r="O1497" s="181"/>
      <c r="P1497" s="181"/>
      <c r="Q1497" s="181"/>
      <c r="R1497" s="181"/>
      <c r="S1497" s="181"/>
      <c r="T1497" s="181"/>
      <c r="U1497" s="181"/>
      <c r="V1497" s="181"/>
      <c r="W1497" s="181"/>
      <c r="X1497" s="181"/>
      <c r="Y1497" s="181"/>
      <c r="Z1497" s="181"/>
    </row>
    <row r="1498">
      <c r="A1498" s="194"/>
      <c r="B1498" s="195"/>
      <c r="C1498" s="181"/>
      <c r="D1498" s="194"/>
      <c r="E1498" s="194"/>
      <c r="F1498" s="181"/>
      <c r="G1498" s="181"/>
      <c r="H1498" s="181"/>
      <c r="I1498" s="181"/>
      <c r="J1498" s="181"/>
      <c r="K1498" s="181"/>
      <c r="L1498" s="181"/>
      <c r="M1498" s="181"/>
      <c r="N1498" s="181"/>
      <c r="O1498" s="181"/>
      <c r="P1498" s="181"/>
      <c r="Q1498" s="181"/>
      <c r="R1498" s="181"/>
      <c r="S1498" s="181"/>
      <c r="T1498" s="181"/>
      <c r="U1498" s="181"/>
      <c r="V1498" s="181"/>
      <c r="W1498" s="181"/>
      <c r="X1498" s="181"/>
      <c r="Y1498" s="181"/>
      <c r="Z1498" s="181"/>
    </row>
    <row r="1499">
      <c r="A1499" s="194"/>
      <c r="B1499" s="195"/>
      <c r="C1499" s="181"/>
      <c r="D1499" s="194"/>
      <c r="E1499" s="194"/>
      <c r="F1499" s="181"/>
      <c r="G1499" s="181"/>
      <c r="H1499" s="181"/>
      <c r="I1499" s="181"/>
      <c r="J1499" s="181"/>
      <c r="K1499" s="181"/>
      <c r="L1499" s="181"/>
      <c r="M1499" s="181"/>
      <c r="N1499" s="181"/>
      <c r="O1499" s="181"/>
      <c r="P1499" s="181"/>
      <c r="Q1499" s="181"/>
      <c r="R1499" s="181"/>
      <c r="S1499" s="181"/>
      <c r="T1499" s="181"/>
      <c r="U1499" s="181"/>
      <c r="V1499" s="181"/>
      <c r="W1499" s="181"/>
      <c r="X1499" s="181"/>
      <c r="Y1499" s="181"/>
      <c r="Z1499" s="181"/>
    </row>
    <row r="1500">
      <c r="A1500" s="194"/>
      <c r="B1500" s="195"/>
      <c r="C1500" s="181"/>
      <c r="D1500" s="194"/>
      <c r="E1500" s="194"/>
      <c r="F1500" s="181"/>
      <c r="G1500" s="181"/>
      <c r="H1500" s="181"/>
      <c r="I1500" s="181"/>
      <c r="J1500" s="181"/>
      <c r="K1500" s="181"/>
      <c r="L1500" s="181"/>
      <c r="M1500" s="181"/>
      <c r="N1500" s="181"/>
      <c r="O1500" s="181"/>
      <c r="P1500" s="181"/>
      <c r="Q1500" s="181"/>
      <c r="R1500" s="181"/>
      <c r="S1500" s="181"/>
      <c r="T1500" s="181"/>
      <c r="U1500" s="181"/>
      <c r="V1500" s="181"/>
      <c r="W1500" s="181"/>
      <c r="X1500" s="181"/>
      <c r="Y1500" s="181"/>
      <c r="Z1500" s="181"/>
    </row>
    <row r="1501">
      <c r="A1501" s="194"/>
      <c r="B1501" s="195"/>
      <c r="C1501" s="181"/>
      <c r="D1501" s="194"/>
      <c r="E1501" s="194"/>
      <c r="F1501" s="181"/>
      <c r="G1501" s="181"/>
      <c r="H1501" s="181"/>
      <c r="I1501" s="181"/>
      <c r="J1501" s="181"/>
      <c r="K1501" s="181"/>
      <c r="L1501" s="181"/>
      <c r="M1501" s="181"/>
      <c r="N1501" s="181"/>
      <c r="O1501" s="181"/>
      <c r="P1501" s="181"/>
      <c r="Q1501" s="181"/>
      <c r="R1501" s="181"/>
      <c r="S1501" s="181"/>
      <c r="T1501" s="181"/>
      <c r="U1501" s="181"/>
      <c r="V1501" s="181"/>
      <c r="W1501" s="181"/>
      <c r="X1501" s="181"/>
      <c r="Y1501" s="181"/>
      <c r="Z1501" s="181"/>
    </row>
    <row r="1502">
      <c r="A1502" s="194"/>
      <c r="B1502" s="195"/>
      <c r="C1502" s="181"/>
      <c r="D1502" s="194"/>
      <c r="E1502" s="194"/>
      <c r="F1502" s="181"/>
      <c r="G1502" s="181"/>
      <c r="H1502" s="181"/>
      <c r="I1502" s="181"/>
      <c r="J1502" s="181"/>
      <c r="K1502" s="181"/>
      <c r="L1502" s="181"/>
      <c r="M1502" s="181"/>
      <c r="N1502" s="181"/>
      <c r="O1502" s="181"/>
      <c r="P1502" s="181"/>
      <c r="Q1502" s="181"/>
      <c r="R1502" s="181"/>
      <c r="S1502" s="181"/>
      <c r="T1502" s="181"/>
      <c r="U1502" s="181"/>
      <c r="V1502" s="181"/>
      <c r="W1502" s="181"/>
      <c r="X1502" s="181"/>
      <c r="Y1502" s="181"/>
      <c r="Z1502" s="181"/>
    </row>
    <row r="1503">
      <c r="A1503" s="194"/>
      <c r="B1503" s="195"/>
      <c r="C1503" s="181"/>
      <c r="D1503" s="194"/>
      <c r="E1503" s="194"/>
      <c r="F1503" s="181"/>
      <c r="G1503" s="181"/>
      <c r="H1503" s="181"/>
      <c r="I1503" s="181"/>
      <c r="J1503" s="181"/>
      <c r="K1503" s="181"/>
      <c r="L1503" s="181"/>
      <c r="M1503" s="181"/>
      <c r="N1503" s="181"/>
      <c r="O1503" s="181"/>
      <c r="P1503" s="181"/>
      <c r="Q1503" s="181"/>
      <c r="R1503" s="181"/>
      <c r="S1503" s="181"/>
      <c r="T1503" s="181"/>
      <c r="U1503" s="181"/>
      <c r="V1503" s="181"/>
      <c r="W1503" s="181"/>
      <c r="X1503" s="181"/>
      <c r="Y1503" s="181"/>
      <c r="Z1503" s="181"/>
    </row>
    <row r="1504">
      <c r="A1504" s="194"/>
      <c r="B1504" s="195"/>
      <c r="C1504" s="181"/>
      <c r="D1504" s="194"/>
      <c r="E1504" s="194"/>
      <c r="F1504" s="181"/>
      <c r="G1504" s="181"/>
      <c r="H1504" s="181"/>
      <c r="I1504" s="181"/>
      <c r="J1504" s="181"/>
      <c r="K1504" s="181"/>
      <c r="L1504" s="181"/>
      <c r="M1504" s="181"/>
      <c r="N1504" s="181"/>
      <c r="O1504" s="181"/>
      <c r="P1504" s="181"/>
      <c r="Q1504" s="181"/>
      <c r="R1504" s="181"/>
      <c r="S1504" s="181"/>
      <c r="T1504" s="181"/>
      <c r="U1504" s="181"/>
      <c r="V1504" s="181"/>
      <c r="W1504" s="181"/>
      <c r="X1504" s="181"/>
      <c r="Y1504" s="181"/>
      <c r="Z1504" s="181"/>
    </row>
    <row r="1505">
      <c r="A1505" s="194"/>
      <c r="B1505" s="195"/>
      <c r="C1505" s="181"/>
      <c r="D1505" s="194"/>
      <c r="E1505" s="194"/>
      <c r="F1505" s="181"/>
      <c r="G1505" s="181"/>
      <c r="H1505" s="181"/>
      <c r="I1505" s="181"/>
      <c r="J1505" s="181"/>
      <c r="K1505" s="181"/>
      <c r="L1505" s="181"/>
      <c r="M1505" s="181"/>
      <c r="N1505" s="181"/>
      <c r="O1505" s="181"/>
      <c r="P1505" s="181"/>
      <c r="Q1505" s="181"/>
      <c r="R1505" s="181"/>
      <c r="S1505" s="181"/>
      <c r="T1505" s="181"/>
      <c r="U1505" s="181"/>
      <c r="V1505" s="181"/>
      <c r="W1505" s="181"/>
      <c r="X1505" s="181"/>
      <c r="Y1505" s="181"/>
      <c r="Z1505" s="181"/>
    </row>
    <row r="1506">
      <c r="A1506" s="194"/>
      <c r="B1506" s="195"/>
      <c r="C1506" s="181"/>
      <c r="D1506" s="194"/>
      <c r="E1506" s="194"/>
      <c r="F1506" s="181"/>
      <c r="G1506" s="181"/>
      <c r="H1506" s="181"/>
      <c r="I1506" s="181"/>
      <c r="J1506" s="181"/>
      <c r="K1506" s="181"/>
      <c r="L1506" s="181"/>
      <c r="M1506" s="181"/>
      <c r="N1506" s="181"/>
      <c r="O1506" s="181"/>
      <c r="P1506" s="181"/>
      <c r="Q1506" s="181"/>
      <c r="R1506" s="181"/>
      <c r="S1506" s="181"/>
      <c r="T1506" s="181"/>
      <c r="U1506" s="181"/>
      <c r="V1506" s="181"/>
      <c r="W1506" s="181"/>
      <c r="X1506" s="181"/>
      <c r="Y1506" s="181"/>
      <c r="Z1506" s="181"/>
    </row>
    <row r="1507">
      <c r="A1507" s="194"/>
      <c r="B1507" s="195"/>
      <c r="C1507" s="181"/>
      <c r="D1507" s="194"/>
      <c r="E1507" s="194"/>
      <c r="F1507" s="181"/>
      <c r="G1507" s="181"/>
      <c r="H1507" s="181"/>
      <c r="I1507" s="181"/>
      <c r="J1507" s="181"/>
      <c r="K1507" s="181"/>
      <c r="L1507" s="181"/>
      <c r="M1507" s="181"/>
      <c r="N1507" s="181"/>
      <c r="O1507" s="181"/>
      <c r="P1507" s="181"/>
      <c r="Q1507" s="181"/>
      <c r="R1507" s="181"/>
      <c r="S1507" s="181"/>
      <c r="T1507" s="181"/>
      <c r="U1507" s="181"/>
      <c r="V1507" s="181"/>
      <c r="W1507" s="181"/>
      <c r="X1507" s="181"/>
      <c r="Y1507" s="181"/>
      <c r="Z1507" s="181"/>
    </row>
    <row r="1508">
      <c r="A1508" s="194"/>
      <c r="B1508" s="195"/>
      <c r="C1508" s="181"/>
      <c r="D1508" s="194"/>
      <c r="E1508" s="194"/>
      <c r="F1508" s="181"/>
      <c r="G1508" s="181"/>
      <c r="H1508" s="181"/>
      <c r="I1508" s="181"/>
      <c r="J1508" s="181"/>
      <c r="K1508" s="181"/>
      <c r="L1508" s="181"/>
      <c r="M1508" s="181"/>
      <c r="N1508" s="181"/>
      <c r="O1508" s="181"/>
      <c r="P1508" s="181"/>
      <c r="Q1508" s="181"/>
      <c r="R1508" s="181"/>
      <c r="S1508" s="181"/>
      <c r="T1508" s="181"/>
      <c r="U1508" s="181"/>
      <c r="V1508" s="181"/>
      <c r="W1508" s="181"/>
      <c r="X1508" s="181"/>
      <c r="Y1508" s="181"/>
      <c r="Z1508" s="181"/>
    </row>
    <row r="1509">
      <c r="A1509" s="194"/>
      <c r="B1509" s="195"/>
      <c r="C1509" s="181"/>
      <c r="D1509" s="194"/>
      <c r="E1509" s="194"/>
      <c r="F1509" s="181"/>
      <c r="G1509" s="181"/>
      <c r="H1509" s="181"/>
      <c r="I1509" s="181"/>
      <c r="J1509" s="181"/>
      <c r="K1509" s="181"/>
      <c r="L1509" s="181"/>
      <c r="M1509" s="181"/>
      <c r="N1509" s="181"/>
      <c r="O1509" s="181"/>
      <c r="P1509" s="181"/>
      <c r="Q1509" s="181"/>
      <c r="R1509" s="181"/>
      <c r="S1509" s="181"/>
      <c r="T1509" s="181"/>
      <c r="U1509" s="181"/>
      <c r="V1509" s="181"/>
      <c r="W1509" s="181"/>
      <c r="X1509" s="181"/>
      <c r="Y1509" s="181"/>
      <c r="Z1509" s="181"/>
    </row>
    <row r="1510">
      <c r="A1510" s="194"/>
      <c r="B1510" s="195"/>
      <c r="C1510" s="181"/>
      <c r="D1510" s="194"/>
      <c r="E1510" s="194"/>
      <c r="F1510" s="181"/>
      <c r="G1510" s="181"/>
      <c r="H1510" s="181"/>
      <c r="I1510" s="181"/>
      <c r="J1510" s="181"/>
      <c r="K1510" s="181"/>
      <c r="L1510" s="181"/>
      <c r="M1510" s="181"/>
      <c r="N1510" s="181"/>
      <c r="O1510" s="181"/>
      <c r="P1510" s="181"/>
      <c r="Q1510" s="181"/>
      <c r="R1510" s="181"/>
      <c r="S1510" s="181"/>
      <c r="T1510" s="181"/>
      <c r="U1510" s="181"/>
      <c r="V1510" s="181"/>
      <c r="W1510" s="181"/>
      <c r="X1510" s="181"/>
      <c r="Y1510" s="181"/>
      <c r="Z1510" s="181"/>
    </row>
    <row r="1511">
      <c r="A1511" s="194"/>
      <c r="B1511" s="195"/>
      <c r="C1511" s="181"/>
      <c r="D1511" s="194"/>
      <c r="E1511" s="194"/>
      <c r="F1511" s="181"/>
      <c r="G1511" s="181"/>
      <c r="H1511" s="181"/>
      <c r="I1511" s="181"/>
      <c r="J1511" s="181"/>
      <c r="K1511" s="181"/>
      <c r="L1511" s="181"/>
      <c r="M1511" s="181"/>
      <c r="N1511" s="181"/>
      <c r="O1511" s="181"/>
      <c r="P1511" s="181"/>
      <c r="Q1511" s="181"/>
      <c r="R1511" s="181"/>
      <c r="S1511" s="181"/>
      <c r="T1511" s="181"/>
      <c r="U1511" s="181"/>
      <c r="V1511" s="181"/>
      <c r="W1511" s="181"/>
      <c r="X1511" s="181"/>
      <c r="Y1511" s="181"/>
      <c r="Z1511" s="181"/>
    </row>
    <row r="1512">
      <c r="A1512" s="194"/>
      <c r="B1512" s="195"/>
      <c r="C1512" s="181"/>
      <c r="D1512" s="194"/>
      <c r="E1512" s="194"/>
      <c r="F1512" s="181"/>
      <c r="G1512" s="181"/>
      <c r="H1512" s="181"/>
      <c r="I1512" s="181"/>
      <c r="J1512" s="181"/>
      <c r="K1512" s="181"/>
      <c r="L1512" s="181"/>
      <c r="M1512" s="181"/>
      <c r="N1512" s="181"/>
      <c r="O1512" s="181"/>
      <c r="P1512" s="181"/>
      <c r="Q1512" s="181"/>
      <c r="R1512" s="181"/>
      <c r="S1512" s="181"/>
      <c r="T1512" s="181"/>
      <c r="U1512" s="181"/>
      <c r="V1512" s="181"/>
      <c r="W1512" s="181"/>
      <c r="X1512" s="181"/>
      <c r="Y1512" s="181"/>
      <c r="Z1512" s="181"/>
    </row>
    <row r="1513">
      <c r="A1513" s="194"/>
      <c r="B1513" s="195"/>
      <c r="C1513" s="181"/>
      <c r="D1513" s="194"/>
      <c r="E1513" s="194"/>
      <c r="F1513" s="181"/>
      <c r="G1513" s="181"/>
      <c r="H1513" s="181"/>
      <c r="I1513" s="181"/>
      <c r="J1513" s="181"/>
      <c r="K1513" s="181"/>
      <c r="L1513" s="181"/>
      <c r="M1513" s="181"/>
      <c r="N1513" s="181"/>
      <c r="O1513" s="181"/>
      <c r="P1513" s="181"/>
      <c r="Q1513" s="181"/>
      <c r="R1513" s="181"/>
      <c r="S1513" s="181"/>
      <c r="T1513" s="181"/>
      <c r="U1513" s="181"/>
      <c r="V1513" s="181"/>
      <c r="W1513" s="181"/>
      <c r="X1513" s="181"/>
      <c r="Y1513" s="181"/>
      <c r="Z1513" s="181"/>
    </row>
    <row r="1514">
      <c r="A1514" s="194"/>
      <c r="B1514" s="195"/>
      <c r="C1514" s="181"/>
      <c r="D1514" s="194"/>
      <c r="E1514" s="194"/>
      <c r="F1514" s="181"/>
      <c r="G1514" s="181"/>
      <c r="H1514" s="181"/>
      <c r="I1514" s="181"/>
      <c r="J1514" s="181"/>
      <c r="K1514" s="181"/>
      <c r="L1514" s="181"/>
      <c r="M1514" s="181"/>
      <c r="N1514" s="181"/>
      <c r="O1514" s="181"/>
      <c r="P1514" s="181"/>
      <c r="Q1514" s="181"/>
      <c r="R1514" s="181"/>
      <c r="S1514" s="181"/>
      <c r="T1514" s="181"/>
      <c r="U1514" s="181"/>
      <c r="V1514" s="181"/>
      <c r="W1514" s="181"/>
      <c r="X1514" s="181"/>
      <c r="Y1514" s="181"/>
      <c r="Z1514" s="181"/>
    </row>
    <row r="1515">
      <c r="A1515" s="194"/>
      <c r="B1515" s="195"/>
      <c r="C1515" s="181"/>
      <c r="D1515" s="194"/>
      <c r="E1515" s="194"/>
      <c r="F1515" s="181"/>
      <c r="G1515" s="181"/>
      <c r="H1515" s="181"/>
      <c r="I1515" s="181"/>
      <c r="J1515" s="181"/>
      <c r="K1515" s="181"/>
      <c r="L1515" s="181"/>
      <c r="M1515" s="181"/>
      <c r="N1515" s="181"/>
      <c r="O1515" s="181"/>
      <c r="P1515" s="181"/>
      <c r="Q1515" s="181"/>
      <c r="R1515" s="181"/>
      <c r="S1515" s="181"/>
      <c r="T1515" s="181"/>
      <c r="U1515" s="181"/>
      <c r="V1515" s="181"/>
      <c r="W1515" s="181"/>
      <c r="X1515" s="181"/>
      <c r="Y1515" s="181"/>
      <c r="Z1515" s="181"/>
    </row>
    <row r="1516">
      <c r="A1516" s="194"/>
      <c r="B1516" s="195"/>
      <c r="C1516" s="181"/>
      <c r="D1516" s="194"/>
      <c r="E1516" s="194"/>
      <c r="F1516" s="181"/>
      <c r="G1516" s="181"/>
      <c r="H1516" s="181"/>
      <c r="I1516" s="181"/>
      <c r="J1516" s="181"/>
      <c r="K1516" s="181"/>
      <c r="L1516" s="181"/>
      <c r="M1516" s="181"/>
      <c r="N1516" s="181"/>
      <c r="O1516" s="181"/>
      <c r="P1516" s="181"/>
      <c r="Q1516" s="181"/>
      <c r="R1516" s="181"/>
      <c r="S1516" s="181"/>
      <c r="T1516" s="181"/>
      <c r="U1516" s="181"/>
      <c r="V1516" s="181"/>
      <c r="W1516" s="181"/>
      <c r="X1516" s="181"/>
      <c r="Y1516" s="181"/>
      <c r="Z1516" s="181"/>
    </row>
    <row r="1517">
      <c r="A1517" s="194"/>
      <c r="B1517" s="195"/>
      <c r="C1517" s="181"/>
      <c r="D1517" s="194"/>
      <c r="E1517" s="194"/>
      <c r="F1517" s="181"/>
      <c r="G1517" s="181"/>
      <c r="H1517" s="181"/>
      <c r="I1517" s="181"/>
      <c r="J1517" s="181"/>
      <c r="K1517" s="181"/>
      <c r="L1517" s="181"/>
      <c r="M1517" s="181"/>
      <c r="N1517" s="181"/>
      <c r="O1517" s="181"/>
      <c r="P1517" s="181"/>
      <c r="Q1517" s="181"/>
      <c r="R1517" s="181"/>
      <c r="S1517" s="181"/>
      <c r="T1517" s="181"/>
      <c r="U1517" s="181"/>
      <c r="V1517" s="181"/>
      <c r="W1517" s="181"/>
      <c r="X1517" s="181"/>
      <c r="Y1517" s="181"/>
      <c r="Z1517" s="181"/>
    </row>
    <row r="1518">
      <c r="A1518" s="194"/>
      <c r="B1518" s="195"/>
      <c r="C1518" s="181"/>
      <c r="D1518" s="194"/>
      <c r="E1518" s="194"/>
      <c r="F1518" s="181"/>
      <c r="G1518" s="181"/>
      <c r="H1518" s="181"/>
      <c r="I1518" s="181"/>
      <c r="J1518" s="181"/>
      <c r="K1518" s="181"/>
      <c r="L1518" s="181"/>
      <c r="M1518" s="181"/>
      <c r="N1518" s="181"/>
      <c r="O1518" s="181"/>
      <c r="P1518" s="181"/>
      <c r="Q1518" s="181"/>
      <c r="R1518" s="181"/>
      <c r="S1518" s="181"/>
      <c r="T1518" s="181"/>
      <c r="U1518" s="181"/>
      <c r="V1518" s="181"/>
      <c r="W1518" s="181"/>
      <c r="X1518" s="181"/>
      <c r="Y1518" s="181"/>
      <c r="Z1518" s="181"/>
    </row>
    <row r="1519">
      <c r="A1519" s="194"/>
      <c r="B1519" s="195"/>
      <c r="C1519" s="181"/>
      <c r="D1519" s="194"/>
      <c r="E1519" s="194"/>
      <c r="F1519" s="181"/>
      <c r="G1519" s="181"/>
      <c r="H1519" s="181"/>
      <c r="I1519" s="181"/>
      <c r="J1519" s="181"/>
      <c r="K1519" s="181"/>
      <c r="L1519" s="181"/>
      <c r="M1519" s="181"/>
      <c r="N1519" s="181"/>
      <c r="O1519" s="181"/>
      <c r="P1519" s="181"/>
      <c r="Q1519" s="181"/>
      <c r="R1519" s="181"/>
      <c r="S1519" s="181"/>
      <c r="T1519" s="181"/>
      <c r="U1519" s="181"/>
      <c r="V1519" s="181"/>
      <c r="W1519" s="181"/>
      <c r="X1519" s="181"/>
      <c r="Y1519" s="181"/>
      <c r="Z1519" s="181"/>
    </row>
    <row r="1520">
      <c r="A1520" s="194"/>
      <c r="B1520" s="195"/>
      <c r="C1520" s="181"/>
      <c r="D1520" s="194"/>
      <c r="E1520" s="194"/>
      <c r="F1520" s="181"/>
      <c r="G1520" s="181"/>
      <c r="H1520" s="181"/>
      <c r="I1520" s="181"/>
      <c r="J1520" s="181"/>
      <c r="K1520" s="181"/>
      <c r="L1520" s="181"/>
      <c r="M1520" s="181"/>
      <c r="N1520" s="181"/>
      <c r="O1520" s="181"/>
      <c r="P1520" s="181"/>
      <c r="Q1520" s="181"/>
      <c r="R1520" s="181"/>
      <c r="S1520" s="181"/>
      <c r="T1520" s="181"/>
      <c r="U1520" s="181"/>
      <c r="V1520" s="181"/>
      <c r="W1520" s="181"/>
      <c r="X1520" s="181"/>
      <c r="Y1520" s="181"/>
      <c r="Z1520" s="181"/>
    </row>
    <row r="1521">
      <c r="A1521" s="194"/>
      <c r="B1521" s="195"/>
      <c r="C1521" s="181"/>
      <c r="D1521" s="194"/>
      <c r="E1521" s="194"/>
      <c r="F1521" s="181"/>
      <c r="G1521" s="181"/>
      <c r="H1521" s="181"/>
      <c r="I1521" s="181"/>
      <c r="J1521" s="181"/>
      <c r="K1521" s="181"/>
      <c r="L1521" s="181"/>
      <c r="M1521" s="181"/>
      <c r="N1521" s="181"/>
      <c r="O1521" s="181"/>
      <c r="P1521" s="181"/>
      <c r="Q1521" s="181"/>
      <c r="R1521" s="181"/>
      <c r="S1521" s="181"/>
      <c r="T1521" s="181"/>
      <c r="U1521" s="181"/>
      <c r="V1521" s="181"/>
      <c r="W1521" s="181"/>
      <c r="X1521" s="181"/>
      <c r="Y1521" s="181"/>
      <c r="Z1521" s="181"/>
    </row>
    <row r="1522">
      <c r="A1522" s="194"/>
      <c r="B1522" s="195"/>
      <c r="C1522" s="181"/>
      <c r="D1522" s="194"/>
      <c r="E1522" s="194"/>
      <c r="F1522" s="181"/>
      <c r="G1522" s="181"/>
      <c r="H1522" s="181"/>
      <c r="I1522" s="181"/>
      <c r="J1522" s="181"/>
      <c r="K1522" s="181"/>
      <c r="L1522" s="181"/>
      <c r="M1522" s="181"/>
      <c r="N1522" s="181"/>
      <c r="O1522" s="181"/>
      <c r="P1522" s="181"/>
      <c r="Q1522" s="181"/>
      <c r="R1522" s="181"/>
      <c r="S1522" s="181"/>
      <c r="T1522" s="181"/>
      <c r="U1522" s="181"/>
      <c r="V1522" s="181"/>
      <c r="W1522" s="181"/>
      <c r="X1522" s="181"/>
      <c r="Y1522" s="181"/>
      <c r="Z1522" s="181"/>
    </row>
    <row r="1523">
      <c r="A1523" s="194"/>
      <c r="B1523" s="195"/>
      <c r="C1523" s="181"/>
      <c r="D1523" s="194"/>
      <c r="E1523" s="194"/>
      <c r="F1523" s="181"/>
      <c r="G1523" s="181"/>
      <c r="H1523" s="181"/>
      <c r="I1523" s="181"/>
      <c r="J1523" s="181"/>
      <c r="K1523" s="181"/>
      <c r="L1523" s="181"/>
      <c r="M1523" s="181"/>
      <c r="N1523" s="181"/>
      <c r="O1523" s="181"/>
      <c r="P1523" s="181"/>
      <c r="Q1523" s="181"/>
      <c r="R1523" s="181"/>
      <c r="S1523" s="181"/>
      <c r="T1523" s="181"/>
      <c r="U1523" s="181"/>
      <c r="V1523" s="181"/>
      <c r="W1523" s="181"/>
      <c r="X1523" s="181"/>
      <c r="Y1523" s="181"/>
      <c r="Z1523" s="181"/>
    </row>
    <row r="1524">
      <c r="A1524" s="194"/>
      <c r="B1524" s="195"/>
      <c r="C1524" s="181"/>
      <c r="D1524" s="194"/>
      <c r="E1524" s="194"/>
      <c r="F1524" s="181"/>
      <c r="G1524" s="181"/>
      <c r="H1524" s="181"/>
      <c r="I1524" s="181"/>
      <c r="J1524" s="181"/>
      <c r="K1524" s="181"/>
      <c r="L1524" s="181"/>
      <c r="M1524" s="181"/>
      <c r="N1524" s="181"/>
      <c r="O1524" s="181"/>
      <c r="P1524" s="181"/>
      <c r="Q1524" s="181"/>
      <c r="R1524" s="181"/>
      <c r="S1524" s="181"/>
      <c r="T1524" s="181"/>
      <c r="U1524" s="181"/>
      <c r="V1524" s="181"/>
      <c r="W1524" s="181"/>
      <c r="X1524" s="181"/>
      <c r="Y1524" s="181"/>
      <c r="Z1524" s="181"/>
    </row>
    <row r="1525">
      <c r="A1525" s="194"/>
      <c r="B1525" s="195"/>
      <c r="C1525" s="181"/>
      <c r="D1525" s="194"/>
      <c r="E1525" s="194"/>
      <c r="F1525" s="181"/>
      <c r="G1525" s="181"/>
      <c r="H1525" s="181"/>
      <c r="I1525" s="181"/>
      <c r="J1525" s="181"/>
      <c r="K1525" s="181"/>
      <c r="L1525" s="181"/>
      <c r="M1525" s="181"/>
      <c r="N1525" s="181"/>
      <c r="O1525" s="181"/>
      <c r="P1525" s="181"/>
      <c r="Q1525" s="181"/>
      <c r="R1525" s="181"/>
      <c r="S1525" s="181"/>
      <c r="T1525" s="181"/>
      <c r="U1525" s="181"/>
      <c r="V1525" s="181"/>
      <c r="W1525" s="181"/>
      <c r="X1525" s="181"/>
      <c r="Y1525" s="181"/>
      <c r="Z1525" s="181"/>
    </row>
    <row r="1526">
      <c r="A1526" s="194"/>
      <c r="B1526" s="195"/>
      <c r="C1526" s="181"/>
      <c r="D1526" s="194"/>
      <c r="E1526" s="194"/>
      <c r="F1526" s="181"/>
      <c r="G1526" s="181"/>
      <c r="H1526" s="181"/>
      <c r="I1526" s="181"/>
      <c r="J1526" s="181"/>
      <c r="K1526" s="181"/>
      <c r="L1526" s="181"/>
      <c r="M1526" s="181"/>
      <c r="N1526" s="181"/>
      <c r="O1526" s="181"/>
      <c r="P1526" s="181"/>
      <c r="Q1526" s="181"/>
      <c r="R1526" s="181"/>
      <c r="S1526" s="181"/>
      <c r="T1526" s="181"/>
      <c r="U1526" s="181"/>
      <c r="V1526" s="181"/>
      <c r="W1526" s="181"/>
      <c r="X1526" s="181"/>
      <c r="Y1526" s="181"/>
      <c r="Z1526" s="181"/>
    </row>
    <row r="1527">
      <c r="A1527" s="194"/>
      <c r="B1527" s="195"/>
      <c r="C1527" s="181"/>
      <c r="D1527" s="194"/>
      <c r="E1527" s="194"/>
      <c r="F1527" s="181"/>
      <c r="G1527" s="181"/>
      <c r="H1527" s="181"/>
      <c r="I1527" s="181"/>
      <c r="J1527" s="181"/>
      <c r="K1527" s="181"/>
      <c r="L1527" s="181"/>
      <c r="M1527" s="181"/>
      <c r="N1527" s="181"/>
      <c r="O1527" s="181"/>
      <c r="P1527" s="181"/>
      <c r="Q1527" s="181"/>
      <c r="R1527" s="181"/>
      <c r="S1527" s="181"/>
      <c r="T1527" s="181"/>
      <c r="U1527" s="181"/>
      <c r="V1527" s="181"/>
      <c r="W1527" s="181"/>
      <c r="X1527" s="181"/>
      <c r="Y1527" s="181"/>
      <c r="Z1527" s="181"/>
    </row>
    <row r="1528">
      <c r="A1528" s="194"/>
      <c r="B1528" s="195"/>
      <c r="C1528" s="181"/>
      <c r="D1528" s="194"/>
      <c r="E1528" s="194"/>
      <c r="F1528" s="181"/>
      <c r="G1528" s="181"/>
      <c r="H1528" s="181"/>
      <c r="I1528" s="181"/>
      <c r="J1528" s="181"/>
      <c r="K1528" s="181"/>
      <c r="L1528" s="181"/>
      <c r="M1528" s="181"/>
      <c r="N1528" s="181"/>
      <c r="O1528" s="181"/>
      <c r="P1528" s="181"/>
      <c r="Q1528" s="181"/>
      <c r="R1528" s="181"/>
      <c r="S1528" s="181"/>
      <c r="T1528" s="181"/>
      <c r="U1528" s="181"/>
      <c r="V1528" s="181"/>
      <c r="W1528" s="181"/>
      <c r="X1528" s="181"/>
      <c r="Y1528" s="181"/>
      <c r="Z1528" s="181"/>
    </row>
    <row r="1529">
      <c r="A1529" s="194"/>
      <c r="B1529" s="195"/>
      <c r="C1529" s="181"/>
      <c r="D1529" s="194"/>
      <c r="E1529" s="194"/>
      <c r="F1529" s="181"/>
      <c r="G1529" s="181"/>
      <c r="H1529" s="181"/>
      <c r="I1529" s="181"/>
      <c r="J1529" s="181"/>
      <c r="K1529" s="181"/>
      <c r="L1529" s="181"/>
      <c r="M1529" s="181"/>
      <c r="N1529" s="181"/>
      <c r="O1529" s="181"/>
      <c r="P1529" s="181"/>
      <c r="Q1529" s="181"/>
      <c r="R1529" s="181"/>
      <c r="S1529" s="181"/>
      <c r="T1529" s="181"/>
      <c r="U1529" s="181"/>
      <c r="V1529" s="181"/>
      <c r="W1529" s="181"/>
      <c r="X1529" s="181"/>
      <c r="Y1529" s="181"/>
      <c r="Z1529" s="181"/>
    </row>
    <row r="1530">
      <c r="A1530" s="194"/>
      <c r="B1530" s="195"/>
      <c r="C1530" s="181"/>
      <c r="D1530" s="194"/>
      <c r="E1530" s="194"/>
      <c r="F1530" s="181"/>
      <c r="G1530" s="181"/>
      <c r="H1530" s="181"/>
      <c r="I1530" s="181"/>
      <c r="J1530" s="181"/>
      <c r="K1530" s="181"/>
      <c r="L1530" s="181"/>
      <c r="M1530" s="181"/>
      <c r="N1530" s="181"/>
      <c r="O1530" s="181"/>
      <c r="P1530" s="181"/>
      <c r="Q1530" s="181"/>
      <c r="R1530" s="181"/>
      <c r="S1530" s="181"/>
      <c r="T1530" s="181"/>
      <c r="U1530" s="181"/>
      <c r="V1530" s="181"/>
      <c r="W1530" s="181"/>
      <c r="X1530" s="181"/>
      <c r="Y1530" s="181"/>
      <c r="Z1530" s="181"/>
    </row>
    <row r="1531">
      <c r="A1531" s="194"/>
      <c r="B1531" s="195"/>
      <c r="C1531" s="181"/>
      <c r="D1531" s="194"/>
      <c r="E1531" s="194"/>
      <c r="F1531" s="181"/>
      <c r="G1531" s="181"/>
      <c r="H1531" s="181"/>
      <c r="I1531" s="181"/>
      <c r="J1531" s="181"/>
      <c r="K1531" s="181"/>
      <c r="L1531" s="181"/>
      <c r="M1531" s="181"/>
      <c r="N1531" s="181"/>
      <c r="O1531" s="181"/>
      <c r="P1531" s="181"/>
      <c r="Q1531" s="181"/>
      <c r="R1531" s="181"/>
      <c r="S1531" s="181"/>
      <c r="T1531" s="181"/>
      <c r="U1531" s="181"/>
      <c r="V1531" s="181"/>
      <c r="W1531" s="181"/>
      <c r="X1531" s="181"/>
      <c r="Y1531" s="181"/>
      <c r="Z1531" s="181"/>
    </row>
    <row r="1532">
      <c r="A1532" s="194"/>
      <c r="B1532" s="195"/>
      <c r="C1532" s="181"/>
      <c r="D1532" s="194"/>
      <c r="E1532" s="194"/>
      <c r="F1532" s="181"/>
      <c r="G1532" s="181"/>
      <c r="H1532" s="181"/>
      <c r="I1532" s="181"/>
      <c r="J1532" s="181"/>
      <c r="K1532" s="181"/>
      <c r="L1532" s="181"/>
      <c r="M1532" s="181"/>
      <c r="N1532" s="181"/>
      <c r="O1532" s="181"/>
      <c r="P1532" s="181"/>
      <c r="Q1532" s="181"/>
      <c r="R1532" s="181"/>
      <c r="S1532" s="181"/>
      <c r="T1532" s="181"/>
      <c r="U1532" s="181"/>
      <c r="V1532" s="181"/>
      <c r="W1532" s="181"/>
      <c r="X1532" s="181"/>
      <c r="Y1532" s="181"/>
      <c r="Z1532" s="181"/>
    </row>
    <row r="1533">
      <c r="A1533" s="194"/>
      <c r="B1533" s="195"/>
      <c r="C1533" s="181"/>
      <c r="D1533" s="194"/>
      <c r="E1533" s="194"/>
      <c r="F1533" s="181"/>
      <c r="G1533" s="181"/>
      <c r="H1533" s="181"/>
      <c r="I1533" s="181"/>
      <c r="J1533" s="181"/>
      <c r="K1533" s="181"/>
      <c r="L1533" s="181"/>
      <c r="M1533" s="181"/>
      <c r="N1533" s="181"/>
      <c r="O1533" s="181"/>
      <c r="P1533" s="181"/>
      <c r="Q1533" s="181"/>
      <c r="R1533" s="181"/>
      <c r="S1533" s="181"/>
      <c r="T1533" s="181"/>
      <c r="U1533" s="181"/>
      <c r="V1533" s="181"/>
      <c r="W1533" s="181"/>
      <c r="X1533" s="181"/>
      <c r="Y1533" s="181"/>
      <c r="Z1533" s="181"/>
    </row>
    <row r="1534">
      <c r="A1534" s="194"/>
      <c r="B1534" s="195"/>
      <c r="C1534" s="181"/>
      <c r="D1534" s="194"/>
      <c r="E1534" s="194"/>
      <c r="F1534" s="181"/>
      <c r="G1534" s="181"/>
      <c r="H1534" s="181"/>
      <c r="I1534" s="181"/>
      <c r="J1534" s="181"/>
      <c r="K1534" s="181"/>
      <c r="L1534" s="181"/>
      <c r="M1534" s="181"/>
      <c r="N1534" s="181"/>
      <c r="O1534" s="181"/>
      <c r="P1534" s="181"/>
      <c r="Q1534" s="181"/>
      <c r="R1534" s="181"/>
      <c r="S1534" s="181"/>
      <c r="T1534" s="181"/>
      <c r="U1534" s="181"/>
      <c r="V1534" s="181"/>
      <c r="W1534" s="181"/>
      <c r="X1534" s="181"/>
      <c r="Y1534" s="181"/>
      <c r="Z1534" s="181"/>
    </row>
    <row r="1535">
      <c r="A1535" s="194"/>
      <c r="B1535" s="195"/>
      <c r="C1535" s="181"/>
      <c r="D1535" s="194"/>
      <c r="E1535" s="194"/>
      <c r="F1535" s="181"/>
      <c r="G1535" s="181"/>
      <c r="H1535" s="181"/>
      <c r="I1535" s="181"/>
      <c r="J1535" s="181"/>
      <c r="K1535" s="181"/>
      <c r="L1535" s="181"/>
      <c r="M1535" s="181"/>
      <c r="N1535" s="181"/>
      <c r="O1535" s="181"/>
      <c r="P1535" s="181"/>
      <c r="Q1535" s="181"/>
      <c r="R1535" s="181"/>
      <c r="S1535" s="181"/>
      <c r="T1535" s="181"/>
      <c r="U1535" s="181"/>
      <c r="V1535" s="181"/>
      <c r="W1535" s="181"/>
      <c r="X1535" s="181"/>
      <c r="Y1535" s="181"/>
      <c r="Z1535" s="181"/>
    </row>
    <row r="1536">
      <c r="A1536" s="194"/>
      <c r="B1536" s="195"/>
      <c r="C1536" s="181"/>
      <c r="D1536" s="194"/>
      <c r="E1536" s="194"/>
      <c r="F1536" s="181"/>
      <c r="G1536" s="181"/>
      <c r="H1536" s="181"/>
      <c r="I1536" s="181"/>
      <c r="J1536" s="181"/>
      <c r="K1536" s="181"/>
      <c r="L1536" s="181"/>
      <c r="M1536" s="181"/>
      <c r="N1536" s="181"/>
      <c r="O1536" s="181"/>
      <c r="P1536" s="181"/>
      <c r="Q1536" s="181"/>
      <c r="R1536" s="181"/>
      <c r="S1536" s="181"/>
      <c r="T1536" s="181"/>
      <c r="U1536" s="181"/>
      <c r="V1536" s="181"/>
      <c r="W1536" s="181"/>
      <c r="X1536" s="181"/>
      <c r="Y1536" s="181"/>
      <c r="Z1536" s="181"/>
    </row>
    <row r="1537">
      <c r="A1537" s="194"/>
      <c r="B1537" s="195"/>
      <c r="C1537" s="181"/>
      <c r="D1537" s="194"/>
      <c r="E1537" s="194"/>
      <c r="F1537" s="181"/>
      <c r="G1537" s="181"/>
      <c r="H1537" s="181"/>
      <c r="I1537" s="181"/>
      <c r="J1537" s="181"/>
      <c r="K1537" s="181"/>
      <c r="L1537" s="181"/>
      <c r="M1537" s="181"/>
      <c r="N1537" s="181"/>
      <c r="O1537" s="181"/>
      <c r="P1537" s="181"/>
      <c r="Q1537" s="181"/>
      <c r="R1537" s="181"/>
      <c r="S1537" s="181"/>
      <c r="T1537" s="181"/>
      <c r="U1537" s="181"/>
      <c r="V1537" s="181"/>
      <c r="W1537" s="181"/>
      <c r="X1537" s="181"/>
      <c r="Y1537" s="181"/>
      <c r="Z1537" s="181"/>
    </row>
    <row r="1538">
      <c r="A1538" s="194"/>
      <c r="B1538" s="195"/>
      <c r="C1538" s="181"/>
      <c r="D1538" s="194"/>
      <c r="E1538" s="194"/>
      <c r="F1538" s="181"/>
      <c r="G1538" s="181"/>
      <c r="H1538" s="181"/>
      <c r="I1538" s="181"/>
      <c r="J1538" s="181"/>
      <c r="K1538" s="181"/>
      <c r="L1538" s="181"/>
      <c r="M1538" s="181"/>
      <c r="N1538" s="181"/>
      <c r="O1538" s="181"/>
      <c r="P1538" s="181"/>
      <c r="Q1538" s="181"/>
      <c r="R1538" s="181"/>
      <c r="S1538" s="181"/>
      <c r="T1538" s="181"/>
      <c r="U1538" s="181"/>
      <c r="V1538" s="181"/>
      <c r="W1538" s="181"/>
      <c r="X1538" s="181"/>
      <c r="Y1538" s="181"/>
      <c r="Z1538" s="181"/>
    </row>
    <row r="1539">
      <c r="A1539" s="194"/>
      <c r="B1539" s="195"/>
      <c r="C1539" s="181"/>
      <c r="D1539" s="194"/>
      <c r="E1539" s="194"/>
      <c r="F1539" s="181"/>
      <c r="G1539" s="181"/>
      <c r="H1539" s="181"/>
      <c r="I1539" s="181"/>
      <c r="J1539" s="181"/>
      <c r="K1539" s="181"/>
      <c r="L1539" s="181"/>
      <c r="M1539" s="181"/>
      <c r="N1539" s="181"/>
      <c r="O1539" s="181"/>
      <c r="P1539" s="181"/>
      <c r="Q1539" s="181"/>
      <c r="R1539" s="181"/>
      <c r="S1539" s="181"/>
      <c r="T1539" s="181"/>
      <c r="U1539" s="181"/>
      <c r="V1539" s="181"/>
      <c r="W1539" s="181"/>
      <c r="X1539" s="181"/>
      <c r="Y1539" s="181"/>
      <c r="Z1539" s="181"/>
    </row>
    <row r="1540">
      <c r="A1540" s="194"/>
      <c r="B1540" s="195"/>
      <c r="C1540" s="181"/>
      <c r="D1540" s="194"/>
      <c r="E1540" s="194"/>
      <c r="F1540" s="181"/>
      <c r="G1540" s="181"/>
      <c r="H1540" s="181"/>
      <c r="I1540" s="181"/>
      <c r="J1540" s="181"/>
      <c r="K1540" s="181"/>
      <c r="L1540" s="181"/>
      <c r="M1540" s="181"/>
      <c r="N1540" s="181"/>
      <c r="O1540" s="181"/>
      <c r="P1540" s="181"/>
      <c r="Q1540" s="181"/>
      <c r="R1540" s="181"/>
      <c r="S1540" s="181"/>
      <c r="T1540" s="181"/>
      <c r="U1540" s="181"/>
      <c r="V1540" s="181"/>
      <c r="W1540" s="181"/>
      <c r="X1540" s="181"/>
      <c r="Y1540" s="181"/>
      <c r="Z1540" s="181"/>
    </row>
    <row r="1541">
      <c r="A1541" s="194"/>
      <c r="B1541" s="195"/>
      <c r="C1541" s="181"/>
      <c r="D1541" s="194"/>
      <c r="E1541" s="194"/>
      <c r="F1541" s="181"/>
      <c r="G1541" s="181"/>
      <c r="H1541" s="181"/>
      <c r="I1541" s="181"/>
      <c r="J1541" s="181"/>
      <c r="K1541" s="181"/>
      <c r="L1541" s="181"/>
      <c r="M1541" s="181"/>
      <c r="N1541" s="181"/>
      <c r="O1541" s="181"/>
      <c r="P1541" s="181"/>
      <c r="Q1541" s="181"/>
      <c r="R1541" s="181"/>
      <c r="S1541" s="181"/>
      <c r="T1541" s="181"/>
      <c r="U1541" s="181"/>
      <c r="V1541" s="181"/>
      <c r="W1541" s="181"/>
      <c r="X1541" s="181"/>
      <c r="Y1541" s="181"/>
      <c r="Z1541" s="181"/>
    </row>
    <row r="1542">
      <c r="A1542" s="194"/>
      <c r="B1542" s="195"/>
      <c r="C1542" s="181"/>
      <c r="D1542" s="194"/>
      <c r="E1542" s="194"/>
      <c r="F1542" s="181"/>
      <c r="G1542" s="181"/>
      <c r="H1542" s="181"/>
      <c r="I1542" s="181"/>
      <c r="J1542" s="181"/>
      <c r="K1542" s="181"/>
      <c r="L1542" s="181"/>
      <c r="M1542" s="181"/>
      <c r="N1542" s="181"/>
      <c r="O1542" s="181"/>
      <c r="P1542" s="181"/>
      <c r="Q1542" s="181"/>
      <c r="R1542" s="181"/>
      <c r="S1542" s="181"/>
      <c r="T1542" s="181"/>
      <c r="U1542" s="181"/>
      <c r="V1542" s="181"/>
      <c r="W1542" s="181"/>
      <c r="X1542" s="181"/>
      <c r="Y1542" s="181"/>
      <c r="Z1542" s="181"/>
    </row>
    <row r="1543">
      <c r="A1543" s="194"/>
      <c r="B1543" s="195"/>
      <c r="C1543" s="181"/>
      <c r="D1543" s="194"/>
      <c r="E1543" s="194"/>
      <c r="F1543" s="181"/>
      <c r="G1543" s="181"/>
      <c r="H1543" s="181"/>
      <c r="I1543" s="181"/>
      <c r="J1543" s="181"/>
      <c r="K1543" s="181"/>
      <c r="L1543" s="181"/>
      <c r="M1543" s="181"/>
      <c r="N1543" s="181"/>
      <c r="O1543" s="181"/>
      <c r="P1543" s="181"/>
      <c r="Q1543" s="181"/>
      <c r="R1543" s="181"/>
      <c r="S1543" s="181"/>
      <c r="T1543" s="181"/>
      <c r="U1543" s="181"/>
      <c r="V1543" s="181"/>
      <c r="W1543" s="181"/>
      <c r="X1543" s="181"/>
      <c r="Y1543" s="181"/>
      <c r="Z1543" s="181"/>
    </row>
    <row r="1544">
      <c r="A1544" s="194"/>
      <c r="B1544" s="195"/>
      <c r="C1544" s="181"/>
      <c r="D1544" s="194"/>
      <c r="E1544" s="194"/>
      <c r="F1544" s="181"/>
      <c r="G1544" s="181"/>
      <c r="H1544" s="181"/>
      <c r="I1544" s="181"/>
      <c r="J1544" s="181"/>
      <c r="K1544" s="181"/>
      <c r="L1544" s="181"/>
      <c r="M1544" s="181"/>
      <c r="N1544" s="181"/>
      <c r="O1544" s="181"/>
      <c r="P1544" s="181"/>
      <c r="Q1544" s="181"/>
      <c r="R1544" s="181"/>
      <c r="S1544" s="181"/>
      <c r="T1544" s="181"/>
      <c r="U1544" s="181"/>
      <c r="V1544" s="181"/>
      <c r="W1544" s="181"/>
      <c r="X1544" s="181"/>
      <c r="Y1544" s="181"/>
      <c r="Z1544" s="181"/>
    </row>
    <row r="1545">
      <c r="A1545" s="194"/>
      <c r="B1545" s="195"/>
      <c r="C1545" s="181"/>
      <c r="D1545" s="194"/>
      <c r="E1545" s="194"/>
      <c r="F1545" s="181"/>
      <c r="G1545" s="181"/>
      <c r="H1545" s="181"/>
      <c r="I1545" s="181"/>
      <c r="J1545" s="181"/>
      <c r="K1545" s="181"/>
      <c r="L1545" s="181"/>
      <c r="M1545" s="181"/>
      <c r="N1545" s="181"/>
      <c r="O1545" s="181"/>
      <c r="P1545" s="181"/>
      <c r="Q1545" s="181"/>
      <c r="R1545" s="181"/>
      <c r="S1545" s="181"/>
      <c r="T1545" s="181"/>
      <c r="U1545" s="181"/>
      <c r="V1545" s="181"/>
      <c r="W1545" s="181"/>
      <c r="X1545" s="181"/>
      <c r="Y1545" s="181"/>
      <c r="Z1545" s="181"/>
    </row>
    <row r="1546">
      <c r="A1546" s="194"/>
      <c r="B1546" s="195"/>
      <c r="C1546" s="181"/>
      <c r="D1546" s="194"/>
      <c r="E1546" s="194"/>
      <c r="F1546" s="181"/>
      <c r="G1546" s="181"/>
      <c r="H1546" s="181"/>
      <c r="I1546" s="181"/>
      <c r="J1546" s="181"/>
      <c r="K1546" s="181"/>
      <c r="L1546" s="181"/>
      <c r="M1546" s="181"/>
      <c r="N1546" s="181"/>
      <c r="O1546" s="181"/>
      <c r="P1546" s="181"/>
      <c r="Q1546" s="181"/>
      <c r="R1546" s="181"/>
      <c r="S1546" s="181"/>
      <c r="T1546" s="181"/>
      <c r="U1546" s="181"/>
      <c r="V1546" s="181"/>
      <c r="W1546" s="181"/>
      <c r="X1546" s="181"/>
      <c r="Y1546" s="181"/>
      <c r="Z1546" s="181"/>
    </row>
    <row r="1547">
      <c r="A1547" s="194"/>
      <c r="B1547" s="195"/>
      <c r="C1547" s="181"/>
      <c r="D1547" s="194"/>
      <c r="E1547" s="194"/>
      <c r="F1547" s="181"/>
      <c r="G1547" s="181"/>
      <c r="H1547" s="181"/>
      <c r="I1547" s="181"/>
      <c r="J1547" s="181"/>
      <c r="K1547" s="181"/>
      <c r="L1547" s="181"/>
      <c r="M1547" s="181"/>
      <c r="N1547" s="181"/>
      <c r="O1547" s="181"/>
      <c r="P1547" s="181"/>
      <c r="Q1547" s="181"/>
      <c r="R1547" s="181"/>
      <c r="S1547" s="181"/>
      <c r="T1547" s="181"/>
      <c r="U1547" s="181"/>
      <c r="V1547" s="181"/>
      <c r="W1547" s="181"/>
      <c r="X1547" s="181"/>
      <c r="Y1547" s="181"/>
      <c r="Z1547" s="181"/>
    </row>
    <row r="1548">
      <c r="A1548" s="194"/>
      <c r="B1548" s="195"/>
      <c r="C1548" s="181"/>
      <c r="D1548" s="194"/>
      <c r="E1548" s="194"/>
      <c r="F1548" s="181"/>
      <c r="G1548" s="181"/>
      <c r="H1548" s="181"/>
      <c r="I1548" s="181"/>
      <c r="J1548" s="181"/>
      <c r="K1548" s="181"/>
      <c r="L1548" s="181"/>
      <c r="M1548" s="181"/>
      <c r="N1548" s="181"/>
      <c r="O1548" s="181"/>
      <c r="P1548" s="181"/>
      <c r="Q1548" s="181"/>
      <c r="R1548" s="181"/>
      <c r="S1548" s="181"/>
      <c r="T1548" s="181"/>
      <c r="U1548" s="181"/>
      <c r="V1548" s="181"/>
      <c r="W1548" s="181"/>
      <c r="X1548" s="181"/>
      <c r="Y1548" s="181"/>
      <c r="Z1548" s="181"/>
    </row>
    <row r="1549">
      <c r="A1549" s="194"/>
      <c r="B1549" s="195"/>
      <c r="C1549" s="181"/>
      <c r="D1549" s="194"/>
      <c r="E1549" s="194"/>
      <c r="F1549" s="181"/>
      <c r="G1549" s="181"/>
      <c r="H1549" s="181"/>
      <c r="I1549" s="181"/>
      <c r="J1549" s="181"/>
      <c r="K1549" s="181"/>
      <c r="L1549" s="181"/>
      <c r="M1549" s="181"/>
      <c r="N1549" s="181"/>
      <c r="O1549" s="181"/>
      <c r="P1549" s="181"/>
      <c r="Q1549" s="181"/>
      <c r="R1549" s="181"/>
      <c r="S1549" s="181"/>
      <c r="T1549" s="181"/>
      <c r="U1549" s="181"/>
      <c r="V1549" s="181"/>
      <c r="W1549" s="181"/>
      <c r="X1549" s="181"/>
      <c r="Y1549" s="181"/>
      <c r="Z1549" s="181"/>
    </row>
    <row r="1550">
      <c r="A1550" s="194"/>
      <c r="B1550" s="195"/>
      <c r="C1550" s="181"/>
      <c r="D1550" s="194"/>
      <c r="E1550" s="194"/>
      <c r="F1550" s="181"/>
      <c r="G1550" s="181"/>
      <c r="H1550" s="181"/>
      <c r="I1550" s="181"/>
      <c r="J1550" s="181"/>
      <c r="K1550" s="181"/>
      <c r="L1550" s="181"/>
      <c r="M1550" s="181"/>
      <c r="N1550" s="181"/>
      <c r="O1550" s="181"/>
      <c r="P1550" s="181"/>
      <c r="Q1550" s="181"/>
      <c r="R1550" s="181"/>
      <c r="S1550" s="181"/>
      <c r="T1550" s="181"/>
      <c r="U1550" s="181"/>
      <c r="V1550" s="181"/>
      <c r="W1550" s="181"/>
      <c r="X1550" s="181"/>
      <c r="Y1550" s="181"/>
      <c r="Z1550" s="181"/>
    </row>
    <row r="1551">
      <c r="A1551" s="194"/>
      <c r="B1551" s="195"/>
      <c r="C1551" s="181"/>
      <c r="D1551" s="194"/>
      <c r="E1551" s="194"/>
      <c r="F1551" s="181"/>
      <c r="G1551" s="181"/>
      <c r="H1551" s="181"/>
      <c r="I1551" s="181"/>
      <c r="J1551" s="181"/>
      <c r="K1551" s="181"/>
      <c r="L1551" s="181"/>
      <c r="M1551" s="181"/>
      <c r="N1551" s="181"/>
      <c r="O1551" s="181"/>
      <c r="P1551" s="181"/>
      <c r="Q1551" s="181"/>
      <c r="R1551" s="181"/>
      <c r="S1551" s="181"/>
      <c r="T1551" s="181"/>
      <c r="U1551" s="181"/>
      <c r="V1551" s="181"/>
      <c r="W1551" s="181"/>
      <c r="X1551" s="181"/>
      <c r="Y1551" s="181"/>
      <c r="Z1551" s="181"/>
    </row>
    <row r="1552">
      <c r="A1552" s="194"/>
      <c r="B1552" s="195"/>
      <c r="C1552" s="181"/>
      <c r="D1552" s="194"/>
      <c r="E1552" s="194"/>
      <c r="F1552" s="181"/>
      <c r="G1552" s="181"/>
      <c r="H1552" s="181"/>
      <c r="I1552" s="181"/>
      <c r="J1552" s="181"/>
      <c r="K1552" s="181"/>
      <c r="L1552" s="181"/>
      <c r="M1552" s="181"/>
      <c r="N1552" s="181"/>
      <c r="O1552" s="181"/>
      <c r="P1552" s="181"/>
      <c r="Q1552" s="181"/>
      <c r="R1552" s="181"/>
      <c r="S1552" s="181"/>
      <c r="T1552" s="181"/>
      <c r="U1552" s="181"/>
      <c r="V1552" s="181"/>
      <c r="W1552" s="181"/>
      <c r="X1552" s="181"/>
      <c r="Y1552" s="181"/>
      <c r="Z1552" s="181"/>
    </row>
    <row r="1553">
      <c r="A1553" s="194"/>
      <c r="B1553" s="195"/>
      <c r="C1553" s="181"/>
      <c r="D1553" s="194"/>
      <c r="E1553" s="194"/>
      <c r="F1553" s="181"/>
      <c r="G1553" s="181"/>
      <c r="H1553" s="181"/>
      <c r="I1553" s="181"/>
      <c r="J1553" s="181"/>
      <c r="K1553" s="181"/>
      <c r="L1553" s="181"/>
      <c r="M1553" s="181"/>
      <c r="N1553" s="181"/>
      <c r="O1553" s="181"/>
      <c r="P1553" s="181"/>
      <c r="Q1553" s="181"/>
      <c r="R1553" s="181"/>
      <c r="S1553" s="181"/>
      <c r="T1553" s="181"/>
      <c r="U1553" s="181"/>
      <c r="V1553" s="181"/>
      <c r="W1553" s="181"/>
      <c r="X1553" s="181"/>
      <c r="Y1553" s="181"/>
      <c r="Z1553" s="181"/>
    </row>
    <row r="1554">
      <c r="A1554" s="194"/>
      <c r="B1554" s="195"/>
      <c r="C1554" s="181"/>
      <c r="D1554" s="194"/>
      <c r="E1554" s="194"/>
      <c r="F1554" s="181"/>
      <c r="G1554" s="181"/>
      <c r="H1554" s="181"/>
      <c r="I1554" s="181"/>
      <c r="J1554" s="181"/>
      <c r="K1554" s="181"/>
      <c r="L1554" s="181"/>
      <c r="M1554" s="181"/>
      <c r="N1554" s="181"/>
      <c r="O1554" s="181"/>
      <c r="P1554" s="181"/>
      <c r="Q1554" s="181"/>
      <c r="R1554" s="181"/>
      <c r="S1554" s="181"/>
      <c r="T1554" s="181"/>
      <c r="U1554" s="181"/>
      <c r="V1554" s="181"/>
      <c r="W1554" s="181"/>
      <c r="X1554" s="181"/>
      <c r="Y1554" s="181"/>
      <c r="Z1554" s="181"/>
    </row>
    <row r="1555">
      <c r="A1555" s="194"/>
      <c r="B1555" s="195"/>
      <c r="C1555" s="181"/>
      <c r="D1555" s="194"/>
      <c r="E1555" s="194"/>
      <c r="F1555" s="181"/>
      <c r="G1555" s="181"/>
      <c r="H1555" s="181"/>
      <c r="I1555" s="181"/>
      <c r="J1555" s="181"/>
      <c r="K1555" s="181"/>
      <c r="L1555" s="181"/>
      <c r="M1555" s="181"/>
      <c r="N1555" s="181"/>
      <c r="O1555" s="181"/>
      <c r="P1555" s="181"/>
      <c r="Q1555" s="181"/>
      <c r="R1555" s="181"/>
      <c r="S1555" s="181"/>
      <c r="T1555" s="181"/>
      <c r="U1555" s="181"/>
      <c r="V1555" s="181"/>
      <c r="W1555" s="181"/>
      <c r="X1555" s="181"/>
      <c r="Y1555" s="181"/>
      <c r="Z1555" s="181"/>
    </row>
    <row r="1556">
      <c r="A1556" s="194"/>
      <c r="B1556" s="195"/>
      <c r="C1556" s="181"/>
      <c r="D1556" s="194"/>
      <c r="E1556" s="194"/>
      <c r="F1556" s="181"/>
      <c r="G1556" s="181"/>
      <c r="H1556" s="181"/>
      <c r="I1556" s="181"/>
      <c r="J1556" s="181"/>
      <c r="K1556" s="181"/>
      <c r="L1556" s="181"/>
      <c r="M1556" s="181"/>
      <c r="N1556" s="181"/>
      <c r="O1556" s="181"/>
      <c r="P1556" s="181"/>
      <c r="Q1556" s="181"/>
      <c r="R1556" s="181"/>
      <c r="S1556" s="181"/>
      <c r="T1556" s="181"/>
      <c r="U1556" s="181"/>
      <c r="V1556" s="181"/>
      <c r="W1556" s="181"/>
      <c r="X1556" s="181"/>
      <c r="Y1556" s="181"/>
      <c r="Z1556" s="181"/>
    </row>
    <row r="1557">
      <c r="A1557" s="194"/>
      <c r="B1557" s="195"/>
      <c r="C1557" s="181"/>
      <c r="D1557" s="194"/>
      <c r="E1557" s="194"/>
      <c r="F1557" s="181"/>
      <c r="G1557" s="181"/>
      <c r="H1557" s="181"/>
      <c r="I1557" s="181"/>
      <c r="J1557" s="181"/>
      <c r="K1557" s="181"/>
      <c r="L1557" s="181"/>
      <c r="M1557" s="181"/>
      <c r="N1557" s="181"/>
      <c r="O1557" s="181"/>
      <c r="P1557" s="181"/>
      <c r="Q1557" s="181"/>
      <c r="R1557" s="181"/>
      <c r="S1557" s="181"/>
      <c r="T1557" s="181"/>
      <c r="U1557" s="181"/>
      <c r="V1557" s="181"/>
      <c r="W1557" s="181"/>
      <c r="X1557" s="181"/>
      <c r="Y1557" s="181"/>
      <c r="Z1557" s="181"/>
    </row>
    <row r="1558">
      <c r="A1558" s="194"/>
      <c r="B1558" s="195"/>
      <c r="C1558" s="181"/>
      <c r="D1558" s="194"/>
      <c r="E1558" s="194"/>
      <c r="F1558" s="181"/>
      <c r="G1558" s="181"/>
      <c r="H1558" s="181"/>
      <c r="I1558" s="181"/>
      <c r="J1558" s="181"/>
      <c r="K1558" s="181"/>
      <c r="L1558" s="181"/>
      <c r="M1558" s="181"/>
      <c r="N1558" s="181"/>
      <c r="O1558" s="181"/>
      <c r="P1558" s="181"/>
      <c r="Q1558" s="181"/>
      <c r="R1558" s="181"/>
      <c r="S1558" s="181"/>
      <c r="T1558" s="181"/>
      <c r="U1558" s="181"/>
      <c r="V1558" s="181"/>
      <c r="W1558" s="181"/>
      <c r="X1558" s="181"/>
      <c r="Y1558" s="181"/>
      <c r="Z1558" s="181"/>
    </row>
    <row r="1559">
      <c r="A1559" s="194"/>
      <c r="B1559" s="195"/>
      <c r="C1559" s="181"/>
      <c r="D1559" s="194"/>
      <c r="E1559" s="194"/>
      <c r="F1559" s="181"/>
      <c r="G1559" s="181"/>
      <c r="H1559" s="181"/>
      <c r="I1559" s="181"/>
      <c r="J1559" s="181"/>
      <c r="K1559" s="181"/>
      <c r="L1559" s="181"/>
      <c r="M1559" s="181"/>
      <c r="N1559" s="181"/>
      <c r="O1559" s="181"/>
      <c r="P1559" s="181"/>
      <c r="Q1559" s="181"/>
      <c r="R1559" s="181"/>
      <c r="S1559" s="181"/>
      <c r="T1559" s="181"/>
      <c r="U1559" s="181"/>
      <c r="V1559" s="181"/>
      <c r="W1559" s="181"/>
      <c r="X1559" s="181"/>
      <c r="Y1559" s="181"/>
      <c r="Z1559" s="181"/>
    </row>
    <row r="1560">
      <c r="A1560" s="194"/>
      <c r="B1560" s="195"/>
      <c r="C1560" s="181"/>
      <c r="D1560" s="194"/>
      <c r="E1560" s="194"/>
      <c r="F1560" s="181"/>
      <c r="G1560" s="181"/>
      <c r="H1560" s="181"/>
      <c r="I1560" s="181"/>
      <c r="J1560" s="181"/>
      <c r="K1560" s="181"/>
      <c r="L1560" s="181"/>
      <c r="M1560" s="181"/>
      <c r="N1560" s="181"/>
      <c r="O1560" s="181"/>
      <c r="P1560" s="181"/>
      <c r="Q1560" s="181"/>
      <c r="R1560" s="181"/>
      <c r="S1560" s="181"/>
      <c r="T1560" s="181"/>
      <c r="U1560" s="181"/>
      <c r="V1560" s="181"/>
      <c r="W1560" s="181"/>
      <c r="X1560" s="181"/>
      <c r="Y1560" s="181"/>
      <c r="Z1560" s="181"/>
    </row>
    <row r="1561">
      <c r="A1561" s="194"/>
      <c r="B1561" s="195"/>
      <c r="C1561" s="181"/>
      <c r="D1561" s="194"/>
      <c r="E1561" s="194"/>
      <c r="F1561" s="181"/>
      <c r="G1561" s="181"/>
      <c r="H1561" s="181"/>
      <c r="I1561" s="181"/>
      <c r="J1561" s="181"/>
      <c r="K1561" s="181"/>
      <c r="L1561" s="181"/>
      <c r="M1561" s="181"/>
      <c r="N1561" s="181"/>
      <c r="O1561" s="181"/>
      <c r="P1561" s="181"/>
      <c r="Q1561" s="181"/>
      <c r="R1561" s="181"/>
      <c r="S1561" s="181"/>
      <c r="T1561" s="181"/>
      <c r="U1561" s="181"/>
      <c r="V1561" s="181"/>
      <c r="W1561" s="181"/>
      <c r="X1561" s="181"/>
      <c r="Y1561" s="181"/>
      <c r="Z1561" s="181"/>
    </row>
    <row r="1562">
      <c r="A1562" s="194"/>
      <c r="B1562" s="195"/>
      <c r="C1562" s="181"/>
      <c r="D1562" s="194"/>
      <c r="E1562" s="194"/>
      <c r="F1562" s="181"/>
      <c r="G1562" s="181"/>
      <c r="H1562" s="181"/>
      <c r="I1562" s="181"/>
      <c r="J1562" s="181"/>
      <c r="K1562" s="181"/>
      <c r="L1562" s="181"/>
      <c r="M1562" s="181"/>
      <c r="N1562" s="181"/>
      <c r="O1562" s="181"/>
      <c r="P1562" s="181"/>
      <c r="Q1562" s="181"/>
      <c r="R1562" s="181"/>
      <c r="S1562" s="181"/>
      <c r="T1562" s="181"/>
      <c r="U1562" s="181"/>
      <c r="V1562" s="181"/>
      <c r="W1562" s="181"/>
      <c r="X1562" s="181"/>
      <c r="Y1562" s="181"/>
      <c r="Z1562" s="181"/>
    </row>
    <row r="1563">
      <c r="A1563" s="194"/>
      <c r="B1563" s="195"/>
      <c r="C1563" s="181"/>
      <c r="D1563" s="194"/>
      <c r="E1563" s="194"/>
      <c r="F1563" s="181"/>
      <c r="G1563" s="181"/>
      <c r="H1563" s="181"/>
      <c r="I1563" s="181"/>
      <c r="J1563" s="181"/>
      <c r="K1563" s="181"/>
      <c r="L1563" s="181"/>
      <c r="M1563" s="181"/>
      <c r="N1563" s="181"/>
      <c r="O1563" s="181"/>
      <c r="P1563" s="181"/>
      <c r="Q1563" s="181"/>
      <c r="R1563" s="181"/>
      <c r="S1563" s="181"/>
      <c r="T1563" s="181"/>
      <c r="U1563" s="181"/>
      <c r="V1563" s="181"/>
      <c r="W1563" s="181"/>
      <c r="X1563" s="181"/>
      <c r="Y1563" s="181"/>
      <c r="Z1563" s="181"/>
    </row>
    <row r="1564">
      <c r="A1564" s="194"/>
      <c r="B1564" s="195"/>
      <c r="C1564" s="181"/>
      <c r="D1564" s="194"/>
      <c r="E1564" s="194"/>
      <c r="F1564" s="181"/>
      <c r="G1564" s="181"/>
      <c r="H1564" s="181"/>
      <c r="I1564" s="181"/>
      <c r="J1564" s="181"/>
      <c r="K1564" s="181"/>
      <c r="L1564" s="181"/>
      <c r="M1564" s="181"/>
      <c r="N1564" s="181"/>
      <c r="O1564" s="181"/>
      <c r="P1564" s="181"/>
      <c r="Q1564" s="181"/>
      <c r="R1564" s="181"/>
      <c r="S1564" s="181"/>
      <c r="T1564" s="181"/>
      <c r="U1564" s="181"/>
      <c r="V1564" s="181"/>
      <c r="W1564" s="181"/>
      <c r="X1564" s="181"/>
      <c r="Y1564" s="181"/>
      <c r="Z1564" s="181"/>
    </row>
    <row r="1565">
      <c r="A1565" s="194"/>
      <c r="B1565" s="195"/>
      <c r="C1565" s="181"/>
      <c r="D1565" s="194"/>
      <c r="E1565" s="194"/>
      <c r="F1565" s="181"/>
      <c r="G1565" s="181"/>
      <c r="H1565" s="181"/>
      <c r="I1565" s="181"/>
      <c r="J1565" s="181"/>
      <c r="K1565" s="181"/>
      <c r="L1565" s="181"/>
      <c r="M1565" s="181"/>
      <c r="N1565" s="181"/>
      <c r="O1565" s="181"/>
      <c r="P1565" s="181"/>
      <c r="Q1565" s="181"/>
      <c r="R1565" s="181"/>
      <c r="S1565" s="181"/>
      <c r="T1565" s="181"/>
      <c r="U1565" s="181"/>
      <c r="V1565" s="181"/>
      <c r="W1565" s="181"/>
      <c r="X1565" s="181"/>
      <c r="Y1565" s="181"/>
      <c r="Z1565" s="181"/>
    </row>
    <row r="1566">
      <c r="A1566" s="194"/>
      <c r="B1566" s="195"/>
      <c r="C1566" s="181"/>
      <c r="D1566" s="194"/>
      <c r="E1566" s="194"/>
      <c r="F1566" s="181"/>
      <c r="G1566" s="181"/>
      <c r="H1566" s="181"/>
      <c r="I1566" s="181"/>
      <c r="J1566" s="181"/>
      <c r="K1566" s="181"/>
      <c r="L1566" s="181"/>
      <c r="M1566" s="181"/>
      <c r="N1566" s="181"/>
      <c r="O1566" s="181"/>
      <c r="P1566" s="181"/>
      <c r="Q1566" s="181"/>
      <c r="R1566" s="181"/>
      <c r="S1566" s="181"/>
      <c r="T1566" s="181"/>
      <c r="U1566" s="181"/>
      <c r="V1566" s="181"/>
      <c r="W1566" s="181"/>
      <c r="X1566" s="181"/>
      <c r="Y1566" s="181"/>
      <c r="Z1566" s="181"/>
    </row>
    <row r="1567">
      <c r="A1567" s="194"/>
      <c r="B1567" s="195"/>
      <c r="C1567" s="181"/>
      <c r="D1567" s="194"/>
      <c r="E1567" s="194"/>
      <c r="F1567" s="181"/>
      <c r="G1567" s="181"/>
      <c r="H1567" s="181"/>
      <c r="I1567" s="181"/>
      <c r="J1567" s="181"/>
      <c r="K1567" s="181"/>
      <c r="L1567" s="181"/>
      <c r="M1567" s="181"/>
      <c r="N1567" s="181"/>
      <c r="O1567" s="181"/>
      <c r="P1567" s="181"/>
      <c r="Q1567" s="181"/>
      <c r="R1567" s="181"/>
      <c r="S1567" s="181"/>
      <c r="T1567" s="181"/>
      <c r="U1567" s="181"/>
      <c r="V1567" s="181"/>
      <c r="W1567" s="181"/>
      <c r="X1567" s="181"/>
      <c r="Y1567" s="181"/>
      <c r="Z1567" s="181"/>
    </row>
    <row r="1568">
      <c r="A1568" s="194"/>
      <c r="B1568" s="195"/>
      <c r="C1568" s="181"/>
      <c r="D1568" s="194"/>
      <c r="E1568" s="194"/>
      <c r="F1568" s="181"/>
      <c r="G1568" s="181"/>
      <c r="H1568" s="181"/>
      <c r="I1568" s="181"/>
      <c r="J1568" s="181"/>
      <c r="K1568" s="181"/>
      <c r="L1568" s="181"/>
      <c r="M1568" s="181"/>
      <c r="N1568" s="181"/>
      <c r="O1568" s="181"/>
      <c r="P1568" s="181"/>
      <c r="Q1568" s="181"/>
      <c r="R1568" s="181"/>
      <c r="S1568" s="181"/>
      <c r="T1568" s="181"/>
      <c r="U1568" s="181"/>
      <c r="V1568" s="181"/>
      <c r="W1568" s="181"/>
      <c r="X1568" s="181"/>
      <c r="Y1568" s="181"/>
      <c r="Z1568" s="181"/>
    </row>
    <row r="1569">
      <c r="A1569" s="194"/>
      <c r="B1569" s="195"/>
      <c r="C1569" s="181"/>
      <c r="D1569" s="194"/>
      <c r="E1569" s="194"/>
      <c r="F1569" s="181"/>
      <c r="G1569" s="181"/>
      <c r="H1569" s="181"/>
      <c r="I1569" s="181"/>
      <c r="J1569" s="181"/>
      <c r="K1569" s="181"/>
      <c r="L1569" s="181"/>
      <c r="M1569" s="181"/>
      <c r="N1569" s="181"/>
      <c r="O1569" s="181"/>
      <c r="P1569" s="181"/>
      <c r="Q1569" s="181"/>
      <c r="R1569" s="181"/>
      <c r="S1569" s="181"/>
      <c r="T1569" s="181"/>
      <c r="U1569" s="181"/>
      <c r="V1569" s="181"/>
      <c r="W1569" s="181"/>
      <c r="X1569" s="181"/>
      <c r="Y1569" s="181"/>
      <c r="Z1569" s="181"/>
    </row>
    <row r="1570">
      <c r="A1570" s="194"/>
      <c r="B1570" s="195"/>
      <c r="C1570" s="181"/>
      <c r="D1570" s="194"/>
      <c r="E1570" s="194"/>
      <c r="F1570" s="181"/>
      <c r="G1570" s="181"/>
      <c r="H1570" s="181"/>
      <c r="I1570" s="181"/>
      <c r="J1570" s="181"/>
      <c r="K1570" s="181"/>
      <c r="L1570" s="181"/>
      <c r="M1570" s="181"/>
      <c r="N1570" s="181"/>
      <c r="O1570" s="181"/>
      <c r="P1570" s="181"/>
      <c r="Q1570" s="181"/>
      <c r="R1570" s="181"/>
      <c r="S1570" s="181"/>
      <c r="T1570" s="181"/>
      <c r="U1570" s="181"/>
      <c r="V1570" s="181"/>
      <c r="W1570" s="181"/>
      <c r="X1570" s="181"/>
      <c r="Y1570" s="181"/>
      <c r="Z1570" s="181"/>
    </row>
    <row r="1571">
      <c r="A1571" s="194"/>
      <c r="B1571" s="195"/>
      <c r="C1571" s="181"/>
      <c r="D1571" s="194"/>
      <c r="E1571" s="194"/>
      <c r="F1571" s="181"/>
      <c r="G1571" s="181"/>
      <c r="H1571" s="181"/>
      <c r="I1571" s="181"/>
      <c r="J1571" s="181"/>
      <c r="K1571" s="181"/>
      <c r="L1571" s="181"/>
      <c r="M1571" s="181"/>
      <c r="N1571" s="181"/>
      <c r="O1571" s="181"/>
      <c r="P1571" s="181"/>
      <c r="Q1571" s="181"/>
      <c r="R1571" s="181"/>
      <c r="S1571" s="181"/>
      <c r="T1571" s="181"/>
      <c r="U1571" s="181"/>
      <c r="V1571" s="181"/>
      <c r="W1571" s="181"/>
      <c r="X1571" s="181"/>
      <c r="Y1571" s="181"/>
      <c r="Z1571" s="181"/>
    </row>
    <row r="1572">
      <c r="A1572" s="194"/>
      <c r="B1572" s="195"/>
      <c r="C1572" s="181"/>
      <c r="D1572" s="194"/>
      <c r="E1572" s="194"/>
      <c r="F1572" s="181"/>
      <c r="G1572" s="181"/>
      <c r="H1572" s="181"/>
      <c r="I1572" s="181"/>
      <c r="J1572" s="181"/>
      <c r="K1572" s="181"/>
      <c r="L1572" s="181"/>
      <c r="M1572" s="181"/>
      <c r="N1572" s="181"/>
      <c r="O1572" s="181"/>
      <c r="P1572" s="181"/>
      <c r="Q1572" s="181"/>
      <c r="R1572" s="181"/>
      <c r="S1572" s="181"/>
      <c r="T1572" s="181"/>
      <c r="U1572" s="181"/>
      <c r="V1572" s="181"/>
      <c r="W1572" s="181"/>
      <c r="X1572" s="181"/>
      <c r="Y1572" s="181"/>
      <c r="Z1572" s="181"/>
    </row>
    <row r="1573">
      <c r="A1573" s="194"/>
      <c r="B1573" s="195"/>
      <c r="C1573" s="181"/>
      <c r="D1573" s="194"/>
      <c r="E1573" s="194"/>
      <c r="F1573" s="181"/>
      <c r="G1573" s="181"/>
      <c r="H1573" s="181"/>
      <c r="I1573" s="181"/>
      <c r="J1573" s="181"/>
      <c r="K1573" s="181"/>
      <c r="L1573" s="181"/>
      <c r="M1573" s="181"/>
      <c r="N1573" s="181"/>
      <c r="O1573" s="181"/>
      <c r="P1573" s="181"/>
      <c r="Q1573" s="181"/>
      <c r="R1573" s="181"/>
      <c r="S1573" s="181"/>
      <c r="T1573" s="181"/>
      <c r="U1573" s="181"/>
      <c r="V1573" s="181"/>
      <c r="W1573" s="181"/>
      <c r="X1573" s="181"/>
      <c r="Y1573" s="181"/>
      <c r="Z1573" s="181"/>
    </row>
    <row r="1574">
      <c r="A1574" s="194"/>
      <c r="B1574" s="195"/>
      <c r="C1574" s="181"/>
      <c r="D1574" s="194"/>
      <c r="E1574" s="194"/>
      <c r="F1574" s="181"/>
      <c r="G1574" s="181"/>
      <c r="H1574" s="181"/>
      <c r="I1574" s="181"/>
      <c r="J1574" s="181"/>
      <c r="K1574" s="181"/>
      <c r="L1574" s="181"/>
      <c r="M1574" s="181"/>
      <c r="N1574" s="181"/>
      <c r="O1574" s="181"/>
      <c r="P1574" s="181"/>
      <c r="Q1574" s="181"/>
      <c r="R1574" s="181"/>
      <c r="S1574" s="181"/>
      <c r="T1574" s="181"/>
      <c r="U1574" s="181"/>
      <c r="V1574" s="181"/>
      <c r="W1574" s="181"/>
      <c r="X1574" s="181"/>
      <c r="Y1574" s="181"/>
      <c r="Z1574" s="181"/>
    </row>
    <row r="1575">
      <c r="A1575" s="194"/>
      <c r="B1575" s="195"/>
      <c r="C1575" s="181"/>
      <c r="D1575" s="194"/>
      <c r="E1575" s="194"/>
      <c r="F1575" s="181"/>
      <c r="G1575" s="181"/>
      <c r="H1575" s="181"/>
      <c r="I1575" s="181"/>
      <c r="J1575" s="181"/>
      <c r="K1575" s="181"/>
      <c r="L1575" s="181"/>
      <c r="M1575" s="181"/>
      <c r="N1575" s="181"/>
      <c r="O1575" s="181"/>
      <c r="P1575" s="181"/>
      <c r="Q1575" s="181"/>
      <c r="R1575" s="181"/>
      <c r="S1575" s="181"/>
      <c r="T1575" s="181"/>
      <c r="U1575" s="181"/>
      <c r="V1575" s="181"/>
      <c r="W1575" s="181"/>
      <c r="X1575" s="181"/>
      <c r="Y1575" s="181"/>
      <c r="Z1575" s="181"/>
    </row>
    <row r="1576">
      <c r="A1576" s="194"/>
      <c r="B1576" s="195"/>
      <c r="C1576" s="181"/>
      <c r="D1576" s="194"/>
      <c r="E1576" s="194"/>
      <c r="F1576" s="181"/>
      <c r="G1576" s="181"/>
      <c r="H1576" s="181"/>
      <c r="I1576" s="181"/>
      <c r="J1576" s="181"/>
      <c r="K1576" s="181"/>
      <c r="L1576" s="181"/>
      <c r="M1576" s="181"/>
      <c r="N1576" s="181"/>
      <c r="O1576" s="181"/>
      <c r="P1576" s="181"/>
      <c r="Q1576" s="181"/>
      <c r="R1576" s="181"/>
      <c r="S1576" s="181"/>
      <c r="T1576" s="181"/>
      <c r="U1576" s="181"/>
      <c r="V1576" s="181"/>
      <c r="W1576" s="181"/>
      <c r="X1576" s="181"/>
      <c r="Y1576" s="181"/>
      <c r="Z1576" s="181"/>
    </row>
    <row r="1577">
      <c r="A1577" s="194"/>
      <c r="B1577" s="195"/>
      <c r="C1577" s="181"/>
      <c r="D1577" s="194"/>
      <c r="E1577" s="194"/>
      <c r="F1577" s="181"/>
      <c r="G1577" s="181"/>
      <c r="H1577" s="181"/>
      <c r="I1577" s="181"/>
      <c r="J1577" s="181"/>
      <c r="K1577" s="181"/>
      <c r="L1577" s="181"/>
      <c r="M1577" s="181"/>
      <c r="N1577" s="181"/>
      <c r="O1577" s="181"/>
      <c r="P1577" s="181"/>
      <c r="Q1577" s="181"/>
      <c r="R1577" s="181"/>
      <c r="S1577" s="181"/>
      <c r="T1577" s="181"/>
      <c r="U1577" s="181"/>
      <c r="V1577" s="181"/>
      <c r="W1577" s="181"/>
      <c r="X1577" s="181"/>
      <c r="Y1577" s="181"/>
      <c r="Z1577" s="181"/>
    </row>
    <row r="1578">
      <c r="A1578" s="194"/>
      <c r="B1578" s="195"/>
      <c r="C1578" s="181"/>
      <c r="D1578" s="194"/>
      <c r="E1578" s="194"/>
      <c r="F1578" s="181"/>
      <c r="G1578" s="181"/>
      <c r="H1578" s="181"/>
      <c r="I1578" s="181"/>
      <c r="J1578" s="181"/>
      <c r="K1578" s="181"/>
      <c r="L1578" s="181"/>
      <c r="M1578" s="181"/>
      <c r="N1578" s="181"/>
      <c r="O1578" s="181"/>
      <c r="P1578" s="181"/>
      <c r="Q1578" s="181"/>
      <c r="R1578" s="181"/>
      <c r="S1578" s="181"/>
      <c r="T1578" s="181"/>
      <c r="U1578" s="181"/>
      <c r="V1578" s="181"/>
      <c r="W1578" s="181"/>
      <c r="X1578" s="181"/>
      <c r="Y1578" s="181"/>
      <c r="Z1578" s="181"/>
    </row>
    <row r="1579">
      <c r="A1579" s="194"/>
      <c r="B1579" s="195"/>
      <c r="C1579" s="181"/>
      <c r="D1579" s="194"/>
      <c r="E1579" s="194"/>
      <c r="F1579" s="181"/>
      <c r="G1579" s="181"/>
      <c r="H1579" s="181"/>
      <c r="I1579" s="181"/>
      <c r="J1579" s="181"/>
      <c r="K1579" s="181"/>
      <c r="L1579" s="181"/>
      <c r="M1579" s="181"/>
      <c r="N1579" s="181"/>
      <c r="O1579" s="181"/>
      <c r="P1579" s="181"/>
      <c r="Q1579" s="181"/>
      <c r="R1579" s="181"/>
      <c r="S1579" s="181"/>
      <c r="T1579" s="181"/>
      <c r="U1579" s="181"/>
      <c r="V1579" s="181"/>
      <c r="W1579" s="181"/>
      <c r="X1579" s="181"/>
      <c r="Y1579" s="181"/>
      <c r="Z1579" s="181"/>
    </row>
    <row r="1580">
      <c r="A1580" s="194"/>
      <c r="B1580" s="195"/>
      <c r="C1580" s="181"/>
      <c r="D1580" s="194"/>
      <c r="E1580" s="194"/>
      <c r="F1580" s="181"/>
      <c r="G1580" s="181"/>
      <c r="H1580" s="181"/>
      <c r="I1580" s="181"/>
      <c r="J1580" s="181"/>
      <c r="K1580" s="181"/>
      <c r="L1580" s="181"/>
      <c r="M1580" s="181"/>
      <c r="N1580" s="181"/>
      <c r="O1580" s="181"/>
      <c r="P1580" s="181"/>
      <c r="Q1580" s="181"/>
      <c r="R1580" s="181"/>
      <c r="S1580" s="181"/>
      <c r="T1580" s="181"/>
      <c r="U1580" s="181"/>
      <c r="V1580" s="181"/>
      <c r="W1580" s="181"/>
      <c r="X1580" s="181"/>
      <c r="Y1580" s="181"/>
      <c r="Z1580" s="181"/>
    </row>
    <row r="1581">
      <c r="A1581" s="194"/>
      <c r="B1581" s="195"/>
      <c r="C1581" s="181"/>
      <c r="D1581" s="194"/>
      <c r="E1581" s="194"/>
      <c r="F1581" s="181"/>
      <c r="G1581" s="181"/>
      <c r="H1581" s="181"/>
      <c r="I1581" s="181"/>
      <c r="J1581" s="181"/>
      <c r="K1581" s="181"/>
      <c r="L1581" s="181"/>
      <c r="M1581" s="181"/>
      <c r="N1581" s="181"/>
      <c r="O1581" s="181"/>
      <c r="P1581" s="181"/>
      <c r="Q1581" s="181"/>
      <c r="R1581" s="181"/>
      <c r="S1581" s="181"/>
      <c r="T1581" s="181"/>
      <c r="U1581" s="181"/>
      <c r="V1581" s="181"/>
      <c r="W1581" s="181"/>
      <c r="X1581" s="181"/>
      <c r="Y1581" s="181"/>
      <c r="Z1581" s="181"/>
    </row>
    <row r="1582">
      <c r="A1582" s="194"/>
      <c r="B1582" s="195"/>
      <c r="C1582" s="181"/>
      <c r="D1582" s="194"/>
      <c r="E1582" s="194"/>
      <c r="F1582" s="181"/>
      <c r="G1582" s="181"/>
      <c r="H1582" s="181"/>
      <c r="I1582" s="181"/>
      <c r="J1582" s="181"/>
      <c r="K1582" s="181"/>
      <c r="L1582" s="181"/>
      <c r="M1582" s="181"/>
      <c r="N1582" s="181"/>
      <c r="O1582" s="181"/>
      <c r="P1582" s="181"/>
      <c r="Q1582" s="181"/>
      <c r="R1582" s="181"/>
      <c r="S1582" s="181"/>
      <c r="T1582" s="181"/>
      <c r="U1582" s="181"/>
      <c r="V1582" s="181"/>
      <c r="W1582" s="181"/>
      <c r="X1582" s="181"/>
      <c r="Y1582" s="181"/>
      <c r="Z1582" s="181"/>
    </row>
    <row r="1583">
      <c r="A1583" s="194"/>
      <c r="B1583" s="195"/>
      <c r="C1583" s="181"/>
      <c r="D1583" s="194"/>
      <c r="E1583" s="194"/>
      <c r="F1583" s="181"/>
      <c r="G1583" s="181"/>
      <c r="H1583" s="181"/>
      <c r="I1583" s="181"/>
      <c r="J1583" s="181"/>
      <c r="K1583" s="181"/>
      <c r="L1583" s="181"/>
      <c r="M1583" s="181"/>
      <c r="N1583" s="181"/>
      <c r="O1583" s="181"/>
      <c r="P1583" s="181"/>
      <c r="Q1583" s="181"/>
      <c r="R1583" s="181"/>
      <c r="S1583" s="181"/>
      <c r="T1583" s="181"/>
      <c r="U1583" s="181"/>
      <c r="V1583" s="181"/>
      <c r="W1583" s="181"/>
      <c r="X1583" s="181"/>
      <c r="Y1583" s="181"/>
      <c r="Z1583" s="181"/>
    </row>
    <row r="1584">
      <c r="A1584" s="194"/>
      <c r="B1584" s="195"/>
      <c r="C1584" s="181"/>
      <c r="D1584" s="194"/>
      <c r="E1584" s="194"/>
      <c r="F1584" s="181"/>
      <c r="G1584" s="181"/>
      <c r="H1584" s="181"/>
      <c r="I1584" s="181"/>
      <c r="J1584" s="181"/>
      <c r="K1584" s="181"/>
      <c r="L1584" s="181"/>
      <c r="M1584" s="181"/>
      <c r="N1584" s="181"/>
      <c r="O1584" s="181"/>
      <c r="P1584" s="181"/>
      <c r="Q1584" s="181"/>
      <c r="R1584" s="181"/>
      <c r="S1584" s="181"/>
      <c r="T1584" s="181"/>
      <c r="U1584" s="181"/>
      <c r="V1584" s="181"/>
      <c r="W1584" s="181"/>
      <c r="X1584" s="181"/>
      <c r="Y1584" s="181"/>
      <c r="Z1584" s="181"/>
    </row>
    <row r="1585">
      <c r="A1585" s="194"/>
      <c r="B1585" s="195"/>
      <c r="C1585" s="181"/>
      <c r="D1585" s="194"/>
      <c r="E1585" s="194"/>
      <c r="F1585" s="181"/>
      <c r="G1585" s="181"/>
      <c r="H1585" s="181"/>
      <c r="I1585" s="181"/>
      <c r="J1585" s="181"/>
      <c r="K1585" s="181"/>
      <c r="L1585" s="181"/>
      <c r="M1585" s="181"/>
      <c r="N1585" s="181"/>
      <c r="O1585" s="181"/>
      <c r="P1585" s="181"/>
      <c r="Q1585" s="181"/>
      <c r="R1585" s="181"/>
      <c r="S1585" s="181"/>
      <c r="T1585" s="181"/>
      <c r="U1585" s="181"/>
      <c r="V1585" s="181"/>
      <c r="W1585" s="181"/>
      <c r="X1585" s="181"/>
      <c r="Y1585" s="181"/>
      <c r="Z1585" s="181"/>
    </row>
    <row r="1586">
      <c r="A1586" s="194"/>
      <c r="B1586" s="195"/>
      <c r="C1586" s="181"/>
      <c r="D1586" s="194"/>
      <c r="E1586" s="194"/>
      <c r="F1586" s="181"/>
      <c r="G1586" s="181"/>
      <c r="H1586" s="181"/>
      <c r="I1586" s="181"/>
      <c r="J1586" s="181"/>
      <c r="K1586" s="181"/>
      <c r="L1586" s="181"/>
      <c r="M1586" s="181"/>
      <c r="N1586" s="181"/>
      <c r="O1586" s="181"/>
      <c r="P1586" s="181"/>
      <c r="Q1586" s="181"/>
      <c r="R1586" s="181"/>
      <c r="S1586" s="181"/>
      <c r="T1586" s="181"/>
      <c r="U1586" s="181"/>
      <c r="V1586" s="181"/>
      <c r="W1586" s="181"/>
      <c r="X1586" s="181"/>
      <c r="Y1586" s="181"/>
      <c r="Z1586" s="181"/>
    </row>
    <row r="1587">
      <c r="A1587" s="194"/>
      <c r="B1587" s="195"/>
      <c r="C1587" s="181"/>
      <c r="D1587" s="194"/>
      <c r="E1587" s="194"/>
      <c r="F1587" s="181"/>
      <c r="G1587" s="181"/>
      <c r="H1587" s="181"/>
      <c r="I1587" s="181"/>
      <c r="J1587" s="181"/>
      <c r="K1587" s="181"/>
      <c r="L1587" s="181"/>
      <c r="M1587" s="181"/>
      <c r="N1587" s="181"/>
      <c r="O1587" s="181"/>
      <c r="P1587" s="181"/>
      <c r="Q1587" s="181"/>
      <c r="R1587" s="181"/>
      <c r="S1587" s="181"/>
      <c r="T1587" s="181"/>
      <c r="U1587" s="181"/>
      <c r="V1587" s="181"/>
      <c r="W1587" s="181"/>
      <c r="X1587" s="181"/>
      <c r="Y1587" s="181"/>
      <c r="Z1587" s="181"/>
    </row>
    <row r="1588">
      <c r="A1588" s="194"/>
      <c r="B1588" s="195"/>
      <c r="C1588" s="181"/>
      <c r="D1588" s="194"/>
      <c r="E1588" s="194"/>
      <c r="F1588" s="181"/>
      <c r="G1588" s="181"/>
      <c r="H1588" s="181"/>
      <c r="I1588" s="181"/>
      <c r="J1588" s="181"/>
      <c r="K1588" s="181"/>
      <c r="L1588" s="181"/>
      <c r="M1588" s="181"/>
      <c r="N1588" s="181"/>
      <c r="O1588" s="181"/>
      <c r="P1588" s="181"/>
      <c r="Q1588" s="181"/>
      <c r="R1588" s="181"/>
      <c r="S1588" s="181"/>
      <c r="T1588" s="181"/>
      <c r="U1588" s="181"/>
      <c r="V1588" s="181"/>
      <c r="W1588" s="181"/>
      <c r="X1588" s="181"/>
      <c r="Y1588" s="181"/>
      <c r="Z1588" s="181"/>
    </row>
    <row r="1589">
      <c r="A1589" s="194"/>
      <c r="B1589" s="195"/>
      <c r="C1589" s="181"/>
      <c r="D1589" s="194"/>
      <c r="E1589" s="194"/>
      <c r="F1589" s="181"/>
      <c r="G1589" s="181"/>
      <c r="H1589" s="181"/>
      <c r="I1589" s="181"/>
      <c r="J1589" s="181"/>
      <c r="K1589" s="181"/>
      <c r="L1589" s="181"/>
      <c r="M1589" s="181"/>
      <c r="N1589" s="181"/>
      <c r="O1589" s="181"/>
      <c r="P1589" s="181"/>
      <c r="Q1589" s="181"/>
      <c r="R1589" s="181"/>
      <c r="S1589" s="181"/>
      <c r="T1589" s="181"/>
      <c r="U1589" s="181"/>
      <c r="V1589" s="181"/>
      <c r="W1589" s="181"/>
      <c r="X1589" s="181"/>
      <c r="Y1589" s="181"/>
      <c r="Z1589" s="181"/>
    </row>
    <row r="1590">
      <c r="A1590" s="194"/>
      <c r="B1590" s="195"/>
      <c r="C1590" s="181"/>
      <c r="D1590" s="194"/>
      <c r="E1590" s="194"/>
      <c r="F1590" s="181"/>
      <c r="G1590" s="181"/>
      <c r="H1590" s="181"/>
      <c r="I1590" s="181"/>
      <c r="J1590" s="181"/>
      <c r="K1590" s="181"/>
      <c r="L1590" s="181"/>
      <c r="M1590" s="181"/>
      <c r="N1590" s="181"/>
      <c r="O1590" s="181"/>
      <c r="P1590" s="181"/>
      <c r="Q1590" s="181"/>
      <c r="R1590" s="181"/>
      <c r="S1590" s="181"/>
      <c r="T1590" s="181"/>
      <c r="U1590" s="181"/>
      <c r="V1590" s="181"/>
      <c r="W1590" s="181"/>
      <c r="X1590" s="181"/>
      <c r="Y1590" s="181"/>
      <c r="Z1590" s="181"/>
    </row>
    <row r="1591">
      <c r="A1591" s="194"/>
      <c r="B1591" s="195"/>
      <c r="C1591" s="181"/>
      <c r="D1591" s="194"/>
      <c r="E1591" s="194"/>
      <c r="F1591" s="181"/>
      <c r="G1591" s="181"/>
      <c r="H1591" s="181"/>
      <c r="I1591" s="181"/>
      <c r="J1591" s="181"/>
      <c r="K1591" s="181"/>
      <c r="L1591" s="181"/>
      <c r="M1591" s="181"/>
      <c r="N1591" s="181"/>
      <c r="O1591" s="181"/>
      <c r="P1591" s="181"/>
      <c r="Q1591" s="181"/>
      <c r="R1591" s="181"/>
      <c r="S1591" s="181"/>
      <c r="T1591" s="181"/>
      <c r="U1591" s="181"/>
      <c r="V1591" s="181"/>
      <c r="W1591" s="181"/>
      <c r="X1591" s="181"/>
      <c r="Y1591" s="181"/>
      <c r="Z1591" s="181"/>
    </row>
    <row r="1592">
      <c r="A1592" s="194"/>
      <c r="B1592" s="195"/>
      <c r="C1592" s="181"/>
      <c r="D1592" s="194"/>
      <c r="E1592" s="194"/>
      <c r="F1592" s="181"/>
      <c r="G1592" s="181"/>
      <c r="H1592" s="181"/>
      <c r="I1592" s="181"/>
      <c r="J1592" s="181"/>
      <c r="K1592" s="181"/>
      <c r="L1592" s="181"/>
      <c r="M1592" s="181"/>
      <c r="N1592" s="181"/>
      <c r="O1592" s="181"/>
      <c r="P1592" s="181"/>
      <c r="Q1592" s="181"/>
      <c r="R1592" s="181"/>
      <c r="S1592" s="181"/>
      <c r="T1592" s="181"/>
      <c r="U1592" s="181"/>
      <c r="V1592" s="181"/>
      <c r="W1592" s="181"/>
      <c r="X1592" s="181"/>
      <c r="Y1592" s="181"/>
      <c r="Z1592" s="181"/>
    </row>
    <row r="1593">
      <c r="A1593" s="194"/>
      <c r="B1593" s="195"/>
      <c r="C1593" s="181"/>
      <c r="D1593" s="194"/>
      <c r="E1593" s="194"/>
      <c r="F1593" s="181"/>
      <c r="G1593" s="181"/>
      <c r="H1593" s="181"/>
      <c r="I1593" s="181"/>
      <c r="J1593" s="181"/>
      <c r="K1593" s="181"/>
      <c r="L1593" s="181"/>
      <c r="M1593" s="181"/>
      <c r="N1593" s="181"/>
      <c r="O1593" s="181"/>
      <c r="P1593" s="181"/>
      <c r="Q1593" s="181"/>
      <c r="R1593" s="181"/>
      <c r="S1593" s="181"/>
      <c r="T1593" s="181"/>
      <c r="U1593" s="181"/>
      <c r="V1593" s="181"/>
      <c r="W1593" s="181"/>
      <c r="X1593" s="181"/>
      <c r="Y1593" s="181"/>
      <c r="Z1593" s="181"/>
    </row>
    <row r="1594">
      <c r="A1594" s="194"/>
      <c r="B1594" s="195"/>
      <c r="C1594" s="181"/>
      <c r="D1594" s="194"/>
      <c r="E1594" s="194"/>
      <c r="F1594" s="181"/>
      <c r="G1594" s="181"/>
      <c r="H1594" s="181"/>
      <c r="I1594" s="181"/>
      <c r="J1594" s="181"/>
      <c r="K1594" s="181"/>
      <c r="L1594" s="181"/>
      <c r="M1594" s="181"/>
      <c r="N1594" s="181"/>
      <c r="O1594" s="181"/>
      <c r="P1594" s="181"/>
      <c r="Q1594" s="181"/>
      <c r="R1594" s="181"/>
      <c r="S1594" s="181"/>
      <c r="T1594" s="181"/>
      <c r="U1594" s="181"/>
      <c r="V1594" s="181"/>
      <c r="W1594" s="181"/>
      <c r="X1594" s="181"/>
      <c r="Y1594" s="181"/>
      <c r="Z1594" s="181"/>
    </row>
    <row r="1595">
      <c r="A1595" s="194"/>
      <c r="B1595" s="195"/>
      <c r="C1595" s="181"/>
      <c r="D1595" s="194"/>
      <c r="E1595" s="194"/>
      <c r="F1595" s="181"/>
      <c r="G1595" s="181"/>
      <c r="H1595" s="181"/>
      <c r="I1595" s="181"/>
      <c r="J1595" s="181"/>
      <c r="K1595" s="181"/>
      <c r="L1595" s="181"/>
      <c r="M1595" s="181"/>
      <c r="N1595" s="181"/>
      <c r="O1595" s="181"/>
      <c r="P1595" s="181"/>
      <c r="Q1595" s="181"/>
      <c r="R1595" s="181"/>
      <c r="S1595" s="181"/>
      <c r="T1595" s="181"/>
      <c r="U1595" s="181"/>
      <c r="V1595" s="181"/>
      <c r="W1595" s="181"/>
      <c r="X1595" s="181"/>
      <c r="Y1595" s="181"/>
      <c r="Z1595" s="181"/>
    </row>
    <row r="1596">
      <c r="A1596" s="194"/>
      <c r="B1596" s="195"/>
      <c r="C1596" s="181"/>
      <c r="D1596" s="194"/>
      <c r="E1596" s="194"/>
      <c r="F1596" s="181"/>
      <c r="G1596" s="181"/>
      <c r="H1596" s="181"/>
      <c r="I1596" s="181"/>
      <c r="J1596" s="181"/>
      <c r="K1596" s="181"/>
      <c r="L1596" s="181"/>
      <c r="M1596" s="181"/>
      <c r="N1596" s="181"/>
      <c r="O1596" s="181"/>
      <c r="P1596" s="181"/>
      <c r="Q1596" s="181"/>
      <c r="R1596" s="181"/>
      <c r="S1596" s="181"/>
      <c r="T1596" s="181"/>
      <c r="U1596" s="181"/>
      <c r="V1596" s="181"/>
      <c r="W1596" s="181"/>
      <c r="X1596" s="181"/>
      <c r="Y1596" s="181"/>
      <c r="Z1596" s="181"/>
    </row>
    <row r="1597">
      <c r="A1597" s="194"/>
      <c r="B1597" s="195"/>
      <c r="C1597" s="181"/>
      <c r="D1597" s="194"/>
      <c r="E1597" s="194"/>
      <c r="F1597" s="181"/>
      <c r="G1597" s="181"/>
      <c r="H1597" s="181"/>
      <c r="I1597" s="181"/>
      <c r="J1597" s="181"/>
      <c r="K1597" s="181"/>
      <c r="L1597" s="181"/>
      <c r="M1597" s="181"/>
      <c r="N1597" s="181"/>
      <c r="O1597" s="181"/>
      <c r="P1597" s="181"/>
      <c r="Q1597" s="181"/>
      <c r="R1597" s="181"/>
      <c r="S1597" s="181"/>
      <c r="T1597" s="181"/>
      <c r="U1597" s="181"/>
      <c r="V1597" s="181"/>
      <c r="W1597" s="181"/>
      <c r="X1597" s="181"/>
      <c r="Y1597" s="181"/>
      <c r="Z1597" s="181"/>
    </row>
    <row r="1598">
      <c r="A1598" s="194"/>
      <c r="B1598" s="195"/>
      <c r="C1598" s="181"/>
      <c r="D1598" s="194"/>
      <c r="E1598" s="194"/>
      <c r="F1598" s="181"/>
      <c r="G1598" s="181"/>
      <c r="H1598" s="181"/>
      <c r="I1598" s="181"/>
      <c r="J1598" s="181"/>
      <c r="K1598" s="181"/>
      <c r="L1598" s="181"/>
      <c r="M1598" s="181"/>
      <c r="N1598" s="181"/>
      <c r="O1598" s="181"/>
      <c r="P1598" s="181"/>
      <c r="Q1598" s="181"/>
      <c r="R1598" s="181"/>
      <c r="S1598" s="181"/>
      <c r="T1598" s="181"/>
      <c r="U1598" s="181"/>
      <c r="V1598" s="181"/>
      <c r="W1598" s="181"/>
      <c r="X1598" s="181"/>
      <c r="Y1598" s="181"/>
      <c r="Z1598" s="181"/>
    </row>
    <row r="1599">
      <c r="A1599" s="194"/>
      <c r="B1599" s="195"/>
      <c r="C1599" s="181"/>
      <c r="D1599" s="194"/>
      <c r="E1599" s="194"/>
      <c r="F1599" s="181"/>
      <c r="G1599" s="181"/>
      <c r="H1599" s="181"/>
      <c r="I1599" s="181"/>
      <c r="J1599" s="181"/>
      <c r="K1599" s="181"/>
      <c r="L1599" s="181"/>
      <c r="M1599" s="181"/>
      <c r="N1599" s="181"/>
      <c r="O1599" s="181"/>
      <c r="P1599" s="181"/>
      <c r="Q1599" s="181"/>
      <c r="R1599" s="181"/>
      <c r="S1599" s="181"/>
      <c r="T1599" s="181"/>
      <c r="U1599" s="181"/>
      <c r="V1599" s="181"/>
      <c r="W1599" s="181"/>
      <c r="X1599" s="181"/>
      <c r="Y1599" s="181"/>
      <c r="Z1599" s="181"/>
    </row>
    <row r="1600">
      <c r="A1600" s="194"/>
      <c r="B1600" s="195"/>
      <c r="C1600" s="181"/>
      <c r="D1600" s="194"/>
      <c r="E1600" s="194"/>
      <c r="F1600" s="181"/>
      <c r="G1600" s="181"/>
      <c r="H1600" s="181"/>
      <c r="I1600" s="181"/>
      <c r="J1600" s="181"/>
      <c r="K1600" s="181"/>
      <c r="L1600" s="181"/>
      <c r="M1600" s="181"/>
      <c r="N1600" s="181"/>
      <c r="O1600" s="181"/>
      <c r="P1600" s="181"/>
      <c r="Q1600" s="181"/>
      <c r="R1600" s="181"/>
      <c r="S1600" s="181"/>
      <c r="T1600" s="181"/>
      <c r="U1600" s="181"/>
      <c r="V1600" s="181"/>
      <c r="W1600" s="181"/>
      <c r="X1600" s="181"/>
      <c r="Y1600" s="181"/>
      <c r="Z1600" s="181"/>
    </row>
    <row r="1601">
      <c r="A1601" s="194"/>
      <c r="B1601" s="195"/>
      <c r="C1601" s="181"/>
      <c r="D1601" s="194"/>
      <c r="E1601" s="194"/>
      <c r="F1601" s="181"/>
      <c r="G1601" s="181"/>
      <c r="H1601" s="181"/>
      <c r="I1601" s="181"/>
      <c r="J1601" s="181"/>
      <c r="K1601" s="181"/>
      <c r="L1601" s="181"/>
      <c r="M1601" s="181"/>
      <c r="N1601" s="181"/>
      <c r="O1601" s="181"/>
      <c r="P1601" s="181"/>
      <c r="Q1601" s="181"/>
      <c r="R1601" s="181"/>
      <c r="S1601" s="181"/>
      <c r="T1601" s="181"/>
      <c r="U1601" s="181"/>
      <c r="V1601" s="181"/>
      <c r="W1601" s="181"/>
      <c r="X1601" s="181"/>
      <c r="Y1601" s="181"/>
      <c r="Z1601" s="181"/>
    </row>
    <row r="1602">
      <c r="A1602" s="194"/>
      <c r="B1602" s="195"/>
      <c r="C1602" s="181"/>
      <c r="D1602" s="194"/>
      <c r="E1602" s="194"/>
      <c r="F1602" s="181"/>
      <c r="G1602" s="181"/>
      <c r="H1602" s="181"/>
      <c r="I1602" s="181"/>
      <c r="J1602" s="181"/>
      <c r="K1602" s="181"/>
      <c r="L1602" s="181"/>
      <c r="M1602" s="181"/>
      <c r="N1602" s="181"/>
      <c r="O1602" s="181"/>
      <c r="P1602" s="181"/>
      <c r="Q1602" s="181"/>
      <c r="R1602" s="181"/>
      <c r="S1602" s="181"/>
      <c r="T1602" s="181"/>
      <c r="U1602" s="181"/>
      <c r="V1602" s="181"/>
      <c r="W1602" s="181"/>
      <c r="X1602" s="181"/>
      <c r="Y1602" s="181"/>
      <c r="Z1602" s="181"/>
    </row>
    <row r="1603">
      <c r="A1603" s="194"/>
      <c r="B1603" s="195"/>
      <c r="C1603" s="181"/>
      <c r="D1603" s="194"/>
      <c r="E1603" s="194"/>
      <c r="F1603" s="181"/>
      <c r="G1603" s="181"/>
      <c r="H1603" s="181"/>
      <c r="I1603" s="181"/>
      <c r="J1603" s="181"/>
      <c r="K1603" s="181"/>
      <c r="L1603" s="181"/>
      <c r="M1603" s="181"/>
      <c r="N1603" s="181"/>
      <c r="O1603" s="181"/>
      <c r="P1603" s="181"/>
      <c r="Q1603" s="181"/>
      <c r="R1603" s="181"/>
      <c r="S1603" s="181"/>
      <c r="T1603" s="181"/>
      <c r="U1603" s="181"/>
      <c r="V1603" s="181"/>
      <c r="W1603" s="181"/>
      <c r="X1603" s="181"/>
      <c r="Y1603" s="181"/>
      <c r="Z1603" s="181"/>
    </row>
    <row r="1604">
      <c r="A1604" s="194"/>
      <c r="B1604" s="195"/>
      <c r="C1604" s="181"/>
      <c r="D1604" s="194"/>
      <c r="E1604" s="194"/>
      <c r="F1604" s="181"/>
      <c r="G1604" s="181"/>
      <c r="H1604" s="181"/>
      <c r="I1604" s="181"/>
      <c r="J1604" s="181"/>
      <c r="K1604" s="181"/>
      <c r="L1604" s="181"/>
      <c r="M1604" s="181"/>
      <c r="N1604" s="181"/>
      <c r="O1604" s="181"/>
      <c r="P1604" s="181"/>
      <c r="Q1604" s="181"/>
      <c r="R1604" s="181"/>
      <c r="S1604" s="181"/>
      <c r="T1604" s="181"/>
      <c r="U1604" s="181"/>
      <c r="V1604" s="181"/>
      <c r="W1604" s="181"/>
      <c r="X1604" s="181"/>
      <c r="Y1604" s="181"/>
      <c r="Z1604" s="181"/>
    </row>
    <row r="1605">
      <c r="A1605" s="194"/>
      <c r="B1605" s="195"/>
      <c r="C1605" s="181"/>
      <c r="D1605" s="194"/>
      <c r="E1605" s="194"/>
      <c r="F1605" s="181"/>
      <c r="G1605" s="181"/>
      <c r="H1605" s="181"/>
      <c r="I1605" s="181"/>
      <c r="J1605" s="181"/>
      <c r="K1605" s="181"/>
      <c r="L1605" s="181"/>
      <c r="M1605" s="181"/>
      <c r="N1605" s="181"/>
      <c r="O1605" s="181"/>
      <c r="P1605" s="181"/>
      <c r="Q1605" s="181"/>
      <c r="R1605" s="181"/>
      <c r="S1605" s="181"/>
      <c r="T1605" s="181"/>
      <c r="U1605" s="181"/>
      <c r="V1605" s="181"/>
      <c r="W1605" s="181"/>
      <c r="X1605" s="181"/>
      <c r="Y1605" s="181"/>
      <c r="Z1605" s="181"/>
    </row>
    <row r="1606">
      <c r="A1606" s="194"/>
      <c r="B1606" s="195"/>
      <c r="C1606" s="181"/>
      <c r="D1606" s="194"/>
      <c r="E1606" s="194"/>
      <c r="F1606" s="181"/>
      <c r="G1606" s="181"/>
      <c r="H1606" s="181"/>
      <c r="I1606" s="181"/>
      <c r="J1606" s="181"/>
      <c r="K1606" s="181"/>
      <c r="L1606" s="181"/>
      <c r="M1606" s="181"/>
      <c r="N1606" s="181"/>
      <c r="O1606" s="181"/>
      <c r="P1606" s="181"/>
      <c r="Q1606" s="181"/>
      <c r="R1606" s="181"/>
      <c r="S1606" s="181"/>
      <c r="T1606" s="181"/>
      <c r="U1606" s="181"/>
      <c r="V1606" s="181"/>
      <c r="W1606" s="181"/>
      <c r="X1606" s="181"/>
      <c r="Y1606" s="181"/>
      <c r="Z1606" s="181"/>
    </row>
    <row r="1607">
      <c r="A1607" s="194"/>
      <c r="B1607" s="195"/>
      <c r="C1607" s="181"/>
      <c r="D1607" s="194"/>
      <c r="E1607" s="194"/>
      <c r="F1607" s="181"/>
      <c r="G1607" s="181"/>
      <c r="H1607" s="181"/>
      <c r="I1607" s="181"/>
      <c r="J1607" s="181"/>
      <c r="K1607" s="181"/>
      <c r="L1607" s="181"/>
      <c r="M1607" s="181"/>
      <c r="N1607" s="181"/>
      <c r="O1607" s="181"/>
      <c r="P1607" s="181"/>
      <c r="Q1607" s="181"/>
      <c r="R1607" s="181"/>
      <c r="S1607" s="181"/>
      <c r="T1607" s="181"/>
      <c r="U1607" s="181"/>
      <c r="V1607" s="181"/>
      <c r="W1607" s="181"/>
      <c r="X1607" s="181"/>
      <c r="Y1607" s="181"/>
      <c r="Z1607" s="181"/>
    </row>
    <row r="1608">
      <c r="A1608" s="194"/>
      <c r="B1608" s="195"/>
      <c r="C1608" s="181"/>
      <c r="D1608" s="194"/>
      <c r="E1608" s="194"/>
      <c r="F1608" s="181"/>
      <c r="G1608" s="181"/>
      <c r="H1608" s="181"/>
      <c r="I1608" s="181"/>
      <c r="J1608" s="181"/>
      <c r="K1608" s="181"/>
      <c r="L1608" s="181"/>
      <c r="M1608" s="181"/>
      <c r="N1608" s="181"/>
      <c r="O1608" s="181"/>
      <c r="P1608" s="181"/>
      <c r="Q1608" s="181"/>
      <c r="R1608" s="181"/>
      <c r="S1608" s="181"/>
      <c r="T1608" s="181"/>
      <c r="U1608" s="181"/>
      <c r="V1608" s="181"/>
      <c r="W1608" s="181"/>
      <c r="X1608" s="181"/>
      <c r="Y1608" s="181"/>
      <c r="Z1608" s="181"/>
    </row>
    <row r="1609">
      <c r="A1609" s="194"/>
      <c r="B1609" s="195"/>
      <c r="C1609" s="181"/>
      <c r="D1609" s="194"/>
      <c r="E1609" s="194"/>
      <c r="F1609" s="181"/>
      <c r="G1609" s="181"/>
      <c r="H1609" s="181"/>
      <c r="I1609" s="181"/>
      <c r="J1609" s="181"/>
      <c r="K1609" s="181"/>
      <c r="L1609" s="181"/>
      <c r="M1609" s="181"/>
      <c r="N1609" s="181"/>
      <c r="O1609" s="181"/>
      <c r="P1609" s="181"/>
      <c r="Q1609" s="181"/>
      <c r="R1609" s="181"/>
      <c r="S1609" s="181"/>
      <c r="T1609" s="181"/>
      <c r="U1609" s="181"/>
      <c r="V1609" s="181"/>
      <c r="W1609" s="181"/>
      <c r="X1609" s="181"/>
      <c r="Y1609" s="181"/>
      <c r="Z1609" s="181"/>
    </row>
    <row r="1610">
      <c r="A1610" s="194"/>
      <c r="B1610" s="195"/>
      <c r="C1610" s="181"/>
      <c r="D1610" s="194"/>
      <c r="E1610" s="194"/>
      <c r="F1610" s="181"/>
      <c r="G1610" s="181"/>
      <c r="H1610" s="181"/>
      <c r="I1610" s="181"/>
      <c r="J1610" s="181"/>
      <c r="K1610" s="181"/>
      <c r="L1610" s="181"/>
      <c r="M1610" s="181"/>
      <c r="N1610" s="181"/>
      <c r="O1610" s="181"/>
      <c r="P1610" s="181"/>
      <c r="Q1610" s="181"/>
      <c r="R1610" s="181"/>
      <c r="S1610" s="181"/>
      <c r="T1610" s="181"/>
      <c r="U1610" s="181"/>
      <c r="V1610" s="181"/>
      <c r="W1610" s="181"/>
      <c r="X1610" s="181"/>
      <c r="Y1610" s="181"/>
      <c r="Z1610" s="181"/>
    </row>
    <row r="1611">
      <c r="A1611" s="194"/>
      <c r="B1611" s="195"/>
      <c r="C1611" s="181"/>
      <c r="D1611" s="194"/>
      <c r="E1611" s="194"/>
      <c r="F1611" s="181"/>
      <c r="G1611" s="181"/>
      <c r="H1611" s="181"/>
      <c r="I1611" s="181"/>
      <c r="J1611" s="181"/>
      <c r="K1611" s="181"/>
      <c r="L1611" s="181"/>
      <c r="M1611" s="181"/>
      <c r="N1611" s="181"/>
      <c r="O1611" s="181"/>
      <c r="P1611" s="181"/>
      <c r="Q1611" s="181"/>
      <c r="R1611" s="181"/>
      <c r="S1611" s="181"/>
      <c r="T1611" s="181"/>
      <c r="U1611" s="181"/>
      <c r="V1611" s="181"/>
      <c r="W1611" s="181"/>
      <c r="X1611" s="181"/>
      <c r="Y1611" s="181"/>
      <c r="Z1611" s="181"/>
    </row>
    <row r="1612">
      <c r="A1612" s="194"/>
      <c r="B1612" s="195"/>
      <c r="C1612" s="181"/>
      <c r="D1612" s="194"/>
      <c r="E1612" s="194"/>
      <c r="F1612" s="181"/>
      <c r="G1612" s="181"/>
      <c r="H1612" s="181"/>
      <c r="I1612" s="181"/>
      <c r="J1612" s="181"/>
      <c r="K1612" s="181"/>
      <c r="L1612" s="181"/>
      <c r="M1612" s="181"/>
      <c r="N1612" s="181"/>
      <c r="O1612" s="181"/>
      <c r="P1612" s="181"/>
      <c r="Q1612" s="181"/>
      <c r="R1612" s="181"/>
      <c r="S1612" s="181"/>
      <c r="T1612" s="181"/>
      <c r="U1612" s="181"/>
      <c r="V1612" s="181"/>
      <c r="W1612" s="181"/>
      <c r="X1612" s="181"/>
      <c r="Y1612" s="181"/>
      <c r="Z1612" s="181"/>
    </row>
    <row r="1613">
      <c r="A1613" s="194"/>
      <c r="B1613" s="195"/>
      <c r="C1613" s="181"/>
      <c r="D1613" s="194"/>
      <c r="E1613" s="194"/>
      <c r="F1613" s="181"/>
      <c r="G1613" s="181"/>
      <c r="H1613" s="181"/>
      <c r="I1613" s="181"/>
      <c r="J1613" s="181"/>
      <c r="K1613" s="181"/>
      <c r="L1613" s="181"/>
      <c r="M1613" s="181"/>
      <c r="N1613" s="181"/>
      <c r="O1613" s="181"/>
      <c r="P1613" s="181"/>
      <c r="Q1613" s="181"/>
      <c r="R1613" s="181"/>
      <c r="S1613" s="181"/>
      <c r="T1613" s="181"/>
      <c r="U1613" s="181"/>
      <c r="V1613" s="181"/>
      <c r="W1613" s="181"/>
      <c r="X1613" s="181"/>
      <c r="Y1613" s="181"/>
      <c r="Z1613" s="181"/>
    </row>
    <row r="1614">
      <c r="A1614" s="194"/>
      <c r="B1614" s="195"/>
      <c r="C1614" s="181"/>
      <c r="D1614" s="194"/>
      <c r="E1614" s="194"/>
      <c r="F1614" s="181"/>
      <c r="G1614" s="181"/>
      <c r="H1614" s="181"/>
      <c r="I1614" s="181"/>
      <c r="J1614" s="181"/>
      <c r="K1614" s="181"/>
      <c r="L1614" s="181"/>
      <c r="M1614" s="181"/>
      <c r="N1614" s="181"/>
      <c r="O1614" s="181"/>
      <c r="P1614" s="181"/>
      <c r="Q1614" s="181"/>
      <c r="R1614" s="181"/>
      <c r="S1614" s="181"/>
      <c r="T1614" s="181"/>
      <c r="U1614" s="181"/>
      <c r="V1614" s="181"/>
      <c r="W1614" s="181"/>
      <c r="X1614" s="181"/>
      <c r="Y1614" s="181"/>
      <c r="Z1614" s="181"/>
    </row>
    <row r="1615">
      <c r="A1615" s="194"/>
      <c r="B1615" s="195"/>
      <c r="C1615" s="181"/>
      <c r="D1615" s="194"/>
      <c r="E1615" s="194"/>
      <c r="F1615" s="181"/>
      <c r="G1615" s="181"/>
      <c r="H1615" s="181"/>
      <c r="I1615" s="181"/>
      <c r="J1615" s="181"/>
      <c r="K1615" s="181"/>
      <c r="L1615" s="181"/>
      <c r="M1615" s="181"/>
      <c r="N1615" s="181"/>
      <c r="O1615" s="181"/>
      <c r="P1615" s="181"/>
      <c r="Q1615" s="181"/>
      <c r="R1615" s="181"/>
      <c r="S1615" s="181"/>
      <c r="T1615" s="181"/>
      <c r="U1615" s="181"/>
      <c r="V1615" s="181"/>
      <c r="W1615" s="181"/>
      <c r="X1615" s="181"/>
      <c r="Y1615" s="181"/>
      <c r="Z1615" s="181"/>
    </row>
    <row r="1616">
      <c r="A1616" s="194"/>
      <c r="B1616" s="195"/>
      <c r="C1616" s="181"/>
      <c r="D1616" s="194"/>
      <c r="E1616" s="194"/>
      <c r="F1616" s="181"/>
      <c r="G1616" s="181"/>
      <c r="H1616" s="181"/>
      <c r="I1616" s="181"/>
      <c r="J1616" s="181"/>
      <c r="K1616" s="181"/>
      <c r="L1616" s="181"/>
      <c r="M1616" s="181"/>
      <c r="N1616" s="181"/>
      <c r="O1616" s="181"/>
      <c r="P1616" s="181"/>
      <c r="Q1616" s="181"/>
      <c r="R1616" s="181"/>
      <c r="S1616" s="181"/>
      <c r="T1616" s="181"/>
      <c r="U1616" s="181"/>
      <c r="V1616" s="181"/>
      <c r="W1616" s="181"/>
      <c r="X1616" s="181"/>
      <c r="Y1616" s="181"/>
      <c r="Z1616" s="181"/>
    </row>
    <row r="1617">
      <c r="A1617" s="194"/>
      <c r="B1617" s="195"/>
      <c r="C1617" s="181"/>
      <c r="D1617" s="194"/>
      <c r="E1617" s="194"/>
      <c r="F1617" s="181"/>
      <c r="G1617" s="181"/>
      <c r="H1617" s="181"/>
      <c r="I1617" s="181"/>
      <c r="J1617" s="181"/>
      <c r="K1617" s="181"/>
      <c r="L1617" s="181"/>
      <c r="M1617" s="181"/>
      <c r="N1617" s="181"/>
      <c r="O1617" s="181"/>
      <c r="P1617" s="181"/>
      <c r="Q1617" s="181"/>
      <c r="R1617" s="181"/>
      <c r="S1617" s="181"/>
      <c r="T1617" s="181"/>
      <c r="U1617" s="181"/>
      <c r="V1617" s="181"/>
      <c r="W1617" s="181"/>
      <c r="X1617" s="181"/>
      <c r="Y1617" s="181"/>
      <c r="Z1617" s="181"/>
    </row>
    <row r="1618">
      <c r="A1618" s="194"/>
      <c r="B1618" s="195"/>
      <c r="C1618" s="181"/>
      <c r="D1618" s="194"/>
      <c r="E1618" s="194"/>
      <c r="F1618" s="181"/>
      <c r="G1618" s="181"/>
      <c r="H1618" s="181"/>
      <c r="I1618" s="181"/>
      <c r="J1618" s="181"/>
      <c r="K1618" s="181"/>
      <c r="L1618" s="181"/>
      <c r="M1618" s="181"/>
      <c r="N1618" s="181"/>
      <c r="O1618" s="181"/>
      <c r="P1618" s="181"/>
      <c r="Q1618" s="181"/>
      <c r="R1618" s="181"/>
      <c r="S1618" s="181"/>
      <c r="T1618" s="181"/>
      <c r="U1618" s="181"/>
      <c r="V1618" s="181"/>
      <c r="W1618" s="181"/>
      <c r="X1618" s="181"/>
      <c r="Y1618" s="181"/>
      <c r="Z1618" s="181"/>
    </row>
    <row r="1619">
      <c r="A1619" s="194"/>
      <c r="B1619" s="195"/>
      <c r="C1619" s="181"/>
      <c r="D1619" s="194"/>
      <c r="E1619" s="194"/>
      <c r="F1619" s="181"/>
      <c r="G1619" s="181"/>
      <c r="H1619" s="181"/>
      <c r="I1619" s="181"/>
      <c r="J1619" s="181"/>
      <c r="K1619" s="181"/>
      <c r="L1619" s="181"/>
      <c r="M1619" s="181"/>
      <c r="N1619" s="181"/>
      <c r="O1619" s="181"/>
      <c r="P1619" s="181"/>
      <c r="Q1619" s="181"/>
      <c r="R1619" s="181"/>
      <c r="S1619" s="181"/>
      <c r="T1619" s="181"/>
      <c r="U1619" s="181"/>
      <c r="V1619" s="181"/>
      <c r="W1619" s="181"/>
      <c r="X1619" s="181"/>
      <c r="Y1619" s="181"/>
      <c r="Z1619" s="181"/>
    </row>
    <row r="1620">
      <c r="A1620" s="194"/>
      <c r="B1620" s="195"/>
      <c r="C1620" s="181"/>
      <c r="D1620" s="194"/>
      <c r="E1620" s="194"/>
      <c r="F1620" s="181"/>
      <c r="G1620" s="181"/>
      <c r="H1620" s="181"/>
      <c r="I1620" s="181"/>
      <c r="J1620" s="181"/>
      <c r="K1620" s="181"/>
      <c r="L1620" s="181"/>
      <c r="M1620" s="181"/>
      <c r="N1620" s="181"/>
      <c r="O1620" s="181"/>
      <c r="P1620" s="181"/>
      <c r="Q1620" s="181"/>
      <c r="R1620" s="181"/>
      <c r="S1620" s="181"/>
      <c r="T1620" s="181"/>
      <c r="U1620" s="181"/>
      <c r="V1620" s="181"/>
      <c r="W1620" s="181"/>
      <c r="X1620" s="181"/>
      <c r="Y1620" s="181"/>
      <c r="Z1620" s="181"/>
    </row>
    <row r="1621">
      <c r="A1621" s="194"/>
      <c r="B1621" s="195"/>
      <c r="C1621" s="181"/>
      <c r="D1621" s="194"/>
      <c r="E1621" s="194"/>
      <c r="F1621" s="181"/>
      <c r="G1621" s="181"/>
      <c r="H1621" s="181"/>
      <c r="I1621" s="181"/>
      <c r="J1621" s="181"/>
      <c r="K1621" s="181"/>
      <c r="L1621" s="181"/>
      <c r="M1621" s="181"/>
      <c r="N1621" s="181"/>
      <c r="O1621" s="181"/>
      <c r="P1621" s="181"/>
      <c r="Q1621" s="181"/>
      <c r="R1621" s="181"/>
      <c r="S1621" s="181"/>
      <c r="T1621" s="181"/>
      <c r="U1621" s="181"/>
      <c r="V1621" s="181"/>
      <c r="W1621" s="181"/>
      <c r="X1621" s="181"/>
      <c r="Y1621" s="181"/>
      <c r="Z1621" s="181"/>
    </row>
    <row r="1622">
      <c r="A1622" s="194"/>
      <c r="B1622" s="195"/>
      <c r="C1622" s="181"/>
      <c r="D1622" s="194"/>
      <c r="E1622" s="194"/>
      <c r="F1622" s="181"/>
      <c r="G1622" s="181"/>
      <c r="H1622" s="181"/>
      <c r="I1622" s="181"/>
      <c r="J1622" s="181"/>
      <c r="K1622" s="181"/>
      <c r="L1622" s="181"/>
      <c r="M1622" s="181"/>
      <c r="N1622" s="181"/>
      <c r="O1622" s="181"/>
      <c r="P1622" s="181"/>
      <c r="Q1622" s="181"/>
      <c r="R1622" s="181"/>
      <c r="S1622" s="181"/>
      <c r="T1622" s="181"/>
      <c r="U1622" s="181"/>
      <c r="V1622" s="181"/>
      <c r="W1622" s="181"/>
      <c r="X1622" s="181"/>
      <c r="Y1622" s="181"/>
      <c r="Z1622" s="181"/>
    </row>
    <row r="1623">
      <c r="A1623" s="194"/>
      <c r="B1623" s="195"/>
      <c r="C1623" s="181"/>
      <c r="D1623" s="194"/>
      <c r="E1623" s="194"/>
      <c r="F1623" s="181"/>
      <c r="G1623" s="181"/>
      <c r="H1623" s="181"/>
      <c r="I1623" s="181"/>
      <c r="J1623" s="181"/>
      <c r="K1623" s="181"/>
      <c r="L1623" s="181"/>
      <c r="M1623" s="181"/>
      <c r="N1623" s="181"/>
      <c r="O1623" s="181"/>
      <c r="P1623" s="181"/>
      <c r="Q1623" s="181"/>
      <c r="R1623" s="181"/>
      <c r="S1623" s="181"/>
      <c r="T1623" s="181"/>
      <c r="U1623" s="181"/>
      <c r="V1623" s="181"/>
      <c r="W1623" s="181"/>
      <c r="X1623" s="181"/>
      <c r="Y1623" s="181"/>
      <c r="Z1623" s="181"/>
    </row>
    <row r="1624">
      <c r="A1624" s="194"/>
      <c r="B1624" s="195"/>
      <c r="C1624" s="181"/>
      <c r="D1624" s="194"/>
      <c r="E1624" s="194"/>
      <c r="F1624" s="181"/>
      <c r="G1624" s="181"/>
      <c r="H1624" s="181"/>
      <c r="I1624" s="181"/>
      <c r="J1624" s="181"/>
      <c r="K1624" s="181"/>
      <c r="L1624" s="181"/>
      <c r="M1624" s="181"/>
      <c r="N1624" s="181"/>
      <c r="O1624" s="181"/>
      <c r="P1624" s="181"/>
      <c r="Q1624" s="181"/>
      <c r="R1624" s="181"/>
      <c r="S1624" s="181"/>
      <c r="T1624" s="181"/>
      <c r="U1624" s="181"/>
      <c r="V1624" s="181"/>
      <c r="W1624" s="181"/>
      <c r="X1624" s="181"/>
      <c r="Y1624" s="181"/>
      <c r="Z1624" s="181"/>
    </row>
    <row r="1625">
      <c r="A1625" s="194"/>
      <c r="B1625" s="195"/>
      <c r="C1625" s="181"/>
      <c r="D1625" s="194"/>
      <c r="E1625" s="194"/>
      <c r="F1625" s="181"/>
      <c r="G1625" s="181"/>
      <c r="H1625" s="181"/>
      <c r="I1625" s="181"/>
      <c r="J1625" s="181"/>
      <c r="K1625" s="181"/>
      <c r="L1625" s="181"/>
      <c r="M1625" s="181"/>
      <c r="N1625" s="181"/>
      <c r="O1625" s="181"/>
      <c r="P1625" s="181"/>
      <c r="Q1625" s="181"/>
      <c r="R1625" s="181"/>
      <c r="S1625" s="181"/>
      <c r="T1625" s="181"/>
      <c r="U1625" s="181"/>
      <c r="V1625" s="181"/>
      <c r="W1625" s="181"/>
      <c r="X1625" s="181"/>
      <c r="Y1625" s="181"/>
      <c r="Z1625" s="181"/>
    </row>
    <row r="1626">
      <c r="A1626" s="194"/>
      <c r="B1626" s="195"/>
      <c r="C1626" s="181"/>
      <c r="D1626" s="194"/>
      <c r="E1626" s="194"/>
      <c r="F1626" s="181"/>
      <c r="G1626" s="181"/>
      <c r="H1626" s="181"/>
      <c r="I1626" s="181"/>
      <c r="J1626" s="181"/>
      <c r="K1626" s="181"/>
      <c r="L1626" s="181"/>
      <c r="M1626" s="181"/>
      <c r="N1626" s="181"/>
      <c r="O1626" s="181"/>
      <c r="P1626" s="181"/>
      <c r="Q1626" s="181"/>
      <c r="R1626" s="181"/>
      <c r="S1626" s="181"/>
      <c r="T1626" s="181"/>
      <c r="U1626" s="181"/>
      <c r="V1626" s="181"/>
      <c r="W1626" s="181"/>
      <c r="X1626" s="181"/>
      <c r="Y1626" s="181"/>
      <c r="Z1626" s="181"/>
    </row>
    <row r="1627">
      <c r="A1627" s="194"/>
      <c r="B1627" s="195"/>
      <c r="C1627" s="181"/>
      <c r="D1627" s="194"/>
      <c r="E1627" s="194"/>
      <c r="F1627" s="181"/>
      <c r="G1627" s="181"/>
      <c r="H1627" s="181"/>
      <c r="I1627" s="181"/>
      <c r="J1627" s="181"/>
      <c r="K1627" s="181"/>
      <c r="L1627" s="181"/>
      <c r="M1627" s="181"/>
      <c r="N1627" s="181"/>
      <c r="O1627" s="181"/>
      <c r="P1627" s="181"/>
      <c r="Q1627" s="181"/>
      <c r="R1627" s="181"/>
      <c r="S1627" s="181"/>
      <c r="T1627" s="181"/>
      <c r="U1627" s="181"/>
      <c r="V1627" s="181"/>
      <c r="W1627" s="181"/>
      <c r="X1627" s="181"/>
      <c r="Y1627" s="181"/>
      <c r="Z1627" s="181"/>
    </row>
    <row r="1628">
      <c r="A1628" s="194"/>
      <c r="B1628" s="195"/>
      <c r="C1628" s="181"/>
      <c r="D1628" s="194"/>
      <c r="E1628" s="194"/>
      <c r="F1628" s="181"/>
      <c r="G1628" s="181"/>
      <c r="H1628" s="181"/>
      <c r="I1628" s="181"/>
      <c r="J1628" s="181"/>
      <c r="K1628" s="181"/>
      <c r="L1628" s="181"/>
      <c r="M1628" s="181"/>
      <c r="N1628" s="181"/>
      <c r="O1628" s="181"/>
      <c r="P1628" s="181"/>
      <c r="Q1628" s="181"/>
      <c r="R1628" s="181"/>
      <c r="S1628" s="181"/>
      <c r="T1628" s="181"/>
      <c r="U1628" s="181"/>
      <c r="V1628" s="181"/>
      <c r="W1628" s="181"/>
      <c r="X1628" s="181"/>
      <c r="Y1628" s="181"/>
      <c r="Z1628" s="181"/>
    </row>
    <row r="1629">
      <c r="A1629" s="194"/>
      <c r="B1629" s="195"/>
      <c r="C1629" s="181"/>
      <c r="D1629" s="194"/>
      <c r="E1629" s="194"/>
      <c r="F1629" s="181"/>
      <c r="G1629" s="181"/>
      <c r="H1629" s="181"/>
      <c r="I1629" s="181"/>
      <c r="J1629" s="181"/>
      <c r="K1629" s="181"/>
      <c r="L1629" s="181"/>
      <c r="M1629" s="181"/>
      <c r="N1629" s="181"/>
      <c r="O1629" s="181"/>
      <c r="P1629" s="181"/>
      <c r="Q1629" s="181"/>
      <c r="R1629" s="181"/>
      <c r="S1629" s="181"/>
      <c r="T1629" s="181"/>
      <c r="U1629" s="181"/>
      <c r="V1629" s="181"/>
      <c r="W1629" s="181"/>
      <c r="X1629" s="181"/>
      <c r="Y1629" s="181"/>
      <c r="Z1629" s="181"/>
    </row>
    <row r="1630">
      <c r="A1630" s="194"/>
      <c r="B1630" s="195"/>
      <c r="C1630" s="181"/>
      <c r="D1630" s="194"/>
      <c r="E1630" s="194"/>
      <c r="F1630" s="181"/>
      <c r="G1630" s="181"/>
      <c r="H1630" s="181"/>
      <c r="I1630" s="181"/>
      <c r="J1630" s="181"/>
      <c r="K1630" s="181"/>
      <c r="L1630" s="181"/>
      <c r="M1630" s="181"/>
      <c r="N1630" s="181"/>
      <c r="O1630" s="181"/>
      <c r="P1630" s="181"/>
      <c r="Q1630" s="181"/>
      <c r="R1630" s="181"/>
      <c r="S1630" s="181"/>
      <c r="T1630" s="181"/>
      <c r="U1630" s="181"/>
      <c r="V1630" s="181"/>
      <c r="W1630" s="181"/>
      <c r="X1630" s="181"/>
      <c r="Y1630" s="181"/>
      <c r="Z1630" s="181"/>
    </row>
    <row r="1631">
      <c r="A1631" s="194"/>
      <c r="B1631" s="195"/>
      <c r="C1631" s="181"/>
      <c r="D1631" s="194"/>
      <c r="E1631" s="194"/>
      <c r="F1631" s="181"/>
      <c r="G1631" s="181"/>
      <c r="H1631" s="181"/>
      <c r="I1631" s="181"/>
      <c r="J1631" s="181"/>
      <c r="K1631" s="181"/>
      <c r="L1631" s="181"/>
      <c r="M1631" s="181"/>
      <c r="N1631" s="181"/>
      <c r="O1631" s="181"/>
      <c r="P1631" s="181"/>
      <c r="Q1631" s="181"/>
      <c r="R1631" s="181"/>
      <c r="S1631" s="181"/>
      <c r="T1631" s="181"/>
      <c r="U1631" s="181"/>
      <c r="V1631" s="181"/>
      <c r="W1631" s="181"/>
      <c r="X1631" s="181"/>
      <c r="Y1631" s="181"/>
      <c r="Z1631" s="181"/>
    </row>
    <row r="1632">
      <c r="A1632" s="194"/>
      <c r="B1632" s="195"/>
      <c r="C1632" s="181"/>
      <c r="D1632" s="194"/>
      <c r="E1632" s="194"/>
      <c r="F1632" s="181"/>
      <c r="G1632" s="181"/>
      <c r="H1632" s="181"/>
      <c r="I1632" s="181"/>
      <c r="J1632" s="181"/>
      <c r="K1632" s="181"/>
      <c r="L1632" s="181"/>
      <c r="M1632" s="181"/>
      <c r="N1632" s="181"/>
      <c r="O1632" s="181"/>
      <c r="P1632" s="181"/>
      <c r="Q1632" s="181"/>
      <c r="R1632" s="181"/>
      <c r="S1632" s="181"/>
      <c r="T1632" s="181"/>
      <c r="U1632" s="181"/>
      <c r="V1632" s="181"/>
      <c r="W1632" s="181"/>
      <c r="X1632" s="181"/>
      <c r="Y1632" s="181"/>
      <c r="Z1632" s="181"/>
    </row>
    <row r="1633">
      <c r="A1633" s="194"/>
      <c r="B1633" s="195"/>
      <c r="C1633" s="181"/>
      <c r="D1633" s="194"/>
      <c r="E1633" s="194"/>
      <c r="F1633" s="181"/>
      <c r="G1633" s="181"/>
      <c r="H1633" s="181"/>
      <c r="I1633" s="181"/>
      <c r="J1633" s="181"/>
      <c r="K1633" s="181"/>
      <c r="L1633" s="181"/>
      <c r="M1633" s="181"/>
      <c r="N1633" s="181"/>
      <c r="O1633" s="181"/>
      <c r="P1633" s="181"/>
      <c r="Q1633" s="181"/>
      <c r="R1633" s="181"/>
      <c r="S1633" s="181"/>
      <c r="T1633" s="181"/>
      <c r="U1633" s="181"/>
      <c r="V1633" s="181"/>
      <c r="W1633" s="181"/>
      <c r="X1633" s="181"/>
      <c r="Y1633" s="181"/>
      <c r="Z1633" s="181"/>
    </row>
    <row r="1634">
      <c r="A1634" s="194"/>
      <c r="B1634" s="195"/>
      <c r="C1634" s="181"/>
      <c r="D1634" s="194"/>
      <c r="E1634" s="194"/>
      <c r="F1634" s="181"/>
      <c r="G1634" s="181"/>
      <c r="H1634" s="181"/>
      <c r="I1634" s="181"/>
      <c r="J1634" s="181"/>
      <c r="K1634" s="181"/>
      <c r="L1634" s="181"/>
      <c r="M1634" s="181"/>
      <c r="N1634" s="181"/>
      <c r="O1634" s="181"/>
      <c r="P1634" s="181"/>
      <c r="Q1634" s="181"/>
      <c r="R1634" s="181"/>
      <c r="S1634" s="181"/>
      <c r="T1634" s="181"/>
      <c r="U1634" s="181"/>
      <c r="V1634" s="181"/>
      <c r="W1634" s="181"/>
      <c r="X1634" s="181"/>
      <c r="Y1634" s="181"/>
      <c r="Z1634" s="181"/>
    </row>
    <row r="1635">
      <c r="A1635" s="194"/>
      <c r="B1635" s="195"/>
      <c r="C1635" s="181"/>
      <c r="D1635" s="194"/>
      <c r="E1635" s="194"/>
      <c r="F1635" s="181"/>
      <c r="G1635" s="181"/>
      <c r="H1635" s="181"/>
      <c r="I1635" s="181"/>
      <c r="J1635" s="181"/>
      <c r="K1635" s="181"/>
      <c r="L1635" s="181"/>
      <c r="M1635" s="181"/>
      <c r="N1635" s="181"/>
      <c r="O1635" s="181"/>
      <c r="P1635" s="181"/>
      <c r="Q1635" s="181"/>
      <c r="R1635" s="181"/>
      <c r="S1635" s="181"/>
      <c r="T1635" s="181"/>
      <c r="U1635" s="181"/>
      <c r="V1635" s="181"/>
      <c r="W1635" s="181"/>
      <c r="X1635" s="181"/>
      <c r="Y1635" s="181"/>
      <c r="Z1635" s="181"/>
    </row>
    <row r="1636">
      <c r="A1636" s="194"/>
      <c r="B1636" s="195"/>
      <c r="C1636" s="181"/>
      <c r="D1636" s="194"/>
      <c r="E1636" s="194"/>
      <c r="F1636" s="181"/>
      <c r="G1636" s="181"/>
      <c r="H1636" s="181"/>
      <c r="I1636" s="181"/>
      <c r="J1636" s="181"/>
      <c r="K1636" s="181"/>
      <c r="L1636" s="181"/>
      <c r="M1636" s="181"/>
      <c r="N1636" s="181"/>
      <c r="O1636" s="181"/>
      <c r="P1636" s="181"/>
      <c r="Q1636" s="181"/>
      <c r="R1636" s="181"/>
      <c r="S1636" s="181"/>
      <c r="T1636" s="181"/>
      <c r="U1636" s="181"/>
      <c r="V1636" s="181"/>
      <c r="W1636" s="181"/>
      <c r="X1636" s="181"/>
      <c r="Y1636" s="181"/>
      <c r="Z1636" s="181"/>
    </row>
    <row r="1637">
      <c r="A1637" s="194"/>
      <c r="B1637" s="195"/>
      <c r="C1637" s="181"/>
      <c r="D1637" s="194"/>
      <c r="E1637" s="194"/>
      <c r="F1637" s="181"/>
      <c r="G1637" s="181"/>
      <c r="H1637" s="181"/>
      <c r="I1637" s="181"/>
      <c r="J1637" s="181"/>
      <c r="K1637" s="181"/>
      <c r="L1637" s="181"/>
      <c r="M1637" s="181"/>
      <c r="N1637" s="181"/>
      <c r="O1637" s="181"/>
      <c r="P1637" s="181"/>
      <c r="Q1637" s="181"/>
      <c r="R1637" s="181"/>
      <c r="S1637" s="181"/>
      <c r="T1637" s="181"/>
      <c r="U1637" s="181"/>
      <c r="V1637" s="181"/>
      <c r="W1637" s="181"/>
      <c r="X1637" s="181"/>
      <c r="Y1637" s="181"/>
      <c r="Z1637" s="181"/>
    </row>
    <row r="1638">
      <c r="A1638" s="194"/>
      <c r="B1638" s="195"/>
      <c r="C1638" s="181"/>
      <c r="D1638" s="194"/>
      <c r="E1638" s="194"/>
      <c r="F1638" s="181"/>
      <c r="G1638" s="181"/>
      <c r="H1638" s="181"/>
      <c r="I1638" s="181"/>
      <c r="J1638" s="181"/>
      <c r="K1638" s="181"/>
      <c r="L1638" s="181"/>
      <c r="M1638" s="181"/>
      <c r="N1638" s="181"/>
      <c r="O1638" s="181"/>
      <c r="P1638" s="181"/>
      <c r="Q1638" s="181"/>
      <c r="R1638" s="181"/>
      <c r="S1638" s="181"/>
      <c r="T1638" s="181"/>
      <c r="U1638" s="181"/>
      <c r="V1638" s="181"/>
      <c r="W1638" s="181"/>
      <c r="X1638" s="181"/>
      <c r="Y1638" s="181"/>
      <c r="Z1638" s="181"/>
    </row>
    <row r="1639">
      <c r="A1639" s="194"/>
      <c r="B1639" s="195"/>
      <c r="C1639" s="181"/>
      <c r="D1639" s="194"/>
      <c r="E1639" s="194"/>
      <c r="F1639" s="181"/>
      <c r="G1639" s="181"/>
      <c r="H1639" s="181"/>
      <c r="I1639" s="181"/>
      <c r="J1639" s="181"/>
      <c r="K1639" s="181"/>
      <c r="L1639" s="181"/>
      <c r="M1639" s="181"/>
      <c r="N1639" s="181"/>
      <c r="O1639" s="181"/>
      <c r="P1639" s="181"/>
      <c r="Q1639" s="181"/>
      <c r="R1639" s="181"/>
      <c r="S1639" s="181"/>
      <c r="T1639" s="181"/>
      <c r="U1639" s="181"/>
      <c r="V1639" s="181"/>
      <c r="W1639" s="181"/>
      <c r="X1639" s="181"/>
      <c r="Y1639" s="181"/>
      <c r="Z1639" s="181"/>
    </row>
    <row r="1640">
      <c r="A1640" s="194"/>
      <c r="B1640" s="195"/>
      <c r="C1640" s="181"/>
      <c r="D1640" s="194"/>
      <c r="E1640" s="194"/>
      <c r="F1640" s="181"/>
      <c r="G1640" s="181"/>
      <c r="H1640" s="181"/>
      <c r="I1640" s="181"/>
      <c r="J1640" s="181"/>
      <c r="K1640" s="181"/>
      <c r="L1640" s="181"/>
      <c r="M1640" s="181"/>
      <c r="N1640" s="181"/>
      <c r="O1640" s="181"/>
      <c r="P1640" s="181"/>
      <c r="Q1640" s="181"/>
      <c r="R1640" s="181"/>
      <c r="S1640" s="181"/>
      <c r="T1640" s="181"/>
      <c r="U1640" s="181"/>
      <c r="V1640" s="181"/>
      <c r="W1640" s="181"/>
      <c r="X1640" s="181"/>
      <c r="Y1640" s="181"/>
      <c r="Z1640" s="181"/>
    </row>
    <row r="1641">
      <c r="A1641" s="194"/>
      <c r="B1641" s="195"/>
      <c r="C1641" s="181"/>
      <c r="D1641" s="194"/>
      <c r="E1641" s="194"/>
      <c r="F1641" s="181"/>
      <c r="G1641" s="181"/>
      <c r="H1641" s="181"/>
      <c r="I1641" s="181"/>
      <c r="J1641" s="181"/>
      <c r="K1641" s="181"/>
      <c r="L1641" s="181"/>
      <c r="M1641" s="181"/>
      <c r="N1641" s="181"/>
      <c r="O1641" s="181"/>
      <c r="P1641" s="181"/>
      <c r="Q1641" s="181"/>
      <c r="R1641" s="181"/>
      <c r="S1641" s="181"/>
      <c r="T1641" s="181"/>
      <c r="U1641" s="181"/>
      <c r="V1641" s="181"/>
      <c r="W1641" s="181"/>
      <c r="X1641" s="181"/>
      <c r="Y1641" s="181"/>
      <c r="Z1641" s="181"/>
    </row>
    <row r="1642">
      <c r="A1642" s="194"/>
      <c r="B1642" s="195"/>
      <c r="C1642" s="181"/>
      <c r="D1642" s="194"/>
      <c r="E1642" s="194"/>
      <c r="F1642" s="181"/>
      <c r="G1642" s="181"/>
      <c r="H1642" s="181"/>
      <c r="I1642" s="181"/>
      <c r="J1642" s="181"/>
      <c r="K1642" s="181"/>
      <c r="L1642" s="181"/>
      <c r="M1642" s="181"/>
      <c r="N1642" s="181"/>
      <c r="O1642" s="181"/>
      <c r="P1642" s="181"/>
      <c r="Q1642" s="181"/>
      <c r="R1642" s="181"/>
      <c r="S1642" s="181"/>
      <c r="T1642" s="181"/>
      <c r="U1642" s="181"/>
      <c r="V1642" s="181"/>
      <c r="W1642" s="181"/>
      <c r="X1642" s="181"/>
      <c r="Y1642" s="181"/>
      <c r="Z1642" s="181"/>
    </row>
    <row r="1643">
      <c r="A1643" s="194"/>
      <c r="B1643" s="195"/>
      <c r="C1643" s="181"/>
      <c r="D1643" s="194"/>
      <c r="E1643" s="194"/>
      <c r="F1643" s="181"/>
      <c r="G1643" s="181"/>
      <c r="H1643" s="181"/>
      <c r="I1643" s="181"/>
      <c r="J1643" s="181"/>
      <c r="K1643" s="181"/>
      <c r="L1643" s="181"/>
      <c r="M1643" s="181"/>
      <c r="N1643" s="181"/>
      <c r="O1643" s="181"/>
      <c r="P1643" s="181"/>
      <c r="Q1643" s="181"/>
      <c r="R1643" s="181"/>
      <c r="S1643" s="181"/>
      <c r="T1643" s="181"/>
      <c r="U1643" s="181"/>
      <c r="V1643" s="181"/>
      <c r="W1643" s="181"/>
      <c r="X1643" s="181"/>
      <c r="Y1643" s="181"/>
      <c r="Z1643" s="181"/>
    </row>
    <row r="1644">
      <c r="A1644" s="194"/>
      <c r="B1644" s="195"/>
      <c r="C1644" s="181"/>
      <c r="D1644" s="194"/>
      <c r="E1644" s="194"/>
      <c r="F1644" s="181"/>
      <c r="G1644" s="181"/>
      <c r="H1644" s="181"/>
      <c r="I1644" s="181"/>
      <c r="J1644" s="181"/>
      <c r="K1644" s="181"/>
      <c r="L1644" s="181"/>
      <c r="M1644" s="181"/>
      <c r="N1644" s="181"/>
      <c r="O1644" s="181"/>
      <c r="P1644" s="181"/>
      <c r="Q1644" s="181"/>
      <c r="R1644" s="181"/>
      <c r="S1644" s="181"/>
      <c r="T1644" s="181"/>
      <c r="U1644" s="181"/>
      <c r="V1644" s="181"/>
      <c r="W1644" s="181"/>
      <c r="X1644" s="181"/>
      <c r="Y1644" s="181"/>
      <c r="Z1644" s="181"/>
    </row>
    <row r="1645">
      <c r="A1645" s="194"/>
      <c r="B1645" s="195"/>
      <c r="C1645" s="181"/>
      <c r="D1645" s="194"/>
      <c r="E1645" s="194"/>
      <c r="F1645" s="181"/>
      <c r="G1645" s="181"/>
      <c r="H1645" s="181"/>
      <c r="I1645" s="181"/>
      <c r="J1645" s="181"/>
      <c r="K1645" s="181"/>
      <c r="L1645" s="181"/>
      <c r="M1645" s="181"/>
      <c r="N1645" s="181"/>
      <c r="O1645" s="181"/>
      <c r="P1645" s="181"/>
      <c r="Q1645" s="181"/>
      <c r="R1645" s="181"/>
      <c r="S1645" s="181"/>
      <c r="T1645" s="181"/>
      <c r="U1645" s="181"/>
      <c r="V1645" s="181"/>
      <c r="W1645" s="181"/>
      <c r="X1645" s="181"/>
      <c r="Y1645" s="181"/>
      <c r="Z1645" s="181"/>
    </row>
    <row r="1646">
      <c r="A1646" s="194"/>
      <c r="B1646" s="195"/>
      <c r="C1646" s="181"/>
      <c r="D1646" s="194"/>
      <c r="E1646" s="194"/>
      <c r="F1646" s="181"/>
      <c r="G1646" s="181"/>
      <c r="H1646" s="181"/>
      <c r="I1646" s="181"/>
      <c r="J1646" s="181"/>
      <c r="K1646" s="181"/>
      <c r="L1646" s="181"/>
      <c r="M1646" s="181"/>
      <c r="N1646" s="181"/>
      <c r="O1646" s="181"/>
      <c r="P1646" s="181"/>
      <c r="Q1646" s="181"/>
      <c r="R1646" s="181"/>
      <c r="S1646" s="181"/>
      <c r="T1646" s="181"/>
      <c r="U1646" s="181"/>
      <c r="V1646" s="181"/>
      <c r="W1646" s="181"/>
      <c r="X1646" s="181"/>
      <c r="Y1646" s="181"/>
      <c r="Z1646" s="181"/>
    </row>
    <row r="1647">
      <c r="A1647" s="194"/>
      <c r="B1647" s="195"/>
      <c r="C1647" s="181"/>
      <c r="D1647" s="194"/>
      <c r="E1647" s="194"/>
      <c r="F1647" s="181"/>
      <c r="G1647" s="181"/>
      <c r="H1647" s="181"/>
      <c r="I1647" s="181"/>
      <c r="J1647" s="181"/>
      <c r="K1647" s="181"/>
      <c r="L1647" s="181"/>
      <c r="M1647" s="181"/>
      <c r="N1647" s="181"/>
      <c r="O1647" s="181"/>
      <c r="P1647" s="181"/>
      <c r="Q1647" s="181"/>
      <c r="R1647" s="181"/>
      <c r="S1647" s="181"/>
      <c r="T1647" s="181"/>
      <c r="U1647" s="181"/>
      <c r="V1647" s="181"/>
      <c r="W1647" s="181"/>
      <c r="X1647" s="181"/>
      <c r="Y1647" s="181"/>
      <c r="Z1647" s="181"/>
    </row>
    <row r="1648">
      <c r="A1648" s="194"/>
      <c r="B1648" s="195"/>
      <c r="C1648" s="181"/>
      <c r="D1648" s="194"/>
      <c r="E1648" s="194"/>
      <c r="F1648" s="181"/>
      <c r="G1648" s="181"/>
      <c r="H1648" s="181"/>
      <c r="I1648" s="181"/>
      <c r="J1648" s="181"/>
      <c r="K1648" s="181"/>
      <c r="L1648" s="181"/>
      <c r="M1648" s="181"/>
      <c r="N1648" s="181"/>
      <c r="O1648" s="181"/>
      <c r="P1648" s="181"/>
      <c r="Q1648" s="181"/>
      <c r="R1648" s="181"/>
      <c r="S1648" s="181"/>
      <c r="T1648" s="181"/>
      <c r="U1648" s="181"/>
      <c r="V1648" s="181"/>
      <c r="W1648" s="181"/>
      <c r="X1648" s="181"/>
      <c r="Y1648" s="181"/>
      <c r="Z1648" s="181"/>
    </row>
    <row r="1649">
      <c r="A1649" s="194"/>
      <c r="B1649" s="195"/>
      <c r="C1649" s="181"/>
      <c r="D1649" s="194"/>
      <c r="E1649" s="194"/>
      <c r="F1649" s="181"/>
      <c r="G1649" s="181"/>
      <c r="H1649" s="181"/>
      <c r="I1649" s="181"/>
      <c r="J1649" s="181"/>
      <c r="K1649" s="181"/>
      <c r="L1649" s="181"/>
      <c r="M1649" s="181"/>
      <c r="N1649" s="181"/>
      <c r="O1649" s="181"/>
      <c r="P1649" s="181"/>
      <c r="Q1649" s="181"/>
      <c r="R1649" s="181"/>
      <c r="S1649" s="181"/>
      <c r="T1649" s="181"/>
      <c r="U1649" s="181"/>
      <c r="V1649" s="181"/>
      <c r="W1649" s="181"/>
      <c r="X1649" s="181"/>
      <c r="Y1649" s="181"/>
      <c r="Z1649" s="181"/>
    </row>
    <row r="1650">
      <c r="A1650" s="194"/>
      <c r="B1650" s="195"/>
      <c r="C1650" s="181"/>
      <c r="D1650" s="194"/>
      <c r="E1650" s="194"/>
      <c r="F1650" s="181"/>
      <c r="G1650" s="181"/>
      <c r="H1650" s="181"/>
      <c r="I1650" s="181"/>
      <c r="J1650" s="181"/>
      <c r="K1650" s="181"/>
      <c r="L1650" s="181"/>
      <c r="M1650" s="181"/>
      <c r="N1650" s="181"/>
      <c r="O1650" s="181"/>
      <c r="P1650" s="181"/>
      <c r="Q1650" s="181"/>
      <c r="R1650" s="181"/>
      <c r="S1650" s="181"/>
      <c r="T1650" s="181"/>
      <c r="U1650" s="181"/>
      <c r="V1650" s="181"/>
      <c r="W1650" s="181"/>
      <c r="X1650" s="181"/>
      <c r="Y1650" s="181"/>
      <c r="Z1650" s="181"/>
    </row>
    <row r="1651">
      <c r="A1651" s="194"/>
      <c r="B1651" s="195"/>
      <c r="C1651" s="181"/>
      <c r="D1651" s="194"/>
      <c r="E1651" s="194"/>
      <c r="F1651" s="181"/>
      <c r="G1651" s="181"/>
      <c r="H1651" s="181"/>
      <c r="I1651" s="181"/>
      <c r="J1651" s="181"/>
      <c r="K1651" s="181"/>
      <c r="L1651" s="181"/>
      <c r="M1651" s="181"/>
      <c r="N1651" s="181"/>
      <c r="O1651" s="181"/>
      <c r="P1651" s="181"/>
      <c r="Q1651" s="181"/>
      <c r="R1651" s="181"/>
      <c r="S1651" s="181"/>
      <c r="T1651" s="181"/>
      <c r="U1651" s="181"/>
      <c r="V1651" s="181"/>
      <c r="W1651" s="181"/>
      <c r="X1651" s="181"/>
      <c r="Y1651" s="181"/>
      <c r="Z1651" s="181"/>
    </row>
    <row r="1652">
      <c r="A1652" s="194"/>
      <c r="B1652" s="195"/>
      <c r="C1652" s="181"/>
      <c r="D1652" s="194"/>
      <c r="E1652" s="194"/>
      <c r="F1652" s="181"/>
      <c r="G1652" s="181"/>
      <c r="H1652" s="181"/>
      <c r="I1652" s="181"/>
      <c r="J1652" s="181"/>
      <c r="K1652" s="181"/>
      <c r="L1652" s="181"/>
      <c r="M1652" s="181"/>
      <c r="N1652" s="181"/>
      <c r="O1652" s="181"/>
      <c r="P1652" s="181"/>
      <c r="Q1652" s="181"/>
      <c r="R1652" s="181"/>
      <c r="S1652" s="181"/>
      <c r="T1652" s="181"/>
      <c r="U1652" s="181"/>
      <c r="V1652" s="181"/>
      <c r="W1652" s="181"/>
      <c r="X1652" s="181"/>
      <c r="Y1652" s="181"/>
      <c r="Z1652" s="181"/>
    </row>
    <row r="1653">
      <c r="A1653" s="194"/>
      <c r="B1653" s="195"/>
      <c r="C1653" s="181"/>
      <c r="D1653" s="194"/>
      <c r="E1653" s="194"/>
      <c r="F1653" s="181"/>
      <c r="G1653" s="181"/>
      <c r="H1653" s="181"/>
      <c r="I1653" s="181"/>
      <c r="J1653" s="181"/>
      <c r="K1653" s="181"/>
      <c r="L1653" s="181"/>
      <c r="M1653" s="181"/>
      <c r="N1653" s="181"/>
      <c r="O1653" s="181"/>
      <c r="P1653" s="181"/>
      <c r="Q1653" s="181"/>
      <c r="R1653" s="181"/>
      <c r="S1653" s="181"/>
      <c r="T1653" s="181"/>
      <c r="U1653" s="181"/>
      <c r="V1653" s="181"/>
      <c r="W1653" s="181"/>
      <c r="X1653" s="181"/>
      <c r="Y1653" s="181"/>
      <c r="Z1653" s="181"/>
    </row>
    <row r="1654">
      <c r="A1654" s="194"/>
      <c r="B1654" s="195"/>
      <c r="C1654" s="181"/>
      <c r="D1654" s="194"/>
      <c r="E1654" s="194"/>
      <c r="F1654" s="181"/>
      <c r="G1654" s="181"/>
      <c r="H1654" s="181"/>
      <c r="I1654" s="181"/>
      <c r="J1654" s="181"/>
      <c r="K1654" s="181"/>
      <c r="L1654" s="181"/>
      <c r="M1654" s="181"/>
      <c r="N1654" s="181"/>
      <c r="O1654" s="181"/>
      <c r="P1654" s="181"/>
      <c r="Q1654" s="181"/>
      <c r="R1654" s="181"/>
      <c r="S1654" s="181"/>
      <c r="T1654" s="181"/>
      <c r="U1654" s="181"/>
      <c r="V1654" s="181"/>
      <c r="W1654" s="181"/>
      <c r="X1654" s="181"/>
      <c r="Y1654" s="181"/>
      <c r="Z1654" s="181"/>
    </row>
    <row r="1655">
      <c r="A1655" s="194"/>
      <c r="B1655" s="195"/>
      <c r="C1655" s="181"/>
      <c r="D1655" s="194"/>
      <c r="E1655" s="194"/>
      <c r="F1655" s="181"/>
      <c r="G1655" s="181"/>
      <c r="H1655" s="181"/>
      <c r="I1655" s="181"/>
      <c r="J1655" s="181"/>
      <c r="K1655" s="181"/>
      <c r="L1655" s="181"/>
      <c r="M1655" s="181"/>
      <c r="N1655" s="181"/>
      <c r="O1655" s="181"/>
      <c r="P1655" s="181"/>
      <c r="Q1655" s="181"/>
      <c r="R1655" s="181"/>
      <c r="S1655" s="181"/>
      <c r="T1655" s="181"/>
      <c r="U1655" s="181"/>
      <c r="V1655" s="181"/>
      <c r="W1655" s="181"/>
      <c r="X1655" s="181"/>
      <c r="Y1655" s="181"/>
      <c r="Z1655" s="181"/>
    </row>
    <row r="1656">
      <c r="A1656" s="194"/>
      <c r="B1656" s="195"/>
      <c r="C1656" s="181"/>
      <c r="D1656" s="194"/>
      <c r="E1656" s="194"/>
      <c r="F1656" s="181"/>
      <c r="G1656" s="181"/>
      <c r="H1656" s="181"/>
      <c r="I1656" s="181"/>
      <c r="J1656" s="181"/>
      <c r="K1656" s="181"/>
      <c r="L1656" s="181"/>
      <c r="M1656" s="181"/>
      <c r="N1656" s="181"/>
      <c r="O1656" s="181"/>
      <c r="P1656" s="181"/>
      <c r="Q1656" s="181"/>
      <c r="R1656" s="181"/>
      <c r="S1656" s="181"/>
      <c r="T1656" s="181"/>
      <c r="U1656" s="181"/>
      <c r="V1656" s="181"/>
      <c r="W1656" s="181"/>
      <c r="X1656" s="181"/>
      <c r="Y1656" s="181"/>
      <c r="Z1656" s="181"/>
    </row>
    <row r="1657">
      <c r="A1657" s="194"/>
      <c r="B1657" s="195"/>
      <c r="C1657" s="181"/>
      <c r="D1657" s="194"/>
      <c r="E1657" s="194"/>
      <c r="F1657" s="181"/>
      <c r="G1657" s="181"/>
      <c r="H1657" s="181"/>
      <c r="I1657" s="181"/>
      <c r="J1657" s="181"/>
      <c r="K1657" s="181"/>
      <c r="L1657" s="181"/>
      <c r="M1657" s="181"/>
      <c r="N1657" s="181"/>
      <c r="O1657" s="181"/>
      <c r="P1657" s="181"/>
      <c r="Q1657" s="181"/>
      <c r="R1657" s="181"/>
      <c r="S1657" s="181"/>
      <c r="T1657" s="181"/>
      <c r="U1657" s="181"/>
      <c r="V1657" s="181"/>
      <c r="W1657" s="181"/>
      <c r="X1657" s="181"/>
      <c r="Y1657" s="181"/>
      <c r="Z1657" s="181"/>
    </row>
    <row r="1658">
      <c r="A1658" s="194"/>
      <c r="B1658" s="195"/>
      <c r="C1658" s="181"/>
      <c r="D1658" s="194"/>
      <c r="E1658" s="194"/>
      <c r="F1658" s="181"/>
      <c r="G1658" s="181"/>
      <c r="H1658" s="181"/>
      <c r="I1658" s="181"/>
      <c r="J1658" s="181"/>
      <c r="K1658" s="181"/>
      <c r="L1658" s="181"/>
      <c r="M1658" s="181"/>
      <c r="N1658" s="181"/>
      <c r="O1658" s="181"/>
      <c r="P1658" s="181"/>
      <c r="Q1658" s="181"/>
      <c r="R1658" s="181"/>
      <c r="S1658" s="181"/>
      <c r="T1658" s="181"/>
      <c r="U1658" s="181"/>
      <c r="V1658" s="181"/>
      <c r="W1658" s="181"/>
      <c r="X1658" s="181"/>
      <c r="Y1658" s="181"/>
      <c r="Z1658" s="181"/>
    </row>
    <row r="1659">
      <c r="A1659" s="194"/>
      <c r="B1659" s="195"/>
      <c r="C1659" s="181"/>
      <c r="D1659" s="194"/>
      <c r="E1659" s="194"/>
      <c r="F1659" s="181"/>
      <c r="G1659" s="181"/>
      <c r="H1659" s="181"/>
      <c r="I1659" s="181"/>
      <c r="J1659" s="181"/>
      <c r="K1659" s="181"/>
      <c r="L1659" s="181"/>
      <c r="M1659" s="181"/>
      <c r="N1659" s="181"/>
      <c r="O1659" s="181"/>
      <c r="P1659" s="181"/>
      <c r="Q1659" s="181"/>
      <c r="R1659" s="181"/>
      <c r="S1659" s="181"/>
      <c r="T1659" s="181"/>
      <c r="U1659" s="181"/>
      <c r="V1659" s="181"/>
      <c r="W1659" s="181"/>
      <c r="X1659" s="181"/>
      <c r="Y1659" s="181"/>
      <c r="Z1659" s="181"/>
    </row>
    <row r="1660">
      <c r="A1660" s="194"/>
      <c r="B1660" s="195"/>
      <c r="C1660" s="181"/>
      <c r="D1660" s="194"/>
      <c r="E1660" s="194"/>
      <c r="F1660" s="181"/>
      <c r="G1660" s="181"/>
      <c r="H1660" s="181"/>
      <c r="I1660" s="181"/>
      <c r="J1660" s="181"/>
      <c r="K1660" s="181"/>
      <c r="L1660" s="181"/>
      <c r="M1660" s="181"/>
      <c r="N1660" s="181"/>
      <c r="O1660" s="181"/>
      <c r="P1660" s="181"/>
      <c r="Q1660" s="181"/>
      <c r="R1660" s="181"/>
      <c r="S1660" s="181"/>
      <c r="T1660" s="181"/>
      <c r="U1660" s="181"/>
      <c r="V1660" s="181"/>
      <c r="W1660" s="181"/>
      <c r="X1660" s="181"/>
      <c r="Y1660" s="181"/>
      <c r="Z1660" s="181"/>
    </row>
    <row r="1661">
      <c r="A1661" s="194"/>
      <c r="B1661" s="195"/>
      <c r="C1661" s="181"/>
      <c r="D1661" s="194"/>
      <c r="E1661" s="194"/>
      <c r="F1661" s="181"/>
      <c r="G1661" s="181"/>
      <c r="H1661" s="181"/>
      <c r="I1661" s="181"/>
      <c r="J1661" s="181"/>
      <c r="K1661" s="181"/>
      <c r="L1661" s="181"/>
      <c r="M1661" s="181"/>
      <c r="N1661" s="181"/>
      <c r="O1661" s="181"/>
      <c r="P1661" s="181"/>
      <c r="Q1661" s="181"/>
      <c r="R1661" s="181"/>
      <c r="S1661" s="181"/>
      <c r="T1661" s="181"/>
      <c r="U1661" s="181"/>
      <c r="V1661" s="181"/>
      <c r="W1661" s="181"/>
      <c r="X1661" s="181"/>
      <c r="Y1661" s="181"/>
      <c r="Z1661" s="181"/>
    </row>
    <row r="1662">
      <c r="A1662" s="194"/>
      <c r="B1662" s="195"/>
      <c r="C1662" s="181"/>
      <c r="D1662" s="194"/>
      <c r="E1662" s="194"/>
      <c r="F1662" s="181"/>
      <c r="G1662" s="181"/>
      <c r="H1662" s="181"/>
      <c r="I1662" s="181"/>
      <c r="J1662" s="181"/>
      <c r="K1662" s="181"/>
      <c r="L1662" s="181"/>
      <c r="M1662" s="181"/>
      <c r="N1662" s="181"/>
      <c r="O1662" s="181"/>
      <c r="P1662" s="181"/>
      <c r="Q1662" s="181"/>
      <c r="R1662" s="181"/>
      <c r="S1662" s="181"/>
      <c r="T1662" s="181"/>
      <c r="U1662" s="181"/>
      <c r="V1662" s="181"/>
      <c r="W1662" s="181"/>
      <c r="X1662" s="181"/>
      <c r="Y1662" s="181"/>
      <c r="Z1662" s="181"/>
    </row>
    <row r="1663">
      <c r="A1663" s="194"/>
      <c r="B1663" s="195"/>
      <c r="C1663" s="181"/>
      <c r="D1663" s="194"/>
      <c r="E1663" s="194"/>
      <c r="F1663" s="181"/>
      <c r="G1663" s="181"/>
      <c r="H1663" s="181"/>
      <c r="I1663" s="181"/>
      <c r="J1663" s="181"/>
      <c r="K1663" s="181"/>
      <c r="L1663" s="181"/>
      <c r="M1663" s="181"/>
      <c r="N1663" s="181"/>
      <c r="O1663" s="181"/>
      <c r="P1663" s="181"/>
      <c r="Q1663" s="181"/>
      <c r="R1663" s="181"/>
      <c r="S1663" s="181"/>
      <c r="T1663" s="181"/>
      <c r="U1663" s="181"/>
      <c r="V1663" s="181"/>
      <c r="W1663" s="181"/>
      <c r="X1663" s="181"/>
      <c r="Y1663" s="181"/>
      <c r="Z1663" s="181"/>
    </row>
    <row r="1664">
      <c r="A1664" s="194"/>
      <c r="B1664" s="195"/>
      <c r="C1664" s="181"/>
      <c r="D1664" s="194"/>
      <c r="E1664" s="194"/>
      <c r="F1664" s="181"/>
      <c r="G1664" s="181"/>
      <c r="H1664" s="181"/>
      <c r="I1664" s="181"/>
      <c r="J1664" s="181"/>
      <c r="K1664" s="181"/>
      <c r="L1664" s="181"/>
      <c r="M1664" s="181"/>
      <c r="N1664" s="181"/>
      <c r="O1664" s="181"/>
      <c r="P1664" s="181"/>
      <c r="Q1664" s="181"/>
      <c r="R1664" s="181"/>
      <c r="S1664" s="181"/>
      <c r="T1664" s="181"/>
      <c r="U1664" s="181"/>
      <c r="V1664" s="181"/>
      <c r="W1664" s="181"/>
      <c r="X1664" s="181"/>
      <c r="Y1664" s="181"/>
      <c r="Z1664" s="181"/>
    </row>
    <row r="1665">
      <c r="A1665" s="194"/>
      <c r="B1665" s="195"/>
      <c r="C1665" s="181"/>
      <c r="D1665" s="194"/>
      <c r="E1665" s="194"/>
      <c r="F1665" s="181"/>
      <c r="G1665" s="181"/>
      <c r="H1665" s="181"/>
      <c r="I1665" s="181"/>
      <c r="J1665" s="181"/>
      <c r="K1665" s="181"/>
      <c r="L1665" s="181"/>
      <c r="M1665" s="181"/>
      <c r="N1665" s="181"/>
      <c r="O1665" s="181"/>
      <c r="P1665" s="181"/>
      <c r="Q1665" s="181"/>
      <c r="R1665" s="181"/>
      <c r="S1665" s="181"/>
      <c r="T1665" s="181"/>
      <c r="U1665" s="181"/>
      <c r="V1665" s="181"/>
      <c r="W1665" s="181"/>
      <c r="X1665" s="181"/>
      <c r="Y1665" s="181"/>
      <c r="Z1665" s="181"/>
    </row>
    <row r="1666">
      <c r="A1666" s="194"/>
      <c r="B1666" s="195"/>
      <c r="C1666" s="181"/>
      <c r="D1666" s="194"/>
      <c r="E1666" s="194"/>
      <c r="F1666" s="181"/>
      <c r="G1666" s="181"/>
      <c r="H1666" s="181"/>
      <c r="I1666" s="181"/>
      <c r="J1666" s="181"/>
      <c r="K1666" s="181"/>
      <c r="L1666" s="181"/>
      <c r="M1666" s="181"/>
      <c r="N1666" s="181"/>
      <c r="O1666" s="181"/>
      <c r="P1666" s="181"/>
      <c r="Q1666" s="181"/>
      <c r="R1666" s="181"/>
      <c r="S1666" s="181"/>
      <c r="T1666" s="181"/>
      <c r="U1666" s="181"/>
      <c r="V1666" s="181"/>
      <c r="W1666" s="181"/>
      <c r="X1666" s="181"/>
      <c r="Y1666" s="181"/>
      <c r="Z1666" s="181"/>
    </row>
    <row r="1667">
      <c r="A1667" s="194"/>
      <c r="B1667" s="195"/>
      <c r="C1667" s="181"/>
      <c r="D1667" s="194"/>
      <c r="E1667" s="194"/>
      <c r="F1667" s="181"/>
      <c r="G1667" s="181"/>
      <c r="H1667" s="181"/>
      <c r="I1667" s="181"/>
      <c r="J1667" s="181"/>
      <c r="K1667" s="181"/>
      <c r="L1667" s="181"/>
      <c r="M1667" s="181"/>
      <c r="N1667" s="181"/>
      <c r="O1667" s="181"/>
      <c r="P1667" s="181"/>
      <c r="Q1667" s="181"/>
      <c r="R1667" s="181"/>
      <c r="S1667" s="181"/>
      <c r="T1667" s="181"/>
      <c r="U1667" s="181"/>
      <c r="V1667" s="181"/>
      <c r="W1667" s="181"/>
      <c r="X1667" s="181"/>
      <c r="Y1667" s="181"/>
      <c r="Z1667" s="181"/>
    </row>
    <row r="1668">
      <c r="A1668" s="194"/>
      <c r="B1668" s="195"/>
      <c r="C1668" s="181"/>
      <c r="D1668" s="194"/>
      <c r="E1668" s="194"/>
      <c r="F1668" s="181"/>
      <c r="G1668" s="181"/>
      <c r="H1668" s="181"/>
      <c r="I1668" s="181"/>
      <c r="J1668" s="181"/>
      <c r="K1668" s="181"/>
      <c r="L1668" s="181"/>
      <c r="M1668" s="181"/>
      <c r="N1668" s="181"/>
      <c r="O1668" s="181"/>
      <c r="P1668" s="181"/>
      <c r="Q1668" s="181"/>
      <c r="R1668" s="181"/>
      <c r="S1668" s="181"/>
      <c r="T1668" s="181"/>
      <c r="U1668" s="181"/>
      <c r="V1668" s="181"/>
      <c r="W1668" s="181"/>
      <c r="X1668" s="181"/>
      <c r="Y1668" s="181"/>
      <c r="Z1668" s="181"/>
    </row>
    <row r="1669">
      <c r="A1669" s="194"/>
      <c r="B1669" s="195"/>
      <c r="C1669" s="181"/>
      <c r="D1669" s="194"/>
      <c r="E1669" s="194"/>
      <c r="F1669" s="181"/>
      <c r="G1669" s="181"/>
      <c r="H1669" s="181"/>
      <c r="I1669" s="181"/>
      <c r="J1669" s="181"/>
      <c r="K1669" s="181"/>
      <c r="L1669" s="181"/>
      <c r="M1669" s="181"/>
      <c r="N1669" s="181"/>
      <c r="O1669" s="181"/>
      <c r="P1669" s="181"/>
      <c r="Q1669" s="181"/>
      <c r="R1669" s="181"/>
      <c r="S1669" s="181"/>
      <c r="T1669" s="181"/>
      <c r="U1669" s="181"/>
      <c r="V1669" s="181"/>
      <c r="W1669" s="181"/>
      <c r="X1669" s="181"/>
      <c r="Y1669" s="181"/>
      <c r="Z1669" s="181"/>
    </row>
    <row r="1670">
      <c r="A1670" s="194"/>
      <c r="B1670" s="195"/>
      <c r="C1670" s="181"/>
      <c r="D1670" s="194"/>
      <c r="E1670" s="194"/>
      <c r="F1670" s="181"/>
      <c r="G1670" s="181"/>
      <c r="H1670" s="181"/>
      <c r="I1670" s="181"/>
      <c r="J1670" s="181"/>
      <c r="K1670" s="181"/>
      <c r="L1670" s="181"/>
      <c r="M1670" s="181"/>
      <c r="N1670" s="181"/>
      <c r="O1670" s="181"/>
      <c r="P1670" s="181"/>
      <c r="Q1670" s="181"/>
      <c r="R1670" s="181"/>
      <c r="S1670" s="181"/>
      <c r="T1670" s="181"/>
      <c r="U1670" s="181"/>
      <c r="V1670" s="181"/>
      <c r="W1670" s="181"/>
      <c r="X1670" s="181"/>
      <c r="Y1670" s="181"/>
      <c r="Z1670" s="181"/>
    </row>
    <row r="1671">
      <c r="A1671" s="194"/>
      <c r="B1671" s="195"/>
      <c r="C1671" s="181"/>
      <c r="D1671" s="194"/>
      <c r="E1671" s="194"/>
      <c r="F1671" s="181"/>
      <c r="G1671" s="181"/>
      <c r="H1671" s="181"/>
      <c r="I1671" s="181"/>
      <c r="J1671" s="181"/>
      <c r="K1671" s="181"/>
      <c r="L1671" s="181"/>
      <c r="M1671" s="181"/>
      <c r="N1671" s="181"/>
      <c r="O1671" s="181"/>
      <c r="P1671" s="181"/>
      <c r="Q1671" s="181"/>
      <c r="R1671" s="181"/>
      <c r="S1671" s="181"/>
      <c r="T1671" s="181"/>
      <c r="U1671" s="181"/>
      <c r="V1671" s="181"/>
      <c r="W1671" s="181"/>
      <c r="X1671" s="181"/>
      <c r="Y1671" s="181"/>
      <c r="Z1671" s="181"/>
    </row>
    <row r="1672">
      <c r="A1672" s="194"/>
      <c r="B1672" s="195"/>
      <c r="C1672" s="181"/>
      <c r="D1672" s="194"/>
      <c r="E1672" s="194"/>
      <c r="F1672" s="181"/>
      <c r="G1672" s="181"/>
      <c r="H1672" s="181"/>
      <c r="I1672" s="181"/>
      <c r="J1672" s="181"/>
      <c r="K1672" s="181"/>
      <c r="L1672" s="181"/>
      <c r="M1672" s="181"/>
      <c r="N1672" s="181"/>
      <c r="O1672" s="181"/>
      <c r="P1672" s="181"/>
      <c r="Q1672" s="181"/>
      <c r="R1672" s="181"/>
      <c r="S1672" s="181"/>
      <c r="T1672" s="181"/>
      <c r="U1672" s="181"/>
      <c r="V1672" s="181"/>
      <c r="W1672" s="181"/>
      <c r="X1672" s="181"/>
      <c r="Y1672" s="181"/>
      <c r="Z1672" s="181"/>
    </row>
    <row r="1673">
      <c r="A1673" s="194"/>
      <c r="B1673" s="195"/>
      <c r="C1673" s="181"/>
      <c r="D1673" s="194"/>
      <c r="E1673" s="194"/>
      <c r="F1673" s="181"/>
      <c r="G1673" s="181"/>
      <c r="H1673" s="181"/>
      <c r="I1673" s="181"/>
      <c r="J1673" s="181"/>
      <c r="K1673" s="181"/>
      <c r="L1673" s="181"/>
      <c r="M1673" s="181"/>
      <c r="N1673" s="181"/>
      <c r="O1673" s="181"/>
      <c r="P1673" s="181"/>
      <c r="Q1673" s="181"/>
      <c r="R1673" s="181"/>
      <c r="S1673" s="181"/>
      <c r="T1673" s="181"/>
      <c r="U1673" s="181"/>
      <c r="V1673" s="181"/>
      <c r="W1673" s="181"/>
      <c r="X1673" s="181"/>
      <c r="Y1673" s="181"/>
      <c r="Z1673" s="181"/>
    </row>
    <row r="1674">
      <c r="A1674" s="194"/>
      <c r="B1674" s="195"/>
      <c r="C1674" s="181"/>
      <c r="D1674" s="194"/>
      <c r="E1674" s="194"/>
      <c r="F1674" s="181"/>
      <c r="G1674" s="181"/>
      <c r="H1674" s="181"/>
      <c r="I1674" s="181"/>
      <c r="J1674" s="181"/>
      <c r="K1674" s="181"/>
      <c r="L1674" s="181"/>
      <c r="M1674" s="181"/>
      <c r="N1674" s="181"/>
      <c r="O1674" s="181"/>
      <c r="P1674" s="181"/>
      <c r="Q1674" s="181"/>
      <c r="R1674" s="181"/>
      <c r="S1674" s="181"/>
      <c r="T1674" s="181"/>
      <c r="U1674" s="181"/>
      <c r="V1674" s="181"/>
      <c r="W1674" s="181"/>
      <c r="X1674" s="181"/>
      <c r="Y1674" s="181"/>
      <c r="Z1674" s="181"/>
    </row>
    <row r="1675">
      <c r="A1675" s="194"/>
      <c r="B1675" s="195"/>
      <c r="C1675" s="181"/>
      <c r="D1675" s="194"/>
      <c r="E1675" s="194"/>
      <c r="F1675" s="181"/>
      <c r="G1675" s="181"/>
      <c r="H1675" s="181"/>
      <c r="I1675" s="181"/>
      <c r="J1675" s="181"/>
      <c r="K1675" s="181"/>
      <c r="L1675" s="181"/>
      <c r="M1675" s="181"/>
      <c r="N1675" s="181"/>
      <c r="O1675" s="181"/>
      <c r="P1675" s="181"/>
      <c r="Q1675" s="181"/>
      <c r="R1675" s="181"/>
      <c r="S1675" s="181"/>
      <c r="T1675" s="181"/>
      <c r="U1675" s="181"/>
      <c r="V1675" s="181"/>
      <c r="W1675" s="181"/>
      <c r="X1675" s="181"/>
      <c r="Y1675" s="181"/>
      <c r="Z1675" s="181"/>
    </row>
    <row r="1676">
      <c r="A1676" s="194"/>
      <c r="B1676" s="195"/>
      <c r="C1676" s="181"/>
      <c r="D1676" s="194"/>
      <c r="E1676" s="194"/>
      <c r="F1676" s="181"/>
      <c r="G1676" s="181"/>
      <c r="H1676" s="181"/>
      <c r="I1676" s="181"/>
      <c r="J1676" s="181"/>
      <c r="K1676" s="181"/>
      <c r="L1676" s="181"/>
      <c r="M1676" s="181"/>
      <c r="N1676" s="181"/>
      <c r="O1676" s="181"/>
      <c r="P1676" s="181"/>
      <c r="Q1676" s="181"/>
      <c r="R1676" s="181"/>
      <c r="S1676" s="181"/>
      <c r="T1676" s="181"/>
      <c r="U1676" s="181"/>
      <c r="V1676" s="181"/>
      <c r="W1676" s="181"/>
      <c r="X1676" s="181"/>
      <c r="Y1676" s="181"/>
      <c r="Z1676" s="181"/>
    </row>
    <row r="1677">
      <c r="A1677" s="194"/>
      <c r="B1677" s="195"/>
      <c r="C1677" s="181"/>
      <c r="D1677" s="194"/>
      <c r="E1677" s="194"/>
      <c r="F1677" s="181"/>
      <c r="G1677" s="181"/>
      <c r="H1677" s="181"/>
      <c r="I1677" s="181"/>
      <c r="J1677" s="181"/>
      <c r="K1677" s="181"/>
      <c r="L1677" s="181"/>
      <c r="M1677" s="181"/>
      <c r="N1677" s="181"/>
      <c r="O1677" s="181"/>
      <c r="P1677" s="181"/>
      <c r="Q1677" s="181"/>
      <c r="R1677" s="181"/>
      <c r="S1677" s="181"/>
      <c r="T1677" s="181"/>
      <c r="U1677" s="181"/>
      <c r="V1677" s="181"/>
      <c r="W1677" s="181"/>
      <c r="X1677" s="181"/>
      <c r="Y1677" s="181"/>
      <c r="Z1677" s="181"/>
    </row>
    <row r="1678">
      <c r="A1678" s="194"/>
      <c r="B1678" s="195"/>
      <c r="C1678" s="181"/>
      <c r="D1678" s="194"/>
      <c r="E1678" s="194"/>
      <c r="F1678" s="181"/>
      <c r="G1678" s="181"/>
      <c r="H1678" s="181"/>
      <c r="I1678" s="181"/>
      <c r="J1678" s="181"/>
      <c r="K1678" s="181"/>
      <c r="L1678" s="181"/>
      <c r="M1678" s="181"/>
      <c r="N1678" s="181"/>
      <c r="O1678" s="181"/>
      <c r="P1678" s="181"/>
      <c r="Q1678" s="181"/>
      <c r="R1678" s="181"/>
      <c r="S1678" s="181"/>
      <c r="T1678" s="181"/>
      <c r="U1678" s="181"/>
      <c r="V1678" s="181"/>
      <c r="W1678" s="181"/>
      <c r="X1678" s="181"/>
      <c r="Y1678" s="181"/>
      <c r="Z1678" s="181"/>
    </row>
    <row r="1679">
      <c r="A1679" s="194"/>
      <c r="B1679" s="195"/>
      <c r="C1679" s="181"/>
      <c r="D1679" s="194"/>
      <c r="E1679" s="194"/>
      <c r="F1679" s="181"/>
      <c r="G1679" s="181"/>
      <c r="H1679" s="181"/>
      <c r="I1679" s="181"/>
      <c r="J1679" s="181"/>
      <c r="K1679" s="181"/>
      <c r="L1679" s="181"/>
      <c r="M1679" s="181"/>
      <c r="N1679" s="181"/>
      <c r="O1679" s="181"/>
      <c r="P1679" s="181"/>
      <c r="Q1679" s="181"/>
      <c r="R1679" s="181"/>
      <c r="S1679" s="181"/>
      <c r="T1679" s="181"/>
      <c r="U1679" s="181"/>
      <c r="V1679" s="181"/>
      <c r="W1679" s="181"/>
      <c r="X1679" s="181"/>
      <c r="Y1679" s="181"/>
      <c r="Z1679" s="181"/>
    </row>
    <row r="1680">
      <c r="A1680" s="194"/>
      <c r="B1680" s="195"/>
      <c r="C1680" s="181"/>
      <c r="D1680" s="194"/>
      <c r="E1680" s="194"/>
      <c r="F1680" s="181"/>
      <c r="G1680" s="181"/>
      <c r="H1680" s="181"/>
      <c r="I1680" s="181"/>
      <c r="J1680" s="181"/>
      <c r="K1680" s="181"/>
      <c r="L1680" s="181"/>
      <c r="M1680" s="181"/>
      <c r="N1680" s="181"/>
      <c r="O1680" s="181"/>
      <c r="P1680" s="181"/>
      <c r="Q1680" s="181"/>
      <c r="R1680" s="181"/>
      <c r="S1680" s="181"/>
      <c r="T1680" s="181"/>
      <c r="U1680" s="181"/>
      <c r="V1680" s="181"/>
      <c r="W1680" s="181"/>
      <c r="X1680" s="181"/>
      <c r="Y1680" s="181"/>
      <c r="Z1680" s="181"/>
    </row>
    <row r="1681">
      <c r="A1681" s="194"/>
      <c r="B1681" s="195"/>
      <c r="C1681" s="181"/>
      <c r="D1681" s="194"/>
      <c r="E1681" s="194"/>
      <c r="F1681" s="181"/>
      <c r="G1681" s="181"/>
      <c r="H1681" s="181"/>
      <c r="I1681" s="181"/>
      <c r="J1681" s="181"/>
      <c r="K1681" s="181"/>
      <c r="L1681" s="181"/>
      <c r="M1681" s="181"/>
      <c r="N1681" s="181"/>
      <c r="O1681" s="181"/>
      <c r="P1681" s="181"/>
      <c r="Q1681" s="181"/>
      <c r="R1681" s="181"/>
      <c r="S1681" s="181"/>
      <c r="T1681" s="181"/>
      <c r="U1681" s="181"/>
      <c r="V1681" s="181"/>
      <c r="W1681" s="181"/>
      <c r="X1681" s="181"/>
      <c r="Y1681" s="181"/>
      <c r="Z1681" s="181"/>
    </row>
    <row r="1682">
      <c r="A1682" s="194"/>
      <c r="B1682" s="195"/>
      <c r="C1682" s="181"/>
      <c r="D1682" s="194"/>
      <c r="E1682" s="194"/>
      <c r="F1682" s="181"/>
      <c r="G1682" s="181"/>
      <c r="H1682" s="181"/>
      <c r="I1682" s="181"/>
      <c r="J1682" s="181"/>
      <c r="K1682" s="181"/>
      <c r="L1682" s="181"/>
      <c r="M1682" s="181"/>
      <c r="N1682" s="181"/>
      <c r="O1682" s="181"/>
      <c r="P1682" s="181"/>
      <c r="Q1682" s="181"/>
      <c r="R1682" s="181"/>
      <c r="S1682" s="181"/>
      <c r="T1682" s="181"/>
      <c r="U1682" s="181"/>
      <c r="V1682" s="181"/>
      <c r="W1682" s="181"/>
      <c r="X1682" s="181"/>
      <c r="Y1682" s="181"/>
      <c r="Z1682" s="181"/>
    </row>
    <row r="1683">
      <c r="A1683" s="194"/>
      <c r="B1683" s="195"/>
      <c r="C1683" s="181"/>
      <c r="D1683" s="194"/>
      <c r="E1683" s="194"/>
      <c r="F1683" s="181"/>
      <c r="G1683" s="181"/>
      <c r="H1683" s="181"/>
      <c r="I1683" s="181"/>
      <c r="J1683" s="181"/>
      <c r="K1683" s="181"/>
      <c r="L1683" s="181"/>
      <c r="M1683" s="181"/>
      <c r="N1683" s="181"/>
      <c r="O1683" s="181"/>
      <c r="P1683" s="181"/>
      <c r="Q1683" s="181"/>
      <c r="R1683" s="181"/>
      <c r="S1683" s="181"/>
      <c r="T1683" s="181"/>
      <c r="U1683" s="181"/>
      <c r="V1683" s="181"/>
      <c r="W1683" s="181"/>
      <c r="X1683" s="181"/>
      <c r="Y1683" s="181"/>
      <c r="Z1683" s="181"/>
    </row>
    <row r="1684">
      <c r="A1684" s="194"/>
      <c r="B1684" s="195"/>
      <c r="C1684" s="181"/>
      <c r="D1684" s="194"/>
      <c r="E1684" s="194"/>
      <c r="F1684" s="181"/>
      <c r="G1684" s="181"/>
      <c r="H1684" s="181"/>
      <c r="I1684" s="181"/>
      <c r="J1684" s="181"/>
      <c r="K1684" s="181"/>
      <c r="L1684" s="181"/>
      <c r="M1684" s="181"/>
      <c r="N1684" s="181"/>
      <c r="O1684" s="181"/>
      <c r="P1684" s="181"/>
      <c r="Q1684" s="181"/>
      <c r="R1684" s="181"/>
      <c r="S1684" s="181"/>
      <c r="T1684" s="181"/>
      <c r="U1684" s="181"/>
      <c r="V1684" s="181"/>
      <c r="W1684" s="181"/>
      <c r="X1684" s="181"/>
      <c r="Y1684" s="181"/>
      <c r="Z1684" s="181"/>
    </row>
    <row r="1685">
      <c r="A1685" s="194"/>
      <c r="B1685" s="195"/>
      <c r="C1685" s="181"/>
      <c r="D1685" s="194"/>
      <c r="E1685" s="194"/>
      <c r="F1685" s="181"/>
      <c r="G1685" s="181"/>
      <c r="H1685" s="181"/>
      <c r="I1685" s="181"/>
      <c r="J1685" s="181"/>
      <c r="K1685" s="181"/>
      <c r="L1685" s="181"/>
      <c r="M1685" s="181"/>
      <c r="N1685" s="181"/>
      <c r="O1685" s="181"/>
      <c r="P1685" s="181"/>
      <c r="Q1685" s="181"/>
      <c r="R1685" s="181"/>
      <c r="S1685" s="181"/>
      <c r="T1685" s="181"/>
      <c r="U1685" s="181"/>
      <c r="V1685" s="181"/>
      <c r="W1685" s="181"/>
      <c r="X1685" s="181"/>
      <c r="Y1685" s="181"/>
      <c r="Z1685" s="181"/>
    </row>
    <row r="1686">
      <c r="A1686" s="194"/>
      <c r="B1686" s="195"/>
      <c r="C1686" s="181"/>
      <c r="D1686" s="194"/>
      <c r="E1686" s="194"/>
      <c r="F1686" s="181"/>
      <c r="G1686" s="181"/>
      <c r="H1686" s="181"/>
      <c r="I1686" s="181"/>
      <c r="J1686" s="181"/>
      <c r="K1686" s="181"/>
      <c r="L1686" s="181"/>
      <c r="M1686" s="181"/>
      <c r="N1686" s="181"/>
      <c r="O1686" s="181"/>
      <c r="P1686" s="181"/>
      <c r="Q1686" s="181"/>
      <c r="R1686" s="181"/>
      <c r="S1686" s="181"/>
      <c r="T1686" s="181"/>
      <c r="U1686" s="181"/>
      <c r="V1686" s="181"/>
      <c r="W1686" s="181"/>
      <c r="X1686" s="181"/>
      <c r="Y1686" s="181"/>
      <c r="Z1686" s="181"/>
    </row>
    <row r="1687">
      <c r="A1687" s="194"/>
      <c r="B1687" s="195"/>
      <c r="C1687" s="181"/>
      <c r="D1687" s="194"/>
      <c r="E1687" s="194"/>
      <c r="F1687" s="181"/>
      <c r="G1687" s="181"/>
      <c r="H1687" s="181"/>
      <c r="I1687" s="181"/>
      <c r="J1687" s="181"/>
      <c r="K1687" s="181"/>
      <c r="L1687" s="181"/>
      <c r="M1687" s="181"/>
      <c r="N1687" s="181"/>
      <c r="O1687" s="181"/>
      <c r="P1687" s="181"/>
      <c r="Q1687" s="181"/>
      <c r="R1687" s="181"/>
      <c r="S1687" s="181"/>
      <c r="T1687" s="181"/>
      <c r="U1687" s="181"/>
      <c r="V1687" s="181"/>
      <c r="W1687" s="181"/>
      <c r="X1687" s="181"/>
      <c r="Y1687" s="181"/>
      <c r="Z1687" s="181"/>
    </row>
    <row r="1688">
      <c r="A1688" s="194"/>
      <c r="B1688" s="195"/>
      <c r="C1688" s="181"/>
      <c r="D1688" s="194"/>
      <c r="E1688" s="194"/>
      <c r="F1688" s="181"/>
      <c r="G1688" s="181"/>
      <c r="H1688" s="181"/>
      <c r="I1688" s="181"/>
      <c r="J1688" s="181"/>
      <c r="K1688" s="181"/>
      <c r="L1688" s="181"/>
      <c r="M1688" s="181"/>
      <c r="N1688" s="181"/>
      <c r="O1688" s="181"/>
      <c r="P1688" s="181"/>
      <c r="Q1688" s="181"/>
      <c r="R1688" s="181"/>
      <c r="S1688" s="181"/>
      <c r="T1688" s="181"/>
      <c r="U1688" s="181"/>
      <c r="V1688" s="181"/>
      <c r="W1688" s="181"/>
      <c r="X1688" s="181"/>
      <c r="Y1688" s="181"/>
      <c r="Z1688" s="181"/>
    </row>
    <row r="1689">
      <c r="A1689" s="194"/>
      <c r="B1689" s="195"/>
      <c r="C1689" s="181"/>
      <c r="D1689" s="194"/>
      <c r="E1689" s="194"/>
      <c r="F1689" s="181"/>
      <c r="G1689" s="181"/>
      <c r="H1689" s="181"/>
      <c r="I1689" s="181"/>
      <c r="J1689" s="181"/>
      <c r="K1689" s="181"/>
      <c r="L1689" s="181"/>
      <c r="M1689" s="181"/>
      <c r="N1689" s="181"/>
      <c r="O1689" s="181"/>
      <c r="P1689" s="181"/>
      <c r="Q1689" s="181"/>
      <c r="R1689" s="181"/>
      <c r="S1689" s="181"/>
      <c r="T1689" s="181"/>
      <c r="U1689" s="181"/>
      <c r="V1689" s="181"/>
      <c r="W1689" s="181"/>
      <c r="X1689" s="181"/>
      <c r="Y1689" s="181"/>
      <c r="Z1689" s="181"/>
    </row>
    <row r="1690">
      <c r="A1690" s="194"/>
      <c r="B1690" s="195"/>
      <c r="C1690" s="181"/>
      <c r="D1690" s="194"/>
      <c r="E1690" s="194"/>
      <c r="F1690" s="181"/>
      <c r="G1690" s="181"/>
      <c r="H1690" s="181"/>
      <c r="I1690" s="181"/>
      <c r="J1690" s="181"/>
      <c r="K1690" s="181"/>
      <c r="L1690" s="181"/>
      <c r="M1690" s="181"/>
      <c r="N1690" s="181"/>
      <c r="O1690" s="181"/>
      <c r="P1690" s="181"/>
      <c r="Q1690" s="181"/>
      <c r="R1690" s="181"/>
      <c r="S1690" s="181"/>
      <c r="T1690" s="181"/>
      <c r="U1690" s="181"/>
      <c r="V1690" s="181"/>
      <c r="W1690" s="181"/>
      <c r="X1690" s="181"/>
      <c r="Y1690" s="181"/>
      <c r="Z1690" s="181"/>
    </row>
    <row r="1691">
      <c r="A1691" s="194"/>
      <c r="B1691" s="195"/>
      <c r="C1691" s="181"/>
      <c r="D1691" s="194"/>
      <c r="E1691" s="194"/>
      <c r="F1691" s="181"/>
      <c r="G1691" s="181"/>
      <c r="H1691" s="181"/>
      <c r="I1691" s="181"/>
      <c r="J1691" s="181"/>
      <c r="K1691" s="181"/>
      <c r="L1691" s="181"/>
      <c r="M1691" s="181"/>
      <c r="N1691" s="181"/>
      <c r="O1691" s="181"/>
      <c r="P1691" s="181"/>
      <c r="Q1691" s="181"/>
      <c r="R1691" s="181"/>
      <c r="S1691" s="181"/>
      <c r="T1691" s="181"/>
      <c r="U1691" s="181"/>
      <c r="V1691" s="181"/>
      <c r="W1691" s="181"/>
      <c r="X1691" s="181"/>
      <c r="Y1691" s="181"/>
      <c r="Z1691" s="181"/>
    </row>
    <row r="1692">
      <c r="A1692" s="194"/>
      <c r="B1692" s="195"/>
      <c r="C1692" s="181"/>
      <c r="D1692" s="194"/>
      <c r="E1692" s="194"/>
      <c r="F1692" s="181"/>
      <c r="G1692" s="181"/>
      <c r="H1692" s="181"/>
      <c r="I1692" s="181"/>
      <c r="J1692" s="181"/>
      <c r="K1692" s="181"/>
      <c r="L1692" s="181"/>
      <c r="M1692" s="181"/>
      <c r="N1692" s="181"/>
      <c r="O1692" s="181"/>
      <c r="P1692" s="181"/>
      <c r="Q1692" s="181"/>
      <c r="R1692" s="181"/>
      <c r="S1692" s="181"/>
      <c r="T1692" s="181"/>
      <c r="U1692" s="181"/>
      <c r="V1692" s="181"/>
      <c r="W1692" s="181"/>
      <c r="X1692" s="181"/>
      <c r="Y1692" s="181"/>
      <c r="Z1692" s="181"/>
    </row>
    <row r="1693">
      <c r="A1693" s="194"/>
      <c r="B1693" s="195"/>
      <c r="C1693" s="181"/>
      <c r="D1693" s="194"/>
      <c r="E1693" s="194"/>
      <c r="F1693" s="181"/>
      <c r="G1693" s="181"/>
      <c r="H1693" s="181"/>
      <c r="I1693" s="181"/>
      <c r="J1693" s="181"/>
      <c r="K1693" s="181"/>
      <c r="L1693" s="181"/>
      <c r="M1693" s="181"/>
      <c r="N1693" s="181"/>
      <c r="O1693" s="181"/>
      <c r="P1693" s="181"/>
      <c r="Q1693" s="181"/>
      <c r="R1693" s="181"/>
      <c r="S1693" s="181"/>
      <c r="T1693" s="181"/>
      <c r="U1693" s="181"/>
      <c r="V1693" s="181"/>
      <c r="W1693" s="181"/>
      <c r="X1693" s="181"/>
      <c r="Y1693" s="181"/>
      <c r="Z1693" s="181"/>
    </row>
    <row r="1694">
      <c r="A1694" s="194"/>
      <c r="B1694" s="195"/>
      <c r="C1694" s="181"/>
      <c r="D1694" s="194"/>
      <c r="E1694" s="194"/>
      <c r="F1694" s="181"/>
      <c r="G1694" s="181"/>
      <c r="H1694" s="181"/>
      <c r="I1694" s="181"/>
      <c r="J1694" s="181"/>
      <c r="K1694" s="181"/>
      <c r="L1694" s="181"/>
      <c r="M1694" s="181"/>
      <c r="N1694" s="181"/>
      <c r="O1694" s="181"/>
      <c r="P1694" s="181"/>
      <c r="Q1694" s="181"/>
      <c r="R1694" s="181"/>
      <c r="S1694" s="181"/>
      <c r="T1694" s="181"/>
      <c r="U1694" s="181"/>
      <c r="V1694" s="181"/>
      <c r="W1694" s="181"/>
      <c r="X1694" s="181"/>
      <c r="Y1694" s="181"/>
      <c r="Z1694" s="181"/>
    </row>
    <row r="1695">
      <c r="A1695" s="194"/>
      <c r="B1695" s="195"/>
      <c r="C1695" s="181"/>
      <c r="D1695" s="194"/>
      <c r="E1695" s="194"/>
      <c r="F1695" s="181"/>
      <c r="G1695" s="181"/>
      <c r="H1695" s="181"/>
      <c r="I1695" s="181"/>
      <c r="J1695" s="181"/>
      <c r="K1695" s="181"/>
      <c r="L1695" s="181"/>
      <c r="M1695" s="181"/>
      <c r="N1695" s="181"/>
      <c r="O1695" s="181"/>
      <c r="P1695" s="181"/>
      <c r="Q1695" s="181"/>
      <c r="R1695" s="181"/>
      <c r="S1695" s="181"/>
      <c r="T1695" s="181"/>
      <c r="U1695" s="181"/>
      <c r="V1695" s="181"/>
      <c r="W1695" s="181"/>
      <c r="X1695" s="181"/>
      <c r="Y1695" s="181"/>
      <c r="Z1695" s="181"/>
    </row>
    <row r="1696">
      <c r="A1696" s="194"/>
      <c r="B1696" s="195"/>
      <c r="C1696" s="181"/>
      <c r="D1696" s="194"/>
      <c r="E1696" s="194"/>
      <c r="F1696" s="181"/>
      <c r="G1696" s="181"/>
      <c r="H1696" s="181"/>
      <c r="I1696" s="181"/>
      <c r="J1696" s="181"/>
      <c r="K1696" s="181"/>
      <c r="L1696" s="181"/>
      <c r="M1696" s="181"/>
      <c r="N1696" s="181"/>
      <c r="O1696" s="181"/>
      <c r="P1696" s="181"/>
      <c r="Q1696" s="181"/>
      <c r="R1696" s="181"/>
      <c r="S1696" s="181"/>
      <c r="T1696" s="181"/>
      <c r="U1696" s="181"/>
      <c r="V1696" s="181"/>
      <c r="W1696" s="181"/>
      <c r="X1696" s="181"/>
      <c r="Y1696" s="181"/>
      <c r="Z1696" s="181"/>
    </row>
    <row r="1697">
      <c r="A1697" s="194"/>
      <c r="B1697" s="195"/>
      <c r="C1697" s="181"/>
      <c r="D1697" s="194"/>
      <c r="E1697" s="194"/>
      <c r="F1697" s="181"/>
      <c r="G1697" s="181"/>
      <c r="H1697" s="181"/>
      <c r="I1697" s="181"/>
      <c r="J1697" s="181"/>
      <c r="K1697" s="181"/>
      <c r="L1697" s="181"/>
      <c r="M1697" s="181"/>
      <c r="N1697" s="181"/>
      <c r="O1697" s="181"/>
      <c r="P1697" s="181"/>
      <c r="Q1697" s="181"/>
      <c r="R1697" s="181"/>
      <c r="S1697" s="181"/>
      <c r="T1697" s="181"/>
      <c r="U1697" s="181"/>
      <c r="V1697" s="181"/>
      <c r="W1697" s="181"/>
      <c r="X1697" s="181"/>
      <c r="Y1697" s="181"/>
      <c r="Z1697" s="181"/>
    </row>
    <row r="1698">
      <c r="A1698" s="194"/>
      <c r="B1698" s="195"/>
      <c r="C1698" s="181"/>
      <c r="D1698" s="194"/>
      <c r="E1698" s="194"/>
      <c r="F1698" s="181"/>
      <c r="G1698" s="181"/>
      <c r="H1698" s="181"/>
      <c r="I1698" s="181"/>
      <c r="J1698" s="181"/>
      <c r="K1698" s="181"/>
      <c r="L1698" s="181"/>
      <c r="M1698" s="181"/>
      <c r="N1698" s="181"/>
      <c r="O1698" s="181"/>
      <c r="P1698" s="181"/>
      <c r="Q1698" s="181"/>
      <c r="R1698" s="181"/>
      <c r="S1698" s="181"/>
      <c r="T1698" s="181"/>
      <c r="U1698" s="181"/>
      <c r="V1698" s="181"/>
      <c r="W1698" s="181"/>
      <c r="X1698" s="181"/>
      <c r="Y1698" s="181"/>
      <c r="Z1698" s="181"/>
    </row>
    <row r="1699">
      <c r="A1699" s="194"/>
      <c r="B1699" s="195"/>
      <c r="C1699" s="181"/>
      <c r="D1699" s="194"/>
      <c r="E1699" s="194"/>
      <c r="F1699" s="181"/>
      <c r="G1699" s="181"/>
      <c r="H1699" s="181"/>
      <c r="I1699" s="181"/>
      <c r="J1699" s="181"/>
      <c r="K1699" s="181"/>
      <c r="L1699" s="181"/>
      <c r="M1699" s="181"/>
      <c r="N1699" s="181"/>
      <c r="O1699" s="181"/>
      <c r="P1699" s="181"/>
      <c r="Q1699" s="181"/>
      <c r="R1699" s="181"/>
      <c r="S1699" s="181"/>
      <c r="T1699" s="181"/>
      <c r="U1699" s="181"/>
      <c r="V1699" s="181"/>
      <c r="W1699" s="181"/>
      <c r="X1699" s="181"/>
      <c r="Y1699" s="181"/>
      <c r="Z1699" s="181"/>
    </row>
    <row r="1700">
      <c r="A1700" s="194"/>
      <c r="B1700" s="195"/>
      <c r="C1700" s="181"/>
      <c r="D1700" s="194"/>
      <c r="E1700" s="194"/>
      <c r="F1700" s="181"/>
      <c r="G1700" s="181"/>
      <c r="H1700" s="181"/>
      <c r="I1700" s="181"/>
      <c r="J1700" s="181"/>
      <c r="K1700" s="181"/>
      <c r="L1700" s="181"/>
      <c r="M1700" s="181"/>
      <c r="N1700" s="181"/>
      <c r="O1700" s="181"/>
      <c r="P1700" s="181"/>
      <c r="Q1700" s="181"/>
      <c r="R1700" s="181"/>
      <c r="S1700" s="181"/>
      <c r="T1700" s="181"/>
      <c r="U1700" s="181"/>
      <c r="V1700" s="181"/>
      <c r="W1700" s="181"/>
      <c r="X1700" s="181"/>
      <c r="Y1700" s="181"/>
      <c r="Z1700" s="181"/>
    </row>
    <row r="1701">
      <c r="A1701" s="194"/>
      <c r="B1701" s="195"/>
      <c r="C1701" s="181"/>
      <c r="D1701" s="194"/>
      <c r="E1701" s="194"/>
      <c r="F1701" s="181"/>
      <c r="G1701" s="181"/>
      <c r="H1701" s="181"/>
      <c r="I1701" s="181"/>
      <c r="J1701" s="181"/>
      <c r="K1701" s="181"/>
      <c r="L1701" s="181"/>
      <c r="M1701" s="181"/>
      <c r="N1701" s="181"/>
      <c r="O1701" s="181"/>
      <c r="P1701" s="181"/>
      <c r="Q1701" s="181"/>
      <c r="R1701" s="181"/>
      <c r="S1701" s="181"/>
      <c r="T1701" s="181"/>
      <c r="U1701" s="181"/>
      <c r="V1701" s="181"/>
      <c r="W1701" s="181"/>
      <c r="X1701" s="181"/>
      <c r="Y1701" s="181"/>
      <c r="Z1701" s="181"/>
    </row>
    <row r="1702">
      <c r="A1702" s="194"/>
      <c r="B1702" s="195"/>
      <c r="C1702" s="181"/>
      <c r="D1702" s="194"/>
      <c r="E1702" s="194"/>
      <c r="F1702" s="181"/>
      <c r="G1702" s="181"/>
      <c r="H1702" s="181"/>
      <c r="I1702" s="181"/>
      <c r="J1702" s="181"/>
      <c r="K1702" s="181"/>
      <c r="L1702" s="181"/>
      <c r="M1702" s="181"/>
      <c r="N1702" s="181"/>
      <c r="O1702" s="181"/>
      <c r="P1702" s="181"/>
      <c r="Q1702" s="181"/>
      <c r="R1702" s="181"/>
      <c r="S1702" s="181"/>
      <c r="T1702" s="181"/>
      <c r="U1702" s="181"/>
      <c r="V1702" s="181"/>
      <c r="W1702" s="181"/>
      <c r="X1702" s="181"/>
      <c r="Y1702" s="181"/>
      <c r="Z1702" s="181"/>
    </row>
    <row r="1703">
      <c r="A1703" s="194"/>
      <c r="B1703" s="195"/>
      <c r="C1703" s="181"/>
      <c r="D1703" s="194"/>
      <c r="E1703" s="194"/>
      <c r="F1703" s="181"/>
      <c r="G1703" s="181"/>
      <c r="H1703" s="181"/>
      <c r="I1703" s="181"/>
      <c r="J1703" s="181"/>
      <c r="K1703" s="181"/>
      <c r="L1703" s="181"/>
      <c r="M1703" s="181"/>
      <c r="N1703" s="181"/>
      <c r="O1703" s="181"/>
      <c r="P1703" s="181"/>
      <c r="Q1703" s="181"/>
      <c r="R1703" s="181"/>
      <c r="S1703" s="181"/>
      <c r="T1703" s="181"/>
      <c r="U1703" s="181"/>
      <c r="V1703" s="181"/>
      <c r="W1703" s="181"/>
      <c r="X1703" s="181"/>
      <c r="Y1703" s="181"/>
      <c r="Z1703" s="181"/>
    </row>
    <row r="1704">
      <c r="A1704" s="194"/>
      <c r="B1704" s="195"/>
      <c r="C1704" s="181"/>
      <c r="D1704" s="194"/>
      <c r="E1704" s="194"/>
      <c r="F1704" s="181"/>
      <c r="G1704" s="181"/>
      <c r="H1704" s="181"/>
      <c r="I1704" s="181"/>
      <c r="J1704" s="181"/>
      <c r="K1704" s="181"/>
      <c r="L1704" s="181"/>
      <c r="M1704" s="181"/>
      <c r="N1704" s="181"/>
      <c r="O1704" s="181"/>
      <c r="P1704" s="181"/>
      <c r="Q1704" s="181"/>
      <c r="R1704" s="181"/>
      <c r="S1704" s="181"/>
      <c r="T1704" s="181"/>
      <c r="U1704" s="181"/>
      <c r="V1704" s="181"/>
      <c r="W1704" s="181"/>
      <c r="X1704" s="181"/>
      <c r="Y1704" s="181"/>
      <c r="Z1704" s="181"/>
    </row>
    <row r="1705">
      <c r="A1705" s="194"/>
      <c r="B1705" s="195"/>
      <c r="C1705" s="181"/>
      <c r="D1705" s="194"/>
      <c r="E1705" s="194"/>
      <c r="F1705" s="181"/>
      <c r="G1705" s="181"/>
      <c r="H1705" s="181"/>
      <c r="I1705" s="181"/>
      <c r="J1705" s="181"/>
      <c r="K1705" s="181"/>
      <c r="L1705" s="181"/>
      <c r="M1705" s="181"/>
      <c r="N1705" s="181"/>
      <c r="O1705" s="181"/>
      <c r="P1705" s="181"/>
      <c r="Q1705" s="181"/>
      <c r="R1705" s="181"/>
      <c r="S1705" s="181"/>
      <c r="T1705" s="181"/>
      <c r="U1705" s="181"/>
      <c r="V1705" s="181"/>
      <c r="W1705" s="181"/>
      <c r="X1705" s="181"/>
      <c r="Y1705" s="181"/>
      <c r="Z1705" s="181"/>
    </row>
    <row r="1706">
      <c r="A1706" s="194"/>
      <c r="B1706" s="195"/>
      <c r="C1706" s="181"/>
      <c r="D1706" s="194"/>
      <c r="E1706" s="194"/>
      <c r="F1706" s="181"/>
      <c r="G1706" s="181"/>
      <c r="H1706" s="181"/>
      <c r="I1706" s="181"/>
      <c r="J1706" s="181"/>
      <c r="K1706" s="181"/>
      <c r="L1706" s="181"/>
      <c r="M1706" s="181"/>
      <c r="N1706" s="181"/>
      <c r="O1706" s="181"/>
      <c r="P1706" s="181"/>
      <c r="Q1706" s="181"/>
      <c r="R1706" s="181"/>
      <c r="S1706" s="181"/>
      <c r="T1706" s="181"/>
      <c r="U1706" s="181"/>
      <c r="V1706" s="181"/>
      <c r="W1706" s="181"/>
      <c r="X1706" s="181"/>
      <c r="Y1706" s="181"/>
      <c r="Z1706" s="181"/>
    </row>
    <row r="1707">
      <c r="A1707" s="194"/>
      <c r="B1707" s="195"/>
      <c r="C1707" s="181"/>
      <c r="D1707" s="194"/>
      <c r="E1707" s="194"/>
      <c r="F1707" s="181"/>
      <c r="G1707" s="181"/>
      <c r="H1707" s="181"/>
      <c r="I1707" s="181"/>
      <c r="J1707" s="181"/>
      <c r="K1707" s="181"/>
      <c r="L1707" s="181"/>
      <c r="M1707" s="181"/>
      <c r="N1707" s="181"/>
      <c r="O1707" s="181"/>
      <c r="P1707" s="181"/>
      <c r="Q1707" s="181"/>
      <c r="R1707" s="181"/>
      <c r="S1707" s="181"/>
      <c r="T1707" s="181"/>
      <c r="U1707" s="181"/>
      <c r="V1707" s="181"/>
      <c r="W1707" s="181"/>
      <c r="X1707" s="181"/>
      <c r="Y1707" s="181"/>
      <c r="Z1707" s="181"/>
    </row>
    <row r="1708">
      <c r="A1708" s="194"/>
      <c r="B1708" s="195"/>
      <c r="C1708" s="181"/>
      <c r="D1708" s="194"/>
      <c r="E1708" s="194"/>
      <c r="F1708" s="181"/>
      <c r="G1708" s="181"/>
      <c r="H1708" s="181"/>
      <c r="I1708" s="181"/>
      <c r="J1708" s="181"/>
      <c r="K1708" s="181"/>
      <c r="L1708" s="181"/>
      <c r="M1708" s="181"/>
      <c r="N1708" s="181"/>
      <c r="O1708" s="181"/>
      <c r="P1708" s="181"/>
      <c r="Q1708" s="181"/>
      <c r="R1708" s="181"/>
      <c r="S1708" s="181"/>
      <c r="T1708" s="181"/>
      <c r="U1708" s="181"/>
      <c r="V1708" s="181"/>
      <c r="W1708" s="181"/>
      <c r="X1708" s="181"/>
      <c r="Y1708" s="181"/>
      <c r="Z1708" s="181"/>
    </row>
    <row r="1709">
      <c r="A1709" s="194"/>
      <c r="B1709" s="195"/>
      <c r="C1709" s="181"/>
      <c r="D1709" s="194"/>
      <c r="E1709" s="194"/>
      <c r="F1709" s="181"/>
      <c r="G1709" s="181"/>
      <c r="H1709" s="181"/>
      <c r="I1709" s="181"/>
      <c r="J1709" s="181"/>
      <c r="K1709" s="181"/>
      <c r="L1709" s="181"/>
      <c r="M1709" s="181"/>
      <c r="N1709" s="181"/>
      <c r="O1709" s="181"/>
      <c r="P1709" s="181"/>
      <c r="Q1709" s="181"/>
      <c r="R1709" s="181"/>
      <c r="S1709" s="181"/>
      <c r="T1709" s="181"/>
      <c r="U1709" s="181"/>
      <c r="V1709" s="181"/>
      <c r="W1709" s="181"/>
      <c r="X1709" s="181"/>
      <c r="Y1709" s="181"/>
      <c r="Z1709" s="181"/>
    </row>
    <row r="1710">
      <c r="A1710" s="194"/>
      <c r="B1710" s="195"/>
      <c r="C1710" s="181"/>
      <c r="D1710" s="194"/>
      <c r="E1710" s="194"/>
      <c r="F1710" s="181"/>
      <c r="G1710" s="181"/>
      <c r="H1710" s="181"/>
      <c r="I1710" s="181"/>
      <c r="J1710" s="181"/>
      <c r="K1710" s="181"/>
      <c r="L1710" s="181"/>
      <c r="M1710" s="181"/>
      <c r="N1710" s="181"/>
      <c r="O1710" s="181"/>
      <c r="P1710" s="181"/>
      <c r="Q1710" s="181"/>
      <c r="R1710" s="181"/>
      <c r="S1710" s="181"/>
      <c r="T1710" s="181"/>
      <c r="U1710" s="181"/>
      <c r="V1710" s="181"/>
      <c r="W1710" s="181"/>
      <c r="X1710" s="181"/>
      <c r="Y1710" s="181"/>
      <c r="Z1710" s="181"/>
    </row>
    <row r="1711">
      <c r="A1711" s="194"/>
      <c r="B1711" s="195"/>
      <c r="C1711" s="181"/>
      <c r="D1711" s="194"/>
      <c r="E1711" s="194"/>
      <c r="F1711" s="181"/>
      <c r="G1711" s="181"/>
      <c r="H1711" s="181"/>
      <c r="I1711" s="181"/>
      <c r="J1711" s="181"/>
      <c r="K1711" s="181"/>
      <c r="L1711" s="181"/>
      <c r="M1711" s="181"/>
      <c r="N1711" s="181"/>
      <c r="O1711" s="181"/>
      <c r="P1711" s="181"/>
      <c r="Q1711" s="181"/>
      <c r="R1711" s="181"/>
      <c r="S1711" s="181"/>
      <c r="T1711" s="181"/>
      <c r="U1711" s="181"/>
      <c r="V1711" s="181"/>
      <c r="W1711" s="181"/>
      <c r="X1711" s="181"/>
      <c r="Y1711" s="181"/>
      <c r="Z1711" s="181"/>
    </row>
    <row r="1712">
      <c r="A1712" s="194"/>
      <c r="B1712" s="195"/>
      <c r="C1712" s="181"/>
      <c r="D1712" s="194"/>
      <c r="E1712" s="194"/>
      <c r="F1712" s="181"/>
      <c r="G1712" s="181"/>
      <c r="H1712" s="181"/>
      <c r="I1712" s="181"/>
      <c r="J1712" s="181"/>
      <c r="K1712" s="181"/>
      <c r="L1712" s="181"/>
      <c r="M1712" s="181"/>
      <c r="N1712" s="181"/>
      <c r="O1712" s="181"/>
      <c r="P1712" s="181"/>
      <c r="Q1712" s="181"/>
      <c r="R1712" s="181"/>
      <c r="S1712" s="181"/>
      <c r="T1712" s="181"/>
      <c r="U1712" s="181"/>
      <c r="V1712" s="181"/>
      <c r="W1712" s="181"/>
      <c r="X1712" s="181"/>
      <c r="Y1712" s="181"/>
      <c r="Z1712" s="181"/>
    </row>
    <row r="1713">
      <c r="A1713" s="194"/>
      <c r="B1713" s="195"/>
      <c r="C1713" s="181"/>
      <c r="D1713" s="194"/>
      <c r="E1713" s="194"/>
      <c r="F1713" s="181"/>
      <c r="G1713" s="181"/>
      <c r="H1713" s="181"/>
      <c r="I1713" s="181"/>
      <c r="J1713" s="181"/>
      <c r="K1713" s="181"/>
      <c r="L1713" s="181"/>
      <c r="M1713" s="181"/>
      <c r="N1713" s="181"/>
      <c r="O1713" s="181"/>
      <c r="P1713" s="181"/>
      <c r="Q1713" s="181"/>
      <c r="R1713" s="181"/>
      <c r="S1713" s="181"/>
      <c r="T1713" s="181"/>
      <c r="U1713" s="181"/>
      <c r="V1713" s="181"/>
      <c r="W1713" s="181"/>
      <c r="X1713" s="181"/>
      <c r="Y1713" s="181"/>
      <c r="Z1713" s="181"/>
    </row>
    <row r="1714">
      <c r="A1714" s="194"/>
      <c r="B1714" s="195"/>
      <c r="C1714" s="181"/>
      <c r="D1714" s="194"/>
      <c r="E1714" s="194"/>
      <c r="F1714" s="181"/>
      <c r="G1714" s="181"/>
      <c r="H1714" s="181"/>
      <c r="I1714" s="181"/>
      <c r="J1714" s="181"/>
      <c r="K1714" s="181"/>
      <c r="L1714" s="181"/>
      <c r="M1714" s="181"/>
      <c r="N1714" s="181"/>
      <c r="O1714" s="181"/>
      <c r="P1714" s="181"/>
      <c r="Q1714" s="181"/>
      <c r="R1714" s="181"/>
      <c r="S1714" s="181"/>
      <c r="T1714" s="181"/>
      <c r="U1714" s="181"/>
      <c r="V1714" s="181"/>
      <c r="W1714" s="181"/>
      <c r="X1714" s="181"/>
      <c r="Y1714" s="181"/>
      <c r="Z1714" s="181"/>
    </row>
    <row r="1715">
      <c r="A1715" s="194"/>
      <c r="B1715" s="195"/>
      <c r="C1715" s="181"/>
      <c r="D1715" s="194"/>
      <c r="E1715" s="194"/>
      <c r="F1715" s="181"/>
      <c r="G1715" s="181"/>
      <c r="H1715" s="181"/>
      <c r="I1715" s="181"/>
      <c r="J1715" s="181"/>
      <c r="K1715" s="181"/>
      <c r="L1715" s="181"/>
      <c r="M1715" s="181"/>
      <c r="N1715" s="181"/>
      <c r="O1715" s="181"/>
      <c r="P1715" s="181"/>
      <c r="Q1715" s="181"/>
      <c r="R1715" s="181"/>
      <c r="S1715" s="181"/>
      <c r="T1715" s="181"/>
      <c r="U1715" s="181"/>
      <c r="V1715" s="181"/>
      <c r="W1715" s="181"/>
      <c r="X1715" s="181"/>
      <c r="Y1715" s="181"/>
      <c r="Z1715" s="181"/>
    </row>
    <row r="1716">
      <c r="A1716" s="194"/>
      <c r="B1716" s="195"/>
      <c r="C1716" s="181"/>
      <c r="D1716" s="194"/>
      <c r="E1716" s="194"/>
      <c r="F1716" s="181"/>
      <c r="G1716" s="181"/>
      <c r="H1716" s="181"/>
      <c r="I1716" s="181"/>
      <c r="J1716" s="181"/>
      <c r="K1716" s="181"/>
      <c r="L1716" s="181"/>
      <c r="M1716" s="181"/>
      <c r="N1716" s="181"/>
      <c r="O1716" s="181"/>
      <c r="P1716" s="181"/>
      <c r="Q1716" s="181"/>
      <c r="R1716" s="181"/>
      <c r="S1716" s="181"/>
      <c r="T1716" s="181"/>
      <c r="U1716" s="181"/>
      <c r="V1716" s="181"/>
      <c r="W1716" s="181"/>
      <c r="X1716" s="181"/>
      <c r="Y1716" s="181"/>
      <c r="Z1716" s="181"/>
    </row>
    <row r="1717">
      <c r="A1717" s="194"/>
      <c r="B1717" s="195"/>
      <c r="C1717" s="181"/>
      <c r="D1717" s="194"/>
      <c r="E1717" s="194"/>
      <c r="F1717" s="181"/>
      <c r="G1717" s="181"/>
      <c r="H1717" s="181"/>
      <c r="I1717" s="181"/>
      <c r="J1717" s="181"/>
      <c r="K1717" s="181"/>
      <c r="L1717" s="181"/>
      <c r="M1717" s="181"/>
      <c r="N1717" s="181"/>
      <c r="O1717" s="181"/>
      <c r="P1717" s="181"/>
      <c r="Q1717" s="181"/>
      <c r="R1717" s="181"/>
      <c r="S1717" s="181"/>
      <c r="T1717" s="181"/>
      <c r="U1717" s="181"/>
      <c r="V1717" s="181"/>
      <c r="W1717" s="181"/>
      <c r="X1717" s="181"/>
      <c r="Y1717" s="181"/>
      <c r="Z1717" s="181"/>
    </row>
    <row r="1718">
      <c r="A1718" s="194"/>
      <c r="B1718" s="195"/>
      <c r="C1718" s="181"/>
      <c r="D1718" s="194"/>
      <c r="E1718" s="194"/>
      <c r="F1718" s="181"/>
      <c r="G1718" s="181"/>
      <c r="H1718" s="181"/>
      <c r="I1718" s="181"/>
      <c r="J1718" s="181"/>
      <c r="K1718" s="181"/>
      <c r="L1718" s="181"/>
      <c r="M1718" s="181"/>
      <c r="N1718" s="181"/>
      <c r="O1718" s="181"/>
      <c r="P1718" s="181"/>
      <c r="Q1718" s="181"/>
      <c r="R1718" s="181"/>
      <c r="S1718" s="181"/>
      <c r="T1718" s="181"/>
      <c r="U1718" s="181"/>
      <c r="V1718" s="181"/>
      <c r="W1718" s="181"/>
      <c r="X1718" s="181"/>
      <c r="Y1718" s="181"/>
      <c r="Z1718" s="181"/>
    </row>
    <row r="1719">
      <c r="A1719" s="194"/>
      <c r="B1719" s="195"/>
      <c r="C1719" s="181"/>
      <c r="D1719" s="194"/>
      <c r="E1719" s="194"/>
      <c r="F1719" s="181"/>
      <c r="G1719" s="181"/>
      <c r="H1719" s="181"/>
      <c r="I1719" s="181"/>
      <c r="J1719" s="181"/>
      <c r="K1719" s="181"/>
      <c r="L1719" s="181"/>
      <c r="M1719" s="181"/>
      <c r="N1719" s="181"/>
      <c r="O1719" s="181"/>
      <c r="P1719" s="181"/>
      <c r="Q1719" s="181"/>
      <c r="R1719" s="181"/>
      <c r="S1719" s="181"/>
      <c r="T1719" s="181"/>
      <c r="U1719" s="181"/>
      <c r="V1719" s="181"/>
      <c r="W1719" s="181"/>
      <c r="X1719" s="181"/>
      <c r="Y1719" s="181"/>
      <c r="Z1719" s="181"/>
    </row>
    <row r="1720">
      <c r="A1720" s="194"/>
      <c r="B1720" s="195"/>
      <c r="C1720" s="181"/>
      <c r="D1720" s="194"/>
      <c r="E1720" s="194"/>
      <c r="F1720" s="181"/>
      <c r="G1720" s="181"/>
      <c r="H1720" s="181"/>
      <c r="I1720" s="181"/>
      <c r="J1720" s="181"/>
      <c r="K1720" s="181"/>
      <c r="L1720" s="181"/>
      <c r="M1720" s="181"/>
      <c r="N1720" s="181"/>
      <c r="O1720" s="181"/>
      <c r="P1720" s="181"/>
      <c r="Q1720" s="181"/>
      <c r="R1720" s="181"/>
      <c r="S1720" s="181"/>
      <c r="T1720" s="181"/>
      <c r="U1720" s="181"/>
      <c r="V1720" s="181"/>
      <c r="W1720" s="181"/>
      <c r="X1720" s="181"/>
      <c r="Y1720" s="181"/>
      <c r="Z1720" s="181"/>
    </row>
    <row r="1721">
      <c r="A1721" s="194"/>
      <c r="B1721" s="195"/>
      <c r="C1721" s="181"/>
      <c r="D1721" s="194"/>
      <c r="E1721" s="194"/>
      <c r="F1721" s="181"/>
      <c r="G1721" s="181"/>
      <c r="H1721" s="181"/>
      <c r="I1721" s="181"/>
      <c r="J1721" s="181"/>
      <c r="K1721" s="181"/>
      <c r="L1721" s="181"/>
      <c r="M1721" s="181"/>
      <c r="N1721" s="181"/>
      <c r="O1721" s="181"/>
      <c r="P1721" s="181"/>
      <c r="Q1721" s="181"/>
      <c r="R1721" s="181"/>
      <c r="S1721" s="181"/>
      <c r="T1721" s="181"/>
      <c r="U1721" s="181"/>
      <c r="V1721" s="181"/>
      <c r="W1721" s="181"/>
      <c r="X1721" s="181"/>
      <c r="Y1721" s="181"/>
      <c r="Z1721" s="181"/>
    </row>
    <row r="1722">
      <c r="A1722" s="194"/>
      <c r="B1722" s="195"/>
      <c r="C1722" s="181"/>
      <c r="D1722" s="194"/>
      <c r="E1722" s="194"/>
      <c r="F1722" s="181"/>
      <c r="G1722" s="181"/>
      <c r="H1722" s="181"/>
      <c r="I1722" s="181"/>
      <c r="J1722" s="181"/>
      <c r="K1722" s="181"/>
      <c r="L1722" s="181"/>
      <c r="M1722" s="181"/>
      <c r="N1722" s="181"/>
      <c r="O1722" s="181"/>
      <c r="P1722" s="181"/>
      <c r="Q1722" s="181"/>
      <c r="R1722" s="181"/>
      <c r="S1722" s="181"/>
      <c r="T1722" s="181"/>
      <c r="U1722" s="181"/>
      <c r="V1722" s="181"/>
      <c r="W1722" s="181"/>
      <c r="X1722" s="181"/>
      <c r="Y1722" s="181"/>
      <c r="Z1722" s="181"/>
    </row>
    <row r="1723">
      <c r="A1723" s="194"/>
      <c r="B1723" s="195"/>
      <c r="C1723" s="181"/>
      <c r="D1723" s="194"/>
      <c r="E1723" s="194"/>
      <c r="F1723" s="181"/>
      <c r="G1723" s="181"/>
      <c r="H1723" s="181"/>
      <c r="I1723" s="181"/>
      <c r="J1723" s="181"/>
      <c r="K1723" s="181"/>
      <c r="L1723" s="181"/>
      <c r="M1723" s="181"/>
      <c r="N1723" s="181"/>
      <c r="O1723" s="181"/>
      <c r="P1723" s="181"/>
      <c r="Q1723" s="181"/>
      <c r="R1723" s="181"/>
      <c r="S1723" s="181"/>
      <c r="T1723" s="181"/>
      <c r="U1723" s="181"/>
      <c r="V1723" s="181"/>
      <c r="W1723" s="181"/>
      <c r="X1723" s="181"/>
      <c r="Y1723" s="181"/>
      <c r="Z1723" s="181"/>
    </row>
    <row r="1724">
      <c r="A1724" s="194"/>
      <c r="B1724" s="195"/>
      <c r="C1724" s="181"/>
      <c r="D1724" s="194"/>
      <c r="E1724" s="194"/>
      <c r="F1724" s="181"/>
      <c r="G1724" s="181"/>
      <c r="H1724" s="181"/>
      <c r="I1724" s="181"/>
      <c r="J1724" s="181"/>
      <c r="K1724" s="181"/>
      <c r="L1724" s="181"/>
      <c r="M1724" s="181"/>
      <c r="N1724" s="181"/>
      <c r="O1724" s="181"/>
      <c r="P1724" s="181"/>
      <c r="Q1724" s="181"/>
      <c r="R1724" s="181"/>
      <c r="S1724" s="181"/>
      <c r="T1724" s="181"/>
      <c r="U1724" s="181"/>
      <c r="V1724" s="181"/>
      <c r="W1724" s="181"/>
      <c r="X1724" s="181"/>
      <c r="Y1724" s="181"/>
      <c r="Z1724" s="181"/>
    </row>
    <row r="1725">
      <c r="A1725" s="194"/>
      <c r="B1725" s="195"/>
      <c r="C1725" s="181"/>
      <c r="D1725" s="194"/>
      <c r="E1725" s="194"/>
      <c r="F1725" s="181"/>
      <c r="G1725" s="181"/>
      <c r="H1725" s="181"/>
      <c r="I1725" s="181"/>
      <c r="J1725" s="181"/>
      <c r="K1725" s="181"/>
      <c r="L1725" s="181"/>
      <c r="M1725" s="181"/>
      <c r="N1725" s="181"/>
      <c r="O1725" s="181"/>
      <c r="P1725" s="181"/>
      <c r="Q1725" s="181"/>
      <c r="R1725" s="181"/>
      <c r="S1725" s="181"/>
      <c r="T1725" s="181"/>
      <c r="U1725" s="181"/>
      <c r="V1725" s="181"/>
      <c r="W1725" s="181"/>
      <c r="X1725" s="181"/>
      <c r="Y1725" s="181"/>
      <c r="Z1725" s="181"/>
    </row>
    <row r="1726">
      <c r="A1726" s="194"/>
      <c r="B1726" s="195"/>
      <c r="C1726" s="181"/>
      <c r="D1726" s="194"/>
      <c r="E1726" s="194"/>
      <c r="F1726" s="181"/>
      <c r="G1726" s="181"/>
      <c r="H1726" s="181"/>
      <c r="I1726" s="181"/>
      <c r="J1726" s="181"/>
      <c r="K1726" s="181"/>
      <c r="L1726" s="181"/>
      <c r="M1726" s="181"/>
      <c r="N1726" s="181"/>
      <c r="O1726" s="181"/>
      <c r="P1726" s="181"/>
      <c r="Q1726" s="181"/>
      <c r="R1726" s="181"/>
      <c r="S1726" s="181"/>
      <c r="T1726" s="181"/>
      <c r="U1726" s="181"/>
      <c r="V1726" s="181"/>
      <c r="W1726" s="181"/>
      <c r="X1726" s="181"/>
      <c r="Y1726" s="181"/>
      <c r="Z1726" s="181"/>
    </row>
    <row r="1727">
      <c r="A1727" s="194"/>
      <c r="B1727" s="195"/>
      <c r="C1727" s="181"/>
      <c r="D1727" s="194"/>
      <c r="E1727" s="194"/>
      <c r="F1727" s="181"/>
      <c r="G1727" s="181"/>
      <c r="H1727" s="181"/>
      <c r="I1727" s="181"/>
      <c r="J1727" s="181"/>
      <c r="K1727" s="181"/>
      <c r="L1727" s="181"/>
      <c r="M1727" s="181"/>
      <c r="N1727" s="181"/>
      <c r="O1727" s="181"/>
      <c r="P1727" s="181"/>
      <c r="Q1727" s="181"/>
      <c r="R1727" s="181"/>
      <c r="S1727" s="181"/>
      <c r="T1727" s="181"/>
      <c r="U1727" s="181"/>
      <c r="V1727" s="181"/>
      <c r="W1727" s="181"/>
      <c r="X1727" s="181"/>
      <c r="Y1727" s="181"/>
      <c r="Z1727" s="181"/>
    </row>
    <row r="1728">
      <c r="A1728" s="194"/>
      <c r="B1728" s="195"/>
      <c r="C1728" s="181"/>
      <c r="D1728" s="194"/>
      <c r="E1728" s="194"/>
      <c r="F1728" s="181"/>
      <c r="G1728" s="181"/>
      <c r="H1728" s="181"/>
      <c r="I1728" s="181"/>
      <c r="J1728" s="181"/>
      <c r="K1728" s="181"/>
      <c r="L1728" s="181"/>
      <c r="M1728" s="181"/>
      <c r="N1728" s="181"/>
      <c r="O1728" s="181"/>
      <c r="P1728" s="181"/>
      <c r="Q1728" s="181"/>
      <c r="R1728" s="181"/>
      <c r="S1728" s="181"/>
      <c r="T1728" s="181"/>
      <c r="U1728" s="181"/>
      <c r="V1728" s="181"/>
      <c r="W1728" s="181"/>
      <c r="X1728" s="181"/>
      <c r="Y1728" s="181"/>
      <c r="Z1728" s="181"/>
    </row>
    <row r="1729">
      <c r="A1729" s="194"/>
      <c r="B1729" s="195"/>
      <c r="C1729" s="181"/>
      <c r="D1729" s="194"/>
      <c r="E1729" s="194"/>
      <c r="F1729" s="181"/>
      <c r="G1729" s="181"/>
      <c r="H1729" s="181"/>
      <c r="I1729" s="181"/>
      <c r="J1729" s="181"/>
      <c r="K1729" s="181"/>
      <c r="L1729" s="181"/>
      <c r="M1729" s="181"/>
      <c r="N1729" s="181"/>
      <c r="O1729" s="181"/>
      <c r="P1729" s="181"/>
      <c r="Q1729" s="181"/>
      <c r="R1729" s="181"/>
      <c r="S1729" s="181"/>
      <c r="T1729" s="181"/>
      <c r="U1729" s="181"/>
      <c r="V1729" s="181"/>
      <c r="W1729" s="181"/>
      <c r="X1729" s="181"/>
      <c r="Y1729" s="181"/>
      <c r="Z1729" s="181"/>
    </row>
    <row r="1730">
      <c r="A1730" s="194"/>
      <c r="B1730" s="195"/>
      <c r="C1730" s="181"/>
      <c r="D1730" s="194"/>
      <c r="E1730" s="194"/>
      <c r="F1730" s="181"/>
      <c r="G1730" s="181"/>
      <c r="H1730" s="181"/>
      <c r="I1730" s="181"/>
      <c r="J1730" s="181"/>
      <c r="K1730" s="181"/>
      <c r="L1730" s="181"/>
      <c r="M1730" s="181"/>
      <c r="N1730" s="181"/>
      <c r="O1730" s="181"/>
      <c r="P1730" s="181"/>
      <c r="Q1730" s="181"/>
      <c r="R1730" s="181"/>
      <c r="S1730" s="181"/>
      <c r="T1730" s="181"/>
      <c r="U1730" s="181"/>
      <c r="V1730" s="181"/>
      <c r="W1730" s="181"/>
      <c r="X1730" s="181"/>
      <c r="Y1730" s="181"/>
      <c r="Z1730" s="181"/>
    </row>
    <row r="1731">
      <c r="A1731" s="194"/>
      <c r="B1731" s="195"/>
      <c r="C1731" s="181"/>
      <c r="D1731" s="194"/>
      <c r="E1731" s="194"/>
      <c r="F1731" s="181"/>
      <c r="G1731" s="181"/>
      <c r="H1731" s="181"/>
      <c r="I1731" s="181"/>
      <c r="J1731" s="181"/>
      <c r="K1731" s="181"/>
      <c r="L1731" s="181"/>
      <c r="M1731" s="181"/>
      <c r="N1731" s="181"/>
      <c r="O1731" s="181"/>
      <c r="P1731" s="181"/>
      <c r="Q1731" s="181"/>
      <c r="R1731" s="181"/>
      <c r="S1731" s="181"/>
      <c r="T1731" s="181"/>
      <c r="U1731" s="181"/>
      <c r="V1731" s="181"/>
      <c r="W1731" s="181"/>
      <c r="X1731" s="181"/>
      <c r="Y1731" s="181"/>
      <c r="Z1731" s="181"/>
    </row>
    <row r="1732">
      <c r="A1732" s="194"/>
      <c r="B1732" s="195"/>
      <c r="C1732" s="181"/>
      <c r="D1732" s="194"/>
      <c r="E1732" s="194"/>
      <c r="F1732" s="181"/>
      <c r="G1732" s="181"/>
      <c r="H1732" s="181"/>
      <c r="I1732" s="181"/>
      <c r="J1732" s="181"/>
      <c r="K1732" s="181"/>
      <c r="L1732" s="181"/>
      <c r="M1732" s="181"/>
      <c r="N1732" s="181"/>
      <c r="O1732" s="181"/>
      <c r="P1732" s="181"/>
      <c r="Q1732" s="181"/>
      <c r="R1732" s="181"/>
      <c r="S1732" s="181"/>
      <c r="T1732" s="181"/>
      <c r="U1732" s="181"/>
      <c r="V1732" s="181"/>
      <c r="W1732" s="181"/>
      <c r="X1732" s="181"/>
      <c r="Y1732" s="181"/>
      <c r="Z1732" s="181"/>
    </row>
    <row r="1733">
      <c r="A1733" s="194"/>
      <c r="B1733" s="195"/>
      <c r="C1733" s="181"/>
      <c r="D1733" s="194"/>
      <c r="E1733" s="194"/>
      <c r="F1733" s="181"/>
      <c r="G1733" s="181"/>
      <c r="H1733" s="181"/>
      <c r="I1733" s="181"/>
      <c r="J1733" s="181"/>
      <c r="K1733" s="181"/>
      <c r="L1733" s="181"/>
      <c r="M1733" s="181"/>
      <c r="N1733" s="181"/>
      <c r="O1733" s="181"/>
      <c r="P1733" s="181"/>
      <c r="Q1733" s="181"/>
      <c r="R1733" s="181"/>
      <c r="S1733" s="181"/>
      <c r="T1733" s="181"/>
      <c r="U1733" s="181"/>
      <c r="V1733" s="181"/>
      <c r="W1733" s="181"/>
      <c r="X1733" s="181"/>
      <c r="Y1733" s="181"/>
      <c r="Z1733" s="181"/>
    </row>
    <row r="1734">
      <c r="A1734" s="194"/>
      <c r="B1734" s="195"/>
      <c r="C1734" s="181"/>
      <c r="D1734" s="194"/>
      <c r="E1734" s="194"/>
      <c r="F1734" s="181"/>
      <c r="G1734" s="181"/>
      <c r="H1734" s="181"/>
      <c r="I1734" s="181"/>
      <c r="J1734" s="181"/>
      <c r="K1734" s="181"/>
      <c r="L1734" s="181"/>
      <c r="M1734" s="181"/>
      <c r="N1734" s="181"/>
      <c r="O1734" s="181"/>
      <c r="P1734" s="181"/>
      <c r="Q1734" s="181"/>
      <c r="R1734" s="181"/>
      <c r="S1734" s="181"/>
      <c r="T1734" s="181"/>
      <c r="U1734" s="181"/>
      <c r="V1734" s="181"/>
      <c r="W1734" s="181"/>
      <c r="X1734" s="181"/>
      <c r="Y1734" s="181"/>
      <c r="Z1734" s="181"/>
    </row>
    <row r="1735">
      <c r="A1735" s="194"/>
      <c r="B1735" s="195"/>
      <c r="C1735" s="181"/>
      <c r="D1735" s="194"/>
      <c r="E1735" s="194"/>
      <c r="F1735" s="181"/>
      <c r="G1735" s="181"/>
      <c r="H1735" s="181"/>
      <c r="I1735" s="181"/>
      <c r="J1735" s="181"/>
      <c r="K1735" s="181"/>
      <c r="L1735" s="181"/>
      <c r="M1735" s="181"/>
      <c r="N1735" s="181"/>
      <c r="O1735" s="181"/>
      <c r="P1735" s="181"/>
      <c r="Q1735" s="181"/>
      <c r="R1735" s="181"/>
      <c r="S1735" s="181"/>
      <c r="T1735" s="181"/>
      <c r="U1735" s="181"/>
      <c r="V1735" s="181"/>
      <c r="W1735" s="181"/>
      <c r="X1735" s="181"/>
      <c r="Y1735" s="181"/>
      <c r="Z1735" s="181"/>
    </row>
    <row r="1736">
      <c r="A1736" s="194"/>
      <c r="B1736" s="195"/>
      <c r="C1736" s="181"/>
      <c r="D1736" s="194"/>
      <c r="E1736" s="194"/>
      <c r="F1736" s="181"/>
      <c r="G1736" s="181"/>
      <c r="H1736" s="181"/>
      <c r="I1736" s="181"/>
      <c r="J1736" s="181"/>
      <c r="K1736" s="181"/>
      <c r="L1736" s="181"/>
      <c r="M1736" s="181"/>
      <c r="N1736" s="181"/>
      <c r="O1736" s="181"/>
      <c r="P1736" s="181"/>
      <c r="Q1736" s="181"/>
      <c r="R1736" s="181"/>
      <c r="S1736" s="181"/>
      <c r="T1736" s="181"/>
      <c r="U1736" s="181"/>
      <c r="V1736" s="181"/>
      <c r="W1736" s="181"/>
      <c r="X1736" s="181"/>
      <c r="Y1736" s="181"/>
      <c r="Z1736" s="181"/>
    </row>
    <row r="1737">
      <c r="A1737" s="194"/>
      <c r="B1737" s="195"/>
      <c r="C1737" s="181"/>
      <c r="D1737" s="194"/>
      <c r="E1737" s="194"/>
      <c r="F1737" s="181"/>
      <c r="G1737" s="181"/>
      <c r="H1737" s="181"/>
      <c r="I1737" s="181"/>
      <c r="J1737" s="181"/>
      <c r="K1737" s="181"/>
      <c r="L1737" s="181"/>
      <c r="M1737" s="181"/>
      <c r="N1737" s="181"/>
      <c r="O1737" s="181"/>
      <c r="P1737" s="181"/>
      <c r="Q1737" s="181"/>
      <c r="R1737" s="181"/>
      <c r="S1737" s="181"/>
      <c r="T1737" s="181"/>
      <c r="U1737" s="181"/>
      <c r="V1737" s="181"/>
      <c r="W1737" s="181"/>
      <c r="X1737" s="181"/>
      <c r="Y1737" s="181"/>
      <c r="Z1737" s="181"/>
    </row>
    <row r="1738">
      <c r="A1738" s="194"/>
      <c r="B1738" s="195"/>
      <c r="C1738" s="181"/>
      <c r="D1738" s="194"/>
      <c r="E1738" s="194"/>
      <c r="F1738" s="181"/>
      <c r="G1738" s="181"/>
      <c r="H1738" s="181"/>
      <c r="I1738" s="181"/>
      <c r="J1738" s="181"/>
      <c r="K1738" s="181"/>
      <c r="L1738" s="181"/>
      <c r="M1738" s="181"/>
      <c r="N1738" s="181"/>
      <c r="O1738" s="181"/>
      <c r="P1738" s="181"/>
      <c r="Q1738" s="181"/>
      <c r="R1738" s="181"/>
      <c r="S1738" s="181"/>
      <c r="T1738" s="181"/>
      <c r="U1738" s="181"/>
      <c r="V1738" s="181"/>
      <c r="W1738" s="181"/>
      <c r="X1738" s="181"/>
      <c r="Y1738" s="181"/>
      <c r="Z1738" s="181"/>
    </row>
    <row r="1739">
      <c r="A1739" s="194"/>
      <c r="B1739" s="195"/>
      <c r="C1739" s="181"/>
      <c r="D1739" s="194"/>
      <c r="E1739" s="194"/>
      <c r="F1739" s="181"/>
      <c r="G1739" s="181"/>
      <c r="H1739" s="181"/>
      <c r="I1739" s="181"/>
      <c r="J1739" s="181"/>
      <c r="K1739" s="181"/>
      <c r="L1739" s="181"/>
      <c r="M1739" s="181"/>
      <c r="N1739" s="181"/>
      <c r="O1739" s="181"/>
      <c r="P1739" s="181"/>
      <c r="Q1739" s="181"/>
      <c r="R1739" s="181"/>
      <c r="S1739" s="181"/>
      <c r="T1739" s="181"/>
      <c r="U1739" s="181"/>
      <c r="V1739" s="181"/>
      <c r="W1739" s="181"/>
      <c r="X1739" s="181"/>
      <c r="Y1739" s="181"/>
      <c r="Z1739" s="181"/>
    </row>
    <row r="1740">
      <c r="A1740" s="194"/>
      <c r="B1740" s="195"/>
      <c r="C1740" s="181"/>
      <c r="D1740" s="194"/>
      <c r="E1740" s="194"/>
      <c r="F1740" s="181"/>
      <c r="G1740" s="181"/>
      <c r="H1740" s="181"/>
      <c r="I1740" s="181"/>
      <c r="J1740" s="181"/>
      <c r="K1740" s="181"/>
      <c r="L1740" s="181"/>
      <c r="M1740" s="181"/>
      <c r="N1740" s="181"/>
      <c r="O1740" s="181"/>
      <c r="P1740" s="181"/>
      <c r="Q1740" s="181"/>
      <c r="R1740" s="181"/>
      <c r="S1740" s="181"/>
      <c r="T1740" s="181"/>
      <c r="U1740" s="181"/>
      <c r="V1740" s="181"/>
      <c r="W1740" s="181"/>
      <c r="X1740" s="181"/>
      <c r="Y1740" s="181"/>
      <c r="Z1740" s="181"/>
    </row>
    <row r="1741">
      <c r="A1741" s="194"/>
      <c r="B1741" s="195"/>
      <c r="C1741" s="181"/>
      <c r="D1741" s="194"/>
      <c r="E1741" s="194"/>
      <c r="F1741" s="181"/>
      <c r="G1741" s="181"/>
      <c r="H1741" s="181"/>
      <c r="I1741" s="181"/>
      <c r="J1741" s="181"/>
      <c r="K1741" s="181"/>
      <c r="L1741" s="181"/>
      <c r="M1741" s="181"/>
      <c r="N1741" s="181"/>
      <c r="O1741" s="181"/>
      <c r="P1741" s="181"/>
      <c r="Q1741" s="181"/>
      <c r="R1741" s="181"/>
      <c r="S1741" s="181"/>
      <c r="T1741" s="181"/>
      <c r="U1741" s="181"/>
      <c r="V1741" s="181"/>
      <c r="W1741" s="181"/>
      <c r="X1741" s="181"/>
      <c r="Y1741" s="181"/>
      <c r="Z1741" s="181"/>
    </row>
    <row r="1742">
      <c r="A1742" s="194"/>
      <c r="B1742" s="195"/>
      <c r="C1742" s="181"/>
      <c r="D1742" s="194"/>
      <c r="E1742" s="194"/>
      <c r="F1742" s="181"/>
      <c r="G1742" s="181"/>
      <c r="H1742" s="181"/>
      <c r="I1742" s="181"/>
      <c r="J1742" s="181"/>
      <c r="K1742" s="181"/>
      <c r="L1742" s="181"/>
      <c r="M1742" s="181"/>
      <c r="N1742" s="181"/>
      <c r="O1742" s="181"/>
      <c r="P1742" s="181"/>
      <c r="Q1742" s="181"/>
      <c r="R1742" s="181"/>
      <c r="S1742" s="181"/>
      <c r="T1742" s="181"/>
      <c r="U1742" s="181"/>
      <c r="V1742" s="181"/>
      <c r="W1742" s="181"/>
      <c r="X1742" s="181"/>
      <c r="Y1742" s="181"/>
      <c r="Z1742" s="181"/>
    </row>
    <row r="1743">
      <c r="A1743" s="194"/>
      <c r="B1743" s="195"/>
      <c r="C1743" s="181"/>
      <c r="D1743" s="194"/>
      <c r="E1743" s="194"/>
      <c r="F1743" s="181"/>
      <c r="G1743" s="181"/>
      <c r="H1743" s="181"/>
      <c r="I1743" s="181"/>
      <c r="J1743" s="181"/>
      <c r="K1743" s="181"/>
      <c r="L1743" s="181"/>
      <c r="M1743" s="181"/>
      <c r="N1743" s="181"/>
      <c r="O1743" s="181"/>
      <c r="P1743" s="181"/>
      <c r="Q1743" s="181"/>
      <c r="R1743" s="181"/>
      <c r="S1743" s="181"/>
      <c r="T1743" s="181"/>
      <c r="U1743" s="181"/>
      <c r="V1743" s="181"/>
      <c r="W1743" s="181"/>
      <c r="X1743" s="181"/>
      <c r="Y1743" s="181"/>
      <c r="Z1743" s="181"/>
    </row>
    <row r="1744">
      <c r="A1744" s="194"/>
      <c r="B1744" s="195"/>
      <c r="C1744" s="181"/>
      <c r="D1744" s="194"/>
      <c r="E1744" s="194"/>
      <c r="F1744" s="181"/>
      <c r="G1744" s="181"/>
      <c r="H1744" s="181"/>
      <c r="I1744" s="181"/>
      <c r="J1744" s="181"/>
      <c r="K1744" s="181"/>
      <c r="L1744" s="181"/>
      <c r="M1744" s="181"/>
      <c r="N1744" s="181"/>
      <c r="O1744" s="181"/>
      <c r="P1744" s="181"/>
      <c r="Q1744" s="181"/>
      <c r="R1744" s="181"/>
      <c r="S1744" s="181"/>
      <c r="T1744" s="181"/>
      <c r="U1744" s="181"/>
      <c r="V1744" s="181"/>
      <c r="W1744" s="181"/>
      <c r="X1744" s="181"/>
      <c r="Y1744" s="181"/>
      <c r="Z1744" s="181"/>
    </row>
    <row r="1745">
      <c r="A1745" s="194"/>
      <c r="B1745" s="195"/>
      <c r="C1745" s="181"/>
      <c r="D1745" s="194"/>
      <c r="E1745" s="194"/>
      <c r="F1745" s="181"/>
      <c r="G1745" s="181"/>
      <c r="H1745" s="181"/>
      <c r="I1745" s="181"/>
      <c r="J1745" s="181"/>
      <c r="K1745" s="181"/>
      <c r="L1745" s="181"/>
      <c r="M1745" s="181"/>
      <c r="N1745" s="181"/>
      <c r="O1745" s="181"/>
      <c r="P1745" s="181"/>
      <c r="Q1745" s="181"/>
      <c r="R1745" s="181"/>
      <c r="S1745" s="181"/>
      <c r="T1745" s="181"/>
      <c r="U1745" s="181"/>
      <c r="V1745" s="181"/>
      <c r="W1745" s="181"/>
      <c r="X1745" s="181"/>
      <c r="Y1745" s="181"/>
      <c r="Z1745" s="181"/>
    </row>
    <row r="1746">
      <c r="A1746" s="194"/>
      <c r="B1746" s="195"/>
      <c r="C1746" s="181"/>
      <c r="D1746" s="194"/>
      <c r="E1746" s="194"/>
      <c r="F1746" s="181"/>
      <c r="G1746" s="181"/>
      <c r="H1746" s="181"/>
      <c r="I1746" s="181"/>
      <c r="J1746" s="181"/>
      <c r="K1746" s="181"/>
      <c r="L1746" s="181"/>
      <c r="M1746" s="181"/>
      <c r="N1746" s="181"/>
      <c r="O1746" s="181"/>
      <c r="P1746" s="181"/>
      <c r="Q1746" s="181"/>
      <c r="R1746" s="181"/>
      <c r="S1746" s="181"/>
      <c r="T1746" s="181"/>
      <c r="U1746" s="181"/>
      <c r="V1746" s="181"/>
      <c r="W1746" s="181"/>
      <c r="X1746" s="181"/>
      <c r="Y1746" s="181"/>
      <c r="Z1746" s="181"/>
    </row>
    <row r="1747">
      <c r="A1747" s="194"/>
      <c r="B1747" s="195"/>
      <c r="C1747" s="181"/>
      <c r="D1747" s="194"/>
      <c r="E1747" s="194"/>
      <c r="F1747" s="181"/>
      <c r="G1747" s="181"/>
      <c r="H1747" s="181"/>
      <c r="I1747" s="181"/>
      <c r="J1747" s="181"/>
      <c r="K1747" s="181"/>
      <c r="L1747" s="181"/>
      <c r="M1747" s="181"/>
      <c r="N1747" s="181"/>
      <c r="O1747" s="181"/>
      <c r="P1747" s="181"/>
      <c r="Q1747" s="181"/>
      <c r="R1747" s="181"/>
      <c r="S1747" s="181"/>
      <c r="T1747" s="181"/>
      <c r="U1747" s="181"/>
      <c r="V1747" s="181"/>
      <c r="W1747" s="181"/>
      <c r="X1747" s="181"/>
      <c r="Y1747" s="181"/>
      <c r="Z1747" s="181"/>
    </row>
    <row r="1748">
      <c r="A1748" s="194"/>
      <c r="B1748" s="195"/>
      <c r="C1748" s="181"/>
      <c r="D1748" s="194"/>
      <c r="E1748" s="194"/>
      <c r="F1748" s="181"/>
      <c r="G1748" s="181"/>
      <c r="H1748" s="181"/>
      <c r="I1748" s="181"/>
      <c r="J1748" s="181"/>
      <c r="K1748" s="181"/>
      <c r="L1748" s="181"/>
      <c r="M1748" s="181"/>
      <c r="N1748" s="181"/>
      <c r="O1748" s="181"/>
      <c r="P1748" s="181"/>
      <c r="Q1748" s="181"/>
      <c r="R1748" s="181"/>
      <c r="S1748" s="181"/>
      <c r="T1748" s="181"/>
      <c r="U1748" s="181"/>
      <c r="V1748" s="181"/>
      <c r="W1748" s="181"/>
      <c r="X1748" s="181"/>
      <c r="Y1748" s="181"/>
      <c r="Z1748" s="181"/>
    </row>
    <row r="1749">
      <c r="A1749" s="194"/>
      <c r="B1749" s="195"/>
      <c r="C1749" s="181"/>
      <c r="D1749" s="194"/>
      <c r="E1749" s="194"/>
      <c r="F1749" s="181"/>
      <c r="G1749" s="181"/>
      <c r="H1749" s="181"/>
      <c r="I1749" s="181"/>
      <c r="J1749" s="181"/>
      <c r="K1749" s="181"/>
      <c r="L1749" s="181"/>
      <c r="M1749" s="181"/>
      <c r="N1749" s="181"/>
      <c r="O1749" s="181"/>
      <c r="P1749" s="181"/>
      <c r="Q1749" s="181"/>
      <c r="R1749" s="181"/>
      <c r="S1749" s="181"/>
      <c r="T1749" s="181"/>
      <c r="U1749" s="181"/>
      <c r="V1749" s="181"/>
      <c r="W1749" s="181"/>
      <c r="X1749" s="181"/>
      <c r="Y1749" s="181"/>
      <c r="Z1749" s="181"/>
    </row>
    <row r="1750">
      <c r="A1750" s="194"/>
      <c r="B1750" s="195"/>
      <c r="C1750" s="181"/>
      <c r="D1750" s="194"/>
      <c r="E1750" s="194"/>
      <c r="F1750" s="181"/>
      <c r="G1750" s="181"/>
      <c r="H1750" s="181"/>
      <c r="I1750" s="181"/>
      <c r="J1750" s="181"/>
      <c r="K1750" s="181"/>
      <c r="L1750" s="181"/>
      <c r="M1750" s="181"/>
      <c r="N1750" s="181"/>
      <c r="O1750" s="181"/>
      <c r="P1750" s="181"/>
      <c r="Q1750" s="181"/>
      <c r="R1750" s="181"/>
      <c r="S1750" s="181"/>
      <c r="T1750" s="181"/>
      <c r="U1750" s="181"/>
      <c r="V1750" s="181"/>
      <c r="W1750" s="181"/>
      <c r="X1750" s="181"/>
      <c r="Y1750" s="181"/>
      <c r="Z1750" s="181"/>
    </row>
    <row r="1751">
      <c r="A1751" s="194"/>
      <c r="B1751" s="195"/>
      <c r="C1751" s="181"/>
      <c r="D1751" s="194"/>
      <c r="E1751" s="194"/>
      <c r="F1751" s="181"/>
      <c r="G1751" s="181"/>
      <c r="H1751" s="181"/>
      <c r="I1751" s="181"/>
      <c r="J1751" s="181"/>
      <c r="K1751" s="181"/>
      <c r="L1751" s="181"/>
      <c r="M1751" s="181"/>
      <c r="N1751" s="181"/>
      <c r="O1751" s="181"/>
      <c r="P1751" s="181"/>
      <c r="Q1751" s="181"/>
      <c r="R1751" s="181"/>
      <c r="S1751" s="181"/>
      <c r="T1751" s="181"/>
      <c r="U1751" s="181"/>
      <c r="V1751" s="181"/>
      <c r="W1751" s="181"/>
      <c r="X1751" s="181"/>
      <c r="Y1751" s="181"/>
      <c r="Z1751" s="181"/>
    </row>
    <row r="1752">
      <c r="A1752" s="194"/>
      <c r="B1752" s="195"/>
      <c r="C1752" s="181"/>
      <c r="D1752" s="194"/>
      <c r="E1752" s="194"/>
      <c r="F1752" s="181"/>
      <c r="G1752" s="181"/>
      <c r="H1752" s="181"/>
      <c r="I1752" s="181"/>
      <c r="J1752" s="181"/>
      <c r="K1752" s="181"/>
      <c r="L1752" s="181"/>
      <c r="M1752" s="181"/>
      <c r="N1752" s="181"/>
      <c r="O1752" s="181"/>
      <c r="P1752" s="181"/>
      <c r="Q1752" s="181"/>
      <c r="R1752" s="181"/>
      <c r="S1752" s="181"/>
      <c r="T1752" s="181"/>
      <c r="U1752" s="181"/>
      <c r="V1752" s="181"/>
      <c r="W1752" s="181"/>
      <c r="X1752" s="181"/>
      <c r="Y1752" s="181"/>
      <c r="Z1752" s="181"/>
    </row>
    <row r="1753">
      <c r="A1753" s="194"/>
      <c r="B1753" s="195"/>
      <c r="C1753" s="181"/>
      <c r="D1753" s="194"/>
      <c r="E1753" s="194"/>
      <c r="F1753" s="181"/>
      <c r="G1753" s="181"/>
      <c r="H1753" s="181"/>
      <c r="I1753" s="181"/>
      <c r="J1753" s="181"/>
      <c r="K1753" s="181"/>
      <c r="L1753" s="181"/>
      <c r="M1753" s="181"/>
      <c r="N1753" s="181"/>
      <c r="O1753" s="181"/>
      <c r="P1753" s="181"/>
      <c r="Q1753" s="181"/>
      <c r="R1753" s="181"/>
      <c r="S1753" s="181"/>
      <c r="T1753" s="181"/>
      <c r="U1753" s="181"/>
      <c r="V1753" s="181"/>
      <c r="W1753" s="181"/>
      <c r="X1753" s="181"/>
      <c r="Y1753" s="181"/>
      <c r="Z1753" s="181"/>
    </row>
    <row r="1754">
      <c r="A1754" s="194"/>
      <c r="B1754" s="195"/>
      <c r="C1754" s="181"/>
      <c r="D1754" s="194"/>
      <c r="E1754" s="194"/>
      <c r="F1754" s="181"/>
      <c r="G1754" s="181"/>
      <c r="H1754" s="181"/>
      <c r="I1754" s="181"/>
      <c r="J1754" s="181"/>
      <c r="K1754" s="181"/>
      <c r="L1754" s="181"/>
      <c r="M1754" s="181"/>
      <c r="N1754" s="181"/>
      <c r="O1754" s="181"/>
      <c r="P1754" s="181"/>
      <c r="Q1754" s="181"/>
      <c r="R1754" s="181"/>
      <c r="S1754" s="181"/>
      <c r="T1754" s="181"/>
      <c r="U1754" s="181"/>
      <c r="V1754" s="181"/>
      <c r="W1754" s="181"/>
      <c r="X1754" s="181"/>
      <c r="Y1754" s="181"/>
      <c r="Z1754" s="181"/>
    </row>
    <row r="1755">
      <c r="A1755" s="194"/>
      <c r="B1755" s="195"/>
      <c r="C1755" s="181"/>
      <c r="D1755" s="194"/>
      <c r="E1755" s="194"/>
      <c r="F1755" s="181"/>
      <c r="G1755" s="181"/>
      <c r="H1755" s="181"/>
      <c r="I1755" s="181"/>
      <c r="J1755" s="181"/>
      <c r="K1755" s="181"/>
      <c r="L1755" s="181"/>
      <c r="M1755" s="181"/>
      <c r="N1755" s="181"/>
      <c r="O1755" s="181"/>
      <c r="P1755" s="181"/>
      <c r="Q1755" s="181"/>
      <c r="R1755" s="181"/>
      <c r="S1755" s="181"/>
      <c r="T1755" s="181"/>
      <c r="U1755" s="181"/>
      <c r="V1755" s="181"/>
      <c r="W1755" s="181"/>
      <c r="X1755" s="181"/>
      <c r="Y1755" s="181"/>
      <c r="Z1755" s="181"/>
    </row>
    <row r="1756">
      <c r="A1756" s="194"/>
      <c r="B1756" s="195"/>
      <c r="C1756" s="181"/>
      <c r="D1756" s="194"/>
      <c r="E1756" s="194"/>
      <c r="F1756" s="181"/>
      <c r="G1756" s="181"/>
      <c r="H1756" s="181"/>
      <c r="I1756" s="181"/>
      <c r="J1756" s="181"/>
      <c r="K1756" s="181"/>
      <c r="L1756" s="181"/>
      <c r="M1756" s="181"/>
      <c r="N1756" s="181"/>
      <c r="O1756" s="181"/>
      <c r="P1756" s="181"/>
      <c r="Q1756" s="181"/>
      <c r="R1756" s="181"/>
      <c r="S1756" s="181"/>
      <c r="T1756" s="181"/>
      <c r="U1756" s="181"/>
      <c r="V1756" s="181"/>
      <c r="W1756" s="181"/>
      <c r="X1756" s="181"/>
      <c r="Y1756" s="181"/>
      <c r="Z1756" s="181"/>
    </row>
    <row r="1757">
      <c r="A1757" s="194"/>
      <c r="B1757" s="195"/>
      <c r="C1757" s="181"/>
      <c r="D1757" s="194"/>
      <c r="E1757" s="194"/>
      <c r="F1757" s="181"/>
      <c r="G1757" s="181"/>
      <c r="H1757" s="181"/>
      <c r="I1757" s="181"/>
      <c r="J1757" s="181"/>
      <c r="K1757" s="181"/>
      <c r="L1757" s="181"/>
      <c r="M1757" s="181"/>
      <c r="N1757" s="181"/>
      <c r="O1757" s="181"/>
      <c r="P1757" s="181"/>
      <c r="Q1757" s="181"/>
      <c r="R1757" s="181"/>
      <c r="S1757" s="181"/>
      <c r="T1757" s="181"/>
      <c r="U1757" s="181"/>
      <c r="V1757" s="181"/>
      <c r="W1757" s="181"/>
      <c r="X1757" s="181"/>
      <c r="Y1757" s="181"/>
      <c r="Z1757" s="181"/>
    </row>
    <row r="1758">
      <c r="A1758" s="194"/>
      <c r="B1758" s="195"/>
      <c r="C1758" s="181"/>
      <c r="D1758" s="194"/>
      <c r="E1758" s="194"/>
      <c r="F1758" s="181"/>
      <c r="G1758" s="181"/>
      <c r="H1758" s="181"/>
      <c r="I1758" s="181"/>
      <c r="J1758" s="181"/>
      <c r="K1758" s="181"/>
      <c r="L1758" s="181"/>
      <c r="M1758" s="181"/>
      <c r="N1758" s="181"/>
      <c r="O1758" s="181"/>
      <c r="P1758" s="181"/>
      <c r="Q1758" s="181"/>
      <c r="R1758" s="181"/>
      <c r="S1758" s="181"/>
      <c r="T1758" s="181"/>
      <c r="U1758" s="181"/>
      <c r="V1758" s="181"/>
      <c r="W1758" s="181"/>
      <c r="X1758" s="181"/>
      <c r="Y1758" s="181"/>
      <c r="Z1758" s="181"/>
    </row>
    <row r="1759">
      <c r="A1759" s="194"/>
      <c r="B1759" s="195"/>
      <c r="C1759" s="181"/>
      <c r="D1759" s="194"/>
      <c r="E1759" s="194"/>
      <c r="F1759" s="181"/>
      <c r="G1759" s="181"/>
      <c r="H1759" s="181"/>
      <c r="I1759" s="181"/>
      <c r="J1759" s="181"/>
      <c r="K1759" s="181"/>
      <c r="L1759" s="181"/>
      <c r="M1759" s="181"/>
      <c r="N1759" s="181"/>
      <c r="O1759" s="181"/>
      <c r="P1759" s="181"/>
      <c r="Q1759" s="181"/>
      <c r="R1759" s="181"/>
      <c r="S1759" s="181"/>
      <c r="T1759" s="181"/>
      <c r="U1759" s="181"/>
      <c r="V1759" s="181"/>
      <c r="W1759" s="181"/>
      <c r="X1759" s="181"/>
      <c r="Y1759" s="181"/>
      <c r="Z1759" s="181"/>
    </row>
    <row r="1760">
      <c r="A1760" s="194"/>
      <c r="B1760" s="195"/>
      <c r="C1760" s="181"/>
      <c r="D1760" s="194"/>
      <c r="E1760" s="194"/>
      <c r="F1760" s="181"/>
      <c r="G1760" s="181"/>
      <c r="H1760" s="181"/>
      <c r="I1760" s="181"/>
      <c r="J1760" s="181"/>
      <c r="K1760" s="181"/>
      <c r="L1760" s="181"/>
      <c r="M1760" s="181"/>
      <c r="N1760" s="181"/>
      <c r="O1760" s="181"/>
      <c r="P1760" s="181"/>
      <c r="Q1760" s="181"/>
      <c r="R1760" s="181"/>
      <c r="S1760" s="181"/>
      <c r="T1760" s="181"/>
      <c r="U1760" s="181"/>
      <c r="V1760" s="181"/>
      <c r="W1760" s="181"/>
      <c r="X1760" s="181"/>
      <c r="Y1760" s="181"/>
      <c r="Z1760" s="181"/>
    </row>
    <row r="1761">
      <c r="A1761" s="194"/>
      <c r="B1761" s="195"/>
      <c r="C1761" s="181"/>
      <c r="D1761" s="194"/>
      <c r="E1761" s="194"/>
      <c r="F1761" s="181"/>
      <c r="G1761" s="181"/>
      <c r="H1761" s="181"/>
      <c r="I1761" s="181"/>
      <c r="J1761" s="181"/>
      <c r="K1761" s="181"/>
      <c r="L1761" s="181"/>
      <c r="M1761" s="181"/>
      <c r="N1761" s="181"/>
      <c r="O1761" s="181"/>
      <c r="P1761" s="181"/>
      <c r="Q1761" s="181"/>
      <c r="R1761" s="181"/>
      <c r="S1761" s="181"/>
      <c r="T1761" s="181"/>
      <c r="U1761" s="181"/>
      <c r="V1761" s="181"/>
      <c r="W1761" s="181"/>
      <c r="X1761" s="181"/>
      <c r="Y1761" s="181"/>
      <c r="Z1761" s="181"/>
    </row>
    <row r="1762">
      <c r="A1762" s="194"/>
      <c r="B1762" s="195"/>
      <c r="C1762" s="181"/>
      <c r="D1762" s="194"/>
      <c r="E1762" s="194"/>
      <c r="F1762" s="181"/>
      <c r="G1762" s="181"/>
      <c r="H1762" s="181"/>
      <c r="I1762" s="181"/>
      <c r="J1762" s="181"/>
      <c r="K1762" s="181"/>
      <c r="L1762" s="181"/>
      <c r="M1762" s="181"/>
      <c r="N1762" s="181"/>
      <c r="O1762" s="181"/>
      <c r="P1762" s="181"/>
      <c r="Q1762" s="181"/>
      <c r="R1762" s="181"/>
      <c r="S1762" s="181"/>
      <c r="T1762" s="181"/>
      <c r="U1762" s="181"/>
      <c r="V1762" s="181"/>
      <c r="W1762" s="181"/>
      <c r="X1762" s="181"/>
      <c r="Y1762" s="181"/>
      <c r="Z1762" s="181"/>
    </row>
    <row r="1763">
      <c r="A1763" s="194"/>
      <c r="B1763" s="195"/>
      <c r="C1763" s="181"/>
      <c r="D1763" s="194"/>
      <c r="E1763" s="194"/>
      <c r="F1763" s="181"/>
      <c r="G1763" s="181"/>
      <c r="H1763" s="181"/>
      <c r="I1763" s="181"/>
      <c r="J1763" s="181"/>
      <c r="K1763" s="181"/>
      <c r="L1763" s="181"/>
      <c r="M1763" s="181"/>
      <c r="N1763" s="181"/>
      <c r="O1763" s="181"/>
      <c r="P1763" s="181"/>
      <c r="Q1763" s="181"/>
      <c r="R1763" s="181"/>
      <c r="S1763" s="181"/>
      <c r="T1763" s="181"/>
      <c r="U1763" s="181"/>
      <c r="V1763" s="181"/>
      <c r="W1763" s="181"/>
      <c r="X1763" s="181"/>
      <c r="Y1763" s="181"/>
      <c r="Z1763" s="181"/>
    </row>
    <row r="1764">
      <c r="A1764" s="194"/>
      <c r="B1764" s="195"/>
      <c r="C1764" s="181"/>
      <c r="D1764" s="194"/>
      <c r="E1764" s="194"/>
      <c r="F1764" s="181"/>
      <c r="G1764" s="181"/>
      <c r="H1764" s="181"/>
      <c r="I1764" s="181"/>
      <c r="J1764" s="181"/>
      <c r="K1764" s="181"/>
      <c r="L1764" s="181"/>
      <c r="M1764" s="181"/>
      <c r="N1764" s="181"/>
      <c r="O1764" s="181"/>
      <c r="P1764" s="181"/>
      <c r="Q1764" s="181"/>
      <c r="R1764" s="181"/>
      <c r="S1764" s="181"/>
      <c r="T1764" s="181"/>
      <c r="U1764" s="181"/>
      <c r="V1764" s="181"/>
      <c r="W1764" s="181"/>
      <c r="X1764" s="181"/>
      <c r="Y1764" s="181"/>
      <c r="Z1764" s="181"/>
    </row>
    <row r="1765">
      <c r="A1765" s="194"/>
      <c r="B1765" s="195"/>
      <c r="C1765" s="181"/>
      <c r="D1765" s="194"/>
      <c r="E1765" s="194"/>
      <c r="F1765" s="181"/>
      <c r="G1765" s="181"/>
      <c r="H1765" s="181"/>
      <c r="I1765" s="181"/>
      <c r="J1765" s="181"/>
      <c r="K1765" s="181"/>
      <c r="L1765" s="181"/>
      <c r="M1765" s="181"/>
      <c r="N1765" s="181"/>
      <c r="O1765" s="181"/>
      <c r="P1765" s="181"/>
      <c r="Q1765" s="181"/>
      <c r="R1765" s="181"/>
      <c r="S1765" s="181"/>
      <c r="T1765" s="181"/>
      <c r="U1765" s="181"/>
      <c r="V1765" s="181"/>
      <c r="W1765" s="181"/>
      <c r="X1765" s="181"/>
      <c r="Y1765" s="181"/>
      <c r="Z1765" s="181"/>
    </row>
    <row r="1766">
      <c r="A1766" s="194"/>
      <c r="B1766" s="195"/>
      <c r="C1766" s="181"/>
      <c r="D1766" s="194"/>
      <c r="E1766" s="194"/>
      <c r="F1766" s="181"/>
      <c r="G1766" s="181"/>
      <c r="H1766" s="181"/>
      <c r="I1766" s="181"/>
      <c r="J1766" s="181"/>
      <c r="K1766" s="181"/>
      <c r="L1766" s="181"/>
      <c r="M1766" s="181"/>
      <c r="N1766" s="181"/>
      <c r="O1766" s="181"/>
      <c r="P1766" s="181"/>
      <c r="Q1766" s="181"/>
      <c r="R1766" s="181"/>
      <c r="S1766" s="181"/>
      <c r="T1766" s="181"/>
      <c r="U1766" s="181"/>
      <c r="V1766" s="181"/>
      <c r="W1766" s="181"/>
      <c r="X1766" s="181"/>
      <c r="Y1766" s="181"/>
      <c r="Z1766" s="181"/>
    </row>
    <row r="1767">
      <c r="A1767" s="194"/>
      <c r="B1767" s="195"/>
      <c r="C1767" s="181"/>
      <c r="D1767" s="194"/>
      <c r="E1767" s="194"/>
      <c r="F1767" s="181"/>
      <c r="G1767" s="181"/>
      <c r="H1767" s="181"/>
      <c r="I1767" s="181"/>
      <c r="J1767" s="181"/>
      <c r="K1767" s="181"/>
      <c r="L1767" s="181"/>
      <c r="M1767" s="181"/>
      <c r="N1767" s="181"/>
      <c r="O1767" s="181"/>
      <c r="P1767" s="181"/>
      <c r="Q1767" s="181"/>
      <c r="R1767" s="181"/>
      <c r="S1767" s="181"/>
      <c r="T1767" s="181"/>
      <c r="U1767" s="181"/>
      <c r="V1767" s="181"/>
      <c r="W1767" s="181"/>
      <c r="X1767" s="181"/>
      <c r="Y1767" s="181"/>
      <c r="Z1767" s="181"/>
    </row>
    <row r="1768">
      <c r="A1768" s="194"/>
      <c r="B1768" s="195"/>
      <c r="C1768" s="181"/>
      <c r="D1768" s="194"/>
      <c r="E1768" s="194"/>
      <c r="F1768" s="181"/>
      <c r="G1768" s="181"/>
      <c r="H1768" s="181"/>
      <c r="I1768" s="181"/>
      <c r="J1768" s="181"/>
      <c r="K1768" s="181"/>
      <c r="L1768" s="181"/>
      <c r="M1768" s="181"/>
      <c r="N1768" s="181"/>
      <c r="O1768" s="181"/>
      <c r="P1768" s="181"/>
      <c r="Q1768" s="181"/>
      <c r="R1768" s="181"/>
      <c r="S1768" s="181"/>
      <c r="T1768" s="181"/>
      <c r="U1768" s="181"/>
      <c r="V1768" s="181"/>
      <c r="W1768" s="181"/>
      <c r="X1768" s="181"/>
      <c r="Y1768" s="181"/>
      <c r="Z1768" s="181"/>
    </row>
    <row r="1769">
      <c r="A1769" s="194"/>
      <c r="B1769" s="195"/>
      <c r="C1769" s="181"/>
      <c r="D1769" s="194"/>
      <c r="E1769" s="194"/>
      <c r="F1769" s="181"/>
      <c r="G1769" s="181"/>
      <c r="H1769" s="181"/>
      <c r="I1769" s="181"/>
      <c r="J1769" s="181"/>
      <c r="K1769" s="181"/>
      <c r="L1769" s="181"/>
      <c r="M1769" s="181"/>
      <c r="N1769" s="181"/>
      <c r="O1769" s="181"/>
      <c r="P1769" s="181"/>
      <c r="Q1769" s="181"/>
      <c r="R1769" s="181"/>
      <c r="S1769" s="181"/>
      <c r="T1769" s="181"/>
      <c r="U1769" s="181"/>
      <c r="V1769" s="181"/>
      <c r="W1769" s="181"/>
      <c r="X1769" s="181"/>
      <c r="Y1769" s="181"/>
      <c r="Z1769" s="181"/>
    </row>
    <row r="1770">
      <c r="A1770" s="194"/>
      <c r="B1770" s="195"/>
      <c r="C1770" s="181"/>
      <c r="D1770" s="194"/>
      <c r="E1770" s="194"/>
      <c r="F1770" s="181"/>
      <c r="G1770" s="181"/>
      <c r="H1770" s="181"/>
      <c r="I1770" s="181"/>
      <c r="J1770" s="181"/>
      <c r="K1770" s="181"/>
      <c r="L1770" s="181"/>
      <c r="M1770" s="181"/>
      <c r="N1770" s="181"/>
      <c r="O1770" s="181"/>
      <c r="P1770" s="181"/>
      <c r="Q1770" s="181"/>
      <c r="R1770" s="181"/>
      <c r="S1770" s="181"/>
      <c r="T1770" s="181"/>
      <c r="U1770" s="181"/>
      <c r="V1770" s="181"/>
      <c r="W1770" s="181"/>
      <c r="X1770" s="181"/>
      <c r="Y1770" s="181"/>
      <c r="Z1770" s="181"/>
    </row>
    <row r="1771">
      <c r="A1771" s="194"/>
      <c r="B1771" s="195"/>
      <c r="C1771" s="181"/>
      <c r="D1771" s="194"/>
      <c r="E1771" s="194"/>
      <c r="F1771" s="181"/>
      <c r="G1771" s="181"/>
      <c r="H1771" s="181"/>
      <c r="I1771" s="181"/>
      <c r="J1771" s="181"/>
      <c r="K1771" s="181"/>
      <c r="L1771" s="181"/>
      <c r="M1771" s="181"/>
      <c r="N1771" s="181"/>
      <c r="O1771" s="181"/>
      <c r="P1771" s="181"/>
      <c r="Q1771" s="181"/>
      <c r="R1771" s="181"/>
      <c r="S1771" s="181"/>
      <c r="T1771" s="181"/>
      <c r="U1771" s="181"/>
      <c r="V1771" s="181"/>
      <c r="W1771" s="181"/>
      <c r="X1771" s="181"/>
      <c r="Y1771" s="181"/>
      <c r="Z1771" s="181"/>
    </row>
    <row r="1772">
      <c r="A1772" s="194"/>
      <c r="B1772" s="195"/>
      <c r="C1772" s="181"/>
      <c r="D1772" s="194"/>
      <c r="E1772" s="194"/>
      <c r="F1772" s="181"/>
      <c r="G1772" s="181"/>
      <c r="H1772" s="181"/>
      <c r="I1772" s="181"/>
      <c r="J1772" s="181"/>
      <c r="K1772" s="181"/>
      <c r="L1772" s="181"/>
      <c r="M1772" s="181"/>
      <c r="N1772" s="181"/>
      <c r="O1772" s="181"/>
      <c r="P1772" s="181"/>
      <c r="Q1772" s="181"/>
      <c r="R1772" s="181"/>
      <c r="S1772" s="181"/>
      <c r="T1772" s="181"/>
      <c r="U1772" s="181"/>
      <c r="V1772" s="181"/>
      <c r="W1772" s="181"/>
      <c r="X1772" s="181"/>
      <c r="Y1772" s="181"/>
      <c r="Z1772" s="181"/>
    </row>
    <row r="1773">
      <c r="A1773" s="194"/>
      <c r="B1773" s="195"/>
      <c r="C1773" s="181"/>
      <c r="D1773" s="194"/>
      <c r="E1773" s="194"/>
      <c r="F1773" s="181"/>
      <c r="G1773" s="181"/>
      <c r="H1773" s="181"/>
      <c r="I1773" s="181"/>
      <c r="J1773" s="181"/>
      <c r="K1773" s="181"/>
      <c r="L1773" s="181"/>
      <c r="M1773" s="181"/>
      <c r="N1773" s="181"/>
      <c r="O1773" s="181"/>
      <c r="P1773" s="181"/>
      <c r="Q1773" s="181"/>
      <c r="R1773" s="181"/>
      <c r="S1773" s="181"/>
      <c r="T1773" s="181"/>
      <c r="U1773" s="181"/>
      <c r="V1773" s="181"/>
      <c r="W1773" s="181"/>
      <c r="X1773" s="181"/>
      <c r="Y1773" s="181"/>
      <c r="Z1773" s="181"/>
    </row>
    <row r="1774">
      <c r="A1774" s="194"/>
      <c r="B1774" s="195"/>
      <c r="C1774" s="181"/>
      <c r="D1774" s="194"/>
      <c r="E1774" s="194"/>
      <c r="F1774" s="181"/>
      <c r="G1774" s="181"/>
      <c r="H1774" s="181"/>
      <c r="I1774" s="181"/>
      <c r="J1774" s="181"/>
      <c r="K1774" s="181"/>
      <c r="L1774" s="181"/>
      <c r="M1774" s="181"/>
      <c r="N1774" s="181"/>
      <c r="O1774" s="181"/>
      <c r="P1774" s="181"/>
      <c r="Q1774" s="181"/>
      <c r="R1774" s="181"/>
      <c r="S1774" s="181"/>
      <c r="T1774" s="181"/>
      <c r="U1774" s="181"/>
      <c r="V1774" s="181"/>
      <c r="W1774" s="181"/>
      <c r="X1774" s="181"/>
      <c r="Y1774" s="181"/>
      <c r="Z1774" s="181"/>
    </row>
    <row r="1775">
      <c r="A1775" s="194"/>
      <c r="B1775" s="195"/>
      <c r="C1775" s="181"/>
      <c r="D1775" s="194"/>
      <c r="E1775" s="194"/>
      <c r="F1775" s="181"/>
      <c r="G1775" s="181"/>
      <c r="H1775" s="181"/>
      <c r="I1775" s="181"/>
      <c r="J1775" s="181"/>
      <c r="K1775" s="181"/>
      <c r="L1775" s="181"/>
      <c r="M1775" s="181"/>
      <c r="N1775" s="181"/>
      <c r="O1775" s="181"/>
      <c r="P1775" s="181"/>
      <c r="Q1775" s="181"/>
      <c r="R1775" s="181"/>
      <c r="S1775" s="181"/>
      <c r="T1775" s="181"/>
      <c r="U1775" s="181"/>
      <c r="V1775" s="181"/>
      <c r="W1775" s="181"/>
      <c r="X1775" s="181"/>
      <c r="Y1775" s="181"/>
      <c r="Z1775" s="181"/>
    </row>
    <row r="1776">
      <c r="A1776" s="194"/>
      <c r="B1776" s="195"/>
      <c r="C1776" s="181"/>
      <c r="D1776" s="194"/>
      <c r="E1776" s="194"/>
      <c r="F1776" s="181"/>
      <c r="G1776" s="181"/>
      <c r="H1776" s="181"/>
      <c r="I1776" s="181"/>
      <c r="J1776" s="181"/>
      <c r="K1776" s="181"/>
      <c r="L1776" s="181"/>
      <c r="M1776" s="181"/>
      <c r="N1776" s="181"/>
      <c r="O1776" s="181"/>
      <c r="P1776" s="181"/>
      <c r="Q1776" s="181"/>
      <c r="R1776" s="181"/>
      <c r="S1776" s="181"/>
      <c r="T1776" s="181"/>
      <c r="U1776" s="181"/>
      <c r="V1776" s="181"/>
      <c r="W1776" s="181"/>
      <c r="X1776" s="181"/>
      <c r="Y1776" s="181"/>
      <c r="Z1776" s="181"/>
    </row>
    <row r="1777">
      <c r="A1777" s="194"/>
      <c r="B1777" s="195"/>
      <c r="C1777" s="181"/>
      <c r="D1777" s="194"/>
      <c r="E1777" s="194"/>
      <c r="F1777" s="181"/>
      <c r="G1777" s="181"/>
      <c r="H1777" s="181"/>
      <c r="I1777" s="181"/>
      <c r="J1777" s="181"/>
      <c r="K1777" s="181"/>
      <c r="L1777" s="181"/>
      <c r="M1777" s="181"/>
      <c r="N1777" s="181"/>
      <c r="O1777" s="181"/>
      <c r="P1777" s="181"/>
      <c r="Q1777" s="181"/>
      <c r="R1777" s="181"/>
      <c r="S1777" s="181"/>
      <c r="T1777" s="181"/>
      <c r="U1777" s="181"/>
      <c r="V1777" s="181"/>
      <c r="W1777" s="181"/>
      <c r="X1777" s="181"/>
      <c r="Y1777" s="181"/>
      <c r="Z1777" s="181"/>
    </row>
    <row r="1778">
      <c r="A1778" s="194"/>
      <c r="B1778" s="195"/>
      <c r="C1778" s="181"/>
      <c r="D1778" s="194"/>
      <c r="E1778" s="194"/>
      <c r="F1778" s="181"/>
      <c r="G1778" s="181"/>
      <c r="H1778" s="181"/>
      <c r="I1778" s="181"/>
      <c r="J1778" s="181"/>
      <c r="K1778" s="181"/>
      <c r="L1778" s="181"/>
      <c r="M1778" s="181"/>
      <c r="N1778" s="181"/>
      <c r="O1778" s="181"/>
      <c r="P1778" s="181"/>
      <c r="Q1778" s="181"/>
      <c r="R1778" s="181"/>
      <c r="S1778" s="181"/>
      <c r="T1778" s="181"/>
      <c r="U1778" s="181"/>
      <c r="V1778" s="181"/>
      <c r="W1778" s="181"/>
      <c r="X1778" s="181"/>
      <c r="Y1778" s="181"/>
      <c r="Z1778" s="181"/>
    </row>
    <row r="1779">
      <c r="A1779" s="194"/>
      <c r="B1779" s="195"/>
      <c r="C1779" s="181"/>
      <c r="D1779" s="194"/>
      <c r="E1779" s="194"/>
      <c r="F1779" s="181"/>
      <c r="G1779" s="181"/>
      <c r="H1779" s="181"/>
      <c r="I1779" s="181"/>
      <c r="J1779" s="181"/>
      <c r="K1779" s="181"/>
      <c r="L1779" s="181"/>
      <c r="M1779" s="181"/>
      <c r="N1779" s="181"/>
      <c r="O1779" s="181"/>
      <c r="P1779" s="181"/>
      <c r="Q1779" s="181"/>
      <c r="R1779" s="181"/>
      <c r="S1779" s="181"/>
      <c r="T1779" s="181"/>
      <c r="U1779" s="181"/>
      <c r="V1779" s="181"/>
      <c r="W1779" s="181"/>
      <c r="X1779" s="181"/>
      <c r="Y1779" s="181"/>
      <c r="Z1779" s="181"/>
    </row>
    <row r="1780">
      <c r="A1780" s="194"/>
      <c r="B1780" s="195"/>
      <c r="C1780" s="181"/>
      <c r="D1780" s="194"/>
      <c r="E1780" s="194"/>
      <c r="F1780" s="181"/>
      <c r="G1780" s="181"/>
      <c r="H1780" s="181"/>
      <c r="I1780" s="181"/>
      <c r="J1780" s="181"/>
      <c r="K1780" s="181"/>
      <c r="L1780" s="181"/>
      <c r="M1780" s="181"/>
      <c r="N1780" s="181"/>
      <c r="O1780" s="181"/>
      <c r="P1780" s="181"/>
      <c r="Q1780" s="181"/>
      <c r="R1780" s="181"/>
      <c r="S1780" s="181"/>
      <c r="T1780" s="181"/>
      <c r="U1780" s="181"/>
      <c r="V1780" s="181"/>
      <c r="W1780" s="181"/>
      <c r="X1780" s="181"/>
      <c r="Y1780" s="181"/>
      <c r="Z1780" s="181"/>
    </row>
    <row r="1781">
      <c r="A1781" s="194"/>
      <c r="B1781" s="195"/>
      <c r="C1781" s="181"/>
      <c r="D1781" s="194"/>
      <c r="E1781" s="194"/>
      <c r="F1781" s="181"/>
      <c r="G1781" s="181"/>
      <c r="H1781" s="181"/>
      <c r="I1781" s="181"/>
      <c r="J1781" s="181"/>
      <c r="K1781" s="181"/>
      <c r="L1781" s="181"/>
      <c r="M1781" s="181"/>
      <c r="N1781" s="181"/>
      <c r="O1781" s="181"/>
      <c r="P1781" s="181"/>
      <c r="Q1781" s="181"/>
      <c r="R1781" s="181"/>
      <c r="S1781" s="181"/>
      <c r="T1781" s="181"/>
      <c r="U1781" s="181"/>
      <c r="V1781" s="181"/>
      <c r="W1781" s="181"/>
      <c r="X1781" s="181"/>
      <c r="Y1781" s="181"/>
      <c r="Z1781" s="181"/>
    </row>
    <row r="1782">
      <c r="A1782" s="194"/>
      <c r="B1782" s="195"/>
      <c r="C1782" s="181"/>
      <c r="D1782" s="194"/>
      <c r="E1782" s="194"/>
      <c r="F1782" s="181"/>
      <c r="G1782" s="181"/>
      <c r="H1782" s="181"/>
      <c r="I1782" s="181"/>
      <c r="J1782" s="181"/>
      <c r="K1782" s="181"/>
      <c r="L1782" s="181"/>
      <c r="M1782" s="181"/>
      <c r="N1782" s="181"/>
      <c r="O1782" s="181"/>
      <c r="P1782" s="181"/>
      <c r="Q1782" s="181"/>
      <c r="R1782" s="181"/>
      <c r="S1782" s="181"/>
      <c r="T1782" s="181"/>
      <c r="U1782" s="181"/>
      <c r="V1782" s="181"/>
      <c r="W1782" s="181"/>
      <c r="X1782" s="181"/>
      <c r="Y1782" s="181"/>
      <c r="Z1782" s="181"/>
    </row>
    <row r="1783">
      <c r="A1783" s="194"/>
      <c r="B1783" s="195"/>
      <c r="C1783" s="181"/>
      <c r="D1783" s="194"/>
      <c r="E1783" s="194"/>
      <c r="F1783" s="181"/>
      <c r="G1783" s="181"/>
      <c r="H1783" s="181"/>
      <c r="I1783" s="181"/>
      <c r="J1783" s="181"/>
      <c r="K1783" s="181"/>
      <c r="L1783" s="181"/>
      <c r="M1783" s="181"/>
      <c r="N1783" s="181"/>
      <c r="O1783" s="181"/>
      <c r="P1783" s="181"/>
      <c r="Q1783" s="181"/>
      <c r="R1783" s="181"/>
      <c r="S1783" s="181"/>
      <c r="T1783" s="181"/>
      <c r="U1783" s="181"/>
      <c r="V1783" s="181"/>
      <c r="W1783" s="181"/>
      <c r="X1783" s="181"/>
      <c r="Y1783" s="181"/>
      <c r="Z1783" s="181"/>
    </row>
    <row r="1784">
      <c r="A1784" s="194"/>
      <c r="B1784" s="195"/>
      <c r="C1784" s="181"/>
      <c r="D1784" s="194"/>
      <c r="E1784" s="194"/>
      <c r="F1784" s="181"/>
      <c r="G1784" s="181"/>
      <c r="H1784" s="181"/>
      <c r="I1784" s="181"/>
      <c r="J1784" s="181"/>
      <c r="K1784" s="181"/>
      <c r="L1784" s="181"/>
      <c r="M1784" s="181"/>
      <c r="N1784" s="181"/>
      <c r="O1784" s="181"/>
      <c r="P1784" s="181"/>
      <c r="Q1784" s="181"/>
      <c r="R1784" s="181"/>
      <c r="S1784" s="181"/>
      <c r="T1784" s="181"/>
      <c r="U1784" s="181"/>
      <c r="V1784" s="181"/>
      <c r="W1784" s="181"/>
      <c r="X1784" s="181"/>
      <c r="Y1784" s="181"/>
      <c r="Z1784" s="181"/>
    </row>
    <row r="1785">
      <c r="A1785" s="194"/>
      <c r="B1785" s="195"/>
      <c r="C1785" s="181"/>
      <c r="D1785" s="194"/>
      <c r="E1785" s="194"/>
      <c r="F1785" s="181"/>
      <c r="G1785" s="181"/>
      <c r="H1785" s="181"/>
      <c r="I1785" s="181"/>
      <c r="J1785" s="181"/>
      <c r="K1785" s="181"/>
      <c r="L1785" s="181"/>
      <c r="M1785" s="181"/>
      <c r="N1785" s="181"/>
      <c r="O1785" s="181"/>
      <c r="P1785" s="181"/>
      <c r="Q1785" s="181"/>
      <c r="R1785" s="181"/>
      <c r="S1785" s="181"/>
      <c r="T1785" s="181"/>
      <c r="U1785" s="181"/>
      <c r="V1785" s="181"/>
      <c r="W1785" s="181"/>
      <c r="X1785" s="181"/>
      <c r="Y1785" s="181"/>
      <c r="Z1785" s="181"/>
    </row>
    <row r="1786">
      <c r="A1786" s="194"/>
      <c r="B1786" s="195"/>
      <c r="C1786" s="181"/>
      <c r="D1786" s="194"/>
      <c r="E1786" s="194"/>
      <c r="F1786" s="181"/>
      <c r="G1786" s="181"/>
      <c r="H1786" s="181"/>
      <c r="I1786" s="181"/>
      <c r="J1786" s="181"/>
      <c r="K1786" s="181"/>
      <c r="L1786" s="181"/>
      <c r="M1786" s="181"/>
      <c r="N1786" s="181"/>
      <c r="O1786" s="181"/>
      <c r="P1786" s="181"/>
      <c r="Q1786" s="181"/>
      <c r="R1786" s="181"/>
      <c r="S1786" s="181"/>
      <c r="T1786" s="181"/>
      <c r="U1786" s="181"/>
      <c r="V1786" s="181"/>
      <c r="W1786" s="181"/>
      <c r="X1786" s="181"/>
      <c r="Y1786" s="181"/>
      <c r="Z1786" s="181"/>
    </row>
    <row r="1787">
      <c r="A1787" s="194"/>
      <c r="B1787" s="195"/>
      <c r="C1787" s="181"/>
      <c r="D1787" s="194"/>
      <c r="E1787" s="194"/>
      <c r="F1787" s="181"/>
      <c r="G1787" s="181"/>
      <c r="H1787" s="181"/>
      <c r="I1787" s="181"/>
      <c r="J1787" s="181"/>
      <c r="K1787" s="181"/>
      <c r="L1787" s="181"/>
      <c r="M1787" s="181"/>
      <c r="N1787" s="181"/>
      <c r="O1787" s="181"/>
      <c r="P1787" s="181"/>
      <c r="Q1787" s="181"/>
      <c r="R1787" s="181"/>
      <c r="S1787" s="181"/>
      <c r="T1787" s="181"/>
      <c r="U1787" s="181"/>
      <c r="V1787" s="181"/>
      <c r="W1787" s="181"/>
      <c r="X1787" s="181"/>
      <c r="Y1787" s="181"/>
      <c r="Z1787" s="181"/>
    </row>
    <row r="1788">
      <c r="A1788" s="194"/>
      <c r="B1788" s="195"/>
      <c r="C1788" s="181"/>
      <c r="D1788" s="194"/>
      <c r="E1788" s="194"/>
      <c r="F1788" s="181"/>
      <c r="G1788" s="181"/>
      <c r="H1788" s="181"/>
      <c r="I1788" s="181"/>
      <c r="J1788" s="181"/>
      <c r="K1788" s="181"/>
      <c r="L1788" s="181"/>
      <c r="M1788" s="181"/>
      <c r="N1788" s="181"/>
      <c r="O1788" s="181"/>
      <c r="P1788" s="181"/>
      <c r="Q1788" s="181"/>
      <c r="R1788" s="181"/>
      <c r="S1788" s="181"/>
      <c r="T1788" s="181"/>
      <c r="U1788" s="181"/>
      <c r="V1788" s="181"/>
      <c r="W1788" s="181"/>
      <c r="X1788" s="181"/>
      <c r="Y1788" s="181"/>
      <c r="Z1788" s="181"/>
    </row>
    <row r="1789">
      <c r="A1789" s="194"/>
      <c r="B1789" s="195"/>
      <c r="C1789" s="181"/>
      <c r="D1789" s="194"/>
      <c r="E1789" s="194"/>
      <c r="F1789" s="181"/>
      <c r="G1789" s="181"/>
      <c r="H1789" s="181"/>
      <c r="I1789" s="181"/>
      <c r="J1789" s="181"/>
      <c r="K1789" s="181"/>
      <c r="L1789" s="181"/>
      <c r="M1789" s="181"/>
      <c r="N1789" s="181"/>
      <c r="O1789" s="181"/>
      <c r="P1789" s="181"/>
      <c r="Q1789" s="181"/>
      <c r="R1789" s="181"/>
      <c r="S1789" s="181"/>
      <c r="T1789" s="181"/>
      <c r="U1789" s="181"/>
      <c r="V1789" s="181"/>
      <c r="W1789" s="181"/>
      <c r="X1789" s="181"/>
      <c r="Y1789" s="181"/>
      <c r="Z1789" s="181"/>
    </row>
    <row r="1790">
      <c r="A1790" s="194"/>
      <c r="B1790" s="195"/>
      <c r="C1790" s="181"/>
      <c r="D1790" s="194"/>
      <c r="E1790" s="194"/>
      <c r="F1790" s="181"/>
      <c r="G1790" s="181"/>
      <c r="H1790" s="181"/>
      <c r="I1790" s="181"/>
      <c r="J1790" s="181"/>
      <c r="K1790" s="181"/>
      <c r="L1790" s="181"/>
      <c r="M1790" s="181"/>
      <c r="N1790" s="181"/>
      <c r="O1790" s="181"/>
      <c r="P1790" s="181"/>
      <c r="Q1790" s="181"/>
      <c r="R1790" s="181"/>
      <c r="S1790" s="181"/>
      <c r="T1790" s="181"/>
      <c r="U1790" s="181"/>
      <c r="V1790" s="181"/>
      <c r="W1790" s="181"/>
      <c r="X1790" s="181"/>
      <c r="Y1790" s="181"/>
      <c r="Z1790" s="181"/>
    </row>
    <row r="1791">
      <c r="A1791" s="194"/>
      <c r="B1791" s="195"/>
      <c r="C1791" s="181"/>
      <c r="D1791" s="194"/>
      <c r="E1791" s="194"/>
      <c r="F1791" s="181"/>
      <c r="G1791" s="181"/>
      <c r="H1791" s="181"/>
      <c r="I1791" s="181"/>
      <c r="J1791" s="181"/>
      <c r="K1791" s="181"/>
      <c r="L1791" s="181"/>
      <c r="M1791" s="181"/>
      <c r="N1791" s="181"/>
      <c r="O1791" s="181"/>
      <c r="P1791" s="181"/>
      <c r="Q1791" s="181"/>
      <c r="R1791" s="181"/>
      <c r="S1791" s="181"/>
      <c r="T1791" s="181"/>
      <c r="U1791" s="181"/>
      <c r="V1791" s="181"/>
      <c r="W1791" s="181"/>
      <c r="X1791" s="181"/>
      <c r="Y1791" s="181"/>
      <c r="Z1791" s="181"/>
    </row>
    <row r="1792">
      <c r="A1792" s="194"/>
      <c r="B1792" s="195"/>
      <c r="C1792" s="181"/>
      <c r="D1792" s="194"/>
      <c r="E1792" s="194"/>
      <c r="F1792" s="181"/>
      <c r="G1792" s="181"/>
      <c r="H1792" s="181"/>
      <c r="I1792" s="181"/>
      <c r="J1792" s="181"/>
      <c r="K1792" s="181"/>
      <c r="L1792" s="181"/>
      <c r="M1792" s="181"/>
      <c r="N1792" s="181"/>
      <c r="O1792" s="181"/>
      <c r="P1792" s="181"/>
      <c r="Q1792" s="181"/>
      <c r="R1792" s="181"/>
      <c r="S1792" s="181"/>
      <c r="T1792" s="181"/>
      <c r="U1792" s="181"/>
      <c r="V1792" s="181"/>
      <c r="W1792" s="181"/>
      <c r="X1792" s="181"/>
      <c r="Y1792" s="181"/>
      <c r="Z1792" s="181"/>
    </row>
    <row r="1793">
      <c r="A1793" s="194"/>
      <c r="B1793" s="195"/>
      <c r="C1793" s="181"/>
      <c r="D1793" s="194"/>
      <c r="E1793" s="194"/>
      <c r="F1793" s="181"/>
      <c r="G1793" s="181"/>
      <c r="H1793" s="181"/>
      <c r="I1793" s="181"/>
      <c r="J1793" s="181"/>
      <c r="K1793" s="181"/>
      <c r="L1793" s="181"/>
      <c r="M1793" s="181"/>
      <c r="N1793" s="181"/>
      <c r="O1793" s="181"/>
      <c r="P1793" s="181"/>
      <c r="Q1793" s="181"/>
      <c r="R1793" s="181"/>
      <c r="S1793" s="181"/>
      <c r="T1793" s="181"/>
      <c r="U1793" s="181"/>
      <c r="V1793" s="181"/>
      <c r="W1793" s="181"/>
      <c r="X1793" s="181"/>
      <c r="Y1793" s="181"/>
      <c r="Z1793" s="181"/>
    </row>
    <row r="1794">
      <c r="A1794" s="194"/>
      <c r="B1794" s="195"/>
      <c r="C1794" s="181"/>
      <c r="D1794" s="194"/>
      <c r="E1794" s="194"/>
      <c r="F1794" s="181"/>
      <c r="G1794" s="181"/>
      <c r="H1794" s="181"/>
      <c r="I1794" s="181"/>
      <c r="J1794" s="181"/>
      <c r="K1794" s="181"/>
      <c r="L1794" s="181"/>
      <c r="M1794" s="181"/>
      <c r="N1794" s="181"/>
      <c r="O1794" s="181"/>
      <c r="P1794" s="181"/>
      <c r="Q1794" s="181"/>
      <c r="R1794" s="181"/>
      <c r="S1794" s="181"/>
      <c r="T1794" s="181"/>
      <c r="U1794" s="181"/>
      <c r="V1794" s="181"/>
      <c r="W1794" s="181"/>
      <c r="X1794" s="181"/>
      <c r="Y1794" s="181"/>
      <c r="Z1794" s="181"/>
    </row>
    <row r="1795">
      <c r="A1795" s="194"/>
      <c r="B1795" s="195"/>
      <c r="C1795" s="181"/>
      <c r="D1795" s="194"/>
      <c r="E1795" s="194"/>
      <c r="F1795" s="181"/>
      <c r="G1795" s="181"/>
      <c r="H1795" s="181"/>
      <c r="I1795" s="181"/>
      <c r="J1795" s="181"/>
      <c r="K1795" s="181"/>
      <c r="L1795" s="181"/>
      <c r="M1795" s="181"/>
      <c r="N1795" s="181"/>
      <c r="O1795" s="181"/>
      <c r="P1795" s="181"/>
      <c r="Q1795" s="181"/>
      <c r="R1795" s="181"/>
      <c r="S1795" s="181"/>
      <c r="T1795" s="181"/>
      <c r="U1795" s="181"/>
      <c r="V1795" s="181"/>
      <c r="W1795" s="181"/>
      <c r="X1795" s="181"/>
      <c r="Y1795" s="181"/>
      <c r="Z1795" s="181"/>
    </row>
    <row r="1796">
      <c r="A1796" s="194"/>
      <c r="B1796" s="195"/>
      <c r="C1796" s="181"/>
      <c r="D1796" s="194"/>
      <c r="E1796" s="194"/>
      <c r="F1796" s="181"/>
      <c r="G1796" s="181"/>
      <c r="H1796" s="181"/>
      <c r="I1796" s="181"/>
      <c r="J1796" s="181"/>
      <c r="K1796" s="181"/>
      <c r="L1796" s="181"/>
      <c r="M1796" s="181"/>
      <c r="N1796" s="181"/>
      <c r="O1796" s="181"/>
      <c r="P1796" s="181"/>
      <c r="Q1796" s="181"/>
      <c r="R1796" s="181"/>
      <c r="S1796" s="181"/>
      <c r="T1796" s="181"/>
      <c r="U1796" s="181"/>
      <c r="V1796" s="181"/>
      <c r="W1796" s="181"/>
      <c r="X1796" s="181"/>
      <c r="Y1796" s="181"/>
      <c r="Z1796" s="181"/>
    </row>
    <row r="1797">
      <c r="A1797" s="194"/>
      <c r="B1797" s="195"/>
      <c r="C1797" s="181"/>
      <c r="D1797" s="194"/>
      <c r="E1797" s="194"/>
      <c r="F1797" s="181"/>
      <c r="G1797" s="181"/>
      <c r="H1797" s="181"/>
      <c r="I1797" s="181"/>
      <c r="J1797" s="181"/>
      <c r="K1797" s="181"/>
      <c r="L1797" s="181"/>
      <c r="M1797" s="181"/>
      <c r="N1797" s="181"/>
      <c r="O1797" s="181"/>
      <c r="P1797" s="181"/>
      <c r="Q1797" s="181"/>
      <c r="R1797" s="181"/>
      <c r="S1797" s="181"/>
      <c r="T1797" s="181"/>
      <c r="U1797" s="181"/>
      <c r="V1797" s="181"/>
      <c r="W1797" s="181"/>
      <c r="X1797" s="181"/>
      <c r="Y1797" s="181"/>
      <c r="Z1797" s="181"/>
    </row>
    <row r="1798">
      <c r="A1798" s="194"/>
      <c r="B1798" s="195"/>
      <c r="C1798" s="181"/>
      <c r="D1798" s="194"/>
      <c r="E1798" s="194"/>
      <c r="F1798" s="181"/>
      <c r="G1798" s="181"/>
      <c r="H1798" s="181"/>
      <c r="I1798" s="181"/>
      <c r="J1798" s="181"/>
      <c r="K1798" s="181"/>
      <c r="L1798" s="181"/>
      <c r="M1798" s="181"/>
      <c r="N1798" s="181"/>
      <c r="O1798" s="181"/>
      <c r="P1798" s="181"/>
      <c r="Q1798" s="181"/>
      <c r="R1798" s="181"/>
      <c r="S1798" s="181"/>
      <c r="T1798" s="181"/>
      <c r="U1798" s="181"/>
      <c r="V1798" s="181"/>
      <c r="W1798" s="181"/>
      <c r="X1798" s="181"/>
      <c r="Y1798" s="181"/>
      <c r="Z1798" s="181"/>
    </row>
    <row r="1799">
      <c r="A1799" s="194"/>
      <c r="B1799" s="195"/>
      <c r="C1799" s="181"/>
      <c r="D1799" s="194"/>
      <c r="E1799" s="194"/>
      <c r="F1799" s="181"/>
      <c r="G1799" s="181"/>
      <c r="H1799" s="181"/>
      <c r="I1799" s="181"/>
      <c r="J1799" s="181"/>
      <c r="K1799" s="181"/>
      <c r="L1799" s="181"/>
      <c r="M1799" s="181"/>
      <c r="N1799" s="181"/>
      <c r="O1799" s="181"/>
      <c r="P1799" s="181"/>
      <c r="Q1799" s="181"/>
      <c r="R1799" s="181"/>
      <c r="S1799" s="181"/>
      <c r="T1799" s="181"/>
      <c r="U1799" s="181"/>
      <c r="V1799" s="181"/>
      <c r="W1799" s="181"/>
      <c r="X1799" s="181"/>
      <c r="Y1799" s="181"/>
      <c r="Z1799" s="181"/>
    </row>
    <row r="1800">
      <c r="A1800" s="194"/>
      <c r="B1800" s="195"/>
      <c r="C1800" s="181"/>
      <c r="D1800" s="194"/>
      <c r="E1800" s="194"/>
      <c r="F1800" s="181"/>
      <c r="G1800" s="181"/>
      <c r="H1800" s="181"/>
      <c r="I1800" s="181"/>
      <c r="J1800" s="181"/>
      <c r="K1800" s="181"/>
      <c r="L1800" s="181"/>
      <c r="M1800" s="181"/>
      <c r="N1800" s="181"/>
      <c r="O1800" s="181"/>
      <c r="P1800" s="181"/>
      <c r="Q1800" s="181"/>
      <c r="R1800" s="181"/>
      <c r="S1800" s="181"/>
      <c r="T1800" s="181"/>
      <c r="U1800" s="181"/>
      <c r="V1800" s="181"/>
      <c r="W1800" s="181"/>
      <c r="X1800" s="181"/>
      <c r="Y1800" s="181"/>
      <c r="Z1800" s="181"/>
    </row>
    <row r="1801">
      <c r="A1801" s="194"/>
      <c r="B1801" s="195"/>
      <c r="C1801" s="181"/>
      <c r="D1801" s="194"/>
      <c r="E1801" s="194"/>
      <c r="F1801" s="181"/>
      <c r="G1801" s="181"/>
      <c r="H1801" s="181"/>
      <c r="I1801" s="181"/>
      <c r="J1801" s="181"/>
      <c r="K1801" s="181"/>
      <c r="L1801" s="181"/>
      <c r="M1801" s="181"/>
      <c r="N1801" s="181"/>
      <c r="O1801" s="181"/>
      <c r="P1801" s="181"/>
      <c r="Q1801" s="181"/>
      <c r="R1801" s="181"/>
      <c r="S1801" s="181"/>
      <c r="T1801" s="181"/>
      <c r="U1801" s="181"/>
      <c r="V1801" s="181"/>
      <c r="W1801" s="181"/>
      <c r="X1801" s="181"/>
      <c r="Y1801" s="181"/>
      <c r="Z1801" s="181"/>
    </row>
    <row r="1802">
      <c r="A1802" s="194"/>
      <c r="B1802" s="195"/>
      <c r="C1802" s="181"/>
      <c r="D1802" s="194"/>
      <c r="E1802" s="194"/>
      <c r="F1802" s="181"/>
      <c r="G1802" s="181"/>
      <c r="H1802" s="181"/>
      <c r="I1802" s="181"/>
      <c r="J1802" s="181"/>
      <c r="K1802" s="181"/>
      <c r="L1802" s="181"/>
      <c r="M1802" s="181"/>
      <c r="N1802" s="181"/>
      <c r="O1802" s="181"/>
      <c r="P1802" s="181"/>
      <c r="Q1802" s="181"/>
      <c r="R1802" s="181"/>
      <c r="S1802" s="181"/>
      <c r="T1802" s="181"/>
      <c r="U1802" s="181"/>
      <c r="V1802" s="181"/>
      <c r="W1802" s="181"/>
      <c r="X1802" s="181"/>
      <c r="Y1802" s="181"/>
      <c r="Z1802" s="181"/>
    </row>
    <row r="1803">
      <c r="A1803" s="194"/>
      <c r="B1803" s="195"/>
      <c r="C1803" s="181"/>
      <c r="D1803" s="194"/>
      <c r="E1803" s="194"/>
      <c r="F1803" s="181"/>
      <c r="G1803" s="181"/>
      <c r="H1803" s="181"/>
      <c r="I1803" s="181"/>
      <c r="J1803" s="181"/>
      <c r="K1803" s="181"/>
      <c r="L1803" s="181"/>
      <c r="M1803" s="181"/>
      <c r="N1803" s="181"/>
      <c r="O1803" s="181"/>
      <c r="P1803" s="181"/>
      <c r="Q1803" s="181"/>
      <c r="R1803" s="181"/>
      <c r="S1803" s="181"/>
      <c r="T1803" s="181"/>
      <c r="U1803" s="181"/>
      <c r="V1803" s="181"/>
      <c r="W1803" s="181"/>
      <c r="X1803" s="181"/>
      <c r="Y1803" s="181"/>
      <c r="Z1803" s="181"/>
    </row>
    <row r="1804">
      <c r="A1804" s="194"/>
      <c r="B1804" s="195"/>
      <c r="C1804" s="181"/>
      <c r="D1804" s="194"/>
      <c r="E1804" s="194"/>
      <c r="F1804" s="181"/>
      <c r="G1804" s="181"/>
      <c r="H1804" s="181"/>
      <c r="I1804" s="181"/>
      <c r="J1804" s="181"/>
      <c r="K1804" s="181"/>
      <c r="L1804" s="181"/>
      <c r="M1804" s="181"/>
      <c r="N1804" s="181"/>
      <c r="O1804" s="181"/>
      <c r="P1804" s="181"/>
      <c r="Q1804" s="181"/>
      <c r="R1804" s="181"/>
      <c r="S1804" s="181"/>
      <c r="T1804" s="181"/>
      <c r="U1804" s="181"/>
      <c r="V1804" s="181"/>
      <c r="W1804" s="181"/>
      <c r="X1804" s="181"/>
      <c r="Y1804" s="181"/>
      <c r="Z1804" s="181"/>
    </row>
    <row r="1805">
      <c r="A1805" s="194"/>
      <c r="B1805" s="195"/>
      <c r="C1805" s="181"/>
      <c r="D1805" s="194"/>
      <c r="E1805" s="194"/>
      <c r="F1805" s="181"/>
      <c r="G1805" s="181"/>
      <c r="H1805" s="181"/>
      <c r="I1805" s="181"/>
      <c r="J1805" s="181"/>
      <c r="K1805" s="181"/>
      <c r="L1805" s="181"/>
      <c r="M1805" s="181"/>
      <c r="N1805" s="181"/>
      <c r="O1805" s="181"/>
      <c r="P1805" s="181"/>
      <c r="Q1805" s="181"/>
      <c r="R1805" s="181"/>
      <c r="S1805" s="181"/>
      <c r="T1805" s="181"/>
      <c r="U1805" s="181"/>
      <c r="V1805" s="181"/>
      <c r="W1805" s="181"/>
      <c r="X1805" s="181"/>
      <c r="Y1805" s="181"/>
      <c r="Z1805" s="181"/>
    </row>
    <row r="1806">
      <c r="A1806" s="194"/>
      <c r="B1806" s="195"/>
      <c r="C1806" s="181"/>
      <c r="D1806" s="194"/>
      <c r="E1806" s="194"/>
      <c r="F1806" s="181"/>
      <c r="G1806" s="181"/>
      <c r="H1806" s="181"/>
      <c r="I1806" s="181"/>
      <c r="J1806" s="181"/>
      <c r="K1806" s="181"/>
      <c r="L1806" s="181"/>
      <c r="M1806" s="181"/>
      <c r="N1806" s="181"/>
      <c r="O1806" s="181"/>
      <c r="P1806" s="181"/>
      <c r="Q1806" s="181"/>
      <c r="R1806" s="181"/>
      <c r="S1806" s="181"/>
      <c r="T1806" s="181"/>
      <c r="U1806" s="181"/>
      <c r="V1806" s="181"/>
      <c r="W1806" s="181"/>
      <c r="X1806" s="181"/>
      <c r="Y1806" s="181"/>
      <c r="Z1806" s="181"/>
    </row>
    <row r="1807">
      <c r="A1807" s="194"/>
      <c r="B1807" s="195"/>
      <c r="C1807" s="181"/>
      <c r="D1807" s="194"/>
      <c r="E1807" s="194"/>
      <c r="F1807" s="181"/>
      <c r="G1807" s="181"/>
      <c r="H1807" s="181"/>
      <c r="I1807" s="181"/>
      <c r="J1807" s="181"/>
      <c r="K1807" s="181"/>
      <c r="L1807" s="181"/>
      <c r="M1807" s="181"/>
      <c r="N1807" s="181"/>
      <c r="O1807" s="181"/>
      <c r="P1807" s="181"/>
      <c r="Q1807" s="181"/>
      <c r="R1807" s="181"/>
      <c r="S1807" s="181"/>
      <c r="T1807" s="181"/>
      <c r="U1807" s="181"/>
      <c r="V1807" s="181"/>
      <c r="W1807" s="181"/>
      <c r="X1807" s="181"/>
      <c r="Y1807" s="181"/>
      <c r="Z1807" s="181"/>
    </row>
    <row r="1808">
      <c r="A1808" s="194"/>
      <c r="B1808" s="195"/>
      <c r="C1808" s="181"/>
      <c r="D1808" s="194"/>
      <c r="E1808" s="194"/>
      <c r="F1808" s="181"/>
      <c r="G1808" s="181"/>
      <c r="H1808" s="181"/>
      <c r="I1808" s="181"/>
      <c r="J1808" s="181"/>
      <c r="K1808" s="181"/>
      <c r="L1808" s="181"/>
      <c r="M1808" s="181"/>
      <c r="N1808" s="181"/>
      <c r="O1808" s="181"/>
      <c r="P1808" s="181"/>
      <c r="Q1808" s="181"/>
      <c r="R1808" s="181"/>
      <c r="S1808" s="181"/>
      <c r="T1808" s="181"/>
      <c r="U1808" s="181"/>
      <c r="V1808" s="181"/>
      <c r="W1808" s="181"/>
      <c r="X1808" s="181"/>
      <c r="Y1808" s="181"/>
      <c r="Z1808" s="181"/>
    </row>
    <row r="1809">
      <c r="A1809" s="194"/>
      <c r="B1809" s="195"/>
      <c r="C1809" s="181"/>
      <c r="D1809" s="194"/>
      <c r="E1809" s="194"/>
      <c r="F1809" s="181"/>
      <c r="G1809" s="181"/>
      <c r="H1809" s="181"/>
      <c r="I1809" s="181"/>
      <c r="J1809" s="181"/>
      <c r="K1809" s="181"/>
      <c r="L1809" s="181"/>
      <c r="M1809" s="181"/>
      <c r="N1809" s="181"/>
      <c r="O1809" s="181"/>
      <c r="P1809" s="181"/>
      <c r="Q1809" s="181"/>
      <c r="R1809" s="181"/>
      <c r="S1809" s="181"/>
      <c r="T1809" s="181"/>
      <c r="U1809" s="181"/>
      <c r="V1809" s="181"/>
      <c r="W1809" s="181"/>
      <c r="X1809" s="181"/>
      <c r="Y1809" s="181"/>
      <c r="Z1809" s="181"/>
    </row>
    <row r="1810">
      <c r="A1810" s="194"/>
      <c r="B1810" s="195"/>
      <c r="C1810" s="181"/>
      <c r="D1810" s="194"/>
      <c r="E1810" s="194"/>
      <c r="F1810" s="181"/>
      <c r="G1810" s="181"/>
      <c r="H1810" s="181"/>
      <c r="I1810" s="181"/>
      <c r="J1810" s="181"/>
      <c r="K1810" s="181"/>
      <c r="L1810" s="181"/>
      <c r="M1810" s="181"/>
      <c r="N1810" s="181"/>
      <c r="O1810" s="181"/>
      <c r="P1810" s="181"/>
      <c r="Q1810" s="181"/>
      <c r="R1810" s="181"/>
      <c r="S1810" s="181"/>
      <c r="T1810" s="181"/>
      <c r="U1810" s="181"/>
      <c r="V1810" s="181"/>
      <c r="W1810" s="181"/>
      <c r="X1810" s="181"/>
      <c r="Y1810" s="181"/>
      <c r="Z1810" s="181"/>
    </row>
    <row r="1811">
      <c r="A1811" s="194"/>
      <c r="B1811" s="195"/>
      <c r="C1811" s="181"/>
      <c r="D1811" s="194"/>
      <c r="E1811" s="194"/>
      <c r="F1811" s="181"/>
      <c r="G1811" s="181"/>
      <c r="H1811" s="181"/>
      <c r="I1811" s="181"/>
      <c r="J1811" s="181"/>
      <c r="K1811" s="181"/>
      <c r="L1811" s="181"/>
      <c r="M1811" s="181"/>
      <c r="N1811" s="181"/>
      <c r="O1811" s="181"/>
      <c r="P1811" s="181"/>
      <c r="Q1811" s="181"/>
      <c r="R1811" s="181"/>
      <c r="S1811" s="181"/>
      <c r="T1811" s="181"/>
      <c r="U1811" s="181"/>
      <c r="V1811" s="181"/>
      <c r="W1811" s="181"/>
      <c r="X1811" s="181"/>
      <c r="Y1811" s="181"/>
      <c r="Z1811" s="181"/>
    </row>
    <row r="1812">
      <c r="A1812" s="194"/>
      <c r="B1812" s="195"/>
      <c r="C1812" s="181"/>
      <c r="D1812" s="194"/>
      <c r="E1812" s="194"/>
      <c r="F1812" s="181"/>
      <c r="G1812" s="181"/>
      <c r="H1812" s="181"/>
      <c r="I1812" s="181"/>
      <c r="J1812" s="181"/>
      <c r="K1812" s="181"/>
      <c r="L1812" s="181"/>
      <c r="M1812" s="181"/>
      <c r="N1812" s="181"/>
      <c r="O1812" s="181"/>
      <c r="P1812" s="181"/>
      <c r="Q1812" s="181"/>
      <c r="R1812" s="181"/>
      <c r="S1812" s="181"/>
      <c r="T1812" s="181"/>
      <c r="U1812" s="181"/>
      <c r="V1812" s="181"/>
      <c r="W1812" s="181"/>
      <c r="X1812" s="181"/>
      <c r="Y1812" s="181"/>
      <c r="Z1812" s="181"/>
    </row>
    <row r="1813">
      <c r="A1813" s="194"/>
      <c r="B1813" s="195"/>
      <c r="C1813" s="181"/>
      <c r="D1813" s="194"/>
      <c r="E1813" s="194"/>
      <c r="F1813" s="181"/>
      <c r="G1813" s="181"/>
      <c r="H1813" s="181"/>
      <c r="I1813" s="181"/>
      <c r="J1813" s="181"/>
      <c r="K1813" s="181"/>
      <c r="L1813" s="181"/>
      <c r="M1813" s="181"/>
      <c r="N1813" s="181"/>
      <c r="O1813" s="181"/>
      <c r="P1813" s="181"/>
      <c r="Q1813" s="181"/>
      <c r="R1813" s="181"/>
      <c r="S1813" s="181"/>
      <c r="T1813" s="181"/>
      <c r="U1813" s="181"/>
      <c r="V1813" s="181"/>
      <c r="W1813" s="181"/>
      <c r="X1813" s="181"/>
      <c r="Y1813" s="181"/>
      <c r="Z1813" s="181"/>
    </row>
    <row r="1814">
      <c r="A1814" s="194"/>
      <c r="B1814" s="195"/>
      <c r="C1814" s="181"/>
      <c r="D1814" s="194"/>
      <c r="E1814" s="194"/>
      <c r="F1814" s="181"/>
      <c r="G1814" s="181"/>
      <c r="H1814" s="181"/>
      <c r="I1814" s="181"/>
      <c r="J1814" s="181"/>
      <c r="K1814" s="181"/>
      <c r="L1814" s="181"/>
      <c r="M1814" s="181"/>
      <c r="N1814" s="181"/>
      <c r="O1814" s="181"/>
      <c r="P1814" s="181"/>
      <c r="Q1814" s="181"/>
      <c r="R1814" s="181"/>
      <c r="S1814" s="181"/>
      <c r="T1814" s="181"/>
      <c r="U1814" s="181"/>
      <c r="V1814" s="181"/>
      <c r="W1814" s="181"/>
      <c r="X1814" s="181"/>
      <c r="Y1814" s="181"/>
      <c r="Z1814" s="181"/>
    </row>
    <row r="1815">
      <c r="A1815" s="194"/>
      <c r="B1815" s="195"/>
      <c r="C1815" s="181"/>
      <c r="D1815" s="194"/>
      <c r="E1815" s="194"/>
      <c r="F1815" s="181"/>
      <c r="G1815" s="181"/>
      <c r="H1815" s="181"/>
      <c r="I1815" s="181"/>
      <c r="J1815" s="181"/>
      <c r="K1815" s="181"/>
      <c r="L1815" s="181"/>
      <c r="M1815" s="181"/>
      <c r="N1815" s="181"/>
      <c r="O1815" s="181"/>
      <c r="P1815" s="181"/>
      <c r="Q1815" s="181"/>
      <c r="R1815" s="181"/>
      <c r="S1815" s="181"/>
      <c r="T1815" s="181"/>
      <c r="U1815" s="181"/>
      <c r="V1815" s="181"/>
      <c r="W1815" s="181"/>
      <c r="X1815" s="181"/>
      <c r="Y1815" s="181"/>
      <c r="Z1815" s="181"/>
    </row>
    <row r="1816">
      <c r="A1816" s="194"/>
      <c r="B1816" s="195"/>
      <c r="C1816" s="181"/>
      <c r="D1816" s="194"/>
      <c r="E1816" s="194"/>
      <c r="F1816" s="181"/>
      <c r="G1816" s="181"/>
      <c r="H1816" s="181"/>
      <c r="I1816" s="181"/>
      <c r="J1816" s="181"/>
      <c r="K1816" s="181"/>
      <c r="L1816" s="181"/>
      <c r="M1816" s="181"/>
      <c r="N1816" s="181"/>
      <c r="O1816" s="181"/>
      <c r="P1816" s="181"/>
      <c r="Q1816" s="181"/>
      <c r="R1816" s="181"/>
      <c r="S1816" s="181"/>
      <c r="T1816" s="181"/>
      <c r="U1816" s="181"/>
      <c r="V1816" s="181"/>
      <c r="W1816" s="181"/>
      <c r="X1816" s="181"/>
      <c r="Y1816" s="181"/>
      <c r="Z1816" s="181"/>
    </row>
    <row r="1817">
      <c r="A1817" s="194"/>
      <c r="B1817" s="195"/>
      <c r="C1817" s="181"/>
      <c r="D1817" s="194"/>
      <c r="E1817" s="194"/>
      <c r="F1817" s="181"/>
      <c r="G1817" s="181"/>
      <c r="H1817" s="181"/>
      <c r="I1817" s="181"/>
      <c r="J1817" s="181"/>
      <c r="K1817" s="181"/>
      <c r="L1817" s="181"/>
      <c r="M1817" s="181"/>
      <c r="N1817" s="181"/>
      <c r="O1817" s="181"/>
      <c r="P1817" s="181"/>
      <c r="Q1817" s="181"/>
      <c r="R1817" s="181"/>
      <c r="S1817" s="181"/>
      <c r="T1817" s="181"/>
      <c r="U1817" s="181"/>
      <c r="V1817" s="181"/>
      <c r="W1817" s="181"/>
      <c r="X1817" s="181"/>
      <c r="Y1817" s="181"/>
      <c r="Z1817" s="181"/>
    </row>
    <row r="1818">
      <c r="A1818" s="194"/>
      <c r="B1818" s="195"/>
      <c r="C1818" s="181"/>
      <c r="D1818" s="194"/>
      <c r="E1818" s="194"/>
      <c r="F1818" s="181"/>
      <c r="G1818" s="181"/>
      <c r="H1818" s="181"/>
      <c r="I1818" s="181"/>
      <c r="J1818" s="181"/>
      <c r="K1818" s="181"/>
      <c r="L1818" s="181"/>
      <c r="M1818" s="181"/>
      <c r="N1818" s="181"/>
      <c r="O1818" s="181"/>
      <c r="P1818" s="181"/>
      <c r="Q1818" s="181"/>
      <c r="R1818" s="181"/>
      <c r="S1818" s="181"/>
      <c r="T1818" s="181"/>
      <c r="U1818" s="181"/>
      <c r="V1818" s="181"/>
      <c r="W1818" s="181"/>
      <c r="X1818" s="181"/>
      <c r="Y1818" s="181"/>
      <c r="Z1818" s="181"/>
    </row>
    <row r="1819">
      <c r="A1819" s="194"/>
      <c r="B1819" s="195"/>
      <c r="C1819" s="181"/>
      <c r="D1819" s="194"/>
      <c r="E1819" s="194"/>
      <c r="F1819" s="181"/>
      <c r="G1819" s="181"/>
      <c r="H1819" s="181"/>
      <c r="I1819" s="181"/>
      <c r="J1819" s="181"/>
      <c r="K1819" s="181"/>
      <c r="L1819" s="181"/>
      <c r="M1819" s="181"/>
      <c r="N1819" s="181"/>
      <c r="O1819" s="181"/>
      <c r="P1819" s="181"/>
      <c r="Q1819" s="181"/>
      <c r="R1819" s="181"/>
      <c r="S1819" s="181"/>
      <c r="T1819" s="181"/>
      <c r="U1819" s="181"/>
      <c r="V1819" s="181"/>
      <c r="W1819" s="181"/>
      <c r="X1819" s="181"/>
      <c r="Y1819" s="181"/>
      <c r="Z1819" s="181"/>
    </row>
    <row r="1820">
      <c r="A1820" s="194"/>
      <c r="B1820" s="195"/>
      <c r="C1820" s="181"/>
      <c r="D1820" s="194"/>
      <c r="E1820" s="194"/>
      <c r="F1820" s="181"/>
      <c r="G1820" s="181"/>
      <c r="H1820" s="181"/>
      <c r="I1820" s="181"/>
      <c r="J1820" s="181"/>
      <c r="K1820" s="181"/>
      <c r="L1820" s="181"/>
      <c r="M1820" s="181"/>
      <c r="N1820" s="181"/>
      <c r="O1820" s="181"/>
      <c r="P1820" s="181"/>
      <c r="Q1820" s="181"/>
      <c r="R1820" s="181"/>
      <c r="S1820" s="181"/>
      <c r="T1820" s="181"/>
      <c r="U1820" s="181"/>
      <c r="V1820" s="181"/>
      <c r="W1820" s="181"/>
      <c r="X1820" s="181"/>
      <c r="Y1820" s="181"/>
      <c r="Z1820" s="181"/>
    </row>
    <row r="1821">
      <c r="A1821" s="194"/>
      <c r="B1821" s="195"/>
      <c r="C1821" s="181"/>
      <c r="D1821" s="194"/>
      <c r="E1821" s="194"/>
      <c r="F1821" s="181"/>
      <c r="G1821" s="181"/>
      <c r="H1821" s="181"/>
      <c r="I1821" s="181"/>
      <c r="J1821" s="181"/>
      <c r="K1821" s="181"/>
      <c r="L1821" s="181"/>
      <c r="M1821" s="181"/>
      <c r="N1821" s="181"/>
      <c r="O1821" s="181"/>
      <c r="P1821" s="181"/>
      <c r="Q1821" s="181"/>
      <c r="R1821" s="181"/>
      <c r="S1821" s="181"/>
      <c r="T1821" s="181"/>
      <c r="U1821" s="181"/>
      <c r="V1821" s="181"/>
      <c r="W1821" s="181"/>
      <c r="X1821" s="181"/>
      <c r="Y1821" s="181"/>
      <c r="Z1821" s="181"/>
    </row>
    <row r="1822">
      <c r="A1822" s="194"/>
      <c r="B1822" s="195"/>
      <c r="C1822" s="181"/>
      <c r="D1822" s="194"/>
      <c r="E1822" s="194"/>
      <c r="F1822" s="181"/>
      <c r="G1822" s="181"/>
      <c r="H1822" s="181"/>
      <c r="I1822" s="181"/>
      <c r="J1822" s="181"/>
      <c r="K1822" s="181"/>
      <c r="L1822" s="181"/>
      <c r="M1822" s="181"/>
      <c r="N1822" s="181"/>
      <c r="O1822" s="181"/>
      <c r="P1822" s="181"/>
      <c r="Q1822" s="181"/>
      <c r="R1822" s="181"/>
      <c r="S1822" s="181"/>
      <c r="T1822" s="181"/>
      <c r="U1822" s="181"/>
      <c r="V1822" s="181"/>
      <c r="W1822" s="181"/>
      <c r="X1822" s="181"/>
      <c r="Y1822" s="181"/>
      <c r="Z1822" s="181"/>
    </row>
    <row r="1823">
      <c r="A1823" s="194"/>
      <c r="B1823" s="195"/>
      <c r="C1823" s="181"/>
      <c r="D1823" s="194"/>
      <c r="E1823" s="194"/>
      <c r="F1823" s="181"/>
      <c r="G1823" s="181"/>
      <c r="H1823" s="181"/>
      <c r="I1823" s="181"/>
      <c r="J1823" s="181"/>
      <c r="K1823" s="181"/>
      <c r="L1823" s="181"/>
      <c r="M1823" s="181"/>
      <c r="N1823" s="181"/>
      <c r="O1823" s="181"/>
      <c r="P1823" s="181"/>
      <c r="Q1823" s="181"/>
      <c r="R1823" s="181"/>
      <c r="S1823" s="181"/>
      <c r="T1823" s="181"/>
      <c r="U1823" s="181"/>
      <c r="V1823" s="181"/>
      <c r="W1823" s="181"/>
      <c r="X1823" s="181"/>
      <c r="Y1823" s="181"/>
      <c r="Z1823" s="181"/>
    </row>
    <row r="1824">
      <c r="A1824" s="194"/>
      <c r="B1824" s="195"/>
      <c r="C1824" s="181"/>
      <c r="D1824" s="194"/>
      <c r="E1824" s="194"/>
      <c r="F1824" s="181"/>
      <c r="G1824" s="181"/>
      <c r="H1824" s="181"/>
      <c r="I1824" s="181"/>
      <c r="J1824" s="181"/>
      <c r="K1824" s="181"/>
      <c r="L1824" s="181"/>
      <c r="M1824" s="181"/>
      <c r="N1824" s="181"/>
      <c r="O1824" s="181"/>
      <c r="P1824" s="181"/>
      <c r="Q1824" s="181"/>
      <c r="R1824" s="181"/>
      <c r="S1824" s="181"/>
      <c r="T1824" s="181"/>
      <c r="U1824" s="181"/>
      <c r="V1824" s="181"/>
      <c r="W1824" s="181"/>
      <c r="X1824" s="181"/>
      <c r="Y1824" s="181"/>
      <c r="Z1824" s="181"/>
    </row>
    <row r="1825">
      <c r="A1825" s="194"/>
      <c r="B1825" s="195"/>
      <c r="C1825" s="181"/>
      <c r="D1825" s="194"/>
      <c r="E1825" s="194"/>
      <c r="F1825" s="181"/>
      <c r="G1825" s="181"/>
      <c r="H1825" s="181"/>
      <c r="I1825" s="181"/>
      <c r="J1825" s="181"/>
      <c r="K1825" s="181"/>
      <c r="L1825" s="181"/>
      <c r="M1825" s="181"/>
      <c r="N1825" s="181"/>
      <c r="O1825" s="181"/>
      <c r="P1825" s="181"/>
      <c r="Q1825" s="181"/>
      <c r="R1825" s="181"/>
      <c r="S1825" s="181"/>
      <c r="T1825" s="181"/>
      <c r="U1825" s="181"/>
      <c r="V1825" s="181"/>
      <c r="W1825" s="181"/>
      <c r="X1825" s="181"/>
      <c r="Y1825" s="181"/>
      <c r="Z1825" s="181"/>
    </row>
    <row r="1826">
      <c r="A1826" s="194"/>
      <c r="B1826" s="195"/>
      <c r="C1826" s="181"/>
      <c r="D1826" s="194"/>
      <c r="E1826" s="194"/>
      <c r="F1826" s="181"/>
      <c r="G1826" s="181"/>
      <c r="H1826" s="181"/>
      <c r="I1826" s="181"/>
      <c r="J1826" s="181"/>
      <c r="K1826" s="181"/>
      <c r="L1826" s="181"/>
      <c r="M1826" s="181"/>
      <c r="N1826" s="181"/>
      <c r="O1826" s="181"/>
      <c r="P1826" s="181"/>
      <c r="Q1826" s="181"/>
      <c r="R1826" s="181"/>
      <c r="S1826" s="181"/>
      <c r="T1826" s="181"/>
      <c r="U1826" s="181"/>
      <c r="V1826" s="181"/>
      <c r="W1826" s="181"/>
      <c r="X1826" s="181"/>
      <c r="Y1826" s="181"/>
      <c r="Z1826" s="181"/>
    </row>
    <row r="1827">
      <c r="A1827" s="194"/>
      <c r="B1827" s="195"/>
      <c r="C1827" s="181"/>
      <c r="D1827" s="194"/>
      <c r="E1827" s="194"/>
      <c r="F1827" s="181"/>
      <c r="G1827" s="181"/>
      <c r="H1827" s="181"/>
      <c r="I1827" s="181"/>
      <c r="J1827" s="181"/>
      <c r="K1827" s="181"/>
      <c r="L1827" s="181"/>
      <c r="M1827" s="181"/>
      <c r="N1827" s="181"/>
      <c r="O1827" s="181"/>
      <c r="P1827" s="181"/>
      <c r="Q1827" s="181"/>
      <c r="R1827" s="181"/>
      <c r="S1827" s="181"/>
      <c r="T1827" s="181"/>
      <c r="U1827" s="181"/>
      <c r="V1827" s="181"/>
      <c r="W1827" s="181"/>
      <c r="X1827" s="181"/>
      <c r="Y1827" s="181"/>
      <c r="Z1827" s="181"/>
    </row>
    <row r="1828">
      <c r="A1828" s="194"/>
      <c r="B1828" s="195"/>
      <c r="C1828" s="181"/>
      <c r="D1828" s="194"/>
      <c r="E1828" s="194"/>
      <c r="F1828" s="181"/>
      <c r="G1828" s="181"/>
      <c r="H1828" s="181"/>
      <c r="I1828" s="181"/>
      <c r="J1828" s="181"/>
      <c r="K1828" s="181"/>
      <c r="L1828" s="181"/>
      <c r="M1828" s="181"/>
      <c r="N1828" s="181"/>
      <c r="O1828" s="181"/>
      <c r="P1828" s="181"/>
      <c r="Q1828" s="181"/>
      <c r="R1828" s="181"/>
      <c r="S1828" s="181"/>
      <c r="T1828" s="181"/>
      <c r="U1828" s="181"/>
      <c r="V1828" s="181"/>
      <c r="W1828" s="181"/>
      <c r="X1828" s="181"/>
      <c r="Y1828" s="181"/>
      <c r="Z1828" s="181"/>
    </row>
    <row r="1829">
      <c r="A1829" s="194"/>
      <c r="B1829" s="195"/>
      <c r="C1829" s="181"/>
      <c r="D1829" s="194"/>
      <c r="E1829" s="194"/>
      <c r="F1829" s="181"/>
      <c r="G1829" s="181"/>
      <c r="H1829" s="181"/>
      <c r="I1829" s="181"/>
      <c r="J1829" s="181"/>
      <c r="K1829" s="181"/>
      <c r="L1829" s="181"/>
      <c r="M1829" s="181"/>
      <c r="N1829" s="181"/>
      <c r="O1829" s="181"/>
      <c r="P1829" s="181"/>
      <c r="Q1829" s="181"/>
      <c r="R1829" s="181"/>
      <c r="S1829" s="181"/>
      <c r="T1829" s="181"/>
      <c r="U1829" s="181"/>
      <c r="V1829" s="181"/>
      <c r="W1829" s="181"/>
      <c r="X1829" s="181"/>
      <c r="Y1829" s="181"/>
      <c r="Z1829" s="181"/>
    </row>
    <row r="1830">
      <c r="A1830" s="194"/>
      <c r="B1830" s="195"/>
      <c r="C1830" s="181"/>
      <c r="D1830" s="194"/>
      <c r="E1830" s="194"/>
      <c r="F1830" s="181"/>
      <c r="G1830" s="181"/>
      <c r="H1830" s="181"/>
      <c r="I1830" s="181"/>
      <c r="J1830" s="181"/>
      <c r="K1830" s="181"/>
      <c r="L1830" s="181"/>
      <c r="M1830" s="181"/>
      <c r="N1830" s="181"/>
      <c r="O1830" s="181"/>
      <c r="P1830" s="181"/>
      <c r="Q1830" s="181"/>
      <c r="R1830" s="181"/>
      <c r="S1830" s="181"/>
      <c r="T1830" s="181"/>
      <c r="U1830" s="181"/>
      <c r="V1830" s="181"/>
      <c r="W1830" s="181"/>
      <c r="X1830" s="181"/>
      <c r="Y1830" s="181"/>
      <c r="Z1830" s="181"/>
    </row>
    <row r="1831">
      <c r="A1831" s="194"/>
      <c r="B1831" s="195"/>
      <c r="C1831" s="181"/>
      <c r="D1831" s="194"/>
      <c r="E1831" s="194"/>
      <c r="F1831" s="181"/>
      <c r="G1831" s="181"/>
      <c r="H1831" s="181"/>
      <c r="I1831" s="181"/>
      <c r="J1831" s="181"/>
      <c r="K1831" s="181"/>
      <c r="L1831" s="181"/>
      <c r="M1831" s="181"/>
      <c r="N1831" s="181"/>
      <c r="O1831" s="181"/>
      <c r="P1831" s="181"/>
      <c r="Q1831" s="181"/>
      <c r="R1831" s="181"/>
      <c r="S1831" s="181"/>
      <c r="T1831" s="181"/>
      <c r="U1831" s="181"/>
      <c r="V1831" s="181"/>
      <c r="W1831" s="181"/>
      <c r="X1831" s="181"/>
      <c r="Y1831" s="181"/>
      <c r="Z1831" s="181"/>
    </row>
    <row r="1832">
      <c r="A1832" s="194"/>
      <c r="B1832" s="195"/>
      <c r="C1832" s="181"/>
      <c r="D1832" s="194"/>
      <c r="E1832" s="194"/>
      <c r="F1832" s="181"/>
      <c r="G1832" s="181"/>
      <c r="H1832" s="181"/>
      <c r="I1832" s="181"/>
      <c r="J1832" s="181"/>
      <c r="K1832" s="181"/>
      <c r="L1832" s="181"/>
      <c r="M1832" s="181"/>
      <c r="N1832" s="181"/>
      <c r="O1832" s="181"/>
      <c r="P1832" s="181"/>
      <c r="Q1832" s="181"/>
      <c r="R1832" s="181"/>
      <c r="S1832" s="181"/>
      <c r="T1832" s="181"/>
      <c r="U1832" s="181"/>
      <c r="V1832" s="181"/>
      <c r="W1832" s="181"/>
      <c r="X1832" s="181"/>
      <c r="Y1832" s="181"/>
      <c r="Z1832" s="181"/>
    </row>
    <row r="1833">
      <c r="A1833" s="194"/>
      <c r="B1833" s="195"/>
      <c r="C1833" s="181"/>
      <c r="D1833" s="194"/>
      <c r="E1833" s="194"/>
      <c r="F1833" s="181"/>
      <c r="G1833" s="181"/>
      <c r="H1833" s="181"/>
      <c r="I1833" s="181"/>
      <c r="J1833" s="181"/>
      <c r="K1833" s="181"/>
      <c r="L1833" s="181"/>
      <c r="M1833" s="181"/>
      <c r="N1833" s="181"/>
      <c r="O1833" s="181"/>
      <c r="P1833" s="181"/>
      <c r="Q1833" s="181"/>
      <c r="R1833" s="181"/>
      <c r="S1833" s="181"/>
      <c r="T1833" s="181"/>
      <c r="U1833" s="181"/>
      <c r="V1833" s="181"/>
      <c r="W1833" s="181"/>
      <c r="X1833" s="181"/>
      <c r="Y1833" s="181"/>
      <c r="Z1833" s="181"/>
    </row>
    <row r="1834">
      <c r="A1834" s="194"/>
      <c r="B1834" s="195"/>
      <c r="C1834" s="181"/>
      <c r="D1834" s="194"/>
      <c r="E1834" s="194"/>
      <c r="F1834" s="181"/>
      <c r="G1834" s="181"/>
      <c r="H1834" s="181"/>
      <c r="I1834" s="181"/>
      <c r="J1834" s="181"/>
      <c r="K1834" s="181"/>
      <c r="L1834" s="181"/>
      <c r="M1834" s="181"/>
      <c r="N1834" s="181"/>
      <c r="O1834" s="181"/>
      <c r="P1834" s="181"/>
      <c r="Q1834" s="181"/>
      <c r="R1834" s="181"/>
      <c r="S1834" s="181"/>
      <c r="T1834" s="181"/>
      <c r="U1834" s="181"/>
      <c r="V1834" s="181"/>
      <c r="W1834" s="181"/>
      <c r="X1834" s="181"/>
      <c r="Y1834" s="181"/>
      <c r="Z1834" s="181"/>
    </row>
    <row r="1835">
      <c r="A1835" s="194"/>
      <c r="B1835" s="195"/>
      <c r="C1835" s="181"/>
      <c r="D1835" s="194"/>
      <c r="E1835" s="194"/>
      <c r="F1835" s="181"/>
      <c r="G1835" s="181"/>
      <c r="H1835" s="181"/>
      <c r="I1835" s="181"/>
      <c r="J1835" s="181"/>
      <c r="K1835" s="181"/>
      <c r="L1835" s="181"/>
      <c r="M1835" s="181"/>
      <c r="N1835" s="181"/>
      <c r="O1835" s="181"/>
      <c r="P1835" s="181"/>
      <c r="Q1835" s="181"/>
      <c r="R1835" s="181"/>
      <c r="S1835" s="181"/>
      <c r="T1835" s="181"/>
      <c r="U1835" s="181"/>
      <c r="V1835" s="181"/>
      <c r="W1835" s="181"/>
      <c r="X1835" s="181"/>
      <c r="Y1835" s="181"/>
      <c r="Z1835" s="181"/>
    </row>
    <row r="1836">
      <c r="A1836" s="194"/>
      <c r="B1836" s="195"/>
      <c r="C1836" s="181"/>
      <c r="D1836" s="194"/>
      <c r="E1836" s="194"/>
      <c r="F1836" s="181"/>
      <c r="G1836" s="181"/>
      <c r="H1836" s="181"/>
      <c r="I1836" s="181"/>
      <c r="J1836" s="181"/>
      <c r="K1836" s="181"/>
      <c r="L1836" s="181"/>
      <c r="M1836" s="181"/>
      <c r="N1836" s="181"/>
      <c r="O1836" s="181"/>
      <c r="P1836" s="181"/>
      <c r="Q1836" s="181"/>
      <c r="R1836" s="181"/>
      <c r="S1836" s="181"/>
      <c r="T1836" s="181"/>
      <c r="U1836" s="181"/>
      <c r="V1836" s="181"/>
      <c r="W1836" s="181"/>
      <c r="X1836" s="181"/>
      <c r="Y1836" s="181"/>
      <c r="Z1836" s="181"/>
    </row>
    <row r="1837">
      <c r="A1837" s="194"/>
      <c r="B1837" s="195"/>
      <c r="C1837" s="181"/>
      <c r="D1837" s="194"/>
      <c r="E1837" s="194"/>
      <c r="F1837" s="181"/>
      <c r="G1837" s="181"/>
      <c r="H1837" s="181"/>
      <c r="I1837" s="181"/>
      <c r="J1837" s="181"/>
      <c r="K1837" s="181"/>
      <c r="L1837" s="181"/>
      <c r="M1837" s="181"/>
      <c r="N1837" s="181"/>
      <c r="O1837" s="181"/>
      <c r="P1837" s="181"/>
      <c r="Q1837" s="181"/>
      <c r="R1837" s="181"/>
      <c r="S1837" s="181"/>
      <c r="T1837" s="181"/>
      <c r="U1837" s="181"/>
      <c r="V1837" s="181"/>
      <c r="W1837" s="181"/>
      <c r="X1837" s="181"/>
      <c r="Y1837" s="181"/>
      <c r="Z1837" s="181"/>
    </row>
    <row r="1838">
      <c r="A1838" s="194"/>
      <c r="B1838" s="195"/>
      <c r="C1838" s="181"/>
      <c r="D1838" s="194"/>
      <c r="E1838" s="194"/>
      <c r="F1838" s="181"/>
      <c r="G1838" s="181"/>
      <c r="H1838" s="181"/>
      <c r="I1838" s="181"/>
      <c r="J1838" s="181"/>
      <c r="K1838" s="181"/>
      <c r="L1838" s="181"/>
      <c r="M1838" s="181"/>
      <c r="N1838" s="181"/>
      <c r="O1838" s="181"/>
      <c r="P1838" s="181"/>
      <c r="Q1838" s="181"/>
      <c r="R1838" s="181"/>
      <c r="S1838" s="181"/>
      <c r="T1838" s="181"/>
      <c r="U1838" s="181"/>
      <c r="V1838" s="181"/>
      <c r="W1838" s="181"/>
      <c r="X1838" s="181"/>
      <c r="Y1838" s="181"/>
      <c r="Z1838" s="181"/>
    </row>
    <row r="1839">
      <c r="A1839" s="194"/>
      <c r="B1839" s="195"/>
      <c r="C1839" s="181"/>
      <c r="D1839" s="194"/>
      <c r="E1839" s="194"/>
      <c r="F1839" s="181"/>
      <c r="G1839" s="181"/>
      <c r="H1839" s="181"/>
      <c r="I1839" s="181"/>
      <c r="J1839" s="181"/>
      <c r="K1839" s="181"/>
      <c r="L1839" s="181"/>
      <c r="M1839" s="181"/>
      <c r="N1839" s="181"/>
      <c r="O1839" s="181"/>
      <c r="P1839" s="181"/>
      <c r="Q1839" s="181"/>
      <c r="R1839" s="181"/>
      <c r="S1839" s="181"/>
      <c r="T1839" s="181"/>
      <c r="U1839" s="181"/>
      <c r="V1839" s="181"/>
      <c r="W1839" s="181"/>
      <c r="X1839" s="181"/>
      <c r="Y1839" s="181"/>
      <c r="Z1839" s="181"/>
    </row>
    <row r="1840">
      <c r="A1840" s="194"/>
      <c r="B1840" s="195"/>
      <c r="C1840" s="181"/>
      <c r="D1840" s="194"/>
      <c r="E1840" s="194"/>
      <c r="F1840" s="181"/>
      <c r="G1840" s="181"/>
      <c r="H1840" s="181"/>
      <c r="I1840" s="181"/>
      <c r="J1840" s="181"/>
      <c r="K1840" s="181"/>
      <c r="L1840" s="181"/>
      <c r="M1840" s="181"/>
      <c r="N1840" s="181"/>
      <c r="O1840" s="181"/>
      <c r="P1840" s="181"/>
      <c r="Q1840" s="181"/>
      <c r="R1840" s="181"/>
      <c r="S1840" s="181"/>
      <c r="T1840" s="181"/>
      <c r="U1840" s="181"/>
      <c r="V1840" s="181"/>
      <c r="W1840" s="181"/>
      <c r="X1840" s="181"/>
      <c r="Y1840" s="181"/>
      <c r="Z1840" s="181"/>
    </row>
    <row r="1841">
      <c r="A1841" s="194"/>
      <c r="B1841" s="195"/>
      <c r="C1841" s="181"/>
      <c r="D1841" s="194"/>
      <c r="E1841" s="194"/>
      <c r="F1841" s="181"/>
      <c r="G1841" s="181"/>
      <c r="H1841" s="181"/>
      <c r="I1841" s="181"/>
      <c r="J1841" s="181"/>
      <c r="K1841" s="181"/>
      <c r="L1841" s="181"/>
      <c r="M1841" s="181"/>
      <c r="N1841" s="181"/>
      <c r="O1841" s="181"/>
      <c r="P1841" s="181"/>
      <c r="Q1841" s="181"/>
      <c r="R1841" s="181"/>
      <c r="S1841" s="181"/>
      <c r="T1841" s="181"/>
      <c r="U1841" s="181"/>
      <c r="V1841" s="181"/>
      <c r="W1841" s="181"/>
      <c r="X1841" s="181"/>
      <c r="Y1841" s="181"/>
      <c r="Z1841" s="181"/>
    </row>
    <row r="1842">
      <c r="A1842" s="194"/>
      <c r="B1842" s="195"/>
      <c r="C1842" s="181"/>
      <c r="D1842" s="194"/>
      <c r="E1842" s="194"/>
      <c r="F1842" s="181"/>
      <c r="G1842" s="181"/>
      <c r="H1842" s="181"/>
      <c r="I1842" s="181"/>
      <c r="J1842" s="181"/>
      <c r="K1842" s="181"/>
      <c r="L1842" s="181"/>
      <c r="M1842" s="181"/>
      <c r="N1842" s="181"/>
      <c r="O1842" s="181"/>
      <c r="P1842" s="181"/>
      <c r="Q1842" s="181"/>
      <c r="R1842" s="181"/>
      <c r="S1842" s="181"/>
      <c r="T1842" s="181"/>
      <c r="U1842" s="181"/>
      <c r="V1842" s="181"/>
      <c r="W1842" s="181"/>
      <c r="X1842" s="181"/>
      <c r="Y1842" s="181"/>
      <c r="Z1842" s="181"/>
    </row>
    <row r="1843">
      <c r="A1843" s="194"/>
      <c r="B1843" s="195"/>
      <c r="C1843" s="181"/>
      <c r="D1843" s="194"/>
      <c r="E1843" s="194"/>
      <c r="F1843" s="181"/>
      <c r="G1843" s="181"/>
      <c r="H1843" s="181"/>
      <c r="I1843" s="181"/>
      <c r="J1843" s="181"/>
      <c r="K1843" s="181"/>
      <c r="L1843" s="181"/>
      <c r="M1843" s="181"/>
      <c r="N1843" s="181"/>
      <c r="O1843" s="181"/>
      <c r="P1843" s="181"/>
      <c r="Q1843" s="181"/>
      <c r="R1843" s="181"/>
      <c r="S1843" s="181"/>
      <c r="T1843" s="181"/>
      <c r="U1843" s="181"/>
      <c r="V1843" s="181"/>
      <c r="W1843" s="181"/>
      <c r="X1843" s="181"/>
      <c r="Y1843" s="181"/>
      <c r="Z1843" s="181"/>
    </row>
    <row r="1844">
      <c r="A1844" s="194"/>
      <c r="B1844" s="195"/>
      <c r="C1844" s="181"/>
      <c r="D1844" s="194"/>
      <c r="E1844" s="194"/>
      <c r="F1844" s="181"/>
      <c r="G1844" s="181"/>
      <c r="H1844" s="181"/>
      <c r="I1844" s="181"/>
      <c r="J1844" s="181"/>
      <c r="K1844" s="181"/>
      <c r="L1844" s="181"/>
      <c r="M1844" s="181"/>
      <c r="N1844" s="181"/>
      <c r="O1844" s="181"/>
      <c r="P1844" s="181"/>
      <c r="Q1844" s="181"/>
      <c r="R1844" s="181"/>
      <c r="S1844" s="181"/>
      <c r="T1844" s="181"/>
      <c r="U1844" s="181"/>
      <c r="V1844" s="181"/>
      <c r="W1844" s="181"/>
      <c r="X1844" s="181"/>
      <c r="Y1844" s="181"/>
      <c r="Z1844" s="181"/>
    </row>
    <row r="1845">
      <c r="A1845" s="194"/>
      <c r="B1845" s="195"/>
      <c r="C1845" s="181"/>
      <c r="D1845" s="194"/>
      <c r="E1845" s="194"/>
      <c r="F1845" s="181"/>
      <c r="G1845" s="181"/>
      <c r="H1845" s="181"/>
      <c r="I1845" s="181"/>
      <c r="J1845" s="181"/>
      <c r="K1845" s="181"/>
      <c r="L1845" s="181"/>
      <c r="M1845" s="181"/>
      <c r="N1845" s="181"/>
      <c r="O1845" s="181"/>
      <c r="P1845" s="181"/>
      <c r="Q1845" s="181"/>
      <c r="R1845" s="181"/>
      <c r="S1845" s="181"/>
      <c r="T1845" s="181"/>
      <c r="U1845" s="181"/>
      <c r="V1845" s="181"/>
      <c r="W1845" s="181"/>
      <c r="X1845" s="181"/>
      <c r="Y1845" s="181"/>
      <c r="Z1845" s="181"/>
    </row>
    <row r="1846">
      <c r="A1846" s="194"/>
      <c r="B1846" s="195"/>
      <c r="C1846" s="181"/>
      <c r="D1846" s="194"/>
      <c r="E1846" s="194"/>
      <c r="F1846" s="181"/>
      <c r="G1846" s="181"/>
      <c r="H1846" s="181"/>
      <c r="I1846" s="181"/>
      <c r="J1846" s="181"/>
      <c r="K1846" s="181"/>
      <c r="L1846" s="181"/>
      <c r="M1846" s="181"/>
      <c r="N1846" s="181"/>
      <c r="O1846" s="181"/>
      <c r="P1846" s="181"/>
      <c r="Q1846" s="181"/>
      <c r="R1846" s="181"/>
      <c r="S1846" s="181"/>
      <c r="T1846" s="181"/>
      <c r="U1846" s="181"/>
      <c r="V1846" s="181"/>
      <c r="W1846" s="181"/>
      <c r="X1846" s="181"/>
      <c r="Y1846" s="181"/>
      <c r="Z1846" s="181"/>
    </row>
    <row r="1847">
      <c r="A1847" s="194"/>
      <c r="B1847" s="195"/>
      <c r="C1847" s="181"/>
      <c r="D1847" s="194"/>
      <c r="E1847" s="194"/>
      <c r="F1847" s="181"/>
      <c r="G1847" s="181"/>
      <c r="H1847" s="181"/>
      <c r="I1847" s="181"/>
      <c r="J1847" s="181"/>
      <c r="K1847" s="181"/>
      <c r="L1847" s="181"/>
      <c r="M1847" s="181"/>
      <c r="N1847" s="181"/>
      <c r="O1847" s="181"/>
      <c r="P1847" s="181"/>
      <c r="Q1847" s="181"/>
      <c r="R1847" s="181"/>
      <c r="S1847" s="181"/>
      <c r="T1847" s="181"/>
      <c r="U1847" s="181"/>
      <c r="V1847" s="181"/>
      <c r="W1847" s="181"/>
      <c r="X1847" s="181"/>
      <c r="Y1847" s="181"/>
      <c r="Z1847" s="181"/>
    </row>
    <row r="1848">
      <c r="A1848" s="194"/>
      <c r="B1848" s="195"/>
      <c r="C1848" s="181"/>
      <c r="D1848" s="194"/>
      <c r="E1848" s="194"/>
      <c r="F1848" s="181"/>
      <c r="G1848" s="181"/>
      <c r="H1848" s="181"/>
      <c r="I1848" s="181"/>
      <c r="J1848" s="181"/>
      <c r="K1848" s="181"/>
      <c r="L1848" s="181"/>
      <c r="M1848" s="181"/>
      <c r="N1848" s="181"/>
      <c r="O1848" s="181"/>
      <c r="P1848" s="181"/>
      <c r="Q1848" s="181"/>
      <c r="R1848" s="181"/>
      <c r="S1848" s="181"/>
      <c r="T1848" s="181"/>
      <c r="U1848" s="181"/>
      <c r="V1848" s="181"/>
      <c r="W1848" s="181"/>
      <c r="X1848" s="181"/>
      <c r="Y1848" s="181"/>
      <c r="Z1848" s="181"/>
    </row>
    <row r="1849">
      <c r="A1849" s="194"/>
      <c r="B1849" s="195"/>
      <c r="C1849" s="181"/>
      <c r="D1849" s="194"/>
      <c r="E1849" s="194"/>
      <c r="F1849" s="181"/>
      <c r="G1849" s="181"/>
      <c r="H1849" s="181"/>
      <c r="I1849" s="181"/>
      <c r="J1849" s="181"/>
      <c r="K1849" s="181"/>
      <c r="L1849" s="181"/>
      <c r="M1849" s="181"/>
      <c r="N1849" s="181"/>
      <c r="O1849" s="181"/>
      <c r="P1849" s="181"/>
      <c r="Q1849" s="181"/>
      <c r="R1849" s="181"/>
      <c r="S1849" s="181"/>
      <c r="T1849" s="181"/>
      <c r="U1849" s="181"/>
      <c r="V1849" s="181"/>
      <c r="W1849" s="181"/>
      <c r="X1849" s="181"/>
      <c r="Y1849" s="181"/>
      <c r="Z1849" s="181"/>
    </row>
    <row r="1850">
      <c r="A1850" s="194"/>
      <c r="B1850" s="195"/>
      <c r="C1850" s="181"/>
      <c r="D1850" s="194"/>
      <c r="E1850" s="194"/>
      <c r="F1850" s="181"/>
      <c r="G1850" s="181"/>
      <c r="H1850" s="181"/>
      <c r="I1850" s="181"/>
      <c r="J1850" s="181"/>
      <c r="K1850" s="181"/>
      <c r="L1850" s="181"/>
      <c r="M1850" s="181"/>
      <c r="N1850" s="181"/>
      <c r="O1850" s="181"/>
      <c r="P1850" s="181"/>
      <c r="Q1850" s="181"/>
      <c r="R1850" s="181"/>
      <c r="S1850" s="181"/>
      <c r="T1850" s="181"/>
      <c r="U1850" s="181"/>
      <c r="V1850" s="181"/>
      <c r="W1850" s="181"/>
      <c r="X1850" s="181"/>
      <c r="Y1850" s="181"/>
      <c r="Z1850" s="181"/>
    </row>
    <row r="1851">
      <c r="A1851" s="194"/>
      <c r="B1851" s="195"/>
      <c r="C1851" s="181"/>
      <c r="D1851" s="194"/>
      <c r="E1851" s="194"/>
      <c r="F1851" s="181"/>
      <c r="G1851" s="181"/>
      <c r="H1851" s="181"/>
      <c r="I1851" s="181"/>
      <c r="J1851" s="181"/>
      <c r="K1851" s="181"/>
      <c r="L1851" s="181"/>
      <c r="M1851" s="181"/>
      <c r="N1851" s="181"/>
      <c r="O1851" s="181"/>
      <c r="P1851" s="181"/>
      <c r="Q1851" s="181"/>
      <c r="R1851" s="181"/>
      <c r="S1851" s="181"/>
      <c r="T1851" s="181"/>
      <c r="U1851" s="181"/>
      <c r="V1851" s="181"/>
      <c r="W1851" s="181"/>
      <c r="X1851" s="181"/>
      <c r="Y1851" s="181"/>
      <c r="Z1851" s="181"/>
    </row>
    <row r="1852">
      <c r="A1852" s="194"/>
      <c r="B1852" s="195"/>
      <c r="C1852" s="181"/>
      <c r="D1852" s="194"/>
      <c r="E1852" s="194"/>
      <c r="F1852" s="181"/>
      <c r="G1852" s="181"/>
      <c r="H1852" s="181"/>
      <c r="I1852" s="181"/>
      <c r="J1852" s="181"/>
      <c r="K1852" s="181"/>
      <c r="L1852" s="181"/>
      <c r="M1852" s="181"/>
      <c r="N1852" s="181"/>
      <c r="O1852" s="181"/>
      <c r="P1852" s="181"/>
      <c r="Q1852" s="181"/>
      <c r="R1852" s="181"/>
      <c r="S1852" s="181"/>
      <c r="T1852" s="181"/>
      <c r="U1852" s="181"/>
      <c r="V1852" s="181"/>
      <c r="W1852" s="181"/>
      <c r="X1852" s="181"/>
      <c r="Y1852" s="181"/>
      <c r="Z1852" s="181"/>
    </row>
    <row r="1853">
      <c r="A1853" s="194"/>
      <c r="B1853" s="195"/>
      <c r="C1853" s="181"/>
      <c r="D1853" s="194"/>
      <c r="E1853" s="194"/>
      <c r="F1853" s="181"/>
      <c r="G1853" s="181"/>
      <c r="H1853" s="181"/>
      <c r="I1853" s="181"/>
      <c r="J1853" s="181"/>
      <c r="K1853" s="181"/>
      <c r="L1853" s="181"/>
      <c r="M1853" s="181"/>
      <c r="N1853" s="181"/>
      <c r="O1853" s="181"/>
      <c r="P1853" s="181"/>
      <c r="Q1853" s="181"/>
      <c r="R1853" s="181"/>
      <c r="S1853" s="181"/>
      <c r="T1853" s="181"/>
      <c r="U1853" s="181"/>
      <c r="V1853" s="181"/>
      <c r="W1853" s="181"/>
      <c r="X1853" s="181"/>
      <c r="Y1853" s="181"/>
      <c r="Z1853" s="181"/>
    </row>
    <row r="1854">
      <c r="A1854" s="194"/>
      <c r="B1854" s="195"/>
      <c r="C1854" s="181"/>
      <c r="D1854" s="194"/>
      <c r="E1854" s="194"/>
      <c r="F1854" s="181"/>
      <c r="G1854" s="181"/>
      <c r="H1854" s="181"/>
      <c r="I1854" s="181"/>
      <c r="J1854" s="181"/>
      <c r="K1854" s="181"/>
      <c r="L1854" s="181"/>
      <c r="M1854" s="181"/>
      <c r="N1854" s="181"/>
      <c r="O1854" s="181"/>
      <c r="P1854" s="181"/>
      <c r="Q1854" s="181"/>
      <c r="R1854" s="181"/>
      <c r="S1854" s="181"/>
      <c r="T1854" s="181"/>
      <c r="U1854" s="181"/>
      <c r="V1854" s="181"/>
      <c r="W1854" s="181"/>
      <c r="X1854" s="181"/>
      <c r="Y1854" s="181"/>
      <c r="Z1854" s="181"/>
    </row>
    <row r="1855">
      <c r="A1855" s="194"/>
      <c r="B1855" s="195"/>
      <c r="C1855" s="181"/>
      <c r="D1855" s="194"/>
      <c r="E1855" s="194"/>
      <c r="F1855" s="181"/>
      <c r="G1855" s="181"/>
      <c r="H1855" s="181"/>
      <c r="I1855" s="181"/>
      <c r="J1855" s="181"/>
      <c r="K1855" s="181"/>
      <c r="L1855" s="181"/>
      <c r="M1855" s="181"/>
      <c r="N1855" s="181"/>
      <c r="O1855" s="181"/>
      <c r="P1855" s="181"/>
      <c r="Q1855" s="181"/>
      <c r="R1855" s="181"/>
      <c r="S1855" s="181"/>
      <c r="T1855" s="181"/>
      <c r="U1855" s="181"/>
      <c r="V1855" s="181"/>
      <c r="W1855" s="181"/>
      <c r="X1855" s="181"/>
      <c r="Y1855" s="181"/>
      <c r="Z1855" s="181"/>
    </row>
    <row r="1856">
      <c r="A1856" s="194"/>
      <c r="B1856" s="195"/>
      <c r="C1856" s="181"/>
      <c r="D1856" s="194"/>
      <c r="E1856" s="194"/>
      <c r="F1856" s="181"/>
      <c r="G1856" s="181"/>
      <c r="H1856" s="181"/>
      <c r="I1856" s="181"/>
      <c r="J1856" s="181"/>
      <c r="K1856" s="181"/>
      <c r="L1856" s="181"/>
      <c r="M1856" s="181"/>
      <c r="N1856" s="181"/>
      <c r="O1856" s="181"/>
      <c r="P1856" s="181"/>
      <c r="Q1856" s="181"/>
      <c r="R1856" s="181"/>
      <c r="S1856" s="181"/>
      <c r="T1856" s="181"/>
      <c r="U1856" s="181"/>
      <c r="V1856" s="181"/>
      <c r="W1856" s="181"/>
      <c r="X1856" s="181"/>
      <c r="Y1856" s="181"/>
      <c r="Z1856" s="181"/>
    </row>
    <row r="1857">
      <c r="A1857" s="194"/>
      <c r="B1857" s="195"/>
      <c r="C1857" s="181"/>
      <c r="D1857" s="194"/>
      <c r="E1857" s="194"/>
      <c r="F1857" s="181"/>
      <c r="G1857" s="181"/>
      <c r="H1857" s="181"/>
      <c r="I1857" s="181"/>
      <c r="J1857" s="181"/>
      <c r="K1857" s="181"/>
      <c r="L1857" s="181"/>
      <c r="M1857" s="181"/>
      <c r="N1857" s="181"/>
      <c r="O1857" s="181"/>
      <c r="P1857" s="181"/>
      <c r="Q1857" s="181"/>
      <c r="R1857" s="181"/>
      <c r="S1857" s="181"/>
      <c r="T1857" s="181"/>
      <c r="U1857" s="181"/>
      <c r="V1857" s="181"/>
      <c r="W1857" s="181"/>
      <c r="X1857" s="181"/>
      <c r="Y1857" s="181"/>
      <c r="Z1857" s="181"/>
    </row>
    <row r="1858">
      <c r="A1858" s="194"/>
      <c r="B1858" s="195"/>
      <c r="C1858" s="181"/>
      <c r="D1858" s="194"/>
      <c r="E1858" s="194"/>
      <c r="F1858" s="181"/>
      <c r="G1858" s="181"/>
      <c r="H1858" s="181"/>
      <c r="I1858" s="181"/>
      <c r="J1858" s="181"/>
      <c r="K1858" s="181"/>
      <c r="L1858" s="181"/>
      <c r="M1858" s="181"/>
      <c r="N1858" s="181"/>
      <c r="O1858" s="181"/>
      <c r="P1858" s="181"/>
      <c r="Q1858" s="181"/>
      <c r="R1858" s="181"/>
      <c r="S1858" s="181"/>
      <c r="T1858" s="181"/>
      <c r="U1858" s="181"/>
      <c r="V1858" s="181"/>
      <c r="W1858" s="181"/>
      <c r="X1858" s="181"/>
      <c r="Y1858" s="181"/>
      <c r="Z1858" s="181"/>
    </row>
    <row r="1859">
      <c r="A1859" s="194"/>
      <c r="B1859" s="195"/>
      <c r="C1859" s="181"/>
      <c r="D1859" s="194"/>
      <c r="E1859" s="194"/>
      <c r="F1859" s="181"/>
      <c r="G1859" s="181"/>
      <c r="H1859" s="181"/>
      <c r="I1859" s="181"/>
      <c r="J1859" s="181"/>
      <c r="K1859" s="181"/>
      <c r="L1859" s="181"/>
      <c r="M1859" s="181"/>
      <c r="N1859" s="181"/>
      <c r="O1859" s="181"/>
      <c r="P1859" s="181"/>
      <c r="Q1859" s="181"/>
      <c r="R1859" s="181"/>
      <c r="S1859" s="181"/>
      <c r="T1859" s="181"/>
      <c r="U1859" s="181"/>
      <c r="V1859" s="181"/>
      <c r="W1859" s="181"/>
      <c r="X1859" s="181"/>
      <c r="Y1859" s="181"/>
      <c r="Z1859" s="181"/>
    </row>
    <row r="1860">
      <c r="A1860" s="194"/>
      <c r="B1860" s="195"/>
      <c r="C1860" s="181"/>
      <c r="D1860" s="194"/>
      <c r="E1860" s="194"/>
      <c r="F1860" s="181"/>
      <c r="G1860" s="181"/>
      <c r="H1860" s="181"/>
      <c r="I1860" s="181"/>
      <c r="J1860" s="181"/>
      <c r="K1860" s="181"/>
      <c r="L1860" s="181"/>
      <c r="M1860" s="181"/>
      <c r="N1860" s="181"/>
      <c r="O1860" s="181"/>
      <c r="P1860" s="181"/>
      <c r="Q1860" s="181"/>
      <c r="R1860" s="181"/>
      <c r="S1860" s="181"/>
      <c r="T1860" s="181"/>
      <c r="U1860" s="181"/>
      <c r="V1860" s="181"/>
      <c r="W1860" s="181"/>
      <c r="X1860" s="181"/>
      <c r="Y1860" s="181"/>
      <c r="Z1860" s="181"/>
    </row>
    <row r="1861">
      <c r="A1861" s="194"/>
      <c r="B1861" s="195"/>
      <c r="C1861" s="181"/>
      <c r="D1861" s="194"/>
      <c r="E1861" s="194"/>
      <c r="F1861" s="181"/>
      <c r="G1861" s="181"/>
      <c r="H1861" s="181"/>
      <c r="I1861" s="181"/>
      <c r="J1861" s="181"/>
      <c r="K1861" s="181"/>
      <c r="L1861" s="181"/>
      <c r="M1861" s="181"/>
      <c r="N1861" s="181"/>
      <c r="O1861" s="181"/>
      <c r="P1861" s="181"/>
      <c r="Q1861" s="181"/>
      <c r="R1861" s="181"/>
      <c r="S1861" s="181"/>
      <c r="T1861" s="181"/>
      <c r="U1861" s="181"/>
      <c r="V1861" s="181"/>
      <c r="W1861" s="181"/>
      <c r="X1861" s="181"/>
      <c r="Y1861" s="181"/>
      <c r="Z1861" s="181"/>
    </row>
    <row r="1862">
      <c r="A1862" s="194"/>
      <c r="B1862" s="195"/>
      <c r="C1862" s="181"/>
      <c r="D1862" s="194"/>
      <c r="E1862" s="194"/>
      <c r="F1862" s="181"/>
      <c r="G1862" s="181"/>
      <c r="H1862" s="181"/>
      <c r="I1862" s="181"/>
      <c r="J1862" s="181"/>
      <c r="K1862" s="181"/>
      <c r="L1862" s="181"/>
      <c r="M1862" s="181"/>
      <c r="N1862" s="181"/>
      <c r="O1862" s="181"/>
      <c r="P1862" s="181"/>
      <c r="Q1862" s="181"/>
      <c r="R1862" s="181"/>
      <c r="S1862" s="181"/>
      <c r="T1862" s="181"/>
      <c r="U1862" s="181"/>
      <c r="V1862" s="181"/>
      <c r="W1862" s="181"/>
      <c r="X1862" s="181"/>
      <c r="Y1862" s="181"/>
      <c r="Z1862" s="181"/>
    </row>
    <row r="1863">
      <c r="A1863" s="194"/>
      <c r="B1863" s="195"/>
      <c r="C1863" s="181"/>
      <c r="D1863" s="194"/>
      <c r="E1863" s="194"/>
      <c r="F1863" s="181"/>
      <c r="G1863" s="181"/>
      <c r="H1863" s="181"/>
      <c r="I1863" s="181"/>
      <c r="J1863" s="181"/>
      <c r="K1863" s="181"/>
      <c r="L1863" s="181"/>
      <c r="M1863" s="181"/>
      <c r="N1863" s="181"/>
      <c r="O1863" s="181"/>
      <c r="P1863" s="181"/>
      <c r="Q1863" s="181"/>
      <c r="R1863" s="181"/>
      <c r="S1863" s="181"/>
      <c r="T1863" s="181"/>
      <c r="U1863" s="181"/>
      <c r="V1863" s="181"/>
      <c r="W1863" s="181"/>
      <c r="X1863" s="181"/>
      <c r="Y1863" s="181"/>
      <c r="Z1863" s="181"/>
    </row>
    <row r="1864">
      <c r="A1864" s="194"/>
      <c r="B1864" s="195"/>
      <c r="C1864" s="181"/>
      <c r="D1864" s="194"/>
      <c r="E1864" s="194"/>
      <c r="F1864" s="181"/>
      <c r="G1864" s="181"/>
      <c r="H1864" s="181"/>
      <c r="I1864" s="181"/>
      <c r="J1864" s="181"/>
      <c r="K1864" s="181"/>
      <c r="L1864" s="181"/>
      <c r="M1864" s="181"/>
      <c r="N1864" s="181"/>
      <c r="O1864" s="181"/>
      <c r="P1864" s="181"/>
      <c r="Q1864" s="181"/>
      <c r="R1864" s="181"/>
      <c r="S1864" s="181"/>
      <c r="T1864" s="181"/>
      <c r="U1864" s="181"/>
      <c r="V1864" s="181"/>
      <c r="W1864" s="181"/>
      <c r="X1864" s="181"/>
      <c r="Y1864" s="181"/>
      <c r="Z1864" s="181"/>
    </row>
    <row r="1865">
      <c r="A1865" s="194"/>
      <c r="B1865" s="195"/>
      <c r="C1865" s="181"/>
      <c r="D1865" s="194"/>
      <c r="E1865" s="194"/>
      <c r="F1865" s="181"/>
      <c r="G1865" s="181"/>
      <c r="H1865" s="181"/>
      <c r="I1865" s="181"/>
      <c r="J1865" s="181"/>
      <c r="K1865" s="181"/>
      <c r="L1865" s="181"/>
      <c r="M1865" s="181"/>
      <c r="N1865" s="181"/>
      <c r="O1865" s="181"/>
      <c r="P1865" s="181"/>
      <c r="Q1865" s="181"/>
      <c r="R1865" s="181"/>
      <c r="S1865" s="181"/>
      <c r="T1865" s="181"/>
      <c r="U1865" s="181"/>
      <c r="V1865" s="181"/>
      <c r="W1865" s="181"/>
      <c r="X1865" s="181"/>
      <c r="Y1865" s="181"/>
      <c r="Z1865" s="181"/>
    </row>
    <row r="1866">
      <c r="A1866" s="194"/>
      <c r="B1866" s="195"/>
      <c r="C1866" s="181"/>
      <c r="D1866" s="194"/>
      <c r="E1866" s="194"/>
      <c r="F1866" s="181"/>
      <c r="G1866" s="181"/>
      <c r="H1866" s="181"/>
      <c r="I1866" s="181"/>
      <c r="J1866" s="181"/>
      <c r="K1866" s="181"/>
      <c r="L1866" s="181"/>
      <c r="M1866" s="181"/>
      <c r="N1866" s="181"/>
      <c r="O1866" s="181"/>
      <c r="P1866" s="181"/>
      <c r="Q1866" s="181"/>
      <c r="R1866" s="181"/>
      <c r="S1866" s="181"/>
      <c r="T1866" s="181"/>
      <c r="U1866" s="181"/>
      <c r="V1866" s="181"/>
      <c r="W1866" s="181"/>
      <c r="X1866" s="181"/>
      <c r="Y1866" s="181"/>
      <c r="Z1866" s="181"/>
    </row>
    <row r="1867">
      <c r="A1867" s="194"/>
      <c r="B1867" s="195"/>
      <c r="C1867" s="181"/>
      <c r="D1867" s="194"/>
      <c r="E1867" s="194"/>
      <c r="F1867" s="181"/>
      <c r="G1867" s="181"/>
      <c r="H1867" s="181"/>
      <c r="I1867" s="181"/>
      <c r="J1867" s="181"/>
      <c r="K1867" s="181"/>
      <c r="L1867" s="181"/>
      <c r="M1867" s="181"/>
      <c r="N1867" s="181"/>
      <c r="O1867" s="181"/>
      <c r="P1867" s="181"/>
      <c r="Q1867" s="181"/>
      <c r="R1867" s="181"/>
      <c r="S1867" s="181"/>
      <c r="T1867" s="181"/>
      <c r="U1867" s="181"/>
      <c r="V1867" s="181"/>
      <c r="W1867" s="181"/>
      <c r="X1867" s="181"/>
      <c r="Y1867" s="181"/>
      <c r="Z1867" s="181"/>
    </row>
    <row r="1868">
      <c r="A1868" s="194"/>
      <c r="B1868" s="195"/>
      <c r="C1868" s="181"/>
      <c r="D1868" s="194"/>
      <c r="E1868" s="194"/>
      <c r="F1868" s="181"/>
      <c r="G1868" s="181"/>
      <c r="H1868" s="181"/>
      <c r="I1868" s="181"/>
      <c r="J1868" s="181"/>
      <c r="K1868" s="181"/>
      <c r="L1868" s="181"/>
      <c r="M1868" s="181"/>
      <c r="N1868" s="181"/>
      <c r="O1868" s="181"/>
      <c r="P1868" s="181"/>
      <c r="Q1868" s="181"/>
      <c r="R1868" s="181"/>
      <c r="S1868" s="181"/>
      <c r="T1868" s="181"/>
      <c r="U1868" s="181"/>
      <c r="V1868" s="181"/>
      <c r="W1868" s="181"/>
      <c r="X1868" s="181"/>
      <c r="Y1868" s="181"/>
      <c r="Z1868" s="181"/>
    </row>
    <row r="1869">
      <c r="A1869" s="194"/>
      <c r="B1869" s="195"/>
      <c r="C1869" s="181"/>
      <c r="D1869" s="194"/>
      <c r="E1869" s="194"/>
      <c r="F1869" s="181"/>
      <c r="G1869" s="181"/>
      <c r="H1869" s="181"/>
      <c r="I1869" s="181"/>
      <c r="J1869" s="181"/>
      <c r="K1869" s="181"/>
      <c r="L1869" s="181"/>
      <c r="M1869" s="181"/>
      <c r="N1869" s="181"/>
      <c r="O1869" s="181"/>
      <c r="P1869" s="181"/>
      <c r="Q1869" s="181"/>
      <c r="R1869" s="181"/>
      <c r="S1869" s="181"/>
      <c r="T1869" s="181"/>
      <c r="U1869" s="181"/>
      <c r="V1869" s="181"/>
      <c r="W1869" s="181"/>
      <c r="X1869" s="181"/>
      <c r="Y1869" s="181"/>
      <c r="Z1869" s="181"/>
    </row>
    <row r="1870">
      <c r="A1870" s="194"/>
      <c r="B1870" s="195"/>
      <c r="C1870" s="181"/>
      <c r="D1870" s="194"/>
      <c r="E1870" s="194"/>
      <c r="F1870" s="181"/>
      <c r="G1870" s="181"/>
      <c r="H1870" s="181"/>
      <c r="I1870" s="181"/>
      <c r="J1870" s="181"/>
      <c r="K1870" s="181"/>
      <c r="L1870" s="181"/>
      <c r="M1870" s="181"/>
      <c r="N1870" s="181"/>
      <c r="O1870" s="181"/>
      <c r="P1870" s="181"/>
      <c r="Q1870" s="181"/>
      <c r="R1870" s="181"/>
      <c r="S1870" s="181"/>
      <c r="T1870" s="181"/>
      <c r="U1870" s="181"/>
      <c r="V1870" s="181"/>
      <c r="W1870" s="181"/>
      <c r="X1870" s="181"/>
      <c r="Y1870" s="181"/>
      <c r="Z1870" s="181"/>
    </row>
    <row r="1871">
      <c r="A1871" s="194"/>
      <c r="B1871" s="195"/>
      <c r="C1871" s="181"/>
      <c r="D1871" s="194"/>
      <c r="E1871" s="194"/>
      <c r="F1871" s="181"/>
      <c r="G1871" s="181"/>
      <c r="H1871" s="181"/>
      <c r="I1871" s="181"/>
      <c r="J1871" s="181"/>
      <c r="K1871" s="181"/>
      <c r="L1871" s="181"/>
      <c r="M1871" s="181"/>
      <c r="N1871" s="181"/>
      <c r="O1871" s="181"/>
      <c r="P1871" s="181"/>
      <c r="Q1871" s="181"/>
      <c r="R1871" s="181"/>
      <c r="S1871" s="181"/>
      <c r="T1871" s="181"/>
      <c r="U1871" s="181"/>
      <c r="V1871" s="181"/>
      <c r="W1871" s="181"/>
      <c r="X1871" s="181"/>
      <c r="Y1871" s="181"/>
      <c r="Z1871" s="181"/>
    </row>
    <row r="1872">
      <c r="A1872" s="194"/>
      <c r="B1872" s="195"/>
      <c r="C1872" s="181"/>
      <c r="D1872" s="194"/>
      <c r="E1872" s="194"/>
      <c r="F1872" s="181"/>
      <c r="G1872" s="181"/>
      <c r="H1872" s="181"/>
      <c r="I1872" s="181"/>
      <c r="J1872" s="181"/>
      <c r="K1872" s="181"/>
      <c r="L1872" s="181"/>
      <c r="M1872" s="181"/>
      <c r="N1872" s="181"/>
      <c r="O1872" s="181"/>
      <c r="P1872" s="181"/>
      <c r="Q1872" s="181"/>
      <c r="R1872" s="181"/>
      <c r="S1872" s="181"/>
      <c r="T1872" s="181"/>
      <c r="U1872" s="181"/>
      <c r="V1872" s="181"/>
      <c r="W1872" s="181"/>
      <c r="X1872" s="181"/>
      <c r="Y1872" s="181"/>
      <c r="Z1872" s="181"/>
    </row>
    <row r="1873">
      <c r="A1873" s="194"/>
      <c r="B1873" s="195"/>
      <c r="C1873" s="181"/>
      <c r="D1873" s="194"/>
      <c r="E1873" s="194"/>
      <c r="F1873" s="181"/>
      <c r="G1873" s="181"/>
      <c r="H1873" s="181"/>
      <c r="I1873" s="181"/>
      <c r="J1873" s="181"/>
      <c r="K1873" s="181"/>
      <c r="L1873" s="181"/>
      <c r="M1873" s="181"/>
      <c r="N1873" s="181"/>
      <c r="O1873" s="181"/>
      <c r="P1873" s="181"/>
      <c r="Q1873" s="181"/>
      <c r="R1873" s="181"/>
      <c r="S1873" s="181"/>
      <c r="T1873" s="181"/>
      <c r="U1873" s="181"/>
      <c r="V1873" s="181"/>
      <c r="W1873" s="181"/>
      <c r="X1873" s="181"/>
      <c r="Y1873" s="181"/>
      <c r="Z1873" s="181"/>
    </row>
    <row r="1874">
      <c r="A1874" s="194"/>
      <c r="B1874" s="195"/>
      <c r="C1874" s="181"/>
      <c r="D1874" s="194"/>
      <c r="E1874" s="194"/>
      <c r="F1874" s="181"/>
      <c r="G1874" s="181"/>
      <c r="H1874" s="181"/>
      <c r="I1874" s="181"/>
      <c r="J1874" s="181"/>
      <c r="K1874" s="181"/>
      <c r="L1874" s="181"/>
      <c r="M1874" s="181"/>
      <c r="N1874" s="181"/>
      <c r="O1874" s="181"/>
      <c r="P1874" s="181"/>
      <c r="Q1874" s="181"/>
      <c r="R1874" s="181"/>
      <c r="S1874" s="181"/>
      <c r="T1874" s="181"/>
      <c r="U1874" s="181"/>
      <c r="V1874" s="181"/>
      <c r="W1874" s="181"/>
      <c r="X1874" s="181"/>
      <c r="Y1874" s="181"/>
      <c r="Z1874" s="181"/>
    </row>
    <row r="1875">
      <c r="A1875" s="194"/>
      <c r="B1875" s="195"/>
      <c r="C1875" s="181"/>
      <c r="D1875" s="194"/>
      <c r="E1875" s="194"/>
      <c r="F1875" s="181"/>
      <c r="G1875" s="181"/>
      <c r="H1875" s="181"/>
      <c r="I1875" s="181"/>
      <c r="J1875" s="181"/>
      <c r="K1875" s="181"/>
      <c r="L1875" s="181"/>
      <c r="M1875" s="181"/>
      <c r="N1875" s="181"/>
      <c r="O1875" s="181"/>
      <c r="P1875" s="181"/>
      <c r="Q1875" s="181"/>
      <c r="R1875" s="181"/>
      <c r="S1875" s="181"/>
      <c r="T1875" s="181"/>
      <c r="U1875" s="181"/>
      <c r="V1875" s="181"/>
      <c r="W1875" s="181"/>
      <c r="X1875" s="181"/>
      <c r="Y1875" s="181"/>
      <c r="Z1875" s="181"/>
    </row>
    <row r="1876">
      <c r="A1876" s="194"/>
      <c r="B1876" s="195"/>
      <c r="C1876" s="181"/>
      <c r="D1876" s="194"/>
      <c r="E1876" s="194"/>
      <c r="F1876" s="181"/>
      <c r="G1876" s="181"/>
      <c r="H1876" s="181"/>
      <c r="I1876" s="181"/>
      <c r="J1876" s="181"/>
      <c r="K1876" s="181"/>
      <c r="L1876" s="181"/>
      <c r="M1876" s="181"/>
      <c r="N1876" s="181"/>
      <c r="O1876" s="181"/>
      <c r="P1876" s="181"/>
      <c r="Q1876" s="181"/>
      <c r="R1876" s="181"/>
      <c r="S1876" s="181"/>
      <c r="T1876" s="181"/>
      <c r="U1876" s="181"/>
      <c r="V1876" s="181"/>
      <c r="W1876" s="181"/>
      <c r="X1876" s="181"/>
      <c r="Y1876" s="181"/>
      <c r="Z1876" s="181"/>
    </row>
    <row r="1877">
      <c r="A1877" s="194"/>
      <c r="B1877" s="195"/>
      <c r="C1877" s="181"/>
      <c r="D1877" s="194"/>
      <c r="E1877" s="194"/>
      <c r="F1877" s="181"/>
      <c r="G1877" s="181"/>
      <c r="H1877" s="181"/>
      <c r="I1877" s="181"/>
      <c r="J1877" s="181"/>
      <c r="K1877" s="181"/>
      <c r="L1877" s="181"/>
      <c r="M1877" s="181"/>
      <c r="N1877" s="181"/>
      <c r="O1877" s="181"/>
      <c r="P1877" s="181"/>
      <c r="Q1877" s="181"/>
      <c r="R1877" s="181"/>
      <c r="S1877" s="181"/>
      <c r="T1877" s="181"/>
      <c r="U1877" s="181"/>
      <c r="V1877" s="181"/>
      <c r="W1877" s="181"/>
      <c r="X1877" s="181"/>
      <c r="Y1877" s="181"/>
      <c r="Z1877" s="181"/>
    </row>
    <row r="1878">
      <c r="A1878" s="194"/>
      <c r="B1878" s="195"/>
      <c r="C1878" s="181"/>
      <c r="D1878" s="194"/>
      <c r="E1878" s="194"/>
      <c r="F1878" s="181"/>
      <c r="G1878" s="181"/>
      <c r="H1878" s="181"/>
      <c r="I1878" s="181"/>
      <c r="J1878" s="181"/>
      <c r="K1878" s="181"/>
      <c r="L1878" s="181"/>
      <c r="M1878" s="181"/>
      <c r="N1878" s="181"/>
      <c r="O1878" s="181"/>
      <c r="P1878" s="181"/>
      <c r="Q1878" s="181"/>
      <c r="R1878" s="181"/>
      <c r="S1878" s="181"/>
      <c r="T1878" s="181"/>
      <c r="U1878" s="181"/>
      <c r="V1878" s="181"/>
      <c r="W1878" s="181"/>
      <c r="X1878" s="181"/>
      <c r="Y1878" s="181"/>
      <c r="Z1878" s="181"/>
    </row>
    <row r="1879">
      <c r="A1879" s="194"/>
      <c r="B1879" s="195"/>
      <c r="C1879" s="181"/>
      <c r="D1879" s="194"/>
      <c r="E1879" s="194"/>
      <c r="F1879" s="181"/>
      <c r="G1879" s="181"/>
      <c r="H1879" s="181"/>
      <c r="I1879" s="181"/>
      <c r="J1879" s="181"/>
      <c r="K1879" s="181"/>
      <c r="L1879" s="181"/>
      <c r="M1879" s="181"/>
      <c r="N1879" s="181"/>
      <c r="O1879" s="181"/>
      <c r="P1879" s="181"/>
      <c r="Q1879" s="181"/>
      <c r="R1879" s="181"/>
      <c r="S1879" s="181"/>
      <c r="T1879" s="181"/>
      <c r="U1879" s="181"/>
      <c r="V1879" s="181"/>
      <c r="W1879" s="181"/>
      <c r="X1879" s="181"/>
      <c r="Y1879" s="181"/>
      <c r="Z1879" s="181"/>
    </row>
    <row r="1880">
      <c r="A1880" s="194"/>
      <c r="B1880" s="195"/>
      <c r="C1880" s="181"/>
      <c r="D1880" s="194"/>
      <c r="E1880" s="194"/>
      <c r="F1880" s="181"/>
      <c r="G1880" s="181"/>
      <c r="H1880" s="181"/>
      <c r="I1880" s="181"/>
      <c r="J1880" s="181"/>
      <c r="K1880" s="181"/>
      <c r="L1880" s="181"/>
      <c r="M1880" s="181"/>
      <c r="N1880" s="181"/>
      <c r="O1880" s="181"/>
      <c r="P1880" s="181"/>
      <c r="Q1880" s="181"/>
      <c r="R1880" s="181"/>
      <c r="S1880" s="181"/>
      <c r="T1880" s="181"/>
      <c r="U1880" s="181"/>
      <c r="V1880" s="181"/>
      <c r="W1880" s="181"/>
      <c r="X1880" s="181"/>
      <c r="Y1880" s="181"/>
      <c r="Z1880" s="181"/>
    </row>
    <row r="1881">
      <c r="A1881" s="194"/>
      <c r="B1881" s="195"/>
      <c r="C1881" s="181"/>
      <c r="D1881" s="194"/>
      <c r="E1881" s="194"/>
      <c r="F1881" s="181"/>
      <c r="G1881" s="181"/>
      <c r="H1881" s="181"/>
      <c r="I1881" s="181"/>
      <c r="J1881" s="181"/>
      <c r="K1881" s="181"/>
      <c r="L1881" s="181"/>
      <c r="M1881" s="181"/>
      <c r="N1881" s="181"/>
      <c r="O1881" s="181"/>
      <c r="P1881" s="181"/>
      <c r="Q1881" s="181"/>
      <c r="R1881" s="181"/>
      <c r="S1881" s="181"/>
      <c r="T1881" s="181"/>
      <c r="U1881" s="181"/>
      <c r="V1881" s="181"/>
      <c r="W1881" s="181"/>
      <c r="X1881" s="181"/>
      <c r="Y1881" s="181"/>
      <c r="Z1881" s="181"/>
    </row>
    <row r="1882">
      <c r="A1882" s="194"/>
      <c r="B1882" s="195"/>
      <c r="C1882" s="181"/>
      <c r="D1882" s="194"/>
      <c r="E1882" s="194"/>
      <c r="F1882" s="181"/>
      <c r="G1882" s="181"/>
      <c r="H1882" s="181"/>
      <c r="I1882" s="181"/>
      <c r="J1882" s="181"/>
      <c r="K1882" s="181"/>
      <c r="L1882" s="181"/>
      <c r="M1882" s="181"/>
      <c r="N1882" s="181"/>
      <c r="O1882" s="181"/>
      <c r="P1882" s="181"/>
      <c r="Q1882" s="181"/>
      <c r="R1882" s="181"/>
      <c r="S1882" s="181"/>
      <c r="T1882" s="181"/>
      <c r="U1882" s="181"/>
      <c r="V1882" s="181"/>
      <c r="W1882" s="181"/>
      <c r="X1882" s="181"/>
      <c r="Y1882" s="181"/>
      <c r="Z1882" s="181"/>
    </row>
    <row r="1883">
      <c r="A1883" s="194"/>
      <c r="B1883" s="195"/>
      <c r="C1883" s="181"/>
      <c r="D1883" s="194"/>
      <c r="E1883" s="194"/>
      <c r="F1883" s="181"/>
      <c r="G1883" s="181"/>
      <c r="H1883" s="181"/>
      <c r="I1883" s="181"/>
      <c r="J1883" s="181"/>
      <c r="K1883" s="181"/>
      <c r="L1883" s="181"/>
      <c r="M1883" s="181"/>
      <c r="N1883" s="181"/>
      <c r="O1883" s="181"/>
      <c r="P1883" s="181"/>
      <c r="Q1883" s="181"/>
      <c r="R1883" s="181"/>
      <c r="S1883" s="181"/>
      <c r="T1883" s="181"/>
      <c r="U1883" s="181"/>
      <c r="V1883" s="181"/>
      <c r="W1883" s="181"/>
      <c r="X1883" s="181"/>
      <c r="Y1883" s="181"/>
      <c r="Z1883" s="181"/>
    </row>
    <row r="1884">
      <c r="A1884" s="194"/>
      <c r="B1884" s="195"/>
      <c r="C1884" s="181"/>
      <c r="D1884" s="194"/>
      <c r="E1884" s="194"/>
      <c r="F1884" s="181"/>
      <c r="G1884" s="181"/>
      <c r="H1884" s="181"/>
      <c r="I1884" s="181"/>
      <c r="J1884" s="181"/>
      <c r="K1884" s="181"/>
      <c r="L1884" s="181"/>
      <c r="M1884" s="181"/>
      <c r="N1884" s="181"/>
      <c r="O1884" s="181"/>
      <c r="P1884" s="181"/>
      <c r="Q1884" s="181"/>
      <c r="R1884" s="181"/>
      <c r="S1884" s="181"/>
      <c r="T1884" s="181"/>
      <c r="U1884" s="181"/>
      <c r="V1884" s="181"/>
      <c r="W1884" s="181"/>
      <c r="X1884" s="181"/>
      <c r="Y1884" s="181"/>
      <c r="Z1884" s="181"/>
    </row>
    <row r="1885">
      <c r="A1885" s="194"/>
      <c r="B1885" s="195"/>
      <c r="C1885" s="181"/>
      <c r="D1885" s="194"/>
      <c r="E1885" s="194"/>
      <c r="F1885" s="181"/>
      <c r="G1885" s="181"/>
      <c r="H1885" s="181"/>
      <c r="I1885" s="181"/>
      <c r="J1885" s="181"/>
      <c r="K1885" s="181"/>
      <c r="L1885" s="181"/>
      <c r="M1885" s="181"/>
      <c r="N1885" s="181"/>
      <c r="O1885" s="181"/>
      <c r="P1885" s="181"/>
      <c r="Q1885" s="181"/>
      <c r="R1885" s="181"/>
      <c r="S1885" s="181"/>
      <c r="T1885" s="181"/>
      <c r="U1885" s="181"/>
      <c r="V1885" s="181"/>
      <c r="W1885" s="181"/>
      <c r="X1885" s="181"/>
      <c r="Y1885" s="181"/>
      <c r="Z1885" s="181"/>
    </row>
    <row r="1886">
      <c r="A1886" s="194"/>
      <c r="B1886" s="195"/>
      <c r="C1886" s="181"/>
      <c r="D1886" s="194"/>
      <c r="E1886" s="194"/>
      <c r="F1886" s="181"/>
      <c r="G1886" s="181"/>
      <c r="H1886" s="181"/>
      <c r="I1886" s="181"/>
      <c r="J1886" s="181"/>
      <c r="K1886" s="181"/>
      <c r="L1886" s="181"/>
      <c r="M1886" s="181"/>
      <c r="N1886" s="181"/>
      <c r="O1886" s="181"/>
      <c r="P1886" s="181"/>
      <c r="Q1886" s="181"/>
      <c r="R1886" s="181"/>
      <c r="S1886" s="181"/>
      <c r="T1886" s="181"/>
      <c r="U1886" s="181"/>
      <c r="V1886" s="181"/>
      <c r="W1886" s="181"/>
      <c r="X1886" s="181"/>
      <c r="Y1886" s="181"/>
      <c r="Z1886" s="181"/>
    </row>
    <row r="1887">
      <c r="A1887" s="194"/>
      <c r="B1887" s="195"/>
      <c r="C1887" s="181"/>
      <c r="D1887" s="194"/>
      <c r="E1887" s="194"/>
      <c r="F1887" s="181"/>
      <c r="G1887" s="181"/>
      <c r="H1887" s="181"/>
      <c r="I1887" s="181"/>
      <c r="J1887" s="181"/>
      <c r="K1887" s="181"/>
      <c r="L1887" s="181"/>
      <c r="M1887" s="181"/>
      <c r="N1887" s="181"/>
      <c r="O1887" s="181"/>
      <c r="P1887" s="181"/>
      <c r="Q1887" s="181"/>
      <c r="R1887" s="181"/>
      <c r="S1887" s="181"/>
      <c r="T1887" s="181"/>
      <c r="U1887" s="181"/>
      <c r="V1887" s="181"/>
      <c r="W1887" s="181"/>
      <c r="X1887" s="181"/>
      <c r="Y1887" s="181"/>
      <c r="Z1887" s="181"/>
    </row>
    <row r="1888">
      <c r="A1888" s="194"/>
      <c r="B1888" s="195"/>
      <c r="C1888" s="181"/>
      <c r="D1888" s="194"/>
      <c r="E1888" s="194"/>
      <c r="F1888" s="181"/>
      <c r="G1888" s="181"/>
      <c r="H1888" s="181"/>
      <c r="I1888" s="181"/>
      <c r="J1888" s="181"/>
      <c r="K1888" s="181"/>
      <c r="L1888" s="181"/>
      <c r="M1888" s="181"/>
      <c r="N1888" s="181"/>
      <c r="O1888" s="181"/>
      <c r="P1888" s="181"/>
      <c r="Q1888" s="181"/>
      <c r="R1888" s="181"/>
      <c r="S1888" s="181"/>
      <c r="T1888" s="181"/>
      <c r="U1888" s="181"/>
      <c r="V1888" s="181"/>
      <c r="W1888" s="181"/>
      <c r="X1888" s="181"/>
      <c r="Y1888" s="181"/>
      <c r="Z1888" s="181"/>
    </row>
    <row r="1889">
      <c r="A1889" s="194"/>
      <c r="B1889" s="195"/>
      <c r="C1889" s="181"/>
      <c r="D1889" s="194"/>
      <c r="E1889" s="194"/>
      <c r="F1889" s="181"/>
      <c r="G1889" s="181"/>
      <c r="H1889" s="181"/>
      <c r="I1889" s="181"/>
      <c r="J1889" s="181"/>
      <c r="K1889" s="181"/>
      <c r="L1889" s="181"/>
      <c r="M1889" s="181"/>
      <c r="N1889" s="181"/>
      <c r="O1889" s="181"/>
      <c r="P1889" s="181"/>
      <c r="Q1889" s="181"/>
      <c r="R1889" s="181"/>
      <c r="S1889" s="181"/>
      <c r="T1889" s="181"/>
      <c r="U1889" s="181"/>
      <c r="V1889" s="181"/>
      <c r="W1889" s="181"/>
      <c r="X1889" s="181"/>
      <c r="Y1889" s="181"/>
      <c r="Z1889" s="181"/>
    </row>
    <row r="1890">
      <c r="A1890" s="194"/>
      <c r="B1890" s="195"/>
      <c r="C1890" s="181"/>
      <c r="D1890" s="194"/>
      <c r="E1890" s="194"/>
      <c r="F1890" s="181"/>
      <c r="G1890" s="181"/>
      <c r="H1890" s="181"/>
      <c r="I1890" s="181"/>
      <c r="J1890" s="181"/>
      <c r="K1890" s="181"/>
      <c r="L1890" s="181"/>
      <c r="M1890" s="181"/>
      <c r="N1890" s="181"/>
      <c r="O1890" s="181"/>
      <c r="P1890" s="181"/>
      <c r="Q1890" s="181"/>
      <c r="R1890" s="181"/>
      <c r="S1890" s="181"/>
      <c r="T1890" s="181"/>
      <c r="U1890" s="181"/>
      <c r="V1890" s="181"/>
      <c r="W1890" s="181"/>
      <c r="X1890" s="181"/>
      <c r="Y1890" s="181"/>
      <c r="Z1890" s="181"/>
    </row>
    <row r="1891">
      <c r="A1891" s="194"/>
      <c r="B1891" s="195"/>
      <c r="C1891" s="181"/>
      <c r="D1891" s="194"/>
      <c r="E1891" s="194"/>
      <c r="F1891" s="181"/>
      <c r="G1891" s="181"/>
      <c r="H1891" s="181"/>
      <c r="I1891" s="181"/>
      <c r="J1891" s="181"/>
      <c r="K1891" s="181"/>
      <c r="L1891" s="181"/>
      <c r="M1891" s="181"/>
      <c r="N1891" s="181"/>
      <c r="O1891" s="181"/>
      <c r="P1891" s="181"/>
      <c r="Q1891" s="181"/>
      <c r="R1891" s="181"/>
      <c r="S1891" s="181"/>
      <c r="T1891" s="181"/>
      <c r="U1891" s="181"/>
      <c r="V1891" s="181"/>
      <c r="W1891" s="181"/>
      <c r="X1891" s="181"/>
      <c r="Y1891" s="181"/>
      <c r="Z1891" s="181"/>
    </row>
    <row r="1892">
      <c r="A1892" s="194"/>
      <c r="B1892" s="195"/>
      <c r="C1892" s="181"/>
      <c r="D1892" s="194"/>
      <c r="E1892" s="194"/>
      <c r="F1892" s="181"/>
      <c r="G1892" s="181"/>
      <c r="H1892" s="181"/>
      <c r="I1892" s="181"/>
      <c r="J1892" s="181"/>
      <c r="K1892" s="181"/>
      <c r="L1892" s="181"/>
      <c r="M1892" s="181"/>
      <c r="N1892" s="181"/>
      <c r="O1892" s="181"/>
      <c r="P1892" s="181"/>
      <c r="Q1892" s="181"/>
      <c r="R1892" s="181"/>
      <c r="S1892" s="181"/>
      <c r="T1892" s="181"/>
      <c r="U1892" s="181"/>
      <c r="V1892" s="181"/>
      <c r="W1892" s="181"/>
      <c r="X1892" s="181"/>
      <c r="Y1892" s="181"/>
      <c r="Z1892" s="181"/>
    </row>
    <row r="1893">
      <c r="A1893" s="194"/>
      <c r="B1893" s="195"/>
      <c r="C1893" s="181"/>
      <c r="D1893" s="194"/>
      <c r="E1893" s="194"/>
      <c r="F1893" s="181"/>
      <c r="G1893" s="181"/>
      <c r="H1893" s="181"/>
      <c r="I1893" s="181"/>
      <c r="J1893" s="181"/>
      <c r="K1893" s="181"/>
      <c r="L1893" s="181"/>
      <c r="M1893" s="181"/>
      <c r="N1893" s="181"/>
      <c r="O1893" s="181"/>
      <c r="P1893" s="181"/>
      <c r="Q1893" s="181"/>
      <c r="R1893" s="181"/>
      <c r="S1893" s="181"/>
      <c r="T1893" s="181"/>
      <c r="U1893" s="181"/>
      <c r="V1893" s="181"/>
      <c r="W1893" s="181"/>
      <c r="X1893" s="181"/>
      <c r="Y1893" s="181"/>
      <c r="Z1893" s="181"/>
    </row>
    <row r="1894">
      <c r="A1894" s="194"/>
      <c r="B1894" s="195"/>
      <c r="C1894" s="181"/>
      <c r="D1894" s="194"/>
      <c r="E1894" s="194"/>
      <c r="F1894" s="181"/>
      <c r="G1894" s="181"/>
      <c r="H1894" s="181"/>
      <c r="I1894" s="181"/>
      <c r="J1894" s="181"/>
      <c r="K1894" s="181"/>
      <c r="L1894" s="181"/>
      <c r="M1894" s="181"/>
      <c r="N1894" s="181"/>
      <c r="O1894" s="181"/>
      <c r="P1894" s="181"/>
      <c r="Q1894" s="181"/>
      <c r="R1894" s="181"/>
      <c r="S1894" s="181"/>
      <c r="T1894" s="181"/>
      <c r="U1894" s="181"/>
      <c r="V1894" s="181"/>
      <c r="W1894" s="181"/>
      <c r="X1894" s="181"/>
      <c r="Y1894" s="181"/>
      <c r="Z1894" s="181"/>
    </row>
    <row r="1895">
      <c r="A1895" s="194"/>
      <c r="B1895" s="195"/>
      <c r="C1895" s="181"/>
      <c r="D1895" s="194"/>
      <c r="E1895" s="194"/>
      <c r="F1895" s="181"/>
      <c r="G1895" s="181"/>
      <c r="H1895" s="181"/>
      <c r="I1895" s="181"/>
      <c r="J1895" s="181"/>
      <c r="K1895" s="181"/>
      <c r="L1895" s="181"/>
      <c r="M1895" s="181"/>
      <c r="N1895" s="181"/>
      <c r="O1895" s="181"/>
      <c r="P1895" s="181"/>
      <c r="Q1895" s="181"/>
      <c r="R1895" s="181"/>
      <c r="S1895" s="181"/>
      <c r="T1895" s="181"/>
      <c r="U1895" s="181"/>
      <c r="V1895" s="181"/>
      <c r="W1895" s="181"/>
      <c r="X1895" s="181"/>
      <c r="Y1895" s="181"/>
      <c r="Z1895" s="181"/>
    </row>
    <row r="1896">
      <c r="A1896" s="194"/>
      <c r="B1896" s="195"/>
      <c r="C1896" s="181"/>
      <c r="D1896" s="194"/>
      <c r="E1896" s="194"/>
      <c r="F1896" s="181"/>
      <c r="G1896" s="181"/>
      <c r="H1896" s="181"/>
      <c r="I1896" s="181"/>
      <c r="J1896" s="181"/>
      <c r="K1896" s="181"/>
      <c r="L1896" s="181"/>
      <c r="M1896" s="181"/>
      <c r="N1896" s="181"/>
      <c r="O1896" s="181"/>
      <c r="P1896" s="181"/>
      <c r="Q1896" s="181"/>
      <c r="R1896" s="181"/>
      <c r="S1896" s="181"/>
      <c r="T1896" s="181"/>
      <c r="U1896" s="181"/>
      <c r="V1896" s="181"/>
      <c r="W1896" s="181"/>
      <c r="X1896" s="181"/>
      <c r="Y1896" s="181"/>
      <c r="Z1896" s="181"/>
    </row>
    <row r="1897">
      <c r="A1897" s="194"/>
      <c r="B1897" s="195"/>
      <c r="C1897" s="181"/>
      <c r="D1897" s="194"/>
      <c r="E1897" s="194"/>
      <c r="F1897" s="181"/>
      <c r="G1897" s="181"/>
      <c r="H1897" s="181"/>
      <c r="I1897" s="181"/>
      <c r="J1897" s="181"/>
      <c r="K1897" s="181"/>
      <c r="L1897" s="181"/>
      <c r="M1897" s="181"/>
      <c r="N1897" s="181"/>
      <c r="O1897" s="181"/>
      <c r="P1897" s="181"/>
      <c r="Q1897" s="181"/>
      <c r="R1897" s="181"/>
      <c r="S1897" s="181"/>
      <c r="T1897" s="181"/>
      <c r="U1897" s="181"/>
      <c r="V1897" s="181"/>
      <c r="W1897" s="181"/>
      <c r="X1897" s="181"/>
      <c r="Y1897" s="181"/>
      <c r="Z1897" s="181"/>
    </row>
    <row r="1898">
      <c r="A1898" s="194"/>
      <c r="B1898" s="195"/>
      <c r="C1898" s="181"/>
      <c r="D1898" s="194"/>
      <c r="E1898" s="194"/>
      <c r="F1898" s="181"/>
      <c r="G1898" s="181"/>
      <c r="H1898" s="181"/>
      <c r="I1898" s="181"/>
      <c r="J1898" s="181"/>
      <c r="K1898" s="181"/>
      <c r="L1898" s="181"/>
      <c r="M1898" s="181"/>
      <c r="N1898" s="181"/>
      <c r="O1898" s="181"/>
      <c r="P1898" s="181"/>
      <c r="Q1898" s="181"/>
      <c r="R1898" s="181"/>
      <c r="S1898" s="181"/>
      <c r="T1898" s="181"/>
      <c r="U1898" s="181"/>
      <c r="V1898" s="181"/>
      <c r="W1898" s="181"/>
      <c r="X1898" s="181"/>
      <c r="Y1898" s="181"/>
      <c r="Z1898" s="181"/>
    </row>
    <row r="1899">
      <c r="A1899" s="194"/>
      <c r="B1899" s="195"/>
      <c r="C1899" s="181"/>
      <c r="D1899" s="194"/>
      <c r="E1899" s="194"/>
      <c r="F1899" s="181"/>
      <c r="G1899" s="181"/>
      <c r="H1899" s="181"/>
      <c r="I1899" s="181"/>
      <c r="J1899" s="181"/>
      <c r="K1899" s="181"/>
      <c r="L1899" s="181"/>
      <c r="M1899" s="181"/>
      <c r="N1899" s="181"/>
      <c r="O1899" s="181"/>
      <c r="P1899" s="181"/>
      <c r="Q1899" s="181"/>
      <c r="R1899" s="181"/>
      <c r="S1899" s="181"/>
      <c r="T1899" s="181"/>
      <c r="U1899" s="181"/>
      <c r="V1899" s="181"/>
      <c r="W1899" s="181"/>
      <c r="X1899" s="181"/>
      <c r="Y1899" s="181"/>
      <c r="Z1899" s="181"/>
    </row>
    <row r="1900">
      <c r="A1900" s="194"/>
      <c r="B1900" s="195"/>
      <c r="C1900" s="181"/>
      <c r="D1900" s="194"/>
      <c r="E1900" s="194"/>
      <c r="F1900" s="181"/>
      <c r="G1900" s="181"/>
      <c r="H1900" s="181"/>
      <c r="I1900" s="181"/>
      <c r="J1900" s="181"/>
      <c r="K1900" s="181"/>
      <c r="L1900" s="181"/>
      <c r="M1900" s="181"/>
      <c r="N1900" s="181"/>
      <c r="O1900" s="181"/>
      <c r="P1900" s="181"/>
      <c r="Q1900" s="181"/>
      <c r="R1900" s="181"/>
      <c r="S1900" s="181"/>
      <c r="T1900" s="181"/>
      <c r="U1900" s="181"/>
      <c r="V1900" s="181"/>
      <c r="W1900" s="181"/>
      <c r="X1900" s="181"/>
      <c r="Y1900" s="181"/>
      <c r="Z1900" s="181"/>
    </row>
    <row r="1901">
      <c r="A1901" s="194"/>
      <c r="B1901" s="195"/>
      <c r="C1901" s="181"/>
      <c r="D1901" s="194"/>
      <c r="E1901" s="194"/>
      <c r="F1901" s="181"/>
      <c r="G1901" s="181"/>
      <c r="H1901" s="181"/>
      <c r="I1901" s="181"/>
      <c r="J1901" s="181"/>
      <c r="K1901" s="181"/>
      <c r="L1901" s="181"/>
      <c r="M1901" s="181"/>
      <c r="N1901" s="181"/>
      <c r="O1901" s="181"/>
      <c r="P1901" s="181"/>
      <c r="Q1901" s="181"/>
      <c r="R1901" s="181"/>
      <c r="S1901" s="181"/>
      <c r="T1901" s="181"/>
      <c r="U1901" s="181"/>
      <c r="V1901" s="181"/>
      <c r="W1901" s="181"/>
      <c r="X1901" s="181"/>
      <c r="Y1901" s="181"/>
      <c r="Z1901" s="181"/>
    </row>
    <row r="1902">
      <c r="A1902" s="194"/>
      <c r="B1902" s="195"/>
      <c r="C1902" s="181"/>
      <c r="D1902" s="194"/>
      <c r="E1902" s="194"/>
      <c r="F1902" s="181"/>
      <c r="G1902" s="181"/>
      <c r="H1902" s="181"/>
      <c r="I1902" s="181"/>
      <c r="J1902" s="181"/>
      <c r="K1902" s="181"/>
      <c r="L1902" s="181"/>
      <c r="M1902" s="181"/>
      <c r="N1902" s="181"/>
      <c r="O1902" s="181"/>
      <c r="P1902" s="181"/>
      <c r="Q1902" s="181"/>
      <c r="R1902" s="181"/>
      <c r="S1902" s="181"/>
      <c r="T1902" s="181"/>
      <c r="U1902" s="181"/>
      <c r="V1902" s="181"/>
      <c r="W1902" s="181"/>
      <c r="X1902" s="181"/>
      <c r="Y1902" s="181"/>
      <c r="Z1902" s="181"/>
    </row>
    <row r="1903">
      <c r="A1903" s="194"/>
      <c r="B1903" s="195"/>
      <c r="C1903" s="181"/>
      <c r="D1903" s="194"/>
      <c r="E1903" s="194"/>
      <c r="F1903" s="181"/>
      <c r="G1903" s="181"/>
      <c r="H1903" s="181"/>
      <c r="I1903" s="181"/>
      <c r="J1903" s="181"/>
      <c r="K1903" s="181"/>
      <c r="L1903" s="181"/>
      <c r="M1903" s="181"/>
      <c r="N1903" s="181"/>
      <c r="O1903" s="181"/>
      <c r="P1903" s="181"/>
      <c r="Q1903" s="181"/>
      <c r="R1903" s="181"/>
      <c r="S1903" s="181"/>
      <c r="T1903" s="181"/>
      <c r="U1903" s="181"/>
      <c r="V1903" s="181"/>
      <c r="W1903" s="181"/>
      <c r="X1903" s="181"/>
      <c r="Y1903" s="181"/>
      <c r="Z1903" s="181"/>
    </row>
    <row r="1904">
      <c r="A1904" s="194"/>
      <c r="B1904" s="195"/>
      <c r="C1904" s="181"/>
      <c r="D1904" s="194"/>
      <c r="E1904" s="194"/>
      <c r="F1904" s="181"/>
      <c r="G1904" s="181"/>
      <c r="H1904" s="181"/>
      <c r="I1904" s="181"/>
      <c r="J1904" s="181"/>
      <c r="K1904" s="181"/>
      <c r="L1904" s="181"/>
      <c r="M1904" s="181"/>
      <c r="N1904" s="181"/>
      <c r="O1904" s="181"/>
      <c r="P1904" s="181"/>
      <c r="Q1904" s="181"/>
      <c r="R1904" s="181"/>
      <c r="S1904" s="181"/>
      <c r="T1904" s="181"/>
      <c r="U1904" s="181"/>
      <c r="V1904" s="181"/>
      <c r="W1904" s="181"/>
      <c r="X1904" s="181"/>
      <c r="Y1904" s="181"/>
      <c r="Z1904" s="181"/>
    </row>
    <row r="1905">
      <c r="A1905" s="194"/>
      <c r="B1905" s="195"/>
      <c r="C1905" s="181"/>
      <c r="D1905" s="194"/>
      <c r="E1905" s="194"/>
      <c r="F1905" s="181"/>
      <c r="G1905" s="181"/>
      <c r="H1905" s="181"/>
      <c r="I1905" s="181"/>
      <c r="J1905" s="181"/>
      <c r="K1905" s="181"/>
      <c r="L1905" s="181"/>
      <c r="M1905" s="181"/>
      <c r="N1905" s="181"/>
      <c r="O1905" s="181"/>
      <c r="P1905" s="181"/>
      <c r="Q1905" s="181"/>
      <c r="R1905" s="181"/>
      <c r="S1905" s="181"/>
      <c r="T1905" s="181"/>
      <c r="U1905" s="181"/>
      <c r="V1905" s="181"/>
      <c r="W1905" s="181"/>
      <c r="X1905" s="181"/>
      <c r="Y1905" s="181"/>
      <c r="Z1905" s="181"/>
    </row>
    <row r="1906">
      <c r="A1906" s="194"/>
      <c r="B1906" s="195"/>
      <c r="C1906" s="181"/>
      <c r="D1906" s="194"/>
      <c r="E1906" s="194"/>
      <c r="F1906" s="181"/>
      <c r="G1906" s="181"/>
      <c r="H1906" s="181"/>
      <c r="I1906" s="181"/>
      <c r="J1906" s="181"/>
      <c r="K1906" s="181"/>
      <c r="L1906" s="181"/>
      <c r="M1906" s="181"/>
      <c r="N1906" s="181"/>
      <c r="O1906" s="181"/>
      <c r="P1906" s="181"/>
      <c r="Q1906" s="181"/>
      <c r="R1906" s="181"/>
      <c r="S1906" s="181"/>
      <c r="T1906" s="181"/>
      <c r="U1906" s="181"/>
      <c r="V1906" s="181"/>
      <c r="W1906" s="181"/>
      <c r="X1906" s="181"/>
      <c r="Y1906" s="181"/>
      <c r="Z1906" s="181"/>
    </row>
    <row r="1907">
      <c r="A1907" s="194"/>
      <c r="B1907" s="195"/>
      <c r="C1907" s="181"/>
      <c r="D1907" s="194"/>
      <c r="E1907" s="194"/>
      <c r="F1907" s="181"/>
      <c r="G1907" s="181"/>
      <c r="H1907" s="181"/>
      <c r="I1907" s="181"/>
      <c r="J1907" s="181"/>
      <c r="K1907" s="181"/>
      <c r="L1907" s="181"/>
      <c r="M1907" s="181"/>
      <c r="N1907" s="181"/>
      <c r="O1907" s="181"/>
      <c r="P1907" s="181"/>
      <c r="Q1907" s="181"/>
      <c r="R1907" s="181"/>
      <c r="S1907" s="181"/>
      <c r="T1907" s="181"/>
      <c r="U1907" s="181"/>
      <c r="V1907" s="181"/>
      <c r="W1907" s="181"/>
      <c r="X1907" s="181"/>
      <c r="Y1907" s="181"/>
      <c r="Z1907" s="181"/>
    </row>
    <row r="1908">
      <c r="A1908" s="194"/>
      <c r="B1908" s="195"/>
      <c r="C1908" s="181"/>
      <c r="D1908" s="194"/>
      <c r="E1908" s="194"/>
      <c r="F1908" s="181"/>
      <c r="G1908" s="181"/>
      <c r="H1908" s="181"/>
      <c r="I1908" s="181"/>
      <c r="J1908" s="181"/>
      <c r="K1908" s="181"/>
      <c r="L1908" s="181"/>
      <c r="M1908" s="181"/>
      <c r="N1908" s="181"/>
      <c r="O1908" s="181"/>
      <c r="P1908" s="181"/>
      <c r="Q1908" s="181"/>
      <c r="R1908" s="181"/>
      <c r="S1908" s="181"/>
      <c r="T1908" s="181"/>
      <c r="U1908" s="181"/>
      <c r="V1908" s="181"/>
      <c r="W1908" s="181"/>
      <c r="X1908" s="181"/>
      <c r="Y1908" s="181"/>
      <c r="Z1908" s="181"/>
    </row>
    <row r="1909">
      <c r="A1909" s="194"/>
      <c r="B1909" s="195"/>
      <c r="C1909" s="181"/>
      <c r="D1909" s="194"/>
      <c r="E1909" s="194"/>
      <c r="F1909" s="181"/>
      <c r="G1909" s="181"/>
      <c r="H1909" s="181"/>
      <c r="I1909" s="181"/>
      <c r="J1909" s="181"/>
      <c r="K1909" s="181"/>
      <c r="L1909" s="181"/>
      <c r="M1909" s="181"/>
      <c r="N1909" s="181"/>
      <c r="O1909" s="181"/>
      <c r="P1909" s="181"/>
      <c r="Q1909" s="181"/>
      <c r="R1909" s="181"/>
      <c r="S1909" s="181"/>
      <c r="T1909" s="181"/>
      <c r="U1909" s="181"/>
      <c r="V1909" s="181"/>
      <c r="W1909" s="181"/>
      <c r="X1909" s="181"/>
      <c r="Y1909" s="181"/>
      <c r="Z1909" s="181"/>
    </row>
    <row r="1910">
      <c r="A1910" s="194"/>
      <c r="B1910" s="195"/>
      <c r="C1910" s="181"/>
      <c r="D1910" s="194"/>
      <c r="E1910" s="194"/>
      <c r="F1910" s="181"/>
      <c r="G1910" s="181"/>
      <c r="H1910" s="181"/>
      <c r="I1910" s="181"/>
      <c r="J1910" s="181"/>
      <c r="K1910" s="181"/>
      <c r="L1910" s="181"/>
      <c r="M1910" s="181"/>
      <c r="N1910" s="181"/>
      <c r="O1910" s="181"/>
      <c r="P1910" s="181"/>
      <c r="Q1910" s="181"/>
      <c r="R1910" s="181"/>
      <c r="S1910" s="181"/>
      <c r="T1910" s="181"/>
      <c r="U1910" s="181"/>
      <c r="V1910" s="181"/>
      <c r="W1910" s="181"/>
      <c r="X1910" s="181"/>
      <c r="Y1910" s="181"/>
      <c r="Z1910" s="181"/>
    </row>
    <row r="1911">
      <c r="A1911" s="194"/>
      <c r="B1911" s="195"/>
      <c r="C1911" s="181"/>
      <c r="D1911" s="194"/>
      <c r="E1911" s="194"/>
      <c r="F1911" s="181"/>
      <c r="G1911" s="181"/>
      <c r="H1911" s="181"/>
      <c r="I1911" s="181"/>
      <c r="J1911" s="181"/>
      <c r="K1911" s="181"/>
      <c r="L1911" s="181"/>
      <c r="M1911" s="181"/>
      <c r="N1911" s="181"/>
      <c r="O1911" s="181"/>
      <c r="P1911" s="181"/>
      <c r="Q1911" s="181"/>
      <c r="R1911" s="181"/>
      <c r="S1911" s="181"/>
      <c r="T1911" s="181"/>
      <c r="U1911" s="181"/>
      <c r="V1911" s="181"/>
      <c r="W1911" s="181"/>
      <c r="X1911" s="181"/>
      <c r="Y1911" s="181"/>
      <c r="Z1911" s="181"/>
    </row>
    <row r="1912">
      <c r="A1912" s="194"/>
      <c r="B1912" s="195"/>
      <c r="C1912" s="181"/>
      <c r="D1912" s="194"/>
      <c r="E1912" s="194"/>
      <c r="F1912" s="181"/>
      <c r="G1912" s="181"/>
      <c r="H1912" s="181"/>
      <c r="I1912" s="181"/>
      <c r="J1912" s="181"/>
      <c r="K1912" s="181"/>
      <c r="L1912" s="181"/>
      <c r="M1912" s="181"/>
      <c r="N1912" s="181"/>
      <c r="O1912" s="181"/>
      <c r="P1912" s="181"/>
      <c r="Q1912" s="181"/>
      <c r="R1912" s="181"/>
      <c r="S1912" s="181"/>
      <c r="T1912" s="181"/>
      <c r="U1912" s="181"/>
      <c r="V1912" s="181"/>
      <c r="W1912" s="181"/>
      <c r="X1912" s="181"/>
      <c r="Y1912" s="181"/>
      <c r="Z1912" s="181"/>
    </row>
    <row r="1913">
      <c r="A1913" s="194"/>
      <c r="B1913" s="195"/>
      <c r="C1913" s="181"/>
      <c r="D1913" s="194"/>
      <c r="E1913" s="194"/>
      <c r="F1913" s="181"/>
      <c r="G1913" s="181"/>
      <c r="H1913" s="181"/>
      <c r="I1913" s="181"/>
      <c r="J1913" s="181"/>
      <c r="K1913" s="181"/>
      <c r="L1913" s="181"/>
      <c r="M1913" s="181"/>
      <c r="N1913" s="181"/>
      <c r="O1913" s="181"/>
      <c r="P1913" s="181"/>
      <c r="Q1913" s="181"/>
      <c r="R1913" s="181"/>
      <c r="S1913" s="181"/>
      <c r="T1913" s="181"/>
      <c r="U1913" s="181"/>
      <c r="V1913" s="181"/>
      <c r="W1913" s="181"/>
      <c r="X1913" s="181"/>
      <c r="Y1913" s="181"/>
      <c r="Z1913" s="181"/>
    </row>
    <row r="1914">
      <c r="A1914" s="194"/>
      <c r="B1914" s="195"/>
      <c r="C1914" s="181"/>
      <c r="D1914" s="194"/>
      <c r="E1914" s="194"/>
      <c r="F1914" s="181"/>
      <c r="G1914" s="181"/>
      <c r="H1914" s="181"/>
      <c r="I1914" s="181"/>
      <c r="J1914" s="181"/>
      <c r="K1914" s="181"/>
      <c r="L1914" s="181"/>
      <c r="M1914" s="181"/>
      <c r="N1914" s="181"/>
      <c r="O1914" s="181"/>
      <c r="P1914" s="181"/>
      <c r="Q1914" s="181"/>
      <c r="R1914" s="181"/>
      <c r="S1914" s="181"/>
      <c r="T1914" s="181"/>
      <c r="U1914" s="181"/>
      <c r="V1914" s="181"/>
      <c r="W1914" s="181"/>
      <c r="X1914" s="181"/>
      <c r="Y1914" s="181"/>
      <c r="Z1914" s="181"/>
    </row>
    <row r="1915">
      <c r="A1915" s="194"/>
      <c r="B1915" s="195"/>
      <c r="C1915" s="181"/>
      <c r="D1915" s="194"/>
      <c r="E1915" s="194"/>
      <c r="F1915" s="181"/>
      <c r="G1915" s="181"/>
      <c r="H1915" s="181"/>
      <c r="I1915" s="181"/>
      <c r="J1915" s="181"/>
      <c r="K1915" s="181"/>
      <c r="L1915" s="181"/>
      <c r="M1915" s="181"/>
      <c r="N1915" s="181"/>
      <c r="O1915" s="181"/>
      <c r="P1915" s="181"/>
      <c r="Q1915" s="181"/>
      <c r="R1915" s="181"/>
      <c r="S1915" s="181"/>
      <c r="T1915" s="181"/>
      <c r="U1915" s="181"/>
      <c r="V1915" s="181"/>
      <c r="W1915" s="181"/>
      <c r="X1915" s="181"/>
      <c r="Y1915" s="181"/>
      <c r="Z1915" s="181"/>
    </row>
    <row r="1916">
      <c r="A1916" s="194"/>
      <c r="B1916" s="195"/>
      <c r="C1916" s="181"/>
      <c r="D1916" s="194"/>
      <c r="E1916" s="194"/>
      <c r="F1916" s="181"/>
      <c r="G1916" s="181"/>
      <c r="H1916" s="181"/>
      <c r="I1916" s="181"/>
      <c r="J1916" s="181"/>
      <c r="K1916" s="181"/>
      <c r="L1916" s="181"/>
      <c r="M1916" s="181"/>
      <c r="N1916" s="181"/>
      <c r="O1916" s="181"/>
      <c r="P1916" s="181"/>
      <c r="Q1916" s="181"/>
      <c r="R1916" s="181"/>
      <c r="S1916" s="181"/>
      <c r="T1916" s="181"/>
      <c r="U1916" s="181"/>
      <c r="V1916" s="181"/>
      <c r="W1916" s="181"/>
      <c r="X1916" s="181"/>
      <c r="Y1916" s="181"/>
      <c r="Z1916" s="181"/>
    </row>
    <row r="1917">
      <c r="A1917" s="194"/>
      <c r="B1917" s="195"/>
      <c r="C1917" s="181"/>
      <c r="D1917" s="194"/>
      <c r="E1917" s="194"/>
      <c r="F1917" s="181"/>
      <c r="G1917" s="181"/>
      <c r="H1917" s="181"/>
      <c r="I1917" s="181"/>
      <c r="J1917" s="181"/>
      <c r="K1917" s="181"/>
      <c r="L1917" s="181"/>
      <c r="M1917" s="181"/>
      <c r="N1917" s="181"/>
      <c r="O1917" s="181"/>
      <c r="P1917" s="181"/>
      <c r="Q1917" s="181"/>
      <c r="R1917" s="181"/>
      <c r="S1917" s="181"/>
      <c r="T1917" s="181"/>
      <c r="U1917" s="181"/>
      <c r="V1917" s="181"/>
      <c r="W1917" s="181"/>
      <c r="X1917" s="181"/>
      <c r="Y1917" s="181"/>
      <c r="Z1917" s="181"/>
    </row>
    <row r="1918">
      <c r="A1918" s="194"/>
      <c r="B1918" s="195"/>
      <c r="C1918" s="181"/>
      <c r="D1918" s="194"/>
      <c r="E1918" s="194"/>
      <c r="F1918" s="181"/>
      <c r="G1918" s="181"/>
      <c r="H1918" s="181"/>
      <c r="I1918" s="181"/>
      <c r="J1918" s="181"/>
      <c r="K1918" s="181"/>
      <c r="L1918" s="181"/>
      <c r="M1918" s="181"/>
      <c r="N1918" s="181"/>
      <c r="O1918" s="181"/>
      <c r="P1918" s="181"/>
      <c r="Q1918" s="181"/>
      <c r="R1918" s="181"/>
      <c r="S1918" s="181"/>
      <c r="T1918" s="181"/>
      <c r="U1918" s="181"/>
      <c r="V1918" s="181"/>
      <c r="W1918" s="181"/>
      <c r="X1918" s="181"/>
      <c r="Y1918" s="181"/>
      <c r="Z1918" s="181"/>
    </row>
    <row r="1919">
      <c r="A1919" s="194"/>
      <c r="B1919" s="195"/>
      <c r="C1919" s="181"/>
      <c r="D1919" s="194"/>
      <c r="E1919" s="194"/>
      <c r="F1919" s="181"/>
      <c r="G1919" s="181"/>
      <c r="H1919" s="181"/>
      <c r="I1919" s="181"/>
      <c r="J1919" s="181"/>
      <c r="K1919" s="181"/>
      <c r="L1919" s="181"/>
      <c r="M1919" s="181"/>
      <c r="N1919" s="181"/>
      <c r="O1919" s="181"/>
      <c r="P1919" s="181"/>
      <c r="Q1919" s="181"/>
      <c r="R1919" s="181"/>
      <c r="S1919" s="181"/>
      <c r="T1919" s="181"/>
      <c r="U1919" s="181"/>
      <c r="V1919" s="181"/>
      <c r="W1919" s="181"/>
      <c r="X1919" s="181"/>
      <c r="Y1919" s="181"/>
      <c r="Z1919" s="181"/>
    </row>
    <row r="1920">
      <c r="A1920" s="194"/>
      <c r="B1920" s="195"/>
      <c r="C1920" s="181"/>
      <c r="D1920" s="194"/>
      <c r="E1920" s="194"/>
      <c r="F1920" s="181"/>
      <c r="G1920" s="181"/>
      <c r="H1920" s="181"/>
      <c r="I1920" s="181"/>
      <c r="J1920" s="181"/>
      <c r="K1920" s="181"/>
      <c r="L1920" s="181"/>
      <c r="M1920" s="181"/>
      <c r="N1920" s="181"/>
      <c r="O1920" s="181"/>
      <c r="P1920" s="181"/>
      <c r="Q1920" s="181"/>
      <c r="R1920" s="181"/>
      <c r="S1920" s="181"/>
      <c r="T1920" s="181"/>
      <c r="U1920" s="181"/>
      <c r="V1920" s="181"/>
      <c r="W1920" s="181"/>
      <c r="X1920" s="181"/>
      <c r="Y1920" s="181"/>
      <c r="Z1920" s="181"/>
    </row>
    <row r="1921">
      <c r="A1921" s="194"/>
      <c r="B1921" s="195"/>
      <c r="C1921" s="181"/>
      <c r="D1921" s="194"/>
      <c r="E1921" s="194"/>
      <c r="F1921" s="181"/>
      <c r="G1921" s="181"/>
      <c r="H1921" s="181"/>
      <c r="I1921" s="181"/>
      <c r="J1921" s="181"/>
      <c r="K1921" s="181"/>
      <c r="L1921" s="181"/>
      <c r="M1921" s="181"/>
      <c r="N1921" s="181"/>
      <c r="O1921" s="181"/>
      <c r="P1921" s="181"/>
      <c r="Q1921" s="181"/>
      <c r="R1921" s="181"/>
      <c r="S1921" s="181"/>
      <c r="T1921" s="181"/>
      <c r="U1921" s="181"/>
      <c r="V1921" s="181"/>
      <c r="W1921" s="181"/>
      <c r="X1921" s="181"/>
      <c r="Y1921" s="181"/>
      <c r="Z1921" s="181"/>
    </row>
    <row r="1922">
      <c r="A1922" s="194"/>
      <c r="B1922" s="195"/>
      <c r="C1922" s="181"/>
      <c r="D1922" s="194"/>
      <c r="E1922" s="194"/>
      <c r="F1922" s="181"/>
      <c r="G1922" s="181"/>
      <c r="H1922" s="181"/>
      <c r="I1922" s="181"/>
      <c r="J1922" s="181"/>
      <c r="K1922" s="181"/>
      <c r="L1922" s="181"/>
      <c r="M1922" s="181"/>
      <c r="N1922" s="181"/>
      <c r="O1922" s="181"/>
      <c r="P1922" s="181"/>
      <c r="Q1922" s="181"/>
      <c r="R1922" s="181"/>
      <c r="S1922" s="181"/>
      <c r="T1922" s="181"/>
      <c r="U1922" s="181"/>
      <c r="V1922" s="181"/>
      <c r="W1922" s="181"/>
      <c r="X1922" s="181"/>
      <c r="Y1922" s="181"/>
      <c r="Z1922" s="181"/>
    </row>
    <row r="1923">
      <c r="A1923" s="194"/>
      <c r="B1923" s="195"/>
      <c r="C1923" s="181"/>
      <c r="D1923" s="194"/>
      <c r="E1923" s="194"/>
      <c r="F1923" s="181"/>
      <c r="G1923" s="181"/>
      <c r="H1923" s="181"/>
      <c r="I1923" s="181"/>
      <c r="J1923" s="181"/>
      <c r="K1923" s="181"/>
      <c r="L1923" s="181"/>
      <c r="M1923" s="181"/>
      <c r="N1923" s="181"/>
      <c r="O1923" s="181"/>
      <c r="P1923" s="181"/>
      <c r="Q1923" s="181"/>
      <c r="R1923" s="181"/>
      <c r="S1923" s="181"/>
      <c r="T1923" s="181"/>
      <c r="U1923" s="181"/>
      <c r="V1923" s="181"/>
      <c r="W1923" s="181"/>
      <c r="X1923" s="181"/>
      <c r="Y1923" s="181"/>
      <c r="Z1923" s="181"/>
    </row>
    <row r="1924">
      <c r="A1924" s="194"/>
      <c r="B1924" s="195"/>
      <c r="C1924" s="181"/>
      <c r="D1924" s="194"/>
      <c r="E1924" s="194"/>
      <c r="F1924" s="181"/>
      <c r="G1924" s="181"/>
      <c r="H1924" s="181"/>
      <c r="I1924" s="181"/>
      <c r="J1924" s="181"/>
      <c r="K1924" s="181"/>
      <c r="L1924" s="181"/>
      <c r="M1924" s="181"/>
      <c r="N1924" s="181"/>
      <c r="O1924" s="181"/>
      <c r="P1924" s="181"/>
      <c r="Q1924" s="181"/>
      <c r="R1924" s="181"/>
      <c r="S1924" s="181"/>
      <c r="T1924" s="181"/>
      <c r="U1924" s="181"/>
      <c r="V1924" s="181"/>
      <c r="W1924" s="181"/>
      <c r="X1924" s="181"/>
      <c r="Y1924" s="181"/>
      <c r="Z1924" s="181"/>
    </row>
    <row r="1925">
      <c r="A1925" s="194"/>
      <c r="B1925" s="195"/>
      <c r="C1925" s="181"/>
      <c r="D1925" s="194"/>
      <c r="E1925" s="194"/>
      <c r="F1925" s="181"/>
      <c r="G1925" s="181"/>
      <c r="H1925" s="181"/>
      <c r="I1925" s="181"/>
      <c r="J1925" s="181"/>
      <c r="K1925" s="181"/>
      <c r="L1925" s="181"/>
      <c r="M1925" s="181"/>
      <c r="N1925" s="181"/>
      <c r="O1925" s="181"/>
      <c r="P1925" s="181"/>
      <c r="Q1925" s="181"/>
      <c r="R1925" s="181"/>
      <c r="S1925" s="181"/>
      <c r="T1925" s="181"/>
      <c r="U1925" s="181"/>
      <c r="V1925" s="181"/>
      <c r="W1925" s="181"/>
      <c r="X1925" s="181"/>
      <c r="Y1925" s="181"/>
      <c r="Z1925" s="181"/>
    </row>
    <row r="1926">
      <c r="A1926" s="194"/>
      <c r="B1926" s="195"/>
      <c r="C1926" s="181"/>
      <c r="D1926" s="194"/>
      <c r="E1926" s="194"/>
      <c r="F1926" s="181"/>
      <c r="G1926" s="181"/>
      <c r="H1926" s="181"/>
      <c r="I1926" s="181"/>
      <c r="J1926" s="181"/>
      <c r="K1926" s="181"/>
      <c r="L1926" s="181"/>
      <c r="M1926" s="181"/>
      <c r="N1926" s="181"/>
      <c r="O1926" s="181"/>
      <c r="P1926" s="181"/>
      <c r="Q1926" s="181"/>
      <c r="R1926" s="181"/>
      <c r="S1926" s="181"/>
      <c r="T1926" s="181"/>
      <c r="U1926" s="181"/>
      <c r="V1926" s="181"/>
      <c r="W1926" s="181"/>
      <c r="X1926" s="181"/>
      <c r="Y1926" s="181"/>
      <c r="Z1926" s="181"/>
    </row>
    <row r="1927">
      <c r="A1927" s="194"/>
      <c r="B1927" s="195"/>
      <c r="C1927" s="181"/>
      <c r="D1927" s="194"/>
      <c r="E1927" s="194"/>
      <c r="F1927" s="181"/>
      <c r="G1927" s="181"/>
      <c r="H1927" s="181"/>
      <c r="I1927" s="181"/>
      <c r="J1927" s="181"/>
      <c r="K1927" s="181"/>
      <c r="L1927" s="181"/>
      <c r="M1927" s="181"/>
      <c r="N1927" s="181"/>
      <c r="O1927" s="181"/>
      <c r="P1927" s="181"/>
      <c r="Q1927" s="181"/>
      <c r="R1927" s="181"/>
      <c r="S1927" s="181"/>
      <c r="T1927" s="181"/>
      <c r="U1927" s="181"/>
      <c r="V1927" s="181"/>
      <c r="W1927" s="181"/>
      <c r="X1927" s="181"/>
      <c r="Y1927" s="181"/>
      <c r="Z1927" s="181"/>
    </row>
    <row r="1928">
      <c r="A1928" s="194"/>
      <c r="B1928" s="195"/>
      <c r="C1928" s="181"/>
      <c r="D1928" s="194"/>
      <c r="E1928" s="194"/>
      <c r="F1928" s="181"/>
      <c r="G1928" s="181"/>
      <c r="H1928" s="181"/>
      <c r="I1928" s="181"/>
      <c r="J1928" s="181"/>
      <c r="K1928" s="181"/>
      <c r="L1928" s="181"/>
      <c r="M1928" s="181"/>
      <c r="N1928" s="181"/>
      <c r="O1928" s="181"/>
      <c r="P1928" s="181"/>
      <c r="Q1928" s="181"/>
      <c r="R1928" s="181"/>
      <c r="S1928" s="181"/>
      <c r="T1928" s="181"/>
      <c r="U1928" s="181"/>
      <c r="V1928" s="181"/>
      <c r="W1928" s="181"/>
      <c r="X1928" s="181"/>
      <c r="Y1928" s="181"/>
      <c r="Z1928" s="181"/>
    </row>
    <row r="1929">
      <c r="A1929" s="194"/>
      <c r="B1929" s="195"/>
      <c r="C1929" s="181"/>
      <c r="D1929" s="194"/>
      <c r="E1929" s="194"/>
      <c r="F1929" s="181"/>
      <c r="G1929" s="181"/>
      <c r="H1929" s="181"/>
      <c r="I1929" s="181"/>
      <c r="J1929" s="181"/>
      <c r="K1929" s="181"/>
      <c r="L1929" s="181"/>
      <c r="M1929" s="181"/>
      <c r="N1929" s="181"/>
      <c r="O1929" s="181"/>
      <c r="P1929" s="181"/>
      <c r="Q1929" s="181"/>
      <c r="R1929" s="181"/>
      <c r="S1929" s="181"/>
      <c r="T1929" s="181"/>
      <c r="U1929" s="181"/>
      <c r="V1929" s="181"/>
      <c r="W1929" s="181"/>
      <c r="X1929" s="181"/>
      <c r="Y1929" s="181"/>
      <c r="Z1929" s="181"/>
    </row>
    <row r="1930">
      <c r="A1930" s="194"/>
      <c r="B1930" s="195"/>
      <c r="C1930" s="181"/>
      <c r="D1930" s="194"/>
      <c r="E1930" s="194"/>
      <c r="F1930" s="181"/>
      <c r="G1930" s="181"/>
      <c r="H1930" s="181"/>
      <c r="I1930" s="181"/>
      <c r="J1930" s="181"/>
      <c r="K1930" s="181"/>
      <c r="L1930" s="181"/>
      <c r="M1930" s="181"/>
      <c r="N1930" s="181"/>
      <c r="O1930" s="181"/>
      <c r="P1930" s="181"/>
      <c r="Q1930" s="181"/>
      <c r="R1930" s="181"/>
      <c r="S1930" s="181"/>
      <c r="T1930" s="181"/>
      <c r="U1930" s="181"/>
      <c r="V1930" s="181"/>
      <c r="W1930" s="181"/>
      <c r="X1930" s="181"/>
      <c r="Y1930" s="181"/>
      <c r="Z1930" s="181"/>
    </row>
    <row r="1931">
      <c r="A1931" s="194"/>
      <c r="B1931" s="195"/>
      <c r="C1931" s="181"/>
      <c r="D1931" s="194"/>
      <c r="E1931" s="194"/>
      <c r="F1931" s="181"/>
      <c r="G1931" s="181"/>
      <c r="H1931" s="181"/>
      <c r="I1931" s="181"/>
      <c r="J1931" s="181"/>
      <c r="K1931" s="181"/>
      <c r="L1931" s="181"/>
      <c r="M1931" s="181"/>
      <c r="N1931" s="181"/>
      <c r="O1931" s="181"/>
      <c r="P1931" s="181"/>
      <c r="Q1931" s="181"/>
      <c r="R1931" s="181"/>
      <c r="S1931" s="181"/>
      <c r="T1931" s="181"/>
      <c r="U1931" s="181"/>
      <c r="V1931" s="181"/>
      <c r="W1931" s="181"/>
      <c r="X1931" s="181"/>
      <c r="Y1931" s="181"/>
      <c r="Z1931" s="181"/>
    </row>
    <row r="1932">
      <c r="A1932" s="194"/>
      <c r="B1932" s="195"/>
      <c r="C1932" s="181"/>
      <c r="D1932" s="194"/>
      <c r="E1932" s="194"/>
      <c r="F1932" s="181"/>
      <c r="G1932" s="181"/>
      <c r="H1932" s="181"/>
      <c r="I1932" s="181"/>
      <c r="J1932" s="181"/>
      <c r="K1932" s="181"/>
      <c r="L1932" s="181"/>
      <c r="M1932" s="181"/>
      <c r="N1932" s="181"/>
      <c r="O1932" s="181"/>
      <c r="P1932" s="181"/>
      <c r="Q1932" s="181"/>
      <c r="R1932" s="181"/>
      <c r="S1932" s="181"/>
      <c r="T1932" s="181"/>
      <c r="U1932" s="181"/>
      <c r="V1932" s="181"/>
      <c r="W1932" s="181"/>
      <c r="X1932" s="181"/>
      <c r="Y1932" s="181"/>
      <c r="Z1932" s="181"/>
    </row>
    <row r="1933">
      <c r="A1933" s="194"/>
      <c r="B1933" s="195"/>
      <c r="C1933" s="181"/>
      <c r="D1933" s="194"/>
      <c r="E1933" s="194"/>
      <c r="F1933" s="181"/>
      <c r="G1933" s="181"/>
      <c r="H1933" s="181"/>
      <c r="I1933" s="181"/>
      <c r="J1933" s="181"/>
      <c r="K1933" s="181"/>
      <c r="L1933" s="181"/>
      <c r="M1933" s="181"/>
      <c r="N1933" s="181"/>
      <c r="O1933" s="181"/>
      <c r="P1933" s="181"/>
      <c r="Q1933" s="181"/>
      <c r="R1933" s="181"/>
      <c r="S1933" s="181"/>
      <c r="T1933" s="181"/>
      <c r="U1933" s="181"/>
      <c r="V1933" s="181"/>
      <c r="W1933" s="181"/>
      <c r="X1933" s="181"/>
      <c r="Y1933" s="181"/>
      <c r="Z1933" s="181"/>
    </row>
    <row r="1934">
      <c r="A1934" s="194"/>
      <c r="B1934" s="195"/>
      <c r="C1934" s="181"/>
      <c r="D1934" s="194"/>
      <c r="E1934" s="194"/>
      <c r="F1934" s="181"/>
      <c r="G1934" s="181"/>
      <c r="H1934" s="181"/>
      <c r="I1934" s="181"/>
      <c r="J1934" s="181"/>
      <c r="K1934" s="181"/>
      <c r="L1934" s="181"/>
      <c r="M1934" s="181"/>
      <c r="N1934" s="181"/>
      <c r="O1934" s="181"/>
      <c r="P1934" s="181"/>
      <c r="Q1934" s="181"/>
      <c r="R1934" s="181"/>
      <c r="S1934" s="181"/>
      <c r="T1934" s="181"/>
      <c r="U1934" s="181"/>
      <c r="V1934" s="181"/>
      <c r="W1934" s="181"/>
      <c r="X1934" s="181"/>
      <c r="Y1934" s="181"/>
      <c r="Z1934" s="181"/>
    </row>
    <row r="1935">
      <c r="A1935" s="194"/>
      <c r="B1935" s="195"/>
      <c r="C1935" s="181"/>
      <c r="D1935" s="194"/>
      <c r="E1935" s="194"/>
      <c r="F1935" s="181"/>
      <c r="G1935" s="181"/>
      <c r="H1935" s="181"/>
      <c r="I1935" s="181"/>
      <c r="J1935" s="181"/>
      <c r="K1935" s="181"/>
      <c r="L1935" s="181"/>
      <c r="M1935" s="181"/>
      <c r="N1935" s="181"/>
      <c r="O1935" s="181"/>
      <c r="P1935" s="181"/>
      <c r="Q1935" s="181"/>
      <c r="R1935" s="181"/>
      <c r="S1935" s="181"/>
      <c r="T1935" s="181"/>
      <c r="U1935" s="181"/>
      <c r="V1935" s="181"/>
      <c r="W1935" s="181"/>
      <c r="X1935" s="181"/>
      <c r="Y1935" s="181"/>
      <c r="Z1935" s="181"/>
    </row>
    <row r="1936">
      <c r="A1936" s="194"/>
      <c r="B1936" s="195"/>
      <c r="C1936" s="181"/>
      <c r="D1936" s="194"/>
      <c r="E1936" s="194"/>
      <c r="F1936" s="181"/>
      <c r="G1936" s="181"/>
      <c r="H1936" s="181"/>
      <c r="I1936" s="181"/>
      <c r="J1936" s="181"/>
      <c r="K1936" s="181"/>
      <c r="L1936" s="181"/>
      <c r="M1936" s="181"/>
      <c r="N1936" s="181"/>
      <c r="O1936" s="181"/>
      <c r="P1936" s="181"/>
      <c r="Q1936" s="181"/>
      <c r="R1936" s="181"/>
      <c r="S1936" s="181"/>
      <c r="T1936" s="181"/>
      <c r="U1936" s="181"/>
      <c r="V1936" s="181"/>
      <c r="W1936" s="181"/>
      <c r="X1936" s="181"/>
      <c r="Y1936" s="181"/>
      <c r="Z1936" s="181"/>
    </row>
    <row r="1937">
      <c r="A1937" s="194"/>
      <c r="B1937" s="195"/>
      <c r="C1937" s="181"/>
      <c r="D1937" s="194"/>
      <c r="E1937" s="194"/>
      <c r="F1937" s="181"/>
      <c r="G1937" s="181"/>
      <c r="H1937" s="181"/>
      <c r="I1937" s="181"/>
      <c r="J1937" s="181"/>
      <c r="K1937" s="181"/>
      <c r="L1937" s="181"/>
      <c r="M1937" s="181"/>
      <c r="N1937" s="181"/>
      <c r="O1937" s="181"/>
      <c r="P1937" s="181"/>
      <c r="Q1937" s="181"/>
      <c r="R1937" s="181"/>
      <c r="S1937" s="181"/>
      <c r="T1937" s="181"/>
      <c r="U1937" s="181"/>
      <c r="V1937" s="181"/>
      <c r="W1937" s="181"/>
      <c r="X1937" s="181"/>
      <c r="Y1937" s="181"/>
      <c r="Z1937" s="181"/>
    </row>
    <row r="1938">
      <c r="A1938" s="194"/>
      <c r="B1938" s="195"/>
      <c r="C1938" s="181"/>
      <c r="D1938" s="194"/>
      <c r="E1938" s="194"/>
      <c r="F1938" s="181"/>
      <c r="G1938" s="181"/>
      <c r="H1938" s="181"/>
      <c r="I1938" s="181"/>
      <c r="J1938" s="181"/>
      <c r="K1938" s="181"/>
      <c r="L1938" s="181"/>
      <c r="M1938" s="181"/>
      <c r="N1938" s="181"/>
      <c r="O1938" s="181"/>
      <c r="P1938" s="181"/>
      <c r="Q1938" s="181"/>
      <c r="R1938" s="181"/>
      <c r="S1938" s="181"/>
      <c r="T1938" s="181"/>
      <c r="U1938" s="181"/>
      <c r="V1938" s="181"/>
      <c r="W1938" s="181"/>
      <c r="X1938" s="181"/>
      <c r="Y1938" s="181"/>
      <c r="Z1938" s="181"/>
    </row>
    <row r="1939">
      <c r="A1939" s="194"/>
      <c r="B1939" s="195"/>
      <c r="C1939" s="181"/>
      <c r="D1939" s="194"/>
      <c r="E1939" s="194"/>
      <c r="F1939" s="181"/>
      <c r="G1939" s="181"/>
      <c r="H1939" s="181"/>
      <c r="I1939" s="181"/>
      <c r="J1939" s="181"/>
      <c r="K1939" s="181"/>
      <c r="L1939" s="181"/>
      <c r="M1939" s="181"/>
      <c r="N1939" s="181"/>
      <c r="O1939" s="181"/>
      <c r="P1939" s="181"/>
      <c r="Q1939" s="181"/>
      <c r="R1939" s="181"/>
      <c r="S1939" s="181"/>
      <c r="T1939" s="181"/>
      <c r="U1939" s="181"/>
      <c r="V1939" s="181"/>
      <c r="W1939" s="181"/>
      <c r="X1939" s="181"/>
      <c r="Y1939" s="181"/>
      <c r="Z1939" s="181"/>
    </row>
    <row r="1940">
      <c r="A1940" s="194"/>
      <c r="B1940" s="195"/>
      <c r="C1940" s="181"/>
      <c r="D1940" s="194"/>
      <c r="E1940" s="194"/>
      <c r="F1940" s="181"/>
      <c r="G1940" s="181"/>
      <c r="H1940" s="181"/>
      <c r="I1940" s="181"/>
      <c r="J1940" s="181"/>
      <c r="K1940" s="181"/>
      <c r="L1940" s="181"/>
      <c r="M1940" s="181"/>
      <c r="N1940" s="181"/>
      <c r="O1940" s="181"/>
      <c r="P1940" s="181"/>
      <c r="Q1940" s="181"/>
      <c r="R1940" s="181"/>
      <c r="S1940" s="181"/>
      <c r="T1940" s="181"/>
      <c r="U1940" s="181"/>
      <c r="V1940" s="181"/>
      <c r="W1940" s="181"/>
      <c r="X1940" s="181"/>
      <c r="Y1940" s="181"/>
      <c r="Z1940" s="181"/>
    </row>
    <row r="1941">
      <c r="A1941" s="194"/>
      <c r="B1941" s="195"/>
      <c r="C1941" s="181"/>
      <c r="D1941" s="194"/>
      <c r="E1941" s="194"/>
      <c r="F1941" s="181"/>
      <c r="G1941" s="181"/>
      <c r="H1941" s="181"/>
      <c r="I1941" s="181"/>
      <c r="J1941" s="181"/>
      <c r="K1941" s="181"/>
      <c r="L1941" s="181"/>
      <c r="M1941" s="181"/>
      <c r="N1941" s="181"/>
      <c r="O1941" s="181"/>
      <c r="P1941" s="181"/>
      <c r="Q1941" s="181"/>
      <c r="R1941" s="181"/>
      <c r="S1941" s="181"/>
      <c r="T1941" s="181"/>
      <c r="U1941" s="181"/>
      <c r="V1941" s="181"/>
      <c r="W1941" s="181"/>
      <c r="X1941" s="181"/>
      <c r="Y1941" s="181"/>
      <c r="Z1941" s="181"/>
    </row>
    <row r="1942">
      <c r="A1942" s="194"/>
      <c r="B1942" s="195"/>
      <c r="C1942" s="181"/>
      <c r="D1942" s="194"/>
      <c r="E1942" s="194"/>
      <c r="F1942" s="181"/>
      <c r="G1942" s="181"/>
      <c r="H1942" s="181"/>
      <c r="I1942" s="181"/>
      <c r="J1942" s="181"/>
      <c r="K1942" s="181"/>
      <c r="L1942" s="181"/>
      <c r="M1942" s="181"/>
      <c r="N1942" s="181"/>
      <c r="O1942" s="181"/>
      <c r="P1942" s="181"/>
      <c r="Q1942" s="181"/>
      <c r="R1942" s="181"/>
      <c r="S1942" s="181"/>
      <c r="T1942" s="181"/>
      <c r="U1942" s="181"/>
      <c r="V1942" s="181"/>
      <c r="W1942" s="181"/>
      <c r="X1942" s="181"/>
      <c r="Y1942" s="181"/>
      <c r="Z1942" s="181"/>
    </row>
    <row r="1943">
      <c r="A1943" s="194"/>
      <c r="B1943" s="195"/>
      <c r="C1943" s="181"/>
      <c r="D1943" s="194"/>
      <c r="E1943" s="194"/>
      <c r="F1943" s="181"/>
      <c r="G1943" s="181"/>
      <c r="H1943" s="181"/>
      <c r="I1943" s="181"/>
      <c r="J1943" s="181"/>
      <c r="K1943" s="181"/>
      <c r="L1943" s="181"/>
      <c r="M1943" s="181"/>
      <c r="N1943" s="181"/>
      <c r="O1943" s="181"/>
      <c r="P1943" s="181"/>
      <c r="Q1943" s="181"/>
      <c r="R1943" s="181"/>
      <c r="S1943" s="181"/>
      <c r="T1943" s="181"/>
      <c r="U1943" s="181"/>
      <c r="V1943" s="181"/>
      <c r="W1943" s="181"/>
      <c r="X1943" s="181"/>
      <c r="Y1943" s="181"/>
      <c r="Z1943" s="181"/>
    </row>
    <row r="1944">
      <c r="A1944" s="194"/>
      <c r="B1944" s="195"/>
      <c r="C1944" s="181"/>
      <c r="D1944" s="194"/>
      <c r="E1944" s="194"/>
      <c r="F1944" s="181"/>
      <c r="G1944" s="181"/>
      <c r="H1944" s="181"/>
      <c r="I1944" s="181"/>
      <c r="J1944" s="181"/>
      <c r="K1944" s="181"/>
      <c r="L1944" s="181"/>
      <c r="M1944" s="181"/>
      <c r="N1944" s="181"/>
      <c r="O1944" s="181"/>
      <c r="P1944" s="181"/>
      <c r="Q1944" s="181"/>
      <c r="R1944" s="181"/>
      <c r="S1944" s="181"/>
      <c r="T1944" s="181"/>
      <c r="U1944" s="181"/>
      <c r="V1944" s="181"/>
      <c r="W1944" s="181"/>
      <c r="X1944" s="181"/>
      <c r="Y1944" s="181"/>
      <c r="Z1944" s="181"/>
    </row>
    <row r="1945">
      <c r="A1945" s="194"/>
      <c r="B1945" s="195"/>
      <c r="C1945" s="181"/>
      <c r="D1945" s="194"/>
      <c r="E1945" s="194"/>
      <c r="F1945" s="181"/>
      <c r="G1945" s="181"/>
      <c r="H1945" s="181"/>
      <c r="I1945" s="181"/>
      <c r="J1945" s="181"/>
      <c r="K1945" s="181"/>
      <c r="L1945" s="181"/>
      <c r="M1945" s="181"/>
      <c r="N1945" s="181"/>
      <c r="O1945" s="181"/>
      <c r="P1945" s="181"/>
      <c r="Q1945" s="181"/>
      <c r="R1945" s="181"/>
      <c r="S1945" s="181"/>
      <c r="T1945" s="181"/>
      <c r="U1945" s="181"/>
      <c r="V1945" s="181"/>
      <c r="W1945" s="181"/>
      <c r="X1945" s="181"/>
      <c r="Y1945" s="181"/>
      <c r="Z1945" s="181"/>
    </row>
    <row r="1946">
      <c r="A1946" s="194"/>
      <c r="B1946" s="195"/>
      <c r="C1946" s="181"/>
      <c r="D1946" s="194"/>
      <c r="E1946" s="194"/>
      <c r="F1946" s="181"/>
      <c r="G1946" s="181"/>
      <c r="H1946" s="181"/>
      <c r="I1946" s="181"/>
      <c r="J1946" s="181"/>
      <c r="K1946" s="181"/>
      <c r="L1946" s="181"/>
      <c r="M1946" s="181"/>
      <c r="N1946" s="181"/>
      <c r="O1946" s="181"/>
      <c r="P1946" s="181"/>
      <c r="Q1946" s="181"/>
      <c r="R1946" s="181"/>
      <c r="S1946" s="181"/>
      <c r="T1946" s="181"/>
      <c r="U1946" s="181"/>
      <c r="V1946" s="181"/>
      <c r="W1946" s="181"/>
      <c r="X1946" s="181"/>
      <c r="Y1946" s="181"/>
      <c r="Z1946" s="181"/>
    </row>
    <row r="1947">
      <c r="A1947" s="194"/>
      <c r="B1947" s="195"/>
      <c r="C1947" s="181"/>
      <c r="D1947" s="194"/>
      <c r="E1947" s="194"/>
      <c r="F1947" s="181"/>
      <c r="G1947" s="181"/>
      <c r="H1947" s="181"/>
      <c r="I1947" s="181"/>
      <c r="J1947" s="181"/>
      <c r="K1947" s="181"/>
      <c r="L1947" s="181"/>
      <c r="M1947" s="181"/>
      <c r="N1947" s="181"/>
      <c r="O1947" s="181"/>
      <c r="P1947" s="181"/>
      <c r="Q1947" s="181"/>
      <c r="R1947" s="181"/>
      <c r="S1947" s="181"/>
      <c r="T1947" s="181"/>
      <c r="U1947" s="181"/>
      <c r="V1947" s="181"/>
      <c r="W1947" s="181"/>
      <c r="X1947" s="181"/>
      <c r="Y1947" s="181"/>
      <c r="Z1947" s="181"/>
    </row>
    <row r="1948">
      <c r="A1948" s="194"/>
      <c r="B1948" s="195"/>
      <c r="C1948" s="181"/>
      <c r="D1948" s="194"/>
      <c r="E1948" s="194"/>
      <c r="F1948" s="181"/>
      <c r="G1948" s="181"/>
      <c r="H1948" s="181"/>
      <c r="I1948" s="181"/>
      <c r="J1948" s="181"/>
      <c r="K1948" s="181"/>
      <c r="L1948" s="181"/>
      <c r="M1948" s="181"/>
      <c r="N1948" s="181"/>
      <c r="O1948" s="181"/>
      <c r="P1948" s="181"/>
      <c r="Q1948" s="181"/>
      <c r="R1948" s="181"/>
      <c r="S1948" s="181"/>
      <c r="T1948" s="181"/>
      <c r="U1948" s="181"/>
      <c r="V1948" s="181"/>
      <c r="W1948" s="181"/>
      <c r="X1948" s="181"/>
      <c r="Y1948" s="181"/>
      <c r="Z1948" s="181"/>
    </row>
    <row r="1949">
      <c r="A1949" s="194"/>
      <c r="B1949" s="195"/>
      <c r="C1949" s="181"/>
      <c r="D1949" s="194"/>
      <c r="E1949" s="194"/>
      <c r="F1949" s="181"/>
      <c r="G1949" s="181"/>
      <c r="H1949" s="181"/>
      <c r="I1949" s="181"/>
      <c r="J1949" s="181"/>
      <c r="K1949" s="181"/>
      <c r="L1949" s="181"/>
      <c r="M1949" s="181"/>
      <c r="N1949" s="181"/>
      <c r="O1949" s="181"/>
      <c r="P1949" s="181"/>
      <c r="Q1949" s="181"/>
      <c r="R1949" s="181"/>
      <c r="S1949" s="181"/>
      <c r="T1949" s="181"/>
      <c r="U1949" s="181"/>
      <c r="V1949" s="181"/>
      <c r="W1949" s="181"/>
      <c r="X1949" s="181"/>
      <c r="Y1949" s="181"/>
      <c r="Z1949" s="181"/>
    </row>
    <row r="1950">
      <c r="A1950" s="194"/>
      <c r="B1950" s="195"/>
      <c r="C1950" s="181"/>
      <c r="D1950" s="194"/>
      <c r="E1950" s="194"/>
      <c r="F1950" s="181"/>
      <c r="G1950" s="181"/>
      <c r="H1950" s="181"/>
      <c r="I1950" s="181"/>
      <c r="J1950" s="181"/>
      <c r="K1950" s="181"/>
      <c r="L1950" s="181"/>
      <c r="M1950" s="181"/>
      <c r="N1950" s="181"/>
      <c r="O1950" s="181"/>
      <c r="P1950" s="181"/>
      <c r="Q1950" s="181"/>
      <c r="R1950" s="181"/>
      <c r="S1950" s="181"/>
      <c r="T1950" s="181"/>
      <c r="U1950" s="181"/>
      <c r="V1950" s="181"/>
      <c r="W1950" s="181"/>
      <c r="X1950" s="181"/>
      <c r="Y1950" s="181"/>
      <c r="Z1950" s="181"/>
    </row>
    <row r="1951">
      <c r="A1951" s="194"/>
      <c r="B1951" s="195"/>
      <c r="C1951" s="181"/>
      <c r="D1951" s="194"/>
      <c r="E1951" s="194"/>
      <c r="F1951" s="181"/>
      <c r="G1951" s="181"/>
      <c r="H1951" s="181"/>
      <c r="I1951" s="181"/>
      <c r="J1951" s="181"/>
      <c r="K1951" s="181"/>
      <c r="L1951" s="181"/>
      <c r="M1951" s="181"/>
      <c r="N1951" s="181"/>
      <c r="O1951" s="181"/>
      <c r="P1951" s="181"/>
      <c r="Q1951" s="181"/>
      <c r="R1951" s="181"/>
      <c r="S1951" s="181"/>
      <c r="T1951" s="181"/>
      <c r="U1951" s="181"/>
      <c r="V1951" s="181"/>
      <c r="W1951" s="181"/>
      <c r="X1951" s="181"/>
      <c r="Y1951" s="181"/>
      <c r="Z1951" s="181"/>
    </row>
    <row r="1952">
      <c r="A1952" s="194"/>
      <c r="B1952" s="195"/>
      <c r="C1952" s="181"/>
      <c r="D1952" s="194"/>
      <c r="E1952" s="194"/>
      <c r="F1952" s="181"/>
      <c r="G1952" s="181"/>
      <c r="H1952" s="181"/>
      <c r="I1952" s="181"/>
      <c r="J1952" s="181"/>
      <c r="K1952" s="181"/>
      <c r="L1952" s="181"/>
      <c r="M1952" s="181"/>
      <c r="N1952" s="181"/>
      <c r="O1952" s="181"/>
      <c r="P1952" s="181"/>
      <c r="Q1952" s="181"/>
      <c r="R1952" s="181"/>
      <c r="S1952" s="181"/>
      <c r="T1952" s="181"/>
      <c r="U1952" s="181"/>
      <c r="V1952" s="181"/>
      <c r="W1952" s="181"/>
      <c r="X1952" s="181"/>
      <c r="Y1952" s="181"/>
      <c r="Z1952" s="181"/>
    </row>
    <row r="1953">
      <c r="A1953" s="194"/>
      <c r="B1953" s="195"/>
      <c r="C1953" s="181"/>
      <c r="D1953" s="194"/>
      <c r="E1953" s="194"/>
      <c r="F1953" s="181"/>
      <c r="G1953" s="181"/>
      <c r="H1953" s="181"/>
      <c r="I1953" s="181"/>
      <c r="J1953" s="181"/>
      <c r="K1953" s="181"/>
      <c r="L1953" s="181"/>
      <c r="M1953" s="181"/>
      <c r="N1953" s="181"/>
      <c r="O1953" s="181"/>
      <c r="P1953" s="181"/>
      <c r="Q1953" s="181"/>
      <c r="R1953" s="181"/>
      <c r="S1953" s="181"/>
      <c r="T1953" s="181"/>
      <c r="U1953" s="181"/>
      <c r="V1953" s="181"/>
      <c r="W1953" s="181"/>
      <c r="X1953" s="181"/>
      <c r="Y1953" s="181"/>
      <c r="Z1953" s="181"/>
    </row>
    <row r="1954">
      <c r="A1954" s="194"/>
      <c r="B1954" s="195"/>
      <c r="C1954" s="181"/>
      <c r="D1954" s="194"/>
      <c r="E1954" s="194"/>
      <c r="F1954" s="181"/>
      <c r="G1954" s="181"/>
      <c r="H1954" s="181"/>
      <c r="I1954" s="181"/>
      <c r="J1954" s="181"/>
      <c r="K1954" s="181"/>
      <c r="L1954" s="181"/>
      <c r="M1954" s="181"/>
      <c r="N1954" s="181"/>
      <c r="O1954" s="181"/>
      <c r="P1954" s="181"/>
      <c r="Q1954" s="181"/>
      <c r="R1954" s="181"/>
      <c r="S1954" s="181"/>
      <c r="T1954" s="181"/>
      <c r="U1954" s="181"/>
      <c r="V1954" s="181"/>
      <c r="W1954" s="181"/>
      <c r="X1954" s="181"/>
      <c r="Y1954" s="181"/>
      <c r="Z1954" s="181"/>
    </row>
    <row r="1955">
      <c r="A1955" s="194"/>
      <c r="B1955" s="195"/>
      <c r="C1955" s="181"/>
      <c r="D1955" s="194"/>
      <c r="E1955" s="194"/>
      <c r="F1955" s="181"/>
      <c r="G1955" s="181"/>
      <c r="H1955" s="181"/>
      <c r="I1955" s="181"/>
      <c r="J1955" s="181"/>
      <c r="K1955" s="181"/>
      <c r="L1955" s="181"/>
      <c r="M1955" s="181"/>
      <c r="N1955" s="181"/>
      <c r="O1955" s="181"/>
      <c r="P1955" s="181"/>
      <c r="Q1955" s="181"/>
      <c r="R1955" s="181"/>
      <c r="S1955" s="181"/>
      <c r="T1955" s="181"/>
      <c r="U1955" s="181"/>
      <c r="V1955" s="181"/>
      <c r="W1955" s="181"/>
      <c r="X1955" s="181"/>
      <c r="Y1955" s="181"/>
      <c r="Z1955" s="181"/>
    </row>
    <row r="1956">
      <c r="A1956" s="194"/>
      <c r="B1956" s="195"/>
      <c r="C1956" s="181"/>
      <c r="D1956" s="194"/>
      <c r="E1956" s="194"/>
      <c r="F1956" s="181"/>
      <c r="G1956" s="181"/>
      <c r="H1956" s="181"/>
      <c r="I1956" s="181"/>
      <c r="J1956" s="181"/>
      <c r="K1956" s="181"/>
      <c r="L1956" s="181"/>
      <c r="M1956" s="181"/>
      <c r="N1956" s="181"/>
      <c r="O1956" s="181"/>
      <c r="P1956" s="181"/>
      <c r="Q1956" s="181"/>
      <c r="R1956" s="181"/>
      <c r="S1956" s="181"/>
      <c r="T1956" s="181"/>
      <c r="U1956" s="181"/>
      <c r="V1956" s="181"/>
      <c r="W1956" s="181"/>
      <c r="X1956" s="181"/>
      <c r="Y1956" s="181"/>
      <c r="Z1956" s="181"/>
    </row>
    <row r="1957">
      <c r="A1957" s="194"/>
      <c r="B1957" s="195"/>
      <c r="C1957" s="181"/>
      <c r="D1957" s="194"/>
      <c r="E1957" s="194"/>
      <c r="F1957" s="181"/>
      <c r="G1957" s="181"/>
      <c r="H1957" s="181"/>
      <c r="I1957" s="181"/>
      <c r="J1957" s="181"/>
      <c r="K1957" s="181"/>
      <c r="L1957" s="181"/>
      <c r="M1957" s="181"/>
      <c r="N1957" s="181"/>
      <c r="O1957" s="181"/>
      <c r="P1957" s="181"/>
      <c r="Q1957" s="181"/>
      <c r="R1957" s="181"/>
      <c r="S1957" s="181"/>
      <c r="T1957" s="181"/>
      <c r="U1957" s="181"/>
      <c r="V1957" s="181"/>
      <c r="W1957" s="181"/>
      <c r="X1957" s="181"/>
      <c r="Y1957" s="181"/>
      <c r="Z1957" s="181"/>
    </row>
    <row r="1958">
      <c r="A1958" s="194"/>
      <c r="B1958" s="195"/>
      <c r="C1958" s="181"/>
      <c r="D1958" s="194"/>
      <c r="E1958" s="194"/>
      <c r="F1958" s="181"/>
      <c r="G1958" s="181"/>
      <c r="H1958" s="181"/>
      <c r="I1958" s="181"/>
      <c r="J1958" s="181"/>
      <c r="K1958" s="181"/>
      <c r="L1958" s="181"/>
      <c r="M1958" s="181"/>
      <c r="N1958" s="181"/>
      <c r="O1958" s="181"/>
      <c r="P1958" s="181"/>
      <c r="Q1958" s="181"/>
      <c r="R1958" s="181"/>
      <c r="S1958" s="181"/>
      <c r="T1958" s="181"/>
      <c r="U1958" s="181"/>
      <c r="V1958" s="181"/>
      <c r="W1958" s="181"/>
      <c r="X1958" s="181"/>
      <c r="Y1958" s="181"/>
      <c r="Z1958" s="181"/>
    </row>
    <row r="1959">
      <c r="A1959" s="194"/>
      <c r="B1959" s="195"/>
      <c r="C1959" s="181"/>
      <c r="D1959" s="194"/>
      <c r="E1959" s="194"/>
      <c r="F1959" s="181"/>
      <c r="G1959" s="181"/>
      <c r="H1959" s="181"/>
      <c r="I1959" s="181"/>
      <c r="J1959" s="181"/>
      <c r="K1959" s="181"/>
      <c r="L1959" s="181"/>
      <c r="M1959" s="181"/>
      <c r="N1959" s="181"/>
      <c r="O1959" s="181"/>
      <c r="P1959" s="181"/>
      <c r="Q1959" s="181"/>
      <c r="R1959" s="181"/>
      <c r="S1959" s="181"/>
      <c r="T1959" s="181"/>
      <c r="U1959" s="181"/>
      <c r="V1959" s="181"/>
      <c r="W1959" s="181"/>
      <c r="X1959" s="181"/>
      <c r="Y1959" s="181"/>
      <c r="Z1959" s="181"/>
    </row>
    <row r="1960">
      <c r="A1960" s="194"/>
      <c r="B1960" s="195"/>
      <c r="C1960" s="181"/>
      <c r="D1960" s="194"/>
      <c r="E1960" s="194"/>
      <c r="F1960" s="181"/>
      <c r="G1960" s="181"/>
      <c r="H1960" s="181"/>
      <c r="I1960" s="181"/>
      <c r="J1960" s="181"/>
      <c r="K1960" s="181"/>
      <c r="L1960" s="181"/>
      <c r="M1960" s="181"/>
      <c r="N1960" s="181"/>
      <c r="O1960" s="181"/>
      <c r="P1960" s="181"/>
      <c r="Q1960" s="181"/>
      <c r="R1960" s="181"/>
      <c r="S1960" s="181"/>
      <c r="T1960" s="181"/>
      <c r="U1960" s="181"/>
      <c r="V1960" s="181"/>
      <c r="W1960" s="181"/>
      <c r="X1960" s="181"/>
      <c r="Y1960" s="181"/>
      <c r="Z1960" s="181"/>
    </row>
    <row r="1961">
      <c r="A1961" s="194"/>
      <c r="B1961" s="195"/>
      <c r="C1961" s="181"/>
      <c r="D1961" s="194"/>
      <c r="E1961" s="194"/>
      <c r="F1961" s="181"/>
      <c r="G1961" s="181"/>
      <c r="H1961" s="181"/>
      <c r="I1961" s="181"/>
      <c r="J1961" s="181"/>
      <c r="K1961" s="181"/>
      <c r="L1961" s="181"/>
      <c r="M1961" s="181"/>
      <c r="N1961" s="181"/>
      <c r="O1961" s="181"/>
      <c r="P1961" s="181"/>
      <c r="Q1961" s="181"/>
      <c r="R1961" s="181"/>
      <c r="S1961" s="181"/>
      <c r="T1961" s="181"/>
      <c r="U1961" s="181"/>
      <c r="V1961" s="181"/>
      <c r="W1961" s="181"/>
      <c r="X1961" s="181"/>
      <c r="Y1961" s="181"/>
      <c r="Z1961" s="181"/>
    </row>
    <row r="1962">
      <c r="A1962" s="194"/>
      <c r="B1962" s="195"/>
      <c r="C1962" s="181"/>
      <c r="D1962" s="194"/>
      <c r="E1962" s="194"/>
      <c r="F1962" s="181"/>
      <c r="G1962" s="181"/>
      <c r="H1962" s="181"/>
      <c r="I1962" s="181"/>
      <c r="J1962" s="181"/>
      <c r="K1962" s="181"/>
      <c r="L1962" s="181"/>
      <c r="M1962" s="181"/>
      <c r="N1962" s="181"/>
      <c r="O1962" s="181"/>
      <c r="P1962" s="181"/>
      <c r="Q1962" s="181"/>
      <c r="R1962" s="181"/>
      <c r="S1962" s="181"/>
      <c r="T1962" s="181"/>
      <c r="U1962" s="181"/>
      <c r="V1962" s="181"/>
      <c r="W1962" s="181"/>
      <c r="X1962" s="181"/>
      <c r="Y1962" s="181"/>
      <c r="Z1962" s="181"/>
    </row>
    <row r="1963">
      <c r="A1963" s="194"/>
      <c r="B1963" s="195"/>
      <c r="C1963" s="181"/>
      <c r="D1963" s="194"/>
      <c r="E1963" s="194"/>
      <c r="F1963" s="181"/>
      <c r="G1963" s="181"/>
      <c r="H1963" s="181"/>
      <c r="I1963" s="181"/>
      <c r="J1963" s="181"/>
      <c r="K1963" s="181"/>
      <c r="L1963" s="181"/>
      <c r="M1963" s="181"/>
      <c r="N1963" s="181"/>
      <c r="O1963" s="181"/>
      <c r="P1963" s="181"/>
      <c r="Q1963" s="181"/>
      <c r="R1963" s="181"/>
      <c r="S1963" s="181"/>
      <c r="T1963" s="181"/>
      <c r="U1963" s="181"/>
      <c r="V1963" s="181"/>
      <c r="W1963" s="181"/>
      <c r="X1963" s="181"/>
      <c r="Y1963" s="181"/>
      <c r="Z1963" s="181"/>
    </row>
    <row r="1964">
      <c r="A1964" s="194"/>
      <c r="B1964" s="195"/>
      <c r="C1964" s="181"/>
      <c r="D1964" s="194"/>
      <c r="E1964" s="194"/>
      <c r="F1964" s="181"/>
      <c r="G1964" s="181"/>
      <c r="H1964" s="181"/>
      <c r="I1964" s="181"/>
      <c r="J1964" s="181"/>
      <c r="K1964" s="181"/>
      <c r="L1964" s="181"/>
      <c r="M1964" s="181"/>
      <c r="N1964" s="181"/>
      <c r="O1964" s="181"/>
      <c r="P1964" s="181"/>
      <c r="Q1964" s="181"/>
      <c r="R1964" s="181"/>
      <c r="S1964" s="181"/>
      <c r="T1964" s="181"/>
      <c r="U1964" s="181"/>
      <c r="V1964" s="181"/>
      <c r="W1964" s="181"/>
      <c r="X1964" s="181"/>
      <c r="Y1964" s="181"/>
      <c r="Z1964" s="181"/>
    </row>
    <row r="1965">
      <c r="A1965" s="194"/>
      <c r="B1965" s="195"/>
      <c r="C1965" s="181"/>
      <c r="D1965" s="194"/>
      <c r="E1965" s="194"/>
      <c r="F1965" s="181"/>
      <c r="G1965" s="181"/>
      <c r="H1965" s="181"/>
      <c r="I1965" s="181"/>
      <c r="J1965" s="181"/>
      <c r="K1965" s="181"/>
      <c r="L1965" s="181"/>
      <c r="M1965" s="181"/>
      <c r="N1965" s="181"/>
      <c r="O1965" s="181"/>
      <c r="P1965" s="181"/>
      <c r="Q1965" s="181"/>
      <c r="R1965" s="181"/>
      <c r="S1965" s="181"/>
      <c r="T1965" s="181"/>
      <c r="U1965" s="181"/>
      <c r="V1965" s="181"/>
      <c r="W1965" s="181"/>
      <c r="X1965" s="181"/>
      <c r="Y1965" s="181"/>
      <c r="Z1965" s="181"/>
    </row>
    <row r="1966">
      <c r="A1966" s="194"/>
      <c r="B1966" s="195"/>
      <c r="C1966" s="181"/>
      <c r="D1966" s="194"/>
      <c r="E1966" s="194"/>
      <c r="F1966" s="181"/>
      <c r="G1966" s="181"/>
      <c r="H1966" s="181"/>
      <c r="I1966" s="181"/>
      <c r="J1966" s="181"/>
      <c r="K1966" s="181"/>
      <c r="L1966" s="181"/>
      <c r="M1966" s="181"/>
      <c r="N1966" s="181"/>
      <c r="O1966" s="181"/>
      <c r="P1966" s="181"/>
      <c r="Q1966" s="181"/>
      <c r="R1966" s="181"/>
      <c r="S1966" s="181"/>
      <c r="T1966" s="181"/>
      <c r="U1966" s="181"/>
      <c r="V1966" s="181"/>
      <c r="W1966" s="181"/>
      <c r="X1966" s="181"/>
      <c r="Y1966" s="181"/>
      <c r="Z1966" s="181"/>
    </row>
    <row r="1967">
      <c r="A1967" s="194"/>
      <c r="B1967" s="195"/>
      <c r="C1967" s="181"/>
      <c r="D1967" s="194"/>
      <c r="E1967" s="194"/>
      <c r="F1967" s="181"/>
      <c r="G1967" s="181"/>
      <c r="H1967" s="181"/>
      <c r="I1967" s="181"/>
      <c r="J1967" s="181"/>
      <c r="K1967" s="181"/>
      <c r="L1967" s="181"/>
      <c r="M1967" s="181"/>
      <c r="N1967" s="181"/>
      <c r="O1967" s="181"/>
      <c r="P1967" s="181"/>
      <c r="Q1967" s="181"/>
      <c r="R1967" s="181"/>
      <c r="S1967" s="181"/>
      <c r="T1967" s="181"/>
      <c r="U1967" s="181"/>
      <c r="V1967" s="181"/>
      <c r="W1967" s="181"/>
      <c r="X1967" s="181"/>
      <c r="Y1967" s="181"/>
      <c r="Z1967" s="181"/>
    </row>
    <row r="1968">
      <c r="A1968" s="194"/>
      <c r="B1968" s="195"/>
      <c r="C1968" s="181"/>
      <c r="D1968" s="194"/>
      <c r="E1968" s="194"/>
      <c r="F1968" s="181"/>
      <c r="G1968" s="181"/>
      <c r="H1968" s="181"/>
      <c r="I1968" s="181"/>
      <c r="J1968" s="181"/>
      <c r="K1968" s="181"/>
      <c r="L1968" s="181"/>
      <c r="M1968" s="181"/>
      <c r="N1968" s="181"/>
      <c r="O1968" s="181"/>
      <c r="P1968" s="181"/>
      <c r="Q1968" s="181"/>
      <c r="R1968" s="181"/>
      <c r="S1968" s="181"/>
      <c r="T1968" s="181"/>
      <c r="U1968" s="181"/>
      <c r="V1968" s="181"/>
      <c r="W1968" s="181"/>
      <c r="X1968" s="181"/>
      <c r="Y1968" s="181"/>
      <c r="Z1968" s="181"/>
    </row>
    <row r="1969">
      <c r="A1969" s="194"/>
      <c r="B1969" s="195"/>
      <c r="C1969" s="181"/>
      <c r="D1969" s="194"/>
      <c r="E1969" s="194"/>
      <c r="F1969" s="181"/>
      <c r="G1969" s="181"/>
      <c r="H1969" s="181"/>
      <c r="I1969" s="181"/>
      <c r="J1969" s="181"/>
      <c r="K1969" s="181"/>
      <c r="L1969" s="181"/>
      <c r="M1969" s="181"/>
      <c r="N1969" s="181"/>
      <c r="O1969" s="181"/>
      <c r="P1969" s="181"/>
      <c r="Q1969" s="181"/>
      <c r="R1969" s="181"/>
      <c r="S1969" s="181"/>
      <c r="T1969" s="181"/>
      <c r="U1969" s="181"/>
      <c r="V1969" s="181"/>
      <c r="W1969" s="181"/>
      <c r="X1969" s="181"/>
      <c r="Y1969" s="181"/>
      <c r="Z1969" s="181"/>
    </row>
    <row r="1970">
      <c r="A1970" s="194"/>
      <c r="B1970" s="195"/>
      <c r="C1970" s="181"/>
      <c r="D1970" s="194"/>
      <c r="E1970" s="194"/>
      <c r="F1970" s="181"/>
      <c r="G1970" s="181"/>
      <c r="H1970" s="181"/>
      <c r="I1970" s="181"/>
      <c r="J1970" s="181"/>
      <c r="K1970" s="181"/>
      <c r="L1970" s="181"/>
      <c r="M1970" s="181"/>
      <c r="N1970" s="181"/>
      <c r="O1970" s="181"/>
      <c r="P1970" s="181"/>
      <c r="Q1970" s="181"/>
      <c r="R1970" s="181"/>
      <c r="S1970" s="181"/>
      <c r="T1970" s="181"/>
      <c r="U1970" s="181"/>
      <c r="V1970" s="181"/>
      <c r="W1970" s="181"/>
      <c r="X1970" s="181"/>
      <c r="Y1970" s="181"/>
      <c r="Z1970" s="181"/>
    </row>
    <row r="1971">
      <c r="A1971" s="194"/>
      <c r="B1971" s="195"/>
      <c r="C1971" s="181"/>
      <c r="D1971" s="194"/>
      <c r="E1971" s="194"/>
      <c r="F1971" s="181"/>
      <c r="G1971" s="181"/>
      <c r="H1971" s="181"/>
      <c r="I1971" s="181"/>
      <c r="J1971" s="181"/>
      <c r="K1971" s="181"/>
      <c r="L1971" s="181"/>
      <c r="M1971" s="181"/>
      <c r="N1971" s="181"/>
      <c r="O1971" s="181"/>
      <c r="P1971" s="181"/>
      <c r="Q1971" s="181"/>
      <c r="R1971" s="181"/>
      <c r="S1971" s="181"/>
      <c r="T1971" s="181"/>
      <c r="U1971" s="181"/>
      <c r="V1971" s="181"/>
      <c r="W1971" s="181"/>
      <c r="X1971" s="181"/>
      <c r="Y1971" s="181"/>
      <c r="Z1971" s="181"/>
    </row>
    <row r="1972">
      <c r="A1972" s="194"/>
      <c r="B1972" s="195"/>
      <c r="C1972" s="181"/>
      <c r="D1972" s="194"/>
      <c r="E1972" s="194"/>
      <c r="F1972" s="181"/>
      <c r="G1972" s="181"/>
      <c r="H1972" s="181"/>
      <c r="I1972" s="181"/>
      <c r="J1972" s="181"/>
      <c r="K1972" s="181"/>
      <c r="L1972" s="181"/>
      <c r="M1972" s="181"/>
      <c r="N1972" s="181"/>
      <c r="O1972" s="181"/>
      <c r="P1972" s="181"/>
      <c r="Q1972" s="181"/>
      <c r="R1972" s="181"/>
      <c r="S1972" s="181"/>
      <c r="T1972" s="181"/>
      <c r="U1972" s="181"/>
      <c r="V1972" s="181"/>
      <c r="W1972" s="181"/>
      <c r="X1972" s="181"/>
      <c r="Y1972" s="181"/>
      <c r="Z1972" s="181"/>
    </row>
    <row r="1973">
      <c r="A1973" s="194"/>
      <c r="B1973" s="195"/>
      <c r="C1973" s="181"/>
      <c r="D1973" s="194"/>
      <c r="E1973" s="194"/>
      <c r="F1973" s="181"/>
      <c r="G1973" s="181"/>
      <c r="H1973" s="181"/>
      <c r="I1973" s="181"/>
      <c r="J1973" s="181"/>
      <c r="K1973" s="181"/>
      <c r="L1973" s="181"/>
      <c r="M1973" s="181"/>
      <c r="N1973" s="181"/>
      <c r="O1973" s="181"/>
      <c r="P1973" s="181"/>
      <c r="Q1973" s="181"/>
      <c r="R1973" s="181"/>
      <c r="S1973" s="181"/>
      <c r="T1973" s="181"/>
      <c r="U1973" s="181"/>
      <c r="V1973" s="181"/>
      <c r="W1973" s="181"/>
      <c r="X1973" s="181"/>
      <c r="Y1973" s="181"/>
      <c r="Z1973" s="181"/>
    </row>
    <row r="1974">
      <c r="A1974" s="194"/>
      <c r="B1974" s="195"/>
      <c r="C1974" s="181"/>
      <c r="D1974" s="194"/>
      <c r="E1974" s="194"/>
      <c r="F1974" s="181"/>
      <c r="G1974" s="181"/>
      <c r="H1974" s="181"/>
      <c r="I1974" s="181"/>
      <c r="J1974" s="181"/>
      <c r="K1974" s="181"/>
      <c r="L1974" s="181"/>
      <c r="M1974" s="181"/>
      <c r="N1974" s="181"/>
      <c r="O1974" s="181"/>
      <c r="P1974" s="181"/>
      <c r="Q1974" s="181"/>
      <c r="R1974" s="181"/>
      <c r="S1974" s="181"/>
      <c r="T1974" s="181"/>
      <c r="U1974" s="181"/>
      <c r="V1974" s="181"/>
      <c r="W1974" s="181"/>
      <c r="X1974" s="181"/>
      <c r="Y1974" s="181"/>
      <c r="Z1974" s="181"/>
    </row>
    <row r="1975">
      <c r="A1975" s="194"/>
      <c r="B1975" s="195"/>
      <c r="C1975" s="181"/>
      <c r="D1975" s="194"/>
      <c r="E1975" s="194"/>
      <c r="F1975" s="181"/>
      <c r="G1975" s="181"/>
      <c r="H1975" s="181"/>
      <c r="I1975" s="181"/>
      <c r="J1975" s="181"/>
      <c r="K1975" s="181"/>
      <c r="L1975" s="181"/>
      <c r="M1975" s="181"/>
      <c r="N1975" s="181"/>
      <c r="O1975" s="181"/>
      <c r="P1975" s="181"/>
      <c r="Q1975" s="181"/>
      <c r="R1975" s="181"/>
      <c r="S1975" s="181"/>
      <c r="T1975" s="181"/>
      <c r="U1975" s="181"/>
      <c r="V1975" s="181"/>
      <c r="W1975" s="181"/>
      <c r="X1975" s="181"/>
      <c r="Y1975" s="181"/>
      <c r="Z1975" s="181"/>
    </row>
    <row r="1976">
      <c r="A1976" s="194"/>
      <c r="B1976" s="195"/>
      <c r="C1976" s="181"/>
      <c r="D1976" s="194"/>
      <c r="E1976" s="194"/>
      <c r="F1976" s="181"/>
      <c r="G1976" s="181"/>
      <c r="H1976" s="181"/>
      <c r="I1976" s="181"/>
      <c r="J1976" s="181"/>
      <c r="K1976" s="181"/>
      <c r="L1976" s="181"/>
      <c r="M1976" s="181"/>
      <c r="N1976" s="181"/>
      <c r="O1976" s="181"/>
      <c r="P1976" s="181"/>
      <c r="Q1976" s="181"/>
      <c r="R1976" s="181"/>
      <c r="S1976" s="181"/>
      <c r="T1976" s="181"/>
      <c r="U1976" s="181"/>
      <c r="V1976" s="181"/>
      <c r="W1976" s="181"/>
      <c r="X1976" s="181"/>
      <c r="Y1976" s="181"/>
      <c r="Z1976" s="181"/>
    </row>
    <row r="1977">
      <c r="A1977" s="194"/>
      <c r="B1977" s="195"/>
      <c r="C1977" s="181"/>
      <c r="D1977" s="194"/>
      <c r="E1977" s="194"/>
      <c r="F1977" s="181"/>
      <c r="G1977" s="181"/>
      <c r="H1977" s="181"/>
      <c r="I1977" s="181"/>
      <c r="J1977" s="181"/>
      <c r="K1977" s="181"/>
      <c r="L1977" s="181"/>
      <c r="M1977" s="181"/>
      <c r="N1977" s="181"/>
      <c r="O1977" s="181"/>
      <c r="P1977" s="181"/>
      <c r="Q1977" s="181"/>
      <c r="R1977" s="181"/>
      <c r="S1977" s="181"/>
      <c r="T1977" s="181"/>
      <c r="U1977" s="181"/>
      <c r="V1977" s="181"/>
      <c r="W1977" s="181"/>
      <c r="X1977" s="181"/>
      <c r="Y1977" s="181"/>
      <c r="Z1977" s="181"/>
    </row>
    <row r="1978">
      <c r="A1978" s="194"/>
      <c r="B1978" s="195"/>
      <c r="C1978" s="181"/>
      <c r="D1978" s="194"/>
      <c r="E1978" s="194"/>
      <c r="F1978" s="181"/>
      <c r="G1978" s="181"/>
      <c r="H1978" s="181"/>
      <c r="I1978" s="181"/>
      <c r="J1978" s="181"/>
      <c r="K1978" s="181"/>
      <c r="L1978" s="181"/>
      <c r="M1978" s="181"/>
      <c r="N1978" s="181"/>
      <c r="O1978" s="181"/>
      <c r="P1978" s="181"/>
      <c r="Q1978" s="181"/>
      <c r="R1978" s="181"/>
      <c r="S1978" s="181"/>
      <c r="T1978" s="181"/>
      <c r="U1978" s="181"/>
      <c r="V1978" s="181"/>
      <c r="W1978" s="181"/>
      <c r="X1978" s="181"/>
      <c r="Y1978" s="181"/>
      <c r="Z1978" s="181"/>
    </row>
    <row r="1979">
      <c r="A1979" s="194"/>
      <c r="B1979" s="195"/>
      <c r="C1979" s="181"/>
      <c r="D1979" s="194"/>
      <c r="E1979" s="194"/>
      <c r="F1979" s="181"/>
      <c r="G1979" s="181"/>
      <c r="H1979" s="181"/>
      <c r="I1979" s="181"/>
      <c r="J1979" s="181"/>
      <c r="K1979" s="181"/>
      <c r="L1979" s="181"/>
      <c r="M1979" s="181"/>
      <c r="N1979" s="181"/>
      <c r="O1979" s="181"/>
      <c r="P1979" s="181"/>
      <c r="Q1979" s="181"/>
      <c r="R1979" s="181"/>
      <c r="S1979" s="181"/>
      <c r="T1979" s="181"/>
      <c r="U1979" s="181"/>
      <c r="V1979" s="181"/>
      <c r="W1979" s="181"/>
      <c r="X1979" s="181"/>
      <c r="Y1979" s="181"/>
      <c r="Z1979" s="181"/>
    </row>
    <row r="1980">
      <c r="A1980" s="194"/>
      <c r="B1980" s="195"/>
      <c r="C1980" s="181"/>
      <c r="D1980" s="194"/>
      <c r="E1980" s="194"/>
      <c r="F1980" s="181"/>
      <c r="G1980" s="181"/>
      <c r="H1980" s="181"/>
      <c r="I1980" s="181"/>
      <c r="J1980" s="181"/>
      <c r="K1980" s="181"/>
      <c r="L1980" s="181"/>
      <c r="M1980" s="181"/>
      <c r="N1980" s="181"/>
      <c r="O1980" s="181"/>
      <c r="P1980" s="181"/>
      <c r="Q1980" s="181"/>
      <c r="R1980" s="181"/>
      <c r="S1980" s="181"/>
      <c r="T1980" s="181"/>
      <c r="U1980" s="181"/>
      <c r="V1980" s="181"/>
      <c r="W1980" s="181"/>
      <c r="X1980" s="181"/>
      <c r="Y1980" s="181"/>
      <c r="Z1980" s="181"/>
    </row>
    <row r="1981">
      <c r="A1981" s="194"/>
      <c r="B1981" s="195"/>
      <c r="C1981" s="181"/>
      <c r="D1981" s="194"/>
      <c r="E1981" s="194"/>
      <c r="F1981" s="181"/>
      <c r="G1981" s="181"/>
      <c r="H1981" s="181"/>
      <c r="I1981" s="181"/>
      <c r="J1981" s="181"/>
      <c r="K1981" s="181"/>
      <c r="L1981" s="181"/>
      <c r="M1981" s="181"/>
      <c r="N1981" s="181"/>
      <c r="O1981" s="181"/>
      <c r="P1981" s="181"/>
      <c r="Q1981" s="181"/>
      <c r="R1981" s="181"/>
      <c r="S1981" s="181"/>
      <c r="T1981" s="181"/>
      <c r="U1981" s="181"/>
      <c r="V1981" s="181"/>
      <c r="W1981" s="181"/>
      <c r="X1981" s="181"/>
      <c r="Y1981" s="181"/>
      <c r="Z1981" s="181"/>
    </row>
    <row r="1982">
      <c r="A1982" s="194"/>
      <c r="B1982" s="195"/>
      <c r="C1982" s="181"/>
      <c r="D1982" s="194"/>
      <c r="E1982" s="194"/>
      <c r="F1982" s="181"/>
      <c r="G1982" s="181"/>
      <c r="H1982" s="181"/>
      <c r="I1982" s="181"/>
      <c r="J1982" s="181"/>
      <c r="K1982" s="181"/>
      <c r="L1982" s="181"/>
      <c r="M1982" s="181"/>
      <c r="N1982" s="181"/>
      <c r="O1982" s="181"/>
      <c r="P1982" s="181"/>
      <c r="Q1982" s="181"/>
      <c r="R1982" s="181"/>
      <c r="S1982" s="181"/>
      <c r="T1982" s="181"/>
      <c r="U1982" s="181"/>
      <c r="V1982" s="181"/>
      <c r="W1982" s="181"/>
      <c r="X1982" s="181"/>
      <c r="Y1982" s="181"/>
      <c r="Z1982" s="181"/>
    </row>
    <row r="1983">
      <c r="A1983" s="194"/>
      <c r="B1983" s="195"/>
      <c r="C1983" s="181"/>
      <c r="D1983" s="194"/>
      <c r="E1983" s="194"/>
      <c r="F1983" s="181"/>
      <c r="G1983" s="181"/>
      <c r="H1983" s="181"/>
      <c r="I1983" s="181"/>
      <c r="J1983" s="181"/>
      <c r="K1983" s="181"/>
      <c r="L1983" s="181"/>
      <c r="M1983" s="181"/>
      <c r="N1983" s="181"/>
      <c r="O1983" s="181"/>
      <c r="P1983" s="181"/>
      <c r="Q1983" s="181"/>
      <c r="R1983" s="181"/>
      <c r="S1983" s="181"/>
      <c r="T1983" s="181"/>
      <c r="U1983" s="181"/>
      <c r="V1983" s="181"/>
      <c r="W1983" s="181"/>
      <c r="X1983" s="181"/>
      <c r="Y1983" s="181"/>
      <c r="Z1983" s="181"/>
    </row>
    <row r="1984">
      <c r="A1984" s="194"/>
      <c r="B1984" s="195"/>
      <c r="C1984" s="181"/>
      <c r="D1984" s="194"/>
      <c r="E1984" s="194"/>
      <c r="F1984" s="181"/>
      <c r="G1984" s="181"/>
      <c r="H1984" s="181"/>
      <c r="I1984" s="181"/>
      <c r="J1984" s="181"/>
      <c r="K1984" s="181"/>
      <c r="L1984" s="181"/>
      <c r="M1984" s="181"/>
      <c r="N1984" s="181"/>
      <c r="O1984" s="181"/>
      <c r="P1984" s="181"/>
      <c r="Q1984" s="181"/>
      <c r="R1984" s="181"/>
      <c r="S1984" s="181"/>
      <c r="T1984" s="181"/>
      <c r="U1984" s="181"/>
      <c r="V1984" s="181"/>
      <c r="W1984" s="181"/>
      <c r="X1984" s="181"/>
      <c r="Y1984" s="181"/>
      <c r="Z1984" s="181"/>
    </row>
    <row r="1985">
      <c r="A1985" s="194"/>
      <c r="B1985" s="195"/>
      <c r="C1985" s="181"/>
      <c r="D1985" s="194"/>
      <c r="E1985" s="194"/>
      <c r="F1985" s="181"/>
      <c r="G1985" s="181"/>
      <c r="H1985" s="181"/>
      <c r="I1985" s="181"/>
      <c r="J1985" s="181"/>
      <c r="K1985" s="181"/>
      <c r="L1985" s="181"/>
      <c r="M1985" s="181"/>
      <c r="N1985" s="181"/>
      <c r="O1985" s="181"/>
      <c r="P1985" s="181"/>
      <c r="Q1985" s="181"/>
      <c r="R1985" s="181"/>
      <c r="S1985" s="181"/>
      <c r="T1985" s="181"/>
      <c r="U1985" s="181"/>
      <c r="V1985" s="181"/>
      <c r="W1985" s="181"/>
      <c r="X1985" s="181"/>
      <c r="Y1985" s="181"/>
      <c r="Z1985" s="181"/>
    </row>
    <row r="1986">
      <c r="A1986" s="194"/>
      <c r="B1986" s="195"/>
      <c r="C1986" s="181"/>
      <c r="D1986" s="194"/>
      <c r="E1986" s="194"/>
      <c r="F1986" s="181"/>
      <c r="G1986" s="181"/>
      <c r="H1986" s="181"/>
      <c r="I1986" s="181"/>
      <c r="J1986" s="181"/>
      <c r="K1986" s="181"/>
      <c r="L1986" s="181"/>
      <c r="M1986" s="181"/>
      <c r="N1986" s="181"/>
      <c r="O1986" s="181"/>
      <c r="P1986" s="181"/>
      <c r="Q1986" s="181"/>
      <c r="R1986" s="181"/>
      <c r="S1986" s="181"/>
      <c r="T1986" s="181"/>
      <c r="U1986" s="181"/>
      <c r="V1986" s="181"/>
      <c r="W1986" s="181"/>
      <c r="X1986" s="181"/>
      <c r="Y1986" s="181"/>
      <c r="Z1986" s="181"/>
    </row>
    <row r="1987">
      <c r="A1987" s="194"/>
      <c r="B1987" s="195"/>
      <c r="C1987" s="181"/>
      <c r="D1987" s="194"/>
      <c r="E1987" s="194"/>
      <c r="F1987" s="181"/>
      <c r="G1987" s="181"/>
      <c r="H1987" s="181"/>
      <c r="I1987" s="181"/>
      <c r="J1987" s="181"/>
      <c r="K1987" s="181"/>
      <c r="L1987" s="181"/>
      <c r="M1987" s="181"/>
      <c r="N1987" s="181"/>
      <c r="O1987" s="181"/>
      <c r="P1987" s="181"/>
      <c r="Q1987" s="181"/>
      <c r="R1987" s="181"/>
      <c r="S1987" s="181"/>
      <c r="T1987" s="181"/>
      <c r="U1987" s="181"/>
      <c r="V1987" s="181"/>
      <c r="W1987" s="181"/>
      <c r="X1987" s="181"/>
      <c r="Y1987" s="181"/>
      <c r="Z1987" s="181"/>
    </row>
    <row r="1988">
      <c r="A1988" s="194"/>
      <c r="B1988" s="195"/>
      <c r="C1988" s="181"/>
      <c r="D1988" s="194"/>
      <c r="E1988" s="194"/>
      <c r="F1988" s="181"/>
      <c r="G1988" s="181"/>
      <c r="H1988" s="181"/>
      <c r="I1988" s="181"/>
      <c r="J1988" s="181"/>
      <c r="K1988" s="181"/>
      <c r="L1988" s="181"/>
      <c r="M1988" s="181"/>
      <c r="N1988" s="181"/>
      <c r="O1988" s="181"/>
      <c r="P1988" s="181"/>
      <c r="Q1988" s="181"/>
      <c r="R1988" s="181"/>
      <c r="S1988" s="181"/>
      <c r="T1988" s="181"/>
      <c r="U1988" s="181"/>
      <c r="V1988" s="181"/>
      <c r="W1988" s="181"/>
      <c r="X1988" s="181"/>
      <c r="Y1988" s="181"/>
      <c r="Z1988" s="181"/>
    </row>
    <row r="1989">
      <c r="A1989" s="194"/>
      <c r="B1989" s="195"/>
      <c r="C1989" s="181"/>
      <c r="D1989" s="194"/>
      <c r="E1989" s="194"/>
      <c r="F1989" s="181"/>
      <c r="G1989" s="181"/>
      <c r="H1989" s="181"/>
      <c r="I1989" s="181"/>
      <c r="J1989" s="181"/>
      <c r="K1989" s="181"/>
      <c r="L1989" s="181"/>
      <c r="M1989" s="181"/>
      <c r="N1989" s="181"/>
      <c r="O1989" s="181"/>
      <c r="P1989" s="181"/>
      <c r="Q1989" s="181"/>
      <c r="R1989" s="181"/>
      <c r="S1989" s="181"/>
      <c r="T1989" s="181"/>
      <c r="U1989" s="181"/>
      <c r="V1989" s="181"/>
      <c r="W1989" s="181"/>
      <c r="X1989" s="181"/>
      <c r="Y1989" s="181"/>
      <c r="Z1989" s="181"/>
    </row>
    <row r="1990">
      <c r="A1990" s="194"/>
      <c r="B1990" s="195"/>
      <c r="C1990" s="181"/>
      <c r="D1990" s="194"/>
      <c r="E1990" s="194"/>
      <c r="F1990" s="181"/>
      <c r="G1990" s="181"/>
      <c r="H1990" s="181"/>
      <c r="I1990" s="181"/>
      <c r="J1990" s="181"/>
      <c r="K1990" s="181"/>
      <c r="L1990" s="181"/>
      <c r="M1990" s="181"/>
      <c r="N1990" s="181"/>
      <c r="O1990" s="181"/>
      <c r="P1990" s="181"/>
      <c r="Q1990" s="181"/>
      <c r="R1990" s="181"/>
      <c r="S1990" s="181"/>
      <c r="T1990" s="181"/>
      <c r="U1990" s="181"/>
      <c r="V1990" s="181"/>
      <c r="W1990" s="181"/>
      <c r="X1990" s="181"/>
      <c r="Y1990" s="181"/>
      <c r="Z1990" s="181"/>
    </row>
    <row r="1991">
      <c r="A1991" s="194"/>
      <c r="B1991" s="195"/>
      <c r="C1991" s="181"/>
      <c r="D1991" s="194"/>
      <c r="E1991" s="194"/>
      <c r="F1991" s="181"/>
      <c r="G1991" s="181"/>
      <c r="H1991" s="181"/>
      <c r="I1991" s="181"/>
      <c r="J1991" s="181"/>
      <c r="K1991" s="181"/>
      <c r="L1991" s="181"/>
      <c r="M1991" s="181"/>
      <c r="N1991" s="181"/>
      <c r="O1991" s="181"/>
      <c r="P1991" s="181"/>
      <c r="Q1991" s="181"/>
      <c r="R1991" s="181"/>
      <c r="S1991" s="181"/>
      <c r="T1991" s="181"/>
      <c r="U1991" s="181"/>
      <c r="V1991" s="181"/>
      <c r="W1991" s="181"/>
      <c r="X1991" s="181"/>
      <c r="Y1991" s="181"/>
      <c r="Z1991" s="181"/>
    </row>
    <row r="1992">
      <c r="A1992" s="194"/>
      <c r="B1992" s="195"/>
      <c r="C1992" s="181"/>
      <c r="D1992" s="194"/>
      <c r="E1992" s="194"/>
      <c r="F1992" s="181"/>
      <c r="G1992" s="181"/>
      <c r="H1992" s="181"/>
      <c r="I1992" s="181"/>
      <c r="J1992" s="181"/>
      <c r="K1992" s="181"/>
      <c r="L1992" s="181"/>
      <c r="M1992" s="181"/>
      <c r="N1992" s="181"/>
      <c r="O1992" s="181"/>
      <c r="P1992" s="181"/>
      <c r="Q1992" s="181"/>
      <c r="R1992" s="181"/>
      <c r="S1992" s="181"/>
      <c r="T1992" s="181"/>
      <c r="U1992" s="181"/>
      <c r="V1992" s="181"/>
      <c r="W1992" s="181"/>
      <c r="X1992" s="181"/>
      <c r="Y1992" s="181"/>
      <c r="Z1992" s="181"/>
    </row>
    <row r="1993">
      <c r="A1993" s="194"/>
      <c r="B1993" s="195"/>
      <c r="C1993" s="181"/>
      <c r="D1993" s="194"/>
      <c r="E1993" s="194"/>
      <c r="F1993" s="181"/>
      <c r="G1993" s="181"/>
      <c r="H1993" s="181"/>
      <c r="I1993" s="181"/>
      <c r="J1993" s="181"/>
      <c r="K1993" s="181"/>
      <c r="L1993" s="181"/>
      <c r="M1993" s="181"/>
      <c r="N1993" s="181"/>
      <c r="O1993" s="181"/>
      <c r="P1993" s="181"/>
      <c r="Q1993" s="181"/>
      <c r="R1993" s="181"/>
      <c r="S1993" s="181"/>
      <c r="T1993" s="181"/>
      <c r="U1993" s="181"/>
      <c r="V1993" s="181"/>
      <c r="W1993" s="181"/>
      <c r="X1993" s="181"/>
      <c r="Y1993" s="181"/>
      <c r="Z1993" s="181"/>
    </row>
    <row r="1994">
      <c r="A1994" s="194"/>
      <c r="B1994" s="195"/>
      <c r="C1994" s="181"/>
      <c r="D1994" s="194"/>
      <c r="E1994" s="194"/>
      <c r="F1994" s="181"/>
      <c r="G1994" s="181"/>
      <c r="H1994" s="181"/>
      <c r="I1994" s="181"/>
      <c r="J1994" s="181"/>
      <c r="K1994" s="181"/>
      <c r="L1994" s="181"/>
      <c r="M1994" s="181"/>
      <c r="N1994" s="181"/>
      <c r="O1994" s="181"/>
      <c r="P1994" s="181"/>
      <c r="Q1994" s="181"/>
      <c r="R1994" s="181"/>
      <c r="S1994" s="181"/>
      <c r="T1994" s="181"/>
      <c r="U1994" s="181"/>
      <c r="V1994" s="181"/>
      <c r="W1994" s="181"/>
      <c r="X1994" s="181"/>
      <c r="Y1994" s="181"/>
      <c r="Z1994" s="181"/>
    </row>
    <row r="1995">
      <c r="A1995" s="194"/>
      <c r="B1995" s="195"/>
      <c r="C1995" s="181"/>
      <c r="D1995" s="194"/>
      <c r="E1995" s="194"/>
      <c r="F1995" s="181"/>
      <c r="G1995" s="181"/>
      <c r="H1995" s="181"/>
      <c r="I1995" s="181"/>
      <c r="J1995" s="181"/>
      <c r="K1995" s="181"/>
      <c r="L1995" s="181"/>
      <c r="M1995" s="181"/>
      <c r="N1995" s="181"/>
      <c r="O1995" s="181"/>
      <c r="P1995" s="181"/>
      <c r="Q1995" s="181"/>
      <c r="R1995" s="181"/>
      <c r="S1995" s="181"/>
      <c r="T1995" s="181"/>
      <c r="U1995" s="181"/>
      <c r="V1995" s="181"/>
      <c r="W1995" s="181"/>
      <c r="X1995" s="181"/>
      <c r="Y1995" s="181"/>
      <c r="Z1995" s="181"/>
    </row>
    <row r="1996">
      <c r="A1996" s="194"/>
      <c r="B1996" s="195"/>
      <c r="C1996" s="181"/>
      <c r="D1996" s="194"/>
      <c r="E1996" s="194"/>
      <c r="F1996" s="181"/>
      <c r="G1996" s="181"/>
      <c r="H1996" s="181"/>
      <c r="I1996" s="181"/>
      <c r="J1996" s="181"/>
      <c r="K1996" s="181"/>
      <c r="L1996" s="181"/>
      <c r="M1996" s="181"/>
      <c r="N1996" s="181"/>
      <c r="O1996" s="181"/>
      <c r="P1996" s="181"/>
      <c r="Q1996" s="181"/>
      <c r="R1996" s="181"/>
      <c r="S1996" s="181"/>
      <c r="T1996" s="181"/>
      <c r="U1996" s="181"/>
      <c r="V1996" s="181"/>
      <c r="W1996" s="181"/>
      <c r="X1996" s="181"/>
      <c r="Y1996" s="181"/>
      <c r="Z1996" s="181"/>
    </row>
    <row r="1997">
      <c r="A1997" s="194"/>
      <c r="B1997" s="195"/>
      <c r="C1997" s="181"/>
      <c r="D1997" s="194"/>
      <c r="E1997" s="194"/>
      <c r="F1997" s="181"/>
      <c r="G1997" s="181"/>
      <c r="H1997" s="181"/>
      <c r="I1997" s="181"/>
      <c r="J1997" s="181"/>
      <c r="K1997" s="181"/>
      <c r="L1997" s="181"/>
      <c r="M1997" s="181"/>
      <c r="N1997" s="181"/>
      <c r="O1997" s="181"/>
      <c r="P1997" s="181"/>
      <c r="Q1997" s="181"/>
      <c r="R1997" s="181"/>
      <c r="S1997" s="181"/>
      <c r="T1997" s="181"/>
      <c r="U1997" s="181"/>
      <c r="V1997" s="181"/>
      <c r="W1997" s="181"/>
      <c r="X1997" s="181"/>
      <c r="Y1997" s="181"/>
      <c r="Z1997" s="181"/>
    </row>
    <row r="1998">
      <c r="A1998" s="194"/>
      <c r="B1998" s="195"/>
      <c r="C1998" s="181"/>
      <c r="D1998" s="194"/>
      <c r="E1998" s="194"/>
      <c r="F1998" s="181"/>
      <c r="G1998" s="181"/>
      <c r="H1998" s="181"/>
      <c r="I1998" s="181"/>
      <c r="J1998" s="181"/>
      <c r="K1998" s="181"/>
      <c r="L1998" s="181"/>
      <c r="M1998" s="181"/>
      <c r="N1998" s="181"/>
      <c r="O1998" s="181"/>
      <c r="P1998" s="181"/>
      <c r="Q1998" s="181"/>
      <c r="R1998" s="181"/>
      <c r="S1998" s="181"/>
      <c r="T1998" s="181"/>
      <c r="U1998" s="181"/>
      <c r="V1998" s="181"/>
      <c r="W1998" s="181"/>
      <c r="X1998" s="181"/>
      <c r="Y1998" s="181"/>
      <c r="Z1998" s="181"/>
    </row>
    <row r="1999">
      <c r="A1999" s="194"/>
      <c r="B1999" s="195"/>
      <c r="C1999" s="181"/>
      <c r="D1999" s="194"/>
      <c r="E1999" s="194"/>
      <c r="F1999" s="181"/>
      <c r="G1999" s="181"/>
      <c r="H1999" s="181"/>
      <c r="I1999" s="181"/>
      <c r="J1999" s="181"/>
      <c r="K1999" s="181"/>
      <c r="L1999" s="181"/>
      <c r="M1999" s="181"/>
      <c r="N1999" s="181"/>
      <c r="O1999" s="181"/>
      <c r="P1999" s="181"/>
      <c r="Q1999" s="181"/>
      <c r="R1999" s="181"/>
      <c r="S1999" s="181"/>
      <c r="T1999" s="181"/>
      <c r="U1999" s="181"/>
      <c r="V1999" s="181"/>
      <c r="W1999" s="181"/>
      <c r="X1999" s="181"/>
      <c r="Y1999" s="181"/>
      <c r="Z1999" s="181"/>
    </row>
    <row r="2000">
      <c r="A2000" s="194"/>
      <c r="B2000" s="195"/>
      <c r="C2000" s="181"/>
      <c r="D2000" s="194"/>
      <c r="E2000" s="194"/>
      <c r="F2000" s="181"/>
      <c r="G2000" s="181"/>
      <c r="H2000" s="181"/>
      <c r="I2000" s="181"/>
      <c r="J2000" s="181"/>
      <c r="K2000" s="181"/>
      <c r="L2000" s="181"/>
      <c r="M2000" s="181"/>
      <c r="N2000" s="181"/>
      <c r="O2000" s="181"/>
      <c r="P2000" s="181"/>
      <c r="Q2000" s="181"/>
      <c r="R2000" s="181"/>
      <c r="S2000" s="181"/>
      <c r="T2000" s="181"/>
      <c r="U2000" s="181"/>
      <c r="V2000" s="181"/>
      <c r="W2000" s="181"/>
      <c r="X2000" s="181"/>
      <c r="Y2000" s="181"/>
      <c r="Z2000" s="181"/>
    </row>
    <row r="2001">
      <c r="A2001" s="194"/>
      <c r="B2001" s="195"/>
      <c r="C2001" s="181"/>
      <c r="D2001" s="194"/>
      <c r="E2001" s="194"/>
      <c r="F2001" s="181"/>
      <c r="G2001" s="181"/>
      <c r="H2001" s="181"/>
      <c r="I2001" s="181"/>
      <c r="J2001" s="181"/>
      <c r="K2001" s="181"/>
      <c r="L2001" s="181"/>
      <c r="M2001" s="181"/>
      <c r="N2001" s="181"/>
      <c r="O2001" s="181"/>
      <c r="P2001" s="181"/>
      <c r="Q2001" s="181"/>
      <c r="R2001" s="181"/>
      <c r="S2001" s="181"/>
      <c r="T2001" s="181"/>
      <c r="U2001" s="181"/>
      <c r="V2001" s="181"/>
      <c r="W2001" s="181"/>
      <c r="X2001" s="181"/>
      <c r="Y2001" s="181"/>
      <c r="Z2001" s="181"/>
    </row>
    <row r="2002">
      <c r="A2002" s="194"/>
      <c r="B2002" s="195"/>
      <c r="C2002" s="181"/>
      <c r="D2002" s="194"/>
      <c r="E2002" s="194"/>
      <c r="F2002" s="181"/>
      <c r="G2002" s="181"/>
      <c r="H2002" s="181"/>
      <c r="I2002" s="181"/>
      <c r="J2002" s="181"/>
      <c r="K2002" s="181"/>
      <c r="L2002" s="181"/>
      <c r="M2002" s="181"/>
      <c r="N2002" s="181"/>
      <c r="O2002" s="181"/>
      <c r="P2002" s="181"/>
      <c r="Q2002" s="181"/>
      <c r="R2002" s="181"/>
      <c r="S2002" s="181"/>
      <c r="T2002" s="181"/>
      <c r="U2002" s="181"/>
      <c r="V2002" s="181"/>
      <c r="W2002" s="181"/>
      <c r="X2002" s="181"/>
      <c r="Y2002" s="181"/>
      <c r="Z2002" s="181"/>
    </row>
    <row r="2003">
      <c r="A2003" s="194"/>
      <c r="B2003" s="195"/>
      <c r="C2003" s="181"/>
      <c r="D2003" s="194"/>
      <c r="E2003" s="194"/>
      <c r="F2003" s="181"/>
      <c r="G2003" s="181"/>
      <c r="H2003" s="181"/>
      <c r="I2003" s="181"/>
      <c r="J2003" s="181"/>
      <c r="K2003" s="181"/>
      <c r="L2003" s="181"/>
      <c r="M2003" s="181"/>
      <c r="N2003" s="181"/>
      <c r="O2003" s="181"/>
      <c r="P2003" s="181"/>
      <c r="Q2003" s="181"/>
      <c r="R2003" s="181"/>
      <c r="S2003" s="181"/>
      <c r="T2003" s="181"/>
      <c r="U2003" s="181"/>
      <c r="V2003" s="181"/>
      <c r="W2003" s="181"/>
      <c r="X2003" s="181"/>
      <c r="Y2003" s="181"/>
      <c r="Z2003" s="181"/>
    </row>
    <row r="2004">
      <c r="A2004" s="194"/>
      <c r="B2004" s="195"/>
      <c r="C2004" s="181"/>
      <c r="D2004" s="194"/>
      <c r="E2004" s="194"/>
      <c r="F2004" s="181"/>
      <c r="G2004" s="181"/>
      <c r="H2004" s="181"/>
      <c r="I2004" s="181"/>
      <c r="J2004" s="181"/>
      <c r="K2004" s="181"/>
      <c r="L2004" s="181"/>
      <c r="M2004" s="181"/>
      <c r="N2004" s="181"/>
      <c r="O2004" s="181"/>
      <c r="P2004" s="181"/>
      <c r="Q2004" s="181"/>
      <c r="R2004" s="181"/>
      <c r="S2004" s="181"/>
      <c r="T2004" s="181"/>
      <c r="U2004" s="181"/>
      <c r="V2004" s="181"/>
      <c r="W2004" s="181"/>
      <c r="X2004" s="181"/>
      <c r="Y2004" s="181"/>
      <c r="Z2004" s="181"/>
    </row>
    <row r="2005">
      <c r="A2005" s="194"/>
      <c r="B2005" s="195"/>
      <c r="C2005" s="181"/>
      <c r="D2005" s="194"/>
      <c r="E2005" s="194"/>
      <c r="F2005" s="181"/>
      <c r="G2005" s="181"/>
      <c r="H2005" s="181"/>
      <c r="I2005" s="181"/>
      <c r="J2005" s="181"/>
      <c r="K2005" s="181"/>
      <c r="L2005" s="181"/>
      <c r="M2005" s="181"/>
      <c r="N2005" s="181"/>
      <c r="O2005" s="181"/>
      <c r="P2005" s="181"/>
      <c r="Q2005" s="181"/>
      <c r="R2005" s="181"/>
      <c r="S2005" s="181"/>
      <c r="T2005" s="181"/>
      <c r="U2005" s="181"/>
      <c r="V2005" s="181"/>
      <c r="W2005" s="181"/>
      <c r="X2005" s="181"/>
      <c r="Y2005" s="181"/>
      <c r="Z2005" s="181"/>
    </row>
    <row r="2006">
      <c r="A2006" s="194"/>
      <c r="B2006" s="195"/>
      <c r="C2006" s="181"/>
      <c r="D2006" s="194"/>
      <c r="E2006" s="194"/>
      <c r="F2006" s="181"/>
      <c r="G2006" s="181"/>
      <c r="H2006" s="181"/>
      <c r="I2006" s="181"/>
      <c r="J2006" s="181"/>
      <c r="K2006" s="181"/>
      <c r="L2006" s="181"/>
      <c r="M2006" s="181"/>
      <c r="N2006" s="181"/>
      <c r="O2006" s="181"/>
      <c r="P2006" s="181"/>
      <c r="Q2006" s="181"/>
      <c r="R2006" s="181"/>
      <c r="S2006" s="181"/>
      <c r="T2006" s="181"/>
      <c r="U2006" s="181"/>
      <c r="V2006" s="181"/>
      <c r="W2006" s="181"/>
      <c r="X2006" s="181"/>
      <c r="Y2006" s="181"/>
      <c r="Z2006" s="181"/>
    </row>
    <row r="2007">
      <c r="A2007" s="194"/>
      <c r="B2007" s="195"/>
      <c r="C2007" s="181"/>
      <c r="D2007" s="194"/>
      <c r="E2007" s="194"/>
      <c r="F2007" s="181"/>
      <c r="G2007" s="181"/>
      <c r="H2007" s="181"/>
      <c r="I2007" s="181"/>
      <c r="J2007" s="181"/>
      <c r="K2007" s="181"/>
      <c r="L2007" s="181"/>
      <c r="M2007" s="181"/>
      <c r="N2007" s="181"/>
      <c r="O2007" s="181"/>
      <c r="P2007" s="181"/>
      <c r="Q2007" s="181"/>
      <c r="R2007" s="181"/>
      <c r="S2007" s="181"/>
      <c r="T2007" s="181"/>
      <c r="U2007" s="181"/>
      <c r="V2007" s="181"/>
      <c r="W2007" s="181"/>
      <c r="X2007" s="181"/>
      <c r="Y2007" s="181"/>
      <c r="Z2007" s="181"/>
    </row>
    <row r="2008">
      <c r="A2008" s="194"/>
      <c r="B2008" s="195"/>
      <c r="C2008" s="181"/>
      <c r="D2008" s="194"/>
      <c r="E2008" s="194"/>
      <c r="F2008" s="181"/>
      <c r="G2008" s="181"/>
      <c r="H2008" s="181"/>
      <c r="I2008" s="181"/>
      <c r="J2008" s="181"/>
      <c r="K2008" s="181"/>
      <c r="L2008" s="181"/>
      <c r="M2008" s="181"/>
      <c r="N2008" s="181"/>
      <c r="O2008" s="181"/>
      <c r="P2008" s="181"/>
      <c r="Q2008" s="181"/>
      <c r="R2008" s="181"/>
      <c r="S2008" s="181"/>
      <c r="T2008" s="181"/>
      <c r="U2008" s="181"/>
      <c r="V2008" s="181"/>
      <c r="W2008" s="181"/>
      <c r="X2008" s="181"/>
      <c r="Y2008" s="181"/>
      <c r="Z2008" s="181"/>
    </row>
    <row r="2009">
      <c r="A2009" s="194"/>
      <c r="B2009" s="195"/>
      <c r="C2009" s="181"/>
      <c r="D2009" s="194"/>
      <c r="E2009" s="194"/>
      <c r="F2009" s="181"/>
      <c r="G2009" s="181"/>
      <c r="H2009" s="181"/>
      <c r="I2009" s="181"/>
      <c r="J2009" s="181"/>
      <c r="K2009" s="181"/>
      <c r="L2009" s="181"/>
      <c r="M2009" s="181"/>
      <c r="N2009" s="181"/>
      <c r="O2009" s="181"/>
      <c r="P2009" s="181"/>
      <c r="Q2009" s="181"/>
      <c r="R2009" s="181"/>
      <c r="S2009" s="181"/>
      <c r="T2009" s="181"/>
      <c r="U2009" s="181"/>
      <c r="V2009" s="181"/>
      <c r="W2009" s="181"/>
      <c r="X2009" s="181"/>
      <c r="Y2009" s="181"/>
      <c r="Z2009" s="181"/>
    </row>
    <row r="2010">
      <c r="A2010" s="194"/>
      <c r="B2010" s="195"/>
      <c r="C2010" s="181"/>
      <c r="D2010" s="194"/>
      <c r="E2010" s="194"/>
      <c r="F2010" s="181"/>
      <c r="G2010" s="181"/>
      <c r="H2010" s="181"/>
      <c r="I2010" s="181"/>
      <c r="J2010" s="181"/>
      <c r="K2010" s="181"/>
      <c r="L2010" s="181"/>
      <c r="M2010" s="181"/>
      <c r="N2010" s="181"/>
      <c r="O2010" s="181"/>
      <c r="P2010" s="181"/>
      <c r="Q2010" s="181"/>
      <c r="R2010" s="181"/>
      <c r="S2010" s="181"/>
      <c r="T2010" s="181"/>
      <c r="U2010" s="181"/>
      <c r="V2010" s="181"/>
      <c r="W2010" s="181"/>
      <c r="X2010" s="181"/>
      <c r="Y2010" s="181"/>
      <c r="Z2010" s="181"/>
    </row>
    <row r="2011">
      <c r="A2011" s="194"/>
      <c r="B2011" s="195"/>
      <c r="C2011" s="181"/>
      <c r="D2011" s="194"/>
      <c r="E2011" s="194"/>
      <c r="F2011" s="181"/>
      <c r="G2011" s="181"/>
      <c r="H2011" s="181"/>
      <c r="I2011" s="181"/>
      <c r="J2011" s="181"/>
      <c r="K2011" s="181"/>
      <c r="L2011" s="181"/>
      <c r="M2011" s="181"/>
      <c r="N2011" s="181"/>
      <c r="O2011" s="181"/>
      <c r="P2011" s="181"/>
      <c r="Q2011" s="181"/>
      <c r="R2011" s="181"/>
      <c r="S2011" s="181"/>
      <c r="T2011" s="181"/>
      <c r="U2011" s="181"/>
      <c r="V2011" s="181"/>
      <c r="W2011" s="181"/>
      <c r="X2011" s="181"/>
      <c r="Y2011" s="181"/>
      <c r="Z2011" s="181"/>
    </row>
    <row r="2012">
      <c r="A2012" s="194"/>
      <c r="B2012" s="195"/>
      <c r="C2012" s="181"/>
      <c r="D2012" s="194"/>
      <c r="E2012" s="194"/>
      <c r="F2012" s="181"/>
      <c r="G2012" s="181"/>
      <c r="H2012" s="181"/>
      <c r="I2012" s="181"/>
      <c r="J2012" s="181"/>
      <c r="K2012" s="181"/>
      <c r="L2012" s="181"/>
      <c r="M2012" s="181"/>
      <c r="N2012" s="181"/>
      <c r="O2012" s="181"/>
      <c r="P2012" s="181"/>
      <c r="Q2012" s="181"/>
      <c r="R2012" s="181"/>
      <c r="S2012" s="181"/>
      <c r="T2012" s="181"/>
      <c r="U2012" s="181"/>
      <c r="V2012" s="181"/>
      <c r="W2012" s="181"/>
      <c r="X2012" s="181"/>
      <c r="Y2012" s="181"/>
      <c r="Z2012" s="181"/>
    </row>
    <row r="2013">
      <c r="A2013" s="194"/>
      <c r="B2013" s="195"/>
      <c r="C2013" s="181"/>
      <c r="D2013" s="194"/>
      <c r="E2013" s="194"/>
      <c r="F2013" s="181"/>
      <c r="G2013" s="181"/>
      <c r="H2013" s="181"/>
      <c r="I2013" s="181"/>
      <c r="J2013" s="181"/>
      <c r="K2013" s="181"/>
      <c r="L2013" s="181"/>
      <c r="M2013" s="181"/>
      <c r="N2013" s="181"/>
      <c r="O2013" s="181"/>
      <c r="P2013" s="181"/>
      <c r="Q2013" s="181"/>
      <c r="R2013" s="181"/>
      <c r="S2013" s="181"/>
      <c r="T2013" s="181"/>
      <c r="U2013" s="181"/>
      <c r="V2013" s="181"/>
      <c r="W2013" s="181"/>
      <c r="X2013" s="181"/>
      <c r="Y2013" s="181"/>
      <c r="Z2013" s="181"/>
    </row>
    <row r="2014">
      <c r="A2014" s="194"/>
      <c r="B2014" s="195"/>
      <c r="C2014" s="181"/>
      <c r="D2014" s="194"/>
      <c r="E2014" s="194"/>
      <c r="F2014" s="181"/>
      <c r="G2014" s="181"/>
      <c r="H2014" s="181"/>
      <c r="I2014" s="181"/>
      <c r="J2014" s="181"/>
      <c r="K2014" s="181"/>
      <c r="L2014" s="181"/>
      <c r="M2014" s="181"/>
      <c r="N2014" s="181"/>
      <c r="O2014" s="181"/>
      <c r="P2014" s="181"/>
      <c r="Q2014" s="181"/>
      <c r="R2014" s="181"/>
      <c r="S2014" s="181"/>
      <c r="T2014" s="181"/>
      <c r="U2014" s="181"/>
      <c r="V2014" s="181"/>
      <c r="W2014" s="181"/>
      <c r="X2014" s="181"/>
      <c r="Y2014" s="181"/>
      <c r="Z2014" s="181"/>
    </row>
    <row r="2015">
      <c r="A2015" s="194"/>
      <c r="B2015" s="195"/>
      <c r="C2015" s="181"/>
      <c r="D2015" s="194"/>
      <c r="E2015" s="194"/>
      <c r="F2015" s="181"/>
      <c r="G2015" s="181"/>
      <c r="H2015" s="181"/>
      <c r="I2015" s="181"/>
      <c r="J2015" s="181"/>
      <c r="K2015" s="181"/>
      <c r="L2015" s="181"/>
      <c r="M2015" s="181"/>
      <c r="N2015" s="181"/>
      <c r="O2015" s="181"/>
      <c r="P2015" s="181"/>
      <c r="Q2015" s="181"/>
      <c r="R2015" s="181"/>
      <c r="S2015" s="181"/>
      <c r="T2015" s="181"/>
      <c r="U2015" s="181"/>
      <c r="V2015" s="181"/>
      <c r="W2015" s="181"/>
      <c r="X2015" s="181"/>
      <c r="Y2015" s="181"/>
      <c r="Z2015" s="181"/>
    </row>
    <row r="2016">
      <c r="A2016" s="194"/>
      <c r="B2016" s="195"/>
      <c r="C2016" s="181"/>
      <c r="D2016" s="194"/>
      <c r="E2016" s="194"/>
      <c r="F2016" s="181"/>
      <c r="G2016" s="181"/>
      <c r="H2016" s="181"/>
      <c r="I2016" s="181"/>
      <c r="J2016" s="181"/>
      <c r="K2016" s="181"/>
      <c r="L2016" s="181"/>
      <c r="M2016" s="181"/>
      <c r="N2016" s="181"/>
      <c r="O2016" s="181"/>
      <c r="P2016" s="181"/>
      <c r="Q2016" s="181"/>
      <c r="R2016" s="181"/>
      <c r="S2016" s="181"/>
      <c r="T2016" s="181"/>
      <c r="U2016" s="181"/>
      <c r="V2016" s="181"/>
      <c r="W2016" s="181"/>
      <c r="X2016" s="181"/>
      <c r="Y2016" s="181"/>
      <c r="Z2016" s="181"/>
    </row>
    <row r="2017">
      <c r="A2017" s="194"/>
      <c r="B2017" s="195"/>
      <c r="C2017" s="181"/>
      <c r="D2017" s="194"/>
      <c r="E2017" s="194"/>
      <c r="F2017" s="181"/>
      <c r="G2017" s="181"/>
      <c r="H2017" s="181"/>
      <c r="I2017" s="181"/>
      <c r="J2017" s="181"/>
      <c r="K2017" s="181"/>
      <c r="L2017" s="181"/>
      <c r="M2017" s="181"/>
      <c r="N2017" s="181"/>
      <c r="O2017" s="181"/>
      <c r="P2017" s="181"/>
      <c r="Q2017" s="181"/>
      <c r="R2017" s="181"/>
      <c r="S2017" s="181"/>
      <c r="T2017" s="181"/>
      <c r="U2017" s="181"/>
      <c r="V2017" s="181"/>
      <c r="W2017" s="181"/>
      <c r="X2017" s="181"/>
      <c r="Y2017" s="181"/>
      <c r="Z2017" s="181"/>
    </row>
    <row r="2018">
      <c r="A2018" s="194"/>
      <c r="B2018" s="195"/>
      <c r="C2018" s="181"/>
      <c r="D2018" s="194"/>
      <c r="E2018" s="194"/>
      <c r="F2018" s="181"/>
      <c r="G2018" s="181"/>
      <c r="H2018" s="181"/>
      <c r="I2018" s="181"/>
      <c r="J2018" s="181"/>
      <c r="K2018" s="181"/>
      <c r="L2018" s="181"/>
      <c r="M2018" s="181"/>
      <c r="N2018" s="181"/>
      <c r="O2018" s="181"/>
      <c r="P2018" s="181"/>
      <c r="Q2018" s="181"/>
      <c r="R2018" s="181"/>
      <c r="S2018" s="181"/>
      <c r="T2018" s="181"/>
      <c r="U2018" s="181"/>
      <c r="V2018" s="181"/>
      <c r="W2018" s="181"/>
      <c r="X2018" s="181"/>
      <c r="Y2018" s="181"/>
      <c r="Z2018" s="181"/>
    </row>
    <row r="2019">
      <c r="A2019" s="194"/>
      <c r="B2019" s="195"/>
      <c r="C2019" s="181"/>
      <c r="D2019" s="194"/>
      <c r="E2019" s="194"/>
      <c r="F2019" s="181"/>
      <c r="G2019" s="181"/>
      <c r="H2019" s="181"/>
      <c r="I2019" s="181"/>
      <c r="J2019" s="181"/>
      <c r="K2019" s="181"/>
      <c r="L2019" s="181"/>
      <c r="M2019" s="181"/>
      <c r="N2019" s="181"/>
      <c r="O2019" s="181"/>
      <c r="P2019" s="181"/>
      <c r="Q2019" s="181"/>
      <c r="R2019" s="181"/>
      <c r="S2019" s="181"/>
      <c r="T2019" s="181"/>
      <c r="U2019" s="181"/>
      <c r="V2019" s="181"/>
      <c r="W2019" s="181"/>
      <c r="X2019" s="181"/>
      <c r="Y2019" s="181"/>
      <c r="Z2019" s="181"/>
    </row>
    <row r="2020">
      <c r="A2020" s="194"/>
      <c r="B2020" s="195"/>
      <c r="C2020" s="181"/>
      <c r="D2020" s="194"/>
      <c r="E2020" s="194"/>
      <c r="F2020" s="181"/>
      <c r="G2020" s="181"/>
      <c r="H2020" s="181"/>
      <c r="I2020" s="181"/>
      <c r="J2020" s="181"/>
      <c r="K2020" s="181"/>
      <c r="L2020" s="181"/>
      <c r="M2020" s="181"/>
      <c r="N2020" s="181"/>
      <c r="O2020" s="181"/>
      <c r="P2020" s="181"/>
      <c r="Q2020" s="181"/>
      <c r="R2020" s="181"/>
      <c r="S2020" s="181"/>
      <c r="T2020" s="181"/>
      <c r="U2020" s="181"/>
      <c r="V2020" s="181"/>
      <c r="W2020" s="181"/>
      <c r="X2020" s="181"/>
      <c r="Y2020" s="181"/>
      <c r="Z2020" s="181"/>
    </row>
    <row r="2021">
      <c r="A2021" s="194"/>
      <c r="B2021" s="195"/>
      <c r="C2021" s="181"/>
      <c r="D2021" s="194"/>
      <c r="E2021" s="194"/>
      <c r="F2021" s="181"/>
      <c r="G2021" s="181"/>
      <c r="H2021" s="181"/>
      <c r="I2021" s="181"/>
      <c r="J2021" s="181"/>
      <c r="K2021" s="181"/>
      <c r="L2021" s="181"/>
      <c r="M2021" s="181"/>
      <c r="N2021" s="181"/>
      <c r="O2021" s="181"/>
      <c r="P2021" s="181"/>
      <c r="Q2021" s="181"/>
      <c r="R2021" s="181"/>
      <c r="S2021" s="181"/>
      <c r="T2021" s="181"/>
      <c r="U2021" s="181"/>
      <c r="V2021" s="181"/>
      <c r="W2021" s="181"/>
      <c r="X2021" s="181"/>
      <c r="Y2021" s="181"/>
      <c r="Z2021" s="181"/>
    </row>
    <row r="2022">
      <c r="A2022" s="194"/>
      <c r="B2022" s="195"/>
      <c r="C2022" s="181"/>
      <c r="D2022" s="194"/>
      <c r="E2022" s="194"/>
      <c r="F2022" s="181"/>
      <c r="G2022" s="181"/>
      <c r="H2022" s="181"/>
      <c r="I2022" s="181"/>
      <c r="J2022" s="181"/>
      <c r="K2022" s="181"/>
      <c r="L2022" s="181"/>
      <c r="M2022" s="181"/>
      <c r="N2022" s="181"/>
      <c r="O2022" s="181"/>
      <c r="P2022" s="181"/>
      <c r="Q2022" s="181"/>
      <c r="R2022" s="181"/>
      <c r="S2022" s="181"/>
      <c r="T2022" s="181"/>
      <c r="U2022" s="181"/>
      <c r="V2022" s="181"/>
      <c r="W2022" s="181"/>
      <c r="X2022" s="181"/>
      <c r="Y2022" s="181"/>
      <c r="Z2022" s="181"/>
    </row>
    <row r="2023">
      <c r="A2023" s="194"/>
      <c r="B2023" s="195"/>
      <c r="C2023" s="181"/>
      <c r="D2023" s="194"/>
      <c r="E2023" s="194"/>
      <c r="F2023" s="181"/>
      <c r="G2023" s="181"/>
      <c r="H2023" s="181"/>
      <c r="I2023" s="181"/>
      <c r="J2023" s="181"/>
      <c r="K2023" s="181"/>
      <c r="L2023" s="181"/>
      <c r="M2023" s="181"/>
      <c r="N2023" s="181"/>
      <c r="O2023" s="181"/>
      <c r="P2023" s="181"/>
      <c r="Q2023" s="181"/>
      <c r="R2023" s="181"/>
      <c r="S2023" s="181"/>
      <c r="T2023" s="181"/>
      <c r="U2023" s="181"/>
      <c r="V2023" s="181"/>
      <c r="W2023" s="181"/>
      <c r="X2023" s="181"/>
      <c r="Y2023" s="181"/>
      <c r="Z2023" s="181"/>
    </row>
    <row r="2024">
      <c r="A2024" s="194"/>
      <c r="B2024" s="195"/>
      <c r="C2024" s="181"/>
      <c r="D2024" s="194"/>
      <c r="E2024" s="194"/>
      <c r="F2024" s="181"/>
      <c r="G2024" s="181"/>
      <c r="H2024" s="181"/>
      <c r="I2024" s="181"/>
      <c r="J2024" s="181"/>
      <c r="K2024" s="181"/>
      <c r="L2024" s="181"/>
      <c r="M2024" s="181"/>
      <c r="N2024" s="181"/>
      <c r="O2024" s="181"/>
      <c r="P2024" s="181"/>
      <c r="Q2024" s="181"/>
      <c r="R2024" s="181"/>
      <c r="S2024" s="181"/>
      <c r="T2024" s="181"/>
      <c r="U2024" s="181"/>
      <c r="V2024" s="181"/>
      <c r="W2024" s="181"/>
      <c r="X2024" s="181"/>
      <c r="Y2024" s="181"/>
      <c r="Z2024" s="181"/>
    </row>
    <row r="2025">
      <c r="A2025" s="194"/>
      <c r="B2025" s="195"/>
      <c r="C2025" s="181"/>
      <c r="D2025" s="194"/>
      <c r="E2025" s="194"/>
      <c r="F2025" s="181"/>
      <c r="G2025" s="181"/>
      <c r="H2025" s="181"/>
      <c r="I2025" s="181"/>
      <c r="J2025" s="181"/>
      <c r="K2025" s="181"/>
      <c r="L2025" s="181"/>
      <c r="M2025" s="181"/>
      <c r="N2025" s="181"/>
      <c r="O2025" s="181"/>
      <c r="P2025" s="181"/>
      <c r="Q2025" s="181"/>
      <c r="R2025" s="181"/>
      <c r="S2025" s="181"/>
      <c r="T2025" s="181"/>
      <c r="U2025" s="181"/>
      <c r="V2025" s="181"/>
      <c r="W2025" s="181"/>
      <c r="X2025" s="181"/>
      <c r="Y2025" s="181"/>
      <c r="Z2025" s="181"/>
    </row>
    <row r="2026">
      <c r="A2026" s="194"/>
      <c r="B2026" s="195"/>
      <c r="C2026" s="181"/>
      <c r="D2026" s="194"/>
      <c r="E2026" s="194"/>
      <c r="F2026" s="181"/>
      <c r="G2026" s="181"/>
      <c r="H2026" s="181"/>
      <c r="I2026" s="181"/>
      <c r="J2026" s="181"/>
      <c r="K2026" s="181"/>
      <c r="L2026" s="181"/>
      <c r="M2026" s="181"/>
      <c r="N2026" s="181"/>
      <c r="O2026" s="181"/>
      <c r="P2026" s="181"/>
      <c r="Q2026" s="181"/>
      <c r="R2026" s="181"/>
      <c r="S2026" s="181"/>
      <c r="T2026" s="181"/>
      <c r="U2026" s="181"/>
      <c r="V2026" s="181"/>
      <c r="W2026" s="181"/>
      <c r="X2026" s="181"/>
      <c r="Y2026" s="181"/>
      <c r="Z2026" s="181"/>
    </row>
    <row r="2027">
      <c r="A2027" s="194"/>
      <c r="B2027" s="195"/>
      <c r="C2027" s="181"/>
      <c r="D2027" s="194"/>
      <c r="E2027" s="194"/>
      <c r="F2027" s="181"/>
      <c r="G2027" s="181"/>
      <c r="H2027" s="181"/>
      <c r="I2027" s="181"/>
      <c r="J2027" s="181"/>
      <c r="K2027" s="181"/>
      <c r="L2027" s="181"/>
      <c r="M2027" s="181"/>
      <c r="N2027" s="181"/>
      <c r="O2027" s="181"/>
      <c r="P2027" s="181"/>
      <c r="Q2027" s="181"/>
      <c r="R2027" s="181"/>
      <c r="S2027" s="181"/>
      <c r="T2027" s="181"/>
      <c r="U2027" s="181"/>
      <c r="V2027" s="181"/>
      <c r="W2027" s="181"/>
      <c r="X2027" s="181"/>
      <c r="Y2027" s="181"/>
      <c r="Z2027" s="181"/>
    </row>
    <row r="2028">
      <c r="A2028" s="194"/>
      <c r="B2028" s="195"/>
      <c r="C2028" s="181"/>
      <c r="D2028" s="194"/>
      <c r="E2028" s="194"/>
      <c r="F2028" s="181"/>
      <c r="G2028" s="181"/>
      <c r="H2028" s="181"/>
      <c r="I2028" s="181"/>
      <c r="J2028" s="181"/>
      <c r="K2028" s="181"/>
      <c r="L2028" s="181"/>
      <c r="M2028" s="181"/>
      <c r="N2028" s="181"/>
      <c r="O2028" s="181"/>
      <c r="P2028" s="181"/>
      <c r="Q2028" s="181"/>
      <c r="R2028" s="181"/>
      <c r="S2028" s="181"/>
      <c r="T2028" s="181"/>
      <c r="U2028" s="181"/>
      <c r="V2028" s="181"/>
      <c r="W2028" s="181"/>
      <c r="X2028" s="181"/>
      <c r="Y2028" s="181"/>
      <c r="Z2028" s="181"/>
    </row>
    <row r="2029">
      <c r="A2029" s="194"/>
      <c r="B2029" s="195"/>
      <c r="C2029" s="181"/>
      <c r="D2029" s="194"/>
      <c r="E2029" s="194"/>
      <c r="F2029" s="181"/>
      <c r="G2029" s="181"/>
      <c r="H2029" s="181"/>
      <c r="I2029" s="181"/>
      <c r="J2029" s="181"/>
      <c r="K2029" s="181"/>
      <c r="L2029" s="181"/>
      <c r="M2029" s="181"/>
      <c r="N2029" s="181"/>
      <c r="O2029" s="181"/>
      <c r="P2029" s="181"/>
      <c r="Q2029" s="181"/>
      <c r="R2029" s="181"/>
      <c r="S2029" s="181"/>
      <c r="T2029" s="181"/>
      <c r="U2029" s="181"/>
      <c r="V2029" s="181"/>
      <c r="W2029" s="181"/>
      <c r="X2029" s="181"/>
      <c r="Y2029" s="181"/>
      <c r="Z2029" s="181"/>
    </row>
    <row r="2030">
      <c r="A2030" s="194"/>
      <c r="B2030" s="195"/>
      <c r="C2030" s="181"/>
      <c r="D2030" s="194"/>
      <c r="E2030" s="194"/>
      <c r="F2030" s="181"/>
      <c r="G2030" s="181"/>
      <c r="H2030" s="181"/>
      <c r="I2030" s="181"/>
      <c r="J2030" s="181"/>
      <c r="K2030" s="181"/>
      <c r="L2030" s="181"/>
      <c r="M2030" s="181"/>
      <c r="N2030" s="181"/>
      <c r="O2030" s="181"/>
      <c r="P2030" s="181"/>
      <c r="Q2030" s="181"/>
      <c r="R2030" s="181"/>
      <c r="S2030" s="181"/>
      <c r="T2030" s="181"/>
      <c r="U2030" s="181"/>
      <c r="V2030" s="181"/>
      <c r="W2030" s="181"/>
      <c r="X2030" s="181"/>
      <c r="Y2030" s="181"/>
      <c r="Z2030" s="181"/>
    </row>
    <row r="2031">
      <c r="A2031" s="194"/>
      <c r="B2031" s="195"/>
      <c r="C2031" s="181"/>
      <c r="D2031" s="194"/>
      <c r="E2031" s="194"/>
      <c r="F2031" s="181"/>
      <c r="G2031" s="181"/>
      <c r="H2031" s="181"/>
      <c r="I2031" s="181"/>
      <c r="J2031" s="181"/>
      <c r="K2031" s="181"/>
      <c r="L2031" s="181"/>
      <c r="M2031" s="181"/>
      <c r="N2031" s="181"/>
      <c r="O2031" s="181"/>
      <c r="P2031" s="181"/>
      <c r="Q2031" s="181"/>
      <c r="R2031" s="181"/>
      <c r="S2031" s="181"/>
      <c r="T2031" s="181"/>
      <c r="U2031" s="181"/>
      <c r="V2031" s="181"/>
      <c r="W2031" s="181"/>
      <c r="X2031" s="181"/>
      <c r="Y2031" s="181"/>
      <c r="Z2031" s="181"/>
    </row>
    <row r="2032">
      <c r="A2032" s="194"/>
      <c r="B2032" s="195"/>
      <c r="C2032" s="181"/>
      <c r="D2032" s="194"/>
      <c r="E2032" s="194"/>
      <c r="F2032" s="181"/>
      <c r="G2032" s="181"/>
      <c r="H2032" s="181"/>
      <c r="I2032" s="181"/>
      <c r="J2032" s="181"/>
      <c r="K2032" s="181"/>
      <c r="L2032" s="181"/>
      <c r="M2032" s="181"/>
      <c r="N2032" s="181"/>
      <c r="O2032" s="181"/>
      <c r="P2032" s="181"/>
      <c r="Q2032" s="181"/>
      <c r="R2032" s="181"/>
      <c r="S2032" s="181"/>
      <c r="T2032" s="181"/>
      <c r="U2032" s="181"/>
      <c r="V2032" s="181"/>
      <c r="W2032" s="181"/>
      <c r="X2032" s="181"/>
      <c r="Y2032" s="181"/>
      <c r="Z2032" s="181"/>
    </row>
    <row r="2033">
      <c r="A2033" s="194"/>
      <c r="B2033" s="195"/>
      <c r="C2033" s="181"/>
      <c r="D2033" s="194"/>
      <c r="E2033" s="194"/>
      <c r="F2033" s="181"/>
      <c r="G2033" s="181"/>
      <c r="H2033" s="181"/>
      <c r="I2033" s="181"/>
      <c r="J2033" s="181"/>
      <c r="K2033" s="181"/>
      <c r="L2033" s="181"/>
      <c r="M2033" s="181"/>
      <c r="N2033" s="181"/>
      <c r="O2033" s="181"/>
      <c r="P2033" s="181"/>
      <c r="Q2033" s="181"/>
      <c r="R2033" s="181"/>
      <c r="S2033" s="181"/>
      <c r="T2033" s="181"/>
      <c r="U2033" s="181"/>
      <c r="V2033" s="181"/>
      <c r="W2033" s="181"/>
      <c r="X2033" s="181"/>
      <c r="Y2033" s="181"/>
      <c r="Z2033" s="181"/>
    </row>
    <row r="2034">
      <c r="A2034" s="194"/>
      <c r="B2034" s="195"/>
      <c r="C2034" s="181"/>
      <c r="D2034" s="194"/>
      <c r="E2034" s="194"/>
      <c r="F2034" s="181"/>
      <c r="G2034" s="181"/>
      <c r="H2034" s="181"/>
      <c r="I2034" s="181"/>
      <c r="J2034" s="181"/>
      <c r="K2034" s="181"/>
      <c r="L2034" s="181"/>
      <c r="M2034" s="181"/>
      <c r="N2034" s="181"/>
      <c r="O2034" s="181"/>
      <c r="P2034" s="181"/>
      <c r="Q2034" s="181"/>
      <c r="R2034" s="181"/>
      <c r="S2034" s="181"/>
      <c r="T2034" s="181"/>
      <c r="U2034" s="181"/>
      <c r="V2034" s="181"/>
      <c r="W2034" s="181"/>
      <c r="X2034" s="181"/>
      <c r="Y2034" s="181"/>
      <c r="Z2034" s="181"/>
    </row>
    <row r="2035">
      <c r="A2035" s="194"/>
      <c r="B2035" s="195"/>
      <c r="C2035" s="181"/>
      <c r="D2035" s="194"/>
      <c r="E2035" s="194"/>
      <c r="F2035" s="181"/>
      <c r="G2035" s="181"/>
      <c r="H2035" s="181"/>
      <c r="I2035" s="181"/>
      <c r="J2035" s="181"/>
      <c r="K2035" s="181"/>
      <c r="L2035" s="181"/>
      <c r="M2035" s="181"/>
      <c r="N2035" s="181"/>
      <c r="O2035" s="181"/>
      <c r="P2035" s="181"/>
      <c r="Q2035" s="181"/>
      <c r="R2035" s="181"/>
      <c r="S2035" s="181"/>
      <c r="T2035" s="181"/>
      <c r="U2035" s="181"/>
      <c r="V2035" s="181"/>
      <c r="W2035" s="181"/>
      <c r="X2035" s="181"/>
      <c r="Y2035" s="181"/>
      <c r="Z2035" s="181"/>
    </row>
    <row r="2036">
      <c r="A2036" s="194"/>
      <c r="B2036" s="195"/>
      <c r="C2036" s="181"/>
      <c r="D2036" s="194"/>
      <c r="E2036" s="194"/>
      <c r="F2036" s="181"/>
      <c r="G2036" s="181"/>
      <c r="H2036" s="181"/>
      <c r="I2036" s="181"/>
      <c r="J2036" s="181"/>
      <c r="K2036" s="181"/>
      <c r="L2036" s="181"/>
      <c r="M2036" s="181"/>
      <c r="N2036" s="181"/>
      <c r="O2036" s="181"/>
      <c r="P2036" s="181"/>
      <c r="Q2036" s="181"/>
      <c r="R2036" s="181"/>
      <c r="S2036" s="181"/>
      <c r="T2036" s="181"/>
      <c r="U2036" s="181"/>
      <c r="V2036" s="181"/>
      <c r="W2036" s="181"/>
      <c r="X2036" s="181"/>
      <c r="Y2036" s="181"/>
      <c r="Z2036" s="181"/>
    </row>
    <row r="2037">
      <c r="A2037" s="194"/>
      <c r="B2037" s="195"/>
      <c r="C2037" s="181"/>
      <c r="D2037" s="194"/>
      <c r="E2037" s="194"/>
      <c r="F2037" s="181"/>
      <c r="G2037" s="181"/>
      <c r="H2037" s="181"/>
      <c r="I2037" s="181"/>
      <c r="J2037" s="181"/>
      <c r="K2037" s="181"/>
      <c r="L2037" s="181"/>
      <c r="M2037" s="181"/>
      <c r="N2037" s="181"/>
      <c r="O2037" s="181"/>
      <c r="P2037" s="181"/>
      <c r="Q2037" s="181"/>
      <c r="R2037" s="181"/>
      <c r="S2037" s="181"/>
      <c r="T2037" s="181"/>
      <c r="U2037" s="181"/>
      <c r="V2037" s="181"/>
      <c r="W2037" s="181"/>
      <c r="X2037" s="181"/>
      <c r="Y2037" s="181"/>
      <c r="Z2037" s="181"/>
    </row>
    <row r="2038">
      <c r="A2038" s="194"/>
      <c r="B2038" s="195"/>
      <c r="C2038" s="181"/>
      <c r="D2038" s="194"/>
      <c r="E2038" s="194"/>
      <c r="F2038" s="181"/>
      <c r="G2038" s="181"/>
      <c r="H2038" s="181"/>
      <c r="I2038" s="181"/>
      <c r="J2038" s="181"/>
      <c r="K2038" s="181"/>
      <c r="L2038" s="181"/>
      <c r="M2038" s="181"/>
      <c r="N2038" s="181"/>
      <c r="O2038" s="181"/>
      <c r="P2038" s="181"/>
      <c r="Q2038" s="181"/>
      <c r="R2038" s="181"/>
      <c r="S2038" s="181"/>
      <c r="T2038" s="181"/>
      <c r="U2038" s="181"/>
      <c r="V2038" s="181"/>
      <c r="W2038" s="181"/>
      <c r="X2038" s="181"/>
      <c r="Y2038" s="181"/>
      <c r="Z2038" s="181"/>
    </row>
    <row r="2039">
      <c r="A2039" s="194"/>
      <c r="B2039" s="195"/>
      <c r="C2039" s="181"/>
      <c r="D2039" s="194"/>
      <c r="E2039" s="194"/>
      <c r="F2039" s="181"/>
      <c r="G2039" s="181"/>
      <c r="H2039" s="181"/>
      <c r="I2039" s="181"/>
      <c r="J2039" s="181"/>
      <c r="K2039" s="181"/>
      <c r="L2039" s="181"/>
      <c r="M2039" s="181"/>
      <c r="N2039" s="181"/>
      <c r="O2039" s="181"/>
      <c r="P2039" s="181"/>
      <c r="Q2039" s="181"/>
      <c r="R2039" s="181"/>
      <c r="S2039" s="181"/>
      <c r="T2039" s="181"/>
      <c r="U2039" s="181"/>
      <c r="V2039" s="181"/>
      <c r="W2039" s="181"/>
      <c r="X2039" s="181"/>
      <c r="Y2039" s="181"/>
      <c r="Z2039" s="181"/>
    </row>
    <row r="2040">
      <c r="A2040" s="194"/>
      <c r="B2040" s="195"/>
      <c r="C2040" s="181"/>
      <c r="D2040" s="194"/>
      <c r="E2040" s="194"/>
      <c r="F2040" s="181"/>
      <c r="G2040" s="181"/>
      <c r="H2040" s="181"/>
      <c r="I2040" s="181"/>
      <c r="J2040" s="181"/>
      <c r="K2040" s="181"/>
      <c r="L2040" s="181"/>
      <c r="M2040" s="181"/>
      <c r="N2040" s="181"/>
      <c r="O2040" s="181"/>
      <c r="P2040" s="181"/>
      <c r="Q2040" s="181"/>
      <c r="R2040" s="181"/>
      <c r="S2040" s="181"/>
      <c r="T2040" s="181"/>
      <c r="U2040" s="181"/>
      <c r="V2040" s="181"/>
      <c r="W2040" s="181"/>
      <c r="X2040" s="181"/>
      <c r="Y2040" s="181"/>
      <c r="Z2040" s="181"/>
    </row>
    <row r="2041">
      <c r="A2041" s="194"/>
      <c r="B2041" s="195"/>
      <c r="C2041" s="181"/>
      <c r="D2041" s="194"/>
      <c r="E2041" s="194"/>
      <c r="F2041" s="181"/>
      <c r="G2041" s="181"/>
      <c r="H2041" s="181"/>
      <c r="I2041" s="181"/>
      <c r="J2041" s="181"/>
      <c r="K2041" s="181"/>
      <c r="L2041" s="181"/>
      <c r="M2041" s="181"/>
      <c r="N2041" s="181"/>
      <c r="O2041" s="181"/>
      <c r="P2041" s="181"/>
      <c r="Q2041" s="181"/>
      <c r="R2041" s="181"/>
      <c r="S2041" s="181"/>
      <c r="T2041" s="181"/>
      <c r="U2041" s="181"/>
      <c r="V2041" s="181"/>
      <c r="W2041" s="181"/>
      <c r="X2041" s="181"/>
      <c r="Y2041" s="181"/>
      <c r="Z2041" s="181"/>
    </row>
    <row r="2042">
      <c r="A2042" s="194"/>
      <c r="B2042" s="195"/>
      <c r="C2042" s="181"/>
      <c r="D2042" s="194"/>
      <c r="E2042" s="194"/>
      <c r="F2042" s="181"/>
      <c r="G2042" s="181"/>
      <c r="H2042" s="181"/>
      <c r="I2042" s="181"/>
      <c r="J2042" s="181"/>
      <c r="K2042" s="181"/>
      <c r="L2042" s="181"/>
      <c r="M2042" s="181"/>
      <c r="N2042" s="181"/>
      <c r="O2042" s="181"/>
      <c r="P2042" s="181"/>
      <c r="Q2042" s="181"/>
      <c r="R2042" s="181"/>
      <c r="S2042" s="181"/>
      <c r="T2042" s="181"/>
      <c r="U2042" s="181"/>
      <c r="V2042" s="181"/>
      <c r="W2042" s="181"/>
      <c r="X2042" s="181"/>
      <c r="Y2042" s="181"/>
      <c r="Z2042" s="181"/>
    </row>
    <row r="2043">
      <c r="A2043" s="194"/>
      <c r="B2043" s="195"/>
      <c r="C2043" s="181"/>
      <c r="D2043" s="194"/>
      <c r="E2043" s="194"/>
      <c r="F2043" s="181"/>
      <c r="G2043" s="181"/>
      <c r="H2043" s="181"/>
      <c r="I2043" s="181"/>
      <c r="J2043" s="181"/>
      <c r="K2043" s="181"/>
      <c r="L2043" s="181"/>
      <c r="M2043" s="181"/>
      <c r="N2043" s="181"/>
      <c r="O2043" s="181"/>
      <c r="P2043" s="181"/>
      <c r="Q2043" s="181"/>
      <c r="R2043" s="181"/>
      <c r="S2043" s="181"/>
      <c r="T2043" s="181"/>
      <c r="U2043" s="181"/>
      <c r="V2043" s="181"/>
      <c r="W2043" s="181"/>
      <c r="X2043" s="181"/>
      <c r="Y2043" s="181"/>
      <c r="Z2043" s="181"/>
    </row>
    <row r="2044">
      <c r="A2044" s="194"/>
      <c r="B2044" s="195"/>
      <c r="C2044" s="181"/>
      <c r="D2044" s="194"/>
      <c r="E2044" s="194"/>
      <c r="F2044" s="181"/>
      <c r="G2044" s="181"/>
      <c r="H2044" s="181"/>
      <c r="I2044" s="181"/>
      <c r="J2044" s="181"/>
      <c r="K2044" s="181"/>
      <c r="L2044" s="181"/>
      <c r="M2044" s="181"/>
      <c r="N2044" s="181"/>
      <c r="O2044" s="181"/>
      <c r="P2044" s="181"/>
      <c r="Q2044" s="181"/>
      <c r="R2044" s="181"/>
      <c r="S2044" s="181"/>
      <c r="T2044" s="181"/>
      <c r="U2044" s="181"/>
      <c r="V2044" s="181"/>
      <c r="W2044" s="181"/>
      <c r="X2044" s="181"/>
      <c r="Y2044" s="181"/>
      <c r="Z2044" s="181"/>
    </row>
    <row r="2045">
      <c r="A2045" s="194"/>
      <c r="B2045" s="195"/>
      <c r="C2045" s="181"/>
      <c r="D2045" s="194"/>
      <c r="E2045" s="194"/>
      <c r="F2045" s="181"/>
      <c r="G2045" s="181"/>
      <c r="H2045" s="181"/>
      <c r="I2045" s="181"/>
      <c r="J2045" s="181"/>
      <c r="K2045" s="181"/>
      <c r="L2045" s="181"/>
      <c r="M2045" s="181"/>
      <c r="N2045" s="181"/>
      <c r="O2045" s="181"/>
      <c r="P2045" s="181"/>
      <c r="Q2045" s="181"/>
      <c r="R2045" s="181"/>
      <c r="S2045" s="181"/>
      <c r="T2045" s="181"/>
      <c r="U2045" s="181"/>
      <c r="V2045" s="181"/>
      <c r="W2045" s="181"/>
      <c r="X2045" s="181"/>
      <c r="Y2045" s="181"/>
      <c r="Z2045" s="181"/>
    </row>
    <row r="2046">
      <c r="A2046" s="194"/>
      <c r="B2046" s="195"/>
      <c r="C2046" s="181"/>
      <c r="D2046" s="194"/>
      <c r="E2046" s="194"/>
      <c r="F2046" s="181"/>
      <c r="G2046" s="181"/>
      <c r="H2046" s="181"/>
      <c r="I2046" s="181"/>
      <c r="J2046" s="181"/>
      <c r="K2046" s="181"/>
      <c r="L2046" s="181"/>
      <c r="M2046" s="181"/>
      <c r="N2046" s="181"/>
      <c r="O2046" s="181"/>
      <c r="P2046" s="181"/>
      <c r="Q2046" s="181"/>
      <c r="R2046" s="181"/>
      <c r="S2046" s="181"/>
      <c r="T2046" s="181"/>
      <c r="U2046" s="181"/>
      <c r="V2046" s="181"/>
      <c r="W2046" s="181"/>
      <c r="X2046" s="181"/>
      <c r="Y2046" s="181"/>
      <c r="Z2046" s="181"/>
    </row>
    <row r="2047">
      <c r="A2047" s="194"/>
      <c r="B2047" s="195"/>
      <c r="C2047" s="181"/>
      <c r="D2047" s="194"/>
      <c r="E2047" s="194"/>
      <c r="F2047" s="181"/>
      <c r="G2047" s="181"/>
      <c r="H2047" s="181"/>
      <c r="I2047" s="181"/>
      <c r="J2047" s="181"/>
      <c r="K2047" s="181"/>
      <c r="L2047" s="181"/>
      <c r="M2047" s="181"/>
      <c r="N2047" s="181"/>
      <c r="O2047" s="181"/>
      <c r="P2047" s="181"/>
      <c r="Q2047" s="181"/>
      <c r="R2047" s="181"/>
      <c r="S2047" s="181"/>
      <c r="T2047" s="181"/>
      <c r="U2047" s="181"/>
      <c r="V2047" s="181"/>
      <c r="W2047" s="181"/>
      <c r="X2047" s="181"/>
      <c r="Y2047" s="181"/>
      <c r="Z2047" s="181"/>
    </row>
    <row r="2048">
      <c r="A2048" s="194"/>
      <c r="B2048" s="195"/>
      <c r="C2048" s="181"/>
      <c r="D2048" s="194"/>
      <c r="E2048" s="194"/>
      <c r="F2048" s="181"/>
      <c r="G2048" s="181"/>
      <c r="H2048" s="181"/>
      <c r="I2048" s="181"/>
      <c r="J2048" s="181"/>
      <c r="K2048" s="181"/>
      <c r="L2048" s="181"/>
      <c r="M2048" s="181"/>
      <c r="N2048" s="181"/>
      <c r="O2048" s="181"/>
      <c r="P2048" s="181"/>
      <c r="Q2048" s="181"/>
      <c r="R2048" s="181"/>
      <c r="S2048" s="181"/>
      <c r="T2048" s="181"/>
      <c r="U2048" s="181"/>
      <c r="V2048" s="181"/>
      <c r="W2048" s="181"/>
      <c r="X2048" s="181"/>
      <c r="Y2048" s="181"/>
      <c r="Z2048" s="181"/>
    </row>
    <row r="2049">
      <c r="A2049" s="194"/>
      <c r="B2049" s="195"/>
      <c r="C2049" s="181"/>
      <c r="D2049" s="194"/>
      <c r="E2049" s="194"/>
      <c r="F2049" s="181"/>
      <c r="G2049" s="181"/>
      <c r="H2049" s="181"/>
      <c r="I2049" s="181"/>
      <c r="J2049" s="181"/>
      <c r="K2049" s="181"/>
      <c r="L2049" s="181"/>
      <c r="M2049" s="181"/>
      <c r="N2049" s="181"/>
      <c r="O2049" s="181"/>
      <c r="P2049" s="181"/>
      <c r="Q2049" s="181"/>
      <c r="R2049" s="181"/>
      <c r="S2049" s="181"/>
      <c r="T2049" s="181"/>
      <c r="U2049" s="181"/>
      <c r="V2049" s="181"/>
      <c r="W2049" s="181"/>
      <c r="X2049" s="181"/>
      <c r="Y2049" s="181"/>
      <c r="Z2049" s="181"/>
    </row>
    <row r="2050">
      <c r="A2050" s="194"/>
      <c r="B2050" s="195"/>
      <c r="C2050" s="181"/>
      <c r="D2050" s="194"/>
      <c r="E2050" s="194"/>
      <c r="F2050" s="181"/>
      <c r="G2050" s="181"/>
      <c r="H2050" s="181"/>
      <c r="I2050" s="181"/>
      <c r="J2050" s="181"/>
      <c r="K2050" s="181"/>
      <c r="L2050" s="181"/>
      <c r="M2050" s="181"/>
      <c r="N2050" s="181"/>
      <c r="O2050" s="181"/>
      <c r="P2050" s="181"/>
      <c r="Q2050" s="181"/>
      <c r="R2050" s="181"/>
      <c r="S2050" s="181"/>
      <c r="T2050" s="181"/>
      <c r="U2050" s="181"/>
      <c r="V2050" s="181"/>
      <c r="W2050" s="181"/>
      <c r="X2050" s="181"/>
      <c r="Y2050" s="181"/>
      <c r="Z2050" s="181"/>
    </row>
    <row r="2051">
      <c r="A2051" s="194"/>
      <c r="B2051" s="195"/>
      <c r="C2051" s="181"/>
      <c r="D2051" s="194"/>
      <c r="E2051" s="194"/>
      <c r="F2051" s="181"/>
      <c r="G2051" s="181"/>
      <c r="H2051" s="181"/>
      <c r="I2051" s="181"/>
      <c r="J2051" s="181"/>
      <c r="K2051" s="181"/>
      <c r="L2051" s="181"/>
      <c r="M2051" s="181"/>
      <c r="N2051" s="181"/>
      <c r="O2051" s="181"/>
      <c r="P2051" s="181"/>
      <c r="Q2051" s="181"/>
      <c r="R2051" s="181"/>
      <c r="S2051" s="181"/>
      <c r="T2051" s="181"/>
      <c r="U2051" s="181"/>
      <c r="V2051" s="181"/>
      <c r="W2051" s="181"/>
      <c r="X2051" s="181"/>
      <c r="Y2051" s="181"/>
      <c r="Z2051" s="181"/>
    </row>
    <row r="2052">
      <c r="A2052" s="194"/>
      <c r="B2052" s="195"/>
      <c r="C2052" s="181"/>
      <c r="D2052" s="194"/>
      <c r="E2052" s="194"/>
      <c r="F2052" s="181"/>
      <c r="G2052" s="181"/>
      <c r="H2052" s="181"/>
      <c r="I2052" s="181"/>
      <c r="J2052" s="181"/>
      <c r="K2052" s="181"/>
      <c r="L2052" s="181"/>
      <c r="M2052" s="181"/>
      <c r="N2052" s="181"/>
      <c r="O2052" s="181"/>
      <c r="P2052" s="181"/>
      <c r="Q2052" s="181"/>
      <c r="R2052" s="181"/>
      <c r="S2052" s="181"/>
      <c r="T2052" s="181"/>
      <c r="U2052" s="181"/>
      <c r="V2052" s="181"/>
      <c r="W2052" s="181"/>
      <c r="X2052" s="181"/>
      <c r="Y2052" s="181"/>
      <c r="Z2052" s="181"/>
    </row>
    <row r="2053">
      <c r="A2053" s="194"/>
      <c r="B2053" s="195"/>
      <c r="C2053" s="181"/>
      <c r="D2053" s="194"/>
      <c r="E2053" s="194"/>
      <c r="F2053" s="181"/>
      <c r="G2053" s="181"/>
      <c r="H2053" s="181"/>
      <c r="I2053" s="181"/>
      <c r="J2053" s="181"/>
      <c r="K2053" s="181"/>
      <c r="L2053" s="181"/>
      <c r="M2053" s="181"/>
      <c r="N2053" s="181"/>
      <c r="O2053" s="181"/>
      <c r="P2053" s="181"/>
      <c r="Q2053" s="181"/>
      <c r="R2053" s="181"/>
      <c r="S2053" s="181"/>
      <c r="T2053" s="181"/>
      <c r="U2053" s="181"/>
      <c r="V2053" s="181"/>
      <c r="W2053" s="181"/>
      <c r="X2053" s="181"/>
      <c r="Y2053" s="181"/>
      <c r="Z2053" s="181"/>
    </row>
    <row r="2054">
      <c r="A2054" s="194"/>
      <c r="B2054" s="195"/>
      <c r="C2054" s="181"/>
      <c r="D2054" s="194"/>
      <c r="E2054" s="194"/>
      <c r="F2054" s="181"/>
      <c r="G2054" s="181"/>
      <c r="H2054" s="181"/>
      <c r="I2054" s="181"/>
      <c r="J2054" s="181"/>
      <c r="K2054" s="181"/>
      <c r="L2054" s="181"/>
      <c r="M2054" s="181"/>
      <c r="N2054" s="181"/>
      <c r="O2054" s="181"/>
      <c r="P2054" s="181"/>
      <c r="Q2054" s="181"/>
      <c r="R2054" s="181"/>
      <c r="S2054" s="181"/>
      <c r="T2054" s="181"/>
      <c r="U2054" s="181"/>
      <c r="V2054" s="181"/>
      <c r="W2054" s="181"/>
      <c r="X2054" s="181"/>
      <c r="Y2054" s="181"/>
      <c r="Z2054" s="181"/>
    </row>
    <row r="2055">
      <c r="A2055" s="194"/>
      <c r="B2055" s="195"/>
      <c r="C2055" s="181"/>
      <c r="D2055" s="194"/>
      <c r="E2055" s="194"/>
      <c r="F2055" s="181"/>
      <c r="G2055" s="181"/>
      <c r="H2055" s="181"/>
      <c r="I2055" s="181"/>
      <c r="J2055" s="181"/>
      <c r="K2055" s="181"/>
      <c r="L2055" s="181"/>
      <c r="M2055" s="181"/>
      <c r="N2055" s="181"/>
      <c r="O2055" s="181"/>
      <c r="P2055" s="181"/>
      <c r="Q2055" s="181"/>
      <c r="R2055" s="181"/>
      <c r="S2055" s="181"/>
      <c r="T2055" s="181"/>
      <c r="U2055" s="181"/>
      <c r="V2055" s="181"/>
      <c r="W2055" s="181"/>
      <c r="X2055" s="181"/>
      <c r="Y2055" s="181"/>
      <c r="Z2055" s="181"/>
    </row>
    <row r="2056">
      <c r="A2056" s="194"/>
      <c r="B2056" s="195"/>
      <c r="C2056" s="181"/>
      <c r="D2056" s="194"/>
      <c r="E2056" s="194"/>
      <c r="F2056" s="181"/>
      <c r="G2056" s="181"/>
      <c r="H2056" s="181"/>
      <c r="I2056" s="181"/>
      <c r="J2056" s="181"/>
      <c r="K2056" s="181"/>
      <c r="L2056" s="181"/>
      <c r="M2056" s="181"/>
      <c r="N2056" s="181"/>
      <c r="O2056" s="181"/>
      <c r="P2056" s="181"/>
      <c r="Q2056" s="181"/>
      <c r="R2056" s="181"/>
      <c r="S2056" s="181"/>
      <c r="T2056" s="181"/>
      <c r="U2056" s="181"/>
      <c r="V2056" s="181"/>
      <c r="W2056" s="181"/>
      <c r="X2056" s="181"/>
      <c r="Y2056" s="181"/>
      <c r="Z2056" s="181"/>
    </row>
    <row r="2057">
      <c r="A2057" s="194"/>
      <c r="B2057" s="195"/>
      <c r="C2057" s="181"/>
      <c r="D2057" s="194"/>
      <c r="E2057" s="194"/>
      <c r="F2057" s="181"/>
      <c r="G2057" s="181"/>
      <c r="H2057" s="181"/>
      <c r="I2057" s="181"/>
      <c r="J2057" s="181"/>
      <c r="K2057" s="181"/>
      <c r="L2057" s="181"/>
      <c r="M2057" s="181"/>
      <c r="N2057" s="181"/>
      <c r="O2057" s="181"/>
      <c r="P2057" s="181"/>
      <c r="Q2057" s="181"/>
      <c r="R2057" s="181"/>
      <c r="S2057" s="181"/>
      <c r="T2057" s="181"/>
      <c r="U2057" s="181"/>
      <c r="V2057" s="181"/>
      <c r="W2057" s="181"/>
      <c r="X2057" s="181"/>
      <c r="Y2057" s="181"/>
      <c r="Z2057" s="181"/>
    </row>
    <row r="2058">
      <c r="A2058" s="194"/>
      <c r="B2058" s="195"/>
      <c r="C2058" s="181"/>
      <c r="D2058" s="194"/>
      <c r="E2058" s="194"/>
      <c r="F2058" s="181"/>
      <c r="G2058" s="181"/>
      <c r="H2058" s="181"/>
      <c r="I2058" s="181"/>
      <c r="J2058" s="181"/>
      <c r="K2058" s="181"/>
      <c r="L2058" s="181"/>
      <c r="M2058" s="181"/>
      <c r="N2058" s="181"/>
      <c r="O2058" s="181"/>
      <c r="P2058" s="181"/>
      <c r="Q2058" s="181"/>
      <c r="R2058" s="181"/>
      <c r="S2058" s="181"/>
      <c r="T2058" s="181"/>
      <c r="U2058" s="181"/>
      <c r="V2058" s="181"/>
      <c r="W2058" s="181"/>
      <c r="X2058" s="181"/>
      <c r="Y2058" s="181"/>
      <c r="Z2058" s="181"/>
    </row>
    <row r="2059">
      <c r="A2059" s="194"/>
      <c r="B2059" s="195"/>
      <c r="C2059" s="181"/>
      <c r="D2059" s="194"/>
      <c r="E2059" s="194"/>
      <c r="F2059" s="181"/>
      <c r="G2059" s="181"/>
      <c r="H2059" s="181"/>
      <c r="I2059" s="181"/>
      <c r="J2059" s="181"/>
      <c r="K2059" s="181"/>
      <c r="L2059" s="181"/>
      <c r="M2059" s="181"/>
      <c r="N2059" s="181"/>
      <c r="O2059" s="181"/>
      <c r="P2059" s="181"/>
      <c r="Q2059" s="181"/>
      <c r="R2059" s="181"/>
      <c r="S2059" s="181"/>
      <c r="T2059" s="181"/>
      <c r="U2059" s="181"/>
      <c r="V2059" s="181"/>
      <c r="W2059" s="181"/>
      <c r="X2059" s="181"/>
      <c r="Y2059" s="181"/>
      <c r="Z2059" s="181"/>
    </row>
    <row r="2060">
      <c r="A2060" s="194"/>
      <c r="B2060" s="195"/>
      <c r="C2060" s="181"/>
      <c r="D2060" s="194"/>
      <c r="E2060" s="194"/>
      <c r="F2060" s="181"/>
      <c r="G2060" s="181"/>
      <c r="H2060" s="181"/>
      <c r="I2060" s="181"/>
      <c r="J2060" s="181"/>
      <c r="K2060" s="181"/>
      <c r="L2060" s="181"/>
      <c r="M2060" s="181"/>
      <c r="N2060" s="181"/>
      <c r="O2060" s="181"/>
      <c r="P2060" s="181"/>
      <c r="Q2060" s="181"/>
      <c r="R2060" s="181"/>
      <c r="S2060" s="181"/>
      <c r="T2060" s="181"/>
      <c r="U2060" s="181"/>
      <c r="V2060" s="181"/>
      <c r="W2060" s="181"/>
      <c r="X2060" s="181"/>
      <c r="Y2060" s="181"/>
      <c r="Z2060" s="181"/>
    </row>
    <row r="2061">
      <c r="A2061" s="194"/>
      <c r="B2061" s="195"/>
      <c r="C2061" s="181"/>
      <c r="D2061" s="194"/>
      <c r="E2061" s="194"/>
      <c r="F2061" s="181"/>
      <c r="G2061" s="181"/>
      <c r="H2061" s="181"/>
      <c r="I2061" s="181"/>
      <c r="J2061" s="181"/>
      <c r="K2061" s="181"/>
      <c r="L2061" s="181"/>
      <c r="M2061" s="181"/>
      <c r="N2061" s="181"/>
      <c r="O2061" s="181"/>
      <c r="P2061" s="181"/>
      <c r="Q2061" s="181"/>
      <c r="R2061" s="181"/>
      <c r="S2061" s="181"/>
      <c r="T2061" s="181"/>
      <c r="U2061" s="181"/>
      <c r="V2061" s="181"/>
      <c r="W2061" s="181"/>
      <c r="X2061" s="181"/>
      <c r="Y2061" s="181"/>
      <c r="Z2061" s="181"/>
    </row>
    <row r="2062">
      <c r="A2062" s="194"/>
      <c r="B2062" s="195"/>
      <c r="C2062" s="181"/>
      <c r="D2062" s="194"/>
      <c r="E2062" s="194"/>
      <c r="F2062" s="181"/>
      <c r="G2062" s="181"/>
      <c r="H2062" s="181"/>
      <c r="I2062" s="181"/>
      <c r="J2062" s="181"/>
      <c r="K2062" s="181"/>
      <c r="L2062" s="181"/>
      <c r="M2062" s="181"/>
      <c r="N2062" s="181"/>
      <c r="O2062" s="181"/>
      <c r="P2062" s="181"/>
      <c r="Q2062" s="181"/>
      <c r="R2062" s="181"/>
      <c r="S2062" s="181"/>
      <c r="T2062" s="181"/>
      <c r="U2062" s="181"/>
      <c r="V2062" s="181"/>
      <c r="W2062" s="181"/>
      <c r="X2062" s="181"/>
      <c r="Y2062" s="181"/>
      <c r="Z2062" s="181"/>
    </row>
    <row r="2063">
      <c r="A2063" s="194"/>
      <c r="B2063" s="195"/>
      <c r="C2063" s="181"/>
      <c r="D2063" s="194"/>
      <c r="E2063" s="194"/>
      <c r="F2063" s="181"/>
      <c r="G2063" s="181"/>
      <c r="H2063" s="181"/>
      <c r="I2063" s="181"/>
      <c r="J2063" s="181"/>
      <c r="K2063" s="181"/>
      <c r="L2063" s="181"/>
      <c r="M2063" s="181"/>
      <c r="N2063" s="181"/>
      <c r="O2063" s="181"/>
      <c r="P2063" s="181"/>
      <c r="Q2063" s="181"/>
      <c r="R2063" s="181"/>
      <c r="S2063" s="181"/>
      <c r="T2063" s="181"/>
      <c r="U2063" s="181"/>
      <c r="V2063" s="181"/>
      <c r="W2063" s="181"/>
      <c r="X2063" s="181"/>
      <c r="Y2063" s="181"/>
      <c r="Z2063" s="181"/>
    </row>
    <row r="2064">
      <c r="A2064" s="194"/>
      <c r="B2064" s="195"/>
      <c r="C2064" s="181"/>
      <c r="D2064" s="194"/>
      <c r="E2064" s="194"/>
      <c r="F2064" s="181"/>
      <c r="G2064" s="181"/>
      <c r="H2064" s="181"/>
      <c r="I2064" s="181"/>
      <c r="J2064" s="181"/>
      <c r="K2064" s="181"/>
      <c r="L2064" s="181"/>
      <c r="M2064" s="181"/>
      <c r="N2064" s="181"/>
      <c r="O2064" s="181"/>
      <c r="P2064" s="181"/>
      <c r="Q2064" s="181"/>
      <c r="R2064" s="181"/>
      <c r="S2064" s="181"/>
      <c r="T2064" s="181"/>
      <c r="U2064" s="181"/>
      <c r="V2064" s="181"/>
      <c r="W2064" s="181"/>
      <c r="X2064" s="181"/>
      <c r="Y2064" s="181"/>
      <c r="Z2064" s="181"/>
    </row>
    <row r="2065">
      <c r="A2065" s="194"/>
      <c r="B2065" s="195"/>
      <c r="C2065" s="181"/>
      <c r="D2065" s="194"/>
      <c r="E2065" s="194"/>
      <c r="F2065" s="181"/>
      <c r="G2065" s="181"/>
      <c r="H2065" s="181"/>
      <c r="I2065" s="181"/>
      <c r="J2065" s="181"/>
      <c r="K2065" s="181"/>
      <c r="L2065" s="181"/>
      <c r="M2065" s="181"/>
      <c r="N2065" s="181"/>
      <c r="O2065" s="181"/>
      <c r="P2065" s="181"/>
      <c r="Q2065" s="181"/>
      <c r="R2065" s="181"/>
      <c r="S2065" s="181"/>
      <c r="T2065" s="181"/>
      <c r="U2065" s="181"/>
      <c r="V2065" s="181"/>
      <c r="W2065" s="181"/>
      <c r="X2065" s="181"/>
      <c r="Y2065" s="181"/>
      <c r="Z2065" s="181"/>
    </row>
    <row r="2066">
      <c r="A2066" s="194"/>
      <c r="B2066" s="195"/>
      <c r="C2066" s="181"/>
      <c r="D2066" s="194"/>
      <c r="E2066" s="194"/>
      <c r="F2066" s="181"/>
      <c r="G2066" s="181"/>
      <c r="H2066" s="181"/>
      <c r="I2066" s="181"/>
      <c r="J2066" s="181"/>
      <c r="K2066" s="181"/>
      <c r="L2066" s="181"/>
      <c r="M2066" s="181"/>
      <c r="N2066" s="181"/>
      <c r="O2066" s="181"/>
      <c r="P2066" s="181"/>
      <c r="Q2066" s="181"/>
      <c r="R2066" s="181"/>
      <c r="S2066" s="181"/>
      <c r="T2066" s="181"/>
      <c r="U2066" s="181"/>
      <c r="V2066" s="181"/>
      <c r="W2066" s="181"/>
      <c r="X2066" s="181"/>
      <c r="Y2066" s="181"/>
      <c r="Z2066" s="181"/>
    </row>
    <row r="2067">
      <c r="A2067" s="194"/>
      <c r="B2067" s="195"/>
      <c r="C2067" s="181"/>
      <c r="D2067" s="194"/>
      <c r="E2067" s="194"/>
      <c r="F2067" s="181"/>
      <c r="G2067" s="181"/>
      <c r="H2067" s="181"/>
      <c r="I2067" s="181"/>
      <c r="J2067" s="181"/>
      <c r="K2067" s="181"/>
      <c r="L2067" s="181"/>
      <c r="M2067" s="181"/>
      <c r="N2067" s="181"/>
      <c r="O2067" s="181"/>
      <c r="P2067" s="181"/>
      <c r="Q2067" s="181"/>
      <c r="R2067" s="181"/>
      <c r="S2067" s="181"/>
      <c r="T2067" s="181"/>
      <c r="U2067" s="181"/>
      <c r="V2067" s="181"/>
      <c r="W2067" s="181"/>
      <c r="X2067" s="181"/>
      <c r="Y2067" s="181"/>
      <c r="Z2067" s="181"/>
    </row>
    <row r="2068">
      <c r="A2068" s="194"/>
      <c r="B2068" s="195"/>
      <c r="C2068" s="181"/>
      <c r="D2068" s="194"/>
      <c r="E2068" s="194"/>
      <c r="F2068" s="181"/>
      <c r="G2068" s="181"/>
      <c r="H2068" s="181"/>
      <c r="I2068" s="181"/>
      <c r="J2068" s="181"/>
      <c r="K2068" s="181"/>
      <c r="L2068" s="181"/>
      <c r="M2068" s="181"/>
      <c r="N2068" s="181"/>
      <c r="O2068" s="181"/>
      <c r="P2068" s="181"/>
      <c r="Q2068" s="181"/>
      <c r="R2068" s="181"/>
      <c r="S2068" s="181"/>
      <c r="T2068" s="181"/>
      <c r="U2068" s="181"/>
      <c r="V2068" s="181"/>
      <c r="W2068" s="181"/>
      <c r="X2068" s="181"/>
      <c r="Y2068" s="181"/>
      <c r="Z2068" s="181"/>
    </row>
    <row r="2069">
      <c r="A2069" s="194"/>
      <c r="B2069" s="195"/>
      <c r="C2069" s="181"/>
      <c r="D2069" s="194"/>
      <c r="E2069" s="194"/>
      <c r="F2069" s="181"/>
      <c r="G2069" s="181"/>
      <c r="H2069" s="181"/>
      <c r="I2069" s="181"/>
      <c r="J2069" s="181"/>
      <c r="K2069" s="181"/>
      <c r="L2069" s="181"/>
      <c r="M2069" s="181"/>
      <c r="N2069" s="181"/>
      <c r="O2069" s="181"/>
      <c r="P2069" s="181"/>
      <c r="Q2069" s="181"/>
      <c r="R2069" s="181"/>
      <c r="S2069" s="181"/>
      <c r="T2069" s="181"/>
      <c r="U2069" s="181"/>
      <c r="V2069" s="181"/>
      <c r="W2069" s="181"/>
      <c r="X2069" s="181"/>
      <c r="Y2069" s="181"/>
      <c r="Z2069" s="181"/>
    </row>
    <row r="2070">
      <c r="A2070" s="194"/>
      <c r="B2070" s="195"/>
      <c r="C2070" s="181"/>
      <c r="D2070" s="194"/>
      <c r="E2070" s="194"/>
      <c r="F2070" s="181"/>
      <c r="G2070" s="181"/>
      <c r="H2070" s="181"/>
      <c r="I2070" s="181"/>
      <c r="J2070" s="181"/>
      <c r="K2070" s="181"/>
      <c r="L2070" s="181"/>
      <c r="M2070" s="181"/>
      <c r="N2070" s="181"/>
      <c r="O2070" s="181"/>
      <c r="P2070" s="181"/>
      <c r="Q2070" s="181"/>
      <c r="R2070" s="181"/>
      <c r="S2070" s="181"/>
      <c r="T2070" s="181"/>
      <c r="U2070" s="181"/>
      <c r="V2070" s="181"/>
      <c r="W2070" s="181"/>
      <c r="X2070" s="181"/>
      <c r="Y2070" s="181"/>
      <c r="Z2070" s="181"/>
    </row>
    <row r="2071">
      <c r="A2071" s="194"/>
      <c r="B2071" s="195"/>
      <c r="C2071" s="181"/>
      <c r="D2071" s="194"/>
      <c r="E2071" s="194"/>
      <c r="F2071" s="181"/>
      <c r="G2071" s="181"/>
      <c r="H2071" s="181"/>
      <c r="I2071" s="181"/>
      <c r="J2071" s="181"/>
      <c r="K2071" s="181"/>
      <c r="L2071" s="181"/>
      <c r="M2071" s="181"/>
      <c r="N2071" s="181"/>
      <c r="O2071" s="181"/>
      <c r="P2071" s="181"/>
      <c r="Q2071" s="181"/>
      <c r="R2071" s="181"/>
      <c r="S2071" s="181"/>
      <c r="T2071" s="181"/>
      <c r="U2071" s="181"/>
      <c r="V2071" s="181"/>
      <c r="W2071" s="181"/>
      <c r="X2071" s="181"/>
      <c r="Y2071" s="181"/>
      <c r="Z2071" s="181"/>
    </row>
    <row r="2072">
      <c r="A2072" s="194"/>
      <c r="B2072" s="195"/>
      <c r="C2072" s="181"/>
      <c r="D2072" s="194"/>
      <c r="E2072" s="194"/>
      <c r="F2072" s="181"/>
      <c r="G2072" s="181"/>
      <c r="H2072" s="181"/>
      <c r="I2072" s="181"/>
      <c r="J2072" s="181"/>
      <c r="K2072" s="181"/>
      <c r="L2072" s="181"/>
      <c r="M2072" s="181"/>
      <c r="N2072" s="181"/>
      <c r="O2072" s="181"/>
      <c r="P2072" s="181"/>
      <c r="Q2072" s="181"/>
      <c r="R2072" s="181"/>
      <c r="S2072" s="181"/>
      <c r="T2072" s="181"/>
      <c r="U2072" s="181"/>
      <c r="V2072" s="181"/>
      <c r="W2072" s="181"/>
      <c r="X2072" s="181"/>
      <c r="Y2072" s="181"/>
      <c r="Z2072" s="181"/>
    </row>
    <row r="2073">
      <c r="A2073" s="194"/>
      <c r="B2073" s="195"/>
      <c r="C2073" s="181"/>
      <c r="D2073" s="194"/>
      <c r="E2073" s="194"/>
      <c r="F2073" s="181"/>
      <c r="G2073" s="181"/>
      <c r="H2073" s="181"/>
      <c r="I2073" s="181"/>
      <c r="J2073" s="181"/>
      <c r="K2073" s="181"/>
      <c r="L2073" s="181"/>
      <c r="M2073" s="181"/>
      <c r="N2073" s="181"/>
      <c r="O2073" s="181"/>
      <c r="P2073" s="181"/>
      <c r="Q2073" s="181"/>
      <c r="R2073" s="181"/>
      <c r="S2073" s="181"/>
      <c r="T2073" s="181"/>
      <c r="U2073" s="181"/>
      <c r="V2073" s="181"/>
      <c r="W2073" s="181"/>
      <c r="X2073" s="181"/>
      <c r="Y2073" s="181"/>
      <c r="Z2073" s="181"/>
    </row>
    <row r="2074">
      <c r="A2074" s="194"/>
      <c r="B2074" s="195"/>
      <c r="C2074" s="181"/>
      <c r="D2074" s="194"/>
      <c r="E2074" s="194"/>
      <c r="F2074" s="181"/>
      <c r="G2074" s="181"/>
      <c r="H2074" s="181"/>
      <c r="I2074" s="181"/>
      <c r="J2074" s="181"/>
      <c r="K2074" s="181"/>
      <c r="L2074" s="181"/>
      <c r="M2074" s="181"/>
      <c r="N2074" s="181"/>
      <c r="O2074" s="181"/>
      <c r="P2074" s="181"/>
      <c r="Q2074" s="181"/>
      <c r="R2074" s="181"/>
      <c r="S2074" s="181"/>
      <c r="T2074" s="181"/>
      <c r="U2074" s="181"/>
      <c r="V2074" s="181"/>
      <c r="W2074" s="181"/>
      <c r="X2074" s="181"/>
      <c r="Y2074" s="181"/>
      <c r="Z2074" s="181"/>
    </row>
    <row r="2075">
      <c r="A2075" s="194"/>
      <c r="B2075" s="195"/>
      <c r="C2075" s="181"/>
      <c r="D2075" s="194"/>
      <c r="E2075" s="194"/>
      <c r="F2075" s="181"/>
      <c r="G2075" s="181"/>
      <c r="H2075" s="181"/>
      <c r="I2075" s="181"/>
      <c r="J2075" s="181"/>
      <c r="K2075" s="181"/>
      <c r="L2075" s="181"/>
      <c r="M2075" s="181"/>
      <c r="N2075" s="181"/>
      <c r="O2075" s="181"/>
      <c r="P2075" s="181"/>
      <c r="Q2075" s="181"/>
      <c r="R2075" s="181"/>
      <c r="S2075" s="181"/>
      <c r="T2075" s="181"/>
      <c r="U2075" s="181"/>
      <c r="V2075" s="181"/>
      <c r="W2075" s="181"/>
      <c r="X2075" s="181"/>
      <c r="Y2075" s="181"/>
      <c r="Z2075" s="181"/>
    </row>
    <row r="2076">
      <c r="A2076" s="194"/>
      <c r="B2076" s="195"/>
      <c r="C2076" s="181"/>
      <c r="D2076" s="194"/>
      <c r="E2076" s="194"/>
      <c r="F2076" s="181"/>
      <c r="G2076" s="181"/>
      <c r="H2076" s="181"/>
      <c r="I2076" s="181"/>
      <c r="J2076" s="181"/>
      <c r="K2076" s="181"/>
      <c r="L2076" s="181"/>
      <c r="M2076" s="181"/>
      <c r="N2076" s="181"/>
      <c r="O2076" s="181"/>
      <c r="P2076" s="181"/>
      <c r="Q2076" s="181"/>
      <c r="R2076" s="181"/>
      <c r="S2076" s="181"/>
      <c r="T2076" s="181"/>
      <c r="U2076" s="181"/>
      <c r="V2076" s="181"/>
      <c r="W2076" s="181"/>
      <c r="X2076" s="181"/>
      <c r="Y2076" s="181"/>
      <c r="Z2076" s="181"/>
    </row>
    <row r="2077">
      <c r="A2077" s="194"/>
      <c r="B2077" s="195"/>
      <c r="C2077" s="181"/>
      <c r="D2077" s="194"/>
      <c r="E2077" s="194"/>
      <c r="F2077" s="181"/>
      <c r="G2077" s="181"/>
      <c r="H2077" s="181"/>
      <c r="I2077" s="181"/>
      <c r="J2077" s="181"/>
      <c r="K2077" s="181"/>
      <c r="L2077" s="181"/>
      <c r="M2077" s="181"/>
      <c r="N2077" s="181"/>
      <c r="O2077" s="181"/>
      <c r="P2077" s="181"/>
      <c r="Q2077" s="181"/>
      <c r="R2077" s="181"/>
      <c r="S2077" s="181"/>
      <c r="T2077" s="181"/>
      <c r="U2077" s="181"/>
      <c r="V2077" s="181"/>
      <c r="W2077" s="181"/>
      <c r="X2077" s="181"/>
      <c r="Y2077" s="181"/>
      <c r="Z2077" s="181"/>
    </row>
    <row r="2078">
      <c r="A2078" s="194"/>
      <c r="B2078" s="195"/>
      <c r="C2078" s="181"/>
      <c r="D2078" s="194"/>
      <c r="E2078" s="194"/>
      <c r="F2078" s="181"/>
      <c r="G2078" s="181"/>
      <c r="H2078" s="181"/>
      <c r="I2078" s="181"/>
      <c r="J2078" s="181"/>
      <c r="K2078" s="181"/>
      <c r="L2078" s="181"/>
      <c r="M2078" s="181"/>
      <c r="N2078" s="181"/>
      <c r="O2078" s="181"/>
      <c r="P2078" s="181"/>
      <c r="Q2078" s="181"/>
      <c r="R2078" s="181"/>
      <c r="S2078" s="181"/>
      <c r="T2078" s="181"/>
      <c r="U2078" s="181"/>
      <c r="V2078" s="181"/>
      <c r="W2078" s="181"/>
      <c r="X2078" s="181"/>
      <c r="Y2078" s="181"/>
      <c r="Z2078" s="181"/>
    </row>
    <row r="2079">
      <c r="A2079" s="194"/>
      <c r="B2079" s="195"/>
      <c r="C2079" s="181"/>
      <c r="D2079" s="194"/>
      <c r="E2079" s="194"/>
      <c r="F2079" s="181"/>
      <c r="G2079" s="181"/>
      <c r="H2079" s="181"/>
      <c r="I2079" s="181"/>
      <c r="J2079" s="181"/>
      <c r="K2079" s="181"/>
      <c r="L2079" s="181"/>
      <c r="M2079" s="181"/>
      <c r="N2079" s="181"/>
      <c r="O2079" s="181"/>
      <c r="P2079" s="181"/>
      <c r="Q2079" s="181"/>
      <c r="R2079" s="181"/>
      <c r="S2079" s="181"/>
      <c r="T2079" s="181"/>
      <c r="U2079" s="181"/>
      <c r="V2079" s="181"/>
      <c r="W2079" s="181"/>
      <c r="X2079" s="181"/>
      <c r="Y2079" s="181"/>
      <c r="Z2079" s="181"/>
    </row>
    <row r="2080">
      <c r="A2080" s="194"/>
      <c r="B2080" s="195"/>
      <c r="C2080" s="181"/>
      <c r="D2080" s="194"/>
      <c r="E2080" s="194"/>
      <c r="F2080" s="181"/>
      <c r="G2080" s="181"/>
      <c r="H2080" s="181"/>
      <c r="I2080" s="181"/>
      <c r="J2080" s="181"/>
      <c r="K2080" s="181"/>
      <c r="L2080" s="181"/>
      <c r="M2080" s="181"/>
      <c r="N2080" s="181"/>
      <c r="O2080" s="181"/>
      <c r="P2080" s="181"/>
      <c r="Q2080" s="181"/>
      <c r="R2080" s="181"/>
      <c r="S2080" s="181"/>
      <c r="T2080" s="181"/>
      <c r="U2080" s="181"/>
      <c r="V2080" s="181"/>
      <c r="W2080" s="181"/>
      <c r="X2080" s="181"/>
      <c r="Y2080" s="181"/>
      <c r="Z2080" s="181"/>
    </row>
    <row r="2081">
      <c r="A2081" s="194"/>
      <c r="B2081" s="195"/>
      <c r="C2081" s="181"/>
      <c r="D2081" s="194"/>
      <c r="E2081" s="194"/>
      <c r="F2081" s="181"/>
      <c r="G2081" s="181"/>
      <c r="H2081" s="181"/>
      <c r="I2081" s="181"/>
      <c r="J2081" s="181"/>
      <c r="K2081" s="181"/>
      <c r="L2081" s="181"/>
      <c r="M2081" s="181"/>
      <c r="N2081" s="181"/>
      <c r="O2081" s="181"/>
      <c r="P2081" s="181"/>
      <c r="Q2081" s="181"/>
      <c r="R2081" s="181"/>
      <c r="S2081" s="181"/>
      <c r="T2081" s="181"/>
      <c r="U2081" s="181"/>
      <c r="V2081" s="181"/>
      <c r="W2081" s="181"/>
      <c r="X2081" s="181"/>
      <c r="Y2081" s="181"/>
      <c r="Z2081" s="181"/>
    </row>
    <row r="2082">
      <c r="A2082" s="194"/>
      <c r="B2082" s="195"/>
      <c r="C2082" s="181"/>
      <c r="D2082" s="194"/>
      <c r="E2082" s="194"/>
      <c r="F2082" s="181"/>
      <c r="G2082" s="181"/>
      <c r="H2082" s="181"/>
      <c r="I2082" s="181"/>
      <c r="J2082" s="181"/>
      <c r="K2082" s="181"/>
      <c r="L2082" s="181"/>
      <c r="M2082" s="181"/>
      <c r="N2082" s="181"/>
      <c r="O2082" s="181"/>
      <c r="P2082" s="181"/>
      <c r="Q2082" s="181"/>
      <c r="R2082" s="181"/>
      <c r="S2082" s="181"/>
      <c r="T2082" s="181"/>
      <c r="U2082" s="181"/>
      <c r="V2082" s="181"/>
      <c r="W2082" s="181"/>
      <c r="X2082" s="181"/>
      <c r="Y2082" s="181"/>
      <c r="Z2082" s="181"/>
    </row>
    <row r="2083">
      <c r="A2083" s="194"/>
      <c r="B2083" s="195"/>
      <c r="C2083" s="181"/>
      <c r="D2083" s="194"/>
      <c r="E2083" s="194"/>
      <c r="F2083" s="181"/>
      <c r="G2083" s="181"/>
      <c r="H2083" s="181"/>
      <c r="I2083" s="181"/>
      <c r="J2083" s="181"/>
      <c r="K2083" s="181"/>
      <c r="L2083" s="181"/>
      <c r="M2083" s="181"/>
      <c r="N2083" s="181"/>
      <c r="O2083" s="181"/>
      <c r="P2083" s="181"/>
      <c r="Q2083" s="181"/>
      <c r="R2083" s="181"/>
      <c r="S2083" s="181"/>
      <c r="T2083" s="181"/>
      <c r="U2083" s="181"/>
      <c r="V2083" s="181"/>
      <c r="W2083" s="181"/>
      <c r="X2083" s="181"/>
      <c r="Y2083" s="181"/>
      <c r="Z2083" s="181"/>
    </row>
    <row r="2084">
      <c r="A2084" s="194"/>
      <c r="B2084" s="195"/>
      <c r="C2084" s="181"/>
      <c r="D2084" s="194"/>
      <c r="E2084" s="194"/>
      <c r="F2084" s="181"/>
      <c r="G2084" s="181"/>
      <c r="H2084" s="181"/>
      <c r="I2084" s="181"/>
      <c r="J2084" s="181"/>
      <c r="K2084" s="181"/>
      <c r="L2084" s="181"/>
      <c r="M2084" s="181"/>
      <c r="N2084" s="181"/>
      <c r="O2084" s="181"/>
      <c r="P2084" s="181"/>
      <c r="Q2084" s="181"/>
      <c r="R2084" s="181"/>
      <c r="S2084" s="181"/>
      <c r="T2084" s="181"/>
      <c r="U2084" s="181"/>
      <c r="V2084" s="181"/>
      <c r="W2084" s="181"/>
      <c r="X2084" s="181"/>
      <c r="Y2084" s="181"/>
      <c r="Z2084" s="181"/>
    </row>
    <row r="2085">
      <c r="A2085" s="194"/>
      <c r="B2085" s="195"/>
      <c r="C2085" s="181"/>
      <c r="D2085" s="194"/>
      <c r="E2085" s="194"/>
      <c r="F2085" s="181"/>
      <c r="G2085" s="181"/>
      <c r="H2085" s="181"/>
      <c r="I2085" s="181"/>
      <c r="J2085" s="181"/>
      <c r="K2085" s="181"/>
      <c r="L2085" s="181"/>
      <c r="M2085" s="181"/>
      <c r="N2085" s="181"/>
      <c r="O2085" s="181"/>
      <c r="P2085" s="181"/>
      <c r="Q2085" s="181"/>
      <c r="R2085" s="181"/>
      <c r="S2085" s="181"/>
      <c r="T2085" s="181"/>
      <c r="U2085" s="181"/>
      <c r="V2085" s="181"/>
      <c r="W2085" s="181"/>
      <c r="X2085" s="181"/>
      <c r="Y2085" s="181"/>
      <c r="Z2085" s="181"/>
    </row>
    <row r="2086">
      <c r="A2086" s="194"/>
      <c r="B2086" s="195"/>
      <c r="C2086" s="181"/>
      <c r="D2086" s="194"/>
      <c r="E2086" s="194"/>
      <c r="F2086" s="181"/>
      <c r="G2086" s="181"/>
      <c r="H2086" s="181"/>
      <c r="I2086" s="181"/>
      <c r="J2086" s="181"/>
      <c r="K2086" s="181"/>
      <c r="L2086" s="181"/>
      <c r="M2086" s="181"/>
      <c r="N2086" s="181"/>
      <c r="O2086" s="181"/>
      <c r="P2086" s="181"/>
      <c r="Q2086" s="181"/>
      <c r="R2086" s="181"/>
      <c r="S2086" s="181"/>
      <c r="T2086" s="181"/>
      <c r="U2086" s="181"/>
      <c r="V2086" s="181"/>
      <c r="W2086" s="181"/>
      <c r="X2086" s="181"/>
      <c r="Y2086" s="181"/>
      <c r="Z2086" s="181"/>
    </row>
    <row r="2087">
      <c r="A2087" s="194"/>
      <c r="B2087" s="195"/>
      <c r="C2087" s="181"/>
      <c r="D2087" s="194"/>
      <c r="E2087" s="194"/>
      <c r="F2087" s="181"/>
      <c r="G2087" s="181"/>
      <c r="H2087" s="181"/>
      <c r="I2087" s="181"/>
      <c r="J2087" s="181"/>
      <c r="K2087" s="181"/>
      <c r="L2087" s="181"/>
      <c r="M2087" s="181"/>
      <c r="N2087" s="181"/>
      <c r="O2087" s="181"/>
      <c r="P2087" s="181"/>
      <c r="Q2087" s="181"/>
      <c r="R2087" s="181"/>
      <c r="S2087" s="181"/>
      <c r="T2087" s="181"/>
      <c r="U2087" s="181"/>
      <c r="V2087" s="181"/>
      <c r="W2087" s="181"/>
      <c r="X2087" s="181"/>
      <c r="Y2087" s="181"/>
      <c r="Z2087" s="181"/>
    </row>
    <row r="2088">
      <c r="A2088" s="194"/>
      <c r="B2088" s="195"/>
      <c r="C2088" s="181"/>
      <c r="D2088" s="194"/>
      <c r="E2088" s="194"/>
      <c r="F2088" s="181"/>
      <c r="G2088" s="181"/>
      <c r="H2088" s="181"/>
      <c r="I2088" s="181"/>
      <c r="J2088" s="181"/>
      <c r="K2088" s="181"/>
      <c r="L2088" s="181"/>
      <c r="M2088" s="181"/>
      <c r="N2088" s="181"/>
      <c r="O2088" s="181"/>
      <c r="P2088" s="181"/>
      <c r="Q2088" s="181"/>
      <c r="R2088" s="181"/>
      <c r="S2088" s="181"/>
      <c r="T2088" s="181"/>
      <c r="U2088" s="181"/>
      <c r="V2088" s="181"/>
      <c r="W2088" s="181"/>
      <c r="X2088" s="181"/>
      <c r="Y2088" s="181"/>
      <c r="Z2088" s="181"/>
    </row>
    <row r="2089">
      <c r="A2089" s="194"/>
      <c r="B2089" s="195"/>
      <c r="C2089" s="181"/>
      <c r="D2089" s="194"/>
      <c r="E2089" s="194"/>
      <c r="F2089" s="181"/>
      <c r="G2089" s="181"/>
      <c r="H2089" s="181"/>
      <c r="I2089" s="181"/>
      <c r="J2089" s="181"/>
      <c r="K2089" s="181"/>
      <c r="L2089" s="181"/>
      <c r="M2089" s="181"/>
      <c r="N2089" s="181"/>
      <c r="O2089" s="181"/>
      <c r="P2089" s="181"/>
      <c r="Q2089" s="181"/>
      <c r="R2089" s="181"/>
      <c r="S2089" s="181"/>
      <c r="T2089" s="181"/>
      <c r="U2089" s="181"/>
      <c r="V2089" s="181"/>
      <c r="W2089" s="181"/>
      <c r="X2089" s="181"/>
      <c r="Y2089" s="181"/>
      <c r="Z2089" s="181"/>
    </row>
    <row r="2090">
      <c r="A2090" s="194"/>
      <c r="B2090" s="195"/>
      <c r="C2090" s="181"/>
      <c r="D2090" s="194"/>
      <c r="E2090" s="194"/>
      <c r="F2090" s="181"/>
      <c r="G2090" s="181"/>
      <c r="H2090" s="181"/>
      <c r="I2090" s="181"/>
      <c r="J2090" s="181"/>
      <c r="K2090" s="181"/>
      <c r="L2090" s="181"/>
      <c r="M2090" s="181"/>
      <c r="N2090" s="181"/>
      <c r="O2090" s="181"/>
      <c r="P2090" s="181"/>
      <c r="Q2090" s="181"/>
      <c r="R2090" s="181"/>
      <c r="S2090" s="181"/>
      <c r="T2090" s="181"/>
      <c r="U2090" s="181"/>
      <c r="V2090" s="181"/>
      <c r="W2090" s="181"/>
      <c r="X2090" s="181"/>
      <c r="Y2090" s="181"/>
      <c r="Z2090" s="181"/>
    </row>
    <row r="2091">
      <c r="A2091" s="194"/>
      <c r="B2091" s="195"/>
      <c r="C2091" s="181"/>
      <c r="D2091" s="194"/>
      <c r="E2091" s="194"/>
      <c r="F2091" s="181"/>
      <c r="G2091" s="181"/>
      <c r="H2091" s="181"/>
      <c r="I2091" s="181"/>
      <c r="J2091" s="181"/>
      <c r="K2091" s="181"/>
      <c r="L2091" s="181"/>
      <c r="M2091" s="181"/>
      <c r="N2091" s="181"/>
      <c r="O2091" s="181"/>
      <c r="P2091" s="181"/>
      <c r="Q2091" s="181"/>
      <c r="R2091" s="181"/>
      <c r="S2091" s="181"/>
      <c r="T2091" s="181"/>
      <c r="U2091" s="181"/>
      <c r="V2091" s="181"/>
      <c r="W2091" s="181"/>
      <c r="X2091" s="181"/>
      <c r="Y2091" s="181"/>
      <c r="Z2091" s="181"/>
    </row>
    <row r="2092">
      <c r="A2092" s="194"/>
      <c r="B2092" s="195"/>
      <c r="C2092" s="181"/>
      <c r="D2092" s="194"/>
      <c r="E2092" s="194"/>
      <c r="F2092" s="181"/>
      <c r="G2092" s="181"/>
      <c r="H2092" s="181"/>
      <c r="I2092" s="181"/>
      <c r="J2092" s="181"/>
      <c r="K2092" s="181"/>
      <c r="L2092" s="181"/>
      <c r="M2092" s="181"/>
      <c r="N2092" s="181"/>
      <c r="O2092" s="181"/>
      <c r="P2092" s="181"/>
      <c r="Q2092" s="181"/>
      <c r="R2092" s="181"/>
      <c r="S2092" s="181"/>
      <c r="T2092" s="181"/>
      <c r="U2092" s="181"/>
      <c r="V2092" s="181"/>
      <c r="W2092" s="181"/>
      <c r="X2092" s="181"/>
      <c r="Y2092" s="181"/>
      <c r="Z2092" s="181"/>
    </row>
    <row r="2093">
      <c r="A2093" s="194"/>
      <c r="B2093" s="195"/>
      <c r="C2093" s="181"/>
      <c r="D2093" s="194"/>
      <c r="E2093" s="194"/>
      <c r="F2093" s="181"/>
      <c r="G2093" s="181"/>
      <c r="H2093" s="181"/>
      <c r="I2093" s="181"/>
      <c r="J2093" s="181"/>
      <c r="K2093" s="181"/>
      <c r="L2093" s="181"/>
      <c r="M2093" s="181"/>
      <c r="N2093" s="181"/>
      <c r="O2093" s="181"/>
      <c r="P2093" s="181"/>
      <c r="Q2093" s="181"/>
      <c r="R2093" s="181"/>
      <c r="S2093" s="181"/>
      <c r="T2093" s="181"/>
      <c r="U2093" s="181"/>
      <c r="V2093" s="181"/>
      <c r="W2093" s="181"/>
      <c r="X2093" s="181"/>
      <c r="Y2093" s="181"/>
      <c r="Z2093" s="181"/>
    </row>
    <row r="2094">
      <c r="A2094" s="194"/>
      <c r="B2094" s="195"/>
      <c r="C2094" s="181"/>
      <c r="D2094" s="194"/>
      <c r="E2094" s="194"/>
      <c r="F2094" s="181"/>
      <c r="G2094" s="181"/>
      <c r="H2094" s="181"/>
      <c r="I2094" s="181"/>
      <c r="J2094" s="181"/>
      <c r="K2094" s="181"/>
      <c r="L2094" s="181"/>
      <c r="M2094" s="181"/>
      <c r="N2094" s="181"/>
      <c r="O2094" s="181"/>
      <c r="P2094" s="181"/>
      <c r="Q2094" s="181"/>
      <c r="R2094" s="181"/>
      <c r="S2094" s="181"/>
      <c r="T2094" s="181"/>
      <c r="U2094" s="181"/>
      <c r="V2094" s="181"/>
      <c r="W2094" s="181"/>
      <c r="X2094" s="181"/>
      <c r="Y2094" s="181"/>
      <c r="Z2094" s="181"/>
    </row>
    <row r="2095">
      <c r="A2095" s="194"/>
      <c r="B2095" s="195"/>
      <c r="C2095" s="181"/>
      <c r="D2095" s="194"/>
      <c r="E2095" s="194"/>
      <c r="F2095" s="181"/>
      <c r="G2095" s="181"/>
      <c r="H2095" s="181"/>
      <c r="I2095" s="181"/>
      <c r="J2095" s="181"/>
      <c r="K2095" s="181"/>
      <c r="L2095" s="181"/>
      <c r="M2095" s="181"/>
      <c r="N2095" s="181"/>
      <c r="O2095" s="181"/>
      <c r="P2095" s="181"/>
      <c r="Q2095" s="181"/>
      <c r="R2095" s="181"/>
      <c r="S2095" s="181"/>
      <c r="T2095" s="181"/>
      <c r="U2095" s="181"/>
      <c r="V2095" s="181"/>
      <c r="W2095" s="181"/>
      <c r="X2095" s="181"/>
      <c r="Y2095" s="181"/>
      <c r="Z2095" s="181"/>
    </row>
    <row r="2096">
      <c r="A2096" s="194"/>
      <c r="B2096" s="195"/>
      <c r="C2096" s="181"/>
      <c r="D2096" s="194"/>
      <c r="E2096" s="194"/>
      <c r="F2096" s="181"/>
      <c r="G2096" s="181"/>
      <c r="H2096" s="181"/>
      <c r="I2096" s="181"/>
      <c r="J2096" s="181"/>
      <c r="K2096" s="181"/>
      <c r="L2096" s="181"/>
      <c r="M2096" s="181"/>
      <c r="N2096" s="181"/>
      <c r="O2096" s="181"/>
      <c r="P2096" s="181"/>
      <c r="Q2096" s="181"/>
      <c r="R2096" s="181"/>
      <c r="S2096" s="181"/>
      <c r="T2096" s="181"/>
      <c r="U2096" s="181"/>
      <c r="V2096" s="181"/>
      <c r="W2096" s="181"/>
      <c r="X2096" s="181"/>
      <c r="Y2096" s="181"/>
      <c r="Z2096" s="181"/>
    </row>
    <row r="2097">
      <c r="A2097" s="194"/>
      <c r="B2097" s="195"/>
      <c r="C2097" s="181"/>
      <c r="D2097" s="194"/>
      <c r="E2097" s="194"/>
      <c r="F2097" s="181"/>
      <c r="G2097" s="181"/>
      <c r="H2097" s="181"/>
      <c r="I2097" s="181"/>
      <c r="J2097" s="181"/>
      <c r="K2097" s="181"/>
      <c r="L2097" s="181"/>
      <c r="M2097" s="181"/>
      <c r="N2097" s="181"/>
      <c r="O2097" s="181"/>
      <c r="P2097" s="181"/>
      <c r="Q2097" s="181"/>
      <c r="R2097" s="181"/>
      <c r="S2097" s="181"/>
      <c r="T2097" s="181"/>
      <c r="U2097" s="181"/>
      <c r="V2097" s="181"/>
      <c r="W2097" s="181"/>
      <c r="X2097" s="181"/>
      <c r="Y2097" s="181"/>
      <c r="Z2097" s="181"/>
    </row>
    <row r="2098">
      <c r="A2098" s="194"/>
      <c r="B2098" s="195"/>
      <c r="C2098" s="181"/>
      <c r="D2098" s="194"/>
      <c r="E2098" s="194"/>
      <c r="F2098" s="181"/>
      <c r="G2098" s="181"/>
      <c r="H2098" s="181"/>
      <c r="I2098" s="181"/>
      <c r="J2098" s="181"/>
      <c r="K2098" s="181"/>
      <c r="L2098" s="181"/>
      <c r="M2098" s="181"/>
      <c r="N2098" s="181"/>
      <c r="O2098" s="181"/>
      <c r="P2098" s="181"/>
      <c r="Q2098" s="181"/>
      <c r="R2098" s="181"/>
      <c r="S2098" s="181"/>
      <c r="T2098" s="181"/>
      <c r="U2098" s="181"/>
      <c r="V2098" s="181"/>
      <c r="W2098" s="181"/>
      <c r="X2098" s="181"/>
      <c r="Y2098" s="181"/>
      <c r="Z2098" s="181"/>
    </row>
    <row r="2099">
      <c r="A2099" s="194"/>
      <c r="B2099" s="195"/>
      <c r="C2099" s="181"/>
      <c r="D2099" s="194"/>
      <c r="E2099" s="194"/>
      <c r="F2099" s="181"/>
      <c r="G2099" s="181"/>
      <c r="H2099" s="181"/>
      <c r="I2099" s="181"/>
      <c r="J2099" s="181"/>
      <c r="K2099" s="181"/>
      <c r="L2099" s="181"/>
      <c r="M2099" s="181"/>
      <c r="N2099" s="181"/>
      <c r="O2099" s="181"/>
      <c r="P2099" s="181"/>
      <c r="Q2099" s="181"/>
      <c r="R2099" s="181"/>
      <c r="S2099" s="181"/>
      <c r="T2099" s="181"/>
      <c r="U2099" s="181"/>
      <c r="V2099" s="181"/>
      <c r="W2099" s="181"/>
      <c r="X2099" s="181"/>
      <c r="Y2099" s="181"/>
      <c r="Z2099" s="181"/>
    </row>
    <row r="2100">
      <c r="A2100" s="194"/>
      <c r="B2100" s="195"/>
      <c r="C2100" s="181"/>
      <c r="D2100" s="194"/>
      <c r="E2100" s="194"/>
      <c r="F2100" s="181"/>
      <c r="G2100" s="181"/>
      <c r="H2100" s="181"/>
      <c r="I2100" s="181"/>
      <c r="J2100" s="181"/>
      <c r="K2100" s="181"/>
      <c r="L2100" s="181"/>
      <c r="M2100" s="181"/>
      <c r="N2100" s="181"/>
      <c r="O2100" s="181"/>
      <c r="P2100" s="181"/>
      <c r="Q2100" s="181"/>
      <c r="R2100" s="181"/>
      <c r="S2100" s="181"/>
      <c r="T2100" s="181"/>
      <c r="U2100" s="181"/>
      <c r="V2100" s="181"/>
      <c r="W2100" s="181"/>
      <c r="X2100" s="181"/>
      <c r="Y2100" s="181"/>
      <c r="Z2100" s="181"/>
    </row>
    <row r="2101">
      <c r="A2101" s="194"/>
      <c r="B2101" s="195"/>
      <c r="C2101" s="181"/>
      <c r="D2101" s="194"/>
      <c r="E2101" s="194"/>
      <c r="F2101" s="181"/>
      <c r="G2101" s="181"/>
      <c r="H2101" s="181"/>
      <c r="I2101" s="181"/>
      <c r="J2101" s="181"/>
      <c r="K2101" s="181"/>
      <c r="L2101" s="181"/>
      <c r="M2101" s="181"/>
      <c r="N2101" s="181"/>
      <c r="O2101" s="181"/>
      <c r="P2101" s="181"/>
      <c r="Q2101" s="181"/>
      <c r="R2101" s="181"/>
      <c r="S2101" s="181"/>
      <c r="T2101" s="181"/>
      <c r="U2101" s="181"/>
      <c r="V2101" s="181"/>
      <c r="W2101" s="181"/>
      <c r="X2101" s="181"/>
      <c r="Y2101" s="181"/>
      <c r="Z2101" s="181"/>
    </row>
    <row r="2102">
      <c r="A2102" s="194"/>
      <c r="B2102" s="195"/>
      <c r="C2102" s="181"/>
      <c r="D2102" s="194"/>
      <c r="E2102" s="194"/>
      <c r="F2102" s="181"/>
      <c r="G2102" s="181"/>
      <c r="H2102" s="181"/>
      <c r="I2102" s="181"/>
      <c r="J2102" s="181"/>
      <c r="K2102" s="181"/>
      <c r="L2102" s="181"/>
      <c r="M2102" s="181"/>
      <c r="N2102" s="181"/>
      <c r="O2102" s="181"/>
      <c r="P2102" s="181"/>
      <c r="Q2102" s="181"/>
      <c r="R2102" s="181"/>
      <c r="S2102" s="181"/>
      <c r="T2102" s="181"/>
      <c r="U2102" s="181"/>
      <c r="V2102" s="181"/>
      <c r="W2102" s="181"/>
      <c r="X2102" s="181"/>
      <c r="Y2102" s="181"/>
      <c r="Z2102" s="181"/>
    </row>
    <row r="2103">
      <c r="A2103" s="194"/>
      <c r="B2103" s="195"/>
      <c r="C2103" s="181"/>
      <c r="D2103" s="194"/>
      <c r="E2103" s="194"/>
      <c r="F2103" s="181"/>
      <c r="G2103" s="181"/>
      <c r="H2103" s="181"/>
      <c r="I2103" s="181"/>
      <c r="J2103" s="181"/>
      <c r="K2103" s="181"/>
      <c r="L2103" s="181"/>
      <c r="M2103" s="181"/>
      <c r="N2103" s="181"/>
      <c r="O2103" s="181"/>
      <c r="P2103" s="181"/>
      <c r="Q2103" s="181"/>
      <c r="R2103" s="181"/>
      <c r="S2103" s="181"/>
      <c r="T2103" s="181"/>
      <c r="U2103" s="181"/>
      <c r="V2103" s="181"/>
      <c r="W2103" s="181"/>
      <c r="X2103" s="181"/>
      <c r="Y2103" s="181"/>
      <c r="Z2103" s="181"/>
    </row>
    <row r="2104">
      <c r="A2104" s="194"/>
      <c r="B2104" s="195"/>
      <c r="C2104" s="181"/>
      <c r="D2104" s="194"/>
      <c r="E2104" s="194"/>
      <c r="F2104" s="181"/>
      <c r="G2104" s="181"/>
      <c r="H2104" s="181"/>
      <c r="I2104" s="181"/>
      <c r="J2104" s="181"/>
      <c r="K2104" s="181"/>
      <c r="L2104" s="181"/>
      <c r="M2104" s="181"/>
      <c r="N2104" s="181"/>
      <c r="O2104" s="181"/>
      <c r="P2104" s="181"/>
      <c r="Q2104" s="181"/>
      <c r="R2104" s="181"/>
      <c r="S2104" s="181"/>
      <c r="T2104" s="181"/>
      <c r="U2104" s="181"/>
      <c r="V2104" s="181"/>
      <c r="W2104" s="181"/>
      <c r="X2104" s="181"/>
      <c r="Y2104" s="181"/>
      <c r="Z2104" s="181"/>
    </row>
    <row r="2105">
      <c r="A2105" s="194"/>
      <c r="B2105" s="195"/>
      <c r="C2105" s="181"/>
      <c r="D2105" s="194"/>
      <c r="E2105" s="194"/>
      <c r="F2105" s="181"/>
      <c r="G2105" s="181"/>
      <c r="H2105" s="181"/>
      <c r="I2105" s="181"/>
      <c r="J2105" s="181"/>
      <c r="K2105" s="181"/>
      <c r="L2105" s="181"/>
      <c r="M2105" s="181"/>
      <c r="N2105" s="181"/>
      <c r="O2105" s="181"/>
      <c r="P2105" s="181"/>
      <c r="Q2105" s="181"/>
      <c r="R2105" s="181"/>
      <c r="S2105" s="181"/>
      <c r="T2105" s="181"/>
      <c r="U2105" s="181"/>
      <c r="V2105" s="181"/>
      <c r="W2105" s="181"/>
      <c r="X2105" s="181"/>
      <c r="Y2105" s="181"/>
      <c r="Z2105" s="181"/>
    </row>
    <row r="2106">
      <c r="A2106" s="194"/>
      <c r="B2106" s="195"/>
      <c r="C2106" s="181"/>
      <c r="D2106" s="194"/>
      <c r="E2106" s="194"/>
      <c r="F2106" s="181"/>
      <c r="G2106" s="181"/>
      <c r="H2106" s="181"/>
      <c r="I2106" s="181"/>
      <c r="J2106" s="181"/>
      <c r="K2106" s="181"/>
      <c r="L2106" s="181"/>
      <c r="M2106" s="181"/>
      <c r="N2106" s="181"/>
      <c r="O2106" s="181"/>
      <c r="P2106" s="181"/>
      <c r="Q2106" s="181"/>
      <c r="R2106" s="181"/>
      <c r="S2106" s="181"/>
      <c r="T2106" s="181"/>
      <c r="U2106" s="181"/>
      <c r="V2106" s="181"/>
      <c r="W2106" s="181"/>
      <c r="X2106" s="181"/>
      <c r="Y2106" s="181"/>
      <c r="Z2106" s="181"/>
    </row>
    <row r="2107">
      <c r="A2107" s="194"/>
      <c r="B2107" s="195"/>
      <c r="C2107" s="181"/>
      <c r="D2107" s="194"/>
      <c r="E2107" s="194"/>
      <c r="F2107" s="181"/>
      <c r="G2107" s="181"/>
      <c r="H2107" s="181"/>
      <c r="I2107" s="181"/>
      <c r="J2107" s="181"/>
      <c r="K2107" s="181"/>
      <c r="L2107" s="181"/>
      <c r="M2107" s="181"/>
      <c r="N2107" s="181"/>
      <c r="O2107" s="181"/>
      <c r="P2107" s="181"/>
      <c r="Q2107" s="181"/>
      <c r="R2107" s="181"/>
      <c r="S2107" s="181"/>
      <c r="T2107" s="181"/>
      <c r="U2107" s="181"/>
      <c r="V2107" s="181"/>
      <c r="W2107" s="181"/>
      <c r="X2107" s="181"/>
      <c r="Y2107" s="181"/>
      <c r="Z2107" s="181"/>
    </row>
    <row r="2108">
      <c r="A2108" s="194"/>
      <c r="B2108" s="195"/>
      <c r="C2108" s="181"/>
      <c r="D2108" s="194"/>
      <c r="E2108" s="194"/>
      <c r="F2108" s="181"/>
      <c r="G2108" s="181"/>
      <c r="H2108" s="181"/>
      <c r="I2108" s="181"/>
      <c r="J2108" s="181"/>
      <c r="K2108" s="181"/>
      <c r="L2108" s="181"/>
      <c r="M2108" s="181"/>
      <c r="N2108" s="181"/>
      <c r="O2108" s="181"/>
      <c r="P2108" s="181"/>
      <c r="Q2108" s="181"/>
      <c r="R2108" s="181"/>
      <c r="S2108" s="181"/>
      <c r="T2108" s="181"/>
      <c r="U2108" s="181"/>
      <c r="V2108" s="181"/>
      <c r="W2108" s="181"/>
      <c r="X2108" s="181"/>
      <c r="Y2108" s="181"/>
      <c r="Z2108" s="181"/>
    </row>
    <row r="2109">
      <c r="A2109" s="194"/>
      <c r="B2109" s="195"/>
      <c r="C2109" s="181"/>
      <c r="D2109" s="194"/>
      <c r="E2109" s="194"/>
      <c r="F2109" s="181"/>
      <c r="G2109" s="181"/>
      <c r="H2109" s="181"/>
      <c r="I2109" s="181"/>
      <c r="J2109" s="181"/>
      <c r="K2109" s="181"/>
      <c r="L2109" s="181"/>
      <c r="M2109" s="181"/>
      <c r="N2109" s="181"/>
      <c r="O2109" s="181"/>
      <c r="P2109" s="181"/>
      <c r="Q2109" s="181"/>
      <c r="R2109" s="181"/>
      <c r="S2109" s="181"/>
      <c r="T2109" s="181"/>
      <c r="U2109" s="181"/>
      <c r="V2109" s="181"/>
      <c r="W2109" s="181"/>
      <c r="X2109" s="181"/>
      <c r="Y2109" s="181"/>
      <c r="Z2109" s="181"/>
    </row>
    <row r="2110">
      <c r="A2110" s="194"/>
      <c r="B2110" s="195"/>
      <c r="C2110" s="181"/>
      <c r="D2110" s="194"/>
      <c r="E2110" s="194"/>
      <c r="F2110" s="181"/>
      <c r="G2110" s="181"/>
      <c r="H2110" s="181"/>
      <c r="I2110" s="181"/>
      <c r="J2110" s="181"/>
      <c r="K2110" s="181"/>
      <c r="L2110" s="181"/>
      <c r="M2110" s="181"/>
      <c r="N2110" s="181"/>
      <c r="O2110" s="181"/>
      <c r="P2110" s="181"/>
      <c r="Q2110" s="181"/>
      <c r="R2110" s="181"/>
      <c r="S2110" s="181"/>
      <c r="T2110" s="181"/>
      <c r="U2110" s="181"/>
      <c r="V2110" s="181"/>
      <c r="W2110" s="181"/>
      <c r="X2110" s="181"/>
      <c r="Y2110" s="181"/>
      <c r="Z2110" s="181"/>
    </row>
    <row r="2111">
      <c r="A2111" s="194"/>
      <c r="B2111" s="195"/>
      <c r="C2111" s="181"/>
      <c r="D2111" s="194"/>
      <c r="E2111" s="194"/>
      <c r="F2111" s="181"/>
      <c r="G2111" s="181"/>
      <c r="H2111" s="181"/>
      <c r="I2111" s="181"/>
      <c r="J2111" s="181"/>
      <c r="K2111" s="181"/>
      <c r="L2111" s="181"/>
      <c r="M2111" s="181"/>
      <c r="N2111" s="181"/>
      <c r="O2111" s="181"/>
      <c r="P2111" s="181"/>
      <c r="Q2111" s="181"/>
      <c r="R2111" s="181"/>
      <c r="S2111" s="181"/>
      <c r="T2111" s="181"/>
      <c r="U2111" s="181"/>
      <c r="V2111" s="181"/>
      <c r="W2111" s="181"/>
      <c r="X2111" s="181"/>
      <c r="Y2111" s="181"/>
      <c r="Z2111" s="181"/>
    </row>
    <row r="2112">
      <c r="A2112" s="194"/>
      <c r="B2112" s="195"/>
      <c r="C2112" s="181"/>
      <c r="D2112" s="194"/>
      <c r="E2112" s="194"/>
      <c r="F2112" s="181"/>
      <c r="G2112" s="181"/>
      <c r="H2112" s="181"/>
      <c r="I2112" s="181"/>
      <c r="J2112" s="181"/>
      <c r="K2112" s="181"/>
      <c r="L2112" s="181"/>
      <c r="M2112" s="181"/>
      <c r="N2112" s="181"/>
      <c r="O2112" s="181"/>
      <c r="P2112" s="181"/>
      <c r="Q2112" s="181"/>
      <c r="R2112" s="181"/>
      <c r="S2112" s="181"/>
      <c r="T2112" s="181"/>
      <c r="U2112" s="181"/>
      <c r="V2112" s="181"/>
      <c r="W2112" s="181"/>
      <c r="X2112" s="181"/>
      <c r="Y2112" s="181"/>
      <c r="Z2112" s="181"/>
    </row>
    <row r="2113">
      <c r="A2113" s="194"/>
      <c r="B2113" s="195"/>
      <c r="C2113" s="181"/>
      <c r="D2113" s="194"/>
      <c r="E2113" s="194"/>
      <c r="F2113" s="181"/>
      <c r="G2113" s="181"/>
      <c r="H2113" s="181"/>
      <c r="I2113" s="181"/>
      <c r="J2113" s="181"/>
      <c r="K2113" s="181"/>
      <c r="L2113" s="181"/>
      <c r="M2113" s="181"/>
      <c r="N2113" s="181"/>
      <c r="O2113" s="181"/>
      <c r="P2113" s="181"/>
      <c r="Q2113" s="181"/>
      <c r="R2113" s="181"/>
      <c r="S2113" s="181"/>
      <c r="T2113" s="181"/>
      <c r="U2113" s="181"/>
      <c r="V2113" s="181"/>
      <c r="W2113" s="181"/>
      <c r="X2113" s="181"/>
      <c r="Y2113" s="181"/>
      <c r="Z2113" s="181"/>
    </row>
    <row r="2114">
      <c r="A2114" s="194"/>
      <c r="B2114" s="195"/>
      <c r="C2114" s="181"/>
      <c r="D2114" s="194"/>
      <c r="E2114" s="194"/>
      <c r="F2114" s="181"/>
      <c r="G2114" s="181"/>
      <c r="H2114" s="181"/>
      <c r="I2114" s="181"/>
      <c r="J2114" s="181"/>
      <c r="K2114" s="181"/>
      <c r="L2114" s="181"/>
      <c r="M2114" s="181"/>
      <c r="N2114" s="181"/>
      <c r="O2114" s="181"/>
      <c r="P2114" s="181"/>
      <c r="Q2114" s="181"/>
      <c r="R2114" s="181"/>
      <c r="S2114" s="181"/>
      <c r="T2114" s="181"/>
      <c r="U2114" s="181"/>
      <c r="V2114" s="181"/>
      <c r="W2114" s="181"/>
      <c r="X2114" s="181"/>
      <c r="Y2114" s="181"/>
      <c r="Z2114" s="181"/>
    </row>
    <row r="2115">
      <c r="A2115" s="194"/>
      <c r="B2115" s="195"/>
      <c r="C2115" s="181"/>
      <c r="D2115" s="194"/>
      <c r="E2115" s="194"/>
      <c r="F2115" s="181"/>
      <c r="G2115" s="181"/>
      <c r="H2115" s="181"/>
      <c r="I2115" s="181"/>
      <c r="J2115" s="181"/>
      <c r="K2115" s="181"/>
      <c r="L2115" s="181"/>
      <c r="M2115" s="181"/>
      <c r="N2115" s="181"/>
      <c r="O2115" s="181"/>
      <c r="P2115" s="181"/>
      <c r="Q2115" s="181"/>
      <c r="R2115" s="181"/>
      <c r="S2115" s="181"/>
      <c r="T2115" s="181"/>
      <c r="U2115" s="181"/>
      <c r="V2115" s="181"/>
      <c r="W2115" s="181"/>
      <c r="X2115" s="181"/>
      <c r="Y2115" s="181"/>
      <c r="Z2115" s="181"/>
    </row>
    <row r="2116">
      <c r="A2116" s="194"/>
      <c r="B2116" s="195"/>
      <c r="C2116" s="181"/>
      <c r="D2116" s="194"/>
      <c r="E2116" s="194"/>
      <c r="F2116" s="181"/>
      <c r="G2116" s="181"/>
      <c r="H2116" s="181"/>
      <c r="I2116" s="181"/>
      <c r="J2116" s="181"/>
      <c r="K2116" s="181"/>
      <c r="L2116" s="181"/>
      <c r="M2116" s="181"/>
      <c r="N2116" s="181"/>
      <c r="O2116" s="181"/>
      <c r="P2116" s="181"/>
      <c r="Q2116" s="181"/>
      <c r="R2116" s="181"/>
      <c r="S2116" s="181"/>
      <c r="T2116" s="181"/>
      <c r="U2116" s="181"/>
      <c r="V2116" s="181"/>
      <c r="W2116" s="181"/>
      <c r="X2116" s="181"/>
      <c r="Y2116" s="181"/>
      <c r="Z2116" s="181"/>
    </row>
    <row r="2117">
      <c r="A2117" s="194"/>
      <c r="B2117" s="195"/>
      <c r="C2117" s="181"/>
      <c r="D2117" s="194"/>
      <c r="E2117" s="194"/>
      <c r="F2117" s="181"/>
      <c r="G2117" s="181"/>
      <c r="H2117" s="181"/>
      <c r="I2117" s="181"/>
      <c r="J2117" s="181"/>
      <c r="K2117" s="181"/>
      <c r="L2117" s="181"/>
      <c r="M2117" s="181"/>
      <c r="N2117" s="181"/>
      <c r="O2117" s="181"/>
      <c r="P2117" s="181"/>
      <c r="Q2117" s="181"/>
      <c r="R2117" s="181"/>
      <c r="S2117" s="181"/>
      <c r="T2117" s="181"/>
      <c r="U2117" s="181"/>
      <c r="V2117" s="181"/>
      <c r="W2117" s="181"/>
      <c r="X2117" s="181"/>
      <c r="Y2117" s="181"/>
      <c r="Z2117" s="181"/>
    </row>
    <row r="2118">
      <c r="A2118" s="194"/>
      <c r="B2118" s="195"/>
      <c r="C2118" s="181"/>
      <c r="D2118" s="194"/>
      <c r="E2118" s="194"/>
      <c r="F2118" s="181"/>
      <c r="G2118" s="181"/>
      <c r="H2118" s="181"/>
      <c r="I2118" s="181"/>
      <c r="J2118" s="181"/>
      <c r="K2118" s="181"/>
      <c r="L2118" s="181"/>
      <c r="M2118" s="181"/>
      <c r="N2118" s="181"/>
      <c r="O2118" s="181"/>
      <c r="P2118" s="181"/>
      <c r="Q2118" s="181"/>
      <c r="R2118" s="181"/>
      <c r="S2118" s="181"/>
      <c r="T2118" s="181"/>
      <c r="U2118" s="181"/>
      <c r="V2118" s="181"/>
      <c r="W2118" s="181"/>
      <c r="X2118" s="181"/>
      <c r="Y2118" s="181"/>
      <c r="Z2118" s="181"/>
    </row>
    <row r="2119">
      <c r="A2119" s="194"/>
      <c r="B2119" s="195"/>
      <c r="C2119" s="181"/>
      <c r="D2119" s="194"/>
      <c r="E2119" s="194"/>
      <c r="F2119" s="181"/>
      <c r="G2119" s="181"/>
      <c r="H2119" s="181"/>
      <c r="I2119" s="181"/>
      <c r="J2119" s="181"/>
      <c r="K2119" s="181"/>
      <c r="L2119" s="181"/>
      <c r="M2119" s="181"/>
      <c r="N2119" s="181"/>
      <c r="O2119" s="181"/>
      <c r="P2119" s="181"/>
      <c r="Q2119" s="181"/>
      <c r="R2119" s="181"/>
      <c r="S2119" s="181"/>
      <c r="T2119" s="181"/>
      <c r="U2119" s="181"/>
      <c r="V2119" s="181"/>
      <c r="W2119" s="181"/>
      <c r="X2119" s="181"/>
      <c r="Y2119" s="181"/>
      <c r="Z2119" s="181"/>
    </row>
    <row r="2120">
      <c r="A2120" s="194"/>
      <c r="B2120" s="195"/>
      <c r="C2120" s="181"/>
      <c r="D2120" s="194"/>
      <c r="E2120" s="194"/>
      <c r="F2120" s="181"/>
      <c r="G2120" s="181"/>
      <c r="H2120" s="181"/>
      <c r="I2120" s="181"/>
      <c r="J2120" s="181"/>
      <c r="K2120" s="181"/>
      <c r="L2120" s="181"/>
      <c r="M2120" s="181"/>
      <c r="N2120" s="181"/>
      <c r="O2120" s="181"/>
      <c r="P2120" s="181"/>
      <c r="Q2120" s="181"/>
      <c r="R2120" s="181"/>
      <c r="S2120" s="181"/>
      <c r="T2120" s="181"/>
      <c r="U2120" s="181"/>
      <c r="V2120" s="181"/>
      <c r="W2120" s="181"/>
      <c r="X2120" s="181"/>
      <c r="Y2120" s="181"/>
      <c r="Z2120" s="181"/>
    </row>
    <row r="2121">
      <c r="A2121" s="194"/>
      <c r="B2121" s="195"/>
      <c r="C2121" s="181"/>
      <c r="D2121" s="194"/>
      <c r="E2121" s="194"/>
      <c r="F2121" s="181"/>
      <c r="G2121" s="181"/>
      <c r="H2121" s="181"/>
      <c r="I2121" s="181"/>
      <c r="J2121" s="181"/>
      <c r="K2121" s="181"/>
      <c r="L2121" s="181"/>
      <c r="M2121" s="181"/>
      <c r="N2121" s="181"/>
      <c r="O2121" s="181"/>
      <c r="P2121" s="181"/>
      <c r="Q2121" s="181"/>
      <c r="R2121" s="181"/>
      <c r="S2121" s="181"/>
      <c r="T2121" s="181"/>
      <c r="U2121" s="181"/>
      <c r="V2121" s="181"/>
      <c r="W2121" s="181"/>
      <c r="X2121" s="181"/>
      <c r="Y2121" s="181"/>
      <c r="Z2121" s="181"/>
    </row>
    <row r="2122">
      <c r="A2122" s="194"/>
      <c r="B2122" s="195"/>
      <c r="C2122" s="181"/>
      <c r="D2122" s="194"/>
      <c r="E2122" s="194"/>
      <c r="F2122" s="181"/>
      <c r="G2122" s="181"/>
      <c r="H2122" s="181"/>
      <c r="I2122" s="181"/>
      <c r="J2122" s="181"/>
      <c r="K2122" s="181"/>
      <c r="L2122" s="181"/>
      <c r="M2122" s="181"/>
      <c r="N2122" s="181"/>
      <c r="O2122" s="181"/>
      <c r="P2122" s="181"/>
      <c r="Q2122" s="181"/>
      <c r="R2122" s="181"/>
      <c r="S2122" s="181"/>
      <c r="T2122" s="181"/>
      <c r="U2122" s="181"/>
      <c r="V2122" s="181"/>
      <c r="W2122" s="181"/>
      <c r="X2122" s="181"/>
      <c r="Y2122" s="181"/>
      <c r="Z2122" s="181"/>
    </row>
    <row r="2123">
      <c r="A2123" s="194"/>
      <c r="B2123" s="195"/>
      <c r="C2123" s="181"/>
      <c r="D2123" s="194"/>
      <c r="E2123" s="194"/>
      <c r="F2123" s="181"/>
      <c r="G2123" s="181"/>
      <c r="H2123" s="181"/>
      <c r="I2123" s="181"/>
      <c r="J2123" s="181"/>
      <c r="K2123" s="181"/>
      <c r="L2123" s="181"/>
      <c r="M2123" s="181"/>
      <c r="N2123" s="181"/>
      <c r="O2123" s="181"/>
      <c r="P2123" s="181"/>
      <c r="Q2123" s="181"/>
      <c r="R2123" s="181"/>
      <c r="S2123" s="181"/>
      <c r="T2123" s="181"/>
      <c r="U2123" s="181"/>
      <c r="V2123" s="181"/>
      <c r="W2123" s="181"/>
      <c r="X2123" s="181"/>
      <c r="Y2123" s="181"/>
      <c r="Z2123" s="181"/>
    </row>
    <row r="2124">
      <c r="A2124" s="194"/>
      <c r="B2124" s="195"/>
      <c r="C2124" s="181"/>
      <c r="D2124" s="194"/>
      <c r="E2124" s="194"/>
      <c r="F2124" s="181"/>
      <c r="G2124" s="181"/>
      <c r="H2124" s="181"/>
      <c r="I2124" s="181"/>
      <c r="J2124" s="181"/>
      <c r="K2124" s="181"/>
      <c r="L2124" s="181"/>
      <c r="M2124" s="181"/>
      <c r="N2124" s="181"/>
      <c r="O2124" s="181"/>
      <c r="P2124" s="181"/>
      <c r="Q2124" s="181"/>
      <c r="R2124" s="181"/>
      <c r="S2124" s="181"/>
      <c r="T2124" s="181"/>
      <c r="U2124" s="181"/>
      <c r="V2124" s="181"/>
      <c r="W2124" s="181"/>
      <c r="X2124" s="181"/>
      <c r="Y2124" s="181"/>
      <c r="Z2124" s="181"/>
    </row>
    <row r="2125">
      <c r="A2125" s="194"/>
      <c r="B2125" s="195"/>
      <c r="C2125" s="181"/>
      <c r="D2125" s="194"/>
      <c r="E2125" s="194"/>
      <c r="F2125" s="181"/>
      <c r="G2125" s="181"/>
      <c r="H2125" s="181"/>
      <c r="I2125" s="181"/>
      <c r="J2125" s="181"/>
      <c r="K2125" s="181"/>
      <c r="L2125" s="181"/>
      <c r="M2125" s="181"/>
      <c r="N2125" s="181"/>
      <c r="O2125" s="181"/>
      <c r="P2125" s="181"/>
      <c r="Q2125" s="181"/>
      <c r="R2125" s="181"/>
      <c r="S2125" s="181"/>
      <c r="T2125" s="181"/>
      <c r="U2125" s="181"/>
      <c r="V2125" s="181"/>
      <c r="W2125" s="181"/>
      <c r="X2125" s="181"/>
      <c r="Y2125" s="181"/>
      <c r="Z2125" s="181"/>
    </row>
    <row r="2126">
      <c r="A2126" s="194"/>
      <c r="B2126" s="195"/>
      <c r="C2126" s="181"/>
      <c r="D2126" s="194"/>
      <c r="E2126" s="194"/>
      <c r="F2126" s="181"/>
      <c r="G2126" s="181"/>
      <c r="H2126" s="181"/>
      <c r="I2126" s="181"/>
      <c r="J2126" s="181"/>
      <c r="K2126" s="181"/>
      <c r="L2126" s="181"/>
      <c r="M2126" s="181"/>
      <c r="N2126" s="181"/>
      <c r="O2126" s="181"/>
      <c r="P2126" s="181"/>
      <c r="Q2126" s="181"/>
      <c r="R2126" s="181"/>
      <c r="S2126" s="181"/>
      <c r="T2126" s="181"/>
      <c r="U2126" s="181"/>
      <c r="V2126" s="181"/>
      <c r="W2126" s="181"/>
      <c r="X2126" s="181"/>
      <c r="Y2126" s="181"/>
      <c r="Z2126" s="181"/>
    </row>
    <row r="2127">
      <c r="A2127" s="194"/>
      <c r="B2127" s="195"/>
      <c r="C2127" s="181"/>
      <c r="D2127" s="194"/>
      <c r="E2127" s="194"/>
      <c r="F2127" s="181"/>
      <c r="G2127" s="181"/>
      <c r="H2127" s="181"/>
      <c r="I2127" s="181"/>
      <c r="J2127" s="181"/>
      <c r="K2127" s="181"/>
      <c r="L2127" s="181"/>
      <c r="M2127" s="181"/>
      <c r="N2127" s="181"/>
      <c r="O2127" s="181"/>
      <c r="P2127" s="181"/>
      <c r="Q2127" s="181"/>
      <c r="R2127" s="181"/>
      <c r="S2127" s="181"/>
      <c r="T2127" s="181"/>
      <c r="U2127" s="181"/>
      <c r="V2127" s="181"/>
      <c r="W2127" s="181"/>
      <c r="X2127" s="181"/>
      <c r="Y2127" s="181"/>
      <c r="Z2127" s="181"/>
    </row>
    <row r="2128">
      <c r="A2128" s="194"/>
      <c r="B2128" s="195"/>
      <c r="C2128" s="181"/>
      <c r="D2128" s="194"/>
      <c r="E2128" s="194"/>
      <c r="F2128" s="181"/>
      <c r="G2128" s="181"/>
      <c r="H2128" s="181"/>
      <c r="I2128" s="181"/>
      <c r="J2128" s="181"/>
      <c r="K2128" s="181"/>
      <c r="L2128" s="181"/>
      <c r="M2128" s="181"/>
      <c r="N2128" s="181"/>
      <c r="O2128" s="181"/>
      <c r="P2128" s="181"/>
      <c r="Q2128" s="181"/>
      <c r="R2128" s="181"/>
      <c r="S2128" s="181"/>
      <c r="T2128" s="181"/>
      <c r="U2128" s="181"/>
      <c r="V2128" s="181"/>
      <c r="W2128" s="181"/>
      <c r="X2128" s="181"/>
      <c r="Y2128" s="181"/>
      <c r="Z2128" s="181"/>
    </row>
    <row r="2129">
      <c r="A2129" s="194"/>
      <c r="B2129" s="195"/>
      <c r="C2129" s="181"/>
      <c r="D2129" s="194"/>
      <c r="E2129" s="194"/>
      <c r="F2129" s="181"/>
      <c r="G2129" s="181"/>
      <c r="H2129" s="181"/>
      <c r="I2129" s="181"/>
      <c r="J2129" s="181"/>
      <c r="K2129" s="181"/>
      <c r="L2129" s="181"/>
      <c r="M2129" s="181"/>
      <c r="N2129" s="181"/>
      <c r="O2129" s="181"/>
      <c r="P2129" s="181"/>
      <c r="Q2129" s="181"/>
      <c r="R2129" s="181"/>
      <c r="S2129" s="181"/>
      <c r="T2129" s="181"/>
      <c r="U2129" s="181"/>
      <c r="V2129" s="181"/>
      <c r="W2129" s="181"/>
      <c r="X2129" s="181"/>
      <c r="Y2129" s="181"/>
      <c r="Z2129" s="181"/>
    </row>
    <row r="2130">
      <c r="A2130" s="194"/>
      <c r="B2130" s="195"/>
      <c r="C2130" s="181"/>
      <c r="D2130" s="194"/>
      <c r="E2130" s="194"/>
      <c r="F2130" s="181"/>
      <c r="G2130" s="181"/>
      <c r="H2130" s="181"/>
      <c r="I2130" s="181"/>
      <c r="J2130" s="181"/>
      <c r="K2130" s="181"/>
      <c r="L2130" s="181"/>
      <c r="M2130" s="181"/>
      <c r="N2130" s="181"/>
      <c r="O2130" s="181"/>
      <c r="P2130" s="181"/>
      <c r="Q2130" s="181"/>
      <c r="R2130" s="181"/>
      <c r="S2130" s="181"/>
      <c r="T2130" s="181"/>
      <c r="U2130" s="181"/>
      <c r="V2130" s="181"/>
      <c r="W2130" s="181"/>
      <c r="X2130" s="181"/>
      <c r="Y2130" s="181"/>
      <c r="Z2130" s="181"/>
    </row>
    <row r="2131">
      <c r="A2131" s="194"/>
      <c r="B2131" s="195"/>
      <c r="C2131" s="181"/>
      <c r="D2131" s="194"/>
      <c r="E2131" s="194"/>
      <c r="F2131" s="181"/>
      <c r="G2131" s="181"/>
      <c r="H2131" s="181"/>
      <c r="I2131" s="181"/>
      <c r="J2131" s="181"/>
      <c r="K2131" s="181"/>
      <c r="L2131" s="181"/>
      <c r="M2131" s="181"/>
      <c r="N2131" s="181"/>
      <c r="O2131" s="181"/>
      <c r="P2131" s="181"/>
      <c r="Q2131" s="181"/>
      <c r="R2131" s="181"/>
      <c r="S2131" s="181"/>
      <c r="T2131" s="181"/>
      <c r="U2131" s="181"/>
      <c r="V2131" s="181"/>
      <c r="W2131" s="181"/>
      <c r="X2131" s="181"/>
      <c r="Y2131" s="181"/>
      <c r="Z2131" s="181"/>
    </row>
    <row r="2132">
      <c r="A2132" s="194"/>
      <c r="B2132" s="195"/>
      <c r="C2132" s="181"/>
      <c r="D2132" s="194"/>
      <c r="E2132" s="194"/>
      <c r="F2132" s="181"/>
      <c r="G2132" s="181"/>
      <c r="H2132" s="181"/>
      <c r="I2132" s="181"/>
      <c r="J2132" s="181"/>
      <c r="K2132" s="181"/>
      <c r="L2132" s="181"/>
      <c r="M2132" s="181"/>
      <c r="N2132" s="181"/>
      <c r="O2132" s="181"/>
      <c r="P2132" s="181"/>
      <c r="Q2132" s="181"/>
      <c r="R2132" s="181"/>
      <c r="S2132" s="181"/>
      <c r="T2132" s="181"/>
      <c r="U2132" s="181"/>
      <c r="V2132" s="181"/>
      <c r="W2132" s="181"/>
      <c r="X2132" s="181"/>
      <c r="Y2132" s="181"/>
      <c r="Z2132" s="181"/>
    </row>
    <row r="2133">
      <c r="A2133" s="194"/>
      <c r="B2133" s="195"/>
      <c r="C2133" s="181"/>
      <c r="D2133" s="194"/>
      <c r="E2133" s="194"/>
      <c r="F2133" s="181"/>
      <c r="G2133" s="181"/>
      <c r="H2133" s="181"/>
      <c r="I2133" s="181"/>
      <c r="J2133" s="181"/>
      <c r="K2133" s="181"/>
      <c r="L2133" s="181"/>
      <c r="M2133" s="181"/>
      <c r="N2133" s="181"/>
      <c r="O2133" s="181"/>
      <c r="P2133" s="181"/>
      <c r="Q2133" s="181"/>
      <c r="R2133" s="181"/>
      <c r="S2133" s="181"/>
      <c r="T2133" s="181"/>
      <c r="U2133" s="181"/>
      <c r="V2133" s="181"/>
      <c r="W2133" s="181"/>
      <c r="X2133" s="181"/>
      <c r="Y2133" s="181"/>
      <c r="Z2133" s="181"/>
    </row>
    <row r="2134">
      <c r="A2134" s="194"/>
      <c r="B2134" s="195"/>
      <c r="C2134" s="181"/>
      <c r="D2134" s="194"/>
      <c r="E2134" s="194"/>
      <c r="F2134" s="181"/>
      <c r="G2134" s="181"/>
      <c r="H2134" s="181"/>
      <c r="I2134" s="181"/>
      <c r="J2134" s="181"/>
      <c r="K2134" s="181"/>
      <c r="L2134" s="181"/>
      <c r="M2134" s="181"/>
      <c r="N2134" s="181"/>
      <c r="O2134" s="181"/>
      <c r="P2134" s="181"/>
      <c r="Q2134" s="181"/>
      <c r="R2134" s="181"/>
      <c r="S2134" s="181"/>
      <c r="T2134" s="181"/>
      <c r="U2134" s="181"/>
      <c r="V2134" s="181"/>
      <c r="W2134" s="181"/>
      <c r="X2134" s="181"/>
      <c r="Y2134" s="181"/>
      <c r="Z2134" s="181"/>
    </row>
    <row r="2135">
      <c r="A2135" s="194"/>
      <c r="B2135" s="195"/>
      <c r="C2135" s="181"/>
      <c r="D2135" s="194"/>
      <c r="E2135" s="194"/>
      <c r="F2135" s="181"/>
      <c r="G2135" s="181"/>
      <c r="H2135" s="181"/>
      <c r="I2135" s="181"/>
      <c r="J2135" s="181"/>
      <c r="K2135" s="181"/>
      <c r="L2135" s="181"/>
      <c r="M2135" s="181"/>
      <c r="N2135" s="181"/>
      <c r="O2135" s="181"/>
      <c r="P2135" s="181"/>
      <c r="Q2135" s="181"/>
      <c r="R2135" s="181"/>
      <c r="S2135" s="181"/>
      <c r="T2135" s="181"/>
      <c r="U2135" s="181"/>
      <c r="V2135" s="181"/>
      <c r="W2135" s="181"/>
      <c r="X2135" s="181"/>
      <c r="Y2135" s="181"/>
      <c r="Z2135" s="181"/>
    </row>
    <row r="2136">
      <c r="A2136" s="194"/>
      <c r="B2136" s="195"/>
      <c r="C2136" s="181"/>
      <c r="D2136" s="194"/>
      <c r="E2136" s="194"/>
      <c r="F2136" s="181"/>
      <c r="G2136" s="181"/>
      <c r="H2136" s="181"/>
      <c r="I2136" s="181"/>
      <c r="J2136" s="181"/>
      <c r="K2136" s="181"/>
      <c r="L2136" s="181"/>
      <c r="M2136" s="181"/>
      <c r="N2136" s="181"/>
      <c r="O2136" s="181"/>
      <c r="P2136" s="181"/>
      <c r="Q2136" s="181"/>
      <c r="R2136" s="181"/>
      <c r="S2136" s="181"/>
      <c r="T2136" s="181"/>
      <c r="U2136" s="181"/>
      <c r="V2136" s="181"/>
      <c r="W2136" s="181"/>
      <c r="X2136" s="181"/>
      <c r="Y2136" s="181"/>
      <c r="Z2136" s="181"/>
    </row>
    <row r="2137">
      <c r="A2137" s="194"/>
      <c r="B2137" s="195"/>
      <c r="C2137" s="181"/>
      <c r="D2137" s="194"/>
      <c r="E2137" s="194"/>
      <c r="F2137" s="181"/>
      <c r="G2137" s="181"/>
      <c r="H2137" s="181"/>
      <c r="I2137" s="181"/>
      <c r="J2137" s="181"/>
      <c r="K2137" s="181"/>
      <c r="L2137" s="181"/>
      <c r="M2137" s="181"/>
      <c r="N2137" s="181"/>
      <c r="O2137" s="181"/>
      <c r="P2137" s="181"/>
      <c r="Q2137" s="181"/>
      <c r="R2137" s="181"/>
      <c r="S2137" s="181"/>
      <c r="T2137" s="181"/>
      <c r="U2137" s="181"/>
      <c r="V2137" s="181"/>
      <c r="W2137" s="181"/>
      <c r="X2137" s="181"/>
      <c r="Y2137" s="181"/>
      <c r="Z2137" s="181"/>
    </row>
    <row r="2138">
      <c r="A2138" s="194"/>
      <c r="B2138" s="195"/>
      <c r="C2138" s="181"/>
      <c r="D2138" s="194"/>
      <c r="E2138" s="194"/>
      <c r="F2138" s="181"/>
      <c r="G2138" s="181"/>
      <c r="H2138" s="181"/>
      <c r="I2138" s="181"/>
      <c r="J2138" s="181"/>
      <c r="K2138" s="181"/>
      <c r="L2138" s="181"/>
      <c r="M2138" s="181"/>
      <c r="N2138" s="181"/>
      <c r="O2138" s="181"/>
      <c r="P2138" s="181"/>
      <c r="Q2138" s="181"/>
      <c r="R2138" s="181"/>
      <c r="S2138" s="181"/>
      <c r="T2138" s="181"/>
      <c r="U2138" s="181"/>
      <c r="V2138" s="181"/>
      <c r="W2138" s="181"/>
      <c r="X2138" s="181"/>
      <c r="Y2138" s="181"/>
      <c r="Z2138" s="181"/>
    </row>
    <row r="2139">
      <c r="A2139" s="194"/>
      <c r="B2139" s="195"/>
      <c r="C2139" s="181"/>
      <c r="D2139" s="194"/>
      <c r="E2139" s="194"/>
      <c r="F2139" s="181"/>
      <c r="G2139" s="181"/>
      <c r="H2139" s="181"/>
      <c r="I2139" s="181"/>
      <c r="J2139" s="181"/>
      <c r="K2139" s="181"/>
      <c r="L2139" s="181"/>
      <c r="M2139" s="181"/>
      <c r="N2139" s="181"/>
      <c r="O2139" s="181"/>
      <c r="P2139" s="181"/>
      <c r="Q2139" s="181"/>
      <c r="R2139" s="181"/>
      <c r="S2139" s="181"/>
      <c r="T2139" s="181"/>
      <c r="U2139" s="181"/>
      <c r="V2139" s="181"/>
      <c r="W2139" s="181"/>
      <c r="X2139" s="181"/>
      <c r="Y2139" s="181"/>
      <c r="Z2139" s="181"/>
    </row>
    <row r="2140">
      <c r="A2140" s="194"/>
      <c r="B2140" s="195"/>
      <c r="C2140" s="181"/>
      <c r="D2140" s="194"/>
      <c r="E2140" s="194"/>
      <c r="F2140" s="181"/>
      <c r="G2140" s="181"/>
      <c r="H2140" s="181"/>
      <c r="I2140" s="181"/>
      <c r="J2140" s="181"/>
      <c r="K2140" s="181"/>
      <c r="L2140" s="181"/>
      <c r="M2140" s="181"/>
      <c r="N2140" s="181"/>
      <c r="O2140" s="181"/>
      <c r="P2140" s="181"/>
      <c r="Q2140" s="181"/>
      <c r="R2140" s="181"/>
      <c r="S2140" s="181"/>
      <c r="T2140" s="181"/>
      <c r="U2140" s="181"/>
      <c r="V2140" s="181"/>
      <c r="W2140" s="181"/>
      <c r="X2140" s="181"/>
      <c r="Y2140" s="181"/>
      <c r="Z2140" s="181"/>
    </row>
    <row r="2141">
      <c r="A2141" s="194"/>
      <c r="B2141" s="195"/>
      <c r="C2141" s="181"/>
      <c r="D2141" s="194"/>
      <c r="E2141" s="194"/>
      <c r="F2141" s="181"/>
      <c r="G2141" s="181"/>
      <c r="H2141" s="181"/>
      <c r="I2141" s="181"/>
      <c r="J2141" s="181"/>
      <c r="K2141" s="181"/>
      <c r="L2141" s="181"/>
      <c r="M2141" s="181"/>
      <c r="N2141" s="181"/>
      <c r="O2141" s="181"/>
      <c r="P2141" s="181"/>
      <c r="Q2141" s="181"/>
      <c r="R2141" s="181"/>
      <c r="S2141" s="181"/>
      <c r="T2141" s="181"/>
      <c r="U2141" s="181"/>
      <c r="V2141" s="181"/>
      <c r="W2141" s="181"/>
      <c r="X2141" s="181"/>
      <c r="Y2141" s="181"/>
      <c r="Z2141" s="181"/>
    </row>
    <row r="2142">
      <c r="A2142" s="194"/>
      <c r="B2142" s="195"/>
      <c r="C2142" s="181"/>
      <c r="D2142" s="194"/>
      <c r="E2142" s="194"/>
      <c r="F2142" s="181"/>
      <c r="G2142" s="181"/>
      <c r="H2142" s="181"/>
      <c r="I2142" s="181"/>
      <c r="J2142" s="181"/>
      <c r="K2142" s="181"/>
      <c r="L2142" s="181"/>
      <c r="M2142" s="181"/>
      <c r="N2142" s="181"/>
      <c r="O2142" s="181"/>
      <c r="P2142" s="181"/>
      <c r="Q2142" s="181"/>
      <c r="R2142" s="181"/>
      <c r="S2142" s="181"/>
      <c r="T2142" s="181"/>
      <c r="U2142" s="181"/>
      <c r="V2142" s="181"/>
      <c r="W2142" s="181"/>
      <c r="X2142" s="181"/>
      <c r="Y2142" s="181"/>
      <c r="Z2142" s="181"/>
    </row>
    <row r="2143">
      <c r="A2143" s="194"/>
      <c r="B2143" s="195"/>
      <c r="C2143" s="181"/>
      <c r="D2143" s="194"/>
      <c r="E2143" s="194"/>
      <c r="F2143" s="181"/>
      <c r="G2143" s="181"/>
      <c r="H2143" s="181"/>
      <c r="I2143" s="181"/>
      <c r="J2143" s="181"/>
      <c r="K2143" s="181"/>
      <c r="L2143" s="181"/>
      <c r="M2143" s="181"/>
      <c r="N2143" s="181"/>
      <c r="O2143" s="181"/>
      <c r="P2143" s="181"/>
      <c r="Q2143" s="181"/>
      <c r="R2143" s="181"/>
      <c r="S2143" s="181"/>
      <c r="T2143" s="181"/>
      <c r="U2143" s="181"/>
      <c r="V2143" s="181"/>
      <c r="W2143" s="181"/>
      <c r="X2143" s="181"/>
      <c r="Y2143" s="181"/>
      <c r="Z2143" s="181"/>
    </row>
    <row r="2144">
      <c r="A2144" s="194"/>
      <c r="B2144" s="195"/>
      <c r="C2144" s="181"/>
      <c r="D2144" s="194"/>
      <c r="E2144" s="194"/>
      <c r="F2144" s="181"/>
      <c r="G2144" s="181"/>
      <c r="H2144" s="181"/>
      <c r="I2144" s="181"/>
      <c r="J2144" s="181"/>
      <c r="K2144" s="181"/>
      <c r="L2144" s="181"/>
      <c r="M2144" s="181"/>
      <c r="N2144" s="181"/>
      <c r="O2144" s="181"/>
      <c r="P2144" s="181"/>
      <c r="Q2144" s="181"/>
      <c r="R2144" s="181"/>
      <c r="S2144" s="181"/>
      <c r="T2144" s="181"/>
      <c r="U2144" s="181"/>
      <c r="V2144" s="181"/>
      <c r="W2144" s="181"/>
      <c r="X2144" s="181"/>
      <c r="Y2144" s="181"/>
      <c r="Z2144" s="181"/>
    </row>
    <row r="2145">
      <c r="A2145" s="194"/>
      <c r="B2145" s="195"/>
      <c r="C2145" s="181"/>
      <c r="D2145" s="194"/>
      <c r="E2145" s="194"/>
      <c r="F2145" s="181"/>
      <c r="G2145" s="181"/>
      <c r="H2145" s="181"/>
      <c r="I2145" s="181"/>
      <c r="J2145" s="181"/>
      <c r="K2145" s="181"/>
      <c r="L2145" s="181"/>
      <c r="M2145" s="181"/>
      <c r="N2145" s="181"/>
      <c r="O2145" s="181"/>
      <c r="P2145" s="181"/>
      <c r="Q2145" s="181"/>
      <c r="R2145" s="181"/>
      <c r="S2145" s="181"/>
      <c r="T2145" s="181"/>
      <c r="U2145" s="181"/>
      <c r="V2145" s="181"/>
      <c r="W2145" s="181"/>
      <c r="X2145" s="181"/>
      <c r="Y2145" s="181"/>
      <c r="Z2145" s="181"/>
    </row>
    <row r="2146">
      <c r="A2146" s="194"/>
      <c r="B2146" s="195"/>
      <c r="C2146" s="181"/>
      <c r="D2146" s="194"/>
      <c r="E2146" s="194"/>
      <c r="F2146" s="181"/>
      <c r="G2146" s="181"/>
      <c r="H2146" s="181"/>
      <c r="I2146" s="181"/>
      <c r="J2146" s="181"/>
      <c r="K2146" s="181"/>
      <c r="L2146" s="181"/>
      <c r="M2146" s="181"/>
      <c r="N2146" s="181"/>
      <c r="O2146" s="181"/>
      <c r="P2146" s="181"/>
      <c r="Q2146" s="181"/>
      <c r="R2146" s="181"/>
      <c r="S2146" s="181"/>
      <c r="T2146" s="181"/>
      <c r="U2146" s="181"/>
      <c r="V2146" s="181"/>
      <c r="W2146" s="181"/>
      <c r="X2146" s="181"/>
      <c r="Y2146" s="181"/>
      <c r="Z2146" s="181"/>
    </row>
    <row r="2147">
      <c r="A2147" s="194"/>
      <c r="B2147" s="195"/>
      <c r="C2147" s="181"/>
      <c r="D2147" s="194"/>
      <c r="E2147" s="194"/>
      <c r="F2147" s="181"/>
      <c r="G2147" s="181"/>
      <c r="H2147" s="181"/>
      <c r="I2147" s="181"/>
      <c r="J2147" s="181"/>
      <c r="K2147" s="181"/>
      <c r="L2147" s="181"/>
      <c r="M2147" s="181"/>
      <c r="N2147" s="181"/>
      <c r="O2147" s="181"/>
      <c r="P2147" s="181"/>
      <c r="Q2147" s="181"/>
      <c r="R2147" s="181"/>
      <c r="S2147" s="181"/>
      <c r="T2147" s="181"/>
      <c r="U2147" s="181"/>
      <c r="V2147" s="181"/>
      <c r="W2147" s="181"/>
      <c r="X2147" s="181"/>
      <c r="Y2147" s="181"/>
      <c r="Z2147" s="181"/>
    </row>
    <row r="2148">
      <c r="A2148" s="194"/>
      <c r="B2148" s="195"/>
      <c r="C2148" s="181"/>
      <c r="D2148" s="194"/>
      <c r="E2148" s="194"/>
      <c r="F2148" s="181"/>
      <c r="G2148" s="181"/>
      <c r="H2148" s="181"/>
      <c r="I2148" s="181"/>
      <c r="J2148" s="181"/>
      <c r="K2148" s="181"/>
      <c r="L2148" s="181"/>
      <c r="M2148" s="181"/>
      <c r="N2148" s="181"/>
      <c r="O2148" s="181"/>
      <c r="P2148" s="181"/>
      <c r="Q2148" s="181"/>
      <c r="R2148" s="181"/>
      <c r="S2148" s="181"/>
      <c r="T2148" s="181"/>
      <c r="U2148" s="181"/>
      <c r="V2148" s="181"/>
      <c r="W2148" s="181"/>
      <c r="X2148" s="181"/>
      <c r="Y2148" s="181"/>
      <c r="Z2148" s="181"/>
    </row>
    <row r="2149">
      <c r="A2149" s="194"/>
      <c r="B2149" s="195"/>
      <c r="C2149" s="181"/>
      <c r="D2149" s="194"/>
      <c r="E2149" s="194"/>
      <c r="F2149" s="181"/>
      <c r="G2149" s="181"/>
      <c r="H2149" s="181"/>
      <c r="I2149" s="181"/>
      <c r="J2149" s="181"/>
      <c r="K2149" s="181"/>
      <c r="L2149" s="181"/>
      <c r="M2149" s="181"/>
      <c r="N2149" s="181"/>
      <c r="O2149" s="181"/>
      <c r="P2149" s="181"/>
      <c r="Q2149" s="181"/>
      <c r="R2149" s="181"/>
      <c r="S2149" s="181"/>
      <c r="T2149" s="181"/>
      <c r="U2149" s="181"/>
      <c r="V2149" s="181"/>
      <c r="W2149" s="181"/>
      <c r="X2149" s="181"/>
      <c r="Y2149" s="181"/>
      <c r="Z2149" s="181"/>
    </row>
    <row r="2150">
      <c r="A2150" s="194"/>
      <c r="B2150" s="195"/>
      <c r="C2150" s="181"/>
      <c r="D2150" s="194"/>
      <c r="E2150" s="194"/>
      <c r="F2150" s="181"/>
      <c r="G2150" s="181"/>
      <c r="H2150" s="181"/>
      <c r="I2150" s="181"/>
      <c r="J2150" s="181"/>
      <c r="K2150" s="181"/>
      <c r="L2150" s="181"/>
      <c r="M2150" s="181"/>
      <c r="N2150" s="181"/>
      <c r="O2150" s="181"/>
      <c r="P2150" s="181"/>
      <c r="Q2150" s="181"/>
      <c r="R2150" s="181"/>
      <c r="S2150" s="181"/>
      <c r="T2150" s="181"/>
      <c r="U2150" s="181"/>
      <c r="V2150" s="181"/>
      <c r="W2150" s="181"/>
      <c r="X2150" s="181"/>
      <c r="Y2150" s="181"/>
      <c r="Z2150" s="181"/>
    </row>
    <row r="2151">
      <c r="A2151" s="194"/>
      <c r="B2151" s="195"/>
      <c r="C2151" s="181"/>
      <c r="D2151" s="194"/>
      <c r="E2151" s="194"/>
      <c r="F2151" s="181"/>
      <c r="G2151" s="181"/>
      <c r="H2151" s="181"/>
      <c r="I2151" s="181"/>
      <c r="J2151" s="181"/>
      <c r="K2151" s="181"/>
      <c r="L2151" s="181"/>
      <c r="M2151" s="181"/>
      <c r="N2151" s="181"/>
      <c r="O2151" s="181"/>
      <c r="P2151" s="181"/>
      <c r="Q2151" s="181"/>
      <c r="R2151" s="181"/>
      <c r="S2151" s="181"/>
      <c r="T2151" s="181"/>
      <c r="U2151" s="181"/>
      <c r="V2151" s="181"/>
      <c r="W2151" s="181"/>
      <c r="X2151" s="181"/>
      <c r="Y2151" s="181"/>
      <c r="Z2151" s="181"/>
    </row>
    <row r="2152">
      <c r="A2152" s="194"/>
      <c r="B2152" s="195"/>
      <c r="C2152" s="181"/>
      <c r="D2152" s="194"/>
      <c r="E2152" s="194"/>
      <c r="F2152" s="181"/>
      <c r="G2152" s="181"/>
      <c r="H2152" s="181"/>
      <c r="I2152" s="181"/>
      <c r="J2152" s="181"/>
      <c r="K2152" s="181"/>
      <c r="L2152" s="181"/>
      <c r="M2152" s="181"/>
      <c r="N2152" s="181"/>
      <c r="O2152" s="181"/>
      <c r="P2152" s="181"/>
      <c r="Q2152" s="181"/>
      <c r="R2152" s="181"/>
      <c r="S2152" s="181"/>
      <c r="T2152" s="181"/>
      <c r="U2152" s="181"/>
      <c r="V2152" s="181"/>
      <c r="W2152" s="181"/>
      <c r="X2152" s="181"/>
      <c r="Y2152" s="181"/>
      <c r="Z2152" s="181"/>
    </row>
    <row r="2153">
      <c r="A2153" s="194"/>
      <c r="B2153" s="195"/>
      <c r="C2153" s="181"/>
      <c r="D2153" s="194"/>
      <c r="E2153" s="194"/>
      <c r="F2153" s="181"/>
      <c r="G2153" s="181"/>
      <c r="H2153" s="181"/>
      <c r="I2153" s="181"/>
      <c r="J2153" s="181"/>
      <c r="K2153" s="181"/>
      <c r="L2153" s="181"/>
      <c r="M2153" s="181"/>
      <c r="N2153" s="181"/>
      <c r="O2153" s="181"/>
      <c r="P2153" s="181"/>
      <c r="Q2153" s="181"/>
      <c r="R2153" s="181"/>
      <c r="S2153" s="181"/>
      <c r="T2153" s="181"/>
      <c r="U2153" s="181"/>
      <c r="V2153" s="181"/>
      <c r="W2153" s="181"/>
      <c r="X2153" s="181"/>
      <c r="Y2153" s="181"/>
      <c r="Z2153" s="181"/>
    </row>
    <row r="2154">
      <c r="A2154" s="194"/>
      <c r="B2154" s="195"/>
      <c r="C2154" s="181"/>
      <c r="D2154" s="194"/>
      <c r="E2154" s="194"/>
      <c r="F2154" s="181"/>
      <c r="G2154" s="181"/>
      <c r="H2154" s="181"/>
      <c r="I2154" s="181"/>
      <c r="J2154" s="181"/>
      <c r="K2154" s="181"/>
      <c r="L2154" s="181"/>
      <c r="M2154" s="181"/>
      <c r="N2154" s="181"/>
      <c r="O2154" s="181"/>
      <c r="P2154" s="181"/>
      <c r="Q2154" s="181"/>
      <c r="R2154" s="181"/>
      <c r="S2154" s="181"/>
      <c r="T2154" s="181"/>
      <c r="U2154" s="181"/>
      <c r="V2154" s="181"/>
      <c r="W2154" s="181"/>
      <c r="X2154" s="181"/>
      <c r="Y2154" s="181"/>
      <c r="Z2154" s="181"/>
    </row>
    <row r="2155">
      <c r="A2155" s="194"/>
      <c r="B2155" s="195"/>
      <c r="C2155" s="181"/>
      <c r="D2155" s="194"/>
      <c r="E2155" s="194"/>
      <c r="F2155" s="181"/>
      <c r="G2155" s="181"/>
      <c r="H2155" s="181"/>
      <c r="I2155" s="181"/>
      <c r="J2155" s="181"/>
      <c r="K2155" s="181"/>
      <c r="L2155" s="181"/>
      <c r="M2155" s="181"/>
      <c r="N2155" s="181"/>
      <c r="O2155" s="181"/>
      <c r="P2155" s="181"/>
      <c r="Q2155" s="181"/>
      <c r="R2155" s="181"/>
      <c r="S2155" s="181"/>
      <c r="T2155" s="181"/>
      <c r="U2155" s="181"/>
      <c r="V2155" s="181"/>
      <c r="W2155" s="181"/>
      <c r="X2155" s="181"/>
      <c r="Y2155" s="181"/>
      <c r="Z2155" s="181"/>
    </row>
    <row r="2156">
      <c r="A2156" s="194"/>
      <c r="B2156" s="195"/>
      <c r="C2156" s="181"/>
      <c r="D2156" s="194"/>
      <c r="E2156" s="194"/>
      <c r="F2156" s="181"/>
      <c r="G2156" s="181"/>
      <c r="H2156" s="181"/>
      <c r="I2156" s="181"/>
      <c r="J2156" s="181"/>
      <c r="K2156" s="181"/>
      <c r="L2156" s="181"/>
      <c r="M2156" s="181"/>
      <c r="N2156" s="181"/>
      <c r="O2156" s="181"/>
      <c r="P2156" s="181"/>
      <c r="Q2156" s="181"/>
      <c r="R2156" s="181"/>
      <c r="S2156" s="181"/>
      <c r="T2156" s="181"/>
      <c r="U2156" s="181"/>
      <c r="V2156" s="181"/>
      <c r="W2156" s="181"/>
      <c r="X2156" s="181"/>
      <c r="Y2156" s="181"/>
      <c r="Z2156" s="181"/>
    </row>
    <row r="2157">
      <c r="A2157" s="194"/>
      <c r="B2157" s="195"/>
      <c r="C2157" s="181"/>
      <c r="D2157" s="194"/>
      <c r="E2157" s="194"/>
      <c r="F2157" s="181"/>
      <c r="G2157" s="181"/>
      <c r="H2157" s="181"/>
      <c r="I2157" s="181"/>
      <c r="J2157" s="181"/>
      <c r="K2157" s="181"/>
      <c r="L2157" s="181"/>
      <c r="M2157" s="181"/>
      <c r="N2157" s="181"/>
      <c r="O2157" s="181"/>
      <c r="P2157" s="181"/>
      <c r="Q2157" s="181"/>
      <c r="R2157" s="181"/>
      <c r="S2157" s="181"/>
      <c r="T2157" s="181"/>
      <c r="U2157" s="181"/>
      <c r="V2157" s="181"/>
      <c r="W2157" s="181"/>
      <c r="X2157" s="181"/>
      <c r="Y2157" s="181"/>
      <c r="Z2157" s="181"/>
    </row>
    <row r="2158">
      <c r="A2158" s="194"/>
      <c r="B2158" s="195"/>
      <c r="C2158" s="181"/>
      <c r="D2158" s="194"/>
      <c r="E2158" s="194"/>
      <c r="F2158" s="181"/>
      <c r="G2158" s="181"/>
      <c r="H2158" s="181"/>
      <c r="I2158" s="181"/>
      <c r="J2158" s="181"/>
      <c r="K2158" s="181"/>
      <c r="L2158" s="181"/>
      <c r="M2158" s="181"/>
      <c r="N2158" s="181"/>
      <c r="O2158" s="181"/>
      <c r="P2158" s="181"/>
      <c r="Q2158" s="181"/>
      <c r="R2158" s="181"/>
      <c r="S2158" s="181"/>
      <c r="T2158" s="181"/>
      <c r="U2158" s="181"/>
      <c r="V2158" s="181"/>
      <c r="W2158" s="181"/>
      <c r="X2158" s="181"/>
      <c r="Y2158" s="181"/>
      <c r="Z2158" s="181"/>
    </row>
    <row r="2159">
      <c r="A2159" s="194"/>
      <c r="B2159" s="195"/>
      <c r="C2159" s="181"/>
      <c r="D2159" s="194"/>
      <c r="E2159" s="194"/>
      <c r="F2159" s="181"/>
      <c r="G2159" s="181"/>
      <c r="H2159" s="181"/>
      <c r="I2159" s="181"/>
      <c r="J2159" s="181"/>
      <c r="K2159" s="181"/>
      <c r="L2159" s="181"/>
      <c r="M2159" s="181"/>
      <c r="N2159" s="181"/>
      <c r="O2159" s="181"/>
      <c r="P2159" s="181"/>
      <c r="Q2159" s="181"/>
      <c r="R2159" s="181"/>
      <c r="S2159" s="181"/>
      <c r="T2159" s="181"/>
      <c r="U2159" s="181"/>
      <c r="V2159" s="181"/>
      <c r="W2159" s="181"/>
      <c r="X2159" s="181"/>
      <c r="Y2159" s="181"/>
      <c r="Z2159" s="181"/>
    </row>
    <row r="2160">
      <c r="A2160" s="194"/>
      <c r="B2160" s="195"/>
      <c r="C2160" s="181"/>
      <c r="D2160" s="194"/>
      <c r="E2160" s="194"/>
      <c r="F2160" s="181"/>
      <c r="G2160" s="181"/>
      <c r="H2160" s="181"/>
      <c r="I2160" s="181"/>
      <c r="J2160" s="181"/>
      <c r="K2160" s="181"/>
      <c r="L2160" s="181"/>
      <c r="M2160" s="181"/>
      <c r="N2160" s="181"/>
      <c r="O2160" s="181"/>
      <c r="P2160" s="181"/>
      <c r="Q2160" s="181"/>
      <c r="R2160" s="181"/>
      <c r="S2160" s="181"/>
      <c r="T2160" s="181"/>
      <c r="U2160" s="181"/>
      <c r="V2160" s="181"/>
      <c r="W2160" s="181"/>
      <c r="X2160" s="181"/>
      <c r="Y2160" s="181"/>
      <c r="Z2160" s="181"/>
    </row>
    <row r="2161">
      <c r="A2161" s="194"/>
      <c r="B2161" s="195"/>
      <c r="C2161" s="181"/>
      <c r="D2161" s="194"/>
      <c r="E2161" s="194"/>
      <c r="F2161" s="181"/>
      <c r="G2161" s="181"/>
      <c r="H2161" s="181"/>
      <c r="I2161" s="181"/>
      <c r="J2161" s="181"/>
      <c r="K2161" s="181"/>
      <c r="L2161" s="181"/>
      <c r="M2161" s="181"/>
      <c r="N2161" s="181"/>
      <c r="O2161" s="181"/>
      <c r="P2161" s="181"/>
      <c r="Q2161" s="181"/>
      <c r="R2161" s="181"/>
      <c r="S2161" s="181"/>
      <c r="T2161" s="181"/>
      <c r="U2161" s="181"/>
      <c r="V2161" s="181"/>
      <c r="W2161" s="181"/>
      <c r="X2161" s="181"/>
      <c r="Y2161" s="181"/>
      <c r="Z2161" s="181"/>
    </row>
    <row r="2162">
      <c r="A2162" s="194"/>
      <c r="B2162" s="195"/>
      <c r="C2162" s="181"/>
      <c r="D2162" s="194"/>
      <c r="E2162" s="194"/>
      <c r="F2162" s="181"/>
      <c r="G2162" s="181"/>
      <c r="H2162" s="181"/>
      <c r="I2162" s="181"/>
      <c r="J2162" s="181"/>
      <c r="K2162" s="181"/>
      <c r="L2162" s="181"/>
      <c r="M2162" s="181"/>
      <c r="N2162" s="181"/>
      <c r="O2162" s="181"/>
      <c r="P2162" s="181"/>
      <c r="Q2162" s="181"/>
      <c r="R2162" s="181"/>
      <c r="S2162" s="181"/>
      <c r="T2162" s="181"/>
      <c r="U2162" s="181"/>
      <c r="V2162" s="181"/>
      <c r="W2162" s="181"/>
      <c r="X2162" s="181"/>
      <c r="Y2162" s="181"/>
      <c r="Z2162" s="181"/>
    </row>
    <row r="2163">
      <c r="A2163" s="194"/>
      <c r="B2163" s="195"/>
      <c r="C2163" s="181"/>
      <c r="D2163" s="194"/>
      <c r="E2163" s="194"/>
      <c r="F2163" s="181"/>
      <c r="G2163" s="181"/>
      <c r="H2163" s="181"/>
      <c r="I2163" s="181"/>
      <c r="J2163" s="181"/>
      <c r="K2163" s="181"/>
      <c r="L2163" s="181"/>
      <c r="M2163" s="181"/>
      <c r="N2163" s="181"/>
      <c r="O2163" s="181"/>
      <c r="P2163" s="181"/>
      <c r="Q2163" s="181"/>
      <c r="R2163" s="181"/>
      <c r="S2163" s="181"/>
      <c r="T2163" s="181"/>
      <c r="U2163" s="181"/>
      <c r="V2163" s="181"/>
      <c r="W2163" s="181"/>
      <c r="X2163" s="181"/>
      <c r="Y2163" s="181"/>
      <c r="Z2163" s="181"/>
    </row>
    <row r="2164">
      <c r="A2164" s="194"/>
      <c r="B2164" s="195"/>
      <c r="C2164" s="181"/>
      <c r="D2164" s="194"/>
      <c r="E2164" s="194"/>
      <c r="F2164" s="181"/>
      <c r="G2164" s="181"/>
      <c r="H2164" s="181"/>
      <c r="I2164" s="181"/>
      <c r="J2164" s="181"/>
      <c r="K2164" s="181"/>
      <c r="L2164" s="181"/>
      <c r="M2164" s="181"/>
      <c r="N2164" s="181"/>
      <c r="O2164" s="181"/>
      <c r="P2164" s="181"/>
      <c r="Q2164" s="181"/>
      <c r="R2164" s="181"/>
      <c r="S2164" s="181"/>
      <c r="T2164" s="181"/>
      <c r="U2164" s="181"/>
      <c r="V2164" s="181"/>
      <c r="W2164" s="181"/>
      <c r="X2164" s="181"/>
      <c r="Y2164" s="181"/>
      <c r="Z2164" s="181"/>
    </row>
    <row r="2165">
      <c r="A2165" s="194"/>
      <c r="B2165" s="195"/>
      <c r="C2165" s="181"/>
      <c r="D2165" s="194"/>
      <c r="E2165" s="194"/>
      <c r="F2165" s="181"/>
      <c r="G2165" s="181"/>
      <c r="H2165" s="181"/>
      <c r="I2165" s="181"/>
      <c r="J2165" s="181"/>
      <c r="K2165" s="181"/>
      <c r="L2165" s="181"/>
      <c r="M2165" s="181"/>
      <c r="N2165" s="181"/>
      <c r="O2165" s="181"/>
      <c r="P2165" s="181"/>
      <c r="Q2165" s="181"/>
      <c r="R2165" s="181"/>
      <c r="S2165" s="181"/>
      <c r="T2165" s="181"/>
      <c r="U2165" s="181"/>
      <c r="V2165" s="181"/>
      <c r="W2165" s="181"/>
      <c r="X2165" s="181"/>
      <c r="Y2165" s="181"/>
      <c r="Z2165" s="181"/>
    </row>
    <row r="2166">
      <c r="A2166" s="194"/>
      <c r="B2166" s="195"/>
      <c r="C2166" s="181"/>
      <c r="D2166" s="194"/>
      <c r="E2166" s="194"/>
      <c r="F2166" s="181"/>
      <c r="G2166" s="181"/>
      <c r="H2166" s="181"/>
      <c r="I2166" s="181"/>
      <c r="J2166" s="181"/>
      <c r="K2166" s="181"/>
      <c r="L2166" s="181"/>
      <c r="M2166" s="181"/>
      <c r="N2166" s="181"/>
      <c r="O2166" s="181"/>
      <c r="P2166" s="181"/>
      <c r="Q2166" s="181"/>
      <c r="R2166" s="181"/>
      <c r="S2166" s="181"/>
      <c r="T2166" s="181"/>
      <c r="U2166" s="181"/>
      <c r="V2166" s="181"/>
      <c r="W2166" s="181"/>
      <c r="X2166" s="181"/>
      <c r="Y2166" s="181"/>
      <c r="Z2166" s="181"/>
    </row>
    <row r="2167">
      <c r="A2167" s="194"/>
      <c r="B2167" s="195"/>
      <c r="C2167" s="181"/>
      <c r="D2167" s="194"/>
      <c r="E2167" s="194"/>
      <c r="F2167" s="181"/>
      <c r="G2167" s="181"/>
      <c r="H2167" s="181"/>
      <c r="I2167" s="181"/>
      <c r="J2167" s="181"/>
      <c r="K2167" s="181"/>
      <c r="L2167" s="181"/>
      <c r="M2167" s="181"/>
      <c r="N2167" s="181"/>
      <c r="O2167" s="181"/>
      <c r="P2167" s="181"/>
      <c r="Q2167" s="181"/>
      <c r="R2167" s="181"/>
      <c r="S2167" s="181"/>
      <c r="T2167" s="181"/>
      <c r="U2167" s="181"/>
      <c r="V2167" s="181"/>
      <c r="W2167" s="181"/>
      <c r="X2167" s="181"/>
      <c r="Y2167" s="181"/>
      <c r="Z2167" s="181"/>
    </row>
    <row r="2168">
      <c r="A2168" s="194"/>
      <c r="B2168" s="195"/>
      <c r="C2168" s="181"/>
      <c r="D2168" s="194"/>
      <c r="E2168" s="194"/>
      <c r="F2168" s="181"/>
      <c r="G2168" s="181"/>
      <c r="H2168" s="181"/>
      <c r="I2168" s="181"/>
      <c r="J2168" s="181"/>
      <c r="K2168" s="181"/>
      <c r="L2168" s="181"/>
      <c r="M2168" s="181"/>
      <c r="N2168" s="181"/>
      <c r="O2168" s="181"/>
      <c r="P2168" s="181"/>
      <c r="Q2168" s="181"/>
      <c r="R2168" s="181"/>
      <c r="S2168" s="181"/>
      <c r="T2168" s="181"/>
      <c r="U2168" s="181"/>
      <c r="V2168" s="181"/>
      <c r="W2168" s="181"/>
      <c r="X2168" s="181"/>
      <c r="Y2168" s="181"/>
      <c r="Z2168" s="181"/>
    </row>
    <row r="2169">
      <c r="A2169" s="194"/>
      <c r="B2169" s="195"/>
      <c r="C2169" s="181"/>
      <c r="D2169" s="194"/>
      <c r="E2169" s="194"/>
      <c r="F2169" s="181"/>
      <c r="G2169" s="181"/>
      <c r="H2169" s="181"/>
      <c r="I2169" s="181"/>
      <c r="J2169" s="181"/>
      <c r="K2169" s="181"/>
      <c r="L2169" s="181"/>
      <c r="M2169" s="181"/>
      <c r="N2169" s="181"/>
      <c r="O2169" s="181"/>
      <c r="P2169" s="181"/>
      <c r="Q2169" s="181"/>
      <c r="R2169" s="181"/>
      <c r="S2169" s="181"/>
      <c r="T2169" s="181"/>
      <c r="U2169" s="181"/>
      <c r="V2169" s="181"/>
      <c r="W2169" s="181"/>
      <c r="X2169" s="181"/>
      <c r="Y2169" s="181"/>
      <c r="Z2169" s="181"/>
    </row>
    <row r="2170">
      <c r="A2170" s="194"/>
      <c r="B2170" s="195"/>
      <c r="C2170" s="181"/>
      <c r="D2170" s="194"/>
      <c r="E2170" s="194"/>
      <c r="F2170" s="181"/>
      <c r="G2170" s="181"/>
      <c r="H2170" s="181"/>
      <c r="I2170" s="181"/>
      <c r="J2170" s="181"/>
      <c r="K2170" s="181"/>
      <c r="L2170" s="181"/>
      <c r="M2170" s="181"/>
      <c r="N2170" s="181"/>
      <c r="O2170" s="181"/>
      <c r="P2170" s="181"/>
      <c r="Q2170" s="181"/>
      <c r="R2170" s="181"/>
      <c r="S2170" s="181"/>
      <c r="T2170" s="181"/>
      <c r="U2170" s="181"/>
      <c r="V2170" s="181"/>
      <c r="W2170" s="181"/>
      <c r="X2170" s="181"/>
      <c r="Y2170" s="181"/>
      <c r="Z2170" s="181"/>
    </row>
    <row r="2171">
      <c r="A2171" s="194"/>
      <c r="B2171" s="195"/>
      <c r="C2171" s="181"/>
      <c r="D2171" s="194"/>
      <c r="E2171" s="194"/>
      <c r="F2171" s="181"/>
      <c r="G2171" s="181"/>
      <c r="H2171" s="181"/>
      <c r="I2171" s="181"/>
      <c r="J2171" s="181"/>
      <c r="K2171" s="181"/>
      <c r="L2171" s="181"/>
      <c r="M2171" s="181"/>
      <c r="N2171" s="181"/>
      <c r="O2171" s="181"/>
      <c r="P2171" s="181"/>
      <c r="Q2171" s="181"/>
      <c r="R2171" s="181"/>
      <c r="S2171" s="181"/>
      <c r="T2171" s="181"/>
      <c r="U2171" s="181"/>
      <c r="V2171" s="181"/>
      <c r="W2171" s="181"/>
      <c r="X2171" s="181"/>
      <c r="Y2171" s="181"/>
      <c r="Z2171" s="181"/>
    </row>
    <row r="2172">
      <c r="A2172" s="194"/>
      <c r="B2172" s="195"/>
      <c r="C2172" s="181"/>
      <c r="D2172" s="194"/>
      <c r="E2172" s="194"/>
      <c r="F2172" s="181"/>
      <c r="G2172" s="181"/>
      <c r="H2172" s="181"/>
      <c r="I2172" s="181"/>
      <c r="J2172" s="181"/>
      <c r="K2172" s="181"/>
      <c r="L2172" s="181"/>
      <c r="M2172" s="181"/>
      <c r="N2172" s="181"/>
      <c r="O2172" s="181"/>
      <c r="P2172" s="181"/>
      <c r="Q2172" s="181"/>
      <c r="R2172" s="181"/>
      <c r="S2172" s="181"/>
      <c r="T2172" s="181"/>
      <c r="U2172" s="181"/>
      <c r="V2172" s="181"/>
      <c r="W2172" s="181"/>
      <c r="X2172" s="181"/>
      <c r="Y2172" s="181"/>
      <c r="Z2172" s="181"/>
    </row>
    <row r="2173">
      <c r="A2173" s="194"/>
      <c r="B2173" s="195"/>
      <c r="C2173" s="181"/>
      <c r="D2173" s="194"/>
      <c r="E2173" s="194"/>
      <c r="F2173" s="181"/>
      <c r="G2173" s="181"/>
      <c r="H2173" s="181"/>
      <c r="I2173" s="181"/>
      <c r="J2173" s="181"/>
      <c r="K2173" s="181"/>
      <c r="L2173" s="181"/>
      <c r="M2173" s="181"/>
      <c r="N2173" s="181"/>
      <c r="O2173" s="181"/>
      <c r="P2173" s="181"/>
      <c r="Q2173" s="181"/>
      <c r="R2173" s="181"/>
      <c r="S2173" s="181"/>
      <c r="T2173" s="181"/>
      <c r="U2173" s="181"/>
      <c r="V2173" s="181"/>
      <c r="W2173" s="181"/>
      <c r="X2173" s="181"/>
      <c r="Y2173" s="181"/>
      <c r="Z2173" s="181"/>
    </row>
    <row r="2174">
      <c r="A2174" s="194"/>
      <c r="B2174" s="195"/>
      <c r="C2174" s="181"/>
      <c r="D2174" s="194"/>
      <c r="E2174" s="194"/>
      <c r="F2174" s="181"/>
      <c r="G2174" s="181"/>
      <c r="H2174" s="181"/>
      <c r="I2174" s="181"/>
      <c r="J2174" s="181"/>
      <c r="K2174" s="181"/>
      <c r="L2174" s="181"/>
      <c r="M2174" s="181"/>
      <c r="N2174" s="181"/>
      <c r="O2174" s="181"/>
      <c r="P2174" s="181"/>
      <c r="Q2174" s="181"/>
      <c r="R2174" s="181"/>
      <c r="S2174" s="181"/>
      <c r="T2174" s="181"/>
      <c r="U2174" s="181"/>
      <c r="V2174" s="181"/>
      <c r="W2174" s="181"/>
      <c r="X2174" s="181"/>
      <c r="Y2174" s="181"/>
      <c r="Z2174" s="181"/>
    </row>
    <row r="2175">
      <c r="A2175" s="194"/>
      <c r="B2175" s="195"/>
      <c r="C2175" s="181"/>
      <c r="D2175" s="194"/>
      <c r="E2175" s="194"/>
      <c r="F2175" s="181"/>
      <c r="G2175" s="181"/>
      <c r="H2175" s="181"/>
      <c r="I2175" s="181"/>
      <c r="J2175" s="181"/>
      <c r="K2175" s="181"/>
      <c r="L2175" s="181"/>
      <c r="M2175" s="181"/>
      <c r="N2175" s="181"/>
      <c r="O2175" s="181"/>
      <c r="P2175" s="181"/>
      <c r="Q2175" s="181"/>
      <c r="R2175" s="181"/>
      <c r="S2175" s="181"/>
      <c r="T2175" s="181"/>
      <c r="U2175" s="181"/>
      <c r="V2175" s="181"/>
      <c r="W2175" s="181"/>
      <c r="X2175" s="181"/>
      <c r="Y2175" s="181"/>
      <c r="Z2175" s="181"/>
    </row>
    <row r="2176">
      <c r="A2176" s="194"/>
      <c r="B2176" s="195"/>
      <c r="C2176" s="181"/>
      <c r="D2176" s="194"/>
      <c r="E2176" s="194"/>
      <c r="F2176" s="181"/>
      <c r="G2176" s="181"/>
      <c r="H2176" s="181"/>
      <c r="I2176" s="181"/>
      <c r="J2176" s="181"/>
      <c r="K2176" s="181"/>
      <c r="L2176" s="181"/>
      <c r="M2176" s="181"/>
      <c r="N2176" s="181"/>
      <c r="O2176" s="181"/>
      <c r="P2176" s="181"/>
      <c r="Q2176" s="181"/>
      <c r="R2176" s="181"/>
      <c r="S2176" s="181"/>
      <c r="T2176" s="181"/>
      <c r="U2176" s="181"/>
      <c r="V2176" s="181"/>
      <c r="W2176" s="181"/>
      <c r="X2176" s="181"/>
      <c r="Y2176" s="181"/>
      <c r="Z2176" s="181"/>
    </row>
    <row r="2177">
      <c r="A2177" s="194"/>
      <c r="B2177" s="195"/>
      <c r="C2177" s="181"/>
      <c r="D2177" s="194"/>
      <c r="E2177" s="194"/>
      <c r="F2177" s="181"/>
      <c r="G2177" s="181"/>
      <c r="H2177" s="181"/>
      <c r="I2177" s="181"/>
      <c r="J2177" s="181"/>
      <c r="K2177" s="181"/>
      <c r="L2177" s="181"/>
      <c r="M2177" s="181"/>
      <c r="N2177" s="181"/>
      <c r="O2177" s="181"/>
      <c r="P2177" s="181"/>
      <c r="Q2177" s="181"/>
      <c r="R2177" s="181"/>
      <c r="S2177" s="181"/>
      <c r="T2177" s="181"/>
      <c r="U2177" s="181"/>
      <c r="V2177" s="181"/>
      <c r="W2177" s="181"/>
      <c r="X2177" s="181"/>
      <c r="Y2177" s="181"/>
      <c r="Z2177" s="181"/>
    </row>
    <row r="2178">
      <c r="A2178" s="194"/>
      <c r="B2178" s="195"/>
      <c r="C2178" s="181"/>
      <c r="D2178" s="194"/>
      <c r="E2178" s="194"/>
      <c r="F2178" s="181"/>
      <c r="G2178" s="181"/>
      <c r="H2178" s="181"/>
      <c r="I2178" s="181"/>
      <c r="J2178" s="181"/>
      <c r="K2178" s="181"/>
      <c r="L2178" s="181"/>
      <c r="M2178" s="181"/>
      <c r="N2178" s="181"/>
      <c r="O2178" s="181"/>
      <c r="P2178" s="181"/>
      <c r="Q2178" s="181"/>
      <c r="R2178" s="181"/>
      <c r="S2178" s="181"/>
      <c r="T2178" s="181"/>
      <c r="U2178" s="181"/>
      <c r="V2178" s="181"/>
      <c r="W2178" s="181"/>
      <c r="X2178" s="181"/>
      <c r="Y2178" s="181"/>
      <c r="Z2178" s="181"/>
    </row>
    <row r="2179">
      <c r="A2179" s="194"/>
      <c r="B2179" s="195"/>
      <c r="C2179" s="181"/>
      <c r="D2179" s="194"/>
      <c r="E2179" s="194"/>
      <c r="F2179" s="181"/>
      <c r="G2179" s="181"/>
      <c r="H2179" s="181"/>
      <c r="I2179" s="181"/>
      <c r="J2179" s="181"/>
      <c r="K2179" s="181"/>
      <c r="L2179" s="181"/>
      <c r="M2179" s="181"/>
      <c r="N2179" s="181"/>
      <c r="O2179" s="181"/>
      <c r="P2179" s="181"/>
      <c r="Q2179" s="181"/>
      <c r="R2179" s="181"/>
      <c r="S2179" s="181"/>
      <c r="T2179" s="181"/>
      <c r="U2179" s="181"/>
      <c r="V2179" s="181"/>
      <c r="W2179" s="181"/>
      <c r="X2179" s="181"/>
      <c r="Y2179" s="181"/>
      <c r="Z2179" s="181"/>
    </row>
    <row r="2180">
      <c r="A2180" s="194"/>
      <c r="B2180" s="195"/>
      <c r="C2180" s="181"/>
      <c r="D2180" s="194"/>
      <c r="E2180" s="194"/>
      <c r="F2180" s="181"/>
      <c r="G2180" s="181"/>
      <c r="H2180" s="181"/>
      <c r="I2180" s="181"/>
      <c r="J2180" s="181"/>
      <c r="K2180" s="181"/>
      <c r="L2180" s="181"/>
      <c r="M2180" s="181"/>
      <c r="N2180" s="181"/>
      <c r="O2180" s="181"/>
      <c r="P2180" s="181"/>
      <c r="Q2180" s="181"/>
      <c r="R2180" s="181"/>
      <c r="S2180" s="181"/>
      <c r="T2180" s="181"/>
      <c r="U2180" s="181"/>
      <c r="V2180" s="181"/>
      <c r="W2180" s="181"/>
      <c r="X2180" s="181"/>
      <c r="Y2180" s="181"/>
      <c r="Z2180" s="181"/>
    </row>
    <row r="2181">
      <c r="A2181" s="194"/>
      <c r="B2181" s="195"/>
      <c r="C2181" s="181"/>
      <c r="D2181" s="194"/>
      <c r="E2181" s="194"/>
      <c r="F2181" s="181"/>
      <c r="G2181" s="181"/>
      <c r="H2181" s="181"/>
      <c r="I2181" s="181"/>
      <c r="J2181" s="181"/>
      <c r="K2181" s="181"/>
      <c r="L2181" s="181"/>
      <c r="M2181" s="181"/>
      <c r="N2181" s="181"/>
      <c r="O2181" s="181"/>
      <c r="P2181" s="181"/>
      <c r="Q2181" s="181"/>
      <c r="R2181" s="181"/>
      <c r="S2181" s="181"/>
      <c r="T2181" s="181"/>
      <c r="U2181" s="181"/>
      <c r="V2181" s="181"/>
      <c r="W2181" s="181"/>
      <c r="X2181" s="181"/>
      <c r="Y2181" s="181"/>
      <c r="Z2181" s="181"/>
    </row>
    <row r="2182">
      <c r="A2182" s="194"/>
      <c r="B2182" s="195"/>
      <c r="C2182" s="181"/>
      <c r="D2182" s="194"/>
      <c r="E2182" s="194"/>
      <c r="F2182" s="181"/>
      <c r="G2182" s="181"/>
      <c r="H2182" s="181"/>
      <c r="I2182" s="181"/>
      <c r="J2182" s="181"/>
      <c r="K2182" s="181"/>
      <c r="L2182" s="181"/>
      <c r="M2182" s="181"/>
      <c r="N2182" s="181"/>
      <c r="O2182" s="181"/>
      <c r="P2182" s="181"/>
      <c r="Q2182" s="181"/>
      <c r="R2182" s="181"/>
      <c r="S2182" s="181"/>
      <c r="T2182" s="181"/>
      <c r="U2182" s="181"/>
      <c r="V2182" s="181"/>
      <c r="W2182" s="181"/>
      <c r="X2182" s="181"/>
      <c r="Y2182" s="181"/>
      <c r="Z2182" s="181"/>
    </row>
    <row r="2183">
      <c r="A2183" s="194"/>
      <c r="B2183" s="195"/>
      <c r="C2183" s="181"/>
      <c r="D2183" s="194"/>
      <c r="E2183" s="194"/>
      <c r="F2183" s="181"/>
      <c r="G2183" s="181"/>
      <c r="H2183" s="181"/>
      <c r="I2183" s="181"/>
      <c r="J2183" s="181"/>
      <c r="K2183" s="181"/>
      <c r="L2183" s="181"/>
      <c r="M2183" s="181"/>
      <c r="N2183" s="181"/>
      <c r="O2183" s="181"/>
      <c r="P2183" s="181"/>
      <c r="Q2183" s="181"/>
      <c r="R2183" s="181"/>
      <c r="S2183" s="181"/>
      <c r="T2183" s="181"/>
      <c r="U2183" s="181"/>
      <c r="V2183" s="181"/>
      <c r="W2183" s="181"/>
      <c r="X2183" s="181"/>
      <c r="Y2183" s="181"/>
      <c r="Z2183" s="181"/>
    </row>
    <row r="2184">
      <c r="A2184" s="194"/>
      <c r="B2184" s="195"/>
      <c r="C2184" s="181"/>
      <c r="D2184" s="194"/>
      <c r="E2184" s="194"/>
      <c r="F2184" s="181"/>
      <c r="G2184" s="181"/>
      <c r="H2184" s="181"/>
      <c r="I2184" s="181"/>
      <c r="J2184" s="181"/>
      <c r="K2184" s="181"/>
      <c r="L2184" s="181"/>
      <c r="M2184" s="181"/>
      <c r="N2184" s="181"/>
      <c r="O2184" s="181"/>
      <c r="P2184" s="181"/>
      <c r="Q2184" s="181"/>
      <c r="R2184" s="181"/>
      <c r="S2184" s="181"/>
      <c r="T2184" s="181"/>
      <c r="U2184" s="181"/>
      <c r="V2184" s="181"/>
      <c r="W2184" s="181"/>
      <c r="X2184" s="181"/>
      <c r="Y2184" s="181"/>
      <c r="Z2184" s="181"/>
    </row>
    <row r="2185">
      <c r="A2185" s="194"/>
      <c r="B2185" s="195"/>
      <c r="C2185" s="181"/>
      <c r="D2185" s="194"/>
      <c r="E2185" s="194"/>
      <c r="F2185" s="181"/>
      <c r="G2185" s="181"/>
      <c r="H2185" s="181"/>
      <c r="I2185" s="181"/>
      <c r="J2185" s="181"/>
      <c r="K2185" s="181"/>
      <c r="L2185" s="181"/>
      <c r="M2185" s="181"/>
      <c r="N2185" s="181"/>
      <c r="O2185" s="181"/>
      <c r="P2185" s="181"/>
      <c r="Q2185" s="181"/>
      <c r="R2185" s="181"/>
      <c r="S2185" s="181"/>
      <c r="T2185" s="181"/>
      <c r="U2185" s="181"/>
      <c r="V2185" s="181"/>
      <c r="W2185" s="181"/>
      <c r="X2185" s="181"/>
      <c r="Y2185" s="181"/>
      <c r="Z2185" s="181"/>
    </row>
    <row r="2186">
      <c r="A2186" s="194"/>
      <c r="B2186" s="195"/>
      <c r="C2186" s="181"/>
      <c r="D2186" s="194"/>
      <c r="E2186" s="194"/>
      <c r="F2186" s="181"/>
      <c r="G2186" s="181"/>
      <c r="H2186" s="181"/>
      <c r="I2186" s="181"/>
      <c r="J2186" s="181"/>
      <c r="K2186" s="181"/>
      <c r="L2186" s="181"/>
      <c r="M2186" s="181"/>
      <c r="N2186" s="181"/>
      <c r="O2186" s="181"/>
      <c r="P2186" s="181"/>
      <c r="Q2186" s="181"/>
      <c r="R2186" s="181"/>
      <c r="S2186" s="181"/>
      <c r="T2186" s="181"/>
      <c r="U2186" s="181"/>
      <c r="V2186" s="181"/>
      <c r="W2186" s="181"/>
      <c r="X2186" s="181"/>
      <c r="Y2186" s="181"/>
      <c r="Z2186" s="181"/>
    </row>
    <row r="2187">
      <c r="A2187" s="194"/>
      <c r="B2187" s="195"/>
      <c r="C2187" s="181"/>
      <c r="D2187" s="194"/>
      <c r="E2187" s="194"/>
      <c r="F2187" s="181"/>
      <c r="G2187" s="181"/>
      <c r="H2187" s="181"/>
      <c r="I2187" s="181"/>
      <c r="J2187" s="181"/>
      <c r="K2187" s="181"/>
      <c r="L2187" s="181"/>
      <c r="M2187" s="181"/>
      <c r="N2187" s="181"/>
      <c r="O2187" s="181"/>
      <c r="P2187" s="181"/>
      <c r="Q2187" s="181"/>
      <c r="R2187" s="181"/>
      <c r="S2187" s="181"/>
      <c r="T2187" s="181"/>
      <c r="U2187" s="181"/>
      <c r="V2187" s="181"/>
      <c r="W2187" s="181"/>
      <c r="X2187" s="181"/>
      <c r="Y2187" s="181"/>
      <c r="Z2187" s="181"/>
    </row>
    <row r="2188">
      <c r="A2188" s="194"/>
      <c r="B2188" s="195"/>
      <c r="C2188" s="181"/>
      <c r="D2188" s="194"/>
      <c r="E2188" s="194"/>
      <c r="F2188" s="181"/>
      <c r="G2188" s="181"/>
      <c r="H2188" s="181"/>
      <c r="I2188" s="181"/>
      <c r="J2188" s="181"/>
      <c r="K2188" s="181"/>
      <c r="L2188" s="181"/>
      <c r="M2188" s="181"/>
      <c r="N2188" s="181"/>
      <c r="O2188" s="181"/>
      <c r="P2188" s="181"/>
      <c r="Q2188" s="181"/>
      <c r="R2188" s="181"/>
      <c r="S2188" s="181"/>
      <c r="T2188" s="181"/>
      <c r="U2188" s="181"/>
      <c r="V2188" s="181"/>
      <c r="W2188" s="181"/>
      <c r="X2188" s="181"/>
      <c r="Y2188" s="181"/>
      <c r="Z2188" s="181"/>
    </row>
    <row r="2189">
      <c r="A2189" s="194"/>
      <c r="B2189" s="195"/>
      <c r="C2189" s="181"/>
      <c r="D2189" s="194"/>
      <c r="E2189" s="194"/>
      <c r="F2189" s="181"/>
      <c r="G2189" s="181"/>
      <c r="H2189" s="181"/>
      <c r="I2189" s="181"/>
      <c r="J2189" s="181"/>
      <c r="K2189" s="181"/>
      <c r="L2189" s="181"/>
      <c r="M2189" s="181"/>
      <c r="N2189" s="181"/>
      <c r="O2189" s="181"/>
      <c r="P2189" s="181"/>
      <c r="Q2189" s="181"/>
      <c r="R2189" s="181"/>
      <c r="S2189" s="181"/>
      <c r="T2189" s="181"/>
      <c r="U2189" s="181"/>
      <c r="V2189" s="181"/>
      <c r="W2189" s="181"/>
      <c r="X2189" s="181"/>
      <c r="Y2189" s="181"/>
      <c r="Z2189" s="181"/>
    </row>
    <row r="2190">
      <c r="A2190" s="194"/>
      <c r="B2190" s="195"/>
      <c r="C2190" s="181"/>
      <c r="D2190" s="194"/>
      <c r="E2190" s="194"/>
      <c r="F2190" s="181"/>
      <c r="G2190" s="181"/>
      <c r="H2190" s="181"/>
      <c r="I2190" s="181"/>
      <c r="J2190" s="181"/>
      <c r="K2190" s="181"/>
      <c r="L2190" s="181"/>
      <c r="M2190" s="181"/>
      <c r="N2190" s="181"/>
      <c r="O2190" s="181"/>
      <c r="P2190" s="181"/>
      <c r="Q2190" s="181"/>
      <c r="R2190" s="181"/>
      <c r="S2190" s="181"/>
      <c r="T2190" s="181"/>
      <c r="U2190" s="181"/>
      <c r="V2190" s="181"/>
      <c r="W2190" s="181"/>
      <c r="X2190" s="181"/>
      <c r="Y2190" s="181"/>
      <c r="Z2190" s="181"/>
    </row>
    <row r="2191">
      <c r="A2191" s="194"/>
      <c r="B2191" s="195"/>
      <c r="C2191" s="181"/>
      <c r="D2191" s="194"/>
      <c r="E2191" s="194"/>
      <c r="F2191" s="181"/>
      <c r="G2191" s="181"/>
      <c r="H2191" s="181"/>
      <c r="I2191" s="181"/>
      <c r="J2191" s="181"/>
      <c r="K2191" s="181"/>
      <c r="L2191" s="181"/>
      <c r="M2191" s="181"/>
      <c r="N2191" s="181"/>
      <c r="O2191" s="181"/>
      <c r="P2191" s="181"/>
      <c r="Q2191" s="181"/>
      <c r="R2191" s="181"/>
      <c r="S2191" s="181"/>
      <c r="T2191" s="181"/>
      <c r="U2191" s="181"/>
      <c r="V2191" s="181"/>
      <c r="W2191" s="181"/>
      <c r="X2191" s="181"/>
      <c r="Y2191" s="181"/>
      <c r="Z2191" s="181"/>
    </row>
    <row r="2192">
      <c r="A2192" s="194"/>
      <c r="B2192" s="195"/>
      <c r="C2192" s="181"/>
      <c r="D2192" s="194"/>
      <c r="E2192" s="194"/>
      <c r="F2192" s="181"/>
      <c r="G2192" s="181"/>
      <c r="H2192" s="181"/>
      <c r="I2192" s="181"/>
      <c r="J2192" s="181"/>
      <c r="K2192" s="181"/>
      <c r="L2192" s="181"/>
      <c r="M2192" s="181"/>
      <c r="N2192" s="181"/>
      <c r="O2192" s="181"/>
      <c r="P2192" s="181"/>
      <c r="Q2192" s="181"/>
      <c r="R2192" s="181"/>
      <c r="S2192" s="181"/>
      <c r="T2192" s="181"/>
      <c r="U2192" s="181"/>
      <c r="V2192" s="181"/>
      <c r="W2192" s="181"/>
      <c r="X2192" s="181"/>
      <c r="Y2192" s="181"/>
      <c r="Z2192" s="181"/>
    </row>
    <row r="2193">
      <c r="A2193" s="194"/>
      <c r="B2193" s="195"/>
      <c r="C2193" s="181"/>
      <c r="D2193" s="194"/>
      <c r="E2193" s="194"/>
      <c r="F2193" s="181"/>
      <c r="G2193" s="181"/>
      <c r="H2193" s="181"/>
      <c r="I2193" s="181"/>
      <c r="J2193" s="181"/>
      <c r="K2193" s="181"/>
      <c r="L2193" s="181"/>
      <c r="M2193" s="181"/>
      <c r="N2193" s="181"/>
      <c r="O2193" s="181"/>
      <c r="P2193" s="181"/>
      <c r="Q2193" s="181"/>
      <c r="R2193" s="181"/>
      <c r="S2193" s="181"/>
      <c r="T2193" s="181"/>
      <c r="U2193" s="181"/>
      <c r="V2193" s="181"/>
      <c r="W2193" s="181"/>
      <c r="X2193" s="181"/>
      <c r="Y2193" s="181"/>
      <c r="Z2193" s="181"/>
    </row>
    <row r="2194">
      <c r="A2194" s="194"/>
      <c r="B2194" s="195"/>
      <c r="C2194" s="181"/>
      <c r="D2194" s="194"/>
      <c r="E2194" s="194"/>
      <c r="F2194" s="181"/>
      <c r="G2194" s="181"/>
      <c r="H2194" s="181"/>
      <c r="I2194" s="181"/>
      <c r="J2194" s="181"/>
      <c r="K2194" s="181"/>
      <c r="L2194" s="181"/>
      <c r="M2194" s="181"/>
      <c r="N2194" s="181"/>
      <c r="O2194" s="181"/>
      <c r="P2194" s="181"/>
      <c r="Q2194" s="181"/>
      <c r="R2194" s="181"/>
      <c r="S2194" s="181"/>
      <c r="T2194" s="181"/>
      <c r="U2194" s="181"/>
      <c r="V2194" s="181"/>
      <c r="W2194" s="181"/>
      <c r="X2194" s="181"/>
      <c r="Y2194" s="181"/>
      <c r="Z2194" s="181"/>
    </row>
    <row r="2195">
      <c r="A2195" s="194"/>
      <c r="B2195" s="195"/>
      <c r="C2195" s="181"/>
      <c r="D2195" s="194"/>
      <c r="E2195" s="194"/>
      <c r="F2195" s="181"/>
      <c r="G2195" s="181"/>
      <c r="H2195" s="181"/>
      <c r="I2195" s="181"/>
      <c r="J2195" s="181"/>
      <c r="K2195" s="181"/>
      <c r="L2195" s="181"/>
      <c r="M2195" s="181"/>
      <c r="N2195" s="181"/>
      <c r="O2195" s="181"/>
      <c r="P2195" s="181"/>
      <c r="Q2195" s="181"/>
      <c r="R2195" s="181"/>
      <c r="S2195" s="181"/>
      <c r="T2195" s="181"/>
      <c r="U2195" s="181"/>
      <c r="V2195" s="181"/>
      <c r="W2195" s="181"/>
      <c r="X2195" s="181"/>
      <c r="Y2195" s="181"/>
      <c r="Z2195" s="181"/>
    </row>
    <row r="2196">
      <c r="A2196" s="194"/>
      <c r="B2196" s="195"/>
      <c r="C2196" s="181"/>
      <c r="D2196" s="194"/>
      <c r="E2196" s="194"/>
      <c r="F2196" s="181"/>
      <c r="G2196" s="181"/>
      <c r="H2196" s="181"/>
      <c r="I2196" s="181"/>
      <c r="J2196" s="181"/>
      <c r="K2196" s="181"/>
      <c r="L2196" s="181"/>
      <c r="M2196" s="181"/>
      <c r="N2196" s="181"/>
      <c r="O2196" s="181"/>
      <c r="P2196" s="181"/>
      <c r="Q2196" s="181"/>
      <c r="R2196" s="181"/>
      <c r="S2196" s="181"/>
      <c r="T2196" s="181"/>
      <c r="U2196" s="181"/>
      <c r="V2196" s="181"/>
      <c r="W2196" s="181"/>
      <c r="X2196" s="181"/>
      <c r="Y2196" s="181"/>
      <c r="Z2196" s="181"/>
    </row>
    <row r="2197">
      <c r="A2197" s="194"/>
      <c r="B2197" s="195"/>
      <c r="C2197" s="181"/>
      <c r="D2197" s="194"/>
      <c r="E2197" s="194"/>
      <c r="F2197" s="181"/>
      <c r="G2197" s="181"/>
      <c r="H2197" s="181"/>
      <c r="I2197" s="181"/>
      <c r="J2197" s="181"/>
      <c r="K2197" s="181"/>
      <c r="L2197" s="181"/>
      <c r="M2197" s="181"/>
      <c r="N2197" s="181"/>
      <c r="O2197" s="181"/>
      <c r="P2197" s="181"/>
      <c r="Q2197" s="181"/>
      <c r="R2197" s="181"/>
      <c r="S2197" s="181"/>
      <c r="T2197" s="181"/>
      <c r="U2197" s="181"/>
      <c r="V2197" s="181"/>
      <c r="W2197" s="181"/>
      <c r="X2197" s="181"/>
      <c r="Y2197" s="181"/>
      <c r="Z2197" s="181"/>
    </row>
    <row r="2198">
      <c r="A2198" s="194"/>
      <c r="B2198" s="195"/>
      <c r="C2198" s="181"/>
      <c r="D2198" s="194"/>
      <c r="E2198" s="194"/>
      <c r="F2198" s="181"/>
      <c r="G2198" s="181"/>
      <c r="H2198" s="181"/>
      <c r="I2198" s="181"/>
      <c r="J2198" s="181"/>
      <c r="K2198" s="181"/>
      <c r="L2198" s="181"/>
      <c r="M2198" s="181"/>
      <c r="N2198" s="181"/>
      <c r="O2198" s="181"/>
      <c r="P2198" s="181"/>
      <c r="Q2198" s="181"/>
      <c r="R2198" s="181"/>
      <c r="S2198" s="181"/>
      <c r="T2198" s="181"/>
      <c r="U2198" s="181"/>
      <c r="V2198" s="181"/>
      <c r="W2198" s="181"/>
      <c r="X2198" s="181"/>
      <c r="Y2198" s="181"/>
      <c r="Z2198" s="181"/>
    </row>
    <row r="2199">
      <c r="A2199" s="194"/>
      <c r="B2199" s="195"/>
      <c r="C2199" s="181"/>
      <c r="D2199" s="194"/>
      <c r="E2199" s="194"/>
      <c r="F2199" s="181"/>
      <c r="G2199" s="181"/>
      <c r="H2199" s="181"/>
      <c r="I2199" s="181"/>
      <c r="J2199" s="181"/>
      <c r="K2199" s="181"/>
      <c r="L2199" s="181"/>
      <c r="M2199" s="181"/>
      <c r="N2199" s="181"/>
      <c r="O2199" s="181"/>
      <c r="P2199" s="181"/>
      <c r="Q2199" s="181"/>
      <c r="R2199" s="181"/>
      <c r="S2199" s="181"/>
      <c r="T2199" s="181"/>
      <c r="U2199" s="181"/>
      <c r="V2199" s="181"/>
      <c r="W2199" s="181"/>
      <c r="X2199" s="181"/>
      <c r="Y2199" s="181"/>
      <c r="Z2199" s="181"/>
    </row>
    <row r="2200">
      <c r="A2200" s="194"/>
      <c r="B2200" s="195"/>
      <c r="C2200" s="181"/>
      <c r="D2200" s="194"/>
      <c r="E2200" s="194"/>
      <c r="F2200" s="181"/>
      <c r="G2200" s="181"/>
      <c r="H2200" s="181"/>
      <c r="I2200" s="181"/>
      <c r="J2200" s="181"/>
      <c r="K2200" s="181"/>
      <c r="L2200" s="181"/>
      <c r="M2200" s="181"/>
      <c r="N2200" s="181"/>
      <c r="O2200" s="181"/>
      <c r="P2200" s="181"/>
      <c r="Q2200" s="181"/>
      <c r="R2200" s="181"/>
      <c r="S2200" s="181"/>
      <c r="T2200" s="181"/>
      <c r="U2200" s="181"/>
      <c r="V2200" s="181"/>
      <c r="W2200" s="181"/>
      <c r="X2200" s="181"/>
      <c r="Y2200" s="181"/>
      <c r="Z2200" s="181"/>
    </row>
    <row r="2201">
      <c r="A2201" s="194"/>
      <c r="B2201" s="195"/>
      <c r="C2201" s="181"/>
      <c r="D2201" s="194"/>
      <c r="E2201" s="194"/>
      <c r="F2201" s="181"/>
      <c r="G2201" s="181"/>
      <c r="H2201" s="181"/>
      <c r="I2201" s="181"/>
      <c r="J2201" s="181"/>
      <c r="K2201" s="181"/>
      <c r="L2201" s="181"/>
      <c r="M2201" s="181"/>
      <c r="N2201" s="181"/>
      <c r="O2201" s="181"/>
      <c r="P2201" s="181"/>
      <c r="Q2201" s="181"/>
      <c r="R2201" s="181"/>
      <c r="S2201" s="181"/>
      <c r="T2201" s="181"/>
      <c r="U2201" s="181"/>
      <c r="V2201" s="181"/>
      <c r="W2201" s="181"/>
      <c r="X2201" s="181"/>
      <c r="Y2201" s="181"/>
      <c r="Z2201" s="181"/>
    </row>
    <row r="2202">
      <c r="A2202" s="194"/>
      <c r="B2202" s="195"/>
      <c r="C2202" s="181"/>
      <c r="D2202" s="194"/>
      <c r="E2202" s="194"/>
      <c r="F2202" s="181"/>
      <c r="G2202" s="181"/>
      <c r="H2202" s="181"/>
      <c r="I2202" s="181"/>
      <c r="J2202" s="181"/>
      <c r="K2202" s="181"/>
      <c r="L2202" s="181"/>
      <c r="M2202" s="181"/>
      <c r="N2202" s="181"/>
      <c r="O2202" s="181"/>
      <c r="P2202" s="181"/>
      <c r="Q2202" s="181"/>
      <c r="R2202" s="181"/>
      <c r="S2202" s="181"/>
      <c r="T2202" s="181"/>
      <c r="U2202" s="181"/>
      <c r="V2202" s="181"/>
      <c r="W2202" s="181"/>
      <c r="X2202" s="181"/>
      <c r="Y2202" s="181"/>
      <c r="Z2202" s="181"/>
    </row>
    <row r="2203">
      <c r="A2203" s="194"/>
      <c r="B2203" s="195"/>
      <c r="C2203" s="181"/>
      <c r="D2203" s="194"/>
      <c r="E2203" s="194"/>
      <c r="F2203" s="181"/>
      <c r="G2203" s="181"/>
      <c r="H2203" s="181"/>
      <c r="I2203" s="181"/>
      <c r="J2203" s="181"/>
      <c r="K2203" s="181"/>
      <c r="L2203" s="181"/>
      <c r="M2203" s="181"/>
      <c r="N2203" s="181"/>
      <c r="O2203" s="181"/>
      <c r="P2203" s="181"/>
      <c r="Q2203" s="181"/>
      <c r="R2203" s="181"/>
      <c r="S2203" s="181"/>
      <c r="T2203" s="181"/>
      <c r="U2203" s="181"/>
      <c r="V2203" s="181"/>
      <c r="W2203" s="181"/>
      <c r="X2203" s="181"/>
      <c r="Y2203" s="181"/>
      <c r="Z2203" s="181"/>
    </row>
    <row r="2204">
      <c r="A2204" s="194"/>
      <c r="B2204" s="195"/>
      <c r="C2204" s="181"/>
      <c r="D2204" s="194"/>
      <c r="E2204" s="194"/>
      <c r="F2204" s="181"/>
      <c r="G2204" s="181"/>
      <c r="H2204" s="181"/>
      <c r="I2204" s="181"/>
      <c r="J2204" s="181"/>
      <c r="K2204" s="181"/>
      <c r="L2204" s="181"/>
      <c r="M2204" s="181"/>
      <c r="N2204" s="181"/>
      <c r="O2204" s="181"/>
      <c r="P2204" s="181"/>
      <c r="Q2204" s="181"/>
      <c r="R2204" s="181"/>
      <c r="S2204" s="181"/>
      <c r="T2204" s="181"/>
      <c r="U2204" s="181"/>
      <c r="V2204" s="181"/>
      <c r="W2204" s="181"/>
      <c r="X2204" s="181"/>
      <c r="Y2204" s="181"/>
      <c r="Z2204" s="181"/>
    </row>
    <row r="2205">
      <c r="A2205" s="194"/>
      <c r="B2205" s="195"/>
      <c r="C2205" s="181"/>
      <c r="D2205" s="194"/>
      <c r="E2205" s="194"/>
      <c r="F2205" s="181"/>
      <c r="G2205" s="181"/>
      <c r="H2205" s="181"/>
      <c r="I2205" s="181"/>
      <c r="J2205" s="181"/>
      <c r="K2205" s="181"/>
      <c r="L2205" s="181"/>
      <c r="M2205" s="181"/>
      <c r="N2205" s="181"/>
      <c r="O2205" s="181"/>
      <c r="P2205" s="181"/>
      <c r="Q2205" s="181"/>
      <c r="R2205" s="181"/>
      <c r="S2205" s="181"/>
      <c r="T2205" s="181"/>
      <c r="U2205" s="181"/>
      <c r="V2205" s="181"/>
      <c r="W2205" s="181"/>
      <c r="X2205" s="181"/>
      <c r="Y2205" s="181"/>
      <c r="Z2205" s="181"/>
    </row>
    <row r="2206">
      <c r="A2206" s="194"/>
      <c r="B2206" s="195"/>
      <c r="C2206" s="181"/>
      <c r="D2206" s="194"/>
      <c r="E2206" s="194"/>
      <c r="F2206" s="181"/>
      <c r="G2206" s="181"/>
      <c r="H2206" s="181"/>
      <c r="I2206" s="181"/>
      <c r="J2206" s="181"/>
      <c r="K2206" s="181"/>
      <c r="L2206" s="181"/>
      <c r="M2206" s="181"/>
      <c r="N2206" s="181"/>
      <c r="O2206" s="181"/>
      <c r="P2206" s="181"/>
      <c r="Q2206" s="181"/>
      <c r="R2206" s="181"/>
      <c r="S2206" s="181"/>
      <c r="T2206" s="181"/>
      <c r="U2206" s="181"/>
      <c r="V2206" s="181"/>
      <c r="W2206" s="181"/>
      <c r="X2206" s="181"/>
      <c r="Y2206" s="181"/>
      <c r="Z2206" s="181"/>
    </row>
    <row r="2207">
      <c r="A2207" s="194"/>
      <c r="B2207" s="195"/>
      <c r="C2207" s="181"/>
      <c r="D2207" s="194"/>
      <c r="E2207" s="194"/>
      <c r="F2207" s="181"/>
      <c r="G2207" s="181"/>
      <c r="H2207" s="181"/>
      <c r="I2207" s="181"/>
      <c r="J2207" s="181"/>
      <c r="K2207" s="181"/>
      <c r="L2207" s="181"/>
      <c r="M2207" s="181"/>
      <c r="N2207" s="181"/>
      <c r="O2207" s="181"/>
      <c r="P2207" s="181"/>
      <c r="Q2207" s="181"/>
      <c r="R2207" s="181"/>
      <c r="S2207" s="181"/>
      <c r="T2207" s="181"/>
      <c r="U2207" s="181"/>
      <c r="V2207" s="181"/>
      <c r="W2207" s="181"/>
      <c r="X2207" s="181"/>
      <c r="Y2207" s="181"/>
      <c r="Z2207" s="181"/>
    </row>
    <row r="2208">
      <c r="A2208" s="194"/>
      <c r="B2208" s="195"/>
      <c r="C2208" s="181"/>
      <c r="D2208" s="194"/>
      <c r="E2208" s="194"/>
      <c r="F2208" s="181"/>
      <c r="G2208" s="181"/>
      <c r="H2208" s="181"/>
      <c r="I2208" s="181"/>
      <c r="J2208" s="181"/>
      <c r="K2208" s="181"/>
      <c r="L2208" s="181"/>
      <c r="M2208" s="181"/>
      <c r="N2208" s="181"/>
      <c r="O2208" s="181"/>
      <c r="P2208" s="181"/>
      <c r="Q2208" s="181"/>
      <c r="R2208" s="181"/>
      <c r="S2208" s="181"/>
      <c r="T2208" s="181"/>
      <c r="U2208" s="181"/>
      <c r="V2208" s="181"/>
      <c r="W2208" s="181"/>
      <c r="X2208" s="181"/>
      <c r="Y2208" s="181"/>
      <c r="Z2208" s="181"/>
    </row>
    <row r="2209">
      <c r="A2209" s="194"/>
      <c r="B2209" s="195"/>
      <c r="C2209" s="181"/>
      <c r="D2209" s="194"/>
      <c r="E2209" s="194"/>
      <c r="F2209" s="181"/>
      <c r="G2209" s="181"/>
      <c r="H2209" s="181"/>
      <c r="I2209" s="181"/>
      <c r="J2209" s="181"/>
      <c r="K2209" s="181"/>
      <c r="L2209" s="181"/>
      <c r="M2209" s="181"/>
      <c r="N2209" s="181"/>
      <c r="O2209" s="181"/>
      <c r="P2209" s="181"/>
      <c r="Q2209" s="181"/>
      <c r="R2209" s="181"/>
      <c r="S2209" s="181"/>
      <c r="T2209" s="181"/>
      <c r="U2209" s="181"/>
      <c r="V2209" s="181"/>
      <c r="W2209" s="181"/>
      <c r="X2209" s="181"/>
      <c r="Y2209" s="181"/>
      <c r="Z2209" s="181"/>
    </row>
    <row r="2210">
      <c r="A2210" s="194"/>
      <c r="B2210" s="195"/>
      <c r="C2210" s="181"/>
      <c r="D2210" s="194"/>
      <c r="E2210" s="194"/>
      <c r="F2210" s="181"/>
      <c r="G2210" s="181"/>
      <c r="H2210" s="181"/>
      <c r="I2210" s="181"/>
      <c r="J2210" s="181"/>
      <c r="K2210" s="181"/>
      <c r="L2210" s="181"/>
      <c r="M2210" s="181"/>
      <c r="N2210" s="181"/>
      <c r="O2210" s="181"/>
      <c r="P2210" s="181"/>
      <c r="Q2210" s="181"/>
      <c r="R2210" s="181"/>
      <c r="S2210" s="181"/>
      <c r="T2210" s="181"/>
      <c r="U2210" s="181"/>
      <c r="V2210" s="181"/>
      <c r="W2210" s="181"/>
      <c r="X2210" s="181"/>
      <c r="Y2210" s="181"/>
      <c r="Z2210" s="181"/>
    </row>
    <row r="2211">
      <c r="A2211" s="194"/>
      <c r="B2211" s="195"/>
      <c r="C2211" s="181"/>
      <c r="D2211" s="194"/>
      <c r="E2211" s="194"/>
      <c r="F2211" s="181"/>
      <c r="G2211" s="181"/>
      <c r="H2211" s="181"/>
      <c r="I2211" s="181"/>
      <c r="J2211" s="181"/>
      <c r="K2211" s="181"/>
      <c r="L2211" s="181"/>
      <c r="M2211" s="181"/>
      <c r="N2211" s="181"/>
      <c r="O2211" s="181"/>
      <c r="P2211" s="181"/>
      <c r="Q2211" s="181"/>
      <c r="R2211" s="181"/>
      <c r="S2211" s="181"/>
      <c r="T2211" s="181"/>
      <c r="U2211" s="181"/>
      <c r="V2211" s="181"/>
      <c r="W2211" s="181"/>
      <c r="X2211" s="181"/>
      <c r="Y2211" s="181"/>
      <c r="Z2211" s="181"/>
    </row>
    <row r="2212">
      <c r="A2212" s="194"/>
      <c r="B2212" s="195"/>
      <c r="C2212" s="181"/>
      <c r="D2212" s="194"/>
      <c r="E2212" s="194"/>
      <c r="F2212" s="181"/>
      <c r="G2212" s="181"/>
      <c r="H2212" s="181"/>
      <c r="I2212" s="181"/>
      <c r="J2212" s="181"/>
      <c r="K2212" s="181"/>
      <c r="L2212" s="181"/>
      <c r="M2212" s="181"/>
      <c r="N2212" s="181"/>
      <c r="O2212" s="181"/>
      <c r="P2212" s="181"/>
      <c r="Q2212" s="181"/>
      <c r="R2212" s="181"/>
      <c r="S2212" s="181"/>
      <c r="T2212" s="181"/>
      <c r="U2212" s="181"/>
      <c r="V2212" s="181"/>
      <c r="W2212" s="181"/>
      <c r="X2212" s="181"/>
      <c r="Y2212" s="181"/>
      <c r="Z2212" s="181"/>
    </row>
    <row r="2213">
      <c r="A2213" s="194"/>
      <c r="B2213" s="195"/>
      <c r="C2213" s="181"/>
      <c r="D2213" s="194"/>
      <c r="E2213" s="194"/>
      <c r="F2213" s="181"/>
      <c r="G2213" s="181"/>
      <c r="H2213" s="181"/>
      <c r="I2213" s="181"/>
      <c r="J2213" s="181"/>
      <c r="K2213" s="181"/>
      <c r="L2213" s="181"/>
      <c r="M2213" s="181"/>
      <c r="N2213" s="181"/>
      <c r="O2213" s="181"/>
      <c r="P2213" s="181"/>
      <c r="Q2213" s="181"/>
      <c r="R2213" s="181"/>
      <c r="S2213" s="181"/>
      <c r="T2213" s="181"/>
      <c r="U2213" s="181"/>
      <c r="V2213" s="181"/>
      <c r="W2213" s="181"/>
      <c r="X2213" s="181"/>
      <c r="Y2213" s="181"/>
      <c r="Z2213" s="181"/>
    </row>
    <row r="2214">
      <c r="A2214" s="194"/>
      <c r="B2214" s="195"/>
      <c r="C2214" s="181"/>
      <c r="D2214" s="194"/>
      <c r="E2214" s="194"/>
      <c r="F2214" s="181"/>
      <c r="G2214" s="181"/>
      <c r="H2214" s="181"/>
      <c r="I2214" s="181"/>
      <c r="J2214" s="181"/>
      <c r="K2214" s="181"/>
      <c r="L2214" s="181"/>
      <c r="M2214" s="181"/>
      <c r="N2214" s="181"/>
      <c r="O2214" s="181"/>
      <c r="P2214" s="181"/>
      <c r="Q2214" s="181"/>
      <c r="R2214" s="181"/>
      <c r="S2214" s="181"/>
      <c r="T2214" s="181"/>
      <c r="U2214" s="181"/>
      <c r="V2214" s="181"/>
      <c r="W2214" s="181"/>
      <c r="X2214" s="181"/>
      <c r="Y2214" s="181"/>
      <c r="Z2214" s="181"/>
    </row>
    <row r="2215">
      <c r="A2215" s="194"/>
      <c r="B2215" s="195"/>
      <c r="C2215" s="181"/>
      <c r="D2215" s="194"/>
      <c r="E2215" s="194"/>
      <c r="F2215" s="181"/>
      <c r="G2215" s="181"/>
      <c r="H2215" s="181"/>
      <c r="I2215" s="181"/>
      <c r="J2215" s="181"/>
      <c r="K2215" s="181"/>
      <c r="L2215" s="181"/>
      <c r="M2215" s="181"/>
      <c r="N2215" s="181"/>
      <c r="O2215" s="181"/>
      <c r="P2215" s="181"/>
      <c r="Q2215" s="181"/>
      <c r="R2215" s="181"/>
      <c r="S2215" s="181"/>
      <c r="T2215" s="181"/>
      <c r="U2215" s="181"/>
      <c r="V2215" s="181"/>
      <c r="W2215" s="181"/>
      <c r="X2215" s="181"/>
      <c r="Y2215" s="181"/>
      <c r="Z2215" s="181"/>
    </row>
    <row r="2216">
      <c r="A2216" s="194"/>
      <c r="B2216" s="195"/>
      <c r="C2216" s="181"/>
      <c r="D2216" s="194"/>
      <c r="E2216" s="194"/>
      <c r="F2216" s="181"/>
      <c r="G2216" s="181"/>
      <c r="H2216" s="181"/>
      <c r="I2216" s="181"/>
      <c r="J2216" s="181"/>
      <c r="K2216" s="181"/>
      <c r="L2216" s="181"/>
      <c r="M2216" s="181"/>
      <c r="N2216" s="181"/>
      <c r="O2216" s="181"/>
      <c r="P2216" s="181"/>
      <c r="Q2216" s="181"/>
      <c r="R2216" s="181"/>
      <c r="S2216" s="181"/>
      <c r="T2216" s="181"/>
      <c r="U2216" s="181"/>
      <c r="V2216" s="181"/>
      <c r="W2216" s="181"/>
      <c r="X2216" s="181"/>
      <c r="Y2216" s="181"/>
      <c r="Z2216" s="181"/>
    </row>
    <row r="2217">
      <c r="A2217" s="194"/>
      <c r="B2217" s="195"/>
      <c r="C2217" s="181"/>
      <c r="D2217" s="194"/>
      <c r="E2217" s="194"/>
      <c r="F2217" s="181"/>
      <c r="G2217" s="181"/>
      <c r="H2217" s="181"/>
      <c r="I2217" s="181"/>
      <c r="J2217" s="181"/>
      <c r="K2217" s="181"/>
      <c r="L2217" s="181"/>
      <c r="M2217" s="181"/>
      <c r="N2217" s="181"/>
      <c r="O2217" s="181"/>
      <c r="P2217" s="181"/>
      <c r="Q2217" s="181"/>
      <c r="R2217" s="181"/>
      <c r="S2217" s="181"/>
      <c r="T2217" s="181"/>
      <c r="U2217" s="181"/>
      <c r="V2217" s="181"/>
      <c r="W2217" s="181"/>
      <c r="X2217" s="181"/>
      <c r="Y2217" s="181"/>
      <c r="Z2217" s="181"/>
    </row>
    <row r="2218">
      <c r="A2218" s="194"/>
      <c r="B2218" s="195"/>
      <c r="C2218" s="181"/>
      <c r="D2218" s="194"/>
      <c r="E2218" s="194"/>
      <c r="F2218" s="181"/>
      <c r="G2218" s="181"/>
      <c r="H2218" s="181"/>
      <c r="I2218" s="181"/>
      <c r="J2218" s="181"/>
      <c r="K2218" s="181"/>
      <c r="L2218" s="181"/>
      <c r="M2218" s="181"/>
      <c r="N2218" s="181"/>
      <c r="O2218" s="181"/>
      <c r="P2218" s="181"/>
      <c r="Q2218" s="181"/>
      <c r="R2218" s="181"/>
      <c r="S2218" s="181"/>
      <c r="T2218" s="181"/>
      <c r="U2218" s="181"/>
      <c r="V2218" s="181"/>
      <c r="W2218" s="181"/>
      <c r="X2218" s="181"/>
      <c r="Y2218" s="181"/>
      <c r="Z2218" s="181"/>
    </row>
    <row r="2219">
      <c r="A2219" s="194"/>
      <c r="B2219" s="195"/>
      <c r="C2219" s="181"/>
      <c r="D2219" s="194"/>
      <c r="E2219" s="194"/>
      <c r="F2219" s="181"/>
      <c r="G2219" s="181"/>
      <c r="H2219" s="181"/>
      <c r="I2219" s="181"/>
      <c r="J2219" s="181"/>
      <c r="K2219" s="181"/>
      <c r="L2219" s="181"/>
      <c r="M2219" s="181"/>
      <c r="N2219" s="181"/>
      <c r="O2219" s="181"/>
      <c r="P2219" s="181"/>
      <c r="Q2219" s="181"/>
      <c r="R2219" s="181"/>
      <c r="S2219" s="181"/>
      <c r="T2219" s="181"/>
      <c r="U2219" s="181"/>
      <c r="V2219" s="181"/>
      <c r="W2219" s="181"/>
      <c r="X2219" s="181"/>
      <c r="Y2219" s="181"/>
      <c r="Z2219" s="181"/>
    </row>
    <row r="2220">
      <c r="A2220" s="194"/>
      <c r="B2220" s="195"/>
      <c r="C2220" s="181"/>
      <c r="D2220" s="194"/>
      <c r="E2220" s="194"/>
      <c r="F2220" s="181"/>
      <c r="G2220" s="181"/>
      <c r="H2220" s="181"/>
      <c r="I2220" s="181"/>
      <c r="J2220" s="181"/>
      <c r="K2220" s="181"/>
      <c r="L2220" s="181"/>
      <c r="M2220" s="181"/>
      <c r="N2220" s="181"/>
      <c r="O2220" s="181"/>
      <c r="P2220" s="181"/>
      <c r="Q2220" s="181"/>
      <c r="R2220" s="181"/>
      <c r="S2220" s="181"/>
      <c r="T2220" s="181"/>
      <c r="U2220" s="181"/>
      <c r="V2220" s="181"/>
      <c r="W2220" s="181"/>
      <c r="X2220" s="181"/>
      <c r="Y2220" s="181"/>
      <c r="Z2220" s="181"/>
    </row>
    <row r="2221">
      <c r="A2221" s="194"/>
      <c r="B2221" s="195"/>
      <c r="C2221" s="181"/>
      <c r="D2221" s="194"/>
      <c r="E2221" s="194"/>
      <c r="F2221" s="181"/>
      <c r="G2221" s="181"/>
      <c r="H2221" s="181"/>
      <c r="I2221" s="181"/>
      <c r="J2221" s="181"/>
      <c r="K2221" s="181"/>
      <c r="L2221" s="181"/>
      <c r="M2221" s="181"/>
      <c r="N2221" s="181"/>
      <c r="O2221" s="181"/>
      <c r="P2221" s="181"/>
      <c r="Q2221" s="181"/>
      <c r="R2221" s="181"/>
      <c r="S2221" s="181"/>
      <c r="T2221" s="181"/>
      <c r="U2221" s="181"/>
      <c r="V2221" s="181"/>
      <c r="W2221" s="181"/>
      <c r="X2221" s="181"/>
      <c r="Y2221" s="181"/>
      <c r="Z2221" s="181"/>
    </row>
    <row r="2222">
      <c r="A2222" s="194"/>
      <c r="B2222" s="195"/>
      <c r="C2222" s="181"/>
      <c r="D2222" s="194"/>
      <c r="E2222" s="194"/>
      <c r="F2222" s="181"/>
      <c r="G2222" s="181"/>
      <c r="H2222" s="181"/>
      <c r="I2222" s="181"/>
      <c r="J2222" s="181"/>
      <c r="K2222" s="181"/>
      <c r="L2222" s="181"/>
      <c r="M2222" s="181"/>
      <c r="N2222" s="181"/>
      <c r="O2222" s="181"/>
      <c r="P2222" s="181"/>
      <c r="Q2222" s="181"/>
      <c r="R2222" s="181"/>
      <c r="S2222" s="181"/>
      <c r="T2222" s="181"/>
      <c r="U2222" s="181"/>
      <c r="V2222" s="181"/>
      <c r="W2222" s="181"/>
      <c r="X2222" s="181"/>
      <c r="Y2222" s="181"/>
      <c r="Z2222" s="181"/>
    </row>
    <row r="2223">
      <c r="A2223" s="194"/>
      <c r="B2223" s="195"/>
      <c r="C2223" s="181"/>
      <c r="D2223" s="194"/>
      <c r="E2223" s="194"/>
      <c r="F2223" s="181"/>
      <c r="G2223" s="181"/>
      <c r="H2223" s="181"/>
      <c r="I2223" s="181"/>
      <c r="J2223" s="181"/>
      <c r="K2223" s="181"/>
      <c r="L2223" s="181"/>
      <c r="M2223" s="181"/>
      <c r="N2223" s="181"/>
      <c r="O2223" s="181"/>
      <c r="P2223" s="181"/>
      <c r="Q2223" s="181"/>
      <c r="R2223" s="181"/>
      <c r="S2223" s="181"/>
      <c r="T2223" s="181"/>
      <c r="U2223" s="181"/>
      <c r="V2223" s="181"/>
      <c r="W2223" s="181"/>
      <c r="X2223" s="181"/>
      <c r="Y2223" s="181"/>
      <c r="Z2223" s="181"/>
    </row>
    <row r="2224">
      <c r="A2224" s="194"/>
      <c r="B2224" s="195"/>
      <c r="C2224" s="181"/>
      <c r="D2224" s="194"/>
      <c r="E2224" s="194"/>
      <c r="F2224" s="181"/>
      <c r="G2224" s="181"/>
      <c r="H2224" s="181"/>
      <c r="I2224" s="181"/>
      <c r="J2224" s="181"/>
      <c r="K2224" s="181"/>
      <c r="L2224" s="181"/>
      <c r="M2224" s="181"/>
      <c r="N2224" s="181"/>
      <c r="O2224" s="181"/>
      <c r="P2224" s="181"/>
      <c r="Q2224" s="181"/>
      <c r="R2224" s="181"/>
      <c r="S2224" s="181"/>
      <c r="T2224" s="181"/>
      <c r="U2224" s="181"/>
      <c r="V2224" s="181"/>
      <c r="W2224" s="181"/>
      <c r="X2224" s="181"/>
      <c r="Y2224" s="181"/>
      <c r="Z2224" s="181"/>
    </row>
    <row r="2225">
      <c r="A2225" s="194"/>
      <c r="B2225" s="195"/>
      <c r="C2225" s="181"/>
      <c r="D2225" s="194"/>
      <c r="E2225" s="194"/>
      <c r="F2225" s="181"/>
      <c r="G2225" s="181"/>
      <c r="H2225" s="181"/>
      <c r="I2225" s="181"/>
      <c r="J2225" s="181"/>
      <c r="K2225" s="181"/>
      <c r="L2225" s="181"/>
      <c r="M2225" s="181"/>
      <c r="N2225" s="181"/>
      <c r="O2225" s="181"/>
      <c r="P2225" s="181"/>
      <c r="Q2225" s="181"/>
      <c r="R2225" s="181"/>
      <c r="S2225" s="181"/>
      <c r="T2225" s="181"/>
      <c r="U2225" s="181"/>
      <c r="V2225" s="181"/>
      <c r="W2225" s="181"/>
      <c r="X2225" s="181"/>
      <c r="Y2225" s="181"/>
      <c r="Z2225" s="181"/>
    </row>
    <row r="2226">
      <c r="A2226" s="194"/>
      <c r="B2226" s="195"/>
      <c r="C2226" s="181"/>
      <c r="D2226" s="194"/>
      <c r="E2226" s="194"/>
      <c r="F2226" s="181"/>
      <c r="G2226" s="181"/>
      <c r="H2226" s="181"/>
      <c r="I2226" s="181"/>
      <c r="J2226" s="181"/>
      <c r="K2226" s="181"/>
      <c r="L2226" s="181"/>
      <c r="M2226" s="181"/>
      <c r="N2226" s="181"/>
      <c r="O2226" s="181"/>
      <c r="P2226" s="181"/>
      <c r="Q2226" s="181"/>
      <c r="R2226" s="181"/>
      <c r="S2226" s="181"/>
      <c r="T2226" s="181"/>
      <c r="U2226" s="181"/>
      <c r="V2226" s="181"/>
      <c r="W2226" s="181"/>
      <c r="X2226" s="181"/>
      <c r="Y2226" s="181"/>
      <c r="Z2226" s="181"/>
    </row>
    <row r="2227">
      <c r="A2227" s="194"/>
      <c r="B2227" s="195"/>
      <c r="C2227" s="181"/>
      <c r="D2227" s="194"/>
      <c r="E2227" s="194"/>
      <c r="F2227" s="181"/>
      <c r="G2227" s="181"/>
      <c r="H2227" s="181"/>
      <c r="I2227" s="181"/>
      <c r="J2227" s="181"/>
      <c r="K2227" s="181"/>
      <c r="L2227" s="181"/>
      <c r="M2227" s="181"/>
      <c r="N2227" s="181"/>
      <c r="O2227" s="181"/>
      <c r="P2227" s="181"/>
      <c r="Q2227" s="181"/>
      <c r="R2227" s="181"/>
      <c r="S2227" s="181"/>
      <c r="T2227" s="181"/>
      <c r="U2227" s="181"/>
      <c r="V2227" s="181"/>
      <c r="W2227" s="181"/>
      <c r="X2227" s="181"/>
      <c r="Y2227" s="181"/>
      <c r="Z2227" s="181"/>
    </row>
    <row r="2228">
      <c r="A2228" s="194"/>
      <c r="B2228" s="195"/>
      <c r="C2228" s="181"/>
      <c r="D2228" s="194"/>
      <c r="E2228" s="194"/>
      <c r="F2228" s="181"/>
      <c r="G2228" s="181"/>
      <c r="H2228" s="181"/>
      <c r="I2228" s="181"/>
      <c r="J2228" s="181"/>
      <c r="K2228" s="181"/>
      <c r="L2228" s="181"/>
      <c r="M2228" s="181"/>
      <c r="N2228" s="181"/>
      <c r="O2228" s="181"/>
      <c r="P2228" s="181"/>
      <c r="Q2228" s="181"/>
      <c r="R2228" s="181"/>
      <c r="S2228" s="181"/>
      <c r="T2228" s="181"/>
      <c r="U2228" s="181"/>
      <c r="V2228" s="181"/>
      <c r="W2228" s="181"/>
      <c r="X2228" s="181"/>
      <c r="Y2228" s="181"/>
      <c r="Z2228" s="181"/>
    </row>
    <row r="2229">
      <c r="A2229" s="194"/>
      <c r="B2229" s="195"/>
      <c r="C2229" s="181"/>
      <c r="D2229" s="194"/>
      <c r="E2229" s="194"/>
      <c r="F2229" s="181"/>
      <c r="G2229" s="181"/>
      <c r="H2229" s="181"/>
      <c r="I2229" s="181"/>
      <c r="J2229" s="181"/>
      <c r="K2229" s="181"/>
      <c r="L2229" s="181"/>
      <c r="M2229" s="181"/>
      <c r="N2229" s="181"/>
      <c r="O2229" s="181"/>
      <c r="P2229" s="181"/>
      <c r="Q2229" s="181"/>
      <c r="R2229" s="181"/>
      <c r="S2229" s="181"/>
      <c r="T2229" s="181"/>
      <c r="U2229" s="181"/>
      <c r="V2229" s="181"/>
      <c r="W2229" s="181"/>
      <c r="X2229" s="181"/>
      <c r="Y2229" s="181"/>
      <c r="Z2229" s="181"/>
    </row>
    <row r="2230">
      <c r="A2230" s="194"/>
      <c r="B2230" s="195"/>
      <c r="C2230" s="181"/>
      <c r="D2230" s="194"/>
      <c r="E2230" s="194"/>
      <c r="F2230" s="181"/>
      <c r="G2230" s="181"/>
      <c r="H2230" s="181"/>
      <c r="I2230" s="181"/>
      <c r="J2230" s="181"/>
      <c r="K2230" s="181"/>
      <c r="L2230" s="181"/>
      <c r="M2230" s="181"/>
      <c r="N2230" s="181"/>
      <c r="O2230" s="181"/>
      <c r="P2230" s="181"/>
      <c r="Q2230" s="181"/>
      <c r="R2230" s="181"/>
      <c r="S2230" s="181"/>
      <c r="T2230" s="181"/>
      <c r="U2230" s="181"/>
      <c r="V2230" s="181"/>
      <c r="W2230" s="181"/>
      <c r="X2230" s="181"/>
      <c r="Y2230" s="181"/>
      <c r="Z2230" s="181"/>
    </row>
    <row r="2231">
      <c r="A2231" s="194"/>
      <c r="B2231" s="195"/>
      <c r="C2231" s="181"/>
      <c r="D2231" s="194"/>
      <c r="E2231" s="194"/>
      <c r="F2231" s="181"/>
      <c r="G2231" s="181"/>
      <c r="H2231" s="181"/>
      <c r="I2231" s="181"/>
      <c r="J2231" s="181"/>
      <c r="K2231" s="181"/>
      <c r="L2231" s="181"/>
      <c r="M2231" s="181"/>
      <c r="N2231" s="181"/>
      <c r="O2231" s="181"/>
      <c r="P2231" s="181"/>
      <c r="Q2231" s="181"/>
      <c r="R2231" s="181"/>
      <c r="S2231" s="181"/>
      <c r="T2231" s="181"/>
      <c r="U2231" s="181"/>
      <c r="V2231" s="181"/>
      <c r="W2231" s="181"/>
      <c r="X2231" s="181"/>
      <c r="Y2231" s="181"/>
      <c r="Z2231" s="181"/>
    </row>
    <row r="2232">
      <c r="A2232" s="194"/>
      <c r="B2232" s="195"/>
      <c r="C2232" s="181"/>
      <c r="D2232" s="194"/>
      <c r="E2232" s="194"/>
      <c r="F2232" s="181"/>
      <c r="G2232" s="181"/>
      <c r="H2232" s="181"/>
      <c r="I2232" s="181"/>
      <c r="J2232" s="181"/>
      <c r="K2232" s="181"/>
      <c r="L2232" s="181"/>
      <c r="M2232" s="181"/>
      <c r="N2232" s="181"/>
      <c r="O2232" s="181"/>
      <c r="P2232" s="181"/>
      <c r="Q2232" s="181"/>
      <c r="R2232" s="181"/>
      <c r="S2232" s="181"/>
      <c r="T2232" s="181"/>
      <c r="U2232" s="181"/>
      <c r="V2232" s="181"/>
      <c r="W2232" s="181"/>
      <c r="X2232" s="181"/>
      <c r="Y2232" s="181"/>
      <c r="Z2232" s="181"/>
    </row>
    <row r="2233">
      <c r="A2233" s="194"/>
      <c r="B2233" s="195"/>
      <c r="C2233" s="181"/>
      <c r="D2233" s="194"/>
      <c r="E2233" s="194"/>
      <c r="F2233" s="181"/>
      <c r="G2233" s="181"/>
      <c r="H2233" s="181"/>
      <c r="I2233" s="181"/>
      <c r="J2233" s="181"/>
      <c r="K2233" s="181"/>
      <c r="L2233" s="181"/>
      <c r="M2233" s="181"/>
      <c r="N2233" s="181"/>
      <c r="O2233" s="181"/>
      <c r="P2233" s="181"/>
      <c r="Q2233" s="181"/>
      <c r="R2233" s="181"/>
      <c r="S2233" s="181"/>
      <c r="T2233" s="181"/>
      <c r="U2233" s="181"/>
      <c r="V2233" s="181"/>
      <c r="W2233" s="181"/>
      <c r="X2233" s="181"/>
      <c r="Y2233" s="181"/>
      <c r="Z2233" s="181"/>
    </row>
    <row r="2234">
      <c r="A2234" s="194"/>
      <c r="B2234" s="195"/>
      <c r="C2234" s="181"/>
      <c r="D2234" s="194"/>
      <c r="E2234" s="194"/>
      <c r="F2234" s="181"/>
      <c r="G2234" s="181"/>
      <c r="H2234" s="181"/>
      <c r="I2234" s="181"/>
      <c r="J2234" s="181"/>
      <c r="K2234" s="181"/>
      <c r="L2234" s="181"/>
      <c r="M2234" s="181"/>
      <c r="N2234" s="181"/>
      <c r="O2234" s="181"/>
      <c r="P2234" s="181"/>
      <c r="Q2234" s="181"/>
      <c r="R2234" s="181"/>
      <c r="S2234" s="181"/>
      <c r="T2234" s="181"/>
      <c r="U2234" s="181"/>
      <c r="V2234" s="181"/>
      <c r="W2234" s="181"/>
      <c r="X2234" s="181"/>
      <c r="Y2234" s="181"/>
      <c r="Z2234" s="181"/>
    </row>
    <row r="2235">
      <c r="A2235" s="194"/>
      <c r="B2235" s="195"/>
      <c r="C2235" s="181"/>
      <c r="D2235" s="194"/>
      <c r="E2235" s="194"/>
      <c r="F2235" s="181"/>
      <c r="G2235" s="181"/>
      <c r="H2235" s="181"/>
      <c r="I2235" s="181"/>
      <c r="J2235" s="181"/>
      <c r="K2235" s="181"/>
      <c r="L2235" s="181"/>
      <c r="M2235" s="181"/>
      <c r="N2235" s="181"/>
      <c r="O2235" s="181"/>
      <c r="P2235" s="181"/>
      <c r="Q2235" s="181"/>
      <c r="R2235" s="181"/>
      <c r="S2235" s="181"/>
      <c r="T2235" s="181"/>
      <c r="U2235" s="181"/>
      <c r="V2235" s="181"/>
      <c r="W2235" s="181"/>
      <c r="X2235" s="181"/>
      <c r="Y2235" s="181"/>
      <c r="Z2235" s="181"/>
    </row>
    <row r="2236">
      <c r="A2236" s="194"/>
      <c r="B2236" s="195"/>
      <c r="C2236" s="181"/>
      <c r="D2236" s="194"/>
      <c r="E2236" s="194"/>
      <c r="F2236" s="181"/>
      <c r="G2236" s="181"/>
      <c r="H2236" s="181"/>
      <c r="I2236" s="181"/>
      <c r="J2236" s="181"/>
      <c r="K2236" s="181"/>
      <c r="L2236" s="181"/>
      <c r="M2236" s="181"/>
      <c r="N2236" s="181"/>
      <c r="O2236" s="181"/>
      <c r="P2236" s="181"/>
      <c r="Q2236" s="181"/>
      <c r="R2236" s="181"/>
      <c r="S2236" s="181"/>
      <c r="T2236" s="181"/>
      <c r="U2236" s="181"/>
      <c r="V2236" s="181"/>
      <c r="W2236" s="181"/>
      <c r="X2236" s="181"/>
      <c r="Y2236" s="181"/>
      <c r="Z2236" s="181"/>
    </row>
    <row r="2237">
      <c r="A2237" s="194"/>
      <c r="B2237" s="195"/>
      <c r="C2237" s="181"/>
      <c r="D2237" s="194"/>
      <c r="E2237" s="194"/>
      <c r="F2237" s="181"/>
      <c r="G2237" s="181"/>
      <c r="H2237" s="181"/>
      <c r="I2237" s="181"/>
      <c r="J2237" s="181"/>
      <c r="K2237" s="181"/>
      <c r="L2237" s="181"/>
      <c r="M2237" s="181"/>
      <c r="N2237" s="181"/>
      <c r="O2237" s="181"/>
      <c r="P2237" s="181"/>
      <c r="Q2237" s="181"/>
      <c r="R2237" s="181"/>
      <c r="S2237" s="181"/>
      <c r="T2237" s="181"/>
      <c r="U2237" s="181"/>
      <c r="V2237" s="181"/>
      <c r="W2237" s="181"/>
      <c r="X2237" s="181"/>
      <c r="Y2237" s="181"/>
      <c r="Z2237" s="181"/>
    </row>
    <row r="2238">
      <c r="A2238" s="194"/>
      <c r="B2238" s="195"/>
      <c r="C2238" s="181"/>
      <c r="D2238" s="194"/>
      <c r="E2238" s="194"/>
      <c r="F2238" s="181"/>
      <c r="G2238" s="181"/>
      <c r="H2238" s="181"/>
      <c r="I2238" s="181"/>
      <c r="J2238" s="181"/>
      <c r="K2238" s="181"/>
      <c r="L2238" s="181"/>
      <c r="M2238" s="181"/>
      <c r="N2238" s="181"/>
      <c r="O2238" s="181"/>
      <c r="P2238" s="181"/>
      <c r="Q2238" s="181"/>
      <c r="R2238" s="181"/>
      <c r="S2238" s="181"/>
      <c r="T2238" s="181"/>
      <c r="U2238" s="181"/>
      <c r="V2238" s="181"/>
      <c r="W2238" s="181"/>
      <c r="X2238" s="181"/>
      <c r="Y2238" s="181"/>
      <c r="Z2238" s="181"/>
    </row>
    <row r="2239">
      <c r="A2239" s="194"/>
      <c r="B2239" s="195"/>
      <c r="C2239" s="181"/>
      <c r="D2239" s="194"/>
      <c r="E2239" s="194"/>
      <c r="F2239" s="181"/>
      <c r="G2239" s="181"/>
      <c r="H2239" s="181"/>
      <c r="I2239" s="181"/>
      <c r="J2239" s="181"/>
      <c r="K2239" s="181"/>
      <c r="L2239" s="181"/>
      <c r="M2239" s="181"/>
      <c r="N2239" s="181"/>
      <c r="O2239" s="181"/>
      <c r="P2239" s="181"/>
      <c r="Q2239" s="181"/>
      <c r="R2239" s="181"/>
      <c r="S2239" s="181"/>
      <c r="T2239" s="181"/>
      <c r="U2239" s="181"/>
      <c r="V2239" s="181"/>
      <c r="W2239" s="181"/>
      <c r="X2239" s="181"/>
      <c r="Y2239" s="181"/>
      <c r="Z2239" s="181"/>
    </row>
    <row r="2240">
      <c r="A2240" s="194"/>
      <c r="B2240" s="195"/>
      <c r="C2240" s="181"/>
      <c r="D2240" s="194"/>
      <c r="E2240" s="194"/>
      <c r="F2240" s="181"/>
      <c r="G2240" s="181"/>
      <c r="H2240" s="181"/>
      <c r="I2240" s="181"/>
      <c r="J2240" s="181"/>
      <c r="K2240" s="181"/>
      <c r="L2240" s="181"/>
      <c r="M2240" s="181"/>
      <c r="N2240" s="181"/>
      <c r="O2240" s="181"/>
      <c r="P2240" s="181"/>
      <c r="Q2240" s="181"/>
      <c r="R2240" s="181"/>
      <c r="S2240" s="181"/>
      <c r="T2240" s="181"/>
      <c r="U2240" s="181"/>
      <c r="V2240" s="181"/>
      <c r="W2240" s="181"/>
      <c r="X2240" s="181"/>
      <c r="Y2240" s="181"/>
      <c r="Z2240" s="181"/>
    </row>
    <row r="2241">
      <c r="A2241" s="194"/>
      <c r="B2241" s="195"/>
      <c r="C2241" s="181"/>
      <c r="D2241" s="194"/>
      <c r="E2241" s="194"/>
      <c r="F2241" s="181"/>
      <c r="G2241" s="181"/>
      <c r="H2241" s="181"/>
      <c r="I2241" s="181"/>
      <c r="J2241" s="181"/>
      <c r="K2241" s="181"/>
      <c r="L2241" s="181"/>
      <c r="M2241" s="181"/>
      <c r="N2241" s="181"/>
      <c r="O2241" s="181"/>
      <c r="P2241" s="181"/>
      <c r="Q2241" s="181"/>
      <c r="R2241" s="181"/>
      <c r="S2241" s="181"/>
      <c r="T2241" s="181"/>
      <c r="U2241" s="181"/>
      <c r="V2241" s="181"/>
      <c r="W2241" s="181"/>
      <c r="X2241" s="181"/>
      <c r="Y2241" s="181"/>
      <c r="Z2241" s="181"/>
    </row>
    <row r="2242">
      <c r="A2242" s="194"/>
      <c r="B2242" s="195"/>
      <c r="C2242" s="181"/>
      <c r="D2242" s="194"/>
      <c r="E2242" s="194"/>
      <c r="F2242" s="181"/>
      <c r="G2242" s="181"/>
      <c r="H2242" s="181"/>
      <c r="I2242" s="181"/>
      <c r="J2242" s="181"/>
      <c r="K2242" s="181"/>
      <c r="L2242" s="181"/>
      <c r="M2242" s="181"/>
      <c r="N2242" s="181"/>
      <c r="O2242" s="181"/>
      <c r="P2242" s="181"/>
      <c r="Q2242" s="181"/>
      <c r="R2242" s="181"/>
      <c r="S2242" s="181"/>
      <c r="T2242" s="181"/>
      <c r="U2242" s="181"/>
      <c r="V2242" s="181"/>
      <c r="W2242" s="181"/>
      <c r="X2242" s="181"/>
      <c r="Y2242" s="181"/>
      <c r="Z2242" s="181"/>
    </row>
    <row r="2243">
      <c r="A2243" s="194"/>
      <c r="B2243" s="195"/>
      <c r="C2243" s="181"/>
      <c r="D2243" s="194"/>
      <c r="E2243" s="194"/>
      <c r="F2243" s="181"/>
      <c r="G2243" s="181"/>
      <c r="H2243" s="181"/>
      <c r="I2243" s="181"/>
      <c r="J2243" s="181"/>
      <c r="K2243" s="181"/>
      <c r="L2243" s="181"/>
      <c r="M2243" s="181"/>
      <c r="N2243" s="181"/>
      <c r="O2243" s="181"/>
      <c r="P2243" s="181"/>
      <c r="Q2243" s="181"/>
      <c r="R2243" s="181"/>
      <c r="S2243" s="181"/>
      <c r="T2243" s="181"/>
      <c r="U2243" s="181"/>
      <c r="V2243" s="181"/>
      <c r="W2243" s="181"/>
      <c r="X2243" s="181"/>
      <c r="Y2243" s="181"/>
      <c r="Z2243" s="181"/>
    </row>
    <row r="2244">
      <c r="A2244" s="194"/>
      <c r="B2244" s="195"/>
      <c r="C2244" s="181"/>
      <c r="D2244" s="194"/>
      <c r="E2244" s="194"/>
      <c r="F2244" s="181"/>
      <c r="G2244" s="181"/>
      <c r="H2244" s="181"/>
      <c r="I2244" s="181"/>
      <c r="J2244" s="181"/>
      <c r="K2244" s="181"/>
      <c r="L2244" s="181"/>
      <c r="M2244" s="181"/>
      <c r="N2244" s="181"/>
      <c r="O2244" s="181"/>
      <c r="P2244" s="181"/>
      <c r="Q2244" s="181"/>
      <c r="R2244" s="181"/>
      <c r="S2244" s="181"/>
      <c r="T2244" s="181"/>
      <c r="U2244" s="181"/>
      <c r="V2244" s="181"/>
      <c r="W2244" s="181"/>
      <c r="X2244" s="181"/>
      <c r="Y2244" s="181"/>
      <c r="Z2244" s="181"/>
    </row>
    <row r="2245">
      <c r="A2245" s="194"/>
      <c r="B2245" s="195"/>
      <c r="C2245" s="181"/>
      <c r="D2245" s="194"/>
      <c r="E2245" s="194"/>
      <c r="F2245" s="181"/>
      <c r="G2245" s="181"/>
      <c r="H2245" s="181"/>
      <c r="I2245" s="181"/>
      <c r="J2245" s="181"/>
      <c r="K2245" s="181"/>
      <c r="L2245" s="181"/>
      <c r="M2245" s="181"/>
      <c r="N2245" s="181"/>
      <c r="O2245" s="181"/>
      <c r="P2245" s="181"/>
      <c r="Q2245" s="181"/>
      <c r="R2245" s="181"/>
      <c r="S2245" s="181"/>
      <c r="T2245" s="181"/>
      <c r="U2245" s="181"/>
      <c r="V2245" s="181"/>
      <c r="W2245" s="181"/>
      <c r="X2245" s="181"/>
      <c r="Y2245" s="181"/>
      <c r="Z2245" s="181"/>
    </row>
    <row r="2246">
      <c r="A2246" s="194"/>
      <c r="B2246" s="195"/>
      <c r="C2246" s="181"/>
      <c r="D2246" s="194"/>
      <c r="E2246" s="194"/>
      <c r="F2246" s="181"/>
      <c r="G2246" s="181"/>
      <c r="H2246" s="181"/>
      <c r="I2246" s="181"/>
      <c r="J2246" s="181"/>
      <c r="K2246" s="181"/>
      <c r="L2246" s="181"/>
      <c r="M2246" s="181"/>
      <c r="N2246" s="181"/>
      <c r="O2246" s="181"/>
      <c r="P2246" s="181"/>
      <c r="Q2246" s="181"/>
      <c r="R2246" s="181"/>
      <c r="S2246" s="181"/>
      <c r="T2246" s="181"/>
      <c r="U2246" s="181"/>
      <c r="V2246" s="181"/>
      <c r="W2246" s="181"/>
      <c r="X2246" s="181"/>
      <c r="Y2246" s="181"/>
      <c r="Z2246" s="181"/>
    </row>
    <row r="2247">
      <c r="A2247" s="194"/>
      <c r="B2247" s="195"/>
      <c r="C2247" s="181"/>
      <c r="D2247" s="194"/>
      <c r="E2247" s="194"/>
      <c r="F2247" s="181"/>
      <c r="G2247" s="181"/>
      <c r="H2247" s="181"/>
      <c r="I2247" s="181"/>
      <c r="J2247" s="181"/>
      <c r="K2247" s="181"/>
      <c r="L2247" s="181"/>
      <c r="M2247" s="181"/>
      <c r="N2247" s="181"/>
      <c r="O2247" s="181"/>
      <c r="P2247" s="181"/>
      <c r="Q2247" s="181"/>
      <c r="R2247" s="181"/>
      <c r="S2247" s="181"/>
      <c r="T2247" s="181"/>
      <c r="U2247" s="181"/>
      <c r="V2247" s="181"/>
      <c r="W2247" s="181"/>
      <c r="X2247" s="181"/>
      <c r="Y2247" s="181"/>
      <c r="Z2247" s="181"/>
    </row>
    <row r="2248">
      <c r="A2248" s="194"/>
      <c r="B2248" s="195"/>
      <c r="C2248" s="181"/>
      <c r="D2248" s="194"/>
      <c r="E2248" s="194"/>
      <c r="F2248" s="181"/>
      <c r="G2248" s="181"/>
      <c r="H2248" s="181"/>
      <c r="I2248" s="181"/>
      <c r="J2248" s="181"/>
      <c r="K2248" s="181"/>
      <c r="L2248" s="181"/>
      <c r="M2248" s="181"/>
      <c r="N2248" s="181"/>
      <c r="O2248" s="181"/>
      <c r="P2248" s="181"/>
      <c r="Q2248" s="181"/>
      <c r="R2248" s="181"/>
      <c r="S2248" s="181"/>
      <c r="T2248" s="181"/>
      <c r="U2248" s="181"/>
      <c r="V2248" s="181"/>
      <c r="W2248" s="181"/>
      <c r="X2248" s="181"/>
      <c r="Y2248" s="181"/>
      <c r="Z2248" s="181"/>
    </row>
    <row r="2249">
      <c r="A2249" s="194"/>
      <c r="B2249" s="195"/>
      <c r="C2249" s="181"/>
      <c r="D2249" s="194"/>
      <c r="E2249" s="194"/>
      <c r="F2249" s="181"/>
      <c r="G2249" s="181"/>
      <c r="H2249" s="181"/>
      <c r="I2249" s="181"/>
      <c r="J2249" s="181"/>
      <c r="K2249" s="181"/>
      <c r="L2249" s="181"/>
      <c r="M2249" s="181"/>
      <c r="N2249" s="181"/>
      <c r="O2249" s="181"/>
      <c r="P2249" s="181"/>
      <c r="Q2249" s="181"/>
      <c r="R2249" s="181"/>
      <c r="S2249" s="181"/>
      <c r="T2249" s="181"/>
      <c r="U2249" s="181"/>
      <c r="V2249" s="181"/>
      <c r="W2249" s="181"/>
      <c r="X2249" s="181"/>
      <c r="Y2249" s="181"/>
      <c r="Z2249" s="181"/>
    </row>
    <row r="2250">
      <c r="A2250" s="194"/>
      <c r="B2250" s="195"/>
      <c r="C2250" s="181"/>
      <c r="D2250" s="194"/>
      <c r="E2250" s="194"/>
      <c r="F2250" s="181"/>
      <c r="G2250" s="181"/>
      <c r="H2250" s="181"/>
      <c r="I2250" s="181"/>
      <c r="J2250" s="181"/>
      <c r="K2250" s="181"/>
      <c r="L2250" s="181"/>
      <c r="M2250" s="181"/>
      <c r="N2250" s="181"/>
      <c r="O2250" s="181"/>
      <c r="P2250" s="181"/>
      <c r="Q2250" s="181"/>
      <c r="R2250" s="181"/>
      <c r="S2250" s="181"/>
      <c r="T2250" s="181"/>
      <c r="U2250" s="181"/>
      <c r="V2250" s="181"/>
      <c r="W2250" s="181"/>
      <c r="X2250" s="181"/>
      <c r="Y2250" s="181"/>
      <c r="Z2250" s="181"/>
    </row>
    <row r="2251">
      <c r="A2251" s="194"/>
      <c r="B2251" s="195"/>
      <c r="C2251" s="181"/>
      <c r="D2251" s="194"/>
      <c r="E2251" s="194"/>
      <c r="F2251" s="181"/>
      <c r="G2251" s="181"/>
      <c r="H2251" s="181"/>
      <c r="I2251" s="181"/>
      <c r="J2251" s="181"/>
      <c r="K2251" s="181"/>
      <c r="L2251" s="181"/>
      <c r="M2251" s="181"/>
      <c r="N2251" s="181"/>
      <c r="O2251" s="181"/>
      <c r="P2251" s="181"/>
      <c r="Q2251" s="181"/>
      <c r="R2251" s="181"/>
      <c r="S2251" s="181"/>
      <c r="T2251" s="181"/>
      <c r="U2251" s="181"/>
      <c r="V2251" s="181"/>
      <c r="W2251" s="181"/>
      <c r="X2251" s="181"/>
      <c r="Y2251" s="181"/>
      <c r="Z2251" s="181"/>
    </row>
    <row r="2252">
      <c r="A2252" s="194"/>
      <c r="B2252" s="195"/>
      <c r="C2252" s="181"/>
      <c r="D2252" s="194"/>
      <c r="E2252" s="194"/>
      <c r="F2252" s="181"/>
      <c r="G2252" s="181"/>
      <c r="H2252" s="181"/>
      <c r="I2252" s="181"/>
      <c r="J2252" s="181"/>
      <c r="K2252" s="181"/>
      <c r="L2252" s="181"/>
      <c r="M2252" s="181"/>
      <c r="N2252" s="181"/>
      <c r="O2252" s="181"/>
      <c r="P2252" s="181"/>
      <c r="Q2252" s="181"/>
      <c r="R2252" s="181"/>
      <c r="S2252" s="181"/>
      <c r="T2252" s="181"/>
      <c r="U2252" s="181"/>
      <c r="V2252" s="181"/>
      <c r="W2252" s="181"/>
      <c r="X2252" s="181"/>
      <c r="Y2252" s="181"/>
      <c r="Z2252" s="181"/>
    </row>
    <row r="2253">
      <c r="A2253" s="194"/>
      <c r="B2253" s="195"/>
      <c r="C2253" s="181"/>
      <c r="D2253" s="194"/>
      <c r="E2253" s="194"/>
      <c r="F2253" s="181"/>
      <c r="G2253" s="181"/>
      <c r="H2253" s="181"/>
      <c r="I2253" s="181"/>
      <c r="J2253" s="181"/>
      <c r="K2253" s="181"/>
      <c r="L2253" s="181"/>
      <c r="M2253" s="181"/>
      <c r="N2253" s="181"/>
      <c r="O2253" s="181"/>
      <c r="P2253" s="181"/>
      <c r="Q2253" s="181"/>
      <c r="R2253" s="181"/>
      <c r="S2253" s="181"/>
      <c r="T2253" s="181"/>
      <c r="U2253" s="181"/>
      <c r="V2253" s="181"/>
      <c r="W2253" s="181"/>
      <c r="X2253" s="181"/>
      <c r="Y2253" s="181"/>
      <c r="Z2253" s="181"/>
    </row>
    <row r="2254">
      <c r="A2254" s="194"/>
      <c r="B2254" s="195"/>
      <c r="C2254" s="181"/>
      <c r="D2254" s="194"/>
      <c r="E2254" s="194"/>
      <c r="F2254" s="181"/>
      <c r="G2254" s="181"/>
      <c r="H2254" s="181"/>
      <c r="I2254" s="181"/>
      <c r="J2254" s="181"/>
      <c r="K2254" s="181"/>
      <c r="L2254" s="181"/>
      <c r="M2254" s="181"/>
      <c r="N2254" s="181"/>
      <c r="O2254" s="181"/>
      <c r="P2254" s="181"/>
      <c r="Q2254" s="181"/>
      <c r="R2254" s="181"/>
      <c r="S2254" s="181"/>
      <c r="T2254" s="181"/>
      <c r="U2254" s="181"/>
      <c r="V2254" s="181"/>
      <c r="W2254" s="181"/>
      <c r="X2254" s="181"/>
      <c r="Y2254" s="181"/>
      <c r="Z2254" s="181"/>
    </row>
    <row r="2255">
      <c r="A2255" s="194"/>
      <c r="B2255" s="195"/>
      <c r="C2255" s="181"/>
      <c r="D2255" s="194"/>
      <c r="E2255" s="194"/>
      <c r="F2255" s="181"/>
      <c r="G2255" s="181"/>
      <c r="H2255" s="181"/>
      <c r="I2255" s="181"/>
      <c r="J2255" s="181"/>
      <c r="K2255" s="181"/>
      <c r="L2255" s="181"/>
      <c r="M2255" s="181"/>
      <c r="N2255" s="181"/>
      <c r="O2255" s="181"/>
      <c r="P2255" s="181"/>
      <c r="Q2255" s="181"/>
      <c r="R2255" s="181"/>
      <c r="S2255" s="181"/>
      <c r="T2255" s="181"/>
      <c r="U2255" s="181"/>
      <c r="V2255" s="181"/>
      <c r="W2255" s="181"/>
      <c r="X2255" s="181"/>
      <c r="Y2255" s="181"/>
      <c r="Z2255" s="181"/>
    </row>
    <row r="2256">
      <c r="A2256" s="194"/>
      <c r="B2256" s="195"/>
      <c r="C2256" s="181"/>
      <c r="D2256" s="194"/>
      <c r="E2256" s="194"/>
      <c r="F2256" s="181"/>
      <c r="G2256" s="181"/>
      <c r="H2256" s="181"/>
      <c r="I2256" s="181"/>
      <c r="J2256" s="181"/>
      <c r="K2256" s="181"/>
      <c r="L2256" s="181"/>
      <c r="M2256" s="181"/>
      <c r="N2256" s="181"/>
      <c r="O2256" s="181"/>
      <c r="P2256" s="181"/>
      <c r="Q2256" s="181"/>
      <c r="R2256" s="181"/>
      <c r="S2256" s="181"/>
      <c r="T2256" s="181"/>
      <c r="U2256" s="181"/>
      <c r="V2256" s="181"/>
      <c r="W2256" s="181"/>
      <c r="X2256" s="181"/>
      <c r="Y2256" s="181"/>
      <c r="Z2256" s="181"/>
    </row>
    <row r="2257">
      <c r="A2257" s="194"/>
      <c r="B2257" s="195"/>
      <c r="C2257" s="181"/>
      <c r="D2257" s="194"/>
      <c r="E2257" s="194"/>
      <c r="F2257" s="181"/>
      <c r="G2257" s="181"/>
      <c r="H2257" s="181"/>
      <c r="I2257" s="181"/>
      <c r="J2257" s="181"/>
      <c r="K2257" s="181"/>
      <c r="L2257" s="181"/>
      <c r="M2257" s="181"/>
      <c r="N2257" s="181"/>
      <c r="O2257" s="181"/>
      <c r="P2257" s="181"/>
      <c r="Q2257" s="181"/>
      <c r="R2257" s="181"/>
      <c r="S2257" s="181"/>
      <c r="T2257" s="181"/>
      <c r="U2257" s="181"/>
      <c r="V2257" s="181"/>
      <c r="W2257" s="181"/>
      <c r="X2257" s="181"/>
      <c r="Y2257" s="181"/>
      <c r="Z2257" s="181"/>
    </row>
    <row r="2258">
      <c r="A2258" s="194"/>
      <c r="B2258" s="195"/>
      <c r="C2258" s="181"/>
      <c r="D2258" s="194"/>
      <c r="E2258" s="194"/>
      <c r="F2258" s="181"/>
      <c r="G2258" s="181"/>
      <c r="H2258" s="181"/>
      <c r="I2258" s="181"/>
      <c r="J2258" s="181"/>
      <c r="K2258" s="181"/>
      <c r="L2258" s="181"/>
      <c r="M2258" s="181"/>
      <c r="N2258" s="181"/>
      <c r="O2258" s="181"/>
      <c r="P2258" s="181"/>
      <c r="Q2258" s="181"/>
      <c r="R2258" s="181"/>
      <c r="S2258" s="181"/>
      <c r="T2258" s="181"/>
      <c r="U2258" s="181"/>
      <c r="V2258" s="181"/>
      <c r="W2258" s="181"/>
      <c r="X2258" s="181"/>
      <c r="Y2258" s="181"/>
      <c r="Z2258" s="181"/>
    </row>
    <row r="2259">
      <c r="A2259" s="194"/>
      <c r="B2259" s="195"/>
      <c r="C2259" s="181"/>
      <c r="D2259" s="194"/>
      <c r="E2259" s="194"/>
      <c r="F2259" s="181"/>
      <c r="G2259" s="181"/>
      <c r="H2259" s="181"/>
      <c r="I2259" s="181"/>
      <c r="J2259" s="181"/>
      <c r="K2259" s="181"/>
      <c r="L2259" s="181"/>
      <c r="M2259" s="181"/>
      <c r="N2259" s="181"/>
      <c r="O2259" s="181"/>
      <c r="P2259" s="181"/>
      <c r="Q2259" s="181"/>
      <c r="R2259" s="181"/>
      <c r="S2259" s="181"/>
      <c r="T2259" s="181"/>
      <c r="U2259" s="181"/>
      <c r="V2259" s="181"/>
      <c r="W2259" s="181"/>
      <c r="X2259" s="181"/>
      <c r="Y2259" s="181"/>
      <c r="Z2259" s="181"/>
    </row>
    <row r="2260">
      <c r="A2260" s="194"/>
      <c r="B2260" s="195"/>
      <c r="C2260" s="181"/>
      <c r="D2260" s="194"/>
      <c r="E2260" s="194"/>
      <c r="F2260" s="181"/>
      <c r="G2260" s="181"/>
      <c r="H2260" s="181"/>
      <c r="I2260" s="181"/>
      <c r="J2260" s="181"/>
      <c r="K2260" s="181"/>
      <c r="L2260" s="181"/>
      <c r="M2260" s="181"/>
      <c r="N2260" s="181"/>
      <c r="O2260" s="181"/>
      <c r="P2260" s="181"/>
      <c r="Q2260" s="181"/>
      <c r="R2260" s="181"/>
      <c r="S2260" s="181"/>
      <c r="T2260" s="181"/>
      <c r="U2260" s="181"/>
      <c r="V2260" s="181"/>
      <c r="W2260" s="181"/>
      <c r="X2260" s="181"/>
      <c r="Y2260" s="181"/>
      <c r="Z2260" s="181"/>
    </row>
    <row r="2261">
      <c r="A2261" s="194"/>
      <c r="B2261" s="195"/>
      <c r="C2261" s="181"/>
      <c r="D2261" s="194"/>
      <c r="E2261" s="194"/>
      <c r="F2261" s="181"/>
      <c r="G2261" s="181"/>
      <c r="H2261" s="181"/>
      <c r="I2261" s="181"/>
      <c r="J2261" s="181"/>
      <c r="K2261" s="181"/>
      <c r="L2261" s="181"/>
      <c r="M2261" s="181"/>
      <c r="N2261" s="181"/>
      <c r="O2261" s="181"/>
      <c r="P2261" s="181"/>
      <c r="Q2261" s="181"/>
      <c r="R2261" s="181"/>
      <c r="S2261" s="181"/>
      <c r="T2261" s="181"/>
      <c r="U2261" s="181"/>
      <c r="V2261" s="181"/>
      <c r="W2261" s="181"/>
      <c r="X2261" s="181"/>
      <c r="Y2261" s="181"/>
      <c r="Z2261" s="181"/>
    </row>
    <row r="2262">
      <c r="A2262" s="194"/>
      <c r="B2262" s="195"/>
      <c r="C2262" s="181"/>
      <c r="D2262" s="194"/>
      <c r="E2262" s="194"/>
      <c r="F2262" s="181"/>
      <c r="G2262" s="181"/>
      <c r="H2262" s="181"/>
      <c r="I2262" s="181"/>
      <c r="J2262" s="181"/>
      <c r="K2262" s="181"/>
      <c r="L2262" s="181"/>
      <c r="M2262" s="181"/>
      <c r="N2262" s="181"/>
      <c r="O2262" s="181"/>
      <c r="P2262" s="181"/>
      <c r="Q2262" s="181"/>
      <c r="R2262" s="181"/>
      <c r="S2262" s="181"/>
      <c r="T2262" s="181"/>
      <c r="U2262" s="181"/>
      <c r="V2262" s="181"/>
      <c r="W2262" s="181"/>
      <c r="X2262" s="181"/>
      <c r="Y2262" s="181"/>
      <c r="Z2262" s="181"/>
    </row>
    <row r="2263">
      <c r="A2263" s="194"/>
      <c r="B2263" s="195"/>
      <c r="C2263" s="181"/>
      <c r="D2263" s="194"/>
      <c r="E2263" s="194"/>
      <c r="F2263" s="181"/>
      <c r="G2263" s="181"/>
      <c r="H2263" s="181"/>
      <c r="I2263" s="181"/>
      <c r="J2263" s="181"/>
      <c r="K2263" s="181"/>
      <c r="L2263" s="181"/>
      <c r="M2263" s="181"/>
      <c r="N2263" s="181"/>
      <c r="O2263" s="181"/>
      <c r="P2263" s="181"/>
      <c r="Q2263" s="181"/>
      <c r="R2263" s="181"/>
      <c r="S2263" s="181"/>
      <c r="T2263" s="181"/>
      <c r="U2263" s="181"/>
      <c r="V2263" s="181"/>
      <c r="W2263" s="181"/>
      <c r="X2263" s="181"/>
      <c r="Y2263" s="181"/>
      <c r="Z2263" s="181"/>
    </row>
    <row r="2264">
      <c r="A2264" s="194"/>
      <c r="B2264" s="195"/>
      <c r="C2264" s="181"/>
      <c r="D2264" s="194"/>
      <c r="E2264" s="194"/>
      <c r="F2264" s="181"/>
      <c r="G2264" s="181"/>
      <c r="H2264" s="181"/>
      <c r="I2264" s="181"/>
      <c r="J2264" s="181"/>
      <c r="K2264" s="181"/>
      <c r="L2264" s="181"/>
      <c r="M2264" s="181"/>
      <c r="N2264" s="181"/>
      <c r="O2264" s="181"/>
      <c r="P2264" s="181"/>
      <c r="Q2264" s="181"/>
      <c r="R2264" s="181"/>
      <c r="S2264" s="181"/>
      <c r="T2264" s="181"/>
      <c r="U2264" s="181"/>
      <c r="V2264" s="181"/>
      <c r="W2264" s="181"/>
      <c r="X2264" s="181"/>
      <c r="Y2264" s="181"/>
      <c r="Z2264" s="181"/>
    </row>
    <row r="2265">
      <c r="A2265" s="194"/>
      <c r="B2265" s="195"/>
      <c r="C2265" s="181"/>
      <c r="D2265" s="194"/>
      <c r="E2265" s="194"/>
      <c r="F2265" s="181"/>
      <c r="G2265" s="181"/>
      <c r="H2265" s="181"/>
      <c r="I2265" s="181"/>
      <c r="J2265" s="181"/>
      <c r="K2265" s="181"/>
      <c r="L2265" s="181"/>
      <c r="M2265" s="181"/>
      <c r="N2265" s="181"/>
      <c r="O2265" s="181"/>
      <c r="P2265" s="181"/>
      <c r="Q2265" s="181"/>
      <c r="R2265" s="181"/>
      <c r="S2265" s="181"/>
      <c r="T2265" s="181"/>
      <c r="U2265" s="181"/>
      <c r="V2265" s="181"/>
      <c r="W2265" s="181"/>
      <c r="X2265" s="181"/>
      <c r="Y2265" s="181"/>
      <c r="Z2265" s="181"/>
    </row>
    <row r="2266">
      <c r="A2266" s="194"/>
      <c r="B2266" s="195"/>
      <c r="C2266" s="181"/>
      <c r="D2266" s="194"/>
      <c r="E2266" s="194"/>
      <c r="F2266" s="181"/>
      <c r="G2266" s="181"/>
      <c r="H2266" s="181"/>
      <c r="I2266" s="181"/>
      <c r="J2266" s="181"/>
      <c r="K2266" s="181"/>
      <c r="L2266" s="181"/>
      <c r="M2266" s="181"/>
      <c r="N2266" s="181"/>
      <c r="O2266" s="181"/>
      <c r="P2266" s="181"/>
      <c r="Q2266" s="181"/>
      <c r="R2266" s="181"/>
      <c r="S2266" s="181"/>
      <c r="T2266" s="181"/>
      <c r="U2266" s="181"/>
      <c r="V2266" s="181"/>
      <c r="W2266" s="181"/>
      <c r="X2266" s="181"/>
      <c r="Y2266" s="181"/>
      <c r="Z2266" s="181"/>
    </row>
    <row r="2267">
      <c r="A2267" s="194"/>
      <c r="B2267" s="195"/>
      <c r="C2267" s="181"/>
      <c r="D2267" s="194"/>
      <c r="E2267" s="194"/>
      <c r="F2267" s="181"/>
      <c r="G2267" s="181"/>
      <c r="H2267" s="181"/>
      <c r="I2267" s="181"/>
      <c r="J2267" s="181"/>
      <c r="K2267" s="181"/>
      <c r="L2267" s="181"/>
      <c r="M2267" s="181"/>
      <c r="N2267" s="181"/>
      <c r="O2267" s="181"/>
      <c r="P2267" s="181"/>
      <c r="Q2267" s="181"/>
      <c r="R2267" s="181"/>
      <c r="S2267" s="181"/>
      <c r="T2267" s="181"/>
      <c r="U2267" s="181"/>
      <c r="V2267" s="181"/>
      <c r="W2267" s="181"/>
      <c r="X2267" s="181"/>
      <c r="Y2267" s="181"/>
      <c r="Z2267" s="181"/>
    </row>
    <row r="2268">
      <c r="A2268" s="194"/>
      <c r="B2268" s="195"/>
      <c r="C2268" s="181"/>
      <c r="D2268" s="194"/>
      <c r="E2268" s="194"/>
      <c r="F2268" s="181"/>
      <c r="G2268" s="181"/>
      <c r="H2268" s="181"/>
      <c r="I2268" s="181"/>
      <c r="J2268" s="181"/>
      <c r="K2268" s="181"/>
      <c r="L2268" s="181"/>
      <c r="M2268" s="181"/>
      <c r="N2268" s="181"/>
      <c r="O2268" s="181"/>
      <c r="P2268" s="181"/>
      <c r="Q2268" s="181"/>
      <c r="R2268" s="181"/>
      <c r="S2268" s="181"/>
      <c r="T2268" s="181"/>
      <c r="U2268" s="181"/>
      <c r="V2268" s="181"/>
      <c r="W2268" s="181"/>
      <c r="X2268" s="181"/>
      <c r="Y2268" s="181"/>
      <c r="Z2268" s="181"/>
    </row>
    <row r="2269">
      <c r="A2269" s="194"/>
      <c r="B2269" s="195"/>
      <c r="C2269" s="181"/>
      <c r="D2269" s="194"/>
      <c r="E2269" s="194"/>
      <c r="F2269" s="181"/>
      <c r="G2269" s="181"/>
      <c r="H2269" s="181"/>
      <c r="I2269" s="181"/>
      <c r="J2269" s="181"/>
      <c r="K2269" s="181"/>
      <c r="L2269" s="181"/>
      <c r="M2269" s="181"/>
      <c r="N2269" s="181"/>
      <c r="O2269" s="181"/>
      <c r="P2269" s="181"/>
      <c r="Q2269" s="181"/>
      <c r="R2269" s="181"/>
      <c r="S2269" s="181"/>
      <c r="T2269" s="181"/>
      <c r="U2269" s="181"/>
      <c r="V2269" s="181"/>
      <c r="W2269" s="181"/>
      <c r="X2269" s="181"/>
      <c r="Y2269" s="181"/>
      <c r="Z2269" s="181"/>
    </row>
    <row r="2270">
      <c r="A2270" s="194"/>
      <c r="B2270" s="195"/>
      <c r="C2270" s="181"/>
      <c r="D2270" s="194"/>
      <c r="E2270" s="194"/>
      <c r="F2270" s="181"/>
      <c r="G2270" s="181"/>
      <c r="H2270" s="181"/>
      <c r="I2270" s="181"/>
      <c r="J2270" s="181"/>
      <c r="K2270" s="181"/>
      <c r="L2270" s="181"/>
      <c r="M2270" s="181"/>
      <c r="N2270" s="181"/>
      <c r="O2270" s="181"/>
      <c r="P2270" s="181"/>
      <c r="Q2270" s="181"/>
      <c r="R2270" s="181"/>
      <c r="S2270" s="181"/>
      <c r="T2270" s="181"/>
      <c r="U2270" s="181"/>
      <c r="V2270" s="181"/>
      <c r="W2270" s="181"/>
      <c r="X2270" s="181"/>
      <c r="Y2270" s="181"/>
      <c r="Z2270" s="181"/>
    </row>
    <row r="2271">
      <c r="A2271" s="194"/>
      <c r="B2271" s="195"/>
      <c r="C2271" s="181"/>
      <c r="D2271" s="194"/>
      <c r="E2271" s="194"/>
      <c r="F2271" s="181"/>
      <c r="G2271" s="181"/>
      <c r="H2271" s="181"/>
      <c r="I2271" s="181"/>
      <c r="J2271" s="181"/>
      <c r="K2271" s="181"/>
      <c r="L2271" s="181"/>
      <c r="M2271" s="181"/>
      <c r="N2271" s="181"/>
      <c r="O2271" s="181"/>
      <c r="P2271" s="181"/>
      <c r="Q2271" s="181"/>
      <c r="R2271" s="181"/>
      <c r="S2271" s="181"/>
      <c r="T2271" s="181"/>
      <c r="U2271" s="181"/>
      <c r="V2271" s="181"/>
      <c r="W2271" s="181"/>
      <c r="X2271" s="181"/>
      <c r="Y2271" s="181"/>
      <c r="Z2271" s="181"/>
    </row>
    <row r="2272">
      <c r="A2272" s="194"/>
      <c r="B2272" s="195"/>
      <c r="C2272" s="181"/>
      <c r="D2272" s="194"/>
      <c r="E2272" s="194"/>
      <c r="F2272" s="181"/>
      <c r="G2272" s="181"/>
      <c r="H2272" s="181"/>
      <c r="I2272" s="181"/>
      <c r="J2272" s="181"/>
      <c r="K2272" s="181"/>
      <c r="L2272" s="181"/>
      <c r="M2272" s="181"/>
      <c r="N2272" s="181"/>
      <c r="O2272" s="181"/>
      <c r="P2272" s="181"/>
      <c r="Q2272" s="181"/>
      <c r="R2272" s="181"/>
      <c r="S2272" s="181"/>
      <c r="T2272" s="181"/>
      <c r="U2272" s="181"/>
      <c r="V2272" s="181"/>
      <c r="W2272" s="181"/>
      <c r="X2272" s="181"/>
      <c r="Y2272" s="181"/>
      <c r="Z2272" s="181"/>
    </row>
    <row r="2273">
      <c r="A2273" s="194"/>
      <c r="B2273" s="195"/>
      <c r="C2273" s="181"/>
      <c r="D2273" s="194"/>
      <c r="E2273" s="194"/>
      <c r="F2273" s="181"/>
      <c r="G2273" s="181"/>
      <c r="H2273" s="181"/>
      <c r="I2273" s="181"/>
      <c r="J2273" s="181"/>
      <c r="K2273" s="181"/>
      <c r="L2273" s="181"/>
      <c r="M2273" s="181"/>
      <c r="N2273" s="181"/>
      <c r="O2273" s="181"/>
      <c r="P2273" s="181"/>
      <c r="Q2273" s="181"/>
      <c r="R2273" s="181"/>
      <c r="S2273" s="181"/>
      <c r="T2273" s="181"/>
      <c r="U2273" s="181"/>
      <c r="V2273" s="181"/>
      <c r="W2273" s="181"/>
      <c r="X2273" s="181"/>
      <c r="Y2273" s="181"/>
      <c r="Z2273" s="181"/>
    </row>
    <row r="2274">
      <c r="A2274" s="194"/>
      <c r="B2274" s="195"/>
      <c r="C2274" s="181"/>
      <c r="D2274" s="194"/>
      <c r="E2274" s="194"/>
      <c r="F2274" s="181"/>
      <c r="G2274" s="181"/>
      <c r="H2274" s="181"/>
      <c r="I2274" s="181"/>
      <c r="J2274" s="181"/>
      <c r="K2274" s="181"/>
      <c r="L2274" s="181"/>
      <c r="M2274" s="181"/>
      <c r="N2274" s="181"/>
      <c r="O2274" s="181"/>
      <c r="P2274" s="181"/>
      <c r="Q2274" s="181"/>
      <c r="R2274" s="181"/>
      <c r="S2274" s="181"/>
      <c r="T2274" s="181"/>
      <c r="U2274" s="181"/>
      <c r="V2274" s="181"/>
      <c r="W2274" s="181"/>
      <c r="X2274" s="181"/>
      <c r="Y2274" s="181"/>
      <c r="Z2274" s="181"/>
    </row>
    <row r="2275">
      <c r="A2275" s="194"/>
      <c r="B2275" s="195"/>
      <c r="C2275" s="181"/>
      <c r="D2275" s="194"/>
      <c r="E2275" s="194"/>
      <c r="F2275" s="181"/>
      <c r="G2275" s="181"/>
      <c r="H2275" s="181"/>
      <c r="I2275" s="181"/>
      <c r="J2275" s="181"/>
      <c r="K2275" s="181"/>
      <c r="L2275" s="181"/>
      <c r="M2275" s="181"/>
      <c r="N2275" s="181"/>
      <c r="O2275" s="181"/>
      <c r="P2275" s="181"/>
      <c r="Q2275" s="181"/>
      <c r="R2275" s="181"/>
      <c r="S2275" s="181"/>
      <c r="T2275" s="181"/>
      <c r="U2275" s="181"/>
      <c r="V2275" s="181"/>
      <c r="W2275" s="181"/>
      <c r="X2275" s="181"/>
      <c r="Y2275" s="181"/>
      <c r="Z2275" s="181"/>
    </row>
    <row r="2276">
      <c r="A2276" s="194"/>
      <c r="B2276" s="195"/>
      <c r="C2276" s="181"/>
      <c r="D2276" s="194"/>
      <c r="E2276" s="194"/>
      <c r="F2276" s="181"/>
      <c r="G2276" s="181"/>
      <c r="H2276" s="181"/>
      <c r="I2276" s="181"/>
      <c r="J2276" s="181"/>
      <c r="K2276" s="181"/>
      <c r="L2276" s="181"/>
      <c r="M2276" s="181"/>
      <c r="N2276" s="181"/>
      <c r="O2276" s="181"/>
      <c r="P2276" s="181"/>
      <c r="Q2276" s="181"/>
      <c r="R2276" s="181"/>
      <c r="S2276" s="181"/>
      <c r="T2276" s="181"/>
      <c r="U2276" s="181"/>
      <c r="V2276" s="181"/>
      <c r="W2276" s="181"/>
      <c r="X2276" s="181"/>
      <c r="Y2276" s="181"/>
      <c r="Z2276" s="181"/>
    </row>
    <row r="2277">
      <c r="A2277" s="194"/>
      <c r="B2277" s="195"/>
      <c r="C2277" s="181"/>
      <c r="D2277" s="194"/>
      <c r="E2277" s="194"/>
      <c r="F2277" s="181"/>
      <c r="G2277" s="181"/>
      <c r="H2277" s="181"/>
      <c r="I2277" s="181"/>
      <c r="J2277" s="181"/>
      <c r="K2277" s="181"/>
      <c r="L2277" s="181"/>
      <c r="M2277" s="181"/>
      <c r="N2277" s="181"/>
      <c r="O2277" s="181"/>
      <c r="P2277" s="181"/>
      <c r="Q2277" s="181"/>
      <c r="R2277" s="181"/>
      <c r="S2277" s="181"/>
      <c r="T2277" s="181"/>
      <c r="U2277" s="181"/>
      <c r="V2277" s="181"/>
      <c r="W2277" s="181"/>
      <c r="X2277" s="181"/>
      <c r="Y2277" s="181"/>
      <c r="Z2277" s="181"/>
    </row>
    <row r="2278">
      <c r="A2278" s="194"/>
      <c r="B2278" s="195"/>
      <c r="C2278" s="181"/>
      <c r="D2278" s="194"/>
      <c r="E2278" s="194"/>
      <c r="F2278" s="181"/>
      <c r="G2278" s="181"/>
      <c r="H2278" s="181"/>
      <c r="I2278" s="181"/>
      <c r="J2278" s="181"/>
      <c r="K2278" s="181"/>
      <c r="L2278" s="181"/>
      <c r="M2278" s="181"/>
      <c r="N2278" s="181"/>
      <c r="O2278" s="181"/>
      <c r="P2278" s="181"/>
      <c r="Q2278" s="181"/>
      <c r="R2278" s="181"/>
      <c r="S2278" s="181"/>
      <c r="T2278" s="181"/>
      <c r="U2278" s="181"/>
      <c r="V2278" s="181"/>
      <c r="W2278" s="181"/>
      <c r="X2278" s="181"/>
      <c r="Y2278" s="181"/>
      <c r="Z2278" s="181"/>
    </row>
    <row r="2279">
      <c r="A2279" s="194"/>
      <c r="B2279" s="195"/>
      <c r="C2279" s="181"/>
      <c r="D2279" s="194"/>
      <c r="E2279" s="194"/>
      <c r="F2279" s="181"/>
      <c r="G2279" s="181"/>
      <c r="H2279" s="181"/>
      <c r="I2279" s="181"/>
      <c r="J2279" s="181"/>
      <c r="K2279" s="181"/>
      <c r="L2279" s="181"/>
      <c r="M2279" s="181"/>
      <c r="N2279" s="181"/>
      <c r="O2279" s="181"/>
      <c r="P2279" s="181"/>
      <c r="Q2279" s="181"/>
      <c r="R2279" s="181"/>
      <c r="S2279" s="181"/>
      <c r="T2279" s="181"/>
      <c r="U2279" s="181"/>
      <c r="V2279" s="181"/>
      <c r="W2279" s="181"/>
      <c r="X2279" s="181"/>
      <c r="Y2279" s="181"/>
      <c r="Z2279" s="181"/>
    </row>
    <row r="2280">
      <c r="A2280" s="194"/>
      <c r="B2280" s="195"/>
      <c r="C2280" s="181"/>
      <c r="D2280" s="194"/>
      <c r="E2280" s="194"/>
      <c r="F2280" s="181"/>
      <c r="G2280" s="181"/>
      <c r="H2280" s="181"/>
      <c r="I2280" s="181"/>
      <c r="J2280" s="181"/>
      <c r="K2280" s="181"/>
      <c r="L2280" s="181"/>
      <c r="M2280" s="181"/>
      <c r="N2280" s="181"/>
      <c r="O2280" s="181"/>
      <c r="P2280" s="181"/>
      <c r="Q2280" s="181"/>
      <c r="R2280" s="181"/>
      <c r="S2280" s="181"/>
      <c r="T2280" s="181"/>
      <c r="U2280" s="181"/>
      <c r="V2280" s="181"/>
      <c r="W2280" s="181"/>
      <c r="X2280" s="181"/>
      <c r="Y2280" s="181"/>
      <c r="Z2280" s="181"/>
    </row>
    <row r="2281">
      <c r="A2281" s="194"/>
      <c r="B2281" s="195"/>
      <c r="C2281" s="181"/>
      <c r="D2281" s="194"/>
      <c r="E2281" s="194"/>
      <c r="F2281" s="181"/>
      <c r="G2281" s="181"/>
      <c r="H2281" s="181"/>
      <c r="I2281" s="181"/>
      <c r="J2281" s="181"/>
      <c r="K2281" s="181"/>
      <c r="L2281" s="181"/>
      <c r="M2281" s="181"/>
      <c r="N2281" s="181"/>
      <c r="O2281" s="181"/>
      <c r="P2281" s="181"/>
      <c r="Q2281" s="181"/>
      <c r="R2281" s="181"/>
      <c r="S2281" s="181"/>
      <c r="T2281" s="181"/>
      <c r="U2281" s="181"/>
      <c r="V2281" s="181"/>
      <c r="W2281" s="181"/>
      <c r="X2281" s="181"/>
      <c r="Y2281" s="181"/>
      <c r="Z2281" s="181"/>
    </row>
    <row r="2282">
      <c r="A2282" s="194"/>
      <c r="B2282" s="195"/>
      <c r="C2282" s="181"/>
      <c r="D2282" s="194"/>
      <c r="E2282" s="194"/>
      <c r="F2282" s="181"/>
      <c r="G2282" s="181"/>
      <c r="H2282" s="181"/>
      <c r="I2282" s="181"/>
      <c r="J2282" s="181"/>
      <c r="K2282" s="181"/>
      <c r="L2282" s="181"/>
      <c r="M2282" s="181"/>
      <c r="N2282" s="181"/>
      <c r="O2282" s="181"/>
      <c r="P2282" s="181"/>
      <c r="Q2282" s="181"/>
      <c r="R2282" s="181"/>
      <c r="S2282" s="181"/>
      <c r="T2282" s="181"/>
      <c r="U2282" s="181"/>
      <c r="V2282" s="181"/>
      <c r="W2282" s="181"/>
      <c r="X2282" s="181"/>
      <c r="Y2282" s="181"/>
      <c r="Z2282" s="181"/>
    </row>
    <row r="2283">
      <c r="A2283" s="194"/>
      <c r="B2283" s="195"/>
      <c r="C2283" s="181"/>
      <c r="D2283" s="194"/>
      <c r="E2283" s="194"/>
      <c r="F2283" s="181"/>
      <c r="G2283" s="181"/>
      <c r="H2283" s="181"/>
      <c r="I2283" s="181"/>
      <c r="J2283" s="181"/>
      <c r="K2283" s="181"/>
      <c r="L2283" s="181"/>
      <c r="M2283" s="181"/>
      <c r="N2283" s="181"/>
      <c r="O2283" s="181"/>
      <c r="P2283" s="181"/>
      <c r="Q2283" s="181"/>
      <c r="R2283" s="181"/>
      <c r="S2283" s="181"/>
      <c r="T2283" s="181"/>
      <c r="U2283" s="181"/>
      <c r="V2283" s="181"/>
      <c r="W2283" s="181"/>
      <c r="X2283" s="181"/>
      <c r="Y2283" s="181"/>
      <c r="Z2283" s="181"/>
    </row>
    <row r="2284">
      <c r="A2284" s="194"/>
      <c r="B2284" s="195"/>
      <c r="C2284" s="181"/>
      <c r="D2284" s="194"/>
      <c r="E2284" s="194"/>
      <c r="F2284" s="181"/>
      <c r="G2284" s="181"/>
      <c r="H2284" s="181"/>
      <c r="I2284" s="181"/>
      <c r="J2284" s="181"/>
      <c r="K2284" s="181"/>
      <c r="L2284" s="181"/>
      <c r="M2284" s="181"/>
      <c r="N2284" s="181"/>
      <c r="O2284" s="181"/>
      <c r="P2284" s="181"/>
      <c r="Q2284" s="181"/>
      <c r="R2284" s="181"/>
      <c r="S2284" s="181"/>
      <c r="T2284" s="181"/>
      <c r="U2284" s="181"/>
      <c r="V2284" s="181"/>
      <c r="W2284" s="181"/>
      <c r="X2284" s="181"/>
      <c r="Y2284" s="181"/>
      <c r="Z2284" s="181"/>
    </row>
    <row r="2285">
      <c r="A2285" s="194"/>
      <c r="B2285" s="195"/>
      <c r="C2285" s="181"/>
      <c r="D2285" s="194"/>
      <c r="E2285" s="194"/>
      <c r="F2285" s="181"/>
      <c r="G2285" s="181"/>
      <c r="H2285" s="181"/>
      <c r="I2285" s="181"/>
      <c r="J2285" s="181"/>
      <c r="K2285" s="181"/>
      <c r="L2285" s="181"/>
      <c r="M2285" s="181"/>
      <c r="N2285" s="181"/>
      <c r="O2285" s="181"/>
      <c r="P2285" s="181"/>
      <c r="Q2285" s="181"/>
      <c r="R2285" s="181"/>
      <c r="S2285" s="181"/>
      <c r="T2285" s="181"/>
      <c r="U2285" s="181"/>
      <c r="V2285" s="181"/>
      <c r="W2285" s="181"/>
      <c r="X2285" s="181"/>
      <c r="Y2285" s="181"/>
      <c r="Z2285" s="181"/>
    </row>
    <row r="2286">
      <c r="A2286" s="194"/>
      <c r="B2286" s="195"/>
      <c r="C2286" s="181"/>
      <c r="D2286" s="194"/>
      <c r="E2286" s="194"/>
      <c r="F2286" s="181"/>
      <c r="G2286" s="181"/>
      <c r="H2286" s="181"/>
      <c r="I2286" s="181"/>
      <c r="J2286" s="181"/>
      <c r="K2286" s="181"/>
      <c r="L2286" s="181"/>
      <c r="M2286" s="181"/>
      <c r="N2286" s="181"/>
      <c r="O2286" s="181"/>
      <c r="P2286" s="181"/>
      <c r="Q2286" s="181"/>
      <c r="R2286" s="181"/>
      <c r="S2286" s="181"/>
      <c r="T2286" s="181"/>
      <c r="U2286" s="181"/>
      <c r="V2286" s="181"/>
      <c r="W2286" s="181"/>
      <c r="X2286" s="181"/>
      <c r="Y2286" s="181"/>
      <c r="Z2286" s="181"/>
    </row>
    <row r="2287">
      <c r="A2287" s="194"/>
      <c r="B2287" s="195"/>
      <c r="C2287" s="181"/>
      <c r="D2287" s="194"/>
      <c r="E2287" s="194"/>
      <c r="F2287" s="181"/>
      <c r="G2287" s="181"/>
      <c r="H2287" s="181"/>
      <c r="I2287" s="181"/>
      <c r="J2287" s="181"/>
      <c r="K2287" s="181"/>
      <c r="L2287" s="181"/>
      <c r="M2287" s="181"/>
      <c r="N2287" s="181"/>
      <c r="O2287" s="181"/>
      <c r="P2287" s="181"/>
      <c r="Q2287" s="181"/>
      <c r="R2287" s="181"/>
      <c r="S2287" s="181"/>
      <c r="T2287" s="181"/>
      <c r="U2287" s="181"/>
      <c r="V2287" s="181"/>
      <c r="W2287" s="181"/>
      <c r="X2287" s="181"/>
      <c r="Y2287" s="181"/>
      <c r="Z2287" s="181"/>
    </row>
    <row r="2288">
      <c r="A2288" s="194"/>
      <c r="B2288" s="195"/>
      <c r="C2288" s="181"/>
      <c r="D2288" s="194"/>
      <c r="E2288" s="194"/>
      <c r="F2288" s="181"/>
      <c r="G2288" s="181"/>
      <c r="H2288" s="181"/>
      <c r="I2288" s="181"/>
      <c r="J2288" s="181"/>
      <c r="K2288" s="181"/>
      <c r="L2288" s="181"/>
      <c r="M2288" s="181"/>
      <c r="N2288" s="181"/>
      <c r="O2288" s="181"/>
      <c r="P2288" s="181"/>
      <c r="Q2288" s="181"/>
      <c r="R2288" s="181"/>
      <c r="S2288" s="181"/>
      <c r="T2288" s="181"/>
      <c r="U2288" s="181"/>
      <c r="V2288" s="181"/>
      <c r="W2288" s="181"/>
      <c r="X2288" s="181"/>
      <c r="Y2288" s="181"/>
      <c r="Z2288" s="181"/>
    </row>
    <row r="2289">
      <c r="A2289" s="194"/>
      <c r="B2289" s="195"/>
      <c r="C2289" s="181"/>
      <c r="D2289" s="194"/>
      <c r="E2289" s="194"/>
      <c r="F2289" s="181"/>
      <c r="G2289" s="181"/>
      <c r="H2289" s="181"/>
      <c r="I2289" s="181"/>
      <c r="J2289" s="181"/>
      <c r="K2289" s="181"/>
      <c r="L2289" s="181"/>
      <c r="M2289" s="181"/>
      <c r="N2289" s="181"/>
      <c r="O2289" s="181"/>
      <c r="P2289" s="181"/>
      <c r="Q2289" s="181"/>
      <c r="R2289" s="181"/>
      <c r="S2289" s="181"/>
      <c r="T2289" s="181"/>
      <c r="U2289" s="181"/>
      <c r="V2289" s="181"/>
      <c r="W2289" s="181"/>
      <c r="X2289" s="181"/>
      <c r="Y2289" s="181"/>
      <c r="Z2289" s="181"/>
    </row>
    <row r="2290">
      <c r="A2290" s="194"/>
      <c r="B2290" s="195"/>
      <c r="C2290" s="181"/>
      <c r="D2290" s="194"/>
      <c r="E2290" s="194"/>
      <c r="F2290" s="181"/>
      <c r="G2290" s="181"/>
      <c r="H2290" s="181"/>
      <c r="I2290" s="181"/>
      <c r="J2290" s="181"/>
      <c r="K2290" s="181"/>
      <c r="L2290" s="181"/>
      <c r="M2290" s="181"/>
      <c r="N2290" s="181"/>
      <c r="O2290" s="181"/>
      <c r="P2290" s="181"/>
      <c r="Q2290" s="181"/>
      <c r="R2290" s="181"/>
      <c r="S2290" s="181"/>
      <c r="T2290" s="181"/>
      <c r="U2290" s="181"/>
      <c r="V2290" s="181"/>
      <c r="W2290" s="181"/>
      <c r="X2290" s="181"/>
      <c r="Y2290" s="181"/>
      <c r="Z2290" s="181"/>
    </row>
    <row r="2291">
      <c r="A2291" s="194"/>
      <c r="B2291" s="195"/>
      <c r="C2291" s="181"/>
      <c r="D2291" s="194"/>
      <c r="E2291" s="194"/>
      <c r="F2291" s="181"/>
      <c r="G2291" s="181"/>
      <c r="H2291" s="181"/>
      <c r="I2291" s="181"/>
      <c r="J2291" s="181"/>
      <c r="K2291" s="181"/>
      <c r="L2291" s="181"/>
      <c r="M2291" s="181"/>
      <c r="N2291" s="181"/>
      <c r="O2291" s="181"/>
      <c r="P2291" s="181"/>
      <c r="Q2291" s="181"/>
      <c r="R2291" s="181"/>
      <c r="S2291" s="181"/>
      <c r="T2291" s="181"/>
      <c r="U2291" s="181"/>
      <c r="V2291" s="181"/>
      <c r="W2291" s="181"/>
      <c r="X2291" s="181"/>
      <c r="Y2291" s="181"/>
      <c r="Z2291" s="181"/>
    </row>
    <row r="2292">
      <c r="A2292" s="194"/>
      <c r="B2292" s="195"/>
      <c r="C2292" s="181"/>
      <c r="D2292" s="194"/>
      <c r="E2292" s="194"/>
      <c r="F2292" s="181"/>
      <c r="G2292" s="181"/>
      <c r="H2292" s="181"/>
      <c r="I2292" s="181"/>
      <c r="J2292" s="181"/>
      <c r="K2292" s="181"/>
      <c r="L2292" s="181"/>
      <c r="M2292" s="181"/>
      <c r="N2292" s="181"/>
      <c r="O2292" s="181"/>
      <c r="P2292" s="181"/>
      <c r="Q2292" s="181"/>
      <c r="R2292" s="181"/>
      <c r="S2292" s="181"/>
      <c r="T2292" s="181"/>
      <c r="U2292" s="181"/>
      <c r="V2292" s="181"/>
      <c r="W2292" s="181"/>
      <c r="X2292" s="181"/>
      <c r="Y2292" s="181"/>
      <c r="Z2292" s="181"/>
    </row>
    <row r="2293">
      <c r="A2293" s="194"/>
      <c r="B2293" s="195"/>
      <c r="C2293" s="181"/>
      <c r="D2293" s="194"/>
      <c r="E2293" s="194"/>
      <c r="F2293" s="181"/>
      <c r="G2293" s="181"/>
      <c r="H2293" s="181"/>
      <c r="I2293" s="181"/>
      <c r="J2293" s="181"/>
      <c r="K2293" s="181"/>
      <c r="L2293" s="181"/>
      <c r="M2293" s="181"/>
      <c r="N2293" s="181"/>
      <c r="O2293" s="181"/>
      <c r="P2293" s="181"/>
      <c r="Q2293" s="181"/>
      <c r="R2293" s="181"/>
      <c r="S2293" s="181"/>
      <c r="T2293" s="181"/>
      <c r="U2293" s="181"/>
      <c r="V2293" s="181"/>
      <c r="W2293" s="181"/>
      <c r="X2293" s="181"/>
      <c r="Y2293" s="181"/>
      <c r="Z2293" s="181"/>
    </row>
    <row r="2294">
      <c r="A2294" s="194"/>
      <c r="B2294" s="195"/>
      <c r="C2294" s="181"/>
      <c r="D2294" s="194"/>
      <c r="E2294" s="194"/>
      <c r="F2294" s="181"/>
      <c r="G2294" s="181"/>
      <c r="H2294" s="181"/>
      <c r="I2294" s="181"/>
      <c r="J2294" s="181"/>
      <c r="K2294" s="181"/>
      <c r="L2294" s="181"/>
      <c r="M2294" s="181"/>
      <c r="N2294" s="181"/>
      <c r="O2294" s="181"/>
      <c r="P2294" s="181"/>
      <c r="Q2294" s="181"/>
      <c r="R2294" s="181"/>
      <c r="S2294" s="181"/>
      <c r="T2294" s="181"/>
      <c r="U2294" s="181"/>
      <c r="V2294" s="181"/>
      <c r="W2294" s="181"/>
      <c r="X2294" s="181"/>
      <c r="Y2294" s="181"/>
      <c r="Z2294" s="181"/>
    </row>
    <row r="2295">
      <c r="A2295" s="194"/>
      <c r="B2295" s="195"/>
      <c r="C2295" s="181"/>
      <c r="D2295" s="194"/>
      <c r="E2295" s="194"/>
      <c r="F2295" s="181"/>
      <c r="G2295" s="181"/>
      <c r="H2295" s="181"/>
      <c r="I2295" s="181"/>
      <c r="J2295" s="181"/>
      <c r="K2295" s="181"/>
      <c r="L2295" s="181"/>
      <c r="M2295" s="181"/>
      <c r="N2295" s="181"/>
      <c r="O2295" s="181"/>
      <c r="P2295" s="181"/>
      <c r="Q2295" s="181"/>
      <c r="R2295" s="181"/>
      <c r="S2295" s="181"/>
      <c r="T2295" s="181"/>
      <c r="U2295" s="181"/>
      <c r="V2295" s="181"/>
      <c r="W2295" s="181"/>
      <c r="X2295" s="181"/>
      <c r="Y2295" s="181"/>
      <c r="Z2295" s="181"/>
    </row>
    <row r="2296">
      <c r="A2296" s="194"/>
      <c r="B2296" s="195"/>
      <c r="C2296" s="181"/>
      <c r="D2296" s="194"/>
      <c r="E2296" s="194"/>
      <c r="F2296" s="181"/>
      <c r="G2296" s="181"/>
      <c r="H2296" s="181"/>
      <c r="I2296" s="181"/>
      <c r="J2296" s="181"/>
      <c r="K2296" s="181"/>
      <c r="L2296" s="181"/>
      <c r="M2296" s="181"/>
      <c r="N2296" s="181"/>
      <c r="O2296" s="181"/>
      <c r="P2296" s="181"/>
      <c r="Q2296" s="181"/>
      <c r="R2296" s="181"/>
      <c r="S2296" s="181"/>
      <c r="T2296" s="181"/>
      <c r="U2296" s="181"/>
      <c r="V2296" s="181"/>
      <c r="W2296" s="181"/>
      <c r="X2296" s="181"/>
      <c r="Y2296" s="181"/>
      <c r="Z2296" s="181"/>
    </row>
    <row r="2297">
      <c r="A2297" s="194"/>
      <c r="B2297" s="195"/>
      <c r="C2297" s="181"/>
      <c r="D2297" s="194"/>
      <c r="E2297" s="194"/>
      <c r="F2297" s="181"/>
      <c r="G2297" s="181"/>
      <c r="H2297" s="181"/>
      <c r="I2297" s="181"/>
      <c r="J2297" s="181"/>
      <c r="K2297" s="181"/>
      <c r="L2297" s="181"/>
      <c r="M2297" s="181"/>
      <c r="N2297" s="181"/>
      <c r="O2297" s="181"/>
      <c r="P2297" s="181"/>
      <c r="Q2297" s="181"/>
      <c r="R2297" s="181"/>
      <c r="S2297" s="181"/>
      <c r="T2297" s="181"/>
      <c r="U2297" s="181"/>
      <c r="V2297" s="181"/>
      <c r="W2297" s="181"/>
      <c r="X2297" s="181"/>
      <c r="Y2297" s="181"/>
      <c r="Z2297" s="181"/>
    </row>
    <row r="2298">
      <c r="A2298" s="194"/>
      <c r="B2298" s="195"/>
      <c r="C2298" s="181"/>
      <c r="D2298" s="194"/>
      <c r="E2298" s="194"/>
      <c r="F2298" s="181"/>
      <c r="G2298" s="181"/>
      <c r="H2298" s="181"/>
      <c r="I2298" s="181"/>
      <c r="J2298" s="181"/>
      <c r="K2298" s="181"/>
      <c r="L2298" s="181"/>
      <c r="M2298" s="181"/>
      <c r="N2298" s="181"/>
      <c r="O2298" s="181"/>
      <c r="P2298" s="181"/>
      <c r="Q2298" s="181"/>
      <c r="R2298" s="181"/>
      <c r="S2298" s="181"/>
      <c r="T2298" s="181"/>
      <c r="U2298" s="181"/>
      <c r="V2298" s="181"/>
      <c r="W2298" s="181"/>
      <c r="X2298" s="181"/>
      <c r="Y2298" s="181"/>
      <c r="Z2298" s="181"/>
    </row>
    <row r="2299">
      <c r="A2299" s="194"/>
      <c r="B2299" s="195"/>
      <c r="C2299" s="181"/>
      <c r="D2299" s="194"/>
      <c r="E2299" s="194"/>
      <c r="F2299" s="181"/>
      <c r="G2299" s="181"/>
      <c r="H2299" s="181"/>
      <c r="I2299" s="181"/>
      <c r="J2299" s="181"/>
      <c r="K2299" s="181"/>
      <c r="L2299" s="181"/>
      <c r="M2299" s="181"/>
      <c r="N2299" s="181"/>
      <c r="O2299" s="181"/>
      <c r="P2299" s="181"/>
      <c r="Q2299" s="181"/>
      <c r="R2299" s="181"/>
      <c r="S2299" s="181"/>
      <c r="T2299" s="181"/>
      <c r="U2299" s="181"/>
      <c r="V2299" s="181"/>
      <c r="W2299" s="181"/>
      <c r="X2299" s="181"/>
      <c r="Y2299" s="181"/>
      <c r="Z2299" s="181"/>
    </row>
    <row r="2300">
      <c r="A2300" s="194"/>
      <c r="B2300" s="195"/>
      <c r="C2300" s="181"/>
      <c r="D2300" s="194"/>
      <c r="E2300" s="194"/>
      <c r="F2300" s="181"/>
      <c r="G2300" s="181"/>
      <c r="H2300" s="181"/>
      <c r="I2300" s="181"/>
      <c r="J2300" s="181"/>
      <c r="K2300" s="181"/>
      <c r="L2300" s="181"/>
      <c r="M2300" s="181"/>
      <c r="N2300" s="181"/>
      <c r="O2300" s="181"/>
      <c r="P2300" s="181"/>
      <c r="Q2300" s="181"/>
      <c r="R2300" s="181"/>
      <c r="S2300" s="181"/>
      <c r="T2300" s="181"/>
      <c r="U2300" s="181"/>
      <c r="V2300" s="181"/>
      <c r="W2300" s="181"/>
      <c r="X2300" s="181"/>
      <c r="Y2300" s="181"/>
      <c r="Z2300" s="181"/>
    </row>
    <row r="2301">
      <c r="A2301" s="194"/>
      <c r="B2301" s="195"/>
      <c r="C2301" s="181"/>
      <c r="D2301" s="194"/>
      <c r="E2301" s="194"/>
      <c r="F2301" s="181"/>
      <c r="G2301" s="181"/>
      <c r="H2301" s="181"/>
      <c r="I2301" s="181"/>
      <c r="J2301" s="181"/>
      <c r="K2301" s="181"/>
      <c r="L2301" s="181"/>
      <c r="M2301" s="181"/>
      <c r="N2301" s="181"/>
      <c r="O2301" s="181"/>
      <c r="P2301" s="181"/>
      <c r="Q2301" s="181"/>
      <c r="R2301" s="181"/>
      <c r="S2301" s="181"/>
      <c r="T2301" s="181"/>
      <c r="U2301" s="181"/>
      <c r="V2301" s="181"/>
      <c r="W2301" s="181"/>
      <c r="X2301" s="181"/>
      <c r="Y2301" s="181"/>
      <c r="Z2301" s="181"/>
    </row>
    <row r="2302">
      <c r="A2302" s="194"/>
      <c r="B2302" s="195"/>
      <c r="C2302" s="181"/>
      <c r="D2302" s="194"/>
      <c r="E2302" s="194"/>
      <c r="F2302" s="181"/>
      <c r="G2302" s="181"/>
      <c r="H2302" s="181"/>
      <c r="I2302" s="181"/>
      <c r="J2302" s="181"/>
      <c r="K2302" s="181"/>
      <c r="L2302" s="181"/>
      <c r="M2302" s="181"/>
      <c r="N2302" s="181"/>
      <c r="O2302" s="181"/>
      <c r="P2302" s="181"/>
      <c r="Q2302" s="181"/>
      <c r="R2302" s="181"/>
      <c r="S2302" s="181"/>
      <c r="T2302" s="181"/>
      <c r="U2302" s="181"/>
      <c r="V2302" s="181"/>
      <c r="W2302" s="181"/>
      <c r="X2302" s="181"/>
      <c r="Y2302" s="181"/>
      <c r="Z2302" s="181"/>
    </row>
    <row r="2303">
      <c r="A2303" s="194"/>
      <c r="B2303" s="195"/>
      <c r="C2303" s="181"/>
      <c r="D2303" s="194"/>
      <c r="E2303" s="194"/>
      <c r="F2303" s="181"/>
      <c r="G2303" s="181"/>
      <c r="H2303" s="181"/>
      <c r="I2303" s="181"/>
      <c r="J2303" s="181"/>
      <c r="K2303" s="181"/>
      <c r="L2303" s="181"/>
      <c r="M2303" s="181"/>
      <c r="N2303" s="181"/>
      <c r="O2303" s="181"/>
      <c r="P2303" s="181"/>
      <c r="Q2303" s="181"/>
      <c r="R2303" s="181"/>
      <c r="S2303" s="181"/>
      <c r="T2303" s="181"/>
      <c r="U2303" s="181"/>
      <c r="V2303" s="181"/>
      <c r="W2303" s="181"/>
      <c r="X2303" s="181"/>
      <c r="Y2303" s="181"/>
      <c r="Z2303" s="181"/>
    </row>
    <row r="2304">
      <c r="A2304" s="194"/>
      <c r="B2304" s="195"/>
      <c r="C2304" s="181"/>
      <c r="D2304" s="194"/>
      <c r="E2304" s="194"/>
      <c r="F2304" s="181"/>
      <c r="G2304" s="181"/>
      <c r="H2304" s="181"/>
      <c r="I2304" s="181"/>
      <c r="J2304" s="181"/>
      <c r="K2304" s="181"/>
      <c r="L2304" s="181"/>
      <c r="M2304" s="181"/>
      <c r="N2304" s="181"/>
      <c r="O2304" s="181"/>
      <c r="P2304" s="181"/>
      <c r="Q2304" s="181"/>
      <c r="R2304" s="181"/>
      <c r="S2304" s="181"/>
      <c r="T2304" s="181"/>
      <c r="U2304" s="181"/>
      <c r="V2304" s="181"/>
      <c r="W2304" s="181"/>
      <c r="X2304" s="181"/>
      <c r="Y2304" s="181"/>
      <c r="Z2304" s="181"/>
    </row>
    <row r="2305">
      <c r="A2305" s="194"/>
      <c r="B2305" s="195"/>
      <c r="C2305" s="181"/>
      <c r="D2305" s="194"/>
      <c r="E2305" s="194"/>
      <c r="F2305" s="181"/>
      <c r="G2305" s="181"/>
      <c r="H2305" s="181"/>
      <c r="I2305" s="181"/>
      <c r="J2305" s="181"/>
      <c r="K2305" s="181"/>
      <c r="L2305" s="181"/>
      <c r="M2305" s="181"/>
      <c r="N2305" s="181"/>
      <c r="O2305" s="181"/>
      <c r="P2305" s="181"/>
      <c r="Q2305" s="181"/>
      <c r="R2305" s="181"/>
      <c r="S2305" s="181"/>
      <c r="T2305" s="181"/>
      <c r="U2305" s="181"/>
      <c r="V2305" s="181"/>
      <c r="W2305" s="181"/>
      <c r="X2305" s="181"/>
      <c r="Y2305" s="181"/>
      <c r="Z2305" s="181"/>
    </row>
    <row r="2306">
      <c r="A2306" s="194"/>
      <c r="B2306" s="195"/>
      <c r="C2306" s="181"/>
      <c r="D2306" s="194"/>
      <c r="E2306" s="194"/>
      <c r="F2306" s="181"/>
      <c r="G2306" s="181"/>
      <c r="H2306" s="181"/>
      <c r="I2306" s="181"/>
      <c r="J2306" s="181"/>
      <c r="K2306" s="181"/>
      <c r="L2306" s="181"/>
      <c r="M2306" s="181"/>
      <c r="N2306" s="181"/>
      <c r="O2306" s="181"/>
      <c r="P2306" s="181"/>
      <c r="Q2306" s="181"/>
      <c r="R2306" s="181"/>
      <c r="S2306" s="181"/>
      <c r="T2306" s="181"/>
      <c r="U2306" s="181"/>
      <c r="V2306" s="181"/>
      <c r="W2306" s="181"/>
      <c r="X2306" s="181"/>
      <c r="Y2306" s="181"/>
      <c r="Z2306" s="181"/>
    </row>
    <row r="2307">
      <c r="A2307" s="194"/>
      <c r="B2307" s="195"/>
      <c r="C2307" s="181"/>
      <c r="D2307" s="194"/>
      <c r="E2307" s="194"/>
      <c r="F2307" s="181"/>
      <c r="G2307" s="181"/>
      <c r="H2307" s="181"/>
      <c r="I2307" s="181"/>
      <c r="J2307" s="181"/>
      <c r="K2307" s="181"/>
      <c r="L2307" s="181"/>
      <c r="M2307" s="181"/>
      <c r="N2307" s="181"/>
      <c r="O2307" s="181"/>
      <c r="P2307" s="181"/>
      <c r="Q2307" s="181"/>
      <c r="R2307" s="181"/>
      <c r="S2307" s="181"/>
      <c r="T2307" s="181"/>
      <c r="U2307" s="181"/>
      <c r="V2307" s="181"/>
      <c r="W2307" s="181"/>
      <c r="X2307" s="181"/>
      <c r="Y2307" s="181"/>
      <c r="Z2307" s="181"/>
    </row>
    <row r="2308">
      <c r="A2308" s="194"/>
      <c r="B2308" s="195"/>
      <c r="C2308" s="181"/>
      <c r="D2308" s="194"/>
      <c r="E2308" s="194"/>
      <c r="F2308" s="181"/>
      <c r="G2308" s="181"/>
      <c r="H2308" s="181"/>
      <c r="I2308" s="181"/>
      <c r="J2308" s="181"/>
      <c r="K2308" s="181"/>
      <c r="L2308" s="181"/>
      <c r="M2308" s="181"/>
      <c r="N2308" s="181"/>
      <c r="O2308" s="181"/>
      <c r="P2308" s="181"/>
      <c r="Q2308" s="181"/>
      <c r="R2308" s="181"/>
      <c r="S2308" s="181"/>
      <c r="T2308" s="181"/>
      <c r="U2308" s="181"/>
      <c r="V2308" s="181"/>
      <c r="W2308" s="181"/>
      <c r="X2308" s="181"/>
      <c r="Y2308" s="181"/>
      <c r="Z2308" s="181"/>
    </row>
    <row r="2309">
      <c r="A2309" s="194"/>
      <c r="B2309" s="195"/>
      <c r="C2309" s="181"/>
      <c r="D2309" s="194"/>
      <c r="E2309" s="194"/>
      <c r="F2309" s="181"/>
      <c r="G2309" s="181"/>
      <c r="H2309" s="181"/>
      <c r="I2309" s="181"/>
      <c r="J2309" s="181"/>
      <c r="K2309" s="181"/>
      <c r="L2309" s="181"/>
      <c r="M2309" s="181"/>
      <c r="N2309" s="181"/>
      <c r="O2309" s="181"/>
      <c r="P2309" s="181"/>
      <c r="Q2309" s="181"/>
      <c r="R2309" s="181"/>
      <c r="S2309" s="181"/>
      <c r="T2309" s="181"/>
      <c r="U2309" s="181"/>
      <c r="V2309" s="181"/>
      <c r="W2309" s="181"/>
      <c r="X2309" s="181"/>
      <c r="Y2309" s="181"/>
      <c r="Z2309" s="181"/>
    </row>
    <row r="2310">
      <c r="A2310" s="194"/>
      <c r="B2310" s="195"/>
      <c r="C2310" s="181"/>
      <c r="D2310" s="194"/>
      <c r="E2310" s="194"/>
      <c r="F2310" s="181"/>
      <c r="G2310" s="181"/>
      <c r="H2310" s="181"/>
      <c r="I2310" s="181"/>
      <c r="J2310" s="181"/>
      <c r="K2310" s="181"/>
      <c r="L2310" s="181"/>
      <c r="M2310" s="181"/>
      <c r="N2310" s="181"/>
      <c r="O2310" s="181"/>
      <c r="P2310" s="181"/>
      <c r="Q2310" s="181"/>
      <c r="R2310" s="181"/>
      <c r="S2310" s="181"/>
      <c r="T2310" s="181"/>
      <c r="U2310" s="181"/>
      <c r="V2310" s="181"/>
      <c r="W2310" s="181"/>
      <c r="X2310" s="181"/>
      <c r="Y2310" s="181"/>
      <c r="Z2310" s="181"/>
    </row>
    <row r="2311">
      <c r="A2311" s="194"/>
      <c r="B2311" s="195"/>
      <c r="C2311" s="181"/>
      <c r="D2311" s="194"/>
      <c r="E2311" s="194"/>
      <c r="F2311" s="181"/>
      <c r="G2311" s="181"/>
      <c r="H2311" s="181"/>
      <c r="I2311" s="181"/>
      <c r="J2311" s="181"/>
      <c r="K2311" s="181"/>
      <c r="L2311" s="181"/>
      <c r="M2311" s="181"/>
      <c r="N2311" s="181"/>
      <c r="O2311" s="181"/>
      <c r="P2311" s="181"/>
      <c r="Q2311" s="181"/>
      <c r="R2311" s="181"/>
      <c r="S2311" s="181"/>
      <c r="T2311" s="181"/>
      <c r="U2311" s="181"/>
      <c r="V2311" s="181"/>
      <c r="W2311" s="181"/>
      <c r="X2311" s="181"/>
      <c r="Y2311" s="181"/>
      <c r="Z2311" s="181"/>
    </row>
    <row r="2312">
      <c r="A2312" s="194"/>
      <c r="B2312" s="195"/>
      <c r="C2312" s="181"/>
      <c r="D2312" s="194"/>
      <c r="E2312" s="194"/>
      <c r="F2312" s="181"/>
      <c r="G2312" s="181"/>
      <c r="H2312" s="181"/>
      <c r="I2312" s="181"/>
      <c r="J2312" s="181"/>
      <c r="K2312" s="181"/>
      <c r="L2312" s="181"/>
      <c r="M2312" s="181"/>
      <c r="N2312" s="181"/>
      <c r="O2312" s="181"/>
      <c r="P2312" s="181"/>
      <c r="Q2312" s="181"/>
      <c r="R2312" s="181"/>
      <c r="S2312" s="181"/>
      <c r="T2312" s="181"/>
      <c r="U2312" s="181"/>
      <c r="V2312" s="181"/>
      <c r="W2312" s="181"/>
      <c r="X2312" s="181"/>
      <c r="Y2312" s="181"/>
      <c r="Z2312" s="181"/>
    </row>
    <row r="2313">
      <c r="A2313" s="194"/>
      <c r="B2313" s="195"/>
      <c r="C2313" s="181"/>
      <c r="D2313" s="194"/>
      <c r="E2313" s="194"/>
      <c r="F2313" s="181"/>
      <c r="G2313" s="181"/>
      <c r="H2313" s="181"/>
      <c r="I2313" s="181"/>
      <c r="J2313" s="181"/>
      <c r="K2313" s="181"/>
      <c r="L2313" s="181"/>
      <c r="M2313" s="181"/>
      <c r="N2313" s="181"/>
      <c r="O2313" s="181"/>
      <c r="P2313" s="181"/>
      <c r="Q2313" s="181"/>
      <c r="R2313" s="181"/>
      <c r="S2313" s="181"/>
      <c r="T2313" s="181"/>
      <c r="U2313" s="181"/>
      <c r="V2313" s="181"/>
      <c r="W2313" s="181"/>
      <c r="X2313" s="181"/>
      <c r="Y2313" s="181"/>
      <c r="Z2313" s="181"/>
    </row>
    <row r="2314">
      <c r="A2314" s="194"/>
      <c r="B2314" s="195"/>
      <c r="C2314" s="181"/>
      <c r="D2314" s="194"/>
      <c r="E2314" s="194"/>
      <c r="F2314" s="181"/>
      <c r="G2314" s="181"/>
      <c r="H2314" s="181"/>
      <c r="I2314" s="181"/>
      <c r="J2314" s="181"/>
      <c r="K2314" s="181"/>
      <c r="L2314" s="181"/>
      <c r="M2314" s="181"/>
      <c r="N2314" s="181"/>
      <c r="O2314" s="181"/>
      <c r="P2314" s="181"/>
      <c r="Q2314" s="181"/>
      <c r="R2314" s="181"/>
      <c r="S2314" s="181"/>
      <c r="T2314" s="181"/>
      <c r="U2314" s="181"/>
      <c r="V2314" s="181"/>
      <c r="W2314" s="181"/>
      <c r="X2314" s="181"/>
      <c r="Y2314" s="181"/>
      <c r="Z2314" s="181"/>
    </row>
    <row r="2315">
      <c r="A2315" s="194"/>
      <c r="B2315" s="195"/>
      <c r="C2315" s="181"/>
      <c r="D2315" s="194"/>
      <c r="E2315" s="194"/>
      <c r="F2315" s="181"/>
      <c r="G2315" s="181"/>
      <c r="H2315" s="181"/>
      <c r="I2315" s="181"/>
      <c r="J2315" s="181"/>
      <c r="K2315" s="181"/>
      <c r="L2315" s="181"/>
      <c r="M2315" s="181"/>
      <c r="N2315" s="181"/>
      <c r="O2315" s="181"/>
      <c r="P2315" s="181"/>
      <c r="Q2315" s="181"/>
      <c r="R2315" s="181"/>
      <c r="S2315" s="181"/>
      <c r="T2315" s="181"/>
      <c r="U2315" s="181"/>
      <c r="V2315" s="181"/>
      <c r="W2315" s="181"/>
      <c r="X2315" s="181"/>
      <c r="Y2315" s="181"/>
      <c r="Z2315" s="181"/>
    </row>
    <row r="2316">
      <c r="A2316" s="194"/>
      <c r="B2316" s="195"/>
      <c r="C2316" s="181"/>
      <c r="D2316" s="194"/>
      <c r="E2316" s="194"/>
      <c r="F2316" s="181"/>
      <c r="G2316" s="181"/>
      <c r="H2316" s="181"/>
      <c r="I2316" s="181"/>
      <c r="J2316" s="181"/>
      <c r="K2316" s="181"/>
      <c r="L2316" s="181"/>
      <c r="M2316" s="181"/>
      <c r="N2316" s="181"/>
      <c r="O2316" s="181"/>
      <c r="P2316" s="181"/>
      <c r="Q2316" s="181"/>
      <c r="R2316" s="181"/>
      <c r="S2316" s="181"/>
      <c r="T2316" s="181"/>
      <c r="U2316" s="181"/>
      <c r="V2316" s="181"/>
      <c r="W2316" s="181"/>
      <c r="X2316" s="181"/>
      <c r="Y2316" s="181"/>
      <c r="Z2316" s="181"/>
    </row>
    <row r="2317">
      <c r="A2317" s="194"/>
      <c r="B2317" s="195"/>
      <c r="C2317" s="181"/>
      <c r="D2317" s="194"/>
      <c r="E2317" s="194"/>
      <c r="F2317" s="181"/>
      <c r="G2317" s="181"/>
      <c r="H2317" s="181"/>
      <c r="I2317" s="181"/>
      <c r="J2317" s="181"/>
      <c r="K2317" s="181"/>
      <c r="L2317" s="181"/>
      <c r="M2317" s="181"/>
      <c r="N2317" s="181"/>
      <c r="O2317" s="181"/>
      <c r="P2317" s="181"/>
      <c r="Q2317" s="181"/>
      <c r="R2317" s="181"/>
      <c r="S2317" s="181"/>
      <c r="T2317" s="181"/>
      <c r="U2317" s="181"/>
      <c r="V2317" s="181"/>
      <c r="W2317" s="181"/>
      <c r="X2317" s="181"/>
      <c r="Y2317" s="181"/>
      <c r="Z2317" s="181"/>
    </row>
    <row r="2318">
      <c r="A2318" s="194"/>
      <c r="B2318" s="195"/>
      <c r="C2318" s="181"/>
      <c r="D2318" s="194"/>
      <c r="E2318" s="194"/>
      <c r="F2318" s="181"/>
      <c r="G2318" s="181"/>
      <c r="H2318" s="181"/>
      <c r="I2318" s="181"/>
      <c r="J2318" s="181"/>
      <c r="K2318" s="181"/>
      <c r="L2318" s="181"/>
      <c r="M2318" s="181"/>
      <c r="N2318" s="181"/>
      <c r="O2318" s="181"/>
      <c r="P2318" s="181"/>
      <c r="Q2318" s="181"/>
      <c r="R2318" s="181"/>
      <c r="S2318" s="181"/>
      <c r="T2318" s="181"/>
      <c r="U2318" s="181"/>
      <c r="V2318" s="181"/>
      <c r="W2318" s="181"/>
      <c r="X2318" s="181"/>
      <c r="Y2318" s="181"/>
      <c r="Z2318" s="181"/>
    </row>
    <row r="2319">
      <c r="A2319" s="194"/>
      <c r="B2319" s="195"/>
      <c r="C2319" s="181"/>
      <c r="D2319" s="194"/>
      <c r="E2319" s="194"/>
      <c r="F2319" s="181"/>
      <c r="G2319" s="181"/>
      <c r="H2319" s="181"/>
      <c r="I2319" s="181"/>
      <c r="J2319" s="181"/>
      <c r="K2319" s="181"/>
      <c r="L2319" s="181"/>
      <c r="M2319" s="181"/>
      <c r="N2319" s="181"/>
      <c r="O2319" s="181"/>
      <c r="P2319" s="181"/>
      <c r="Q2319" s="181"/>
      <c r="R2319" s="181"/>
      <c r="S2319" s="181"/>
      <c r="T2319" s="181"/>
      <c r="U2319" s="181"/>
      <c r="V2319" s="181"/>
      <c r="W2319" s="181"/>
      <c r="X2319" s="181"/>
      <c r="Y2319" s="181"/>
      <c r="Z2319" s="181"/>
    </row>
    <row r="2320">
      <c r="A2320" s="194"/>
      <c r="B2320" s="195"/>
      <c r="C2320" s="181"/>
      <c r="D2320" s="194"/>
      <c r="E2320" s="194"/>
      <c r="F2320" s="181"/>
      <c r="G2320" s="181"/>
      <c r="H2320" s="181"/>
      <c r="I2320" s="181"/>
      <c r="J2320" s="181"/>
      <c r="K2320" s="181"/>
      <c r="L2320" s="181"/>
      <c r="M2320" s="181"/>
      <c r="N2320" s="181"/>
      <c r="O2320" s="181"/>
      <c r="P2320" s="181"/>
      <c r="Q2320" s="181"/>
      <c r="R2320" s="181"/>
      <c r="S2320" s="181"/>
      <c r="T2320" s="181"/>
      <c r="U2320" s="181"/>
      <c r="V2320" s="181"/>
      <c r="W2320" s="181"/>
      <c r="X2320" s="181"/>
      <c r="Y2320" s="181"/>
      <c r="Z2320" s="181"/>
    </row>
    <row r="2321">
      <c r="A2321" s="194"/>
      <c r="B2321" s="195"/>
      <c r="C2321" s="181"/>
      <c r="D2321" s="194"/>
      <c r="E2321" s="194"/>
      <c r="F2321" s="181"/>
      <c r="G2321" s="181"/>
      <c r="H2321" s="181"/>
      <c r="I2321" s="181"/>
      <c r="J2321" s="181"/>
      <c r="K2321" s="181"/>
      <c r="L2321" s="181"/>
      <c r="M2321" s="181"/>
      <c r="N2321" s="181"/>
      <c r="O2321" s="181"/>
      <c r="P2321" s="181"/>
      <c r="Q2321" s="181"/>
      <c r="R2321" s="181"/>
      <c r="S2321" s="181"/>
      <c r="T2321" s="181"/>
      <c r="U2321" s="181"/>
      <c r="V2321" s="181"/>
      <c r="W2321" s="181"/>
      <c r="X2321" s="181"/>
      <c r="Y2321" s="181"/>
      <c r="Z2321" s="181"/>
    </row>
    <row r="2322">
      <c r="A2322" s="194"/>
      <c r="B2322" s="195"/>
      <c r="C2322" s="181"/>
      <c r="D2322" s="194"/>
      <c r="E2322" s="194"/>
      <c r="F2322" s="181"/>
      <c r="G2322" s="181"/>
      <c r="H2322" s="181"/>
      <c r="I2322" s="181"/>
      <c r="J2322" s="181"/>
      <c r="K2322" s="181"/>
      <c r="L2322" s="181"/>
      <c r="M2322" s="181"/>
      <c r="N2322" s="181"/>
      <c r="O2322" s="181"/>
      <c r="P2322" s="181"/>
      <c r="Q2322" s="181"/>
      <c r="R2322" s="181"/>
      <c r="S2322" s="181"/>
      <c r="T2322" s="181"/>
      <c r="U2322" s="181"/>
      <c r="V2322" s="181"/>
      <c r="W2322" s="181"/>
      <c r="X2322" s="181"/>
      <c r="Y2322" s="181"/>
      <c r="Z2322" s="181"/>
    </row>
    <row r="2323">
      <c r="A2323" s="194"/>
      <c r="B2323" s="195"/>
      <c r="C2323" s="181"/>
      <c r="D2323" s="194"/>
      <c r="E2323" s="194"/>
      <c r="F2323" s="181"/>
      <c r="G2323" s="181"/>
      <c r="H2323" s="181"/>
      <c r="I2323" s="181"/>
      <c r="J2323" s="181"/>
      <c r="K2323" s="181"/>
      <c r="L2323" s="181"/>
      <c r="M2323" s="181"/>
      <c r="N2323" s="181"/>
      <c r="O2323" s="181"/>
      <c r="P2323" s="181"/>
      <c r="Q2323" s="181"/>
      <c r="R2323" s="181"/>
      <c r="S2323" s="181"/>
      <c r="T2323" s="181"/>
      <c r="U2323" s="181"/>
      <c r="V2323" s="181"/>
      <c r="W2323" s="181"/>
      <c r="X2323" s="181"/>
      <c r="Y2323" s="181"/>
      <c r="Z2323" s="181"/>
    </row>
    <row r="2324">
      <c r="A2324" s="194"/>
      <c r="B2324" s="195"/>
      <c r="C2324" s="181"/>
      <c r="D2324" s="194"/>
      <c r="E2324" s="194"/>
      <c r="F2324" s="181"/>
      <c r="G2324" s="181"/>
      <c r="H2324" s="181"/>
      <c r="I2324" s="181"/>
      <c r="J2324" s="181"/>
      <c r="K2324" s="181"/>
      <c r="L2324" s="181"/>
      <c r="M2324" s="181"/>
      <c r="N2324" s="181"/>
      <c r="O2324" s="181"/>
      <c r="P2324" s="181"/>
      <c r="Q2324" s="181"/>
      <c r="R2324" s="181"/>
      <c r="S2324" s="181"/>
      <c r="T2324" s="181"/>
      <c r="U2324" s="181"/>
      <c r="V2324" s="181"/>
      <c r="W2324" s="181"/>
      <c r="X2324" s="181"/>
      <c r="Y2324" s="181"/>
      <c r="Z2324" s="181"/>
    </row>
    <row r="2325">
      <c r="A2325" s="194"/>
      <c r="B2325" s="195"/>
      <c r="C2325" s="181"/>
      <c r="D2325" s="194"/>
      <c r="E2325" s="194"/>
      <c r="F2325" s="181"/>
      <c r="G2325" s="181"/>
      <c r="H2325" s="181"/>
      <c r="I2325" s="181"/>
      <c r="J2325" s="181"/>
      <c r="K2325" s="181"/>
      <c r="L2325" s="181"/>
      <c r="M2325" s="181"/>
      <c r="N2325" s="181"/>
      <c r="O2325" s="181"/>
      <c r="P2325" s="181"/>
      <c r="Q2325" s="181"/>
      <c r="R2325" s="181"/>
      <c r="S2325" s="181"/>
      <c r="T2325" s="181"/>
      <c r="U2325" s="181"/>
      <c r="V2325" s="181"/>
      <c r="W2325" s="181"/>
      <c r="X2325" s="181"/>
      <c r="Y2325" s="181"/>
      <c r="Z2325" s="181"/>
    </row>
    <row r="2326">
      <c r="A2326" s="194"/>
      <c r="B2326" s="195"/>
      <c r="C2326" s="181"/>
      <c r="D2326" s="194"/>
      <c r="E2326" s="194"/>
      <c r="F2326" s="181"/>
      <c r="G2326" s="181"/>
      <c r="H2326" s="181"/>
      <c r="I2326" s="181"/>
      <c r="J2326" s="181"/>
      <c r="K2326" s="181"/>
      <c r="L2326" s="181"/>
      <c r="M2326" s="181"/>
      <c r="N2326" s="181"/>
      <c r="O2326" s="181"/>
      <c r="P2326" s="181"/>
      <c r="Q2326" s="181"/>
      <c r="R2326" s="181"/>
      <c r="S2326" s="181"/>
      <c r="T2326" s="181"/>
      <c r="U2326" s="181"/>
      <c r="V2326" s="181"/>
      <c r="W2326" s="181"/>
      <c r="X2326" s="181"/>
      <c r="Y2326" s="181"/>
      <c r="Z2326" s="181"/>
    </row>
    <row r="2327">
      <c r="A2327" s="194"/>
      <c r="B2327" s="195"/>
      <c r="C2327" s="181"/>
      <c r="D2327" s="194"/>
      <c r="E2327" s="194"/>
      <c r="F2327" s="181"/>
      <c r="G2327" s="181"/>
      <c r="H2327" s="181"/>
      <c r="I2327" s="181"/>
      <c r="J2327" s="181"/>
      <c r="K2327" s="181"/>
      <c r="L2327" s="181"/>
      <c r="M2327" s="181"/>
      <c r="N2327" s="181"/>
      <c r="O2327" s="181"/>
      <c r="P2327" s="181"/>
      <c r="Q2327" s="181"/>
      <c r="R2327" s="181"/>
      <c r="S2327" s="181"/>
      <c r="T2327" s="181"/>
      <c r="U2327" s="181"/>
      <c r="V2327" s="181"/>
      <c r="W2327" s="181"/>
      <c r="X2327" s="181"/>
      <c r="Y2327" s="181"/>
      <c r="Z2327" s="181"/>
    </row>
    <row r="2328">
      <c r="A2328" s="194"/>
      <c r="B2328" s="195"/>
      <c r="C2328" s="181"/>
      <c r="D2328" s="194"/>
      <c r="E2328" s="194"/>
      <c r="F2328" s="181"/>
      <c r="G2328" s="181"/>
      <c r="H2328" s="181"/>
      <c r="I2328" s="181"/>
      <c r="J2328" s="181"/>
      <c r="K2328" s="181"/>
      <c r="L2328" s="181"/>
      <c r="M2328" s="181"/>
      <c r="N2328" s="181"/>
      <c r="O2328" s="181"/>
      <c r="P2328" s="181"/>
      <c r="Q2328" s="181"/>
      <c r="R2328" s="181"/>
      <c r="S2328" s="181"/>
      <c r="T2328" s="181"/>
      <c r="U2328" s="181"/>
      <c r="V2328" s="181"/>
      <c r="W2328" s="181"/>
      <c r="X2328" s="181"/>
      <c r="Y2328" s="181"/>
      <c r="Z2328" s="181"/>
    </row>
    <row r="2329">
      <c r="A2329" s="194"/>
      <c r="B2329" s="195"/>
      <c r="C2329" s="181"/>
      <c r="D2329" s="194"/>
      <c r="E2329" s="194"/>
      <c r="F2329" s="181"/>
      <c r="G2329" s="181"/>
      <c r="H2329" s="181"/>
      <c r="I2329" s="181"/>
      <c r="J2329" s="181"/>
      <c r="K2329" s="181"/>
      <c r="L2329" s="181"/>
      <c r="M2329" s="181"/>
      <c r="N2329" s="181"/>
      <c r="O2329" s="181"/>
      <c r="P2329" s="181"/>
      <c r="Q2329" s="181"/>
      <c r="R2329" s="181"/>
      <c r="S2329" s="181"/>
      <c r="T2329" s="181"/>
      <c r="U2329" s="181"/>
      <c r="V2329" s="181"/>
      <c r="W2329" s="181"/>
      <c r="X2329" s="181"/>
      <c r="Y2329" s="181"/>
      <c r="Z2329" s="181"/>
    </row>
    <row r="2330">
      <c r="A2330" s="194"/>
      <c r="B2330" s="195"/>
      <c r="C2330" s="181"/>
      <c r="D2330" s="194"/>
      <c r="E2330" s="194"/>
      <c r="F2330" s="181"/>
      <c r="G2330" s="181"/>
      <c r="H2330" s="181"/>
      <c r="I2330" s="181"/>
      <c r="J2330" s="181"/>
      <c r="K2330" s="181"/>
      <c r="L2330" s="181"/>
      <c r="M2330" s="181"/>
      <c r="N2330" s="181"/>
      <c r="O2330" s="181"/>
      <c r="P2330" s="181"/>
      <c r="Q2330" s="181"/>
      <c r="R2330" s="181"/>
      <c r="S2330" s="181"/>
      <c r="T2330" s="181"/>
      <c r="U2330" s="181"/>
      <c r="V2330" s="181"/>
      <c r="W2330" s="181"/>
      <c r="X2330" s="181"/>
      <c r="Y2330" s="181"/>
      <c r="Z2330" s="181"/>
    </row>
    <row r="2331">
      <c r="A2331" s="194"/>
      <c r="B2331" s="195"/>
      <c r="C2331" s="181"/>
      <c r="D2331" s="194"/>
      <c r="E2331" s="194"/>
      <c r="F2331" s="181"/>
      <c r="G2331" s="181"/>
      <c r="H2331" s="181"/>
      <c r="I2331" s="181"/>
      <c r="J2331" s="181"/>
      <c r="K2331" s="181"/>
      <c r="L2331" s="181"/>
      <c r="M2331" s="181"/>
      <c r="N2331" s="181"/>
      <c r="O2331" s="181"/>
      <c r="P2331" s="181"/>
      <c r="Q2331" s="181"/>
      <c r="R2331" s="181"/>
      <c r="S2331" s="181"/>
      <c r="T2331" s="181"/>
      <c r="U2331" s="181"/>
      <c r="V2331" s="181"/>
      <c r="W2331" s="181"/>
      <c r="X2331" s="181"/>
      <c r="Y2331" s="181"/>
      <c r="Z2331" s="181"/>
    </row>
    <row r="2332">
      <c r="A2332" s="194"/>
      <c r="B2332" s="195"/>
      <c r="C2332" s="181"/>
      <c r="D2332" s="194"/>
      <c r="E2332" s="194"/>
      <c r="F2332" s="181"/>
      <c r="G2332" s="181"/>
      <c r="H2332" s="181"/>
      <c r="I2332" s="181"/>
      <c r="J2332" s="181"/>
      <c r="K2332" s="181"/>
      <c r="L2332" s="181"/>
      <c r="M2332" s="181"/>
      <c r="N2332" s="181"/>
      <c r="O2332" s="181"/>
      <c r="P2332" s="181"/>
      <c r="Q2332" s="181"/>
      <c r="R2332" s="181"/>
      <c r="S2332" s="181"/>
      <c r="T2332" s="181"/>
      <c r="U2332" s="181"/>
      <c r="V2332" s="181"/>
      <c r="W2332" s="181"/>
      <c r="X2332" s="181"/>
      <c r="Y2332" s="181"/>
      <c r="Z2332" s="181"/>
    </row>
    <row r="2333">
      <c r="A2333" s="194"/>
      <c r="B2333" s="195"/>
      <c r="C2333" s="181"/>
      <c r="D2333" s="194"/>
      <c r="E2333" s="194"/>
      <c r="F2333" s="181"/>
      <c r="G2333" s="181"/>
      <c r="H2333" s="181"/>
      <c r="I2333" s="181"/>
      <c r="J2333" s="181"/>
      <c r="K2333" s="181"/>
      <c r="L2333" s="181"/>
      <c r="M2333" s="181"/>
      <c r="N2333" s="181"/>
      <c r="O2333" s="181"/>
      <c r="P2333" s="181"/>
      <c r="Q2333" s="181"/>
      <c r="R2333" s="181"/>
      <c r="S2333" s="181"/>
      <c r="T2333" s="181"/>
      <c r="U2333" s="181"/>
      <c r="V2333" s="181"/>
      <c r="W2333" s="181"/>
      <c r="X2333" s="181"/>
      <c r="Y2333" s="181"/>
      <c r="Z2333" s="181"/>
    </row>
    <row r="2334">
      <c r="A2334" s="194"/>
      <c r="B2334" s="195"/>
      <c r="C2334" s="181"/>
      <c r="D2334" s="194"/>
      <c r="E2334" s="194"/>
      <c r="F2334" s="181"/>
      <c r="G2334" s="181"/>
      <c r="H2334" s="181"/>
      <c r="I2334" s="181"/>
      <c r="J2334" s="181"/>
      <c r="K2334" s="181"/>
      <c r="L2334" s="181"/>
      <c r="M2334" s="181"/>
      <c r="N2334" s="181"/>
      <c r="O2334" s="181"/>
      <c r="P2334" s="181"/>
      <c r="Q2334" s="181"/>
      <c r="R2334" s="181"/>
      <c r="S2334" s="181"/>
      <c r="T2334" s="181"/>
      <c r="U2334" s="181"/>
      <c r="V2334" s="181"/>
      <c r="W2334" s="181"/>
      <c r="X2334" s="181"/>
      <c r="Y2334" s="181"/>
      <c r="Z2334" s="181"/>
    </row>
    <row r="2335">
      <c r="A2335" s="194"/>
      <c r="B2335" s="195"/>
      <c r="C2335" s="181"/>
      <c r="D2335" s="194"/>
      <c r="E2335" s="194"/>
      <c r="F2335" s="181"/>
      <c r="G2335" s="181"/>
      <c r="H2335" s="181"/>
      <c r="I2335" s="181"/>
      <c r="J2335" s="181"/>
      <c r="K2335" s="181"/>
      <c r="L2335" s="181"/>
      <c r="M2335" s="181"/>
      <c r="N2335" s="181"/>
      <c r="O2335" s="181"/>
      <c r="P2335" s="181"/>
      <c r="Q2335" s="181"/>
      <c r="R2335" s="181"/>
      <c r="S2335" s="181"/>
      <c r="T2335" s="181"/>
      <c r="U2335" s="181"/>
      <c r="V2335" s="181"/>
      <c r="W2335" s="181"/>
      <c r="X2335" s="181"/>
      <c r="Y2335" s="181"/>
      <c r="Z2335" s="181"/>
    </row>
    <row r="2336">
      <c r="A2336" s="194"/>
      <c r="B2336" s="195"/>
      <c r="C2336" s="181"/>
      <c r="D2336" s="194"/>
      <c r="E2336" s="194"/>
      <c r="F2336" s="181"/>
      <c r="G2336" s="181"/>
      <c r="H2336" s="181"/>
      <c r="I2336" s="181"/>
      <c r="J2336" s="181"/>
      <c r="K2336" s="181"/>
      <c r="L2336" s="181"/>
      <c r="M2336" s="181"/>
      <c r="N2336" s="181"/>
      <c r="O2336" s="181"/>
      <c r="P2336" s="181"/>
      <c r="Q2336" s="181"/>
      <c r="R2336" s="181"/>
      <c r="S2336" s="181"/>
      <c r="T2336" s="181"/>
      <c r="U2336" s="181"/>
      <c r="V2336" s="181"/>
      <c r="W2336" s="181"/>
      <c r="X2336" s="181"/>
      <c r="Y2336" s="181"/>
      <c r="Z2336" s="181"/>
    </row>
    <row r="2337">
      <c r="A2337" s="194"/>
      <c r="B2337" s="195"/>
      <c r="C2337" s="181"/>
      <c r="D2337" s="194"/>
      <c r="E2337" s="194"/>
      <c r="F2337" s="181"/>
      <c r="G2337" s="181"/>
      <c r="H2337" s="181"/>
      <c r="I2337" s="181"/>
      <c r="J2337" s="181"/>
      <c r="K2337" s="181"/>
      <c r="L2337" s="181"/>
      <c r="M2337" s="181"/>
      <c r="N2337" s="181"/>
      <c r="O2337" s="181"/>
      <c r="P2337" s="181"/>
      <c r="Q2337" s="181"/>
      <c r="R2337" s="181"/>
      <c r="S2337" s="181"/>
      <c r="T2337" s="181"/>
      <c r="U2337" s="181"/>
      <c r="V2337" s="181"/>
      <c r="W2337" s="181"/>
      <c r="X2337" s="181"/>
      <c r="Y2337" s="181"/>
      <c r="Z2337" s="181"/>
    </row>
    <row r="2338">
      <c r="A2338" s="194"/>
      <c r="B2338" s="195"/>
      <c r="C2338" s="181"/>
      <c r="D2338" s="194"/>
      <c r="E2338" s="194"/>
      <c r="F2338" s="181"/>
      <c r="G2338" s="181"/>
      <c r="H2338" s="181"/>
      <c r="I2338" s="181"/>
      <c r="J2338" s="181"/>
      <c r="K2338" s="181"/>
      <c r="L2338" s="181"/>
      <c r="M2338" s="181"/>
      <c r="N2338" s="181"/>
      <c r="O2338" s="181"/>
      <c r="P2338" s="181"/>
      <c r="Q2338" s="181"/>
      <c r="R2338" s="181"/>
      <c r="S2338" s="181"/>
      <c r="T2338" s="181"/>
      <c r="U2338" s="181"/>
      <c r="V2338" s="181"/>
      <c r="W2338" s="181"/>
      <c r="X2338" s="181"/>
      <c r="Y2338" s="181"/>
      <c r="Z2338" s="181"/>
    </row>
    <row r="2339">
      <c r="A2339" s="194"/>
      <c r="B2339" s="195"/>
      <c r="C2339" s="181"/>
      <c r="D2339" s="194"/>
      <c r="E2339" s="194"/>
      <c r="F2339" s="181"/>
      <c r="G2339" s="181"/>
      <c r="H2339" s="181"/>
      <c r="I2339" s="181"/>
      <c r="J2339" s="181"/>
      <c r="K2339" s="181"/>
      <c r="L2339" s="181"/>
      <c r="M2339" s="181"/>
      <c r="N2339" s="181"/>
      <c r="O2339" s="181"/>
      <c r="P2339" s="181"/>
      <c r="Q2339" s="181"/>
      <c r="R2339" s="181"/>
      <c r="S2339" s="181"/>
      <c r="T2339" s="181"/>
      <c r="U2339" s="181"/>
      <c r="V2339" s="181"/>
      <c r="W2339" s="181"/>
      <c r="X2339" s="181"/>
      <c r="Y2339" s="181"/>
      <c r="Z2339" s="181"/>
    </row>
    <row r="2340">
      <c r="A2340" s="194"/>
      <c r="B2340" s="195"/>
      <c r="C2340" s="181"/>
      <c r="D2340" s="194"/>
      <c r="E2340" s="194"/>
      <c r="F2340" s="181"/>
      <c r="G2340" s="181"/>
      <c r="H2340" s="181"/>
      <c r="I2340" s="181"/>
      <c r="J2340" s="181"/>
      <c r="K2340" s="181"/>
      <c r="L2340" s="181"/>
      <c r="M2340" s="181"/>
      <c r="N2340" s="181"/>
      <c r="O2340" s="181"/>
      <c r="P2340" s="181"/>
      <c r="Q2340" s="181"/>
      <c r="R2340" s="181"/>
      <c r="S2340" s="181"/>
      <c r="T2340" s="181"/>
      <c r="U2340" s="181"/>
      <c r="V2340" s="181"/>
      <c r="W2340" s="181"/>
      <c r="X2340" s="181"/>
      <c r="Y2340" s="181"/>
      <c r="Z2340" s="181"/>
    </row>
    <row r="2341">
      <c r="A2341" s="194"/>
      <c r="B2341" s="195"/>
      <c r="C2341" s="181"/>
      <c r="D2341" s="194"/>
      <c r="E2341" s="194"/>
      <c r="F2341" s="181"/>
      <c r="G2341" s="181"/>
      <c r="H2341" s="181"/>
      <c r="I2341" s="181"/>
      <c r="J2341" s="181"/>
      <c r="K2341" s="181"/>
      <c r="L2341" s="181"/>
      <c r="M2341" s="181"/>
      <c r="N2341" s="181"/>
      <c r="O2341" s="181"/>
      <c r="P2341" s="181"/>
      <c r="Q2341" s="181"/>
      <c r="R2341" s="181"/>
      <c r="S2341" s="181"/>
      <c r="T2341" s="181"/>
      <c r="U2341" s="181"/>
      <c r="V2341" s="181"/>
      <c r="W2341" s="181"/>
      <c r="X2341" s="181"/>
      <c r="Y2341" s="181"/>
      <c r="Z2341" s="181"/>
    </row>
    <row r="2342">
      <c r="A2342" s="194"/>
      <c r="B2342" s="195"/>
      <c r="C2342" s="181"/>
      <c r="D2342" s="194"/>
      <c r="E2342" s="194"/>
      <c r="F2342" s="181"/>
      <c r="G2342" s="181"/>
      <c r="H2342" s="181"/>
      <c r="I2342" s="181"/>
      <c r="J2342" s="181"/>
      <c r="K2342" s="181"/>
      <c r="L2342" s="181"/>
      <c r="M2342" s="181"/>
      <c r="N2342" s="181"/>
      <c r="O2342" s="181"/>
      <c r="P2342" s="181"/>
      <c r="Q2342" s="181"/>
      <c r="R2342" s="181"/>
      <c r="S2342" s="181"/>
      <c r="T2342" s="181"/>
      <c r="U2342" s="181"/>
      <c r="V2342" s="181"/>
      <c r="W2342" s="181"/>
      <c r="X2342" s="181"/>
      <c r="Y2342" s="181"/>
      <c r="Z2342" s="181"/>
    </row>
    <row r="2343">
      <c r="A2343" s="194"/>
      <c r="B2343" s="195"/>
      <c r="C2343" s="181"/>
      <c r="D2343" s="194"/>
      <c r="E2343" s="194"/>
      <c r="F2343" s="181"/>
      <c r="G2343" s="181"/>
      <c r="H2343" s="181"/>
      <c r="I2343" s="181"/>
      <c r="J2343" s="181"/>
      <c r="K2343" s="181"/>
      <c r="L2343" s="181"/>
      <c r="M2343" s="181"/>
      <c r="N2343" s="181"/>
      <c r="O2343" s="181"/>
      <c r="P2343" s="181"/>
      <c r="Q2343" s="181"/>
      <c r="R2343" s="181"/>
      <c r="S2343" s="181"/>
      <c r="T2343" s="181"/>
      <c r="U2343" s="181"/>
      <c r="V2343" s="181"/>
      <c r="W2343" s="181"/>
      <c r="X2343" s="181"/>
      <c r="Y2343" s="181"/>
      <c r="Z2343" s="181"/>
    </row>
    <row r="2344">
      <c r="A2344" s="194"/>
      <c r="B2344" s="195"/>
      <c r="C2344" s="181"/>
      <c r="D2344" s="194"/>
      <c r="E2344" s="194"/>
      <c r="F2344" s="181"/>
      <c r="G2344" s="181"/>
      <c r="H2344" s="181"/>
      <c r="I2344" s="181"/>
      <c r="J2344" s="181"/>
      <c r="K2344" s="181"/>
      <c r="L2344" s="181"/>
      <c r="M2344" s="181"/>
      <c r="N2344" s="181"/>
      <c r="O2344" s="181"/>
      <c r="P2344" s="181"/>
      <c r="Q2344" s="181"/>
      <c r="R2344" s="181"/>
      <c r="S2344" s="181"/>
      <c r="T2344" s="181"/>
      <c r="U2344" s="181"/>
      <c r="V2344" s="181"/>
      <c r="W2344" s="181"/>
      <c r="X2344" s="181"/>
      <c r="Y2344" s="181"/>
      <c r="Z2344" s="181"/>
    </row>
    <row r="2345">
      <c r="A2345" s="194"/>
      <c r="B2345" s="195"/>
      <c r="C2345" s="181"/>
      <c r="D2345" s="194"/>
      <c r="E2345" s="194"/>
      <c r="F2345" s="181"/>
      <c r="G2345" s="181"/>
      <c r="H2345" s="181"/>
      <c r="I2345" s="181"/>
      <c r="J2345" s="181"/>
      <c r="K2345" s="181"/>
      <c r="L2345" s="181"/>
      <c r="M2345" s="181"/>
      <c r="N2345" s="181"/>
      <c r="O2345" s="181"/>
      <c r="P2345" s="181"/>
      <c r="Q2345" s="181"/>
      <c r="R2345" s="181"/>
      <c r="S2345" s="181"/>
      <c r="T2345" s="181"/>
      <c r="U2345" s="181"/>
      <c r="V2345" s="181"/>
      <c r="W2345" s="181"/>
      <c r="X2345" s="181"/>
      <c r="Y2345" s="181"/>
      <c r="Z2345" s="181"/>
    </row>
    <row r="2346">
      <c r="A2346" s="194"/>
      <c r="B2346" s="195"/>
      <c r="C2346" s="181"/>
      <c r="D2346" s="194"/>
      <c r="E2346" s="194"/>
      <c r="F2346" s="181"/>
      <c r="G2346" s="181"/>
      <c r="H2346" s="181"/>
      <c r="I2346" s="181"/>
      <c r="J2346" s="181"/>
      <c r="K2346" s="181"/>
      <c r="L2346" s="181"/>
      <c r="M2346" s="181"/>
      <c r="N2346" s="181"/>
      <c r="O2346" s="181"/>
      <c r="P2346" s="181"/>
      <c r="Q2346" s="181"/>
      <c r="R2346" s="181"/>
      <c r="S2346" s="181"/>
      <c r="T2346" s="181"/>
      <c r="U2346" s="181"/>
      <c r="V2346" s="181"/>
      <c r="W2346" s="181"/>
      <c r="X2346" s="181"/>
      <c r="Y2346" s="181"/>
      <c r="Z2346" s="181"/>
    </row>
    <row r="2347">
      <c r="A2347" s="194"/>
      <c r="B2347" s="195"/>
      <c r="C2347" s="181"/>
      <c r="D2347" s="194"/>
      <c r="E2347" s="194"/>
      <c r="F2347" s="181"/>
      <c r="G2347" s="181"/>
      <c r="H2347" s="181"/>
      <c r="I2347" s="181"/>
      <c r="J2347" s="181"/>
      <c r="K2347" s="181"/>
      <c r="L2347" s="181"/>
      <c r="M2347" s="181"/>
      <c r="N2347" s="181"/>
      <c r="O2347" s="181"/>
      <c r="P2347" s="181"/>
      <c r="Q2347" s="181"/>
      <c r="R2347" s="181"/>
      <c r="S2347" s="181"/>
      <c r="T2347" s="181"/>
      <c r="U2347" s="181"/>
      <c r="V2347" s="181"/>
      <c r="W2347" s="181"/>
      <c r="X2347" s="181"/>
      <c r="Y2347" s="181"/>
      <c r="Z2347" s="181"/>
    </row>
    <row r="2348">
      <c r="A2348" s="194"/>
      <c r="B2348" s="195"/>
      <c r="C2348" s="181"/>
      <c r="D2348" s="194"/>
      <c r="E2348" s="194"/>
      <c r="F2348" s="181"/>
      <c r="G2348" s="181"/>
      <c r="H2348" s="181"/>
      <c r="I2348" s="181"/>
      <c r="J2348" s="181"/>
      <c r="K2348" s="181"/>
      <c r="L2348" s="181"/>
      <c r="M2348" s="181"/>
      <c r="N2348" s="181"/>
      <c r="O2348" s="181"/>
      <c r="P2348" s="181"/>
      <c r="Q2348" s="181"/>
      <c r="R2348" s="181"/>
      <c r="S2348" s="181"/>
      <c r="T2348" s="181"/>
      <c r="U2348" s="181"/>
      <c r="V2348" s="181"/>
      <c r="W2348" s="181"/>
      <c r="X2348" s="181"/>
      <c r="Y2348" s="181"/>
      <c r="Z2348" s="181"/>
    </row>
    <row r="2349">
      <c r="A2349" s="194"/>
      <c r="B2349" s="195"/>
      <c r="C2349" s="181"/>
      <c r="D2349" s="194"/>
      <c r="E2349" s="194"/>
      <c r="F2349" s="181"/>
      <c r="G2349" s="181"/>
      <c r="H2349" s="181"/>
      <c r="I2349" s="181"/>
      <c r="J2349" s="181"/>
      <c r="K2349" s="181"/>
      <c r="L2349" s="181"/>
      <c r="M2349" s="181"/>
      <c r="N2349" s="181"/>
      <c r="O2349" s="181"/>
      <c r="P2349" s="181"/>
      <c r="Q2349" s="181"/>
      <c r="R2349" s="181"/>
      <c r="S2349" s="181"/>
      <c r="T2349" s="181"/>
      <c r="U2349" s="181"/>
      <c r="V2349" s="181"/>
      <c r="W2349" s="181"/>
      <c r="X2349" s="181"/>
      <c r="Y2349" s="181"/>
      <c r="Z2349" s="181"/>
    </row>
    <row r="2350">
      <c r="A2350" s="194"/>
      <c r="B2350" s="195"/>
      <c r="C2350" s="181"/>
      <c r="D2350" s="194"/>
      <c r="E2350" s="194"/>
      <c r="F2350" s="181"/>
      <c r="G2350" s="181"/>
      <c r="H2350" s="181"/>
      <c r="I2350" s="181"/>
      <c r="J2350" s="181"/>
      <c r="K2350" s="181"/>
      <c r="L2350" s="181"/>
      <c r="M2350" s="181"/>
      <c r="N2350" s="181"/>
      <c r="O2350" s="181"/>
      <c r="P2350" s="181"/>
      <c r="Q2350" s="181"/>
      <c r="R2350" s="181"/>
      <c r="S2350" s="181"/>
      <c r="T2350" s="181"/>
      <c r="U2350" s="181"/>
      <c r="V2350" s="181"/>
      <c r="W2350" s="181"/>
      <c r="X2350" s="181"/>
      <c r="Y2350" s="181"/>
      <c r="Z2350" s="181"/>
    </row>
    <row r="2351">
      <c r="A2351" s="194"/>
      <c r="B2351" s="195"/>
      <c r="C2351" s="181"/>
      <c r="D2351" s="194"/>
      <c r="E2351" s="194"/>
      <c r="F2351" s="181"/>
      <c r="G2351" s="181"/>
      <c r="H2351" s="181"/>
      <c r="I2351" s="181"/>
      <c r="J2351" s="181"/>
      <c r="K2351" s="181"/>
      <c r="L2351" s="181"/>
      <c r="M2351" s="181"/>
      <c r="N2351" s="181"/>
      <c r="O2351" s="181"/>
      <c r="P2351" s="181"/>
      <c r="Q2351" s="181"/>
      <c r="R2351" s="181"/>
      <c r="S2351" s="181"/>
      <c r="T2351" s="181"/>
      <c r="U2351" s="181"/>
      <c r="V2351" s="181"/>
      <c r="W2351" s="181"/>
      <c r="X2351" s="181"/>
      <c r="Y2351" s="181"/>
      <c r="Z2351" s="181"/>
    </row>
    <row r="2352">
      <c r="A2352" s="194"/>
      <c r="B2352" s="195"/>
      <c r="C2352" s="181"/>
      <c r="D2352" s="194"/>
      <c r="E2352" s="194"/>
      <c r="F2352" s="181"/>
      <c r="G2352" s="181"/>
      <c r="H2352" s="181"/>
      <c r="I2352" s="181"/>
      <c r="J2352" s="181"/>
      <c r="K2352" s="181"/>
      <c r="L2352" s="181"/>
      <c r="M2352" s="181"/>
      <c r="N2352" s="181"/>
      <c r="O2352" s="181"/>
      <c r="P2352" s="181"/>
      <c r="Q2352" s="181"/>
      <c r="R2352" s="181"/>
      <c r="S2352" s="181"/>
      <c r="T2352" s="181"/>
      <c r="U2352" s="181"/>
      <c r="V2352" s="181"/>
      <c r="W2352" s="181"/>
      <c r="X2352" s="181"/>
      <c r="Y2352" s="181"/>
      <c r="Z2352" s="181"/>
    </row>
    <row r="2353">
      <c r="A2353" s="194"/>
      <c r="B2353" s="195"/>
      <c r="C2353" s="181"/>
      <c r="D2353" s="194"/>
      <c r="E2353" s="194"/>
      <c r="F2353" s="181"/>
      <c r="G2353" s="181"/>
      <c r="H2353" s="181"/>
      <c r="I2353" s="181"/>
      <c r="J2353" s="181"/>
      <c r="K2353" s="181"/>
      <c r="L2353" s="181"/>
      <c r="M2353" s="181"/>
      <c r="N2353" s="181"/>
      <c r="O2353" s="181"/>
      <c r="P2353" s="181"/>
      <c r="Q2353" s="181"/>
      <c r="R2353" s="181"/>
      <c r="S2353" s="181"/>
      <c r="T2353" s="181"/>
      <c r="U2353" s="181"/>
      <c r="V2353" s="181"/>
      <c r="W2353" s="181"/>
      <c r="X2353" s="181"/>
      <c r="Y2353" s="181"/>
      <c r="Z2353" s="181"/>
    </row>
    <row r="2354">
      <c r="A2354" s="194"/>
      <c r="B2354" s="195"/>
      <c r="C2354" s="181"/>
      <c r="D2354" s="194"/>
      <c r="E2354" s="194"/>
      <c r="F2354" s="181"/>
      <c r="G2354" s="181"/>
      <c r="H2354" s="181"/>
      <c r="I2354" s="181"/>
      <c r="J2354" s="181"/>
      <c r="K2354" s="181"/>
      <c r="L2354" s="181"/>
      <c r="M2354" s="181"/>
      <c r="N2354" s="181"/>
      <c r="O2354" s="181"/>
      <c r="P2354" s="181"/>
      <c r="Q2354" s="181"/>
      <c r="R2354" s="181"/>
      <c r="S2354" s="181"/>
      <c r="T2354" s="181"/>
      <c r="U2354" s="181"/>
      <c r="V2354" s="181"/>
      <c r="W2354" s="181"/>
      <c r="X2354" s="181"/>
      <c r="Y2354" s="181"/>
      <c r="Z2354" s="181"/>
    </row>
    <row r="2355">
      <c r="A2355" s="194"/>
      <c r="B2355" s="195"/>
      <c r="C2355" s="181"/>
      <c r="D2355" s="194"/>
      <c r="E2355" s="194"/>
      <c r="F2355" s="181"/>
      <c r="G2355" s="181"/>
      <c r="H2355" s="181"/>
      <c r="I2355" s="181"/>
      <c r="J2355" s="181"/>
      <c r="K2355" s="181"/>
      <c r="L2355" s="181"/>
      <c r="M2355" s="181"/>
      <c r="N2355" s="181"/>
      <c r="O2355" s="181"/>
      <c r="P2355" s="181"/>
      <c r="Q2355" s="181"/>
      <c r="R2355" s="181"/>
      <c r="S2355" s="181"/>
      <c r="T2355" s="181"/>
      <c r="U2355" s="181"/>
      <c r="V2355" s="181"/>
      <c r="W2355" s="181"/>
      <c r="X2355" s="181"/>
      <c r="Y2355" s="181"/>
      <c r="Z2355" s="181"/>
    </row>
    <row r="2356">
      <c r="A2356" s="194"/>
      <c r="B2356" s="195"/>
      <c r="C2356" s="181"/>
      <c r="D2356" s="194"/>
      <c r="E2356" s="194"/>
      <c r="F2356" s="181"/>
      <c r="G2356" s="181"/>
      <c r="H2356" s="181"/>
      <c r="I2356" s="181"/>
      <c r="J2356" s="181"/>
      <c r="K2356" s="181"/>
      <c r="L2356" s="181"/>
      <c r="M2356" s="181"/>
      <c r="N2356" s="181"/>
      <c r="O2356" s="181"/>
      <c r="P2356" s="181"/>
      <c r="Q2356" s="181"/>
      <c r="R2356" s="181"/>
      <c r="S2356" s="181"/>
      <c r="T2356" s="181"/>
      <c r="U2356" s="181"/>
      <c r="V2356" s="181"/>
      <c r="W2356" s="181"/>
      <c r="X2356" s="181"/>
      <c r="Y2356" s="181"/>
      <c r="Z2356" s="181"/>
    </row>
    <row r="2357">
      <c r="A2357" s="194"/>
      <c r="B2357" s="195"/>
      <c r="C2357" s="181"/>
      <c r="D2357" s="194"/>
      <c r="E2357" s="194"/>
      <c r="F2357" s="181"/>
      <c r="G2357" s="181"/>
      <c r="H2357" s="181"/>
      <c r="I2357" s="181"/>
      <c r="J2357" s="181"/>
      <c r="K2357" s="181"/>
      <c r="L2357" s="181"/>
      <c r="M2357" s="181"/>
      <c r="N2357" s="181"/>
      <c r="O2357" s="181"/>
      <c r="P2357" s="181"/>
      <c r="Q2357" s="181"/>
      <c r="R2357" s="181"/>
      <c r="S2357" s="181"/>
      <c r="T2357" s="181"/>
      <c r="U2357" s="181"/>
      <c r="V2357" s="181"/>
      <c r="W2357" s="181"/>
      <c r="X2357" s="181"/>
      <c r="Y2357" s="181"/>
      <c r="Z2357" s="181"/>
    </row>
    <row r="2358">
      <c r="A2358" s="194"/>
      <c r="B2358" s="195"/>
      <c r="C2358" s="181"/>
      <c r="D2358" s="194"/>
      <c r="E2358" s="194"/>
      <c r="F2358" s="181"/>
      <c r="G2358" s="181"/>
      <c r="H2358" s="181"/>
      <c r="I2358" s="181"/>
      <c r="J2358" s="181"/>
      <c r="K2358" s="181"/>
      <c r="L2358" s="181"/>
      <c r="M2358" s="181"/>
      <c r="N2358" s="181"/>
      <c r="O2358" s="181"/>
      <c r="P2358" s="181"/>
      <c r="Q2358" s="181"/>
      <c r="R2358" s="181"/>
      <c r="S2358" s="181"/>
      <c r="T2358" s="181"/>
      <c r="U2358" s="181"/>
      <c r="V2358" s="181"/>
      <c r="W2358" s="181"/>
      <c r="X2358" s="181"/>
      <c r="Y2358" s="181"/>
      <c r="Z2358" s="181"/>
    </row>
    <row r="2359">
      <c r="A2359" s="194"/>
      <c r="B2359" s="195"/>
      <c r="C2359" s="181"/>
      <c r="D2359" s="194"/>
      <c r="E2359" s="194"/>
      <c r="F2359" s="181"/>
      <c r="G2359" s="181"/>
      <c r="H2359" s="181"/>
      <c r="I2359" s="181"/>
      <c r="J2359" s="181"/>
      <c r="K2359" s="181"/>
      <c r="L2359" s="181"/>
      <c r="M2359" s="181"/>
      <c r="N2359" s="181"/>
      <c r="O2359" s="181"/>
      <c r="P2359" s="181"/>
      <c r="Q2359" s="181"/>
      <c r="R2359" s="181"/>
      <c r="S2359" s="181"/>
      <c r="T2359" s="181"/>
      <c r="U2359" s="181"/>
      <c r="V2359" s="181"/>
      <c r="W2359" s="181"/>
      <c r="X2359" s="181"/>
      <c r="Y2359" s="181"/>
      <c r="Z2359" s="181"/>
    </row>
    <row r="2360">
      <c r="A2360" s="194"/>
      <c r="B2360" s="195"/>
      <c r="C2360" s="181"/>
      <c r="D2360" s="194"/>
      <c r="E2360" s="194"/>
      <c r="F2360" s="181"/>
      <c r="G2360" s="181"/>
      <c r="H2360" s="181"/>
      <c r="I2360" s="181"/>
      <c r="J2360" s="181"/>
      <c r="K2360" s="181"/>
      <c r="L2360" s="181"/>
      <c r="M2360" s="181"/>
      <c r="N2360" s="181"/>
      <c r="O2360" s="181"/>
      <c r="P2360" s="181"/>
      <c r="Q2360" s="181"/>
      <c r="R2360" s="181"/>
      <c r="S2360" s="181"/>
      <c r="T2360" s="181"/>
      <c r="U2360" s="181"/>
      <c r="V2360" s="181"/>
      <c r="W2360" s="181"/>
      <c r="X2360" s="181"/>
      <c r="Y2360" s="181"/>
      <c r="Z2360" s="181"/>
    </row>
    <row r="2361">
      <c r="A2361" s="194"/>
      <c r="B2361" s="195"/>
      <c r="C2361" s="181"/>
      <c r="D2361" s="194"/>
      <c r="E2361" s="194"/>
      <c r="F2361" s="181"/>
      <c r="G2361" s="181"/>
      <c r="H2361" s="181"/>
      <c r="I2361" s="181"/>
      <c r="J2361" s="181"/>
      <c r="K2361" s="181"/>
      <c r="L2361" s="181"/>
      <c r="M2361" s="181"/>
      <c r="N2361" s="181"/>
      <c r="O2361" s="181"/>
      <c r="P2361" s="181"/>
      <c r="Q2361" s="181"/>
      <c r="R2361" s="181"/>
      <c r="S2361" s="181"/>
      <c r="T2361" s="181"/>
      <c r="U2361" s="181"/>
      <c r="V2361" s="181"/>
      <c r="W2361" s="181"/>
      <c r="X2361" s="181"/>
      <c r="Y2361" s="181"/>
      <c r="Z2361" s="181"/>
    </row>
    <row r="2362">
      <c r="A2362" s="194"/>
      <c r="B2362" s="195"/>
      <c r="C2362" s="181"/>
      <c r="D2362" s="194"/>
      <c r="E2362" s="194"/>
      <c r="F2362" s="181"/>
      <c r="G2362" s="181"/>
      <c r="H2362" s="181"/>
      <c r="I2362" s="181"/>
      <c r="J2362" s="181"/>
      <c r="K2362" s="181"/>
      <c r="L2362" s="181"/>
      <c r="M2362" s="181"/>
      <c r="N2362" s="181"/>
      <c r="O2362" s="181"/>
      <c r="P2362" s="181"/>
      <c r="Q2362" s="181"/>
      <c r="R2362" s="181"/>
      <c r="S2362" s="181"/>
      <c r="T2362" s="181"/>
      <c r="U2362" s="181"/>
      <c r="V2362" s="181"/>
      <c r="W2362" s="181"/>
      <c r="X2362" s="181"/>
      <c r="Y2362" s="181"/>
      <c r="Z2362" s="181"/>
    </row>
    <row r="2363">
      <c r="A2363" s="194"/>
      <c r="B2363" s="195"/>
      <c r="C2363" s="181"/>
      <c r="D2363" s="194"/>
      <c r="E2363" s="194"/>
      <c r="F2363" s="181"/>
      <c r="G2363" s="181"/>
      <c r="H2363" s="181"/>
      <c r="I2363" s="181"/>
      <c r="J2363" s="181"/>
      <c r="K2363" s="181"/>
      <c r="L2363" s="181"/>
      <c r="M2363" s="181"/>
      <c r="N2363" s="181"/>
      <c r="O2363" s="181"/>
      <c r="P2363" s="181"/>
      <c r="Q2363" s="181"/>
      <c r="R2363" s="181"/>
      <c r="S2363" s="181"/>
      <c r="T2363" s="181"/>
      <c r="U2363" s="181"/>
      <c r="V2363" s="181"/>
      <c r="W2363" s="181"/>
      <c r="X2363" s="181"/>
      <c r="Y2363" s="181"/>
      <c r="Z2363" s="181"/>
    </row>
    <row r="2364">
      <c r="A2364" s="194"/>
      <c r="B2364" s="195"/>
      <c r="C2364" s="181"/>
      <c r="D2364" s="194"/>
      <c r="E2364" s="194"/>
      <c r="F2364" s="181"/>
      <c r="G2364" s="181"/>
      <c r="H2364" s="181"/>
      <c r="I2364" s="181"/>
      <c r="J2364" s="181"/>
      <c r="K2364" s="181"/>
      <c r="L2364" s="181"/>
      <c r="M2364" s="181"/>
      <c r="N2364" s="181"/>
      <c r="O2364" s="181"/>
      <c r="P2364" s="181"/>
      <c r="Q2364" s="181"/>
      <c r="R2364" s="181"/>
      <c r="S2364" s="181"/>
      <c r="T2364" s="181"/>
      <c r="U2364" s="181"/>
      <c r="V2364" s="181"/>
      <c r="W2364" s="181"/>
      <c r="X2364" s="181"/>
      <c r="Y2364" s="181"/>
      <c r="Z2364" s="181"/>
    </row>
    <row r="2365">
      <c r="A2365" s="194"/>
      <c r="B2365" s="195"/>
      <c r="C2365" s="181"/>
      <c r="D2365" s="194"/>
      <c r="E2365" s="194"/>
      <c r="F2365" s="181"/>
      <c r="G2365" s="181"/>
      <c r="H2365" s="181"/>
      <c r="I2365" s="181"/>
      <c r="J2365" s="181"/>
      <c r="K2365" s="181"/>
      <c r="L2365" s="181"/>
      <c r="M2365" s="181"/>
      <c r="N2365" s="181"/>
      <c r="O2365" s="181"/>
      <c r="P2365" s="181"/>
      <c r="Q2365" s="181"/>
      <c r="R2365" s="181"/>
      <c r="S2365" s="181"/>
      <c r="T2365" s="181"/>
      <c r="U2365" s="181"/>
      <c r="V2365" s="181"/>
      <c r="W2365" s="181"/>
      <c r="X2365" s="181"/>
      <c r="Y2365" s="181"/>
      <c r="Z2365" s="181"/>
    </row>
    <row r="2366">
      <c r="A2366" s="194"/>
      <c r="B2366" s="195"/>
      <c r="C2366" s="181"/>
      <c r="D2366" s="194"/>
      <c r="E2366" s="194"/>
      <c r="F2366" s="181"/>
      <c r="G2366" s="181"/>
      <c r="H2366" s="181"/>
      <c r="I2366" s="181"/>
      <c r="J2366" s="181"/>
      <c r="K2366" s="181"/>
      <c r="L2366" s="181"/>
      <c r="M2366" s="181"/>
      <c r="N2366" s="181"/>
      <c r="O2366" s="181"/>
      <c r="P2366" s="181"/>
      <c r="Q2366" s="181"/>
      <c r="R2366" s="181"/>
      <c r="S2366" s="181"/>
      <c r="T2366" s="181"/>
      <c r="U2366" s="181"/>
      <c r="V2366" s="181"/>
      <c r="W2366" s="181"/>
      <c r="X2366" s="181"/>
      <c r="Y2366" s="181"/>
      <c r="Z2366" s="181"/>
    </row>
    <row r="2367">
      <c r="A2367" s="194"/>
      <c r="B2367" s="195"/>
      <c r="C2367" s="181"/>
      <c r="D2367" s="194"/>
      <c r="E2367" s="194"/>
      <c r="F2367" s="181"/>
      <c r="G2367" s="181"/>
      <c r="H2367" s="181"/>
      <c r="I2367" s="181"/>
      <c r="J2367" s="181"/>
      <c r="K2367" s="181"/>
      <c r="L2367" s="181"/>
      <c r="M2367" s="181"/>
      <c r="N2367" s="181"/>
      <c r="O2367" s="181"/>
      <c r="P2367" s="181"/>
      <c r="Q2367" s="181"/>
      <c r="R2367" s="181"/>
      <c r="S2367" s="181"/>
      <c r="T2367" s="181"/>
      <c r="U2367" s="181"/>
      <c r="V2367" s="181"/>
      <c r="W2367" s="181"/>
      <c r="X2367" s="181"/>
      <c r="Y2367" s="181"/>
      <c r="Z2367" s="181"/>
    </row>
    <row r="2368">
      <c r="A2368" s="194"/>
      <c r="B2368" s="195"/>
      <c r="C2368" s="181"/>
      <c r="D2368" s="194"/>
      <c r="E2368" s="194"/>
      <c r="F2368" s="181"/>
      <c r="G2368" s="181"/>
      <c r="H2368" s="181"/>
      <c r="I2368" s="181"/>
      <c r="J2368" s="181"/>
      <c r="K2368" s="181"/>
      <c r="L2368" s="181"/>
      <c r="M2368" s="181"/>
      <c r="N2368" s="181"/>
      <c r="O2368" s="181"/>
      <c r="P2368" s="181"/>
      <c r="Q2368" s="181"/>
      <c r="R2368" s="181"/>
      <c r="S2368" s="181"/>
      <c r="T2368" s="181"/>
      <c r="U2368" s="181"/>
      <c r="V2368" s="181"/>
      <c r="W2368" s="181"/>
      <c r="X2368" s="181"/>
      <c r="Y2368" s="181"/>
      <c r="Z2368" s="181"/>
    </row>
    <row r="2369">
      <c r="A2369" s="194"/>
      <c r="B2369" s="195"/>
      <c r="C2369" s="181"/>
      <c r="D2369" s="194"/>
      <c r="E2369" s="194"/>
      <c r="F2369" s="181"/>
      <c r="G2369" s="181"/>
      <c r="H2369" s="181"/>
      <c r="I2369" s="181"/>
      <c r="J2369" s="181"/>
      <c r="K2369" s="181"/>
      <c r="L2369" s="181"/>
      <c r="M2369" s="181"/>
      <c r="N2369" s="181"/>
      <c r="O2369" s="181"/>
      <c r="P2369" s="181"/>
      <c r="Q2369" s="181"/>
      <c r="R2369" s="181"/>
      <c r="S2369" s="181"/>
      <c r="T2369" s="181"/>
      <c r="U2369" s="181"/>
      <c r="V2369" s="181"/>
      <c r="W2369" s="181"/>
      <c r="X2369" s="181"/>
      <c r="Y2369" s="181"/>
      <c r="Z2369" s="181"/>
    </row>
    <row r="2370">
      <c r="A2370" s="194"/>
      <c r="B2370" s="195"/>
      <c r="C2370" s="181"/>
      <c r="D2370" s="194"/>
      <c r="E2370" s="194"/>
      <c r="F2370" s="181"/>
      <c r="G2370" s="181"/>
      <c r="H2370" s="181"/>
      <c r="I2370" s="181"/>
      <c r="J2370" s="181"/>
      <c r="K2370" s="181"/>
      <c r="L2370" s="181"/>
      <c r="M2370" s="181"/>
      <c r="N2370" s="181"/>
      <c r="O2370" s="181"/>
      <c r="P2370" s="181"/>
      <c r="Q2370" s="181"/>
      <c r="R2370" s="181"/>
      <c r="S2370" s="181"/>
      <c r="T2370" s="181"/>
      <c r="U2370" s="181"/>
      <c r="V2370" s="181"/>
      <c r="W2370" s="181"/>
      <c r="X2370" s="181"/>
      <c r="Y2370" s="181"/>
      <c r="Z2370" s="181"/>
    </row>
    <row r="2371">
      <c r="A2371" s="194"/>
      <c r="B2371" s="195"/>
      <c r="C2371" s="181"/>
      <c r="D2371" s="194"/>
      <c r="E2371" s="194"/>
      <c r="F2371" s="181"/>
      <c r="G2371" s="181"/>
      <c r="H2371" s="181"/>
      <c r="I2371" s="181"/>
      <c r="J2371" s="181"/>
      <c r="K2371" s="181"/>
      <c r="L2371" s="181"/>
      <c r="M2371" s="181"/>
      <c r="N2371" s="181"/>
      <c r="O2371" s="181"/>
      <c r="P2371" s="181"/>
      <c r="Q2371" s="181"/>
      <c r="R2371" s="181"/>
      <c r="S2371" s="181"/>
      <c r="T2371" s="181"/>
      <c r="U2371" s="181"/>
      <c r="V2371" s="181"/>
      <c r="W2371" s="181"/>
      <c r="X2371" s="181"/>
      <c r="Y2371" s="181"/>
      <c r="Z2371" s="181"/>
    </row>
    <row r="2372">
      <c r="A2372" s="194"/>
      <c r="B2372" s="195"/>
      <c r="C2372" s="181"/>
      <c r="D2372" s="194"/>
      <c r="E2372" s="194"/>
      <c r="F2372" s="181"/>
      <c r="G2372" s="181"/>
      <c r="H2372" s="181"/>
      <c r="I2372" s="181"/>
      <c r="J2372" s="181"/>
      <c r="K2372" s="181"/>
      <c r="L2372" s="181"/>
      <c r="M2372" s="181"/>
      <c r="N2372" s="181"/>
      <c r="O2372" s="181"/>
      <c r="P2372" s="181"/>
      <c r="Q2372" s="181"/>
      <c r="R2372" s="181"/>
      <c r="S2372" s="181"/>
      <c r="T2372" s="181"/>
      <c r="U2372" s="181"/>
      <c r="V2372" s="181"/>
      <c r="W2372" s="181"/>
      <c r="X2372" s="181"/>
      <c r="Y2372" s="181"/>
      <c r="Z2372" s="181"/>
    </row>
    <row r="2373">
      <c r="A2373" s="194"/>
      <c r="B2373" s="195"/>
      <c r="C2373" s="181"/>
      <c r="D2373" s="194"/>
      <c r="E2373" s="194"/>
      <c r="F2373" s="181"/>
      <c r="G2373" s="181"/>
      <c r="H2373" s="181"/>
      <c r="I2373" s="181"/>
      <c r="J2373" s="181"/>
      <c r="K2373" s="181"/>
      <c r="L2373" s="181"/>
      <c r="M2373" s="181"/>
      <c r="N2373" s="181"/>
      <c r="O2373" s="181"/>
      <c r="P2373" s="181"/>
      <c r="Q2373" s="181"/>
      <c r="R2373" s="181"/>
      <c r="S2373" s="181"/>
      <c r="T2373" s="181"/>
      <c r="U2373" s="181"/>
      <c r="V2373" s="181"/>
      <c r="W2373" s="181"/>
      <c r="X2373" s="181"/>
      <c r="Y2373" s="181"/>
      <c r="Z2373" s="181"/>
    </row>
    <row r="2374">
      <c r="A2374" s="194"/>
      <c r="B2374" s="195"/>
      <c r="C2374" s="181"/>
      <c r="D2374" s="194"/>
      <c r="E2374" s="194"/>
      <c r="F2374" s="181"/>
      <c r="G2374" s="181"/>
      <c r="H2374" s="181"/>
      <c r="I2374" s="181"/>
      <c r="J2374" s="181"/>
      <c r="K2374" s="181"/>
      <c r="L2374" s="181"/>
      <c r="M2374" s="181"/>
      <c r="N2374" s="181"/>
      <c r="O2374" s="181"/>
      <c r="P2374" s="181"/>
      <c r="Q2374" s="181"/>
      <c r="R2374" s="181"/>
      <c r="S2374" s="181"/>
      <c r="T2374" s="181"/>
      <c r="U2374" s="181"/>
      <c r="V2374" s="181"/>
      <c r="W2374" s="181"/>
      <c r="X2374" s="181"/>
      <c r="Y2374" s="181"/>
      <c r="Z2374" s="181"/>
    </row>
    <row r="2375">
      <c r="A2375" s="194"/>
      <c r="B2375" s="195"/>
      <c r="C2375" s="181"/>
      <c r="D2375" s="194"/>
      <c r="E2375" s="194"/>
      <c r="F2375" s="181"/>
      <c r="G2375" s="181"/>
      <c r="H2375" s="181"/>
      <c r="I2375" s="181"/>
      <c r="J2375" s="181"/>
      <c r="K2375" s="181"/>
      <c r="L2375" s="181"/>
      <c r="M2375" s="181"/>
      <c r="N2375" s="181"/>
      <c r="O2375" s="181"/>
      <c r="P2375" s="181"/>
      <c r="Q2375" s="181"/>
      <c r="R2375" s="181"/>
      <c r="S2375" s="181"/>
      <c r="T2375" s="181"/>
      <c r="U2375" s="181"/>
      <c r="V2375" s="181"/>
      <c r="W2375" s="181"/>
      <c r="X2375" s="181"/>
      <c r="Y2375" s="181"/>
      <c r="Z2375" s="181"/>
    </row>
    <row r="2376">
      <c r="A2376" s="194"/>
      <c r="B2376" s="195"/>
      <c r="C2376" s="181"/>
      <c r="D2376" s="194"/>
      <c r="E2376" s="194"/>
      <c r="F2376" s="181"/>
      <c r="G2376" s="181"/>
      <c r="H2376" s="181"/>
      <c r="I2376" s="181"/>
      <c r="J2376" s="181"/>
      <c r="K2376" s="181"/>
      <c r="L2376" s="181"/>
      <c r="M2376" s="181"/>
      <c r="N2376" s="181"/>
      <c r="O2376" s="181"/>
      <c r="P2376" s="181"/>
      <c r="Q2376" s="181"/>
      <c r="R2376" s="181"/>
      <c r="S2376" s="181"/>
      <c r="T2376" s="181"/>
      <c r="U2376" s="181"/>
      <c r="V2376" s="181"/>
      <c r="W2376" s="181"/>
      <c r="X2376" s="181"/>
      <c r="Y2376" s="181"/>
      <c r="Z2376" s="181"/>
    </row>
    <row r="2377">
      <c r="A2377" s="194"/>
      <c r="B2377" s="195"/>
      <c r="C2377" s="181"/>
      <c r="D2377" s="194"/>
      <c r="E2377" s="194"/>
      <c r="F2377" s="181"/>
      <c r="G2377" s="181"/>
      <c r="H2377" s="181"/>
      <c r="I2377" s="181"/>
      <c r="J2377" s="181"/>
      <c r="K2377" s="181"/>
      <c r="L2377" s="181"/>
      <c r="M2377" s="181"/>
      <c r="N2377" s="181"/>
      <c r="O2377" s="181"/>
      <c r="P2377" s="181"/>
      <c r="Q2377" s="181"/>
      <c r="R2377" s="181"/>
      <c r="S2377" s="181"/>
      <c r="T2377" s="181"/>
      <c r="U2377" s="181"/>
      <c r="V2377" s="181"/>
      <c r="W2377" s="181"/>
      <c r="X2377" s="181"/>
      <c r="Y2377" s="181"/>
      <c r="Z2377" s="181"/>
    </row>
    <row r="2378">
      <c r="A2378" s="194"/>
      <c r="B2378" s="195"/>
      <c r="C2378" s="181"/>
      <c r="D2378" s="194"/>
      <c r="E2378" s="194"/>
      <c r="F2378" s="181"/>
      <c r="G2378" s="181"/>
      <c r="H2378" s="181"/>
      <c r="I2378" s="181"/>
      <c r="J2378" s="181"/>
      <c r="K2378" s="181"/>
      <c r="L2378" s="181"/>
      <c r="M2378" s="181"/>
      <c r="N2378" s="181"/>
      <c r="O2378" s="181"/>
      <c r="P2378" s="181"/>
      <c r="Q2378" s="181"/>
      <c r="R2378" s="181"/>
      <c r="S2378" s="181"/>
      <c r="T2378" s="181"/>
      <c r="U2378" s="181"/>
      <c r="V2378" s="181"/>
      <c r="W2378" s="181"/>
      <c r="X2378" s="181"/>
      <c r="Y2378" s="181"/>
      <c r="Z2378" s="181"/>
    </row>
    <row r="2379">
      <c r="A2379" s="194"/>
      <c r="B2379" s="195"/>
      <c r="C2379" s="181"/>
      <c r="D2379" s="194"/>
      <c r="E2379" s="194"/>
      <c r="F2379" s="181"/>
      <c r="G2379" s="181"/>
      <c r="H2379" s="181"/>
      <c r="I2379" s="181"/>
      <c r="J2379" s="181"/>
      <c r="K2379" s="181"/>
      <c r="L2379" s="181"/>
      <c r="M2379" s="181"/>
      <c r="N2379" s="181"/>
      <c r="O2379" s="181"/>
      <c r="P2379" s="181"/>
      <c r="Q2379" s="181"/>
      <c r="R2379" s="181"/>
      <c r="S2379" s="181"/>
      <c r="T2379" s="181"/>
      <c r="U2379" s="181"/>
      <c r="V2379" s="181"/>
      <c r="W2379" s="181"/>
      <c r="X2379" s="181"/>
      <c r="Y2379" s="181"/>
      <c r="Z2379" s="181"/>
    </row>
    <row r="2380">
      <c r="A2380" s="194"/>
      <c r="B2380" s="195"/>
      <c r="C2380" s="181"/>
      <c r="D2380" s="194"/>
      <c r="E2380" s="194"/>
      <c r="F2380" s="181"/>
      <c r="G2380" s="181"/>
      <c r="H2380" s="181"/>
      <c r="I2380" s="181"/>
      <c r="J2380" s="181"/>
      <c r="K2380" s="181"/>
      <c r="L2380" s="181"/>
      <c r="M2380" s="181"/>
      <c r="N2380" s="181"/>
      <c r="O2380" s="181"/>
      <c r="P2380" s="181"/>
      <c r="Q2380" s="181"/>
      <c r="R2380" s="181"/>
      <c r="S2380" s="181"/>
      <c r="T2380" s="181"/>
      <c r="U2380" s="181"/>
      <c r="V2380" s="181"/>
      <c r="W2380" s="181"/>
      <c r="X2380" s="181"/>
      <c r="Y2380" s="181"/>
      <c r="Z2380" s="181"/>
    </row>
    <row r="2381">
      <c r="A2381" s="194"/>
      <c r="B2381" s="195"/>
      <c r="C2381" s="181"/>
      <c r="D2381" s="194"/>
      <c r="E2381" s="194"/>
      <c r="F2381" s="181"/>
      <c r="G2381" s="181"/>
      <c r="H2381" s="181"/>
      <c r="I2381" s="181"/>
      <c r="J2381" s="181"/>
      <c r="K2381" s="181"/>
      <c r="L2381" s="181"/>
      <c r="M2381" s="181"/>
      <c r="N2381" s="181"/>
      <c r="O2381" s="181"/>
      <c r="P2381" s="181"/>
      <c r="Q2381" s="181"/>
      <c r="R2381" s="181"/>
      <c r="S2381" s="181"/>
      <c r="T2381" s="181"/>
      <c r="U2381" s="181"/>
      <c r="V2381" s="181"/>
      <c r="W2381" s="181"/>
      <c r="X2381" s="181"/>
      <c r="Y2381" s="181"/>
      <c r="Z2381" s="181"/>
    </row>
    <row r="2382">
      <c r="A2382" s="194"/>
      <c r="B2382" s="195"/>
      <c r="C2382" s="181"/>
      <c r="D2382" s="194"/>
      <c r="E2382" s="194"/>
      <c r="F2382" s="181"/>
      <c r="G2382" s="181"/>
      <c r="H2382" s="181"/>
      <c r="I2382" s="181"/>
      <c r="J2382" s="181"/>
      <c r="K2382" s="181"/>
      <c r="L2382" s="181"/>
      <c r="M2382" s="181"/>
      <c r="N2382" s="181"/>
      <c r="O2382" s="181"/>
      <c r="P2382" s="181"/>
      <c r="Q2382" s="181"/>
      <c r="R2382" s="181"/>
      <c r="S2382" s="181"/>
      <c r="T2382" s="181"/>
      <c r="U2382" s="181"/>
      <c r="V2382" s="181"/>
      <c r="W2382" s="181"/>
      <c r="X2382" s="181"/>
      <c r="Y2382" s="181"/>
      <c r="Z2382" s="181"/>
    </row>
    <row r="2383">
      <c r="A2383" s="194"/>
      <c r="B2383" s="195"/>
      <c r="C2383" s="181"/>
      <c r="D2383" s="194"/>
      <c r="E2383" s="194"/>
      <c r="F2383" s="181"/>
      <c r="G2383" s="181"/>
      <c r="H2383" s="181"/>
      <c r="I2383" s="181"/>
      <c r="J2383" s="181"/>
      <c r="K2383" s="181"/>
      <c r="L2383" s="181"/>
      <c r="M2383" s="181"/>
      <c r="N2383" s="181"/>
      <c r="O2383" s="181"/>
      <c r="P2383" s="181"/>
      <c r="Q2383" s="181"/>
      <c r="R2383" s="181"/>
      <c r="S2383" s="181"/>
      <c r="T2383" s="181"/>
      <c r="U2383" s="181"/>
      <c r="V2383" s="181"/>
      <c r="W2383" s="181"/>
      <c r="X2383" s="181"/>
      <c r="Y2383" s="181"/>
      <c r="Z2383" s="181"/>
    </row>
    <row r="2384">
      <c r="A2384" s="194"/>
      <c r="B2384" s="195"/>
      <c r="C2384" s="181"/>
      <c r="D2384" s="194"/>
      <c r="E2384" s="194"/>
      <c r="F2384" s="181"/>
      <c r="G2384" s="181"/>
      <c r="H2384" s="181"/>
      <c r="I2384" s="181"/>
      <c r="J2384" s="181"/>
      <c r="K2384" s="181"/>
      <c r="L2384" s="181"/>
      <c r="M2384" s="181"/>
      <c r="N2384" s="181"/>
      <c r="O2384" s="181"/>
      <c r="P2384" s="181"/>
      <c r="Q2384" s="181"/>
      <c r="R2384" s="181"/>
      <c r="S2384" s="181"/>
      <c r="T2384" s="181"/>
      <c r="U2384" s="181"/>
      <c r="V2384" s="181"/>
      <c r="W2384" s="181"/>
      <c r="X2384" s="181"/>
      <c r="Y2384" s="181"/>
      <c r="Z2384" s="181"/>
    </row>
    <row r="2385">
      <c r="A2385" s="194"/>
      <c r="B2385" s="195"/>
      <c r="C2385" s="181"/>
      <c r="D2385" s="194"/>
      <c r="E2385" s="194"/>
      <c r="F2385" s="181"/>
      <c r="G2385" s="181"/>
      <c r="H2385" s="181"/>
      <c r="I2385" s="181"/>
      <c r="J2385" s="181"/>
      <c r="K2385" s="181"/>
      <c r="L2385" s="181"/>
      <c r="M2385" s="181"/>
      <c r="N2385" s="181"/>
      <c r="O2385" s="181"/>
      <c r="P2385" s="181"/>
      <c r="Q2385" s="181"/>
      <c r="R2385" s="181"/>
      <c r="S2385" s="181"/>
      <c r="T2385" s="181"/>
      <c r="U2385" s="181"/>
      <c r="V2385" s="181"/>
      <c r="W2385" s="181"/>
      <c r="X2385" s="181"/>
      <c r="Y2385" s="181"/>
      <c r="Z2385" s="181"/>
    </row>
    <row r="2386">
      <c r="A2386" s="194"/>
      <c r="B2386" s="195"/>
      <c r="C2386" s="181"/>
      <c r="D2386" s="194"/>
      <c r="E2386" s="194"/>
      <c r="F2386" s="181"/>
      <c r="G2386" s="181"/>
      <c r="H2386" s="181"/>
      <c r="I2386" s="181"/>
      <c r="J2386" s="181"/>
      <c r="K2386" s="181"/>
      <c r="L2386" s="181"/>
      <c r="M2386" s="181"/>
      <c r="N2386" s="181"/>
      <c r="O2386" s="181"/>
      <c r="P2386" s="181"/>
      <c r="Q2386" s="181"/>
      <c r="R2386" s="181"/>
      <c r="S2386" s="181"/>
      <c r="T2386" s="181"/>
      <c r="U2386" s="181"/>
      <c r="V2386" s="181"/>
      <c r="W2386" s="181"/>
      <c r="X2386" s="181"/>
      <c r="Y2386" s="181"/>
      <c r="Z2386" s="181"/>
    </row>
    <row r="2387">
      <c r="A2387" s="194"/>
      <c r="B2387" s="195"/>
      <c r="C2387" s="181"/>
      <c r="D2387" s="194"/>
      <c r="E2387" s="194"/>
      <c r="F2387" s="181"/>
      <c r="G2387" s="181"/>
      <c r="H2387" s="181"/>
      <c r="I2387" s="181"/>
      <c r="J2387" s="181"/>
      <c r="K2387" s="181"/>
      <c r="L2387" s="181"/>
      <c r="M2387" s="181"/>
      <c r="N2387" s="181"/>
      <c r="O2387" s="181"/>
      <c r="P2387" s="181"/>
      <c r="Q2387" s="181"/>
      <c r="R2387" s="181"/>
      <c r="S2387" s="181"/>
      <c r="T2387" s="181"/>
      <c r="U2387" s="181"/>
      <c r="V2387" s="181"/>
      <c r="W2387" s="181"/>
      <c r="X2387" s="181"/>
      <c r="Y2387" s="181"/>
      <c r="Z2387" s="181"/>
    </row>
    <row r="2388">
      <c r="A2388" s="194"/>
      <c r="B2388" s="195"/>
      <c r="C2388" s="181"/>
      <c r="D2388" s="194"/>
      <c r="E2388" s="194"/>
      <c r="F2388" s="181"/>
      <c r="G2388" s="181"/>
      <c r="H2388" s="181"/>
      <c r="I2388" s="181"/>
      <c r="J2388" s="181"/>
      <c r="K2388" s="181"/>
      <c r="L2388" s="181"/>
      <c r="M2388" s="181"/>
      <c r="N2388" s="181"/>
      <c r="O2388" s="181"/>
      <c r="P2388" s="181"/>
      <c r="Q2388" s="181"/>
      <c r="R2388" s="181"/>
      <c r="S2388" s="181"/>
      <c r="T2388" s="181"/>
      <c r="U2388" s="181"/>
      <c r="V2388" s="181"/>
      <c r="W2388" s="181"/>
      <c r="X2388" s="181"/>
      <c r="Y2388" s="181"/>
      <c r="Z2388" s="181"/>
    </row>
    <row r="2389">
      <c r="A2389" s="194"/>
      <c r="B2389" s="195"/>
      <c r="C2389" s="181"/>
      <c r="D2389" s="194"/>
      <c r="E2389" s="194"/>
      <c r="F2389" s="181"/>
      <c r="G2389" s="181"/>
      <c r="H2389" s="181"/>
      <c r="I2389" s="181"/>
      <c r="J2389" s="181"/>
      <c r="K2389" s="181"/>
      <c r="L2389" s="181"/>
      <c r="M2389" s="181"/>
      <c r="N2389" s="181"/>
      <c r="O2389" s="181"/>
      <c r="P2389" s="181"/>
      <c r="Q2389" s="181"/>
      <c r="R2389" s="181"/>
      <c r="S2389" s="181"/>
      <c r="T2389" s="181"/>
      <c r="U2389" s="181"/>
      <c r="V2389" s="181"/>
      <c r="W2389" s="181"/>
      <c r="X2389" s="181"/>
      <c r="Y2389" s="181"/>
      <c r="Z2389" s="181"/>
    </row>
    <row r="2390">
      <c r="A2390" s="194"/>
      <c r="B2390" s="195"/>
      <c r="C2390" s="181"/>
      <c r="D2390" s="194"/>
      <c r="E2390" s="194"/>
      <c r="F2390" s="181"/>
      <c r="G2390" s="181"/>
      <c r="H2390" s="181"/>
      <c r="I2390" s="181"/>
      <c r="J2390" s="181"/>
      <c r="K2390" s="181"/>
      <c r="L2390" s="181"/>
      <c r="M2390" s="181"/>
      <c r="N2390" s="181"/>
      <c r="O2390" s="181"/>
      <c r="P2390" s="181"/>
      <c r="Q2390" s="181"/>
      <c r="R2390" s="181"/>
      <c r="S2390" s="181"/>
      <c r="T2390" s="181"/>
      <c r="U2390" s="181"/>
      <c r="V2390" s="181"/>
      <c r="W2390" s="181"/>
      <c r="X2390" s="181"/>
      <c r="Y2390" s="181"/>
      <c r="Z2390" s="181"/>
    </row>
    <row r="2391">
      <c r="A2391" s="194"/>
      <c r="B2391" s="195"/>
      <c r="C2391" s="181"/>
      <c r="D2391" s="194"/>
      <c r="E2391" s="194"/>
      <c r="F2391" s="181"/>
      <c r="G2391" s="181"/>
      <c r="H2391" s="181"/>
      <c r="I2391" s="181"/>
      <c r="J2391" s="181"/>
      <c r="K2391" s="181"/>
      <c r="L2391" s="181"/>
      <c r="M2391" s="181"/>
      <c r="N2391" s="181"/>
      <c r="O2391" s="181"/>
      <c r="P2391" s="181"/>
      <c r="Q2391" s="181"/>
      <c r="R2391" s="181"/>
      <c r="S2391" s="181"/>
      <c r="T2391" s="181"/>
      <c r="U2391" s="181"/>
      <c r="V2391" s="181"/>
      <c r="W2391" s="181"/>
      <c r="X2391" s="181"/>
      <c r="Y2391" s="181"/>
      <c r="Z2391" s="181"/>
    </row>
    <row r="2392">
      <c r="A2392" s="194"/>
      <c r="B2392" s="195"/>
      <c r="C2392" s="181"/>
      <c r="D2392" s="194"/>
      <c r="E2392" s="194"/>
      <c r="F2392" s="181"/>
      <c r="G2392" s="181"/>
      <c r="H2392" s="181"/>
      <c r="I2392" s="181"/>
      <c r="J2392" s="181"/>
      <c r="K2392" s="181"/>
      <c r="L2392" s="181"/>
      <c r="M2392" s="181"/>
      <c r="N2392" s="181"/>
      <c r="O2392" s="181"/>
      <c r="P2392" s="181"/>
      <c r="Q2392" s="181"/>
      <c r="R2392" s="181"/>
      <c r="S2392" s="181"/>
      <c r="T2392" s="181"/>
      <c r="U2392" s="181"/>
      <c r="V2392" s="181"/>
      <c r="W2392" s="181"/>
      <c r="X2392" s="181"/>
      <c r="Y2392" s="181"/>
      <c r="Z2392" s="181"/>
    </row>
    <row r="2393">
      <c r="A2393" s="194"/>
      <c r="B2393" s="195"/>
      <c r="C2393" s="181"/>
      <c r="D2393" s="194"/>
      <c r="E2393" s="194"/>
      <c r="F2393" s="181"/>
      <c r="G2393" s="181"/>
      <c r="H2393" s="181"/>
      <c r="I2393" s="181"/>
      <c r="J2393" s="181"/>
      <c r="K2393" s="181"/>
      <c r="L2393" s="181"/>
      <c r="M2393" s="181"/>
      <c r="N2393" s="181"/>
      <c r="O2393" s="181"/>
      <c r="P2393" s="181"/>
      <c r="Q2393" s="181"/>
      <c r="R2393" s="181"/>
      <c r="S2393" s="181"/>
      <c r="T2393" s="181"/>
      <c r="U2393" s="181"/>
      <c r="V2393" s="181"/>
      <c r="W2393" s="181"/>
      <c r="X2393" s="181"/>
      <c r="Y2393" s="181"/>
      <c r="Z2393" s="181"/>
    </row>
    <row r="2394">
      <c r="A2394" s="194"/>
      <c r="B2394" s="195"/>
      <c r="C2394" s="181"/>
      <c r="D2394" s="194"/>
      <c r="E2394" s="194"/>
      <c r="F2394" s="181"/>
      <c r="G2394" s="181"/>
      <c r="H2394" s="181"/>
      <c r="I2394" s="181"/>
      <c r="J2394" s="181"/>
      <c r="K2394" s="181"/>
      <c r="L2394" s="181"/>
      <c r="M2394" s="181"/>
      <c r="N2394" s="181"/>
      <c r="O2394" s="181"/>
      <c r="P2394" s="181"/>
      <c r="Q2394" s="181"/>
      <c r="R2394" s="181"/>
      <c r="S2394" s="181"/>
      <c r="T2394" s="181"/>
      <c r="U2394" s="181"/>
      <c r="V2394" s="181"/>
      <c r="W2394" s="181"/>
      <c r="X2394" s="181"/>
      <c r="Y2394" s="181"/>
      <c r="Z2394" s="181"/>
    </row>
    <row r="2395">
      <c r="A2395" s="194"/>
      <c r="B2395" s="195"/>
      <c r="C2395" s="181"/>
      <c r="D2395" s="194"/>
      <c r="E2395" s="194"/>
      <c r="F2395" s="181"/>
      <c r="G2395" s="181"/>
      <c r="H2395" s="181"/>
      <c r="I2395" s="181"/>
      <c r="J2395" s="181"/>
      <c r="K2395" s="181"/>
      <c r="L2395" s="181"/>
      <c r="M2395" s="181"/>
      <c r="N2395" s="181"/>
      <c r="O2395" s="181"/>
      <c r="P2395" s="181"/>
      <c r="Q2395" s="181"/>
      <c r="R2395" s="181"/>
      <c r="S2395" s="181"/>
      <c r="T2395" s="181"/>
      <c r="U2395" s="181"/>
      <c r="V2395" s="181"/>
      <c r="W2395" s="181"/>
      <c r="X2395" s="181"/>
      <c r="Y2395" s="181"/>
      <c r="Z2395" s="181"/>
    </row>
    <row r="2396">
      <c r="A2396" s="194"/>
      <c r="B2396" s="195"/>
      <c r="C2396" s="181"/>
      <c r="D2396" s="194"/>
      <c r="E2396" s="194"/>
      <c r="F2396" s="181"/>
      <c r="G2396" s="181"/>
      <c r="H2396" s="181"/>
      <c r="I2396" s="181"/>
      <c r="J2396" s="181"/>
      <c r="K2396" s="181"/>
      <c r="L2396" s="181"/>
      <c r="M2396" s="181"/>
      <c r="N2396" s="181"/>
      <c r="O2396" s="181"/>
      <c r="P2396" s="181"/>
      <c r="Q2396" s="181"/>
      <c r="R2396" s="181"/>
      <c r="S2396" s="181"/>
      <c r="T2396" s="181"/>
      <c r="U2396" s="181"/>
      <c r="V2396" s="181"/>
      <c r="W2396" s="181"/>
      <c r="X2396" s="181"/>
      <c r="Y2396" s="181"/>
      <c r="Z2396" s="181"/>
    </row>
    <row r="2397">
      <c r="A2397" s="194"/>
      <c r="B2397" s="195"/>
      <c r="C2397" s="181"/>
      <c r="D2397" s="194"/>
      <c r="E2397" s="194"/>
      <c r="F2397" s="181"/>
      <c r="G2397" s="181"/>
      <c r="H2397" s="181"/>
      <c r="I2397" s="181"/>
      <c r="J2397" s="181"/>
      <c r="K2397" s="181"/>
      <c r="L2397" s="181"/>
      <c r="M2397" s="181"/>
      <c r="N2397" s="181"/>
      <c r="O2397" s="181"/>
      <c r="P2397" s="181"/>
      <c r="Q2397" s="181"/>
      <c r="R2397" s="181"/>
      <c r="S2397" s="181"/>
      <c r="T2397" s="181"/>
      <c r="U2397" s="181"/>
      <c r="V2397" s="181"/>
      <c r="W2397" s="181"/>
      <c r="X2397" s="181"/>
      <c r="Y2397" s="181"/>
      <c r="Z2397" s="181"/>
    </row>
    <row r="2398">
      <c r="A2398" s="194"/>
      <c r="B2398" s="195"/>
      <c r="C2398" s="181"/>
      <c r="D2398" s="194"/>
      <c r="E2398" s="194"/>
      <c r="F2398" s="181"/>
      <c r="G2398" s="181"/>
      <c r="H2398" s="181"/>
      <c r="I2398" s="181"/>
      <c r="J2398" s="181"/>
      <c r="K2398" s="181"/>
      <c r="L2398" s="181"/>
      <c r="M2398" s="181"/>
      <c r="N2398" s="181"/>
      <c r="O2398" s="181"/>
      <c r="P2398" s="181"/>
      <c r="Q2398" s="181"/>
      <c r="R2398" s="181"/>
      <c r="S2398" s="181"/>
      <c r="T2398" s="181"/>
      <c r="U2398" s="181"/>
      <c r="V2398" s="181"/>
      <c r="W2398" s="181"/>
      <c r="X2398" s="181"/>
      <c r="Y2398" s="181"/>
      <c r="Z2398" s="181"/>
    </row>
    <row r="2399">
      <c r="A2399" s="194"/>
      <c r="B2399" s="195"/>
      <c r="C2399" s="181"/>
      <c r="D2399" s="194"/>
      <c r="E2399" s="194"/>
      <c r="F2399" s="181"/>
      <c r="G2399" s="181"/>
      <c r="H2399" s="181"/>
      <c r="I2399" s="181"/>
      <c r="J2399" s="181"/>
      <c r="K2399" s="181"/>
      <c r="L2399" s="181"/>
      <c r="M2399" s="181"/>
      <c r="N2399" s="181"/>
      <c r="O2399" s="181"/>
      <c r="P2399" s="181"/>
      <c r="Q2399" s="181"/>
      <c r="R2399" s="181"/>
      <c r="S2399" s="181"/>
      <c r="T2399" s="181"/>
      <c r="U2399" s="181"/>
      <c r="V2399" s="181"/>
      <c r="W2399" s="181"/>
      <c r="X2399" s="181"/>
      <c r="Y2399" s="181"/>
      <c r="Z2399" s="181"/>
    </row>
    <row r="2400">
      <c r="A2400" s="194"/>
      <c r="B2400" s="195"/>
      <c r="C2400" s="181"/>
      <c r="D2400" s="194"/>
      <c r="E2400" s="194"/>
      <c r="F2400" s="181"/>
      <c r="G2400" s="181"/>
      <c r="H2400" s="181"/>
      <c r="I2400" s="181"/>
      <c r="J2400" s="181"/>
      <c r="K2400" s="181"/>
      <c r="L2400" s="181"/>
      <c r="M2400" s="181"/>
      <c r="N2400" s="181"/>
      <c r="O2400" s="181"/>
      <c r="P2400" s="181"/>
      <c r="Q2400" s="181"/>
      <c r="R2400" s="181"/>
      <c r="S2400" s="181"/>
      <c r="T2400" s="181"/>
      <c r="U2400" s="181"/>
      <c r="V2400" s="181"/>
      <c r="W2400" s="181"/>
      <c r="X2400" s="181"/>
      <c r="Y2400" s="181"/>
      <c r="Z2400" s="181"/>
    </row>
    <row r="2401">
      <c r="A2401" s="194"/>
      <c r="B2401" s="195"/>
      <c r="C2401" s="181"/>
      <c r="D2401" s="194"/>
      <c r="E2401" s="194"/>
      <c r="F2401" s="181"/>
      <c r="G2401" s="181"/>
      <c r="H2401" s="181"/>
      <c r="I2401" s="181"/>
      <c r="J2401" s="181"/>
      <c r="K2401" s="181"/>
      <c r="L2401" s="181"/>
      <c r="M2401" s="181"/>
      <c r="N2401" s="181"/>
      <c r="O2401" s="181"/>
      <c r="P2401" s="181"/>
      <c r="Q2401" s="181"/>
      <c r="R2401" s="181"/>
      <c r="S2401" s="181"/>
      <c r="T2401" s="181"/>
      <c r="U2401" s="181"/>
      <c r="V2401" s="181"/>
      <c r="W2401" s="181"/>
      <c r="X2401" s="181"/>
      <c r="Y2401" s="181"/>
      <c r="Z2401" s="181"/>
    </row>
    <row r="2402">
      <c r="A2402" s="194"/>
      <c r="B2402" s="195"/>
      <c r="C2402" s="181"/>
      <c r="D2402" s="194"/>
      <c r="E2402" s="194"/>
      <c r="F2402" s="181"/>
      <c r="G2402" s="181"/>
      <c r="H2402" s="181"/>
      <c r="I2402" s="181"/>
      <c r="J2402" s="181"/>
      <c r="K2402" s="181"/>
      <c r="L2402" s="181"/>
      <c r="M2402" s="181"/>
      <c r="N2402" s="181"/>
      <c r="O2402" s="181"/>
      <c r="P2402" s="181"/>
      <c r="Q2402" s="181"/>
      <c r="R2402" s="181"/>
      <c r="S2402" s="181"/>
      <c r="T2402" s="181"/>
      <c r="U2402" s="181"/>
      <c r="V2402" s="181"/>
      <c r="W2402" s="181"/>
      <c r="X2402" s="181"/>
      <c r="Y2402" s="181"/>
      <c r="Z2402" s="181"/>
    </row>
    <row r="2403">
      <c r="A2403" s="194"/>
      <c r="B2403" s="195"/>
      <c r="C2403" s="181"/>
      <c r="D2403" s="194"/>
      <c r="E2403" s="194"/>
      <c r="F2403" s="181"/>
      <c r="G2403" s="181"/>
      <c r="H2403" s="181"/>
      <c r="I2403" s="181"/>
      <c r="J2403" s="181"/>
      <c r="K2403" s="181"/>
      <c r="L2403" s="181"/>
      <c r="M2403" s="181"/>
      <c r="N2403" s="181"/>
      <c r="O2403" s="181"/>
      <c r="P2403" s="181"/>
      <c r="Q2403" s="181"/>
      <c r="R2403" s="181"/>
      <c r="S2403" s="181"/>
      <c r="T2403" s="181"/>
      <c r="U2403" s="181"/>
      <c r="V2403" s="181"/>
      <c r="W2403" s="181"/>
      <c r="X2403" s="181"/>
      <c r="Y2403" s="181"/>
      <c r="Z2403" s="181"/>
    </row>
    <row r="2404">
      <c r="A2404" s="194"/>
      <c r="B2404" s="195"/>
      <c r="C2404" s="181"/>
      <c r="D2404" s="194"/>
      <c r="E2404" s="194"/>
      <c r="F2404" s="181"/>
      <c r="G2404" s="181"/>
      <c r="H2404" s="181"/>
      <c r="I2404" s="181"/>
      <c r="J2404" s="181"/>
      <c r="K2404" s="181"/>
      <c r="L2404" s="181"/>
      <c r="M2404" s="181"/>
      <c r="N2404" s="181"/>
      <c r="O2404" s="181"/>
      <c r="P2404" s="181"/>
      <c r="Q2404" s="181"/>
      <c r="R2404" s="181"/>
      <c r="S2404" s="181"/>
      <c r="T2404" s="181"/>
      <c r="U2404" s="181"/>
      <c r="V2404" s="181"/>
      <c r="W2404" s="181"/>
      <c r="X2404" s="181"/>
      <c r="Y2404" s="181"/>
      <c r="Z2404" s="181"/>
    </row>
    <row r="2405">
      <c r="A2405" s="194"/>
      <c r="B2405" s="195"/>
      <c r="C2405" s="181"/>
      <c r="D2405" s="194"/>
      <c r="E2405" s="194"/>
      <c r="F2405" s="181"/>
      <c r="G2405" s="181"/>
      <c r="H2405" s="181"/>
      <c r="I2405" s="181"/>
      <c r="J2405" s="181"/>
      <c r="K2405" s="181"/>
      <c r="L2405" s="181"/>
      <c r="M2405" s="181"/>
      <c r="N2405" s="181"/>
      <c r="O2405" s="181"/>
      <c r="P2405" s="181"/>
      <c r="Q2405" s="181"/>
      <c r="R2405" s="181"/>
      <c r="S2405" s="181"/>
      <c r="T2405" s="181"/>
      <c r="U2405" s="181"/>
      <c r="V2405" s="181"/>
      <c r="W2405" s="181"/>
      <c r="X2405" s="181"/>
      <c r="Y2405" s="181"/>
      <c r="Z2405" s="181"/>
    </row>
    <row r="2406">
      <c r="A2406" s="194"/>
      <c r="B2406" s="195"/>
      <c r="C2406" s="181"/>
      <c r="D2406" s="194"/>
      <c r="E2406" s="194"/>
      <c r="F2406" s="181"/>
      <c r="G2406" s="181"/>
      <c r="H2406" s="181"/>
      <c r="I2406" s="181"/>
      <c r="J2406" s="181"/>
      <c r="K2406" s="181"/>
      <c r="L2406" s="181"/>
      <c r="M2406" s="181"/>
      <c r="N2406" s="181"/>
      <c r="O2406" s="181"/>
      <c r="P2406" s="181"/>
      <c r="Q2406" s="181"/>
      <c r="R2406" s="181"/>
      <c r="S2406" s="181"/>
      <c r="T2406" s="181"/>
      <c r="U2406" s="181"/>
      <c r="V2406" s="181"/>
      <c r="W2406" s="181"/>
      <c r="X2406" s="181"/>
      <c r="Y2406" s="181"/>
      <c r="Z2406" s="181"/>
    </row>
    <row r="2407">
      <c r="A2407" s="194"/>
      <c r="B2407" s="195"/>
      <c r="C2407" s="181"/>
      <c r="D2407" s="194"/>
      <c r="E2407" s="194"/>
      <c r="F2407" s="181"/>
      <c r="G2407" s="181"/>
      <c r="H2407" s="181"/>
      <c r="I2407" s="181"/>
      <c r="J2407" s="181"/>
      <c r="K2407" s="181"/>
      <c r="L2407" s="181"/>
      <c r="M2407" s="181"/>
      <c r="N2407" s="181"/>
      <c r="O2407" s="181"/>
      <c r="P2407" s="181"/>
      <c r="Q2407" s="181"/>
      <c r="R2407" s="181"/>
      <c r="S2407" s="181"/>
      <c r="T2407" s="181"/>
      <c r="U2407" s="181"/>
      <c r="V2407" s="181"/>
      <c r="W2407" s="181"/>
      <c r="X2407" s="181"/>
      <c r="Y2407" s="181"/>
      <c r="Z2407" s="181"/>
    </row>
    <row r="2408">
      <c r="A2408" s="194"/>
      <c r="B2408" s="195"/>
      <c r="C2408" s="181"/>
      <c r="D2408" s="194"/>
      <c r="E2408" s="194"/>
      <c r="F2408" s="181"/>
      <c r="G2408" s="181"/>
      <c r="H2408" s="181"/>
      <c r="I2408" s="181"/>
      <c r="J2408" s="181"/>
      <c r="K2408" s="181"/>
      <c r="L2408" s="181"/>
      <c r="M2408" s="181"/>
      <c r="N2408" s="181"/>
      <c r="O2408" s="181"/>
      <c r="P2408" s="181"/>
      <c r="Q2408" s="181"/>
      <c r="R2408" s="181"/>
      <c r="S2408" s="181"/>
      <c r="T2408" s="181"/>
      <c r="U2408" s="181"/>
      <c r="V2408" s="181"/>
      <c r="W2408" s="181"/>
      <c r="X2408" s="181"/>
      <c r="Y2408" s="181"/>
      <c r="Z2408" s="181"/>
    </row>
    <row r="2409">
      <c r="A2409" s="194"/>
      <c r="B2409" s="195"/>
      <c r="C2409" s="181"/>
      <c r="D2409" s="194"/>
      <c r="E2409" s="194"/>
      <c r="F2409" s="181"/>
      <c r="G2409" s="181"/>
      <c r="H2409" s="181"/>
      <c r="I2409" s="181"/>
      <c r="J2409" s="181"/>
      <c r="K2409" s="181"/>
      <c r="L2409" s="181"/>
      <c r="M2409" s="181"/>
      <c r="N2409" s="181"/>
      <c r="O2409" s="181"/>
      <c r="P2409" s="181"/>
      <c r="Q2409" s="181"/>
      <c r="R2409" s="181"/>
      <c r="S2409" s="181"/>
      <c r="T2409" s="181"/>
      <c r="U2409" s="181"/>
      <c r="V2409" s="181"/>
      <c r="W2409" s="181"/>
      <c r="X2409" s="181"/>
      <c r="Y2409" s="181"/>
      <c r="Z2409" s="181"/>
    </row>
    <row r="2410">
      <c r="A2410" s="194"/>
      <c r="B2410" s="195"/>
      <c r="C2410" s="181"/>
      <c r="D2410" s="194"/>
      <c r="E2410" s="194"/>
      <c r="F2410" s="181"/>
      <c r="G2410" s="181"/>
      <c r="H2410" s="181"/>
      <c r="I2410" s="181"/>
      <c r="J2410" s="181"/>
      <c r="K2410" s="181"/>
      <c r="L2410" s="181"/>
      <c r="M2410" s="181"/>
      <c r="N2410" s="181"/>
      <c r="O2410" s="181"/>
      <c r="P2410" s="181"/>
      <c r="Q2410" s="181"/>
      <c r="R2410" s="181"/>
      <c r="S2410" s="181"/>
      <c r="T2410" s="181"/>
      <c r="U2410" s="181"/>
      <c r="V2410" s="181"/>
      <c r="W2410" s="181"/>
      <c r="X2410" s="181"/>
      <c r="Y2410" s="181"/>
      <c r="Z2410" s="181"/>
    </row>
    <row r="2411">
      <c r="A2411" s="194"/>
      <c r="B2411" s="195"/>
      <c r="C2411" s="181"/>
      <c r="D2411" s="194"/>
      <c r="E2411" s="194"/>
      <c r="F2411" s="181"/>
      <c r="G2411" s="181"/>
      <c r="H2411" s="181"/>
      <c r="I2411" s="181"/>
      <c r="J2411" s="181"/>
      <c r="K2411" s="181"/>
      <c r="L2411" s="181"/>
      <c r="M2411" s="181"/>
      <c r="N2411" s="181"/>
      <c r="O2411" s="181"/>
      <c r="P2411" s="181"/>
      <c r="Q2411" s="181"/>
      <c r="R2411" s="181"/>
      <c r="S2411" s="181"/>
      <c r="T2411" s="181"/>
      <c r="U2411" s="181"/>
      <c r="V2411" s="181"/>
      <c r="W2411" s="181"/>
      <c r="X2411" s="181"/>
      <c r="Y2411" s="181"/>
      <c r="Z2411" s="181"/>
    </row>
    <row r="2412">
      <c r="A2412" s="194"/>
      <c r="B2412" s="195"/>
      <c r="C2412" s="181"/>
      <c r="D2412" s="194"/>
      <c r="E2412" s="194"/>
      <c r="F2412" s="181"/>
      <c r="G2412" s="181"/>
      <c r="H2412" s="181"/>
      <c r="I2412" s="181"/>
      <c r="J2412" s="181"/>
      <c r="K2412" s="181"/>
      <c r="L2412" s="181"/>
      <c r="M2412" s="181"/>
      <c r="N2412" s="181"/>
      <c r="O2412" s="181"/>
      <c r="P2412" s="181"/>
      <c r="Q2412" s="181"/>
      <c r="R2412" s="181"/>
      <c r="S2412" s="181"/>
      <c r="T2412" s="181"/>
      <c r="U2412" s="181"/>
      <c r="V2412" s="181"/>
      <c r="W2412" s="181"/>
      <c r="X2412" s="181"/>
      <c r="Y2412" s="181"/>
      <c r="Z2412" s="181"/>
    </row>
    <row r="2413">
      <c r="A2413" s="194"/>
      <c r="B2413" s="195"/>
      <c r="C2413" s="181"/>
      <c r="D2413" s="194"/>
      <c r="E2413" s="194"/>
      <c r="F2413" s="181"/>
      <c r="G2413" s="181"/>
      <c r="H2413" s="181"/>
      <c r="I2413" s="181"/>
      <c r="J2413" s="181"/>
      <c r="K2413" s="181"/>
      <c r="L2413" s="181"/>
      <c r="M2413" s="181"/>
      <c r="N2413" s="181"/>
      <c r="O2413" s="181"/>
      <c r="P2413" s="181"/>
      <c r="Q2413" s="181"/>
      <c r="R2413" s="181"/>
      <c r="S2413" s="181"/>
      <c r="T2413" s="181"/>
      <c r="U2413" s="181"/>
      <c r="V2413" s="181"/>
      <c r="W2413" s="181"/>
      <c r="X2413" s="181"/>
      <c r="Y2413" s="181"/>
      <c r="Z2413" s="181"/>
    </row>
    <row r="2414">
      <c r="A2414" s="194"/>
      <c r="B2414" s="195"/>
      <c r="C2414" s="181"/>
      <c r="D2414" s="194"/>
      <c r="E2414" s="194"/>
      <c r="F2414" s="181"/>
      <c r="G2414" s="181"/>
      <c r="H2414" s="181"/>
      <c r="I2414" s="181"/>
      <c r="J2414" s="181"/>
      <c r="K2414" s="181"/>
      <c r="L2414" s="181"/>
      <c r="M2414" s="181"/>
      <c r="N2414" s="181"/>
      <c r="O2414" s="181"/>
      <c r="P2414" s="181"/>
      <c r="Q2414" s="181"/>
      <c r="R2414" s="181"/>
      <c r="S2414" s="181"/>
      <c r="T2414" s="181"/>
      <c r="U2414" s="181"/>
      <c r="V2414" s="181"/>
      <c r="W2414" s="181"/>
      <c r="X2414" s="181"/>
      <c r="Y2414" s="181"/>
      <c r="Z2414" s="181"/>
    </row>
    <row r="2415">
      <c r="A2415" s="194"/>
      <c r="B2415" s="195"/>
      <c r="C2415" s="181"/>
      <c r="D2415" s="194"/>
      <c r="E2415" s="194"/>
      <c r="F2415" s="181"/>
      <c r="G2415" s="181"/>
      <c r="H2415" s="181"/>
      <c r="I2415" s="181"/>
      <c r="J2415" s="181"/>
      <c r="K2415" s="181"/>
      <c r="L2415" s="181"/>
      <c r="M2415" s="181"/>
      <c r="N2415" s="181"/>
      <c r="O2415" s="181"/>
      <c r="P2415" s="181"/>
      <c r="Q2415" s="181"/>
      <c r="R2415" s="181"/>
      <c r="S2415" s="181"/>
      <c r="T2415" s="181"/>
      <c r="U2415" s="181"/>
      <c r="V2415" s="181"/>
      <c r="W2415" s="181"/>
      <c r="X2415" s="181"/>
      <c r="Y2415" s="181"/>
      <c r="Z2415" s="181"/>
    </row>
    <row r="2416">
      <c r="A2416" s="194"/>
      <c r="B2416" s="195"/>
      <c r="C2416" s="181"/>
      <c r="D2416" s="194"/>
      <c r="E2416" s="194"/>
      <c r="F2416" s="181"/>
      <c r="G2416" s="181"/>
      <c r="H2416" s="181"/>
      <c r="I2416" s="181"/>
      <c r="J2416" s="181"/>
      <c r="K2416" s="181"/>
      <c r="L2416" s="181"/>
      <c r="M2416" s="181"/>
      <c r="N2416" s="181"/>
      <c r="O2416" s="181"/>
      <c r="P2416" s="181"/>
      <c r="Q2416" s="181"/>
      <c r="R2416" s="181"/>
      <c r="S2416" s="181"/>
      <c r="T2416" s="181"/>
      <c r="U2416" s="181"/>
      <c r="V2416" s="181"/>
      <c r="W2416" s="181"/>
      <c r="X2416" s="181"/>
      <c r="Y2416" s="181"/>
      <c r="Z2416" s="181"/>
    </row>
    <row r="2417">
      <c r="A2417" s="194"/>
      <c r="B2417" s="195"/>
      <c r="C2417" s="181"/>
      <c r="D2417" s="194"/>
      <c r="E2417" s="194"/>
      <c r="F2417" s="181"/>
      <c r="G2417" s="181"/>
      <c r="H2417" s="181"/>
      <c r="I2417" s="181"/>
      <c r="J2417" s="181"/>
      <c r="K2417" s="181"/>
      <c r="L2417" s="181"/>
      <c r="M2417" s="181"/>
      <c r="N2417" s="181"/>
      <c r="O2417" s="181"/>
      <c r="P2417" s="181"/>
      <c r="Q2417" s="181"/>
      <c r="R2417" s="181"/>
      <c r="S2417" s="181"/>
      <c r="T2417" s="181"/>
      <c r="U2417" s="181"/>
      <c r="V2417" s="181"/>
      <c r="W2417" s="181"/>
      <c r="X2417" s="181"/>
      <c r="Y2417" s="181"/>
      <c r="Z2417" s="181"/>
    </row>
    <row r="2418">
      <c r="A2418" s="194"/>
      <c r="B2418" s="195"/>
      <c r="C2418" s="181"/>
      <c r="D2418" s="194"/>
      <c r="E2418" s="194"/>
      <c r="F2418" s="181"/>
      <c r="G2418" s="181"/>
      <c r="H2418" s="181"/>
      <c r="I2418" s="181"/>
      <c r="J2418" s="181"/>
      <c r="K2418" s="181"/>
      <c r="L2418" s="181"/>
      <c r="M2418" s="181"/>
      <c r="N2418" s="181"/>
      <c r="O2418" s="181"/>
      <c r="P2418" s="181"/>
      <c r="Q2418" s="181"/>
      <c r="R2418" s="181"/>
      <c r="S2418" s="181"/>
      <c r="T2418" s="181"/>
      <c r="U2418" s="181"/>
      <c r="V2418" s="181"/>
      <c r="W2418" s="181"/>
      <c r="X2418" s="181"/>
      <c r="Y2418" s="181"/>
      <c r="Z2418" s="181"/>
    </row>
    <row r="2419">
      <c r="A2419" s="194"/>
      <c r="B2419" s="195"/>
      <c r="C2419" s="181"/>
      <c r="D2419" s="194"/>
      <c r="E2419" s="194"/>
      <c r="F2419" s="181"/>
      <c r="G2419" s="181"/>
      <c r="H2419" s="181"/>
      <c r="I2419" s="181"/>
      <c r="J2419" s="181"/>
      <c r="K2419" s="181"/>
      <c r="L2419" s="181"/>
      <c r="M2419" s="181"/>
      <c r="N2419" s="181"/>
      <c r="O2419" s="181"/>
      <c r="P2419" s="181"/>
      <c r="Q2419" s="181"/>
      <c r="R2419" s="181"/>
      <c r="S2419" s="181"/>
      <c r="T2419" s="181"/>
      <c r="U2419" s="181"/>
      <c r="V2419" s="181"/>
      <c r="W2419" s="181"/>
      <c r="X2419" s="181"/>
      <c r="Y2419" s="181"/>
      <c r="Z2419" s="181"/>
    </row>
    <row r="2420">
      <c r="A2420" s="194"/>
      <c r="B2420" s="195"/>
      <c r="C2420" s="181"/>
      <c r="D2420" s="194"/>
      <c r="E2420" s="194"/>
      <c r="F2420" s="181"/>
      <c r="G2420" s="181"/>
      <c r="H2420" s="181"/>
      <c r="I2420" s="181"/>
      <c r="J2420" s="181"/>
      <c r="K2420" s="181"/>
      <c r="L2420" s="181"/>
      <c r="M2420" s="181"/>
      <c r="N2420" s="181"/>
      <c r="O2420" s="181"/>
      <c r="P2420" s="181"/>
      <c r="Q2420" s="181"/>
      <c r="R2420" s="181"/>
      <c r="S2420" s="181"/>
      <c r="T2420" s="181"/>
      <c r="U2420" s="181"/>
      <c r="V2420" s="181"/>
      <c r="W2420" s="181"/>
      <c r="X2420" s="181"/>
      <c r="Y2420" s="181"/>
      <c r="Z2420" s="181"/>
    </row>
    <row r="2421">
      <c r="A2421" s="194"/>
      <c r="B2421" s="195"/>
      <c r="C2421" s="181"/>
      <c r="D2421" s="194"/>
      <c r="E2421" s="194"/>
      <c r="F2421" s="181"/>
      <c r="G2421" s="181"/>
      <c r="H2421" s="181"/>
      <c r="I2421" s="181"/>
      <c r="J2421" s="181"/>
      <c r="K2421" s="181"/>
      <c r="L2421" s="181"/>
      <c r="M2421" s="181"/>
      <c r="N2421" s="181"/>
      <c r="O2421" s="181"/>
      <c r="P2421" s="181"/>
      <c r="Q2421" s="181"/>
      <c r="R2421" s="181"/>
      <c r="S2421" s="181"/>
      <c r="T2421" s="181"/>
      <c r="U2421" s="181"/>
      <c r="V2421" s="181"/>
      <c r="W2421" s="181"/>
      <c r="X2421" s="181"/>
      <c r="Y2421" s="181"/>
      <c r="Z2421" s="181"/>
    </row>
    <row r="2422">
      <c r="A2422" s="194"/>
      <c r="B2422" s="195"/>
      <c r="C2422" s="181"/>
      <c r="D2422" s="194"/>
      <c r="E2422" s="194"/>
      <c r="F2422" s="181"/>
      <c r="G2422" s="181"/>
      <c r="H2422" s="181"/>
      <c r="I2422" s="181"/>
      <c r="J2422" s="181"/>
      <c r="K2422" s="181"/>
      <c r="L2422" s="181"/>
      <c r="M2422" s="181"/>
      <c r="N2422" s="181"/>
      <c r="O2422" s="181"/>
      <c r="P2422" s="181"/>
      <c r="Q2422" s="181"/>
      <c r="R2422" s="181"/>
      <c r="S2422" s="181"/>
      <c r="T2422" s="181"/>
      <c r="U2422" s="181"/>
      <c r="V2422" s="181"/>
      <c r="W2422" s="181"/>
      <c r="X2422" s="181"/>
      <c r="Y2422" s="181"/>
      <c r="Z2422" s="181"/>
    </row>
    <row r="2423">
      <c r="A2423" s="194"/>
      <c r="B2423" s="195"/>
      <c r="C2423" s="181"/>
      <c r="D2423" s="194"/>
      <c r="E2423" s="194"/>
      <c r="F2423" s="181"/>
      <c r="G2423" s="181"/>
      <c r="H2423" s="181"/>
      <c r="I2423" s="181"/>
      <c r="J2423" s="181"/>
      <c r="K2423" s="181"/>
      <c r="L2423" s="181"/>
      <c r="M2423" s="181"/>
      <c r="N2423" s="181"/>
      <c r="O2423" s="181"/>
      <c r="P2423" s="181"/>
      <c r="Q2423" s="181"/>
      <c r="R2423" s="181"/>
      <c r="S2423" s="181"/>
      <c r="T2423" s="181"/>
      <c r="U2423" s="181"/>
      <c r="V2423" s="181"/>
      <c r="W2423" s="181"/>
      <c r="X2423" s="181"/>
      <c r="Y2423" s="181"/>
      <c r="Z2423" s="181"/>
    </row>
    <row r="2424">
      <c r="A2424" s="194"/>
      <c r="B2424" s="195"/>
      <c r="C2424" s="181"/>
      <c r="D2424" s="194"/>
      <c r="E2424" s="194"/>
      <c r="F2424" s="181"/>
      <c r="G2424" s="181"/>
      <c r="H2424" s="181"/>
      <c r="I2424" s="181"/>
      <c r="J2424" s="181"/>
      <c r="K2424" s="181"/>
      <c r="L2424" s="181"/>
      <c r="M2424" s="181"/>
      <c r="N2424" s="181"/>
      <c r="O2424" s="181"/>
      <c r="P2424" s="181"/>
      <c r="Q2424" s="181"/>
      <c r="R2424" s="181"/>
      <c r="S2424" s="181"/>
      <c r="T2424" s="181"/>
      <c r="U2424" s="181"/>
      <c r="V2424" s="181"/>
      <c r="W2424" s="181"/>
      <c r="X2424" s="181"/>
      <c r="Y2424" s="181"/>
      <c r="Z2424" s="181"/>
    </row>
    <row r="2425">
      <c r="A2425" s="194"/>
      <c r="B2425" s="195"/>
      <c r="C2425" s="181"/>
      <c r="D2425" s="194"/>
      <c r="E2425" s="194"/>
      <c r="F2425" s="181"/>
      <c r="G2425" s="181"/>
      <c r="H2425" s="181"/>
      <c r="I2425" s="181"/>
      <c r="J2425" s="181"/>
      <c r="K2425" s="181"/>
      <c r="L2425" s="181"/>
      <c r="M2425" s="181"/>
      <c r="N2425" s="181"/>
      <c r="O2425" s="181"/>
      <c r="P2425" s="181"/>
      <c r="Q2425" s="181"/>
      <c r="R2425" s="181"/>
      <c r="S2425" s="181"/>
      <c r="T2425" s="181"/>
      <c r="U2425" s="181"/>
      <c r="V2425" s="181"/>
      <c r="W2425" s="181"/>
      <c r="X2425" s="181"/>
      <c r="Y2425" s="181"/>
      <c r="Z2425" s="181"/>
    </row>
    <row r="2426">
      <c r="A2426" s="194"/>
      <c r="B2426" s="195"/>
      <c r="C2426" s="181"/>
      <c r="D2426" s="194"/>
      <c r="E2426" s="194"/>
      <c r="F2426" s="181"/>
      <c r="G2426" s="181"/>
      <c r="H2426" s="181"/>
      <c r="I2426" s="181"/>
      <c r="J2426" s="181"/>
      <c r="K2426" s="181"/>
      <c r="L2426" s="181"/>
      <c r="M2426" s="181"/>
      <c r="N2426" s="181"/>
      <c r="O2426" s="181"/>
      <c r="P2426" s="181"/>
      <c r="Q2426" s="181"/>
      <c r="R2426" s="181"/>
      <c r="S2426" s="181"/>
      <c r="T2426" s="181"/>
      <c r="U2426" s="181"/>
      <c r="V2426" s="181"/>
      <c r="W2426" s="181"/>
      <c r="X2426" s="181"/>
      <c r="Y2426" s="181"/>
      <c r="Z2426" s="181"/>
    </row>
    <row r="2427">
      <c r="A2427" s="194"/>
      <c r="B2427" s="195"/>
      <c r="C2427" s="181"/>
      <c r="D2427" s="194"/>
      <c r="E2427" s="194"/>
      <c r="F2427" s="181"/>
      <c r="G2427" s="181"/>
      <c r="H2427" s="181"/>
      <c r="I2427" s="181"/>
      <c r="J2427" s="181"/>
      <c r="K2427" s="181"/>
      <c r="L2427" s="181"/>
      <c r="M2427" s="181"/>
      <c r="N2427" s="181"/>
      <c r="O2427" s="181"/>
      <c r="P2427" s="181"/>
      <c r="Q2427" s="181"/>
      <c r="R2427" s="181"/>
      <c r="S2427" s="181"/>
      <c r="T2427" s="181"/>
      <c r="U2427" s="181"/>
      <c r="V2427" s="181"/>
      <c r="W2427" s="181"/>
      <c r="X2427" s="181"/>
      <c r="Y2427" s="181"/>
      <c r="Z2427" s="181"/>
    </row>
    <row r="2428">
      <c r="A2428" s="194"/>
      <c r="B2428" s="195"/>
      <c r="C2428" s="181"/>
      <c r="D2428" s="194"/>
      <c r="E2428" s="194"/>
      <c r="F2428" s="181"/>
      <c r="G2428" s="181"/>
      <c r="H2428" s="181"/>
      <c r="I2428" s="181"/>
      <c r="J2428" s="181"/>
      <c r="K2428" s="181"/>
      <c r="L2428" s="181"/>
      <c r="M2428" s="181"/>
      <c r="N2428" s="181"/>
      <c r="O2428" s="181"/>
      <c r="P2428" s="181"/>
      <c r="Q2428" s="181"/>
      <c r="R2428" s="181"/>
      <c r="S2428" s="181"/>
      <c r="T2428" s="181"/>
      <c r="U2428" s="181"/>
      <c r="V2428" s="181"/>
      <c r="W2428" s="181"/>
      <c r="X2428" s="181"/>
      <c r="Y2428" s="181"/>
      <c r="Z2428" s="181"/>
    </row>
    <row r="2429">
      <c r="A2429" s="194"/>
      <c r="B2429" s="195"/>
      <c r="C2429" s="181"/>
      <c r="D2429" s="194"/>
      <c r="E2429" s="194"/>
      <c r="F2429" s="181"/>
      <c r="G2429" s="181"/>
      <c r="H2429" s="181"/>
      <c r="I2429" s="181"/>
      <c r="J2429" s="181"/>
      <c r="K2429" s="181"/>
      <c r="L2429" s="181"/>
      <c r="M2429" s="181"/>
      <c r="N2429" s="181"/>
      <c r="O2429" s="181"/>
      <c r="P2429" s="181"/>
      <c r="Q2429" s="181"/>
      <c r="R2429" s="181"/>
      <c r="S2429" s="181"/>
      <c r="T2429" s="181"/>
      <c r="U2429" s="181"/>
      <c r="V2429" s="181"/>
      <c r="W2429" s="181"/>
      <c r="X2429" s="181"/>
      <c r="Y2429" s="181"/>
      <c r="Z2429" s="181"/>
    </row>
    <row r="2430">
      <c r="A2430" s="194"/>
      <c r="B2430" s="195"/>
      <c r="C2430" s="181"/>
      <c r="D2430" s="194"/>
      <c r="E2430" s="194"/>
      <c r="F2430" s="181"/>
      <c r="G2430" s="181"/>
      <c r="H2430" s="181"/>
      <c r="I2430" s="181"/>
      <c r="J2430" s="181"/>
      <c r="K2430" s="181"/>
      <c r="L2430" s="181"/>
      <c r="M2430" s="181"/>
      <c r="N2430" s="181"/>
      <c r="O2430" s="181"/>
      <c r="P2430" s="181"/>
      <c r="Q2430" s="181"/>
      <c r="R2430" s="181"/>
      <c r="S2430" s="181"/>
      <c r="T2430" s="181"/>
      <c r="U2430" s="181"/>
      <c r="V2430" s="181"/>
      <c r="W2430" s="181"/>
      <c r="X2430" s="181"/>
      <c r="Y2430" s="181"/>
      <c r="Z2430" s="181"/>
    </row>
    <row r="2431">
      <c r="A2431" s="194"/>
      <c r="B2431" s="195"/>
      <c r="C2431" s="181"/>
      <c r="D2431" s="194"/>
      <c r="E2431" s="194"/>
      <c r="F2431" s="181"/>
      <c r="G2431" s="181"/>
      <c r="H2431" s="181"/>
      <c r="I2431" s="181"/>
      <c r="J2431" s="181"/>
      <c r="K2431" s="181"/>
      <c r="L2431" s="181"/>
      <c r="M2431" s="181"/>
      <c r="N2431" s="181"/>
      <c r="O2431" s="181"/>
      <c r="P2431" s="181"/>
      <c r="Q2431" s="181"/>
      <c r="R2431" s="181"/>
      <c r="S2431" s="181"/>
      <c r="T2431" s="181"/>
      <c r="U2431" s="181"/>
      <c r="V2431" s="181"/>
      <c r="W2431" s="181"/>
      <c r="X2431" s="181"/>
      <c r="Y2431" s="181"/>
      <c r="Z2431" s="181"/>
    </row>
    <row r="2432">
      <c r="A2432" s="194"/>
      <c r="B2432" s="195"/>
      <c r="C2432" s="181"/>
      <c r="D2432" s="194"/>
      <c r="E2432" s="194"/>
      <c r="F2432" s="181"/>
      <c r="G2432" s="181"/>
      <c r="H2432" s="181"/>
      <c r="I2432" s="181"/>
      <c r="J2432" s="181"/>
      <c r="K2432" s="181"/>
      <c r="L2432" s="181"/>
      <c r="M2432" s="181"/>
      <c r="N2432" s="181"/>
      <c r="O2432" s="181"/>
      <c r="P2432" s="181"/>
      <c r="Q2432" s="181"/>
      <c r="R2432" s="181"/>
      <c r="S2432" s="181"/>
      <c r="T2432" s="181"/>
      <c r="U2432" s="181"/>
      <c r="V2432" s="181"/>
      <c r="W2432" s="181"/>
      <c r="X2432" s="181"/>
      <c r="Y2432" s="181"/>
      <c r="Z2432" s="181"/>
    </row>
    <row r="2433">
      <c r="A2433" s="194"/>
      <c r="B2433" s="195"/>
      <c r="C2433" s="181"/>
      <c r="D2433" s="194"/>
      <c r="E2433" s="194"/>
      <c r="F2433" s="181"/>
      <c r="G2433" s="181"/>
      <c r="H2433" s="181"/>
      <c r="I2433" s="181"/>
      <c r="J2433" s="181"/>
      <c r="K2433" s="181"/>
      <c r="L2433" s="181"/>
      <c r="M2433" s="181"/>
      <c r="N2433" s="181"/>
      <c r="O2433" s="181"/>
      <c r="P2433" s="181"/>
      <c r="Q2433" s="181"/>
      <c r="R2433" s="181"/>
      <c r="S2433" s="181"/>
      <c r="T2433" s="181"/>
      <c r="U2433" s="181"/>
      <c r="V2433" s="181"/>
      <c r="W2433" s="181"/>
      <c r="X2433" s="181"/>
      <c r="Y2433" s="181"/>
      <c r="Z2433" s="181"/>
    </row>
    <row r="2434">
      <c r="A2434" s="194"/>
      <c r="B2434" s="195"/>
      <c r="C2434" s="181"/>
      <c r="D2434" s="194"/>
      <c r="E2434" s="194"/>
      <c r="F2434" s="181"/>
      <c r="G2434" s="181"/>
      <c r="H2434" s="181"/>
      <c r="I2434" s="181"/>
      <c r="J2434" s="181"/>
      <c r="K2434" s="181"/>
      <c r="L2434" s="181"/>
      <c r="M2434" s="181"/>
      <c r="N2434" s="181"/>
      <c r="O2434" s="181"/>
      <c r="P2434" s="181"/>
      <c r="Q2434" s="181"/>
      <c r="R2434" s="181"/>
      <c r="S2434" s="181"/>
      <c r="T2434" s="181"/>
      <c r="U2434" s="181"/>
      <c r="V2434" s="181"/>
      <c r="W2434" s="181"/>
      <c r="X2434" s="181"/>
      <c r="Y2434" s="181"/>
      <c r="Z2434" s="181"/>
    </row>
    <row r="2435">
      <c r="A2435" s="194"/>
      <c r="B2435" s="195"/>
      <c r="C2435" s="181"/>
      <c r="D2435" s="194"/>
      <c r="E2435" s="194"/>
      <c r="F2435" s="181"/>
      <c r="G2435" s="181"/>
      <c r="H2435" s="181"/>
      <c r="I2435" s="181"/>
      <c r="J2435" s="181"/>
      <c r="K2435" s="181"/>
      <c r="L2435" s="181"/>
      <c r="M2435" s="181"/>
      <c r="N2435" s="181"/>
      <c r="O2435" s="181"/>
      <c r="P2435" s="181"/>
      <c r="Q2435" s="181"/>
      <c r="R2435" s="181"/>
      <c r="S2435" s="181"/>
      <c r="T2435" s="181"/>
      <c r="U2435" s="181"/>
      <c r="V2435" s="181"/>
      <c r="W2435" s="181"/>
      <c r="X2435" s="181"/>
      <c r="Y2435" s="181"/>
      <c r="Z2435" s="181"/>
    </row>
    <row r="2436">
      <c r="A2436" s="194"/>
      <c r="B2436" s="195"/>
      <c r="C2436" s="181"/>
      <c r="D2436" s="194"/>
      <c r="E2436" s="194"/>
      <c r="F2436" s="181"/>
      <c r="G2436" s="181"/>
      <c r="H2436" s="181"/>
      <c r="I2436" s="181"/>
      <c r="J2436" s="181"/>
      <c r="K2436" s="181"/>
      <c r="L2436" s="181"/>
      <c r="M2436" s="181"/>
      <c r="N2436" s="181"/>
      <c r="O2436" s="181"/>
      <c r="P2436" s="181"/>
      <c r="Q2436" s="181"/>
      <c r="R2436" s="181"/>
      <c r="S2436" s="181"/>
      <c r="T2436" s="181"/>
      <c r="U2436" s="181"/>
      <c r="V2436" s="181"/>
      <c r="W2436" s="181"/>
      <c r="X2436" s="181"/>
      <c r="Y2436" s="181"/>
      <c r="Z2436" s="181"/>
    </row>
    <row r="2437">
      <c r="A2437" s="194"/>
      <c r="B2437" s="195"/>
      <c r="C2437" s="181"/>
      <c r="D2437" s="194"/>
      <c r="E2437" s="194"/>
      <c r="F2437" s="181"/>
      <c r="G2437" s="181"/>
      <c r="H2437" s="181"/>
      <c r="I2437" s="181"/>
      <c r="J2437" s="181"/>
      <c r="K2437" s="181"/>
      <c r="L2437" s="181"/>
      <c r="M2437" s="181"/>
      <c r="N2437" s="181"/>
      <c r="O2437" s="181"/>
      <c r="P2437" s="181"/>
      <c r="Q2437" s="181"/>
      <c r="R2437" s="181"/>
      <c r="S2437" s="181"/>
      <c r="T2437" s="181"/>
      <c r="U2437" s="181"/>
      <c r="V2437" s="181"/>
      <c r="W2437" s="181"/>
      <c r="X2437" s="181"/>
      <c r="Y2437" s="181"/>
      <c r="Z2437" s="181"/>
    </row>
    <row r="2438">
      <c r="A2438" s="194"/>
      <c r="B2438" s="195"/>
      <c r="C2438" s="181"/>
      <c r="D2438" s="194"/>
      <c r="E2438" s="194"/>
      <c r="F2438" s="181"/>
      <c r="G2438" s="181"/>
      <c r="H2438" s="181"/>
      <c r="I2438" s="181"/>
      <c r="J2438" s="181"/>
      <c r="K2438" s="181"/>
      <c r="L2438" s="181"/>
      <c r="M2438" s="181"/>
      <c r="N2438" s="181"/>
      <c r="O2438" s="181"/>
      <c r="P2438" s="181"/>
      <c r="Q2438" s="181"/>
      <c r="R2438" s="181"/>
      <c r="S2438" s="181"/>
      <c r="T2438" s="181"/>
      <c r="U2438" s="181"/>
      <c r="V2438" s="181"/>
      <c r="W2438" s="181"/>
      <c r="X2438" s="181"/>
      <c r="Y2438" s="181"/>
      <c r="Z2438" s="181"/>
    </row>
    <row r="2439">
      <c r="A2439" s="194"/>
      <c r="B2439" s="195"/>
      <c r="C2439" s="181"/>
      <c r="D2439" s="194"/>
      <c r="E2439" s="194"/>
      <c r="F2439" s="181"/>
      <c r="G2439" s="181"/>
      <c r="H2439" s="181"/>
      <c r="I2439" s="181"/>
      <c r="J2439" s="181"/>
      <c r="K2439" s="181"/>
      <c r="L2439" s="181"/>
      <c r="M2439" s="181"/>
      <c r="N2439" s="181"/>
      <c r="O2439" s="181"/>
      <c r="P2439" s="181"/>
      <c r="Q2439" s="181"/>
      <c r="R2439" s="181"/>
      <c r="S2439" s="181"/>
      <c r="T2439" s="181"/>
      <c r="U2439" s="181"/>
      <c r="V2439" s="181"/>
      <c r="W2439" s="181"/>
      <c r="X2439" s="181"/>
      <c r="Y2439" s="181"/>
      <c r="Z2439" s="181"/>
    </row>
    <row r="2440">
      <c r="A2440" s="194"/>
      <c r="B2440" s="195"/>
      <c r="C2440" s="181"/>
      <c r="D2440" s="194"/>
      <c r="E2440" s="194"/>
      <c r="F2440" s="181"/>
      <c r="G2440" s="181"/>
      <c r="H2440" s="181"/>
      <c r="I2440" s="181"/>
      <c r="J2440" s="181"/>
      <c r="K2440" s="181"/>
      <c r="L2440" s="181"/>
      <c r="M2440" s="181"/>
      <c r="N2440" s="181"/>
      <c r="O2440" s="181"/>
      <c r="P2440" s="181"/>
      <c r="Q2440" s="181"/>
      <c r="R2440" s="181"/>
      <c r="S2440" s="181"/>
      <c r="T2440" s="181"/>
      <c r="U2440" s="181"/>
      <c r="V2440" s="181"/>
      <c r="W2440" s="181"/>
      <c r="X2440" s="181"/>
      <c r="Y2440" s="181"/>
      <c r="Z2440" s="181"/>
    </row>
    <row r="2441">
      <c r="A2441" s="194"/>
      <c r="B2441" s="195"/>
      <c r="C2441" s="181"/>
      <c r="D2441" s="194"/>
      <c r="E2441" s="194"/>
      <c r="F2441" s="181"/>
      <c r="G2441" s="181"/>
      <c r="H2441" s="181"/>
      <c r="I2441" s="181"/>
      <c r="J2441" s="181"/>
      <c r="K2441" s="181"/>
      <c r="L2441" s="181"/>
      <c r="M2441" s="181"/>
      <c r="N2441" s="181"/>
      <c r="O2441" s="181"/>
      <c r="P2441" s="181"/>
      <c r="Q2441" s="181"/>
      <c r="R2441" s="181"/>
      <c r="S2441" s="181"/>
      <c r="T2441" s="181"/>
      <c r="U2441" s="181"/>
      <c r="V2441" s="181"/>
      <c r="W2441" s="181"/>
      <c r="X2441" s="181"/>
      <c r="Y2441" s="181"/>
      <c r="Z2441" s="181"/>
    </row>
    <row r="2442">
      <c r="A2442" s="194"/>
      <c r="B2442" s="195"/>
      <c r="C2442" s="181"/>
      <c r="D2442" s="194"/>
      <c r="E2442" s="194"/>
      <c r="F2442" s="181"/>
      <c r="G2442" s="181"/>
      <c r="H2442" s="181"/>
      <c r="I2442" s="181"/>
      <c r="J2442" s="181"/>
      <c r="K2442" s="181"/>
      <c r="L2442" s="181"/>
      <c r="M2442" s="181"/>
      <c r="N2442" s="181"/>
      <c r="O2442" s="181"/>
      <c r="P2442" s="181"/>
      <c r="Q2442" s="181"/>
      <c r="R2442" s="181"/>
      <c r="S2442" s="181"/>
      <c r="T2442" s="181"/>
      <c r="U2442" s="181"/>
      <c r="V2442" s="181"/>
      <c r="W2442" s="181"/>
      <c r="X2442" s="181"/>
      <c r="Y2442" s="181"/>
      <c r="Z2442" s="181"/>
    </row>
    <row r="2443">
      <c r="A2443" s="194"/>
      <c r="B2443" s="195"/>
      <c r="C2443" s="181"/>
      <c r="D2443" s="194"/>
      <c r="E2443" s="194"/>
      <c r="F2443" s="181"/>
      <c r="G2443" s="181"/>
      <c r="H2443" s="181"/>
      <c r="I2443" s="181"/>
      <c r="J2443" s="181"/>
      <c r="K2443" s="181"/>
      <c r="L2443" s="181"/>
      <c r="M2443" s="181"/>
      <c r="N2443" s="181"/>
      <c r="O2443" s="181"/>
      <c r="P2443" s="181"/>
      <c r="Q2443" s="181"/>
      <c r="R2443" s="181"/>
      <c r="S2443" s="181"/>
      <c r="T2443" s="181"/>
      <c r="U2443" s="181"/>
      <c r="V2443" s="181"/>
      <c r="W2443" s="181"/>
      <c r="X2443" s="181"/>
      <c r="Y2443" s="181"/>
      <c r="Z2443" s="181"/>
    </row>
    <row r="2444">
      <c r="A2444" s="194"/>
      <c r="B2444" s="195"/>
      <c r="C2444" s="181"/>
      <c r="D2444" s="194"/>
      <c r="E2444" s="194"/>
      <c r="F2444" s="181"/>
      <c r="G2444" s="181"/>
      <c r="H2444" s="181"/>
      <c r="I2444" s="181"/>
      <c r="J2444" s="181"/>
      <c r="K2444" s="181"/>
      <c r="L2444" s="181"/>
      <c r="M2444" s="181"/>
      <c r="N2444" s="181"/>
      <c r="O2444" s="181"/>
      <c r="P2444" s="181"/>
      <c r="Q2444" s="181"/>
      <c r="R2444" s="181"/>
      <c r="S2444" s="181"/>
      <c r="T2444" s="181"/>
      <c r="U2444" s="181"/>
      <c r="V2444" s="181"/>
      <c r="W2444" s="181"/>
      <c r="X2444" s="181"/>
      <c r="Y2444" s="181"/>
      <c r="Z2444" s="181"/>
    </row>
    <row r="2445">
      <c r="A2445" s="194"/>
      <c r="B2445" s="195"/>
      <c r="C2445" s="181"/>
      <c r="D2445" s="194"/>
      <c r="E2445" s="194"/>
      <c r="F2445" s="181"/>
      <c r="G2445" s="181"/>
      <c r="H2445" s="181"/>
      <c r="I2445" s="181"/>
      <c r="J2445" s="181"/>
      <c r="K2445" s="181"/>
      <c r="L2445" s="181"/>
      <c r="M2445" s="181"/>
      <c r="N2445" s="181"/>
      <c r="O2445" s="181"/>
      <c r="P2445" s="181"/>
      <c r="Q2445" s="181"/>
      <c r="R2445" s="181"/>
      <c r="S2445" s="181"/>
      <c r="T2445" s="181"/>
      <c r="U2445" s="181"/>
      <c r="V2445" s="181"/>
      <c r="W2445" s="181"/>
      <c r="X2445" s="181"/>
      <c r="Y2445" s="181"/>
      <c r="Z2445" s="181"/>
    </row>
    <row r="2446">
      <c r="A2446" s="194"/>
      <c r="B2446" s="195"/>
      <c r="C2446" s="181"/>
      <c r="D2446" s="194"/>
      <c r="E2446" s="194"/>
      <c r="F2446" s="181"/>
      <c r="G2446" s="181"/>
      <c r="H2446" s="181"/>
      <c r="I2446" s="181"/>
      <c r="J2446" s="181"/>
      <c r="K2446" s="181"/>
      <c r="L2446" s="181"/>
      <c r="M2446" s="181"/>
      <c r="N2446" s="181"/>
      <c r="O2446" s="181"/>
      <c r="P2446" s="181"/>
      <c r="Q2446" s="181"/>
      <c r="R2446" s="181"/>
      <c r="S2446" s="181"/>
      <c r="T2446" s="181"/>
      <c r="U2446" s="181"/>
      <c r="V2446" s="181"/>
      <c r="W2446" s="181"/>
      <c r="X2446" s="181"/>
      <c r="Y2446" s="181"/>
      <c r="Z2446" s="181"/>
    </row>
    <row r="2447">
      <c r="A2447" s="194"/>
      <c r="B2447" s="195"/>
      <c r="C2447" s="181"/>
      <c r="D2447" s="194"/>
      <c r="E2447" s="194"/>
      <c r="F2447" s="181"/>
      <c r="G2447" s="181"/>
      <c r="H2447" s="181"/>
      <c r="I2447" s="181"/>
      <c r="J2447" s="181"/>
      <c r="K2447" s="181"/>
      <c r="L2447" s="181"/>
      <c r="M2447" s="181"/>
      <c r="N2447" s="181"/>
      <c r="O2447" s="181"/>
      <c r="P2447" s="181"/>
      <c r="Q2447" s="181"/>
      <c r="R2447" s="181"/>
      <c r="S2447" s="181"/>
      <c r="T2447" s="181"/>
      <c r="U2447" s="181"/>
      <c r="V2447" s="181"/>
      <c r="W2447" s="181"/>
      <c r="X2447" s="181"/>
      <c r="Y2447" s="181"/>
      <c r="Z2447" s="181"/>
    </row>
    <row r="2448">
      <c r="A2448" s="194"/>
      <c r="B2448" s="195"/>
      <c r="C2448" s="181"/>
      <c r="D2448" s="194"/>
      <c r="E2448" s="194"/>
      <c r="F2448" s="181"/>
      <c r="G2448" s="181"/>
      <c r="H2448" s="181"/>
      <c r="I2448" s="181"/>
      <c r="J2448" s="181"/>
      <c r="K2448" s="181"/>
      <c r="L2448" s="181"/>
      <c r="M2448" s="181"/>
      <c r="N2448" s="181"/>
      <c r="O2448" s="181"/>
      <c r="P2448" s="181"/>
      <c r="Q2448" s="181"/>
      <c r="R2448" s="181"/>
      <c r="S2448" s="181"/>
      <c r="T2448" s="181"/>
      <c r="U2448" s="181"/>
      <c r="V2448" s="181"/>
      <c r="W2448" s="181"/>
      <c r="X2448" s="181"/>
      <c r="Y2448" s="181"/>
      <c r="Z2448" s="181"/>
    </row>
    <row r="2449">
      <c r="A2449" s="194"/>
      <c r="B2449" s="195"/>
      <c r="C2449" s="181"/>
      <c r="D2449" s="194"/>
      <c r="E2449" s="194"/>
      <c r="F2449" s="181"/>
      <c r="G2449" s="181"/>
      <c r="H2449" s="181"/>
      <c r="I2449" s="181"/>
      <c r="J2449" s="181"/>
      <c r="K2449" s="181"/>
      <c r="L2449" s="181"/>
      <c r="M2449" s="181"/>
      <c r="N2449" s="181"/>
      <c r="O2449" s="181"/>
      <c r="P2449" s="181"/>
      <c r="Q2449" s="181"/>
      <c r="R2449" s="181"/>
      <c r="S2449" s="181"/>
      <c r="T2449" s="181"/>
      <c r="U2449" s="181"/>
      <c r="V2449" s="181"/>
      <c r="W2449" s="181"/>
      <c r="X2449" s="181"/>
      <c r="Y2449" s="181"/>
      <c r="Z2449" s="181"/>
    </row>
    <row r="2450">
      <c r="A2450" s="194"/>
      <c r="B2450" s="195"/>
      <c r="C2450" s="181"/>
      <c r="D2450" s="194"/>
      <c r="E2450" s="194"/>
      <c r="F2450" s="181"/>
      <c r="G2450" s="181"/>
      <c r="H2450" s="181"/>
      <c r="I2450" s="181"/>
      <c r="J2450" s="181"/>
      <c r="K2450" s="181"/>
      <c r="L2450" s="181"/>
      <c r="M2450" s="181"/>
      <c r="N2450" s="181"/>
      <c r="O2450" s="181"/>
      <c r="P2450" s="181"/>
      <c r="Q2450" s="181"/>
      <c r="R2450" s="181"/>
      <c r="S2450" s="181"/>
      <c r="T2450" s="181"/>
      <c r="U2450" s="181"/>
      <c r="V2450" s="181"/>
      <c r="W2450" s="181"/>
      <c r="X2450" s="181"/>
      <c r="Y2450" s="181"/>
      <c r="Z2450" s="181"/>
    </row>
    <row r="2451">
      <c r="A2451" s="194"/>
      <c r="B2451" s="195"/>
      <c r="C2451" s="181"/>
      <c r="D2451" s="194"/>
      <c r="E2451" s="194"/>
      <c r="F2451" s="181"/>
      <c r="G2451" s="181"/>
      <c r="H2451" s="181"/>
      <c r="I2451" s="181"/>
      <c r="J2451" s="181"/>
      <c r="K2451" s="181"/>
      <c r="L2451" s="181"/>
      <c r="M2451" s="181"/>
      <c r="N2451" s="181"/>
      <c r="O2451" s="181"/>
      <c r="P2451" s="181"/>
      <c r="Q2451" s="181"/>
      <c r="R2451" s="181"/>
      <c r="S2451" s="181"/>
      <c r="T2451" s="181"/>
      <c r="U2451" s="181"/>
      <c r="V2451" s="181"/>
      <c r="W2451" s="181"/>
      <c r="X2451" s="181"/>
      <c r="Y2451" s="181"/>
      <c r="Z2451" s="181"/>
    </row>
    <row r="2452">
      <c r="A2452" s="194"/>
      <c r="B2452" s="195"/>
      <c r="C2452" s="181"/>
      <c r="D2452" s="194"/>
      <c r="E2452" s="194"/>
      <c r="F2452" s="181"/>
      <c r="G2452" s="181"/>
      <c r="H2452" s="181"/>
      <c r="I2452" s="181"/>
      <c r="J2452" s="181"/>
      <c r="K2452" s="181"/>
      <c r="L2452" s="181"/>
      <c r="M2452" s="181"/>
      <c r="N2452" s="181"/>
      <c r="O2452" s="181"/>
      <c r="P2452" s="181"/>
      <c r="Q2452" s="181"/>
      <c r="R2452" s="181"/>
      <c r="S2452" s="181"/>
      <c r="T2452" s="181"/>
      <c r="U2452" s="181"/>
      <c r="V2452" s="181"/>
      <c r="W2452" s="181"/>
      <c r="X2452" s="181"/>
      <c r="Y2452" s="181"/>
      <c r="Z2452" s="181"/>
    </row>
    <row r="2453">
      <c r="A2453" s="194"/>
      <c r="B2453" s="195"/>
      <c r="C2453" s="181"/>
      <c r="D2453" s="194"/>
      <c r="E2453" s="194"/>
      <c r="F2453" s="181"/>
      <c r="G2453" s="181"/>
      <c r="H2453" s="181"/>
      <c r="I2453" s="181"/>
      <c r="J2453" s="181"/>
      <c r="K2453" s="181"/>
      <c r="L2453" s="181"/>
      <c r="M2453" s="181"/>
      <c r="N2453" s="181"/>
      <c r="O2453" s="181"/>
      <c r="P2453" s="181"/>
      <c r="Q2453" s="181"/>
      <c r="R2453" s="181"/>
      <c r="S2453" s="181"/>
      <c r="T2453" s="181"/>
      <c r="U2453" s="181"/>
      <c r="V2453" s="181"/>
      <c r="W2453" s="181"/>
      <c r="X2453" s="181"/>
      <c r="Y2453" s="181"/>
      <c r="Z2453" s="181"/>
    </row>
    <row r="2454">
      <c r="A2454" s="194"/>
      <c r="B2454" s="195"/>
      <c r="C2454" s="181"/>
      <c r="D2454" s="194"/>
      <c r="E2454" s="194"/>
      <c r="F2454" s="181"/>
      <c r="G2454" s="181"/>
      <c r="H2454" s="181"/>
      <c r="I2454" s="181"/>
      <c r="J2454" s="181"/>
      <c r="K2454" s="181"/>
      <c r="L2454" s="181"/>
      <c r="M2454" s="181"/>
      <c r="N2454" s="181"/>
      <c r="O2454" s="181"/>
      <c r="P2454" s="181"/>
      <c r="Q2454" s="181"/>
      <c r="R2454" s="181"/>
      <c r="S2454" s="181"/>
      <c r="T2454" s="181"/>
      <c r="U2454" s="181"/>
      <c r="V2454" s="181"/>
      <c r="W2454" s="181"/>
      <c r="X2454" s="181"/>
      <c r="Y2454" s="181"/>
      <c r="Z2454" s="181"/>
    </row>
    <row r="2455">
      <c r="A2455" s="194"/>
      <c r="B2455" s="195"/>
      <c r="C2455" s="181"/>
      <c r="D2455" s="194"/>
      <c r="E2455" s="194"/>
      <c r="F2455" s="181"/>
      <c r="G2455" s="181"/>
      <c r="H2455" s="181"/>
      <c r="I2455" s="181"/>
      <c r="J2455" s="181"/>
      <c r="K2455" s="181"/>
      <c r="L2455" s="181"/>
      <c r="M2455" s="181"/>
      <c r="N2455" s="181"/>
      <c r="O2455" s="181"/>
      <c r="P2455" s="181"/>
      <c r="Q2455" s="181"/>
      <c r="R2455" s="181"/>
      <c r="S2455" s="181"/>
      <c r="T2455" s="181"/>
      <c r="U2455" s="181"/>
      <c r="V2455" s="181"/>
      <c r="W2455" s="181"/>
      <c r="X2455" s="181"/>
      <c r="Y2455" s="181"/>
      <c r="Z2455" s="181"/>
    </row>
    <row r="2456">
      <c r="A2456" s="194"/>
      <c r="B2456" s="195"/>
      <c r="C2456" s="181"/>
      <c r="D2456" s="194"/>
      <c r="E2456" s="194"/>
      <c r="F2456" s="181"/>
      <c r="G2456" s="181"/>
      <c r="H2456" s="181"/>
      <c r="I2456" s="181"/>
      <c r="J2456" s="181"/>
      <c r="K2456" s="181"/>
      <c r="L2456" s="181"/>
      <c r="M2456" s="181"/>
      <c r="N2456" s="181"/>
      <c r="O2456" s="181"/>
      <c r="P2456" s="181"/>
      <c r="Q2456" s="181"/>
      <c r="R2456" s="181"/>
      <c r="S2456" s="181"/>
      <c r="T2456" s="181"/>
      <c r="U2456" s="181"/>
      <c r="V2456" s="181"/>
      <c r="W2456" s="181"/>
      <c r="X2456" s="181"/>
      <c r="Y2456" s="181"/>
      <c r="Z2456" s="181"/>
    </row>
    <row r="2457">
      <c r="A2457" s="194"/>
      <c r="B2457" s="195"/>
      <c r="C2457" s="181"/>
      <c r="D2457" s="194"/>
      <c r="E2457" s="194"/>
      <c r="F2457" s="181"/>
      <c r="G2457" s="181"/>
      <c r="H2457" s="181"/>
      <c r="I2457" s="181"/>
      <c r="J2457" s="181"/>
      <c r="K2457" s="181"/>
      <c r="L2457" s="181"/>
      <c r="M2457" s="181"/>
      <c r="N2457" s="181"/>
      <c r="O2457" s="181"/>
      <c r="P2457" s="181"/>
      <c r="Q2457" s="181"/>
      <c r="R2457" s="181"/>
      <c r="S2457" s="181"/>
      <c r="T2457" s="181"/>
      <c r="U2457" s="181"/>
      <c r="V2457" s="181"/>
      <c r="W2457" s="181"/>
      <c r="X2457" s="181"/>
      <c r="Y2457" s="181"/>
      <c r="Z2457" s="181"/>
    </row>
    <row r="2458">
      <c r="A2458" s="194"/>
      <c r="B2458" s="195"/>
      <c r="C2458" s="181"/>
      <c r="D2458" s="194"/>
      <c r="E2458" s="194"/>
      <c r="F2458" s="181"/>
      <c r="G2458" s="181"/>
      <c r="H2458" s="181"/>
      <c r="I2458" s="181"/>
      <c r="J2458" s="181"/>
      <c r="K2458" s="181"/>
      <c r="L2458" s="181"/>
      <c r="M2458" s="181"/>
      <c r="N2458" s="181"/>
      <c r="O2458" s="181"/>
      <c r="P2458" s="181"/>
      <c r="Q2458" s="181"/>
      <c r="R2458" s="181"/>
      <c r="S2458" s="181"/>
      <c r="T2458" s="181"/>
      <c r="U2458" s="181"/>
      <c r="V2458" s="181"/>
      <c r="W2458" s="181"/>
      <c r="X2458" s="181"/>
      <c r="Y2458" s="181"/>
      <c r="Z2458" s="181"/>
    </row>
    <row r="2459">
      <c r="A2459" s="194"/>
      <c r="B2459" s="195"/>
      <c r="C2459" s="181"/>
      <c r="D2459" s="194"/>
      <c r="E2459" s="194"/>
      <c r="F2459" s="181"/>
      <c r="G2459" s="181"/>
      <c r="H2459" s="181"/>
      <c r="I2459" s="181"/>
      <c r="J2459" s="181"/>
      <c r="K2459" s="181"/>
      <c r="L2459" s="181"/>
      <c r="M2459" s="181"/>
      <c r="N2459" s="181"/>
      <c r="O2459" s="181"/>
      <c r="P2459" s="181"/>
      <c r="Q2459" s="181"/>
      <c r="R2459" s="181"/>
      <c r="S2459" s="181"/>
      <c r="T2459" s="181"/>
      <c r="U2459" s="181"/>
      <c r="V2459" s="181"/>
      <c r="W2459" s="181"/>
      <c r="X2459" s="181"/>
      <c r="Y2459" s="181"/>
      <c r="Z2459" s="181"/>
    </row>
    <row r="2460">
      <c r="A2460" s="194"/>
      <c r="B2460" s="195"/>
      <c r="C2460" s="181"/>
      <c r="D2460" s="194"/>
      <c r="E2460" s="194"/>
      <c r="F2460" s="181"/>
      <c r="G2460" s="181"/>
      <c r="H2460" s="181"/>
      <c r="I2460" s="181"/>
      <c r="J2460" s="181"/>
      <c r="K2460" s="181"/>
      <c r="L2460" s="181"/>
      <c r="M2460" s="181"/>
      <c r="N2460" s="181"/>
      <c r="O2460" s="181"/>
      <c r="P2460" s="181"/>
      <c r="Q2460" s="181"/>
      <c r="R2460" s="181"/>
      <c r="S2460" s="181"/>
      <c r="T2460" s="181"/>
      <c r="U2460" s="181"/>
      <c r="V2460" s="181"/>
      <c r="W2460" s="181"/>
      <c r="X2460" s="181"/>
      <c r="Y2460" s="181"/>
      <c r="Z2460" s="181"/>
    </row>
    <row r="2461">
      <c r="A2461" s="194"/>
      <c r="B2461" s="195"/>
      <c r="C2461" s="181"/>
      <c r="D2461" s="194"/>
      <c r="E2461" s="194"/>
      <c r="F2461" s="181"/>
      <c r="G2461" s="181"/>
      <c r="H2461" s="181"/>
      <c r="I2461" s="181"/>
      <c r="J2461" s="181"/>
      <c r="K2461" s="181"/>
      <c r="L2461" s="181"/>
      <c r="M2461" s="181"/>
      <c r="N2461" s="181"/>
      <c r="O2461" s="181"/>
      <c r="P2461" s="181"/>
      <c r="Q2461" s="181"/>
      <c r="R2461" s="181"/>
      <c r="S2461" s="181"/>
      <c r="T2461" s="181"/>
      <c r="U2461" s="181"/>
      <c r="V2461" s="181"/>
      <c r="W2461" s="181"/>
      <c r="X2461" s="181"/>
      <c r="Y2461" s="181"/>
      <c r="Z2461" s="181"/>
    </row>
    <row r="2462">
      <c r="A2462" s="194"/>
      <c r="B2462" s="195"/>
      <c r="C2462" s="181"/>
      <c r="D2462" s="194"/>
      <c r="E2462" s="194"/>
      <c r="F2462" s="181"/>
      <c r="G2462" s="181"/>
      <c r="H2462" s="181"/>
      <c r="I2462" s="181"/>
      <c r="J2462" s="181"/>
      <c r="K2462" s="181"/>
      <c r="L2462" s="181"/>
      <c r="M2462" s="181"/>
      <c r="N2462" s="181"/>
      <c r="O2462" s="181"/>
      <c r="P2462" s="181"/>
      <c r="Q2462" s="181"/>
      <c r="R2462" s="181"/>
      <c r="S2462" s="181"/>
      <c r="T2462" s="181"/>
      <c r="U2462" s="181"/>
      <c r="V2462" s="181"/>
      <c r="W2462" s="181"/>
      <c r="X2462" s="181"/>
      <c r="Y2462" s="181"/>
      <c r="Z2462" s="181"/>
    </row>
    <row r="2463">
      <c r="A2463" s="194"/>
      <c r="B2463" s="195"/>
      <c r="C2463" s="181"/>
      <c r="D2463" s="194"/>
      <c r="E2463" s="194"/>
      <c r="F2463" s="181"/>
      <c r="G2463" s="181"/>
      <c r="H2463" s="181"/>
      <c r="I2463" s="181"/>
      <c r="J2463" s="181"/>
      <c r="K2463" s="181"/>
      <c r="L2463" s="181"/>
      <c r="M2463" s="181"/>
      <c r="N2463" s="181"/>
      <c r="O2463" s="181"/>
      <c r="P2463" s="181"/>
      <c r="Q2463" s="181"/>
      <c r="R2463" s="181"/>
      <c r="S2463" s="181"/>
      <c r="T2463" s="181"/>
      <c r="U2463" s="181"/>
      <c r="V2463" s="181"/>
      <c r="W2463" s="181"/>
      <c r="X2463" s="181"/>
      <c r="Y2463" s="181"/>
      <c r="Z2463" s="181"/>
    </row>
    <row r="2464">
      <c r="A2464" s="194"/>
      <c r="B2464" s="195"/>
      <c r="C2464" s="181"/>
      <c r="D2464" s="194"/>
      <c r="E2464" s="194"/>
      <c r="F2464" s="181"/>
      <c r="G2464" s="181"/>
      <c r="H2464" s="181"/>
      <c r="I2464" s="181"/>
      <c r="J2464" s="181"/>
      <c r="K2464" s="181"/>
      <c r="L2464" s="181"/>
      <c r="M2464" s="181"/>
      <c r="N2464" s="181"/>
      <c r="O2464" s="181"/>
      <c r="P2464" s="181"/>
      <c r="Q2464" s="181"/>
      <c r="R2464" s="181"/>
      <c r="S2464" s="181"/>
      <c r="T2464" s="181"/>
      <c r="U2464" s="181"/>
      <c r="V2464" s="181"/>
      <c r="W2464" s="181"/>
      <c r="X2464" s="181"/>
      <c r="Y2464" s="181"/>
      <c r="Z2464" s="181"/>
    </row>
    <row r="2465">
      <c r="A2465" s="194"/>
      <c r="B2465" s="195"/>
      <c r="C2465" s="181"/>
      <c r="D2465" s="194"/>
      <c r="E2465" s="194"/>
      <c r="F2465" s="181"/>
      <c r="G2465" s="181"/>
      <c r="H2465" s="181"/>
      <c r="I2465" s="181"/>
      <c r="J2465" s="181"/>
      <c r="K2465" s="181"/>
      <c r="L2465" s="181"/>
      <c r="M2465" s="181"/>
      <c r="N2465" s="181"/>
      <c r="O2465" s="181"/>
      <c r="P2465" s="181"/>
      <c r="Q2465" s="181"/>
      <c r="R2465" s="181"/>
      <c r="S2465" s="181"/>
      <c r="T2465" s="181"/>
      <c r="U2465" s="181"/>
      <c r="V2465" s="181"/>
      <c r="W2465" s="181"/>
      <c r="X2465" s="181"/>
      <c r="Y2465" s="181"/>
      <c r="Z2465" s="181"/>
    </row>
    <row r="2466">
      <c r="A2466" s="194"/>
      <c r="B2466" s="195"/>
      <c r="C2466" s="181"/>
      <c r="D2466" s="194"/>
      <c r="E2466" s="194"/>
      <c r="F2466" s="181"/>
      <c r="G2466" s="181"/>
      <c r="H2466" s="181"/>
      <c r="I2466" s="181"/>
      <c r="J2466" s="181"/>
      <c r="K2466" s="181"/>
      <c r="L2466" s="181"/>
      <c r="M2466" s="181"/>
      <c r="N2466" s="181"/>
      <c r="O2466" s="181"/>
      <c r="P2466" s="181"/>
      <c r="Q2466" s="181"/>
      <c r="R2466" s="181"/>
      <c r="S2466" s="181"/>
      <c r="T2466" s="181"/>
      <c r="U2466" s="181"/>
      <c r="V2466" s="181"/>
      <c r="W2466" s="181"/>
      <c r="X2466" s="181"/>
      <c r="Y2466" s="181"/>
      <c r="Z2466" s="181"/>
    </row>
    <row r="2467">
      <c r="A2467" s="194"/>
      <c r="B2467" s="195"/>
      <c r="C2467" s="181"/>
      <c r="D2467" s="194"/>
      <c r="E2467" s="194"/>
      <c r="F2467" s="181"/>
      <c r="G2467" s="181"/>
      <c r="H2467" s="181"/>
      <c r="I2467" s="181"/>
      <c r="J2467" s="181"/>
      <c r="K2467" s="181"/>
      <c r="L2467" s="181"/>
      <c r="M2467" s="181"/>
      <c r="N2467" s="181"/>
      <c r="O2467" s="181"/>
      <c r="P2467" s="181"/>
      <c r="Q2467" s="181"/>
      <c r="R2467" s="181"/>
      <c r="S2467" s="181"/>
      <c r="T2467" s="181"/>
      <c r="U2467" s="181"/>
      <c r="V2467" s="181"/>
      <c r="W2467" s="181"/>
      <c r="X2467" s="181"/>
      <c r="Y2467" s="181"/>
      <c r="Z2467" s="181"/>
    </row>
    <row r="2468">
      <c r="A2468" s="194"/>
      <c r="B2468" s="195"/>
      <c r="C2468" s="181"/>
      <c r="D2468" s="194"/>
      <c r="E2468" s="194"/>
      <c r="F2468" s="181"/>
      <c r="G2468" s="181"/>
      <c r="H2468" s="181"/>
      <c r="I2468" s="181"/>
      <c r="J2468" s="181"/>
      <c r="K2468" s="181"/>
      <c r="L2468" s="181"/>
      <c r="M2468" s="181"/>
      <c r="N2468" s="181"/>
      <c r="O2468" s="181"/>
      <c r="P2468" s="181"/>
      <c r="Q2468" s="181"/>
      <c r="R2468" s="181"/>
      <c r="S2468" s="181"/>
      <c r="T2468" s="181"/>
      <c r="U2468" s="181"/>
      <c r="V2468" s="181"/>
      <c r="W2468" s="181"/>
      <c r="X2468" s="181"/>
      <c r="Y2468" s="181"/>
      <c r="Z2468" s="181"/>
    </row>
    <row r="2469">
      <c r="A2469" s="194"/>
      <c r="B2469" s="195"/>
      <c r="C2469" s="181"/>
      <c r="D2469" s="194"/>
      <c r="E2469" s="194"/>
      <c r="F2469" s="181"/>
      <c r="G2469" s="181"/>
      <c r="H2469" s="181"/>
      <c r="I2469" s="181"/>
      <c r="J2469" s="181"/>
      <c r="K2469" s="181"/>
      <c r="L2469" s="181"/>
      <c r="M2469" s="181"/>
      <c r="N2469" s="181"/>
      <c r="O2469" s="181"/>
      <c r="P2469" s="181"/>
      <c r="Q2469" s="181"/>
      <c r="R2469" s="181"/>
      <c r="S2469" s="181"/>
      <c r="T2469" s="181"/>
      <c r="U2469" s="181"/>
      <c r="V2469" s="181"/>
      <c r="W2469" s="181"/>
      <c r="X2469" s="181"/>
      <c r="Y2469" s="181"/>
      <c r="Z2469" s="181"/>
    </row>
    <row r="2470">
      <c r="A2470" s="194"/>
      <c r="B2470" s="195"/>
      <c r="C2470" s="181"/>
      <c r="D2470" s="194"/>
      <c r="E2470" s="194"/>
      <c r="F2470" s="181"/>
      <c r="G2470" s="181"/>
      <c r="H2470" s="181"/>
      <c r="I2470" s="181"/>
      <c r="J2470" s="181"/>
      <c r="K2470" s="181"/>
      <c r="L2470" s="181"/>
      <c r="M2470" s="181"/>
      <c r="N2470" s="181"/>
      <c r="O2470" s="181"/>
      <c r="P2470" s="181"/>
      <c r="Q2470" s="181"/>
      <c r="R2470" s="181"/>
      <c r="S2470" s="181"/>
      <c r="T2470" s="181"/>
      <c r="U2470" s="181"/>
      <c r="V2470" s="181"/>
      <c r="W2470" s="181"/>
      <c r="X2470" s="181"/>
      <c r="Y2470" s="181"/>
      <c r="Z2470" s="181"/>
    </row>
    <row r="2471">
      <c r="A2471" s="194"/>
      <c r="B2471" s="195"/>
      <c r="C2471" s="181"/>
      <c r="D2471" s="194"/>
      <c r="E2471" s="194"/>
      <c r="F2471" s="181"/>
      <c r="G2471" s="181"/>
      <c r="H2471" s="181"/>
      <c r="I2471" s="181"/>
      <c r="J2471" s="181"/>
      <c r="K2471" s="181"/>
      <c r="L2471" s="181"/>
      <c r="M2471" s="181"/>
      <c r="N2471" s="181"/>
      <c r="O2471" s="181"/>
      <c r="P2471" s="181"/>
      <c r="Q2471" s="181"/>
      <c r="R2471" s="181"/>
      <c r="S2471" s="181"/>
      <c r="T2471" s="181"/>
      <c r="U2471" s="181"/>
      <c r="V2471" s="181"/>
      <c r="W2471" s="181"/>
      <c r="X2471" s="181"/>
      <c r="Y2471" s="181"/>
      <c r="Z2471" s="181"/>
    </row>
    <row r="2472">
      <c r="A2472" s="194"/>
      <c r="B2472" s="195"/>
      <c r="C2472" s="181"/>
      <c r="D2472" s="194"/>
      <c r="E2472" s="194"/>
      <c r="F2472" s="181"/>
      <c r="G2472" s="181"/>
      <c r="H2472" s="181"/>
      <c r="I2472" s="181"/>
      <c r="J2472" s="181"/>
      <c r="K2472" s="181"/>
      <c r="L2472" s="181"/>
      <c r="M2472" s="181"/>
      <c r="N2472" s="181"/>
      <c r="O2472" s="181"/>
      <c r="P2472" s="181"/>
      <c r="Q2472" s="181"/>
      <c r="R2472" s="181"/>
      <c r="S2472" s="181"/>
      <c r="T2472" s="181"/>
      <c r="U2472" s="181"/>
      <c r="V2472" s="181"/>
      <c r="W2472" s="181"/>
      <c r="X2472" s="181"/>
      <c r="Y2472" s="181"/>
      <c r="Z2472" s="181"/>
    </row>
    <row r="2473">
      <c r="A2473" s="194"/>
      <c r="B2473" s="195"/>
      <c r="C2473" s="181"/>
      <c r="D2473" s="194"/>
      <c r="E2473" s="194"/>
      <c r="F2473" s="181"/>
      <c r="G2473" s="181"/>
      <c r="H2473" s="181"/>
      <c r="I2473" s="181"/>
      <c r="J2473" s="181"/>
      <c r="K2473" s="181"/>
      <c r="L2473" s="181"/>
      <c r="M2473" s="181"/>
      <c r="N2473" s="181"/>
      <c r="O2473" s="181"/>
      <c r="P2473" s="181"/>
      <c r="Q2473" s="181"/>
      <c r="R2473" s="181"/>
      <c r="S2473" s="181"/>
      <c r="T2473" s="181"/>
      <c r="U2473" s="181"/>
      <c r="V2473" s="181"/>
      <c r="W2473" s="181"/>
      <c r="X2473" s="181"/>
      <c r="Y2473" s="181"/>
      <c r="Z2473" s="181"/>
    </row>
    <row r="2474">
      <c r="A2474" s="194"/>
      <c r="B2474" s="195"/>
      <c r="C2474" s="181"/>
      <c r="D2474" s="194"/>
      <c r="E2474" s="194"/>
      <c r="F2474" s="181"/>
      <c r="G2474" s="181"/>
      <c r="H2474" s="181"/>
      <c r="I2474" s="181"/>
      <c r="J2474" s="181"/>
      <c r="K2474" s="181"/>
      <c r="L2474" s="181"/>
      <c r="M2474" s="181"/>
      <c r="N2474" s="181"/>
      <c r="O2474" s="181"/>
      <c r="P2474" s="181"/>
      <c r="Q2474" s="181"/>
      <c r="R2474" s="181"/>
      <c r="S2474" s="181"/>
      <c r="T2474" s="181"/>
      <c r="U2474" s="181"/>
      <c r="V2474" s="181"/>
      <c r="W2474" s="181"/>
      <c r="X2474" s="181"/>
      <c r="Y2474" s="181"/>
      <c r="Z2474" s="181"/>
    </row>
    <row r="2475">
      <c r="A2475" s="194"/>
      <c r="B2475" s="195"/>
      <c r="C2475" s="181"/>
      <c r="D2475" s="194"/>
      <c r="E2475" s="194"/>
      <c r="F2475" s="181"/>
      <c r="G2475" s="181"/>
      <c r="H2475" s="181"/>
      <c r="I2475" s="181"/>
      <c r="J2475" s="181"/>
      <c r="K2475" s="181"/>
      <c r="L2475" s="181"/>
      <c r="M2475" s="181"/>
      <c r="N2475" s="181"/>
      <c r="O2475" s="181"/>
      <c r="P2475" s="181"/>
      <c r="Q2475" s="181"/>
      <c r="R2475" s="181"/>
      <c r="S2475" s="181"/>
      <c r="T2475" s="181"/>
      <c r="U2475" s="181"/>
      <c r="V2475" s="181"/>
      <c r="W2475" s="181"/>
      <c r="X2475" s="181"/>
      <c r="Y2475" s="181"/>
      <c r="Z2475" s="181"/>
    </row>
    <row r="2476">
      <c r="A2476" s="194"/>
      <c r="B2476" s="195"/>
      <c r="C2476" s="181"/>
      <c r="D2476" s="194"/>
      <c r="E2476" s="194"/>
      <c r="F2476" s="181"/>
      <c r="G2476" s="181"/>
      <c r="H2476" s="181"/>
      <c r="I2476" s="181"/>
      <c r="J2476" s="181"/>
      <c r="K2476" s="181"/>
      <c r="L2476" s="181"/>
      <c r="M2476" s="181"/>
      <c r="N2476" s="181"/>
      <c r="O2476" s="181"/>
      <c r="P2476" s="181"/>
      <c r="Q2476" s="181"/>
      <c r="R2476" s="181"/>
      <c r="S2476" s="181"/>
      <c r="T2476" s="181"/>
      <c r="U2476" s="181"/>
      <c r="V2476" s="181"/>
      <c r="W2476" s="181"/>
      <c r="X2476" s="181"/>
      <c r="Y2476" s="181"/>
      <c r="Z2476" s="181"/>
    </row>
    <row r="2477">
      <c r="A2477" s="194"/>
      <c r="B2477" s="195"/>
      <c r="C2477" s="181"/>
      <c r="D2477" s="194"/>
      <c r="E2477" s="194"/>
      <c r="F2477" s="181"/>
      <c r="G2477" s="181"/>
      <c r="H2477" s="181"/>
      <c r="I2477" s="181"/>
      <c r="J2477" s="181"/>
      <c r="K2477" s="181"/>
      <c r="L2477" s="181"/>
      <c r="M2477" s="181"/>
      <c r="N2477" s="181"/>
      <c r="O2477" s="181"/>
      <c r="P2477" s="181"/>
      <c r="Q2477" s="181"/>
      <c r="R2477" s="181"/>
      <c r="S2477" s="181"/>
      <c r="T2477" s="181"/>
      <c r="U2477" s="181"/>
      <c r="V2477" s="181"/>
      <c r="W2477" s="181"/>
      <c r="X2477" s="181"/>
      <c r="Y2477" s="181"/>
      <c r="Z2477" s="181"/>
    </row>
    <row r="2478">
      <c r="A2478" s="194"/>
      <c r="B2478" s="195"/>
      <c r="C2478" s="181"/>
      <c r="D2478" s="194"/>
      <c r="E2478" s="194"/>
      <c r="F2478" s="181"/>
      <c r="G2478" s="181"/>
      <c r="H2478" s="181"/>
      <c r="I2478" s="181"/>
      <c r="J2478" s="181"/>
      <c r="K2478" s="181"/>
      <c r="L2478" s="181"/>
      <c r="M2478" s="181"/>
      <c r="N2478" s="181"/>
      <c r="O2478" s="181"/>
      <c r="P2478" s="181"/>
      <c r="Q2478" s="181"/>
      <c r="R2478" s="181"/>
      <c r="S2478" s="181"/>
      <c r="T2478" s="181"/>
      <c r="U2478" s="181"/>
      <c r="V2478" s="181"/>
      <c r="W2478" s="181"/>
      <c r="X2478" s="181"/>
      <c r="Y2478" s="181"/>
      <c r="Z2478" s="181"/>
    </row>
    <row r="2479">
      <c r="A2479" s="194"/>
      <c r="B2479" s="195"/>
      <c r="C2479" s="181"/>
      <c r="D2479" s="194"/>
      <c r="E2479" s="194"/>
      <c r="F2479" s="181"/>
      <c r="G2479" s="181"/>
      <c r="H2479" s="181"/>
      <c r="I2479" s="181"/>
      <c r="J2479" s="181"/>
      <c r="K2479" s="181"/>
      <c r="L2479" s="181"/>
      <c r="M2479" s="181"/>
      <c r="N2479" s="181"/>
      <c r="O2479" s="181"/>
      <c r="P2479" s="181"/>
      <c r="Q2479" s="181"/>
      <c r="R2479" s="181"/>
      <c r="S2479" s="181"/>
      <c r="T2479" s="181"/>
      <c r="U2479" s="181"/>
      <c r="V2479" s="181"/>
      <c r="W2479" s="181"/>
      <c r="X2479" s="181"/>
      <c r="Y2479" s="181"/>
      <c r="Z2479" s="181"/>
    </row>
    <row r="2480">
      <c r="A2480" s="194"/>
      <c r="B2480" s="195"/>
      <c r="C2480" s="181"/>
      <c r="D2480" s="194"/>
      <c r="E2480" s="194"/>
      <c r="F2480" s="181"/>
      <c r="G2480" s="181"/>
      <c r="H2480" s="181"/>
      <c r="I2480" s="181"/>
      <c r="J2480" s="181"/>
      <c r="K2480" s="181"/>
      <c r="L2480" s="181"/>
      <c r="M2480" s="181"/>
      <c r="N2480" s="181"/>
      <c r="O2480" s="181"/>
      <c r="P2480" s="181"/>
      <c r="Q2480" s="181"/>
      <c r="R2480" s="181"/>
      <c r="S2480" s="181"/>
      <c r="T2480" s="181"/>
      <c r="U2480" s="181"/>
      <c r="V2480" s="181"/>
      <c r="W2480" s="181"/>
      <c r="X2480" s="181"/>
      <c r="Y2480" s="181"/>
      <c r="Z2480" s="181"/>
    </row>
    <row r="2481">
      <c r="A2481" s="194"/>
      <c r="B2481" s="195"/>
      <c r="C2481" s="181"/>
      <c r="D2481" s="194"/>
      <c r="E2481" s="194"/>
      <c r="F2481" s="181"/>
      <c r="G2481" s="181"/>
      <c r="H2481" s="181"/>
      <c r="I2481" s="181"/>
      <c r="J2481" s="181"/>
      <c r="K2481" s="181"/>
      <c r="L2481" s="181"/>
      <c r="M2481" s="181"/>
      <c r="N2481" s="181"/>
      <c r="O2481" s="181"/>
      <c r="P2481" s="181"/>
      <c r="Q2481" s="181"/>
      <c r="R2481" s="181"/>
      <c r="S2481" s="181"/>
      <c r="T2481" s="181"/>
      <c r="U2481" s="181"/>
      <c r="V2481" s="181"/>
      <c r="W2481" s="181"/>
      <c r="X2481" s="181"/>
      <c r="Y2481" s="181"/>
      <c r="Z2481" s="181"/>
    </row>
  </sheetData>
  <autoFilter ref="$B$1:$B$2481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38"/>
    <col customWidth="1" min="3" max="3" width="13.13"/>
    <col customWidth="1" min="4" max="4" width="19.38"/>
    <col customWidth="1" min="5" max="5" width="21.38"/>
  </cols>
  <sheetData>
    <row r="1">
      <c r="A1" s="196" t="s">
        <v>0</v>
      </c>
      <c r="B1" s="196" t="s">
        <v>1</v>
      </c>
      <c r="C1" s="196" t="s">
        <v>2</v>
      </c>
      <c r="D1" s="196" t="s">
        <v>3</v>
      </c>
      <c r="E1" s="196" t="s">
        <v>4</v>
      </c>
    </row>
    <row r="2">
      <c r="A2" s="197">
        <v>45413.0</v>
      </c>
      <c r="B2" s="198" t="s">
        <v>134</v>
      </c>
      <c r="C2" s="199">
        <v>3792.0</v>
      </c>
      <c r="D2" s="200" t="s">
        <v>134</v>
      </c>
      <c r="E2" s="200" t="s">
        <v>173</v>
      </c>
    </row>
    <row r="3">
      <c r="A3" s="197">
        <v>45413.0</v>
      </c>
      <c r="B3" s="198" t="s">
        <v>157</v>
      </c>
      <c r="C3" s="199">
        <v>5354.0</v>
      </c>
      <c r="D3" s="200" t="s">
        <v>157</v>
      </c>
      <c r="E3" s="200" t="s">
        <v>173</v>
      </c>
    </row>
    <row r="4">
      <c r="A4" s="197">
        <v>45413.0</v>
      </c>
      <c r="B4" s="198" t="s">
        <v>16578</v>
      </c>
      <c r="C4" s="199">
        <v>2361.0</v>
      </c>
      <c r="D4" s="200" t="s">
        <v>147</v>
      </c>
      <c r="E4" s="200" t="s">
        <v>173</v>
      </c>
    </row>
    <row r="5">
      <c r="A5" s="197">
        <v>45413.0</v>
      </c>
      <c r="B5" s="198" t="s">
        <v>16578</v>
      </c>
      <c r="C5" s="199">
        <v>8115.0</v>
      </c>
      <c r="D5" s="200" t="s">
        <v>147</v>
      </c>
      <c r="E5" s="200" t="s">
        <v>173</v>
      </c>
    </row>
    <row r="6">
      <c r="A6" s="197">
        <v>45413.0</v>
      </c>
      <c r="B6" s="198" t="s">
        <v>132</v>
      </c>
      <c r="C6" s="199">
        <v>17570.0</v>
      </c>
      <c r="D6" s="200" t="s">
        <v>132</v>
      </c>
      <c r="E6" s="200" t="s">
        <v>177</v>
      </c>
    </row>
    <row r="7">
      <c r="A7" s="197">
        <v>45413.0</v>
      </c>
      <c r="B7" s="198" t="s">
        <v>134</v>
      </c>
      <c r="C7" s="199">
        <v>15619.0</v>
      </c>
      <c r="D7" s="200" t="s">
        <v>134</v>
      </c>
      <c r="E7" s="200" t="s">
        <v>173</v>
      </c>
    </row>
    <row r="8">
      <c r="A8" s="197">
        <v>45413.0</v>
      </c>
      <c r="B8" s="198" t="s">
        <v>11</v>
      </c>
      <c r="C8" s="199">
        <v>7700.0</v>
      </c>
      <c r="D8" s="200" t="s">
        <v>11</v>
      </c>
      <c r="E8" s="200" t="s">
        <v>173</v>
      </c>
    </row>
    <row r="9">
      <c r="A9" s="197">
        <v>45413.0</v>
      </c>
      <c r="B9" s="198" t="s">
        <v>11</v>
      </c>
      <c r="C9" s="199">
        <v>44007.0</v>
      </c>
      <c r="D9" s="200" t="s">
        <v>11</v>
      </c>
      <c r="E9" s="200" t="s">
        <v>173</v>
      </c>
    </row>
    <row r="10">
      <c r="A10" s="197">
        <v>45413.0</v>
      </c>
      <c r="B10" s="198" t="s">
        <v>16579</v>
      </c>
      <c r="C10" s="199">
        <v>4816.0</v>
      </c>
      <c r="D10" s="200" t="s">
        <v>140</v>
      </c>
      <c r="E10" s="200" t="s">
        <v>177</v>
      </c>
    </row>
    <row r="11">
      <c r="A11" s="197">
        <v>45413.0</v>
      </c>
      <c r="B11" s="198" t="s">
        <v>16580</v>
      </c>
      <c r="C11" s="199">
        <v>9879.0</v>
      </c>
      <c r="D11" s="200" t="s">
        <v>147</v>
      </c>
      <c r="E11" s="200" t="s">
        <v>173</v>
      </c>
    </row>
    <row r="12">
      <c r="A12" s="197">
        <v>45413.0</v>
      </c>
      <c r="B12" s="198" t="s">
        <v>16580</v>
      </c>
      <c r="C12" s="199">
        <v>17500.0</v>
      </c>
      <c r="D12" s="200" t="s">
        <v>147</v>
      </c>
      <c r="E12" s="200" t="s">
        <v>173</v>
      </c>
    </row>
    <row r="13">
      <c r="A13" s="197">
        <v>45413.0</v>
      </c>
      <c r="B13" s="198" t="s">
        <v>159</v>
      </c>
      <c r="C13" s="199">
        <v>7500.0</v>
      </c>
      <c r="D13" s="200" t="s">
        <v>159</v>
      </c>
      <c r="E13" s="200" t="s">
        <v>173</v>
      </c>
    </row>
    <row r="14">
      <c r="A14" s="197">
        <v>45413.0</v>
      </c>
      <c r="B14" s="198" t="s">
        <v>169</v>
      </c>
      <c r="C14" s="199">
        <v>673.0</v>
      </c>
      <c r="D14" s="200" t="s">
        <v>169</v>
      </c>
      <c r="E14" s="200" t="s">
        <v>173</v>
      </c>
    </row>
    <row r="15">
      <c r="A15" s="197">
        <v>45413.0</v>
      </c>
      <c r="B15" s="198" t="s">
        <v>169</v>
      </c>
      <c r="C15" s="199">
        <v>2539.0</v>
      </c>
      <c r="D15" s="200" t="s">
        <v>169</v>
      </c>
      <c r="E15" s="200" t="s">
        <v>173</v>
      </c>
    </row>
    <row r="16">
      <c r="A16" s="197">
        <v>45414.0</v>
      </c>
      <c r="B16" s="198" t="s">
        <v>134</v>
      </c>
      <c r="C16" s="199">
        <v>58666.0</v>
      </c>
      <c r="D16" s="200" t="s">
        <v>134</v>
      </c>
      <c r="E16" s="200" t="s">
        <v>173</v>
      </c>
    </row>
    <row r="17">
      <c r="A17" s="197">
        <v>45414.0</v>
      </c>
      <c r="B17" s="198" t="s">
        <v>132</v>
      </c>
      <c r="C17" s="199">
        <v>17192.0</v>
      </c>
      <c r="D17" s="200" t="s">
        <v>132</v>
      </c>
      <c r="E17" s="200" t="s">
        <v>173</v>
      </c>
    </row>
    <row r="18">
      <c r="A18" s="197">
        <v>45414.0</v>
      </c>
      <c r="B18" s="198" t="s">
        <v>16581</v>
      </c>
      <c r="C18" s="199">
        <v>35796.0</v>
      </c>
      <c r="D18" s="200" t="s">
        <v>129</v>
      </c>
      <c r="E18" s="200" t="s">
        <v>173</v>
      </c>
    </row>
    <row r="19">
      <c r="A19" s="197">
        <v>45415.0</v>
      </c>
      <c r="B19" s="198" t="s">
        <v>132</v>
      </c>
      <c r="C19" s="199">
        <v>27500.0</v>
      </c>
      <c r="D19" s="200" t="s">
        <v>132</v>
      </c>
      <c r="E19" s="200" t="s">
        <v>173</v>
      </c>
    </row>
    <row r="20">
      <c r="A20" s="197">
        <v>45415.0</v>
      </c>
      <c r="B20" s="198" t="s">
        <v>167</v>
      </c>
      <c r="C20" s="199">
        <v>47316.0</v>
      </c>
      <c r="D20" s="200" t="s">
        <v>167</v>
      </c>
      <c r="E20" s="200" t="s">
        <v>173</v>
      </c>
    </row>
    <row r="21">
      <c r="A21" s="197">
        <v>45415.0</v>
      </c>
      <c r="B21" s="198" t="s">
        <v>142</v>
      </c>
      <c r="C21" s="199">
        <v>1650.0</v>
      </c>
      <c r="D21" s="200" t="s">
        <v>142</v>
      </c>
      <c r="E21" s="200" t="s">
        <v>177</v>
      </c>
    </row>
    <row r="22">
      <c r="A22" s="197">
        <v>45415.0</v>
      </c>
      <c r="B22" s="198" t="s">
        <v>142</v>
      </c>
      <c r="C22" s="199">
        <v>9500.0</v>
      </c>
      <c r="D22" s="200" t="s">
        <v>142</v>
      </c>
      <c r="E22" s="200" t="s">
        <v>177</v>
      </c>
    </row>
    <row r="23">
      <c r="A23" s="197">
        <v>45415.0</v>
      </c>
      <c r="B23" s="198" t="s">
        <v>157</v>
      </c>
      <c r="C23" s="199">
        <v>35000.0</v>
      </c>
      <c r="D23" s="200" t="s">
        <v>157</v>
      </c>
      <c r="E23" s="200" t="s">
        <v>173</v>
      </c>
    </row>
    <row r="24">
      <c r="A24" s="197">
        <v>45416.0</v>
      </c>
      <c r="B24" s="198" t="s">
        <v>134</v>
      </c>
      <c r="C24" s="199">
        <v>18833.0</v>
      </c>
      <c r="D24" s="200" t="s">
        <v>134</v>
      </c>
      <c r="E24" s="200" t="s">
        <v>173</v>
      </c>
    </row>
    <row r="25">
      <c r="A25" s="197">
        <v>45416.0</v>
      </c>
      <c r="B25" s="198" t="s">
        <v>142</v>
      </c>
      <c r="C25" s="199">
        <v>1602.0</v>
      </c>
      <c r="D25" s="200" t="s">
        <v>147</v>
      </c>
      <c r="E25" s="200" t="s">
        <v>173</v>
      </c>
    </row>
    <row r="26">
      <c r="A26" s="197">
        <v>45416.0</v>
      </c>
      <c r="B26" s="198" t="s">
        <v>157</v>
      </c>
      <c r="C26" s="199">
        <v>4000.0</v>
      </c>
      <c r="D26" s="200" t="s">
        <v>157</v>
      </c>
      <c r="E26" s="200" t="s">
        <v>179</v>
      </c>
    </row>
    <row r="27">
      <c r="A27" s="197">
        <v>45417.0</v>
      </c>
      <c r="B27" s="198" t="s">
        <v>16582</v>
      </c>
      <c r="C27" s="199">
        <v>1316.0</v>
      </c>
      <c r="D27" s="200" t="s">
        <v>129</v>
      </c>
      <c r="E27" s="200" t="s">
        <v>177</v>
      </c>
    </row>
    <row r="28">
      <c r="A28" s="197">
        <v>45417.0</v>
      </c>
      <c r="B28" s="198" t="s">
        <v>16580</v>
      </c>
      <c r="C28" s="199">
        <v>2744.5</v>
      </c>
      <c r="D28" s="200" t="s">
        <v>147</v>
      </c>
      <c r="E28" s="200" t="s">
        <v>177</v>
      </c>
    </row>
    <row r="29">
      <c r="A29" s="197">
        <v>45417.0</v>
      </c>
      <c r="B29" s="198" t="s">
        <v>16583</v>
      </c>
      <c r="C29" s="199">
        <v>3860.0</v>
      </c>
      <c r="D29" s="200" t="s">
        <v>129</v>
      </c>
      <c r="E29" s="200" t="s">
        <v>177</v>
      </c>
    </row>
    <row r="30">
      <c r="A30" s="197">
        <v>45418.0</v>
      </c>
      <c r="B30" s="198" t="s">
        <v>142</v>
      </c>
      <c r="C30" s="199">
        <v>1010.0</v>
      </c>
      <c r="D30" s="200" t="s">
        <v>142</v>
      </c>
      <c r="E30" s="200" t="s">
        <v>177</v>
      </c>
    </row>
    <row r="31">
      <c r="A31" s="197">
        <v>45418.0</v>
      </c>
      <c r="B31" s="198" t="s">
        <v>16584</v>
      </c>
      <c r="C31" s="199">
        <v>1010.0</v>
      </c>
      <c r="D31" s="200" t="s">
        <v>142</v>
      </c>
      <c r="E31" s="200" t="s">
        <v>181</v>
      </c>
    </row>
    <row r="32">
      <c r="A32" s="197">
        <v>45418.0</v>
      </c>
      <c r="B32" s="198" t="s">
        <v>159</v>
      </c>
      <c r="C32" s="199">
        <v>3500.0</v>
      </c>
      <c r="D32" s="200" t="s">
        <v>159</v>
      </c>
      <c r="E32" s="200" t="s">
        <v>175</v>
      </c>
    </row>
    <row r="33">
      <c r="A33" s="197">
        <v>45418.0</v>
      </c>
      <c r="B33" s="198" t="s">
        <v>159</v>
      </c>
      <c r="C33" s="199">
        <v>14900.0</v>
      </c>
      <c r="D33" s="200" t="s">
        <v>159</v>
      </c>
      <c r="E33" s="200" t="s">
        <v>181</v>
      </c>
    </row>
    <row r="34">
      <c r="A34" s="197">
        <v>45418.0</v>
      </c>
      <c r="B34" s="198" t="s">
        <v>16585</v>
      </c>
      <c r="C34" s="199">
        <v>9500.0</v>
      </c>
      <c r="D34" s="200" t="s">
        <v>164</v>
      </c>
      <c r="E34" s="200" t="s">
        <v>181</v>
      </c>
    </row>
    <row r="35">
      <c r="A35" s="197">
        <v>45418.0</v>
      </c>
      <c r="B35" s="198" t="s">
        <v>167</v>
      </c>
      <c r="C35" s="199">
        <v>42500.0</v>
      </c>
      <c r="D35" s="200" t="s">
        <v>167</v>
      </c>
      <c r="E35" s="200" t="s">
        <v>183</v>
      </c>
    </row>
    <row r="36">
      <c r="A36" s="197">
        <v>45418.0</v>
      </c>
      <c r="B36" s="198" t="s">
        <v>169</v>
      </c>
      <c r="C36" s="199">
        <v>5723.0</v>
      </c>
      <c r="D36" s="200" t="s">
        <v>169</v>
      </c>
      <c r="E36" s="200" t="s">
        <v>173</v>
      </c>
    </row>
    <row r="37">
      <c r="A37" s="197">
        <v>45418.0</v>
      </c>
      <c r="B37" s="198" t="s">
        <v>16586</v>
      </c>
      <c r="C37" s="199">
        <v>1000.0</v>
      </c>
      <c r="D37" s="200" t="s">
        <v>171</v>
      </c>
      <c r="E37" s="200" t="s">
        <v>181</v>
      </c>
    </row>
    <row r="38">
      <c r="A38" s="197">
        <v>45419.0</v>
      </c>
      <c r="B38" s="198" t="s">
        <v>16587</v>
      </c>
      <c r="C38" s="199">
        <v>6535.0</v>
      </c>
      <c r="D38" s="200" t="s">
        <v>164</v>
      </c>
      <c r="E38" s="200" t="s">
        <v>173</v>
      </c>
    </row>
    <row r="39">
      <c r="A39" s="197">
        <v>45419.0</v>
      </c>
      <c r="B39" s="198" t="s">
        <v>16579</v>
      </c>
      <c r="C39" s="199">
        <v>13500.0</v>
      </c>
      <c r="D39" s="200" t="s">
        <v>140</v>
      </c>
      <c r="E39" s="200" t="s">
        <v>183</v>
      </c>
    </row>
    <row r="40">
      <c r="A40" s="197">
        <v>45419.0</v>
      </c>
      <c r="B40" s="198" t="s">
        <v>16579</v>
      </c>
      <c r="C40" s="199">
        <v>11800.0</v>
      </c>
      <c r="D40" s="200" t="s">
        <v>140</v>
      </c>
      <c r="E40" s="200" t="s">
        <v>175</v>
      </c>
    </row>
    <row r="41">
      <c r="A41" s="197">
        <v>45419.0</v>
      </c>
      <c r="B41" s="198" t="s">
        <v>16580</v>
      </c>
      <c r="C41" s="199">
        <v>1600.0</v>
      </c>
      <c r="D41" s="200" t="s">
        <v>147</v>
      </c>
      <c r="E41" s="200" t="s">
        <v>181</v>
      </c>
    </row>
    <row r="42">
      <c r="A42" s="197">
        <v>45419.0</v>
      </c>
      <c r="B42" s="198" t="s">
        <v>16580</v>
      </c>
      <c r="C42" s="199">
        <v>5500.0</v>
      </c>
      <c r="D42" s="200" t="s">
        <v>147</v>
      </c>
      <c r="E42" s="200" t="s">
        <v>175</v>
      </c>
    </row>
    <row r="43">
      <c r="A43" s="197">
        <v>45419.0</v>
      </c>
      <c r="B43" s="198" t="s">
        <v>16588</v>
      </c>
      <c r="C43" s="199">
        <v>3700.0</v>
      </c>
      <c r="D43" s="200" t="s">
        <v>147</v>
      </c>
      <c r="E43" s="200" t="s">
        <v>183</v>
      </c>
    </row>
    <row r="44">
      <c r="A44" s="197">
        <v>45419.0</v>
      </c>
      <c r="B44" s="198" t="s">
        <v>16588</v>
      </c>
      <c r="C44" s="199">
        <v>2100.0</v>
      </c>
      <c r="D44" s="200" t="s">
        <v>147</v>
      </c>
      <c r="E44" s="200" t="s">
        <v>177</v>
      </c>
    </row>
    <row r="45">
      <c r="A45" s="197">
        <v>45420.0</v>
      </c>
      <c r="B45" s="198" t="s">
        <v>142</v>
      </c>
      <c r="C45" s="199">
        <v>750.0</v>
      </c>
      <c r="D45" s="200" t="s">
        <v>142</v>
      </c>
      <c r="E45" s="200" t="s">
        <v>177</v>
      </c>
    </row>
    <row r="46">
      <c r="A46" s="197">
        <v>45420.0</v>
      </c>
      <c r="B46" s="198" t="s">
        <v>152</v>
      </c>
      <c r="C46" s="199">
        <v>4000.0</v>
      </c>
      <c r="D46" s="200" t="s">
        <v>152</v>
      </c>
      <c r="E46" s="200" t="s">
        <v>181</v>
      </c>
    </row>
    <row r="47">
      <c r="A47" s="197">
        <v>45421.0</v>
      </c>
      <c r="B47" s="198" t="s">
        <v>16589</v>
      </c>
      <c r="C47" s="199">
        <v>3500.0</v>
      </c>
      <c r="D47" s="200" t="s">
        <v>145</v>
      </c>
      <c r="E47" s="200" t="s">
        <v>181</v>
      </c>
    </row>
    <row r="48">
      <c r="A48" s="197">
        <v>45421.0</v>
      </c>
      <c r="B48" s="198" t="s">
        <v>157</v>
      </c>
      <c r="C48" s="199">
        <v>3225.0</v>
      </c>
      <c r="D48" s="200" t="s">
        <v>157</v>
      </c>
      <c r="E48" s="200" t="s">
        <v>179</v>
      </c>
    </row>
    <row r="49">
      <c r="A49" s="197">
        <v>45421.0</v>
      </c>
      <c r="B49" s="198" t="s">
        <v>16590</v>
      </c>
      <c r="C49" s="199">
        <v>2000.0</v>
      </c>
      <c r="D49" s="200" t="s">
        <v>145</v>
      </c>
      <c r="E49" s="200" t="s">
        <v>175</v>
      </c>
    </row>
    <row r="50">
      <c r="A50" s="197">
        <v>45421.0</v>
      </c>
      <c r="B50" s="198" t="s">
        <v>16590</v>
      </c>
      <c r="C50" s="199">
        <v>7490.0</v>
      </c>
      <c r="D50" s="200" t="s">
        <v>145</v>
      </c>
      <c r="E50" s="200" t="s">
        <v>175</v>
      </c>
    </row>
    <row r="51">
      <c r="A51" s="197">
        <v>45421.0</v>
      </c>
      <c r="B51" s="198" t="s">
        <v>16590</v>
      </c>
      <c r="C51" s="199">
        <v>7000.0</v>
      </c>
      <c r="D51" s="200" t="s">
        <v>145</v>
      </c>
      <c r="E51" s="200" t="s">
        <v>175</v>
      </c>
    </row>
    <row r="52">
      <c r="A52" s="197">
        <v>45421.0</v>
      </c>
      <c r="B52" s="198" t="s">
        <v>16585</v>
      </c>
      <c r="C52" s="199">
        <v>15100.0</v>
      </c>
      <c r="D52" s="200" t="s">
        <v>164</v>
      </c>
      <c r="E52" s="200" t="s">
        <v>179</v>
      </c>
    </row>
    <row r="53">
      <c r="A53" s="197">
        <v>45421.0</v>
      </c>
      <c r="B53" s="198" t="s">
        <v>169</v>
      </c>
      <c r="C53" s="199">
        <v>1350.0</v>
      </c>
      <c r="D53" s="200" t="s">
        <v>169</v>
      </c>
      <c r="E53" s="200" t="s">
        <v>173</v>
      </c>
    </row>
    <row r="54">
      <c r="A54" s="197">
        <v>45421.0</v>
      </c>
      <c r="B54" s="198" t="s">
        <v>16586</v>
      </c>
      <c r="C54" s="199">
        <v>1451.0</v>
      </c>
      <c r="D54" s="200" t="s">
        <v>171</v>
      </c>
      <c r="E54" s="200" t="s">
        <v>179</v>
      </c>
    </row>
    <row r="55">
      <c r="A55" s="197">
        <v>45422.0</v>
      </c>
      <c r="B55" s="198" t="s">
        <v>16586</v>
      </c>
      <c r="C55" s="199">
        <v>2000.0</v>
      </c>
      <c r="D55" s="200" t="s">
        <v>171</v>
      </c>
      <c r="E55" s="200" t="s">
        <v>179</v>
      </c>
    </row>
    <row r="56">
      <c r="A56" s="197">
        <v>45422.0</v>
      </c>
      <c r="B56" s="198" t="s">
        <v>16586</v>
      </c>
      <c r="C56" s="199">
        <v>3373.0</v>
      </c>
      <c r="D56" s="200" t="s">
        <v>171</v>
      </c>
      <c r="E56" s="200" t="s">
        <v>183</v>
      </c>
    </row>
    <row r="57">
      <c r="A57" s="197">
        <v>45422.0</v>
      </c>
      <c r="B57" s="198" t="s">
        <v>16586</v>
      </c>
      <c r="C57" s="199">
        <v>4060.0</v>
      </c>
      <c r="D57" s="200" t="s">
        <v>171</v>
      </c>
      <c r="E57" s="200" t="s">
        <v>183</v>
      </c>
    </row>
    <row r="58">
      <c r="A58" s="197">
        <v>45423.0</v>
      </c>
      <c r="B58" s="198" t="s">
        <v>16579</v>
      </c>
      <c r="C58" s="199">
        <v>12000.0</v>
      </c>
      <c r="D58" s="200" t="s">
        <v>164</v>
      </c>
      <c r="E58" s="200" t="s">
        <v>183</v>
      </c>
    </row>
    <row r="59">
      <c r="A59" s="197">
        <v>45423.0</v>
      </c>
      <c r="B59" s="198" t="s">
        <v>142</v>
      </c>
      <c r="C59" s="199">
        <v>12851.0</v>
      </c>
      <c r="D59" s="200" t="s">
        <v>142</v>
      </c>
      <c r="E59" s="200" t="s">
        <v>175</v>
      </c>
    </row>
    <row r="60">
      <c r="A60" s="197">
        <v>45424.0</v>
      </c>
      <c r="B60" s="198" t="s">
        <v>16586</v>
      </c>
      <c r="C60" s="199">
        <v>4000.0</v>
      </c>
      <c r="D60" s="200" t="s">
        <v>171</v>
      </c>
      <c r="E60" s="200" t="s">
        <v>179</v>
      </c>
    </row>
    <row r="61">
      <c r="A61" s="197">
        <v>45425.0</v>
      </c>
      <c r="B61" s="198" t="s">
        <v>16580</v>
      </c>
      <c r="C61" s="199">
        <v>5500.0</v>
      </c>
      <c r="D61" s="200" t="s">
        <v>147</v>
      </c>
      <c r="E61" s="200" t="s">
        <v>179</v>
      </c>
    </row>
    <row r="62">
      <c r="A62" s="197">
        <v>45425.0</v>
      </c>
      <c r="B62" s="198" t="s">
        <v>155</v>
      </c>
      <c r="C62" s="199">
        <v>18175.0</v>
      </c>
      <c r="D62" s="200" t="s">
        <v>155</v>
      </c>
      <c r="E62" s="200" t="s">
        <v>177</v>
      </c>
    </row>
    <row r="63">
      <c r="A63" s="197">
        <v>45426.0</v>
      </c>
      <c r="B63" s="198" t="s">
        <v>142</v>
      </c>
      <c r="C63" s="199">
        <v>2040.0</v>
      </c>
      <c r="D63" s="200" t="s">
        <v>142</v>
      </c>
      <c r="E63" s="200" t="s">
        <v>177</v>
      </c>
    </row>
    <row r="64">
      <c r="A64" s="197">
        <v>45426.0</v>
      </c>
      <c r="B64" s="198" t="s">
        <v>142</v>
      </c>
      <c r="C64" s="199">
        <v>1600.0</v>
      </c>
      <c r="D64" s="200" t="s">
        <v>142</v>
      </c>
      <c r="E64" s="200" t="s">
        <v>177</v>
      </c>
    </row>
    <row r="65">
      <c r="A65" s="197">
        <v>45427.0</v>
      </c>
      <c r="B65" s="198" t="s">
        <v>142</v>
      </c>
      <c r="C65" s="199">
        <v>3314.0</v>
      </c>
      <c r="D65" s="200" t="s">
        <v>155</v>
      </c>
      <c r="E65" s="200" t="s">
        <v>175</v>
      </c>
    </row>
    <row r="66">
      <c r="A66" s="197">
        <v>45427.0</v>
      </c>
      <c r="B66" s="198" t="s">
        <v>16580</v>
      </c>
      <c r="C66" s="199">
        <v>1470.0</v>
      </c>
      <c r="D66" s="200" t="s">
        <v>147</v>
      </c>
      <c r="E66" s="200" t="s">
        <v>175</v>
      </c>
    </row>
    <row r="67">
      <c r="A67" s="197">
        <v>45427.0</v>
      </c>
      <c r="B67" s="198" t="s">
        <v>155</v>
      </c>
      <c r="C67" s="199">
        <v>3500.0</v>
      </c>
      <c r="D67" s="200" t="s">
        <v>155</v>
      </c>
      <c r="E67" s="200" t="s">
        <v>173</v>
      </c>
    </row>
    <row r="68">
      <c r="A68" s="197">
        <v>45427.0</v>
      </c>
      <c r="B68" s="198" t="s">
        <v>157</v>
      </c>
      <c r="C68" s="199">
        <v>6750.0</v>
      </c>
      <c r="D68" s="200" t="s">
        <v>157</v>
      </c>
      <c r="E68" s="200" t="s">
        <v>175</v>
      </c>
    </row>
    <row r="69">
      <c r="A69" s="197">
        <v>45427.0</v>
      </c>
      <c r="B69" s="198" t="s">
        <v>16590</v>
      </c>
      <c r="C69" s="199">
        <v>18783.0</v>
      </c>
      <c r="D69" s="200" t="s">
        <v>155</v>
      </c>
      <c r="E69" s="200" t="s">
        <v>173</v>
      </c>
    </row>
    <row r="70">
      <c r="A70" s="197">
        <v>45428.0</v>
      </c>
      <c r="B70" s="198" t="s">
        <v>142</v>
      </c>
      <c r="C70" s="199">
        <v>5500.0</v>
      </c>
      <c r="D70" s="200" t="s">
        <v>157</v>
      </c>
      <c r="E70" s="200" t="s">
        <v>179</v>
      </c>
    </row>
    <row r="71">
      <c r="A71" s="197">
        <v>45429.0</v>
      </c>
      <c r="B71" s="198" t="s">
        <v>16580</v>
      </c>
      <c r="C71" s="199">
        <v>1100.0</v>
      </c>
      <c r="D71" s="200" t="s">
        <v>147</v>
      </c>
      <c r="E71" s="200" t="s">
        <v>179</v>
      </c>
    </row>
    <row r="72">
      <c r="A72" s="197">
        <v>45429.0</v>
      </c>
      <c r="B72" s="198" t="s">
        <v>16580</v>
      </c>
      <c r="C72" s="199">
        <v>4800.0</v>
      </c>
      <c r="D72" s="200" t="s">
        <v>147</v>
      </c>
      <c r="E72" s="200" t="s">
        <v>179</v>
      </c>
    </row>
    <row r="73">
      <c r="A73" s="197">
        <v>45429.0</v>
      </c>
      <c r="B73" s="198" t="s">
        <v>16585</v>
      </c>
      <c r="C73" s="199">
        <v>7500.0</v>
      </c>
      <c r="D73" s="200" t="s">
        <v>164</v>
      </c>
      <c r="E73" s="200" t="s">
        <v>179</v>
      </c>
    </row>
    <row r="74">
      <c r="A74" s="197">
        <v>45429.0</v>
      </c>
      <c r="B74" s="198" t="s">
        <v>16585</v>
      </c>
      <c r="C74" s="199">
        <v>7500.0</v>
      </c>
      <c r="D74" s="200" t="s">
        <v>164</v>
      </c>
      <c r="E74" s="200" t="s">
        <v>179</v>
      </c>
    </row>
    <row r="75">
      <c r="A75" s="197">
        <v>45429.0</v>
      </c>
      <c r="B75" s="198" t="s">
        <v>167</v>
      </c>
      <c r="C75" s="199">
        <v>21990.0</v>
      </c>
      <c r="D75" s="200" t="s">
        <v>167</v>
      </c>
      <c r="E75" s="200" t="s">
        <v>173</v>
      </c>
    </row>
    <row r="76">
      <c r="A76" s="197">
        <v>45430.0</v>
      </c>
      <c r="B76" s="198" t="s">
        <v>142</v>
      </c>
      <c r="C76" s="199">
        <v>10545.0</v>
      </c>
      <c r="D76" s="200" t="s">
        <v>142</v>
      </c>
      <c r="E76" s="200" t="s">
        <v>177</v>
      </c>
    </row>
    <row r="77">
      <c r="A77" s="197">
        <v>45430.0</v>
      </c>
      <c r="B77" s="198" t="s">
        <v>16591</v>
      </c>
      <c r="C77" s="199">
        <v>60000.0</v>
      </c>
      <c r="D77" s="200" t="s">
        <v>147</v>
      </c>
      <c r="E77" s="200" t="s">
        <v>183</v>
      </c>
    </row>
    <row r="78">
      <c r="A78" s="197">
        <v>45430.0</v>
      </c>
      <c r="B78" s="198" t="s">
        <v>16585</v>
      </c>
      <c r="C78" s="199">
        <v>5519.0</v>
      </c>
      <c r="D78" s="200" t="s">
        <v>164</v>
      </c>
      <c r="E78" s="200" t="s">
        <v>179</v>
      </c>
    </row>
    <row r="79">
      <c r="A79" s="197">
        <v>45431.0</v>
      </c>
      <c r="B79" s="198" t="s">
        <v>142</v>
      </c>
      <c r="C79" s="199">
        <v>21593.0</v>
      </c>
      <c r="D79" s="200" t="s">
        <v>142</v>
      </c>
      <c r="E79" s="200" t="s">
        <v>179</v>
      </c>
    </row>
    <row r="80">
      <c r="A80" s="197">
        <v>45431.0</v>
      </c>
      <c r="B80" s="198" t="s">
        <v>142</v>
      </c>
      <c r="C80" s="199">
        <v>3465.0</v>
      </c>
      <c r="D80" s="200" t="s">
        <v>142</v>
      </c>
      <c r="E80" s="200" t="s">
        <v>177</v>
      </c>
    </row>
    <row r="81">
      <c r="A81" s="197">
        <v>45431.0</v>
      </c>
      <c r="B81" s="198" t="s">
        <v>169</v>
      </c>
      <c r="C81" s="199">
        <v>4000.0</v>
      </c>
      <c r="D81" s="200" t="s">
        <v>129</v>
      </c>
      <c r="E81" s="200" t="s">
        <v>173</v>
      </c>
    </row>
    <row r="82">
      <c r="A82" s="197">
        <v>45432.0</v>
      </c>
      <c r="B82" s="198" t="s">
        <v>137</v>
      </c>
      <c r="C82" s="199">
        <v>2000.0</v>
      </c>
      <c r="D82" s="200" t="s">
        <v>137</v>
      </c>
      <c r="E82" s="200" t="s">
        <v>179</v>
      </c>
    </row>
    <row r="83">
      <c r="A83" s="197">
        <v>45432.0</v>
      </c>
      <c r="B83" s="198" t="s">
        <v>16580</v>
      </c>
      <c r="C83" s="199">
        <v>2100.0</v>
      </c>
      <c r="D83" s="200" t="s">
        <v>147</v>
      </c>
      <c r="E83" s="200" t="s">
        <v>179</v>
      </c>
    </row>
    <row r="84">
      <c r="A84" s="197">
        <v>45432.0</v>
      </c>
      <c r="B84" s="198" t="s">
        <v>159</v>
      </c>
      <c r="C84" s="199">
        <v>9350.0</v>
      </c>
      <c r="D84" s="200" t="s">
        <v>159</v>
      </c>
      <c r="E84" s="200" t="s">
        <v>179</v>
      </c>
    </row>
    <row r="85">
      <c r="A85" s="197">
        <v>45434.0</v>
      </c>
      <c r="B85" s="198" t="s">
        <v>142</v>
      </c>
      <c r="C85" s="199">
        <v>12981.0</v>
      </c>
      <c r="D85" s="200" t="s">
        <v>142</v>
      </c>
      <c r="E85" s="200" t="s">
        <v>179</v>
      </c>
    </row>
    <row r="86">
      <c r="A86" s="197">
        <v>45434.0</v>
      </c>
      <c r="B86" s="198" t="s">
        <v>16592</v>
      </c>
      <c r="C86" s="199">
        <v>6000.0</v>
      </c>
      <c r="D86" s="200" t="s">
        <v>129</v>
      </c>
      <c r="E86" s="200" t="s">
        <v>175</v>
      </c>
    </row>
    <row r="87">
      <c r="A87" s="197">
        <v>45436.0</v>
      </c>
      <c r="B87" s="198" t="s">
        <v>16579</v>
      </c>
      <c r="C87" s="199">
        <v>6800.0</v>
      </c>
      <c r="D87" s="200" t="s">
        <v>140</v>
      </c>
      <c r="E87" s="200" t="s">
        <v>175</v>
      </c>
    </row>
    <row r="88">
      <c r="A88" s="197">
        <v>45436.0</v>
      </c>
      <c r="B88" s="198" t="s">
        <v>16590</v>
      </c>
      <c r="C88" s="199">
        <v>2633.0</v>
      </c>
      <c r="D88" s="200" t="s">
        <v>145</v>
      </c>
      <c r="E88" s="200" t="s">
        <v>183</v>
      </c>
    </row>
    <row r="89">
      <c r="A89" s="197">
        <v>45436.0</v>
      </c>
      <c r="B89" s="198" t="s">
        <v>16590</v>
      </c>
      <c r="C89" s="199">
        <v>4400.0</v>
      </c>
      <c r="D89" s="200" t="s">
        <v>145</v>
      </c>
      <c r="E89" s="200" t="s">
        <v>183</v>
      </c>
    </row>
    <row r="90">
      <c r="A90" s="197">
        <v>45436.0</v>
      </c>
      <c r="B90" s="198" t="s">
        <v>16585</v>
      </c>
      <c r="C90" s="199">
        <v>10000.0</v>
      </c>
      <c r="D90" s="200" t="s">
        <v>164</v>
      </c>
      <c r="E90" s="200" t="s">
        <v>183</v>
      </c>
    </row>
    <row r="91">
      <c r="A91" s="197">
        <v>45437.0</v>
      </c>
      <c r="B91" s="198" t="s">
        <v>134</v>
      </c>
      <c r="C91" s="199">
        <v>7500.0</v>
      </c>
      <c r="D91" s="200" t="s">
        <v>134</v>
      </c>
      <c r="E91" s="200" t="s">
        <v>179</v>
      </c>
    </row>
    <row r="92">
      <c r="A92" s="197">
        <v>45437.0</v>
      </c>
      <c r="B92" s="198" t="s">
        <v>134</v>
      </c>
      <c r="C92" s="199">
        <v>25000.0</v>
      </c>
      <c r="D92" s="200" t="s">
        <v>134</v>
      </c>
      <c r="E92" s="200" t="s">
        <v>183</v>
      </c>
    </row>
    <row r="93">
      <c r="A93" s="197">
        <v>45437.0</v>
      </c>
      <c r="B93" s="198" t="s">
        <v>134</v>
      </c>
      <c r="C93" s="199">
        <v>12000.0</v>
      </c>
      <c r="D93" s="200" t="s">
        <v>134</v>
      </c>
      <c r="E93" s="200" t="s">
        <v>183</v>
      </c>
    </row>
    <row r="94">
      <c r="A94" s="197">
        <v>45437.0</v>
      </c>
      <c r="B94" s="198" t="s">
        <v>134</v>
      </c>
      <c r="C94" s="199">
        <v>10000.0</v>
      </c>
      <c r="D94" s="200" t="s">
        <v>134</v>
      </c>
      <c r="E94" s="200" t="s">
        <v>183</v>
      </c>
    </row>
    <row r="95">
      <c r="A95" s="197">
        <v>45437.0</v>
      </c>
      <c r="B95" s="198" t="s">
        <v>142</v>
      </c>
      <c r="C95" s="199">
        <v>6490.0</v>
      </c>
      <c r="D95" s="200" t="s">
        <v>142</v>
      </c>
      <c r="E95" s="200" t="s">
        <v>177</v>
      </c>
    </row>
    <row r="96">
      <c r="A96" s="197">
        <v>45437.0</v>
      </c>
      <c r="B96" s="198" t="s">
        <v>16580</v>
      </c>
      <c r="C96" s="199">
        <v>5000.0</v>
      </c>
      <c r="D96" s="200" t="s">
        <v>147</v>
      </c>
      <c r="E96" s="200" t="s">
        <v>183</v>
      </c>
    </row>
    <row r="97">
      <c r="A97" s="197">
        <v>45437.0</v>
      </c>
      <c r="B97" s="198" t="s">
        <v>16580</v>
      </c>
      <c r="C97" s="199">
        <v>1600.0</v>
      </c>
      <c r="D97" s="200" t="s">
        <v>147</v>
      </c>
      <c r="E97" s="200" t="s">
        <v>179</v>
      </c>
    </row>
    <row r="98">
      <c r="A98" s="197">
        <v>45437.0</v>
      </c>
      <c r="B98" s="198" t="s">
        <v>152</v>
      </c>
      <c r="C98" s="199">
        <v>2700.0</v>
      </c>
      <c r="D98" s="200" t="s">
        <v>152</v>
      </c>
      <c r="E98" s="200" t="s">
        <v>179</v>
      </c>
    </row>
    <row r="99">
      <c r="A99" s="197">
        <v>45437.0</v>
      </c>
      <c r="B99" s="198" t="s">
        <v>16585</v>
      </c>
      <c r="C99" s="199">
        <v>9800.0</v>
      </c>
      <c r="D99" s="200" t="s">
        <v>164</v>
      </c>
      <c r="E99" s="200" t="s">
        <v>179</v>
      </c>
    </row>
    <row r="100">
      <c r="A100" s="197">
        <v>45437.0</v>
      </c>
      <c r="B100" s="198" t="s">
        <v>16586</v>
      </c>
      <c r="C100" s="199">
        <v>3070.0</v>
      </c>
      <c r="D100" s="200" t="s">
        <v>171</v>
      </c>
      <c r="E100" s="200" t="s">
        <v>179</v>
      </c>
    </row>
    <row r="101">
      <c r="A101" s="197">
        <v>45437.0</v>
      </c>
      <c r="B101" s="198" t="s">
        <v>16586</v>
      </c>
      <c r="C101" s="199">
        <v>4200.0</v>
      </c>
      <c r="D101" s="200" t="s">
        <v>171</v>
      </c>
      <c r="E101" s="200" t="s">
        <v>179</v>
      </c>
    </row>
    <row r="102">
      <c r="A102" s="197">
        <v>45438.0</v>
      </c>
      <c r="B102" s="198" t="s">
        <v>16593</v>
      </c>
      <c r="C102" s="199">
        <v>9243.0</v>
      </c>
      <c r="D102" s="200" t="s">
        <v>129</v>
      </c>
      <c r="E102" s="200" t="s">
        <v>177</v>
      </c>
    </row>
    <row r="103">
      <c r="A103" s="197">
        <v>45438.0</v>
      </c>
      <c r="B103" s="198" t="s">
        <v>155</v>
      </c>
      <c r="C103" s="199">
        <v>2000.0</v>
      </c>
      <c r="D103" s="200" t="s">
        <v>155</v>
      </c>
      <c r="E103" s="200" t="s">
        <v>179</v>
      </c>
    </row>
    <row r="104">
      <c r="A104" s="197">
        <v>45438.0</v>
      </c>
      <c r="B104" s="198" t="s">
        <v>155</v>
      </c>
      <c r="C104" s="199">
        <v>2750.0</v>
      </c>
      <c r="D104" s="200" t="s">
        <v>155</v>
      </c>
      <c r="E104" s="200" t="s">
        <v>179</v>
      </c>
    </row>
    <row r="105">
      <c r="A105" s="197">
        <v>45439.0</v>
      </c>
      <c r="B105" s="198" t="s">
        <v>142</v>
      </c>
      <c r="C105" s="199">
        <v>3895.0</v>
      </c>
      <c r="D105" s="200" t="s">
        <v>142</v>
      </c>
      <c r="E105" s="200" t="s">
        <v>179</v>
      </c>
    </row>
    <row r="106">
      <c r="A106" s="197">
        <v>45439.0</v>
      </c>
      <c r="B106" s="198" t="s">
        <v>16580</v>
      </c>
      <c r="C106" s="199">
        <v>7000.0</v>
      </c>
      <c r="D106" s="200" t="s">
        <v>147</v>
      </c>
      <c r="E106" s="200" t="s">
        <v>183</v>
      </c>
    </row>
    <row r="107">
      <c r="A107" s="197">
        <v>45439.0</v>
      </c>
      <c r="B107" s="198" t="s">
        <v>16594</v>
      </c>
      <c r="C107" s="199">
        <v>8338.0</v>
      </c>
      <c r="D107" s="200" t="s">
        <v>129</v>
      </c>
      <c r="E107" s="200" t="s">
        <v>177</v>
      </c>
    </row>
    <row r="108">
      <c r="A108" s="197">
        <v>45440.0</v>
      </c>
      <c r="B108" s="198" t="s">
        <v>142</v>
      </c>
      <c r="C108" s="199">
        <v>4200.0</v>
      </c>
      <c r="D108" s="200" t="s">
        <v>157</v>
      </c>
      <c r="E108" s="200" t="s">
        <v>179</v>
      </c>
    </row>
    <row r="109">
      <c r="A109" s="197">
        <v>45440.0</v>
      </c>
      <c r="B109" s="198" t="s">
        <v>142</v>
      </c>
      <c r="C109" s="199">
        <v>2150.0</v>
      </c>
      <c r="D109" s="200" t="s">
        <v>142</v>
      </c>
      <c r="E109" s="200" t="s">
        <v>179</v>
      </c>
    </row>
    <row r="110">
      <c r="A110" s="197">
        <v>45440.0</v>
      </c>
      <c r="B110" s="198" t="s">
        <v>142</v>
      </c>
      <c r="C110" s="199">
        <v>2600.0</v>
      </c>
      <c r="D110" s="200" t="s">
        <v>152</v>
      </c>
      <c r="E110" s="200" t="s">
        <v>179</v>
      </c>
    </row>
    <row r="111">
      <c r="A111" s="197">
        <v>45440.0</v>
      </c>
      <c r="B111" s="198" t="s">
        <v>16580</v>
      </c>
      <c r="C111" s="199">
        <v>7000.0</v>
      </c>
      <c r="D111" s="200" t="s">
        <v>147</v>
      </c>
      <c r="E111" s="200" t="s">
        <v>183</v>
      </c>
    </row>
    <row r="112">
      <c r="A112" s="197">
        <v>45440.0</v>
      </c>
      <c r="B112" s="198" t="s">
        <v>16591</v>
      </c>
      <c r="C112" s="199">
        <v>8647.0</v>
      </c>
      <c r="D112" s="200" t="s">
        <v>132</v>
      </c>
      <c r="E112" s="200" t="s">
        <v>177</v>
      </c>
    </row>
    <row r="113">
      <c r="A113" s="197">
        <v>45440.0</v>
      </c>
      <c r="B113" s="198" t="s">
        <v>155</v>
      </c>
      <c r="C113" s="199">
        <v>1453.0</v>
      </c>
      <c r="D113" s="200" t="s">
        <v>155</v>
      </c>
      <c r="E113" s="200" t="s">
        <v>173</v>
      </c>
    </row>
    <row r="114">
      <c r="A114" s="197">
        <v>45441.0</v>
      </c>
      <c r="B114" s="198" t="s">
        <v>142</v>
      </c>
      <c r="C114" s="199">
        <v>5781.0</v>
      </c>
      <c r="D114" s="200" t="s">
        <v>142</v>
      </c>
      <c r="E114" s="200" t="s">
        <v>177</v>
      </c>
    </row>
  </sheetData>
  <dataValidations>
    <dataValidation type="custom" allowBlank="1" showDropDown="1" sqref="A2:A114">
      <formula1>OR(NOT(ISERROR(DATEVALUE(A2))), AND(ISNUMBER(A2), LEFT(CELL("format", A2))="D"))</formula1>
    </dataValidation>
    <dataValidation type="custom" allowBlank="1" showDropDown="1" sqref="C2:C114">
      <formula1>AND(ISNUMBER(C2),(NOT(OR(NOT(ISERROR(DATEVALUE(C2))), AND(ISNUMBER(C2), LEFT(CELL("format", C2))="D")))))</formula1>
    </dataValidation>
    <dataValidation allowBlank="1" showDropDown="1" sqref="B2:B114 D2:E114"/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13"/>
    <col customWidth="1" min="2" max="2" width="18.75"/>
    <col customWidth="1" min="3" max="3" width="13.25"/>
    <col customWidth="1" min="4" max="4" width="19.38"/>
    <col customWidth="1" min="5" max="5" width="21.38"/>
  </cols>
  <sheetData>
    <row r="1">
      <c r="A1" s="196" t="s">
        <v>0</v>
      </c>
      <c r="B1" s="196" t="s">
        <v>1</v>
      </c>
      <c r="C1" s="196" t="s">
        <v>2</v>
      </c>
      <c r="D1" s="196" t="s">
        <v>3</v>
      </c>
      <c r="E1" s="196" t="s">
        <v>4</v>
      </c>
    </row>
    <row r="2">
      <c r="A2" s="197">
        <v>45444.0</v>
      </c>
      <c r="B2" s="198" t="s">
        <v>157</v>
      </c>
      <c r="C2" s="199">
        <v>5354.0</v>
      </c>
      <c r="D2" s="198" t="s">
        <v>157</v>
      </c>
      <c r="E2" s="198" t="s">
        <v>173</v>
      </c>
    </row>
    <row r="3">
      <c r="A3" s="197">
        <v>45444.0</v>
      </c>
      <c r="B3" s="198" t="s">
        <v>134</v>
      </c>
      <c r="C3" s="199">
        <v>15619.0</v>
      </c>
      <c r="D3" s="198" t="s">
        <v>134</v>
      </c>
      <c r="E3" s="198" t="s">
        <v>173</v>
      </c>
    </row>
    <row r="4">
      <c r="A4" s="197">
        <v>45444.0</v>
      </c>
      <c r="B4" s="198" t="s">
        <v>16578</v>
      </c>
      <c r="C4" s="199">
        <v>8115.0</v>
      </c>
      <c r="D4" s="198" t="s">
        <v>147</v>
      </c>
      <c r="E4" s="198" t="s">
        <v>173</v>
      </c>
    </row>
    <row r="5">
      <c r="A5" s="197">
        <v>45444.0</v>
      </c>
      <c r="B5" s="198" t="s">
        <v>16578</v>
      </c>
      <c r="C5" s="199">
        <v>2361.0</v>
      </c>
      <c r="D5" s="198" t="s">
        <v>147</v>
      </c>
      <c r="E5" s="198" t="s">
        <v>173</v>
      </c>
    </row>
    <row r="6">
      <c r="A6" s="197">
        <v>45444.0</v>
      </c>
      <c r="B6" s="198" t="s">
        <v>132</v>
      </c>
      <c r="C6" s="199">
        <v>13500.0</v>
      </c>
      <c r="D6" s="198" t="s">
        <v>132</v>
      </c>
      <c r="E6" s="198" t="s">
        <v>177</v>
      </c>
    </row>
    <row r="7">
      <c r="A7" s="197">
        <v>45444.0</v>
      </c>
      <c r="B7" s="198" t="s">
        <v>132</v>
      </c>
      <c r="C7" s="199">
        <v>0.0</v>
      </c>
      <c r="D7" s="198" t="s">
        <v>132</v>
      </c>
      <c r="E7" s="198" t="s">
        <v>177</v>
      </c>
    </row>
    <row r="8">
      <c r="A8" s="197">
        <v>45444.0</v>
      </c>
      <c r="B8" s="198" t="s">
        <v>11</v>
      </c>
      <c r="C8" s="199">
        <v>0.0</v>
      </c>
      <c r="D8" s="198" t="s">
        <v>11</v>
      </c>
      <c r="E8" s="198" t="s">
        <v>173</v>
      </c>
    </row>
    <row r="9">
      <c r="A9" s="197">
        <v>45444.0</v>
      </c>
      <c r="B9" s="198" t="s">
        <v>142</v>
      </c>
      <c r="C9" s="199">
        <v>1865.0</v>
      </c>
      <c r="D9" s="198" t="s">
        <v>142</v>
      </c>
      <c r="E9" s="198" t="s">
        <v>179</v>
      </c>
    </row>
    <row r="10">
      <c r="A10" s="197">
        <v>45444.0</v>
      </c>
      <c r="B10" s="198" t="s">
        <v>16580</v>
      </c>
      <c r="C10" s="199">
        <v>2744.5</v>
      </c>
      <c r="D10" s="198" t="s">
        <v>147</v>
      </c>
      <c r="E10" s="198" t="s">
        <v>177</v>
      </c>
    </row>
    <row r="11">
      <c r="A11" s="197">
        <v>45444.0</v>
      </c>
      <c r="B11" s="198" t="s">
        <v>16591</v>
      </c>
      <c r="C11" s="199">
        <v>2250.0</v>
      </c>
      <c r="D11" s="198" t="s">
        <v>147</v>
      </c>
      <c r="E11" s="198" t="s">
        <v>177</v>
      </c>
    </row>
    <row r="12">
      <c r="A12" s="197">
        <v>45444.0</v>
      </c>
      <c r="B12" s="198" t="s">
        <v>155</v>
      </c>
      <c r="C12" s="199">
        <v>18175.0</v>
      </c>
      <c r="D12" s="198" t="s">
        <v>155</v>
      </c>
      <c r="E12" s="198" t="s">
        <v>177</v>
      </c>
    </row>
    <row r="13">
      <c r="A13" s="197">
        <v>45444.0</v>
      </c>
      <c r="B13" s="198" t="s">
        <v>157</v>
      </c>
      <c r="C13" s="199">
        <v>12738.0</v>
      </c>
      <c r="D13" s="198" t="s">
        <v>157</v>
      </c>
      <c r="E13" s="198" t="s">
        <v>173</v>
      </c>
    </row>
    <row r="14">
      <c r="A14" s="197">
        <v>45444.0</v>
      </c>
      <c r="B14" s="198" t="s">
        <v>167</v>
      </c>
      <c r="C14" s="199">
        <v>42500.0</v>
      </c>
      <c r="D14" s="198" t="s">
        <v>167</v>
      </c>
      <c r="E14" s="198" t="s">
        <v>183</v>
      </c>
    </row>
    <row r="15">
      <c r="A15" s="197">
        <v>45444.0</v>
      </c>
      <c r="B15" s="198" t="s">
        <v>167</v>
      </c>
      <c r="C15" s="199">
        <v>21990.0</v>
      </c>
      <c r="D15" s="198" t="s">
        <v>167</v>
      </c>
      <c r="E15" s="198" t="s">
        <v>173</v>
      </c>
    </row>
    <row r="16">
      <c r="A16" s="197">
        <v>45444.0</v>
      </c>
      <c r="B16" s="198" t="s">
        <v>169</v>
      </c>
      <c r="C16" s="199">
        <v>5723.0</v>
      </c>
      <c r="D16" s="198" t="s">
        <v>169</v>
      </c>
      <c r="E16" s="198" t="s">
        <v>173</v>
      </c>
    </row>
    <row r="17">
      <c r="A17" s="197">
        <v>45444.0</v>
      </c>
      <c r="B17" s="198" t="s">
        <v>169</v>
      </c>
      <c r="C17" s="199">
        <v>1350.0</v>
      </c>
      <c r="D17" s="198" t="s">
        <v>169</v>
      </c>
      <c r="E17" s="198" t="s">
        <v>173</v>
      </c>
    </row>
    <row r="18">
      <c r="A18" s="197">
        <v>45445.0</v>
      </c>
      <c r="B18" s="198" t="s">
        <v>16591</v>
      </c>
      <c r="C18" s="199">
        <v>17192.0</v>
      </c>
      <c r="D18" s="198" t="s">
        <v>132</v>
      </c>
      <c r="E18" s="198" t="s">
        <v>173</v>
      </c>
    </row>
    <row r="19">
      <c r="A19" s="197">
        <v>45445.0</v>
      </c>
      <c r="B19" s="198" t="s">
        <v>167</v>
      </c>
      <c r="C19" s="199">
        <v>47316.0</v>
      </c>
      <c r="D19" s="198" t="s">
        <v>167</v>
      </c>
      <c r="E19" s="198" t="s">
        <v>173</v>
      </c>
    </row>
    <row r="20">
      <c r="A20" s="197">
        <v>45445.0</v>
      </c>
      <c r="B20" s="198" t="s">
        <v>134</v>
      </c>
      <c r="C20" s="199">
        <v>18833.0</v>
      </c>
      <c r="D20" s="198" t="s">
        <v>134</v>
      </c>
      <c r="E20" s="198" t="s">
        <v>173</v>
      </c>
    </row>
    <row r="21">
      <c r="A21" s="197">
        <v>45445.0</v>
      </c>
      <c r="B21" s="198" t="s">
        <v>16579</v>
      </c>
      <c r="C21" s="199">
        <v>5000.0</v>
      </c>
      <c r="D21" s="198" t="s">
        <v>140</v>
      </c>
      <c r="E21" s="198" t="s">
        <v>175</v>
      </c>
    </row>
    <row r="22">
      <c r="A22" s="197">
        <v>45445.0</v>
      </c>
      <c r="B22" s="198" t="s">
        <v>142</v>
      </c>
      <c r="C22" s="199">
        <v>17000.0</v>
      </c>
      <c r="D22" s="198" t="s">
        <v>142</v>
      </c>
      <c r="E22" s="198" t="s">
        <v>177</v>
      </c>
    </row>
    <row r="23">
      <c r="A23" s="197">
        <v>45445.0</v>
      </c>
      <c r="B23" s="198" t="s">
        <v>16591</v>
      </c>
      <c r="C23" s="199">
        <v>10000.0</v>
      </c>
      <c r="D23" s="198" t="s">
        <v>132</v>
      </c>
      <c r="E23" s="198" t="s">
        <v>175</v>
      </c>
    </row>
    <row r="24">
      <c r="A24" s="197">
        <v>45446.0</v>
      </c>
      <c r="B24" s="198" t="s">
        <v>16580</v>
      </c>
      <c r="C24" s="199">
        <v>1602.0</v>
      </c>
      <c r="D24" s="198" t="s">
        <v>147</v>
      </c>
      <c r="E24" s="198" t="s">
        <v>173</v>
      </c>
    </row>
    <row r="25">
      <c r="A25" s="197">
        <v>45446.0</v>
      </c>
      <c r="B25" s="198" t="s">
        <v>16582</v>
      </c>
      <c r="C25" s="199">
        <v>3721.0</v>
      </c>
      <c r="D25" s="198" t="s">
        <v>129</v>
      </c>
      <c r="E25" s="198" t="s">
        <v>177</v>
      </c>
    </row>
    <row r="26">
      <c r="A26" s="197">
        <v>45446.0</v>
      </c>
      <c r="B26" s="198" t="s">
        <v>16595</v>
      </c>
      <c r="C26" s="199">
        <v>43308.0</v>
      </c>
      <c r="D26" s="198" t="s">
        <v>162</v>
      </c>
      <c r="E26" s="198" t="s">
        <v>183</v>
      </c>
    </row>
    <row r="27">
      <c r="A27" s="197">
        <v>45446.0</v>
      </c>
      <c r="B27" s="198" t="s">
        <v>157</v>
      </c>
      <c r="C27" s="199">
        <v>1000.0</v>
      </c>
      <c r="D27" s="198" t="s">
        <v>157</v>
      </c>
      <c r="E27" s="198" t="s">
        <v>179</v>
      </c>
    </row>
    <row r="28">
      <c r="A28" s="197">
        <v>45446.0</v>
      </c>
      <c r="B28" s="198" t="s">
        <v>16596</v>
      </c>
      <c r="C28" s="199">
        <v>173132.0</v>
      </c>
      <c r="D28" s="198" t="s">
        <v>162</v>
      </c>
      <c r="E28" s="198" t="s">
        <v>183</v>
      </c>
    </row>
    <row r="29">
      <c r="A29" s="197">
        <v>45447.0</v>
      </c>
      <c r="B29" s="198" t="s">
        <v>11</v>
      </c>
      <c r="C29" s="199">
        <v>9900.0</v>
      </c>
      <c r="D29" s="198" t="s">
        <v>11</v>
      </c>
      <c r="E29" s="198" t="s">
        <v>173</v>
      </c>
    </row>
    <row r="30">
      <c r="A30" s="197">
        <v>45447.0</v>
      </c>
      <c r="B30" s="198" t="s">
        <v>169</v>
      </c>
      <c r="C30" s="199">
        <v>673.0</v>
      </c>
      <c r="D30" s="198" t="s">
        <v>169</v>
      </c>
      <c r="E30" s="198" t="s">
        <v>173</v>
      </c>
    </row>
    <row r="31">
      <c r="A31" s="197">
        <v>45447.0</v>
      </c>
      <c r="B31" s="198" t="s">
        <v>16589</v>
      </c>
      <c r="C31" s="199">
        <v>40000.0</v>
      </c>
      <c r="D31" s="198" t="s">
        <v>145</v>
      </c>
      <c r="E31" s="198" t="s">
        <v>183</v>
      </c>
    </row>
    <row r="32">
      <c r="A32" s="197">
        <v>45447.0</v>
      </c>
      <c r="B32" s="198" t="s">
        <v>16597</v>
      </c>
      <c r="C32" s="199">
        <v>208.0</v>
      </c>
      <c r="D32" s="198" t="s">
        <v>142</v>
      </c>
      <c r="E32" s="198" t="s">
        <v>179</v>
      </c>
    </row>
    <row r="33">
      <c r="A33" s="197">
        <v>45447.0</v>
      </c>
      <c r="B33" s="198" t="s">
        <v>142</v>
      </c>
      <c r="C33" s="199">
        <v>6674.5</v>
      </c>
      <c r="D33" s="198" t="s">
        <v>142</v>
      </c>
      <c r="E33" s="198" t="s">
        <v>177</v>
      </c>
    </row>
    <row r="34">
      <c r="A34" s="197">
        <v>45447.0</v>
      </c>
      <c r="B34" s="198" t="s">
        <v>152</v>
      </c>
      <c r="C34" s="199">
        <v>42.0</v>
      </c>
      <c r="D34" s="198" t="s">
        <v>152</v>
      </c>
      <c r="E34" s="198" t="s">
        <v>179</v>
      </c>
    </row>
    <row r="35">
      <c r="A35" s="197">
        <v>45448.0</v>
      </c>
      <c r="B35" s="198" t="s">
        <v>16583</v>
      </c>
      <c r="C35" s="199">
        <v>0.0</v>
      </c>
      <c r="D35" s="198" t="s">
        <v>129</v>
      </c>
      <c r="E35" s="198" t="s">
        <v>177</v>
      </c>
    </row>
    <row r="36">
      <c r="A36" s="197">
        <v>45448.0</v>
      </c>
      <c r="B36" s="198" t="s">
        <v>16593</v>
      </c>
      <c r="C36" s="199">
        <v>0.0</v>
      </c>
      <c r="D36" s="198" t="s">
        <v>129</v>
      </c>
      <c r="E36" s="198" t="s">
        <v>177</v>
      </c>
    </row>
    <row r="37">
      <c r="A37" s="197">
        <v>45449.0</v>
      </c>
      <c r="B37" s="198" t="s">
        <v>169</v>
      </c>
      <c r="C37" s="199">
        <v>2539.0</v>
      </c>
      <c r="D37" s="198" t="s">
        <v>169</v>
      </c>
      <c r="E37" s="198" t="s">
        <v>173</v>
      </c>
    </row>
    <row r="38">
      <c r="A38" s="197">
        <v>45449.0</v>
      </c>
      <c r="B38" s="198" t="s">
        <v>16594</v>
      </c>
      <c r="C38" s="199">
        <v>0.0</v>
      </c>
      <c r="D38" s="198" t="s">
        <v>129</v>
      </c>
      <c r="E38" s="198" t="s">
        <v>177</v>
      </c>
    </row>
    <row r="39">
      <c r="A39" s="197">
        <v>45449.0</v>
      </c>
      <c r="B39" s="198" t="s">
        <v>16589</v>
      </c>
      <c r="C39" s="199">
        <v>7000.0</v>
      </c>
      <c r="D39" s="198" t="s">
        <v>145</v>
      </c>
      <c r="E39" s="198" t="s">
        <v>179</v>
      </c>
    </row>
    <row r="40">
      <c r="A40" s="197">
        <v>45449.0</v>
      </c>
      <c r="B40" s="198" t="s">
        <v>16585</v>
      </c>
      <c r="C40" s="199">
        <v>5400.0</v>
      </c>
      <c r="D40" s="198" t="s">
        <v>164</v>
      </c>
      <c r="E40" s="198" t="s">
        <v>179</v>
      </c>
    </row>
    <row r="41">
      <c r="A41" s="197">
        <v>45450.0</v>
      </c>
      <c r="B41" s="198" t="s">
        <v>16581</v>
      </c>
      <c r="C41" s="199">
        <v>22607.0</v>
      </c>
      <c r="D41" s="198" t="s">
        <v>129</v>
      </c>
      <c r="E41" s="198" t="s">
        <v>173</v>
      </c>
    </row>
    <row r="42">
      <c r="A42" s="197">
        <v>45450.0</v>
      </c>
      <c r="B42" s="198" t="s">
        <v>16590</v>
      </c>
      <c r="C42" s="199">
        <v>9530.5</v>
      </c>
      <c r="D42" s="198" t="s">
        <v>155</v>
      </c>
      <c r="E42" s="198" t="s">
        <v>173</v>
      </c>
    </row>
    <row r="43">
      <c r="A43" s="197">
        <v>45450.0</v>
      </c>
      <c r="B43" s="198" t="s">
        <v>142</v>
      </c>
      <c r="C43" s="199">
        <v>1000.0</v>
      </c>
      <c r="D43" s="198" t="s">
        <v>142</v>
      </c>
      <c r="E43" s="198" t="s">
        <v>179</v>
      </c>
    </row>
    <row r="44">
      <c r="A44" s="197">
        <v>45450.0</v>
      </c>
      <c r="B44" s="198" t="s">
        <v>16585</v>
      </c>
      <c r="C44" s="199">
        <v>18.0</v>
      </c>
      <c r="D44" s="198" t="s">
        <v>164</v>
      </c>
      <c r="E44" s="198" t="s">
        <v>179</v>
      </c>
    </row>
    <row r="45">
      <c r="A45" s="197">
        <v>45450.0</v>
      </c>
      <c r="B45" s="198" t="s">
        <v>16585</v>
      </c>
      <c r="C45" s="199">
        <v>9000.0</v>
      </c>
      <c r="D45" s="198" t="s">
        <v>164</v>
      </c>
      <c r="E45" s="198" t="s">
        <v>179</v>
      </c>
    </row>
    <row r="46">
      <c r="A46" s="197">
        <v>45451.0</v>
      </c>
      <c r="B46" s="198" t="s">
        <v>137</v>
      </c>
      <c r="C46" s="199">
        <v>4000.0</v>
      </c>
      <c r="D46" s="198" t="s">
        <v>137</v>
      </c>
      <c r="E46" s="198" t="s">
        <v>179</v>
      </c>
    </row>
    <row r="47">
      <c r="A47" s="197">
        <v>45451.0</v>
      </c>
      <c r="B47" s="198" t="s">
        <v>142</v>
      </c>
      <c r="C47" s="199">
        <v>1500.0</v>
      </c>
      <c r="D47" s="198" t="s">
        <v>142</v>
      </c>
      <c r="E47" s="198" t="s">
        <v>185</v>
      </c>
    </row>
    <row r="48">
      <c r="A48" s="197">
        <v>45451.0</v>
      </c>
      <c r="B48" s="198" t="s">
        <v>142</v>
      </c>
      <c r="C48" s="199">
        <v>500.0</v>
      </c>
      <c r="D48" s="198" t="s">
        <v>142</v>
      </c>
      <c r="E48" s="198" t="s">
        <v>185</v>
      </c>
    </row>
    <row r="49">
      <c r="A49" s="197">
        <v>45451.0</v>
      </c>
      <c r="B49" s="198" t="s">
        <v>142</v>
      </c>
      <c r="C49" s="199">
        <v>34.25</v>
      </c>
      <c r="D49" s="198" t="s">
        <v>142</v>
      </c>
      <c r="E49" s="198" t="s">
        <v>179</v>
      </c>
    </row>
    <row r="50">
      <c r="A50" s="197">
        <v>45451.0</v>
      </c>
      <c r="B50" s="198" t="s">
        <v>16580</v>
      </c>
      <c r="C50" s="199">
        <v>5450.0</v>
      </c>
      <c r="D50" s="198" t="s">
        <v>147</v>
      </c>
      <c r="E50" s="198" t="s">
        <v>175</v>
      </c>
    </row>
    <row r="51">
      <c r="A51" s="197">
        <v>45452.0</v>
      </c>
      <c r="B51" s="198" t="s">
        <v>132</v>
      </c>
      <c r="C51" s="199">
        <v>600.0</v>
      </c>
      <c r="D51" s="198" t="s">
        <v>132</v>
      </c>
      <c r="E51" s="198" t="s">
        <v>179</v>
      </c>
    </row>
    <row r="52">
      <c r="A52" s="197">
        <v>45453.0</v>
      </c>
      <c r="B52" s="198" t="s">
        <v>142</v>
      </c>
      <c r="C52" s="199">
        <v>27.75</v>
      </c>
      <c r="D52" s="198" t="s">
        <v>142</v>
      </c>
      <c r="E52" s="198" t="s">
        <v>179</v>
      </c>
    </row>
    <row r="53">
      <c r="A53" s="197">
        <v>45454.0</v>
      </c>
      <c r="B53" s="198" t="s">
        <v>16585</v>
      </c>
      <c r="C53" s="199">
        <v>1500.0</v>
      </c>
      <c r="D53" s="198" t="s">
        <v>164</v>
      </c>
      <c r="E53" s="198" t="s">
        <v>179</v>
      </c>
    </row>
    <row r="54">
      <c r="A54" s="197">
        <v>45455.0</v>
      </c>
      <c r="B54" s="198" t="s">
        <v>16589</v>
      </c>
      <c r="C54" s="199">
        <v>112000.0</v>
      </c>
      <c r="D54" s="198" t="s">
        <v>145</v>
      </c>
      <c r="E54" s="198" t="s">
        <v>183</v>
      </c>
    </row>
    <row r="55">
      <c r="A55" s="197">
        <v>45455.0</v>
      </c>
      <c r="B55" s="198" t="s">
        <v>16585</v>
      </c>
      <c r="C55" s="199">
        <v>18000.0</v>
      </c>
      <c r="D55" s="198" t="s">
        <v>164</v>
      </c>
      <c r="E55" s="198" t="s">
        <v>179</v>
      </c>
    </row>
    <row r="56">
      <c r="A56" s="197">
        <v>45456.0</v>
      </c>
      <c r="B56" s="198" t="s">
        <v>16598</v>
      </c>
      <c r="C56" s="199">
        <v>15000.0</v>
      </c>
      <c r="D56" s="198" t="s">
        <v>132</v>
      </c>
      <c r="E56" s="198" t="s">
        <v>175</v>
      </c>
    </row>
    <row r="57">
      <c r="A57" s="197">
        <v>45456.0</v>
      </c>
      <c r="B57" s="198" t="s">
        <v>16579</v>
      </c>
      <c r="C57" s="199">
        <v>8996.0</v>
      </c>
      <c r="D57" s="198" t="s">
        <v>140</v>
      </c>
      <c r="E57" s="198" t="s">
        <v>173</v>
      </c>
    </row>
    <row r="58">
      <c r="A58" s="197">
        <v>45456.0</v>
      </c>
      <c r="B58" s="198" t="s">
        <v>142</v>
      </c>
      <c r="C58" s="199">
        <v>5219.0</v>
      </c>
      <c r="D58" s="198" t="s">
        <v>142</v>
      </c>
      <c r="E58" s="198" t="s">
        <v>175</v>
      </c>
    </row>
    <row r="59">
      <c r="A59" s="197">
        <v>45456.0</v>
      </c>
      <c r="B59" s="198" t="s">
        <v>152</v>
      </c>
      <c r="C59" s="199">
        <v>26.0</v>
      </c>
      <c r="D59" s="198" t="s">
        <v>152</v>
      </c>
      <c r="E59" s="198" t="s">
        <v>179</v>
      </c>
    </row>
    <row r="60">
      <c r="A60" s="197">
        <v>45457.0</v>
      </c>
      <c r="B60" s="198" t="s">
        <v>132</v>
      </c>
      <c r="C60" s="199">
        <v>3668.0</v>
      </c>
      <c r="D60" s="198" t="s">
        <v>171</v>
      </c>
      <c r="E60" s="198" t="s">
        <v>179</v>
      </c>
    </row>
    <row r="61">
      <c r="A61" s="197">
        <v>45457.0</v>
      </c>
      <c r="B61" s="198" t="s">
        <v>16585</v>
      </c>
      <c r="C61" s="199">
        <v>5000.0</v>
      </c>
      <c r="D61" s="198" t="s">
        <v>164</v>
      </c>
      <c r="E61" s="198" t="s">
        <v>185</v>
      </c>
    </row>
    <row r="62">
      <c r="A62" s="197">
        <v>45457.0</v>
      </c>
      <c r="B62" s="198" t="s">
        <v>16585</v>
      </c>
      <c r="C62" s="199">
        <v>7077.0</v>
      </c>
      <c r="D62" s="198" t="s">
        <v>164</v>
      </c>
      <c r="E62" s="198" t="s">
        <v>179</v>
      </c>
    </row>
    <row r="63">
      <c r="A63" s="197">
        <v>45459.0</v>
      </c>
      <c r="B63" s="198" t="s">
        <v>142</v>
      </c>
      <c r="C63" s="199">
        <v>1500.0</v>
      </c>
      <c r="D63" s="198" t="s">
        <v>142</v>
      </c>
      <c r="E63" s="198" t="s">
        <v>175</v>
      </c>
    </row>
    <row r="64">
      <c r="A64" s="197">
        <v>45459.0</v>
      </c>
      <c r="B64" s="198" t="s">
        <v>142</v>
      </c>
      <c r="C64" s="199">
        <v>3065.0</v>
      </c>
      <c r="D64" s="198" t="s">
        <v>142</v>
      </c>
      <c r="E64" s="198" t="s">
        <v>179</v>
      </c>
    </row>
    <row r="65">
      <c r="A65" s="197">
        <v>45459.0</v>
      </c>
      <c r="B65" s="198" t="s">
        <v>142</v>
      </c>
      <c r="C65" s="199">
        <v>3635.0</v>
      </c>
      <c r="D65" s="198" t="s">
        <v>142</v>
      </c>
      <c r="E65" s="198" t="s">
        <v>175</v>
      </c>
    </row>
    <row r="66">
      <c r="A66" s="197">
        <v>45459.0</v>
      </c>
      <c r="B66" s="198" t="s">
        <v>16580</v>
      </c>
      <c r="C66" s="199">
        <v>1500.0</v>
      </c>
      <c r="D66" s="198" t="s">
        <v>147</v>
      </c>
      <c r="E66" s="198" t="s">
        <v>179</v>
      </c>
    </row>
    <row r="67">
      <c r="A67" s="197">
        <v>45459.0</v>
      </c>
      <c r="B67" s="198" t="s">
        <v>16580</v>
      </c>
      <c r="C67" s="199">
        <v>4500.0</v>
      </c>
      <c r="D67" s="198" t="s">
        <v>147</v>
      </c>
      <c r="E67" s="198" t="s">
        <v>175</v>
      </c>
    </row>
    <row r="68">
      <c r="A68" s="197">
        <v>45459.0</v>
      </c>
      <c r="B68" s="198" t="s">
        <v>16580</v>
      </c>
      <c r="C68" s="199">
        <v>4900.0</v>
      </c>
      <c r="D68" s="198" t="s">
        <v>147</v>
      </c>
      <c r="E68" s="198" t="s">
        <v>179</v>
      </c>
    </row>
    <row r="69">
      <c r="A69" s="197">
        <v>45459.0</v>
      </c>
      <c r="B69" s="198" t="s">
        <v>16585</v>
      </c>
      <c r="C69" s="199">
        <v>1000.0</v>
      </c>
      <c r="D69" s="198" t="s">
        <v>164</v>
      </c>
      <c r="E69" s="198" t="s">
        <v>175</v>
      </c>
    </row>
    <row r="70">
      <c r="A70" s="197">
        <v>45459.0</v>
      </c>
      <c r="B70" s="198" t="s">
        <v>16585</v>
      </c>
      <c r="C70" s="199">
        <v>31.0</v>
      </c>
      <c r="D70" s="198" t="s">
        <v>164</v>
      </c>
      <c r="E70" s="198" t="s">
        <v>179</v>
      </c>
    </row>
    <row r="71">
      <c r="A71" s="197">
        <v>45459.0</v>
      </c>
      <c r="B71" s="198" t="s">
        <v>16585</v>
      </c>
      <c r="C71" s="199">
        <v>10000.0</v>
      </c>
      <c r="D71" s="198" t="s">
        <v>164</v>
      </c>
      <c r="E71" s="198" t="s">
        <v>179</v>
      </c>
    </row>
    <row r="72">
      <c r="A72" s="197">
        <v>45460.0</v>
      </c>
      <c r="B72" s="198" t="s">
        <v>16585</v>
      </c>
      <c r="C72" s="199">
        <v>4500.0</v>
      </c>
      <c r="D72" s="198" t="s">
        <v>164</v>
      </c>
      <c r="E72" s="198" t="s">
        <v>179</v>
      </c>
    </row>
    <row r="73">
      <c r="A73" s="197">
        <v>45460.0</v>
      </c>
      <c r="B73" s="198" t="s">
        <v>16586</v>
      </c>
      <c r="C73" s="199">
        <v>2000.0</v>
      </c>
      <c r="D73" s="198" t="s">
        <v>171</v>
      </c>
      <c r="E73" s="198" t="s">
        <v>179</v>
      </c>
    </row>
    <row r="74">
      <c r="A74" s="197">
        <v>45461.0</v>
      </c>
      <c r="B74" s="198" t="s">
        <v>157</v>
      </c>
      <c r="C74" s="199">
        <v>9400.0</v>
      </c>
      <c r="D74" s="198" t="s">
        <v>157</v>
      </c>
      <c r="E74" s="198" t="s">
        <v>175</v>
      </c>
    </row>
    <row r="75">
      <c r="A75" s="197">
        <v>45461.0</v>
      </c>
      <c r="B75" s="198" t="s">
        <v>16585</v>
      </c>
      <c r="C75" s="199">
        <v>7077.0</v>
      </c>
      <c r="D75" s="198" t="s">
        <v>164</v>
      </c>
      <c r="E75" s="198" t="s">
        <v>175</v>
      </c>
    </row>
    <row r="76">
      <c r="A76" s="197">
        <v>45462.0</v>
      </c>
      <c r="B76" s="198" t="s">
        <v>16591</v>
      </c>
      <c r="C76" s="199">
        <v>26000.0</v>
      </c>
      <c r="D76" s="198" t="s">
        <v>147</v>
      </c>
      <c r="E76" s="198" t="s">
        <v>183</v>
      </c>
    </row>
    <row r="77">
      <c r="A77" s="197">
        <v>45462.0</v>
      </c>
      <c r="B77" s="198" t="s">
        <v>152</v>
      </c>
      <c r="C77" s="199">
        <v>26.0</v>
      </c>
      <c r="D77" s="198" t="s">
        <v>152</v>
      </c>
      <c r="E77" s="198" t="s">
        <v>179</v>
      </c>
    </row>
    <row r="78">
      <c r="A78" s="197">
        <v>45462.0</v>
      </c>
      <c r="B78" s="198" t="s">
        <v>16585</v>
      </c>
      <c r="C78" s="199">
        <v>8600.0</v>
      </c>
      <c r="D78" s="198" t="s">
        <v>164</v>
      </c>
      <c r="E78" s="198" t="s">
        <v>175</v>
      </c>
    </row>
    <row r="79">
      <c r="A79" s="197">
        <v>45462.0</v>
      </c>
      <c r="B79" s="198" t="s">
        <v>16585</v>
      </c>
      <c r="C79" s="199">
        <v>4300.0</v>
      </c>
      <c r="D79" s="198" t="s">
        <v>164</v>
      </c>
      <c r="E79" s="198" t="s">
        <v>175</v>
      </c>
    </row>
    <row r="80">
      <c r="A80" s="197">
        <v>45463.0</v>
      </c>
      <c r="B80" s="198" t="s">
        <v>142</v>
      </c>
      <c r="C80" s="199">
        <v>11001.0</v>
      </c>
      <c r="D80" s="198" t="s">
        <v>164</v>
      </c>
      <c r="E80" s="198" t="s">
        <v>179</v>
      </c>
    </row>
    <row r="81">
      <c r="A81" s="197">
        <v>45463.0</v>
      </c>
      <c r="B81" s="198" t="s">
        <v>157</v>
      </c>
      <c r="C81" s="199">
        <v>500.0</v>
      </c>
      <c r="D81" s="198" t="s">
        <v>157</v>
      </c>
      <c r="E81" s="198" t="s">
        <v>179</v>
      </c>
    </row>
    <row r="82">
      <c r="A82" s="197">
        <v>45464.0</v>
      </c>
      <c r="B82" s="198" t="s">
        <v>142</v>
      </c>
      <c r="C82" s="199">
        <v>2964.0</v>
      </c>
      <c r="D82" s="198" t="s">
        <v>142</v>
      </c>
      <c r="E82" s="198" t="s">
        <v>175</v>
      </c>
    </row>
    <row r="83">
      <c r="A83" s="197">
        <v>45464.0</v>
      </c>
      <c r="B83" s="198" t="s">
        <v>16585</v>
      </c>
      <c r="C83" s="199">
        <v>2700.0</v>
      </c>
      <c r="D83" s="198" t="s">
        <v>164</v>
      </c>
      <c r="E83" s="198" t="s">
        <v>179</v>
      </c>
    </row>
    <row r="84">
      <c r="A84" s="197">
        <v>45465.0</v>
      </c>
      <c r="B84" s="198" t="s">
        <v>134</v>
      </c>
      <c r="C84" s="199">
        <v>16000.0</v>
      </c>
      <c r="D84" s="198" t="s">
        <v>134</v>
      </c>
      <c r="E84" s="198" t="s">
        <v>183</v>
      </c>
    </row>
    <row r="85">
      <c r="A85" s="197">
        <v>45465.0</v>
      </c>
      <c r="B85" s="198" t="s">
        <v>134</v>
      </c>
      <c r="C85" s="199">
        <v>41624.0</v>
      </c>
      <c r="D85" s="198" t="s">
        <v>134</v>
      </c>
      <c r="E85" s="198" t="s">
        <v>183</v>
      </c>
    </row>
    <row r="86">
      <c r="A86" s="197">
        <v>45466.0</v>
      </c>
      <c r="B86" s="198" t="s">
        <v>16585</v>
      </c>
      <c r="C86" s="199">
        <v>5700.0</v>
      </c>
      <c r="D86" s="198" t="s">
        <v>164</v>
      </c>
      <c r="E86" s="198" t="s">
        <v>179</v>
      </c>
    </row>
    <row r="87">
      <c r="A87" s="197">
        <v>45467.0</v>
      </c>
      <c r="B87" s="198" t="s">
        <v>16592</v>
      </c>
      <c r="C87" s="199">
        <v>7000.0</v>
      </c>
      <c r="D87" s="198" t="s">
        <v>129</v>
      </c>
      <c r="E87" s="198" t="s">
        <v>179</v>
      </c>
    </row>
  </sheetData>
  <dataValidations>
    <dataValidation type="custom" allowBlank="1" showDropDown="1" sqref="A2:A87">
      <formula1>OR(NOT(ISERROR(DATEVALUE(A2))), AND(ISNUMBER(A2), LEFT(CELL("format", A2))="D"))</formula1>
    </dataValidation>
    <dataValidation type="custom" allowBlank="1" showDropDown="1" sqref="C2:C87">
      <formula1>AND(ISNUMBER(C2),(NOT(OR(NOT(ISERROR(DATEVALUE(C2))), AND(ISNUMBER(C2), LEFT(CELL("format", C2))="D")))))</formula1>
    </dataValidation>
    <dataValidation allowBlank="1" showDropDown="1" sqref="B2:B87 D2:E87"/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0.25"/>
    <col customWidth="1" min="3" max="3" width="13.13"/>
    <col customWidth="1" min="4" max="4" width="19.38"/>
    <col customWidth="1" min="5" max="5" width="21.38"/>
  </cols>
  <sheetData>
    <row r="1">
      <c r="A1" s="196" t="s">
        <v>0</v>
      </c>
      <c r="B1" s="196" t="s">
        <v>1</v>
      </c>
      <c r="C1" s="196" t="s">
        <v>2</v>
      </c>
      <c r="D1" s="196" t="s">
        <v>3</v>
      </c>
      <c r="E1" s="196" t="s">
        <v>4</v>
      </c>
    </row>
    <row r="2">
      <c r="A2" s="197">
        <v>45474.0</v>
      </c>
      <c r="B2" s="198" t="s">
        <v>16580</v>
      </c>
      <c r="C2" s="199">
        <v>1602.0</v>
      </c>
      <c r="D2" s="198" t="s">
        <v>147</v>
      </c>
      <c r="E2" s="201" t="s">
        <v>173</v>
      </c>
    </row>
    <row r="3">
      <c r="A3" s="197">
        <v>45474.0</v>
      </c>
      <c r="B3" s="198" t="s">
        <v>16580</v>
      </c>
      <c r="C3" s="199">
        <v>12526.0</v>
      </c>
      <c r="D3" s="198" t="s">
        <v>147</v>
      </c>
      <c r="E3" s="201" t="s">
        <v>173</v>
      </c>
    </row>
    <row r="4">
      <c r="A4" s="197">
        <v>45475.0</v>
      </c>
      <c r="B4" s="198" t="s">
        <v>16585</v>
      </c>
      <c r="C4" s="199">
        <v>1500.0</v>
      </c>
      <c r="D4" s="198" t="s">
        <v>164</v>
      </c>
      <c r="E4" s="201" t="s">
        <v>179</v>
      </c>
    </row>
    <row r="5">
      <c r="A5" s="197">
        <v>45476.0</v>
      </c>
      <c r="B5" s="198" t="s">
        <v>169</v>
      </c>
      <c r="C5" s="199">
        <v>817.5</v>
      </c>
      <c r="D5" s="198" t="s">
        <v>169</v>
      </c>
      <c r="E5" s="201" t="s">
        <v>173</v>
      </c>
    </row>
    <row r="6">
      <c r="A6" s="197">
        <v>45476.0</v>
      </c>
      <c r="B6" s="198" t="s">
        <v>169</v>
      </c>
      <c r="C6" s="199">
        <v>4233.0</v>
      </c>
      <c r="D6" s="198" t="s">
        <v>169</v>
      </c>
      <c r="E6" s="201" t="s">
        <v>173</v>
      </c>
    </row>
    <row r="7">
      <c r="A7" s="197">
        <v>45477.0</v>
      </c>
      <c r="B7" s="198" t="s">
        <v>16593</v>
      </c>
      <c r="C7" s="199">
        <v>0.0</v>
      </c>
      <c r="D7" s="198" t="s">
        <v>129</v>
      </c>
      <c r="E7" s="201" t="s">
        <v>177</v>
      </c>
    </row>
    <row r="8">
      <c r="A8" s="197">
        <v>45477.0</v>
      </c>
      <c r="B8" s="198" t="s">
        <v>16585</v>
      </c>
      <c r="C8" s="199">
        <v>177.75</v>
      </c>
      <c r="D8" s="198" t="s">
        <v>142</v>
      </c>
      <c r="E8" s="201" t="s">
        <v>179</v>
      </c>
    </row>
    <row r="9">
      <c r="A9" s="197">
        <v>45478.0</v>
      </c>
      <c r="B9" s="198" t="s">
        <v>16578</v>
      </c>
      <c r="C9" s="199">
        <v>2361.0</v>
      </c>
      <c r="D9" s="198" t="s">
        <v>147</v>
      </c>
      <c r="E9" s="201" t="s">
        <v>173</v>
      </c>
    </row>
    <row r="10">
      <c r="A10" s="197">
        <v>45479.0</v>
      </c>
      <c r="B10" s="198" t="s">
        <v>16578</v>
      </c>
      <c r="C10" s="199">
        <v>8115.0</v>
      </c>
      <c r="D10" s="198" t="s">
        <v>147</v>
      </c>
      <c r="E10" s="201" t="s">
        <v>173</v>
      </c>
    </row>
    <row r="11">
      <c r="A11" s="197">
        <v>45479.0</v>
      </c>
      <c r="B11" s="198" t="s">
        <v>16598</v>
      </c>
      <c r="C11" s="199">
        <v>10000.0</v>
      </c>
      <c r="D11" s="198" t="s">
        <v>132</v>
      </c>
      <c r="E11" s="201" t="s">
        <v>175</v>
      </c>
    </row>
    <row r="12">
      <c r="A12" s="197">
        <v>45479.0</v>
      </c>
      <c r="B12" s="198" t="s">
        <v>16579</v>
      </c>
      <c r="C12" s="199">
        <v>22250.0</v>
      </c>
      <c r="D12" s="198" t="s">
        <v>140</v>
      </c>
      <c r="E12" s="201" t="s">
        <v>175</v>
      </c>
    </row>
    <row r="13">
      <c r="A13" s="197">
        <v>45479.0</v>
      </c>
      <c r="B13" s="198" t="s">
        <v>142</v>
      </c>
      <c r="C13" s="199">
        <v>4110.0</v>
      </c>
      <c r="D13" s="198" t="s">
        <v>142</v>
      </c>
      <c r="E13" s="201" t="s">
        <v>175</v>
      </c>
    </row>
    <row r="14">
      <c r="A14" s="197">
        <v>45479.0</v>
      </c>
      <c r="B14" s="198" t="s">
        <v>16585</v>
      </c>
      <c r="C14" s="199">
        <v>39.0</v>
      </c>
      <c r="D14" s="198" t="s">
        <v>164</v>
      </c>
      <c r="E14" s="201" t="s">
        <v>179</v>
      </c>
    </row>
    <row r="15">
      <c r="A15" s="197">
        <v>45480.0</v>
      </c>
      <c r="B15" s="198" t="s">
        <v>16580</v>
      </c>
      <c r="C15" s="199">
        <v>2744.5</v>
      </c>
      <c r="D15" s="198" t="s">
        <v>147</v>
      </c>
      <c r="E15" s="201" t="s">
        <v>177</v>
      </c>
    </row>
    <row r="16">
      <c r="A16" s="197">
        <v>45480.0</v>
      </c>
      <c r="B16" s="198" t="s">
        <v>132</v>
      </c>
      <c r="C16" s="199">
        <v>23370.0</v>
      </c>
      <c r="D16" s="198" t="s">
        <v>132</v>
      </c>
      <c r="E16" s="201" t="s">
        <v>177</v>
      </c>
    </row>
    <row r="17">
      <c r="A17" s="197">
        <v>45480.0</v>
      </c>
      <c r="B17" s="198" t="s">
        <v>16579</v>
      </c>
      <c r="C17" s="199">
        <v>9500.0</v>
      </c>
      <c r="D17" s="198" t="s">
        <v>140</v>
      </c>
      <c r="E17" s="201" t="s">
        <v>179</v>
      </c>
    </row>
    <row r="18">
      <c r="A18" s="197">
        <v>45480.0</v>
      </c>
      <c r="B18" s="198" t="s">
        <v>159</v>
      </c>
      <c r="C18" s="199">
        <v>25600.0</v>
      </c>
      <c r="D18" s="198" t="s">
        <v>159</v>
      </c>
      <c r="E18" s="201" t="s">
        <v>173</v>
      </c>
    </row>
    <row r="19">
      <c r="A19" s="197">
        <v>45480.0</v>
      </c>
      <c r="B19" s="198" t="s">
        <v>16585</v>
      </c>
      <c r="C19" s="199">
        <v>278.0</v>
      </c>
      <c r="D19" s="198" t="s">
        <v>164</v>
      </c>
      <c r="E19" s="201" t="s">
        <v>179</v>
      </c>
    </row>
    <row r="20">
      <c r="A20" s="197">
        <v>45480.0</v>
      </c>
      <c r="B20" s="198" t="s">
        <v>16586</v>
      </c>
      <c r="C20" s="199">
        <v>3000.0</v>
      </c>
      <c r="D20" s="198" t="s">
        <v>171</v>
      </c>
      <c r="E20" s="201" t="s">
        <v>179</v>
      </c>
    </row>
    <row r="21">
      <c r="A21" s="197">
        <v>45481.0</v>
      </c>
      <c r="B21" s="198" t="s">
        <v>155</v>
      </c>
      <c r="C21" s="199">
        <v>18175.0</v>
      </c>
      <c r="D21" s="198" t="s">
        <v>155</v>
      </c>
      <c r="E21" s="201" t="s">
        <v>177</v>
      </c>
    </row>
    <row r="22">
      <c r="A22" s="197">
        <v>45481.0</v>
      </c>
      <c r="B22" s="198" t="s">
        <v>157</v>
      </c>
      <c r="C22" s="199">
        <v>12738.0</v>
      </c>
      <c r="D22" s="198" t="s">
        <v>157</v>
      </c>
      <c r="E22" s="201" t="s">
        <v>173</v>
      </c>
    </row>
    <row r="23">
      <c r="A23" s="197">
        <v>45481.0</v>
      </c>
      <c r="B23" s="198" t="s">
        <v>16580</v>
      </c>
      <c r="C23" s="199">
        <v>9600.0</v>
      </c>
      <c r="D23" s="198" t="s">
        <v>147</v>
      </c>
      <c r="E23" s="201" t="s">
        <v>179</v>
      </c>
    </row>
    <row r="24">
      <c r="A24" s="197">
        <v>45481.0</v>
      </c>
      <c r="B24" s="198" t="s">
        <v>16590</v>
      </c>
      <c r="C24" s="199">
        <v>18781.0</v>
      </c>
      <c r="D24" s="198" t="s">
        <v>155</v>
      </c>
      <c r="E24" s="201" t="s">
        <v>173</v>
      </c>
    </row>
    <row r="25">
      <c r="A25" s="197">
        <v>45482.0</v>
      </c>
      <c r="B25" s="198" t="s">
        <v>167</v>
      </c>
      <c r="C25" s="199">
        <v>42500.0</v>
      </c>
      <c r="D25" s="198" t="s">
        <v>167</v>
      </c>
      <c r="E25" s="201" t="s">
        <v>183</v>
      </c>
    </row>
    <row r="26">
      <c r="A26" s="197">
        <v>45482.0</v>
      </c>
      <c r="B26" s="198" t="s">
        <v>167</v>
      </c>
      <c r="C26" s="199">
        <v>21990.0</v>
      </c>
      <c r="D26" s="198" t="s">
        <v>167</v>
      </c>
      <c r="E26" s="201" t="s">
        <v>173</v>
      </c>
    </row>
    <row r="27">
      <c r="A27" s="197">
        <v>45482.0</v>
      </c>
      <c r="B27" s="198" t="s">
        <v>142</v>
      </c>
      <c r="C27" s="199">
        <v>4200.0</v>
      </c>
      <c r="D27" s="198" t="s">
        <v>142</v>
      </c>
      <c r="E27" s="201" t="s">
        <v>185</v>
      </c>
    </row>
    <row r="28">
      <c r="A28" s="197">
        <v>45482.0</v>
      </c>
      <c r="B28" s="198" t="s">
        <v>142</v>
      </c>
      <c r="C28" s="199">
        <v>4700.0</v>
      </c>
      <c r="D28" s="198" t="s">
        <v>142</v>
      </c>
      <c r="E28" s="201" t="s">
        <v>175</v>
      </c>
    </row>
    <row r="29">
      <c r="A29" s="197">
        <v>45483.0</v>
      </c>
      <c r="B29" s="198" t="s">
        <v>169</v>
      </c>
      <c r="C29" s="199">
        <v>1350.0</v>
      </c>
      <c r="D29" s="198" t="s">
        <v>169</v>
      </c>
      <c r="E29" s="201" t="s">
        <v>173</v>
      </c>
    </row>
    <row r="30">
      <c r="A30" s="197">
        <v>45483.0</v>
      </c>
      <c r="B30" s="198" t="s">
        <v>169</v>
      </c>
      <c r="C30" s="199">
        <v>5723.0</v>
      </c>
      <c r="D30" s="198" t="s">
        <v>169</v>
      </c>
      <c r="E30" s="201" t="s">
        <v>173</v>
      </c>
    </row>
    <row r="31">
      <c r="A31" s="197">
        <v>45483.0</v>
      </c>
      <c r="B31" s="198" t="s">
        <v>16591</v>
      </c>
      <c r="C31" s="199">
        <v>3000.0</v>
      </c>
      <c r="D31" s="198" t="s">
        <v>132</v>
      </c>
      <c r="E31" s="201" t="s">
        <v>185</v>
      </c>
    </row>
    <row r="32">
      <c r="A32" s="197">
        <v>45483.0</v>
      </c>
      <c r="B32" s="198" t="s">
        <v>16585</v>
      </c>
      <c r="C32" s="199">
        <v>26.0</v>
      </c>
      <c r="D32" s="198" t="s">
        <v>152</v>
      </c>
      <c r="E32" s="201" t="s">
        <v>179</v>
      </c>
    </row>
    <row r="33">
      <c r="A33" s="197">
        <v>45484.0</v>
      </c>
      <c r="B33" s="198" t="s">
        <v>16589</v>
      </c>
      <c r="C33" s="199">
        <v>7000.0</v>
      </c>
      <c r="D33" s="198" t="s">
        <v>145</v>
      </c>
      <c r="E33" s="201" t="s">
        <v>179</v>
      </c>
    </row>
    <row r="34">
      <c r="A34" s="197">
        <v>45484.0</v>
      </c>
      <c r="B34" s="198" t="s">
        <v>16589</v>
      </c>
      <c r="C34" s="199">
        <v>125341.0</v>
      </c>
      <c r="D34" s="198" t="s">
        <v>145</v>
      </c>
      <c r="E34" s="201" t="s">
        <v>183</v>
      </c>
    </row>
    <row r="35">
      <c r="A35" s="197">
        <v>45484.0</v>
      </c>
      <c r="B35" s="198" t="s">
        <v>16599</v>
      </c>
      <c r="C35" s="199">
        <v>282000.0</v>
      </c>
      <c r="D35" s="198" t="s">
        <v>162</v>
      </c>
      <c r="E35" s="201" t="s">
        <v>183</v>
      </c>
    </row>
    <row r="36">
      <c r="A36" s="197">
        <v>45485.0</v>
      </c>
      <c r="B36" s="198" t="s">
        <v>16579</v>
      </c>
      <c r="C36" s="199">
        <v>8996.0</v>
      </c>
      <c r="D36" s="198" t="s">
        <v>140</v>
      </c>
      <c r="E36" s="201" t="s">
        <v>173</v>
      </c>
    </row>
    <row r="37">
      <c r="A37" s="197">
        <v>45485.0</v>
      </c>
      <c r="B37" s="198" t="s">
        <v>16592</v>
      </c>
      <c r="C37" s="199">
        <v>0.0</v>
      </c>
      <c r="D37" s="198" t="s">
        <v>129</v>
      </c>
      <c r="E37" s="201" t="s">
        <v>179</v>
      </c>
    </row>
    <row r="38">
      <c r="A38" s="197">
        <v>45485.0</v>
      </c>
      <c r="B38" s="198" t="s">
        <v>142</v>
      </c>
      <c r="C38" s="199">
        <v>2000.0</v>
      </c>
      <c r="D38" s="198" t="s">
        <v>142</v>
      </c>
      <c r="E38" s="201" t="s">
        <v>175</v>
      </c>
    </row>
    <row r="39">
      <c r="A39" s="197">
        <v>45485.0</v>
      </c>
      <c r="B39" s="198" t="s">
        <v>142</v>
      </c>
      <c r="C39" s="199">
        <v>5100.0</v>
      </c>
      <c r="D39" s="198" t="s">
        <v>142</v>
      </c>
      <c r="E39" s="201" t="s">
        <v>175</v>
      </c>
    </row>
    <row r="40">
      <c r="A40" s="197">
        <v>45486.0</v>
      </c>
      <c r="B40" s="198" t="s">
        <v>16582</v>
      </c>
      <c r="C40" s="199">
        <v>0.0</v>
      </c>
      <c r="D40" s="198" t="s">
        <v>129</v>
      </c>
      <c r="E40" s="201" t="s">
        <v>177</v>
      </c>
    </row>
    <row r="41">
      <c r="A41" s="197">
        <v>45487.0</v>
      </c>
      <c r="B41" s="198" t="s">
        <v>134</v>
      </c>
      <c r="C41" s="199">
        <v>13556.0</v>
      </c>
      <c r="D41" s="198" t="s">
        <v>134</v>
      </c>
      <c r="E41" s="201" t="s">
        <v>173</v>
      </c>
    </row>
    <row r="42">
      <c r="A42" s="197">
        <v>45488.0</v>
      </c>
      <c r="B42" s="198" t="s">
        <v>11</v>
      </c>
      <c r="C42" s="199">
        <v>22000.0</v>
      </c>
      <c r="D42" s="198" t="s">
        <v>11</v>
      </c>
      <c r="E42" s="201" t="s">
        <v>173</v>
      </c>
    </row>
    <row r="43">
      <c r="A43" s="197">
        <v>45489.0</v>
      </c>
      <c r="B43" s="198" t="s">
        <v>16591</v>
      </c>
      <c r="C43" s="199">
        <v>6500.0</v>
      </c>
      <c r="D43" s="198" t="s">
        <v>132</v>
      </c>
      <c r="E43" s="201" t="s">
        <v>175</v>
      </c>
    </row>
    <row r="44">
      <c r="A44" s="197">
        <v>45490.0</v>
      </c>
      <c r="B44" s="198" t="s">
        <v>16588</v>
      </c>
      <c r="C44" s="199">
        <v>10400.0</v>
      </c>
      <c r="D44" s="198" t="s">
        <v>11</v>
      </c>
      <c r="E44" s="201" t="s">
        <v>173</v>
      </c>
    </row>
    <row r="45">
      <c r="A45" s="197">
        <v>45491.0</v>
      </c>
      <c r="B45" s="198" t="s">
        <v>16583</v>
      </c>
      <c r="C45" s="199">
        <v>0.0</v>
      </c>
      <c r="D45" s="198" t="s">
        <v>129</v>
      </c>
      <c r="E45" s="201" t="s">
        <v>177</v>
      </c>
    </row>
    <row r="46">
      <c r="A46" s="197">
        <v>45492.0</v>
      </c>
      <c r="B46" s="198" t="s">
        <v>11</v>
      </c>
      <c r="C46" s="199">
        <v>9900.0</v>
      </c>
      <c r="D46" s="198" t="s">
        <v>11</v>
      </c>
      <c r="E46" s="201" t="s">
        <v>173</v>
      </c>
    </row>
    <row r="47">
      <c r="A47" s="197">
        <v>45493.0</v>
      </c>
      <c r="B47" s="198" t="s">
        <v>137</v>
      </c>
      <c r="C47" s="199">
        <v>2000.0</v>
      </c>
      <c r="D47" s="198" t="s">
        <v>137</v>
      </c>
      <c r="E47" s="201" t="s">
        <v>179</v>
      </c>
    </row>
    <row r="48">
      <c r="A48" s="197">
        <v>45494.0</v>
      </c>
      <c r="B48" s="198" t="s">
        <v>142</v>
      </c>
      <c r="C48" s="199">
        <v>10960.0</v>
      </c>
      <c r="D48" s="198" t="s">
        <v>142</v>
      </c>
      <c r="E48" s="201" t="s">
        <v>183</v>
      </c>
    </row>
    <row r="49">
      <c r="A49" s="197">
        <v>45495.0</v>
      </c>
      <c r="B49" s="198" t="s">
        <v>155</v>
      </c>
      <c r="C49" s="199">
        <v>11405.0</v>
      </c>
      <c r="D49" s="198" t="s">
        <v>155</v>
      </c>
      <c r="E49" s="201" t="s">
        <v>173</v>
      </c>
    </row>
    <row r="50">
      <c r="A50" s="197">
        <v>45496.0</v>
      </c>
      <c r="B50" s="198" t="s">
        <v>16600</v>
      </c>
      <c r="C50" s="199">
        <v>50600.0</v>
      </c>
      <c r="D50" s="198" t="s">
        <v>159</v>
      </c>
      <c r="E50" s="201" t="s">
        <v>173</v>
      </c>
    </row>
    <row r="51">
      <c r="A51" s="197">
        <v>45497.0</v>
      </c>
      <c r="B51" s="198" t="s">
        <v>16585</v>
      </c>
      <c r="C51" s="199">
        <v>26.5</v>
      </c>
      <c r="D51" s="198" t="s">
        <v>142</v>
      </c>
      <c r="E51" s="201" t="s">
        <v>179</v>
      </c>
    </row>
    <row r="52">
      <c r="A52" s="197">
        <v>45498.0</v>
      </c>
      <c r="B52" s="198" t="s">
        <v>16585</v>
      </c>
      <c r="C52" s="199">
        <v>1500.0</v>
      </c>
      <c r="D52" s="198" t="s">
        <v>164</v>
      </c>
      <c r="E52" s="201" t="s">
        <v>179</v>
      </c>
    </row>
    <row r="53">
      <c r="A53" s="197">
        <v>45499.0</v>
      </c>
      <c r="B53" s="198" t="s">
        <v>16594</v>
      </c>
      <c r="C53" s="199">
        <v>0.0</v>
      </c>
      <c r="D53" s="198" t="s">
        <v>129</v>
      </c>
      <c r="E53" s="201" t="s">
        <v>177</v>
      </c>
    </row>
    <row r="54">
      <c r="A54" s="197">
        <v>45500.0</v>
      </c>
      <c r="B54" s="198" t="s">
        <v>16589</v>
      </c>
      <c r="C54" s="199">
        <v>3800.0</v>
      </c>
      <c r="D54" s="198" t="s">
        <v>145</v>
      </c>
      <c r="E54" s="201" t="s">
        <v>179</v>
      </c>
    </row>
    <row r="55">
      <c r="A55" s="197">
        <v>45501.0</v>
      </c>
      <c r="B55" s="198" t="s">
        <v>157</v>
      </c>
      <c r="C55" s="199">
        <v>1300.0</v>
      </c>
      <c r="D55" s="198" t="s">
        <v>157</v>
      </c>
      <c r="E55" s="201" t="s">
        <v>179</v>
      </c>
    </row>
    <row r="56">
      <c r="A56" s="197">
        <v>45502.0</v>
      </c>
      <c r="B56" s="198" t="s">
        <v>16581</v>
      </c>
      <c r="C56" s="199">
        <v>4461.0</v>
      </c>
      <c r="D56" s="198" t="s">
        <v>129</v>
      </c>
      <c r="E56" s="201" t="s">
        <v>173</v>
      </c>
    </row>
    <row r="57">
      <c r="A57" s="197">
        <v>45503.0</v>
      </c>
      <c r="B57" s="198" t="s">
        <v>16585</v>
      </c>
      <c r="C57" s="199">
        <v>26.0</v>
      </c>
      <c r="D57" s="198" t="s">
        <v>152</v>
      </c>
      <c r="E57" s="201" t="s">
        <v>179</v>
      </c>
    </row>
    <row r="58">
      <c r="A58" s="197">
        <v>45504.0</v>
      </c>
      <c r="B58" s="198" t="s">
        <v>11</v>
      </c>
      <c r="C58" s="199">
        <v>3.0</v>
      </c>
      <c r="D58" s="198" t="s">
        <v>11</v>
      </c>
      <c r="E58" s="201" t="s">
        <v>173</v>
      </c>
    </row>
  </sheetData>
  <dataValidations>
    <dataValidation type="custom" allowBlank="1" showDropDown="1" sqref="A2:A58">
      <formula1>OR(NOT(ISERROR(DATEVALUE(A2))), AND(ISNUMBER(A2), LEFT(CELL("format", A2))="D"))</formula1>
    </dataValidation>
    <dataValidation type="custom" allowBlank="1" showDropDown="1" sqref="C2:C58">
      <formula1>AND(ISNUMBER(C2),(NOT(OR(NOT(ISERROR(DATEVALUE(C2))), AND(ISNUMBER(C2), LEFT(CELL("format", C2))="D")))))</formula1>
    </dataValidation>
    <dataValidation allowBlank="1" showDropDown="1" sqref="B2:B58 D2:E58"/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75"/>
    <col customWidth="1" min="3" max="3" width="13.13"/>
    <col customWidth="1" min="4" max="4" width="19.38"/>
    <col customWidth="1" min="5" max="5" width="21.38"/>
  </cols>
  <sheetData>
    <row r="1">
      <c r="A1" s="196" t="s">
        <v>0</v>
      </c>
      <c r="B1" s="196" t="s">
        <v>1</v>
      </c>
      <c r="C1" s="196" t="s">
        <v>2</v>
      </c>
      <c r="D1" s="196" t="s">
        <v>3</v>
      </c>
      <c r="E1" s="196" t="s">
        <v>4</v>
      </c>
    </row>
    <row r="2">
      <c r="A2" s="197">
        <v>45505.0</v>
      </c>
      <c r="B2" s="198" t="s">
        <v>16580</v>
      </c>
      <c r="C2" s="199">
        <v>1602.0</v>
      </c>
      <c r="D2" s="198" t="s">
        <v>147</v>
      </c>
      <c r="E2" s="201" t="s">
        <v>173</v>
      </c>
    </row>
    <row r="3">
      <c r="A3" s="197">
        <v>45505.0</v>
      </c>
      <c r="B3" s="198" t="s">
        <v>11</v>
      </c>
      <c r="C3" s="199">
        <v>22000.0</v>
      </c>
      <c r="D3" s="198" t="s">
        <v>11</v>
      </c>
      <c r="E3" s="201" t="s">
        <v>173</v>
      </c>
    </row>
    <row r="4">
      <c r="A4" s="197">
        <v>45506.0</v>
      </c>
      <c r="B4" s="198" t="s">
        <v>16583</v>
      </c>
      <c r="C4" s="199">
        <v>0.0</v>
      </c>
      <c r="D4" s="198" t="s">
        <v>129</v>
      </c>
      <c r="E4" s="201" t="s">
        <v>177</v>
      </c>
    </row>
    <row r="5">
      <c r="A5" s="197">
        <v>45506.0</v>
      </c>
      <c r="B5" s="198" t="s">
        <v>11</v>
      </c>
      <c r="C5" s="199">
        <v>9900.0</v>
      </c>
      <c r="D5" s="198" t="s">
        <v>11</v>
      </c>
      <c r="E5" s="201" t="s">
        <v>173</v>
      </c>
    </row>
    <row r="6">
      <c r="A6" s="197">
        <v>45506.0</v>
      </c>
      <c r="B6" s="198" t="s">
        <v>137</v>
      </c>
      <c r="C6" s="199">
        <v>2000.0</v>
      </c>
      <c r="D6" s="198" t="s">
        <v>137</v>
      </c>
      <c r="E6" s="201" t="s">
        <v>179</v>
      </c>
    </row>
    <row r="7">
      <c r="A7" s="197">
        <v>45506.0</v>
      </c>
      <c r="B7" s="198" t="s">
        <v>155</v>
      </c>
      <c r="C7" s="199">
        <v>11405.0</v>
      </c>
      <c r="D7" s="198" t="s">
        <v>155</v>
      </c>
      <c r="E7" s="201" t="s">
        <v>173</v>
      </c>
    </row>
    <row r="8">
      <c r="A8" s="197">
        <v>45507.0</v>
      </c>
      <c r="B8" s="198" t="s">
        <v>16594</v>
      </c>
      <c r="C8" s="199">
        <v>0.0</v>
      </c>
      <c r="D8" s="198" t="s">
        <v>129</v>
      </c>
      <c r="E8" s="201" t="s">
        <v>177</v>
      </c>
    </row>
    <row r="9">
      <c r="A9" s="197">
        <v>45507.0</v>
      </c>
      <c r="B9" s="198" t="s">
        <v>16581</v>
      </c>
      <c r="C9" s="199">
        <v>4461.0</v>
      </c>
      <c r="D9" s="198" t="s">
        <v>129</v>
      </c>
      <c r="E9" s="201" t="s">
        <v>173</v>
      </c>
    </row>
    <row r="10">
      <c r="A10" s="197">
        <v>45507.0</v>
      </c>
      <c r="B10" s="198" t="s">
        <v>16600</v>
      </c>
      <c r="C10" s="199">
        <v>50600.0</v>
      </c>
      <c r="D10" s="198" t="s">
        <v>159</v>
      </c>
      <c r="E10" s="201" t="s">
        <v>173</v>
      </c>
    </row>
    <row r="11">
      <c r="A11" s="197">
        <v>45507.0</v>
      </c>
      <c r="B11" s="198" t="s">
        <v>16585</v>
      </c>
      <c r="C11" s="199">
        <v>1500.0</v>
      </c>
      <c r="D11" s="198" t="s">
        <v>164</v>
      </c>
      <c r="E11" s="201" t="s">
        <v>179</v>
      </c>
    </row>
    <row r="12">
      <c r="A12" s="197">
        <v>45508.0</v>
      </c>
      <c r="B12" s="198" t="s">
        <v>16578</v>
      </c>
      <c r="C12" s="199">
        <v>2361.0</v>
      </c>
      <c r="D12" s="198" t="s">
        <v>147</v>
      </c>
      <c r="E12" s="201" t="s">
        <v>173</v>
      </c>
    </row>
    <row r="13">
      <c r="A13" s="197">
        <v>45508.0</v>
      </c>
      <c r="B13" s="198" t="s">
        <v>157</v>
      </c>
      <c r="C13" s="199">
        <v>1300.0</v>
      </c>
      <c r="D13" s="198" t="s">
        <v>157</v>
      </c>
      <c r="E13" s="201" t="s">
        <v>179</v>
      </c>
    </row>
    <row r="14">
      <c r="A14" s="197">
        <v>45509.0</v>
      </c>
      <c r="B14" s="198" t="s">
        <v>16578</v>
      </c>
      <c r="C14" s="199">
        <v>8115.0</v>
      </c>
      <c r="D14" s="198" t="s">
        <v>147</v>
      </c>
      <c r="E14" s="201" t="s">
        <v>173</v>
      </c>
    </row>
    <row r="15">
      <c r="A15" s="197">
        <v>45509.0</v>
      </c>
      <c r="B15" s="198" t="s">
        <v>11</v>
      </c>
      <c r="C15" s="199">
        <v>3.0</v>
      </c>
      <c r="D15" s="198" t="s">
        <v>11</v>
      </c>
      <c r="E15" s="201" t="s">
        <v>173</v>
      </c>
    </row>
    <row r="16">
      <c r="A16" s="197">
        <v>45509.0</v>
      </c>
      <c r="B16" s="198" t="s">
        <v>16580</v>
      </c>
      <c r="C16" s="199">
        <v>2744.5</v>
      </c>
      <c r="D16" s="198" t="s">
        <v>147</v>
      </c>
      <c r="E16" s="201" t="s">
        <v>177</v>
      </c>
    </row>
    <row r="17">
      <c r="A17" s="197">
        <v>45509.0</v>
      </c>
      <c r="B17" s="198" t="s">
        <v>16601</v>
      </c>
      <c r="C17" s="199">
        <v>23370.0</v>
      </c>
      <c r="D17" s="198" t="s">
        <v>132</v>
      </c>
      <c r="E17" s="201" t="s">
        <v>177</v>
      </c>
    </row>
    <row r="18">
      <c r="A18" s="197">
        <v>45509.0</v>
      </c>
      <c r="B18" s="198" t="s">
        <v>155</v>
      </c>
      <c r="C18" s="199">
        <v>18175.0</v>
      </c>
      <c r="D18" s="198" t="s">
        <v>155</v>
      </c>
      <c r="E18" s="201" t="s">
        <v>177</v>
      </c>
    </row>
    <row r="19">
      <c r="A19" s="197">
        <v>45509.0</v>
      </c>
      <c r="B19" s="198" t="s">
        <v>16585</v>
      </c>
      <c r="C19" s="199">
        <v>26.0</v>
      </c>
      <c r="D19" s="198" t="s">
        <v>152</v>
      </c>
      <c r="E19" s="201" t="s">
        <v>179</v>
      </c>
    </row>
    <row r="20">
      <c r="A20" s="197">
        <v>45510.0</v>
      </c>
      <c r="B20" s="198" t="s">
        <v>157</v>
      </c>
      <c r="C20" s="199">
        <v>12738.0</v>
      </c>
      <c r="D20" s="198" t="s">
        <v>157</v>
      </c>
      <c r="E20" s="201" t="s">
        <v>173</v>
      </c>
    </row>
    <row r="21">
      <c r="A21" s="197">
        <v>45510.0</v>
      </c>
      <c r="B21" s="198" t="s">
        <v>167</v>
      </c>
      <c r="C21" s="199">
        <v>42500.0</v>
      </c>
      <c r="D21" s="198" t="s">
        <v>167</v>
      </c>
      <c r="E21" s="201" t="s">
        <v>183</v>
      </c>
    </row>
    <row r="22">
      <c r="A22" s="197">
        <v>45510.0</v>
      </c>
      <c r="B22" s="198" t="s">
        <v>16579</v>
      </c>
      <c r="C22" s="199">
        <v>22250.0</v>
      </c>
      <c r="D22" s="198" t="s">
        <v>140</v>
      </c>
      <c r="E22" s="201" t="s">
        <v>175</v>
      </c>
    </row>
    <row r="23">
      <c r="A23" s="197">
        <v>45510.0</v>
      </c>
      <c r="B23" s="198" t="s">
        <v>16585</v>
      </c>
      <c r="C23" s="199">
        <v>39.0</v>
      </c>
      <c r="D23" s="198" t="s">
        <v>164</v>
      </c>
      <c r="E23" s="201" t="s">
        <v>179</v>
      </c>
    </row>
    <row r="24">
      <c r="A24" s="197">
        <v>45511.0</v>
      </c>
      <c r="B24" s="198" t="s">
        <v>167</v>
      </c>
      <c r="C24" s="199">
        <v>21990.0</v>
      </c>
      <c r="D24" s="198" t="s">
        <v>167</v>
      </c>
      <c r="E24" s="201" t="s">
        <v>173</v>
      </c>
    </row>
    <row r="25">
      <c r="A25" s="197">
        <v>45511.0</v>
      </c>
      <c r="B25" s="198" t="s">
        <v>169</v>
      </c>
      <c r="C25" s="199">
        <v>1350.0</v>
      </c>
      <c r="D25" s="198" t="s">
        <v>169</v>
      </c>
      <c r="E25" s="201" t="s">
        <v>173</v>
      </c>
    </row>
    <row r="26">
      <c r="A26" s="197">
        <v>45511.0</v>
      </c>
      <c r="B26" s="198" t="s">
        <v>169</v>
      </c>
      <c r="C26" s="199">
        <v>5723.0</v>
      </c>
      <c r="D26" s="198" t="s">
        <v>169</v>
      </c>
      <c r="E26" s="201" t="s">
        <v>173</v>
      </c>
    </row>
    <row r="27">
      <c r="A27" s="197">
        <v>45511.0</v>
      </c>
      <c r="B27" s="198" t="s">
        <v>16589</v>
      </c>
      <c r="C27" s="199">
        <v>7000.0</v>
      </c>
      <c r="D27" s="198" t="s">
        <v>145</v>
      </c>
      <c r="E27" s="201" t="s">
        <v>179</v>
      </c>
    </row>
    <row r="28">
      <c r="A28" s="197">
        <v>45511.0</v>
      </c>
      <c r="B28" s="198" t="s">
        <v>16589</v>
      </c>
      <c r="C28" s="199">
        <v>125341.0</v>
      </c>
      <c r="D28" s="198" t="s">
        <v>145</v>
      </c>
      <c r="E28" s="201" t="s">
        <v>183</v>
      </c>
    </row>
    <row r="29">
      <c r="A29" s="197">
        <v>45511.0</v>
      </c>
      <c r="B29" s="198" t="s">
        <v>159</v>
      </c>
      <c r="C29" s="199">
        <v>25600.0</v>
      </c>
      <c r="D29" s="198" t="s">
        <v>159</v>
      </c>
      <c r="E29" s="201" t="s">
        <v>173</v>
      </c>
    </row>
    <row r="30">
      <c r="A30" s="197">
        <v>45512.0</v>
      </c>
      <c r="B30" s="198" t="s">
        <v>16579</v>
      </c>
      <c r="C30" s="199">
        <v>8996.0</v>
      </c>
      <c r="D30" s="198" t="s">
        <v>140</v>
      </c>
      <c r="E30" s="201" t="s">
        <v>173</v>
      </c>
    </row>
    <row r="31">
      <c r="A31" s="197">
        <v>45512.0</v>
      </c>
      <c r="B31" s="198" t="s">
        <v>16592</v>
      </c>
      <c r="C31" s="199">
        <v>0.0</v>
      </c>
      <c r="D31" s="198" t="s">
        <v>129</v>
      </c>
      <c r="E31" s="201" t="s">
        <v>179</v>
      </c>
    </row>
    <row r="32">
      <c r="A32" s="197">
        <v>45512.0</v>
      </c>
      <c r="B32" s="198" t="s">
        <v>134</v>
      </c>
      <c r="C32" s="199">
        <v>13556.0</v>
      </c>
      <c r="D32" s="198" t="s">
        <v>134</v>
      </c>
      <c r="E32" s="201" t="s">
        <v>173</v>
      </c>
    </row>
    <row r="33">
      <c r="A33" s="197">
        <v>45512.0</v>
      </c>
      <c r="B33" s="198" t="s">
        <v>16580</v>
      </c>
      <c r="C33" s="199">
        <v>9600.0</v>
      </c>
      <c r="D33" s="198" t="s">
        <v>147</v>
      </c>
      <c r="E33" s="201" t="s">
        <v>179</v>
      </c>
    </row>
    <row r="34">
      <c r="A34" s="197">
        <v>45512.0</v>
      </c>
      <c r="B34" s="198" t="s">
        <v>16590</v>
      </c>
      <c r="C34" s="199">
        <v>18781.0</v>
      </c>
      <c r="D34" s="198" t="s">
        <v>155</v>
      </c>
      <c r="E34" s="201" t="s">
        <v>173</v>
      </c>
    </row>
    <row r="35">
      <c r="A35" s="197">
        <v>45513.0</v>
      </c>
      <c r="B35" s="198" t="s">
        <v>16591</v>
      </c>
      <c r="C35" s="199">
        <v>6500.0</v>
      </c>
      <c r="D35" s="198" t="s">
        <v>132</v>
      </c>
      <c r="E35" s="201" t="s">
        <v>175</v>
      </c>
    </row>
    <row r="36">
      <c r="A36" s="197">
        <v>45513.0</v>
      </c>
      <c r="B36" s="198" t="s">
        <v>16588</v>
      </c>
      <c r="C36" s="199">
        <v>10400.0</v>
      </c>
      <c r="D36" s="198" t="s">
        <v>11</v>
      </c>
      <c r="E36" s="201" t="s">
        <v>173</v>
      </c>
    </row>
    <row r="37">
      <c r="A37" s="197">
        <v>45514.0</v>
      </c>
      <c r="B37" s="198" t="s">
        <v>142</v>
      </c>
      <c r="C37" s="199">
        <v>10960.0</v>
      </c>
      <c r="D37" s="198" t="s">
        <v>142</v>
      </c>
      <c r="E37" s="201" t="s">
        <v>183</v>
      </c>
    </row>
    <row r="38">
      <c r="A38" s="197">
        <v>45515.0</v>
      </c>
      <c r="B38" s="198" t="s">
        <v>16585</v>
      </c>
      <c r="C38" s="199">
        <v>1500.0</v>
      </c>
      <c r="D38" s="198" t="s">
        <v>164</v>
      </c>
      <c r="E38" s="201" t="s">
        <v>179</v>
      </c>
    </row>
    <row r="39">
      <c r="A39" s="197">
        <v>45515.0</v>
      </c>
      <c r="B39" s="198" t="s">
        <v>16585</v>
      </c>
      <c r="C39" s="199">
        <v>26.5</v>
      </c>
      <c r="D39" s="198" t="s">
        <v>142</v>
      </c>
      <c r="E39" s="201" t="s">
        <v>179</v>
      </c>
    </row>
    <row r="40">
      <c r="A40" s="197">
        <v>45516.0</v>
      </c>
      <c r="B40" s="198" t="s">
        <v>16589</v>
      </c>
      <c r="C40" s="199">
        <v>3800.0</v>
      </c>
      <c r="D40" s="198" t="s">
        <v>145</v>
      </c>
      <c r="E40" s="201" t="s">
        <v>179</v>
      </c>
    </row>
    <row r="41">
      <c r="A41" s="197">
        <v>45516.0</v>
      </c>
      <c r="B41" s="198" t="s">
        <v>16585</v>
      </c>
      <c r="C41" s="199">
        <v>177.75</v>
      </c>
      <c r="D41" s="198" t="s">
        <v>142</v>
      </c>
      <c r="E41" s="201" t="s">
        <v>179</v>
      </c>
    </row>
    <row r="42">
      <c r="A42" s="197">
        <v>45517.0</v>
      </c>
      <c r="B42" s="198" t="s">
        <v>16598</v>
      </c>
      <c r="C42" s="199">
        <v>10000.0</v>
      </c>
      <c r="D42" s="198" t="s">
        <v>132</v>
      </c>
      <c r="E42" s="201" t="s">
        <v>175</v>
      </c>
    </row>
    <row r="43">
      <c r="A43" s="197">
        <v>45517.0</v>
      </c>
      <c r="B43" s="198" t="s">
        <v>142</v>
      </c>
      <c r="C43" s="199">
        <v>4110.0</v>
      </c>
      <c r="D43" s="198" t="s">
        <v>142</v>
      </c>
      <c r="E43" s="201" t="s">
        <v>175</v>
      </c>
    </row>
    <row r="44">
      <c r="A44" s="197">
        <v>45518.0</v>
      </c>
      <c r="B44" s="198" t="s">
        <v>16579</v>
      </c>
      <c r="C44" s="199">
        <v>9500.0</v>
      </c>
      <c r="D44" s="198" t="s">
        <v>140</v>
      </c>
      <c r="E44" s="201" t="s">
        <v>179</v>
      </c>
    </row>
    <row r="45">
      <c r="A45" s="197">
        <v>45518.0</v>
      </c>
      <c r="B45" s="198" t="s">
        <v>16585</v>
      </c>
      <c r="C45" s="199">
        <v>278.0</v>
      </c>
      <c r="D45" s="198" t="s">
        <v>164</v>
      </c>
      <c r="E45" s="201" t="s">
        <v>179</v>
      </c>
    </row>
    <row r="46">
      <c r="A46" s="197">
        <v>45519.0</v>
      </c>
      <c r="B46" s="198" t="s">
        <v>16586</v>
      </c>
      <c r="C46" s="199">
        <v>3000.0</v>
      </c>
      <c r="D46" s="198" t="s">
        <v>171</v>
      </c>
      <c r="E46" s="201" t="s">
        <v>179</v>
      </c>
    </row>
    <row r="47">
      <c r="A47" s="197">
        <v>45519.0</v>
      </c>
      <c r="B47" s="198" t="s">
        <v>142</v>
      </c>
      <c r="C47" s="199">
        <v>4200.0</v>
      </c>
      <c r="D47" s="198" t="s">
        <v>142</v>
      </c>
      <c r="E47" s="201" t="s">
        <v>185</v>
      </c>
    </row>
    <row r="48">
      <c r="A48" s="197">
        <v>45520.0</v>
      </c>
      <c r="B48" s="198" t="s">
        <v>16582</v>
      </c>
      <c r="C48" s="199">
        <v>0.0</v>
      </c>
      <c r="D48" s="198" t="s">
        <v>129</v>
      </c>
      <c r="E48" s="201" t="s">
        <v>177</v>
      </c>
    </row>
    <row r="49">
      <c r="A49" s="197">
        <v>45521.0</v>
      </c>
      <c r="B49" s="198" t="s">
        <v>16580</v>
      </c>
      <c r="C49" s="199">
        <v>12526.0</v>
      </c>
      <c r="D49" s="198" t="s">
        <v>147</v>
      </c>
      <c r="E49" s="201" t="s">
        <v>173</v>
      </c>
    </row>
    <row r="50">
      <c r="A50" s="197">
        <v>45523.0</v>
      </c>
      <c r="B50" s="198" t="s">
        <v>16591</v>
      </c>
      <c r="C50" s="199">
        <v>3000.0</v>
      </c>
      <c r="D50" s="198" t="s">
        <v>132</v>
      </c>
      <c r="E50" s="201" t="s">
        <v>185</v>
      </c>
    </row>
    <row r="51">
      <c r="A51" s="197">
        <v>45524.0</v>
      </c>
      <c r="B51" s="198" t="s">
        <v>169</v>
      </c>
      <c r="C51" s="199">
        <v>817.5</v>
      </c>
      <c r="D51" s="198" t="s">
        <v>169</v>
      </c>
      <c r="E51" s="201" t="s">
        <v>173</v>
      </c>
    </row>
    <row r="52">
      <c r="A52" s="197">
        <v>45525.0</v>
      </c>
      <c r="B52" s="198" t="s">
        <v>16593</v>
      </c>
      <c r="C52" s="199">
        <v>0.0</v>
      </c>
      <c r="D52" s="198" t="s">
        <v>129</v>
      </c>
      <c r="E52" s="201" t="s">
        <v>177</v>
      </c>
    </row>
    <row r="53">
      <c r="A53" s="197">
        <v>45526.0</v>
      </c>
      <c r="B53" s="198" t="s">
        <v>169</v>
      </c>
      <c r="C53" s="199">
        <v>4233.0</v>
      </c>
      <c r="D53" s="198" t="s">
        <v>169</v>
      </c>
      <c r="E53" s="201" t="s">
        <v>173</v>
      </c>
    </row>
    <row r="54">
      <c r="A54" s="197">
        <v>45529.0</v>
      </c>
      <c r="B54" s="198" t="s">
        <v>142</v>
      </c>
      <c r="C54" s="199">
        <v>2000.0</v>
      </c>
      <c r="D54" s="198" t="s">
        <v>142</v>
      </c>
      <c r="E54" s="201" t="s">
        <v>175</v>
      </c>
    </row>
    <row r="55">
      <c r="A55" s="197">
        <v>45530.0</v>
      </c>
      <c r="B55" s="198" t="s">
        <v>16585</v>
      </c>
      <c r="C55" s="199">
        <v>26.0</v>
      </c>
      <c r="D55" s="198" t="s">
        <v>152</v>
      </c>
      <c r="E55" s="201" t="s">
        <v>179</v>
      </c>
    </row>
    <row r="56">
      <c r="A56" s="197">
        <v>45532.0</v>
      </c>
      <c r="B56" s="198" t="s">
        <v>142</v>
      </c>
      <c r="C56" s="199">
        <v>4700.0</v>
      </c>
      <c r="D56" s="198" t="s">
        <v>142</v>
      </c>
      <c r="E56" s="201" t="s">
        <v>175</v>
      </c>
    </row>
    <row r="57">
      <c r="A57" s="197">
        <v>45534.0</v>
      </c>
      <c r="B57" s="198" t="s">
        <v>142</v>
      </c>
      <c r="C57" s="199">
        <v>5100.0</v>
      </c>
      <c r="D57" s="198" t="s">
        <v>142</v>
      </c>
      <c r="E57" s="201" t="s">
        <v>175</v>
      </c>
    </row>
    <row r="58">
      <c r="A58" s="197">
        <v>45535.0</v>
      </c>
      <c r="B58" s="198" t="s">
        <v>16599</v>
      </c>
      <c r="C58" s="199">
        <v>282000.0</v>
      </c>
      <c r="D58" s="198" t="s">
        <v>162</v>
      </c>
      <c r="E58" s="201" t="s">
        <v>183</v>
      </c>
    </row>
  </sheetData>
  <dataValidations>
    <dataValidation type="custom" allowBlank="1" showDropDown="1" sqref="A2:A58">
      <formula1>OR(NOT(ISERROR(DATEVALUE(A2))), AND(ISNUMBER(A2), LEFT(CELL("format", A2))="D"))</formula1>
    </dataValidation>
    <dataValidation type="custom" allowBlank="1" showDropDown="1" sqref="C2:C58">
      <formula1>AND(ISNUMBER(C2),(NOT(OR(NOT(ISERROR(DATEVALUE(C2))), AND(ISNUMBER(C2), LEFT(CELL("format", C2))="D")))))</formula1>
    </dataValidation>
    <dataValidation allowBlank="1" showDropDown="1" sqref="B2:B58 D2:E58"/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75"/>
    <col customWidth="1" min="3" max="3" width="13.13"/>
    <col customWidth="1" min="4" max="4" width="19.38"/>
    <col customWidth="1" min="5" max="5" width="21.38"/>
  </cols>
  <sheetData>
    <row r="1">
      <c r="A1" s="196" t="s">
        <v>0</v>
      </c>
      <c r="B1" s="196" t="s">
        <v>1</v>
      </c>
      <c r="C1" s="196" t="s">
        <v>2</v>
      </c>
      <c r="D1" s="196" t="s">
        <v>3</v>
      </c>
      <c r="E1" s="196" t="s">
        <v>4</v>
      </c>
    </row>
    <row r="2">
      <c r="A2" s="197">
        <v>45536.0</v>
      </c>
      <c r="B2" s="198" t="s">
        <v>16580</v>
      </c>
      <c r="C2" s="199">
        <v>1601.0</v>
      </c>
      <c r="D2" s="200" t="s">
        <v>147</v>
      </c>
      <c r="E2" s="201" t="s">
        <v>173</v>
      </c>
    </row>
    <row r="3">
      <c r="A3" s="197">
        <v>45536.0</v>
      </c>
      <c r="B3" s="198" t="s">
        <v>134</v>
      </c>
      <c r="C3" s="199">
        <v>13556.66</v>
      </c>
      <c r="D3" s="200" t="s">
        <v>134</v>
      </c>
      <c r="E3" s="201" t="s">
        <v>173</v>
      </c>
    </row>
    <row r="4">
      <c r="A4" s="197">
        <v>45536.0</v>
      </c>
      <c r="B4" s="198" t="s">
        <v>16578</v>
      </c>
      <c r="C4" s="199">
        <v>8115.0</v>
      </c>
      <c r="D4" s="200" t="s">
        <v>147</v>
      </c>
      <c r="E4" s="201" t="s">
        <v>173</v>
      </c>
    </row>
    <row r="5">
      <c r="A5" s="197">
        <v>45536.0</v>
      </c>
      <c r="B5" s="198" t="s">
        <v>16578</v>
      </c>
      <c r="C5" s="199">
        <v>2361.0</v>
      </c>
      <c r="D5" s="200" t="s">
        <v>147</v>
      </c>
      <c r="E5" s="201" t="s">
        <v>173</v>
      </c>
    </row>
    <row r="6">
      <c r="A6" s="197">
        <v>45536.0</v>
      </c>
      <c r="B6" s="198" t="s">
        <v>134</v>
      </c>
      <c r="C6" s="199">
        <v>12600.0</v>
      </c>
      <c r="D6" s="200" t="s">
        <v>134</v>
      </c>
      <c r="E6" s="201" t="s">
        <v>173</v>
      </c>
    </row>
    <row r="7">
      <c r="A7" s="197">
        <v>45536.0</v>
      </c>
      <c r="B7" s="198" t="s">
        <v>134</v>
      </c>
      <c r="C7" s="199">
        <v>14533.0</v>
      </c>
      <c r="D7" s="200" t="s">
        <v>11</v>
      </c>
      <c r="E7" s="201" t="s">
        <v>173</v>
      </c>
    </row>
    <row r="8">
      <c r="A8" s="197">
        <v>45536.0</v>
      </c>
      <c r="B8" s="198" t="s">
        <v>11</v>
      </c>
      <c r="C8" s="199">
        <v>20000.0</v>
      </c>
      <c r="D8" s="200" t="s">
        <v>11</v>
      </c>
      <c r="E8" s="201" t="s">
        <v>173</v>
      </c>
    </row>
    <row r="9">
      <c r="A9" s="197">
        <v>45536.0</v>
      </c>
      <c r="B9" s="198" t="s">
        <v>16580</v>
      </c>
      <c r="C9" s="199">
        <v>2754.5</v>
      </c>
      <c r="D9" s="200" t="s">
        <v>147</v>
      </c>
      <c r="E9" s="201" t="s">
        <v>177</v>
      </c>
    </row>
    <row r="10">
      <c r="A10" s="197">
        <v>45536.0</v>
      </c>
      <c r="B10" s="198" t="s">
        <v>132</v>
      </c>
      <c r="C10" s="199">
        <v>28831.0</v>
      </c>
      <c r="D10" s="200" t="s">
        <v>132</v>
      </c>
      <c r="E10" s="201" t="s">
        <v>177</v>
      </c>
    </row>
    <row r="11">
      <c r="A11" s="197">
        <v>45536.0</v>
      </c>
      <c r="B11" s="198" t="s">
        <v>155</v>
      </c>
      <c r="C11" s="199">
        <v>18175.0</v>
      </c>
      <c r="D11" s="200" t="s">
        <v>155</v>
      </c>
      <c r="E11" s="201" t="s">
        <v>177</v>
      </c>
    </row>
    <row r="12">
      <c r="A12" s="197">
        <v>45536.0</v>
      </c>
      <c r="B12" s="198" t="s">
        <v>157</v>
      </c>
      <c r="C12" s="199">
        <v>14437.0</v>
      </c>
      <c r="D12" s="200" t="s">
        <v>157</v>
      </c>
      <c r="E12" s="201" t="s">
        <v>177</v>
      </c>
    </row>
    <row r="13">
      <c r="A13" s="197">
        <v>45536.0</v>
      </c>
      <c r="B13" s="198" t="s">
        <v>16585</v>
      </c>
      <c r="C13" s="199">
        <v>23000.0</v>
      </c>
      <c r="D13" s="200" t="s">
        <v>164</v>
      </c>
      <c r="E13" s="201" t="s">
        <v>173</v>
      </c>
    </row>
    <row r="14">
      <c r="A14" s="197">
        <v>45536.0</v>
      </c>
      <c r="B14" s="198" t="s">
        <v>167</v>
      </c>
      <c r="C14" s="199">
        <v>21990.0</v>
      </c>
      <c r="D14" s="200" t="s">
        <v>167</v>
      </c>
      <c r="E14" s="201" t="s">
        <v>173</v>
      </c>
    </row>
    <row r="15">
      <c r="A15" s="197">
        <v>45536.0</v>
      </c>
      <c r="B15" s="198" t="s">
        <v>16588</v>
      </c>
      <c r="C15" s="199">
        <v>3878.0</v>
      </c>
      <c r="D15" s="200" t="s">
        <v>11</v>
      </c>
      <c r="E15" s="201" t="s">
        <v>173</v>
      </c>
    </row>
    <row r="16">
      <c r="A16" s="197">
        <v>45536.0</v>
      </c>
      <c r="B16" s="198" t="s">
        <v>169</v>
      </c>
      <c r="C16" s="199">
        <v>2566.0</v>
      </c>
      <c r="D16" s="200" t="s">
        <v>169</v>
      </c>
      <c r="E16" s="201" t="s">
        <v>173</v>
      </c>
    </row>
    <row r="17">
      <c r="A17" s="197">
        <v>45536.0</v>
      </c>
      <c r="B17" s="198" t="s">
        <v>16594</v>
      </c>
      <c r="C17" s="199">
        <v>547.5</v>
      </c>
      <c r="D17" s="200" t="s">
        <v>129</v>
      </c>
      <c r="E17" s="201" t="s">
        <v>177</v>
      </c>
    </row>
    <row r="18">
      <c r="A18" s="197">
        <v>45537.0</v>
      </c>
      <c r="B18" s="198" t="s">
        <v>157</v>
      </c>
      <c r="C18" s="199">
        <v>10960.0</v>
      </c>
      <c r="D18" s="200" t="s">
        <v>157</v>
      </c>
      <c r="E18" s="201" t="s">
        <v>173</v>
      </c>
    </row>
    <row r="19">
      <c r="A19" s="197">
        <v>45537.0</v>
      </c>
      <c r="B19" s="198" t="s">
        <v>157</v>
      </c>
      <c r="C19" s="199">
        <v>12000.0</v>
      </c>
      <c r="D19" s="200" t="s">
        <v>157</v>
      </c>
      <c r="E19" s="201" t="s">
        <v>173</v>
      </c>
    </row>
    <row r="20">
      <c r="A20" s="197">
        <v>45537.0</v>
      </c>
      <c r="B20" s="198" t="s">
        <v>16582</v>
      </c>
      <c r="C20" s="199">
        <v>7041.0</v>
      </c>
      <c r="D20" s="200" t="s">
        <v>129</v>
      </c>
      <c r="E20" s="201" t="s">
        <v>177</v>
      </c>
    </row>
    <row r="21">
      <c r="A21" s="197">
        <v>45537.0</v>
      </c>
      <c r="B21" s="198" t="s">
        <v>142</v>
      </c>
      <c r="C21" s="199">
        <v>2900.0</v>
      </c>
      <c r="D21" s="200" t="s">
        <v>142</v>
      </c>
      <c r="E21" s="201" t="s">
        <v>179</v>
      </c>
    </row>
    <row r="22">
      <c r="A22" s="197">
        <v>45537.0</v>
      </c>
      <c r="B22" s="198" t="s">
        <v>142</v>
      </c>
      <c r="C22" s="199">
        <v>112.0</v>
      </c>
      <c r="D22" s="200" t="s">
        <v>142</v>
      </c>
      <c r="E22" s="201" t="s">
        <v>179</v>
      </c>
    </row>
    <row r="23">
      <c r="A23" s="197">
        <v>45537.0</v>
      </c>
      <c r="B23" s="198" t="s">
        <v>16581</v>
      </c>
      <c r="C23" s="199">
        <v>11968.0</v>
      </c>
      <c r="D23" s="200" t="s">
        <v>129</v>
      </c>
      <c r="E23" s="201" t="s">
        <v>173</v>
      </c>
    </row>
    <row r="24">
      <c r="A24" s="197">
        <v>45537.0</v>
      </c>
      <c r="B24" s="198" t="s">
        <v>157</v>
      </c>
      <c r="C24" s="199">
        <v>700.0</v>
      </c>
      <c r="D24" s="200" t="s">
        <v>157</v>
      </c>
      <c r="E24" s="201" t="s">
        <v>175</v>
      </c>
    </row>
    <row r="25">
      <c r="A25" s="197">
        <v>45538.0</v>
      </c>
      <c r="B25" s="198" t="s">
        <v>16590</v>
      </c>
      <c r="C25" s="199">
        <v>9600.0</v>
      </c>
      <c r="D25" s="200" t="s">
        <v>157</v>
      </c>
      <c r="E25" s="201" t="s">
        <v>173</v>
      </c>
    </row>
    <row r="26">
      <c r="A26" s="197">
        <v>45538.0</v>
      </c>
      <c r="B26" s="198" t="s">
        <v>11</v>
      </c>
      <c r="C26" s="199">
        <v>3000.0</v>
      </c>
      <c r="D26" s="200" t="s">
        <v>11</v>
      </c>
      <c r="E26" s="201" t="s">
        <v>173</v>
      </c>
    </row>
    <row r="27">
      <c r="A27" s="197">
        <v>45538.0</v>
      </c>
      <c r="B27" s="198" t="s">
        <v>142</v>
      </c>
      <c r="C27" s="199">
        <v>700.0</v>
      </c>
      <c r="D27" s="200" t="s">
        <v>142</v>
      </c>
      <c r="E27" s="201" t="s">
        <v>177</v>
      </c>
    </row>
    <row r="28">
      <c r="A28" s="197">
        <v>45538.0</v>
      </c>
      <c r="B28" s="198" t="s">
        <v>142</v>
      </c>
      <c r="C28" s="199">
        <v>1500.0</v>
      </c>
      <c r="D28" s="200" t="s">
        <v>142</v>
      </c>
      <c r="E28" s="201" t="s">
        <v>177</v>
      </c>
    </row>
    <row r="29">
      <c r="A29" s="197">
        <v>45538.0</v>
      </c>
      <c r="B29" s="198" t="s">
        <v>157</v>
      </c>
      <c r="C29" s="199">
        <v>5500.0</v>
      </c>
      <c r="D29" s="200" t="s">
        <v>157</v>
      </c>
      <c r="E29" s="201" t="s">
        <v>173</v>
      </c>
    </row>
    <row r="30">
      <c r="A30" s="197">
        <v>45538.0</v>
      </c>
      <c r="B30" s="198" t="s">
        <v>16590</v>
      </c>
      <c r="C30" s="199">
        <v>2110.0</v>
      </c>
      <c r="D30" s="200" t="s">
        <v>145</v>
      </c>
      <c r="E30" s="201" t="s">
        <v>179</v>
      </c>
    </row>
    <row r="31">
      <c r="A31" s="197">
        <v>45539.0</v>
      </c>
      <c r="B31" s="198" t="s">
        <v>16590</v>
      </c>
      <c r="C31" s="199">
        <v>7670.0</v>
      </c>
      <c r="D31" s="200" t="s">
        <v>155</v>
      </c>
      <c r="E31" s="201" t="s">
        <v>173</v>
      </c>
    </row>
    <row r="32">
      <c r="A32" s="197">
        <v>45539.0</v>
      </c>
      <c r="B32" s="198" t="s">
        <v>16585</v>
      </c>
      <c r="C32" s="199">
        <v>9000.0</v>
      </c>
      <c r="D32" s="200" t="s">
        <v>164</v>
      </c>
      <c r="E32" s="201" t="s">
        <v>173</v>
      </c>
    </row>
    <row r="33">
      <c r="A33" s="197">
        <v>45539.0</v>
      </c>
      <c r="B33" s="198" t="s">
        <v>157</v>
      </c>
      <c r="C33" s="199">
        <v>700.0</v>
      </c>
      <c r="D33" s="200" t="s">
        <v>157</v>
      </c>
      <c r="E33" s="201" t="s">
        <v>185</v>
      </c>
    </row>
    <row r="34">
      <c r="A34" s="197">
        <v>45539.0</v>
      </c>
      <c r="B34" s="198" t="s">
        <v>16585</v>
      </c>
      <c r="C34" s="199">
        <v>6100.0</v>
      </c>
      <c r="D34" s="200" t="s">
        <v>164</v>
      </c>
      <c r="E34" s="201" t="s">
        <v>179</v>
      </c>
    </row>
    <row r="35">
      <c r="A35" s="197">
        <v>45539.0</v>
      </c>
      <c r="B35" s="198" t="s">
        <v>16585</v>
      </c>
      <c r="C35" s="199">
        <v>35.0</v>
      </c>
      <c r="D35" s="200" t="s">
        <v>164</v>
      </c>
      <c r="E35" s="201" t="s">
        <v>179</v>
      </c>
    </row>
    <row r="36">
      <c r="A36" s="197">
        <v>45540.0</v>
      </c>
      <c r="B36" s="198" t="s">
        <v>142</v>
      </c>
      <c r="C36" s="199">
        <v>2500.0</v>
      </c>
      <c r="D36" s="200" t="s">
        <v>155</v>
      </c>
      <c r="E36" s="201" t="s">
        <v>177</v>
      </c>
    </row>
    <row r="37">
      <c r="A37" s="197">
        <v>45540.0</v>
      </c>
      <c r="B37" s="198" t="s">
        <v>142</v>
      </c>
      <c r="C37" s="199">
        <v>750.0</v>
      </c>
      <c r="D37" s="200" t="s">
        <v>142</v>
      </c>
      <c r="E37" s="201" t="s">
        <v>177</v>
      </c>
    </row>
    <row r="38">
      <c r="A38" s="197">
        <v>45541.0</v>
      </c>
      <c r="B38" s="198" t="s">
        <v>16593</v>
      </c>
      <c r="C38" s="199">
        <v>4931.5</v>
      </c>
      <c r="D38" s="200" t="s">
        <v>129</v>
      </c>
      <c r="E38" s="201" t="s">
        <v>177</v>
      </c>
    </row>
    <row r="39">
      <c r="A39" s="197">
        <v>45541.0</v>
      </c>
      <c r="B39" s="198" t="s">
        <v>16602</v>
      </c>
      <c r="C39" s="199">
        <v>6662.5</v>
      </c>
      <c r="D39" s="200" t="s">
        <v>129</v>
      </c>
      <c r="E39" s="201" t="s">
        <v>177</v>
      </c>
    </row>
    <row r="40">
      <c r="A40" s="197">
        <v>45541.0</v>
      </c>
      <c r="B40" s="198" t="s">
        <v>16599</v>
      </c>
      <c r="C40" s="199">
        <v>232000.0</v>
      </c>
      <c r="D40" s="200" t="s">
        <v>162</v>
      </c>
      <c r="E40" s="201" t="s">
        <v>183</v>
      </c>
    </row>
    <row r="41">
      <c r="A41" s="197">
        <v>45541.0</v>
      </c>
      <c r="B41" s="198" t="s">
        <v>16585</v>
      </c>
      <c r="C41" s="199">
        <v>7000.0</v>
      </c>
      <c r="D41" s="200" t="s">
        <v>164</v>
      </c>
      <c r="E41" s="201" t="s">
        <v>179</v>
      </c>
    </row>
    <row r="42">
      <c r="A42" s="197">
        <v>45541.0</v>
      </c>
      <c r="B42" s="198" t="s">
        <v>16585</v>
      </c>
      <c r="C42" s="199">
        <v>30.0</v>
      </c>
      <c r="D42" s="200" t="s">
        <v>152</v>
      </c>
      <c r="E42" s="201" t="s">
        <v>179</v>
      </c>
    </row>
    <row r="43">
      <c r="A43" s="197">
        <v>45541.0</v>
      </c>
      <c r="B43" s="198" t="s">
        <v>169</v>
      </c>
      <c r="C43" s="199">
        <v>5723.0</v>
      </c>
      <c r="D43" s="200" t="s">
        <v>169</v>
      </c>
      <c r="E43" s="201" t="s">
        <v>173</v>
      </c>
    </row>
    <row r="44">
      <c r="A44" s="197">
        <v>45542.0</v>
      </c>
      <c r="B44" s="198" t="s">
        <v>142</v>
      </c>
      <c r="C44" s="199">
        <v>6850.0</v>
      </c>
      <c r="D44" s="200" t="s">
        <v>142</v>
      </c>
      <c r="E44" s="201" t="s">
        <v>177</v>
      </c>
    </row>
    <row r="45">
      <c r="A45" s="197">
        <v>45542.0</v>
      </c>
      <c r="B45" s="198" t="s">
        <v>142</v>
      </c>
      <c r="C45" s="199">
        <v>38.0</v>
      </c>
      <c r="D45" s="200" t="s">
        <v>152</v>
      </c>
      <c r="E45" s="201" t="s">
        <v>179</v>
      </c>
    </row>
    <row r="46">
      <c r="A46" s="197">
        <v>45542.0</v>
      </c>
      <c r="B46" s="198" t="s">
        <v>16580</v>
      </c>
      <c r="C46" s="199">
        <v>2250.0</v>
      </c>
      <c r="D46" s="200" t="s">
        <v>147</v>
      </c>
      <c r="E46" s="201" t="s">
        <v>179</v>
      </c>
    </row>
    <row r="47">
      <c r="A47" s="197">
        <v>45543.0</v>
      </c>
      <c r="B47" s="198" t="s">
        <v>16585</v>
      </c>
      <c r="C47" s="199">
        <v>21.0</v>
      </c>
      <c r="D47" s="200" t="s">
        <v>164</v>
      </c>
      <c r="E47" s="201" t="s">
        <v>179</v>
      </c>
    </row>
    <row r="48">
      <c r="A48" s="197">
        <v>45543.0</v>
      </c>
      <c r="B48" s="198" t="s">
        <v>16585</v>
      </c>
      <c r="C48" s="199">
        <v>2140.0</v>
      </c>
      <c r="D48" s="200" t="s">
        <v>142</v>
      </c>
      <c r="E48" s="201" t="s">
        <v>179</v>
      </c>
    </row>
    <row r="49">
      <c r="A49" s="197">
        <v>45544.0</v>
      </c>
      <c r="B49" s="198" t="s">
        <v>137</v>
      </c>
      <c r="C49" s="199">
        <v>5000.0</v>
      </c>
      <c r="D49" s="200" t="s">
        <v>137</v>
      </c>
      <c r="E49" s="201" t="s">
        <v>179</v>
      </c>
    </row>
    <row r="50">
      <c r="A50" s="197">
        <v>45544.0</v>
      </c>
      <c r="B50" s="198" t="s">
        <v>16585</v>
      </c>
      <c r="C50" s="199">
        <v>8500.0</v>
      </c>
      <c r="D50" s="200" t="s">
        <v>164</v>
      </c>
      <c r="E50" s="201" t="s">
        <v>179</v>
      </c>
    </row>
    <row r="51">
      <c r="A51" s="197">
        <v>45544.0</v>
      </c>
      <c r="B51" s="198" t="s">
        <v>169</v>
      </c>
      <c r="C51" s="199">
        <v>2622.5</v>
      </c>
      <c r="D51" s="200" t="s">
        <v>169</v>
      </c>
      <c r="E51" s="201" t="s">
        <v>173</v>
      </c>
    </row>
    <row r="52">
      <c r="A52" s="197">
        <v>45545.0</v>
      </c>
      <c r="B52" s="198" t="s">
        <v>16585</v>
      </c>
      <c r="C52" s="199">
        <v>43.0</v>
      </c>
      <c r="D52" s="200" t="s">
        <v>152</v>
      </c>
      <c r="E52" s="201" t="s">
        <v>179</v>
      </c>
    </row>
    <row r="53">
      <c r="A53" s="197">
        <v>45545.0</v>
      </c>
      <c r="B53" s="198" t="s">
        <v>16585</v>
      </c>
      <c r="C53" s="199">
        <v>193.5</v>
      </c>
      <c r="D53" s="200" t="s">
        <v>142</v>
      </c>
      <c r="E53" s="201" t="s">
        <v>179</v>
      </c>
    </row>
    <row r="54">
      <c r="A54" s="197">
        <v>45546.0</v>
      </c>
      <c r="B54" s="198" t="s">
        <v>16603</v>
      </c>
      <c r="C54" s="199">
        <v>100000.0</v>
      </c>
      <c r="D54" s="200" t="s">
        <v>145</v>
      </c>
      <c r="E54" s="201" t="s">
        <v>183</v>
      </c>
    </row>
    <row r="55">
      <c r="A55" s="197">
        <v>45546.0</v>
      </c>
      <c r="B55" s="198" t="s">
        <v>16585</v>
      </c>
      <c r="C55" s="199">
        <v>7000.0</v>
      </c>
      <c r="D55" s="200" t="s">
        <v>164</v>
      </c>
      <c r="E55" s="201" t="s">
        <v>183</v>
      </c>
    </row>
    <row r="56">
      <c r="A56" s="197">
        <v>45547.0</v>
      </c>
      <c r="B56" s="198" t="s">
        <v>157</v>
      </c>
      <c r="C56" s="199">
        <v>14950.0</v>
      </c>
      <c r="D56" s="200" t="s">
        <v>157</v>
      </c>
      <c r="E56" s="201" t="s">
        <v>173</v>
      </c>
    </row>
    <row r="57">
      <c r="A57" s="197">
        <v>45548.0</v>
      </c>
      <c r="B57" s="198" t="s">
        <v>142</v>
      </c>
      <c r="C57" s="199">
        <v>4385.0</v>
      </c>
      <c r="D57" s="200" t="s">
        <v>142</v>
      </c>
      <c r="E57" s="201" t="s">
        <v>177</v>
      </c>
    </row>
    <row r="58">
      <c r="A58" s="197">
        <v>45548.0</v>
      </c>
      <c r="B58" s="198" t="s">
        <v>142</v>
      </c>
      <c r="C58" s="199">
        <v>1550.0</v>
      </c>
      <c r="D58" s="200" t="s">
        <v>142</v>
      </c>
      <c r="E58" s="201" t="s">
        <v>177</v>
      </c>
    </row>
    <row r="59">
      <c r="A59" s="197">
        <v>45548.0</v>
      </c>
      <c r="B59" s="198" t="s">
        <v>142</v>
      </c>
      <c r="C59" s="199">
        <v>35.0</v>
      </c>
      <c r="D59" s="200" t="s">
        <v>142</v>
      </c>
      <c r="E59" s="201" t="s">
        <v>179</v>
      </c>
    </row>
    <row r="60">
      <c r="A60" s="197">
        <v>45548.0</v>
      </c>
      <c r="B60" s="198" t="s">
        <v>16580</v>
      </c>
      <c r="C60" s="199">
        <v>1500.0</v>
      </c>
      <c r="D60" s="200" t="s">
        <v>147</v>
      </c>
      <c r="E60" s="201" t="s">
        <v>179</v>
      </c>
    </row>
    <row r="61">
      <c r="A61" s="197">
        <v>45549.0</v>
      </c>
      <c r="B61" s="198" t="s">
        <v>16598</v>
      </c>
      <c r="C61" s="199">
        <v>10200.0</v>
      </c>
      <c r="D61" s="200" t="s">
        <v>132</v>
      </c>
      <c r="E61" s="201" t="s">
        <v>177</v>
      </c>
    </row>
    <row r="62">
      <c r="A62" s="197">
        <v>45549.0</v>
      </c>
      <c r="B62" s="198" t="s">
        <v>142</v>
      </c>
      <c r="C62" s="199">
        <v>1050.0</v>
      </c>
      <c r="D62" s="200" t="s">
        <v>142</v>
      </c>
      <c r="E62" s="201" t="s">
        <v>177</v>
      </c>
    </row>
    <row r="63">
      <c r="A63" s="197">
        <v>45550.0</v>
      </c>
      <c r="B63" s="198" t="s">
        <v>16591</v>
      </c>
      <c r="C63" s="199">
        <v>5000.0</v>
      </c>
      <c r="D63" s="200" t="s">
        <v>132</v>
      </c>
      <c r="E63" s="201" t="s">
        <v>175</v>
      </c>
    </row>
    <row r="64">
      <c r="A64" s="197">
        <v>45550.0</v>
      </c>
      <c r="B64" s="198" t="s">
        <v>16585</v>
      </c>
      <c r="C64" s="199">
        <v>2000.0</v>
      </c>
      <c r="D64" s="200" t="s">
        <v>164</v>
      </c>
      <c r="E64" s="201" t="s">
        <v>177</v>
      </c>
    </row>
    <row r="65">
      <c r="A65" s="197">
        <v>45551.0</v>
      </c>
      <c r="B65" s="198" t="s">
        <v>142</v>
      </c>
      <c r="C65" s="199">
        <v>1000.0</v>
      </c>
      <c r="D65" s="200" t="s">
        <v>142</v>
      </c>
      <c r="E65" s="201" t="s">
        <v>179</v>
      </c>
    </row>
    <row r="66">
      <c r="A66" s="197">
        <v>45551.0</v>
      </c>
      <c r="B66" s="198" t="s">
        <v>16580</v>
      </c>
      <c r="C66" s="199">
        <v>5000.0</v>
      </c>
      <c r="D66" s="200" t="s">
        <v>147</v>
      </c>
      <c r="E66" s="201" t="s">
        <v>179</v>
      </c>
    </row>
    <row r="67">
      <c r="A67" s="197">
        <v>45551.0</v>
      </c>
      <c r="B67" s="198" t="s">
        <v>152</v>
      </c>
      <c r="C67" s="199">
        <v>30.0</v>
      </c>
      <c r="D67" s="200" t="s">
        <v>152</v>
      </c>
      <c r="E67" s="201" t="s">
        <v>179</v>
      </c>
    </row>
    <row r="68">
      <c r="A68" s="197">
        <v>45552.0</v>
      </c>
      <c r="B68" s="198" t="s">
        <v>16585</v>
      </c>
      <c r="C68" s="199">
        <v>42.0</v>
      </c>
      <c r="D68" s="200" t="s">
        <v>164</v>
      </c>
      <c r="E68" s="201" t="s">
        <v>179</v>
      </c>
    </row>
    <row r="69">
      <c r="A69" s="197">
        <v>45552.0</v>
      </c>
      <c r="B69" s="198" t="s">
        <v>16585</v>
      </c>
      <c r="C69" s="199">
        <v>4900.0</v>
      </c>
      <c r="D69" s="200" t="s">
        <v>164</v>
      </c>
      <c r="E69" s="201" t="s">
        <v>179</v>
      </c>
    </row>
    <row r="70">
      <c r="A70" s="197">
        <v>45553.0</v>
      </c>
      <c r="B70" s="198" t="s">
        <v>16591</v>
      </c>
      <c r="C70" s="199">
        <v>2500.0</v>
      </c>
      <c r="D70" s="200" t="s">
        <v>132</v>
      </c>
      <c r="E70" s="201" t="s">
        <v>179</v>
      </c>
    </row>
    <row r="71">
      <c r="A71" s="197">
        <v>45553.0</v>
      </c>
      <c r="B71" s="198" t="s">
        <v>152</v>
      </c>
      <c r="C71" s="199">
        <v>25.0</v>
      </c>
      <c r="D71" s="200" t="s">
        <v>152</v>
      </c>
      <c r="E71" s="201" t="s">
        <v>179</v>
      </c>
    </row>
    <row r="72">
      <c r="A72" s="197">
        <v>45553.0</v>
      </c>
      <c r="B72" s="198" t="s">
        <v>16585</v>
      </c>
      <c r="C72" s="199">
        <v>50.0</v>
      </c>
      <c r="D72" s="200" t="s">
        <v>164</v>
      </c>
      <c r="E72" s="201" t="s">
        <v>179</v>
      </c>
    </row>
    <row r="73">
      <c r="A73" s="197">
        <v>45554.0</v>
      </c>
      <c r="B73" s="198" t="s">
        <v>16589</v>
      </c>
      <c r="C73" s="199">
        <v>4200.0</v>
      </c>
      <c r="D73" s="200" t="s">
        <v>145</v>
      </c>
      <c r="E73" s="201" t="s">
        <v>179</v>
      </c>
    </row>
    <row r="74">
      <c r="A74" s="197">
        <v>45554.0</v>
      </c>
      <c r="B74" s="198" t="s">
        <v>142</v>
      </c>
      <c r="C74" s="199">
        <v>8950.0</v>
      </c>
      <c r="D74" s="200" t="s">
        <v>142</v>
      </c>
      <c r="E74" s="201" t="s">
        <v>177</v>
      </c>
    </row>
    <row r="75">
      <c r="A75" s="197">
        <v>45554.0</v>
      </c>
      <c r="B75" s="198" t="s">
        <v>142</v>
      </c>
      <c r="C75" s="199">
        <v>1750.0</v>
      </c>
      <c r="D75" s="200" t="s">
        <v>142</v>
      </c>
      <c r="E75" s="201" t="s">
        <v>177</v>
      </c>
    </row>
    <row r="76">
      <c r="A76" s="197">
        <v>45554.0</v>
      </c>
      <c r="B76" s="198" t="s">
        <v>142</v>
      </c>
      <c r="C76" s="199">
        <v>7350.0</v>
      </c>
      <c r="D76" s="200" t="s">
        <v>142</v>
      </c>
      <c r="E76" s="201" t="s">
        <v>179</v>
      </c>
    </row>
    <row r="77">
      <c r="A77" s="197">
        <v>45554.0</v>
      </c>
      <c r="B77" s="198" t="s">
        <v>16585</v>
      </c>
      <c r="C77" s="199">
        <v>38.0</v>
      </c>
      <c r="D77" s="200" t="s">
        <v>152</v>
      </c>
      <c r="E77" s="201" t="s">
        <v>179</v>
      </c>
    </row>
    <row r="78">
      <c r="A78" s="197">
        <v>45555.0</v>
      </c>
      <c r="B78" s="198" t="s">
        <v>16580</v>
      </c>
      <c r="C78" s="199">
        <v>1000.0</v>
      </c>
      <c r="D78" s="200" t="s">
        <v>147</v>
      </c>
      <c r="E78" s="201" t="s">
        <v>177</v>
      </c>
    </row>
    <row r="79">
      <c r="A79" s="197">
        <v>45555.0</v>
      </c>
      <c r="B79" s="198" t="s">
        <v>167</v>
      </c>
      <c r="C79" s="199">
        <v>61600.0</v>
      </c>
      <c r="D79" s="200" t="s">
        <v>167</v>
      </c>
      <c r="E79" s="201" t="s">
        <v>179</v>
      </c>
    </row>
    <row r="80">
      <c r="A80" s="197">
        <v>45556.0</v>
      </c>
      <c r="B80" s="198" t="s">
        <v>142</v>
      </c>
      <c r="C80" s="199">
        <v>1550.0</v>
      </c>
      <c r="D80" s="200" t="s">
        <v>142</v>
      </c>
      <c r="E80" s="201" t="s">
        <v>179</v>
      </c>
    </row>
    <row r="81">
      <c r="A81" s="197">
        <v>45556.0</v>
      </c>
      <c r="B81" s="198" t="s">
        <v>16585</v>
      </c>
      <c r="C81" s="199">
        <v>1802.0</v>
      </c>
      <c r="D81" s="200" t="s">
        <v>142</v>
      </c>
      <c r="E81" s="201" t="s">
        <v>177</v>
      </c>
    </row>
    <row r="82">
      <c r="A82" s="197">
        <v>45557.0</v>
      </c>
      <c r="B82" s="198" t="s">
        <v>142</v>
      </c>
      <c r="C82" s="199">
        <v>2160.0</v>
      </c>
      <c r="D82" s="200" t="s">
        <v>142</v>
      </c>
      <c r="E82" s="201" t="s">
        <v>179</v>
      </c>
    </row>
    <row r="83">
      <c r="A83" s="197">
        <v>45557.0</v>
      </c>
      <c r="B83" s="198" t="s">
        <v>16585</v>
      </c>
      <c r="C83" s="199">
        <v>6500.0</v>
      </c>
      <c r="D83" s="200" t="s">
        <v>164</v>
      </c>
      <c r="E83" s="201" t="s">
        <v>177</v>
      </c>
    </row>
    <row r="84">
      <c r="A84" s="197">
        <v>45557.0</v>
      </c>
      <c r="B84" s="198" t="s">
        <v>16586</v>
      </c>
      <c r="C84" s="199">
        <v>900.0</v>
      </c>
      <c r="D84" s="200" t="s">
        <v>171</v>
      </c>
      <c r="E84" s="201" t="s">
        <v>179</v>
      </c>
    </row>
    <row r="85">
      <c r="A85" s="197">
        <v>45558.0</v>
      </c>
      <c r="B85" s="198" t="s">
        <v>16592</v>
      </c>
      <c r="C85" s="199">
        <v>8200.0</v>
      </c>
      <c r="D85" s="200" t="s">
        <v>129</v>
      </c>
      <c r="E85" s="201" t="s">
        <v>179</v>
      </c>
    </row>
    <row r="86">
      <c r="A86" s="197">
        <v>45558.0</v>
      </c>
      <c r="B86" s="198" t="s">
        <v>16585</v>
      </c>
      <c r="C86" s="199">
        <v>30.0</v>
      </c>
      <c r="D86" s="200" t="s">
        <v>152</v>
      </c>
      <c r="E86" s="201" t="s">
        <v>179</v>
      </c>
    </row>
    <row r="87">
      <c r="A87" s="197">
        <v>45559.0</v>
      </c>
      <c r="B87" s="198" t="s">
        <v>16585</v>
      </c>
      <c r="C87" s="199">
        <v>2400.0</v>
      </c>
      <c r="D87" s="200" t="s">
        <v>164</v>
      </c>
      <c r="E87" s="201" t="s">
        <v>179</v>
      </c>
    </row>
    <row r="88">
      <c r="A88" s="197">
        <v>45561.0</v>
      </c>
      <c r="B88" s="198" t="s">
        <v>16593</v>
      </c>
      <c r="C88" s="199">
        <v>13029.0</v>
      </c>
      <c r="D88" s="200" t="s">
        <v>129</v>
      </c>
      <c r="E88" s="201" t="s">
        <v>177</v>
      </c>
    </row>
    <row r="89">
      <c r="A89" s="197">
        <v>45561.0</v>
      </c>
      <c r="B89" s="198" t="s">
        <v>142</v>
      </c>
      <c r="C89" s="199">
        <v>4900.0</v>
      </c>
      <c r="D89" s="200" t="s">
        <v>142</v>
      </c>
      <c r="E89" s="201" t="s">
        <v>179</v>
      </c>
    </row>
    <row r="90">
      <c r="A90" s="197">
        <v>45561.0</v>
      </c>
      <c r="B90" s="198" t="s">
        <v>16585</v>
      </c>
      <c r="C90" s="199">
        <v>3242.0</v>
      </c>
      <c r="D90" s="200" t="s">
        <v>152</v>
      </c>
      <c r="E90" s="201" t="s">
        <v>179</v>
      </c>
    </row>
    <row r="91">
      <c r="A91" s="197">
        <v>45561.0</v>
      </c>
      <c r="B91" s="198" t="s">
        <v>16594</v>
      </c>
      <c r="C91" s="199">
        <v>12038.0</v>
      </c>
      <c r="D91" s="200" t="s">
        <v>129</v>
      </c>
      <c r="E91" s="201" t="s">
        <v>177</v>
      </c>
    </row>
    <row r="92">
      <c r="A92" s="197">
        <v>45562.0</v>
      </c>
      <c r="B92" s="198" t="s">
        <v>16585</v>
      </c>
      <c r="C92" s="199">
        <v>4000.0</v>
      </c>
      <c r="D92" s="200" t="s">
        <v>164</v>
      </c>
      <c r="E92" s="201" t="s">
        <v>179</v>
      </c>
    </row>
    <row r="93">
      <c r="A93" s="197">
        <v>45563.0</v>
      </c>
      <c r="B93" s="198" t="s">
        <v>142</v>
      </c>
      <c r="C93" s="199">
        <v>1550.0</v>
      </c>
      <c r="D93" s="200" t="s">
        <v>142</v>
      </c>
      <c r="E93" s="201" t="s">
        <v>177</v>
      </c>
    </row>
    <row r="94">
      <c r="A94" s="197">
        <v>45563.0</v>
      </c>
      <c r="B94" s="198" t="s">
        <v>16580</v>
      </c>
      <c r="C94" s="199">
        <v>2250.0</v>
      </c>
      <c r="D94" s="200" t="s">
        <v>147</v>
      </c>
      <c r="E94" s="201" t="s">
        <v>177</v>
      </c>
    </row>
    <row r="95">
      <c r="A95" s="197">
        <v>45563.0</v>
      </c>
      <c r="B95" s="198" t="s">
        <v>16585</v>
      </c>
      <c r="C95" s="199">
        <v>2096.0</v>
      </c>
      <c r="D95" s="200" t="s">
        <v>164</v>
      </c>
      <c r="E95" s="201" t="s">
        <v>175</v>
      </c>
    </row>
    <row r="96">
      <c r="A96" s="197">
        <v>45563.0</v>
      </c>
      <c r="B96" s="198" t="s">
        <v>16585</v>
      </c>
      <c r="C96" s="199">
        <v>1900.0</v>
      </c>
      <c r="D96" s="200" t="s">
        <v>152</v>
      </c>
      <c r="E96" s="201" t="s">
        <v>175</v>
      </c>
    </row>
    <row r="97">
      <c r="A97" s="197">
        <v>45563.0</v>
      </c>
      <c r="B97" s="198" t="s">
        <v>16585</v>
      </c>
      <c r="C97" s="199">
        <v>6500.0</v>
      </c>
      <c r="D97" s="200" t="s">
        <v>164</v>
      </c>
      <c r="E97" s="201" t="s">
        <v>175</v>
      </c>
    </row>
    <row r="98">
      <c r="A98" s="197">
        <v>45563.0</v>
      </c>
      <c r="B98" s="198" t="s">
        <v>16585</v>
      </c>
      <c r="C98" s="199">
        <v>5100.0</v>
      </c>
      <c r="D98" s="200" t="s">
        <v>152</v>
      </c>
      <c r="E98" s="201" t="s">
        <v>175</v>
      </c>
    </row>
    <row r="99">
      <c r="A99" s="197">
        <v>45564.0</v>
      </c>
      <c r="B99" s="198" t="s">
        <v>142</v>
      </c>
      <c r="C99" s="199">
        <v>2075.0</v>
      </c>
      <c r="D99" s="200" t="s">
        <v>142</v>
      </c>
      <c r="E99" s="201" t="s">
        <v>177</v>
      </c>
    </row>
    <row r="100">
      <c r="A100" s="197">
        <v>45564.0</v>
      </c>
      <c r="B100" s="198" t="s">
        <v>142</v>
      </c>
      <c r="C100" s="199">
        <v>500.0</v>
      </c>
      <c r="D100" s="200" t="s">
        <v>142</v>
      </c>
      <c r="E100" s="201" t="s">
        <v>175</v>
      </c>
    </row>
    <row r="101">
      <c r="A101" s="197">
        <v>45564.0</v>
      </c>
      <c r="B101" s="198" t="s">
        <v>16580</v>
      </c>
      <c r="C101" s="199">
        <v>1400.0</v>
      </c>
      <c r="D101" s="200" t="s">
        <v>147</v>
      </c>
      <c r="E101" s="201" t="s">
        <v>177</v>
      </c>
    </row>
    <row r="102">
      <c r="A102" s="197">
        <v>45564.0</v>
      </c>
      <c r="B102" s="198" t="s">
        <v>16580</v>
      </c>
      <c r="C102" s="199">
        <v>550.0</v>
      </c>
      <c r="D102" s="200" t="s">
        <v>147</v>
      </c>
      <c r="E102" s="201" t="s">
        <v>179</v>
      </c>
    </row>
    <row r="103">
      <c r="A103" s="197">
        <v>45564.0</v>
      </c>
      <c r="B103" s="198" t="s">
        <v>157</v>
      </c>
      <c r="C103" s="199">
        <v>1500.0</v>
      </c>
      <c r="D103" s="200" t="s">
        <v>157</v>
      </c>
      <c r="E103" s="201" t="s">
        <v>177</v>
      </c>
    </row>
    <row r="104">
      <c r="A104" s="197">
        <v>45564.0</v>
      </c>
      <c r="B104" s="198" t="s">
        <v>16585</v>
      </c>
      <c r="C104" s="199">
        <v>2500.0</v>
      </c>
      <c r="D104" s="200" t="s">
        <v>142</v>
      </c>
      <c r="E104" s="201" t="s">
        <v>177</v>
      </c>
    </row>
  </sheetData>
  <dataValidations>
    <dataValidation type="custom" allowBlank="1" showDropDown="1" sqref="A2:A104">
      <formula1>OR(NOT(ISERROR(DATEVALUE(A2))), AND(ISNUMBER(A2), LEFT(CELL("format", A2))="D"))</formula1>
    </dataValidation>
    <dataValidation type="custom" allowBlank="1" showDropDown="1" sqref="C2:C104">
      <formula1>AND(ISNUMBER(C2),(NOT(OR(NOT(ISERROR(DATEVALUE(C2))), AND(ISNUMBER(C2), LEFT(CELL("format", C2))="D")))))</formula1>
    </dataValidation>
    <dataValidation allowBlank="1" showDropDown="1" sqref="B2:B104 D2:E104"/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75"/>
    <col customWidth="1" min="3" max="3" width="13.13"/>
    <col customWidth="1" min="4" max="4" width="19.38"/>
    <col customWidth="1" min="5" max="5" width="21.38"/>
  </cols>
  <sheetData>
    <row r="1">
      <c r="A1" s="196" t="s">
        <v>0</v>
      </c>
      <c r="B1" s="196" t="s">
        <v>1</v>
      </c>
      <c r="C1" s="196" t="s">
        <v>2</v>
      </c>
      <c r="D1" s="196" t="s">
        <v>3</v>
      </c>
      <c r="E1" s="196" t="s">
        <v>4</v>
      </c>
    </row>
    <row r="2">
      <c r="A2" s="202">
        <v>45566.0</v>
      </c>
      <c r="B2" s="198" t="s">
        <v>16601</v>
      </c>
      <c r="C2" s="203">
        <v>35750.5</v>
      </c>
      <c r="D2" s="198" t="s">
        <v>132</v>
      </c>
      <c r="E2" s="201" t="s">
        <v>177</v>
      </c>
    </row>
    <row r="3">
      <c r="A3" s="202">
        <v>45566.0</v>
      </c>
      <c r="B3" s="198" t="s">
        <v>11</v>
      </c>
      <c r="C3" s="203">
        <v>20000.0</v>
      </c>
      <c r="D3" s="198" t="s">
        <v>11</v>
      </c>
      <c r="E3" s="201" t="s">
        <v>173</v>
      </c>
    </row>
    <row r="4">
      <c r="A4" s="202">
        <v>45566.0</v>
      </c>
      <c r="B4" s="198" t="s">
        <v>132</v>
      </c>
      <c r="C4" s="203">
        <v>2500.0</v>
      </c>
      <c r="D4" s="198" t="s">
        <v>132</v>
      </c>
      <c r="E4" s="201" t="s">
        <v>179</v>
      </c>
    </row>
    <row r="5">
      <c r="A5" s="202">
        <v>45566.0</v>
      </c>
      <c r="B5" s="198" t="s">
        <v>16598</v>
      </c>
      <c r="C5" s="203">
        <v>10000.0</v>
      </c>
      <c r="D5" s="198" t="s">
        <v>132</v>
      </c>
      <c r="E5" s="201" t="s">
        <v>177</v>
      </c>
    </row>
    <row r="6">
      <c r="A6" s="202">
        <v>45566.0</v>
      </c>
      <c r="B6" s="198" t="s">
        <v>142</v>
      </c>
      <c r="C6" s="203">
        <v>3097.0</v>
      </c>
      <c r="D6" s="198" t="s">
        <v>142</v>
      </c>
      <c r="E6" s="201" t="s">
        <v>179</v>
      </c>
    </row>
    <row r="7">
      <c r="A7" s="202">
        <v>45566.0</v>
      </c>
      <c r="B7" s="198" t="s">
        <v>16585</v>
      </c>
      <c r="C7" s="203">
        <v>62.0</v>
      </c>
      <c r="D7" s="198" t="s">
        <v>164</v>
      </c>
      <c r="E7" s="201" t="s">
        <v>179</v>
      </c>
    </row>
    <row r="8">
      <c r="A8" s="202">
        <v>45566.0</v>
      </c>
      <c r="B8" s="198" t="s">
        <v>16585</v>
      </c>
      <c r="C8" s="203">
        <v>30.0</v>
      </c>
      <c r="D8" s="198" t="s">
        <v>152</v>
      </c>
      <c r="E8" s="201" t="s">
        <v>179</v>
      </c>
    </row>
    <row r="9">
      <c r="A9" s="202">
        <v>45567.0</v>
      </c>
      <c r="B9" s="198" t="s">
        <v>16580</v>
      </c>
      <c r="C9" s="203">
        <v>2754.5</v>
      </c>
      <c r="D9" s="198" t="s">
        <v>147</v>
      </c>
      <c r="E9" s="201" t="s">
        <v>177</v>
      </c>
    </row>
    <row r="10">
      <c r="A10" s="202">
        <v>45567.0</v>
      </c>
      <c r="B10" s="198" t="s">
        <v>155</v>
      </c>
      <c r="C10" s="203">
        <v>18175.0</v>
      </c>
      <c r="D10" s="198" t="s">
        <v>155</v>
      </c>
      <c r="E10" s="201" t="s">
        <v>177</v>
      </c>
    </row>
    <row r="11">
      <c r="A11" s="202">
        <v>45567.0</v>
      </c>
      <c r="B11" s="198" t="s">
        <v>142</v>
      </c>
      <c r="C11" s="203">
        <v>5197.0</v>
      </c>
      <c r="D11" s="198" t="s">
        <v>142</v>
      </c>
      <c r="E11" s="201" t="s">
        <v>179</v>
      </c>
    </row>
    <row r="12">
      <c r="A12" s="202">
        <v>45567.0</v>
      </c>
      <c r="B12" s="198" t="s">
        <v>16585</v>
      </c>
      <c r="C12" s="203">
        <v>12500.0</v>
      </c>
      <c r="D12" s="198" t="s">
        <v>164</v>
      </c>
      <c r="E12" s="201" t="s">
        <v>177</v>
      </c>
    </row>
    <row r="13">
      <c r="A13" s="202">
        <v>45567.0</v>
      </c>
      <c r="B13" s="198" t="s">
        <v>16585</v>
      </c>
      <c r="C13" s="203">
        <v>62.0</v>
      </c>
      <c r="D13" s="198" t="s">
        <v>142</v>
      </c>
      <c r="E13" s="201" t="s">
        <v>179</v>
      </c>
    </row>
    <row r="14">
      <c r="A14" s="202">
        <v>45567.0</v>
      </c>
      <c r="B14" s="198" t="s">
        <v>16585</v>
      </c>
      <c r="C14" s="203">
        <v>332.0</v>
      </c>
      <c r="D14" s="198" t="s">
        <v>140</v>
      </c>
      <c r="E14" s="201" t="s">
        <v>179</v>
      </c>
    </row>
    <row r="15">
      <c r="A15" s="202">
        <v>45567.0</v>
      </c>
      <c r="B15" s="198" t="s">
        <v>16585</v>
      </c>
      <c r="C15" s="203">
        <v>74.0</v>
      </c>
      <c r="D15" s="198" t="s">
        <v>152</v>
      </c>
      <c r="E15" s="201" t="s">
        <v>179</v>
      </c>
    </row>
    <row r="16">
      <c r="A16" s="202">
        <v>45568.0</v>
      </c>
      <c r="B16" s="198" t="s">
        <v>157</v>
      </c>
      <c r="C16" s="203">
        <v>14437.0</v>
      </c>
      <c r="D16" s="198" t="s">
        <v>157</v>
      </c>
      <c r="E16" s="201" t="s">
        <v>177</v>
      </c>
    </row>
    <row r="17">
      <c r="A17" s="202">
        <v>45568.0</v>
      </c>
      <c r="B17" s="198" t="s">
        <v>167</v>
      </c>
      <c r="C17" s="199">
        <v>21990.0</v>
      </c>
      <c r="D17" s="198" t="s">
        <v>167</v>
      </c>
      <c r="E17" s="201" t="s">
        <v>173</v>
      </c>
    </row>
    <row r="18">
      <c r="A18" s="202">
        <v>45568.0</v>
      </c>
      <c r="B18" s="198" t="s">
        <v>16589</v>
      </c>
      <c r="C18" s="203">
        <v>4700.0</v>
      </c>
      <c r="D18" s="198" t="s">
        <v>145</v>
      </c>
      <c r="E18" s="201" t="s">
        <v>179</v>
      </c>
    </row>
    <row r="19">
      <c r="A19" s="202">
        <v>45568.0</v>
      </c>
      <c r="B19" s="198" t="s">
        <v>142</v>
      </c>
      <c r="C19" s="203">
        <v>3000.0</v>
      </c>
      <c r="D19" s="198" t="s">
        <v>142</v>
      </c>
      <c r="E19" s="201" t="s">
        <v>177</v>
      </c>
    </row>
    <row r="20">
      <c r="A20" s="202">
        <v>45568.0</v>
      </c>
      <c r="B20" s="198" t="s">
        <v>157</v>
      </c>
      <c r="C20" s="203">
        <v>19500.0</v>
      </c>
      <c r="D20" s="198" t="s">
        <v>157</v>
      </c>
      <c r="E20" s="201" t="s">
        <v>173</v>
      </c>
    </row>
    <row r="21">
      <c r="A21" s="202">
        <v>45569.0</v>
      </c>
      <c r="B21" s="198" t="s">
        <v>16588</v>
      </c>
      <c r="C21" s="199">
        <v>3878.0</v>
      </c>
      <c r="D21" s="198" t="s">
        <v>11</v>
      </c>
      <c r="E21" s="201" t="s">
        <v>173</v>
      </c>
    </row>
    <row r="22">
      <c r="A22" s="202">
        <v>45569.0</v>
      </c>
      <c r="B22" s="198" t="s">
        <v>16594</v>
      </c>
      <c r="C22" s="199">
        <v>547.5</v>
      </c>
      <c r="D22" s="198" t="s">
        <v>129</v>
      </c>
      <c r="E22" s="201" t="s">
        <v>177</v>
      </c>
    </row>
    <row r="23">
      <c r="A23" s="202">
        <v>45569.0</v>
      </c>
      <c r="B23" s="198" t="s">
        <v>16582</v>
      </c>
      <c r="C23" s="203">
        <v>12447.0</v>
      </c>
      <c r="D23" s="198" t="s">
        <v>129</v>
      </c>
      <c r="E23" s="201" t="s">
        <v>177</v>
      </c>
    </row>
    <row r="24">
      <c r="A24" s="202">
        <v>45569.0</v>
      </c>
      <c r="B24" s="198" t="s">
        <v>16603</v>
      </c>
      <c r="C24" s="203">
        <v>110000.0</v>
      </c>
      <c r="D24" s="198" t="s">
        <v>145</v>
      </c>
      <c r="E24" s="201" t="s">
        <v>183</v>
      </c>
    </row>
    <row r="25">
      <c r="A25" s="202">
        <v>45569.0</v>
      </c>
      <c r="B25" s="198" t="s">
        <v>16599</v>
      </c>
      <c r="C25" s="203">
        <v>235000.0</v>
      </c>
      <c r="D25" s="198" t="s">
        <v>162</v>
      </c>
      <c r="E25" s="201" t="s">
        <v>183</v>
      </c>
    </row>
    <row r="26">
      <c r="A26" s="202">
        <v>45570.0</v>
      </c>
      <c r="B26" s="198" t="s">
        <v>169</v>
      </c>
      <c r="C26" s="199">
        <v>2622.5</v>
      </c>
      <c r="D26" s="198" t="s">
        <v>169</v>
      </c>
      <c r="E26" s="201" t="s">
        <v>173</v>
      </c>
    </row>
    <row r="27">
      <c r="A27" s="202">
        <v>45570.0</v>
      </c>
      <c r="B27" s="198" t="s">
        <v>16580</v>
      </c>
      <c r="C27" s="203">
        <v>10066.0</v>
      </c>
      <c r="D27" s="198" t="s">
        <v>159</v>
      </c>
      <c r="E27" s="201" t="s">
        <v>173</v>
      </c>
    </row>
    <row r="28">
      <c r="A28" s="202">
        <v>45570.0</v>
      </c>
      <c r="B28" s="198" t="s">
        <v>16580</v>
      </c>
      <c r="C28" s="203">
        <v>8750.0</v>
      </c>
      <c r="D28" s="198" t="s">
        <v>159</v>
      </c>
      <c r="E28" s="201" t="s">
        <v>173</v>
      </c>
    </row>
    <row r="29">
      <c r="A29" s="202">
        <v>45570.0</v>
      </c>
      <c r="B29" s="198" t="s">
        <v>16586</v>
      </c>
      <c r="C29" s="203">
        <v>1822.5</v>
      </c>
      <c r="D29" s="198" t="s">
        <v>171</v>
      </c>
      <c r="E29" s="201" t="s">
        <v>179</v>
      </c>
    </row>
    <row r="30">
      <c r="A30" s="202">
        <v>45570.0</v>
      </c>
      <c r="B30" s="198" t="s">
        <v>16602</v>
      </c>
      <c r="C30" s="203">
        <v>6956.0</v>
      </c>
      <c r="D30" s="198" t="s">
        <v>129</v>
      </c>
      <c r="E30" s="201" t="s">
        <v>177</v>
      </c>
    </row>
    <row r="31">
      <c r="A31" s="202">
        <v>45570.0</v>
      </c>
      <c r="B31" s="198" t="s">
        <v>16585</v>
      </c>
      <c r="C31" s="203">
        <v>239.0</v>
      </c>
      <c r="D31" s="198" t="s">
        <v>164</v>
      </c>
      <c r="E31" s="201" t="s">
        <v>179</v>
      </c>
    </row>
    <row r="32">
      <c r="A32" s="202">
        <v>45571.0</v>
      </c>
      <c r="B32" s="198" t="s">
        <v>16580</v>
      </c>
      <c r="C32" s="203">
        <v>10066.0</v>
      </c>
      <c r="D32" s="198" t="s">
        <v>159</v>
      </c>
      <c r="E32" s="201" t="s">
        <v>173</v>
      </c>
    </row>
    <row r="33">
      <c r="A33" s="202">
        <v>45571.0</v>
      </c>
      <c r="B33" s="198" t="s">
        <v>16580</v>
      </c>
      <c r="C33" s="203">
        <v>8750.0</v>
      </c>
      <c r="D33" s="198" t="s">
        <v>159</v>
      </c>
      <c r="E33" s="201" t="s">
        <v>173</v>
      </c>
    </row>
    <row r="34">
      <c r="A34" s="202">
        <v>45571.0</v>
      </c>
      <c r="B34" s="198" t="s">
        <v>159</v>
      </c>
      <c r="C34" s="203">
        <v>11550.0</v>
      </c>
      <c r="D34" s="198" t="s">
        <v>159</v>
      </c>
      <c r="E34" s="201" t="s">
        <v>177</v>
      </c>
    </row>
    <row r="35">
      <c r="A35" s="202">
        <v>45571.0</v>
      </c>
      <c r="B35" s="198" t="s">
        <v>159</v>
      </c>
      <c r="C35" s="203">
        <v>3234.0</v>
      </c>
      <c r="D35" s="198" t="s">
        <v>159</v>
      </c>
      <c r="E35" s="201" t="s">
        <v>179</v>
      </c>
    </row>
    <row r="36">
      <c r="A36" s="202">
        <v>45571.0</v>
      </c>
      <c r="B36" s="198" t="s">
        <v>16585</v>
      </c>
      <c r="C36" s="203">
        <v>6000.0</v>
      </c>
      <c r="D36" s="198" t="s">
        <v>164</v>
      </c>
      <c r="E36" s="201" t="s">
        <v>179</v>
      </c>
    </row>
    <row r="37">
      <c r="A37" s="202">
        <v>45571.0</v>
      </c>
      <c r="B37" s="198" t="s">
        <v>16585</v>
      </c>
      <c r="C37" s="203">
        <v>13384.0</v>
      </c>
      <c r="D37" s="198" t="s">
        <v>140</v>
      </c>
      <c r="E37" s="201" t="s">
        <v>179</v>
      </c>
    </row>
    <row r="38">
      <c r="A38" s="202">
        <v>45571.0</v>
      </c>
      <c r="B38" s="198" t="s">
        <v>169</v>
      </c>
      <c r="C38" s="199">
        <v>5723.0</v>
      </c>
      <c r="D38" s="198" t="s">
        <v>169</v>
      </c>
      <c r="E38" s="201" t="s">
        <v>173</v>
      </c>
    </row>
    <row r="39">
      <c r="A39" s="202">
        <v>45572.0</v>
      </c>
      <c r="B39" s="198" t="s">
        <v>142</v>
      </c>
      <c r="C39" s="203">
        <v>1450.0</v>
      </c>
      <c r="D39" s="198" t="s">
        <v>147</v>
      </c>
      <c r="E39" s="201" t="s">
        <v>177</v>
      </c>
    </row>
    <row r="40">
      <c r="A40" s="202">
        <v>45572.0</v>
      </c>
      <c r="B40" s="198" t="s">
        <v>157</v>
      </c>
      <c r="C40" s="203">
        <v>4000.0</v>
      </c>
      <c r="D40" s="198" t="s">
        <v>157</v>
      </c>
      <c r="E40" s="201" t="s">
        <v>177</v>
      </c>
    </row>
    <row r="41">
      <c r="A41" s="202">
        <v>45573.0</v>
      </c>
      <c r="B41" s="198" t="s">
        <v>142</v>
      </c>
      <c r="C41" s="203">
        <v>3500.0</v>
      </c>
      <c r="D41" s="198" t="s">
        <v>142</v>
      </c>
      <c r="E41" s="201" t="s">
        <v>179</v>
      </c>
    </row>
    <row r="42">
      <c r="A42" s="202">
        <v>45574.0</v>
      </c>
      <c r="B42" s="198" t="s">
        <v>142</v>
      </c>
      <c r="C42" s="203">
        <v>1750.0</v>
      </c>
      <c r="D42" s="198" t="s">
        <v>142</v>
      </c>
      <c r="E42" s="201" t="s">
        <v>179</v>
      </c>
    </row>
    <row r="43">
      <c r="A43" s="202">
        <v>45574.0</v>
      </c>
      <c r="B43" s="198" t="s">
        <v>16585</v>
      </c>
      <c r="C43" s="203">
        <v>32.0</v>
      </c>
      <c r="D43" s="198" t="s">
        <v>152</v>
      </c>
      <c r="E43" s="201" t="s">
        <v>179</v>
      </c>
    </row>
    <row r="44">
      <c r="A44" s="202">
        <v>45575.0</v>
      </c>
      <c r="B44" s="198" t="s">
        <v>159</v>
      </c>
      <c r="C44" s="203">
        <v>2000.0</v>
      </c>
      <c r="D44" s="198" t="s">
        <v>159</v>
      </c>
      <c r="E44" s="201" t="s">
        <v>179</v>
      </c>
    </row>
    <row r="45">
      <c r="A45" s="202">
        <v>45576.0</v>
      </c>
      <c r="B45" s="198" t="s">
        <v>142</v>
      </c>
      <c r="C45" s="203">
        <v>750.0</v>
      </c>
      <c r="D45" s="198" t="s">
        <v>142</v>
      </c>
      <c r="E45" s="201" t="s">
        <v>177</v>
      </c>
    </row>
    <row r="46">
      <c r="A46" s="202">
        <v>45576.0</v>
      </c>
      <c r="B46" s="198" t="s">
        <v>142</v>
      </c>
      <c r="C46" s="203">
        <v>2125.0</v>
      </c>
      <c r="D46" s="198" t="s">
        <v>142</v>
      </c>
      <c r="E46" s="201" t="s">
        <v>177</v>
      </c>
    </row>
    <row r="47">
      <c r="A47" s="202">
        <v>45576.0</v>
      </c>
      <c r="B47" s="198" t="s">
        <v>142</v>
      </c>
      <c r="C47" s="203">
        <v>1325.0</v>
      </c>
      <c r="D47" s="198" t="s">
        <v>142</v>
      </c>
      <c r="E47" s="201" t="s">
        <v>177</v>
      </c>
    </row>
    <row r="48">
      <c r="A48" s="202">
        <v>45576.0</v>
      </c>
      <c r="B48" s="198" t="s">
        <v>16585</v>
      </c>
      <c r="C48" s="203">
        <v>15.16</v>
      </c>
      <c r="D48" s="198" t="s">
        <v>142</v>
      </c>
      <c r="E48" s="201" t="s">
        <v>179</v>
      </c>
    </row>
    <row r="49">
      <c r="A49" s="202">
        <v>45576.0</v>
      </c>
      <c r="B49" s="198" t="s">
        <v>16585</v>
      </c>
      <c r="C49" s="203">
        <v>75.0</v>
      </c>
      <c r="D49" s="198" t="s">
        <v>164</v>
      </c>
      <c r="E49" s="201" t="s">
        <v>179</v>
      </c>
    </row>
    <row r="50">
      <c r="A50" s="202">
        <v>45577.0</v>
      </c>
      <c r="B50" s="198" t="s">
        <v>16580</v>
      </c>
      <c r="C50" s="203">
        <v>3816.5</v>
      </c>
      <c r="D50" s="198" t="s">
        <v>147</v>
      </c>
      <c r="E50" s="201" t="s">
        <v>173</v>
      </c>
    </row>
    <row r="51">
      <c r="A51" s="202">
        <v>45577.0</v>
      </c>
      <c r="B51" s="198" t="s">
        <v>16580</v>
      </c>
      <c r="C51" s="203">
        <v>5900.0</v>
      </c>
      <c r="D51" s="198" t="s">
        <v>147</v>
      </c>
      <c r="E51" s="201" t="s">
        <v>179</v>
      </c>
    </row>
    <row r="52">
      <c r="A52" s="202">
        <v>45578.0</v>
      </c>
      <c r="B52" s="198" t="s">
        <v>142</v>
      </c>
      <c r="C52" s="203">
        <v>1905.0</v>
      </c>
      <c r="D52" s="198" t="s">
        <v>142</v>
      </c>
      <c r="E52" s="201" t="s">
        <v>177</v>
      </c>
    </row>
    <row r="53">
      <c r="A53" s="202">
        <v>45578.0</v>
      </c>
      <c r="B53" s="198" t="s">
        <v>142</v>
      </c>
      <c r="C53" s="203">
        <v>2400.0</v>
      </c>
      <c r="D53" s="198" t="s">
        <v>142</v>
      </c>
      <c r="E53" s="201" t="s">
        <v>177</v>
      </c>
    </row>
    <row r="54">
      <c r="A54" s="202">
        <v>45578.0</v>
      </c>
      <c r="B54" s="198" t="s">
        <v>16585</v>
      </c>
      <c r="C54" s="203">
        <v>35.0</v>
      </c>
      <c r="D54" s="198" t="s">
        <v>164</v>
      </c>
      <c r="E54" s="201" t="s">
        <v>179</v>
      </c>
    </row>
    <row r="55">
      <c r="A55" s="202">
        <v>45579.0</v>
      </c>
      <c r="B55" s="198" t="s">
        <v>16581</v>
      </c>
      <c r="C55" s="203">
        <v>11968.0</v>
      </c>
      <c r="D55" s="198" t="s">
        <v>129</v>
      </c>
      <c r="E55" s="201" t="s">
        <v>173</v>
      </c>
    </row>
    <row r="56">
      <c r="A56" s="202">
        <v>45579.0</v>
      </c>
      <c r="B56" s="198" t="s">
        <v>16590</v>
      </c>
      <c r="C56" s="203">
        <v>2250.0</v>
      </c>
      <c r="D56" s="198" t="s">
        <v>147</v>
      </c>
      <c r="E56" s="201" t="s">
        <v>179</v>
      </c>
    </row>
    <row r="57">
      <c r="A57" s="202">
        <v>45580.0</v>
      </c>
      <c r="B57" s="198" t="s">
        <v>142</v>
      </c>
      <c r="C57" s="203">
        <v>2525.0</v>
      </c>
      <c r="D57" s="198" t="s">
        <v>142</v>
      </c>
      <c r="E57" s="201" t="s">
        <v>177</v>
      </c>
    </row>
    <row r="58">
      <c r="A58" s="202">
        <v>45580.0</v>
      </c>
      <c r="B58" s="198" t="s">
        <v>142</v>
      </c>
      <c r="C58" s="203">
        <v>2850.0</v>
      </c>
      <c r="D58" s="198" t="s">
        <v>142</v>
      </c>
      <c r="E58" s="201" t="s">
        <v>179</v>
      </c>
    </row>
    <row r="59">
      <c r="A59" s="202">
        <v>45580.0</v>
      </c>
      <c r="B59" s="198" t="s">
        <v>157</v>
      </c>
      <c r="C59" s="203">
        <v>10403.0</v>
      </c>
      <c r="D59" s="198" t="s">
        <v>157</v>
      </c>
      <c r="E59" s="201" t="s">
        <v>177</v>
      </c>
    </row>
    <row r="60">
      <c r="A60" s="202">
        <v>45580.0</v>
      </c>
      <c r="B60" s="198" t="s">
        <v>157</v>
      </c>
      <c r="C60" s="203">
        <v>10812.5</v>
      </c>
      <c r="D60" s="198" t="s">
        <v>157</v>
      </c>
      <c r="E60" s="201" t="s">
        <v>177</v>
      </c>
    </row>
    <row r="61">
      <c r="A61" s="202">
        <v>45580.0</v>
      </c>
      <c r="B61" s="198" t="s">
        <v>157</v>
      </c>
      <c r="C61" s="203">
        <v>1808.0</v>
      </c>
      <c r="D61" s="198" t="s">
        <v>157</v>
      </c>
      <c r="E61" s="201" t="s">
        <v>179</v>
      </c>
    </row>
    <row r="62">
      <c r="A62" s="202">
        <v>45582.0</v>
      </c>
      <c r="B62" s="198" t="s">
        <v>142</v>
      </c>
      <c r="C62" s="203">
        <v>4750.0</v>
      </c>
      <c r="D62" s="198" t="s">
        <v>142</v>
      </c>
      <c r="E62" s="201" t="s">
        <v>177</v>
      </c>
    </row>
    <row r="63">
      <c r="A63" s="202">
        <v>45582.0</v>
      </c>
      <c r="B63" s="198" t="s">
        <v>142</v>
      </c>
      <c r="C63" s="203">
        <v>1200.0</v>
      </c>
      <c r="D63" s="198" t="s">
        <v>142</v>
      </c>
      <c r="E63" s="201" t="s">
        <v>179</v>
      </c>
    </row>
    <row r="64">
      <c r="A64" s="202">
        <v>45582.0</v>
      </c>
      <c r="B64" s="198" t="s">
        <v>16585</v>
      </c>
      <c r="C64" s="203">
        <v>19.5</v>
      </c>
      <c r="D64" s="198" t="s">
        <v>152</v>
      </c>
      <c r="E64" s="201" t="s">
        <v>179</v>
      </c>
    </row>
    <row r="65">
      <c r="A65" s="202">
        <v>45583.0</v>
      </c>
      <c r="B65" s="198" t="s">
        <v>16586</v>
      </c>
      <c r="C65" s="203">
        <v>2000.0</v>
      </c>
      <c r="D65" s="198" t="s">
        <v>171</v>
      </c>
      <c r="E65" s="201" t="s">
        <v>179</v>
      </c>
    </row>
    <row r="66">
      <c r="A66" s="202">
        <v>45583.0</v>
      </c>
      <c r="B66" s="198" t="s">
        <v>142</v>
      </c>
      <c r="C66" s="203">
        <v>1500.0</v>
      </c>
      <c r="D66" s="198" t="s">
        <v>164</v>
      </c>
      <c r="E66" s="201" t="s">
        <v>179</v>
      </c>
    </row>
    <row r="67">
      <c r="A67" s="202">
        <v>45583.0</v>
      </c>
      <c r="B67" s="198" t="s">
        <v>16585</v>
      </c>
      <c r="C67" s="203">
        <v>8500.0</v>
      </c>
      <c r="D67" s="198" t="s">
        <v>164</v>
      </c>
      <c r="E67" s="201" t="s">
        <v>179</v>
      </c>
    </row>
    <row r="68">
      <c r="A68" s="202">
        <v>45584.0</v>
      </c>
      <c r="B68" s="198" t="s">
        <v>142</v>
      </c>
      <c r="C68" s="203">
        <v>1500.0</v>
      </c>
      <c r="D68" s="198" t="s">
        <v>142</v>
      </c>
      <c r="E68" s="201" t="s">
        <v>177</v>
      </c>
    </row>
    <row r="69">
      <c r="A69" s="202">
        <v>45584.0</v>
      </c>
      <c r="B69" s="198" t="s">
        <v>142</v>
      </c>
      <c r="C69" s="203">
        <v>1600.0</v>
      </c>
      <c r="D69" s="198" t="s">
        <v>142</v>
      </c>
      <c r="E69" s="201" t="s">
        <v>179</v>
      </c>
    </row>
    <row r="70">
      <c r="A70" s="202">
        <v>45584.0</v>
      </c>
      <c r="B70" s="198" t="s">
        <v>157</v>
      </c>
      <c r="C70" s="203">
        <v>600.0</v>
      </c>
      <c r="D70" s="198" t="s">
        <v>157</v>
      </c>
      <c r="E70" s="201" t="s">
        <v>179</v>
      </c>
    </row>
    <row r="71">
      <c r="A71" s="202">
        <v>45584.0</v>
      </c>
      <c r="B71" s="198" t="s">
        <v>16590</v>
      </c>
      <c r="C71" s="203">
        <v>8500.0</v>
      </c>
      <c r="D71" s="198" t="s">
        <v>145</v>
      </c>
      <c r="E71" s="201" t="s">
        <v>177</v>
      </c>
    </row>
    <row r="72">
      <c r="A72" s="202">
        <v>45584.0</v>
      </c>
      <c r="B72" s="198" t="s">
        <v>16585</v>
      </c>
      <c r="C72" s="203">
        <v>875.0</v>
      </c>
      <c r="D72" s="198" t="s">
        <v>142</v>
      </c>
      <c r="E72" s="201" t="s">
        <v>177</v>
      </c>
    </row>
    <row r="73">
      <c r="A73" s="202">
        <v>45584.0</v>
      </c>
      <c r="B73" s="198" t="s">
        <v>16585</v>
      </c>
      <c r="C73" s="203">
        <v>4350.0</v>
      </c>
      <c r="D73" s="198" t="s">
        <v>164</v>
      </c>
      <c r="E73" s="201" t="s">
        <v>179</v>
      </c>
    </row>
    <row r="74">
      <c r="A74" s="202">
        <v>45584.0</v>
      </c>
      <c r="B74" s="198" t="s">
        <v>16585</v>
      </c>
      <c r="C74" s="203">
        <v>10840.5</v>
      </c>
      <c r="D74" s="198" t="s">
        <v>142</v>
      </c>
      <c r="E74" s="201" t="s">
        <v>179</v>
      </c>
    </row>
    <row r="75">
      <c r="A75" s="202">
        <v>45585.0</v>
      </c>
      <c r="B75" s="198" t="s">
        <v>16598</v>
      </c>
      <c r="C75" s="203">
        <v>12500.0</v>
      </c>
      <c r="D75" s="198" t="s">
        <v>132</v>
      </c>
      <c r="E75" s="201" t="s">
        <v>177</v>
      </c>
    </row>
    <row r="76">
      <c r="A76" s="202">
        <v>45585.0</v>
      </c>
      <c r="B76" s="198" t="s">
        <v>16579</v>
      </c>
      <c r="C76" s="203">
        <v>2500.0</v>
      </c>
      <c r="D76" s="198" t="s">
        <v>140</v>
      </c>
      <c r="E76" s="201" t="s">
        <v>179</v>
      </c>
    </row>
    <row r="77">
      <c r="A77" s="202">
        <v>45586.0</v>
      </c>
      <c r="B77" s="198" t="s">
        <v>142</v>
      </c>
      <c r="C77" s="203">
        <v>1270.0</v>
      </c>
      <c r="D77" s="198" t="s">
        <v>142</v>
      </c>
      <c r="E77" s="201" t="s">
        <v>177</v>
      </c>
    </row>
    <row r="78">
      <c r="A78" s="202">
        <v>45587.0</v>
      </c>
      <c r="B78" s="198" t="s">
        <v>16578</v>
      </c>
      <c r="C78" s="203">
        <v>2361.0</v>
      </c>
      <c r="D78" s="198" t="s">
        <v>147</v>
      </c>
      <c r="E78" s="201" t="s">
        <v>173</v>
      </c>
    </row>
    <row r="79">
      <c r="A79" s="202">
        <v>45587.0</v>
      </c>
      <c r="B79" s="198" t="s">
        <v>169</v>
      </c>
      <c r="C79" s="199">
        <v>2566.0</v>
      </c>
      <c r="D79" s="198" t="s">
        <v>169</v>
      </c>
      <c r="E79" s="201" t="s">
        <v>173</v>
      </c>
    </row>
    <row r="80">
      <c r="A80" s="202">
        <v>45587.0</v>
      </c>
      <c r="B80" s="198" t="s">
        <v>169</v>
      </c>
      <c r="C80" s="199">
        <v>2566.0</v>
      </c>
      <c r="D80" s="198" t="s">
        <v>169</v>
      </c>
      <c r="E80" s="201" t="s">
        <v>173</v>
      </c>
    </row>
    <row r="81">
      <c r="A81" s="202">
        <v>45587.0</v>
      </c>
      <c r="B81" s="198" t="s">
        <v>142</v>
      </c>
      <c r="C81" s="203">
        <v>875.0</v>
      </c>
      <c r="D81" s="198" t="s">
        <v>142</v>
      </c>
      <c r="E81" s="201" t="s">
        <v>177</v>
      </c>
    </row>
    <row r="82">
      <c r="A82" s="202">
        <v>45587.0</v>
      </c>
      <c r="B82" s="198" t="s">
        <v>142</v>
      </c>
      <c r="C82" s="203">
        <v>2000.0</v>
      </c>
      <c r="D82" s="198" t="s">
        <v>142</v>
      </c>
      <c r="E82" s="201" t="s">
        <v>177</v>
      </c>
    </row>
    <row r="83">
      <c r="A83" s="202">
        <v>45588.0</v>
      </c>
      <c r="B83" s="198" t="s">
        <v>16593</v>
      </c>
      <c r="C83" s="203">
        <v>14950.0</v>
      </c>
      <c r="D83" s="198" t="s">
        <v>129</v>
      </c>
      <c r="E83" s="201" t="s">
        <v>177</v>
      </c>
    </row>
    <row r="84">
      <c r="A84" s="202">
        <v>45588.0</v>
      </c>
      <c r="B84" s="198" t="s">
        <v>142</v>
      </c>
      <c r="C84" s="203">
        <v>4560.0</v>
      </c>
      <c r="D84" s="198" t="s">
        <v>152</v>
      </c>
      <c r="E84" s="201" t="s">
        <v>179</v>
      </c>
    </row>
    <row r="85">
      <c r="A85" s="202">
        <v>45588.0</v>
      </c>
      <c r="B85" s="198" t="s">
        <v>157</v>
      </c>
      <c r="C85" s="203">
        <v>15000.0</v>
      </c>
      <c r="D85" s="198" t="s">
        <v>157</v>
      </c>
      <c r="E85" s="201" t="s">
        <v>173</v>
      </c>
    </row>
    <row r="86">
      <c r="A86" s="202">
        <v>45588.0</v>
      </c>
      <c r="B86" s="198" t="s">
        <v>16585</v>
      </c>
      <c r="C86" s="203">
        <v>2340.0</v>
      </c>
      <c r="D86" s="198" t="s">
        <v>142</v>
      </c>
      <c r="E86" s="201" t="s">
        <v>179</v>
      </c>
    </row>
    <row r="87">
      <c r="A87" s="202">
        <v>45588.0</v>
      </c>
      <c r="B87" s="198" t="s">
        <v>16594</v>
      </c>
      <c r="C87" s="199">
        <v>11700.0</v>
      </c>
      <c r="D87" s="198" t="s">
        <v>129</v>
      </c>
      <c r="E87" s="201" t="s">
        <v>177</v>
      </c>
    </row>
    <row r="88">
      <c r="A88" s="202">
        <v>45589.0</v>
      </c>
      <c r="B88" s="198" t="s">
        <v>16589</v>
      </c>
      <c r="C88" s="203">
        <v>4700.0</v>
      </c>
      <c r="D88" s="198" t="s">
        <v>145</v>
      </c>
      <c r="E88" s="201" t="s">
        <v>179</v>
      </c>
    </row>
    <row r="89">
      <c r="A89" s="202">
        <v>45589.0</v>
      </c>
      <c r="B89" s="198" t="s">
        <v>16579</v>
      </c>
      <c r="C89" s="203">
        <v>25000.0</v>
      </c>
      <c r="D89" s="198" t="s">
        <v>140</v>
      </c>
      <c r="E89" s="201" t="s">
        <v>179</v>
      </c>
    </row>
    <row r="90">
      <c r="A90" s="202">
        <v>45589.0</v>
      </c>
      <c r="B90" s="198" t="s">
        <v>142</v>
      </c>
      <c r="C90" s="203">
        <v>3565.0</v>
      </c>
      <c r="D90" s="198" t="s">
        <v>142</v>
      </c>
      <c r="E90" s="201" t="s">
        <v>179</v>
      </c>
    </row>
    <row r="91">
      <c r="A91" s="202">
        <v>45589.0</v>
      </c>
      <c r="B91" s="198" t="s">
        <v>142</v>
      </c>
      <c r="C91" s="203">
        <v>4300.0</v>
      </c>
      <c r="D91" s="198" t="s">
        <v>152</v>
      </c>
      <c r="E91" s="201" t="s">
        <v>179</v>
      </c>
    </row>
    <row r="92">
      <c r="A92" s="202">
        <v>45590.0</v>
      </c>
      <c r="B92" s="198" t="s">
        <v>142</v>
      </c>
      <c r="C92" s="203">
        <v>4000.0</v>
      </c>
      <c r="D92" s="198" t="s">
        <v>164</v>
      </c>
      <c r="E92" s="201" t="s">
        <v>179</v>
      </c>
    </row>
    <row r="93">
      <c r="A93" s="202">
        <v>45590.0</v>
      </c>
      <c r="B93" s="198" t="s">
        <v>142</v>
      </c>
      <c r="C93" s="203">
        <v>3100.0</v>
      </c>
      <c r="D93" s="198" t="s">
        <v>142</v>
      </c>
      <c r="E93" s="201" t="s">
        <v>177</v>
      </c>
    </row>
    <row r="94">
      <c r="A94" s="202">
        <v>45590.0</v>
      </c>
      <c r="B94" s="198" t="s">
        <v>16585</v>
      </c>
      <c r="C94" s="203">
        <v>10700.0</v>
      </c>
      <c r="D94" s="198" t="s">
        <v>164</v>
      </c>
      <c r="E94" s="201" t="s">
        <v>179</v>
      </c>
    </row>
    <row r="95">
      <c r="A95" s="202">
        <v>45590.0</v>
      </c>
      <c r="B95" s="198" t="s">
        <v>167</v>
      </c>
      <c r="C95" s="199">
        <v>41140.0</v>
      </c>
      <c r="D95" s="198" t="s">
        <v>167</v>
      </c>
      <c r="E95" s="201" t="s">
        <v>179</v>
      </c>
    </row>
    <row r="96">
      <c r="A96" s="202">
        <v>45591.0</v>
      </c>
      <c r="B96" s="198" t="s">
        <v>142</v>
      </c>
      <c r="C96" s="203">
        <v>3200.0</v>
      </c>
      <c r="D96" s="198" t="s">
        <v>140</v>
      </c>
      <c r="E96" s="201" t="s">
        <v>179</v>
      </c>
    </row>
    <row r="97">
      <c r="A97" s="202">
        <v>45591.0</v>
      </c>
      <c r="B97" s="198" t="s">
        <v>16592</v>
      </c>
      <c r="C97" s="203">
        <v>8700.0</v>
      </c>
      <c r="D97" s="198" t="s">
        <v>129</v>
      </c>
      <c r="E97" s="201" t="s">
        <v>179</v>
      </c>
    </row>
    <row r="98">
      <c r="A98" s="202">
        <v>45592.0</v>
      </c>
      <c r="B98" s="198" t="s">
        <v>155</v>
      </c>
      <c r="C98" s="203">
        <v>15000.0</v>
      </c>
      <c r="D98" s="198" t="s">
        <v>155</v>
      </c>
      <c r="E98" s="201" t="s">
        <v>173</v>
      </c>
    </row>
    <row r="99">
      <c r="A99" s="202">
        <v>45592.0</v>
      </c>
      <c r="B99" s="198" t="s">
        <v>16590</v>
      </c>
      <c r="C99" s="203">
        <v>5981.84</v>
      </c>
      <c r="D99" s="198" t="s">
        <v>155</v>
      </c>
      <c r="E99" s="201" t="s">
        <v>173</v>
      </c>
    </row>
    <row r="100">
      <c r="A100" s="202">
        <v>45592.0</v>
      </c>
      <c r="B100" s="198" t="s">
        <v>142</v>
      </c>
      <c r="C100" s="203">
        <v>9500.0</v>
      </c>
      <c r="D100" s="198" t="s">
        <v>142</v>
      </c>
      <c r="E100" s="201" t="s">
        <v>179</v>
      </c>
    </row>
    <row r="101">
      <c r="A101" s="202">
        <v>45592.0</v>
      </c>
      <c r="B101" s="198" t="s">
        <v>16580</v>
      </c>
      <c r="C101" s="203">
        <v>2500.0</v>
      </c>
      <c r="D101" s="198" t="s">
        <v>147</v>
      </c>
      <c r="E101" s="201" t="s">
        <v>179</v>
      </c>
    </row>
    <row r="102">
      <c r="A102" s="202">
        <v>45592.0</v>
      </c>
      <c r="B102" s="198" t="s">
        <v>16585</v>
      </c>
      <c r="C102" s="203">
        <v>3500.0</v>
      </c>
      <c r="D102" s="198" t="s">
        <v>164</v>
      </c>
      <c r="E102" s="201" t="s">
        <v>179</v>
      </c>
    </row>
    <row r="103">
      <c r="A103" s="202">
        <v>45593.0</v>
      </c>
      <c r="B103" s="198" t="s">
        <v>11</v>
      </c>
      <c r="C103" s="203">
        <v>3000.0</v>
      </c>
      <c r="D103" s="198" t="s">
        <v>11</v>
      </c>
      <c r="E103" s="201" t="s">
        <v>173</v>
      </c>
    </row>
    <row r="104">
      <c r="A104" s="202">
        <v>45593.0</v>
      </c>
      <c r="B104" s="198" t="s">
        <v>16590</v>
      </c>
      <c r="C104" s="203">
        <v>7670.0</v>
      </c>
      <c r="D104" s="198" t="s">
        <v>155</v>
      </c>
      <c r="E104" s="201" t="s">
        <v>173</v>
      </c>
    </row>
    <row r="105">
      <c r="A105" s="202">
        <v>45593.0</v>
      </c>
      <c r="B105" s="198" t="s">
        <v>157</v>
      </c>
      <c r="C105" s="203">
        <v>17218.0</v>
      </c>
      <c r="D105" s="198" t="s">
        <v>157</v>
      </c>
      <c r="E105" s="201" t="s">
        <v>173</v>
      </c>
    </row>
    <row r="106">
      <c r="A106" s="202">
        <v>45593.0</v>
      </c>
      <c r="B106" s="198" t="s">
        <v>11</v>
      </c>
      <c r="C106" s="203">
        <v>1800.0</v>
      </c>
      <c r="D106" s="198" t="s">
        <v>11</v>
      </c>
      <c r="E106" s="201" t="s">
        <v>173</v>
      </c>
    </row>
    <row r="107">
      <c r="A107" s="202">
        <v>45593.0</v>
      </c>
      <c r="B107" s="198" t="s">
        <v>142</v>
      </c>
      <c r="C107" s="203">
        <v>3780.0</v>
      </c>
      <c r="D107" s="198" t="s">
        <v>142</v>
      </c>
      <c r="E107" s="201" t="s">
        <v>177</v>
      </c>
    </row>
    <row r="108">
      <c r="A108" s="202">
        <v>45594.0</v>
      </c>
      <c r="B108" s="198" t="s">
        <v>142</v>
      </c>
      <c r="C108" s="203">
        <v>1750.0</v>
      </c>
      <c r="D108" s="198" t="s">
        <v>142</v>
      </c>
      <c r="E108" s="201" t="s">
        <v>179</v>
      </c>
    </row>
    <row r="109">
      <c r="A109" s="202">
        <v>45594.0</v>
      </c>
      <c r="B109" s="198" t="s">
        <v>142</v>
      </c>
      <c r="C109" s="203">
        <v>2858.0</v>
      </c>
      <c r="D109" s="198" t="s">
        <v>142</v>
      </c>
      <c r="E109" s="201" t="s">
        <v>179</v>
      </c>
    </row>
    <row r="110">
      <c r="A110" s="202">
        <v>45594.0</v>
      </c>
      <c r="B110" s="198" t="s">
        <v>16585</v>
      </c>
      <c r="C110" s="203">
        <v>7400.0</v>
      </c>
      <c r="D110" s="198" t="s">
        <v>164</v>
      </c>
      <c r="E110" s="201" t="s">
        <v>179</v>
      </c>
    </row>
    <row r="111">
      <c r="A111" s="202">
        <v>45595.0</v>
      </c>
      <c r="B111" s="198" t="s">
        <v>142</v>
      </c>
      <c r="C111" s="203">
        <v>4150.0</v>
      </c>
      <c r="D111" s="198" t="s">
        <v>152</v>
      </c>
      <c r="E111" s="201" t="s">
        <v>179</v>
      </c>
    </row>
    <row r="112">
      <c r="A112" s="202">
        <v>45595.0</v>
      </c>
      <c r="B112" s="198" t="s">
        <v>159</v>
      </c>
      <c r="C112" s="203">
        <v>2400.0</v>
      </c>
      <c r="D112" s="198" t="s">
        <v>159</v>
      </c>
      <c r="E112" s="201" t="s">
        <v>179</v>
      </c>
    </row>
    <row r="113">
      <c r="A113" s="202">
        <v>45595.0</v>
      </c>
      <c r="B113" s="198" t="s">
        <v>16585</v>
      </c>
      <c r="C113" s="199">
        <v>4542.5</v>
      </c>
      <c r="D113" s="198" t="s">
        <v>142</v>
      </c>
      <c r="E113" s="201" t="s">
        <v>177</v>
      </c>
    </row>
    <row r="114">
      <c r="A114" s="202">
        <v>45596.0</v>
      </c>
      <c r="B114" s="198" t="s">
        <v>142</v>
      </c>
      <c r="C114" s="203">
        <v>2000.0</v>
      </c>
      <c r="D114" s="198" t="s">
        <v>142</v>
      </c>
      <c r="E114" s="201" t="s">
        <v>179</v>
      </c>
    </row>
  </sheetData>
  <dataValidations>
    <dataValidation type="custom" allowBlank="1" showDropDown="1" sqref="A2:A114">
      <formula1>OR(NOT(ISERROR(DATEVALUE(A2))), AND(ISNUMBER(A2), LEFT(CELL("format", A2))="D"))</formula1>
    </dataValidation>
    <dataValidation type="custom" allowBlank="1" showDropDown="1" sqref="C2:C114">
      <formula1>AND(ISNUMBER(C2),(NOT(OR(NOT(ISERROR(DATEVALUE(C2))), AND(ISNUMBER(C2), LEFT(CELL("format", C2))="D")))))</formula1>
    </dataValidation>
    <dataValidation allowBlank="1" showDropDown="1" sqref="B2:B114 D2:E114"/>
  </dataValidations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38"/>
    <col customWidth="1" min="3" max="3" width="13.13"/>
    <col customWidth="1" min="4" max="4" width="19.38"/>
    <col customWidth="1" min="5" max="5" width="21.38"/>
  </cols>
  <sheetData>
    <row r="1">
      <c r="A1" s="196" t="s">
        <v>0</v>
      </c>
      <c r="B1" s="196" t="s">
        <v>1</v>
      </c>
      <c r="C1" s="196" t="s">
        <v>2</v>
      </c>
      <c r="D1" s="196" t="s">
        <v>3</v>
      </c>
      <c r="E1" s="196" t="s">
        <v>4</v>
      </c>
    </row>
    <row r="2">
      <c r="A2" s="202">
        <v>45597.0</v>
      </c>
      <c r="B2" s="198" t="s">
        <v>16601</v>
      </c>
      <c r="C2" s="199">
        <v>35750.5</v>
      </c>
      <c r="D2" s="198" t="s">
        <v>132</v>
      </c>
      <c r="E2" s="200" t="s">
        <v>173</v>
      </c>
    </row>
    <row r="3">
      <c r="A3" s="202">
        <v>45597.0</v>
      </c>
      <c r="B3" s="198" t="s">
        <v>16580</v>
      </c>
      <c r="C3" s="199">
        <v>2754.5</v>
      </c>
      <c r="D3" s="198" t="s">
        <v>147</v>
      </c>
      <c r="E3" s="200" t="s">
        <v>173</v>
      </c>
    </row>
    <row r="4">
      <c r="A4" s="202">
        <v>45597.0</v>
      </c>
      <c r="B4" s="198" t="s">
        <v>16588</v>
      </c>
      <c r="C4" s="199">
        <v>3878.0</v>
      </c>
      <c r="D4" s="198" t="s">
        <v>11</v>
      </c>
      <c r="E4" s="200" t="s">
        <v>173</v>
      </c>
    </row>
    <row r="5">
      <c r="A5" s="202">
        <v>45597.0</v>
      </c>
      <c r="B5" s="198" t="s">
        <v>16594</v>
      </c>
      <c r="C5" s="199">
        <v>547.5</v>
      </c>
      <c r="D5" s="198" t="s">
        <v>129</v>
      </c>
      <c r="E5" s="200" t="s">
        <v>173</v>
      </c>
    </row>
    <row r="6">
      <c r="A6" s="202">
        <v>45597.0</v>
      </c>
      <c r="B6" s="198" t="s">
        <v>142</v>
      </c>
      <c r="C6" s="199">
        <v>3000.0</v>
      </c>
      <c r="D6" s="198" t="s">
        <v>142</v>
      </c>
      <c r="E6" s="200" t="s">
        <v>179</v>
      </c>
    </row>
    <row r="7">
      <c r="A7" s="202">
        <v>45597.0</v>
      </c>
      <c r="B7" s="198" t="s">
        <v>142</v>
      </c>
      <c r="C7" s="199">
        <v>41.51</v>
      </c>
      <c r="D7" s="198" t="s">
        <v>142</v>
      </c>
      <c r="E7" s="200" t="s">
        <v>179</v>
      </c>
    </row>
    <row r="8">
      <c r="A8" s="202">
        <v>45597.0</v>
      </c>
      <c r="B8" s="198" t="s">
        <v>16599</v>
      </c>
      <c r="C8" s="199">
        <v>240500.0</v>
      </c>
      <c r="D8" s="198" t="s">
        <v>162</v>
      </c>
      <c r="E8" s="200" t="s">
        <v>183</v>
      </c>
    </row>
    <row r="9">
      <c r="A9" s="202">
        <v>45597.0</v>
      </c>
      <c r="B9" s="198" t="s">
        <v>16585</v>
      </c>
      <c r="C9" s="199">
        <v>35.0</v>
      </c>
      <c r="D9" s="198" t="s">
        <v>164</v>
      </c>
      <c r="E9" s="200" t="s">
        <v>179</v>
      </c>
    </row>
    <row r="10">
      <c r="A10" s="202">
        <v>45598.0</v>
      </c>
      <c r="B10" s="198" t="s">
        <v>16589</v>
      </c>
      <c r="C10" s="199">
        <v>4700.0</v>
      </c>
      <c r="D10" s="198" t="s">
        <v>145</v>
      </c>
      <c r="E10" s="200" t="s">
        <v>179</v>
      </c>
    </row>
    <row r="11">
      <c r="A11" s="202">
        <v>45598.0</v>
      </c>
      <c r="B11" s="198" t="s">
        <v>142</v>
      </c>
      <c r="C11" s="199">
        <v>7025.0</v>
      </c>
      <c r="D11" s="198" t="s">
        <v>142</v>
      </c>
      <c r="E11" s="200" t="s">
        <v>177</v>
      </c>
    </row>
    <row r="12">
      <c r="A12" s="202">
        <v>45598.0</v>
      </c>
      <c r="B12" s="198" t="s">
        <v>142</v>
      </c>
      <c r="C12" s="199">
        <v>292.0</v>
      </c>
      <c r="D12" s="198" t="s">
        <v>142</v>
      </c>
      <c r="E12" s="200" t="s">
        <v>179</v>
      </c>
    </row>
    <row r="13">
      <c r="A13" s="202">
        <v>45598.0</v>
      </c>
      <c r="B13" s="198" t="s">
        <v>142</v>
      </c>
      <c r="C13" s="199">
        <v>222.0</v>
      </c>
      <c r="D13" s="198" t="s">
        <v>152</v>
      </c>
      <c r="E13" s="200" t="s">
        <v>179</v>
      </c>
    </row>
    <row r="14">
      <c r="A14" s="202">
        <v>45599.0</v>
      </c>
      <c r="B14" s="198" t="s">
        <v>16580</v>
      </c>
      <c r="C14" s="199">
        <v>6000.0</v>
      </c>
      <c r="D14" s="198" t="s">
        <v>147</v>
      </c>
      <c r="E14" s="200" t="s">
        <v>179</v>
      </c>
    </row>
    <row r="15">
      <c r="A15" s="202">
        <v>45599.0</v>
      </c>
      <c r="B15" s="198" t="s">
        <v>16580</v>
      </c>
      <c r="C15" s="199">
        <v>7000.0</v>
      </c>
      <c r="D15" s="198" t="s">
        <v>147</v>
      </c>
      <c r="E15" s="200" t="s">
        <v>179</v>
      </c>
    </row>
    <row r="16">
      <c r="A16" s="202">
        <v>45599.0</v>
      </c>
      <c r="B16" s="198" t="s">
        <v>159</v>
      </c>
      <c r="C16" s="199">
        <v>2300.0</v>
      </c>
      <c r="D16" s="198" t="s">
        <v>159</v>
      </c>
      <c r="E16" s="200" t="s">
        <v>179</v>
      </c>
    </row>
    <row r="17">
      <c r="A17" s="202">
        <v>45599.0</v>
      </c>
      <c r="B17" s="198" t="s">
        <v>159</v>
      </c>
      <c r="C17" s="199">
        <v>1742.0</v>
      </c>
      <c r="D17" s="198" t="s">
        <v>159</v>
      </c>
      <c r="E17" s="200" t="s">
        <v>179</v>
      </c>
    </row>
    <row r="18">
      <c r="A18" s="202">
        <v>45599.0</v>
      </c>
      <c r="B18" s="198" t="s">
        <v>159</v>
      </c>
      <c r="C18" s="199">
        <v>2300.0</v>
      </c>
      <c r="D18" s="198" t="s">
        <v>159</v>
      </c>
      <c r="E18" s="200" t="s">
        <v>179</v>
      </c>
    </row>
    <row r="19">
      <c r="A19" s="202">
        <v>45600.0</v>
      </c>
      <c r="B19" s="198" t="s">
        <v>16586</v>
      </c>
      <c r="C19" s="199">
        <v>3000.0</v>
      </c>
      <c r="D19" s="198" t="s">
        <v>171</v>
      </c>
      <c r="E19" s="200" t="s">
        <v>179</v>
      </c>
    </row>
    <row r="20">
      <c r="A20" s="202">
        <v>45600.0</v>
      </c>
      <c r="B20" s="198" t="s">
        <v>134</v>
      </c>
      <c r="C20" s="199">
        <v>33993.0</v>
      </c>
      <c r="D20" s="198" t="s">
        <v>134</v>
      </c>
      <c r="E20" s="200" t="s">
        <v>173</v>
      </c>
    </row>
    <row r="21">
      <c r="A21" s="202">
        <v>45600.0</v>
      </c>
      <c r="B21" s="198" t="s">
        <v>16603</v>
      </c>
      <c r="C21" s="199">
        <v>100000.0</v>
      </c>
      <c r="D21" s="198" t="s">
        <v>145</v>
      </c>
      <c r="E21" s="200" t="s">
        <v>179</v>
      </c>
    </row>
    <row r="22">
      <c r="A22" s="202">
        <v>45600.0</v>
      </c>
      <c r="B22" s="198" t="s">
        <v>16585</v>
      </c>
      <c r="C22" s="199">
        <v>9800.0</v>
      </c>
      <c r="D22" s="198" t="s">
        <v>164</v>
      </c>
      <c r="E22" s="200" t="s">
        <v>173</v>
      </c>
    </row>
    <row r="23">
      <c r="A23" s="202">
        <v>45601.0</v>
      </c>
      <c r="B23" s="198" t="s">
        <v>142</v>
      </c>
      <c r="C23" s="199">
        <v>30.0</v>
      </c>
      <c r="D23" s="198" t="s">
        <v>152</v>
      </c>
      <c r="E23" s="200" t="s">
        <v>179</v>
      </c>
    </row>
    <row r="24">
      <c r="A24" s="202">
        <v>45602.0</v>
      </c>
      <c r="B24" s="198" t="s">
        <v>16589</v>
      </c>
      <c r="C24" s="199">
        <v>15000.0</v>
      </c>
      <c r="D24" s="198" t="s">
        <v>157</v>
      </c>
      <c r="E24" s="200" t="s">
        <v>173</v>
      </c>
    </row>
    <row r="25">
      <c r="A25" s="202">
        <v>45602.0</v>
      </c>
      <c r="B25" s="198" t="s">
        <v>137</v>
      </c>
      <c r="C25" s="199">
        <v>5000.0</v>
      </c>
      <c r="D25" s="198" t="s">
        <v>137</v>
      </c>
      <c r="E25" s="200" t="s">
        <v>179</v>
      </c>
    </row>
    <row r="26">
      <c r="A26" s="202">
        <v>45602.0</v>
      </c>
      <c r="B26" s="198" t="s">
        <v>169</v>
      </c>
      <c r="C26" s="199">
        <v>2622.0</v>
      </c>
      <c r="D26" s="198" t="s">
        <v>169</v>
      </c>
      <c r="E26" s="200" t="s">
        <v>173</v>
      </c>
    </row>
    <row r="27">
      <c r="A27" s="202">
        <v>45602.0</v>
      </c>
      <c r="B27" s="198" t="s">
        <v>169</v>
      </c>
      <c r="C27" s="199">
        <v>5723.0</v>
      </c>
      <c r="D27" s="198" t="s">
        <v>169</v>
      </c>
      <c r="E27" s="200" t="s">
        <v>173</v>
      </c>
    </row>
    <row r="28">
      <c r="A28" s="202">
        <v>45603.0</v>
      </c>
      <c r="B28" s="198" t="s">
        <v>16582</v>
      </c>
      <c r="C28" s="199">
        <v>10859.0</v>
      </c>
      <c r="D28" s="198" t="s">
        <v>129</v>
      </c>
      <c r="E28" s="200" t="s">
        <v>177</v>
      </c>
    </row>
    <row r="29">
      <c r="A29" s="202">
        <v>45603.0</v>
      </c>
      <c r="B29" s="198" t="s">
        <v>142</v>
      </c>
      <c r="C29" s="199">
        <v>3840.0</v>
      </c>
      <c r="D29" s="198" t="s">
        <v>152</v>
      </c>
      <c r="E29" s="200" t="s">
        <v>179</v>
      </c>
    </row>
    <row r="30">
      <c r="A30" s="202">
        <v>45603.0</v>
      </c>
      <c r="B30" s="198" t="s">
        <v>16580</v>
      </c>
      <c r="C30" s="199">
        <v>1500.0</v>
      </c>
      <c r="D30" s="198" t="s">
        <v>147</v>
      </c>
      <c r="E30" s="200" t="s">
        <v>179</v>
      </c>
    </row>
    <row r="31">
      <c r="A31" s="202">
        <v>45603.0</v>
      </c>
      <c r="B31" s="198" t="s">
        <v>16580</v>
      </c>
      <c r="C31" s="199">
        <v>19400.0</v>
      </c>
      <c r="D31" s="198" t="s">
        <v>147</v>
      </c>
      <c r="E31" s="200" t="s">
        <v>179</v>
      </c>
    </row>
    <row r="32">
      <c r="A32" s="202">
        <v>45603.0</v>
      </c>
      <c r="B32" s="198" t="s">
        <v>16602</v>
      </c>
      <c r="C32" s="199">
        <v>7290.0</v>
      </c>
      <c r="D32" s="198" t="s">
        <v>129</v>
      </c>
      <c r="E32" s="200" t="s">
        <v>177</v>
      </c>
    </row>
    <row r="33">
      <c r="A33" s="202">
        <v>45603.0</v>
      </c>
      <c r="B33" s="198" t="s">
        <v>16588</v>
      </c>
      <c r="C33" s="199">
        <v>7050.0</v>
      </c>
      <c r="D33" s="198" t="s">
        <v>147</v>
      </c>
      <c r="E33" s="200" t="s">
        <v>173</v>
      </c>
    </row>
    <row r="34">
      <c r="A34" s="202">
        <v>45604.0</v>
      </c>
      <c r="B34" s="198" t="s">
        <v>134</v>
      </c>
      <c r="C34" s="199">
        <v>19326.0</v>
      </c>
      <c r="D34" s="198" t="s">
        <v>134</v>
      </c>
      <c r="E34" s="200" t="s">
        <v>173</v>
      </c>
    </row>
    <row r="35">
      <c r="A35" s="202">
        <v>45604.0</v>
      </c>
      <c r="B35" s="198" t="s">
        <v>134</v>
      </c>
      <c r="C35" s="199">
        <v>5000.0</v>
      </c>
      <c r="D35" s="198" t="s">
        <v>134</v>
      </c>
      <c r="E35" s="200" t="s">
        <v>175</v>
      </c>
    </row>
    <row r="36">
      <c r="A36" s="202">
        <v>45604.0</v>
      </c>
      <c r="B36" s="198" t="s">
        <v>16603</v>
      </c>
      <c r="C36" s="199">
        <v>10000.0</v>
      </c>
      <c r="D36" s="198" t="s">
        <v>145</v>
      </c>
      <c r="E36" s="200" t="s">
        <v>175</v>
      </c>
    </row>
    <row r="37">
      <c r="A37" s="202">
        <v>45604.0</v>
      </c>
      <c r="B37" s="198" t="s">
        <v>16580</v>
      </c>
      <c r="C37" s="199">
        <v>3000.0</v>
      </c>
      <c r="D37" s="198" t="s">
        <v>147</v>
      </c>
      <c r="E37" s="200" t="s">
        <v>179</v>
      </c>
    </row>
    <row r="38">
      <c r="A38" s="202">
        <v>45604.0</v>
      </c>
      <c r="B38" s="198" t="s">
        <v>16585</v>
      </c>
      <c r="C38" s="199">
        <v>9800.0</v>
      </c>
      <c r="D38" s="198" t="s">
        <v>164</v>
      </c>
      <c r="E38" s="200" t="s">
        <v>173</v>
      </c>
    </row>
    <row r="39">
      <c r="A39" s="202">
        <v>45605.0</v>
      </c>
      <c r="B39" s="198" t="s">
        <v>16601</v>
      </c>
      <c r="C39" s="199">
        <v>8489.0</v>
      </c>
      <c r="D39" s="198" t="s">
        <v>132</v>
      </c>
      <c r="E39" s="200" t="s">
        <v>177</v>
      </c>
    </row>
    <row r="40">
      <c r="A40" s="202">
        <v>45605.0</v>
      </c>
      <c r="B40" s="198" t="s">
        <v>134</v>
      </c>
      <c r="C40" s="199">
        <v>19900.0</v>
      </c>
      <c r="D40" s="198" t="s">
        <v>134</v>
      </c>
      <c r="E40" s="200" t="s">
        <v>173</v>
      </c>
    </row>
    <row r="41">
      <c r="A41" s="202">
        <v>45606.0</v>
      </c>
      <c r="B41" s="198" t="s">
        <v>16598</v>
      </c>
      <c r="C41" s="199">
        <v>10000.0</v>
      </c>
      <c r="D41" s="198" t="s">
        <v>132</v>
      </c>
      <c r="E41" s="200" t="s">
        <v>175</v>
      </c>
    </row>
    <row r="42">
      <c r="A42" s="202">
        <v>45607.0</v>
      </c>
      <c r="B42" s="198" t="s">
        <v>142</v>
      </c>
      <c r="C42" s="199">
        <v>5125.0</v>
      </c>
      <c r="D42" s="198" t="s">
        <v>152</v>
      </c>
      <c r="E42" s="200" t="s">
        <v>179</v>
      </c>
    </row>
    <row r="43">
      <c r="A43" s="202">
        <v>45608.0</v>
      </c>
      <c r="B43" s="198" t="s">
        <v>16580</v>
      </c>
      <c r="C43" s="199">
        <v>3816.5</v>
      </c>
      <c r="D43" s="198" t="s">
        <v>147</v>
      </c>
      <c r="E43" s="200" t="s">
        <v>173</v>
      </c>
    </row>
    <row r="44">
      <c r="A44" s="202">
        <v>45608.0</v>
      </c>
      <c r="B44" s="198" t="s">
        <v>142</v>
      </c>
      <c r="C44" s="199">
        <v>35.0</v>
      </c>
      <c r="D44" s="198" t="s">
        <v>152</v>
      </c>
      <c r="E44" s="200" t="s">
        <v>179</v>
      </c>
    </row>
    <row r="45">
      <c r="A45" s="202">
        <v>45609.0</v>
      </c>
      <c r="B45" s="198" t="s">
        <v>16603</v>
      </c>
      <c r="C45" s="199">
        <v>13330.0</v>
      </c>
      <c r="D45" s="198" t="s">
        <v>145</v>
      </c>
      <c r="E45" s="200" t="s">
        <v>173</v>
      </c>
    </row>
    <row r="46">
      <c r="A46" s="202">
        <v>45610.0</v>
      </c>
      <c r="B46" s="198" t="s">
        <v>16585</v>
      </c>
      <c r="C46" s="199">
        <v>12500.0</v>
      </c>
      <c r="D46" s="198" t="s">
        <v>164</v>
      </c>
      <c r="E46" s="200" t="s">
        <v>175</v>
      </c>
    </row>
    <row r="47">
      <c r="A47" s="202">
        <v>45611.0</v>
      </c>
      <c r="B47" s="198" t="s">
        <v>157</v>
      </c>
      <c r="C47" s="199">
        <v>10812.5</v>
      </c>
      <c r="D47" s="198" t="s">
        <v>157</v>
      </c>
      <c r="E47" s="200" t="s">
        <v>173</v>
      </c>
    </row>
    <row r="48">
      <c r="A48" s="202">
        <v>45611.0</v>
      </c>
      <c r="B48" s="198" t="s">
        <v>157</v>
      </c>
      <c r="C48" s="199">
        <v>10403.0</v>
      </c>
      <c r="D48" s="198" t="s">
        <v>157</v>
      </c>
      <c r="E48" s="200" t="s">
        <v>173</v>
      </c>
    </row>
    <row r="49">
      <c r="A49" s="202">
        <v>45611.0</v>
      </c>
      <c r="B49" s="198" t="s">
        <v>142</v>
      </c>
      <c r="C49" s="199">
        <v>3585.0</v>
      </c>
      <c r="D49" s="198" t="s">
        <v>142</v>
      </c>
      <c r="E49" s="200" t="s">
        <v>177</v>
      </c>
    </row>
    <row r="50">
      <c r="A50" s="202">
        <v>45611.0</v>
      </c>
      <c r="B50" s="198" t="s">
        <v>142</v>
      </c>
      <c r="C50" s="199">
        <v>41.0</v>
      </c>
      <c r="D50" s="198" t="s">
        <v>142</v>
      </c>
      <c r="E50" s="200" t="s">
        <v>179</v>
      </c>
    </row>
    <row r="51">
      <c r="A51" s="202">
        <v>45611.0</v>
      </c>
      <c r="B51" s="198" t="s">
        <v>16580</v>
      </c>
      <c r="C51" s="199">
        <v>2101.0</v>
      </c>
      <c r="D51" s="198" t="s">
        <v>147</v>
      </c>
      <c r="E51" s="200" t="s">
        <v>173</v>
      </c>
    </row>
    <row r="52">
      <c r="A52" s="202">
        <v>45611.0</v>
      </c>
      <c r="B52" s="198" t="s">
        <v>16585</v>
      </c>
      <c r="C52" s="199">
        <v>9750.0</v>
      </c>
      <c r="D52" s="198" t="s">
        <v>164</v>
      </c>
      <c r="E52" s="200" t="s">
        <v>177</v>
      </c>
    </row>
    <row r="53">
      <c r="A53" s="202">
        <v>45611.0</v>
      </c>
      <c r="B53" s="198" t="s">
        <v>167</v>
      </c>
      <c r="C53" s="199">
        <v>41140.0</v>
      </c>
      <c r="D53" s="198" t="s">
        <v>167</v>
      </c>
      <c r="E53" s="200" t="s">
        <v>179</v>
      </c>
    </row>
    <row r="54">
      <c r="A54" s="202">
        <v>45612.0</v>
      </c>
      <c r="B54" s="198" t="s">
        <v>16580</v>
      </c>
      <c r="C54" s="199">
        <v>4500.0</v>
      </c>
      <c r="D54" s="198" t="s">
        <v>147</v>
      </c>
      <c r="E54" s="200" t="s">
        <v>179</v>
      </c>
    </row>
    <row r="55">
      <c r="A55" s="202">
        <v>45612.0</v>
      </c>
      <c r="B55" s="198" t="s">
        <v>16580</v>
      </c>
      <c r="C55" s="199">
        <v>5700.0</v>
      </c>
      <c r="D55" s="198" t="s">
        <v>147</v>
      </c>
      <c r="E55" s="200" t="s">
        <v>179</v>
      </c>
    </row>
    <row r="56">
      <c r="A56" s="202">
        <v>45612.0</v>
      </c>
      <c r="B56" s="198" t="s">
        <v>16580</v>
      </c>
      <c r="C56" s="199">
        <v>12000.0</v>
      </c>
      <c r="D56" s="198" t="s">
        <v>147</v>
      </c>
      <c r="E56" s="200" t="s">
        <v>179</v>
      </c>
    </row>
    <row r="57">
      <c r="A57" s="202">
        <v>45612.0</v>
      </c>
      <c r="B57" s="198" t="s">
        <v>157</v>
      </c>
      <c r="C57" s="199">
        <v>600.0</v>
      </c>
      <c r="D57" s="198" t="s">
        <v>157</v>
      </c>
      <c r="E57" s="200" t="s">
        <v>179</v>
      </c>
    </row>
    <row r="58">
      <c r="A58" s="202">
        <v>45612.0</v>
      </c>
      <c r="B58" s="198" t="s">
        <v>16585</v>
      </c>
      <c r="C58" s="199">
        <v>2000.0</v>
      </c>
      <c r="D58" s="198" t="s">
        <v>164</v>
      </c>
      <c r="E58" s="200" t="s">
        <v>179</v>
      </c>
    </row>
    <row r="59">
      <c r="A59" s="202">
        <v>45613.0</v>
      </c>
      <c r="B59" s="198" t="s">
        <v>16579</v>
      </c>
      <c r="C59" s="199">
        <v>12000.0</v>
      </c>
      <c r="D59" s="198" t="s">
        <v>140</v>
      </c>
      <c r="E59" s="200" t="s">
        <v>185</v>
      </c>
    </row>
    <row r="60">
      <c r="A60" s="202">
        <v>45613.0</v>
      </c>
      <c r="B60" s="198" t="s">
        <v>142</v>
      </c>
      <c r="C60" s="199">
        <v>5798.0</v>
      </c>
      <c r="D60" s="198" t="s">
        <v>142</v>
      </c>
      <c r="E60" s="200" t="s">
        <v>179</v>
      </c>
    </row>
    <row r="61">
      <c r="A61" s="202">
        <v>45613.0</v>
      </c>
      <c r="B61" s="198" t="s">
        <v>142</v>
      </c>
      <c r="C61" s="199">
        <v>2800.0</v>
      </c>
      <c r="D61" s="198" t="s">
        <v>164</v>
      </c>
      <c r="E61" s="200" t="s">
        <v>179</v>
      </c>
    </row>
    <row r="62">
      <c r="A62" s="202">
        <v>45613.0</v>
      </c>
      <c r="B62" s="198" t="s">
        <v>169</v>
      </c>
      <c r="C62" s="199">
        <v>4838.0</v>
      </c>
      <c r="D62" s="198" t="s">
        <v>169</v>
      </c>
      <c r="E62" s="200" t="s">
        <v>173</v>
      </c>
    </row>
    <row r="63">
      <c r="A63" s="202">
        <v>45614.0</v>
      </c>
      <c r="B63" s="198" t="s">
        <v>152</v>
      </c>
      <c r="C63" s="199">
        <v>2200.0</v>
      </c>
      <c r="D63" s="198" t="s">
        <v>152</v>
      </c>
      <c r="E63" s="200" t="s">
        <v>179</v>
      </c>
    </row>
    <row r="64">
      <c r="A64" s="202">
        <v>45616.0</v>
      </c>
      <c r="B64" s="198" t="s">
        <v>134</v>
      </c>
      <c r="C64" s="199">
        <v>9666.0</v>
      </c>
      <c r="D64" s="198" t="s">
        <v>134</v>
      </c>
      <c r="E64" s="200" t="s">
        <v>173</v>
      </c>
    </row>
    <row r="65">
      <c r="A65" s="202">
        <v>45616.0</v>
      </c>
      <c r="B65" s="198" t="s">
        <v>16593</v>
      </c>
      <c r="C65" s="199">
        <v>14850.0</v>
      </c>
      <c r="D65" s="198" t="s">
        <v>129</v>
      </c>
      <c r="E65" s="200" t="s">
        <v>177</v>
      </c>
    </row>
    <row r="66">
      <c r="A66" s="202">
        <v>45616.0</v>
      </c>
      <c r="B66" s="198" t="s">
        <v>142</v>
      </c>
      <c r="C66" s="199">
        <v>3500.0</v>
      </c>
      <c r="D66" s="198" t="s">
        <v>152</v>
      </c>
      <c r="E66" s="200" t="s">
        <v>179</v>
      </c>
    </row>
    <row r="67">
      <c r="A67" s="202">
        <v>45616.0</v>
      </c>
      <c r="B67" s="198" t="s">
        <v>16590</v>
      </c>
      <c r="C67" s="199">
        <v>14705.0</v>
      </c>
      <c r="D67" s="198" t="s">
        <v>155</v>
      </c>
      <c r="E67" s="200" t="s">
        <v>173</v>
      </c>
    </row>
    <row r="68">
      <c r="A68" s="202">
        <v>45616.0</v>
      </c>
      <c r="B68" s="198" t="s">
        <v>16588</v>
      </c>
      <c r="C68" s="199">
        <v>8400.0</v>
      </c>
      <c r="D68" s="198" t="s">
        <v>11</v>
      </c>
      <c r="E68" s="200" t="s">
        <v>173</v>
      </c>
    </row>
    <row r="69">
      <c r="A69" s="202">
        <v>45616.0</v>
      </c>
      <c r="B69" s="198" t="s">
        <v>16594</v>
      </c>
      <c r="C69" s="199">
        <v>13350.0</v>
      </c>
      <c r="D69" s="198" t="s">
        <v>129</v>
      </c>
      <c r="E69" s="200" t="s">
        <v>177</v>
      </c>
    </row>
    <row r="70">
      <c r="A70" s="202">
        <v>45617.0</v>
      </c>
      <c r="B70" s="198" t="s">
        <v>16578</v>
      </c>
      <c r="C70" s="199">
        <v>2361.0</v>
      </c>
      <c r="D70" s="198" t="s">
        <v>147</v>
      </c>
      <c r="E70" s="200" t="s">
        <v>173</v>
      </c>
    </row>
    <row r="71">
      <c r="A71" s="202">
        <v>45617.0</v>
      </c>
      <c r="B71" s="198" t="s">
        <v>16580</v>
      </c>
      <c r="C71" s="199">
        <v>10066.0</v>
      </c>
      <c r="D71" s="198" t="s">
        <v>159</v>
      </c>
      <c r="E71" s="200" t="s">
        <v>173</v>
      </c>
    </row>
    <row r="72">
      <c r="A72" s="202">
        <v>45617.0</v>
      </c>
      <c r="B72" s="198" t="s">
        <v>16580</v>
      </c>
      <c r="C72" s="199">
        <v>8750.0</v>
      </c>
      <c r="D72" s="198" t="s">
        <v>159</v>
      </c>
      <c r="E72" s="200" t="s">
        <v>173</v>
      </c>
    </row>
    <row r="73">
      <c r="A73" s="202">
        <v>45617.0</v>
      </c>
      <c r="B73" s="198" t="s">
        <v>142</v>
      </c>
      <c r="C73" s="199">
        <v>4268.0</v>
      </c>
      <c r="D73" s="198" t="s">
        <v>142</v>
      </c>
      <c r="E73" s="200" t="s">
        <v>177</v>
      </c>
    </row>
    <row r="74">
      <c r="A74" s="202">
        <v>45617.0</v>
      </c>
      <c r="B74" s="198" t="s">
        <v>157</v>
      </c>
      <c r="C74" s="199">
        <v>15000.0</v>
      </c>
      <c r="D74" s="198" t="s">
        <v>157</v>
      </c>
      <c r="E74" s="200" t="s">
        <v>173</v>
      </c>
    </row>
    <row r="75">
      <c r="A75" s="202">
        <v>45617.0</v>
      </c>
      <c r="B75" s="198" t="s">
        <v>159</v>
      </c>
      <c r="C75" s="199">
        <v>30000.0</v>
      </c>
      <c r="D75" s="198" t="s">
        <v>159</v>
      </c>
      <c r="E75" s="200" t="s">
        <v>179</v>
      </c>
    </row>
    <row r="76">
      <c r="A76" s="202">
        <v>45617.0</v>
      </c>
      <c r="B76" s="198" t="s">
        <v>16585</v>
      </c>
      <c r="C76" s="199">
        <v>5600.0</v>
      </c>
      <c r="D76" s="198" t="s">
        <v>164</v>
      </c>
      <c r="E76" s="200" t="s">
        <v>179</v>
      </c>
    </row>
    <row r="77">
      <c r="A77" s="202">
        <v>45617.0</v>
      </c>
      <c r="B77" s="198" t="s">
        <v>169</v>
      </c>
      <c r="C77" s="199">
        <v>5132.0</v>
      </c>
      <c r="D77" s="198" t="s">
        <v>169</v>
      </c>
      <c r="E77" s="200" t="s">
        <v>173</v>
      </c>
    </row>
    <row r="78">
      <c r="A78" s="202">
        <v>45618.0</v>
      </c>
      <c r="B78" s="198" t="s">
        <v>16586</v>
      </c>
      <c r="C78" s="199">
        <v>10101.0</v>
      </c>
      <c r="D78" s="198" t="s">
        <v>171</v>
      </c>
      <c r="E78" s="200" t="s">
        <v>179</v>
      </c>
    </row>
    <row r="79">
      <c r="A79" s="202">
        <v>45618.0</v>
      </c>
      <c r="B79" s="198" t="s">
        <v>142</v>
      </c>
      <c r="C79" s="199">
        <v>10481.0</v>
      </c>
      <c r="D79" s="198" t="s">
        <v>142</v>
      </c>
      <c r="E79" s="200" t="s">
        <v>177</v>
      </c>
    </row>
    <row r="80">
      <c r="A80" s="202">
        <v>45618.0</v>
      </c>
      <c r="B80" s="198" t="s">
        <v>16585</v>
      </c>
      <c r="C80" s="199">
        <v>8899.0</v>
      </c>
      <c r="D80" s="198" t="s">
        <v>164</v>
      </c>
      <c r="E80" s="200" t="s">
        <v>173</v>
      </c>
    </row>
    <row r="81">
      <c r="A81" s="202">
        <v>45619.0</v>
      </c>
      <c r="B81" s="198" t="s">
        <v>16598</v>
      </c>
      <c r="C81" s="199">
        <v>10000.0</v>
      </c>
      <c r="D81" s="198" t="s">
        <v>132</v>
      </c>
      <c r="E81" s="200" t="s">
        <v>179</v>
      </c>
    </row>
    <row r="82">
      <c r="A82" s="202">
        <v>45619.0</v>
      </c>
      <c r="B82" s="198" t="s">
        <v>16585</v>
      </c>
      <c r="C82" s="199">
        <v>6150.0</v>
      </c>
      <c r="D82" s="198" t="s">
        <v>164</v>
      </c>
      <c r="E82" s="200" t="s">
        <v>177</v>
      </c>
    </row>
    <row r="83">
      <c r="A83" s="202">
        <v>45619.0</v>
      </c>
      <c r="B83" s="198" t="s">
        <v>16585</v>
      </c>
      <c r="C83" s="199">
        <v>2200.0</v>
      </c>
      <c r="D83" s="198" t="s">
        <v>164</v>
      </c>
      <c r="E83" s="200" t="s">
        <v>185</v>
      </c>
    </row>
    <row r="84">
      <c r="A84" s="202">
        <v>45619.0</v>
      </c>
      <c r="B84" s="198" t="s">
        <v>132</v>
      </c>
      <c r="C84" s="199">
        <v>650.0</v>
      </c>
      <c r="D84" s="198" t="s">
        <v>132</v>
      </c>
      <c r="E84" s="200" t="s">
        <v>179</v>
      </c>
    </row>
    <row r="85">
      <c r="A85" s="202">
        <v>45620.0</v>
      </c>
      <c r="B85" s="198" t="s">
        <v>11</v>
      </c>
      <c r="C85" s="199">
        <v>20000.0</v>
      </c>
      <c r="D85" s="198" t="s">
        <v>11</v>
      </c>
      <c r="E85" s="200" t="s">
        <v>173</v>
      </c>
    </row>
    <row r="86">
      <c r="A86" s="202">
        <v>45621.0</v>
      </c>
      <c r="B86" s="198" t="s">
        <v>16592</v>
      </c>
      <c r="C86" s="199">
        <v>8700.0</v>
      </c>
      <c r="D86" s="198" t="s">
        <v>129</v>
      </c>
      <c r="E86" s="200" t="s">
        <v>179</v>
      </c>
    </row>
    <row r="87">
      <c r="A87" s="202">
        <v>45622.0</v>
      </c>
      <c r="B87" s="198" t="s">
        <v>152</v>
      </c>
      <c r="C87" s="199">
        <v>3500.0</v>
      </c>
      <c r="D87" s="198" t="s">
        <v>152</v>
      </c>
      <c r="E87" s="200" t="s">
        <v>179</v>
      </c>
    </row>
    <row r="88">
      <c r="A88" s="202">
        <v>45623.0</v>
      </c>
      <c r="B88" s="198" t="s">
        <v>16590</v>
      </c>
      <c r="C88" s="199">
        <v>5981.84</v>
      </c>
      <c r="D88" s="198" t="s">
        <v>155</v>
      </c>
      <c r="E88" s="200" t="s">
        <v>173</v>
      </c>
    </row>
    <row r="89">
      <c r="A89" s="202">
        <v>45623.0</v>
      </c>
      <c r="B89" s="198" t="s">
        <v>142</v>
      </c>
      <c r="C89" s="199">
        <v>7250.0</v>
      </c>
      <c r="D89" s="198" t="s">
        <v>142</v>
      </c>
      <c r="E89" s="200" t="s">
        <v>177</v>
      </c>
    </row>
    <row r="90">
      <c r="A90" s="202">
        <v>45624.0</v>
      </c>
      <c r="B90" s="198" t="s">
        <v>142</v>
      </c>
      <c r="C90" s="199">
        <v>4100.0</v>
      </c>
      <c r="D90" s="198" t="s">
        <v>152</v>
      </c>
      <c r="E90" s="200" t="s">
        <v>179</v>
      </c>
    </row>
    <row r="91">
      <c r="A91" s="202">
        <v>45624.0</v>
      </c>
      <c r="B91" s="198" t="s">
        <v>152</v>
      </c>
      <c r="C91" s="199">
        <v>4700.0</v>
      </c>
      <c r="D91" s="198" t="s">
        <v>152</v>
      </c>
      <c r="E91" s="200" t="s">
        <v>179</v>
      </c>
    </row>
    <row r="92">
      <c r="A92" s="202">
        <v>45625.0</v>
      </c>
      <c r="B92" s="198" t="s">
        <v>11</v>
      </c>
      <c r="C92" s="199">
        <v>1800.0</v>
      </c>
      <c r="D92" s="198" t="s">
        <v>11</v>
      </c>
      <c r="E92" s="200" t="s">
        <v>173</v>
      </c>
    </row>
    <row r="93">
      <c r="A93" s="202">
        <v>45625.0</v>
      </c>
      <c r="B93" s="198" t="s">
        <v>16582</v>
      </c>
      <c r="C93" s="199">
        <v>21000.0</v>
      </c>
      <c r="D93" s="198" t="s">
        <v>129</v>
      </c>
      <c r="E93" s="200" t="s">
        <v>173</v>
      </c>
    </row>
    <row r="94">
      <c r="A94" s="202">
        <v>45625.0</v>
      </c>
      <c r="B94" s="198" t="s">
        <v>167</v>
      </c>
      <c r="C94" s="199">
        <v>26620.0</v>
      </c>
      <c r="D94" s="198" t="s">
        <v>167</v>
      </c>
      <c r="E94" s="200" t="s">
        <v>179</v>
      </c>
    </row>
    <row r="95">
      <c r="A95" s="202">
        <v>45626.0</v>
      </c>
      <c r="B95" s="198" t="s">
        <v>16580</v>
      </c>
      <c r="C95" s="199">
        <v>12797.0</v>
      </c>
      <c r="D95" s="198" t="s">
        <v>147</v>
      </c>
      <c r="E95" s="200" t="s">
        <v>173</v>
      </c>
    </row>
    <row r="96">
      <c r="A96" s="202">
        <v>45626.0</v>
      </c>
      <c r="B96" s="198" t="s">
        <v>16581</v>
      </c>
      <c r="C96" s="199">
        <v>12944.0</v>
      </c>
      <c r="D96" s="198" t="s">
        <v>129</v>
      </c>
      <c r="E96" s="200" t="s">
        <v>173</v>
      </c>
    </row>
    <row r="97">
      <c r="A97" s="202">
        <v>45626.0</v>
      </c>
      <c r="B97" s="198" t="s">
        <v>16589</v>
      </c>
      <c r="C97" s="199">
        <v>4700.0</v>
      </c>
      <c r="D97" s="198" t="s">
        <v>145</v>
      </c>
      <c r="E97" s="200" t="s">
        <v>179</v>
      </c>
    </row>
    <row r="98">
      <c r="A98" s="202">
        <v>45626.0</v>
      </c>
      <c r="B98" s="198" t="s">
        <v>157</v>
      </c>
      <c r="C98" s="199">
        <v>17500.0</v>
      </c>
      <c r="D98" s="198" t="s">
        <v>157</v>
      </c>
      <c r="E98" s="200" t="s">
        <v>173</v>
      </c>
    </row>
    <row r="99">
      <c r="A99" s="202">
        <v>45626.0</v>
      </c>
      <c r="B99" s="198" t="s">
        <v>142</v>
      </c>
      <c r="C99" s="199">
        <v>5975.0</v>
      </c>
      <c r="D99" s="198" t="s">
        <v>142</v>
      </c>
      <c r="E99" s="200" t="s">
        <v>179</v>
      </c>
    </row>
    <row r="100">
      <c r="A100" s="202">
        <v>45626.0</v>
      </c>
      <c r="B100" s="198" t="s">
        <v>142</v>
      </c>
      <c r="C100" s="199">
        <v>7050.0</v>
      </c>
      <c r="D100" s="198" t="s">
        <v>164</v>
      </c>
      <c r="E100" s="200" t="s">
        <v>179</v>
      </c>
    </row>
    <row r="101">
      <c r="A101" s="202">
        <v>45626.0</v>
      </c>
      <c r="B101" s="198" t="s">
        <v>16580</v>
      </c>
      <c r="C101" s="199">
        <v>14200.0</v>
      </c>
      <c r="D101" s="198" t="s">
        <v>132</v>
      </c>
      <c r="E101" s="200" t="s">
        <v>177</v>
      </c>
    </row>
    <row r="102">
      <c r="A102" s="202">
        <v>45626.0</v>
      </c>
      <c r="B102" s="198" t="s">
        <v>132</v>
      </c>
      <c r="C102" s="199">
        <v>6000.0</v>
      </c>
      <c r="D102" s="198" t="s">
        <v>132</v>
      </c>
      <c r="E102" s="200" t="s">
        <v>177</v>
      </c>
    </row>
    <row r="103">
      <c r="A103" s="202">
        <v>45626.0</v>
      </c>
      <c r="B103" s="198" t="s">
        <v>16585</v>
      </c>
      <c r="C103" s="199">
        <v>14000.0</v>
      </c>
      <c r="D103" s="198" t="s">
        <v>164</v>
      </c>
      <c r="E103" s="200" t="s">
        <v>179</v>
      </c>
    </row>
  </sheetData>
  <dataValidations>
    <dataValidation type="custom" allowBlank="1" showDropDown="1" sqref="A2:A103">
      <formula1>OR(NOT(ISERROR(DATEVALUE(A2))), AND(ISNUMBER(A2), LEFT(CELL("format", A2))="D"))</formula1>
    </dataValidation>
    <dataValidation type="custom" allowBlank="1" showDropDown="1" sqref="C2:C103">
      <formula1>AND(ISNUMBER(C2),(NOT(OR(NOT(ISERROR(DATEVALUE(C2))), AND(ISNUMBER(C2), LEFT(CELL("format", C2))="D")))))</formula1>
    </dataValidation>
    <dataValidation allowBlank="1" showDropDown="1" sqref="B2:B103 D2:E103"/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0"/>
    <col customWidth="1" min="3" max="3" width="13.13"/>
    <col customWidth="1" min="4" max="4" width="19.38"/>
    <col customWidth="1" min="5" max="5" width="21.38"/>
  </cols>
  <sheetData>
    <row r="1">
      <c r="A1" s="196" t="s">
        <v>0</v>
      </c>
      <c r="B1" s="196" t="s">
        <v>1</v>
      </c>
      <c r="C1" s="196" t="s">
        <v>2</v>
      </c>
      <c r="D1" s="196" t="s">
        <v>3</v>
      </c>
      <c r="E1" s="196" t="s">
        <v>4</v>
      </c>
    </row>
    <row r="2">
      <c r="A2" s="202">
        <v>45627.0</v>
      </c>
      <c r="B2" s="198" t="s">
        <v>16580</v>
      </c>
      <c r="C2" s="199">
        <v>15015.0</v>
      </c>
      <c r="D2" s="198" t="s">
        <v>147</v>
      </c>
      <c r="E2" s="201" t="s">
        <v>177</v>
      </c>
    </row>
    <row r="3">
      <c r="A3" s="202">
        <v>45627.0</v>
      </c>
      <c r="B3" s="198" t="s">
        <v>16580</v>
      </c>
      <c r="C3" s="199">
        <v>2754.5</v>
      </c>
      <c r="D3" s="198" t="s">
        <v>147</v>
      </c>
      <c r="E3" s="201" t="s">
        <v>177</v>
      </c>
    </row>
    <row r="4">
      <c r="A4" s="202">
        <v>45627.0</v>
      </c>
      <c r="B4" s="198" t="s">
        <v>16601</v>
      </c>
      <c r="C4" s="199">
        <v>35750.5</v>
      </c>
      <c r="D4" s="198" t="s">
        <v>132</v>
      </c>
      <c r="E4" s="201" t="s">
        <v>177</v>
      </c>
    </row>
    <row r="5">
      <c r="A5" s="202">
        <v>45627.0</v>
      </c>
      <c r="B5" s="198" t="s">
        <v>16588</v>
      </c>
      <c r="C5" s="199">
        <v>3878.0</v>
      </c>
      <c r="D5" s="198" t="s">
        <v>11</v>
      </c>
      <c r="E5" s="201" t="s">
        <v>173</v>
      </c>
    </row>
    <row r="6">
      <c r="A6" s="202">
        <v>45627.0</v>
      </c>
      <c r="B6" s="198" t="s">
        <v>16594</v>
      </c>
      <c r="C6" s="199">
        <v>1547.0</v>
      </c>
      <c r="D6" s="198" t="s">
        <v>129</v>
      </c>
      <c r="E6" s="201" t="s">
        <v>177</v>
      </c>
    </row>
    <row r="7">
      <c r="A7" s="202">
        <v>45628.0</v>
      </c>
      <c r="B7" s="198" t="s">
        <v>16582</v>
      </c>
      <c r="C7" s="199">
        <v>8371.0</v>
      </c>
      <c r="D7" s="198" t="s">
        <v>129</v>
      </c>
      <c r="E7" s="201" t="s">
        <v>177</v>
      </c>
    </row>
    <row r="8">
      <c r="A8" s="202">
        <v>45628.0</v>
      </c>
      <c r="B8" s="198" t="s">
        <v>142</v>
      </c>
      <c r="C8" s="199">
        <v>381.0</v>
      </c>
      <c r="D8" s="198" t="s">
        <v>142</v>
      </c>
      <c r="E8" s="201" t="s">
        <v>179</v>
      </c>
    </row>
    <row r="9">
      <c r="A9" s="202">
        <v>45628.0</v>
      </c>
      <c r="B9" s="198" t="s">
        <v>142</v>
      </c>
      <c r="C9" s="199">
        <v>43.0</v>
      </c>
      <c r="D9" s="198" t="s">
        <v>142</v>
      </c>
      <c r="E9" s="201" t="s">
        <v>179</v>
      </c>
    </row>
    <row r="10">
      <c r="A10" s="202">
        <v>45628.0</v>
      </c>
      <c r="B10" s="198" t="s">
        <v>159</v>
      </c>
      <c r="C10" s="199">
        <v>15000.0</v>
      </c>
      <c r="D10" s="198" t="s">
        <v>159</v>
      </c>
      <c r="E10" s="201" t="s">
        <v>179</v>
      </c>
    </row>
    <row r="11">
      <c r="A11" s="202">
        <v>45629.0</v>
      </c>
      <c r="B11" s="198" t="s">
        <v>16599</v>
      </c>
      <c r="C11" s="199">
        <v>300000.0</v>
      </c>
      <c r="D11" s="198" t="s">
        <v>162</v>
      </c>
      <c r="E11" s="201" t="s">
        <v>183</v>
      </c>
    </row>
    <row r="12">
      <c r="A12" s="202">
        <v>45630.0</v>
      </c>
      <c r="B12" s="198" t="s">
        <v>134</v>
      </c>
      <c r="C12" s="199">
        <v>33993.0</v>
      </c>
      <c r="D12" s="198" t="s">
        <v>134</v>
      </c>
      <c r="E12" s="201" t="s">
        <v>173</v>
      </c>
    </row>
    <row r="13">
      <c r="A13" s="202">
        <v>45630.0</v>
      </c>
      <c r="B13" s="198" t="s">
        <v>142</v>
      </c>
      <c r="C13" s="199">
        <v>35.0</v>
      </c>
      <c r="D13" s="198" t="s">
        <v>152</v>
      </c>
      <c r="E13" s="201" t="s">
        <v>179</v>
      </c>
    </row>
    <row r="14">
      <c r="A14" s="202">
        <v>45630.0</v>
      </c>
      <c r="B14" s="198" t="s">
        <v>142</v>
      </c>
      <c r="C14" s="199">
        <v>1000.0</v>
      </c>
      <c r="D14" s="198" t="s">
        <v>142</v>
      </c>
      <c r="E14" s="201" t="s">
        <v>179</v>
      </c>
    </row>
    <row r="15">
      <c r="A15" s="202">
        <v>45630.0</v>
      </c>
      <c r="B15" s="198" t="s">
        <v>16585</v>
      </c>
      <c r="C15" s="199">
        <v>6300.0</v>
      </c>
      <c r="D15" s="198" t="s">
        <v>164</v>
      </c>
      <c r="E15" s="201" t="s">
        <v>179</v>
      </c>
    </row>
    <row r="16">
      <c r="A16" s="202">
        <v>45630.0</v>
      </c>
      <c r="B16" s="198" t="s">
        <v>167</v>
      </c>
      <c r="C16" s="199">
        <v>67760.0</v>
      </c>
      <c r="D16" s="198" t="s">
        <v>167</v>
      </c>
      <c r="E16" s="201" t="s">
        <v>179</v>
      </c>
    </row>
    <row r="17">
      <c r="A17" s="202">
        <v>45631.0</v>
      </c>
      <c r="B17" s="198" t="s">
        <v>16598</v>
      </c>
      <c r="C17" s="199">
        <v>7500.0</v>
      </c>
      <c r="D17" s="198" t="s">
        <v>132</v>
      </c>
      <c r="E17" s="201" t="s">
        <v>175</v>
      </c>
    </row>
    <row r="18">
      <c r="A18" s="202">
        <v>45631.0</v>
      </c>
      <c r="B18" s="198" t="s">
        <v>16602</v>
      </c>
      <c r="C18" s="199">
        <v>7661.0</v>
      </c>
      <c r="D18" s="198" t="s">
        <v>129</v>
      </c>
      <c r="E18" s="201" t="s">
        <v>177</v>
      </c>
    </row>
    <row r="19">
      <c r="A19" s="202">
        <v>45631.0</v>
      </c>
      <c r="B19" s="198" t="s">
        <v>157</v>
      </c>
      <c r="C19" s="199">
        <v>10000.0</v>
      </c>
      <c r="D19" s="198" t="s">
        <v>157</v>
      </c>
      <c r="E19" s="201" t="s">
        <v>175</v>
      </c>
    </row>
    <row r="20">
      <c r="A20" s="202">
        <v>45632.0</v>
      </c>
      <c r="B20" s="198" t="s">
        <v>169</v>
      </c>
      <c r="C20" s="199">
        <v>2622.0</v>
      </c>
      <c r="D20" s="198" t="s">
        <v>169</v>
      </c>
      <c r="E20" s="201" t="s">
        <v>173</v>
      </c>
    </row>
    <row r="21">
      <c r="A21" s="202">
        <v>45632.0</v>
      </c>
      <c r="B21" s="198" t="s">
        <v>169</v>
      </c>
      <c r="C21" s="199">
        <v>5723.0</v>
      </c>
      <c r="D21" s="198" t="s">
        <v>169</v>
      </c>
      <c r="E21" s="201" t="s">
        <v>173</v>
      </c>
    </row>
    <row r="22">
      <c r="A22" s="202">
        <v>45634.0</v>
      </c>
      <c r="B22" s="198" t="s">
        <v>134</v>
      </c>
      <c r="C22" s="199">
        <v>19326.0</v>
      </c>
      <c r="D22" s="198" t="s">
        <v>134</v>
      </c>
      <c r="E22" s="201" t="s">
        <v>173</v>
      </c>
    </row>
    <row r="23">
      <c r="A23" s="202">
        <v>45634.0</v>
      </c>
      <c r="B23" s="198" t="s">
        <v>142</v>
      </c>
      <c r="C23" s="199">
        <v>24704.0</v>
      </c>
      <c r="D23" s="198" t="s">
        <v>142</v>
      </c>
      <c r="E23" s="201" t="s">
        <v>183</v>
      </c>
    </row>
    <row r="24">
      <c r="A24" s="202">
        <v>45635.0</v>
      </c>
      <c r="B24" s="198" t="s">
        <v>16589</v>
      </c>
      <c r="C24" s="199">
        <v>6000.0</v>
      </c>
      <c r="D24" s="198" t="s">
        <v>145</v>
      </c>
      <c r="E24" s="201" t="s">
        <v>179</v>
      </c>
    </row>
    <row r="25">
      <c r="A25" s="202">
        <v>45636.0</v>
      </c>
      <c r="B25" s="198" t="s">
        <v>16580</v>
      </c>
      <c r="C25" s="199">
        <v>3816.5</v>
      </c>
      <c r="D25" s="198" t="s">
        <v>147</v>
      </c>
      <c r="E25" s="201" t="s">
        <v>173</v>
      </c>
    </row>
    <row r="26">
      <c r="A26" s="202">
        <v>45636.0</v>
      </c>
      <c r="B26" s="198" t="s">
        <v>137</v>
      </c>
      <c r="C26" s="199">
        <v>5000.0</v>
      </c>
      <c r="D26" s="198" t="s">
        <v>137</v>
      </c>
      <c r="E26" s="201" t="s">
        <v>179</v>
      </c>
    </row>
    <row r="27">
      <c r="A27" s="202">
        <v>45636.0</v>
      </c>
      <c r="B27" s="198" t="s">
        <v>142</v>
      </c>
      <c r="C27" s="199">
        <v>2400.0</v>
      </c>
      <c r="D27" s="198" t="s">
        <v>142</v>
      </c>
      <c r="E27" s="201" t="s">
        <v>177</v>
      </c>
    </row>
    <row r="28">
      <c r="A28" s="202">
        <v>45637.0</v>
      </c>
      <c r="B28" s="198" t="s">
        <v>16579</v>
      </c>
      <c r="C28" s="199">
        <v>6033.0</v>
      </c>
      <c r="D28" s="198" t="s">
        <v>140</v>
      </c>
      <c r="E28" s="201" t="s">
        <v>173</v>
      </c>
    </row>
    <row r="29">
      <c r="A29" s="202">
        <v>45637.0</v>
      </c>
      <c r="B29" s="198" t="s">
        <v>142</v>
      </c>
      <c r="C29" s="199">
        <v>4000.0</v>
      </c>
      <c r="D29" s="198" t="s">
        <v>142</v>
      </c>
      <c r="E29" s="201" t="s">
        <v>177</v>
      </c>
    </row>
    <row r="30">
      <c r="A30" s="202">
        <v>45637.0</v>
      </c>
      <c r="B30" s="198" t="s">
        <v>132</v>
      </c>
      <c r="C30" s="199">
        <v>9000.0</v>
      </c>
      <c r="D30" s="198" t="s">
        <v>132</v>
      </c>
      <c r="E30" s="201" t="s">
        <v>175</v>
      </c>
    </row>
    <row r="31">
      <c r="A31" s="202">
        <v>45637.0</v>
      </c>
      <c r="B31" s="198" t="s">
        <v>132</v>
      </c>
      <c r="C31" s="199">
        <v>7000.0</v>
      </c>
      <c r="D31" s="198" t="s">
        <v>132</v>
      </c>
      <c r="E31" s="201" t="s">
        <v>175</v>
      </c>
    </row>
    <row r="32">
      <c r="A32" s="202">
        <v>45638.0</v>
      </c>
      <c r="B32" s="198" t="s">
        <v>134</v>
      </c>
      <c r="C32" s="199">
        <v>11200.0</v>
      </c>
      <c r="D32" s="198" t="s">
        <v>171</v>
      </c>
      <c r="E32" s="201" t="s">
        <v>179</v>
      </c>
    </row>
    <row r="33">
      <c r="A33" s="202">
        <v>45639.0</v>
      </c>
      <c r="B33" s="198" t="s">
        <v>145</v>
      </c>
      <c r="C33" s="199">
        <v>13330.0</v>
      </c>
      <c r="D33" s="198" t="s">
        <v>145</v>
      </c>
      <c r="E33" s="201" t="s">
        <v>173</v>
      </c>
    </row>
    <row r="34">
      <c r="A34" s="202">
        <v>45639.0</v>
      </c>
      <c r="B34" s="198" t="s">
        <v>142</v>
      </c>
      <c r="C34" s="199">
        <v>27.0</v>
      </c>
      <c r="D34" s="198" t="s">
        <v>152</v>
      </c>
      <c r="E34" s="201" t="s">
        <v>179</v>
      </c>
    </row>
    <row r="35">
      <c r="A35" s="202">
        <v>45639.0</v>
      </c>
      <c r="B35" s="198" t="s">
        <v>16590</v>
      </c>
      <c r="C35" s="199">
        <v>34447.0</v>
      </c>
      <c r="D35" s="198" t="s">
        <v>142</v>
      </c>
      <c r="E35" s="201" t="s">
        <v>173</v>
      </c>
    </row>
    <row r="36">
      <c r="A36" s="202">
        <v>45640.0</v>
      </c>
      <c r="B36" s="198" t="s">
        <v>142</v>
      </c>
      <c r="C36" s="199">
        <v>1800.0</v>
      </c>
      <c r="D36" s="198" t="s">
        <v>142</v>
      </c>
      <c r="E36" s="201" t="s">
        <v>177</v>
      </c>
    </row>
    <row r="37">
      <c r="A37" s="202">
        <v>45640.0</v>
      </c>
      <c r="B37" s="198" t="s">
        <v>142</v>
      </c>
      <c r="C37" s="199">
        <v>2400.0</v>
      </c>
      <c r="D37" s="198" t="s">
        <v>142</v>
      </c>
      <c r="E37" s="201" t="s">
        <v>177</v>
      </c>
    </row>
    <row r="38">
      <c r="A38" s="202">
        <v>45640.0</v>
      </c>
      <c r="B38" s="198" t="s">
        <v>16585</v>
      </c>
      <c r="C38" s="199">
        <v>7000.0</v>
      </c>
      <c r="D38" s="198" t="s">
        <v>164</v>
      </c>
      <c r="E38" s="201" t="s">
        <v>177</v>
      </c>
    </row>
    <row r="39">
      <c r="A39" s="202">
        <v>45640.0</v>
      </c>
      <c r="B39" s="198" t="s">
        <v>16585</v>
      </c>
      <c r="C39" s="199">
        <v>35.5</v>
      </c>
      <c r="D39" s="198" t="s">
        <v>164</v>
      </c>
      <c r="E39" s="201" t="s">
        <v>179</v>
      </c>
    </row>
    <row r="40">
      <c r="A40" s="202">
        <v>45641.0</v>
      </c>
      <c r="B40" s="198" t="s">
        <v>16580</v>
      </c>
      <c r="C40" s="199">
        <v>2101.0</v>
      </c>
      <c r="D40" s="198" t="s">
        <v>147</v>
      </c>
      <c r="E40" s="201" t="s">
        <v>177</v>
      </c>
    </row>
    <row r="41">
      <c r="A41" s="202">
        <v>45641.0</v>
      </c>
      <c r="B41" s="198" t="s">
        <v>157</v>
      </c>
      <c r="C41" s="199">
        <v>10403.0</v>
      </c>
      <c r="D41" s="198" t="s">
        <v>157</v>
      </c>
      <c r="E41" s="201" t="s">
        <v>177</v>
      </c>
    </row>
    <row r="42">
      <c r="A42" s="202">
        <v>45641.0</v>
      </c>
      <c r="B42" s="198" t="s">
        <v>157</v>
      </c>
      <c r="C42" s="199">
        <v>10812.5</v>
      </c>
      <c r="D42" s="198" t="s">
        <v>157</v>
      </c>
      <c r="E42" s="201" t="s">
        <v>177</v>
      </c>
    </row>
    <row r="43">
      <c r="A43" s="202">
        <v>45641.0</v>
      </c>
      <c r="B43" s="198" t="s">
        <v>134</v>
      </c>
      <c r="C43" s="199">
        <v>16000.0</v>
      </c>
      <c r="D43" s="198" t="s">
        <v>140</v>
      </c>
      <c r="E43" s="201" t="s">
        <v>173</v>
      </c>
    </row>
    <row r="44">
      <c r="A44" s="202">
        <v>45641.0</v>
      </c>
      <c r="B44" s="198" t="s">
        <v>16598</v>
      </c>
      <c r="C44" s="199">
        <v>10000.0</v>
      </c>
      <c r="D44" s="198" t="s">
        <v>132</v>
      </c>
      <c r="E44" s="201" t="s">
        <v>179</v>
      </c>
    </row>
    <row r="45">
      <c r="A45" s="202">
        <v>45641.0</v>
      </c>
      <c r="B45" s="198" t="s">
        <v>142</v>
      </c>
      <c r="C45" s="199">
        <v>2124.0</v>
      </c>
      <c r="D45" s="198" t="s">
        <v>142</v>
      </c>
      <c r="E45" s="201" t="s">
        <v>177</v>
      </c>
    </row>
    <row r="46">
      <c r="A46" s="202">
        <v>45642.0</v>
      </c>
      <c r="B46" s="198" t="s">
        <v>142</v>
      </c>
      <c r="C46" s="199">
        <v>2300.0</v>
      </c>
      <c r="D46" s="198" t="s">
        <v>152</v>
      </c>
      <c r="E46" s="201" t="s">
        <v>179</v>
      </c>
    </row>
    <row r="47">
      <c r="A47" s="202">
        <v>45642.0</v>
      </c>
      <c r="B47" s="198" t="s">
        <v>152</v>
      </c>
      <c r="C47" s="199">
        <v>5156.0</v>
      </c>
      <c r="D47" s="198" t="s">
        <v>152</v>
      </c>
      <c r="E47" s="201" t="s">
        <v>179</v>
      </c>
    </row>
    <row r="48">
      <c r="A48" s="202">
        <v>45643.0</v>
      </c>
      <c r="B48" s="198" t="s">
        <v>169</v>
      </c>
      <c r="C48" s="199">
        <v>4838.0</v>
      </c>
      <c r="D48" s="198" t="s">
        <v>169</v>
      </c>
      <c r="E48" s="201" t="s">
        <v>173</v>
      </c>
    </row>
    <row r="49">
      <c r="A49" s="202">
        <v>45643.0</v>
      </c>
      <c r="B49" s="198" t="s">
        <v>142</v>
      </c>
      <c r="C49" s="199">
        <v>7750.0</v>
      </c>
      <c r="D49" s="198" t="s">
        <v>164</v>
      </c>
      <c r="E49" s="201" t="s">
        <v>179</v>
      </c>
    </row>
    <row r="50">
      <c r="A50" s="202">
        <v>45643.0</v>
      </c>
      <c r="B50" s="198" t="s">
        <v>16585</v>
      </c>
      <c r="C50" s="199">
        <v>8000.0</v>
      </c>
      <c r="D50" s="198" t="s">
        <v>164</v>
      </c>
      <c r="E50" s="201" t="s">
        <v>179</v>
      </c>
    </row>
    <row r="51">
      <c r="A51" s="202">
        <v>45643.0</v>
      </c>
      <c r="B51" s="198" t="s">
        <v>16585</v>
      </c>
      <c r="C51" s="199">
        <v>2884.0</v>
      </c>
      <c r="D51" s="198" t="s">
        <v>152</v>
      </c>
      <c r="E51" s="201" t="s">
        <v>179</v>
      </c>
    </row>
    <row r="52">
      <c r="A52" s="202">
        <v>45644.0</v>
      </c>
      <c r="B52" s="198" t="s">
        <v>157</v>
      </c>
      <c r="C52" s="199">
        <v>8500.0</v>
      </c>
      <c r="D52" s="198" t="s">
        <v>157</v>
      </c>
      <c r="E52" s="201" t="s">
        <v>179</v>
      </c>
    </row>
    <row r="53">
      <c r="A53" s="202">
        <v>45645.0</v>
      </c>
      <c r="B53" s="198" t="s">
        <v>142</v>
      </c>
      <c r="C53" s="199">
        <v>2869.0</v>
      </c>
      <c r="D53" s="198" t="s">
        <v>142</v>
      </c>
      <c r="E53" s="201" t="s">
        <v>179</v>
      </c>
    </row>
    <row r="54">
      <c r="A54" s="202">
        <v>45645.0</v>
      </c>
      <c r="B54" s="198" t="s">
        <v>142</v>
      </c>
      <c r="C54" s="199">
        <v>2400.0</v>
      </c>
      <c r="D54" s="198" t="s">
        <v>142</v>
      </c>
      <c r="E54" s="201" t="s">
        <v>179</v>
      </c>
    </row>
    <row r="55">
      <c r="A55" s="202">
        <v>45645.0</v>
      </c>
      <c r="B55" s="198" t="s">
        <v>157</v>
      </c>
      <c r="C55" s="199">
        <v>4600.0</v>
      </c>
      <c r="D55" s="198" t="s">
        <v>157</v>
      </c>
      <c r="E55" s="201" t="s">
        <v>179</v>
      </c>
    </row>
    <row r="56">
      <c r="A56" s="202">
        <v>45645.0</v>
      </c>
      <c r="B56" s="198" t="s">
        <v>16585</v>
      </c>
      <c r="C56" s="199">
        <v>2500.0</v>
      </c>
      <c r="D56" s="198" t="s">
        <v>164</v>
      </c>
      <c r="E56" s="201" t="s">
        <v>179</v>
      </c>
    </row>
    <row r="57">
      <c r="A57" s="202">
        <v>45646.0</v>
      </c>
      <c r="B57" s="198" t="s">
        <v>134</v>
      </c>
      <c r="C57" s="199">
        <v>9666.0</v>
      </c>
      <c r="D57" s="198" t="s">
        <v>134</v>
      </c>
      <c r="E57" s="201" t="s">
        <v>173</v>
      </c>
    </row>
    <row r="58">
      <c r="A58" s="202">
        <v>45646.0</v>
      </c>
      <c r="B58" s="198" t="s">
        <v>16590</v>
      </c>
      <c r="C58" s="199">
        <v>14705.0</v>
      </c>
      <c r="D58" s="198" t="s">
        <v>155</v>
      </c>
      <c r="E58" s="201" t="s">
        <v>173</v>
      </c>
    </row>
    <row r="59">
      <c r="A59" s="202">
        <v>45646.0</v>
      </c>
      <c r="B59" s="198" t="s">
        <v>142</v>
      </c>
      <c r="C59" s="199">
        <v>999.0</v>
      </c>
      <c r="D59" s="198" t="s">
        <v>142</v>
      </c>
      <c r="E59" s="201" t="s">
        <v>177</v>
      </c>
    </row>
    <row r="60">
      <c r="A60" s="202">
        <v>45646.0</v>
      </c>
      <c r="B60" s="198" t="s">
        <v>16590</v>
      </c>
      <c r="C60" s="199">
        <v>10392.0</v>
      </c>
      <c r="D60" s="198" t="s">
        <v>147</v>
      </c>
      <c r="E60" s="201" t="s">
        <v>173</v>
      </c>
    </row>
    <row r="61">
      <c r="A61" s="202">
        <v>45646.0</v>
      </c>
      <c r="B61" s="198" t="s">
        <v>16585</v>
      </c>
      <c r="C61" s="199">
        <v>15000.0</v>
      </c>
      <c r="D61" s="198" t="s">
        <v>164</v>
      </c>
      <c r="E61" s="201" t="s">
        <v>179</v>
      </c>
    </row>
    <row r="62">
      <c r="A62" s="202">
        <v>45647.0</v>
      </c>
      <c r="B62" s="198" t="s">
        <v>16580</v>
      </c>
      <c r="C62" s="199">
        <v>8750.0</v>
      </c>
      <c r="D62" s="198" t="s">
        <v>159</v>
      </c>
      <c r="E62" s="201" t="s">
        <v>173</v>
      </c>
    </row>
    <row r="63">
      <c r="A63" s="202">
        <v>45647.0</v>
      </c>
      <c r="B63" s="198" t="s">
        <v>169</v>
      </c>
      <c r="C63" s="199">
        <v>5132.0</v>
      </c>
      <c r="D63" s="198" t="s">
        <v>169</v>
      </c>
      <c r="E63" s="201" t="s">
        <v>173</v>
      </c>
    </row>
    <row r="64">
      <c r="A64" s="202">
        <v>45647.0</v>
      </c>
      <c r="B64" s="198" t="s">
        <v>16580</v>
      </c>
      <c r="C64" s="199">
        <v>10066.0</v>
      </c>
      <c r="D64" s="198" t="s">
        <v>159</v>
      </c>
      <c r="E64" s="201" t="s">
        <v>173</v>
      </c>
    </row>
    <row r="65">
      <c r="A65" s="202">
        <v>45647.0</v>
      </c>
      <c r="B65" s="198" t="s">
        <v>16579</v>
      </c>
      <c r="C65" s="199">
        <v>15000.0</v>
      </c>
      <c r="D65" s="198" t="s">
        <v>140</v>
      </c>
      <c r="E65" s="201" t="s">
        <v>179</v>
      </c>
    </row>
    <row r="66">
      <c r="A66" s="202">
        <v>45647.0</v>
      </c>
      <c r="B66" s="198" t="s">
        <v>16579</v>
      </c>
      <c r="C66" s="199">
        <v>2250.0</v>
      </c>
      <c r="D66" s="198" t="s">
        <v>147</v>
      </c>
      <c r="E66" s="201" t="s">
        <v>179</v>
      </c>
    </row>
    <row r="67">
      <c r="A67" s="202">
        <v>45647.0</v>
      </c>
      <c r="B67" s="198" t="s">
        <v>142</v>
      </c>
      <c r="C67" s="199">
        <v>6600.0</v>
      </c>
      <c r="D67" s="198" t="s">
        <v>152</v>
      </c>
      <c r="E67" s="201" t="s">
        <v>179</v>
      </c>
    </row>
    <row r="68">
      <c r="A68" s="202">
        <v>45647.0</v>
      </c>
      <c r="B68" s="198" t="s">
        <v>16580</v>
      </c>
      <c r="C68" s="199">
        <v>1600.0</v>
      </c>
      <c r="D68" s="198" t="s">
        <v>132</v>
      </c>
      <c r="E68" s="201" t="s">
        <v>179</v>
      </c>
    </row>
    <row r="69">
      <c r="A69" s="202">
        <v>45648.0</v>
      </c>
      <c r="B69" s="198" t="s">
        <v>16578</v>
      </c>
      <c r="C69" s="199">
        <v>2361.0</v>
      </c>
      <c r="D69" s="198" t="s">
        <v>147</v>
      </c>
      <c r="E69" s="201" t="s">
        <v>173</v>
      </c>
    </row>
    <row r="70">
      <c r="A70" s="202">
        <v>45648.0</v>
      </c>
      <c r="B70" s="198" t="s">
        <v>16587</v>
      </c>
      <c r="C70" s="199">
        <v>6115.0</v>
      </c>
      <c r="D70" s="198" t="s">
        <v>164</v>
      </c>
      <c r="E70" s="201" t="s">
        <v>173</v>
      </c>
    </row>
    <row r="71">
      <c r="A71" s="202">
        <v>45648.0</v>
      </c>
      <c r="B71" s="198" t="s">
        <v>16593</v>
      </c>
      <c r="C71" s="199">
        <v>5054.0</v>
      </c>
      <c r="D71" s="198" t="s">
        <v>129</v>
      </c>
      <c r="E71" s="201" t="s">
        <v>177</v>
      </c>
    </row>
    <row r="72">
      <c r="A72" s="202">
        <v>45648.0</v>
      </c>
      <c r="B72" s="198" t="s">
        <v>142</v>
      </c>
      <c r="C72" s="199">
        <v>900.0</v>
      </c>
      <c r="D72" s="198" t="s">
        <v>164</v>
      </c>
      <c r="E72" s="201" t="s">
        <v>179</v>
      </c>
    </row>
    <row r="73">
      <c r="A73" s="202">
        <v>45648.0</v>
      </c>
      <c r="B73" s="198" t="s">
        <v>132</v>
      </c>
      <c r="C73" s="199">
        <v>7500.0</v>
      </c>
      <c r="D73" s="198" t="s">
        <v>132</v>
      </c>
      <c r="E73" s="201" t="s">
        <v>185</v>
      </c>
    </row>
    <row r="74">
      <c r="A74" s="202">
        <v>45648.0</v>
      </c>
      <c r="B74" s="198" t="s">
        <v>16585</v>
      </c>
      <c r="C74" s="199">
        <v>21500.0</v>
      </c>
      <c r="D74" s="198" t="s">
        <v>164</v>
      </c>
      <c r="E74" s="201" t="s">
        <v>179</v>
      </c>
    </row>
    <row r="75">
      <c r="A75" s="202">
        <v>45648.0</v>
      </c>
      <c r="B75" s="198" t="s">
        <v>16594</v>
      </c>
      <c r="C75" s="199">
        <v>13101.0</v>
      </c>
      <c r="D75" s="198" t="s">
        <v>129</v>
      </c>
      <c r="E75" s="201" t="s">
        <v>177</v>
      </c>
    </row>
    <row r="76">
      <c r="A76" s="202">
        <v>45649.0</v>
      </c>
      <c r="B76" s="198" t="s">
        <v>16578</v>
      </c>
      <c r="C76" s="199">
        <v>13889.0</v>
      </c>
      <c r="D76" s="198" t="s">
        <v>147</v>
      </c>
      <c r="E76" s="201" t="s">
        <v>173</v>
      </c>
    </row>
    <row r="77">
      <c r="A77" s="202">
        <v>45649.0</v>
      </c>
      <c r="B77" s="198" t="s">
        <v>142</v>
      </c>
      <c r="C77" s="199">
        <v>3273.0</v>
      </c>
      <c r="D77" s="198" t="s">
        <v>142</v>
      </c>
      <c r="E77" s="201" t="s">
        <v>177</v>
      </c>
    </row>
    <row r="78">
      <c r="A78" s="202">
        <v>45650.0</v>
      </c>
      <c r="B78" s="198" t="s">
        <v>11</v>
      </c>
      <c r="C78" s="199">
        <v>20000.0</v>
      </c>
      <c r="D78" s="198" t="s">
        <v>11</v>
      </c>
      <c r="E78" s="201" t="s">
        <v>173</v>
      </c>
    </row>
    <row r="79">
      <c r="A79" s="202">
        <v>45650.0</v>
      </c>
      <c r="B79" s="198" t="s">
        <v>142</v>
      </c>
      <c r="C79" s="199">
        <v>58040.0</v>
      </c>
      <c r="D79" s="198" t="s">
        <v>142</v>
      </c>
      <c r="E79" s="201" t="s">
        <v>177</v>
      </c>
    </row>
    <row r="80">
      <c r="A80" s="202">
        <v>45650.0</v>
      </c>
      <c r="B80" s="198" t="s">
        <v>142</v>
      </c>
      <c r="C80" s="199">
        <v>4650.0</v>
      </c>
      <c r="D80" s="198" t="s">
        <v>142</v>
      </c>
      <c r="E80" s="201" t="s">
        <v>175</v>
      </c>
    </row>
    <row r="81">
      <c r="A81" s="202">
        <v>45650.0</v>
      </c>
      <c r="B81" s="198" t="s">
        <v>16580</v>
      </c>
      <c r="C81" s="199">
        <v>9025.0</v>
      </c>
      <c r="D81" s="198" t="s">
        <v>140</v>
      </c>
      <c r="E81" s="201" t="s">
        <v>179</v>
      </c>
    </row>
    <row r="82">
      <c r="A82" s="202">
        <v>45650.0</v>
      </c>
      <c r="B82" s="198" t="s">
        <v>16580</v>
      </c>
      <c r="C82" s="199">
        <v>650.0</v>
      </c>
      <c r="D82" s="198" t="s">
        <v>140</v>
      </c>
      <c r="E82" s="201" t="s">
        <v>175</v>
      </c>
    </row>
    <row r="83">
      <c r="A83" s="202">
        <v>45650.0</v>
      </c>
      <c r="B83" s="198" t="s">
        <v>157</v>
      </c>
      <c r="C83" s="199">
        <v>17780.0</v>
      </c>
      <c r="D83" s="198" t="s">
        <v>157</v>
      </c>
      <c r="E83" s="201" t="s">
        <v>177</v>
      </c>
    </row>
    <row r="84">
      <c r="A84" s="202">
        <v>45653.0</v>
      </c>
      <c r="B84" s="198" t="s">
        <v>16590</v>
      </c>
      <c r="C84" s="199">
        <v>5981.84</v>
      </c>
      <c r="D84" s="198" t="s">
        <v>155</v>
      </c>
      <c r="E84" s="201" t="s">
        <v>173</v>
      </c>
    </row>
    <row r="85">
      <c r="A85" s="202">
        <v>45654.0</v>
      </c>
      <c r="B85" s="198" t="s">
        <v>11</v>
      </c>
      <c r="C85" s="199">
        <v>3000.0</v>
      </c>
      <c r="D85" s="198" t="s">
        <v>11</v>
      </c>
      <c r="E85" s="201" t="s">
        <v>173</v>
      </c>
    </row>
    <row r="86">
      <c r="A86" s="202">
        <v>45654.0</v>
      </c>
      <c r="B86" s="198" t="s">
        <v>132</v>
      </c>
      <c r="C86" s="199">
        <v>16208.33</v>
      </c>
      <c r="D86" s="198" t="s">
        <v>132</v>
      </c>
      <c r="E86" s="201" t="s">
        <v>173</v>
      </c>
    </row>
    <row r="87">
      <c r="A87" s="202">
        <v>45655.0</v>
      </c>
      <c r="B87" s="198" t="s">
        <v>11</v>
      </c>
      <c r="C87" s="199">
        <v>1800.0</v>
      </c>
      <c r="D87" s="198" t="s">
        <v>11</v>
      </c>
      <c r="E87" s="201" t="s">
        <v>173</v>
      </c>
    </row>
    <row r="88">
      <c r="A88" s="202">
        <v>45656.0</v>
      </c>
      <c r="B88" s="198" t="s">
        <v>16580</v>
      </c>
      <c r="C88" s="199">
        <v>12797.0</v>
      </c>
      <c r="D88" s="198" t="s">
        <v>147</v>
      </c>
      <c r="E88" s="201" t="s">
        <v>173</v>
      </c>
    </row>
    <row r="89">
      <c r="A89" s="202">
        <v>45656.0</v>
      </c>
      <c r="B89" s="198" t="s">
        <v>16581</v>
      </c>
      <c r="C89" s="199">
        <v>12944.0</v>
      </c>
      <c r="D89" s="198" t="s">
        <v>129</v>
      </c>
      <c r="E89" s="201" t="s">
        <v>173</v>
      </c>
    </row>
  </sheetData>
  <dataValidations>
    <dataValidation type="custom" allowBlank="1" showDropDown="1" sqref="A2:A89">
      <formula1>OR(NOT(ISERROR(DATEVALUE(A2))), AND(ISNUMBER(A2), LEFT(CELL("format", A2))="D"))</formula1>
    </dataValidation>
    <dataValidation type="custom" allowBlank="1" showDropDown="1" sqref="C2:C89">
      <formula1>AND(ISNUMBER(C2),(NOT(OR(NOT(ISERROR(DATEVALUE(C2))), AND(ISNUMBER(C2), LEFT(CELL("format", C2))="D")))))</formula1>
    </dataValidation>
    <dataValidation allowBlank="1" showDropDown="1" sqref="B2:B89 D2:E89"/>
  </dataValidations>
  <drawing r:id="rId1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88"/>
    <col customWidth="1" min="3" max="3" width="13.13"/>
    <col customWidth="1" min="4" max="4" width="19.38"/>
    <col customWidth="1" min="5" max="5" width="21.38"/>
  </cols>
  <sheetData>
    <row r="1">
      <c r="A1" s="196" t="s">
        <v>0</v>
      </c>
      <c r="B1" s="196" t="s">
        <v>1</v>
      </c>
      <c r="C1" s="196" t="s">
        <v>2</v>
      </c>
      <c r="D1" s="196" t="s">
        <v>3</v>
      </c>
      <c r="E1" s="196" t="s">
        <v>4</v>
      </c>
    </row>
    <row r="2">
      <c r="A2" s="202">
        <v>45658.0</v>
      </c>
      <c r="B2" s="198" t="s">
        <v>16580</v>
      </c>
      <c r="C2" s="199">
        <v>2754.5</v>
      </c>
      <c r="D2" s="198" t="s">
        <v>147</v>
      </c>
      <c r="E2" s="201" t="s">
        <v>177</v>
      </c>
    </row>
    <row r="3">
      <c r="A3" s="202">
        <v>45658.0</v>
      </c>
      <c r="B3" s="198" t="s">
        <v>16601</v>
      </c>
      <c r="C3" s="199">
        <v>31519.0</v>
      </c>
      <c r="D3" s="198" t="s">
        <v>132</v>
      </c>
      <c r="E3" s="201" t="s">
        <v>173</v>
      </c>
    </row>
    <row r="4">
      <c r="A4" s="202">
        <v>45658.0</v>
      </c>
      <c r="B4" s="198" t="s">
        <v>16588</v>
      </c>
      <c r="C4" s="199">
        <v>3878.0</v>
      </c>
      <c r="D4" s="198" t="s">
        <v>11</v>
      </c>
      <c r="E4" s="201" t="s">
        <v>173</v>
      </c>
    </row>
    <row r="5">
      <c r="A5" s="202">
        <v>45658.0</v>
      </c>
      <c r="B5" s="198" t="s">
        <v>16594</v>
      </c>
      <c r="C5" s="199">
        <v>1547.0</v>
      </c>
      <c r="D5" s="198" t="s">
        <v>129</v>
      </c>
      <c r="E5" s="201" t="s">
        <v>177</v>
      </c>
    </row>
    <row r="6">
      <c r="A6" s="202">
        <v>45658.0</v>
      </c>
      <c r="B6" s="198" t="s">
        <v>16580</v>
      </c>
      <c r="C6" s="199">
        <v>15015.0</v>
      </c>
      <c r="D6" s="198" t="s">
        <v>147</v>
      </c>
      <c r="E6" s="201" t="s">
        <v>177</v>
      </c>
    </row>
    <row r="7">
      <c r="A7" s="202">
        <v>45658.0</v>
      </c>
      <c r="B7" s="198" t="s">
        <v>142</v>
      </c>
      <c r="C7" s="199">
        <v>3500.0</v>
      </c>
      <c r="D7" s="198" t="s">
        <v>142</v>
      </c>
      <c r="E7" s="201" t="s">
        <v>179</v>
      </c>
    </row>
    <row r="8">
      <c r="A8" s="202">
        <v>45658.0</v>
      </c>
      <c r="B8" s="198" t="s">
        <v>152</v>
      </c>
      <c r="C8" s="199">
        <v>7000.0</v>
      </c>
      <c r="D8" s="198" t="s">
        <v>152</v>
      </c>
      <c r="E8" s="201" t="s">
        <v>179</v>
      </c>
    </row>
    <row r="9">
      <c r="A9" s="202">
        <v>45659.0</v>
      </c>
      <c r="B9" s="198" t="s">
        <v>137</v>
      </c>
      <c r="C9" s="199">
        <v>5000.0</v>
      </c>
      <c r="D9" s="198" t="s">
        <v>137</v>
      </c>
      <c r="E9" s="201" t="s">
        <v>179</v>
      </c>
    </row>
    <row r="10">
      <c r="A10" s="202">
        <v>45659.0</v>
      </c>
      <c r="B10" s="198" t="s">
        <v>16581</v>
      </c>
      <c r="C10" s="199">
        <v>8375.0</v>
      </c>
      <c r="D10" s="198" t="s">
        <v>129</v>
      </c>
      <c r="E10" s="201" t="s">
        <v>173</v>
      </c>
    </row>
    <row r="11">
      <c r="A11" s="202">
        <v>45659.0</v>
      </c>
      <c r="B11" s="198" t="s">
        <v>16585</v>
      </c>
      <c r="C11" s="199">
        <v>118.0</v>
      </c>
      <c r="D11" s="198" t="s">
        <v>164</v>
      </c>
      <c r="E11" s="201" t="s">
        <v>179</v>
      </c>
    </row>
    <row r="12">
      <c r="A12" s="202">
        <v>45660.0</v>
      </c>
      <c r="B12" s="198" t="s">
        <v>16585</v>
      </c>
      <c r="C12" s="199">
        <v>19100.0</v>
      </c>
      <c r="D12" s="198" t="s">
        <v>164</v>
      </c>
      <c r="E12" s="201" t="s">
        <v>179</v>
      </c>
    </row>
    <row r="13">
      <c r="A13" s="202">
        <v>45661.0</v>
      </c>
      <c r="B13" s="198" t="s">
        <v>134</v>
      </c>
      <c r="C13" s="199">
        <v>33993.0</v>
      </c>
      <c r="D13" s="198" t="s">
        <v>134</v>
      </c>
      <c r="E13" s="201" t="s">
        <v>173</v>
      </c>
    </row>
    <row r="14">
      <c r="A14" s="202">
        <v>45661.0</v>
      </c>
      <c r="B14" s="198" t="s">
        <v>134</v>
      </c>
      <c r="C14" s="199">
        <v>19326.0</v>
      </c>
      <c r="D14" s="198" t="s">
        <v>134</v>
      </c>
      <c r="E14" s="201" t="s">
        <v>173</v>
      </c>
    </row>
    <row r="15">
      <c r="A15" s="202">
        <v>45661.0</v>
      </c>
      <c r="B15" s="198" t="s">
        <v>134</v>
      </c>
      <c r="C15" s="199">
        <v>0.0</v>
      </c>
      <c r="D15" s="198" t="s">
        <v>134</v>
      </c>
      <c r="E15" s="201" t="s">
        <v>173</v>
      </c>
    </row>
    <row r="16">
      <c r="A16" s="202">
        <v>45661.0</v>
      </c>
      <c r="B16" s="198" t="s">
        <v>134</v>
      </c>
      <c r="C16" s="199">
        <v>0.0</v>
      </c>
      <c r="D16" s="198" t="s">
        <v>134</v>
      </c>
      <c r="E16" s="201" t="s">
        <v>173</v>
      </c>
    </row>
    <row r="17">
      <c r="A17" s="202">
        <v>45661.0</v>
      </c>
      <c r="B17" s="198" t="s">
        <v>134</v>
      </c>
      <c r="C17" s="199">
        <v>0.0</v>
      </c>
      <c r="D17" s="198" t="s">
        <v>134</v>
      </c>
      <c r="E17" s="201" t="s">
        <v>173</v>
      </c>
    </row>
    <row r="18">
      <c r="A18" s="202">
        <v>45661.0</v>
      </c>
      <c r="B18" s="198" t="s">
        <v>142</v>
      </c>
      <c r="C18" s="199">
        <v>750.0</v>
      </c>
      <c r="D18" s="198" t="s">
        <v>142</v>
      </c>
      <c r="E18" s="201" t="s">
        <v>175</v>
      </c>
    </row>
    <row r="19">
      <c r="A19" s="202">
        <v>45662.0</v>
      </c>
      <c r="B19" s="198" t="s">
        <v>16580</v>
      </c>
      <c r="C19" s="199">
        <v>5500.0</v>
      </c>
      <c r="D19" s="198" t="s">
        <v>147</v>
      </c>
      <c r="E19" s="201" t="s">
        <v>177</v>
      </c>
    </row>
    <row r="20">
      <c r="A20" s="202">
        <v>45663.0</v>
      </c>
      <c r="B20" s="198" t="s">
        <v>16589</v>
      </c>
      <c r="C20" s="199">
        <v>12000.0</v>
      </c>
      <c r="D20" s="198" t="s">
        <v>145</v>
      </c>
      <c r="E20" s="201" t="s">
        <v>179</v>
      </c>
    </row>
    <row r="21">
      <c r="A21" s="202">
        <v>45663.0</v>
      </c>
      <c r="B21" s="198" t="s">
        <v>16582</v>
      </c>
      <c r="C21" s="199">
        <v>8266.0</v>
      </c>
      <c r="D21" s="198" t="s">
        <v>129</v>
      </c>
      <c r="E21" s="201" t="s">
        <v>177</v>
      </c>
    </row>
    <row r="22">
      <c r="A22" s="202">
        <v>45663.0</v>
      </c>
      <c r="B22" s="198" t="s">
        <v>142</v>
      </c>
      <c r="C22" s="199">
        <v>5000.0</v>
      </c>
      <c r="D22" s="198" t="s">
        <v>142</v>
      </c>
      <c r="E22" s="201" t="s">
        <v>177</v>
      </c>
    </row>
    <row r="23">
      <c r="A23" s="202">
        <v>45663.0</v>
      </c>
      <c r="B23" s="198" t="s">
        <v>16585</v>
      </c>
      <c r="C23" s="199">
        <v>49.0</v>
      </c>
      <c r="D23" s="198" t="s">
        <v>164</v>
      </c>
      <c r="E23" s="201" t="s">
        <v>179</v>
      </c>
    </row>
    <row r="24">
      <c r="A24" s="202">
        <v>45663.0</v>
      </c>
      <c r="B24" s="198" t="s">
        <v>169</v>
      </c>
      <c r="C24" s="199">
        <v>5435.0</v>
      </c>
      <c r="D24" s="198" t="s">
        <v>169</v>
      </c>
      <c r="E24" s="201" t="s">
        <v>173</v>
      </c>
    </row>
    <row r="25">
      <c r="A25" s="202">
        <v>45664.0</v>
      </c>
      <c r="B25" s="198" t="s">
        <v>142</v>
      </c>
      <c r="C25" s="199">
        <v>10500.0</v>
      </c>
      <c r="D25" s="198" t="s">
        <v>147</v>
      </c>
      <c r="E25" s="201" t="s">
        <v>173</v>
      </c>
    </row>
    <row r="26">
      <c r="A26" s="202">
        <v>45664.0</v>
      </c>
      <c r="B26" s="198" t="s">
        <v>16585</v>
      </c>
      <c r="C26" s="199">
        <v>55.0</v>
      </c>
      <c r="D26" s="198" t="s">
        <v>152</v>
      </c>
      <c r="E26" s="201" t="s">
        <v>179</v>
      </c>
    </row>
    <row r="27">
      <c r="A27" s="202">
        <v>45665.0</v>
      </c>
      <c r="B27" s="198" t="s">
        <v>142</v>
      </c>
      <c r="C27" s="199">
        <v>5200.0</v>
      </c>
      <c r="D27" s="198" t="s">
        <v>157</v>
      </c>
      <c r="E27" s="201" t="s">
        <v>179</v>
      </c>
    </row>
    <row r="28">
      <c r="A28" s="202">
        <v>45665.0</v>
      </c>
      <c r="B28" s="198" t="s">
        <v>142</v>
      </c>
      <c r="C28" s="199">
        <v>3950.0</v>
      </c>
      <c r="D28" s="198" t="s">
        <v>142</v>
      </c>
      <c r="E28" s="201" t="s">
        <v>179</v>
      </c>
    </row>
    <row r="29">
      <c r="A29" s="202">
        <v>45665.0</v>
      </c>
      <c r="B29" s="198" t="s">
        <v>16585</v>
      </c>
      <c r="C29" s="199">
        <v>2325.0</v>
      </c>
      <c r="D29" s="198" t="s">
        <v>142</v>
      </c>
      <c r="E29" s="201" t="s">
        <v>179</v>
      </c>
    </row>
    <row r="30">
      <c r="A30" s="202">
        <v>45665.0</v>
      </c>
      <c r="B30" s="198" t="s">
        <v>16585</v>
      </c>
      <c r="C30" s="199">
        <v>69.0</v>
      </c>
      <c r="D30" s="198" t="s">
        <v>164</v>
      </c>
      <c r="E30" s="201" t="s">
        <v>179</v>
      </c>
    </row>
    <row r="31">
      <c r="A31" s="202">
        <v>45666.0</v>
      </c>
      <c r="B31" s="198" t="s">
        <v>16585</v>
      </c>
      <c r="C31" s="199">
        <v>9189.0</v>
      </c>
      <c r="D31" s="198" t="s">
        <v>164</v>
      </c>
      <c r="E31" s="201" t="s">
        <v>177</v>
      </c>
    </row>
    <row r="32">
      <c r="A32" s="202">
        <v>45666.0</v>
      </c>
      <c r="B32" s="198" t="s">
        <v>169</v>
      </c>
      <c r="C32" s="199">
        <v>2491.0</v>
      </c>
      <c r="D32" s="198" t="s">
        <v>169</v>
      </c>
      <c r="E32" s="201" t="s">
        <v>173</v>
      </c>
    </row>
    <row r="33">
      <c r="A33" s="202">
        <v>45667.0</v>
      </c>
      <c r="B33" s="198" t="s">
        <v>16586</v>
      </c>
      <c r="C33" s="199">
        <v>2000.0</v>
      </c>
      <c r="D33" s="198" t="s">
        <v>171</v>
      </c>
      <c r="E33" s="201" t="s">
        <v>179</v>
      </c>
    </row>
    <row r="34">
      <c r="A34" s="202">
        <v>45667.0</v>
      </c>
      <c r="B34" s="198" t="s">
        <v>134</v>
      </c>
      <c r="C34" s="199">
        <v>19651.0</v>
      </c>
      <c r="D34" s="198" t="s">
        <v>134</v>
      </c>
      <c r="E34" s="201" t="s">
        <v>173</v>
      </c>
    </row>
    <row r="35">
      <c r="A35" s="202">
        <v>45667.0</v>
      </c>
      <c r="B35" s="198" t="s">
        <v>142</v>
      </c>
      <c r="C35" s="199">
        <v>40.0</v>
      </c>
      <c r="D35" s="198" t="s">
        <v>142</v>
      </c>
      <c r="E35" s="201" t="s">
        <v>179</v>
      </c>
    </row>
    <row r="36">
      <c r="A36" s="202">
        <v>45667.0</v>
      </c>
      <c r="B36" s="198" t="s">
        <v>142</v>
      </c>
      <c r="C36" s="199">
        <v>26559.0</v>
      </c>
      <c r="D36" s="198" t="s">
        <v>164</v>
      </c>
      <c r="E36" s="201" t="s">
        <v>179</v>
      </c>
    </row>
    <row r="37">
      <c r="A37" s="202">
        <v>45667.0</v>
      </c>
      <c r="B37" s="198" t="s">
        <v>167</v>
      </c>
      <c r="C37" s="199">
        <v>69000.0</v>
      </c>
      <c r="D37" s="198" t="s">
        <v>167</v>
      </c>
      <c r="E37" s="201" t="s">
        <v>185</v>
      </c>
    </row>
    <row r="38">
      <c r="A38" s="202">
        <v>45668.0</v>
      </c>
      <c r="B38" s="198" t="s">
        <v>16579</v>
      </c>
      <c r="C38" s="199">
        <v>6033.0</v>
      </c>
      <c r="D38" s="198" t="s">
        <v>140</v>
      </c>
      <c r="E38" s="201" t="s">
        <v>173</v>
      </c>
    </row>
    <row r="39">
      <c r="A39" s="202">
        <v>45668.0</v>
      </c>
      <c r="B39" s="198" t="s">
        <v>16586</v>
      </c>
      <c r="C39" s="199">
        <v>4024.0</v>
      </c>
      <c r="D39" s="198" t="s">
        <v>171</v>
      </c>
      <c r="E39" s="201" t="s">
        <v>179</v>
      </c>
    </row>
    <row r="40">
      <c r="A40" s="202">
        <v>45668.0</v>
      </c>
      <c r="B40" s="198" t="s">
        <v>16598</v>
      </c>
      <c r="C40" s="199">
        <v>10000.0</v>
      </c>
      <c r="D40" s="198" t="s">
        <v>132</v>
      </c>
      <c r="E40" s="201" t="s">
        <v>179</v>
      </c>
    </row>
    <row r="41">
      <c r="A41" s="202">
        <v>45668.0</v>
      </c>
      <c r="B41" s="198" t="s">
        <v>16580</v>
      </c>
      <c r="C41" s="199">
        <v>7403.0</v>
      </c>
      <c r="D41" s="198" t="s">
        <v>147</v>
      </c>
      <c r="E41" s="201" t="s">
        <v>179</v>
      </c>
    </row>
    <row r="42">
      <c r="A42" s="202">
        <v>45668.0</v>
      </c>
      <c r="B42" s="198" t="s">
        <v>16599</v>
      </c>
      <c r="C42" s="199">
        <v>353000.0</v>
      </c>
      <c r="D42" s="198" t="s">
        <v>162</v>
      </c>
      <c r="E42" s="201" t="s">
        <v>179</v>
      </c>
    </row>
    <row r="43">
      <c r="A43" s="202">
        <v>45668.0</v>
      </c>
      <c r="B43" s="198" t="s">
        <v>16585</v>
      </c>
      <c r="C43" s="199">
        <v>21625.0</v>
      </c>
      <c r="D43" s="198" t="s">
        <v>164</v>
      </c>
      <c r="E43" s="201" t="s">
        <v>179</v>
      </c>
    </row>
    <row r="44">
      <c r="A44" s="202">
        <v>45669.0</v>
      </c>
      <c r="B44" s="198" t="s">
        <v>142</v>
      </c>
      <c r="C44" s="199">
        <v>2150.0</v>
      </c>
      <c r="D44" s="198" t="s">
        <v>142</v>
      </c>
      <c r="E44" s="201" t="s">
        <v>179</v>
      </c>
    </row>
    <row r="45">
      <c r="A45" s="202">
        <v>45669.0</v>
      </c>
      <c r="B45" s="198" t="s">
        <v>16583</v>
      </c>
      <c r="C45" s="199">
        <v>7661.0</v>
      </c>
      <c r="D45" s="198" t="s">
        <v>129</v>
      </c>
      <c r="E45" s="201" t="s">
        <v>177</v>
      </c>
    </row>
    <row r="46">
      <c r="A46" s="202">
        <v>45669.0</v>
      </c>
      <c r="B46" s="198" t="s">
        <v>157</v>
      </c>
      <c r="C46" s="199">
        <v>750.0</v>
      </c>
      <c r="D46" s="198" t="s">
        <v>157</v>
      </c>
      <c r="E46" s="201" t="s">
        <v>179</v>
      </c>
    </row>
    <row r="47">
      <c r="A47" s="202">
        <v>45670.0</v>
      </c>
      <c r="B47" s="198" t="s">
        <v>145</v>
      </c>
      <c r="C47" s="199">
        <v>13330.0</v>
      </c>
      <c r="D47" s="198" t="s">
        <v>145</v>
      </c>
      <c r="E47" s="201" t="s">
        <v>173</v>
      </c>
    </row>
    <row r="48">
      <c r="A48" s="202">
        <v>45670.0</v>
      </c>
      <c r="B48" s="198" t="s">
        <v>142</v>
      </c>
      <c r="C48" s="199">
        <v>2000.0</v>
      </c>
      <c r="D48" s="198" t="s">
        <v>142</v>
      </c>
      <c r="E48" s="201" t="s">
        <v>179</v>
      </c>
    </row>
    <row r="49">
      <c r="A49" s="202">
        <v>45670.0</v>
      </c>
      <c r="B49" s="198" t="s">
        <v>16585</v>
      </c>
      <c r="C49" s="199">
        <v>10500.0</v>
      </c>
      <c r="D49" s="198" t="s">
        <v>164</v>
      </c>
      <c r="E49" s="201" t="s">
        <v>179</v>
      </c>
    </row>
    <row r="50">
      <c r="A50" s="202">
        <v>45671.0</v>
      </c>
      <c r="B50" s="198" t="s">
        <v>142</v>
      </c>
      <c r="C50" s="199">
        <v>3050.0</v>
      </c>
      <c r="D50" s="198" t="s">
        <v>142</v>
      </c>
      <c r="E50" s="201" t="s">
        <v>177</v>
      </c>
    </row>
    <row r="51">
      <c r="A51" s="202">
        <v>45671.0</v>
      </c>
      <c r="B51" s="198" t="s">
        <v>157</v>
      </c>
      <c r="C51" s="199">
        <v>25500.0</v>
      </c>
      <c r="D51" s="198" t="s">
        <v>157</v>
      </c>
      <c r="E51" s="201" t="s">
        <v>177</v>
      </c>
    </row>
    <row r="52">
      <c r="A52" s="202">
        <v>45672.0</v>
      </c>
      <c r="B52" s="198" t="s">
        <v>16580</v>
      </c>
      <c r="C52" s="199">
        <v>2101.0</v>
      </c>
      <c r="D52" s="198" t="s">
        <v>147</v>
      </c>
      <c r="E52" s="201" t="s">
        <v>177</v>
      </c>
    </row>
    <row r="53">
      <c r="A53" s="202">
        <v>45672.0</v>
      </c>
      <c r="B53" s="198" t="s">
        <v>134</v>
      </c>
      <c r="C53" s="199">
        <v>16000.0</v>
      </c>
      <c r="D53" s="198" t="s">
        <v>134</v>
      </c>
      <c r="E53" s="201" t="s">
        <v>173</v>
      </c>
    </row>
    <row r="54">
      <c r="A54" s="202">
        <v>45672.0</v>
      </c>
      <c r="B54" s="198" t="s">
        <v>142</v>
      </c>
      <c r="C54" s="199">
        <v>8750.0</v>
      </c>
      <c r="D54" s="198" t="s">
        <v>142</v>
      </c>
      <c r="E54" s="201" t="s">
        <v>179</v>
      </c>
    </row>
    <row r="55">
      <c r="A55" s="202">
        <v>45672.0</v>
      </c>
      <c r="B55" s="198" t="s">
        <v>16580</v>
      </c>
      <c r="C55" s="199">
        <v>23283.0</v>
      </c>
      <c r="D55" s="198" t="s">
        <v>155</v>
      </c>
      <c r="E55" s="201" t="s">
        <v>173</v>
      </c>
    </row>
    <row r="56">
      <c r="A56" s="202">
        <v>45672.0</v>
      </c>
      <c r="B56" s="198" t="s">
        <v>16580</v>
      </c>
      <c r="C56" s="199">
        <v>5000.0</v>
      </c>
      <c r="D56" s="198" t="s">
        <v>147</v>
      </c>
      <c r="E56" s="201" t="s">
        <v>179</v>
      </c>
    </row>
    <row r="57">
      <c r="A57" s="202">
        <v>45673.0</v>
      </c>
      <c r="B57" s="198" t="s">
        <v>16579</v>
      </c>
      <c r="C57" s="199">
        <v>47000.0</v>
      </c>
      <c r="D57" s="198" t="s">
        <v>140</v>
      </c>
      <c r="E57" s="201" t="s">
        <v>173</v>
      </c>
    </row>
    <row r="58">
      <c r="A58" s="202">
        <v>45673.0</v>
      </c>
      <c r="B58" s="198" t="s">
        <v>132</v>
      </c>
      <c r="C58" s="199">
        <v>3320.0</v>
      </c>
      <c r="D58" s="198" t="s">
        <v>132</v>
      </c>
      <c r="E58" s="201" t="s">
        <v>179</v>
      </c>
    </row>
    <row r="59">
      <c r="A59" s="202">
        <v>45674.0</v>
      </c>
      <c r="B59" s="198" t="s">
        <v>16585</v>
      </c>
      <c r="C59" s="199">
        <v>7100.0</v>
      </c>
      <c r="D59" s="198" t="s">
        <v>164</v>
      </c>
      <c r="E59" s="201" t="s">
        <v>179</v>
      </c>
    </row>
    <row r="60">
      <c r="A60" s="202">
        <v>45674.0</v>
      </c>
      <c r="B60" s="198" t="s">
        <v>169</v>
      </c>
      <c r="C60" s="199">
        <v>4838.0</v>
      </c>
      <c r="D60" s="198" t="s">
        <v>169</v>
      </c>
      <c r="E60" s="201" t="s">
        <v>173</v>
      </c>
    </row>
    <row r="61">
      <c r="A61" s="202">
        <v>45675.0</v>
      </c>
      <c r="B61" s="198" t="s">
        <v>142</v>
      </c>
      <c r="C61" s="199">
        <v>2000.0</v>
      </c>
      <c r="D61" s="198" t="s">
        <v>142</v>
      </c>
      <c r="E61" s="201" t="s">
        <v>177</v>
      </c>
    </row>
    <row r="62">
      <c r="A62" s="202">
        <v>45675.0</v>
      </c>
      <c r="B62" s="198" t="s">
        <v>142</v>
      </c>
      <c r="C62" s="199">
        <v>1600.0</v>
      </c>
      <c r="D62" s="198" t="s">
        <v>142</v>
      </c>
      <c r="E62" s="201" t="s">
        <v>179</v>
      </c>
    </row>
    <row r="63">
      <c r="A63" s="202">
        <v>45675.0</v>
      </c>
      <c r="B63" s="198" t="s">
        <v>16580</v>
      </c>
      <c r="C63" s="199">
        <v>3750.0</v>
      </c>
      <c r="D63" s="198" t="s">
        <v>147</v>
      </c>
      <c r="E63" s="201" t="s">
        <v>179</v>
      </c>
    </row>
    <row r="64">
      <c r="A64" s="202">
        <v>45675.0</v>
      </c>
      <c r="B64" s="198" t="s">
        <v>157</v>
      </c>
      <c r="C64" s="199">
        <v>9991.0</v>
      </c>
      <c r="D64" s="198" t="s">
        <v>157</v>
      </c>
      <c r="E64" s="201" t="s">
        <v>177</v>
      </c>
    </row>
    <row r="65">
      <c r="A65" s="202">
        <v>45676.0</v>
      </c>
      <c r="B65" s="198" t="s">
        <v>142</v>
      </c>
      <c r="C65" s="199">
        <v>3613.0</v>
      </c>
      <c r="D65" s="198" t="s">
        <v>142</v>
      </c>
      <c r="E65" s="201" t="s">
        <v>179</v>
      </c>
    </row>
    <row r="66">
      <c r="A66" s="202">
        <v>45676.0</v>
      </c>
      <c r="B66" s="198" t="s">
        <v>16580</v>
      </c>
      <c r="C66" s="199">
        <v>11070.0</v>
      </c>
      <c r="D66" s="198" t="s">
        <v>147</v>
      </c>
      <c r="E66" s="201" t="s">
        <v>179</v>
      </c>
    </row>
    <row r="67">
      <c r="A67" s="202">
        <v>45676.0</v>
      </c>
      <c r="B67" s="198" t="s">
        <v>16585</v>
      </c>
      <c r="C67" s="199">
        <v>4800.0</v>
      </c>
      <c r="D67" s="198" t="s">
        <v>164</v>
      </c>
      <c r="E67" s="201" t="s">
        <v>179</v>
      </c>
    </row>
    <row r="68">
      <c r="A68" s="202">
        <v>45677.0</v>
      </c>
      <c r="B68" s="198" t="s">
        <v>16590</v>
      </c>
      <c r="C68" s="199">
        <v>10392.0</v>
      </c>
      <c r="D68" s="198" t="s">
        <v>155</v>
      </c>
      <c r="E68" s="201" t="s">
        <v>173</v>
      </c>
    </row>
    <row r="69">
      <c r="A69" s="202">
        <v>45677.0</v>
      </c>
      <c r="B69" s="198" t="s">
        <v>134</v>
      </c>
      <c r="C69" s="199">
        <v>9666.0</v>
      </c>
      <c r="D69" s="198" t="s">
        <v>134</v>
      </c>
      <c r="E69" s="201" t="s">
        <v>173</v>
      </c>
    </row>
    <row r="70">
      <c r="A70" s="202">
        <v>45677.0</v>
      </c>
      <c r="B70" s="198" t="s">
        <v>16590</v>
      </c>
      <c r="C70" s="199">
        <v>14705.0</v>
      </c>
      <c r="D70" s="198" t="s">
        <v>155</v>
      </c>
      <c r="E70" s="201" t="s">
        <v>173</v>
      </c>
    </row>
    <row r="71">
      <c r="A71" s="202">
        <v>45677.0</v>
      </c>
      <c r="B71" s="198" t="s">
        <v>16593</v>
      </c>
      <c r="C71" s="199">
        <v>5242.0</v>
      </c>
      <c r="D71" s="198" t="s">
        <v>129</v>
      </c>
      <c r="E71" s="201" t="s">
        <v>177</v>
      </c>
    </row>
    <row r="72">
      <c r="A72" s="202">
        <v>45677.0</v>
      </c>
      <c r="B72" s="198" t="s">
        <v>157</v>
      </c>
      <c r="C72" s="199">
        <v>4800.0</v>
      </c>
      <c r="D72" s="198" t="s">
        <v>157</v>
      </c>
      <c r="E72" s="201" t="s">
        <v>179</v>
      </c>
    </row>
    <row r="73">
      <c r="A73" s="202">
        <v>45677.0</v>
      </c>
      <c r="B73" s="198" t="s">
        <v>169</v>
      </c>
      <c r="C73" s="199">
        <v>5132.0</v>
      </c>
      <c r="D73" s="198" t="s">
        <v>169</v>
      </c>
      <c r="E73" s="201" t="s">
        <v>173</v>
      </c>
    </row>
    <row r="74">
      <c r="A74" s="202">
        <v>45677.0</v>
      </c>
      <c r="B74" s="198" t="s">
        <v>16594</v>
      </c>
      <c r="C74" s="199">
        <v>13018.0</v>
      </c>
      <c r="D74" s="198" t="s">
        <v>129</v>
      </c>
      <c r="E74" s="201" t="s">
        <v>177</v>
      </c>
    </row>
    <row r="75">
      <c r="A75" s="202">
        <v>45678.0</v>
      </c>
      <c r="B75" s="198" t="s">
        <v>16579</v>
      </c>
      <c r="C75" s="199">
        <v>15665.34</v>
      </c>
      <c r="D75" s="198" t="s">
        <v>140</v>
      </c>
      <c r="E75" s="201" t="s">
        <v>173</v>
      </c>
    </row>
    <row r="76">
      <c r="A76" s="202">
        <v>45678.0</v>
      </c>
      <c r="B76" s="198" t="s">
        <v>16579</v>
      </c>
      <c r="C76" s="199">
        <v>11330.0</v>
      </c>
      <c r="D76" s="198" t="s">
        <v>140</v>
      </c>
      <c r="E76" s="201" t="s">
        <v>173</v>
      </c>
    </row>
    <row r="77">
      <c r="A77" s="202">
        <v>45678.0</v>
      </c>
      <c r="B77" s="198" t="s">
        <v>16579</v>
      </c>
      <c r="C77" s="199">
        <v>11666.7</v>
      </c>
      <c r="D77" s="198" t="s">
        <v>140</v>
      </c>
      <c r="E77" s="201" t="s">
        <v>173</v>
      </c>
    </row>
    <row r="78">
      <c r="A78" s="202">
        <v>45678.0</v>
      </c>
      <c r="B78" s="198" t="s">
        <v>16579</v>
      </c>
      <c r="C78" s="199">
        <v>8166.68</v>
      </c>
      <c r="D78" s="198" t="s">
        <v>140</v>
      </c>
      <c r="E78" s="201" t="s">
        <v>173</v>
      </c>
    </row>
    <row r="79">
      <c r="A79" s="202">
        <v>45678.0</v>
      </c>
      <c r="B79" s="198" t="s">
        <v>169</v>
      </c>
      <c r="C79" s="199">
        <v>5132.0</v>
      </c>
      <c r="D79" s="198" t="s">
        <v>169</v>
      </c>
      <c r="E79" s="201" t="s">
        <v>173</v>
      </c>
    </row>
    <row r="80">
      <c r="A80" s="202">
        <v>45678.0</v>
      </c>
      <c r="B80" s="198" t="s">
        <v>16589</v>
      </c>
      <c r="C80" s="199">
        <v>6000.0</v>
      </c>
      <c r="D80" s="198" t="s">
        <v>145</v>
      </c>
      <c r="E80" s="201" t="s">
        <v>179</v>
      </c>
    </row>
    <row r="81">
      <c r="A81" s="202">
        <v>45678.0</v>
      </c>
      <c r="B81" s="198" t="s">
        <v>16585</v>
      </c>
      <c r="C81" s="199">
        <v>5000.0</v>
      </c>
      <c r="D81" s="198" t="s">
        <v>164</v>
      </c>
      <c r="E81" s="201" t="s">
        <v>179</v>
      </c>
    </row>
    <row r="82">
      <c r="A82" s="202">
        <v>45679.0</v>
      </c>
      <c r="B82" s="198" t="s">
        <v>16578</v>
      </c>
      <c r="C82" s="199">
        <v>2361.0</v>
      </c>
      <c r="D82" s="198" t="s">
        <v>147</v>
      </c>
      <c r="E82" s="201" t="s">
        <v>173</v>
      </c>
    </row>
    <row r="83">
      <c r="A83" s="202">
        <v>45679.0</v>
      </c>
      <c r="B83" s="198" t="s">
        <v>142</v>
      </c>
      <c r="C83" s="199">
        <v>15206.0</v>
      </c>
      <c r="D83" s="198" t="s">
        <v>142</v>
      </c>
      <c r="E83" s="201" t="s">
        <v>173</v>
      </c>
    </row>
    <row r="84">
      <c r="A84" s="202">
        <v>45680.0</v>
      </c>
      <c r="B84" s="198" t="s">
        <v>16578</v>
      </c>
      <c r="C84" s="199">
        <v>13889.0</v>
      </c>
      <c r="D84" s="198" t="s">
        <v>147</v>
      </c>
      <c r="E84" s="201" t="s">
        <v>173</v>
      </c>
    </row>
    <row r="85">
      <c r="A85" s="202">
        <v>45680.0</v>
      </c>
      <c r="B85" s="198" t="s">
        <v>16598</v>
      </c>
      <c r="C85" s="199">
        <v>15000.0</v>
      </c>
      <c r="D85" s="198" t="s">
        <v>132</v>
      </c>
      <c r="E85" s="201" t="s">
        <v>179</v>
      </c>
    </row>
    <row r="86">
      <c r="A86" s="202">
        <v>45681.0</v>
      </c>
      <c r="B86" s="198" t="s">
        <v>157</v>
      </c>
      <c r="C86" s="199">
        <v>17780.0</v>
      </c>
      <c r="D86" s="198" t="s">
        <v>157</v>
      </c>
      <c r="E86" s="201" t="s">
        <v>177</v>
      </c>
    </row>
    <row r="87">
      <c r="A87" s="202">
        <v>45681.0</v>
      </c>
      <c r="B87" s="198" t="s">
        <v>11</v>
      </c>
      <c r="C87" s="199">
        <v>20000.0</v>
      </c>
      <c r="D87" s="198" t="s">
        <v>11</v>
      </c>
      <c r="E87" s="201" t="s">
        <v>173</v>
      </c>
    </row>
    <row r="88">
      <c r="A88" s="202">
        <v>45681.0</v>
      </c>
      <c r="B88" s="198" t="s">
        <v>16580</v>
      </c>
      <c r="C88" s="199">
        <v>5000.0</v>
      </c>
      <c r="D88" s="198" t="s">
        <v>132</v>
      </c>
      <c r="E88" s="201" t="s">
        <v>177</v>
      </c>
    </row>
    <row r="89">
      <c r="A89" s="202">
        <v>45681.0</v>
      </c>
      <c r="B89" s="198" t="s">
        <v>16585</v>
      </c>
      <c r="C89" s="199">
        <v>10000.0</v>
      </c>
      <c r="D89" s="198" t="s">
        <v>164</v>
      </c>
      <c r="E89" s="201" t="s">
        <v>179</v>
      </c>
    </row>
    <row r="90">
      <c r="A90" s="202">
        <v>45682.0</v>
      </c>
      <c r="B90" s="198" t="s">
        <v>169</v>
      </c>
      <c r="C90" s="199">
        <v>5299.0</v>
      </c>
      <c r="D90" s="198" t="s">
        <v>169</v>
      </c>
      <c r="E90" s="201" t="s">
        <v>173</v>
      </c>
    </row>
    <row r="91">
      <c r="A91" s="202">
        <v>45682.0</v>
      </c>
      <c r="B91" s="198" t="s">
        <v>142</v>
      </c>
      <c r="C91" s="199">
        <v>4050.0</v>
      </c>
      <c r="D91" s="198" t="s">
        <v>142</v>
      </c>
      <c r="E91" s="201" t="s">
        <v>177</v>
      </c>
    </row>
    <row r="92">
      <c r="A92" s="202">
        <v>45683.0</v>
      </c>
      <c r="B92" s="198" t="s">
        <v>16585</v>
      </c>
      <c r="C92" s="199">
        <v>2750.0</v>
      </c>
      <c r="D92" s="198" t="s">
        <v>142</v>
      </c>
      <c r="E92" s="201" t="s">
        <v>177</v>
      </c>
    </row>
    <row r="93">
      <c r="A93" s="202">
        <v>45683.0</v>
      </c>
      <c r="B93" s="198" t="s">
        <v>16585</v>
      </c>
      <c r="C93" s="199">
        <v>4850.0</v>
      </c>
      <c r="D93" s="198" t="s">
        <v>164</v>
      </c>
      <c r="E93" s="201" t="s">
        <v>179</v>
      </c>
    </row>
    <row r="94">
      <c r="A94" s="202">
        <v>45684.0</v>
      </c>
      <c r="B94" s="198" t="s">
        <v>142</v>
      </c>
      <c r="C94" s="199">
        <v>1450.0</v>
      </c>
      <c r="D94" s="198" t="s">
        <v>142</v>
      </c>
      <c r="E94" s="201" t="s">
        <v>177</v>
      </c>
    </row>
    <row r="95">
      <c r="A95" s="202">
        <v>45684.0</v>
      </c>
      <c r="B95" s="198" t="s">
        <v>142</v>
      </c>
      <c r="C95" s="199">
        <v>4289.0</v>
      </c>
      <c r="D95" s="198" t="s">
        <v>142</v>
      </c>
      <c r="E95" s="201" t="s">
        <v>177</v>
      </c>
    </row>
    <row r="96">
      <c r="A96" s="202">
        <v>45685.0</v>
      </c>
      <c r="B96" s="198" t="s">
        <v>11</v>
      </c>
      <c r="C96" s="199">
        <v>3000.0</v>
      </c>
      <c r="D96" s="198" t="s">
        <v>11</v>
      </c>
      <c r="E96" s="201" t="s">
        <v>173</v>
      </c>
    </row>
    <row r="97">
      <c r="A97" s="202">
        <v>45685.0</v>
      </c>
      <c r="B97" s="198" t="s">
        <v>16585</v>
      </c>
      <c r="C97" s="199">
        <v>3800.0</v>
      </c>
      <c r="D97" s="198" t="s">
        <v>164</v>
      </c>
      <c r="E97" s="201" t="s">
        <v>179</v>
      </c>
    </row>
    <row r="98">
      <c r="A98" s="202">
        <v>45686.0</v>
      </c>
      <c r="B98" s="198" t="s">
        <v>142</v>
      </c>
      <c r="C98" s="199">
        <v>7037.0</v>
      </c>
      <c r="D98" s="198" t="s">
        <v>142</v>
      </c>
      <c r="E98" s="201" t="s">
        <v>177</v>
      </c>
    </row>
    <row r="99">
      <c r="A99" s="202">
        <v>45686.0</v>
      </c>
      <c r="B99" s="198" t="s">
        <v>157</v>
      </c>
      <c r="C99" s="199">
        <v>8000.0</v>
      </c>
      <c r="D99" s="198" t="s">
        <v>157</v>
      </c>
      <c r="E99" s="201" t="s">
        <v>179</v>
      </c>
    </row>
    <row r="100">
      <c r="A100" s="202">
        <v>45686.0</v>
      </c>
      <c r="B100" s="198" t="s">
        <v>16585</v>
      </c>
      <c r="C100" s="199">
        <v>3500.0</v>
      </c>
      <c r="D100" s="198" t="s">
        <v>164</v>
      </c>
      <c r="E100" s="201" t="s">
        <v>179</v>
      </c>
    </row>
    <row r="101">
      <c r="A101" s="202">
        <v>45687.0</v>
      </c>
      <c r="B101" s="198" t="s">
        <v>16592</v>
      </c>
      <c r="C101" s="199">
        <v>9000.0</v>
      </c>
      <c r="D101" s="198" t="s">
        <v>129</v>
      </c>
      <c r="E101" s="201" t="s">
        <v>177</v>
      </c>
    </row>
    <row r="102">
      <c r="A102" s="202">
        <v>45687.0</v>
      </c>
      <c r="B102" s="198" t="s">
        <v>16590</v>
      </c>
      <c r="C102" s="199">
        <v>51590.0</v>
      </c>
      <c r="D102" s="198" t="s">
        <v>145</v>
      </c>
      <c r="E102" s="201" t="s">
        <v>177</v>
      </c>
    </row>
    <row r="103">
      <c r="A103" s="202">
        <v>45687.0</v>
      </c>
      <c r="B103" s="198" t="s">
        <v>16580</v>
      </c>
      <c r="C103" s="199">
        <v>12797.0</v>
      </c>
      <c r="D103" s="198" t="s">
        <v>147</v>
      </c>
      <c r="E103" s="201" t="s">
        <v>173</v>
      </c>
    </row>
    <row r="104">
      <c r="A104" s="202">
        <v>45687.0</v>
      </c>
      <c r="B104" s="198" t="s">
        <v>16604</v>
      </c>
      <c r="C104" s="199">
        <v>16208.33</v>
      </c>
      <c r="D104" s="198" t="s">
        <v>132</v>
      </c>
      <c r="E104" s="201" t="s">
        <v>173</v>
      </c>
    </row>
    <row r="105">
      <c r="A105" s="202">
        <v>45687.0</v>
      </c>
      <c r="B105" s="198" t="s">
        <v>167</v>
      </c>
      <c r="C105" s="199">
        <v>10650.0</v>
      </c>
      <c r="D105" s="198" t="s">
        <v>164</v>
      </c>
      <c r="E105" s="201" t="s">
        <v>179</v>
      </c>
    </row>
  </sheetData>
  <dataValidations>
    <dataValidation type="custom" allowBlank="1" showDropDown="1" sqref="A2:A105">
      <formula1>OR(NOT(ISERROR(DATEVALUE(A2))), AND(ISNUMBER(A2), LEFT(CELL("format", A2))="D"))</formula1>
    </dataValidation>
    <dataValidation type="custom" allowBlank="1" showDropDown="1" sqref="C2:C105">
      <formula1>AND(ISNUMBER(C2),(NOT(OR(NOT(ISERROR(DATEVALUE(C2))), AND(ISNUMBER(C2), LEFT(CELL("format", C2))="D")))))</formula1>
    </dataValidation>
    <dataValidation allowBlank="1" showDropDown="1" sqref="B2:B105 D2:E105"/>
  </dataValidations>
  <drawing r:id="rId1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25"/>
    <col customWidth="1" min="3" max="3" width="13.13"/>
    <col customWidth="1" min="4" max="4" width="19.38"/>
    <col customWidth="1" min="5" max="5" width="21.38"/>
  </cols>
  <sheetData>
    <row r="1">
      <c r="A1" s="196" t="s">
        <v>0</v>
      </c>
      <c r="B1" s="196" t="s">
        <v>1</v>
      </c>
      <c r="C1" s="196" t="s">
        <v>2</v>
      </c>
      <c r="D1" s="196" t="s">
        <v>3</v>
      </c>
      <c r="E1" s="196" t="s">
        <v>4</v>
      </c>
    </row>
    <row r="2">
      <c r="A2" s="202">
        <v>45689.0</v>
      </c>
      <c r="B2" s="198" t="s">
        <v>16580</v>
      </c>
      <c r="C2" s="199">
        <v>2754.5</v>
      </c>
      <c r="D2" s="198" t="s">
        <v>147</v>
      </c>
      <c r="E2" s="201" t="s">
        <v>177</v>
      </c>
    </row>
    <row r="3">
      <c r="A3" s="202">
        <v>45689.0</v>
      </c>
      <c r="B3" s="198" t="s">
        <v>16586</v>
      </c>
      <c r="C3" s="199">
        <v>1200.0</v>
      </c>
      <c r="D3" s="198" t="s">
        <v>171</v>
      </c>
      <c r="E3" s="201" t="s">
        <v>179</v>
      </c>
    </row>
    <row r="4">
      <c r="A4" s="202">
        <v>45689.0</v>
      </c>
      <c r="B4" s="198" t="s">
        <v>142</v>
      </c>
      <c r="C4" s="199">
        <v>10600.0</v>
      </c>
      <c r="D4" s="198" t="s">
        <v>142</v>
      </c>
      <c r="E4" s="201" t="s">
        <v>177</v>
      </c>
    </row>
    <row r="5">
      <c r="A5" s="202">
        <v>45690.0</v>
      </c>
      <c r="B5" s="198" t="s">
        <v>16582</v>
      </c>
      <c r="C5" s="199">
        <v>5274.0</v>
      </c>
      <c r="D5" s="198" t="s">
        <v>129</v>
      </c>
      <c r="E5" s="201" t="s">
        <v>177</v>
      </c>
    </row>
    <row r="6">
      <c r="A6" s="202">
        <v>45690.0</v>
      </c>
      <c r="B6" s="198" t="s">
        <v>142</v>
      </c>
      <c r="C6" s="199">
        <v>1600.0</v>
      </c>
      <c r="D6" s="198" t="s">
        <v>142</v>
      </c>
      <c r="E6" s="201" t="s">
        <v>177</v>
      </c>
    </row>
    <row r="7">
      <c r="A7" s="202">
        <v>45690.0</v>
      </c>
      <c r="B7" s="198" t="s">
        <v>142</v>
      </c>
      <c r="C7" s="199">
        <v>662.0</v>
      </c>
      <c r="D7" s="198" t="s">
        <v>142</v>
      </c>
      <c r="E7" s="201" t="s">
        <v>173</v>
      </c>
    </row>
    <row r="8">
      <c r="A8" s="202">
        <v>45690.0</v>
      </c>
      <c r="B8" s="198" t="s">
        <v>142</v>
      </c>
      <c r="C8" s="199">
        <v>3950.0</v>
      </c>
      <c r="D8" s="198" t="s">
        <v>142</v>
      </c>
      <c r="E8" s="201" t="s">
        <v>173</v>
      </c>
    </row>
    <row r="9">
      <c r="A9" s="202">
        <v>45690.0</v>
      </c>
      <c r="B9" s="198" t="s">
        <v>16602</v>
      </c>
      <c r="C9" s="199">
        <v>7661.0</v>
      </c>
      <c r="D9" s="198" t="s">
        <v>129</v>
      </c>
      <c r="E9" s="201" t="s">
        <v>177</v>
      </c>
    </row>
    <row r="10">
      <c r="A10" s="202">
        <v>45690.0</v>
      </c>
      <c r="B10" s="198" t="s">
        <v>169</v>
      </c>
      <c r="C10" s="199">
        <v>2491.0</v>
      </c>
      <c r="D10" s="198" t="s">
        <v>169</v>
      </c>
      <c r="E10" s="201" t="s">
        <v>173</v>
      </c>
    </row>
    <row r="11">
      <c r="A11" s="202">
        <v>45691.0</v>
      </c>
      <c r="B11" s="198" t="s">
        <v>16589</v>
      </c>
      <c r="C11" s="199">
        <v>6500.0</v>
      </c>
      <c r="D11" s="198" t="s">
        <v>145</v>
      </c>
      <c r="E11" s="201" t="s">
        <v>179</v>
      </c>
    </row>
    <row r="12">
      <c r="A12" s="202">
        <v>45692.0</v>
      </c>
      <c r="B12" s="198" t="s">
        <v>134</v>
      </c>
      <c r="C12" s="199">
        <v>33993.0</v>
      </c>
      <c r="D12" s="198" t="s">
        <v>134</v>
      </c>
      <c r="E12" s="201" t="s">
        <v>173</v>
      </c>
    </row>
    <row r="13">
      <c r="A13" s="202">
        <v>45692.0</v>
      </c>
      <c r="B13" s="198" t="s">
        <v>134</v>
      </c>
      <c r="C13" s="199">
        <v>8666.0</v>
      </c>
      <c r="D13" s="198" t="s">
        <v>134</v>
      </c>
      <c r="E13" s="201" t="s">
        <v>173</v>
      </c>
    </row>
    <row r="14">
      <c r="A14" s="202">
        <v>45692.0</v>
      </c>
      <c r="B14" s="198" t="s">
        <v>134</v>
      </c>
      <c r="C14" s="199">
        <v>1700.0</v>
      </c>
      <c r="D14" s="198" t="s">
        <v>134</v>
      </c>
      <c r="E14" s="201" t="s">
        <v>173</v>
      </c>
    </row>
    <row r="15">
      <c r="A15" s="202">
        <v>45692.0</v>
      </c>
      <c r="B15" s="198" t="s">
        <v>134</v>
      </c>
      <c r="C15" s="199">
        <v>5300.0</v>
      </c>
      <c r="D15" s="198" t="s">
        <v>134</v>
      </c>
      <c r="E15" s="201" t="s">
        <v>173</v>
      </c>
    </row>
    <row r="16">
      <c r="A16" s="202">
        <v>45692.0</v>
      </c>
      <c r="B16" s="198" t="s">
        <v>16599</v>
      </c>
      <c r="C16" s="199">
        <v>370000.0</v>
      </c>
      <c r="D16" s="198" t="s">
        <v>162</v>
      </c>
      <c r="E16" s="201" t="s">
        <v>179</v>
      </c>
    </row>
    <row r="17">
      <c r="A17" s="202">
        <v>45692.0</v>
      </c>
      <c r="B17" s="198" t="s">
        <v>16585</v>
      </c>
      <c r="C17" s="199">
        <v>46.0</v>
      </c>
      <c r="D17" s="198" t="s">
        <v>164</v>
      </c>
      <c r="E17" s="201" t="s">
        <v>179</v>
      </c>
    </row>
    <row r="18">
      <c r="A18" s="202">
        <v>45693.0</v>
      </c>
      <c r="B18" s="198" t="s">
        <v>16580</v>
      </c>
      <c r="C18" s="199">
        <v>5500.0</v>
      </c>
      <c r="D18" s="198" t="s">
        <v>147</v>
      </c>
      <c r="E18" s="201" t="s">
        <v>177</v>
      </c>
    </row>
    <row r="19">
      <c r="A19" s="202">
        <v>45693.0</v>
      </c>
      <c r="B19" s="198" t="s">
        <v>142</v>
      </c>
      <c r="C19" s="199">
        <v>53.0</v>
      </c>
      <c r="D19" s="198" t="s">
        <v>152</v>
      </c>
      <c r="E19" s="201" t="s">
        <v>179</v>
      </c>
    </row>
    <row r="20">
      <c r="A20" s="202">
        <v>45693.0</v>
      </c>
      <c r="B20" s="198" t="s">
        <v>16585</v>
      </c>
      <c r="C20" s="199">
        <v>11879.0</v>
      </c>
      <c r="D20" s="198" t="s">
        <v>164</v>
      </c>
      <c r="E20" s="201" t="s">
        <v>173</v>
      </c>
    </row>
    <row r="21">
      <c r="A21" s="202">
        <v>45694.0</v>
      </c>
      <c r="B21" s="198" t="s">
        <v>16585</v>
      </c>
      <c r="C21" s="199">
        <v>46.0</v>
      </c>
      <c r="D21" s="198" t="s">
        <v>164</v>
      </c>
      <c r="E21" s="201" t="s">
        <v>179</v>
      </c>
    </row>
    <row r="22">
      <c r="A22" s="202">
        <v>45694.0</v>
      </c>
      <c r="B22" s="198" t="s">
        <v>167</v>
      </c>
      <c r="C22" s="199">
        <v>69000.0</v>
      </c>
      <c r="D22" s="198" t="s">
        <v>167</v>
      </c>
      <c r="E22" s="201" t="s">
        <v>185</v>
      </c>
    </row>
    <row r="23">
      <c r="A23" s="202">
        <v>45694.0</v>
      </c>
      <c r="B23" s="198" t="s">
        <v>169</v>
      </c>
      <c r="C23" s="199">
        <v>5435.0</v>
      </c>
      <c r="D23" s="198" t="s">
        <v>129</v>
      </c>
      <c r="E23" s="201" t="s">
        <v>173</v>
      </c>
    </row>
    <row r="24">
      <c r="A24" s="202">
        <v>45694.0</v>
      </c>
      <c r="B24" s="198" t="s">
        <v>169</v>
      </c>
      <c r="C24" s="199">
        <v>5435.0</v>
      </c>
      <c r="D24" s="198" t="s">
        <v>169</v>
      </c>
      <c r="E24" s="201" t="s">
        <v>173</v>
      </c>
    </row>
    <row r="25">
      <c r="A25" s="202">
        <v>45695.0</v>
      </c>
      <c r="B25" s="198" t="s">
        <v>142</v>
      </c>
      <c r="C25" s="199">
        <v>5880.0</v>
      </c>
      <c r="D25" s="198" t="s">
        <v>152</v>
      </c>
      <c r="E25" s="201" t="s">
        <v>179</v>
      </c>
    </row>
    <row r="26">
      <c r="A26" s="202">
        <v>45695.0</v>
      </c>
      <c r="B26" s="198" t="s">
        <v>16585</v>
      </c>
      <c r="C26" s="199">
        <v>6900.0</v>
      </c>
      <c r="D26" s="198" t="s">
        <v>164</v>
      </c>
      <c r="E26" s="201" t="s">
        <v>179</v>
      </c>
    </row>
    <row r="27">
      <c r="A27" s="202">
        <v>45695.0</v>
      </c>
      <c r="B27" s="198" t="s">
        <v>16585</v>
      </c>
      <c r="C27" s="199">
        <v>6335.0</v>
      </c>
      <c r="D27" s="198" t="s">
        <v>164</v>
      </c>
      <c r="E27" s="201" t="s">
        <v>177</v>
      </c>
    </row>
    <row r="28">
      <c r="A28" s="202">
        <v>45696.0</v>
      </c>
      <c r="B28" s="198" t="s">
        <v>16579</v>
      </c>
      <c r="C28" s="199">
        <v>2000.0</v>
      </c>
      <c r="D28" s="198" t="s">
        <v>159</v>
      </c>
      <c r="E28" s="201" t="s">
        <v>179</v>
      </c>
    </row>
    <row r="29">
      <c r="A29" s="202">
        <v>45696.0</v>
      </c>
      <c r="B29" s="198" t="s">
        <v>142</v>
      </c>
      <c r="C29" s="199">
        <v>126.0</v>
      </c>
      <c r="D29" s="198" t="s">
        <v>159</v>
      </c>
      <c r="E29" s="201" t="s">
        <v>179</v>
      </c>
    </row>
    <row r="30">
      <c r="A30" s="202">
        <v>45696.0</v>
      </c>
      <c r="B30" s="198" t="s">
        <v>142</v>
      </c>
      <c r="C30" s="199">
        <v>23500.0</v>
      </c>
      <c r="D30" s="198" t="s">
        <v>159</v>
      </c>
      <c r="E30" s="201" t="s">
        <v>179</v>
      </c>
    </row>
    <row r="31">
      <c r="A31" s="202">
        <v>45696.0</v>
      </c>
      <c r="B31" s="198" t="s">
        <v>159</v>
      </c>
      <c r="C31" s="199">
        <v>44610.0</v>
      </c>
      <c r="D31" s="198" t="s">
        <v>159</v>
      </c>
      <c r="E31" s="201" t="s">
        <v>173</v>
      </c>
    </row>
    <row r="32">
      <c r="A32" s="202">
        <v>45696.0</v>
      </c>
      <c r="B32" s="198" t="s">
        <v>16585</v>
      </c>
      <c r="C32" s="199">
        <v>20930.0</v>
      </c>
      <c r="D32" s="198" t="s">
        <v>159</v>
      </c>
      <c r="E32" s="201" t="s">
        <v>179</v>
      </c>
    </row>
    <row r="33">
      <c r="A33" s="202">
        <v>45697.0</v>
      </c>
      <c r="B33" s="198" t="s">
        <v>142</v>
      </c>
      <c r="C33" s="199">
        <v>9600.0</v>
      </c>
      <c r="D33" s="198" t="s">
        <v>142</v>
      </c>
      <c r="E33" s="201" t="s">
        <v>179</v>
      </c>
    </row>
    <row r="34">
      <c r="A34" s="202">
        <v>45697.0</v>
      </c>
      <c r="B34" s="198" t="s">
        <v>142</v>
      </c>
      <c r="C34" s="199">
        <v>8330.0</v>
      </c>
      <c r="D34" s="198" t="s">
        <v>159</v>
      </c>
      <c r="E34" s="201" t="s">
        <v>179</v>
      </c>
    </row>
    <row r="35">
      <c r="A35" s="202">
        <v>45697.0</v>
      </c>
      <c r="B35" s="198" t="s">
        <v>169</v>
      </c>
      <c r="C35" s="199">
        <v>2491.0</v>
      </c>
      <c r="D35" s="198" t="s">
        <v>129</v>
      </c>
      <c r="E35" s="201" t="s">
        <v>173</v>
      </c>
    </row>
    <row r="36">
      <c r="A36" s="202">
        <v>45698.0</v>
      </c>
      <c r="B36" s="198" t="s">
        <v>134</v>
      </c>
      <c r="C36" s="199">
        <v>19651.0</v>
      </c>
      <c r="D36" s="198" t="s">
        <v>134</v>
      </c>
      <c r="E36" s="201" t="s">
        <v>173</v>
      </c>
    </row>
    <row r="37">
      <c r="A37" s="202">
        <v>45698.0</v>
      </c>
      <c r="B37" s="198" t="s">
        <v>11</v>
      </c>
      <c r="C37" s="199">
        <v>7247.0</v>
      </c>
      <c r="D37" s="198" t="s">
        <v>11</v>
      </c>
      <c r="E37" s="201" t="s">
        <v>179</v>
      </c>
    </row>
    <row r="38">
      <c r="A38" s="202">
        <v>45699.0</v>
      </c>
      <c r="B38" s="198" t="s">
        <v>16579</v>
      </c>
      <c r="C38" s="199">
        <v>6033.0</v>
      </c>
      <c r="D38" s="198" t="s">
        <v>140</v>
      </c>
      <c r="E38" s="201" t="s">
        <v>173</v>
      </c>
    </row>
    <row r="39">
      <c r="A39" s="202">
        <v>45699.0</v>
      </c>
      <c r="B39" s="198" t="s">
        <v>157</v>
      </c>
      <c r="C39" s="199">
        <v>40000.0</v>
      </c>
      <c r="D39" s="198" t="s">
        <v>157</v>
      </c>
      <c r="E39" s="201" t="s">
        <v>177</v>
      </c>
    </row>
    <row r="40">
      <c r="A40" s="202">
        <v>45699.0</v>
      </c>
      <c r="B40" s="198" t="s">
        <v>157</v>
      </c>
      <c r="C40" s="199">
        <v>18155.0</v>
      </c>
      <c r="D40" s="198" t="s">
        <v>157</v>
      </c>
      <c r="E40" s="201" t="s">
        <v>173</v>
      </c>
    </row>
    <row r="41">
      <c r="A41" s="202">
        <v>45700.0</v>
      </c>
      <c r="B41" s="198" t="s">
        <v>16580</v>
      </c>
      <c r="C41" s="199">
        <v>5850.0</v>
      </c>
      <c r="D41" s="198" t="s">
        <v>142</v>
      </c>
      <c r="E41" s="201" t="s">
        <v>175</v>
      </c>
    </row>
    <row r="42">
      <c r="A42" s="202">
        <v>45700.0</v>
      </c>
      <c r="B42" s="198" t="s">
        <v>16590</v>
      </c>
      <c r="C42" s="199">
        <v>30000.0</v>
      </c>
      <c r="D42" s="198" t="s">
        <v>145</v>
      </c>
      <c r="E42" s="201" t="s">
        <v>175</v>
      </c>
    </row>
    <row r="43">
      <c r="A43" s="202">
        <v>45700.0</v>
      </c>
      <c r="B43" s="198" t="s">
        <v>16590</v>
      </c>
      <c r="C43" s="199">
        <v>2500.0</v>
      </c>
      <c r="D43" s="198" t="s">
        <v>145</v>
      </c>
      <c r="E43" s="201" t="s">
        <v>175</v>
      </c>
    </row>
    <row r="44">
      <c r="A44" s="202">
        <v>45701.0</v>
      </c>
      <c r="B44" s="198" t="s">
        <v>16585</v>
      </c>
      <c r="C44" s="199">
        <v>2385.0</v>
      </c>
      <c r="D44" s="198" t="s">
        <v>142</v>
      </c>
      <c r="E44" s="201" t="s">
        <v>177</v>
      </c>
    </row>
    <row r="45">
      <c r="A45" s="202">
        <v>45702.0</v>
      </c>
      <c r="B45" s="198" t="s">
        <v>16589</v>
      </c>
      <c r="C45" s="199">
        <v>6500.0</v>
      </c>
      <c r="D45" s="198" t="s">
        <v>145</v>
      </c>
      <c r="E45" s="201" t="s">
        <v>179</v>
      </c>
    </row>
    <row r="46">
      <c r="A46" s="202">
        <v>45702.0</v>
      </c>
      <c r="B46" s="198" t="s">
        <v>137</v>
      </c>
      <c r="C46" s="199">
        <v>5000.0</v>
      </c>
      <c r="D46" s="198" t="s">
        <v>137</v>
      </c>
      <c r="E46" s="201" t="s">
        <v>179</v>
      </c>
    </row>
    <row r="47">
      <c r="A47" s="202">
        <v>45702.0</v>
      </c>
      <c r="B47" s="198" t="s">
        <v>16598</v>
      </c>
      <c r="C47" s="199">
        <v>3000.0</v>
      </c>
      <c r="D47" s="198" t="s">
        <v>132</v>
      </c>
      <c r="E47" s="201" t="s">
        <v>179</v>
      </c>
    </row>
    <row r="48">
      <c r="A48" s="202">
        <v>45702.0</v>
      </c>
      <c r="B48" s="198" t="s">
        <v>16598</v>
      </c>
      <c r="C48" s="199">
        <v>5000.0</v>
      </c>
      <c r="D48" s="198" t="s">
        <v>132</v>
      </c>
      <c r="E48" s="201" t="s">
        <v>179</v>
      </c>
    </row>
    <row r="49">
      <c r="A49" s="202">
        <v>45702.0</v>
      </c>
      <c r="B49" s="198" t="s">
        <v>16585</v>
      </c>
      <c r="C49" s="199">
        <v>13300.0</v>
      </c>
      <c r="D49" s="198" t="s">
        <v>164</v>
      </c>
      <c r="E49" s="201" t="s">
        <v>179</v>
      </c>
    </row>
    <row r="50">
      <c r="A50" s="202">
        <v>45702.0</v>
      </c>
      <c r="B50" s="198" t="s">
        <v>16585</v>
      </c>
      <c r="C50" s="199">
        <v>1500.0</v>
      </c>
      <c r="D50" s="198" t="s">
        <v>142</v>
      </c>
      <c r="E50" s="201" t="s">
        <v>177</v>
      </c>
    </row>
    <row r="51">
      <c r="A51" s="202">
        <v>45703.0</v>
      </c>
      <c r="B51" s="198" t="s">
        <v>16580</v>
      </c>
      <c r="C51" s="199">
        <v>2101.0</v>
      </c>
      <c r="D51" s="198" t="s">
        <v>147</v>
      </c>
      <c r="E51" s="201" t="s">
        <v>177</v>
      </c>
    </row>
    <row r="52">
      <c r="A52" s="202">
        <v>45703.0</v>
      </c>
      <c r="B52" s="198" t="s">
        <v>134</v>
      </c>
      <c r="C52" s="199">
        <v>16000.0</v>
      </c>
      <c r="D52" s="198" t="s">
        <v>134</v>
      </c>
      <c r="E52" s="201" t="s">
        <v>173</v>
      </c>
    </row>
    <row r="53">
      <c r="A53" s="202">
        <v>45703.0</v>
      </c>
      <c r="B53" s="198" t="s">
        <v>142</v>
      </c>
      <c r="C53" s="199">
        <v>5596.0</v>
      </c>
      <c r="D53" s="198" t="s">
        <v>142</v>
      </c>
      <c r="E53" s="201" t="s">
        <v>179</v>
      </c>
    </row>
    <row r="54">
      <c r="A54" s="202">
        <v>45703.0</v>
      </c>
      <c r="B54" s="198" t="s">
        <v>142</v>
      </c>
      <c r="C54" s="199">
        <v>2150.0</v>
      </c>
      <c r="D54" s="198" t="s">
        <v>142</v>
      </c>
      <c r="E54" s="201" t="s">
        <v>179</v>
      </c>
    </row>
    <row r="55">
      <c r="A55" s="202">
        <v>45703.0</v>
      </c>
      <c r="B55" s="198" t="s">
        <v>142</v>
      </c>
      <c r="C55" s="199">
        <v>2375.0</v>
      </c>
      <c r="D55" s="198" t="s">
        <v>142</v>
      </c>
      <c r="E55" s="201" t="s">
        <v>179</v>
      </c>
    </row>
    <row r="56">
      <c r="A56" s="202">
        <v>45703.0</v>
      </c>
      <c r="B56" s="198" t="s">
        <v>167</v>
      </c>
      <c r="C56" s="199">
        <v>8000.0</v>
      </c>
      <c r="D56" s="198" t="s">
        <v>167</v>
      </c>
      <c r="E56" s="201" t="s">
        <v>179</v>
      </c>
    </row>
    <row r="57">
      <c r="A57" s="202">
        <v>45703.0</v>
      </c>
      <c r="B57" s="198" t="s">
        <v>167</v>
      </c>
      <c r="C57" s="199">
        <v>13223.0</v>
      </c>
      <c r="D57" s="198" t="s">
        <v>167</v>
      </c>
      <c r="E57" s="201" t="s">
        <v>179</v>
      </c>
    </row>
    <row r="58">
      <c r="A58" s="202">
        <v>45704.0</v>
      </c>
      <c r="B58" s="198" t="s">
        <v>142</v>
      </c>
      <c r="C58" s="199">
        <v>34400.0</v>
      </c>
      <c r="D58" s="198" t="s">
        <v>142</v>
      </c>
      <c r="E58" s="201" t="s">
        <v>177</v>
      </c>
    </row>
    <row r="59">
      <c r="A59" s="202">
        <v>45704.0</v>
      </c>
      <c r="B59" s="198" t="s">
        <v>16604</v>
      </c>
      <c r="C59" s="199">
        <v>6000.0</v>
      </c>
      <c r="D59" s="198" t="s">
        <v>132</v>
      </c>
      <c r="E59" s="201" t="s">
        <v>179</v>
      </c>
    </row>
    <row r="60">
      <c r="A60" s="202">
        <v>45704.0</v>
      </c>
      <c r="B60" s="198" t="s">
        <v>16585</v>
      </c>
      <c r="C60" s="199">
        <v>2400.0</v>
      </c>
      <c r="D60" s="198" t="s">
        <v>164</v>
      </c>
      <c r="E60" s="201" t="s">
        <v>179</v>
      </c>
    </row>
    <row r="61">
      <c r="A61" s="202">
        <v>45705.0</v>
      </c>
      <c r="B61" s="198" t="s">
        <v>169</v>
      </c>
      <c r="C61" s="199">
        <v>4838.0</v>
      </c>
      <c r="D61" s="198" t="s">
        <v>169</v>
      </c>
      <c r="E61" s="201" t="s">
        <v>173</v>
      </c>
    </row>
    <row r="62">
      <c r="A62" s="202">
        <v>45705.0</v>
      </c>
      <c r="B62" s="198" t="s">
        <v>159</v>
      </c>
      <c r="C62" s="199">
        <v>8300.0</v>
      </c>
      <c r="D62" s="198" t="s">
        <v>152</v>
      </c>
      <c r="E62" s="201" t="s">
        <v>179</v>
      </c>
    </row>
    <row r="63">
      <c r="A63" s="202">
        <v>45705.0</v>
      </c>
      <c r="B63" s="198" t="s">
        <v>132</v>
      </c>
      <c r="C63" s="199">
        <v>1600.0</v>
      </c>
      <c r="D63" s="198" t="s">
        <v>132</v>
      </c>
      <c r="E63" s="201" t="s">
        <v>179</v>
      </c>
    </row>
    <row r="64">
      <c r="A64" s="202">
        <v>45706.0</v>
      </c>
      <c r="B64" s="198" t="s">
        <v>16601</v>
      </c>
      <c r="C64" s="199">
        <v>31519.0</v>
      </c>
      <c r="D64" s="198" t="s">
        <v>132</v>
      </c>
      <c r="E64" s="201" t="s">
        <v>173</v>
      </c>
    </row>
    <row r="65">
      <c r="A65" s="202">
        <v>45706.0</v>
      </c>
      <c r="B65" s="198" t="s">
        <v>16585</v>
      </c>
      <c r="C65" s="199">
        <v>5300.0</v>
      </c>
      <c r="D65" s="198" t="s">
        <v>164</v>
      </c>
      <c r="E65" s="201" t="s">
        <v>179</v>
      </c>
    </row>
    <row r="66">
      <c r="A66" s="202">
        <v>45706.0</v>
      </c>
      <c r="B66" s="198" t="s">
        <v>16585</v>
      </c>
      <c r="C66" s="199">
        <v>5300.0</v>
      </c>
      <c r="D66" s="198" t="s">
        <v>164</v>
      </c>
      <c r="E66" s="201" t="s">
        <v>179</v>
      </c>
    </row>
    <row r="67">
      <c r="A67" s="202">
        <v>45707.0</v>
      </c>
      <c r="B67" s="198" t="s">
        <v>169</v>
      </c>
      <c r="C67" s="199">
        <v>6777.0</v>
      </c>
      <c r="D67" s="198" t="s">
        <v>169</v>
      </c>
      <c r="E67" s="201" t="s">
        <v>173</v>
      </c>
    </row>
    <row r="68">
      <c r="A68" s="202">
        <v>45708.0</v>
      </c>
      <c r="B68" s="198" t="s">
        <v>16590</v>
      </c>
      <c r="C68" s="199">
        <v>10392.0</v>
      </c>
      <c r="D68" s="198" t="s">
        <v>155</v>
      </c>
      <c r="E68" s="201" t="s">
        <v>173</v>
      </c>
    </row>
    <row r="69">
      <c r="A69" s="202">
        <v>45708.0</v>
      </c>
      <c r="B69" s="198" t="s">
        <v>16593</v>
      </c>
      <c r="C69" s="199">
        <v>9298.0</v>
      </c>
      <c r="D69" s="198" t="s">
        <v>129</v>
      </c>
      <c r="E69" s="201" t="s">
        <v>177</v>
      </c>
    </row>
    <row r="70">
      <c r="A70" s="202">
        <v>45708.0</v>
      </c>
      <c r="B70" s="198" t="s">
        <v>16585</v>
      </c>
      <c r="C70" s="199">
        <v>5900.0</v>
      </c>
      <c r="D70" s="198" t="s">
        <v>164</v>
      </c>
      <c r="E70" s="201" t="s">
        <v>179</v>
      </c>
    </row>
    <row r="71">
      <c r="A71" s="202">
        <v>45709.0</v>
      </c>
      <c r="B71" s="198" t="s">
        <v>16579</v>
      </c>
      <c r="C71" s="199">
        <v>11666.7</v>
      </c>
      <c r="D71" s="198" t="s">
        <v>140</v>
      </c>
      <c r="E71" s="201" t="s">
        <v>173</v>
      </c>
    </row>
    <row r="72">
      <c r="A72" s="202">
        <v>45709.0</v>
      </c>
      <c r="B72" s="198" t="s">
        <v>16579</v>
      </c>
      <c r="C72" s="199">
        <v>11330.0</v>
      </c>
      <c r="D72" s="198" t="s">
        <v>140</v>
      </c>
      <c r="E72" s="201" t="s">
        <v>173</v>
      </c>
    </row>
    <row r="73">
      <c r="A73" s="202">
        <v>45709.0</v>
      </c>
      <c r="B73" s="198" t="s">
        <v>16579</v>
      </c>
      <c r="C73" s="199">
        <v>8166.68</v>
      </c>
      <c r="D73" s="198" t="s">
        <v>140</v>
      </c>
      <c r="E73" s="201" t="s">
        <v>173</v>
      </c>
    </row>
    <row r="74">
      <c r="A74" s="202">
        <v>45709.0</v>
      </c>
      <c r="B74" s="198" t="s">
        <v>16579</v>
      </c>
      <c r="C74" s="199">
        <v>15665.34</v>
      </c>
      <c r="D74" s="198" t="s">
        <v>140</v>
      </c>
      <c r="E74" s="201" t="s">
        <v>173</v>
      </c>
    </row>
    <row r="75">
      <c r="A75" s="202">
        <v>45709.0</v>
      </c>
      <c r="B75" s="198" t="s">
        <v>16586</v>
      </c>
      <c r="C75" s="199">
        <v>3100.0</v>
      </c>
      <c r="D75" s="198" t="s">
        <v>171</v>
      </c>
      <c r="E75" s="201" t="s">
        <v>179</v>
      </c>
    </row>
    <row r="76">
      <c r="A76" s="202">
        <v>45709.0</v>
      </c>
      <c r="B76" s="198" t="s">
        <v>16585</v>
      </c>
      <c r="C76" s="199">
        <v>6050.0</v>
      </c>
      <c r="D76" s="198" t="s">
        <v>164</v>
      </c>
      <c r="E76" s="201" t="s">
        <v>179</v>
      </c>
    </row>
    <row r="77">
      <c r="A77" s="202">
        <v>45710.0</v>
      </c>
      <c r="B77" s="198" t="s">
        <v>16578</v>
      </c>
      <c r="C77" s="199">
        <v>2361.0</v>
      </c>
      <c r="D77" s="198" t="s">
        <v>147</v>
      </c>
      <c r="E77" s="201" t="s">
        <v>173</v>
      </c>
    </row>
    <row r="78">
      <c r="A78" s="202">
        <v>45710.0</v>
      </c>
      <c r="B78" s="198" t="s">
        <v>142</v>
      </c>
      <c r="C78" s="199">
        <v>10378.0</v>
      </c>
      <c r="D78" s="198" t="s">
        <v>142</v>
      </c>
      <c r="E78" s="201" t="s">
        <v>177</v>
      </c>
    </row>
    <row r="79">
      <c r="A79" s="202">
        <v>45710.0</v>
      </c>
      <c r="B79" s="198" t="s">
        <v>16585</v>
      </c>
      <c r="C79" s="199">
        <v>4800.0</v>
      </c>
      <c r="D79" s="198" t="s">
        <v>164</v>
      </c>
      <c r="E79" s="201" t="s">
        <v>179</v>
      </c>
    </row>
    <row r="80">
      <c r="A80" s="202">
        <v>45711.0</v>
      </c>
      <c r="B80" s="198" t="s">
        <v>16578</v>
      </c>
      <c r="C80" s="199">
        <v>13889.0</v>
      </c>
      <c r="D80" s="198" t="s">
        <v>147</v>
      </c>
      <c r="E80" s="201" t="s">
        <v>173</v>
      </c>
    </row>
    <row r="81">
      <c r="A81" s="202">
        <v>45711.0</v>
      </c>
      <c r="B81" s="198" t="s">
        <v>134</v>
      </c>
      <c r="C81" s="199">
        <v>6000.0</v>
      </c>
      <c r="D81" s="198" t="s">
        <v>134</v>
      </c>
      <c r="E81" s="201" t="s">
        <v>179</v>
      </c>
    </row>
    <row r="82">
      <c r="A82" s="202">
        <v>45711.0</v>
      </c>
      <c r="B82" s="198" t="s">
        <v>16585</v>
      </c>
      <c r="C82" s="199">
        <v>11979.0</v>
      </c>
      <c r="D82" s="198" t="s">
        <v>164</v>
      </c>
      <c r="E82" s="201" t="s">
        <v>173</v>
      </c>
    </row>
    <row r="83">
      <c r="A83" s="202">
        <v>45712.0</v>
      </c>
      <c r="B83" s="198" t="s">
        <v>11</v>
      </c>
      <c r="C83" s="199">
        <v>20000.0</v>
      </c>
      <c r="D83" s="198" t="s">
        <v>11</v>
      </c>
      <c r="E83" s="201" t="s">
        <v>173</v>
      </c>
    </row>
    <row r="84">
      <c r="A84" s="202">
        <v>45712.0</v>
      </c>
      <c r="B84" s="198" t="s">
        <v>157</v>
      </c>
      <c r="C84" s="199">
        <v>17780.0</v>
      </c>
      <c r="D84" s="198" t="s">
        <v>157</v>
      </c>
      <c r="E84" s="201" t="s">
        <v>177</v>
      </c>
    </row>
    <row r="85">
      <c r="A85" s="202">
        <v>45712.0</v>
      </c>
      <c r="B85" s="198" t="s">
        <v>16598</v>
      </c>
      <c r="C85" s="199">
        <v>15000.0</v>
      </c>
      <c r="D85" s="198" t="s">
        <v>132</v>
      </c>
      <c r="E85" s="201" t="s">
        <v>179</v>
      </c>
    </row>
    <row r="86">
      <c r="A86" s="202">
        <v>45712.0</v>
      </c>
      <c r="B86" s="198" t="s">
        <v>142</v>
      </c>
      <c r="C86" s="199">
        <v>6277.0</v>
      </c>
      <c r="D86" s="198" t="s">
        <v>142</v>
      </c>
      <c r="E86" s="201" t="s">
        <v>177</v>
      </c>
    </row>
    <row r="87">
      <c r="A87" s="202">
        <v>45713.0</v>
      </c>
      <c r="B87" s="198" t="s">
        <v>169</v>
      </c>
      <c r="C87" s="199">
        <v>5299.0</v>
      </c>
      <c r="D87" s="198" t="s">
        <v>169</v>
      </c>
      <c r="E87" s="201" t="s">
        <v>173</v>
      </c>
    </row>
    <row r="88">
      <c r="A88" s="202">
        <v>45713.0</v>
      </c>
      <c r="B88" s="198" t="s">
        <v>16585</v>
      </c>
      <c r="C88" s="199">
        <v>9250.0</v>
      </c>
      <c r="D88" s="198" t="s">
        <v>164</v>
      </c>
      <c r="E88" s="201" t="s">
        <v>179</v>
      </c>
    </row>
    <row r="89">
      <c r="A89" s="202">
        <v>45714.0</v>
      </c>
      <c r="B89" s="198" t="s">
        <v>142</v>
      </c>
      <c r="C89" s="199">
        <v>1350.0</v>
      </c>
      <c r="D89" s="198" t="s">
        <v>142</v>
      </c>
      <c r="E89" s="201" t="s">
        <v>177</v>
      </c>
    </row>
    <row r="90">
      <c r="A90" s="202">
        <v>45716.0</v>
      </c>
      <c r="B90" s="198" t="s">
        <v>11</v>
      </c>
      <c r="C90" s="199">
        <v>3000.0</v>
      </c>
      <c r="D90" s="198" t="s">
        <v>11</v>
      </c>
      <c r="E90" s="201" t="s">
        <v>173</v>
      </c>
    </row>
    <row r="91">
      <c r="A91" s="202">
        <v>45716.0</v>
      </c>
      <c r="B91" s="198" t="s">
        <v>16604</v>
      </c>
      <c r="C91" s="199">
        <v>16208.33</v>
      </c>
      <c r="D91" s="198" t="s">
        <v>132</v>
      </c>
      <c r="E91" s="201" t="s">
        <v>173</v>
      </c>
    </row>
    <row r="92">
      <c r="A92" s="202">
        <v>45716.0</v>
      </c>
      <c r="B92" s="198" t="s">
        <v>16581</v>
      </c>
      <c r="C92" s="199">
        <v>8375.0</v>
      </c>
      <c r="D92" s="198" t="s">
        <v>129</v>
      </c>
      <c r="E92" s="201" t="s">
        <v>173</v>
      </c>
    </row>
    <row r="93">
      <c r="A93" s="202">
        <v>45716.0</v>
      </c>
      <c r="B93" s="198" t="s">
        <v>16585</v>
      </c>
      <c r="C93" s="199">
        <v>19300.0</v>
      </c>
      <c r="D93" s="198" t="s">
        <v>164</v>
      </c>
      <c r="E93" s="201" t="s">
        <v>173</v>
      </c>
    </row>
    <row r="94">
      <c r="A94" s="202">
        <v>45744.0</v>
      </c>
      <c r="B94" s="198" t="s">
        <v>142</v>
      </c>
      <c r="C94" s="199">
        <v>2150.0</v>
      </c>
      <c r="D94" s="198" t="s">
        <v>142</v>
      </c>
      <c r="E94" s="201" t="s">
        <v>179</v>
      </c>
    </row>
    <row r="95">
      <c r="A95" s="202">
        <v>45744.0</v>
      </c>
      <c r="B95" s="198" t="s">
        <v>16594</v>
      </c>
      <c r="C95" s="199">
        <v>13423.0</v>
      </c>
      <c r="D95" s="198" t="s">
        <v>129</v>
      </c>
      <c r="E95" s="201" t="s">
        <v>177</v>
      </c>
    </row>
  </sheetData>
  <dataValidations>
    <dataValidation type="custom" allowBlank="1" showDropDown="1" sqref="A2:A95">
      <formula1>OR(NOT(ISERROR(DATEVALUE(A2))), AND(ISNUMBER(A2), LEFT(CELL("format", A2))="D"))</formula1>
    </dataValidation>
    <dataValidation type="custom" allowBlank="1" showDropDown="1" sqref="C2:C95">
      <formula1>AND(ISNUMBER(C2),(NOT(OR(NOT(ISERROR(DATEVALUE(C2))), AND(ISNUMBER(C2), LEFT(CELL("format", C2))="D")))))</formula1>
    </dataValidation>
    <dataValidation allowBlank="1" showDropDown="1" sqref="B2:B95 D2:E95"/>
  </dataValidations>
  <drawing r:id="rId1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0"/>
    <col customWidth="1" min="3" max="3" width="13.13"/>
    <col customWidth="1" min="4" max="4" width="19.38"/>
    <col customWidth="1" min="5" max="5" width="21.38"/>
  </cols>
  <sheetData>
    <row r="1">
      <c r="A1" s="196" t="s">
        <v>0</v>
      </c>
      <c r="B1" s="196" t="s">
        <v>1</v>
      </c>
      <c r="C1" s="196" t="s">
        <v>2</v>
      </c>
      <c r="D1" s="196" t="s">
        <v>3</v>
      </c>
      <c r="E1" s="196" t="s">
        <v>4</v>
      </c>
    </row>
    <row r="2">
      <c r="A2" s="202">
        <v>45717.0</v>
      </c>
      <c r="B2" s="198" t="s">
        <v>16580</v>
      </c>
      <c r="C2" s="199">
        <v>2754.5</v>
      </c>
      <c r="D2" s="198" t="s">
        <v>147</v>
      </c>
      <c r="E2" s="201" t="s">
        <v>177</v>
      </c>
    </row>
    <row r="3">
      <c r="A3" s="202">
        <v>45717.0</v>
      </c>
      <c r="B3" s="198" t="s">
        <v>137</v>
      </c>
      <c r="C3" s="199">
        <v>5000.0</v>
      </c>
      <c r="D3" s="198" t="s">
        <v>137</v>
      </c>
      <c r="E3" s="201" t="s">
        <v>179</v>
      </c>
    </row>
    <row r="4">
      <c r="A4" s="202">
        <v>45717.0</v>
      </c>
      <c r="B4" s="198" t="s">
        <v>16579</v>
      </c>
      <c r="C4" s="199">
        <v>25000.0</v>
      </c>
      <c r="D4" s="198" t="s">
        <v>140</v>
      </c>
      <c r="E4" s="201" t="s">
        <v>175</v>
      </c>
    </row>
    <row r="5">
      <c r="A5" s="202">
        <v>45717.0</v>
      </c>
      <c r="B5" s="198" t="s">
        <v>142</v>
      </c>
      <c r="C5" s="199">
        <v>9915.0</v>
      </c>
      <c r="D5" s="198" t="s">
        <v>142</v>
      </c>
      <c r="E5" s="201" t="s">
        <v>179</v>
      </c>
    </row>
    <row r="6">
      <c r="A6" s="202">
        <v>45717.0</v>
      </c>
      <c r="B6" s="198" t="s">
        <v>16580</v>
      </c>
      <c r="C6" s="199">
        <v>6000.0</v>
      </c>
      <c r="D6" s="198" t="s">
        <v>147</v>
      </c>
      <c r="E6" s="201" t="s">
        <v>179</v>
      </c>
    </row>
    <row r="7">
      <c r="A7" s="202">
        <v>45717.0</v>
      </c>
      <c r="B7" s="198" t="s">
        <v>155</v>
      </c>
      <c r="C7" s="199">
        <v>6800.0</v>
      </c>
      <c r="D7" s="198" t="s">
        <v>155</v>
      </c>
      <c r="E7" s="201" t="s">
        <v>179</v>
      </c>
    </row>
    <row r="8">
      <c r="A8" s="202">
        <v>45717.0</v>
      </c>
      <c r="B8" s="198" t="s">
        <v>157</v>
      </c>
      <c r="C8" s="199">
        <v>1600.0</v>
      </c>
      <c r="D8" s="198" t="s">
        <v>157</v>
      </c>
      <c r="E8" s="201" t="s">
        <v>179</v>
      </c>
    </row>
    <row r="9">
      <c r="A9" s="202">
        <v>45717.0</v>
      </c>
      <c r="B9" s="198" t="s">
        <v>157</v>
      </c>
      <c r="C9" s="199">
        <v>3000.0</v>
      </c>
      <c r="D9" s="198" t="s">
        <v>157</v>
      </c>
      <c r="E9" s="201" t="s">
        <v>179</v>
      </c>
    </row>
    <row r="10">
      <c r="A10" s="202">
        <v>45717.0</v>
      </c>
      <c r="B10" s="198" t="s">
        <v>16585</v>
      </c>
      <c r="C10" s="199">
        <v>82.0</v>
      </c>
      <c r="D10" s="198" t="s">
        <v>164</v>
      </c>
      <c r="E10" s="201" t="s">
        <v>179</v>
      </c>
    </row>
    <row r="11">
      <c r="A11" s="202">
        <v>45718.0</v>
      </c>
      <c r="B11" s="198" t="s">
        <v>142</v>
      </c>
      <c r="C11" s="199">
        <v>48.0</v>
      </c>
      <c r="D11" s="198" t="s">
        <v>164</v>
      </c>
      <c r="E11" s="201" t="s">
        <v>179</v>
      </c>
    </row>
    <row r="12">
      <c r="A12" s="202">
        <v>45718.0</v>
      </c>
      <c r="B12" s="198" t="s">
        <v>169</v>
      </c>
      <c r="C12" s="199">
        <v>2491.0</v>
      </c>
      <c r="D12" s="198" t="s">
        <v>169</v>
      </c>
      <c r="E12" s="201" t="s">
        <v>173</v>
      </c>
    </row>
    <row r="13">
      <c r="A13" s="202">
        <v>45719.0</v>
      </c>
      <c r="B13" s="198" t="s">
        <v>16600</v>
      </c>
      <c r="C13" s="199">
        <v>11900.0</v>
      </c>
      <c r="D13" s="198" t="s">
        <v>159</v>
      </c>
      <c r="E13" s="201" t="s">
        <v>173</v>
      </c>
    </row>
    <row r="14">
      <c r="A14" s="202">
        <v>45719.0</v>
      </c>
      <c r="B14" s="198" t="s">
        <v>169</v>
      </c>
      <c r="C14" s="199">
        <v>7549.0</v>
      </c>
      <c r="D14" s="198" t="s">
        <v>169</v>
      </c>
      <c r="E14" s="201" t="s">
        <v>173</v>
      </c>
    </row>
    <row r="15">
      <c r="A15" s="202">
        <v>45720.0</v>
      </c>
      <c r="B15" s="198" t="s">
        <v>134</v>
      </c>
      <c r="C15" s="199">
        <v>33993.0</v>
      </c>
      <c r="D15" s="198" t="s">
        <v>134</v>
      </c>
      <c r="E15" s="201" t="s">
        <v>173</v>
      </c>
    </row>
    <row r="16">
      <c r="A16" s="202">
        <v>45720.0</v>
      </c>
      <c r="B16" s="198" t="s">
        <v>134</v>
      </c>
      <c r="C16" s="199">
        <v>8500.0</v>
      </c>
      <c r="D16" s="198" t="s">
        <v>134</v>
      </c>
      <c r="E16" s="201" t="s">
        <v>173</v>
      </c>
    </row>
    <row r="17">
      <c r="A17" s="202">
        <v>45720.0</v>
      </c>
      <c r="B17" s="198" t="s">
        <v>134</v>
      </c>
      <c r="C17" s="199">
        <v>11650.0</v>
      </c>
      <c r="D17" s="198" t="s">
        <v>134</v>
      </c>
      <c r="E17" s="201" t="s">
        <v>173</v>
      </c>
    </row>
    <row r="18">
      <c r="A18" s="202">
        <v>45720.0</v>
      </c>
      <c r="B18" s="198" t="s">
        <v>134</v>
      </c>
      <c r="C18" s="199">
        <v>13333.0</v>
      </c>
      <c r="D18" s="198" t="s">
        <v>134</v>
      </c>
      <c r="E18" s="201" t="s">
        <v>173</v>
      </c>
    </row>
    <row r="19">
      <c r="A19" s="202">
        <v>45720.0</v>
      </c>
      <c r="B19" s="198" t="s">
        <v>142</v>
      </c>
      <c r="C19" s="199">
        <v>75.0</v>
      </c>
      <c r="D19" s="198" t="s">
        <v>164</v>
      </c>
      <c r="E19" s="201" t="s">
        <v>179</v>
      </c>
    </row>
    <row r="20">
      <c r="A20" s="202">
        <v>45720.0</v>
      </c>
      <c r="B20" s="198" t="s">
        <v>16592</v>
      </c>
      <c r="C20" s="199">
        <v>9500.0</v>
      </c>
      <c r="D20" s="198" t="s">
        <v>129</v>
      </c>
      <c r="E20" s="201" t="s">
        <v>179</v>
      </c>
    </row>
    <row r="21">
      <c r="A21" s="202">
        <v>45721.0</v>
      </c>
      <c r="B21" s="198" t="s">
        <v>16580</v>
      </c>
      <c r="C21" s="199">
        <v>5500.0</v>
      </c>
      <c r="D21" s="198" t="s">
        <v>147</v>
      </c>
      <c r="E21" s="201" t="s">
        <v>177</v>
      </c>
    </row>
    <row r="22">
      <c r="A22" s="202">
        <v>45721.0</v>
      </c>
      <c r="B22" s="198" t="s">
        <v>142</v>
      </c>
      <c r="C22" s="199">
        <v>5750.0</v>
      </c>
      <c r="D22" s="198" t="s">
        <v>142</v>
      </c>
      <c r="E22" s="201" t="s">
        <v>179</v>
      </c>
    </row>
    <row r="23">
      <c r="A23" s="202">
        <v>45721.0</v>
      </c>
      <c r="B23" s="198" t="s">
        <v>142</v>
      </c>
      <c r="C23" s="199">
        <v>45.0</v>
      </c>
      <c r="D23" s="198" t="s">
        <v>152</v>
      </c>
      <c r="E23" s="201" t="s">
        <v>179</v>
      </c>
    </row>
    <row r="24">
      <c r="A24" s="202">
        <v>45722.0</v>
      </c>
      <c r="B24" s="198" t="s">
        <v>142</v>
      </c>
      <c r="C24" s="199">
        <v>30.0</v>
      </c>
      <c r="D24" s="198" t="s">
        <v>142</v>
      </c>
      <c r="E24" s="201" t="s">
        <v>179</v>
      </c>
    </row>
    <row r="25">
      <c r="A25" s="202">
        <v>45723.0</v>
      </c>
      <c r="B25" s="198" t="s">
        <v>142</v>
      </c>
      <c r="C25" s="199">
        <v>45.0</v>
      </c>
      <c r="D25" s="198" t="s">
        <v>152</v>
      </c>
      <c r="E25" s="201" t="s">
        <v>179</v>
      </c>
    </row>
    <row r="26">
      <c r="A26" s="202">
        <v>45723.0</v>
      </c>
      <c r="B26" s="198" t="s">
        <v>16585</v>
      </c>
      <c r="C26" s="199">
        <v>12941.0</v>
      </c>
      <c r="D26" s="198" t="s">
        <v>164</v>
      </c>
      <c r="E26" s="201" t="s">
        <v>179</v>
      </c>
    </row>
    <row r="27">
      <c r="A27" s="202">
        <v>45724.0</v>
      </c>
      <c r="B27" s="198" t="s">
        <v>16586</v>
      </c>
      <c r="C27" s="199">
        <v>6200.0</v>
      </c>
      <c r="D27" s="198" t="s">
        <v>171</v>
      </c>
      <c r="E27" s="201" t="s">
        <v>179</v>
      </c>
    </row>
    <row r="28">
      <c r="A28" s="202">
        <v>45724.0</v>
      </c>
      <c r="B28" s="198" t="s">
        <v>16599</v>
      </c>
      <c r="C28" s="199">
        <v>353000.0</v>
      </c>
      <c r="D28" s="198" t="s">
        <v>162</v>
      </c>
      <c r="E28" s="201" t="s">
        <v>179</v>
      </c>
    </row>
    <row r="29">
      <c r="A29" s="202">
        <v>45724.0</v>
      </c>
      <c r="B29" s="198" t="s">
        <v>16585</v>
      </c>
      <c r="C29" s="199">
        <v>10300.0</v>
      </c>
      <c r="D29" s="198" t="s">
        <v>164</v>
      </c>
      <c r="E29" s="201" t="s">
        <v>179</v>
      </c>
    </row>
    <row r="30">
      <c r="A30" s="202">
        <v>45724.0</v>
      </c>
      <c r="B30" s="198" t="s">
        <v>16585</v>
      </c>
      <c r="C30" s="199">
        <v>48.0</v>
      </c>
      <c r="D30" s="198" t="s">
        <v>164</v>
      </c>
      <c r="E30" s="201" t="s">
        <v>179</v>
      </c>
    </row>
    <row r="31">
      <c r="A31" s="202">
        <v>45724.0</v>
      </c>
      <c r="B31" s="198" t="s">
        <v>167</v>
      </c>
      <c r="C31" s="199">
        <v>7700.0</v>
      </c>
      <c r="D31" s="198" t="s">
        <v>167</v>
      </c>
      <c r="E31" s="201" t="s">
        <v>179</v>
      </c>
    </row>
    <row r="32">
      <c r="A32" s="202">
        <v>45725.0</v>
      </c>
      <c r="B32" s="198" t="s">
        <v>16582</v>
      </c>
      <c r="C32" s="199">
        <v>5158.0</v>
      </c>
      <c r="D32" s="198" t="s">
        <v>129</v>
      </c>
      <c r="E32" s="201" t="s">
        <v>177</v>
      </c>
    </row>
    <row r="33">
      <c r="A33" s="202">
        <v>45725.0</v>
      </c>
      <c r="B33" s="198" t="s">
        <v>16580</v>
      </c>
      <c r="C33" s="199">
        <v>1250.0</v>
      </c>
      <c r="D33" s="198" t="s">
        <v>147</v>
      </c>
      <c r="E33" s="201" t="s">
        <v>179</v>
      </c>
    </row>
    <row r="34">
      <c r="A34" s="202">
        <v>45725.0</v>
      </c>
      <c r="B34" s="198" t="s">
        <v>16580</v>
      </c>
      <c r="C34" s="199">
        <v>2500.0</v>
      </c>
      <c r="D34" s="198" t="s">
        <v>147</v>
      </c>
      <c r="E34" s="201" t="s">
        <v>179</v>
      </c>
    </row>
    <row r="35">
      <c r="A35" s="202">
        <v>45725.0</v>
      </c>
      <c r="B35" s="198" t="s">
        <v>16602</v>
      </c>
      <c r="C35" s="199">
        <v>7661.0</v>
      </c>
      <c r="D35" s="198" t="s">
        <v>129</v>
      </c>
      <c r="E35" s="201" t="s">
        <v>177</v>
      </c>
    </row>
    <row r="36">
      <c r="A36" s="202">
        <v>45725.0</v>
      </c>
      <c r="B36" s="198" t="s">
        <v>155</v>
      </c>
      <c r="C36" s="199">
        <v>2000.0</v>
      </c>
      <c r="D36" s="198" t="s">
        <v>155</v>
      </c>
      <c r="E36" s="201" t="s">
        <v>179</v>
      </c>
    </row>
    <row r="37">
      <c r="A37" s="202">
        <v>45725.0</v>
      </c>
      <c r="B37" s="198" t="s">
        <v>157</v>
      </c>
      <c r="C37" s="199">
        <v>600.0</v>
      </c>
      <c r="D37" s="198" t="s">
        <v>157</v>
      </c>
      <c r="E37" s="201" t="s">
        <v>179</v>
      </c>
    </row>
    <row r="38">
      <c r="A38" s="202">
        <v>45726.0</v>
      </c>
      <c r="B38" s="198" t="s">
        <v>134</v>
      </c>
      <c r="C38" s="199">
        <v>19651.0</v>
      </c>
      <c r="D38" s="198" t="s">
        <v>134</v>
      </c>
      <c r="E38" s="201" t="s">
        <v>173</v>
      </c>
    </row>
    <row r="39">
      <c r="A39" s="202">
        <v>45727.0</v>
      </c>
      <c r="B39" s="198" t="s">
        <v>16579</v>
      </c>
      <c r="C39" s="199">
        <v>6033.0</v>
      </c>
      <c r="D39" s="198" t="s">
        <v>140</v>
      </c>
      <c r="E39" s="201" t="s">
        <v>173</v>
      </c>
    </row>
    <row r="40">
      <c r="A40" s="202">
        <v>45727.0</v>
      </c>
      <c r="B40" s="198" t="s">
        <v>16585</v>
      </c>
      <c r="C40" s="199">
        <v>35.0</v>
      </c>
      <c r="D40" s="198" t="s">
        <v>164</v>
      </c>
      <c r="E40" s="201" t="s">
        <v>179</v>
      </c>
    </row>
    <row r="41">
      <c r="A41" s="202">
        <v>45728.0</v>
      </c>
      <c r="B41" s="198" t="s">
        <v>142</v>
      </c>
      <c r="C41" s="199">
        <v>25.0</v>
      </c>
      <c r="D41" s="198" t="s">
        <v>164</v>
      </c>
      <c r="E41" s="201" t="s">
        <v>179</v>
      </c>
    </row>
    <row r="42">
      <c r="A42" s="202">
        <v>45728.0</v>
      </c>
      <c r="B42" s="198" t="s">
        <v>142</v>
      </c>
      <c r="C42" s="199">
        <v>167.0</v>
      </c>
      <c r="D42" s="198" t="s">
        <v>142</v>
      </c>
      <c r="E42" s="201" t="s">
        <v>179</v>
      </c>
    </row>
    <row r="43">
      <c r="A43" s="202">
        <v>45728.0</v>
      </c>
      <c r="B43" s="198" t="s">
        <v>16590</v>
      </c>
      <c r="C43" s="199">
        <v>8618.0</v>
      </c>
      <c r="D43" s="198" t="s">
        <v>145</v>
      </c>
      <c r="E43" s="201" t="s">
        <v>179</v>
      </c>
    </row>
    <row r="44">
      <c r="A44" s="202">
        <v>45728.0</v>
      </c>
      <c r="B44" s="198" t="s">
        <v>16585</v>
      </c>
      <c r="C44" s="199">
        <v>3500.0</v>
      </c>
      <c r="D44" s="198" t="s">
        <v>164</v>
      </c>
      <c r="E44" s="201" t="s">
        <v>179</v>
      </c>
    </row>
    <row r="45">
      <c r="A45" s="202">
        <v>45729.0</v>
      </c>
      <c r="B45" s="198" t="s">
        <v>142</v>
      </c>
      <c r="C45" s="199">
        <v>45.0</v>
      </c>
      <c r="D45" s="198" t="s">
        <v>152</v>
      </c>
      <c r="E45" s="201" t="s">
        <v>179</v>
      </c>
    </row>
    <row r="46">
      <c r="A46" s="202">
        <v>45729.0</v>
      </c>
      <c r="B46" s="198" t="s">
        <v>16585</v>
      </c>
      <c r="C46" s="199">
        <v>35.0</v>
      </c>
      <c r="D46" s="198" t="s">
        <v>164</v>
      </c>
      <c r="E46" s="201" t="s">
        <v>179</v>
      </c>
    </row>
    <row r="47">
      <c r="A47" s="202">
        <v>45730.0</v>
      </c>
      <c r="B47" s="198" t="s">
        <v>152</v>
      </c>
      <c r="C47" s="199">
        <v>4650.0</v>
      </c>
      <c r="D47" s="198" t="s">
        <v>152</v>
      </c>
      <c r="E47" s="201" t="s">
        <v>179</v>
      </c>
    </row>
    <row r="48">
      <c r="A48" s="202">
        <v>45730.0</v>
      </c>
      <c r="B48" s="198" t="s">
        <v>157</v>
      </c>
      <c r="C48" s="199">
        <v>1800.0</v>
      </c>
      <c r="D48" s="198" t="s">
        <v>157</v>
      </c>
      <c r="E48" s="201" t="s">
        <v>179</v>
      </c>
    </row>
    <row r="49">
      <c r="A49" s="202">
        <v>45730.0</v>
      </c>
      <c r="B49" s="198" t="s">
        <v>16585</v>
      </c>
      <c r="C49" s="199">
        <v>27700.0</v>
      </c>
      <c r="D49" s="198" t="s">
        <v>164</v>
      </c>
      <c r="E49" s="201" t="s">
        <v>179</v>
      </c>
    </row>
    <row r="50">
      <c r="A50" s="202">
        <v>45731.0</v>
      </c>
      <c r="B50" s="198" t="s">
        <v>16580</v>
      </c>
      <c r="C50" s="199">
        <v>2101.0</v>
      </c>
      <c r="D50" s="198" t="s">
        <v>147</v>
      </c>
      <c r="E50" s="201" t="s">
        <v>177</v>
      </c>
    </row>
    <row r="51">
      <c r="A51" s="202">
        <v>45731.0</v>
      </c>
      <c r="B51" s="198" t="s">
        <v>16578</v>
      </c>
      <c r="C51" s="199">
        <v>5965.0</v>
      </c>
      <c r="D51" s="198" t="s">
        <v>147</v>
      </c>
      <c r="E51" s="201" t="s">
        <v>173</v>
      </c>
    </row>
    <row r="52">
      <c r="A52" s="202">
        <v>45731.0</v>
      </c>
      <c r="B52" s="198" t="s">
        <v>16586</v>
      </c>
      <c r="C52" s="199">
        <v>3000.0</v>
      </c>
      <c r="D52" s="198" t="s">
        <v>171</v>
      </c>
      <c r="E52" s="201" t="s">
        <v>179</v>
      </c>
    </row>
    <row r="53">
      <c r="A53" s="202">
        <v>45731.0</v>
      </c>
      <c r="B53" s="198" t="s">
        <v>142</v>
      </c>
      <c r="C53" s="199">
        <v>4350.0</v>
      </c>
      <c r="D53" s="198" t="s">
        <v>142</v>
      </c>
      <c r="E53" s="201" t="s">
        <v>177</v>
      </c>
    </row>
    <row r="54">
      <c r="A54" s="202">
        <v>45731.0</v>
      </c>
      <c r="B54" s="198" t="s">
        <v>142</v>
      </c>
      <c r="C54" s="199">
        <v>2500.0</v>
      </c>
      <c r="D54" s="198" t="s">
        <v>142</v>
      </c>
      <c r="E54" s="201" t="s">
        <v>177</v>
      </c>
    </row>
    <row r="55">
      <c r="A55" s="202">
        <v>45731.0</v>
      </c>
      <c r="B55" s="198" t="s">
        <v>142</v>
      </c>
      <c r="C55" s="199">
        <v>2800.0</v>
      </c>
      <c r="D55" s="198" t="s">
        <v>142</v>
      </c>
      <c r="E55" s="201" t="s">
        <v>179</v>
      </c>
    </row>
    <row r="56">
      <c r="A56" s="202">
        <v>45731.0</v>
      </c>
      <c r="B56" s="198" t="s">
        <v>16585</v>
      </c>
      <c r="C56" s="199">
        <v>78.0</v>
      </c>
      <c r="D56" s="198" t="s">
        <v>164</v>
      </c>
      <c r="E56" s="201" t="s">
        <v>179</v>
      </c>
    </row>
    <row r="57">
      <c r="A57" s="202">
        <v>45731.0</v>
      </c>
      <c r="B57" s="198" t="s">
        <v>16585</v>
      </c>
      <c r="C57" s="199">
        <v>16.0</v>
      </c>
      <c r="D57" s="198" t="s">
        <v>164</v>
      </c>
      <c r="E57" s="201" t="s">
        <v>179</v>
      </c>
    </row>
    <row r="58">
      <c r="A58" s="202">
        <v>45732.0</v>
      </c>
      <c r="B58" s="198" t="s">
        <v>16598</v>
      </c>
      <c r="C58" s="199">
        <v>10000.0</v>
      </c>
      <c r="D58" s="198" t="s">
        <v>132</v>
      </c>
      <c r="E58" s="201" t="s">
        <v>177</v>
      </c>
    </row>
    <row r="59">
      <c r="A59" s="202">
        <v>45733.0</v>
      </c>
      <c r="B59" s="198" t="s">
        <v>169</v>
      </c>
      <c r="C59" s="199">
        <v>6291.0</v>
      </c>
      <c r="D59" s="198" t="s">
        <v>169</v>
      </c>
      <c r="E59" s="201" t="s">
        <v>173</v>
      </c>
    </row>
    <row r="60">
      <c r="A60" s="202">
        <v>45733.0</v>
      </c>
      <c r="B60" s="198" t="s">
        <v>16589</v>
      </c>
      <c r="C60" s="199">
        <v>6500.0</v>
      </c>
      <c r="D60" s="198" t="s">
        <v>145</v>
      </c>
      <c r="E60" s="201" t="s">
        <v>179</v>
      </c>
    </row>
    <row r="61">
      <c r="A61" s="202">
        <v>45733.0</v>
      </c>
      <c r="B61" s="198" t="s">
        <v>142</v>
      </c>
      <c r="C61" s="199">
        <v>60.0</v>
      </c>
      <c r="D61" s="198" t="s">
        <v>164</v>
      </c>
      <c r="E61" s="201" t="s">
        <v>179</v>
      </c>
    </row>
    <row r="62">
      <c r="A62" s="202">
        <v>45734.0</v>
      </c>
      <c r="B62" s="198" t="s">
        <v>16601</v>
      </c>
      <c r="C62" s="199">
        <v>31519.0</v>
      </c>
      <c r="D62" s="198" t="s">
        <v>132</v>
      </c>
      <c r="E62" s="201" t="s">
        <v>173</v>
      </c>
    </row>
    <row r="63">
      <c r="A63" s="202">
        <v>45734.0</v>
      </c>
      <c r="B63" s="198" t="s">
        <v>142</v>
      </c>
      <c r="C63" s="199">
        <v>45.0</v>
      </c>
      <c r="D63" s="198" t="s">
        <v>164</v>
      </c>
      <c r="E63" s="201" t="s">
        <v>179</v>
      </c>
    </row>
    <row r="64">
      <c r="A64" s="202">
        <v>45734.0</v>
      </c>
      <c r="B64" s="198" t="s">
        <v>157</v>
      </c>
      <c r="C64" s="199">
        <v>28000.0</v>
      </c>
      <c r="D64" s="198" t="s">
        <v>157</v>
      </c>
      <c r="E64" s="201" t="s">
        <v>179</v>
      </c>
    </row>
    <row r="65">
      <c r="A65" s="202">
        <v>45734.0</v>
      </c>
      <c r="B65" s="198" t="s">
        <v>16585</v>
      </c>
      <c r="C65" s="199">
        <v>9495.0</v>
      </c>
      <c r="D65" s="198" t="s">
        <v>164</v>
      </c>
      <c r="E65" s="201" t="s">
        <v>179</v>
      </c>
    </row>
    <row r="66">
      <c r="A66" s="202">
        <v>45735.0</v>
      </c>
      <c r="B66" s="198" t="s">
        <v>169</v>
      </c>
      <c r="C66" s="199">
        <v>6777.0</v>
      </c>
      <c r="D66" s="198" t="s">
        <v>169</v>
      </c>
      <c r="E66" s="201" t="s">
        <v>173</v>
      </c>
    </row>
    <row r="67">
      <c r="A67" s="202">
        <v>45736.0</v>
      </c>
      <c r="B67" s="198" t="s">
        <v>16585</v>
      </c>
      <c r="C67" s="199">
        <v>9750.0</v>
      </c>
      <c r="D67" s="198" t="s">
        <v>164</v>
      </c>
      <c r="E67" s="201" t="s">
        <v>179</v>
      </c>
    </row>
    <row r="68">
      <c r="A68" s="202">
        <v>45736.0</v>
      </c>
      <c r="B68" s="198" t="s">
        <v>16585</v>
      </c>
      <c r="C68" s="199">
        <v>6700.0</v>
      </c>
      <c r="D68" s="198" t="s">
        <v>164</v>
      </c>
      <c r="E68" s="201" t="s">
        <v>179</v>
      </c>
    </row>
    <row r="69">
      <c r="A69" s="202">
        <v>45736.0</v>
      </c>
      <c r="B69" s="198" t="s">
        <v>167</v>
      </c>
      <c r="C69" s="199">
        <v>69000.0</v>
      </c>
      <c r="D69" s="198" t="s">
        <v>167</v>
      </c>
      <c r="E69" s="201" t="s">
        <v>179</v>
      </c>
    </row>
    <row r="70">
      <c r="A70" s="202">
        <v>45737.0</v>
      </c>
      <c r="B70" s="198" t="s">
        <v>16579</v>
      </c>
      <c r="C70" s="199">
        <v>15665.34</v>
      </c>
      <c r="D70" s="198" t="s">
        <v>140</v>
      </c>
      <c r="E70" s="201" t="s">
        <v>173</v>
      </c>
    </row>
    <row r="71">
      <c r="A71" s="202">
        <v>45737.0</v>
      </c>
      <c r="B71" s="198" t="s">
        <v>16579</v>
      </c>
      <c r="C71" s="199">
        <v>11330.0</v>
      </c>
      <c r="D71" s="198" t="s">
        <v>140</v>
      </c>
      <c r="E71" s="201" t="s">
        <v>173</v>
      </c>
    </row>
    <row r="72">
      <c r="A72" s="202">
        <v>45737.0</v>
      </c>
      <c r="B72" s="198" t="s">
        <v>16579</v>
      </c>
      <c r="C72" s="199">
        <v>11666.7</v>
      </c>
      <c r="D72" s="198" t="s">
        <v>140</v>
      </c>
      <c r="E72" s="201" t="s">
        <v>173</v>
      </c>
    </row>
    <row r="73">
      <c r="A73" s="202">
        <v>45737.0</v>
      </c>
      <c r="B73" s="198" t="s">
        <v>16579</v>
      </c>
      <c r="C73" s="199">
        <v>8166.68</v>
      </c>
      <c r="D73" s="198" t="s">
        <v>140</v>
      </c>
      <c r="E73" s="201" t="s">
        <v>173</v>
      </c>
    </row>
    <row r="74">
      <c r="A74" s="202">
        <v>45737.0</v>
      </c>
      <c r="B74" s="198" t="s">
        <v>142</v>
      </c>
      <c r="C74" s="199">
        <v>7800.0</v>
      </c>
      <c r="D74" s="198" t="s">
        <v>142</v>
      </c>
      <c r="E74" s="201" t="s">
        <v>177</v>
      </c>
    </row>
    <row r="75">
      <c r="A75" s="202">
        <v>45737.0</v>
      </c>
      <c r="B75" s="198" t="s">
        <v>142</v>
      </c>
      <c r="C75" s="199">
        <v>55.0</v>
      </c>
      <c r="D75" s="198" t="s">
        <v>164</v>
      </c>
      <c r="E75" s="201" t="s">
        <v>179</v>
      </c>
    </row>
    <row r="76">
      <c r="A76" s="202">
        <v>45737.0</v>
      </c>
      <c r="B76" s="198" t="s">
        <v>16605</v>
      </c>
      <c r="C76" s="199">
        <v>100000.0</v>
      </c>
      <c r="D76" s="198" t="s">
        <v>145</v>
      </c>
      <c r="E76" s="201" t="s">
        <v>173</v>
      </c>
    </row>
    <row r="77">
      <c r="A77" s="202">
        <v>45737.0</v>
      </c>
      <c r="B77" s="198" t="s">
        <v>157</v>
      </c>
      <c r="C77" s="199">
        <v>2405.0</v>
      </c>
      <c r="D77" s="198" t="s">
        <v>157</v>
      </c>
      <c r="E77" s="201" t="s">
        <v>179</v>
      </c>
    </row>
    <row r="78">
      <c r="A78" s="202">
        <v>45738.0</v>
      </c>
      <c r="B78" s="198" t="s">
        <v>16578</v>
      </c>
      <c r="C78" s="199">
        <v>2361.0</v>
      </c>
      <c r="D78" s="198" t="s">
        <v>147</v>
      </c>
      <c r="E78" s="201" t="s">
        <v>173</v>
      </c>
    </row>
    <row r="79">
      <c r="A79" s="202">
        <v>45738.0</v>
      </c>
      <c r="B79" s="198" t="s">
        <v>16586</v>
      </c>
      <c r="C79" s="199">
        <v>4490.0</v>
      </c>
      <c r="D79" s="198" t="s">
        <v>171</v>
      </c>
      <c r="E79" s="201" t="s">
        <v>179</v>
      </c>
    </row>
    <row r="80">
      <c r="A80" s="202">
        <v>45738.0</v>
      </c>
      <c r="B80" s="198" t="s">
        <v>16593</v>
      </c>
      <c r="C80" s="199">
        <v>13284.0</v>
      </c>
      <c r="D80" s="198" t="s">
        <v>129</v>
      </c>
      <c r="E80" s="201" t="s">
        <v>177</v>
      </c>
    </row>
    <row r="81">
      <c r="A81" s="202">
        <v>45738.0</v>
      </c>
      <c r="B81" s="198" t="s">
        <v>142</v>
      </c>
      <c r="C81" s="199">
        <v>2100.0</v>
      </c>
      <c r="D81" s="198" t="s">
        <v>142</v>
      </c>
      <c r="E81" s="201" t="s">
        <v>177</v>
      </c>
    </row>
    <row r="82">
      <c r="A82" s="202">
        <v>45738.0</v>
      </c>
      <c r="B82" s="198" t="s">
        <v>142</v>
      </c>
      <c r="C82" s="199">
        <v>31200.0</v>
      </c>
      <c r="D82" s="198" t="s">
        <v>142</v>
      </c>
      <c r="E82" s="201" t="s">
        <v>177</v>
      </c>
    </row>
    <row r="83">
      <c r="A83" s="202">
        <v>45738.0</v>
      </c>
      <c r="B83" s="198" t="s">
        <v>16580</v>
      </c>
      <c r="C83" s="199">
        <v>6850.0</v>
      </c>
      <c r="D83" s="198" t="s">
        <v>147</v>
      </c>
      <c r="E83" s="201" t="s">
        <v>173</v>
      </c>
    </row>
    <row r="84">
      <c r="A84" s="202">
        <v>45738.0</v>
      </c>
      <c r="B84" s="198" t="s">
        <v>157</v>
      </c>
      <c r="C84" s="199">
        <v>19000.0</v>
      </c>
      <c r="D84" s="198" t="s">
        <v>157</v>
      </c>
      <c r="E84" s="201" t="s">
        <v>177</v>
      </c>
    </row>
    <row r="85">
      <c r="A85" s="202">
        <v>45738.0</v>
      </c>
      <c r="B85" s="198" t="s">
        <v>157</v>
      </c>
      <c r="C85" s="199">
        <v>1800.0</v>
      </c>
      <c r="D85" s="198" t="s">
        <v>157</v>
      </c>
      <c r="E85" s="201" t="s">
        <v>179</v>
      </c>
    </row>
    <row r="86">
      <c r="A86" s="202">
        <v>45738.0</v>
      </c>
      <c r="B86" s="198" t="s">
        <v>16585</v>
      </c>
      <c r="C86" s="199">
        <v>4000.0</v>
      </c>
      <c r="D86" s="198" t="s">
        <v>142</v>
      </c>
      <c r="E86" s="201" t="s">
        <v>179</v>
      </c>
    </row>
    <row r="87">
      <c r="A87" s="202">
        <v>45738.0</v>
      </c>
      <c r="B87" s="198" t="s">
        <v>16594</v>
      </c>
      <c r="C87" s="199">
        <v>6997.0</v>
      </c>
      <c r="D87" s="198" t="s">
        <v>129</v>
      </c>
      <c r="E87" s="201" t="s">
        <v>177</v>
      </c>
    </row>
    <row r="88">
      <c r="A88" s="202">
        <v>45739.0</v>
      </c>
      <c r="B88" s="198" t="s">
        <v>16578</v>
      </c>
      <c r="C88" s="199">
        <v>13889.0</v>
      </c>
      <c r="D88" s="198" t="s">
        <v>147</v>
      </c>
      <c r="E88" s="201" t="s">
        <v>173</v>
      </c>
    </row>
    <row r="89">
      <c r="A89" s="202">
        <v>45739.0</v>
      </c>
      <c r="B89" s="198" t="s">
        <v>16586</v>
      </c>
      <c r="C89" s="199">
        <v>6440.0</v>
      </c>
      <c r="D89" s="198" t="s">
        <v>171</v>
      </c>
      <c r="E89" s="201" t="s">
        <v>179</v>
      </c>
    </row>
    <row r="90">
      <c r="A90" s="202">
        <v>45739.0</v>
      </c>
      <c r="B90" s="198" t="s">
        <v>16585</v>
      </c>
      <c r="C90" s="199">
        <v>11600.0</v>
      </c>
      <c r="D90" s="198" t="s">
        <v>164</v>
      </c>
      <c r="E90" s="201" t="s">
        <v>179</v>
      </c>
    </row>
    <row r="91">
      <c r="A91" s="202">
        <v>45740.0</v>
      </c>
      <c r="B91" s="198" t="s">
        <v>11</v>
      </c>
      <c r="C91" s="199">
        <v>20000.0</v>
      </c>
      <c r="D91" s="198" t="s">
        <v>11</v>
      </c>
      <c r="E91" s="201" t="s">
        <v>173</v>
      </c>
    </row>
    <row r="92">
      <c r="A92" s="202">
        <v>45740.0</v>
      </c>
      <c r="B92" s="198" t="s">
        <v>142</v>
      </c>
      <c r="C92" s="199">
        <v>213.0</v>
      </c>
      <c r="D92" s="198" t="s">
        <v>142</v>
      </c>
      <c r="E92" s="201" t="s">
        <v>179</v>
      </c>
    </row>
    <row r="93">
      <c r="A93" s="202">
        <v>45740.0</v>
      </c>
      <c r="B93" s="198" t="s">
        <v>16585</v>
      </c>
      <c r="C93" s="199">
        <v>3603.0</v>
      </c>
      <c r="D93" s="198" t="s">
        <v>164</v>
      </c>
      <c r="E93" s="201" t="s">
        <v>179</v>
      </c>
    </row>
    <row r="94">
      <c r="A94" s="202">
        <v>45741.0</v>
      </c>
      <c r="B94" s="198" t="s">
        <v>169</v>
      </c>
      <c r="C94" s="199">
        <v>5299.0</v>
      </c>
      <c r="D94" s="198" t="s">
        <v>169</v>
      </c>
      <c r="E94" s="201" t="s">
        <v>173</v>
      </c>
    </row>
    <row r="95">
      <c r="A95" s="202">
        <v>45741.0</v>
      </c>
      <c r="B95" s="198" t="s">
        <v>142</v>
      </c>
      <c r="C95" s="199">
        <v>4850.0</v>
      </c>
      <c r="D95" s="198" t="s">
        <v>142</v>
      </c>
      <c r="E95" s="201" t="s">
        <v>179</v>
      </c>
    </row>
    <row r="96">
      <c r="A96" s="202">
        <v>45741.0</v>
      </c>
      <c r="B96" s="198" t="s">
        <v>157</v>
      </c>
      <c r="C96" s="199">
        <v>19000.0</v>
      </c>
      <c r="D96" s="198" t="s">
        <v>157</v>
      </c>
      <c r="E96" s="201" t="s">
        <v>179</v>
      </c>
    </row>
    <row r="97">
      <c r="A97" s="202">
        <v>45742.0</v>
      </c>
      <c r="B97" s="198" t="s">
        <v>16585</v>
      </c>
      <c r="C97" s="199">
        <v>2000.0</v>
      </c>
      <c r="D97" s="198" t="s">
        <v>164</v>
      </c>
      <c r="E97" s="201" t="s">
        <v>179</v>
      </c>
    </row>
    <row r="98">
      <c r="A98" s="202">
        <v>45742.0</v>
      </c>
      <c r="B98" s="198" t="s">
        <v>16585</v>
      </c>
      <c r="C98" s="199">
        <v>4600.0</v>
      </c>
      <c r="D98" s="198" t="s">
        <v>164</v>
      </c>
      <c r="E98" s="201" t="s">
        <v>179</v>
      </c>
    </row>
    <row r="99">
      <c r="A99" s="202">
        <v>45743.0</v>
      </c>
      <c r="B99" s="198" t="s">
        <v>142</v>
      </c>
      <c r="C99" s="199">
        <v>4600.0</v>
      </c>
      <c r="D99" s="198" t="s">
        <v>164</v>
      </c>
      <c r="E99" s="201" t="s">
        <v>179</v>
      </c>
    </row>
    <row r="100">
      <c r="A100" s="202">
        <v>45744.0</v>
      </c>
      <c r="B100" s="198" t="s">
        <v>16585</v>
      </c>
      <c r="C100" s="199">
        <v>16000.0</v>
      </c>
      <c r="D100" s="198" t="s">
        <v>164</v>
      </c>
      <c r="E100" s="201" t="s">
        <v>175</v>
      </c>
    </row>
    <row r="101">
      <c r="A101" s="202">
        <v>45744.0</v>
      </c>
      <c r="B101" s="198" t="s">
        <v>11</v>
      </c>
      <c r="C101" s="199">
        <v>3000.0</v>
      </c>
      <c r="D101" s="198" t="s">
        <v>11</v>
      </c>
      <c r="E101" s="201" t="s">
        <v>173</v>
      </c>
    </row>
    <row r="102">
      <c r="A102" s="202">
        <v>45744.0</v>
      </c>
      <c r="B102" s="198" t="s">
        <v>142</v>
      </c>
      <c r="C102" s="199">
        <v>9650.0</v>
      </c>
      <c r="D102" s="198" t="s">
        <v>142</v>
      </c>
      <c r="E102" s="201" t="s">
        <v>177</v>
      </c>
    </row>
    <row r="103">
      <c r="A103" s="202">
        <v>45744.0</v>
      </c>
      <c r="B103" s="198" t="s">
        <v>16581</v>
      </c>
      <c r="C103" s="199">
        <v>33375.0</v>
      </c>
      <c r="D103" s="198" t="s">
        <v>129</v>
      </c>
      <c r="E103" s="201" t="s">
        <v>173</v>
      </c>
    </row>
    <row r="104">
      <c r="A104" s="202">
        <v>45744.0</v>
      </c>
      <c r="B104" s="198" t="s">
        <v>157</v>
      </c>
      <c r="C104" s="199">
        <v>17500.0</v>
      </c>
      <c r="D104" s="198" t="s">
        <v>157</v>
      </c>
      <c r="E104" s="201" t="s">
        <v>177</v>
      </c>
    </row>
    <row r="105">
      <c r="A105" s="202">
        <v>45744.0</v>
      </c>
      <c r="B105" s="198" t="s">
        <v>157</v>
      </c>
      <c r="C105" s="199">
        <v>24000.0</v>
      </c>
      <c r="D105" s="198" t="s">
        <v>157</v>
      </c>
      <c r="E105" s="201" t="s">
        <v>179</v>
      </c>
    </row>
    <row r="106">
      <c r="A106" s="202">
        <v>45745.0</v>
      </c>
      <c r="B106" s="198" t="s">
        <v>142</v>
      </c>
      <c r="C106" s="199">
        <v>7406.0</v>
      </c>
      <c r="D106" s="198" t="s">
        <v>142</v>
      </c>
      <c r="E106" s="201" t="s">
        <v>177</v>
      </c>
    </row>
    <row r="107">
      <c r="A107" s="202">
        <v>45745.0</v>
      </c>
      <c r="B107" s="198" t="s">
        <v>142</v>
      </c>
      <c r="C107" s="199">
        <v>7406.0</v>
      </c>
      <c r="D107" s="198" t="s">
        <v>142</v>
      </c>
      <c r="E107" s="201" t="s">
        <v>179</v>
      </c>
    </row>
    <row r="108">
      <c r="A108" s="202">
        <v>45745.0</v>
      </c>
      <c r="B108" s="198" t="s">
        <v>142</v>
      </c>
      <c r="C108" s="199">
        <v>5000.0</v>
      </c>
      <c r="D108" s="198" t="s">
        <v>142</v>
      </c>
      <c r="E108" s="201" t="s">
        <v>179</v>
      </c>
    </row>
    <row r="109">
      <c r="A109" s="202">
        <v>45745.0</v>
      </c>
      <c r="B109" s="198" t="s">
        <v>142</v>
      </c>
      <c r="C109" s="199">
        <v>1320.0</v>
      </c>
      <c r="D109" s="198" t="s">
        <v>142</v>
      </c>
      <c r="E109" s="201" t="s">
        <v>179</v>
      </c>
    </row>
    <row r="110">
      <c r="A110" s="202">
        <v>45745.0</v>
      </c>
      <c r="B110" s="198" t="s">
        <v>142</v>
      </c>
      <c r="C110" s="199">
        <v>27500.0</v>
      </c>
      <c r="D110" s="198" t="s">
        <v>142</v>
      </c>
      <c r="E110" s="201" t="s">
        <v>179</v>
      </c>
    </row>
    <row r="111">
      <c r="A111" s="202">
        <v>45745.0</v>
      </c>
      <c r="B111" s="198" t="s">
        <v>16580</v>
      </c>
      <c r="C111" s="199">
        <v>3000.0</v>
      </c>
      <c r="D111" s="198" t="s">
        <v>147</v>
      </c>
      <c r="E111" s="201" t="s">
        <v>179</v>
      </c>
    </row>
    <row r="112">
      <c r="A112" s="202">
        <v>45745.0</v>
      </c>
      <c r="B112" s="198" t="s">
        <v>157</v>
      </c>
      <c r="C112" s="199">
        <v>5750.0</v>
      </c>
      <c r="D112" s="198" t="s">
        <v>157</v>
      </c>
      <c r="E112" s="201" t="s">
        <v>179</v>
      </c>
    </row>
    <row r="113">
      <c r="A113" s="202">
        <v>45745.0</v>
      </c>
      <c r="B113" s="198" t="s">
        <v>157</v>
      </c>
      <c r="C113" s="199">
        <v>800.0</v>
      </c>
      <c r="D113" s="198" t="s">
        <v>157</v>
      </c>
      <c r="E113" s="201" t="s">
        <v>179</v>
      </c>
    </row>
    <row r="114">
      <c r="A114" s="202">
        <v>45746.0</v>
      </c>
      <c r="B114" s="198" t="s">
        <v>16598</v>
      </c>
      <c r="C114" s="199">
        <v>10000.0</v>
      </c>
      <c r="D114" s="198" t="s">
        <v>132</v>
      </c>
      <c r="E114" s="201" t="s">
        <v>177</v>
      </c>
    </row>
    <row r="115">
      <c r="A115" s="202">
        <v>45746.0</v>
      </c>
      <c r="B115" s="198" t="s">
        <v>142</v>
      </c>
      <c r="C115" s="199">
        <v>1800.0</v>
      </c>
      <c r="D115" s="198" t="s">
        <v>142</v>
      </c>
      <c r="E115" s="201" t="s">
        <v>177</v>
      </c>
    </row>
    <row r="116">
      <c r="A116" s="202">
        <v>45746.0</v>
      </c>
      <c r="B116" s="198" t="s">
        <v>16580</v>
      </c>
      <c r="C116" s="199">
        <v>1500.0</v>
      </c>
      <c r="D116" s="198" t="s">
        <v>147</v>
      </c>
      <c r="E116" s="201" t="s">
        <v>177</v>
      </c>
    </row>
    <row r="117">
      <c r="A117" s="202">
        <v>45746.0</v>
      </c>
      <c r="B117" s="198" t="s">
        <v>157</v>
      </c>
      <c r="C117" s="199">
        <v>3000.0</v>
      </c>
      <c r="D117" s="198" t="s">
        <v>157</v>
      </c>
      <c r="E117" s="201" t="s">
        <v>179</v>
      </c>
    </row>
    <row r="118">
      <c r="A118" s="202">
        <v>45746.0</v>
      </c>
      <c r="B118" s="198" t="s">
        <v>157</v>
      </c>
      <c r="C118" s="199">
        <v>8500.0</v>
      </c>
      <c r="D118" s="198" t="s">
        <v>157</v>
      </c>
      <c r="E118" s="201" t="s">
        <v>179</v>
      </c>
    </row>
  </sheetData>
  <dataValidations>
    <dataValidation type="custom" allowBlank="1" showDropDown="1" sqref="A2:A118">
      <formula1>OR(NOT(ISERROR(DATEVALUE(A2))), AND(ISNUMBER(A2), LEFT(CELL("format", A2))="D"))</formula1>
    </dataValidation>
    <dataValidation type="custom" allowBlank="1" showDropDown="1" sqref="C2:C118">
      <formula1>AND(ISNUMBER(C2),(NOT(OR(NOT(ISERROR(DATEVALUE(C2))), AND(ISNUMBER(C2), LEFT(CELL("format", C2))="D")))))</formula1>
    </dataValidation>
    <dataValidation allowBlank="1" showDropDown="1" sqref="B2:B118 D2:E118"/>
  </dataValidations>
  <drawing r:id="rId1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7.75"/>
    <col customWidth="1" min="3" max="3" width="13.13"/>
    <col customWidth="1" min="4" max="4" width="19.38"/>
    <col customWidth="1" min="5" max="5" width="21.38"/>
  </cols>
  <sheetData>
    <row r="1">
      <c r="A1" s="196" t="s">
        <v>0</v>
      </c>
      <c r="B1" s="196" t="s">
        <v>1</v>
      </c>
      <c r="C1" s="196" t="s">
        <v>2</v>
      </c>
      <c r="D1" s="196" t="s">
        <v>3</v>
      </c>
      <c r="E1" s="196" t="s">
        <v>4</v>
      </c>
    </row>
    <row r="2">
      <c r="A2" s="202">
        <v>45748.0</v>
      </c>
      <c r="B2" s="198" t="s">
        <v>16586</v>
      </c>
      <c r="C2" s="203">
        <v>3000.0</v>
      </c>
      <c r="D2" s="198" t="s">
        <v>171</v>
      </c>
      <c r="E2" s="201" t="s">
        <v>179</v>
      </c>
    </row>
    <row r="3">
      <c r="A3" s="202">
        <v>45748.0</v>
      </c>
      <c r="B3" s="198" t="s">
        <v>142</v>
      </c>
      <c r="C3" s="203">
        <v>45.0</v>
      </c>
      <c r="D3" s="198" t="s">
        <v>152</v>
      </c>
      <c r="E3" s="201" t="s">
        <v>179</v>
      </c>
    </row>
    <row r="4">
      <c r="A4" s="202">
        <v>45748.0</v>
      </c>
      <c r="B4" s="198" t="s">
        <v>16592</v>
      </c>
      <c r="C4" s="203">
        <v>9500.0</v>
      </c>
      <c r="D4" s="198" t="s">
        <v>129</v>
      </c>
      <c r="E4" s="201" t="s">
        <v>179</v>
      </c>
    </row>
    <row r="5">
      <c r="A5" s="202">
        <v>45748.0</v>
      </c>
      <c r="B5" s="198" t="s">
        <v>157</v>
      </c>
      <c r="C5" s="203">
        <v>3151.0</v>
      </c>
      <c r="D5" s="198" t="s">
        <v>157</v>
      </c>
      <c r="E5" s="201" t="s">
        <v>179</v>
      </c>
    </row>
    <row r="6">
      <c r="A6" s="202">
        <v>45748.0</v>
      </c>
      <c r="B6" s="198" t="s">
        <v>16585</v>
      </c>
      <c r="C6" s="203">
        <v>10351.0</v>
      </c>
      <c r="D6" s="198" t="s">
        <v>164</v>
      </c>
      <c r="E6" s="201" t="s">
        <v>179</v>
      </c>
    </row>
    <row r="7">
      <c r="A7" s="202">
        <v>45749.0</v>
      </c>
      <c r="B7" s="198" t="s">
        <v>142</v>
      </c>
      <c r="C7" s="203">
        <v>5222.0</v>
      </c>
      <c r="D7" s="198" t="s">
        <v>142</v>
      </c>
      <c r="E7" s="201" t="s">
        <v>177</v>
      </c>
    </row>
    <row r="8">
      <c r="A8" s="202">
        <v>45749.0</v>
      </c>
      <c r="B8" s="198" t="s">
        <v>16585</v>
      </c>
      <c r="C8" s="203">
        <v>5750.0</v>
      </c>
      <c r="D8" s="198" t="s">
        <v>164</v>
      </c>
      <c r="E8" s="201" t="s">
        <v>179</v>
      </c>
    </row>
    <row r="9">
      <c r="A9" s="202">
        <v>45750.0</v>
      </c>
      <c r="B9" s="198" t="s">
        <v>169</v>
      </c>
      <c r="C9" s="203">
        <v>7549.0</v>
      </c>
      <c r="D9" s="198" t="s">
        <v>169</v>
      </c>
      <c r="E9" s="201" t="s">
        <v>173</v>
      </c>
    </row>
    <row r="10">
      <c r="A10" s="202">
        <v>45750.0</v>
      </c>
      <c r="B10" s="198" t="s">
        <v>16581</v>
      </c>
      <c r="C10" s="203">
        <v>33375.0</v>
      </c>
      <c r="D10" s="198" t="s">
        <v>129</v>
      </c>
      <c r="E10" s="201" t="s">
        <v>173</v>
      </c>
    </row>
    <row r="11">
      <c r="A11" s="202">
        <v>45751.0</v>
      </c>
      <c r="B11" s="198" t="s">
        <v>134</v>
      </c>
      <c r="C11" s="203">
        <v>33993.0</v>
      </c>
      <c r="D11" s="198" t="s">
        <v>134</v>
      </c>
      <c r="E11" s="201" t="s">
        <v>173</v>
      </c>
    </row>
    <row r="12">
      <c r="A12" s="202">
        <v>45751.0</v>
      </c>
      <c r="B12" s="198" t="s">
        <v>134</v>
      </c>
      <c r="C12" s="203">
        <v>13333.0</v>
      </c>
      <c r="D12" s="198" t="s">
        <v>134</v>
      </c>
      <c r="E12" s="201" t="s">
        <v>173</v>
      </c>
    </row>
    <row r="13">
      <c r="A13" s="202">
        <v>45751.0</v>
      </c>
      <c r="B13" s="198" t="s">
        <v>134</v>
      </c>
      <c r="C13" s="203">
        <v>11650.0</v>
      </c>
      <c r="D13" s="198" t="s">
        <v>134</v>
      </c>
      <c r="E13" s="201" t="s">
        <v>173</v>
      </c>
    </row>
    <row r="14">
      <c r="A14" s="202">
        <v>45751.0</v>
      </c>
      <c r="B14" s="198" t="s">
        <v>134</v>
      </c>
      <c r="C14" s="203">
        <v>8500.0</v>
      </c>
      <c r="D14" s="198" t="s">
        <v>134</v>
      </c>
      <c r="E14" s="201" t="s">
        <v>173</v>
      </c>
    </row>
    <row r="15">
      <c r="A15" s="202">
        <v>45751.0</v>
      </c>
      <c r="B15" s="198" t="s">
        <v>16590</v>
      </c>
      <c r="C15" s="203">
        <v>2500.0</v>
      </c>
      <c r="D15" s="198" t="s">
        <v>145</v>
      </c>
      <c r="E15" s="201" t="s">
        <v>177</v>
      </c>
    </row>
    <row r="16">
      <c r="A16" s="202">
        <v>45752.0</v>
      </c>
      <c r="B16" s="198" t="s">
        <v>16580</v>
      </c>
      <c r="C16" s="203">
        <v>5500.0</v>
      </c>
      <c r="D16" s="198" t="s">
        <v>147</v>
      </c>
      <c r="E16" s="201" t="s">
        <v>177</v>
      </c>
    </row>
    <row r="17">
      <c r="A17" s="202">
        <v>45752.0</v>
      </c>
      <c r="B17" s="198" t="s">
        <v>16582</v>
      </c>
      <c r="C17" s="203">
        <v>5134.0</v>
      </c>
      <c r="D17" s="198" t="s">
        <v>129</v>
      </c>
      <c r="E17" s="201" t="s">
        <v>177</v>
      </c>
    </row>
    <row r="18">
      <c r="A18" s="202">
        <v>45752.0</v>
      </c>
      <c r="B18" s="198" t="s">
        <v>142</v>
      </c>
      <c r="C18" s="203">
        <v>73831.0</v>
      </c>
      <c r="D18" s="198" t="s">
        <v>142</v>
      </c>
      <c r="E18" s="201" t="s">
        <v>177</v>
      </c>
    </row>
    <row r="19">
      <c r="A19" s="202">
        <v>45752.0</v>
      </c>
      <c r="B19" s="198" t="s">
        <v>16580</v>
      </c>
      <c r="C19" s="203">
        <v>4400.0</v>
      </c>
      <c r="D19" s="198" t="s">
        <v>147</v>
      </c>
      <c r="E19" s="201" t="s">
        <v>177</v>
      </c>
    </row>
    <row r="20">
      <c r="A20" s="202">
        <v>45752.0</v>
      </c>
      <c r="B20" s="198" t="s">
        <v>16602</v>
      </c>
      <c r="C20" s="203">
        <v>9194.0</v>
      </c>
      <c r="D20" s="198" t="s">
        <v>129</v>
      </c>
      <c r="E20" s="201" t="s">
        <v>177</v>
      </c>
    </row>
    <row r="21">
      <c r="A21" s="202">
        <v>45753.0</v>
      </c>
      <c r="B21" s="198" t="s">
        <v>142</v>
      </c>
      <c r="C21" s="203">
        <v>37350.0</v>
      </c>
      <c r="D21" s="198" t="s">
        <v>142</v>
      </c>
      <c r="E21" s="201" t="s">
        <v>179</v>
      </c>
    </row>
    <row r="22">
      <c r="A22" s="202">
        <v>45753.0</v>
      </c>
      <c r="B22" s="198" t="s">
        <v>16604</v>
      </c>
      <c r="C22" s="203">
        <v>7250.0</v>
      </c>
      <c r="D22" s="198" t="s">
        <v>132</v>
      </c>
      <c r="E22" s="201" t="s">
        <v>179</v>
      </c>
    </row>
    <row r="23">
      <c r="A23" s="202">
        <v>45753.0</v>
      </c>
      <c r="B23" s="198" t="s">
        <v>16585</v>
      </c>
      <c r="C23" s="203">
        <v>1218.0</v>
      </c>
      <c r="D23" s="198" t="s">
        <v>164</v>
      </c>
      <c r="E23" s="201" t="s">
        <v>179</v>
      </c>
    </row>
    <row r="24">
      <c r="A24" s="202">
        <v>45754.0</v>
      </c>
      <c r="B24" s="198" t="s">
        <v>16589</v>
      </c>
      <c r="C24" s="203">
        <v>7000.0</v>
      </c>
      <c r="D24" s="198" t="s">
        <v>145</v>
      </c>
      <c r="E24" s="201" t="s">
        <v>179</v>
      </c>
    </row>
    <row r="25">
      <c r="A25" s="202">
        <v>45754.0</v>
      </c>
      <c r="B25" s="198" t="s">
        <v>137</v>
      </c>
      <c r="C25" s="203">
        <v>5000.0</v>
      </c>
      <c r="D25" s="198" t="s">
        <v>137</v>
      </c>
      <c r="E25" s="201" t="s">
        <v>179</v>
      </c>
    </row>
    <row r="26">
      <c r="A26" s="202">
        <v>45754.0</v>
      </c>
      <c r="B26" s="198" t="s">
        <v>142</v>
      </c>
      <c r="C26" s="203">
        <v>4498.0</v>
      </c>
      <c r="D26" s="198" t="s">
        <v>142</v>
      </c>
      <c r="E26" s="201" t="s">
        <v>179</v>
      </c>
    </row>
    <row r="27">
      <c r="A27" s="202">
        <v>45754.0</v>
      </c>
      <c r="B27" s="198" t="s">
        <v>157</v>
      </c>
      <c r="C27" s="203">
        <v>61000.0</v>
      </c>
      <c r="D27" s="198" t="s">
        <v>157</v>
      </c>
      <c r="E27" s="201" t="s">
        <v>179</v>
      </c>
    </row>
    <row r="28">
      <c r="A28" s="202">
        <v>45754.0</v>
      </c>
      <c r="B28" s="198" t="s">
        <v>16590</v>
      </c>
      <c r="C28" s="203">
        <v>4000.0</v>
      </c>
      <c r="D28" s="198" t="s">
        <v>145</v>
      </c>
      <c r="E28" s="201" t="s">
        <v>179</v>
      </c>
    </row>
    <row r="29">
      <c r="A29" s="202">
        <v>45754.0</v>
      </c>
      <c r="B29" s="198" t="s">
        <v>16599</v>
      </c>
      <c r="C29" s="203">
        <v>354000.0</v>
      </c>
      <c r="D29" s="198" t="s">
        <v>162</v>
      </c>
      <c r="E29" s="201" t="s">
        <v>179</v>
      </c>
    </row>
    <row r="30">
      <c r="A30" s="202">
        <v>45755.0</v>
      </c>
      <c r="B30" s="198" t="s">
        <v>142</v>
      </c>
      <c r="C30" s="203">
        <v>28.0</v>
      </c>
      <c r="D30" s="198" t="s">
        <v>152</v>
      </c>
      <c r="E30" s="201" t="s">
        <v>179</v>
      </c>
    </row>
    <row r="31">
      <c r="A31" s="202">
        <v>45755.0</v>
      </c>
      <c r="B31" s="198" t="s">
        <v>142</v>
      </c>
      <c r="C31" s="203">
        <v>4000.0</v>
      </c>
      <c r="D31" s="198" t="s">
        <v>142</v>
      </c>
      <c r="E31" s="201" t="s">
        <v>179</v>
      </c>
    </row>
    <row r="32">
      <c r="A32" s="202">
        <v>45755.0</v>
      </c>
      <c r="B32" s="198" t="s">
        <v>157</v>
      </c>
      <c r="C32" s="203">
        <v>2500.0</v>
      </c>
      <c r="D32" s="198" t="s">
        <v>157</v>
      </c>
      <c r="E32" s="201" t="s">
        <v>177</v>
      </c>
    </row>
    <row r="33">
      <c r="A33" s="202">
        <v>45756.0</v>
      </c>
      <c r="B33" s="198" t="s">
        <v>142</v>
      </c>
      <c r="C33" s="203">
        <v>34.0</v>
      </c>
      <c r="D33" s="198" t="s">
        <v>152</v>
      </c>
      <c r="E33" s="201" t="s">
        <v>179</v>
      </c>
    </row>
    <row r="34">
      <c r="A34" s="202">
        <v>45756.0</v>
      </c>
      <c r="B34" s="198" t="s">
        <v>169</v>
      </c>
      <c r="C34" s="203">
        <v>2491.0</v>
      </c>
      <c r="D34" s="198" t="s">
        <v>169</v>
      </c>
      <c r="E34" s="201" t="s">
        <v>173</v>
      </c>
    </row>
    <row r="35">
      <c r="A35" s="202">
        <v>45757.0</v>
      </c>
      <c r="B35" s="198" t="s">
        <v>134</v>
      </c>
      <c r="C35" s="203">
        <v>19651.0</v>
      </c>
      <c r="D35" s="198" t="s">
        <v>134</v>
      </c>
      <c r="E35" s="201" t="s">
        <v>173</v>
      </c>
    </row>
    <row r="36">
      <c r="A36" s="202">
        <v>45757.0</v>
      </c>
      <c r="B36" s="198" t="s">
        <v>16585</v>
      </c>
      <c r="C36" s="203">
        <v>4830.0</v>
      </c>
      <c r="D36" s="198" t="s">
        <v>152</v>
      </c>
      <c r="E36" s="201" t="s">
        <v>179</v>
      </c>
    </row>
    <row r="37">
      <c r="A37" s="202">
        <v>45758.0</v>
      </c>
      <c r="B37" s="198" t="s">
        <v>16587</v>
      </c>
      <c r="C37" s="203">
        <v>12589.0</v>
      </c>
      <c r="D37" s="198" t="s">
        <v>164</v>
      </c>
      <c r="E37" s="201" t="s">
        <v>173</v>
      </c>
    </row>
    <row r="38">
      <c r="A38" s="202">
        <v>45758.0</v>
      </c>
      <c r="B38" s="198" t="s">
        <v>137</v>
      </c>
      <c r="C38" s="203">
        <v>2000.0</v>
      </c>
      <c r="D38" s="198" t="s">
        <v>137</v>
      </c>
      <c r="E38" s="201" t="s">
        <v>179</v>
      </c>
    </row>
    <row r="39">
      <c r="A39" s="202">
        <v>45758.0</v>
      </c>
      <c r="B39" s="198" t="s">
        <v>142</v>
      </c>
      <c r="C39" s="203">
        <v>2500.0</v>
      </c>
      <c r="D39" s="198" t="s">
        <v>164</v>
      </c>
      <c r="E39" s="201" t="s">
        <v>179</v>
      </c>
    </row>
    <row r="40">
      <c r="A40" s="202">
        <v>45758.0</v>
      </c>
      <c r="B40" s="198" t="s">
        <v>16585</v>
      </c>
      <c r="C40" s="203">
        <v>2710.0</v>
      </c>
      <c r="D40" s="198" t="s">
        <v>164</v>
      </c>
      <c r="E40" s="201" t="s">
        <v>179</v>
      </c>
    </row>
    <row r="41">
      <c r="A41" s="202">
        <v>45759.0</v>
      </c>
      <c r="B41" s="198" t="s">
        <v>142</v>
      </c>
      <c r="C41" s="203">
        <v>7540.0</v>
      </c>
      <c r="D41" s="198" t="s">
        <v>142</v>
      </c>
      <c r="E41" s="201" t="s">
        <v>177</v>
      </c>
    </row>
    <row r="42">
      <c r="A42" s="202">
        <v>45759.0</v>
      </c>
      <c r="B42" s="198" t="s">
        <v>142</v>
      </c>
      <c r="C42" s="203">
        <v>150000.0</v>
      </c>
      <c r="D42" s="198" t="s">
        <v>134</v>
      </c>
      <c r="E42" s="201" t="s">
        <v>185</v>
      </c>
    </row>
    <row r="43">
      <c r="A43" s="202">
        <v>45759.0</v>
      </c>
      <c r="B43" s="198" t="s">
        <v>16585</v>
      </c>
      <c r="C43" s="203">
        <v>11800.0</v>
      </c>
      <c r="D43" s="198" t="s">
        <v>164</v>
      </c>
      <c r="E43" s="201" t="s">
        <v>179</v>
      </c>
    </row>
    <row r="44">
      <c r="A44" s="202">
        <v>45760.0</v>
      </c>
      <c r="B44" s="198" t="s">
        <v>142</v>
      </c>
      <c r="C44" s="203">
        <v>2400.0</v>
      </c>
      <c r="D44" s="198" t="s">
        <v>142</v>
      </c>
      <c r="E44" s="201" t="s">
        <v>177</v>
      </c>
    </row>
    <row r="45">
      <c r="A45" s="202">
        <v>45760.0</v>
      </c>
      <c r="B45" s="198" t="s">
        <v>142</v>
      </c>
      <c r="C45" s="203">
        <v>2200.0</v>
      </c>
      <c r="D45" s="198" t="s">
        <v>142</v>
      </c>
      <c r="E45" s="201" t="s">
        <v>179</v>
      </c>
    </row>
    <row r="46">
      <c r="A46" s="202">
        <v>45760.0</v>
      </c>
      <c r="B46" s="198" t="s">
        <v>157</v>
      </c>
      <c r="C46" s="203">
        <v>1200.0</v>
      </c>
      <c r="D46" s="198" t="s">
        <v>157</v>
      </c>
      <c r="E46" s="201" t="s">
        <v>177</v>
      </c>
    </row>
    <row r="47">
      <c r="A47" s="202">
        <v>45761.0</v>
      </c>
      <c r="B47" s="198" t="s">
        <v>11</v>
      </c>
      <c r="C47" s="203">
        <v>899.0</v>
      </c>
      <c r="D47" s="198" t="s">
        <v>11</v>
      </c>
      <c r="E47" s="201" t="s">
        <v>173</v>
      </c>
    </row>
    <row r="48">
      <c r="A48" s="202">
        <v>45761.0</v>
      </c>
      <c r="B48" s="198" t="s">
        <v>142</v>
      </c>
      <c r="C48" s="203">
        <v>2000.0</v>
      </c>
      <c r="D48" s="198" t="s">
        <v>164</v>
      </c>
      <c r="E48" s="201" t="s">
        <v>179</v>
      </c>
    </row>
    <row r="49">
      <c r="A49" s="202">
        <v>45762.0</v>
      </c>
      <c r="B49" s="198" t="s">
        <v>16580</v>
      </c>
      <c r="C49" s="203">
        <v>2101.0</v>
      </c>
      <c r="D49" s="198" t="s">
        <v>147</v>
      </c>
      <c r="E49" s="201" t="s">
        <v>177</v>
      </c>
    </row>
    <row r="50">
      <c r="A50" s="202">
        <v>45762.0</v>
      </c>
      <c r="B50" s="198" t="s">
        <v>16579</v>
      </c>
      <c r="C50" s="203">
        <v>6033.0</v>
      </c>
      <c r="D50" s="198" t="s">
        <v>140</v>
      </c>
      <c r="E50" s="201" t="s">
        <v>173</v>
      </c>
    </row>
    <row r="51">
      <c r="A51" s="202">
        <v>45762.0</v>
      </c>
      <c r="B51" s="198" t="s">
        <v>16578</v>
      </c>
      <c r="C51" s="203">
        <v>5965.0</v>
      </c>
      <c r="D51" s="198" t="s">
        <v>147</v>
      </c>
      <c r="E51" s="201" t="s">
        <v>173</v>
      </c>
    </row>
    <row r="52">
      <c r="A52" s="202">
        <v>45762.0</v>
      </c>
      <c r="B52" s="198" t="s">
        <v>142</v>
      </c>
      <c r="C52" s="203">
        <v>4500.0</v>
      </c>
      <c r="D52" s="198" t="s">
        <v>142</v>
      </c>
      <c r="E52" s="201" t="s">
        <v>179</v>
      </c>
    </row>
    <row r="53">
      <c r="A53" s="202">
        <v>45762.0</v>
      </c>
      <c r="B53" s="198" t="s">
        <v>142</v>
      </c>
      <c r="C53" s="203">
        <v>6800.0</v>
      </c>
      <c r="D53" s="198" t="s">
        <v>152</v>
      </c>
      <c r="E53" s="201" t="s">
        <v>179</v>
      </c>
    </row>
    <row r="54">
      <c r="A54" s="202">
        <v>45762.0</v>
      </c>
      <c r="B54" s="198" t="s">
        <v>142</v>
      </c>
      <c r="C54" s="203">
        <v>4500.0</v>
      </c>
      <c r="D54" s="198" t="s">
        <v>142</v>
      </c>
      <c r="E54" s="201" t="s">
        <v>179</v>
      </c>
    </row>
    <row r="55">
      <c r="A55" s="202">
        <v>45763.0</v>
      </c>
      <c r="B55" s="198" t="s">
        <v>16580</v>
      </c>
      <c r="C55" s="203">
        <v>60492.0</v>
      </c>
      <c r="D55" s="198" t="s">
        <v>147</v>
      </c>
      <c r="E55" s="201" t="s">
        <v>173</v>
      </c>
    </row>
    <row r="56">
      <c r="A56" s="202">
        <v>45763.0</v>
      </c>
      <c r="B56" s="198" t="s">
        <v>16580</v>
      </c>
      <c r="C56" s="203">
        <v>3833.0</v>
      </c>
      <c r="D56" s="198" t="s">
        <v>147</v>
      </c>
      <c r="E56" s="201" t="s">
        <v>173</v>
      </c>
    </row>
    <row r="57">
      <c r="A57" s="202">
        <v>45764.0</v>
      </c>
      <c r="B57" s="198" t="s">
        <v>134</v>
      </c>
      <c r="C57" s="203">
        <v>40950.0</v>
      </c>
      <c r="D57" s="198" t="s">
        <v>134</v>
      </c>
      <c r="E57" s="201" t="s">
        <v>173</v>
      </c>
    </row>
    <row r="58">
      <c r="A58" s="202">
        <v>45764.0</v>
      </c>
      <c r="B58" s="198" t="s">
        <v>134</v>
      </c>
      <c r="C58" s="203">
        <v>38037.0</v>
      </c>
      <c r="D58" s="198" t="s">
        <v>134</v>
      </c>
      <c r="E58" s="201" t="s">
        <v>173</v>
      </c>
    </row>
    <row r="59">
      <c r="A59" s="202">
        <v>45764.0</v>
      </c>
      <c r="B59" s="198" t="s">
        <v>16598</v>
      </c>
      <c r="C59" s="203">
        <v>10000.0</v>
      </c>
      <c r="D59" s="198" t="s">
        <v>132</v>
      </c>
      <c r="E59" s="201" t="s">
        <v>179</v>
      </c>
    </row>
    <row r="60">
      <c r="A60" s="202">
        <v>45764.0</v>
      </c>
      <c r="B60" s="198" t="s">
        <v>142</v>
      </c>
      <c r="C60" s="203">
        <v>7500.0</v>
      </c>
      <c r="D60" s="198" t="s">
        <v>164</v>
      </c>
      <c r="E60" s="201" t="s">
        <v>179</v>
      </c>
    </row>
    <row r="61">
      <c r="A61" s="202">
        <v>45764.0</v>
      </c>
      <c r="B61" s="198" t="s">
        <v>16580</v>
      </c>
      <c r="C61" s="203">
        <v>11370.0</v>
      </c>
      <c r="D61" s="198" t="s">
        <v>147</v>
      </c>
      <c r="E61" s="201" t="s">
        <v>179</v>
      </c>
    </row>
    <row r="62">
      <c r="A62" s="202">
        <v>45764.0</v>
      </c>
      <c r="B62" s="198" t="s">
        <v>157</v>
      </c>
      <c r="C62" s="203">
        <v>16250.0</v>
      </c>
      <c r="D62" s="198" t="s">
        <v>157</v>
      </c>
      <c r="E62" s="201" t="s">
        <v>179</v>
      </c>
    </row>
    <row r="63">
      <c r="A63" s="202">
        <v>45764.0</v>
      </c>
      <c r="B63" s="198" t="s">
        <v>16585</v>
      </c>
      <c r="C63" s="203">
        <v>15000.0</v>
      </c>
      <c r="D63" s="198" t="s">
        <v>164</v>
      </c>
      <c r="E63" s="201" t="s">
        <v>179</v>
      </c>
    </row>
    <row r="64">
      <c r="A64" s="202">
        <v>45764.0</v>
      </c>
      <c r="B64" s="198" t="s">
        <v>16585</v>
      </c>
      <c r="C64" s="203">
        <v>7500.0</v>
      </c>
      <c r="D64" s="198" t="s">
        <v>164</v>
      </c>
      <c r="E64" s="201" t="s">
        <v>179</v>
      </c>
    </row>
    <row r="65">
      <c r="A65" s="202">
        <v>45764.0</v>
      </c>
      <c r="B65" s="198" t="s">
        <v>16588</v>
      </c>
      <c r="C65" s="203">
        <v>9600.0</v>
      </c>
      <c r="D65" s="198" t="s">
        <v>159</v>
      </c>
      <c r="E65" s="201" t="s">
        <v>179</v>
      </c>
    </row>
    <row r="66">
      <c r="A66" s="202">
        <v>45765.0</v>
      </c>
      <c r="B66" s="198" t="s">
        <v>16601</v>
      </c>
      <c r="C66" s="203">
        <v>38366.0</v>
      </c>
      <c r="D66" s="198" t="s">
        <v>132</v>
      </c>
      <c r="E66" s="201" t="s">
        <v>173</v>
      </c>
    </row>
    <row r="67">
      <c r="A67" s="202">
        <v>45765.0</v>
      </c>
      <c r="B67" s="198" t="s">
        <v>142</v>
      </c>
      <c r="C67" s="203">
        <v>4250.0</v>
      </c>
      <c r="D67" s="198" t="s">
        <v>142</v>
      </c>
      <c r="E67" s="201" t="s">
        <v>177</v>
      </c>
    </row>
    <row r="68">
      <c r="A68" s="202">
        <v>45765.0</v>
      </c>
      <c r="B68" s="198" t="s">
        <v>142</v>
      </c>
      <c r="C68" s="203">
        <v>1000.0</v>
      </c>
      <c r="D68" s="198" t="s">
        <v>142</v>
      </c>
      <c r="E68" s="201" t="s">
        <v>177</v>
      </c>
    </row>
    <row r="69">
      <c r="A69" s="202">
        <v>45766.0</v>
      </c>
      <c r="B69" s="198" t="s">
        <v>16586</v>
      </c>
      <c r="C69" s="203">
        <v>2000.0</v>
      </c>
      <c r="D69" s="198" t="s">
        <v>171</v>
      </c>
      <c r="E69" s="201" t="s">
        <v>179</v>
      </c>
    </row>
    <row r="70">
      <c r="A70" s="202">
        <v>45766.0</v>
      </c>
      <c r="B70" s="198" t="s">
        <v>16580</v>
      </c>
      <c r="C70" s="203">
        <v>7100.0</v>
      </c>
      <c r="D70" s="198" t="s">
        <v>147</v>
      </c>
      <c r="E70" s="201" t="s">
        <v>179</v>
      </c>
    </row>
    <row r="71">
      <c r="A71" s="202">
        <v>45766.0</v>
      </c>
      <c r="B71" s="198" t="s">
        <v>16585</v>
      </c>
      <c r="C71" s="203">
        <v>15800.0</v>
      </c>
      <c r="D71" s="198" t="s">
        <v>164</v>
      </c>
      <c r="E71" s="201" t="s">
        <v>179</v>
      </c>
    </row>
    <row r="72">
      <c r="A72" s="202">
        <v>45766.0</v>
      </c>
      <c r="B72" s="198" t="s">
        <v>16585</v>
      </c>
      <c r="C72" s="203">
        <v>14450.0</v>
      </c>
      <c r="D72" s="198" t="s">
        <v>164</v>
      </c>
      <c r="E72" s="201" t="s">
        <v>177</v>
      </c>
    </row>
    <row r="73">
      <c r="A73" s="202">
        <v>45766.0</v>
      </c>
      <c r="B73" s="198" t="s">
        <v>16585</v>
      </c>
      <c r="C73" s="203">
        <v>4300.0</v>
      </c>
      <c r="D73" s="198" t="s">
        <v>142</v>
      </c>
      <c r="E73" s="201" t="s">
        <v>179</v>
      </c>
    </row>
    <row r="74">
      <c r="A74" s="202">
        <v>45767.0</v>
      </c>
      <c r="B74" s="198" t="s">
        <v>16585</v>
      </c>
      <c r="C74" s="203">
        <v>1800.0</v>
      </c>
      <c r="D74" s="198" t="s">
        <v>164</v>
      </c>
      <c r="E74" s="201" t="s">
        <v>179</v>
      </c>
    </row>
    <row r="75">
      <c r="A75" s="202">
        <v>45767.0</v>
      </c>
      <c r="B75" s="198" t="s">
        <v>169</v>
      </c>
      <c r="C75" s="203">
        <v>6777.0</v>
      </c>
      <c r="D75" s="198" t="s">
        <v>169</v>
      </c>
      <c r="E75" s="201" t="s">
        <v>173</v>
      </c>
    </row>
    <row r="76">
      <c r="A76" s="202">
        <v>45768.0</v>
      </c>
      <c r="B76" s="198" t="s">
        <v>16579</v>
      </c>
      <c r="C76" s="203">
        <v>11666.7</v>
      </c>
      <c r="D76" s="198" t="s">
        <v>140</v>
      </c>
      <c r="E76" s="201" t="s">
        <v>173</v>
      </c>
    </row>
    <row r="77">
      <c r="A77" s="202">
        <v>45768.0</v>
      </c>
      <c r="B77" s="198" t="s">
        <v>169</v>
      </c>
      <c r="C77" s="203">
        <v>6777.0</v>
      </c>
      <c r="D77" s="198" t="s">
        <v>169</v>
      </c>
      <c r="E77" s="201" t="s">
        <v>173</v>
      </c>
    </row>
    <row r="78">
      <c r="A78" s="202">
        <v>45768.0</v>
      </c>
      <c r="B78" s="198" t="s">
        <v>16589</v>
      </c>
      <c r="C78" s="203">
        <v>7000.0</v>
      </c>
      <c r="D78" s="198" t="s">
        <v>145</v>
      </c>
      <c r="E78" s="201" t="s">
        <v>179</v>
      </c>
    </row>
    <row r="79">
      <c r="A79" s="202">
        <v>45768.0</v>
      </c>
      <c r="B79" s="198" t="s">
        <v>142</v>
      </c>
      <c r="C79" s="203">
        <v>4400.0</v>
      </c>
      <c r="D79" s="198" t="s">
        <v>142</v>
      </c>
      <c r="E79" s="201" t="s">
        <v>179</v>
      </c>
    </row>
    <row r="80">
      <c r="A80" s="202">
        <v>45768.0</v>
      </c>
      <c r="B80" s="198" t="s">
        <v>142</v>
      </c>
      <c r="C80" s="203">
        <v>4000.0</v>
      </c>
      <c r="D80" s="198" t="s">
        <v>142</v>
      </c>
      <c r="E80" s="201" t="s">
        <v>179</v>
      </c>
    </row>
    <row r="81">
      <c r="A81" s="202">
        <v>45769.0</v>
      </c>
      <c r="B81" s="198" t="s">
        <v>16578</v>
      </c>
      <c r="C81" s="203">
        <v>2361.0</v>
      </c>
      <c r="D81" s="198" t="s">
        <v>147</v>
      </c>
      <c r="E81" s="201" t="s">
        <v>173</v>
      </c>
    </row>
    <row r="82">
      <c r="A82" s="202">
        <v>45769.0</v>
      </c>
      <c r="B82" s="198" t="s">
        <v>157</v>
      </c>
      <c r="C82" s="203">
        <v>6850.0</v>
      </c>
      <c r="D82" s="198" t="s">
        <v>147</v>
      </c>
      <c r="E82" s="201" t="s">
        <v>173</v>
      </c>
    </row>
    <row r="83">
      <c r="A83" s="202">
        <v>45769.0</v>
      </c>
      <c r="B83" s="198" t="s">
        <v>157</v>
      </c>
      <c r="C83" s="203">
        <v>203000.0</v>
      </c>
      <c r="D83" s="198" t="s">
        <v>157</v>
      </c>
      <c r="E83" s="201" t="s">
        <v>179</v>
      </c>
    </row>
    <row r="84">
      <c r="A84" s="202">
        <v>45769.0</v>
      </c>
      <c r="B84" s="198" t="s">
        <v>16585</v>
      </c>
      <c r="C84" s="203">
        <v>4400.0</v>
      </c>
      <c r="D84" s="198" t="s">
        <v>164</v>
      </c>
      <c r="E84" s="201" t="s">
        <v>179</v>
      </c>
    </row>
    <row r="85">
      <c r="A85" s="202">
        <v>45770.0</v>
      </c>
      <c r="B85" s="198" t="s">
        <v>16578</v>
      </c>
      <c r="C85" s="203">
        <v>13889.0</v>
      </c>
      <c r="D85" s="198" t="s">
        <v>147</v>
      </c>
      <c r="E85" s="201" t="s">
        <v>173</v>
      </c>
    </row>
    <row r="86">
      <c r="A86" s="202">
        <v>45770.0</v>
      </c>
      <c r="B86" s="198" t="s">
        <v>142</v>
      </c>
      <c r="C86" s="203">
        <v>5000.0</v>
      </c>
      <c r="D86" s="198" t="s">
        <v>152</v>
      </c>
      <c r="E86" s="201" t="s">
        <v>179</v>
      </c>
    </row>
    <row r="87">
      <c r="A87" s="202">
        <v>45771.0</v>
      </c>
      <c r="B87" s="198" t="s">
        <v>11</v>
      </c>
      <c r="C87" s="203">
        <v>20000.0</v>
      </c>
      <c r="D87" s="198" t="s">
        <v>11</v>
      </c>
      <c r="E87" s="201" t="s">
        <v>173</v>
      </c>
    </row>
    <row r="88">
      <c r="A88" s="202">
        <v>45771.0</v>
      </c>
      <c r="B88" s="198" t="s">
        <v>142</v>
      </c>
      <c r="C88" s="203">
        <v>9474.0</v>
      </c>
      <c r="D88" s="198" t="s">
        <v>142</v>
      </c>
      <c r="E88" s="201" t="s">
        <v>177</v>
      </c>
    </row>
    <row r="89">
      <c r="A89" s="202">
        <v>45771.0</v>
      </c>
      <c r="B89" s="198" t="s">
        <v>157</v>
      </c>
      <c r="C89" s="203">
        <v>19500.0</v>
      </c>
      <c r="D89" s="198" t="s">
        <v>157</v>
      </c>
      <c r="E89" s="201" t="s">
        <v>177</v>
      </c>
    </row>
    <row r="90">
      <c r="A90" s="202">
        <v>45771.0</v>
      </c>
      <c r="B90" s="198" t="s">
        <v>16585</v>
      </c>
      <c r="C90" s="203">
        <v>12400.0</v>
      </c>
      <c r="D90" s="198" t="s">
        <v>164</v>
      </c>
      <c r="E90" s="201" t="s">
        <v>179</v>
      </c>
    </row>
    <row r="91">
      <c r="A91" s="202">
        <v>45772.0</v>
      </c>
      <c r="B91" s="198" t="s">
        <v>169</v>
      </c>
      <c r="C91" s="203">
        <v>10699.0</v>
      </c>
      <c r="D91" s="198" t="s">
        <v>169</v>
      </c>
      <c r="E91" s="201" t="s">
        <v>173</v>
      </c>
    </row>
    <row r="92">
      <c r="A92" s="202">
        <v>45772.0</v>
      </c>
      <c r="B92" s="198" t="s">
        <v>16593</v>
      </c>
      <c r="C92" s="203">
        <v>16247.0</v>
      </c>
      <c r="D92" s="198" t="s">
        <v>129</v>
      </c>
      <c r="E92" s="201" t="s">
        <v>177</v>
      </c>
    </row>
    <row r="93">
      <c r="A93" s="202">
        <v>45772.0</v>
      </c>
      <c r="B93" s="198" t="s">
        <v>142</v>
      </c>
      <c r="C93" s="203">
        <v>15535.0</v>
      </c>
      <c r="D93" s="198" t="s">
        <v>142</v>
      </c>
      <c r="E93" s="201" t="s">
        <v>177</v>
      </c>
    </row>
    <row r="94">
      <c r="A94" s="202">
        <v>45772.0</v>
      </c>
      <c r="B94" s="198" t="s">
        <v>142</v>
      </c>
      <c r="C94" s="203">
        <v>1250.0</v>
      </c>
      <c r="D94" s="198" t="s">
        <v>142</v>
      </c>
      <c r="E94" s="201" t="s">
        <v>177</v>
      </c>
    </row>
    <row r="95">
      <c r="A95" s="202">
        <v>45772.0</v>
      </c>
      <c r="B95" s="198" t="s">
        <v>16585</v>
      </c>
      <c r="C95" s="203">
        <v>5000.0</v>
      </c>
      <c r="D95" s="198" t="s">
        <v>152</v>
      </c>
      <c r="E95" s="201" t="s">
        <v>179</v>
      </c>
    </row>
    <row r="96">
      <c r="A96" s="202">
        <v>45773.0</v>
      </c>
      <c r="B96" s="198" t="s">
        <v>142</v>
      </c>
      <c r="C96" s="203">
        <v>6949.0</v>
      </c>
      <c r="D96" s="198" t="s">
        <v>142</v>
      </c>
      <c r="E96" s="201" t="s">
        <v>179</v>
      </c>
    </row>
    <row r="97">
      <c r="A97" s="202">
        <v>45773.0</v>
      </c>
      <c r="B97" s="198" t="s">
        <v>142</v>
      </c>
      <c r="C97" s="203">
        <v>3500.0</v>
      </c>
      <c r="D97" s="198" t="s">
        <v>142</v>
      </c>
      <c r="E97" s="201" t="s">
        <v>179</v>
      </c>
    </row>
    <row r="98">
      <c r="A98" s="202">
        <v>45773.0</v>
      </c>
      <c r="B98" s="198" t="s">
        <v>142</v>
      </c>
      <c r="C98" s="203">
        <v>7100.0</v>
      </c>
      <c r="D98" s="198" t="s">
        <v>142</v>
      </c>
      <c r="E98" s="201" t="s">
        <v>179</v>
      </c>
    </row>
    <row r="99">
      <c r="A99" s="202">
        <v>45773.0</v>
      </c>
      <c r="B99" s="198" t="s">
        <v>142</v>
      </c>
      <c r="C99" s="203">
        <v>2350.0</v>
      </c>
      <c r="D99" s="198" t="s">
        <v>142</v>
      </c>
      <c r="E99" s="201" t="s">
        <v>177</v>
      </c>
    </row>
    <row r="100">
      <c r="A100" s="202">
        <v>45773.0</v>
      </c>
      <c r="B100" s="198" t="s">
        <v>157</v>
      </c>
      <c r="C100" s="203">
        <v>23000.0</v>
      </c>
      <c r="D100" s="198" t="s">
        <v>157</v>
      </c>
      <c r="E100" s="201" t="s">
        <v>179</v>
      </c>
    </row>
    <row r="101">
      <c r="A101" s="202">
        <v>45773.0</v>
      </c>
      <c r="B101" s="198" t="s">
        <v>157</v>
      </c>
      <c r="C101" s="203">
        <v>1650.0</v>
      </c>
      <c r="D101" s="198" t="s">
        <v>157</v>
      </c>
      <c r="E101" s="201" t="s">
        <v>177</v>
      </c>
    </row>
    <row r="102">
      <c r="A102" s="202">
        <v>45773.0</v>
      </c>
      <c r="B102" s="198" t="s">
        <v>16594</v>
      </c>
      <c r="C102" s="203">
        <v>13536.0</v>
      </c>
      <c r="D102" s="198" t="s">
        <v>129</v>
      </c>
      <c r="E102" s="201" t="s">
        <v>177</v>
      </c>
    </row>
    <row r="103">
      <c r="A103" s="202">
        <v>45775.0</v>
      </c>
      <c r="B103" s="198" t="s">
        <v>11</v>
      </c>
      <c r="C103" s="203">
        <v>3000.0</v>
      </c>
      <c r="D103" s="198" t="s">
        <v>11</v>
      </c>
      <c r="E103" s="201" t="s">
        <v>173</v>
      </c>
    </row>
    <row r="104">
      <c r="A104" s="202">
        <v>45775.0</v>
      </c>
      <c r="B104" s="198" t="s">
        <v>167</v>
      </c>
      <c r="C104" s="203">
        <v>24000.0</v>
      </c>
      <c r="D104" s="198" t="s">
        <v>167</v>
      </c>
      <c r="E104" s="201" t="s">
        <v>179</v>
      </c>
    </row>
    <row r="105">
      <c r="A105" s="202">
        <v>45776.0</v>
      </c>
      <c r="B105" s="198" t="s">
        <v>157</v>
      </c>
      <c r="C105" s="203">
        <v>26150.0</v>
      </c>
      <c r="D105" s="198" t="s">
        <v>157</v>
      </c>
      <c r="E105" s="201" t="s">
        <v>173</v>
      </c>
    </row>
    <row r="106">
      <c r="A106" s="202">
        <v>45777.0</v>
      </c>
      <c r="B106" s="198" t="s">
        <v>16599</v>
      </c>
      <c r="C106" s="203">
        <v>30000.0</v>
      </c>
      <c r="D106" s="198" t="s">
        <v>162</v>
      </c>
      <c r="E106" s="201" t="s">
        <v>179</v>
      </c>
    </row>
  </sheetData>
  <dataValidations>
    <dataValidation type="custom" allowBlank="1" showDropDown="1" sqref="A2:A106">
      <formula1>OR(NOT(ISERROR(DATEVALUE(A2))), AND(ISNUMBER(A2), LEFT(CELL("format", A2))="D"))</formula1>
    </dataValidation>
    <dataValidation type="custom" allowBlank="1" showDropDown="1" sqref="C2:C106">
      <formula1>AND(ISNUMBER(C2),(NOT(OR(NOT(ISERROR(DATEVALUE(C2))), AND(ISNUMBER(C2), LEFT(CELL("format", C2))="D")))))</formula1>
    </dataValidation>
    <dataValidation allowBlank="1" showDropDown="1" sqref="B2:B106 D2:E106"/>
  </dataValidation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13"/>
    <col customWidth="1" min="3" max="3" width="13.13"/>
    <col customWidth="1" min="4" max="4" width="19.38"/>
    <col customWidth="1" min="5" max="5" width="21.38"/>
  </cols>
  <sheetData>
    <row r="1">
      <c r="A1" s="196" t="s">
        <v>0</v>
      </c>
      <c r="B1" s="196" t="s">
        <v>1</v>
      </c>
      <c r="C1" s="196" t="s">
        <v>2</v>
      </c>
      <c r="D1" s="196" t="s">
        <v>3</v>
      </c>
      <c r="E1" s="196" t="s">
        <v>4</v>
      </c>
    </row>
    <row r="2">
      <c r="A2" s="202">
        <v>45778.0</v>
      </c>
      <c r="B2" s="198" t="s">
        <v>142</v>
      </c>
      <c r="C2" s="199">
        <v>2900.0</v>
      </c>
      <c r="D2" s="198" t="s">
        <v>142</v>
      </c>
      <c r="E2" s="201" t="s">
        <v>177</v>
      </c>
    </row>
    <row r="3">
      <c r="A3" s="202">
        <v>45778.0</v>
      </c>
      <c r="B3" s="198" t="s">
        <v>16585</v>
      </c>
      <c r="C3" s="199">
        <v>10450.0</v>
      </c>
      <c r="D3" s="198" t="s">
        <v>164</v>
      </c>
      <c r="E3" s="201" t="s">
        <v>179</v>
      </c>
    </row>
    <row r="4">
      <c r="A4" s="202">
        <v>45778.0</v>
      </c>
      <c r="B4" s="198" t="s">
        <v>167</v>
      </c>
      <c r="C4" s="199">
        <v>69000.0</v>
      </c>
      <c r="D4" s="198" t="s">
        <v>167</v>
      </c>
      <c r="E4" s="201" t="s">
        <v>185</v>
      </c>
    </row>
    <row r="5">
      <c r="A5" s="202">
        <v>45779.0</v>
      </c>
      <c r="B5" s="198" t="s">
        <v>142</v>
      </c>
      <c r="C5" s="199">
        <v>1998.0</v>
      </c>
      <c r="D5" s="198" t="s">
        <v>142</v>
      </c>
      <c r="E5" s="201" t="s">
        <v>179</v>
      </c>
    </row>
    <row r="6">
      <c r="A6" s="202">
        <v>45779.0</v>
      </c>
      <c r="B6" s="198" t="s">
        <v>142</v>
      </c>
      <c r="C6" s="199">
        <v>5600.0</v>
      </c>
      <c r="D6" s="198" t="s">
        <v>164</v>
      </c>
      <c r="E6" s="201" t="s">
        <v>179</v>
      </c>
    </row>
    <row r="7">
      <c r="A7" s="202">
        <v>45779.0</v>
      </c>
      <c r="B7" s="198" t="s">
        <v>142</v>
      </c>
      <c r="C7" s="199">
        <v>10689.0</v>
      </c>
      <c r="D7" s="198" t="s">
        <v>142</v>
      </c>
      <c r="E7" s="201" t="s">
        <v>179</v>
      </c>
    </row>
    <row r="8">
      <c r="A8" s="202">
        <v>45779.0</v>
      </c>
      <c r="B8" s="198" t="s">
        <v>16580</v>
      </c>
      <c r="C8" s="199">
        <v>1650.0</v>
      </c>
      <c r="D8" s="198" t="s">
        <v>147</v>
      </c>
      <c r="E8" s="201" t="s">
        <v>179</v>
      </c>
    </row>
    <row r="9">
      <c r="A9" s="202">
        <v>45779.0</v>
      </c>
      <c r="B9" s="198" t="s">
        <v>159</v>
      </c>
      <c r="C9" s="199">
        <v>10000.0</v>
      </c>
      <c r="D9" s="198" t="s">
        <v>159</v>
      </c>
      <c r="E9" s="201" t="s">
        <v>179</v>
      </c>
    </row>
    <row r="10">
      <c r="A10" s="202">
        <v>45779.0</v>
      </c>
      <c r="B10" s="198" t="s">
        <v>159</v>
      </c>
      <c r="C10" s="199">
        <v>11000.0</v>
      </c>
      <c r="D10" s="198" t="s">
        <v>155</v>
      </c>
      <c r="E10" s="201" t="s">
        <v>179</v>
      </c>
    </row>
    <row r="11">
      <c r="A11" s="202">
        <v>45780.0</v>
      </c>
      <c r="B11" s="198" t="s">
        <v>16581</v>
      </c>
      <c r="C11" s="199">
        <v>36946.0</v>
      </c>
      <c r="D11" s="198" t="s">
        <v>129</v>
      </c>
      <c r="E11" s="201" t="s">
        <v>173</v>
      </c>
    </row>
    <row r="12">
      <c r="A12" s="202">
        <v>45780.0</v>
      </c>
      <c r="B12" s="198" t="s">
        <v>16585</v>
      </c>
      <c r="C12" s="199">
        <v>19950.0</v>
      </c>
      <c r="D12" s="198" t="s">
        <v>164</v>
      </c>
      <c r="E12" s="201" t="s">
        <v>179</v>
      </c>
    </row>
    <row r="13">
      <c r="A13" s="202">
        <v>45780.0</v>
      </c>
      <c r="B13" s="198" t="s">
        <v>16585</v>
      </c>
      <c r="C13" s="199">
        <v>2500.0</v>
      </c>
      <c r="D13" s="198" t="s">
        <v>164</v>
      </c>
      <c r="E13" s="201" t="s">
        <v>179</v>
      </c>
    </row>
    <row r="14">
      <c r="A14" s="202">
        <v>45780.0</v>
      </c>
      <c r="B14" s="198" t="s">
        <v>169</v>
      </c>
      <c r="C14" s="199">
        <v>7549.0</v>
      </c>
      <c r="D14" s="198" t="s">
        <v>169</v>
      </c>
      <c r="E14" s="201" t="s">
        <v>173</v>
      </c>
    </row>
    <row r="15">
      <c r="A15" s="202">
        <v>45781.0</v>
      </c>
      <c r="B15" s="198" t="s">
        <v>134</v>
      </c>
      <c r="C15" s="199">
        <v>8500.0</v>
      </c>
      <c r="D15" s="198" t="s">
        <v>134</v>
      </c>
      <c r="E15" s="201" t="s">
        <v>173</v>
      </c>
    </row>
    <row r="16">
      <c r="A16" s="202">
        <v>45781.0</v>
      </c>
      <c r="B16" s="198" t="s">
        <v>134</v>
      </c>
      <c r="C16" s="199">
        <v>11650.0</v>
      </c>
      <c r="D16" s="198" t="s">
        <v>134</v>
      </c>
      <c r="E16" s="201" t="s">
        <v>173</v>
      </c>
    </row>
    <row r="17">
      <c r="A17" s="202">
        <v>45781.0</v>
      </c>
      <c r="B17" s="198" t="s">
        <v>134</v>
      </c>
      <c r="C17" s="199">
        <v>13333.0</v>
      </c>
      <c r="D17" s="198" t="s">
        <v>134</v>
      </c>
      <c r="E17" s="201" t="s">
        <v>173</v>
      </c>
    </row>
    <row r="18">
      <c r="A18" s="202">
        <v>45782.0</v>
      </c>
      <c r="B18" s="198" t="s">
        <v>16580</v>
      </c>
      <c r="C18" s="199">
        <v>5500.0</v>
      </c>
      <c r="D18" s="198" t="s">
        <v>147</v>
      </c>
      <c r="E18" s="201" t="s">
        <v>177</v>
      </c>
    </row>
    <row r="19">
      <c r="A19" s="202">
        <v>45782.0</v>
      </c>
      <c r="B19" s="198" t="s">
        <v>16589</v>
      </c>
      <c r="C19" s="199">
        <v>7000.0</v>
      </c>
      <c r="D19" s="198" t="s">
        <v>145</v>
      </c>
      <c r="E19" s="201" t="s">
        <v>183</v>
      </c>
    </row>
    <row r="20">
      <c r="A20" s="202">
        <v>45782.0</v>
      </c>
      <c r="B20" s="198" t="s">
        <v>16582</v>
      </c>
      <c r="C20" s="199">
        <v>5193.0</v>
      </c>
      <c r="D20" s="198" t="s">
        <v>129</v>
      </c>
      <c r="E20" s="201" t="s">
        <v>177</v>
      </c>
    </row>
    <row r="21">
      <c r="A21" s="202">
        <v>45782.0</v>
      </c>
      <c r="B21" s="198" t="s">
        <v>16598</v>
      </c>
      <c r="C21" s="199">
        <v>10000.0</v>
      </c>
      <c r="D21" s="198" t="s">
        <v>132</v>
      </c>
      <c r="E21" s="201" t="s">
        <v>179</v>
      </c>
    </row>
    <row r="22">
      <c r="A22" s="202">
        <v>45782.0</v>
      </c>
      <c r="B22" s="198" t="s">
        <v>16579</v>
      </c>
      <c r="C22" s="199">
        <v>46125.0</v>
      </c>
      <c r="D22" s="198" t="s">
        <v>140</v>
      </c>
      <c r="E22" s="201" t="s">
        <v>179</v>
      </c>
    </row>
    <row r="23">
      <c r="A23" s="202">
        <v>45782.0</v>
      </c>
      <c r="B23" s="198" t="s">
        <v>142</v>
      </c>
      <c r="C23" s="199">
        <v>13050.0</v>
      </c>
      <c r="D23" s="198" t="s">
        <v>142</v>
      </c>
      <c r="E23" s="201" t="s">
        <v>179</v>
      </c>
    </row>
    <row r="24">
      <c r="A24" s="202">
        <v>45782.0</v>
      </c>
      <c r="B24" s="198" t="s">
        <v>16580</v>
      </c>
      <c r="C24" s="199">
        <v>16000.0</v>
      </c>
      <c r="D24" s="198" t="s">
        <v>147</v>
      </c>
      <c r="E24" s="201" t="s">
        <v>179</v>
      </c>
    </row>
    <row r="25">
      <c r="A25" s="202">
        <v>45783.0</v>
      </c>
      <c r="B25" s="198" t="s">
        <v>16579</v>
      </c>
      <c r="C25" s="199">
        <v>35000.0</v>
      </c>
      <c r="D25" s="198" t="s">
        <v>140</v>
      </c>
      <c r="E25" s="201" t="s">
        <v>185</v>
      </c>
    </row>
    <row r="26">
      <c r="A26" s="202">
        <v>45784.0</v>
      </c>
      <c r="B26" s="198" t="s">
        <v>142</v>
      </c>
      <c r="C26" s="199">
        <v>845.0</v>
      </c>
      <c r="D26" s="198" t="s">
        <v>142</v>
      </c>
      <c r="E26" s="201" t="s">
        <v>179</v>
      </c>
    </row>
    <row r="27">
      <c r="A27" s="202">
        <v>45784.0</v>
      </c>
      <c r="B27" s="198" t="s">
        <v>16592</v>
      </c>
      <c r="C27" s="199">
        <v>9500.0</v>
      </c>
      <c r="D27" s="198" t="s">
        <v>129</v>
      </c>
      <c r="E27" s="201" t="s">
        <v>179</v>
      </c>
    </row>
    <row r="28">
      <c r="A28" s="202">
        <v>45784.0</v>
      </c>
      <c r="B28" s="198" t="s">
        <v>16602</v>
      </c>
      <c r="C28" s="199">
        <v>9194.0</v>
      </c>
      <c r="D28" s="198" t="s">
        <v>129</v>
      </c>
      <c r="E28" s="201" t="s">
        <v>177</v>
      </c>
    </row>
    <row r="29">
      <c r="A29" s="202">
        <v>45785.0</v>
      </c>
      <c r="B29" s="198" t="s">
        <v>142</v>
      </c>
      <c r="C29" s="199">
        <v>77869.0</v>
      </c>
      <c r="D29" s="198" t="s">
        <v>142</v>
      </c>
      <c r="E29" s="201" t="s">
        <v>177</v>
      </c>
    </row>
    <row r="30">
      <c r="A30" s="202">
        <v>45785.0</v>
      </c>
      <c r="B30" s="198" t="s">
        <v>142</v>
      </c>
      <c r="C30" s="199">
        <v>5000.0</v>
      </c>
      <c r="D30" s="198" t="s">
        <v>152</v>
      </c>
      <c r="E30" s="201" t="s">
        <v>179</v>
      </c>
    </row>
    <row r="31">
      <c r="A31" s="202">
        <v>45785.0</v>
      </c>
      <c r="B31" s="198" t="s">
        <v>16599</v>
      </c>
      <c r="C31" s="199">
        <v>641991.0</v>
      </c>
      <c r="D31" s="198" t="s">
        <v>162</v>
      </c>
      <c r="E31" s="201" t="s">
        <v>179</v>
      </c>
    </row>
    <row r="32">
      <c r="A32" s="202">
        <v>45786.0</v>
      </c>
      <c r="B32" s="198" t="s">
        <v>142</v>
      </c>
      <c r="C32" s="199">
        <v>1800.0</v>
      </c>
      <c r="D32" s="198" t="s">
        <v>142</v>
      </c>
      <c r="E32" s="201" t="s">
        <v>179</v>
      </c>
    </row>
    <row r="33">
      <c r="A33" s="202">
        <v>45786.0</v>
      </c>
      <c r="B33" s="198" t="s">
        <v>16585</v>
      </c>
      <c r="C33" s="199">
        <v>5000.0</v>
      </c>
      <c r="D33" s="198" t="s">
        <v>164</v>
      </c>
      <c r="E33" s="201" t="s">
        <v>179</v>
      </c>
    </row>
    <row r="34">
      <c r="A34" s="202">
        <v>45786.0</v>
      </c>
      <c r="B34" s="198" t="s">
        <v>169</v>
      </c>
      <c r="C34" s="199">
        <v>2491.0</v>
      </c>
      <c r="D34" s="198" t="s">
        <v>169</v>
      </c>
      <c r="E34" s="201" t="s">
        <v>173</v>
      </c>
    </row>
    <row r="35">
      <c r="A35" s="202">
        <v>45787.0</v>
      </c>
      <c r="B35" s="198" t="s">
        <v>134</v>
      </c>
      <c r="C35" s="199">
        <v>19651.0</v>
      </c>
      <c r="D35" s="198" t="s">
        <v>134</v>
      </c>
      <c r="E35" s="201" t="s">
        <v>173</v>
      </c>
    </row>
    <row r="36">
      <c r="A36" s="202">
        <v>45787.0</v>
      </c>
      <c r="B36" s="198" t="s">
        <v>142</v>
      </c>
      <c r="C36" s="199">
        <v>2800.0</v>
      </c>
      <c r="D36" s="198" t="s">
        <v>142</v>
      </c>
      <c r="E36" s="201" t="s">
        <v>177</v>
      </c>
    </row>
    <row r="37">
      <c r="A37" s="202">
        <v>45787.0</v>
      </c>
      <c r="B37" s="198" t="s">
        <v>142</v>
      </c>
      <c r="C37" s="199">
        <v>1500.0</v>
      </c>
      <c r="D37" s="198" t="s">
        <v>164</v>
      </c>
      <c r="E37" s="201" t="s">
        <v>179</v>
      </c>
    </row>
    <row r="38">
      <c r="A38" s="202">
        <v>45787.0</v>
      </c>
      <c r="B38" s="198" t="s">
        <v>16594</v>
      </c>
      <c r="C38" s="199">
        <v>13442.0</v>
      </c>
      <c r="D38" s="198" t="s">
        <v>129</v>
      </c>
      <c r="E38" s="201" t="s">
        <v>177</v>
      </c>
    </row>
    <row r="39">
      <c r="A39" s="202">
        <v>45788.0</v>
      </c>
      <c r="B39" s="198" t="s">
        <v>16579</v>
      </c>
      <c r="C39" s="199">
        <v>6033.0</v>
      </c>
      <c r="D39" s="198" t="s">
        <v>140</v>
      </c>
      <c r="E39" s="201" t="s">
        <v>173</v>
      </c>
    </row>
    <row r="40">
      <c r="A40" s="202">
        <v>45788.0</v>
      </c>
      <c r="B40" s="198" t="s">
        <v>16580</v>
      </c>
      <c r="C40" s="199">
        <v>2750.0</v>
      </c>
      <c r="D40" s="198" t="s">
        <v>147</v>
      </c>
      <c r="E40" s="201" t="s">
        <v>179</v>
      </c>
    </row>
    <row r="41">
      <c r="A41" s="202">
        <v>45789.0</v>
      </c>
      <c r="B41" s="198" t="s">
        <v>137</v>
      </c>
      <c r="C41" s="199">
        <v>5000.0</v>
      </c>
      <c r="D41" s="198" t="s">
        <v>137</v>
      </c>
      <c r="E41" s="201" t="s">
        <v>179</v>
      </c>
    </row>
    <row r="42">
      <c r="A42" s="202">
        <v>45789.0</v>
      </c>
      <c r="B42" s="198" t="s">
        <v>142</v>
      </c>
      <c r="C42" s="199">
        <v>2800.0</v>
      </c>
      <c r="D42" s="198" t="s">
        <v>142</v>
      </c>
      <c r="E42" s="201" t="s">
        <v>179</v>
      </c>
    </row>
    <row r="43">
      <c r="A43" s="202">
        <v>45789.0</v>
      </c>
      <c r="B43" s="198" t="s">
        <v>142</v>
      </c>
      <c r="C43" s="199">
        <v>3195.0</v>
      </c>
      <c r="D43" s="198" t="s">
        <v>142</v>
      </c>
      <c r="E43" s="201" t="s">
        <v>179</v>
      </c>
    </row>
    <row r="44">
      <c r="A44" s="202">
        <v>45789.0</v>
      </c>
      <c r="B44" s="198" t="s">
        <v>142</v>
      </c>
      <c r="C44" s="199">
        <v>4000.0</v>
      </c>
      <c r="D44" s="198" t="s">
        <v>142</v>
      </c>
      <c r="E44" s="201" t="s">
        <v>179</v>
      </c>
    </row>
    <row r="45">
      <c r="A45" s="202">
        <v>45789.0</v>
      </c>
      <c r="B45" s="198" t="s">
        <v>157</v>
      </c>
      <c r="C45" s="199">
        <v>30000.0</v>
      </c>
      <c r="D45" s="198" t="s">
        <v>157</v>
      </c>
      <c r="E45" s="201" t="s">
        <v>179</v>
      </c>
    </row>
    <row r="46">
      <c r="A46" s="202">
        <v>45790.0</v>
      </c>
      <c r="B46" s="198" t="s">
        <v>16593</v>
      </c>
      <c r="C46" s="199">
        <v>17343.0</v>
      </c>
      <c r="D46" s="198" t="s">
        <v>129</v>
      </c>
      <c r="E46" s="201" t="s">
        <v>177</v>
      </c>
    </row>
    <row r="47">
      <c r="A47" s="202">
        <v>45790.0</v>
      </c>
      <c r="B47" s="198" t="s">
        <v>16585</v>
      </c>
      <c r="C47" s="199">
        <v>8926.0</v>
      </c>
      <c r="D47" s="198" t="s">
        <v>164</v>
      </c>
      <c r="E47" s="201" t="s">
        <v>179</v>
      </c>
    </row>
    <row r="48">
      <c r="A48" s="202">
        <v>45791.0</v>
      </c>
      <c r="B48" s="198" t="s">
        <v>11</v>
      </c>
      <c r="C48" s="199">
        <v>890.0</v>
      </c>
      <c r="D48" s="198" t="s">
        <v>11</v>
      </c>
      <c r="E48" s="201" t="s">
        <v>173</v>
      </c>
    </row>
    <row r="49">
      <c r="A49" s="202">
        <v>45791.0</v>
      </c>
      <c r="B49" s="198" t="s">
        <v>142</v>
      </c>
      <c r="C49" s="199">
        <v>4800.0</v>
      </c>
      <c r="D49" s="198" t="s">
        <v>142</v>
      </c>
      <c r="E49" s="201" t="s">
        <v>179</v>
      </c>
    </row>
    <row r="50">
      <c r="A50" s="202">
        <v>45791.0</v>
      </c>
      <c r="B50" s="198" t="s">
        <v>142</v>
      </c>
      <c r="C50" s="199">
        <v>6080.0</v>
      </c>
      <c r="D50" s="198" t="s">
        <v>142</v>
      </c>
      <c r="E50" s="201" t="s">
        <v>179</v>
      </c>
    </row>
    <row r="51">
      <c r="A51" s="202">
        <v>45792.0</v>
      </c>
      <c r="B51" s="198" t="s">
        <v>16580</v>
      </c>
      <c r="C51" s="199">
        <v>2101.0</v>
      </c>
      <c r="D51" s="198" t="s">
        <v>147</v>
      </c>
      <c r="E51" s="201" t="s">
        <v>177</v>
      </c>
    </row>
    <row r="52">
      <c r="A52" s="202">
        <v>45792.0</v>
      </c>
      <c r="B52" s="198" t="s">
        <v>16585</v>
      </c>
      <c r="C52" s="199">
        <v>5965.0</v>
      </c>
      <c r="D52" s="198" t="s">
        <v>147</v>
      </c>
      <c r="E52" s="201" t="s">
        <v>173</v>
      </c>
    </row>
    <row r="53">
      <c r="A53" s="202">
        <v>45792.0</v>
      </c>
      <c r="B53" s="198" t="s">
        <v>16598</v>
      </c>
      <c r="C53" s="199">
        <v>10000.0</v>
      </c>
      <c r="D53" s="198" t="s">
        <v>132</v>
      </c>
      <c r="E53" s="201" t="s">
        <v>179</v>
      </c>
    </row>
    <row r="54">
      <c r="A54" s="202">
        <v>45793.0</v>
      </c>
      <c r="B54" s="198" t="s">
        <v>142</v>
      </c>
      <c r="C54" s="199">
        <v>3485.0</v>
      </c>
      <c r="D54" s="198" t="s">
        <v>142</v>
      </c>
      <c r="E54" s="201" t="s">
        <v>179</v>
      </c>
    </row>
    <row r="55">
      <c r="A55" s="202">
        <v>45793.0</v>
      </c>
      <c r="B55" s="198" t="s">
        <v>16590</v>
      </c>
      <c r="C55" s="199">
        <v>20000.0</v>
      </c>
      <c r="D55" s="198" t="s">
        <v>155</v>
      </c>
      <c r="E55" s="201" t="s">
        <v>179</v>
      </c>
    </row>
    <row r="56">
      <c r="A56" s="202">
        <v>45793.0</v>
      </c>
      <c r="B56" s="198" t="s">
        <v>16590</v>
      </c>
      <c r="C56" s="199">
        <v>21000.0</v>
      </c>
      <c r="D56" s="198" t="s">
        <v>140</v>
      </c>
      <c r="E56" s="201" t="s">
        <v>179</v>
      </c>
    </row>
    <row r="57">
      <c r="A57" s="202">
        <v>45794.0</v>
      </c>
      <c r="B57" s="198" t="s">
        <v>134</v>
      </c>
      <c r="C57" s="199">
        <v>40950.0</v>
      </c>
      <c r="D57" s="198" t="s">
        <v>134</v>
      </c>
      <c r="E57" s="201" t="s">
        <v>173</v>
      </c>
    </row>
    <row r="58">
      <c r="A58" s="202">
        <v>45794.0</v>
      </c>
      <c r="B58" s="198" t="s">
        <v>134</v>
      </c>
      <c r="C58" s="199">
        <v>38037.0</v>
      </c>
      <c r="D58" s="198" t="s">
        <v>134</v>
      </c>
      <c r="E58" s="201" t="s">
        <v>173</v>
      </c>
    </row>
    <row r="59">
      <c r="A59" s="202">
        <v>45794.0</v>
      </c>
      <c r="B59" s="198" t="s">
        <v>142</v>
      </c>
      <c r="C59" s="199">
        <v>7895.0</v>
      </c>
      <c r="D59" s="198" t="s">
        <v>142</v>
      </c>
      <c r="E59" s="201" t="s">
        <v>179</v>
      </c>
    </row>
    <row r="60">
      <c r="A60" s="202">
        <v>45794.0</v>
      </c>
      <c r="B60" s="198" t="s">
        <v>142</v>
      </c>
      <c r="C60" s="199">
        <v>26550.0</v>
      </c>
      <c r="D60" s="198" t="s">
        <v>142</v>
      </c>
      <c r="E60" s="201" t="s">
        <v>179</v>
      </c>
    </row>
    <row r="61">
      <c r="A61" s="202">
        <v>45794.0</v>
      </c>
      <c r="B61" s="198" t="s">
        <v>16580</v>
      </c>
      <c r="C61" s="199">
        <v>5200.0</v>
      </c>
      <c r="D61" s="198" t="s">
        <v>147</v>
      </c>
      <c r="E61" s="201" t="s">
        <v>177</v>
      </c>
    </row>
    <row r="62">
      <c r="A62" s="202">
        <v>45795.0</v>
      </c>
      <c r="B62" s="198" t="s">
        <v>16601</v>
      </c>
      <c r="C62" s="199">
        <v>38366.0</v>
      </c>
      <c r="D62" s="198" t="s">
        <v>132</v>
      </c>
      <c r="E62" s="201" t="s">
        <v>173</v>
      </c>
    </row>
    <row r="63">
      <c r="A63" s="202">
        <v>45796.0</v>
      </c>
      <c r="B63" s="198" t="s">
        <v>152</v>
      </c>
      <c r="C63" s="199">
        <v>5000.0</v>
      </c>
      <c r="D63" s="198" t="s">
        <v>152</v>
      </c>
      <c r="E63" s="201" t="s">
        <v>179</v>
      </c>
    </row>
    <row r="64">
      <c r="A64" s="202">
        <v>45796.0</v>
      </c>
      <c r="B64" s="198" t="s">
        <v>157</v>
      </c>
      <c r="C64" s="199">
        <v>7000.0</v>
      </c>
      <c r="D64" s="198" t="s">
        <v>157</v>
      </c>
      <c r="E64" s="201" t="s">
        <v>179</v>
      </c>
    </row>
    <row r="65">
      <c r="A65" s="202">
        <v>45797.0</v>
      </c>
      <c r="B65" s="198" t="s">
        <v>157</v>
      </c>
      <c r="C65" s="199">
        <v>1961.0</v>
      </c>
      <c r="D65" s="198" t="s">
        <v>157</v>
      </c>
      <c r="E65" s="201" t="s">
        <v>179</v>
      </c>
    </row>
    <row r="66">
      <c r="A66" s="202">
        <v>45797.0</v>
      </c>
      <c r="B66" s="198" t="s">
        <v>16585</v>
      </c>
      <c r="C66" s="199">
        <v>10000.0</v>
      </c>
      <c r="D66" s="198" t="s">
        <v>164</v>
      </c>
      <c r="E66" s="201" t="s">
        <v>179</v>
      </c>
    </row>
    <row r="67">
      <c r="A67" s="202">
        <v>45797.0</v>
      </c>
      <c r="B67" s="198" t="s">
        <v>169</v>
      </c>
      <c r="C67" s="199">
        <v>7497.0</v>
      </c>
      <c r="D67" s="198" t="s">
        <v>169</v>
      </c>
      <c r="E67" s="201" t="s">
        <v>173</v>
      </c>
    </row>
    <row r="68">
      <c r="A68" s="202">
        <v>45798.0</v>
      </c>
      <c r="B68" s="198" t="s">
        <v>16579</v>
      </c>
      <c r="C68" s="199">
        <v>11666.7</v>
      </c>
      <c r="D68" s="198" t="s">
        <v>140</v>
      </c>
      <c r="E68" s="201" t="s">
        <v>173</v>
      </c>
    </row>
    <row r="69">
      <c r="A69" s="202">
        <v>45798.0</v>
      </c>
      <c r="B69" s="198" t="s">
        <v>157</v>
      </c>
      <c r="C69" s="199">
        <v>59750.0</v>
      </c>
      <c r="D69" s="198" t="s">
        <v>157</v>
      </c>
      <c r="E69" s="201" t="s">
        <v>179</v>
      </c>
    </row>
    <row r="70">
      <c r="A70" s="202">
        <v>45798.0</v>
      </c>
      <c r="B70" s="198" t="s">
        <v>16585</v>
      </c>
      <c r="C70" s="199">
        <v>8900.0</v>
      </c>
      <c r="D70" s="198" t="s">
        <v>152</v>
      </c>
      <c r="E70" s="201" t="s">
        <v>179</v>
      </c>
    </row>
    <row r="71">
      <c r="A71" s="202">
        <v>45798.0</v>
      </c>
      <c r="B71" s="198" t="s">
        <v>16588</v>
      </c>
      <c r="C71" s="199">
        <v>28900.0</v>
      </c>
      <c r="D71" s="198" t="s">
        <v>155</v>
      </c>
      <c r="E71" s="201" t="s">
        <v>173</v>
      </c>
    </row>
    <row r="72">
      <c r="A72" s="202">
        <v>45799.0</v>
      </c>
      <c r="B72" s="198" t="s">
        <v>16580</v>
      </c>
      <c r="C72" s="199">
        <v>6850.0</v>
      </c>
      <c r="D72" s="198" t="s">
        <v>147</v>
      </c>
      <c r="E72" s="201" t="s">
        <v>173</v>
      </c>
    </row>
    <row r="73">
      <c r="A73" s="202">
        <v>45799.0</v>
      </c>
      <c r="B73" s="198" t="s">
        <v>167</v>
      </c>
      <c r="C73" s="199">
        <v>12500.0</v>
      </c>
      <c r="D73" s="198" t="s">
        <v>167</v>
      </c>
      <c r="E73" s="201" t="s">
        <v>179</v>
      </c>
    </row>
    <row r="74">
      <c r="A74" s="202">
        <v>45800.0</v>
      </c>
      <c r="B74" s="198" t="s">
        <v>16578</v>
      </c>
      <c r="C74" s="199">
        <v>13889.0</v>
      </c>
      <c r="D74" s="198" t="s">
        <v>147</v>
      </c>
      <c r="E74" s="201" t="s">
        <v>173</v>
      </c>
    </row>
    <row r="75">
      <c r="A75" s="202">
        <v>45800.0</v>
      </c>
      <c r="B75" s="198" t="s">
        <v>142</v>
      </c>
      <c r="C75" s="199">
        <v>5085.0</v>
      </c>
      <c r="D75" s="198" t="s">
        <v>142</v>
      </c>
      <c r="E75" s="201" t="s">
        <v>179</v>
      </c>
    </row>
    <row r="76">
      <c r="A76" s="202">
        <v>45800.0</v>
      </c>
      <c r="B76" s="198" t="s">
        <v>142</v>
      </c>
      <c r="C76" s="199">
        <v>1500.0</v>
      </c>
      <c r="D76" s="198" t="s">
        <v>142</v>
      </c>
      <c r="E76" s="201" t="s">
        <v>179</v>
      </c>
    </row>
    <row r="77">
      <c r="A77" s="202">
        <v>45800.0</v>
      </c>
      <c r="B77" s="198" t="s">
        <v>16591</v>
      </c>
      <c r="C77" s="199">
        <v>40000.0</v>
      </c>
      <c r="D77" s="198" t="s">
        <v>132</v>
      </c>
      <c r="E77" s="201" t="s">
        <v>177</v>
      </c>
    </row>
    <row r="78">
      <c r="A78" s="202">
        <v>45800.0</v>
      </c>
      <c r="B78" s="198" t="s">
        <v>16590</v>
      </c>
      <c r="C78" s="199">
        <v>3000.0</v>
      </c>
      <c r="D78" s="198" t="s">
        <v>145</v>
      </c>
      <c r="E78" s="201" t="s">
        <v>179</v>
      </c>
    </row>
    <row r="79">
      <c r="A79" s="202">
        <v>45801.0</v>
      </c>
      <c r="B79" s="198" t="s">
        <v>11</v>
      </c>
      <c r="C79" s="199">
        <v>20000.0</v>
      </c>
      <c r="D79" s="198" t="s">
        <v>11</v>
      </c>
      <c r="E79" s="201" t="s">
        <v>173</v>
      </c>
    </row>
    <row r="80">
      <c r="A80" s="202">
        <v>45801.0</v>
      </c>
      <c r="B80" s="198" t="s">
        <v>142</v>
      </c>
      <c r="C80" s="199">
        <v>11600.0</v>
      </c>
      <c r="D80" s="198" t="s">
        <v>142</v>
      </c>
      <c r="E80" s="201" t="s">
        <v>177</v>
      </c>
    </row>
    <row r="81">
      <c r="A81" s="202">
        <v>45801.0</v>
      </c>
      <c r="B81" s="198" t="s">
        <v>142</v>
      </c>
      <c r="C81" s="199">
        <v>5200.0</v>
      </c>
      <c r="D81" s="198" t="s">
        <v>142</v>
      </c>
      <c r="E81" s="201" t="s">
        <v>177</v>
      </c>
    </row>
    <row r="82">
      <c r="A82" s="202">
        <v>45801.0</v>
      </c>
      <c r="B82" s="198" t="s">
        <v>157</v>
      </c>
      <c r="C82" s="199">
        <v>1000.0</v>
      </c>
      <c r="D82" s="198" t="s">
        <v>157</v>
      </c>
      <c r="E82" s="201" t="s">
        <v>177</v>
      </c>
    </row>
    <row r="83">
      <c r="A83" s="202">
        <v>45802.0</v>
      </c>
      <c r="B83" s="198" t="s">
        <v>16585</v>
      </c>
      <c r="C83" s="199">
        <v>16000.0</v>
      </c>
      <c r="D83" s="198" t="s">
        <v>164</v>
      </c>
      <c r="E83" s="201" t="s">
        <v>177</v>
      </c>
    </row>
    <row r="84">
      <c r="A84" s="202">
        <v>45803.0</v>
      </c>
      <c r="B84" s="198" t="s">
        <v>142</v>
      </c>
      <c r="C84" s="199">
        <v>6700.0</v>
      </c>
      <c r="D84" s="198" t="s">
        <v>142</v>
      </c>
      <c r="E84" s="201" t="s">
        <v>177</v>
      </c>
    </row>
    <row r="85">
      <c r="A85" s="202">
        <v>45803.0</v>
      </c>
      <c r="B85" s="198" t="s">
        <v>157</v>
      </c>
      <c r="C85" s="199">
        <v>12000.0</v>
      </c>
      <c r="D85" s="198" t="s">
        <v>157</v>
      </c>
      <c r="E85" s="201" t="s">
        <v>173</v>
      </c>
    </row>
    <row r="86">
      <c r="A86" s="202">
        <v>45804.0</v>
      </c>
      <c r="B86" s="198" t="s">
        <v>142</v>
      </c>
      <c r="C86" s="199">
        <v>3600.0</v>
      </c>
      <c r="D86" s="198" t="s">
        <v>142</v>
      </c>
      <c r="E86" s="201" t="s">
        <v>179</v>
      </c>
    </row>
    <row r="87">
      <c r="A87" s="202">
        <v>45804.0</v>
      </c>
      <c r="B87" s="198" t="s">
        <v>142</v>
      </c>
      <c r="C87" s="199">
        <v>3600.0</v>
      </c>
      <c r="D87" s="198" t="s">
        <v>142</v>
      </c>
      <c r="E87" s="201" t="s">
        <v>179</v>
      </c>
    </row>
    <row r="88">
      <c r="A88" s="202">
        <v>45805.0</v>
      </c>
      <c r="B88" s="198" t="s">
        <v>11</v>
      </c>
      <c r="C88" s="199">
        <v>3000.0</v>
      </c>
      <c r="D88" s="198" t="s">
        <v>11</v>
      </c>
      <c r="E88" s="201" t="s">
        <v>173</v>
      </c>
    </row>
    <row r="89">
      <c r="A89" s="202">
        <v>45805.0</v>
      </c>
      <c r="B89" s="198" t="s">
        <v>16580</v>
      </c>
      <c r="C89" s="199">
        <v>3833.0</v>
      </c>
      <c r="D89" s="198" t="s">
        <v>147</v>
      </c>
      <c r="E89" s="201" t="s">
        <v>173</v>
      </c>
    </row>
    <row r="90">
      <c r="A90" s="202">
        <v>45805.0</v>
      </c>
      <c r="B90" s="198" t="s">
        <v>16598</v>
      </c>
      <c r="C90" s="199">
        <v>12500.0</v>
      </c>
      <c r="D90" s="198" t="s">
        <v>132</v>
      </c>
      <c r="E90" s="201" t="s">
        <v>177</v>
      </c>
    </row>
    <row r="91">
      <c r="A91" s="202">
        <v>45805.0</v>
      </c>
      <c r="B91" s="198" t="s">
        <v>142</v>
      </c>
      <c r="C91" s="199">
        <v>5000.0</v>
      </c>
      <c r="D91" s="198" t="s">
        <v>142</v>
      </c>
      <c r="E91" s="201" t="s">
        <v>179</v>
      </c>
    </row>
    <row r="92">
      <c r="A92" s="202">
        <v>45805.0</v>
      </c>
      <c r="B92" s="198" t="s">
        <v>16585</v>
      </c>
      <c r="C92" s="199">
        <v>450.0</v>
      </c>
      <c r="D92" s="198" t="s">
        <v>164</v>
      </c>
      <c r="E92" s="201" t="s">
        <v>179</v>
      </c>
    </row>
    <row r="93">
      <c r="A93" s="202">
        <v>45807.0</v>
      </c>
      <c r="B93" s="198" t="s">
        <v>142</v>
      </c>
      <c r="C93" s="199">
        <v>5000.0</v>
      </c>
      <c r="D93" s="198" t="s">
        <v>164</v>
      </c>
      <c r="E93" s="201" t="s">
        <v>179</v>
      </c>
    </row>
    <row r="94">
      <c r="A94" s="202">
        <v>45807.0</v>
      </c>
      <c r="B94" s="198" t="s">
        <v>16585</v>
      </c>
      <c r="C94" s="199">
        <v>2400.0</v>
      </c>
      <c r="D94" s="198" t="s">
        <v>164</v>
      </c>
      <c r="E94" s="201" t="s">
        <v>179</v>
      </c>
    </row>
    <row r="95">
      <c r="A95" s="202">
        <v>45807.0</v>
      </c>
      <c r="B95" s="198" t="s">
        <v>16585</v>
      </c>
      <c r="C95" s="199">
        <v>24000.0</v>
      </c>
      <c r="D95" s="198" t="s">
        <v>164</v>
      </c>
      <c r="E95" s="201" t="s">
        <v>179</v>
      </c>
    </row>
    <row r="96">
      <c r="A96" s="202">
        <v>45808.0</v>
      </c>
      <c r="B96" s="198" t="s">
        <v>157</v>
      </c>
      <c r="C96" s="199">
        <v>3500.0</v>
      </c>
      <c r="D96" s="198" t="s">
        <v>157</v>
      </c>
      <c r="E96" s="201" t="s">
        <v>179</v>
      </c>
    </row>
  </sheetData>
  <dataValidations>
    <dataValidation type="custom" allowBlank="1" showDropDown="1" sqref="A2:A96">
      <formula1>OR(NOT(ISERROR(DATEVALUE(A2))), AND(ISNUMBER(A2), LEFT(CELL("format", A2))="D"))</formula1>
    </dataValidation>
    <dataValidation type="custom" allowBlank="1" showDropDown="1" sqref="C2:C96">
      <formula1>AND(ISNUMBER(C2),(NOT(OR(NOT(ISERROR(DATEVALUE(C2))), AND(ISNUMBER(C2), LEFT(CELL("format", C2))="D")))))</formula1>
    </dataValidation>
    <dataValidation allowBlank="1" showDropDown="1" sqref="B2:B96 D2:E96"/>
  </dataValidations>
  <drawing r:id="rId1"/>
  <tableParts count="1">
    <tablePart r:id="rId3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0"/>
    <col customWidth="1" min="3" max="3" width="13.13"/>
    <col customWidth="1" min="4" max="4" width="19.38"/>
    <col customWidth="1" min="5" max="5" width="21.38"/>
  </cols>
  <sheetData>
    <row r="1">
      <c r="A1" s="196" t="s">
        <v>0</v>
      </c>
      <c r="B1" s="196" t="s">
        <v>1</v>
      </c>
      <c r="C1" s="196" t="s">
        <v>2</v>
      </c>
      <c r="D1" s="196" t="s">
        <v>3</v>
      </c>
      <c r="E1" s="196" t="s">
        <v>4</v>
      </c>
    </row>
    <row r="2">
      <c r="A2" s="202">
        <v>45809.0</v>
      </c>
      <c r="B2" s="198" t="s">
        <v>134</v>
      </c>
      <c r="C2" s="199">
        <v>5000.0</v>
      </c>
      <c r="D2" s="198" t="s">
        <v>134</v>
      </c>
      <c r="E2" s="201" t="s">
        <v>185</v>
      </c>
    </row>
    <row r="3">
      <c r="A3" s="202">
        <v>45809.0</v>
      </c>
      <c r="B3" s="198" t="s">
        <v>16582</v>
      </c>
      <c r="C3" s="199">
        <v>10759.0</v>
      </c>
      <c r="D3" s="198" t="s">
        <v>129</v>
      </c>
      <c r="E3" s="201" t="s">
        <v>177</v>
      </c>
    </row>
    <row r="4">
      <c r="A4" s="202">
        <v>45809.0</v>
      </c>
      <c r="B4" s="198" t="s">
        <v>16579</v>
      </c>
      <c r="C4" s="199">
        <v>11667.0</v>
      </c>
      <c r="D4" s="198" t="s">
        <v>140</v>
      </c>
      <c r="E4" s="201" t="s">
        <v>173</v>
      </c>
    </row>
    <row r="5">
      <c r="A5" s="202">
        <v>45809.0</v>
      </c>
      <c r="B5" s="198" t="s">
        <v>142</v>
      </c>
      <c r="C5" s="199">
        <v>25000.0</v>
      </c>
      <c r="D5" s="198" t="s">
        <v>142</v>
      </c>
      <c r="E5" s="201" t="s">
        <v>177</v>
      </c>
    </row>
    <row r="6">
      <c r="A6" s="202">
        <v>45809.0</v>
      </c>
      <c r="B6" s="198" t="s">
        <v>142</v>
      </c>
      <c r="C6" s="199">
        <v>13239.0</v>
      </c>
      <c r="D6" s="198" t="s">
        <v>142</v>
      </c>
      <c r="E6" s="201" t="s">
        <v>177</v>
      </c>
    </row>
    <row r="7">
      <c r="A7" s="202">
        <v>45809.0</v>
      </c>
      <c r="B7" s="198" t="s">
        <v>16602</v>
      </c>
      <c r="C7" s="199">
        <v>9194.0</v>
      </c>
      <c r="D7" s="198" t="s">
        <v>129</v>
      </c>
      <c r="E7" s="201" t="s">
        <v>177</v>
      </c>
    </row>
    <row r="8">
      <c r="A8" s="202">
        <v>45809.0</v>
      </c>
      <c r="B8" s="198" t="s">
        <v>157</v>
      </c>
      <c r="C8" s="199">
        <v>43446.0</v>
      </c>
      <c r="D8" s="198" t="s">
        <v>157</v>
      </c>
      <c r="E8" s="201" t="s">
        <v>177</v>
      </c>
    </row>
    <row r="9">
      <c r="A9" s="202">
        <v>45809.0</v>
      </c>
      <c r="B9" s="198" t="s">
        <v>16599</v>
      </c>
      <c r="C9" s="199">
        <v>517638.0</v>
      </c>
      <c r="D9" s="198" t="s">
        <v>162</v>
      </c>
      <c r="E9" s="201" t="s">
        <v>179</v>
      </c>
    </row>
    <row r="10">
      <c r="A10" s="202">
        <v>45810.0</v>
      </c>
      <c r="B10" s="198" t="s">
        <v>142</v>
      </c>
      <c r="C10" s="199">
        <v>1950.0</v>
      </c>
      <c r="D10" s="198" t="s">
        <v>142</v>
      </c>
      <c r="E10" s="201" t="s">
        <v>177</v>
      </c>
    </row>
    <row r="11">
      <c r="A11" s="202">
        <v>45810.0</v>
      </c>
      <c r="B11" s="198" t="s">
        <v>142</v>
      </c>
      <c r="C11" s="199">
        <v>5000.0</v>
      </c>
      <c r="D11" s="198" t="s">
        <v>152</v>
      </c>
      <c r="E11" s="201" t="s">
        <v>179</v>
      </c>
    </row>
    <row r="12">
      <c r="A12" s="202">
        <v>45810.0</v>
      </c>
      <c r="B12" s="198" t="s">
        <v>167</v>
      </c>
      <c r="C12" s="199">
        <v>76000.0</v>
      </c>
      <c r="D12" s="198" t="s">
        <v>167</v>
      </c>
      <c r="E12" s="201" t="s">
        <v>185</v>
      </c>
    </row>
    <row r="13">
      <c r="A13" s="202">
        <v>45811.0</v>
      </c>
      <c r="B13" s="198" t="s">
        <v>169</v>
      </c>
      <c r="C13" s="199">
        <v>7549.0</v>
      </c>
      <c r="D13" s="198" t="s">
        <v>169</v>
      </c>
      <c r="E13" s="201" t="s">
        <v>173</v>
      </c>
    </row>
    <row r="14">
      <c r="A14" s="202">
        <v>45811.0</v>
      </c>
      <c r="B14" s="198" t="s">
        <v>16589</v>
      </c>
      <c r="C14" s="199">
        <v>14000.0</v>
      </c>
      <c r="D14" s="198" t="s">
        <v>145</v>
      </c>
      <c r="E14" s="201" t="s">
        <v>179</v>
      </c>
    </row>
    <row r="15">
      <c r="A15" s="202">
        <v>45811.0</v>
      </c>
      <c r="B15" s="198" t="s">
        <v>142</v>
      </c>
      <c r="C15" s="199">
        <v>4400.0</v>
      </c>
      <c r="D15" s="198" t="s">
        <v>142</v>
      </c>
      <c r="E15" s="201" t="s">
        <v>177</v>
      </c>
    </row>
    <row r="16">
      <c r="A16" s="202">
        <v>45811.0</v>
      </c>
      <c r="B16" s="198" t="s">
        <v>142</v>
      </c>
      <c r="C16" s="199">
        <v>6016.0</v>
      </c>
      <c r="D16" s="198" t="s">
        <v>142</v>
      </c>
      <c r="E16" s="201" t="s">
        <v>179</v>
      </c>
    </row>
    <row r="17">
      <c r="A17" s="202">
        <v>45812.0</v>
      </c>
      <c r="B17" s="198" t="s">
        <v>134</v>
      </c>
      <c r="C17" s="199">
        <v>13333.0</v>
      </c>
      <c r="D17" s="198" t="s">
        <v>134</v>
      </c>
      <c r="E17" s="201" t="s">
        <v>173</v>
      </c>
    </row>
    <row r="18">
      <c r="A18" s="202">
        <v>45812.0</v>
      </c>
      <c r="B18" s="198" t="s">
        <v>134</v>
      </c>
      <c r="C18" s="199">
        <v>8500.0</v>
      </c>
      <c r="D18" s="198" t="s">
        <v>134</v>
      </c>
      <c r="E18" s="201" t="s">
        <v>173</v>
      </c>
    </row>
    <row r="19">
      <c r="A19" s="202">
        <v>45812.0</v>
      </c>
      <c r="B19" s="198" t="s">
        <v>134</v>
      </c>
      <c r="C19" s="199">
        <v>11650.0</v>
      </c>
      <c r="D19" s="198" t="s">
        <v>134</v>
      </c>
      <c r="E19" s="201" t="s">
        <v>173</v>
      </c>
    </row>
    <row r="20">
      <c r="A20" s="202">
        <v>45812.0</v>
      </c>
      <c r="B20" s="198" t="s">
        <v>16601</v>
      </c>
      <c r="C20" s="199">
        <v>40663.0</v>
      </c>
      <c r="D20" s="198" t="s">
        <v>132</v>
      </c>
      <c r="E20" s="201" t="s">
        <v>173</v>
      </c>
    </row>
    <row r="21">
      <c r="A21" s="202">
        <v>45812.0</v>
      </c>
      <c r="B21" s="198" t="s">
        <v>142</v>
      </c>
      <c r="C21" s="199">
        <v>5000.0</v>
      </c>
      <c r="D21" s="198" t="s">
        <v>152</v>
      </c>
      <c r="E21" s="201" t="s">
        <v>179</v>
      </c>
    </row>
    <row r="22">
      <c r="A22" s="202">
        <v>45813.0</v>
      </c>
      <c r="B22" s="198" t="s">
        <v>16580</v>
      </c>
      <c r="C22" s="199">
        <v>5500.0</v>
      </c>
      <c r="D22" s="198" t="s">
        <v>147</v>
      </c>
      <c r="E22" s="201" t="s">
        <v>177</v>
      </c>
    </row>
    <row r="23">
      <c r="A23" s="202">
        <v>45813.0</v>
      </c>
      <c r="B23" s="198" t="s">
        <v>137</v>
      </c>
      <c r="C23" s="199">
        <v>5000.0</v>
      </c>
      <c r="D23" s="198" t="s">
        <v>137</v>
      </c>
      <c r="E23" s="201" t="s">
        <v>179</v>
      </c>
    </row>
    <row r="24">
      <c r="A24" s="202">
        <v>45813.0</v>
      </c>
      <c r="B24" s="198" t="s">
        <v>142</v>
      </c>
      <c r="C24" s="199">
        <v>2600.0</v>
      </c>
      <c r="D24" s="198" t="s">
        <v>142</v>
      </c>
      <c r="E24" s="201" t="s">
        <v>177</v>
      </c>
    </row>
    <row r="25">
      <c r="A25" s="202">
        <v>45813.0</v>
      </c>
      <c r="B25" s="198" t="s">
        <v>16591</v>
      </c>
      <c r="C25" s="199">
        <v>30000.0</v>
      </c>
      <c r="D25" s="198" t="s">
        <v>147</v>
      </c>
      <c r="E25" s="201" t="s">
        <v>179</v>
      </c>
    </row>
    <row r="26">
      <c r="A26" s="202">
        <v>45813.0</v>
      </c>
      <c r="B26" s="198" t="s">
        <v>157</v>
      </c>
      <c r="C26" s="199">
        <v>15000.0</v>
      </c>
      <c r="D26" s="198" t="s">
        <v>157</v>
      </c>
      <c r="E26" s="201" t="s">
        <v>177</v>
      </c>
    </row>
    <row r="27">
      <c r="A27" s="202">
        <v>45814.0</v>
      </c>
      <c r="B27" s="198" t="s">
        <v>16587</v>
      </c>
      <c r="C27" s="199">
        <v>9517.0</v>
      </c>
      <c r="D27" s="198" t="s">
        <v>164</v>
      </c>
      <c r="E27" s="201" t="s">
        <v>177</v>
      </c>
    </row>
    <row r="28">
      <c r="A28" s="202">
        <v>45815.0</v>
      </c>
      <c r="B28" s="198" t="s">
        <v>16592</v>
      </c>
      <c r="C28" s="199">
        <v>10300.0</v>
      </c>
      <c r="D28" s="198" t="s">
        <v>129</v>
      </c>
      <c r="E28" s="201" t="s">
        <v>179</v>
      </c>
    </row>
    <row r="29">
      <c r="A29" s="202">
        <v>45815.0</v>
      </c>
      <c r="B29" s="198" t="s">
        <v>142</v>
      </c>
      <c r="C29" s="199">
        <v>73746.0</v>
      </c>
      <c r="D29" s="198" t="s">
        <v>142</v>
      </c>
      <c r="E29" s="201" t="s">
        <v>177</v>
      </c>
    </row>
    <row r="30">
      <c r="A30" s="202">
        <v>45815.0</v>
      </c>
      <c r="B30" s="198" t="s">
        <v>157</v>
      </c>
      <c r="C30" s="199">
        <v>22640.0</v>
      </c>
      <c r="D30" s="198" t="s">
        <v>157</v>
      </c>
      <c r="E30" s="201" t="s">
        <v>177</v>
      </c>
    </row>
    <row r="31">
      <c r="A31" s="202">
        <v>45815.0</v>
      </c>
      <c r="B31" s="198" t="s">
        <v>16585</v>
      </c>
      <c r="C31" s="199">
        <v>4250.0</v>
      </c>
      <c r="D31" s="198" t="s">
        <v>164</v>
      </c>
      <c r="E31" s="201" t="s">
        <v>177</v>
      </c>
    </row>
    <row r="32">
      <c r="A32" s="202">
        <v>45817.0</v>
      </c>
      <c r="B32" s="198" t="s">
        <v>169</v>
      </c>
      <c r="C32" s="199">
        <v>2491.0</v>
      </c>
      <c r="D32" s="198" t="s">
        <v>169</v>
      </c>
      <c r="E32" s="201" t="s">
        <v>173</v>
      </c>
    </row>
    <row r="33">
      <c r="A33" s="202">
        <v>45818.0</v>
      </c>
      <c r="B33" s="198" t="s">
        <v>134</v>
      </c>
      <c r="C33" s="199">
        <v>19651.0</v>
      </c>
      <c r="D33" s="198" t="s">
        <v>134</v>
      </c>
      <c r="E33" s="201" t="s">
        <v>173</v>
      </c>
    </row>
    <row r="34">
      <c r="A34" s="202">
        <v>45818.0</v>
      </c>
      <c r="B34" s="198" t="s">
        <v>134</v>
      </c>
      <c r="C34" s="199">
        <v>20000.0</v>
      </c>
      <c r="D34" s="198" t="s">
        <v>134</v>
      </c>
      <c r="E34" s="201" t="s">
        <v>179</v>
      </c>
    </row>
    <row r="35">
      <c r="A35" s="202">
        <v>45818.0</v>
      </c>
      <c r="B35" s="198" t="s">
        <v>11</v>
      </c>
      <c r="C35" s="199">
        <v>3000.0</v>
      </c>
      <c r="D35" s="198" t="s">
        <v>11</v>
      </c>
      <c r="E35" s="201" t="s">
        <v>173</v>
      </c>
    </row>
    <row r="36">
      <c r="A36" s="202">
        <v>45818.0</v>
      </c>
      <c r="B36" s="198" t="s">
        <v>11</v>
      </c>
      <c r="C36" s="199">
        <v>20000.0</v>
      </c>
      <c r="D36" s="198" t="s">
        <v>11</v>
      </c>
      <c r="E36" s="201" t="s">
        <v>173</v>
      </c>
    </row>
    <row r="37">
      <c r="A37" s="202">
        <v>45818.0</v>
      </c>
      <c r="B37" s="198" t="s">
        <v>152</v>
      </c>
      <c r="C37" s="199">
        <v>5000.0</v>
      </c>
      <c r="D37" s="198" t="s">
        <v>152</v>
      </c>
      <c r="E37" s="201" t="s">
        <v>179</v>
      </c>
    </row>
    <row r="38">
      <c r="A38" s="202">
        <v>45818.0</v>
      </c>
      <c r="B38" s="198" t="s">
        <v>16585</v>
      </c>
      <c r="C38" s="199">
        <v>3800.0</v>
      </c>
      <c r="D38" s="198" t="s">
        <v>164</v>
      </c>
      <c r="E38" s="201" t="s">
        <v>179</v>
      </c>
    </row>
    <row r="39">
      <c r="A39" s="202">
        <v>45820.0</v>
      </c>
      <c r="B39" s="198" t="s">
        <v>157</v>
      </c>
      <c r="C39" s="199">
        <v>24000.0</v>
      </c>
      <c r="D39" s="198" t="s">
        <v>157</v>
      </c>
      <c r="E39" s="201" t="s">
        <v>179</v>
      </c>
    </row>
    <row r="40">
      <c r="A40" s="202">
        <v>45820.0</v>
      </c>
      <c r="B40" s="198" t="s">
        <v>16585</v>
      </c>
      <c r="C40" s="199">
        <v>14500.0</v>
      </c>
      <c r="D40" s="198" t="s">
        <v>164</v>
      </c>
      <c r="E40" s="201" t="s">
        <v>179</v>
      </c>
    </row>
    <row r="41">
      <c r="A41" s="202">
        <v>45821.0</v>
      </c>
      <c r="B41" s="198" t="s">
        <v>142</v>
      </c>
      <c r="C41" s="199">
        <v>7100.0</v>
      </c>
      <c r="D41" s="198" t="s">
        <v>142</v>
      </c>
      <c r="E41" s="201" t="s">
        <v>177</v>
      </c>
    </row>
    <row r="42">
      <c r="A42" s="202">
        <v>45821.0</v>
      </c>
      <c r="B42" s="198" t="s">
        <v>142</v>
      </c>
      <c r="C42" s="199">
        <v>2500.0</v>
      </c>
      <c r="D42" s="198" t="s">
        <v>142</v>
      </c>
      <c r="E42" s="201" t="s">
        <v>179</v>
      </c>
    </row>
    <row r="43">
      <c r="A43" s="202">
        <v>45821.0</v>
      </c>
      <c r="B43" s="198" t="s">
        <v>16590</v>
      </c>
      <c r="C43" s="199">
        <v>1500.0</v>
      </c>
      <c r="D43" s="198" t="s">
        <v>155</v>
      </c>
      <c r="E43" s="201" t="s">
        <v>179</v>
      </c>
    </row>
    <row r="44">
      <c r="A44" s="202">
        <v>45821.0</v>
      </c>
      <c r="B44" s="198" t="s">
        <v>16585</v>
      </c>
      <c r="C44" s="199">
        <v>8900.0</v>
      </c>
      <c r="D44" s="198" t="s">
        <v>164</v>
      </c>
      <c r="E44" s="201" t="s">
        <v>179</v>
      </c>
    </row>
    <row r="45">
      <c r="A45" s="202">
        <v>45822.0</v>
      </c>
      <c r="B45" s="198" t="s">
        <v>11</v>
      </c>
      <c r="C45" s="199">
        <v>1800.0</v>
      </c>
      <c r="D45" s="198" t="s">
        <v>11</v>
      </c>
      <c r="E45" s="201" t="s">
        <v>173</v>
      </c>
    </row>
    <row r="46">
      <c r="A46" s="202">
        <v>45822.0</v>
      </c>
      <c r="B46" s="198" t="s">
        <v>16598</v>
      </c>
      <c r="C46" s="199">
        <v>15000.0</v>
      </c>
      <c r="D46" s="198" t="s">
        <v>132</v>
      </c>
      <c r="E46" s="201" t="s">
        <v>179</v>
      </c>
    </row>
    <row r="47">
      <c r="A47" s="202">
        <v>45822.0</v>
      </c>
      <c r="B47" s="198" t="s">
        <v>16579</v>
      </c>
      <c r="C47" s="199">
        <v>51800.0</v>
      </c>
      <c r="D47" s="198" t="s">
        <v>140</v>
      </c>
      <c r="E47" s="201" t="s">
        <v>179</v>
      </c>
    </row>
    <row r="48">
      <c r="A48" s="202">
        <v>45822.0</v>
      </c>
      <c r="B48" s="198" t="s">
        <v>132</v>
      </c>
      <c r="C48" s="199">
        <v>3716.0</v>
      </c>
      <c r="D48" s="198" t="s">
        <v>132</v>
      </c>
      <c r="E48" s="201" t="s">
        <v>179</v>
      </c>
    </row>
    <row r="49">
      <c r="A49" s="202">
        <v>45823.0</v>
      </c>
      <c r="B49" s="198" t="s">
        <v>16580</v>
      </c>
      <c r="C49" s="199">
        <v>2101.0</v>
      </c>
      <c r="D49" s="198" t="s">
        <v>147</v>
      </c>
      <c r="E49" s="201" t="s">
        <v>177</v>
      </c>
    </row>
    <row r="50">
      <c r="A50" s="202">
        <v>45823.0</v>
      </c>
      <c r="B50" s="198" t="s">
        <v>16578</v>
      </c>
      <c r="C50" s="199">
        <v>5965.0</v>
      </c>
      <c r="D50" s="198" t="s">
        <v>147</v>
      </c>
      <c r="E50" s="201" t="s">
        <v>173</v>
      </c>
    </row>
    <row r="51">
      <c r="A51" s="202">
        <v>45823.0</v>
      </c>
      <c r="B51" s="198" t="s">
        <v>16580</v>
      </c>
      <c r="C51" s="199">
        <v>4500.0</v>
      </c>
      <c r="D51" s="198" t="s">
        <v>147</v>
      </c>
      <c r="E51" s="201" t="s">
        <v>179</v>
      </c>
    </row>
    <row r="52">
      <c r="A52" s="202">
        <v>45823.0</v>
      </c>
      <c r="B52" s="198" t="s">
        <v>16585</v>
      </c>
      <c r="C52" s="199">
        <v>9100.0</v>
      </c>
      <c r="D52" s="198" t="s">
        <v>164</v>
      </c>
      <c r="E52" s="201" t="s">
        <v>179</v>
      </c>
    </row>
    <row r="53">
      <c r="A53" s="202">
        <v>45824.0</v>
      </c>
      <c r="B53" s="198" t="s">
        <v>16580</v>
      </c>
      <c r="C53" s="199">
        <v>3833.0</v>
      </c>
      <c r="D53" s="198" t="s">
        <v>147</v>
      </c>
      <c r="E53" s="201" t="s">
        <v>173</v>
      </c>
    </row>
    <row r="54">
      <c r="A54" s="202">
        <v>45824.0</v>
      </c>
      <c r="B54" s="198" t="s">
        <v>142</v>
      </c>
      <c r="C54" s="199">
        <v>3000.0</v>
      </c>
      <c r="D54" s="198" t="s">
        <v>164</v>
      </c>
      <c r="E54" s="201" t="s">
        <v>179</v>
      </c>
    </row>
    <row r="55">
      <c r="A55" s="202">
        <v>45824.0</v>
      </c>
      <c r="B55" s="198" t="s">
        <v>142</v>
      </c>
      <c r="C55" s="199">
        <v>42375.0</v>
      </c>
      <c r="D55" s="198" t="s">
        <v>142</v>
      </c>
      <c r="E55" s="201" t="s">
        <v>179</v>
      </c>
    </row>
    <row r="56">
      <c r="A56" s="202">
        <v>45825.0</v>
      </c>
      <c r="B56" s="198" t="s">
        <v>134</v>
      </c>
      <c r="C56" s="199">
        <v>40950.0</v>
      </c>
      <c r="D56" s="198" t="s">
        <v>134</v>
      </c>
      <c r="E56" s="201" t="s">
        <v>173</v>
      </c>
    </row>
    <row r="57">
      <c r="A57" s="202">
        <v>45825.0</v>
      </c>
      <c r="B57" s="198" t="s">
        <v>134</v>
      </c>
      <c r="C57" s="199">
        <v>38037.0</v>
      </c>
      <c r="D57" s="198" t="s">
        <v>134</v>
      </c>
      <c r="E57" s="201" t="s">
        <v>173</v>
      </c>
    </row>
    <row r="58">
      <c r="A58" s="202">
        <v>45825.0</v>
      </c>
      <c r="B58" s="198" t="s">
        <v>16604</v>
      </c>
      <c r="C58" s="199">
        <v>30000.0</v>
      </c>
      <c r="D58" s="198" t="s">
        <v>132</v>
      </c>
      <c r="E58" s="201" t="s">
        <v>177</v>
      </c>
    </row>
    <row r="59">
      <c r="A59" s="202">
        <v>45826.0</v>
      </c>
      <c r="B59" s="198" t="s">
        <v>142</v>
      </c>
      <c r="C59" s="199">
        <v>2700.0</v>
      </c>
      <c r="D59" s="198" t="s">
        <v>142</v>
      </c>
      <c r="E59" s="201" t="s">
        <v>179</v>
      </c>
    </row>
    <row r="60">
      <c r="A60" s="202">
        <v>45826.0</v>
      </c>
      <c r="B60" s="198" t="s">
        <v>155</v>
      </c>
      <c r="C60" s="199">
        <v>4000.0</v>
      </c>
      <c r="D60" s="198" t="s">
        <v>155</v>
      </c>
      <c r="E60" s="201" t="s">
        <v>179</v>
      </c>
    </row>
    <row r="61">
      <c r="A61" s="202">
        <v>45826.0</v>
      </c>
      <c r="B61" s="198" t="s">
        <v>16585</v>
      </c>
      <c r="C61" s="199">
        <v>5200.0</v>
      </c>
      <c r="D61" s="198" t="s">
        <v>152</v>
      </c>
      <c r="E61" s="201" t="s">
        <v>179</v>
      </c>
    </row>
    <row r="62">
      <c r="A62" s="202">
        <v>45827.0</v>
      </c>
      <c r="B62" s="198" t="s">
        <v>142</v>
      </c>
      <c r="C62" s="199">
        <v>2100.0</v>
      </c>
      <c r="D62" s="198" t="s">
        <v>142</v>
      </c>
      <c r="E62" s="201" t="s">
        <v>177</v>
      </c>
    </row>
    <row r="63">
      <c r="A63" s="202">
        <v>45827.0</v>
      </c>
      <c r="B63" s="198" t="s">
        <v>142</v>
      </c>
      <c r="C63" s="199">
        <v>1500.0</v>
      </c>
      <c r="D63" s="198" t="s">
        <v>142</v>
      </c>
      <c r="E63" s="201" t="s">
        <v>177</v>
      </c>
    </row>
    <row r="64">
      <c r="A64" s="202">
        <v>45828.0</v>
      </c>
      <c r="B64" s="198" t="s">
        <v>169</v>
      </c>
      <c r="C64" s="199">
        <v>7497.0</v>
      </c>
      <c r="D64" s="198" t="s">
        <v>169</v>
      </c>
      <c r="E64" s="201" t="s">
        <v>173</v>
      </c>
    </row>
    <row r="65">
      <c r="A65" s="202">
        <v>45828.0</v>
      </c>
      <c r="B65" s="198" t="s">
        <v>134</v>
      </c>
      <c r="C65" s="199">
        <v>23000.0</v>
      </c>
      <c r="D65" s="198" t="s">
        <v>134</v>
      </c>
      <c r="E65" s="201" t="s">
        <v>179</v>
      </c>
    </row>
    <row r="66">
      <c r="A66" s="202">
        <v>45828.0</v>
      </c>
      <c r="B66" s="198" t="s">
        <v>142</v>
      </c>
      <c r="C66" s="199">
        <v>3525.0</v>
      </c>
      <c r="D66" s="198" t="s">
        <v>142</v>
      </c>
      <c r="E66" s="201" t="s">
        <v>179</v>
      </c>
    </row>
    <row r="67">
      <c r="A67" s="202">
        <v>45828.0</v>
      </c>
      <c r="B67" s="198" t="s">
        <v>142</v>
      </c>
      <c r="C67" s="199">
        <v>1998.0</v>
      </c>
      <c r="D67" s="198" t="s">
        <v>142</v>
      </c>
      <c r="E67" s="201" t="s">
        <v>177</v>
      </c>
    </row>
    <row r="68">
      <c r="A68" s="202">
        <v>45828.0</v>
      </c>
      <c r="B68" s="198" t="s">
        <v>16580</v>
      </c>
      <c r="C68" s="199">
        <v>2500.0</v>
      </c>
      <c r="D68" s="198" t="s">
        <v>147</v>
      </c>
      <c r="E68" s="201" t="s">
        <v>179</v>
      </c>
    </row>
    <row r="69">
      <c r="A69" s="202">
        <v>45828.0</v>
      </c>
      <c r="B69" s="198" t="s">
        <v>157</v>
      </c>
      <c r="C69" s="199">
        <v>5000.0</v>
      </c>
      <c r="D69" s="198" t="s">
        <v>157</v>
      </c>
      <c r="E69" s="201" t="s">
        <v>179</v>
      </c>
    </row>
    <row r="70">
      <c r="A70" s="202">
        <v>45829.0</v>
      </c>
      <c r="B70" s="198" t="s">
        <v>16579</v>
      </c>
      <c r="C70" s="199">
        <v>11666.7</v>
      </c>
      <c r="D70" s="198" t="s">
        <v>140</v>
      </c>
      <c r="E70" s="201" t="s">
        <v>173</v>
      </c>
    </row>
    <row r="71">
      <c r="A71" s="202">
        <v>45829.0</v>
      </c>
      <c r="B71" s="198" t="s">
        <v>16580</v>
      </c>
      <c r="C71" s="199">
        <v>7500.0</v>
      </c>
      <c r="D71" s="198" t="s">
        <v>147</v>
      </c>
      <c r="E71" s="201" t="s">
        <v>179</v>
      </c>
    </row>
    <row r="72">
      <c r="A72" s="202">
        <v>45829.0</v>
      </c>
      <c r="B72" s="198" t="s">
        <v>16585</v>
      </c>
      <c r="C72" s="199">
        <v>14600.0</v>
      </c>
      <c r="D72" s="198" t="s">
        <v>164</v>
      </c>
      <c r="E72" s="201" t="s">
        <v>179</v>
      </c>
    </row>
    <row r="73">
      <c r="A73" s="202">
        <v>45829.0</v>
      </c>
      <c r="B73" s="198" t="s">
        <v>16585</v>
      </c>
      <c r="C73" s="199">
        <v>23635.0</v>
      </c>
      <c r="D73" s="198" t="s">
        <v>142</v>
      </c>
      <c r="E73" s="201" t="s">
        <v>177</v>
      </c>
    </row>
    <row r="74">
      <c r="A74" s="202">
        <v>45830.0</v>
      </c>
      <c r="B74" s="198" t="s">
        <v>16593</v>
      </c>
      <c r="C74" s="199">
        <v>4024.0</v>
      </c>
      <c r="D74" s="198" t="s">
        <v>129</v>
      </c>
      <c r="E74" s="201" t="s">
        <v>177</v>
      </c>
    </row>
    <row r="75">
      <c r="A75" s="202">
        <v>45830.0</v>
      </c>
      <c r="B75" s="198" t="s">
        <v>142</v>
      </c>
      <c r="C75" s="199">
        <v>2800.0</v>
      </c>
      <c r="D75" s="198" t="s">
        <v>164</v>
      </c>
      <c r="E75" s="201" t="s">
        <v>179</v>
      </c>
    </row>
    <row r="76">
      <c r="A76" s="202">
        <v>45830.0</v>
      </c>
      <c r="B76" s="198" t="s">
        <v>142</v>
      </c>
      <c r="C76" s="199">
        <v>3082.0</v>
      </c>
      <c r="D76" s="198" t="s">
        <v>142</v>
      </c>
      <c r="E76" s="201" t="s">
        <v>177</v>
      </c>
    </row>
    <row r="77">
      <c r="A77" s="202">
        <v>45830.0</v>
      </c>
      <c r="B77" s="198" t="s">
        <v>16590</v>
      </c>
      <c r="C77" s="199">
        <v>7424.0</v>
      </c>
      <c r="D77" s="198" t="s">
        <v>155</v>
      </c>
      <c r="E77" s="201" t="s">
        <v>177</v>
      </c>
    </row>
    <row r="78">
      <c r="A78" s="202">
        <v>45830.0</v>
      </c>
      <c r="B78" s="198" t="s">
        <v>16594</v>
      </c>
      <c r="C78" s="199">
        <v>13577.0</v>
      </c>
      <c r="D78" s="198" t="s">
        <v>129</v>
      </c>
      <c r="E78" s="201" t="s">
        <v>177</v>
      </c>
    </row>
    <row r="79">
      <c r="A79" s="202">
        <v>45831.0</v>
      </c>
      <c r="B79" s="198" t="s">
        <v>16578</v>
      </c>
      <c r="C79" s="199">
        <v>13889.0</v>
      </c>
      <c r="D79" s="198" t="s">
        <v>147</v>
      </c>
      <c r="E79" s="201" t="s">
        <v>173</v>
      </c>
    </row>
    <row r="80">
      <c r="A80" s="202">
        <v>45831.0</v>
      </c>
      <c r="B80" s="198" t="s">
        <v>16589</v>
      </c>
      <c r="C80" s="199">
        <v>7000.0</v>
      </c>
      <c r="D80" s="198" t="s">
        <v>145</v>
      </c>
      <c r="E80" s="201" t="s">
        <v>179</v>
      </c>
    </row>
    <row r="81">
      <c r="A81" s="202">
        <v>45831.0</v>
      </c>
      <c r="B81" s="198" t="s">
        <v>142</v>
      </c>
      <c r="C81" s="199">
        <v>2150.0</v>
      </c>
      <c r="D81" s="198" t="s">
        <v>142</v>
      </c>
      <c r="E81" s="201" t="s">
        <v>177</v>
      </c>
    </row>
    <row r="82">
      <c r="A82" s="202">
        <v>45832.0</v>
      </c>
      <c r="B82" s="198" t="s">
        <v>142</v>
      </c>
      <c r="C82" s="199">
        <v>5000.0</v>
      </c>
      <c r="D82" s="198" t="s">
        <v>164</v>
      </c>
      <c r="E82" s="201" t="s">
        <v>179</v>
      </c>
    </row>
    <row r="83">
      <c r="A83" s="202">
        <v>45832.0</v>
      </c>
      <c r="B83" s="198" t="s">
        <v>157</v>
      </c>
      <c r="C83" s="199">
        <v>20363.0</v>
      </c>
      <c r="D83" s="198" t="s">
        <v>157</v>
      </c>
      <c r="E83" s="201" t="s">
        <v>179</v>
      </c>
    </row>
    <row r="84">
      <c r="A84" s="202">
        <v>45832.0</v>
      </c>
      <c r="B84" s="198" t="s">
        <v>16590</v>
      </c>
      <c r="C84" s="199">
        <v>3000.0</v>
      </c>
      <c r="D84" s="198" t="s">
        <v>145</v>
      </c>
      <c r="E84" s="201" t="s">
        <v>177</v>
      </c>
    </row>
    <row r="85">
      <c r="A85" s="202">
        <v>45833.0</v>
      </c>
      <c r="B85" s="198" t="s">
        <v>16586</v>
      </c>
      <c r="C85" s="199">
        <v>3000.0</v>
      </c>
      <c r="D85" s="198" t="s">
        <v>159</v>
      </c>
      <c r="E85" s="201" t="s">
        <v>179</v>
      </c>
    </row>
    <row r="86">
      <c r="A86" s="202">
        <v>45835.0</v>
      </c>
      <c r="B86" s="198" t="s">
        <v>16580</v>
      </c>
      <c r="C86" s="199">
        <v>98323.0</v>
      </c>
      <c r="D86" s="198" t="s">
        <v>147</v>
      </c>
      <c r="E86" s="201" t="s">
        <v>173</v>
      </c>
    </row>
    <row r="87">
      <c r="A87" s="202">
        <v>45835.0</v>
      </c>
      <c r="B87" s="198" t="s">
        <v>137</v>
      </c>
      <c r="C87" s="199">
        <v>5000.0</v>
      </c>
      <c r="D87" s="198" t="s">
        <v>137</v>
      </c>
      <c r="E87" s="201" t="s">
        <v>179</v>
      </c>
    </row>
    <row r="88">
      <c r="A88" s="202">
        <v>45835.0</v>
      </c>
      <c r="B88" s="198" t="s">
        <v>16585</v>
      </c>
      <c r="C88" s="199">
        <v>11000.0</v>
      </c>
      <c r="D88" s="198" t="s">
        <v>164</v>
      </c>
      <c r="E88" s="201" t="s">
        <v>179</v>
      </c>
    </row>
    <row r="89">
      <c r="A89" s="202">
        <v>45836.0</v>
      </c>
      <c r="B89" s="198" t="s">
        <v>142</v>
      </c>
      <c r="C89" s="199">
        <v>14000.0</v>
      </c>
      <c r="D89" s="198" t="s">
        <v>142</v>
      </c>
      <c r="E89" s="201" t="s">
        <v>177</v>
      </c>
    </row>
    <row r="90">
      <c r="A90" s="202">
        <v>45836.0</v>
      </c>
      <c r="B90" s="198" t="s">
        <v>142</v>
      </c>
      <c r="C90" s="199">
        <v>19365.0</v>
      </c>
      <c r="D90" s="198" t="s">
        <v>142</v>
      </c>
      <c r="E90" s="201" t="s">
        <v>177</v>
      </c>
    </row>
    <row r="91">
      <c r="A91" s="202">
        <v>45836.0</v>
      </c>
      <c r="B91" s="198" t="s">
        <v>16580</v>
      </c>
      <c r="C91" s="199">
        <v>7250.0</v>
      </c>
      <c r="D91" s="198" t="s">
        <v>167</v>
      </c>
      <c r="E91" s="201" t="s">
        <v>177</v>
      </c>
    </row>
    <row r="92">
      <c r="A92" s="202">
        <v>45837.0</v>
      </c>
      <c r="B92" s="198" t="s">
        <v>16598</v>
      </c>
      <c r="C92" s="199">
        <v>15000.0</v>
      </c>
      <c r="D92" s="198" t="s">
        <v>132</v>
      </c>
      <c r="E92" s="201" t="s">
        <v>177</v>
      </c>
    </row>
    <row r="93">
      <c r="A93" s="202">
        <v>45837.0</v>
      </c>
      <c r="B93" s="198" t="s">
        <v>142</v>
      </c>
      <c r="C93" s="199">
        <v>5149.0</v>
      </c>
      <c r="D93" s="198" t="s">
        <v>142</v>
      </c>
      <c r="E93" s="201" t="s">
        <v>179</v>
      </c>
    </row>
    <row r="94">
      <c r="A94" s="202">
        <v>45837.0</v>
      </c>
      <c r="B94" s="198" t="s">
        <v>16585</v>
      </c>
      <c r="C94" s="199">
        <v>18700.0</v>
      </c>
      <c r="D94" s="198" t="s">
        <v>164</v>
      </c>
      <c r="E94" s="201" t="s">
        <v>179</v>
      </c>
    </row>
    <row r="95">
      <c r="A95" s="202">
        <v>45837.0</v>
      </c>
      <c r="B95" s="198" t="s">
        <v>167</v>
      </c>
      <c r="C95" s="199">
        <v>7000.0</v>
      </c>
      <c r="D95" s="198" t="s">
        <v>167</v>
      </c>
      <c r="E95" s="201" t="s">
        <v>179</v>
      </c>
    </row>
    <row r="96">
      <c r="A96" s="202">
        <v>45838.0</v>
      </c>
      <c r="B96" s="198" t="s">
        <v>16587</v>
      </c>
      <c r="C96" s="199">
        <v>12079.0</v>
      </c>
      <c r="D96" s="198" t="s">
        <v>164</v>
      </c>
      <c r="E96" s="201" t="s">
        <v>173</v>
      </c>
    </row>
    <row r="97">
      <c r="A97" s="202">
        <v>45838.0</v>
      </c>
      <c r="B97" s="198" t="s">
        <v>16581</v>
      </c>
      <c r="C97" s="199">
        <v>35510.0</v>
      </c>
      <c r="D97" s="198" t="s">
        <v>129</v>
      </c>
      <c r="E97" s="201" t="s">
        <v>173</v>
      </c>
    </row>
  </sheetData>
  <dataValidations>
    <dataValidation type="custom" allowBlank="1" showDropDown="1" sqref="A2:A97">
      <formula1>OR(NOT(ISERROR(DATEVALUE(A2))), AND(ISNUMBER(A2), LEFT(CELL("format", A2))="D"))</formula1>
    </dataValidation>
    <dataValidation type="custom" allowBlank="1" showDropDown="1" sqref="C2:C97">
      <formula1>AND(ISNUMBER(C2),(NOT(OR(NOT(ISERROR(DATEVALUE(C2))), AND(ISNUMBER(C2), LEFT(CELL("format", C2))="D")))))</formula1>
    </dataValidation>
    <dataValidation allowBlank="1" showDropDown="1" sqref="B2:B97 D2:E97"/>
  </dataValidations>
  <drawing r:id="rId1"/>
  <tableParts count="1">
    <tablePart r:id="rId3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0"/>
    <col customWidth="1" min="3" max="3" width="13.13"/>
    <col customWidth="1" min="4" max="4" width="19.38"/>
    <col customWidth="1" min="5" max="5" width="21.38"/>
  </cols>
  <sheetData>
    <row r="1">
      <c r="A1" s="196" t="s">
        <v>0</v>
      </c>
      <c r="B1" s="196" t="s">
        <v>1</v>
      </c>
      <c r="C1" s="196" t="s">
        <v>2</v>
      </c>
      <c r="D1" s="196" t="s">
        <v>3</v>
      </c>
      <c r="E1" s="196" t="s">
        <v>4</v>
      </c>
    </row>
    <row r="2">
      <c r="A2" s="202">
        <v>45839.0</v>
      </c>
      <c r="B2" s="198" t="s">
        <v>16579</v>
      </c>
      <c r="C2" s="199">
        <v>11667.0</v>
      </c>
      <c r="D2" s="198" t="s">
        <v>140</v>
      </c>
      <c r="E2" s="201" t="s">
        <v>173</v>
      </c>
    </row>
    <row r="3">
      <c r="A3" s="202">
        <v>45839.0</v>
      </c>
      <c r="B3" s="198" t="s">
        <v>16580</v>
      </c>
      <c r="C3" s="199">
        <v>5500.0</v>
      </c>
      <c r="D3" s="198" t="s">
        <v>147</v>
      </c>
      <c r="E3" s="201" t="s">
        <v>177</v>
      </c>
    </row>
    <row r="4">
      <c r="A4" s="202">
        <v>45839.0</v>
      </c>
      <c r="B4" s="198" t="s">
        <v>142</v>
      </c>
      <c r="C4" s="199">
        <v>2000.0</v>
      </c>
      <c r="D4" s="198" t="s">
        <v>142</v>
      </c>
      <c r="E4" s="201" t="s">
        <v>177</v>
      </c>
    </row>
    <row r="5">
      <c r="A5" s="202">
        <v>45839.0</v>
      </c>
      <c r="B5" s="198" t="s">
        <v>157</v>
      </c>
      <c r="C5" s="199">
        <v>24500.0</v>
      </c>
      <c r="D5" s="198" t="s">
        <v>157</v>
      </c>
      <c r="E5" s="201" t="s">
        <v>177</v>
      </c>
    </row>
    <row r="6">
      <c r="A6" s="202">
        <v>45839.0</v>
      </c>
      <c r="B6" s="198" t="s">
        <v>16590</v>
      </c>
      <c r="C6" s="199">
        <v>4570.0</v>
      </c>
      <c r="D6" s="198" t="s">
        <v>145</v>
      </c>
      <c r="E6" s="201" t="s">
        <v>177</v>
      </c>
    </row>
    <row r="7">
      <c r="A7" s="202">
        <v>45840.0</v>
      </c>
      <c r="B7" s="198" t="s">
        <v>11</v>
      </c>
      <c r="C7" s="199">
        <v>1800.0</v>
      </c>
      <c r="D7" s="198" t="s">
        <v>11</v>
      </c>
      <c r="E7" s="201" t="s">
        <v>173</v>
      </c>
    </row>
    <row r="8">
      <c r="A8" s="202">
        <v>45840.0</v>
      </c>
      <c r="B8" s="198" t="s">
        <v>11</v>
      </c>
      <c r="C8" s="199">
        <v>20000.0</v>
      </c>
      <c r="D8" s="198" t="s">
        <v>11</v>
      </c>
      <c r="E8" s="201" t="s">
        <v>173</v>
      </c>
    </row>
    <row r="9">
      <c r="A9" s="202">
        <v>45840.0</v>
      </c>
      <c r="B9" s="198" t="s">
        <v>11</v>
      </c>
      <c r="C9" s="199">
        <v>3000.0</v>
      </c>
      <c r="D9" s="198" t="s">
        <v>11</v>
      </c>
      <c r="E9" s="201" t="s">
        <v>173</v>
      </c>
    </row>
    <row r="10">
      <c r="A10" s="202">
        <v>45841.0</v>
      </c>
      <c r="B10" s="198" t="s">
        <v>169</v>
      </c>
      <c r="C10" s="199">
        <v>7549.0</v>
      </c>
      <c r="D10" s="198" t="s">
        <v>169</v>
      </c>
      <c r="E10" s="201" t="s">
        <v>173</v>
      </c>
    </row>
    <row r="11">
      <c r="A11" s="202">
        <v>45841.0</v>
      </c>
      <c r="B11" s="198" t="s">
        <v>142</v>
      </c>
      <c r="C11" s="199">
        <v>5985.0</v>
      </c>
      <c r="D11" s="198" t="s">
        <v>142</v>
      </c>
      <c r="E11" s="201" t="s">
        <v>179</v>
      </c>
    </row>
    <row r="12">
      <c r="A12" s="202">
        <v>45841.0</v>
      </c>
      <c r="B12" s="198" t="s">
        <v>16599</v>
      </c>
      <c r="C12" s="199">
        <v>517689.0</v>
      </c>
      <c r="D12" s="198" t="s">
        <v>162</v>
      </c>
      <c r="E12" s="201" t="s">
        <v>179</v>
      </c>
    </row>
    <row r="13">
      <c r="A13" s="202">
        <v>45842.0</v>
      </c>
      <c r="B13" s="198" t="s">
        <v>16601</v>
      </c>
      <c r="C13" s="199">
        <v>43787.0</v>
      </c>
      <c r="D13" s="198" t="s">
        <v>132</v>
      </c>
      <c r="E13" s="201" t="s">
        <v>173</v>
      </c>
    </row>
    <row r="14">
      <c r="A14" s="202">
        <v>45842.0</v>
      </c>
      <c r="B14" s="198" t="s">
        <v>142</v>
      </c>
      <c r="C14" s="199">
        <v>6588.0</v>
      </c>
      <c r="D14" s="198" t="s">
        <v>142</v>
      </c>
      <c r="E14" s="201" t="s">
        <v>177</v>
      </c>
    </row>
    <row r="15">
      <c r="A15" s="202">
        <v>45842.0</v>
      </c>
      <c r="B15" s="198" t="s">
        <v>16580</v>
      </c>
      <c r="C15" s="199">
        <v>67885.0</v>
      </c>
      <c r="D15" s="198" t="s">
        <v>147</v>
      </c>
      <c r="E15" s="201" t="s">
        <v>173</v>
      </c>
    </row>
    <row r="16">
      <c r="A16" s="202">
        <v>45842.0</v>
      </c>
      <c r="B16" s="198" t="s">
        <v>16606</v>
      </c>
      <c r="C16" s="199">
        <v>3450.0</v>
      </c>
      <c r="D16" s="198" t="s">
        <v>132</v>
      </c>
      <c r="E16" s="201" t="s">
        <v>179</v>
      </c>
    </row>
    <row r="17">
      <c r="A17" s="202">
        <v>45842.0</v>
      </c>
      <c r="B17" s="198" t="s">
        <v>132</v>
      </c>
      <c r="C17" s="199">
        <v>31731.0</v>
      </c>
      <c r="D17" s="198" t="s">
        <v>132</v>
      </c>
      <c r="E17" s="201" t="s">
        <v>177</v>
      </c>
    </row>
    <row r="18">
      <c r="A18" s="202">
        <v>45843.0</v>
      </c>
      <c r="B18" s="198" t="s">
        <v>16582</v>
      </c>
      <c r="C18" s="199">
        <v>10650.0</v>
      </c>
      <c r="D18" s="198" t="s">
        <v>129</v>
      </c>
      <c r="E18" s="201" t="s">
        <v>177</v>
      </c>
    </row>
    <row r="19">
      <c r="A19" s="202">
        <v>45843.0</v>
      </c>
      <c r="B19" s="198" t="s">
        <v>142</v>
      </c>
      <c r="C19" s="199">
        <v>1881.0</v>
      </c>
      <c r="D19" s="198" t="s">
        <v>142</v>
      </c>
      <c r="E19" s="201" t="s">
        <v>179</v>
      </c>
    </row>
    <row r="20">
      <c r="A20" s="202">
        <v>45843.0</v>
      </c>
      <c r="B20" s="198" t="s">
        <v>142</v>
      </c>
      <c r="C20" s="199">
        <v>3500.0</v>
      </c>
      <c r="D20" s="198" t="s">
        <v>142</v>
      </c>
      <c r="E20" s="201" t="s">
        <v>179</v>
      </c>
    </row>
    <row r="21">
      <c r="A21" s="202">
        <v>45843.0</v>
      </c>
      <c r="B21" s="198" t="s">
        <v>142</v>
      </c>
      <c r="C21" s="199">
        <v>2717.0</v>
      </c>
      <c r="D21" s="198" t="s">
        <v>142</v>
      </c>
      <c r="E21" s="201" t="s">
        <v>179</v>
      </c>
    </row>
    <row r="22">
      <c r="A22" s="202">
        <v>45843.0</v>
      </c>
      <c r="B22" s="198" t="s">
        <v>16585</v>
      </c>
      <c r="C22" s="199">
        <v>9400.0</v>
      </c>
      <c r="D22" s="198" t="s">
        <v>164</v>
      </c>
      <c r="E22" s="201" t="s">
        <v>177</v>
      </c>
    </row>
    <row r="23">
      <c r="A23" s="202">
        <v>45844.0</v>
      </c>
      <c r="B23" s="198" t="s">
        <v>142</v>
      </c>
      <c r="C23" s="199">
        <v>2249.0</v>
      </c>
      <c r="D23" s="198" t="s">
        <v>142</v>
      </c>
      <c r="E23" s="201" t="s">
        <v>177</v>
      </c>
    </row>
    <row r="24">
      <c r="A24" s="202">
        <v>45844.0</v>
      </c>
      <c r="B24" s="198" t="s">
        <v>142</v>
      </c>
      <c r="C24" s="199">
        <v>3050.0</v>
      </c>
      <c r="D24" s="198" t="s">
        <v>142</v>
      </c>
      <c r="E24" s="201" t="s">
        <v>177</v>
      </c>
    </row>
    <row r="25">
      <c r="A25" s="202">
        <v>45844.0</v>
      </c>
      <c r="B25" s="198" t="s">
        <v>16580</v>
      </c>
      <c r="C25" s="199">
        <v>5900.0</v>
      </c>
      <c r="D25" s="198" t="s">
        <v>155</v>
      </c>
      <c r="E25" s="201" t="s">
        <v>179</v>
      </c>
    </row>
    <row r="26">
      <c r="A26" s="202">
        <v>45844.0</v>
      </c>
      <c r="B26" s="198" t="s">
        <v>16590</v>
      </c>
      <c r="C26" s="199">
        <v>18589.0</v>
      </c>
      <c r="D26" s="198" t="s">
        <v>155</v>
      </c>
      <c r="E26" s="201" t="s">
        <v>179</v>
      </c>
    </row>
    <row r="27">
      <c r="A27" s="202">
        <v>45845.0</v>
      </c>
      <c r="B27" s="198" t="s">
        <v>16586</v>
      </c>
      <c r="C27" s="199">
        <v>11400.0</v>
      </c>
      <c r="D27" s="198" t="s">
        <v>171</v>
      </c>
      <c r="E27" s="201" t="s">
        <v>179</v>
      </c>
    </row>
    <row r="28">
      <c r="A28" s="202">
        <v>45845.0</v>
      </c>
      <c r="B28" s="198" t="s">
        <v>16601</v>
      </c>
      <c r="C28" s="199">
        <v>8489.0</v>
      </c>
      <c r="D28" s="198" t="s">
        <v>132</v>
      </c>
      <c r="E28" s="201" t="s">
        <v>177</v>
      </c>
    </row>
    <row r="29">
      <c r="A29" s="202">
        <v>45845.0</v>
      </c>
      <c r="B29" s="198" t="s">
        <v>142</v>
      </c>
      <c r="C29" s="199">
        <v>1800.0</v>
      </c>
      <c r="D29" s="198" t="s">
        <v>164</v>
      </c>
      <c r="E29" s="201" t="s">
        <v>179</v>
      </c>
    </row>
    <row r="30">
      <c r="A30" s="202">
        <v>45845.0</v>
      </c>
      <c r="B30" s="198" t="s">
        <v>16590</v>
      </c>
      <c r="C30" s="199">
        <v>3291.0</v>
      </c>
      <c r="D30" s="198" t="s">
        <v>145</v>
      </c>
      <c r="E30" s="201" t="s">
        <v>179</v>
      </c>
    </row>
    <row r="31">
      <c r="A31" s="202">
        <v>45845.0</v>
      </c>
      <c r="B31" s="198" t="s">
        <v>16585</v>
      </c>
      <c r="C31" s="199">
        <v>8400.0</v>
      </c>
      <c r="D31" s="198" t="s">
        <v>164</v>
      </c>
      <c r="E31" s="201" t="s">
        <v>179</v>
      </c>
    </row>
    <row r="32">
      <c r="A32" s="202">
        <v>45846.0</v>
      </c>
      <c r="B32" s="198" t="s">
        <v>16586</v>
      </c>
      <c r="C32" s="199">
        <v>10000.0</v>
      </c>
      <c r="D32" s="198" t="s">
        <v>171</v>
      </c>
      <c r="E32" s="201" t="s">
        <v>179</v>
      </c>
    </row>
    <row r="33">
      <c r="A33" s="202">
        <v>45846.0</v>
      </c>
      <c r="B33" s="198" t="s">
        <v>142</v>
      </c>
      <c r="C33" s="199">
        <v>5400.0</v>
      </c>
      <c r="D33" s="198" t="s">
        <v>152</v>
      </c>
      <c r="E33" s="201" t="s">
        <v>179</v>
      </c>
    </row>
    <row r="34">
      <c r="A34" s="202">
        <v>45847.0</v>
      </c>
      <c r="B34" s="198" t="s">
        <v>169</v>
      </c>
      <c r="C34" s="199">
        <v>2491.0</v>
      </c>
      <c r="D34" s="198" t="s">
        <v>169</v>
      </c>
      <c r="E34" s="201" t="s">
        <v>173</v>
      </c>
    </row>
    <row r="35">
      <c r="A35" s="202">
        <v>45847.0</v>
      </c>
      <c r="B35" s="198" t="s">
        <v>142</v>
      </c>
      <c r="C35" s="199">
        <v>6500.0</v>
      </c>
      <c r="D35" s="198" t="s">
        <v>142</v>
      </c>
      <c r="E35" s="201" t="s">
        <v>179</v>
      </c>
    </row>
    <row r="36">
      <c r="A36" s="202">
        <v>45847.0</v>
      </c>
      <c r="B36" s="198" t="s">
        <v>16604</v>
      </c>
      <c r="C36" s="199">
        <v>7000.0</v>
      </c>
      <c r="D36" s="198" t="s">
        <v>132</v>
      </c>
      <c r="E36" s="201" t="s">
        <v>179</v>
      </c>
    </row>
    <row r="37">
      <c r="A37" s="202">
        <v>45847.0</v>
      </c>
      <c r="B37" s="198" t="s">
        <v>155</v>
      </c>
      <c r="C37" s="199">
        <v>330000.0</v>
      </c>
      <c r="D37" s="198" t="s">
        <v>155</v>
      </c>
      <c r="E37" s="201" t="s">
        <v>179</v>
      </c>
    </row>
    <row r="38">
      <c r="A38" s="202">
        <v>45848.0</v>
      </c>
      <c r="B38" s="198" t="s">
        <v>152</v>
      </c>
      <c r="C38" s="199">
        <v>5000.0</v>
      </c>
      <c r="D38" s="198" t="s">
        <v>152</v>
      </c>
      <c r="E38" s="201" t="s">
        <v>179</v>
      </c>
    </row>
    <row r="39">
      <c r="A39" s="202">
        <v>45848.0</v>
      </c>
      <c r="B39" s="198" t="s">
        <v>157</v>
      </c>
      <c r="C39" s="199">
        <v>15000.0</v>
      </c>
      <c r="D39" s="198" t="s">
        <v>157</v>
      </c>
      <c r="E39" s="201" t="s">
        <v>179</v>
      </c>
    </row>
    <row r="40">
      <c r="A40" s="202">
        <v>45848.0</v>
      </c>
      <c r="B40" s="198" t="s">
        <v>16590</v>
      </c>
      <c r="C40" s="199">
        <v>3500.0</v>
      </c>
      <c r="D40" s="198" t="s">
        <v>145</v>
      </c>
      <c r="E40" s="201" t="s">
        <v>177</v>
      </c>
    </row>
    <row r="41">
      <c r="A41" s="202">
        <v>45849.0</v>
      </c>
      <c r="B41" s="198" t="s">
        <v>142</v>
      </c>
      <c r="C41" s="199">
        <v>1250.0</v>
      </c>
      <c r="D41" s="198" t="s">
        <v>142</v>
      </c>
      <c r="E41" s="201" t="s">
        <v>177</v>
      </c>
    </row>
    <row r="42">
      <c r="A42" s="202">
        <v>45849.0</v>
      </c>
      <c r="B42" s="198" t="s">
        <v>142</v>
      </c>
      <c r="C42" s="199">
        <v>60347.0</v>
      </c>
      <c r="D42" s="198" t="s">
        <v>142</v>
      </c>
      <c r="E42" s="201" t="s">
        <v>177</v>
      </c>
    </row>
    <row r="43">
      <c r="A43" s="202">
        <v>45850.0</v>
      </c>
      <c r="B43" s="198" t="s">
        <v>16579</v>
      </c>
      <c r="C43" s="199">
        <v>24900.0</v>
      </c>
      <c r="D43" s="198" t="s">
        <v>140</v>
      </c>
      <c r="E43" s="201" t="s">
        <v>175</v>
      </c>
    </row>
    <row r="44">
      <c r="A44" s="202">
        <v>45850.0</v>
      </c>
      <c r="B44" s="198" t="s">
        <v>16579</v>
      </c>
      <c r="C44" s="199">
        <v>25000.0</v>
      </c>
      <c r="D44" s="198" t="s">
        <v>140</v>
      </c>
      <c r="E44" s="201" t="s">
        <v>179</v>
      </c>
    </row>
    <row r="45">
      <c r="A45" s="202">
        <v>45850.0</v>
      </c>
      <c r="B45" s="198" t="s">
        <v>16579</v>
      </c>
      <c r="C45" s="199">
        <v>30000.0</v>
      </c>
      <c r="D45" s="198" t="s">
        <v>140</v>
      </c>
      <c r="E45" s="201" t="s">
        <v>179</v>
      </c>
    </row>
    <row r="46">
      <c r="A46" s="202">
        <v>45850.0</v>
      </c>
      <c r="B46" s="198" t="s">
        <v>16592</v>
      </c>
      <c r="C46" s="199">
        <v>10300.0</v>
      </c>
      <c r="D46" s="198" t="s">
        <v>129</v>
      </c>
      <c r="E46" s="201" t="s">
        <v>179</v>
      </c>
    </row>
    <row r="47">
      <c r="A47" s="202">
        <v>45850.0</v>
      </c>
      <c r="B47" s="198" t="s">
        <v>16585</v>
      </c>
      <c r="C47" s="199">
        <v>9100.0</v>
      </c>
      <c r="D47" s="198" t="s">
        <v>164</v>
      </c>
      <c r="E47" s="201" t="s">
        <v>179</v>
      </c>
    </row>
    <row r="48">
      <c r="A48" s="202">
        <v>45851.0</v>
      </c>
      <c r="B48" s="198" t="s">
        <v>142</v>
      </c>
      <c r="C48" s="199">
        <v>5000.0</v>
      </c>
      <c r="D48" s="198" t="s">
        <v>142</v>
      </c>
      <c r="E48" s="201" t="s">
        <v>177</v>
      </c>
    </row>
    <row r="49">
      <c r="A49" s="202">
        <v>45851.0</v>
      </c>
      <c r="B49" s="198" t="s">
        <v>159</v>
      </c>
      <c r="C49" s="199">
        <v>13000.0</v>
      </c>
      <c r="D49" s="198" t="s">
        <v>159</v>
      </c>
      <c r="E49" s="201" t="s">
        <v>179</v>
      </c>
    </row>
    <row r="50">
      <c r="A50" s="202">
        <v>45851.0</v>
      </c>
      <c r="B50" s="198" t="s">
        <v>16585</v>
      </c>
      <c r="C50" s="199">
        <v>3000.0</v>
      </c>
      <c r="D50" s="198" t="s">
        <v>164</v>
      </c>
      <c r="E50" s="201" t="s">
        <v>179</v>
      </c>
    </row>
    <row r="51">
      <c r="A51" s="202">
        <v>45851.0</v>
      </c>
      <c r="B51" s="198" t="s">
        <v>16585</v>
      </c>
      <c r="C51" s="199">
        <v>1950.0</v>
      </c>
      <c r="D51" s="198" t="s">
        <v>164</v>
      </c>
      <c r="E51" s="201" t="s">
        <v>179</v>
      </c>
    </row>
    <row r="52">
      <c r="A52" s="202">
        <v>45851.0</v>
      </c>
      <c r="B52" s="198" t="s">
        <v>16585</v>
      </c>
      <c r="C52" s="199">
        <v>2800.0</v>
      </c>
      <c r="D52" s="198" t="s">
        <v>164</v>
      </c>
      <c r="E52" s="201" t="s">
        <v>179</v>
      </c>
    </row>
    <row r="53">
      <c r="A53" s="202">
        <v>45852.0</v>
      </c>
      <c r="B53" s="198" t="s">
        <v>11</v>
      </c>
      <c r="C53" s="199">
        <v>1500.0</v>
      </c>
      <c r="D53" s="198" t="s">
        <v>11</v>
      </c>
      <c r="E53" s="201" t="s">
        <v>173</v>
      </c>
    </row>
    <row r="54">
      <c r="A54" s="202">
        <v>45853.0</v>
      </c>
      <c r="B54" s="198" t="s">
        <v>16580</v>
      </c>
      <c r="C54" s="199">
        <v>2101.0</v>
      </c>
      <c r="D54" s="198" t="s">
        <v>147</v>
      </c>
      <c r="E54" s="201" t="s">
        <v>177</v>
      </c>
    </row>
    <row r="55">
      <c r="A55" s="202">
        <v>45853.0</v>
      </c>
      <c r="B55" s="198" t="s">
        <v>16578</v>
      </c>
      <c r="C55" s="199">
        <v>5965.0</v>
      </c>
      <c r="D55" s="198" t="s">
        <v>147</v>
      </c>
      <c r="E55" s="201" t="s">
        <v>173</v>
      </c>
    </row>
    <row r="56">
      <c r="A56" s="202">
        <v>45853.0</v>
      </c>
      <c r="B56" s="198" t="s">
        <v>16590</v>
      </c>
      <c r="C56" s="199">
        <v>2500.0</v>
      </c>
      <c r="D56" s="198" t="s">
        <v>145</v>
      </c>
      <c r="E56" s="201" t="s">
        <v>177</v>
      </c>
    </row>
    <row r="57">
      <c r="A57" s="202">
        <v>45853.0</v>
      </c>
      <c r="B57" s="198" t="s">
        <v>16585</v>
      </c>
      <c r="C57" s="199">
        <v>10159.0</v>
      </c>
      <c r="D57" s="198" t="s">
        <v>164</v>
      </c>
      <c r="E57" s="201" t="s">
        <v>179</v>
      </c>
    </row>
    <row r="58">
      <c r="A58" s="202">
        <v>45853.0</v>
      </c>
      <c r="B58" s="198" t="s">
        <v>16585</v>
      </c>
      <c r="C58" s="199">
        <v>18912.0</v>
      </c>
      <c r="D58" s="198" t="s">
        <v>164</v>
      </c>
      <c r="E58" s="201" t="s">
        <v>179</v>
      </c>
    </row>
    <row r="59">
      <c r="A59" s="202">
        <v>45854.0</v>
      </c>
      <c r="B59" s="198" t="s">
        <v>142</v>
      </c>
      <c r="C59" s="199">
        <v>5250.0</v>
      </c>
      <c r="D59" s="198" t="s">
        <v>152</v>
      </c>
      <c r="E59" s="201" t="s">
        <v>179</v>
      </c>
    </row>
    <row r="60">
      <c r="A60" s="202">
        <v>45855.0</v>
      </c>
      <c r="B60" s="198" t="s">
        <v>134</v>
      </c>
      <c r="C60" s="199">
        <v>40950.0</v>
      </c>
      <c r="D60" s="198" t="s">
        <v>134</v>
      </c>
      <c r="E60" s="201" t="s">
        <v>173</v>
      </c>
    </row>
    <row r="61">
      <c r="A61" s="202">
        <v>45855.0</v>
      </c>
      <c r="B61" s="198" t="s">
        <v>134</v>
      </c>
      <c r="C61" s="199">
        <v>38037.0</v>
      </c>
      <c r="D61" s="198" t="s">
        <v>134</v>
      </c>
      <c r="E61" s="201" t="s">
        <v>173</v>
      </c>
    </row>
    <row r="62">
      <c r="A62" s="202">
        <v>45855.0</v>
      </c>
      <c r="B62" s="198" t="s">
        <v>16593</v>
      </c>
      <c r="C62" s="199">
        <v>7055.0</v>
      </c>
      <c r="D62" s="198" t="s">
        <v>129</v>
      </c>
      <c r="E62" s="201" t="s">
        <v>177</v>
      </c>
    </row>
    <row r="63">
      <c r="A63" s="202">
        <v>45855.0</v>
      </c>
      <c r="B63" s="198" t="s">
        <v>16585</v>
      </c>
      <c r="C63" s="199">
        <v>10800.0</v>
      </c>
      <c r="D63" s="198" t="s">
        <v>164</v>
      </c>
      <c r="E63" s="201" t="s">
        <v>179</v>
      </c>
    </row>
    <row r="64">
      <c r="A64" s="202">
        <v>45855.0</v>
      </c>
      <c r="B64" s="198" t="s">
        <v>16594</v>
      </c>
      <c r="C64" s="199">
        <v>13708.0</v>
      </c>
      <c r="D64" s="198" t="s">
        <v>129</v>
      </c>
      <c r="E64" s="201" t="s">
        <v>177</v>
      </c>
    </row>
    <row r="65">
      <c r="A65" s="202">
        <v>45856.0</v>
      </c>
      <c r="B65" s="198" t="s">
        <v>16601</v>
      </c>
      <c r="C65" s="199">
        <v>1424.0</v>
      </c>
      <c r="D65" s="198" t="s">
        <v>132</v>
      </c>
      <c r="E65" s="201" t="s">
        <v>173</v>
      </c>
    </row>
    <row r="66">
      <c r="A66" s="202">
        <v>45856.0</v>
      </c>
      <c r="B66" s="198" t="s">
        <v>16598</v>
      </c>
      <c r="C66" s="199">
        <v>16500.0</v>
      </c>
      <c r="D66" s="198" t="s">
        <v>132</v>
      </c>
      <c r="E66" s="201" t="s">
        <v>179</v>
      </c>
    </row>
    <row r="67">
      <c r="A67" s="202">
        <v>45856.0</v>
      </c>
      <c r="B67" s="198" t="s">
        <v>142</v>
      </c>
      <c r="C67" s="199">
        <v>3550.0</v>
      </c>
      <c r="D67" s="198" t="s">
        <v>142</v>
      </c>
      <c r="E67" s="201" t="s">
        <v>177</v>
      </c>
    </row>
    <row r="68">
      <c r="A68" s="202">
        <v>45856.0</v>
      </c>
      <c r="B68" s="198" t="s">
        <v>157</v>
      </c>
      <c r="C68" s="199">
        <v>4365.0</v>
      </c>
      <c r="D68" s="198" t="s">
        <v>157</v>
      </c>
      <c r="E68" s="201" t="s">
        <v>179</v>
      </c>
    </row>
    <row r="69">
      <c r="A69" s="202">
        <v>45857.0</v>
      </c>
      <c r="B69" s="198" t="s">
        <v>169</v>
      </c>
      <c r="C69" s="199">
        <v>7497.0</v>
      </c>
      <c r="D69" s="198" t="s">
        <v>169</v>
      </c>
      <c r="E69" s="201" t="s">
        <v>173</v>
      </c>
    </row>
    <row r="70">
      <c r="A70" s="202">
        <v>45857.0</v>
      </c>
      <c r="B70" s="198" t="s">
        <v>169</v>
      </c>
      <c r="C70" s="199">
        <v>7497.0</v>
      </c>
      <c r="D70" s="198" t="s">
        <v>169</v>
      </c>
      <c r="E70" s="201" t="s">
        <v>173</v>
      </c>
    </row>
    <row r="71">
      <c r="A71" s="202">
        <v>45859.0</v>
      </c>
      <c r="B71" s="198" t="s">
        <v>16586</v>
      </c>
      <c r="C71" s="199">
        <v>2300.0</v>
      </c>
      <c r="D71" s="198" t="s">
        <v>171</v>
      </c>
      <c r="E71" s="201" t="s">
        <v>179</v>
      </c>
    </row>
    <row r="72">
      <c r="A72" s="202">
        <v>45859.0</v>
      </c>
      <c r="B72" s="198" t="s">
        <v>16579</v>
      </c>
      <c r="C72" s="199">
        <v>30501.0</v>
      </c>
      <c r="D72" s="198" t="s">
        <v>140</v>
      </c>
      <c r="E72" s="201" t="s">
        <v>179</v>
      </c>
    </row>
    <row r="73">
      <c r="A73" s="202">
        <v>45859.0</v>
      </c>
      <c r="B73" s="198" t="s">
        <v>16585</v>
      </c>
      <c r="C73" s="199">
        <v>2700.0</v>
      </c>
      <c r="D73" s="198" t="s">
        <v>164</v>
      </c>
      <c r="E73" s="201" t="s">
        <v>179</v>
      </c>
    </row>
    <row r="74">
      <c r="A74" s="202">
        <v>45860.0</v>
      </c>
      <c r="B74" s="198" t="s">
        <v>16589</v>
      </c>
      <c r="C74" s="199">
        <v>14000.0</v>
      </c>
      <c r="D74" s="198" t="s">
        <v>145</v>
      </c>
      <c r="E74" s="201" t="s">
        <v>179</v>
      </c>
    </row>
    <row r="75">
      <c r="A75" s="202">
        <v>45861.0</v>
      </c>
      <c r="B75" s="198" t="s">
        <v>16578</v>
      </c>
      <c r="C75" s="199">
        <v>13889.0</v>
      </c>
      <c r="D75" s="198" t="s">
        <v>147</v>
      </c>
      <c r="E75" s="201" t="s">
        <v>173</v>
      </c>
    </row>
    <row r="76">
      <c r="A76" s="202">
        <v>45862.0</v>
      </c>
      <c r="B76" s="198" t="s">
        <v>159</v>
      </c>
      <c r="C76" s="199">
        <v>7253.0</v>
      </c>
      <c r="D76" s="198" t="s">
        <v>159</v>
      </c>
      <c r="E76" s="201" t="s">
        <v>173</v>
      </c>
    </row>
    <row r="77">
      <c r="A77" s="202">
        <v>45865.0</v>
      </c>
      <c r="B77" s="198" t="s">
        <v>16588</v>
      </c>
      <c r="C77" s="199">
        <v>48389.0</v>
      </c>
      <c r="D77" s="198" t="s">
        <v>11</v>
      </c>
      <c r="E77" s="201" t="s">
        <v>173</v>
      </c>
    </row>
    <row r="78">
      <c r="A78" s="202">
        <v>45868.0</v>
      </c>
      <c r="B78" s="198" t="s">
        <v>16581</v>
      </c>
      <c r="C78" s="199">
        <v>42103.0</v>
      </c>
      <c r="D78" s="198" t="s">
        <v>129</v>
      </c>
      <c r="E78" s="201" t="s">
        <v>173</v>
      </c>
    </row>
  </sheetData>
  <dataValidations>
    <dataValidation type="custom" allowBlank="1" showDropDown="1" sqref="A2:A78">
      <formula1>OR(NOT(ISERROR(DATEVALUE(A2))), AND(ISNUMBER(A2), LEFT(CELL("format", A2))="D"))</formula1>
    </dataValidation>
    <dataValidation type="custom" allowBlank="1" showDropDown="1" sqref="C2:C78">
      <formula1>AND(ISNUMBER(C2),(NOT(OR(NOT(ISERROR(DATEVALUE(C2))), AND(ISNUMBER(C2), LEFT(CELL("format", C2))="D")))))</formula1>
    </dataValidation>
    <dataValidation allowBlank="1" showDropDown="1" sqref="B2:B78 D2:E78"/>
  </dataValidations>
  <drawing r:id="rId1"/>
  <tableParts count="1">
    <tablePart r:id="rId3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3.25"/>
    <col customWidth="1" min="3" max="3" width="13.13"/>
    <col customWidth="1" min="4" max="4" width="19.38"/>
    <col customWidth="1" min="5" max="5" width="21.38"/>
  </cols>
  <sheetData>
    <row r="1">
      <c r="A1" s="196" t="s">
        <v>0</v>
      </c>
      <c r="B1" s="196" t="s">
        <v>1</v>
      </c>
      <c r="C1" s="196" t="s">
        <v>2</v>
      </c>
      <c r="D1" s="196" t="s">
        <v>3</v>
      </c>
      <c r="E1" s="196" t="s">
        <v>4</v>
      </c>
    </row>
    <row r="2">
      <c r="A2" s="202">
        <v>45870.0</v>
      </c>
      <c r="B2" s="198" t="s">
        <v>16579</v>
      </c>
      <c r="C2" s="199">
        <v>30000.0</v>
      </c>
      <c r="D2" s="198" t="s">
        <v>140</v>
      </c>
      <c r="E2" s="201" t="s">
        <v>179</v>
      </c>
    </row>
    <row r="3">
      <c r="A3" s="202">
        <v>45870.0</v>
      </c>
      <c r="B3" s="198" t="s">
        <v>157</v>
      </c>
      <c r="C3" s="199">
        <v>24500.0</v>
      </c>
      <c r="D3" s="198" t="s">
        <v>157</v>
      </c>
      <c r="E3" s="201" t="s">
        <v>177</v>
      </c>
    </row>
    <row r="4">
      <c r="A4" s="202">
        <v>45870.0</v>
      </c>
      <c r="B4" s="198" t="s">
        <v>16590</v>
      </c>
      <c r="C4" s="199">
        <v>4570.0</v>
      </c>
      <c r="D4" s="198" t="s">
        <v>145</v>
      </c>
      <c r="E4" s="201" t="s">
        <v>177</v>
      </c>
    </row>
    <row r="5">
      <c r="A5" s="202">
        <v>45871.0</v>
      </c>
      <c r="B5" s="198" t="s">
        <v>16592</v>
      </c>
      <c r="C5" s="199">
        <v>10300.0</v>
      </c>
      <c r="D5" s="198" t="s">
        <v>129</v>
      </c>
      <c r="E5" s="201" t="s">
        <v>179</v>
      </c>
    </row>
    <row r="6">
      <c r="A6" s="202">
        <v>45871.0</v>
      </c>
      <c r="B6" s="198" t="s">
        <v>11</v>
      </c>
      <c r="C6" s="199">
        <v>1800.0</v>
      </c>
      <c r="D6" s="198" t="s">
        <v>11</v>
      </c>
      <c r="E6" s="201" t="s">
        <v>173</v>
      </c>
    </row>
    <row r="7">
      <c r="A7" s="202">
        <v>45871.0</v>
      </c>
      <c r="B7" s="198" t="s">
        <v>11</v>
      </c>
      <c r="C7" s="199">
        <v>20000.0</v>
      </c>
      <c r="D7" s="198" t="s">
        <v>11</v>
      </c>
      <c r="E7" s="201" t="s">
        <v>173</v>
      </c>
    </row>
    <row r="8">
      <c r="A8" s="202">
        <v>45871.0</v>
      </c>
      <c r="B8" s="198" t="s">
        <v>11</v>
      </c>
      <c r="C8" s="199">
        <v>3000.0</v>
      </c>
      <c r="D8" s="198" t="s">
        <v>11</v>
      </c>
      <c r="E8" s="201" t="s">
        <v>173</v>
      </c>
    </row>
    <row r="9">
      <c r="A9" s="202">
        <v>45872.0</v>
      </c>
      <c r="B9" s="198" t="s">
        <v>16585</v>
      </c>
      <c r="C9" s="199">
        <v>9100.0</v>
      </c>
      <c r="D9" s="198" t="s">
        <v>164</v>
      </c>
      <c r="E9" s="201" t="s">
        <v>179</v>
      </c>
    </row>
    <row r="10">
      <c r="A10" s="202">
        <v>45872.0</v>
      </c>
      <c r="B10" s="198" t="s">
        <v>142</v>
      </c>
      <c r="C10" s="199">
        <v>5985.0</v>
      </c>
      <c r="D10" s="198" t="s">
        <v>142</v>
      </c>
      <c r="E10" s="201" t="s">
        <v>179</v>
      </c>
    </row>
    <row r="11">
      <c r="A11" s="202">
        <v>45872.0</v>
      </c>
      <c r="B11" s="198" t="s">
        <v>16599</v>
      </c>
      <c r="C11" s="199">
        <v>517689.0</v>
      </c>
      <c r="D11" s="198" t="s">
        <v>162</v>
      </c>
      <c r="E11" s="201" t="s">
        <v>179</v>
      </c>
    </row>
    <row r="12">
      <c r="A12" s="202">
        <v>45873.0</v>
      </c>
      <c r="B12" s="198" t="s">
        <v>142</v>
      </c>
      <c r="C12" s="199">
        <v>5000.0</v>
      </c>
      <c r="D12" s="198" t="s">
        <v>142</v>
      </c>
      <c r="E12" s="201" t="s">
        <v>177</v>
      </c>
    </row>
    <row r="13">
      <c r="A13" s="202">
        <v>45873.0</v>
      </c>
      <c r="B13" s="198" t="s">
        <v>142</v>
      </c>
      <c r="C13" s="199">
        <v>6588.0</v>
      </c>
      <c r="D13" s="198" t="s">
        <v>142</v>
      </c>
      <c r="E13" s="201" t="s">
        <v>177</v>
      </c>
    </row>
    <row r="14">
      <c r="A14" s="202">
        <v>45873.0</v>
      </c>
      <c r="B14" s="198" t="s">
        <v>16580</v>
      </c>
      <c r="C14" s="199">
        <v>67885.0</v>
      </c>
      <c r="D14" s="198" t="s">
        <v>147</v>
      </c>
      <c r="E14" s="201" t="s">
        <v>173</v>
      </c>
    </row>
    <row r="15">
      <c r="A15" s="202">
        <v>45873.0</v>
      </c>
      <c r="B15" s="198" t="s">
        <v>16601</v>
      </c>
      <c r="C15" s="199">
        <v>3450.0</v>
      </c>
      <c r="D15" s="198" t="s">
        <v>132</v>
      </c>
      <c r="E15" s="201" t="s">
        <v>179</v>
      </c>
    </row>
    <row r="16">
      <c r="A16" s="202">
        <v>45873.0</v>
      </c>
      <c r="B16" s="198" t="s">
        <v>16601</v>
      </c>
      <c r="C16" s="199">
        <v>43787.0</v>
      </c>
      <c r="D16" s="198" t="s">
        <v>132</v>
      </c>
      <c r="E16" s="201" t="s">
        <v>173</v>
      </c>
    </row>
    <row r="17">
      <c r="A17" s="202">
        <v>45874.0</v>
      </c>
      <c r="B17" s="198" t="s">
        <v>159</v>
      </c>
      <c r="C17" s="199">
        <v>13000.0</v>
      </c>
      <c r="D17" s="198" t="s">
        <v>159</v>
      </c>
      <c r="E17" s="201" t="s">
        <v>179</v>
      </c>
    </row>
    <row r="18">
      <c r="A18" s="202">
        <v>45874.0</v>
      </c>
      <c r="B18" s="198" t="s">
        <v>16580</v>
      </c>
      <c r="C18" s="199">
        <v>5500.0</v>
      </c>
      <c r="D18" s="198" t="s">
        <v>147</v>
      </c>
      <c r="E18" s="201" t="s">
        <v>177</v>
      </c>
    </row>
    <row r="19">
      <c r="A19" s="202">
        <v>45875.0</v>
      </c>
      <c r="B19" s="198" t="s">
        <v>16607</v>
      </c>
      <c r="C19" s="199">
        <v>31731.0</v>
      </c>
      <c r="D19" s="198" t="s">
        <v>132</v>
      </c>
      <c r="E19" s="201" t="s">
        <v>177</v>
      </c>
    </row>
    <row r="20">
      <c r="A20" s="202">
        <v>45875.0</v>
      </c>
      <c r="B20" s="198" t="s">
        <v>16582</v>
      </c>
      <c r="C20" s="199">
        <v>10650.0</v>
      </c>
      <c r="D20" s="198" t="s">
        <v>129</v>
      </c>
      <c r="E20" s="201" t="s">
        <v>177</v>
      </c>
    </row>
    <row r="21">
      <c r="A21" s="202">
        <v>45876.0</v>
      </c>
      <c r="B21" s="198" t="s">
        <v>16586</v>
      </c>
      <c r="C21" s="199">
        <v>11400.0</v>
      </c>
      <c r="D21" s="198" t="s">
        <v>171</v>
      </c>
      <c r="E21" s="201" t="s">
        <v>179</v>
      </c>
    </row>
    <row r="22">
      <c r="A22" s="202">
        <v>45876.0</v>
      </c>
      <c r="B22" s="198" t="s">
        <v>16601</v>
      </c>
      <c r="C22" s="199">
        <v>8489.0</v>
      </c>
      <c r="D22" s="198" t="s">
        <v>132</v>
      </c>
      <c r="E22" s="201" t="s">
        <v>177</v>
      </c>
    </row>
    <row r="23">
      <c r="A23" s="202">
        <v>45877.0</v>
      </c>
      <c r="B23" s="198" t="s">
        <v>11</v>
      </c>
      <c r="C23" s="199">
        <v>1500.0</v>
      </c>
      <c r="D23" s="198" t="s">
        <v>11</v>
      </c>
      <c r="E23" s="201" t="s">
        <v>173</v>
      </c>
    </row>
    <row r="24">
      <c r="A24" s="202">
        <v>45877.0</v>
      </c>
      <c r="B24" s="198" t="s">
        <v>16585</v>
      </c>
      <c r="C24" s="199">
        <v>3000.0</v>
      </c>
      <c r="D24" s="198" t="s">
        <v>164</v>
      </c>
      <c r="E24" s="201" t="s">
        <v>179</v>
      </c>
    </row>
    <row r="25">
      <c r="A25" s="202">
        <v>45877.0</v>
      </c>
      <c r="B25" s="198" t="s">
        <v>16590</v>
      </c>
      <c r="C25" s="199">
        <v>2500.0</v>
      </c>
      <c r="D25" s="198" t="s">
        <v>145</v>
      </c>
      <c r="E25" s="201" t="s">
        <v>177</v>
      </c>
    </row>
    <row r="26">
      <c r="A26" s="202">
        <v>45877.0</v>
      </c>
      <c r="B26" s="198" t="s">
        <v>16586</v>
      </c>
      <c r="C26" s="199">
        <v>10000.0</v>
      </c>
      <c r="D26" s="198" t="s">
        <v>171</v>
      </c>
      <c r="E26" s="201" t="s">
        <v>179</v>
      </c>
    </row>
    <row r="27">
      <c r="A27" s="202">
        <v>45878.0</v>
      </c>
      <c r="B27" s="198" t="s">
        <v>142</v>
      </c>
      <c r="C27" s="199">
        <v>1881.0</v>
      </c>
      <c r="D27" s="198" t="s">
        <v>142</v>
      </c>
      <c r="E27" s="201" t="s">
        <v>179</v>
      </c>
    </row>
    <row r="28">
      <c r="A28" s="202">
        <v>45878.0</v>
      </c>
      <c r="B28" s="198" t="s">
        <v>16590</v>
      </c>
      <c r="C28" s="199">
        <v>18589.0</v>
      </c>
      <c r="D28" s="198" t="s">
        <v>155</v>
      </c>
      <c r="E28" s="201" t="s">
        <v>179</v>
      </c>
    </row>
    <row r="29">
      <c r="A29" s="202">
        <v>45879.0</v>
      </c>
      <c r="B29" s="198" t="s">
        <v>142</v>
      </c>
      <c r="C29" s="199">
        <v>3500.0</v>
      </c>
      <c r="D29" s="198" t="s">
        <v>142</v>
      </c>
      <c r="E29" s="201" t="s">
        <v>179</v>
      </c>
    </row>
    <row r="30">
      <c r="A30" s="202">
        <v>45879.0</v>
      </c>
      <c r="B30" s="198" t="s">
        <v>142</v>
      </c>
      <c r="C30" s="199">
        <v>1800.0</v>
      </c>
      <c r="D30" s="198" t="s">
        <v>164</v>
      </c>
      <c r="E30" s="201" t="s">
        <v>179</v>
      </c>
    </row>
    <row r="31">
      <c r="A31" s="202">
        <v>45880.0</v>
      </c>
      <c r="B31" s="198" t="s">
        <v>142</v>
      </c>
      <c r="C31" s="199">
        <v>2717.0</v>
      </c>
      <c r="D31" s="198" t="s">
        <v>142</v>
      </c>
      <c r="E31" s="201" t="s">
        <v>179</v>
      </c>
    </row>
    <row r="32">
      <c r="A32" s="202">
        <v>45880.0</v>
      </c>
      <c r="B32" s="198" t="s">
        <v>16590</v>
      </c>
      <c r="C32" s="199">
        <v>3291.0</v>
      </c>
      <c r="D32" s="198" t="s">
        <v>145</v>
      </c>
      <c r="E32" s="201" t="s">
        <v>179</v>
      </c>
    </row>
    <row r="33">
      <c r="A33" s="202">
        <v>45881.0</v>
      </c>
      <c r="B33" s="198" t="s">
        <v>16585</v>
      </c>
      <c r="C33" s="199">
        <v>9400.0</v>
      </c>
      <c r="D33" s="198" t="s">
        <v>164</v>
      </c>
      <c r="E33" s="201" t="s">
        <v>177</v>
      </c>
    </row>
    <row r="34">
      <c r="A34" s="202">
        <v>45881.0</v>
      </c>
      <c r="B34" s="198" t="s">
        <v>16585</v>
      </c>
      <c r="C34" s="199">
        <v>8400.0</v>
      </c>
      <c r="D34" s="198" t="s">
        <v>164</v>
      </c>
      <c r="E34" s="201" t="s">
        <v>179</v>
      </c>
    </row>
    <row r="35">
      <c r="A35" s="202">
        <v>45882.0</v>
      </c>
      <c r="B35" s="198" t="s">
        <v>142</v>
      </c>
      <c r="C35" s="199">
        <v>2249.0</v>
      </c>
      <c r="D35" s="198" t="s">
        <v>142</v>
      </c>
      <c r="E35" s="201" t="s">
        <v>177</v>
      </c>
    </row>
    <row r="36">
      <c r="A36" s="202">
        <v>45882.0</v>
      </c>
      <c r="B36" s="198" t="s">
        <v>142</v>
      </c>
      <c r="C36" s="199">
        <v>5400.0</v>
      </c>
      <c r="D36" s="198" t="s">
        <v>152</v>
      </c>
      <c r="E36" s="201" t="s">
        <v>179</v>
      </c>
    </row>
    <row r="37">
      <c r="A37" s="202">
        <v>45883.0</v>
      </c>
      <c r="B37" s="198" t="s">
        <v>142</v>
      </c>
      <c r="C37" s="199">
        <v>3050.0</v>
      </c>
      <c r="D37" s="198" t="s">
        <v>142</v>
      </c>
      <c r="E37" s="201" t="s">
        <v>177</v>
      </c>
    </row>
    <row r="38">
      <c r="A38" s="202">
        <v>45883.0</v>
      </c>
      <c r="B38" s="198" t="s">
        <v>142</v>
      </c>
      <c r="C38" s="199">
        <v>6500.0</v>
      </c>
      <c r="D38" s="198" t="s">
        <v>142</v>
      </c>
      <c r="E38" s="201" t="s">
        <v>179</v>
      </c>
    </row>
    <row r="39">
      <c r="A39" s="202">
        <v>45884.0</v>
      </c>
      <c r="B39" s="198" t="s">
        <v>16585</v>
      </c>
      <c r="C39" s="199">
        <v>10159.0</v>
      </c>
      <c r="D39" s="198" t="s">
        <v>164</v>
      </c>
      <c r="E39" s="201" t="s">
        <v>179</v>
      </c>
    </row>
    <row r="40">
      <c r="A40" s="202">
        <v>45884.0</v>
      </c>
      <c r="B40" s="198" t="s">
        <v>16585</v>
      </c>
      <c r="C40" s="199">
        <v>18912.0</v>
      </c>
      <c r="D40" s="198" t="s">
        <v>164</v>
      </c>
      <c r="E40" s="201" t="s">
        <v>179</v>
      </c>
    </row>
    <row r="41">
      <c r="A41" s="202">
        <v>45884.0</v>
      </c>
      <c r="B41" s="198" t="s">
        <v>16580</v>
      </c>
      <c r="C41" s="199">
        <v>5900.0</v>
      </c>
      <c r="D41" s="198" t="s">
        <v>155</v>
      </c>
      <c r="E41" s="201" t="s">
        <v>179</v>
      </c>
    </row>
    <row r="42">
      <c r="A42" s="202">
        <v>45884.0</v>
      </c>
      <c r="B42" s="198" t="s">
        <v>16580</v>
      </c>
      <c r="C42" s="199">
        <v>2101.0</v>
      </c>
      <c r="D42" s="198" t="s">
        <v>147</v>
      </c>
      <c r="E42" s="201" t="s">
        <v>177</v>
      </c>
    </row>
    <row r="43">
      <c r="A43" s="202">
        <v>45884.0</v>
      </c>
      <c r="B43" s="198" t="s">
        <v>16578</v>
      </c>
      <c r="C43" s="199">
        <v>5965.0</v>
      </c>
      <c r="D43" s="198" t="s">
        <v>147</v>
      </c>
      <c r="E43" s="201" t="s">
        <v>173</v>
      </c>
    </row>
    <row r="44">
      <c r="A44" s="202">
        <v>45885.0</v>
      </c>
      <c r="B44" s="198" t="s">
        <v>142</v>
      </c>
      <c r="C44" s="199">
        <v>5250.0</v>
      </c>
      <c r="D44" s="198" t="s">
        <v>152</v>
      </c>
      <c r="E44" s="201" t="s">
        <v>179</v>
      </c>
    </row>
    <row r="45">
      <c r="A45" s="202">
        <v>45885.0</v>
      </c>
      <c r="B45" s="198" t="s">
        <v>16591</v>
      </c>
      <c r="C45" s="199">
        <v>7000.0</v>
      </c>
      <c r="D45" s="198" t="s">
        <v>132</v>
      </c>
      <c r="E45" s="201" t="s">
        <v>179</v>
      </c>
    </row>
    <row r="46">
      <c r="A46" s="202">
        <v>45885.0</v>
      </c>
      <c r="B46" s="198" t="s">
        <v>155</v>
      </c>
      <c r="C46" s="199">
        <v>330000.0</v>
      </c>
      <c r="D46" s="198" t="s">
        <v>155</v>
      </c>
      <c r="E46" s="201" t="s">
        <v>179</v>
      </c>
    </row>
    <row r="47">
      <c r="A47" s="202">
        <v>45886.0</v>
      </c>
      <c r="B47" s="198" t="s">
        <v>16593</v>
      </c>
      <c r="C47" s="199">
        <v>7055.0</v>
      </c>
      <c r="D47" s="198" t="s">
        <v>129</v>
      </c>
      <c r="E47" s="201" t="s">
        <v>177</v>
      </c>
    </row>
    <row r="48">
      <c r="A48" s="202">
        <v>45886.0</v>
      </c>
      <c r="B48" s="198" t="s">
        <v>16594</v>
      </c>
      <c r="C48" s="199">
        <v>13708.0</v>
      </c>
      <c r="D48" s="198" t="s">
        <v>129</v>
      </c>
      <c r="E48" s="201" t="s">
        <v>177</v>
      </c>
    </row>
    <row r="49">
      <c r="A49" s="202">
        <v>45886.0</v>
      </c>
      <c r="B49" s="198" t="s">
        <v>134</v>
      </c>
      <c r="C49" s="199">
        <v>40950.0</v>
      </c>
      <c r="D49" s="198" t="s">
        <v>134</v>
      </c>
      <c r="E49" s="201" t="s">
        <v>173</v>
      </c>
    </row>
    <row r="50">
      <c r="A50" s="202">
        <v>45886.0</v>
      </c>
      <c r="B50" s="198" t="s">
        <v>134</v>
      </c>
      <c r="C50" s="199">
        <v>38037.0</v>
      </c>
      <c r="D50" s="198" t="s">
        <v>134</v>
      </c>
      <c r="E50" s="201" t="s">
        <v>173</v>
      </c>
    </row>
    <row r="51">
      <c r="A51" s="202">
        <v>45887.0</v>
      </c>
      <c r="B51" s="198" t="s">
        <v>16598</v>
      </c>
      <c r="C51" s="199">
        <v>16500.0</v>
      </c>
      <c r="D51" s="198" t="s">
        <v>132</v>
      </c>
      <c r="E51" s="201" t="s">
        <v>179</v>
      </c>
    </row>
    <row r="52">
      <c r="A52" s="202">
        <v>45887.0</v>
      </c>
      <c r="B52" s="198" t="s">
        <v>142</v>
      </c>
      <c r="C52" s="199">
        <v>3550.0</v>
      </c>
      <c r="D52" s="198" t="s">
        <v>142</v>
      </c>
      <c r="E52" s="201" t="s">
        <v>177</v>
      </c>
    </row>
    <row r="53">
      <c r="A53" s="202">
        <v>45887.0</v>
      </c>
      <c r="B53" s="198" t="s">
        <v>157</v>
      </c>
      <c r="C53" s="199">
        <v>4365.0</v>
      </c>
      <c r="D53" s="198" t="s">
        <v>157</v>
      </c>
      <c r="E53" s="201" t="s">
        <v>179</v>
      </c>
    </row>
    <row r="54">
      <c r="A54" s="202">
        <v>45887.0</v>
      </c>
      <c r="B54" s="198" t="s">
        <v>16601</v>
      </c>
      <c r="C54" s="199">
        <v>1424.0</v>
      </c>
      <c r="D54" s="198" t="s">
        <v>132</v>
      </c>
      <c r="E54" s="201" t="s">
        <v>173</v>
      </c>
    </row>
    <row r="55">
      <c r="A55" s="202">
        <v>45888.0</v>
      </c>
      <c r="B55" s="198" t="s">
        <v>169</v>
      </c>
      <c r="C55" s="199">
        <v>7497.0</v>
      </c>
      <c r="D55" s="198" t="s">
        <v>169</v>
      </c>
      <c r="E55" s="201" t="s">
        <v>173</v>
      </c>
    </row>
    <row r="56">
      <c r="A56" s="202">
        <v>45888.0</v>
      </c>
      <c r="B56" s="198" t="s">
        <v>152</v>
      </c>
      <c r="C56" s="199">
        <v>5000.0</v>
      </c>
      <c r="D56" s="198" t="s">
        <v>152</v>
      </c>
      <c r="E56" s="201" t="s">
        <v>179</v>
      </c>
    </row>
    <row r="57">
      <c r="A57" s="202">
        <v>45888.0</v>
      </c>
      <c r="B57" s="198" t="s">
        <v>157</v>
      </c>
      <c r="C57" s="199">
        <v>15000.0</v>
      </c>
      <c r="D57" s="198" t="s">
        <v>157</v>
      </c>
      <c r="E57" s="201" t="s">
        <v>179</v>
      </c>
    </row>
    <row r="58">
      <c r="A58" s="202">
        <v>45889.0</v>
      </c>
      <c r="B58" s="198" t="s">
        <v>16590</v>
      </c>
      <c r="C58" s="199">
        <v>3500.0</v>
      </c>
      <c r="D58" s="198" t="s">
        <v>145</v>
      </c>
      <c r="E58" s="201" t="s">
        <v>177</v>
      </c>
    </row>
    <row r="59">
      <c r="A59" s="202">
        <v>45889.0</v>
      </c>
      <c r="B59" s="198" t="s">
        <v>142</v>
      </c>
      <c r="C59" s="199">
        <v>1250.0</v>
      </c>
      <c r="D59" s="198" t="s">
        <v>142</v>
      </c>
      <c r="E59" s="201" t="s">
        <v>177</v>
      </c>
    </row>
    <row r="60">
      <c r="A60" s="202">
        <v>45890.0</v>
      </c>
      <c r="B60" s="198" t="s">
        <v>16579</v>
      </c>
      <c r="C60" s="199">
        <v>30501.0</v>
      </c>
      <c r="D60" s="198" t="s">
        <v>140</v>
      </c>
      <c r="E60" s="201" t="s">
        <v>179</v>
      </c>
    </row>
    <row r="61">
      <c r="A61" s="202">
        <v>45890.0</v>
      </c>
      <c r="B61" s="198" t="s">
        <v>16586</v>
      </c>
      <c r="C61" s="199">
        <v>2300.0</v>
      </c>
      <c r="D61" s="198" t="s">
        <v>171</v>
      </c>
      <c r="E61" s="201" t="s">
        <v>179</v>
      </c>
    </row>
    <row r="62">
      <c r="A62" s="202">
        <v>45891.0</v>
      </c>
      <c r="B62" s="198" t="s">
        <v>16585</v>
      </c>
      <c r="C62" s="199">
        <v>10800.0</v>
      </c>
      <c r="D62" s="198" t="s">
        <v>164</v>
      </c>
      <c r="E62" s="201" t="s">
        <v>179</v>
      </c>
    </row>
    <row r="63">
      <c r="A63" s="202">
        <v>45891.0</v>
      </c>
      <c r="B63" s="198" t="s">
        <v>16589</v>
      </c>
      <c r="C63" s="199">
        <v>14000.0</v>
      </c>
      <c r="D63" s="198" t="s">
        <v>145</v>
      </c>
      <c r="E63" s="201" t="s">
        <v>179</v>
      </c>
    </row>
    <row r="64">
      <c r="A64" s="202">
        <v>45891.0</v>
      </c>
      <c r="B64" s="198" t="s">
        <v>142</v>
      </c>
      <c r="C64" s="199">
        <v>60347.0</v>
      </c>
      <c r="D64" s="198" t="s">
        <v>142</v>
      </c>
      <c r="E64" s="201" t="s">
        <v>177</v>
      </c>
    </row>
    <row r="65">
      <c r="A65" s="202">
        <v>45891.0</v>
      </c>
      <c r="B65" s="198" t="s">
        <v>16579</v>
      </c>
      <c r="C65" s="199">
        <v>24900.0</v>
      </c>
      <c r="D65" s="198" t="s">
        <v>140</v>
      </c>
      <c r="E65" s="201" t="s">
        <v>175</v>
      </c>
    </row>
    <row r="66">
      <c r="A66" s="202">
        <v>45891.0</v>
      </c>
      <c r="B66" s="198" t="s">
        <v>16579</v>
      </c>
      <c r="C66" s="199">
        <v>25000.0</v>
      </c>
      <c r="D66" s="198" t="s">
        <v>140</v>
      </c>
      <c r="E66" s="201" t="s">
        <v>179</v>
      </c>
    </row>
    <row r="67">
      <c r="A67" s="202">
        <v>45892.0</v>
      </c>
      <c r="B67" s="198" t="s">
        <v>16585</v>
      </c>
      <c r="C67" s="199">
        <v>1950.0</v>
      </c>
      <c r="D67" s="198" t="s">
        <v>164</v>
      </c>
      <c r="E67" s="201" t="s">
        <v>179</v>
      </c>
    </row>
    <row r="68">
      <c r="A68" s="202">
        <v>45892.0</v>
      </c>
      <c r="B68" s="198" t="s">
        <v>16578</v>
      </c>
      <c r="C68" s="199">
        <v>13889.0</v>
      </c>
      <c r="D68" s="198" t="s">
        <v>147</v>
      </c>
      <c r="E68" s="201" t="s">
        <v>173</v>
      </c>
    </row>
    <row r="69">
      <c r="A69" s="202">
        <v>45893.0</v>
      </c>
      <c r="B69" s="198" t="s">
        <v>16585</v>
      </c>
      <c r="C69" s="199">
        <v>2800.0</v>
      </c>
      <c r="D69" s="198" t="s">
        <v>164</v>
      </c>
      <c r="E69" s="201" t="s">
        <v>179</v>
      </c>
    </row>
    <row r="70">
      <c r="A70" s="202">
        <v>45893.0</v>
      </c>
      <c r="B70" s="198" t="s">
        <v>169</v>
      </c>
      <c r="C70" s="199">
        <v>7549.0</v>
      </c>
      <c r="D70" s="198" t="s">
        <v>169</v>
      </c>
      <c r="E70" s="201" t="s">
        <v>173</v>
      </c>
    </row>
    <row r="71">
      <c r="A71" s="202">
        <v>45894.0</v>
      </c>
      <c r="B71" s="198" t="s">
        <v>169</v>
      </c>
      <c r="C71" s="199">
        <v>2491.0</v>
      </c>
      <c r="D71" s="198" t="s">
        <v>169</v>
      </c>
      <c r="E71" s="201" t="s">
        <v>173</v>
      </c>
    </row>
    <row r="72">
      <c r="A72" s="202">
        <v>45895.0</v>
      </c>
      <c r="B72" s="198" t="s">
        <v>16581</v>
      </c>
      <c r="C72" s="199">
        <v>42103.0</v>
      </c>
      <c r="D72" s="198" t="s">
        <v>129</v>
      </c>
      <c r="E72" s="201" t="s">
        <v>173</v>
      </c>
    </row>
    <row r="73">
      <c r="A73" s="202">
        <v>45896.0</v>
      </c>
      <c r="B73" s="198" t="s">
        <v>16579</v>
      </c>
      <c r="C73" s="199">
        <v>11667.0</v>
      </c>
      <c r="D73" s="198" t="s">
        <v>140</v>
      </c>
      <c r="E73" s="201" t="s">
        <v>173</v>
      </c>
    </row>
    <row r="74">
      <c r="A74" s="202">
        <v>45897.0</v>
      </c>
      <c r="B74" s="198" t="s">
        <v>169</v>
      </c>
      <c r="C74" s="199">
        <v>7497.0</v>
      </c>
      <c r="D74" s="198" t="s">
        <v>169</v>
      </c>
      <c r="E74" s="201" t="s">
        <v>173</v>
      </c>
    </row>
    <row r="75">
      <c r="A75" s="202">
        <v>45898.0</v>
      </c>
      <c r="B75" s="198" t="s">
        <v>16585</v>
      </c>
      <c r="C75" s="199">
        <v>2700.0</v>
      </c>
      <c r="D75" s="198" t="s">
        <v>164</v>
      </c>
      <c r="E75" s="201" t="s">
        <v>179</v>
      </c>
    </row>
    <row r="76">
      <c r="A76" s="202">
        <v>45898.0</v>
      </c>
      <c r="B76" s="198" t="s">
        <v>159</v>
      </c>
      <c r="C76" s="199">
        <v>7253.0</v>
      </c>
      <c r="D76" s="198" t="s">
        <v>159</v>
      </c>
      <c r="E76" s="201" t="s">
        <v>173</v>
      </c>
    </row>
    <row r="77">
      <c r="A77" s="202">
        <v>45899.0</v>
      </c>
      <c r="B77" s="198" t="s">
        <v>16588</v>
      </c>
      <c r="C77" s="199">
        <v>48389.0</v>
      </c>
      <c r="D77" s="198" t="s">
        <v>11</v>
      </c>
      <c r="E77" s="201" t="s">
        <v>173</v>
      </c>
    </row>
    <row r="78">
      <c r="A78" s="202">
        <v>45900.0</v>
      </c>
      <c r="B78" s="198" t="s">
        <v>142</v>
      </c>
      <c r="C78" s="199">
        <v>2000.0</v>
      </c>
      <c r="D78" s="198" t="s">
        <v>142</v>
      </c>
      <c r="E78" s="201" t="s">
        <v>177</v>
      </c>
    </row>
  </sheetData>
  <dataValidations>
    <dataValidation type="custom" allowBlank="1" showDropDown="1" sqref="A2:A78">
      <formula1>OR(NOT(ISERROR(DATEVALUE(A2))), AND(ISNUMBER(A2), LEFT(CELL("format", A2))="D"))</formula1>
    </dataValidation>
    <dataValidation type="custom" allowBlank="1" showDropDown="1" sqref="C2:C78">
      <formula1>AND(ISNUMBER(C2),(NOT(OR(NOT(ISERROR(DATEVALUE(C2))), AND(ISNUMBER(C2), LEFT(CELL("format", C2))="D")))))</formula1>
    </dataValidation>
    <dataValidation allowBlank="1" showDropDown="1" sqref="B2:B78 D2:E78"/>
  </dataValidation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0"/>
    <col customWidth="1" min="3" max="3" width="14.0"/>
    <col customWidth="1" min="4" max="4" width="20.25"/>
    <col customWidth="1" min="5" max="5" width="21.38"/>
  </cols>
  <sheetData>
    <row r="1">
      <c r="A1" s="204" t="s">
        <v>0</v>
      </c>
      <c r="B1" s="196" t="s">
        <v>1</v>
      </c>
      <c r="C1" s="196" t="s">
        <v>2</v>
      </c>
      <c r="D1" s="196" t="s">
        <v>3</v>
      </c>
      <c r="E1" s="196" t="s">
        <v>4</v>
      </c>
    </row>
    <row r="2">
      <c r="A2" s="202">
        <v>45901.0</v>
      </c>
      <c r="B2" s="198" t="s">
        <v>16579</v>
      </c>
      <c r="C2" s="199">
        <v>11667.0</v>
      </c>
      <c r="D2" s="198" t="s">
        <v>140</v>
      </c>
      <c r="E2" s="201" t="s">
        <v>173</v>
      </c>
    </row>
    <row r="3">
      <c r="A3" s="202">
        <v>45901.0</v>
      </c>
      <c r="B3" s="198" t="s">
        <v>11</v>
      </c>
      <c r="C3" s="199">
        <v>3000.0</v>
      </c>
      <c r="D3" s="198" t="s">
        <v>11</v>
      </c>
      <c r="E3" s="201" t="s">
        <v>173</v>
      </c>
    </row>
    <row r="4">
      <c r="A4" s="202">
        <v>45901.0</v>
      </c>
      <c r="B4" s="198" t="s">
        <v>11</v>
      </c>
      <c r="C4" s="199">
        <v>1800.0</v>
      </c>
      <c r="D4" s="198" t="s">
        <v>11</v>
      </c>
      <c r="E4" s="201" t="s">
        <v>173</v>
      </c>
    </row>
    <row r="5">
      <c r="A5" s="202">
        <v>45901.0</v>
      </c>
      <c r="B5" s="198" t="s">
        <v>11</v>
      </c>
      <c r="C5" s="199">
        <v>20000.0</v>
      </c>
      <c r="D5" s="198" t="s">
        <v>11</v>
      </c>
      <c r="E5" s="201" t="s">
        <v>173</v>
      </c>
    </row>
    <row r="6">
      <c r="A6" s="202">
        <v>45901.0</v>
      </c>
      <c r="B6" s="198" t="s">
        <v>16582</v>
      </c>
      <c r="C6" s="199">
        <v>10104.0</v>
      </c>
      <c r="D6" s="198" t="s">
        <v>129</v>
      </c>
      <c r="E6" s="201" t="s">
        <v>177</v>
      </c>
    </row>
    <row r="7">
      <c r="A7" s="202">
        <v>45901.0</v>
      </c>
      <c r="B7" s="198" t="s">
        <v>16598</v>
      </c>
      <c r="C7" s="199">
        <v>13500.0</v>
      </c>
      <c r="D7" s="198" t="s">
        <v>132</v>
      </c>
      <c r="E7" s="201" t="s">
        <v>177</v>
      </c>
    </row>
    <row r="8">
      <c r="A8" s="202">
        <v>45901.0</v>
      </c>
      <c r="B8" s="198" t="s">
        <v>142</v>
      </c>
      <c r="C8" s="199">
        <v>14350.0</v>
      </c>
      <c r="D8" s="198" t="s">
        <v>142</v>
      </c>
      <c r="E8" s="201" t="s">
        <v>179</v>
      </c>
    </row>
    <row r="9">
      <c r="A9" s="202">
        <v>45901.0</v>
      </c>
      <c r="B9" s="198" t="s">
        <v>16581</v>
      </c>
      <c r="C9" s="199">
        <v>31000.0</v>
      </c>
      <c r="D9" s="198" t="s">
        <v>129</v>
      </c>
      <c r="E9" s="201" t="s">
        <v>173</v>
      </c>
    </row>
    <row r="10">
      <c r="A10" s="202">
        <v>45901.0</v>
      </c>
      <c r="B10" s="198" t="s">
        <v>16602</v>
      </c>
      <c r="C10" s="199">
        <v>9960.0</v>
      </c>
      <c r="D10" s="198" t="s">
        <v>129</v>
      </c>
      <c r="E10" s="201" t="s">
        <v>177</v>
      </c>
    </row>
    <row r="11">
      <c r="A11" s="202">
        <v>45901.0</v>
      </c>
      <c r="B11" s="198" t="s">
        <v>16599</v>
      </c>
      <c r="C11" s="199">
        <v>485000.0</v>
      </c>
      <c r="D11" s="198" t="s">
        <v>162</v>
      </c>
      <c r="E11" s="201" t="s">
        <v>179</v>
      </c>
    </row>
    <row r="12">
      <c r="A12" s="202">
        <v>45901.0</v>
      </c>
      <c r="B12" s="198" t="s">
        <v>169</v>
      </c>
      <c r="C12" s="199">
        <v>7497.0</v>
      </c>
      <c r="D12" s="198" t="s">
        <v>169</v>
      </c>
      <c r="E12" s="201" t="s">
        <v>173</v>
      </c>
    </row>
    <row r="13">
      <c r="A13" s="202">
        <v>45901.0</v>
      </c>
      <c r="B13" s="198" t="s">
        <v>169</v>
      </c>
      <c r="C13" s="199">
        <v>9059.0</v>
      </c>
      <c r="D13" s="198" t="s">
        <v>169</v>
      </c>
      <c r="E13" s="201" t="s">
        <v>173</v>
      </c>
    </row>
    <row r="14">
      <c r="A14" s="202">
        <v>45901.0</v>
      </c>
      <c r="B14" s="198" t="s">
        <v>169</v>
      </c>
      <c r="C14" s="199">
        <v>3321.0</v>
      </c>
      <c r="D14" s="198" t="s">
        <v>169</v>
      </c>
      <c r="E14" s="201" t="s">
        <v>173</v>
      </c>
    </row>
    <row r="15">
      <c r="A15" s="202">
        <v>45902.0</v>
      </c>
      <c r="B15" s="198" t="s">
        <v>157</v>
      </c>
      <c r="C15" s="199">
        <v>5100.0</v>
      </c>
      <c r="D15" s="198" t="s">
        <v>157</v>
      </c>
      <c r="E15" s="201" t="s">
        <v>179</v>
      </c>
    </row>
    <row r="16">
      <c r="A16" s="202">
        <v>45903.0</v>
      </c>
      <c r="B16" s="198" t="s">
        <v>16585</v>
      </c>
      <c r="C16" s="199">
        <v>8220.0</v>
      </c>
      <c r="D16" s="198" t="s">
        <v>164</v>
      </c>
      <c r="E16" s="201" t="s">
        <v>179</v>
      </c>
    </row>
    <row r="17">
      <c r="A17" s="202">
        <v>45904.0</v>
      </c>
      <c r="B17" s="198" t="s">
        <v>142</v>
      </c>
      <c r="C17" s="199">
        <v>5000.0</v>
      </c>
      <c r="D17" s="198" t="s">
        <v>142</v>
      </c>
      <c r="E17" s="201" t="s">
        <v>177</v>
      </c>
    </row>
    <row r="18">
      <c r="A18" s="202">
        <v>45904.0</v>
      </c>
      <c r="B18" s="198" t="s">
        <v>157</v>
      </c>
      <c r="C18" s="199">
        <v>20000.0</v>
      </c>
      <c r="D18" s="198" t="s">
        <v>157</v>
      </c>
      <c r="E18" s="201" t="s">
        <v>179</v>
      </c>
    </row>
    <row r="19">
      <c r="A19" s="202">
        <v>45905.0</v>
      </c>
      <c r="B19" s="198" t="s">
        <v>16580</v>
      </c>
      <c r="C19" s="199">
        <v>5500.0</v>
      </c>
      <c r="D19" s="198" t="s">
        <v>147</v>
      </c>
      <c r="E19" s="201" t="s">
        <v>177</v>
      </c>
    </row>
    <row r="20">
      <c r="A20" s="202">
        <v>45905.0</v>
      </c>
      <c r="B20" s="198" t="s">
        <v>16601</v>
      </c>
      <c r="C20" s="199">
        <v>47237.0</v>
      </c>
      <c r="D20" s="198" t="s">
        <v>132</v>
      </c>
      <c r="E20" s="201" t="s">
        <v>173</v>
      </c>
    </row>
    <row r="21">
      <c r="A21" s="202">
        <v>45906.0</v>
      </c>
      <c r="B21" s="198" t="s">
        <v>16585</v>
      </c>
      <c r="C21" s="199">
        <v>6847.0</v>
      </c>
      <c r="D21" s="198" t="s">
        <v>164</v>
      </c>
      <c r="E21" s="201" t="s">
        <v>177</v>
      </c>
    </row>
    <row r="22">
      <c r="A22" s="202">
        <v>45906.0</v>
      </c>
      <c r="B22" s="198" t="s">
        <v>167</v>
      </c>
      <c r="C22" s="199">
        <v>7000.0</v>
      </c>
      <c r="D22" s="198" t="s">
        <v>167</v>
      </c>
      <c r="E22" s="201" t="s">
        <v>185</v>
      </c>
    </row>
    <row r="23">
      <c r="A23" s="202">
        <v>45907.0</v>
      </c>
      <c r="B23" s="198" t="s">
        <v>16580</v>
      </c>
      <c r="C23" s="199">
        <v>4550.0</v>
      </c>
      <c r="D23" s="198" t="s">
        <v>155</v>
      </c>
      <c r="E23" s="201" t="s">
        <v>179</v>
      </c>
    </row>
    <row r="24">
      <c r="A24" s="202">
        <v>45909.0</v>
      </c>
      <c r="B24" s="198" t="s">
        <v>16589</v>
      </c>
      <c r="C24" s="199">
        <v>8500.0</v>
      </c>
      <c r="D24" s="198" t="s">
        <v>145</v>
      </c>
      <c r="E24" s="201" t="s">
        <v>179</v>
      </c>
    </row>
    <row r="25">
      <c r="A25" s="202">
        <v>45909.0</v>
      </c>
      <c r="B25" s="198" t="s">
        <v>142</v>
      </c>
      <c r="C25" s="199">
        <v>8000.0</v>
      </c>
      <c r="D25" s="198" t="s">
        <v>164</v>
      </c>
      <c r="E25" s="201" t="s">
        <v>179</v>
      </c>
    </row>
    <row r="26">
      <c r="A26" s="202">
        <v>45909.0</v>
      </c>
      <c r="B26" s="198" t="s">
        <v>16585</v>
      </c>
      <c r="C26" s="199">
        <v>7800.0</v>
      </c>
      <c r="D26" s="198" t="s">
        <v>164</v>
      </c>
      <c r="E26" s="201" t="s">
        <v>179</v>
      </c>
    </row>
    <row r="27">
      <c r="A27" s="202">
        <v>45910.0</v>
      </c>
      <c r="B27" s="198" t="s">
        <v>16580</v>
      </c>
      <c r="C27" s="199">
        <v>5500.0</v>
      </c>
      <c r="D27" s="198" t="s">
        <v>147</v>
      </c>
      <c r="E27" s="201" t="s">
        <v>177</v>
      </c>
    </row>
    <row r="28">
      <c r="A28" s="202">
        <v>45910.0</v>
      </c>
      <c r="B28" s="198" t="s">
        <v>142</v>
      </c>
      <c r="C28" s="199">
        <v>15650.0</v>
      </c>
      <c r="D28" s="198" t="s">
        <v>142</v>
      </c>
      <c r="E28" s="201" t="s">
        <v>179</v>
      </c>
    </row>
    <row r="29">
      <c r="A29" s="202">
        <v>45911.0</v>
      </c>
      <c r="B29" s="198" t="s">
        <v>157</v>
      </c>
      <c r="C29" s="199">
        <v>15600.0</v>
      </c>
      <c r="D29" s="198" t="s">
        <v>157</v>
      </c>
      <c r="E29" s="201" t="s">
        <v>179</v>
      </c>
    </row>
    <row r="30">
      <c r="A30" s="202">
        <v>45911.0</v>
      </c>
      <c r="B30" s="198" t="s">
        <v>157</v>
      </c>
      <c r="C30" s="199">
        <v>12750.0</v>
      </c>
      <c r="D30" s="198" t="s">
        <v>157</v>
      </c>
      <c r="E30" s="201" t="s">
        <v>177</v>
      </c>
    </row>
    <row r="31">
      <c r="A31" s="202">
        <v>45911.0</v>
      </c>
      <c r="B31" s="198" t="s">
        <v>16585</v>
      </c>
      <c r="C31" s="199">
        <v>9870.0</v>
      </c>
      <c r="D31" s="198" t="s">
        <v>164</v>
      </c>
      <c r="E31" s="201" t="s">
        <v>179</v>
      </c>
    </row>
    <row r="32">
      <c r="A32" s="202">
        <v>45912.0</v>
      </c>
      <c r="B32" s="198" t="s">
        <v>16580</v>
      </c>
      <c r="C32" s="199">
        <v>4935.0</v>
      </c>
      <c r="D32" s="198" t="s">
        <v>147</v>
      </c>
      <c r="E32" s="201" t="s">
        <v>177</v>
      </c>
    </row>
    <row r="33">
      <c r="A33" s="202">
        <v>45912.0</v>
      </c>
      <c r="B33" s="198" t="s">
        <v>16592</v>
      </c>
      <c r="C33" s="199">
        <v>11000.0</v>
      </c>
      <c r="D33" s="198" t="s">
        <v>129</v>
      </c>
      <c r="E33" s="201" t="s">
        <v>179</v>
      </c>
    </row>
    <row r="34">
      <c r="A34" s="202">
        <v>45913.0</v>
      </c>
      <c r="B34" s="198" t="s">
        <v>16580</v>
      </c>
      <c r="C34" s="199">
        <v>600.0</v>
      </c>
      <c r="D34" s="198" t="s">
        <v>147</v>
      </c>
      <c r="E34" s="201" t="s">
        <v>179</v>
      </c>
    </row>
    <row r="35">
      <c r="A35" s="202">
        <v>45913.0</v>
      </c>
      <c r="B35" s="198" t="s">
        <v>155</v>
      </c>
      <c r="C35" s="199">
        <v>2100.0</v>
      </c>
      <c r="D35" s="198" t="s">
        <v>155</v>
      </c>
      <c r="E35" s="201" t="s">
        <v>177</v>
      </c>
    </row>
    <row r="36">
      <c r="A36" s="202">
        <v>45914.0</v>
      </c>
      <c r="B36" s="198" t="s">
        <v>16598</v>
      </c>
      <c r="C36" s="199">
        <v>15000.0</v>
      </c>
      <c r="D36" s="198" t="s">
        <v>132</v>
      </c>
      <c r="E36" s="201" t="s">
        <v>177</v>
      </c>
    </row>
    <row r="37">
      <c r="A37" s="202">
        <v>45914.0</v>
      </c>
      <c r="B37" s="198" t="s">
        <v>16591</v>
      </c>
      <c r="C37" s="199">
        <v>5000.0</v>
      </c>
      <c r="D37" s="198" t="s">
        <v>132</v>
      </c>
      <c r="E37" s="201" t="s">
        <v>177</v>
      </c>
    </row>
    <row r="38">
      <c r="A38" s="202">
        <v>45915.0</v>
      </c>
      <c r="B38" s="198" t="s">
        <v>16578</v>
      </c>
      <c r="C38" s="199">
        <v>5965.0</v>
      </c>
      <c r="D38" s="198" t="s">
        <v>147</v>
      </c>
      <c r="E38" s="201" t="s">
        <v>173</v>
      </c>
    </row>
    <row r="39">
      <c r="A39" s="202">
        <v>45915.0</v>
      </c>
      <c r="B39" s="198" t="s">
        <v>16580</v>
      </c>
      <c r="C39" s="199">
        <v>3100.0</v>
      </c>
      <c r="D39" s="198" t="s">
        <v>147</v>
      </c>
      <c r="E39" s="201" t="s">
        <v>179</v>
      </c>
    </row>
    <row r="40">
      <c r="A40" s="202">
        <v>45915.0</v>
      </c>
      <c r="B40" s="198" t="s">
        <v>16580</v>
      </c>
      <c r="C40" s="199">
        <v>6000.0</v>
      </c>
      <c r="D40" s="198" t="s">
        <v>147</v>
      </c>
      <c r="E40" s="201" t="s">
        <v>179</v>
      </c>
    </row>
    <row r="41">
      <c r="A41" s="202">
        <v>45915.0</v>
      </c>
      <c r="B41" s="198" t="s">
        <v>157</v>
      </c>
      <c r="C41" s="199">
        <v>4500.0</v>
      </c>
      <c r="D41" s="198" t="s">
        <v>157</v>
      </c>
      <c r="E41" s="201" t="s">
        <v>179</v>
      </c>
    </row>
    <row r="42">
      <c r="A42" s="202">
        <v>45915.0</v>
      </c>
      <c r="B42" s="198" t="s">
        <v>157</v>
      </c>
      <c r="C42" s="199">
        <v>5817.0</v>
      </c>
      <c r="D42" s="198" t="s">
        <v>157</v>
      </c>
      <c r="E42" s="201" t="s">
        <v>177</v>
      </c>
    </row>
    <row r="43">
      <c r="A43" s="202">
        <v>45915.0</v>
      </c>
      <c r="B43" s="198" t="s">
        <v>167</v>
      </c>
      <c r="C43" s="199">
        <v>82000.0</v>
      </c>
      <c r="D43" s="198" t="s">
        <v>167</v>
      </c>
      <c r="E43" s="201" t="s">
        <v>185</v>
      </c>
    </row>
    <row r="44">
      <c r="A44" s="202">
        <v>45917.0</v>
      </c>
      <c r="B44" s="198" t="s">
        <v>142</v>
      </c>
      <c r="C44" s="199">
        <v>4775.0</v>
      </c>
      <c r="D44" s="198" t="s">
        <v>142</v>
      </c>
      <c r="E44" s="201" t="s">
        <v>179</v>
      </c>
    </row>
    <row r="45">
      <c r="A45" s="202">
        <v>45917.0</v>
      </c>
      <c r="B45" s="198" t="s">
        <v>142</v>
      </c>
      <c r="C45" s="199">
        <v>13448.0</v>
      </c>
      <c r="D45" s="198" t="s">
        <v>142</v>
      </c>
      <c r="E45" s="201" t="s">
        <v>175</v>
      </c>
    </row>
    <row r="46">
      <c r="A46" s="202">
        <v>45917.0</v>
      </c>
      <c r="B46" s="198" t="s">
        <v>16580</v>
      </c>
      <c r="C46" s="199">
        <v>28867.0</v>
      </c>
      <c r="D46" s="198" t="s">
        <v>147</v>
      </c>
      <c r="E46" s="201" t="s">
        <v>173</v>
      </c>
    </row>
    <row r="47">
      <c r="A47" s="202">
        <v>45917.0</v>
      </c>
      <c r="B47" s="198" t="s">
        <v>16585</v>
      </c>
      <c r="C47" s="199">
        <v>9020.0</v>
      </c>
      <c r="D47" s="198" t="s">
        <v>164</v>
      </c>
      <c r="E47" s="201" t="s">
        <v>179</v>
      </c>
    </row>
    <row r="48">
      <c r="A48" s="202">
        <v>45918.0</v>
      </c>
      <c r="B48" s="198" t="s">
        <v>16580</v>
      </c>
      <c r="C48" s="199">
        <v>38000.0</v>
      </c>
      <c r="D48" s="198" t="s">
        <v>147</v>
      </c>
      <c r="E48" s="201" t="s">
        <v>175</v>
      </c>
    </row>
    <row r="49">
      <c r="A49" s="202">
        <v>45918.0</v>
      </c>
      <c r="B49" s="198" t="s">
        <v>16588</v>
      </c>
      <c r="C49" s="199">
        <v>17200.0</v>
      </c>
      <c r="D49" s="198" t="s">
        <v>11</v>
      </c>
      <c r="E49" s="201" t="s">
        <v>173</v>
      </c>
    </row>
    <row r="50">
      <c r="A50" s="202">
        <v>45919.0</v>
      </c>
      <c r="B50" s="198" t="s">
        <v>16580</v>
      </c>
      <c r="C50" s="199">
        <v>5500.0</v>
      </c>
      <c r="D50" s="198" t="s">
        <v>147</v>
      </c>
      <c r="E50" s="201" t="s">
        <v>173</v>
      </c>
    </row>
    <row r="51">
      <c r="A51" s="202">
        <v>45920.0</v>
      </c>
      <c r="B51" s="198" t="s">
        <v>16585</v>
      </c>
      <c r="C51" s="199">
        <v>4462.0</v>
      </c>
      <c r="D51" s="198" t="s">
        <v>164</v>
      </c>
      <c r="E51" s="201" t="s">
        <v>179</v>
      </c>
    </row>
    <row r="52">
      <c r="A52" s="202">
        <v>45920.0</v>
      </c>
      <c r="B52" s="198" t="s">
        <v>16585</v>
      </c>
      <c r="C52" s="199">
        <v>7150.0</v>
      </c>
      <c r="D52" s="198" t="s">
        <v>164</v>
      </c>
      <c r="E52" s="201" t="s">
        <v>179</v>
      </c>
    </row>
    <row r="53">
      <c r="A53" s="202">
        <v>45920.0</v>
      </c>
      <c r="B53" s="198" t="s">
        <v>167</v>
      </c>
      <c r="C53" s="199">
        <v>7000.0</v>
      </c>
      <c r="D53" s="198" t="s">
        <v>167</v>
      </c>
      <c r="E53" s="201" t="s">
        <v>183</v>
      </c>
    </row>
    <row r="54">
      <c r="A54" s="202">
        <v>45923.0</v>
      </c>
      <c r="B54" s="198" t="s">
        <v>16578</v>
      </c>
      <c r="C54" s="199">
        <v>13889.0</v>
      </c>
      <c r="D54" s="198" t="s">
        <v>147</v>
      </c>
      <c r="E54" s="201" t="s">
        <v>173</v>
      </c>
    </row>
    <row r="55">
      <c r="A55" s="202">
        <v>45924.0</v>
      </c>
      <c r="B55" s="198" t="s">
        <v>159</v>
      </c>
      <c r="C55" s="199">
        <v>7253.0</v>
      </c>
      <c r="D55" s="198" t="s">
        <v>159</v>
      </c>
      <c r="E55" s="201" t="s">
        <v>173</v>
      </c>
    </row>
    <row r="56">
      <c r="A56" s="202">
        <v>45924.0</v>
      </c>
      <c r="B56" s="198" t="s">
        <v>16593</v>
      </c>
      <c r="C56" s="199">
        <v>17336.0</v>
      </c>
      <c r="D56" s="198" t="s">
        <v>129</v>
      </c>
      <c r="E56" s="201" t="s">
        <v>177</v>
      </c>
    </row>
    <row r="57">
      <c r="A57" s="202">
        <v>45924.0</v>
      </c>
      <c r="B57" s="198" t="s">
        <v>16591</v>
      </c>
      <c r="C57" s="199">
        <v>29944.0</v>
      </c>
      <c r="D57" s="198" t="s">
        <v>129</v>
      </c>
      <c r="E57" s="201" t="s">
        <v>173</v>
      </c>
    </row>
    <row r="58">
      <c r="A58" s="202">
        <v>45924.0</v>
      </c>
      <c r="B58" s="198" t="s">
        <v>16585</v>
      </c>
      <c r="C58" s="199">
        <v>9620.0</v>
      </c>
      <c r="D58" s="198" t="s">
        <v>164</v>
      </c>
      <c r="E58" s="201" t="s">
        <v>179</v>
      </c>
    </row>
    <row r="59">
      <c r="A59" s="202">
        <v>45924.0</v>
      </c>
      <c r="B59" s="198" t="s">
        <v>16585</v>
      </c>
      <c r="C59" s="199">
        <v>2100.0</v>
      </c>
      <c r="D59" s="198" t="s">
        <v>142</v>
      </c>
      <c r="E59" s="201" t="s">
        <v>179</v>
      </c>
    </row>
    <row r="60">
      <c r="A60" s="202">
        <v>45924.0</v>
      </c>
      <c r="B60" s="198" t="s">
        <v>16594</v>
      </c>
      <c r="C60" s="199">
        <v>13979.0</v>
      </c>
      <c r="D60" s="198" t="s">
        <v>129</v>
      </c>
      <c r="E60" s="201" t="s">
        <v>177</v>
      </c>
    </row>
    <row r="61">
      <c r="A61" s="202">
        <v>45925.0</v>
      </c>
      <c r="B61" s="198" t="s">
        <v>16603</v>
      </c>
      <c r="C61" s="199">
        <v>11650.0</v>
      </c>
      <c r="D61" s="198" t="s">
        <v>145</v>
      </c>
      <c r="E61" s="201" t="s">
        <v>177</v>
      </c>
    </row>
    <row r="62">
      <c r="A62" s="202">
        <v>45926.0</v>
      </c>
      <c r="B62" s="198" t="s">
        <v>152</v>
      </c>
      <c r="C62" s="199">
        <v>42900.0</v>
      </c>
      <c r="D62" s="198" t="s">
        <v>164</v>
      </c>
      <c r="E62" s="201" t="s">
        <v>179</v>
      </c>
    </row>
    <row r="63">
      <c r="A63" s="202">
        <v>45927.0</v>
      </c>
      <c r="B63" s="198" t="s">
        <v>16585</v>
      </c>
      <c r="C63" s="199">
        <v>16300.0</v>
      </c>
      <c r="D63" s="198" t="s">
        <v>164</v>
      </c>
      <c r="E63" s="201" t="s">
        <v>179</v>
      </c>
    </row>
    <row r="64">
      <c r="A64" s="202">
        <v>45927.0</v>
      </c>
      <c r="B64" s="198" t="s">
        <v>16585</v>
      </c>
      <c r="C64" s="199">
        <v>3465.0</v>
      </c>
      <c r="D64" s="198" t="s">
        <v>164</v>
      </c>
      <c r="E64" s="201" t="s">
        <v>179</v>
      </c>
    </row>
    <row r="65">
      <c r="A65" s="202">
        <v>45928.0</v>
      </c>
      <c r="B65" s="198" t="s">
        <v>16586</v>
      </c>
      <c r="C65" s="199">
        <v>10848.0</v>
      </c>
      <c r="D65" s="198" t="s">
        <v>171</v>
      </c>
      <c r="E65" s="201" t="s">
        <v>179</v>
      </c>
    </row>
    <row r="66">
      <c r="A66" s="202">
        <v>45928.0</v>
      </c>
      <c r="B66" s="198" t="s">
        <v>142</v>
      </c>
      <c r="C66" s="199">
        <v>8605.0</v>
      </c>
      <c r="D66" s="198" t="s">
        <v>142</v>
      </c>
      <c r="E66" s="201" t="s">
        <v>179</v>
      </c>
    </row>
    <row r="67">
      <c r="A67" s="202">
        <v>45928.0</v>
      </c>
      <c r="B67" s="198" t="s">
        <v>16580</v>
      </c>
      <c r="C67" s="199">
        <v>8750.0</v>
      </c>
      <c r="D67" s="198" t="s">
        <v>147</v>
      </c>
      <c r="E67" s="201" t="s">
        <v>179</v>
      </c>
    </row>
    <row r="68">
      <c r="A68" s="202">
        <v>45929.0</v>
      </c>
      <c r="B68" s="198" t="s">
        <v>137</v>
      </c>
      <c r="C68" s="199">
        <v>5000.0</v>
      </c>
      <c r="D68" s="198" t="s">
        <v>137</v>
      </c>
      <c r="E68" s="201" t="s">
        <v>179</v>
      </c>
    </row>
    <row r="69">
      <c r="A69" s="202">
        <v>45930.0</v>
      </c>
      <c r="B69" s="198" t="s">
        <v>16601</v>
      </c>
      <c r="C69" s="199">
        <v>33208.0</v>
      </c>
      <c r="D69" s="198" t="s">
        <v>132</v>
      </c>
      <c r="E69" s="201" t="s">
        <v>177</v>
      </c>
    </row>
    <row r="70">
      <c r="A70" s="202">
        <v>45930.0</v>
      </c>
      <c r="B70" s="198" t="s">
        <v>16585</v>
      </c>
      <c r="C70" s="199">
        <v>18480.0</v>
      </c>
      <c r="D70" s="198" t="s">
        <v>164</v>
      </c>
      <c r="E70" s="201" t="s">
        <v>179</v>
      </c>
    </row>
  </sheetData>
  <dataValidations>
    <dataValidation type="custom" allowBlank="1" showDropDown="1" sqref="A2:A70">
      <formula1>OR(NOT(ISERROR(DATEVALUE(A2))), AND(ISNUMBER(A2), LEFT(CELL("format", A2))="D"))</formula1>
    </dataValidation>
    <dataValidation type="custom" allowBlank="1" showDropDown="1" sqref="C2:C70">
      <formula1>AND(ISNUMBER(C2),(NOT(OR(NOT(ISERROR(DATEVALUE(C2))), AND(ISNUMBER(C2), LEFT(CELL("format", C2))="D")))))</formula1>
    </dataValidation>
    <dataValidation allowBlank="1" showDropDown="1" sqref="B2:B70 D2:E70"/>
  </dataValidations>
  <drawing r:id="rId1"/>
  <tableParts count="1">
    <tablePart r:id="rId3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75"/>
    <col customWidth="1" min="3" max="3" width="13.13"/>
    <col customWidth="1" min="4" max="4" width="19.38"/>
    <col customWidth="1" min="5" max="5" width="21.38"/>
  </cols>
  <sheetData>
    <row r="1">
      <c r="A1" s="196" t="s">
        <v>0</v>
      </c>
      <c r="B1" s="196" t="s">
        <v>1</v>
      </c>
      <c r="C1" s="196" t="s">
        <v>2</v>
      </c>
      <c r="D1" s="196" t="s">
        <v>3</v>
      </c>
      <c r="E1" s="196" t="s">
        <v>4</v>
      </c>
    </row>
    <row r="2">
      <c r="A2" s="197">
        <v>45931.0</v>
      </c>
      <c r="B2" s="198" t="s">
        <v>16579</v>
      </c>
      <c r="C2" s="199">
        <v>11667.0</v>
      </c>
      <c r="D2" s="198" t="s">
        <v>140</v>
      </c>
      <c r="E2" s="201" t="s">
        <v>173</v>
      </c>
    </row>
    <row r="3">
      <c r="A3" s="197">
        <v>45931.0</v>
      </c>
      <c r="B3" s="198" t="s">
        <v>11</v>
      </c>
      <c r="C3" s="199">
        <v>20000.0</v>
      </c>
      <c r="D3" s="198" t="s">
        <v>11</v>
      </c>
      <c r="E3" s="201" t="s">
        <v>173</v>
      </c>
    </row>
    <row r="4">
      <c r="A4" s="197">
        <v>45931.0</v>
      </c>
      <c r="B4" s="198" t="s">
        <v>11</v>
      </c>
      <c r="C4" s="199">
        <v>3000.0</v>
      </c>
      <c r="D4" s="198" t="s">
        <v>11</v>
      </c>
      <c r="E4" s="201" t="s">
        <v>173</v>
      </c>
    </row>
    <row r="5">
      <c r="A5" s="197">
        <v>45931.0</v>
      </c>
      <c r="B5" s="198" t="s">
        <v>11</v>
      </c>
      <c r="C5" s="199">
        <v>1800.0</v>
      </c>
      <c r="D5" s="198" t="s">
        <v>11</v>
      </c>
      <c r="E5" s="201" t="s">
        <v>173</v>
      </c>
    </row>
    <row r="6">
      <c r="A6" s="197">
        <v>45931.0</v>
      </c>
      <c r="B6" s="198" t="s">
        <v>169</v>
      </c>
      <c r="C6" s="199">
        <v>9059.0</v>
      </c>
      <c r="D6" s="198" t="s">
        <v>169</v>
      </c>
      <c r="E6" s="201" t="s">
        <v>173</v>
      </c>
    </row>
    <row r="7">
      <c r="A7" s="197">
        <v>45931.0</v>
      </c>
      <c r="B7" s="198" t="s">
        <v>169</v>
      </c>
      <c r="C7" s="199">
        <v>7497.0</v>
      </c>
      <c r="D7" s="198" t="s">
        <v>169</v>
      </c>
      <c r="E7" s="201" t="s">
        <v>173</v>
      </c>
    </row>
    <row r="8">
      <c r="A8" s="197">
        <v>45932.0</v>
      </c>
      <c r="B8" s="198" t="s">
        <v>169</v>
      </c>
      <c r="C8" s="199">
        <v>3321.0</v>
      </c>
      <c r="D8" s="198" t="s">
        <v>169</v>
      </c>
      <c r="E8" s="201" t="s">
        <v>173</v>
      </c>
    </row>
    <row r="9">
      <c r="A9" s="197">
        <v>45933.0</v>
      </c>
      <c r="B9" s="198" t="s">
        <v>16582</v>
      </c>
      <c r="C9" s="199">
        <v>11210.0</v>
      </c>
      <c r="D9" s="198" t="s">
        <v>129</v>
      </c>
      <c r="E9" s="201" t="s">
        <v>177</v>
      </c>
    </row>
    <row r="10">
      <c r="A10" s="197">
        <v>45933.0</v>
      </c>
      <c r="B10" s="198" t="s">
        <v>16602</v>
      </c>
      <c r="C10" s="199">
        <v>9960.0</v>
      </c>
      <c r="D10" s="198" t="s">
        <v>129</v>
      </c>
      <c r="E10" s="201" t="s">
        <v>177</v>
      </c>
    </row>
    <row r="11">
      <c r="A11" s="197">
        <v>45934.0</v>
      </c>
      <c r="B11" s="198" t="s">
        <v>134</v>
      </c>
      <c r="C11" s="199">
        <v>16000.0</v>
      </c>
      <c r="D11" s="198" t="s">
        <v>134</v>
      </c>
      <c r="E11" s="201" t="s">
        <v>173</v>
      </c>
    </row>
    <row r="12">
      <c r="A12" s="197">
        <v>45934.0</v>
      </c>
      <c r="B12" s="198" t="s">
        <v>134</v>
      </c>
      <c r="C12" s="199">
        <v>79998.0</v>
      </c>
      <c r="D12" s="198" t="s">
        <v>134</v>
      </c>
      <c r="E12" s="201" t="s">
        <v>173</v>
      </c>
    </row>
    <row r="13">
      <c r="A13" s="197">
        <v>45934.0</v>
      </c>
      <c r="B13" s="198" t="s">
        <v>16598</v>
      </c>
      <c r="C13" s="199">
        <v>15000.0</v>
      </c>
      <c r="D13" s="198" t="s">
        <v>132</v>
      </c>
      <c r="E13" s="201" t="s">
        <v>173</v>
      </c>
    </row>
    <row r="14">
      <c r="A14" s="197">
        <v>45934.0</v>
      </c>
      <c r="B14" s="198" t="s">
        <v>157</v>
      </c>
      <c r="C14" s="199">
        <v>28750.0</v>
      </c>
      <c r="D14" s="198" t="s">
        <v>157</v>
      </c>
      <c r="E14" s="201" t="s">
        <v>177</v>
      </c>
    </row>
    <row r="15">
      <c r="A15" s="197">
        <v>45935.0</v>
      </c>
      <c r="B15" s="198" t="s">
        <v>16580</v>
      </c>
      <c r="C15" s="199">
        <v>5500.0</v>
      </c>
      <c r="D15" s="198" t="s">
        <v>147</v>
      </c>
      <c r="E15" s="201" t="s">
        <v>177</v>
      </c>
    </row>
    <row r="16">
      <c r="A16" s="197">
        <v>45940.0</v>
      </c>
      <c r="B16" s="198" t="s">
        <v>16580</v>
      </c>
      <c r="C16" s="199">
        <v>5500.0</v>
      </c>
      <c r="D16" s="198" t="s">
        <v>147</v>
      </c>
      <c r="E16" s="201" t="s">
        <v>177</v>
      </c>
    </row>
    <row r="17">
      <c r="A17" s="197">
        <v>45940.0</v>
      </c>
      <c r="B17" s="198" t="s">
        <v>16581</v>
      </c>
      <c r="C17" s="199">
        <v>26123.0</v>
      </c>
      <c r="D17" s="198" t="s">
        <v>129</v>
      </c>
      <c r="E17" s="201" t="s">
        <v>173</v>
      </c>
    </row>
    <row r="18">
      <c r="A18" s="197">
        <v>45945.0</v>
      </c>
      <c r="B18" s="198" t="s">
        <v>16578</v>
      </c>
      <c r="C18" s="199">
        <v>5965.0</v>
      </c>
      <c r="D18" s="198" t="s">
        <v>147</v>
      </c>
      <c r="E18" s="201" t="s">
        <v>173</v>
      </c>
    </row>
    <row r="19">
      <c r="A19" s="205">
        <v>45946.0</v>
      </c>
      <c r="B19" s="198" t="s">
        <v>155</v>
      </c>
      <c r="C19" s="199">
        <v>25289.99</v>
      </c>
      <c r="D19" s="198" t="s">
        <v>155</v>
      </c>
      <c r="E19" s="201" t="s">
        <v>173</v>
      </c>
    </row>
    <row r="20">
      <c r="A20" s="205">
        <v>45947.0</v>
      </c>
      <c r="B20" s="198" t="s">
        <v>142</v>
      </c>
      <c r="C20" s="199">
        <v>8902.0</v>
      </c>
      <c r="D20" s="198" t="s">
        <v>142</v>
      </c>
      <c r="E20" s="201" t="s">
        <v>177</v>
      </c>
    </row>
    <row r="21">
      <c r="A21" s="205">
        <v>45947.0</v>
      </c>
      <c r="B21" s="198" t="s">
        <v>16580</v>
      </c>
      <c r="C21" s="199">
        <v>73532.0</v>
      </c>
      <c r="D21" s="198" t="s">
        <v>147</v>
      </c>
      <c r="E21" s="201" t="s">
        <v>173</v>
      </c>
    </row>
    <row r="22">
      <c r="A22" s="205">
        <v>45947.0</v>
      </c>
      <c r="B22" s="198" t="s">
        <v>157</v>
      </c>
      <c r="C22" s="199">
        <v>4500.0</v>
      </c>
      <c r="D22" s="198" t="s">
        <v>157</v>
      </c>
      <c r="E22" s="201" t="s">
        <v>177</v>
      </c>
    </row>
    <row r="23">
      <c r="A23" s="205">
        <v>45948.0</v>
      </c>
      <c r="B23" s="198" t="s">
        <v>142</v>
      </c>
      <c r="C23" s="199">
        <v>14200.0</v>
      </c>
      <c r="D23" s="198" t="s">
        <v>142</v>
      </c>
      <c r="E23" s="201" t="s">
        <v>177</v>
      </c>
    </row>
    <row r="24">
      <c r="A24" s="205">
        <v>45948.0</v>
      </c>
      <c r="B24" s="198" t="s">
        <v>142</v>
      </c>
      <c r="C24" s="199">
        <v>19050.0</v>
      </c>
      <c r="D24" s="198" t="s">
        <v>142</v>
      </c>
      <c r="E24" s="201" t="s">
        <v>177</v>
      </c>
    </row>
    <row r="25">
      <c r="A25" s="205">
        <v>45948.0</v>
      </c>
      <c r="B25" s="198" t="s">
        <v>16580</v>
      </c>
      <c r="C25" s="199">
        <v>4300.0</v>
      </c>
      <c r="D25" s="198" t="s">
        <v>142</v>
      </c>
      <c r="E25" s="201" t="s">
        <v>177</v>
      </c>
    </row>
    <row r="26">
      <c r="A26" s="205">
        <v>45950.0</v>
      </c>
      <c r="B26" s="198" t="s">
        <v>16593</v>
      </c>
      <c r="C26" s="199">
        <v>10369.0</v>
      </c>
      <c r="D26" s="198" t="s">
        <v>129</v>
      </c>
      <c r="E26" s="201" t="s">
        <v>177</v>
      </c>
    </row>
    <row r="27">
      <c r="A27" s="205">
        <v>45950.0</v>
      </c>
      <c r="B27" s="198" t="s">
        <v>16594</v>
      </c>
      <c r="C27" s="199">
        <v>13601.0</v>
      </c>
      <c r="D27" s="198" t="s">
        <v>129</v>
      </c>
      <c r="E27" s="201" t="s">
        <v>177</v>
      </c>
    </row>
    <row r="28">
      <c r="A28" s="205">
        <v>45951.0</v>
      </c>
      <c r="B28" s="198" t="s">
        <v>157</v>
      </c>
      <c r="C28" s="199">
        <v>28995.0</v>
      </c>
      <c r="D28" s="198" t="s">
        <v>157</v>
      </c>
      <c r="E28" s="201" t="s">
        <v>177</v>
      </c>
    </row>
    <row r="29">
      <c r="A29" s="205">
        <v>45951.0</v>
      </c>
      <c r="B29" s="198" t="s">
        <v>169</v>
      </c>
      <c r="C29" s="199">
        <v>9059.0</v>
      </c>
      <c r="D29" s="198" t="s">
        <v>169</v>
      </c>
      <c r="E29" s="201" t="s">
        <v>173</v>
      </c>
    </row>
    <row r="30">
      <c r="A30" s="205">
        <v>45952.0</v>
      </c>
      <c r="B30" s="198" t="s">
        <v>142</v>
      </c>
      <c r="C30" s="199">
        <v>14850.0</v>
      </c>
      <c r="D30" s="198" t="s">
        <v>142</v>
      </c>
      <c r="E30" s="201" t="s">
        <v>179</v>
      </c>
    </row>
    <row r="31">
      <c r="A31" s="205">
        <v>45952.0</v>
      </c>
      <c r="B31" s="198" t="s">
        <v>142</v>
      </c>
      <c r="C31" s="199">
        <v>3000.0</v>
      </c>
      <c r="D31" s="198" t="s">
        <v>142</v>
      </c>
      <c r="E31" s="201" t="s">
        <v>177</v>
      </c>
    </row>
    <row r="32">
      <c r="A32" s="205">
        <v>45953.0</v>
      </c>
      <c r="B32" s="198" t="s">
        <v>16578</v>
      </c>
      <c r="C32" s="199">
        <v>13889.0</v>
      </c>
      <c r="D32" s="198" t="s">
        <v>147</v>
      </c>
      <c r="E32" s="201" t="s">
        <v>173</v>
      </c>
    </row>
    <row r="33">
      <c r="A33" s="205">
        <v>45953.0</v>
      </c>
      <c r="B33" s="198" t="s">
        <v>16603</v>
      </c>
      <c r="C33" s="199">
        <v>186054.0</v>
      </c>
      <c r="D33" s="198" t="s">
        <v>145</v>
      </c>
      <c r="E33" s="201" t="s">
        <v>173</v>
      </c>
    </row>
    <row r="34">
      <c r="A34" s="197">
        <v>45954.0</v>
      </c>
      <c r="B34" s="198" t="s">
        <v>159</v>
      </c>
      <c r="C34" s="199">
        <v>7253.0</v>
      </c>
      <c r="D34" s="198" t="s">
        <v>159</v>
      </c>
      <c r="E34" s="201" t="s">
        <v>173</v>
      </c>
    </row>
    <row r="35">
      <c r="A35" s="205">
        <v>45954.0</v>
      </c>
      <c r="B35" s="198" t="s">
        <v>142</v>
      </c>
      <c r="C35" s="199">
        <v>4900.0</v>
      </c>
      <c r="D35" s="198" t="s">
        <v>142</v>
      </c>
      <c r="E35" s="201" t="s">
        <v>177</v>
      </c>
    </row>
    <row r="36">
      <c r="A36" s="205">
        <v>45955.0</v>
      </c>
      <c r="B36" s="198" t="s">
        <v>16598</v>
      </c>
      <c r="C36" s="199">
        <v>10000.0</v>
      </c>
      <c r="D36" s="198" t="s">
        <v>132</v>
      </c>
      <c r="E36" s="201" t="s">
        <v>177</v>
      </c>
    </row>
    <row r="37">
      <c r="A37" s="205">
        <v>45955.0</v>
      </c>
      <c r="B37" s="198" t="s">
        <v>142</v>
      </c>
      <c r="C37" s="199">
        <v>2100.0</v>
      </c>
      <c r="D37" s="198" t="s">
        <v>142</v>
      </c>
      <c r="E37" s="201" t="s">
        <v>177</v>
      </c>
    </row>
    <row r="38">
      <c r="A38" s="205">
        <v>45956.0</v>
      </c>
      <c r="B38" s="198" t="s">
        <v>16580</v>
      </c>
      <c r="C38" s="199">
        <v>5650.0</v>
      </c>
      <c r="D38" s="198" t="s">
        <v>147</v>
      </c>
      <c r="E38" s="201" t="s">
        <v>177</v>
      </c>
    </row>
    <row r="39">
      <c r="A39" s="205">
        <v>45956.0</v>
      </c>
      <c r="B39" s="198" t="s">
        <v>157</v>
      </c>
      <c r="C39" s="199">
        <v>600.0</v>
      </c>
      <c r="D39" s="198" t="s">
        <v>157</v>
      </c>
      <c r="E39" s="201" t="s">
        <v>179</v>
      </c>
    </row>
    <row r="40">
      <c r="A40" s="205">
        <v>45958.0</v>
      </c>
      <c r="B40" s="198" t="s">
        <v>142</v>
      </c>
      <c r="C40" s="199">
        <v>4600.0</v>
      </c>
      <c r="D40" s="198" t="s">
        <v>142</v>
      </c>
      <c r="E40" s="201" t="s">
        <v>177</v>
      </c>
    </row>
    <row r="41">
      <c r="A41" s="205">
        <v>45958.0</v>
      </c>
      <c r="B41" s="198" t="s">
        <v>16585</v>
      </c>
      <c r="C41" s="199">
        <v>16500.0</v>
      </c>
      <c r="D41" s="198" t="s">
        <v>164</v>
      </c>
      <c r="E41" s="201" t="s">
        <v>179</v>
      </c>
    </row>
    <row r="42">
      <c r="A42" s="205">
        <v>45958.0</v>
      </c>
      <c r="B42" s="198" t="s">
        <v>16585</v>
      </c>
      <c r="C42" s="199">
        <v>10370.0</v>
      </c>
      <c r="D42" s="198" t="s">
        <v>164</v>
      </c>
      <c r="E42" s="201" t="s">
        <v>177</v>
      </c>
    </row>
    <row r="43">
      <c r="A43" s="205">
        <v>45958.0</v>
      </c>
      <c r="B43" s="198" t="s">
        <v>16588</v>
      </c>
      <c r="C43" s="199">
        <v>10800.0</v>
      </c>
      <c r="D43" s="198" t="s">
        <v>11</v>
      </c>
      <c r="E43" s="201" t="s">
        <v>179</v>
      </c>
    </row>
    <row r="44">
      <c r="A44" s="205">
        <v>45959.0</v>
      </c>
      <c r="B44" s="198" t="s">
        <v>16586</v>
      </c>
      <c r="C44" s="199">
        <v>502.0</v>
      </c>
      <c r="D44" s="198" t="s">
        <v>171</v>
      </c>
      <c r="E44" s="201" t="s">
        <v>179</v>
      </c>
    </row>
    <row r="45">
      <c r="A45" s="205">
        <v>45959.0</v>
      </c>
      <c r="B45" s="198" t="s">
        <v>142</v>
      </c>
      <c r="C45" s="199">
        <v>4500.0</v>
      </c>
      <c r="D45" s="198" t="s">
        <v>142</v>
      </c>
      <c r="E45" s="201" t="s">
        <v>179</v>
      </c>
    </row>
    <row r="46">
      <c r="A46" s="205">
        <v>45959.0</v>
      </c>
      <c r="B46" s="198" t="s">
        <v>142</v>
      </c>
      <c r="C46" s="199">
        <v>4450.0</v>
      </c>
      <c r="D46" s="198" t="s">
        <v>142</v>
      </c>
      <c r="E46" s="201" t="s">
        <v>179</v>
      </c>
    </row>
    <row r="47">
      <c r="A47" s="205">
        <v>45959.0</v>
      </c>
      <c r="B47" s="198" t="s">
        <v>157</v>
      </c>
      <c r="C47" s="199">
        <v>25750.0</v>
      </c>
      <c r="D47" s="198" t="s">
        <v>157</v>
      </c>
      <c r="E47" s="201" t="s">
        <v>177</v>
      </c>
    </row>
    <row r="48">
      <c r="A48" s="205">
        <v>45960.0</v>
      </c>
      <c r="B48" s="198" t="s">
        <v>16587</v>
      </c>
      <c r="C48" s="199">
        <v>18680.0</v>
      </c>
      <c r="D48" s="198" t="s">
        <v>164</v>
      </c>
      <c r="E48" s="201" t="s">
        <v>179</v>
      </c>
    </row>
    <row r="49">
      <c r="A49" s="205">
        <v>45960.0</v>
      </c>
      <c r="B49" s="198" t="s">
        <v>16589</v>
      </c>
      <c r="C49" s="199">
        <v>9000.0</v>
      </c>
      <c r="D49" s="198" t="s">
        <v>145</v>
      </c>
      <c r="E49" s="201" t="s">
        <v>179</v>
      </c>
    </row>
    <row r="50">
      <c r="A50" s="205">
        <v>45960.0</v>
      </c>
      <c r="B50" s="198" t="s">
        <v>16585</v>
      </c>
      <c r="C50" s="199">
        <v>16300.0</v>
      </c>
      <c r="D50" s="198" t="s">
        <v>164</v>
      </c>
      <c r="E50" s="201" t="s">
        <v>175</v>
      </c>
    </row>
    <row r="51">
      <c r="A51" s="205">
        <v>45991.0</v>
      </c>
      <c r="B51" s="198" t="s">
        <v>167</v>
      </c>
      <c r="C51" s="199">
        <v>90000.0</v>
      </c>
      <c r="D51" s="198" t="s">
        <v>167</v>
      </c>
      <c r="E51" s="201" t="s">
        <v>185</v>
      </c>
    </row>
  </sheetData>
  <dataValidations>
    <dataValidation type="custom" allowBlank="1" showDropDown="1" sqref="C2:C51">
      <formula1>AND(ISNUMBER(C2),(NOT(OR(NOT(ISERROR(DATEVALUE(C2))), AND(ISNUMBER(C2), LEFT(CELL("format", C2))="D")))))</formula1>
    </dataValidation>
    <dataValidation allowBlank="1" showDropDown="1" sqref="B2:B51 D2:E51"/>
  </dataValidations>
  <drawing r:id="rId1"/>
  <tableParts count="1">
    <tablePart r:id="rId3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13"/>
    <col customWidth="1" min="2" max="2" width="18.75"/>
    <col customWidth="1" min="3" max="3" width="13.13"/>
    <col customWidth="1" min="4" max="4" width="19.38"/>
    <col customWidth="1" min="5" max="5" width="21.38"/>
  </cols>
  <sheetData>
    <row r="1">
      <c r="A1" s="196" t="s">
        <v>0</v>
      </c>
      <c r="B1" s="196" t="s">
        <v>1</v>
      </c>
      <c r="C1" s="196" t="s">
        <v>2</v>
      </c>
      <c r="D1" s="196" t="s">
        <v>3</v>
      </c>
      <c r="E1" s="196" t="s">
        <v>4</v>
      </c>
    </row>
    <row r="2">
      <c r="A2" s="202">
        <v>45962.0</v>
      </c>
      <c r="B2" s="198" t="s">
        <v>16579</v>
      </c>
      <c r="C2" s="199">
        <v>11667.0</v>
      </c>
      <c r="D2" s="198" t="s">
        <v>140</v>
      </c>
      <c r="E2" s="201" t="s">
        <v>173</v>
      </c>
    </row>
    <row r="3">
      <c r="A3" s="202">
        <v>45962.0</v>
      </c>
      <c r="B3" s="198" t="s">
        <v>11</v>
      </c>
      <c r="C3" s="199">
        <v>3000.0</v>
      </c>
      <c r="D3" s="198" t="s">
        <v>11</v>
      </c>
      <c r="E3" s="201" t="s">
        <v>173</v>
      </c>
    </row>
    <row r="4">
      <c r="A4" s="202">
        <v>45962.0</v>
      </c>
      <c r="B4" s="198" t="s">
        <v>11</v>
      </c>
      <c r="C4" s="199">
        <v>1800.0</v>
      </c>
      <c r="D4" s="198" t="s">
        <v>11</v>
      </c>
      <c r="E4" s="201" t="s">
        <v>173</v>
      </c>
    </row>
    <row r="5">
      <c r="A5" s="202">
        <v>45962.0</v>
      </c>
      <c r="B5" s="198" t="s">
        <v>11</v>
      </c>
      <c r="C5" s="199">
        <v>20000.0</v>
      </c>
      <c r="D5" s="198" t="s">
        <v>11</v>
      </c>
      <c r="E5" s="201" t="s">
        <v>173</v>
      </c>
    </row>
    <row r="6">
      <c r="A6" s="202">
        <v>45962.0</v>
      </c>
      <c r="B6" s="198" t="s">
        <v>16586</v>
      </c>
      <c r="C6" s="199">
        <v>502.0</v>
      </c>
      <c r="D6" s="198" t="s">
        <v>171</v>
      </c>
      <c r="E6" s="201" t="s">
        <v>179</v>
      </c>
    </row>
    <row r="7">
      <c r="A7" s="202">
        <v>45962.0</v>
      </c>
      <c r="B7" s="198" t="s">
        <v>16601</v>
      </c>
      <c r="C7" s="199">
        <v>33208.0</v>
      </c>
      <c r="D7" s="198" t="s">
        <v>132</v>
      </c>
      <c r="E7" s="201" t="s">
        <v>177</v>
      </c>
    </row>
    <row r="8">
      <c r="A8" s="202">
        <v>45962.0</v>
      </c>
      <c r="B8" s="198" t="s">
        <v>142</v>
      </c>
      <c r="C8" s="199">
        <v>19400.0</v>
      </c>
      <c r="D8" s="198" t="s">
        <v>142</v>
      </c>
      <c r="E8" s="201" t="s">
        <v>177</v>
      </c>
    </row>
    <row r="9">
      <c r="A9" s="202">
        <v>45962.0</v>
      </c>
      <c r="B9" s="198" t="s">
        <v>142</v>
      </c>
      <c r="C9" s="199">
        <v>17400.0</v>
      </c>
      <c r="D9" s="198" t="s">
        <v>142</v>
      </c>
      <c r="E9" s="201" t="s">
        <v>177</v>
      </c>
    </row>
    <row r="10">
      <c r="A10" s="202">
        <v>45962.0</v>
      </c>
      <c r="B10" s="198" t="s">
        <v>157</v>
      </c>
      <c r="C10" s="199">
        <v>8827.0</v>
      </c>
      <c r="D10" s="198" t="s">
        <v>142</v>
      </c>
      <c r="E10" s="201" t="s">
        <v>177</v>
      </c>
    </row>
    <row r="11">
      <c r="A11" s="202">
        <v>45962.0</v>
      </c>
      <c r="B11" s="198" t="s">
        <v>159</v>
      </c>
      <c r="C11" s="199">
        <v>15500.0</v>
      </c>
      <c r="D11" s="198" t="s">
        <v>159</v>
      </c>
      <c r="E11" s="201" t="s">
        <v>179</v>
      </c>
    </row>
    <row r="12">
      <c r="A12" s="202">
        <v>45962.0</v>
      </c>
      <c r="B12" s="198" t="s">
        <v>16585</v>
      </c>
      <c r="C12" s="199">
        <v>4000.0</v>
      </c>
      <c r="D12" s="198" t="s">
        <v>164</v>
      </c>
      <c r="E12" s="201" t="s">
        <v>179</v>
      </c>
    </row>
    <row r="13">
      <c r="A13" s="202">
        <v>45963.0</v>
      </c>
      <c r="B13" s="198" t="s">
        <v>16580</v>
      </c>
      <c r="C13" s="199">
        <v>9553.0</v>
      </c>
      <c r="D13" s="198" t="s">
        <v>147</v>
      </c>
      <c r="E13" s="201" t="s">
        <v>177</v>
      </c>
    </row>
    <row r="14">
      <c r="A14" s="202">
        <v>45963.0</v>
      </c>
      <c r="B14" s="198" t="s">
        <v>16582</v>
      </c>
      <c r="C14" s="199">
        <v>11196.0</v>
      </c>
      <c r="D14" s="198" t="s">
        <v>129</v>
      </c>
      <c r="E14" s="201" t="s">
        <v>177</v>
      </c>
    </row>
    <row r="15">
      <c r="A15" s="202">
        <v>45963.0</v>
      </c>
      <c r="B15" s="198" t="s">
        <v>142</v>
      </c>
      <c r="C15" s="199">
        <v>2500.0</v>
      </c>
      <c r="D15" s="198" t="s">
        <v>142</v>
      </c>
      <c r="E15" s="201" t="s">
        <v>179</v>
      </c>
    </row>
    <row r="16">
      <c r="A16" s="202">
        <v>45963.0</v>
      </c>
      <c r="B16" s="198" t="s">
        <v>16580</v>
      </c>
      <c r="C16" s="199">
        <v>2500.0</v>
      </c>
      <c r="D16" s="198" t="s">
        <v>147</v>
      </c>
      <c r="E16" s="201" t="s">
        <v>179</v>
      </c>
    </row>
    <row r="17">
      <c r="A17" s="202">
        <v>45963.0</v>
      </c>
      <c r="B17" s="198" t="s">
        <v>155</v>
      </c>
      <c r="C17" s="199">
        <v>28700.0</v>
      </c>
      <c r="D17" s="198" t="s">
        <v>155</v>
      </c>
      <c r="E17" s="201" t="s">
        <v>179</v>
      </c>
    </row>
    <row r="18">
      <c r="A18" s="202">
        <v>45964.0</v>
      </c>
      <c r="B18" s="198" t="s">
        <v>142</v>
      </c>
      <c r="C18" s="199">
        <v>2750.0</v>
      </c>
      <c r="D18" s="198" t="s">
        <v>142</v>
      </c>
      <c r="E18" s="201" t="s">
        <v>179</v>
      </c>
    </row>
    <row r="19">
      <c r="A19" s="202">
        <v>45964.0</v>
      </c>
      <c r="B19" s="198" t="s">
        <v>16580</v>
      </c>
      <c r="C19" s="199">
        <v>7042.0</v>
      </c>
      <c r="D19" s="198" t="s">
        <v>147</v>
      </c>
      <c r="E19" s="201" t="s">
        <v>173</v>
      </c>
    </row>
    <row r="20">
      <c r="A20" s="202">
        <v>45964.0</v>
      </c>
      <c r="B20" s="198" t="s">
        <v>16580</v>
      </c>
      <c r="C20" s="199">
        <v>16359.0</v>
      </c>
      <c r="D20" s="198" t="s">
        <v>147</v>
      </c>
      <c r="E20" s="201" t="s">
        <v>173</v>
      </c>
    </row>
    <row r="21">
      <c r="A21" s="202">
        <v>45964.0</v>
      </c>
      <c r="B21" s="198" t="s">
        <v>16602</v>
      </c>
      <c r="C21" s="199">
        <v>9960.0</v>
      </c>
      <c r="D21" s="198" t="s">
        <v>129</v>
      </c>
      <c r="E21" s="201" t="s">
        <v>177</v>
      </c>
    </row>
    <row r="22">
      <c r="A22" s="202">
        <v>45964.0</v>
      </c>
      <c r="B22" s="198" t="s">
        <v>16590</v>
      </c>
      <c r="C22" s="199">
        <v>13226.0</v>
      </c>
      <c r="D22" s="198" t="s">
        <v>142</v>
      </c>
      <c r="E22" s="201" t="s">
        <v>177</v>
      </c>
    </row>
    <row r="23">
      <c r="A23" s="202">
        <v>45964.0</v>
      </c>
      <c r="B23" s="198" t="s">
        <v>16599</v>
      </c>
      <c r="C23" s="199">
        <v>470000.0</v>
      </c>
      <c r="D23" s="198" t="s">
        <v>162</v>
      </c>
      <c r="E23" s="201" t="s">
        <v>179</v>
      </c>
    </row>
    <row r="24">
      <c r="A24" s="202">
        <v>45965.0</v>
      </c>
      <c r="B24" s="198" t="s">
        <v>134</v>
      </c>
      <c r="C24" s="199">
        <v>16000.0</v>
      </c>
      <c r="D24" s="198" t="s">
        <v>134</v>
      </c>
      <c r="E24" s="201" t="s">
        <v>173</v>
      </c>
    </row>
    <row r="25">
      <c r="A25" s="202">
        <v>45965.0</v>
      </c>
      <c r="B25" s="198" t="s">
        <v>142</v>
      </c>
      <c r="C25" s="199">
        <v>1350.0</v>
      </c>
      <c r="D25" s="198" t="s">
        <v>142</v>
      </c>
      <c r="E25" s="201" t="s">
        <v>177</v>
      </c>
    </row>
    <row r="26">
      <c r="A26" s="202">
        <v>45965.0</v>
      </c>
      <c r="B26" s="198" t="s">
        <v>142</v>
      </c>
      <c r="C26" s="199">
        <v>3000.0</v>
      </c>
      <c r="D26" s="198" t="s">
        <v>164</v>
      </c>
      <c r="E26" s="201" t="s">
        <v>179</v>
      </c>
    </row>
    <row r="27">
      <c r="A27" s="202">
        <v>45965.0</v>
      </c>
      <c r="B27" s="198" t="s">
        <v>155</v>
      </c>
      <c r="C27" s="199">
        <v>17500.0</v>
      </c>
      <c r="D27" s="198" t="s">
        <v>155</v>
      </c>
      <c r="E27" s="201" t="s">
        <v>179</v>
      </c>
    </row>
    <row r="28">
      <c r="A28" s="202">
        <v>45965.0</v>
      </c>
      <c r="B28" s="198" t="s">
        <v>157</v>
      </c>
      <c r="C28" s="199">
        <v>12000.0</v>
      </c>
      <c r="D28" s="198" t="s">
        <v>157</v>
      </c>
      <c r="E28" s="201" t="s">
        <v>177</v>
      </c>
    </row>
    <row r="29">
      <c r="A29" s="202">
        <v>45965.0</v>
      </c>
      <c r="B29" s="198" t="s">
        <v>157</v>
      </c>
      <c r="C29" s="199">
        <v>3400.0</v>
      </c>
      <c r="D29" s="198" t="s">
        <v>157</v>
      </c>
      <c r="E29" s="201" t="s">
        <v>179</v>
      </c>
    </row>
    <row r="30">
      <c r="A30" s="202">
        <v>45965.0</v>
      </c>
      <c r="B30" s="198" t="s">
        <v>157</v>
      </c>
      <c r="C30" s="199">
        <v>20000.0</v>
      </c>
      <c r="D30" s="198" t="s">
        <v>157</v>
      </c>
      <c r="E30" s="201" t="s">
        <v>179</v>
      </c>
    </row>
    <row r="31">
      <c r="A31" s="202">
        <v>45966.0</v>
      </c>
      <c r="B31" s="198" t="s">
        <v>16580</v>
      </c>
      <c r="C31" s="199">
        <v>5500.0</v>
      </c>
      <c r="D31" s="198" t="s">
        <v>147</v>
      </c>
      <c r="E31" s="201" t="s">
        <v>177</v>
      </c>
    </row>
    <row r="32">
      <c r="A32" s="202">
        <v>45966.0</v>
      </c>
      <c r="B32" s="198" t="s">
        <v>16587</v>
      </c>
      <c r="C32" s="199">
        <v>10040.0</v>
      </c>
      <c r="D32" s="198" t="s">
        <v>164</v>
      </c>
      <c r="E32" s="201" t="s">
        <v>179</v>
      </c>
    </row>
    <row r="33">
      <c r="A33" s="202">
        <v>45966.0</v>
      </c>
      <c r="B33" s="198" t="s">
        <v>142</v>
      </c>
      <c r="C33" s="199">
        <v>6000.0</v>
      </c>
      <c r="D33" s="198" t="s">
        <v>164</v>
      </c>
      <c r="E33" s="201" t="s">
        <v>179</v>
      </c>
    </row>
    <row r="34">
      <c r="A34" s="202">
        <v>45966.0</v>
      </c>
      <c r="B34" s="198" t="s">
        <v>157</v>
      </c>
      <c r="C34" s="199">
        <v>17500.0</v>
      </c>
      <c r="D34" s="198" t="s">
        <v>157</v>
      </c>
      <c r="E34" s="201" t="s">
        <v>179</v>
      </c>
    </row>
    <row r="35">
      <c r="A35" s="202">
        <v>45967.0</v>
      </c>
      <c r="B35" s="198" t="s">
        <v>16598</v>
      </c>
      <c r="C35" s="199">
        <v>15000.0</v>
      </c>
      <c r="D35" s="198" t="s">
        <v>132</v>
      </c>
      <c r="E35" s="201" t="s">
        <v>179</v>
      </c>
    </row>
    <row r="36">
      <c r="A36" s="202">
        <v>45967.0</v>
      </c>
      <c r="B36" s="198" t="s">
        <v>142</v>
      </c>
      <c r="C36" s="199">
        <v>3800.0</v>
      </c>
      <c r="D36" s="198" t="s">
        <v>142</v>
      </c>
      <c r="E36" s="201" t="s">
        <v>179</v>
      </c>
    </row>
    <row r="37">
      <c r="A37" s="202">
        <v>45967.0</v>
      </c>
      <c r="B37" s="198" t="s">
        <v>159</v>
      </c>
      <c r="C37" s="199">
        <v>9900.0</v>
      </c>
      <c r="D37" s="198" t="s">
        <v>159</v>
      </c>
      <c r="E37" s="201" t="s">
        <v>179</v>
      </c>
    </row>
    <row r="38">
      <c r="A38" s="202">
        <v>45967.0</v>
      </c>
      <c r="B38" s="198" t="s">
        <v>169</v>
      </c>
      <c r="C38" s="199">
        <v>9059.0</v>
      </c>
      <c r="D38" s="198" t="s">
        <v>169</v>
      </c>
      <c r="E38" s="201" t="s">
        <v>173</v>
      </c>
    </row>
    <row r="39">
      <c r="A39" s="202">
        <v>45968.0</v>
      </c>
      <c r="B39" s="198" t="s">
        <v>142</v>
      </c>
      <c r="C39" s="199">
        <v>3000.0</v>
      </c>
      <c r="D39" s="198" t="s">
        <v>164</v>
      </c>
      <c r="E39" s="201" t="s">
        <v>179</v>
      </c>
    </row>
    <row r="40">
      <c r="A40" s="202">
        <v>45968.0</v>
      </c>
      <c r="B40" s="198" t="s">
        <v>145</v>
      </c>
      <c r="C40" s="199">
        <v>25000.0</v>
      </c>
      <c r="D40" s="198" t="s">
        <v>145</v>
      </c>
      <c r="E40" s="201" t="s">
        <v>179</v>
      </c>
    </row>
    <row r="41">
      <c r="A41" s="202">
        <v>45969.0</v>
      </c>
      <c r="B41" s="198" t="s">
        <v>16587</v>
      </c>
      <c r="C41" s="199">
        <v>18380.0</v>
      </c>
      <c r="D41" s="198" t="s">
        <v>164</v>
      </c>
      <c r="E41" s="201" t="s">
        <v>179</v>
      </c>
    </row>
    <row r="42">
      <c r="A42" s="202">
        <v>45969.0</v>
      </c>
      <c r="B42" s="198" t="s">
        <v>142</v>
      </c>
      <c r="C42" s="199">
        <v>900.0</v>
      </c>
      <c r="D42" s="198" t="s">
        <v>142</v>
      </c>
      <c r="E42" s="201" t="s">
        <v>179</v>
      </c>
    </row>
    <row r="43">
      <c r="A43" s="202">
        <v>45970.0</v>
      </c>
      <c r="B43" s="198" t="s">
        <v>142</v>
      </c>
      <c r="C43" s="199">
        <v>18000.0</v>
      </c>
      <c r="D43" s="198" t="s">
        <v>164</v>
      </c>
      <c r="E43" s="201" t="s">
        <v>177</v>
      </c>
    </row>
    <row r="44">
      <c r="A44" s="202">
        <v>45970.0</v>
      </c>
      <c r="B44" s="198" t="s">
        <v>169</v>
      </c>
      <c r="C44" s="199">
        <v>3321.0</v>
      </c>
      <c r="D44" s="198" t="s">
        <v>169</v>
      </c>
      <c r="E44" s="201" t="s">
        <v>173</v>
      </c>
    </row>
    <row r="45">
      <c r="A45" s="202">
        <v>45971.0</v>
      </c>
      <c r="B45" s="198" t="s">
        <v>142</v>
      </c>
      <c r="C45" s="199">
        <v>1350.0</v>
      </c>
      <c r="D45" s="198" t="s">
        <v>142</v>
      </c>
      <c r="E45" s="201" t="s">
        <v>177</v>
      </c>
    </row>
    <row r="46">
      <c r="A46" s="202">
        <v>45971.0</v>
      </c>
      <c r="B46" s="198" t="s">
        <v>142</v>
      </c>
      <c r="C46" s="199">
        <v>2050.0</v>
      </c>
      <c r="D46" s="198" t="s">
        <v>142</v>
      </c>
      <c r="E46" s="201" t="s">
        <v>179</v>
      </c>
    </row>
    <row r="47">
      <c r="A47" s="202">
        <v>45971.0</v>
      </c>
      <c r="B47" s="198" t="s">
        <v>142</v>
      </c>
      <c r="C47" s="199">
        <v>3250.0</v>
      </c>
      <c r="D47" s="198" t="s">
        <v>142</v>
      </c>
      <c r="E47" s="201" t="s">
        <v>179</v>
      </c>
    </row>
    <row r="48">
      <c r="A48" s="202">
        <v>45972.0</v>
      </c>
      <c r="B48" s="198" t="s">
        <v>142</v>
      </c>
      <c r="C48" s="199">
        <v>4000.0</v>
      </c>
      <c r="D48" s="198" t="s">
        <v>164</v>
      </c>
      <c r="E48" s="201" t="s">
        <v>179</v>
      </c>
    </row>
    <row r="49">
      <c r="A49" s="202">
        <v>45972.0</v>
      </c>
      <c r="B49" s="198" t="s">
        <v>16590</v>
      </c>
      <c r="C49" s="199">
        <v>32840.0</v>
      </c>
      <c r="D49" s="198" t="s">
        <v>155</v>
      </c>
      <c r="E49" s="201" t="s">
        <v>179</v>
      </c>
    </row>
    <row r="50">
      <c r="A50" s="202">
        <v>45972.0</v>
      </c>
      <c r="B50" s="198" t="s">
        <v>16585</v>
      </c>
      <c r="C50" s="199">
        <v>27300.0</v>
      </c>
      <c r="D50" s="198" t="s">
        <v>164</v>
      </c>
      <c r="E50" s="201" t="s">
        <v>179</v>
      </c>
    </row>
    <row r="51">
      <c r="A51" s="202">
        <v>45972.0</v>
      </c>
      <c r="B51" s="198" t="s">
        <v>16585</v>
      </c>
      <c r="C51" s="199">
        <v>5000.0</v>
      </c>
      <c r="D51" s="198" t="s">
        <v>164</v>
      </c>
      <c r="E51" s="201" t="s">
        <v>179</v>
      </c>
    </row>
    <row r="52">
      <c r="A52" s="202">
        <v>45973.0</v>
      </c>
      <c r="B52" s="198" t="s">
        <v>16586</v>
      </c>
      <c r="C52" s="199">
        <v>451.0</v>
      </c>
      <c r="D52" s="198" t="s">
        <v>171</v>
      </c>
      <c r="E52" s="201" t="s">
        <v>179</v>
      </c>
    </row>
    <row r="53">
      <c r="A53" s="202">
        <v>45973.0</v>
      </c>
      <c r="B53" s="198" t="s">
        <v>16586</v>
      </c>
      <c r="C53" s="199">
        <v>4630.0</v>
      </c>
      <c r="D53" s="198" t="s">
        <v>171</v>
      </c>
      <c r="E53" s="201" t="s">
        <v>179</v>
      </c>
    </row>
    <row r="54">
      <c r="A54" s="202">
        <v>45973.0</v>
      </c>
      <c r="B54" s="198" t="s">
        <v>142</v>
      </c>
      <c r="C54" s="199">
        <v>10000.0</v>
      </c>
      <c r="D54" s="198" t="s">
        <v>142</v>
      </c>
      <c r="E54" s="201" t="s">
        <v>179</v>
      </c>
    </row>
    <row r="55">
      <c r="A55" s="202">
        <v>45973.0</v>
      </c>
      <c r="B55" s="198" t="s">
        <v>157</v>
      </c>
      <c r="C55" s="199">
        <v>8232.0</v>
      </c>
      <c r="D55" s="198" t="s">
        <v>157</v>
      </c>
      <c r="E55" s="201" t="s">
        <v>173</v>
      </c>
    </row>
    <row r="56">
      <c r="A56" s="202">
        <v>45974.0</v>
      </c>
      <c r="B56" s="198" t="s">
        <v>16589</v>
      </c>
      <c r="C56" s="199">
        <v>9000.0</v>
      </c>
      <c r="D56" s="198" t="s">
        <v>145</v>
      </c>
      <c r="E56" s="201" t="s">
        <v>183</v>
      </c>
    </row>
    <row r="57">
      <c r="A57" s="202">
        <v>45974.0</v>
      </c>
      <c r="B57" s="198" t="s">
        <v>142</v>
      </c>
      <c r="C57" s="199">
        <v>2900.0</v>
      </c>
      <c r="D57" s="198" t="s">
        <v>142</v>
      </c>
      <c r="E57" s="201" t="s">
        <v>177</v>
      </c>
    </row>
    <row r="58">
      <c r="A58" s="202">
        <v>45974.0</v>
      </c>
      <c r="B58" s="198" t="s">
        <v>142</v>
      </c>
      <c r="C58" s="199">
        <v>2009.0</v>
      </c>
      <c r="D58" s="198" t="s">
        <v>142</v>
      </c>
      <c r="E58" s="201" t="s">
        <v>177</v>
      </c>
    </row>
    <row r="59">
      <c r="A59" s="202">
        <v>45975.0</v>
      </c>
      <c r="B59" s="198" t="s">
        <v>16593</v>
      </c>
      <c r="C59" s="199">
        <v>10815.0</v>
      </c>
      <c r="D59" s="198" t="s">
        <v>129</v>
      </c>
      <c r="E59" s="201" t="s">
        <v>177</v>
      </c>
    </row>
    <row r="60">
      <c r="A60" s="202">
        <v>45975.0</v>
      </c>
      <c r="B60" s="198" t="s">
        <v>16585</v>
      </c>
      <c r="C60" s="199">
        <v>49500.0</v>
      </c>
      <c r="D60" s="198" t="s">
        <v>164</v>
      </c>
      <c r="E60" s="201" t="s">
        <v>175</v>
      </c>
    </row>
    <row r="61">
      <c r="A61" s="202">
        <v>45975.0</v>
      </c>
      <c r="B61" s="198" t="s">
        <v>16594</v>
      </c>
      <c r="C61" s="199">
        <v>13737.0</v>
      </c>
      <c r="D61" s="198" t="s">
        <v>129</v>
      </c>
      <c r="E61" s="201" t="s">
        <v>177</v>
      </c>
    </row>
    <row r="62">
      <c r="A62" s="202">
        <v>45976.0</v>
      </c>
      <c r="B62" s="198" t="s">
        <v>16578</v>
      </c>
      <c r="C62" s="199">
        <v>5965.0</v>
      </c>
      <c r="D62" s="198" t="s">
        <v>147</v>
      </c>
      <c r="E62" s="201" t="s">
        <v>173</v>
      </c>
    </row>
    <row r="63">
      <c r="A63" s="202">
        <v>45976.0</v>
      </c>
      <c r="B63" s="198" t="s">
        <v>16592</v>
      </c>
      <c r="C63" s="199">
        <v>11500.0</v>
      </c>
      <c r="D63" s="198" t="s">
        <v>129</v>
      </c>
      <c r="E63" s="201" t="s">
        <v>179</v>
      </c>
    </row>
    <row r="64">
      <c r="A64" s="202">
        <v>45976.0</v>
      </c>
      <c r="B64" s="198" t="s">
        <v>157</v>
      </c>
      <c r="C64" s="199">
        <v>1200.0</v>
      </c>
      <c r="D64" s="198" t="s">
        <v>157</v>
      </c>
      <c r="E64" s="201" t="s">
        <v>177</v>
      </c>
    </row>
    <row r="65">
      <c r="A65" s="202">
        <v>45977.0</v>
      </c>
      <c r="B65" s="198" t="s">
        <v>16586</v>
      </c>
      <c r="C65" s="199">
        <v>4000.0</v>
      </c>
      <c r="D65" s="198" t="s">
        <v>171</v>
      </c>
      <c r="E65" s="201" t="s">
        <v>179</v>
      </c>
    </row>
    <row r="66">
      <c r="A66" s="202">
        <v>45977.0</v>
      </c>
      <c r="B66" s="198" t="s">
        <v>16598</v>
      </c>
      <c r="C66" s="199">
        <v>15000.0</v>
      </c>
      <c r="D66" s="198" t="s">
        <v>132</v>
      </c>
      <c r="E66" s="201" t="s">
        <v>177</v>
      </c>
    </row>
    <row r="67">
      <c r="A67" s="202">
        <v>45977.0</v>
      </c>
      <c r="B67" s="198" t="s">
        <v>142</v>
      </c>
      <c r="C67" s="199">
        <v>2000.0</v>
      </c>
      <c r="D67" s="198" t="s">
        <v>142</v>
      </c>
      <c r="E67" s="201" t="s">
        <v>177</v>
      </c>
    </row>
    <row r="68">
      <c r="A68" s="202">
        <v>45977.0</v>
      </c>
      <c r="B68" s="198" t="s">
        <v>142</v>
      </c>
      <c r="C68" s="199">
        <v>4530.0</v>
      </c>
      <c r="D68" s="198" t="s">
        <v>142</v>
      </c>
      <c r="E68" s="201" t="s">
        <v>179</v>
      </c>
    </row>
    <row r="69">
      <c r="A69" s="202">
        <v>45977.0</v>
      </c>
      <c r="B69" s="198" t="s">
        <v>16585</v>
      </c>
      <c r="C69" s="199">
        <v>25850.0</v>
      </c>
      <c r="D69" s="198" t="s">
        <v>164</v>
      </c>
      <c r="E69" s="201" t="s">
        <v>179</v>
      </c>
    </row>
    <row r="70">
      <c r="A70" s="202">
        <v>45977.0</v>
      </c>
      <c r="B70" s="198" t="s">
        <v>16585</v>
      </c>
      <c r="C70" s="199">
        <v>5200.0</v>
      </c>
      <c r="D70" s="198" t="s">
        <v>164</v>
      </c>
      <c r="E70" s="201" t="s">
        <v>179</v>
      </c>
    </row>
    <row r="71">
      <c r="A71" s="202">
        <v>45977.0</v>
      </c>
      <c r="B71" s="198" t="s">
        <v>169</v>
      </c>
      <c r="C71" s="199">
        <v>7497.0</v>
      </c>
      <c r="D71" s="198" t="s">
        <v>169</v>
      </c>
      <c r="E71" s="201" t="s">
        <v>173</v>
      </c>
    </row>
    <row r="72">
      <c r="A72" s="202">
        <v>45977.0</v>
      </c>
      <c r="B72" s="198" t="s">
        <v>16601</v>
      </c>
      <c r="C72" s="199">
        <v>769.0</v>
      </c>
      <c r="D72" s="198" t="s">
        <v>132</v>
      </c>
      <c r="E72" s="201" t="s">
        <v>179</v>
      </c>
    </row>
    <row r="73">
      <c r="A73" s="202">
        <v>45978.0</v>
      </c>
      <c r="B73" s="198" t="s">
        <v>142</v>
      </c>
      <c r="C73" s="199">
        <v>14249.0</v>
      </c>
      <c r="D73" s="198" t="s">
        <v>142</v>
      </c>
      <c r="E73" s="201" t="s">
        <v>177</v>
      </c>
    </row>
    <row r="74">
      <c r="A74" s="202">
        <v>45978.0</v>
      </c>
      <c r="B74" s="198" t="s">
        <v>142</v>
      </c>
      <c r="C74" s="199">
        <v>4000.0</v>
      </c>
      <c r="D74" s="198" t="s">
        <v>164</v>
      </c>
      <c r="E74" s="201" t="s">
        <v>179</v>
      </c>
    </row>
    <row r="75">
      <c r="A75" s="202">
        <v>45978.0</v>
      </c>
      <c r="B75" s="198" t="s">
        <v>142</v>
      </c>
      <c r="C75" s="199">
        <v>3000.0</v>
      </c>
      <c r="D75" s="198" t="s">
        <v>142</v>
      </c>
      <c r="E75" s="201" t="s">
        <v>179</v>
      </c>
    </row>
    <row r="76">
      <c r="A76" s="202">
        <v>45978.0</v>
      </c>
      <c r="B76" s="198" t="s">
        <v>142</v>
      </c>
      <c r="C76" s="199">
        <v>18750.0</v>
      </c>
      <c r="D76" s="198" t="s">
        <v>142</v>
      </c>
      <c r="E76" s="201" t="s">
        <v>179</v>
      </c>
    </row>
    <row r="77">
      <c r="A77" s="202">
        <v>45978.0</v>
      </c>
      <c r="B77" s="198" t="s">
        <v>16580</v>
      </c>
      <c r="C77" s="199">
        <v>8258.0</v>
      </c>
      <c r="D77" s="198" t="s">
        <v>147</v>
      </c>
      <c r="E77" s="201" t="s">
        <v>179</v>
      </c>
    </row>
    <row r="78">
      <c r="A78" s="202">
        <v>45978.0</v>
      </c>
      <c r="B78" s="198" t="s">
        <v>157</v>
      </c>
      <c r="C78" s="199">
        <v>7245.0</v>
      </c>
      <c r="D78" s="198" t="s">
        <v>157</v>
      </c>
      <c r="E78" s="201" t="s">
        <v>177</v>
      </c>
    </row>
    <row r="79">
      <c r="A79" s="202">
        <v>45979.0</v>
      </c>
      <c r="B79" s="198" t="s">
        <v>142</v>
      </c>
      <c r="C79" s="199">
        <v>14537.0</v>
      </c>
      <c r="D79" s="198" t="s">
        <v>142</v>
      </c>
      <c r="E79" s="201" t="s">
        <v>177</v>
      </c>
    </row>
    <row r="80">
      <c r="A80" s="202">
        <v>45980.0</v>
      </c>
      <c r="B80" s="198" t="s">
        <v>16586</v>
      </c>
      <c r="C80" s="199">
        <v>494.0</v>
      </c>
      <c r="D80" s="198" t="s">
        <v>171</v>
      </c>
      <c r="E80" s="201" t="s">
        <v>179</v>
      </c>
    </row>
    <row r="81">
      <c r="A81" s="202">
        <v>45980.0</v>
      </c>
      <c r="B81" s="198" t="s">
        <v>134</v>
      </c>
      <c r="C81" s="199">
        <v>10000.0</v>
      </c>
      <c r="D81" s="198" t="s">
        <v>140</v>
      </c>
      <c r="E81" s="201" t="s">
        <v>173</v>
      </c>
    </row>
    <row r="82">
      <c r="A82" s="202">
        <v>45980.0</v>
      </c>
      <c r="B82" s="198" t="s">
        <v>145</v>
      </c>
      <c r="C82" s="199">
        <v>3900.0</v>
      </c>
      <c r="D82" s="198" t="s">
        <v>145</v>
      </c>
      <c r="E82" s="201" t="s">
        <v>175</v>
      </c>
    </row>
    <row r="83">
      <c r="A83" s="202">
        <v>45981.0</v>
      </c>
      <c r="B83" s="198" t="s">
        <v>142</v>
      </c>
      <c r="C83" s="199">
        <v>7800.0</v>
      </c>
      <c r="D83" s="198" t="s">
        <v>142</v>
      </c>
      <c r="E83" s="201" t="s">
        <v>177</v>
      </c>
    </row>
    <row r="84">
      <c r="A84" s="202">
        <v>45981.0</v>
      </c>
      <c r="B84" s="198" t="s">
        <v>142</v>
      </c>
      <c r="C84" s="199">
        <v>7366.0</v>
      </c>
      <c r="D84" s="198" t="s">
        <v>142</v>
      </c>
      <c r="E84" s="201" t="s">
        <v>179</v>
      </c>
    </row>
    <row r="85">
      <c r="A85" s="202">
        <v>45982.0</v>
      </c>
      <c r="B85" s="198" t="s">
        <v>11</v>
      </c>
      <c r="C85" s="199">
        <v>14000.0</v>
      </c>
      <c r="D85" s="198" t="s">
        <v>11</v>
      </c>
      <c r="E85" s="201" t="s">
        <v>173</v>
      </c>
    </row>
    <row r="86">
      <c r="A86" s="202">
        <v>45982.0</v>
      </c>
      <c r="B86" s="198" t="s">
        <v>16580</v>
      </c>
      <c r="C86" s="199">
        <v>20330.0</v>
      </c>
      <c r="D86" s="198" t="s">
        <v>147</v>
      </c>
      <c r="E86" s="201" t="s">
        <v>173</v>
      </c>
    </row>
    <row r="87">
      <c r="A87" s="202">
        <v>45984.0</v>
      </c>
      <c r="B87" s="198" t="s">
        <v>16578</v>
      </c>
      <c r="C87" s="199">
        <v>13889.0</v>
      </c>
      <c r="D87" s="198" t="s">
        <v>147</v>
      </c>
      <c r="E87" s="201" t="s">
        <v>173</v>
      </c>
    </row>
    <row r="88">
      <c r="A88" s="202">
        <v>45984.0</v>
      </c>
      <c r="B88" s="198" t="s">
        <v>169</v>
      </c>
      <c r="C88" s="199">
        <v>7863.0</v>
      </c>
      <c r="D88" s="198" t="s">
        <v>169</v>
      </c>
      <c r="E88" s="201" t="s">
        <v>173</v>
      </c>
    </row>
    <row r="89">
      <c r="A89" s="202">
        <v>45984.0</v>
      </c>
      <c r="B89" s="198" t="s">
        <v>16598</v>
      </c>
      <c r="C89" s="199">
        <v>10000.0</v>
      </c>
      <c r="D89" s="198" t="s">
        <v>132</v>
      </c>
      <c r="E89" s="201" t="s">
        <v>179</v>
      </c>
    </row>
    <row r="90">
      <c r="A90" s="202">
        <v>45984.0</v>
      </c>
      <c r="B90" s="198" t="s">
        <v>142</v>
      </c>
      <c r="C90" s="199">
        <v>4000.0</v>
      </c>
      <c r="D90" s="198" t="s">
        <v>164</v>
      </c>
      <c r="E90" s="201" t="s">
        <v>179</v>
      </c>
    </row>
    <row r="91">
      <c r="A91" s="202">
        <v>45984.0</v>
      </c>
      <c r="B91" s="198" t="s">
        <v>16601</v>
      </c>
      <c r="C91" s="199">
        <v>838.0</v>
      </c>
      <c r="D91" s="198" t="s">
        <v>132</v>
      </c>
      <c r="E91" s="201" t="s">
        <v>179</v>
      </c>
    </row>
    <row r="92">
      <c r="A92" s="202">
        <v>45985.0</v>
      </c>
      <c r="B92" s="198" t="s">
        <v>16579</v>
      </c>
      <c r="C92" s="199">
        <v>7253.0</v>
      </c>
      <c r="D92" s="198" t="s">
        <v>159</v>
      </c>
      <c r="E92" s="201" t="s">
        <v>173</v>
      </c>
    </row>
    <row r="93">
      <c r="A93" s="202">
        <v>45985.0</v>
      </c>
      <c r="B93" s="198" t="s">
        <v>142</v>
      </c>
      <c r="C93" s="199">
        <v>3100.0</v>
      </c>
      <c r="D93" s="198" t="s">
        <v>142</v>
      </c>
      <c r="E93" s="201" t="s">
        <v>177</v>
      </c>
    </row>
    <row r="94">
      <c r="A94" s="202">
        <v>45985.0</v>
      </c>
      <c r="B94" s="198" t="s">
        <v>142</v>
      </c>
      <c r="C94" s="199">
        <v>5300.0</v>
      </c>
      <c r="D94" s="198" t="s">
        <v>142</v>
      </c>
      <c r="E94" s="201" t="s">
        <v>177</v>
      </c>
    </row>
    <row r="95">
      <c r="A95" s="202">
        <v>45985.0</v>
      </c>
      <c r="B95" s="198" t="s">
        <v>142</v>
      </c>
      <c r="C95" s="199">
        <v>4899.0</v>
      </c>
      <c r="D95" s="198" t="s">
        <v>142</v>
      </c>
      <c r="E95" s="201" t="s">
        <v>179</v>
      </c>
    </row>
    <row r="96">
      <c r="A96" s="202">
        <v>45985.0</v>
      </c>
      <c r="B96" s="198" t="s">
        <v>16585</v>
      </c>
      <c r="C96" s="199">
        <v>4000.0</v>
      </c>
      <c r="D96" s="198" t="s">
        <v>164</v>
      </c>
      <c r="E96" s="201" t="s">
        <v>179</v>
      </c>
    </row>
    <row r="97">
      <c r="A97" s="202">
        <v>45986.0</v>
      </c>
      <c r="B97" s="198" t="s">
        <v>157</v>
      </c>
      <c r="C97" s="199">
        <v>62500.0</v>
      </c>
      <c r="D97" s="198" t="s">
        <v>157</v>
      </c>
      <c r="E97" s="201" t="s">
        <v>177</v>
      </c>
    </row>
    <row r="98">
      <c r="A98" s="202">
        <v>45986.0</v>
      </c>
      <c r="B98" s="198" t="s">
        <v>16590</v>
      </c>
      <c r="C98" s="199">
        <v>6050.0</v>
      </c>
      <c r="D98" s="198" t="s">
        <v>145</v>
      </c>
      <c r="E98" s="201" t="s">
        <v>177</v>
      </c>
    </row>
    <row r="99">
      <c r="A99" s="202">
        <v>45988.0</v>
      </c>
      <c r="B99" s="198" t="s">
        <v>142</v>
      </c>
      <c r="C99" s="199">
        <v>6000.0</v>
      </c>
      <c r="D99" s="198" t="s">
        <v>164</v>
      </c>
      <c r="E99" s="201" t="s">
        <v>179</v>
      </c>
    </row>
    <row r="100">
      <c r="A100" s="202">
        <v>45988.0</v>
      </c>
      <c r="B100" s="198" t="s">
        <v>142</v>
      </c>
      <c r="C100" s="199">
        <v>3000.0</v>
      </c>
      <c r="D100" s="198" t="s">
        <v>142</v>
      </c>
      <c r="E100" s="201" t="s">
        <v>179</v>
      </c>
    </row>
    <row r="101">
      <c r="A101" s="202">
        <v>45988.0</v>
      </c>
      <c r="B101" s="198" t="s">
        <v>157</v>
      </c>
      <c r="C101" s="199">
        <v>45000.0</v>
      </c>
      <c r="D101" s="198" t="s">
        <v>157</v>
      </c>
      <c r="E101" s="201" t="s">
        <v>173</v>
      </c>
    </row>
    <row r="102">
      <c r="A102" s="202">
        <v>45988.0</v>
      </c>
      <c r="B102" s="198" t="s">
        <v>142</v>
      </c>
      <c r="C102" s="199">
        <v>3000.0</v>
      </c>
      <c r="D102" s="198" t="s">
        <v>142</v>
      </c>
      <c r="E102" s="201" t="s">
        <v>179</v>
      </c>
    </row>
    <row r="103">
      <c r="A103" s="202">
        <v>45989.0</v>
      </c>
      <c r="B103" s="198" t="s">
        <v>137</v>
      </c>
      <c r="C103" s="199">
        <v>10000.0</v>
      </c>
      <c r="D103" s="198" t="s">
        <v>137</v>
      </c>
      <c r="E103" s="201" t="s">
        <v>179</v>
      </c>
    </row>
    <row r="104">
      <c r="A104" s="202">
        <v>45990.0</v>
      </c>
      <c r="B104" s="198" t="s">
        <v>142</v>
      </c>
      <c r="C104" s="199">
        <v>3615.0</v>
      </c>
      <c r="D104" s="198" t="s">
        <v>142</v>
      </c>
      <c r="E104" s="201" t="s">
        <v>173</v>
      </c>
    </row>
    <row r="105">
      <c r="A105" s="202">
        <v>45990.0</v>
      </c>
      <c r="B105" s="198" t="s">
        <v>16580</v>
      </c>
      <c r="C105" s="199">
        <v>2200.0</v>
      </c>
      <c r="D105" s="198" t="s">
        <v>147</v>
      </c>
      <c r="E105" s="201" t="s">
        <v>179</v>
      </c>
    </row>
    <row r="106">
      <c r="A106" s="202">
        <v>45991.0</v>
      </c>
      <c r="B106" s="198" t="s">
        <v>16581</v>
      </c>
      <c r="C106" s="199">
        <v>26725.0</v>
      </c>
      <c r="D106" s="198" t="s">
        <v>169</v>
      </c>
      <c r="E106" s="201" t="s">
        <v>173</v>
      </c>
    </row>
    <row r="107">
      <c r="A107" s="202">
        <v>45991.0</v>
      </c>
      <c r="B107" s="198" t="s">
        <v>142</v>
      </c>
      <c r="C107" s="199">
        <v>6000.0</v>
      </c>
      <c r="D107" s="198" t="s">
        <v>164</v>
      </c>
      <c r="E107" s="201" t="s">
        <v>179</v>
      </c>
    </row>
  </sheetData>
  <dataValidations>
    <dataValidation type="custom" allowBlank="1" showDropDown="1" sqref="A2:A107">
      <formula1>OR(NOT(ISERROR(DATEVALUE(A2))), AND(ISNUMBER(A2), LEFT(CELL("format", A2))="D"))</formula1>
    </dataValidation>
    <dataValidation type="custom" allowBlank="1" showDropDown="1" sqref="C2:C107">
      <formula1>AND(ISNUMBER(C2),(NOT(OR(NOT(ISERROR(DATEVALUE(C2))), AND(ISNUMBER(C2), LEFT(CELL("format", C2))="D")))))</formula1>
    </dataValidation>
    <dataValidation allowBlank="1" showDropDown="1" sqref="B2:B107 D2:E107"/>
  </dataValidations>
  <drawing r:id="rId1"/>
  <tableParts count="1">
    <tablePart r:id="rId3"/>
  </tableParts>
</worksheet>
</file>